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공고\공사\2026년 공고\한가람로 및 잠실동 일대 가로등 개선공사\"/>
    </mc:Choice>
  </mc:AlternateContent>
  <xr:revisionPtr revIDLastSave="0" documentId="13_ncr:1_{1ACAF8DF-F246-49AE-8A0D-0A76AE82BBD8}" xr6:coauthVersionLast="36" xr6:coauthVersionMax="47" xr10:uidLastSave="{00000000-0000-0000-0000-000000000000}"/>
  <bookViews>
    <workbookView xWindow="0" yWindow="0" windowWidth="28800" windowHeight="12060" tabRatio="894" firstSheet="1" activeTab="1" xr2:uid="{00000000-000D-0000-FFFF-FFFF00000000}"/>
  </bookViews>
  <sheets>
    <sheet name="심사요약" sheetId="54" state="hidden" r:id="rId1"/>
    <sheet name="원가계산서" sheetId="58" r:id="rId2"/>
    <sheet name="내역서" sheetId="56" r:id="rId3"/>
    <sheet name="일위대가" sheetId="10" r:id="rId4"/>
    <sheet name="이전비" sheetId="52" state="hidden" r:id="rId5"/>
    <sheet name="굴착물량산출서" sheetId="15" state="hidden" r:id="rId6"/>
    <sheet name="기계설치" sheetId="18" state="hidden" r:id="rId7"/>
    <sheet name="(건설공사)공통일위대가표" sheetId="48" state="hidden" r:id="rId8"/>
    <sheet name="(건설공사)기계경비 집계표" sheetId="47" state="hidden" r:id="rId9"/>
    <sheet name="(건설공사)기계경비" sheetId="46" state="hidden" r:id="rId10"/>
    <sheet name="(건설공사)토공" sheetId="45" state="hidden" r:id="rId11"/>
    <sheet name="(건설공사)자재단가조사서" sheetId="44" state="hidden" r:id="rId12"/>
    <sheet name="Sheet2" sheetId="40" state="hidden" r:id="rId13"/>
    <sheet name="Sheet3" sheetId="41" state="hidden" r:id="rId14"/>
    <sheet name="Sheet1" sheetId="38" state="hidden" r:id="rId15"/>
    <sheet name="토공" sheetId="42" state="hidden" r:id="rId16"/>
    <sheet name="제어반부표" sheetId="16" state="hidden" r:id="rId17"/>
    <sheet name="맨홀부표" sheetId="17" state="hidden" r:id="rId18"/>
    <sheet name="등주중량표" sheetId="19" state="hidden" r:id="rId19"/>
    <sheet name="암중량표" sheetId="20" state="hidden" r:id="rId20"/>
    <sheet name="등기구무게환산" sheetId="21" state="hidden" r:id="rId21"/>
    <sheet name="등주중량표sts" sheetId="22" state="hidden" r:id="rId22"/>
    <sheet name="암중량표sts" sheetId="23" state="hidden" r:id="rId23"/>
    <sheet name="안정기무게" sheetId="24" state="hidden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</externalReferences>
  <definedNames>
    <definedName name="__" hidden="1">[1]공문!#REF!</definedName>
    <definedName name="___as1" hidden="1">#REF!</definedName>
    <definedName name="___x4" hidden="1">#REF!</definedName>
    <definedName name="__123Graph_A" hidden="1">[2]목표세부명세!#REF!</definedName>
    <definedName name="__123Graph_AA" hidden="1">#N/A</definedName>
    <definedName name="__123Graph_AB" hidden="1">#N/A</definedName>
    <definedName name="__123Graph_AC" hidden="1">#N/A</definedName>
    <definedName name="__123Graph_AD" hidden="1">#N/A</definedName>
    <definedName name="__123Graph_AE" hidden="1">#N/A</definedName>
    <definedName name="__123Graph_AF" hidden="1">#N/A</definedName>
    <definedName name="__123Graph_AG" hidden="1">#N/A</definedName>
    <definedName name="__123Graph_B" hidden="1">#REF!</definedName>
    <definedName name="__123Graph_D" hidden="1">#REF!</definedName>
    <definedName name="__123Graph_F" hidden="1">#REF!</definedName>
    <definedName name="__123Graph_X" hidden="1">#REF!</definedName>
    <definedName name="__123Graph_XA" hidden="1">#N/A</definedName>
    <definedName name="__123Graph_XB" hidden="1">#N/A</definedName>
    <definedName name="__123Graph_XC" hidden="1">#N/A</definedName>
    <definedName name="__123Graph_XD" hidden="1">#N/A</definedName>
    <definedName name="__123Graph_XE" hidden="1">#N/A</definedName>
    <definedName name="__123Graph_XF" hidden="1">#N/A</definedName>
    <definedName name="__123Graph_XG" hidden="1">#N/A</definedName>
    <definedName name="__as1" hidden="1">#REF!</definedName>
    <definedName name="__dfdfe" hidden="1">#REF!</definedName>
    <definedName name="__e1" hidden="1">#REF!</definedName>
    <definedName name="__IntlFixup" hidden="1">TRUE</definedName>
    <definedName name="__key2" hidden="1">[3]조명시설!#REF!</definedName>
    <definedName name="__w1" hidden="1">#REF!</definedName>
    <definedName name="__x1" hidden="1">#REF!</definedName>
    <definedName name="__x4" hidden="1">#REF!</definedName>
    <definedName name="_0" hidden="1">'[4]D-경비1'!#REF!</definedName>
    <definedName name="_1_0_S" hidden="1">'[5]6PILE  (돌출)'!#REF!</definedName>
    <definedName name="_13_0_S" hidden="1">'[5]6PILE  (돌출)'!#REF!</definedName>
    <definedName name="_2_0_S" hidden="1">'[5]6PILE  (돌출)'!#REF!</definedName>
    <definedName name="_2309f" hidden="1">#REF!</definedName>
    <definedName name="_2323fil" hidden="1">#REF!</definedName>
    <definedName name="_23fil" hidden="1">#REF!</definedName>
    <definedName name="_23i99" hidden="1">#REF!</definedName>
    <definedName name="_24342" hidden="1">#REF!</definedName>
    <definedName name="_3_0_S" hidden="1">'[5]6PILE  (돌출)'!#REF!</definedName>
    <definedName name="_30____0_S" hidden="1">'[5]6PILE  (돌출)'!#REF!</definedName>
    <definedName name="_323fil" hidden="1">#REF!</definedName>
    <definedName name="_324dfel" hidden="1">#REF!</definedName>
    <definedName name="_32fial" hidden="1">#REF!</definedName>
    <definedName name="_333ddl" hidden="1">#REF!</definedName>
    <definedName name="_34234if" hidden="1">#REF!</definedName>
    <definedName name="_3ihil" hidden="1">#REF!</definedName>
    <definedName name="_3P3_" hidden="1">{#N/A,#N/A,FALSE,"배수1"}</definedName>
    <definedName name="_4_0_S" hidden="1">'[5]6PILE  (돌출)'!#REF!</definedName>
    <definedName name="_4P4_" hidden="1">{#N/A,#N/A,FALSE,"혼합골재"}</definedName>
    <definedName name="_5P3_" hidden="1">{#N/A,#N/A,FALSE,"배수1"}</definedName>
    <definedName name="_5P5_" hidden="1">{#N/A,#N/A,FALSE,"배수1"}</definedName>
    <definedName name="_64S" hidden="1">#REF!</definedName>
    <definedName name="_66_0_S" hidden="1">#REF!</definedName>
    <definedName name="_6P4_" hidden="1">{#N/A,#N/A,FALSE,"혼합골재"}</definedName>
    <definedName name="_6P6_" hidden="1">{#N/A,#N/A,FALSE,"2~8번"}</definedName>
    <definedName name="_7P5_" hidden="1">{#N/A,#N/A,FALSE,"배수1"}</definedName>
    <definedName name="_7S3_" hidden="1">{#N/A,#N/A,FALSE,"포장2"}</definedName>
    <definedName name="_8P6_" hidden="1">{#N/A,#N/A,FALSE,"2~8번"}</definedName>
    <definedName name="_9S3_" hidden="1">{#N/A,#N/A,FALSE,"포장2"}</definedName>
    <definedName name="_aasseil" hidden="1">#REF!</definedName>
    <definedName name="_abecrombie" hidden="1">#REF!</definedName>
    <definedName name="_AE" hidden="1">#REF!</definedName>
    <definedName name="_aeifel" hidden="1">#REF!</definedName>
    <definedName name="_aeiilll2" hidden="1">#REF!</definedName>
    <definedName name="_aewil" hidden="1">#REF!</definedName>
    <definedName name="_aidldlf" hidden="1">#REF!</definedName>
    <definedName name="_aill" hidden="1">#REF!</definedName>
    <definedName name="_aill2" hidden="1">#REF!</definedName>
    <definedName name="_aiooips" hidden="1">#REF!</definedName>
    <definedName name="_aksdl" hidden="1">#REF!</definedName>
    <definedName name="_akzio" hidden="1">#REF!</definedName>
    <definedName name="_alpqpdi" hidden="1">#REF!</definedName>
    <definedName name="_aoiaiei" hidden="1">#REF!</definedName>
    <definedName name="_ap2" hidden="1">#REF!</definedName>
    <definedName name="_apfdkd" hidden="1">#REF!</definedName>
    <definedName name="_aseil" hidden="1">#REF!</definedName>
    <definedName name="_asill" hidden="1">#REF!</definedName>
    <definedName name="_asilll" hidden="1">#REF!</definedName>
    <definedName name="_asldsl" hidden="1">#REF!</definedName>
    <definedName name="_assiill" hidden="1">#REF!</definedName>
    <definedName name="_biblsl" hidden="1">#REF!</definedName>
    <definedName name="_bilil" hidden="1">#REF!</definedName>
    <definedName name="_bill" hidden="1">#REF!</definedName>
    <definedName name="_cceeil" hidden="1">#REF!</definedName>
    <definedName name="_ccill" hidden="1">#REF!</definedName>
    <definedName name="_cdill" hidden="1">#REF!</definedName>
    <definedName name="_cfecil" hidden="1">#REF!</definedName>
    <definedName name="_cfecil34" hidden="1">#REF!</definedName>
    <definedName name="_cfelllss" hidden="1">#REF!</definedName>
    <definedName name="_cicile" hidden="1">#REF!</definedName>
    <definedName name="_cill" hidden="1">#REF!</definedName>
    <definedName name="_ck" hidden="1">#REF!</definedName>
    <definedName name="_d2jkjl" hidden="1">#REF!</definedName>
    <definedName name="_d3fefe" hidden="1">#REF!</definedName>
    <definedName name="_daeidl" hidden="1">#REF!</definedName>
    <definedName name="_daeiel" hidden="1">#REF!</definedName>
    <definedName name="_dail" hidden="1">#REF!</definedName>
    <definedName name="_dcccil" hidden="1">#REF!</definedName>
    <definedName name="_ddaile" hidden="1">#REF!</definedName>
    <definedName name="_ddaill" hidden="1">#REF!</definedName>
    <definedName name="_ddd" hidden="1">#REF!</definedName>
    <definedName name="_dddilaa" hidden="1">#REF!</definedName>
    <definedName name="_ddeailt" hidden="1">#REF!</definedName>
    <definedName name="_ddeil" hidden="1">#REF!</definedName>
    <definedName name="_ddeil33" hidden="1">#REF!</definedName>
    <definedName name="_ddfefe" hidden="1">#REF!</definedName>
    <definedName name="_ddffii" hidden="1">#REF!</definedName>
    <definedName name="_ddiiwso" hidden="1">#REF!</definedName>
    <definedName name="_ddill" hidden="1">#REF!</definedName>
    <definedName name="_ddliflil" hidden="1">#REF!</definedName>
    <definedName name="_ddsoifio" hidden="1">#REF!</definedName>
    <definedName name="_de239" hidden="1">#REF!</definedName>
    <definedName name="_defeil" hidden="1">#REF!</definedName>
    <definedName name="_deraw" hidden="1">#REF!</definedName>
    <definedName name="_dfaer" hidden="1">#REF!</definedName>
    <definedName name="_dfdk" hidden="1">#REF!</definedName>
    <definedName name="_dfdkk3" hidden="1">#REF!</definedName>
    <definedName name="_dfeil" hidden="1">#REF!</definedName>
    <definedName name="_dfg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_dfidifl" hidden="1">#REF!</definedName>
    <definedName name="_dfiefl23" hidden="1">#REF!</definedName>
    <definedName name="_dfieifoi" hidden="1">#REF!</definedName>
    <definedName name="_dfifeioil." hidden="1">#REF!</definedName>
    <definedName name="_dfifoie" hidden="1">#REF!</definedName>
    <definedName name="_dfiieee" hidden="1">#REF!</definedName>
    <definedName name="_dfill" hidden="1">#REF!</definedName>
    <definedName name="_dfkffja" hidden="1">#REF!</definedName>
    <definedName name="_dfklsfjw" hidden="1">#REF!</definedName>
    <definedName name="_dfksljfsew" hidden="1">#REF!</definedName>
    <definedName name="_dflfoieoi" hidden="1">#REF!</definedName>
    <definedName name="_dfmill" hidden="1">#REF!</definedName>
    <definedName name="_dfpqp" hidden="1">#REF!</definedName>
    <definedName name="_dfpqpas" hidden="1">#REF!</definedName>
    <definedName name="_dfuidfo" hidden="1">#REF!</definedName>
    <definedName name="_dfyyyieiel" hidden="1">#REF!</definedName>
    <definedName name="_dgeteiil" hidden="1">#REF!</definedName>
    <definedName name="_dhihil" hidden="1">#REF!</definedName>
    <definedName name="_diael2" hidden="1">#REF!</definedName>
    <definedName name="_dicicliwliw" hidden="1">#REF!</definedName>
    <definedName name="_didil" hidden="1">#REF!</definedName>
    <definedName name="_didl" hidden="1">#REF!</definedName>
    <definedName name="_didlifdi" hidden="1">#REF!</definedName>
    <definedName name="_dieireo" hidden="1">#REF!</definedName>
    <definedName name="_diewoiewl" hidden="1">#REF!</definedName>
    <definedName name="_difdlf" hidden="1">#REF!</definedName>
    <definedName name="_difefiel" hidden="1">#REF!</definedName>
    <definedName name="_difeifoie" hidden="1">#REF!</definedName>
    <definedName name="_difeowfla" hidden="1">#REF!</definedName>
    <definedName name="_difieifl" hidden="1">#REF!</definedName>
    <definedName name="_difiill" hidden="1">#REF!</definedName>
    <definedName name="_difisel" hidden="1">#REF!</definedName>
    <definedName name="_difiwi" hidden="1">#REF!</definedName>
    <definedName name="_difjdii" hidden="1">#REF!</definedName>
    <definedName name="_difoiwo43" hidden="1">#REF!</definedName>
    <definedName name="_difowo2" hidden="1">#REF!</definedName>
    <definedName name="_difpwpe" hidden="1">#REF!</definedName>
    <definedName name="_diieidid" hidden="1">#REF!</definedName>
    <definedName name="_diiooo" hidden="1">#REF!</definedName>
    <definedName name="_dill" hidden="1">#REF!</definedName>
    <definedName name="_dill2" hidden="1">#REF!</definedName>
    <definedName name="_disilefil" hidden="1">#REF!</definedName>
    <definedName name="_dist__bin" hidden="1">[6]조명시설!#REF!</definedName>
    <definedName name="_Dist_Bin" hidden="1">#REF!</definedName>
    <definedName name="_Dist_Values" hidden="1">#REF!</definedName>
    <definedName name="_diww3" hidden="1">#REF!</definedName>
    <definedName name="_dizilew" hidden="1">#REF!</definedName>
    <definedName name="_djfddslf" hidden="1">#REF!</definedName>
    <definedName name="_dkdidiio" hidden="1">#REF!</definedName>
    <definedName name="_dkdiri" hidden="1">#REF!</definedName>
    <definedName name="_dkdkd" hidden="1">#REF!</definedName>
    <definedName name="_dkf" hidden="1">#REF!</definedName>
    <definedName name="_dkfdi" hidden="1">#REF!</definedName>
    <definedName name="_dkfdkjfe" hidden="1">#REF!</definedName>
    <definedName name="_dkfeoi" hidden="1">#REF!</definedName>
    <definedName name="_dkfiefll2" hidden="1">#REF!</definedName>
    <definedName name="_dkfiewo" hidden="1">#REF!</definedName>
    <definedName name="_dkfjfwm" hidden="1">#REF!</definedName>
    <definedName name="_dkfjwio" hidden="1">#REF!</definedName>
    <definedName name="_dkfkd" hidden="1">#REF!</definedName>
    <definedName name="_dkfkoiw" hidden="1">#REF!</definedName>
    <definedName name="_dkfks" hidden="1">#REF!</definedName>
    <definedName name="_dkflkkl" hidden="1">#REF!</definedName>
    <definedName name="_dkflsilel" hidden="1">#REF!</definedName>
    <definedName name="_dkfol" hidden="1">#REF!</definedName>
    <definedName name="_dklao" hidden="1">#REF!</definedName>
    <definedName name="_dkldfiip" hidden="1">#REF!</definedName>
    <definedName name="_dkldlfeoi" hidden="1">#REF!</definedName>
    <definedName name="_dklfelkfl" hidden="1">#REF!</definedName>
    <definedName name="_dklsajfqp" hidden="1">#REF!</definedName>
    <definedName name="_dksislseoi" hidden="1">#REF!</definedName>
    <definedName name="_dkskfkd" hidden="1">#REF!</definedName>
    <definedName name="_dksmil" hidden="1">#REF!</definedName>
    <definedName name="_dkzpekf" hidden="1">#REF!</definedName>
    <definedName name="_dlfwo" hidden="1">#REF!</definedName>
    <definedName name="_dncidcl" hidden="1">#REF!</definedName>
    <definedName name="_dofiei" hidden="1">#REF!</definedName>
    <definedName name="_dofjeio" hidden="1">#REF!</definedName>
    <definedName name="_dopqmwe" hidden="1">#REF!</definedName>
    <definedName name="_dososw" hidden="1">#REF!</definedName>
    <definedName name="_dpds" hidden="1">#REF!</definedName>
    <definedName name="_dpge" hidden="1">#REF!</definedName>
    <definedName name="_dpill" hidden="1">#REF!</definedName>
    <definedName name="_dppei" hidden="1">#REF!</definedName>
    <definedName name="_dpspdsph" hidden="1">#REF!</definedName>
    <definedName name="_dreirill" hidden="1">#REF!</definedName>
    <definedName name="_dsdoifo" hidden="1">#REF!</definedName>
    <definedName name="_dsfill" hidden="1">#REF!</definedName>
    <definedName name="_dsfioq" hidden="1">#REF!</definedName>
    <definedName name="_dsoixiz" hidden="1">#REF!</definedName>
    <definedName name="_dspdp" hidden="1">#REF!</definedName>
    <definedName name="_dy8ielfey" hidden="1">#REF!</definedName>
    <definedName name="_e1" hidden="1">#REF!</definedName>
    <definedName name="_edail" hidden="1">#REF!</definedName>
    <definedName name="_eddfill" hidden="1">#REF!</definedName>
    <definedName name="_eddil" hidden="1">#REF!</definedName>
    <definedName name="_edfil" hidden="1">#REF!</definedName>
    <definedName name="_edfil2" hidden="1">#REF!</definedName>
    <definedName name="_edield" hidden="1">#REF!</definedName>
    <definedName name="_edkfoidoi" hidden="1">#REF!</definedName>
    <definedName name="_eeffil3" hidden="1">#REF!</definedName>
    <definedName name="_eeill" hidden="1">#REF!</definedName>
    <definedName name="_efdcil" hidden="1">#REF!</definedName>
    <definedName name="_efefea" hidden="1">#REF!</definedName>
    <definedName name="_efefeapq" hidden="1">#REF!</definedName>
    <definedName name="_efefeif" hidden="1">#REF!</definedName>
    <definedName name="_efefk" hidden="1">#REF!</definedName>
    <definedName name="_effw" hidden="1">#REF!</definedName>
    <definedName name="_efil" hidden="1">#REF!</definedName>
    <definedName name="_efil2" hidden="1">#REF!</definedName>
    <definedName name="_efila" hidden="1">#REF!</definedName>
    <definedName name="_efile" hidden="1">#REF!</definedName>
    <definedName name="_eflila" hidden="1">#REF!</definedName>
    <definedName name="_efoiejfeoi" hidden="1">#REF!</definedName>
    <definedName name="_efril" hidden="1">#REF!</definedName>
    <definedName name="_efrilla" hidden="1">#REF!</definedName>
    <definedName name="_eiafl" hidden="1">#REF!</definedName>
    <definedName name="_eiffel" hidden="1">#REF!</definedName>
    <definedName name="_eifiefoi" hidden="1">#REF!</definedName>
    <definedName name="_eififi09" hidden="1">#REF!</definedName>
    <definedName name="_eiflweil" hidden="1">#REF!</definedName>
    <definedName name="_eifoewf" hidden="1">#REF!</definedName>
    <definedName name="_eifugil" hidden="1">#REF!</definedName>
    <definedName name="_eiifeo" hidden="1">#REF!</definedName>
    <definedName name="_eiil" hidden="1">#REF!</definedName>
    <definedName name="_eiill" hidden="1">#REF!</definedName>
    <definedName name="_eill" hidden="1">#REF!</definedName>
    <definedName name="_eilwwl" hidden="1">#REF!</definedName>
    <definedName name="_eiofoiewoi" hidden="1">#REF!</definedName>
    <definedName name="_eiofoifoi" hidden="1">#REF!</definedName>
    <definedName name="_eiol" hidden="1">#REF!</definedName>
    <definedName name="_eiolli" hidden="1">#REF!</definedName>
    <definedName name="_eiowfp" hidden="1">#REF!</definedName>
    <definedName name="_eireoi" hidden="1">#REF!</definedName>
    <definedName name="_eiroifo" hidden="1">#REF!</definedName>
    <definedName name="_eiwioqug" hidden="1">#REF!</definedName>
    <definedName name="_eiwofil" hidden="1">#REF!</definedName>
    <definedName name="_eiwofka" hidden="1">#REF!</definedName>
    <definedName name="_eiwoflsd" hidden="1">#REF!</definedName>
    <definedName name="_eiwowe32" hidden="1">#REF!</definedName>
    <definedName name="_eizo" hidden="1">#REF!</definedName>
    <definedName name="_ekdo" hidden="1">#REF!</definedName>
    <definedName name="_ekfjefoie" hidden="1">#REF!</definedName>
    <definedName name="_ekiwewoiweo" hidden="1">#REF!</definedName>
    <definedName name="_ekofok" hidden="1">#REF!</definedName>
    <definedName name="_ekqge" hidden="1">#REF!</definedName>
    <definedName name="_ekrieoi" hidden="1">#REF!</definedName>
    <definedName name="_eoeoewow" hidden="1">#REF!</definedName>
    <definedName name="_eofoweo" hidden="1">#REF!</definedName>
    <definedName name="_eofzdk" hidden="1">#REF!</definedName>
    <definedName name="_eoifweoifeo" hidden="1">#REF!</definedName>
    <definedName name="_eoiw9" hidden="1">#REF!</definedName>
    <definedName name="_epepek" hidden="1">#REF!</definedName>
    <definedName name="_eppeox" hidden="1">#REF!</definedName>
    <definedName name="_epqsk" hidden="1">#REF!</definedName>
    <definedName name="_epqzazkd" hidden="1">#REF!</definedName>
    <definedName name="_eqed" hidden="1">#REF!</definedName>
    <definedName name="_erfeil" hidden="1">#REF!</definedName>
    <definedName name="_erffe" hidden="1">#REF!</definedName>
    <definedName name="_eridl" hidden="1">#REF!</definedName>
    <definedName name="_erie" hidden="1">#REF!</definedName>
    <definedName name="_eriflffl" hidden="1">#REF!</definedName>
    <definedName name="_erilff" hidden="1">#REF!</definedName>
    <definedName name="_erill" hidden="1">#REF!</definedName>
    <definedName name="_erilseil" hidden="1">#REF!</definedName>
    <definedName name="_eriwl" hidden="1">#REF!</definedName>
    <definedName name="_ernill" hidden="1">#REF!</definedName>
    <definedName name="_errza" hidden="1">#REF!</definedName>
    <definedName name="_ervil" hidden="1">#REF!</definedName>
    <definedName name="_erwaaz" hidden="1">#REF!</definedName>
    <definedName name="_etkill" hidden="1">#REF!</definedName>
    <definedName name="_eudifil" hidden="1">#REF!</definedName>
    <definedName name="_eweilld" hidden="1">#REF!</definedName>
    <definedName name="_eweirfl" hidden="1">#REF!</definedName>
    <definedName name="_ewivio" hidden="1">#REF!</definedName>
    <definedName name="_eww09r0" hidden="1">#REF!</definedName>
    <definedName name="_faeil" hidden="1">#REF!</definedName>
    <definedName name="_faeill" hidden="1">#REF!</definedName>
    <definedName name="_faeqil" hidden="1">#REF!</definedName>
    <definedName name="_faiel" hidden="1">#REF!</definedName>
    <definedName name="_faielfiefli" hidden="1">#REF!</definedName>
    <definedName name="_fail" hidden="1">#REF!</definedName>
    <definedName name="_fail2" hidden="1">#REF!</definedName>
    <definedName name="_failed" hidden="1">#REF!</definedName>
    <definedName name="_failee3" hidden="1">#REF!</definedName>
    <definedName name="_faill" hidden="1">#REF!</definedName>
    <definedName name="_fall" hidden="1">#REF!</definedName>
    <definedName name="_fbill" hidden="1">#REF!</definedName>
    <definedName name="_fcill" hidden="1">#REF!</definedName>
    <definedName name="_fdafail" hidden="1">#REF!</definedName>
    <definedName name="_fdffe" hidden="1">#REF!</definedName>
    <definedName name="_fdfil" hidden="1">#REF!</definedName>
    <definedName name="_fdgil" hidden="1">#REF!</definedName>
    <definedName name="_fdiaielfl" hidden="1">#REF!</definedName>
    <definedName name="_fdidfivli" hidden="1">#REF!</definedName>
    <definedName name="_fdifdll" hidden="1">#REF!</definedName>
    <definedName name="_fdill" hidden="1">#REF!</definedName>
    <definedName name="_fdk" hidden="1">#REF!</definedName>
    <definedName name="_fe03l" hidden="1">#REF!</definedName>
    <definedName name="_feaail" hidden="1">#REF!</definedName>
    <definedName name="_feaill" hidden="1">#REF!</definedName>
    <definedName name="_fedeil" hidden="1">#REF!</definedName>
    <definedName name="_fediil" hidden="1">#REF!</definedName>
    <definedName name="_fee93l" hidden="1">#REF!</definedName>
    <definedName name="_feekfkl" hidden="1">#REF!</definedName>
    <definedName name="_feeri" hidden="1">#REF!</definedName>
    <definedName name="_feerirl" hidden="1">#REF!</definedName>
    <definedName name="_fefdwil" hidden="1">#REF!</definedName>
    <definedName name="_fefe" hidden="1">#REF!</definedName>
    <definedName name="_fefeill" hidden="1">#REF!</definedName>
    <definedName name="_fefek" hidden="1">#REF!</definedName>
    <definedName name="_fefiiss" hidden="1">#REF!</definedName>
    <definedName name="_fefil2" hidden="1">#REF!</definedName>
    <definedName name="_fefiwll" hidden="1">#REF!</definedName>
    <definedName name="_fefiwo2" hidden="1">#REF!</definedName>
    <definedName name="_fefkdgil" hidden="1">#REF!</definedName>
    <definedName name="_fei2" hidden="1">#REF!</definedName>
    <definedName name="_fei2sl" hidden="1">#REF!</definedName>
    <definedName name="_feifez" hidden="1">#REF!</definedName>
    <definedName name="_feifl" hidden="1">#REF!</definedName>
    <definedName name="_feifle2" hidden="1">#REF!</definedName>
    <definedName name="_feiiidf" hidden="1">#REF!</definedName>
    <definedName name="_feiiql" hidden="1">#REF!</definedName>
    <definedName name="_feiiweil" hidden="1">#REF!</definedName>
    <definedName name="_feil" hidden="1">#REF!</definedName>
    <definedName name="_feil2" hidden="1">#REF!</definedName>
    <definedName name="_feil3" hidden="1">#REF!</definedName>
    <definedName name="_feil33" hidden="1">#REF!</definedName>
    <definedName name="_feild" hidden="1">#REF!</definedName>
    <definedName name="_feildz" hidden="1">#REF!</definedName>
    <definedName name="_feilf" hidden="1">#REF!</definedName>
    <definedName name="_feilff" hidden="1">#REF!</definedName>
    <definedName name="_feilfz" hidden="1">#REF!</definedName>
    <definedName name="_feilli2" hidden="1">#REF!</definedName>
    <definedName name="_feillw" hidden="1">#REF!</definedName>
    <definedName name="_feilsaz" hidden="1">#REF!</definedName>
    <definedName name="_feilsd" hidden="1">#REF!</definedName>
    <definedName name="_feilss2" hidden="1">#REF!</definedName>
    <definedName name="_feilsse" hidden="1">#REF!</definedName>
    <definedName name="_feilza" hidden="1">#REF!</definedName>
    <definedName name="_felle" hidden="1">#REF!</definedName>
    <definedName name="_feoifif" hidden="1">#REF!</definedName>
    <definedName name="_feoiio2z" hidden="1">#REF!</definedName>
    <definedName name="_feoijfoij" hidden="1">#REF!</definedName>
    <definedName name="_feopw" hidden="1">#REF!</definedName>
    <definedName name="_feoq2" hidden="1">#REF!</definedName>
    <definedName name="_feoqi2z" hidden="1">#REF!</definedName>
    <definedName name="_fereils" hidden="1">#REF!</definedName>
    <definedName name="_ferereril" hidden="1">#REF!</definedName>
    <definedName name="_fesdil" hidden="1">#REF!</definedName>
    <definedName name="_feseils" hidden="1">#REF!</definedName>
    <definedName name="_fesil" hidden="1">#REF!</definedName>
    <definedName name="_ffddl" hidden="1">#REF!</definedName>
    <definedName name="_ffddlz" hidden="1">#REF!</definedName>
    <definedName name="_ffeeiil2" hidden="1">#REF!</definedName>
    <definedName name="_ffefil3" hidden="1">#REF!</definedName>
    <definedName name="_ffeiile" hidden="1">#REF!</definedName>
    <definedName name="_ffeil" hidden="1">#REF!</definedName>
    <definedName name="_ffeil2" hidden="1">#REF!</definedName>
    <definedName name="_ffeilol" hidden="1">#REF!</definedName>
    <definedName name="_ffeilssl" hidden="1">#REF!</definedName>
    <definedName name="_ffeilz" hidden="1">#REF!</definedName>
    <definedName name="_ffeipe" hidden="1">#REF!</definedName>
    <definedName name="_ffiill" hidden="1">#REF!</definedName>
    <definedName name="_ffiilz" hidden="1">#REF!</definedName>
    <definedName name="_ffilez" hidden="1">#REF!</definedName>
    <definedName name="_ffill" hidden="1">#REF!</definedName>
    <definedName name="_ffkefe" hidden="1">#REF!</definedName>
    <definedName name="_fgegeil" hidden="1">#REF!</definedName>
    <definedName name="_ficil2" hidden="1">#REF!</definedName>
    <definedName name="_ficil2z" hidden="1">#REF!</definedName>
    <definedName name="_fidoifdoi" hidden="1">#REF!</definedName>
    <definedName name="_fieeli" hidden="1">#REF!</definedName>
    <definedName name="_fiefie" hidden="1">#REF!</definedName>
    <definedName name="_fiefiel" hidden="1">#REF!</definedName>
    <definedName name="_fiefieli3" hidden="1">#REF!</definedName>
    <definedName name="_fiefieofo3" hidden="1">#REF!</definedName>
    <definedName name="_fiefiol" hidden="1">#REF!</definedName>
    <definedName name="_fiefl3" hidden="1">#REF!</definedName>
    <definedName name="_fieflefi" hidden="1">#REF!</definedName>
    <definedName name="_fieflilsz" hidden="1">#REF!</definedName>
    <definedName name="_fieflwsz" hidden="1">#REF!</definedName>
    <definedName name="_fiefoeieil" hidden="1">#REF!</definedName>
    <definedName name="_fiefoieoi" hidden="1">#REF!</definedName>
    <definedName name="_fiei" hidden="1">#REF!</definedName>
    <definedName name="_fieige" hidden="1">#REF!</definedName>
    <definedName name="_fieiogjmml" hidden="1">#REF!</definedName>
    <definedName name="_fiel" hidden="1">#REF!</definedName>
    <definedName name="_fielef2" hidden="1">#REF!</definedName>
    <definedName name="_fielfci" hidden="1">#REF!</definedName>
    <definedName name="_fielfld" hidden="1">#REF!</definedName>
    <definedName name="_fielifli" hidden="1">#REF!</definedName>
    <definedName name="_fielifwle2" hidden="1">#REF!</definedName>
    <definedName name="_fiell" hidden="1">#REF!</definedName>
    <definedName name="_fiellz" hidden="1">#REF!</definedName>
    <definedName name="_fieoss" hidden="1">#REF!</definedName>
    <definedName name="_fieoz" hidden="1">#REF!</definedName>
    <definedName name="_fiieiove" hidden="1">#REF!</definedName>
    <definedName name="_fiioeo3" hidden="1">#REF!</definedName>
    <definedName name="_Fil" hidden="1">#REF!</definedName>
    <definedName name="_fil2" hidden="1">#REF!</definedName>
    <definedName name="_fil3" hidden="1">#REF!</definedName>
    <definedName name="_file2" hidden="1">#REF!</definedName>
    <definedName name="_filell2" hidden="1">#REF!</definedName>
    <definedName name="_filezz" hidden="1">#REF!</definedName>
    <definedName name="_Fill" hidden="1">#REF!</definedName>
    <definedName name="_fill1" hidden="1">#REF!</definedName>
    <definedName name="_fill2" hidden="1">#REF!</definedName>
    <definedName name="_Fill23" hidden="1">#REF!</definedName>
    <definedName name="_fill3" hidden="1">#REF!</definedName>
    <definedName name="_fille" hidden="1">#REF!</definedName>
    <definedName name="_fills" hidden="1">#REF!</definedName>
    <definedName name="_filoodez" hidden="1">#REF!</definedName>
    <definedName name="_xlnm._FilterDatabase" localSheetId="7" hidden="1">'(건설공사)공통일위대가표'!$A$2:$O$4037</definedName>
    <definedName name="_xlnm._FilterDatabase" localSheetId="9" hidden="1">'(건설공사)기계경비'!$A$3:$IV$3</definedName>
    <definedName name="_xlnm._FilterDatabase" localSheetId="11" hidden="1">'(건설공사)자재단가조사서'!$A$2:$P$156</definedName>
    <definedName name="_xlnm._FilterDatabase" localSheetId="10" hidden="1">'(건설공사)토공'!#REF!</definedName>
    <definedName name="_xlnm._FilterDatabase" localSheetId="2" hidden="1">내역서!$B$2:$O$53</definedName>
    <definedName name="_xlnm._FilterDatabase" localSheetId="3" hidden="1">일위대가!$C$3:$U$578</definedName>
    <definedName name="_xlnm._FilterDatabase" localSheetId="15" hidden="1">토공!#REF!</definedName>
    <definedName name="_xlnm._FilterDatabase" hidden="1">#REF!</definedName>
    <definedName name="_fiooe" hidden="1">#REF!</definedName>
    <definedName name="_fiqoek" hidden="1">#REF!</definedName>
    <definedName name="_fiqpziem" hidden="1">#REF!</definedName>
    <definedName name="_fjnfqip" hidden="1">#REF!</definedName>
    <definedName name="_fjowo" hidden="1">#REF!</definedName>
    <definedName name="_fkdfie3" hidden="1">#REF!</definedName>
    <definedName name="_fkefie" hidden="1">#REF!</definedName>
    <definedName name="_fkefilel" hidden="1">#REF!</definedName>
    <definedName name="_fkeifeil" hidden="1">#REF!</definedName>
    <definedName name="_fkekfe" hidden="1">#REF!</definedName>
    <definedName name="_fkldfifewo" hidden="1">#REF!</definedName>
    <definedName name="_fkvviil" hidden="1">#REF!</definedName>
    <definedName name="_fldflei" hidden="1">#REF!</definedName>
    <definedName name="_flelflei" hidden="1">#REF!</definedName>
    <definedName name="_flfilf" hidden="1">#REF!</definedName>
    <definedName name="_fll2" hidden="1">#REF!</definedName>
    <definedName name="_flle2i" hidden="1">#REF!</definedName>
    <definedName name="_floooccz" hidden="1">#REF!</definedName>
    <definedName name="_fmikill" hidden="1">#REF!</definedName>
    <definedName name="_fneflkef" hidden="1">#REF!</definedName>
    <definedName name="_foewoifoi" hidden="1">#REF!</definedName>
    <definedName name="_foieoeil" hidden="1">#REF!</definedName>
    <definedName name="_fpeepdck" hidden="1">#REF!</definedName>
    <definedName name="_fpefpeif" hidden="1">#REF!</definedName>
    <definedName name="_fpfpil" hidden="1">#REF!</definedName>
    <definedName name="_fpief" hidden="1">#REF!</definedName>
    <definedName name="_fqeoedl" hidden="1">#REF!</definedName>
    <definedName name="_fqiel22" hidden="1">#REF!</definedName>
    <definedName name="_freri" hidden="1">#REF!</definedName>
    <definedName name="_fsreit" hidden="1">#REF!</definedName>
    <definedName name="_ftilg" hidden="1">#REF!</definedName>
    <definedName name="_fv990" hidden="1">#REF!</definedName>
    <definedName name="_fw90rw0e" hidden="1">#REF!</definedName>
    <definedName name="_fweisz" hidden="1">#REF!</definedName>
    <definedName name="_fwleil" hidden="1">#REF!</definedName>
    <definedName name="_fwlle2" hidden="1">#REF!</definedName>
    <definedName name="_fwoefoif" hidden="1">#REF!</definedName>
    <definedName name="_fzieoif" hidden="1">#REF!</definedName>
    <definedName name="_g2llil" hidden="1">#REF!</definedName>
    <definedName name="_gaile" hidden="1">#REF!</definedName>
    <definedName name="_geiaadl" hidden="1">#REF!</definedName>
    <definedName name="_geiggii" hidden="1">#REF!</definedName>
    <definedName name="_geiila" hidden="1">#REF!</definedName>
    <definedName name="_geild" hidden="1">#REF!</definedName>
    <definedName name="_geildz" hidden="1">#REF!</definedName>
    <definedName name="_geili" hidden="1">#REF!</definedName>
    <definedName name="_geill" hidden="1">#REF!</definedName>
    <definedName name="_geillz" hidden="1">#REF!</definedName>
    <definedName name="_geillz2" hidden="1">#REF!</definedName>
    <definedName name="_geilzed" hidden="1">#REF!</definedName>
    <definedName name="_gerril" hidden="1">#REF!</definedName>
    <definedName name="_gfhoioi" hidden="1">#REF!</definedName>
    <definedName name="_ggaile" hidden="1">#REF!</definedName>
    <definedName name="_ghihil" hidden="1">#REF!</definedName>
    <definedName name="_gielzld" hidden="1">#REF!</definedName>
    <definedName name="_gierlaz" hidden="1">#REF!</definedName>
    <definedName name="_giigie" hidden="1">#REF!</definedName>
    <definedName name="_giillez" hidden="1">#REF!</definedName>
    <definedName name="_gill" hidden="1">#REF!</definedName>
    <definedName name="_gkjqi" hidden="1">#REF!</definedName>
    <definedName name="_gnandifi" hidden="1">#REF!</definedName>
    <definedName name="_gqill" hidden="1">#REF!</definedName>
    <definedName name="_hhill" hidden="1">#REF!</definedName>
    <definedName name="_hierl" hidden="1">#REF!</definedName>
    <definedName name="_hill" hidden="1">#REF!</definedName>
    <definedName name="_hollister" hidden="1">#REF!</definedName>
    <definedName name="_iceberg" hidden="1">#REF!</definedName>
    <definedName name="_iiieepp" hidden="1">#REF!</definedName>
    <definedName name="_iiildni" hidden="1">#REF!</definedName>
    <definedName name="_iiilel" hidden="1">#REF!</definedName>
    <definedName name="_iill" hidden="1">#REF!</definedName>
    <definedName name="_ikiidl" hidden="1">#REF!</definedName>
    <definedName name="_ilikilk" hidden="1">#REF!</definedName>
    <definedName name="_iofwwoi" hidden="1">#REF!</definedName>
    <definedName name="_ioioioo" hidden="1">#REF!</definedName>
    <definedName name="_ioiwey" hidden="1">#REF!</definedName>
    <definedName name="_ippipq" hidden="1">#REF!</definedName>
    <definedName name="_ixxidil" hidden="1">#REF!</definedName>
    <definedName name="_jill" hidden="1">#REF!</definedName>
    <definedName name="_kdfdsd" hidden="1">#REF!</definedName>
    <definedName name="_kdfflfe" hidden="1">#REF!</definedName>
    <definedName name="_kdfleof" hidden="1">#REF!</definedName>
    <definedName name="_kdfloi3" hidden="1">#REF!</definedName>
    <definedName name="_keeril" hidden="1">#REF!</definedName>
    <definedName name="_keoiewo" hidden="1">#REF!</definedName>
    <definedName name="_key01" hidden="1">#REF!</definedName>
    <definedName name="_key02" hidden="1">#REF!</definedName>
    <definedName name="_Key1" hidden="1">#REF!</definedName>
    <definedName name="_key10" hidden="1">#REF!</definedName>
    <definedName name="_Key2" hidden="1">#REF!</definedName>
    <definedName name="_key21" hidden="1">[3]조명시설!#REF!</definedName>
    <definedName name="_Key3" hidden="1">#REF!</definedName>
    <definedName name="_kfkf" hidden="1">#N/A</definedName>
    <definedName name="_kill" hidden="1">#REF!</definedName>
    <definedName name="_kkiil" hidden="1">#REF!</definedName>
    <definedName name="_kkillli" hidden="1">#REF!</definedName>
    <definedName name="_levis" hidden="1">#REF!</definedName>
    <definedName name="_lielsz" hidden="1">#REF!</definedName>
    <definedName name="_lill" hidden="1">#REF!</definedName>
    <definedName name="_MatInverse_In" hidden="1">#REF!</definedName>
    <definedName name="_MatMult_A" hidden="1">#REF!</definedName>
    <definedName name="_MatMult_AxB" hidden="1">#REF!</definedName>
    <definedName name="_MatMult_B" hidden="1">#REF!</definedName>
    <definedName name="_mdidkl" hidden="1">#REF!</definedName>
    <definedName name="_mdiidld" hidden="1">#REF!</definedName>
    <definedName name="_mdill" hidden="1">#REF!</definedName>
    <definedName name="_mewowo" hidden="1">#REF!</definedName>
    <definedName name="_mfill" hidden="1">#REF!</definedName>
    <definedName name="_mgfill" hidden="1">#REF!</definedName>
    <definedName name="_mielel" hidden="1">#REF!</definedName>
    <definedName name="_miilelld" hidden="1">#REF!</definedName>
    <definedName name="_mill" hidden="1">#REF!</definedName>
    <definedName name="_mqdidl" hidden="1">#REF!</definedName>
    <definedName name="_naeil" hidden="1">#REF!</definedName>
    <definedName name="_naiel" hidden="1">#REF!</definedName>
    <definedName name="_naill" hidden="1">#REF!</definedName>
    <definedName name="_ncikl" hidden="1">#REF!</definedName>
    <definedName name="_ndiel" hidden="1">#REF!</definedName>
    <definedName name="_ndill" hidden="1">#REF!</definedName>
    <definedName name="_ngsndi" hidden="1">#REF!</definedName>
    <definedName name="_nilei" hidden="1">#REF!</definedName>
    <definedName name="_nilief" hidden="1">#REF!</definedName>
    <definedName name="_nill" hidden="1">#REF!</definedName>
    <definedName name="_nsill" hidden="1">#REF!</definedName>
    <definedName name="_nsoidi" hidden="1">#REF!</definedName>
    <definedName name="_oill" hidden="1">#REF!</definedName>
    <definedName name="_oillu" hidden="1">#REF!</definedName>
    <definedName name="_Order1" hidden="1">255</definedName>
    <definedName name="_Order2" hidden="1">255</definedName>
    <definedName name="_P3" hidden="1">{#N/A,#N/A,FALSE,"배수1"}</definedName>
    <definedName name="_P4" hidden="1">{#N/A,#N/A,FALSE,"혼합골재"}</definedName>
    <definedName name="_P5" hidden="1">{#N/A,#N/A,FALSE,"배수1"}</definedName>
    <definedName name="_P6" hidden="1">{#N/A,#N/A,FALSE,"2~8번"}</definedName>
    <definedName name="_paeil" hidden="1">#REF!</definedName>
    <definedName name="_paeilax" hidden="1">#REF!</definedName>
    <definedName name="_paielo" hidden="1">#REF!</definedName>
    <definedName name="_paiill" hidden="1">#REF!</definedName>
    <definedName name="_paile" hidden="1">#REF!</definedName>
    <definedName name="_pailez" hidden="1">#REF!</definedName>
    <definedName name="_paill" hidden="1">#REF!</definedName>
    <definedName name="_Parse_In" hidden="1">#REF!</definedName>
    <definedName name="_Parse_Out" hidden="1">[7]갑지!#REF!</definedName>
    <definedName name="_pedill" hidden="1">#REF!</definedName>
    <definedName name="_peeil" hidden="1">#REF!</definedName>
    <definedName name="_pefpepf" hidden="1">#REF!</definedName>
    <definedName name="_pegrill" hidden="1">#REF!</definedName>
    <definedName name="_peill" hidden="1">#REF!</definedName>
    <definedName name="_peiopz" hidden="1">#REF!</definedName>
    <definedName name="_peip" hidden="1">#REF!</definedName>
    <definedName name="_peoioep" hidden="1">#REF!</definedName>
    <definedName name="_pepck" hidden="1">#REF!</definedName>
    <definedName name="_pepck2z" hidden="1">#REF!</definedName>
    <definedName name="_pepckg" hidden="1">#REF!</definedName>
    <definedName name="_pepeoiio" hidden="1">#REF!</definedName>
    <definedName name="_perig" hidden="1">#REF!</definedName>
    <definedName name="_perriw" hidden="1">#REF!</definedName>
    <definedName name="_pew2l" hidden="1">#REF!</definedName>
    <definedName name="_pfil" hidden="1">#REF!</definedName>
    <definedName name="_pfillzez" hidden="1">#REF!</definedName>
    <definedName name="_phkdie" hidden="1">#REF!</definedName>
    <definedName name="_piagli" hidden="1">#REF!</definedName>
    <definedName name="_pie2" hidden="1">#REF!</definedName>
    <definedName name="_piepg" hidden="1">#REF!</definedName>
    <definedName name="_piewoeih" hidden="1">#REF!</definedName>
    <definedName name="_pill" hidden="1">#REF!</definedName>
    <definedName name="_pill22" hidden="1">#REF!</definedName>
    <definedName name="_pillz" hidden="1">#REF!</definedName>
    <definedName name="_pioea" hidden="1">#REF!</definedName>
    <definedName name="_piwoeill" hidden="1">#REF!</definedName>
    <definedName name="_pjkls" hidden="1">#REF!</definedName>
    <definedName name="_poeisz" hidden="1">#REF!</definedName>
    <definedName name="_poiee" hidden="1">#REF!</definedName>
    <definedName name="_poieez" hidden="1">#REF!</definedName>
    <definedName name="_poieeza" hidden="1">#REF!</definedName>
    <definedName name="_poieezd" hidden="1">#REF!</definedName>
    <definedName name="_poieow" hidden="1">#REF!</definedName>
    <definedName name="_poill" hidden="1">#REF!</definedName>
    <definedName name="_poizei" hidden="1">#REF!</definedName>
    <definedName name="_poqieilz" hidden="1">#REF!</definedName>
    <definedName name="_ppill" hidden="1">#REF!</definedName>
    <definedName name="_pppeidi" hidden="1">#REF!</definedName>
    <definedName name="_ppqei" hidden="1">#REF!</definedName>
    <definedName name="_pqeiod" hidden="1">#REF!</definedName>
    <definedName name="_pqkslx" hidden="1">#REF!</definedName>
    <definedName name="_prada" hidden="1">#REF!</definedName>
    <definedName name="_psiddil" hidden="1">#REF!</definedName>
    <definedName name="_psill" hidden="1">#REF!</definedName>
    <definedName name="_qadif" hidden="1">#REF!</definedName>
    <definedName name="_qdazil" hidden="1">#REF!</definedName>
    <definedName name="_qeewii" hidden="1">#REF!</definedName>
    <definedName name="_qfjfjfep" hidden="1">#REF!</definedName>
    <definedName name="_qieox" hidden="1">#REF!</definedName>
    <definedName name="_qill" hidden="1">#REF!</definedName>
    <definedName name="_qixln" hidden="1">#REF!</definedName>
    <definedName name="_qkiidl" hidden="1">#REF!</definedName>
    <definedName name="_qkzkl" hidden="1">#REF!</definedName>
    <definedName name="_qlzidle" hidden="1">#REF!</definedName>
    <definedName name="_qpdieez" hidden="1">#REF!</definedName>
    <definedName name="_qpei" hidden="1">#REF!</definedName>
    <definedName name="_qpeozkd" hidden="1">#REF!</definedName>
    <definedName name="_qpfife" hidden="1">#REF!</definedName>
    <definedName name="_qpsm" hidden="1">#REF!</definedName>
    <definedName name="_qpxoe" hidden="1">#REF!</definedName>
    <definedName name="_qqeils" hidden="1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eirelfel" hidden="1">#REF!</definedName>
    <definedName name="_reiril" hidden="1">#REF!</definedName>
    <definedName name="_riel" hidden="1">#REF!</definedName>
    <definedName name="_rill" hidden="1">#REF!</definedName>
    <definedName name="_riririel" hidden="1">#REF!</definedName>
    <definedName name="_S3" hidden="1">{#N/A,#N/A,FALSE,"포장2"}</definedName>
    <definedName name="_seiell2" hidden="1">#REF!</definedName>
    <definedName name="_sfile" hidden="1">#REF!</definedName>
    <definedName name="_sieieildl" hidden="1">#REF!</definedName>
    <definedName name="_sieisl" hidden="1">#REF!</definedName>
    <definedName name="_sill" hidden="1">#REF!</definedName>
    <definedName name="_sill2" hidden="1">#REF!</definedName>
    <definedName name="_sldilw" hidden="1">#REF!</definedName>
    <definedName name="_soiwill" hidden="1">#REF!</definedName>
    <definedName name="_Sort" hidden="1">#REF!</definedName>
    <definedName name="_SORT1" hidden="1">#REF!</definedName>
    <definedName name="_Sort2" hidden="1">#REF!</definedName>
    <definedName name="_Sortt" hidden="1">#REF!</definedName>
    <definedName name="_ssoeoiif2" hidden="1">#REF!</definedName>
    <definedName name="_Table1_In1" hidden="1">#REF!</definedName>
    <definedName name="_Table1_Out" hidden="1">#REF!</definedName>
    <definedName name="_uaiellis2" hidden="1">#REF!</definedName>
    <definedName name="_uaill" hidden="1">#REF!</definedName>
    <definedName name="_udfill" hidden="1">#REF!</definedName>
    <definedName name="_udifildlif" hidden="1">#REF!</definedName>
    <definedName name="_udill" hidden="1">#REF!</definedName>
    <definedName name="_ueiic" hidden="1">#REF!</definedName>
    <definedName name="_uiel" hidden="1">#REF!</definedName>
    <definedName name="_uil3" hidden="1">#REF!</definedName>
    <definedName name="_uilel" hidden="1">#REF!</definedName>
    <definedName name="_uill" hidden="1">#REF!</definedName>
    <definedName name="_usieilldi" hidden="1">#REF!</definedName>
    <definedName name="_usill" hidden="1">#REF!</definedName>
    <definedName name="_uuill" hidden="1">#REF!</definedName>
    <definedName name="_uweil" hidden="1">#REF!</definedName>
    <definedName name="_vaidlif" hidden="1">#REF!</definedName>
    <definedName name="_vaiilld" hidden="1">#REF!</definedName>
    <definedName name="_vaill" hidden="1">#REF!</definedName>
    <definedName name="_vcvfddfl" hidden="1">#REF!</definedName>
    <definedName name="_veail" hidden="1">#REF!</definedName>
    <definedName name="_veil" hidden="1">#REF!</definedName>
    <definedName name="_vfdifdl" hidden="1">#REF!</definedName>
    <definedName name="_vfdill" hidden="1">#REF!</definedName>
    <definedName name="_vfdilla" hidden="1">#REF!</definedName>
    <definedName name="_vfdillz" hidden="1">#REF!</definedName>
    <definedName name="_vholi" hidden="1">#REF!</definedName>
    <definedName name="_vidoifio" hidden="1">#REF!</definedName>
    <definedName name="_vieldc" hidden="1">#REF!</definedName>
    <definedName name="_vielsl" hidden="1">#REF!</definedName>
    <definedName name="_viileled" hidden="1">#REF!</definedName>
    <definedName name="_vill" hidden="1">#REF!</definedName>
    <definedName name="_vorefoieoo" hidden="1">#REF!</definedName>
    <definedName name="_vvill" hidden="1">#REF!</definedName>
    <definedName name="_w1" hidden="1">#REF!</definedName>
    <definedName name="_wawaoq" hidden="1">#REF!</definedName>
    <definedName name="_wcidl" hidden="1">#REF!</definedName>
    <definedName name="_wdfill" hidden="1">#REF!</definedName>
    <definedName name="_wdill" hidden="1">#REF!</definedName>
    <definedName name="_weidl" hidden="1">#REF!</definedName>
    <definedName name="_weilg" hidden="1">#REF!</definedName>
    <definedName name="_weill" hidden="1">#REF!</definedName>
    <definedName name="_weiweio" hidden="1">#REF!</definedName>
    <definedName name="_widifl" hidden="1">#REF!</definedName>
    <definedName name="_wielx" hidden="1">#REF!</definedName>
    <definedName name="_wilil" hidden="1">#REF!</definedName>
    <definedName name="_will" hidden="1">#REF!</definedName>
    <definedName name="_wille" hidden="1">#REF!</definedName>
    <definedName name="_woeirool" hidden="1">#REF!</definedName>
    <definedName name="_woogi" hidden="1">#N/A</definedName>
    <definedName name="_woogi2" hidden="1">#N/A</definedName>
    <definedName name="_woogi24" hidden="1">#N/A</definedName>
    <definedName name="_woogi3" hidden="1">#N/A</definedName>
    <definedName name="_wsddd" hidden="1">#REF!</definedName>
    <definedName name="_wsill" hidden="1">#REF!</definedName>
    <definedName name="_wwowwo" hidden="1">#REF!</definedName>
    <definedName name="_wwwoz" hidden="1">#REF!</definedName>
    <definedName name="_x1" hidden="1">#REF!</definedName>
    <definedName name="_xaill" hidden="1">#REF!</definedName>
    <definedName name="_xcill" hidden="1">#REF!</definedName>
    <definedName name="_xewail" hidden="1">#REF!</definedName>
    <definedName name="_xidilal" hidden="1">#REF!</definedName>
    <definedName name="_xill" hidden="1">#REF!</definedName>
    <definedName name="_xisi" hidden="1">#REF!</definedName>
    <definedName name="_xxasidl" hidden="1">#REF!</definedName>
    <definedName name="_xxdil" hidden="1">#REF!</definedName>
    <definedName name="_xxill" hidden="1">#REF!</definedName>
    <definedName name="_xzasdl" hidden="1">#REF!</definedName>
    <definedName name="_xzsidl" hidden="1">#REF!</definedName>
    <definedName name="_yill" hidden="1">#REF!</definedName>
    <definedName name="_yyill" hidden="1">#REF!</definedName>
    <definedName name="_zaill" hidden="1">#REF!</definedName>
    <definedName name="_zassaza" hidden="1">#REF!</definedName>
    <definedName name="_zceil" hidden="1">#REF!</definedName>
    <definedName name="_zeilaw" hidden="1">#REF!</definedName>
    <definedName name="_zill" hidden="1">#REF!</definedName>
    <definedName name="_ziwi" hidden="1">#REF!</definedName>
    <definedName name="_zpj" hidden="1">#REF!</definedName>
    <definedName name="_zpmei2" hidden="1">#REF!</definedName>
    <definedName name="_zpzpzp" hidden="1">#REF!</definedName>
    <definedName name="_zzal" hidden="1">#REF!</definedName>
    <definedName name="_zzall" hidden="1">#REF!</definedName>
    <definedName name="_zzidy" hidden="1">#REF!</definedName>
    <definedName name="_zzill" hidden="1">#REF!</definedName>
    <definedName name="_zzzail" hidden="1">#REF!</definedName>
    <definedName name="_재ㅐ햐" hidden="1">#N/A</definedName>
    <definedName name="AA" hidden="1">[8]APT!$Q$48:$AT$48</definedName>
    <definedName name="AAAA" hidden="1">[9]내역서!#REF!</definedName>
    <definedName name="aaaaa" hidden="1">{#N/A,#N/A,FALSE,"조골재"}</definedName>
    <definedName name="aaaaaa" hidden="1">{#N/A,#N/A,FALSE,"속도"}</definedName>
    <definedName name="aaaaaaaaaa" hidden="1">{#N/A,#N/A,FALSE,"운반시간"}</definedName>
    <definedName name="ABS" hidden="1">{#N/A,#N/A,FALSE,"전력간선"}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"C:\My Documents\북부수도사업소\전원차단장치\전원차~1\전원차단장치 내역서 03월06일.mdb"</definedName>
    <definedName name="AD" hidden="1">[10]Sheet13!$S$50:$AV$50</definedName>
    <definedName name="ADA" hidden="1">[10]Sheet13!$S$51:$AV$51</definedName>
    <definedName name="adadadadad" hidden="1">{#N/A,#N/A,FALSE,"포장1";#N/A,#N/A,FALSE,"포장1"}</definedName>
    <definedName name="ad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g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gfh" hidden="1">#REF!</definedName>
    <definedName name="ah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JH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an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n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scount" hidden="1">1</definedName>
    <definedName name="ARD" hidden="1">#REF!</definedName>
    <definedName name="arr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SD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SF" hidden="1">{#N/A,#N/A,FALSE,"2~8번"}</definedName>
    <definedName name="ASGF" hidden="1">{#N/A,#N/A,FALSE,"2~8번"}</definedName>
    <definedName name="as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BB" hidden="1">#N/A</definedName>
    <definedName name="bbb" hidden="1">{#N/A,#N/A,FALSE,"조골재"}</definedName>
    <definedName name="bms" hidden="1">#REF!</definedName>
    <definedName name="bnn" hidden="1">{#N/A,#N/A,FALSE,"조골재"}</definedName>
    <definedName name="BSB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can" hidden="1">{#N/A,#N/A,FALSE,"명세표"}</definedName>
    <definedName name="CC" hidden="1">#N/A</definedName>
    <definedName name="CCC" hidden="1">[8]APT!$L$61:$L$130</definedName>
    <definedName name="CCCC" hidden="1">[8]부하!$O$131:$O$201</definedName>
    <definedName name="CCTV" hidden="1">{#N/A,#N/A,FALSE,"전력간선"}</definedName>
    <definedName name="cntksdtj" hidden="1">{#N/A,#N/A,FALSE,"견적갑지";#N/A,#N/A,FALSE,"총괄표";#N/A,#N/A,FALSE,"철골공사";#N/A,#N/A,FALSE,"토목공사";#N/A,#N/A,FALSE,"판넬전기공사"}</definedName>
    <definedName name="_xlnm.Consolidate_Area" hidden="1">#REF!</definedName>
    <definedName name="cx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adadadadada" hidden="1">{#N/A,#N/A,FALSE,"포장2"}</definedName>
    <definedName name="dataww" hidden="1">#N/A</definedName>
    <definedName name="ddddd" hidden="1">#REF!</definedName>
    <definedName name="DD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ASFD" hidden="1">{#N/A,#N/A,FALSE,"골재소요량";#N/A,#N/A,FALSE,"골재소요량"}</definedName>
    <definedName name="DFDASFGDASG" hidden="1">{#N/A,#N/A,FALSE,"단가표지"}</definedName>
    <definedName name="DFDF" hidden="1">{#N/A,#N/A,FALSE,"조골재"}</definedName>
    <definedName name="dfdfdf" hidden="1">{#N/A,#N/A,FALSE,"조골재"}</definedName>
    <definedName name="DFDSADFADSF" hidden="1">{#N/A,#N/A,FALSE,"2~8번"}</definedName>
    <definedName name="DFDSAFDFD" hidden="1">{#N/A,#N/A,FALSE,"부대1"}</definedName>
    <definedName name="DFDSAFSFG" hidden="1">{#N/A,#N/A,FALSE,"구조2"}</definedName>
    <definedName name="DFDSAGFDSAG" hidden="1">{#N/A,#N/A,FALSE,"혼합골재"}</definedName>
    <definedName name="DFDSFD" hidden="1">{#N/A,#N/A,FALSE,"속도"}</definedName>
    <definedName name="DFDSFDFDFD" hidden="1">{#N/A,#N/A,FALSE,"구조1"}</definedName>
    <definedName name="DFDSFDS" hidden="1">{#N/A,#N/A,FALSE,"부대2"}</definedName>
    <definedName name="DFDSSF" hidden="1">{#N/A,#N/A,FALSE,"이정표"}</definedName>
    <definedName name="dfff" hidden="1">#REF!</definedName>
    <definedName name="d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ADSGAFDG" hidden="1">{#N/A,#N/A,FALSE,"운반시간"}</definedName>
    <definedName name="dfgg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gh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GDFGFGDG" hidden="1">{#N/A,#N/A,FALSE,"배수1"}</definedName>
    <definedName name="dgfgf" hidden="1">{#N/A,#N/A,FALSE,"2~8번"}</definedName>
    <definedName name="DGH" hidden="1">{#N/A,#N/A,FALSE,"조골재"}</definedName>
    <definedName name="DGo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ist_bin1" hidden="1">[3]조명시설!#REF!</definedName>
    <definedName name="dist_value1" hidden="1">[3]조명시설!#REF!</definedName>
    <definedName name="dj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kdkdkdkd" hidden="1">{#N/A,#N/A,FALSE,"명세표"}</definedName>
    <definedName name="dldldldll" hidden="1">[11]조명시설!#REF!</definedName>
    <definedName name="dn" hidden="1">{#N/A,#N/A,FALSE,"혼합골재"}</definedName>
    <definedName name="dns" hidden="1">{#N/A,#N/A,FALSE,"운반시간"}</definedName>
    <definedName name="dqf" hidden="1">{#N/A,#N/A,FALSE,"운반시간"}</definedName>
    <definedName name="DSA" hidden="1">{#N/A,#N/A,FALSE,"포장1";#N/A,#N/A,FALSE,"포장1"}</definedName>
    <definedName name="dsaf" hidden="1">{#N/A,#N/A,FALSE,"조골재"}</definedName>
    <definedName name="DSF" hidden="1">#N/A</definedName>
    <definedName name="DSFG" hidden="1">{#N/A,#N/A,FALSE,"2~8번"}</definedName>
    <definedName name="DSGHE" hidden="1">{#N/A,#N/A,FALSE,"단가표지"}</definedName>
    <definedName name="dtrhgnb" hidden="1">{#N/A,#N/A,FALSE,"2~8번"}</definedName>
    <definedName name="DW" hidden="1">{#N/A,#N/A,FALSE,"배수2"}</definedName>
    <definedName name="DWD" hidden="1">{#N/A,#N/A,FALSE,"전력간선"}</definedName>
    <definedName name="E" hidden="1">[8]Sheet16!$O$272:$O$341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f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qrtq" hidden="1">{#N/A,#N/A,FALSE,"부대2"}</definedName>
    <definedName name="ERYETY" hidden="1">'[12]N賃率-職'!$I$5:$I$30</definedName>
    <definedName name="EWAFADS" hidden="1">#N/A</definedName>
    <definedName name="EWFDA" hidden="1">#N/A</definedName>
    <definedName name="EWR" hidden="1">#N/A</definedName>
    <definedName name="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GDFAGFD" hidden="1">{#N/A,#N/A,FALSE,"포장1";#N/A,#N/A,FALSE,"포장1"}</definedName>
    <definedName name="fdgfdg" hidden="1">{#N/A,#N/A,FALSE,"2~8번"}</definedName>
    <definedName name="fdgfgf" hidden="1">{#N/A,#N/A,FALSE,"운반시간"}</definedName>
    <definedName name="FD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wsfssf" hidden="1">#REF!</definedName>
    <definedName name="ffeil2z" hidden="1">#REF!</definedName>
    <definedName name="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" hidden="1">{#N/A,#N/A,FALSE,"운반시간"}</definedName>
    <definedName name="ffffff" hidden="1">{#N/A,#N/A,FALSE,"조골재"}</definedName>
    <definedName name="ffff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G" hidden="1">#N/A</definedName>
    <definedName name="FGDAG" hidden="1">{#N/A,#N/A,FALSE,"포장2"}</definedName>
    <definedName name="FGDAGFG" hidden="1">{#N/A,#N/A,FALSE,"혼합골재"}</definedName>
    <definedName name="F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gfadgf" hidden="1">{#N/A,#N/A,FALSE,"혼합골재"}</definedName>
    <definedName name="FGFDG" hidden="1">{#N/A,#N/A,FALSE,"표지목차"}</definedName>
    <definedName name="fgfdgffff" hidden="1">{#N/A,#N/A,FALSE,"부대2"}</definedName>
    <definedName name="fgfdsgdfg" hidden="1">{#N/A,#N/A,FALSE,"혼합골재"}</definedName>
    <definedName name="fgfg" hidden="1">{#N/A,#N/A,FALSE,"2~8번"}</definedName>
    <definedName name="fgfgfg" hidden="1">{#N/A,#N/A,FALSE,"골재소요량";#N/A,#N/A,FALSE,"골재소요량"}</definedName>
    <definedName name="fghfdagfd" hidden="1">{#N/A,#N/A,FALSE,"표지목차"}</definedName>
    <definedName name="FH" hidden="1">#N/A</definedName>
    <definedName name="fhddg" hidden="1">{#N/A,#N/A,FALSE,"부대1"}</definedName>
    <definedName name="fhdkjf" hidden="1">{#N/A,#N/A,FALSE,"골재소요량";#N/A,#N/A,FALSE,"골재소요량"}</definedName>
    <definedName name="FHFH" hidden="1">[13]수량산출!$A$1:$A$8561</definedName>
    <definedName name="FHFK" hidden="1">[13]수량산출!#REF!</definedName>
    <definedName name="fifofl" hidden="1">#REF!</definedName>
    <definedName name="fill1" hidden="1">[3]조명시설!#REF!</definedName>
    <definedName name="fq" hidden="1">{#N/A,#N/A,TRUE,"토적및재료집계";#N/A,#N/A,TRUE,"토적및재료집계";#N/A,#N/A,TRUE,"단위량"}</definedName>
    <definedName name="FS" hidden="1">{#N/A,#N/A,FALSE,"배수1"}</definedName>
    <definedName name="FSA" hidden="1">{#N/A,#N/A,FALSE,"조골재"}</definedName>
    <definedName name="fv" hidden="1">{#N/A,#N/A,FALSE,"전력간선"}</definedName>
    <definedName name="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bc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DFG" hidden="1">{#N/A,#N/A,FALSE,"2~8번"}</definedName>
    <definedName name="GDFS" hidden="1">{#N/A,#N/A,FALSE,"2~8번"}</definedName>
    <definedName name="GDG" hidden="1">{#N/A,#N/A,FALSE,"포장2"}</definedName>
    <definedName name="GDGFD" hidden="1">{#N/A,#N/A,FALSE,"배수1"}</definedName>
    <definedName name="GEMCO" hidden="1">#REF!</definedName>
    <definedName name="GEMCO1" hidden="1">#REF!</definedName>
    <definedName name="GEW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DG" hidden="1">{#N/A,#N/A,FALSE,"2~8번"}</definedName>
    <definedName name="GFDGDFGFG" hidden="1">{#N/A,#N/A,FALSE,"혼합골재"}</definedName>
    <definedName name="GFDSAG" hidden="1">{#N/A,#N/A,FALSE,"2~8번"}</definedName>
    <definedName name="G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dfg" hidden="1">[14]차액보증!#REF!</definedName>
    <definedName name="gfgfg" hidden="1">{#N/A,#N/A,FALSE,"골재소요량";#N/A,#N/A,FALSE,"골재소요량"}</definedName>
    <definedName name="GFGFHGFHF" hidden="1">{#N/A,#N/A,FALSE,"토공2"}</definedName>
    <definedName name="gfhgh" hidden="1">{#N/A,#N/A,FALSE,"배수2"}</definedName>
    <definedName name="GFHR" hidden="1">{#N/A,#N/A,FALSE,"운반시간"}</definedName>
    <definedName name="gfjdjkyt" hidden="1">'[12]N賃率-職'!$I$5:$I$30</definedName>
    <definedName name="GFSD" hidden="1">#N/A</definedName>
    <definedName name="ggfhgfshgh" hidden="1">{#N/A,#N/A,FALSE,"포장2"}</definedName>
    <definedName name="GG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gggg" hidden="1">{#N/A,#N/A,FALSE,"구조1"}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hdsg" hidden="1">'[15]N賃率-職'!$I$5:$I$30</definedName>
    <definedName name="ghgfh" hidden="1">{#N/A,#N/A,FALSE,"포장2"}</definedName>
    <definedName name="GJHGLI" hidden="1">{#N/A,#N/A,FALSE,"포장1";#N/A,#N/A,FALSE,"포장1"}</definedName>
    <definedName name="grew" hidden="1">#REF!</definedName>
    <definedName name="gsgs" hidden="1">{#N/A,#N/A,FALSE,"구조1"}</definedName>
    <definedName name="gsgsd" hidden="1">{#N/A,#N/A,FALSE,"토공2"}</definedName>
    <definedName name="GUSTLS" hidden="1">#REF!</definedName>
    <definedName name="han" hidden="1">#REF!</definedName>
    <definedName name="hardwar" hidden="1">#REF!</definedName>
    <definedName name="HARDWAR1" hidden="1">#REF!</definedName>
    <definedName name="hardwar2" hidden="1">#REF!</definedName>
    <definedName name="HDGBG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DGF" hidden="1">{#N/A,#N/A,FALSE,"표지목차"}</definedName>
    <definedName name="hgd" hidden="1">{#N/A,#N/A,FALSE,"배수2"}</definedName>
    <definedName name="h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GFH" hidden="1">{#N/A,#N/A,FALSE,"2~8번"}</definedName>
    <definedName name="hgh" hidden="1">{#N/A,#N/A,FALSE,"단가표지"}</definedName>
    <definedName name="hghg" hidden="1">{#N/A,#N/A,FALSE,"운반시간"}</definedName>
    <definedName name="hgkjgfd" hidden="1">'[16]N賃率-職'!$I$5:$I$30</definedName>
    <definedName name="HH" hidden="1">[8]부하!$N$64:$N$131</definedName>
    <definedName name="HHADG" hidden="1">{#N/A,#N/A,FALSE,"조골재"}</definedName>
    <definedName name="HH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HHH" hidden="1">#REF!</definedName>
    <definedName name="HHR" hidden="1">{#N/A,#N/A,FALSE,"포장2"}</definedName>
    <definedName name="hkj" hidden="1">{#N/A,#N/A,FALSE,"혼합골재"}</definedName>
    <definedName name="HMHM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RH" hidden="1">{#N/A,#N/A,FALSE,"혼합골재"}</definedName>
    <definedName name="HTH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TML_CodePage" hidden="1">949</definedName>
    <definedName name="HTML_Control" hidden="1">{"'공사부문'!$A$6:$A$32"}</definedName>
    <definedName name="HTML_Description" hidden="1">""</definedName>
    <definedName name="HTML_Email" hidden="1">""</definedName>
    <definedName name="HTML_Header" hidden="1">"공사부문"</definedName>
    <definedName name="HTML_LastUpdate" hidden="1">"98-04-27"</definedName>
    <definedName name="HTML_LineAfter" hidden="1">FALSE</definedName>
    <definedName name="HTML_LineBefore" hidden="1">FALSE</definedName>
    <definedName name="HTML_Name" hidden="1">"김준곤"</definedName>
    <definedName name="HTML_OBDlg2" hidden="1">TRUE</definedName>
    <definedName name="HTML_OBDlg4" hidden="1">TRUE</definedName>
    <definedName name="HTML_OS" hidden="1">0</definedName>
    <definedName name="HTML_PathFile" hidden="1">"C:\WINNT\Profiles\Administrator\Personal\MyHTML.htm"</definedName>
    <definedName name="HTML_Title" hidden="1">"시중노임단가"</definedName>
    <definedName name="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OIOIOIO" hidden="1">{#N/A,#N/A,FALSE,"표지목차"}</definedName>
    <definedName name="IU" hidden="1">#N/A</definedName>
    <definedName name="iuu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ANG" hidden="1">#N/A</definedName>
    <definedName name="JGH" hidden="1">{#N/A,#N/A,FALSE,"골재소요량";#N/A,#N/A,FALSE,"골재소요량"}</definedName>
    <definedName name="JHGJ" hidden="1">{#N/A,#N/A,FALSE,"운반시간"}</definedName>
    <definedName name="jhjg" hidden="1">{#N/A,#N/A,FALSE,"조골재"}</definedName>
    <definedName name="jhjh" hidden="1">{#N/A,#N/A,FALSE,"표지목차"}</definedName>
    <definedName name="JJ" hidden="1">[8]부하!$N$272:$N$341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" hidden="1">#N/A</definedName>
    <definedName name="jkghjgk" hidden="1">#REF!</definedName>
    <definedName name="JKJKJKJK" hidden="1">{#N/A,#N/A,FALSE,"포장1";#N/A,#N/A,FALSE,"포장1"}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YJY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BS" hidden="1">#REF!</definedName>
    <definedName name="k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hl" hidden="1">{#N/A,#N/A,FALSE,"2~8번"}</definedName>
    <definedName name="kjg" hidden="1">{#N/A,#N/A,FALSE,"조골재"}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K" hidden="1">[8]부하!$Q$48:$AT$48</definedName>
    <definedName name="KKKKK" hidden="1">#REF!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LLKLKLK" hidden="1">{#N/A,#N/A,FALSE,"포장2"}</definedName>
    <definedName name="kpqeiwri" hidden="1">#REF!</definedName>
    <definedName name="ksk" hidden="1">#REF!</definedName>
    <definedName name="ktf" hidden="1">#N/A</definedName>
    <definedName name="kty" hidden="1">#N/A</definedName>
    <definedName name="KU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imcount" hidden="1">1</definedName>
    <definedName name="lj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 hidden="1">[8]부하!$O$202:$O$271</definedName>
    <definedName name="LLLLL" hidden="1">[8]부하!$L$61:$L$130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형측" hidden="1">{#N/A,#N/A,FALSE,"표지목차"}</definedName>
    <definedName name="M" hidden="1">[8]부하!$O$272:$O$341</definedName>
    <definedName name="MM" hidden="1">#N/A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hidden="1">[17]실행철강하도!$A$1:$A$4</definedName>
    <definedName name="nego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NOTE" hidden="1">{#N/A,#N/A,TRUE,"총괄"}</definedName>
    <definedName name="NS" hidden="1">#REF!</definedName>
    <definedName name="OI" hidden="1">#N/A</definedName>
    <definedName name="ooo" hidden="1">#REF!</definedName>
    <definedName name="OPOP" hidden="1">[18]수량산출!#REF!</definedName>
    <definedName name="OPP" hidden="1">#REF!</definedName>
    <definedName name="OPPP" hidden="1">[19]수량산출!$A$3:$H$8539</definedName>
    <definedName name="owoel" hidden="1">#REF!</definedName>
    <definedName name="piiuer" hidden="1">#REF!</definedName>
    <definedName name="pile1" hidden="1">#REF!</definedName>
    <definedName name="plc" hidden="1">#REF!</definedName>
    <definedName name="PLC내용" hidden="1">#REF!</definedName>
    <definedName name="POI" hidden="1">#REF!</definedName>
    <definedName name="_xlnm.Print_Area" localSheetId="7">'(건설공사)공통일위대가표'!$A$1:$O$4037</definedName>
    <definedName name="_xlnm.Print_Area" localSheetId="9">'(건설공사)기계경비'!$A$1:$CG$1622</definedName>
    <definedName name="_xlnm.Print_Area" localSheetId="8">'(건설공사)기계경비 집계표'!$A$1:$CF$111</definedName>
    <definedName name="_xlnm.Print_Area" localSheetId="11">'(건설공사)자재단가조사서'!$A$1:$N$156</definedName>
    <definedName name="_xlnm.Print_Area" localSheetId="10">'(건설공사)토공'!$A$1:$CI$495</definedName>
    <definedName name="_xlnm.Print_Area" localSheetId="5">굴착물량산출서!$A$1:$U$111</definedName>
    <definedName name="_xlnm.Print_Area" localSheetId="6">기계설치!$A$1:$AK$322</definedName>
    <definedName name="_xlnm.Print_Area" localSheetId="2">내역서!$B$1:$O$53</definedName>
    <definedName name="_xlnm.Print_Area" localSheetId="17">맨홀부표!$A$1:$U$70</definedName>
    <definedName name="_xlnm.Print_Area" localSheetId="1">원가계산서!$A$1:$F$36</definedName>
    <definedName name="_xlnm.Print_Area" localSheetId="3">일위대가!$C$1:$O$330</definedName>
    <definedName name="_xlnm.Print_Area" localSheetId="16">제어반부표!$A$1:$U$35</definedName>
    <definedName name="_xlnm.Print_Area" localSheetId="15">토공!$A$1:$CI$495</definedName>
    <definedName name="_xlnm.Print_Titles" localSheetId="21">등주중량표sts!$1:$1</definedName>
    <definedName name="_xlnm.Print_Titles" localSheetId="22">암중량표sts!$1:$1</definedName>
    <definedName name="psie" hidden="1">#REF!</definedName>
    <definedName name="q" hidden="1">#REF!</definedName>
    <definedName name="q00" hidden="1">{#N/A,#N/A,FALSE,"운반시간"}</definedName>
    <definedName name="Q3WEE" hidden="1">{#N/A,#N/A,FALSE,"조골재"}</definedName>
    <definedName name="qewqe" hidden="1">{#N/A,#N/A,FALSE,"배수2"}</definedName>
    <definedName name="qfwqd" hidden="1">{#N/A,#N/A,FALSE,"이정표"}</definedName>
    <definedName name="qkqh1" hidden="1">{#N/A,#N/A,FALSE,"명세표"}</definedName>
    <definedName name="qor" hidden="1">[20]실행철강하도!$A$1:$A$4</definedName>
    <definedName name="QQ" hidden="1">{#N/A,#N/A,FALSE,"2~8번"}</definedName>
    <definedName name="qusrudsodur" hidden="1">{#N/A,#N/A,FALSE,"명세표"}</definedName>
    <definedName name="qw" hidden="1">{#N/A,#N/A,FALSE,"단가표지"}</definedName>
    <definedName name="qwerqerwr" hidden="1">#REF!</definedName>
    <definedName name="qwfq" hidden="1">{#N/A,#N/A,FALSE,"속도"}</definedName>
    <definedName name="qwggg" hidden="1">{#N/A,#N/A,FALSE,"조골재"}</definedName>
    <definedName name="QWQ" hidden="1">{#N/A,#N/A,FALSE,"배수2"}</definedName>
    <definedName name="qwreq" hidden="1">#REF!</definedName>
    <definedName name="QWS" hidden="1">#REF!</definedName>
    <definedName name="REG" hidden="1">#N/A</definedName>
    <definedName name="RET" hidden="1">{#N/A,#N/A,FALSE,"조골재"}</definedName>
    <definedName name="RETYRE" hidden="1">{#N/A,#N/A,FALSE,"골재소요량";#N/A,#N/A,FALSE,"골재소요량"}</definedName>
    <definedName name="RFYIFIOYGOPIO" hidden="1">#REF!</definedName>
    <definedName name="R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R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K" hidden="1">[13]수량산출!#REF!</definedName>
    <definedName name="RRR" hidden="1">{#N/A,#N/A,FALSE,"포장2"}</definedName>
    <definedName name="rth" hidden="1">#REF!</definedName>
    <definedName name="SAD" hidden="1">{#N/A,#N/A,FALSE,"조골재"}</definedName>
    <definedName name="s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DCFG\" hidden="1">{#N/A,#N/A,FALSE,"운반시간"}</definedName>
    <definedName name="SDDFD" hidden="1">{#N/A,#N/A,FALSE,"배수1"}</definedName>
    <definedName name="sdf" hidden="1">{#N/A,#N/A,FALSE,"2~8번"}</definedName>
    <definedName name="SDFDFD" hidden="1">{#N/A,#N/A,FALSE,"운반시간"}</definedName>
    <definedName name="sdg" hidden="1">#REF!</definedName>
    <definedName name="SDGA" hidden="1">{#N/A,#N/A,FALSE,"조골재"}</definedName>
    <definedName name="SDS" hidden="1">{#N/A,#N/A,FALSE,"2~8번"}</definedName>
    <definedName name="sdsdddd" hidden="1">{#N/A,#N/A,FALSE,"토공2"}</definedName>
    <definedName name="sdwf4rge" hidden="1">{#N/A,#N/A,FALSE,"운반시간"}</definedName>
    <definedName name="SFA" hidden="1">{#N/A,#N/A,FALSE,"포장1";#N/A,#N/A,FALSE,"포장1"}</definedName>
    <definedName name="sfdgsd" hidden="1">#REF!</definedName>
    <definedName name="sfggf" hidden="1">{#N/A,#N/A,FALSE,"배수1"}</definedName>
    <definedName name="sfgsdfd" hidden="1">#REF!</definedName>
    <definedName name="SFSDFDSF" hidden="1">{#N/A,#N/A,FALSE,"운반시간"}</definedName>
    <definedName name="S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GARETER" hidden="1">#REF!</definedName>
    <definedName name="sgfsdfe" hidden="1">#REF!</definedName>
    <definedName name="skdfsk" hidden="1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ortt" hidden="1">#REF!</definedName>
    <definedName name="SS" hidden="1">{"'단계별시설공사비'!$A$3:$K$51"}</definedName>
    <definedName name="sss" hidden="1">{#N/A,#N/A,FALSE,"전력간선"}</definedName>
    <definedName name="SSSS" hidden="1">{#N/A,#N/A,FALSE,"전력간선"}</definedName>
    <definedName name="sssss" hidden="1">{#N/A,#N/A,FALSE,"운반시간"}</definedName>
    <definedName name="ssssssss" hidden="1">#REF!</definedName>
    <definedName name="SSVSS" hidden="1">#N/A</definedName>
    <definedName name="SVS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TC" hidden="1">#N/A</definedName>
    <definedName name="TELL" hidden="1">#N/A</definedName>
    <definedName name="TF" hidden="1">{#N/A,#N/A,FALSE,"운반시간"}</definedName>
    <definedName name="tk" hidden="1">{#N/A,#N/A,FALSE,"견적갑지";#N/A,#N/A,FALSE,"총괄표";#N/A,#N/A,FALSE,"철골공사";#N/A,#N/A,FALSE,"토목공사";#N/A,#N/A,FALSE,"판넬전기공사"}</definedName>
    <definedName name="tn" hidden="1">{#N/A,#N/A,FALSE,"견적갑지";#N/A,#N/A,FALSE,"총괄표";#N/A,#N/A,FALSE,"철골공사";#N/A,#N/A,FALSE,"토목공사";#N/A,#N/A,FALSE,"판넬전기공사"}</definedName>
    <definedName name="tr" hidden="1">#REF!</definedName>
    <definedName name="TTTT" hidden="1">#REF!</definedName>
    <definedName name="TUR" hidden="1">#N/A</definedName>
    <definedName name="tye" hidden="1">#REF!</definedName>
    <definedName name="TYHFDGFD" hidden="1">{#N/A,#N/A,FALSE,"배수2"}</definedName>
    <definedName name="UI" hidden="1">#N/A</definedName>
    <definedName name="UU" hidden="1">{#N/A,#N/A,FALSE,"조골재"}</definedName>
    <definedName name="UY" hidden="1">#N/A</definedName>
    <definedName name="uy89ihbn" hidden="1">{#N/A,#N/A,FALSE,"2~8번"}</definedName>
    <definedName name="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cnf" hidden="1">'[21]N賃率-職'!$I$5:$I$30</definedName>
    <definedName name="vcxvcxvc" hidden="1">{#N/A,#N/A,FALSE,"혼합골재"}</definedName>
    <definedName name="VSV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vv" hidden="1">{#N/A,#N/A,FALSE,"명세표"}</definedName>
    <definedName name="vxvxv" hidden="1">{#N/A,#N/A,FALSE,"골재소요량";#N/A,#N/A,FALSE,"골재소요량"}</definedName>
    <definedName name="WE" hidden="1">#N/A</definedName>
    <definedName name="weqe" hidden="1">{#N/A,#N/A,FALSE,"부대1"}</definedName>
    <definedName name="wer" hidden="1">{#N/A,#N/A,FALSE,"골재소요량";#N/A,#N/A,FALSE,"골재소요량"}</definedName>
    <definedName name="wer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LQ" hidden="1">{#N/A,#N/A,FALSE,"명세표"}</definedName>
    <definedName name="wm.조골재1" hidden="1">{#N/A,#N/A,FALSE,"조골재"}</definedName>
    <definedName name="woogi" hidden="1">#N/A</definedName>
    <definedName name="woogi2" hidden="1">#N/A</definedName>
    <definedName name="WQW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" hidden="1">{#N/A,#N/A,FALSE,"정산총괄 ";#N/A,#N/A,FALSE,"정산설명개착"}</definedName>
    <definedName name="wrn.111." hidden="1">{#N/A,#N/A,FALSE,"제목"}</definedName>
    <definedName name="wrn.2번." hidden="1">{#N/A,#N/A,FALSE,"2~8번"}</definedName>
    <definedName name="wrn.97년._.사업계획._.및._.예산지침." hidden="1">{#N/A,#N/A,TRUE,"1";#N/A,#N/A,TRUE,"2";#N/A,#N/A,TRUE,"3";#N/A,#N/A,TRUE,"4";#N/A,#N/A,TRUE,"5";#N/A,#N/A,TRUE,"6";#N/A,#N/A,TRUE,"7"}</definedName>
    <definedName name="wrn.FIII._.HOOK._.UP._.견적서." hidden="1">{#N/A,#N/A,TRUE,"960318-1";#N/A,#N/A,TRUE,"960318-2";#N/A,#N/A,TRUE,"960318-3"}</definedName>
    <definedName name="wrn.STURUT._.검토." hidden="1">{#N/A,#N/A,TRUE,"H-PILE";#N/A,#N/A,TRUE,"WALE";#N/A,#N/A,TRUE,"STRUT";#N/A,#N/A,TRUE,"토류판";#N/A,#N/A,TRUE,"근입장검토"}</definedName>
    <definedName name="wrn.test1." hidden="1">{#N/A,#N/A,FALSE,"명세표"}</definedName>
    <definedName name="wrn.각종보고서._.전체인쇄._.기본형." hidden="1">{#N/A,#N/A,FALSE,"원가계산서";#N/A,#N/A,FALSE,"설계내역서";#N/A,#N/A,FALSE,"일위대가목록";#N/A,#N/A,FALSE,"일위대가";#N/A,#N/A,FALSE,"산출근거목록";#N/A,#N/A,FALSE,"산출근거";#N/A,#N/A,FALSE,"노무비";#N/A,#N/A,FALSE,"재료비";#N/A,#N/A,FALSE,"경비";#N/A,#N/A,FALSE,"기타";#N/A,#N/A,FALSE,"중기목록";#N/A,#N/A,FALSE,"중기";#N/A,#N/A,FALSE,"중기산출기초"}</definedName>
    <definedName name="wrn.각종보고서._.전체인쇄._.수자원." hidden="1">{#N/A,#N/A,FALSE,"원가계산서";#N/A,#N/A,FALSE,"설계내역서";#N/A,#N/A,FALSE,"일위대가목록";#N/A,#N/A,FALSE,"일위대가변환";#N/A,#N/A,FALSE,"산출근거목록";#N/A,#N/A,FALSE,"산출근거";#N/A,#N/A,FALSE,"노무비";#N/A,#N/A,FALSE,"재료비";#N/A,#N/A,FALSE,"경비";#N/A,#N/A,FALSE,"기타";#N/A,#N/A,FALSE,"중기목록";#N/A,#N/A,FALSE,"중기변환";#N/A,#N/A,FALSE,"중기산출기초"}</definedName>
    <definedName name="wrn.각종보고서._.전체인쇄._.일반형." hidden="1">{#N/A,#N/A,FALSE,"설계내역서";#N/A,#N/A,FALSE,"원가계산서";#N/A,#N/A,FALSE,"일위대가목록";#N/A,#N/A,FALSE,"일위대가";#N/A,#N/A,FALSE,"산출근거목록";#N/A,#N/A,FALSE,"산출근거";#N/A,#N/A,FALSE,"노무비";#N/A,#N/A,FALSE,"재료비";#N/A,#N/A,FALSE,"경비";#N/A,#N/A,FALSE,"기타";#N/A,#N/A,FALSE,"중기목록";#N/A,#N/A,FALSE,"중기변환";#N/A,#N/A,FALSE,"중기산출기초"}</definedName>
    <definedName name="wrn.각종보고서._.전체인쇄._.토개공." hidden="1">{#N/A,#N/A,FALSE,"원가계산서";#N/A,#N/A,FALSE,"설계내역서";#N/A,#N/A,FALSE,"일위대가목록";#N/A,#N/A,FALSE,"일위대가";#N/A,#N/A,FALSE,"산출근거목록";#N/A,#N/A,FALSE,"산출근거변환";#N/A,#N/A,FALSE,"노무비";#N/A,#N/A,FALSE,"재료비";#N/A,#N/A,FALSE,"경비";#N/A,#N/A,FALSE,"기타";#N/A,#N/A,FALSE,"중기목록";#N/A,#N/A,FALSE,"중기변환";#N/A,#N/A,FALSE,"중기산출기초"}</definedName>
    <definedName name="wrn.각종수량집계._.전체인쇄." hidden="1">{#N/A,#N/A,FALSE,"일위대가목록";#N/A,#N/A,FALSE,"산출근거목록";#N/A,#N/A,FALSE,"노무비";#N/A,#N/A,FALSE,"재료비";#N/A,#N/A,FALSE,"경비";#N/A,#N/A,FALSE,"기타";#N/A,#N/A,FALSE,"중기목록"}</definedName>
    <definedName name="wrn.경비인쇄." hidden="1">{#N/A,#N/A,FALSE,"경비"}</definedName>
    <definedName name="wrn.골재소요량." hidden="1">{#N/A,#N/A,FALSE,"골재소요량";#N/A,#N/A,FALSE,"골재소요량"}</definedName>
    <definedName name="wrn.공사설계서." hidden="1">{#N/A,#N/A,TRUE,"설계수량";#N/A,#N/A,TRUE,"예정공정표60";#N/A,#N/A,TRUE,"공사설명서";#N/A,#N/A,TRUE,"수량총괄";#N/A,#N/A,TRUE,"공사비예산서";#N/A,#N/A,TRUE,"공사계획서";#N/A,#N/A,TRUE,"품셈총괄";#N/A,#N/A,TRUE,"설계서표지"}</definedName>
    <definedName name="wrn.교대." hidden="1">{#N/A,#N/A,FALSE,"type1";#N/A,#N/A,FALSE,"지지력";#N/A,#N/A,FALSE,"PILE계산";#N/A,#N/A,FALSE,"PILE ";#N/A,#N/A,FALSE,"철근량";#N/A,#N/A,FALSE,"균열검토";#N/A,#N/A,FALSE,"날개벽";#N/A,#N/A,FALSE,"주철근조립도";#N/A,#N/A,FALSE,"교좌"}</definedName>
    <definedName name="wrn.교대구조계산.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교육청." hidden="1">{#N/A,#N/A,FALSE,"전력간선"}</definedName>
    <definedName name="wrn.구조2." hidden="1">{#N/A,#N/A,FALSE,"구조2"}</definedName>
    <definedName name="wrn.기본." hidden="1">{#N/A,#N/A,FALSE,"강교";#N/A,#N/A,FALSE,"한전";#N/A,#N/A,FALSE,"중방";#N/A,#N/A,FALSE,"회소"}</definedName>
    <definedName name="wrn.기타인쇄." hidden="1">{#N/A,#N/A,FALSE,"기타"}</definedName>
    <definedName name="wrn.노무비인쇄." hidden="1">{#N/A,#N/A,FALSE,"노무비"}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산출근거목록인쇄." hidden="1">{#N/A,#N/A,FALSE,"산출근거목록"}</definedName>
    <definedName name="wrn.산출근거인쇄." hidden="1">{#N/A,#N/A,FALSE,"산출근거"}</definedName>
    <definedName name="wrn.산출근거인쇄._.토개공변환." hidden="1">{#N/A,#N/A,FALSE,"산출근거변환"}</definedName>
    <definedName name="wrn.설계내역서인쇄." hidden="1">{#N/A,#N/A,FALSE,"설계내역서"}</definedName>
    <definedName name="wrn.속도." hidden="1">{#N/A,#N/A,FALSE,"속도"}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신용찬." hidden="1">{#N/A,#N/A,TRUE,"토적및재료집계";#N/A,#N/A,TRUE,"토적및재료집계";#N/A,#N/A,TRUE,"단위량"}</definedName>
    <definedName name="wrn.연동제." hidden="1">{#N/A,#N/A,TRUE,"총괄"}</definedName>
    <definedName name="wrn.운반시간." hidden="1">{#N/A,#N/A,FALSE,"운반시간"}</definedName>
    <definedName name="wrn.원가계산서인쇄." hidden="1">{#N/A,#N/A,FALSE,"원가계산서"}</definedName>
    <definedName name="wrn.이정표." hidden="1">{#N/A,#N/A,FALSE,"이정표"}</definedName>
    <definedName name="wrn.이정표2." hidden="1">{#N/A,#N/A,FALSE,"이정표"}</definedName>
    <definedName name="wrn.일위대가목록인쇄." hidden="1">{#N/A,#N/A,FALSE,"일위대가목록"}</definedName>
    <definedName name="wrn.일위대가인쇄." hidden="1">{#N/A,#N/A,FALSE,"일위대가"}</definedName>
    <definedName name="wrn.일위대가인쇄._.수자원변환." hidden="1">{#N/A,#N/A,FALSE,"일위대가변환"}</definedName>
    <definedName name="wrn.재료비인쇄." hidden="1">{#N/A,#N/A,FALSE,"재료비"}</definedName>
    <definedName name="wrn.조골재." hidden="1">{#N/A,#N/A,FALSE,"조골재"}</definedName>
    <definedName name="wrn.준공조서." hidden="1">{#N/A,#N/A,FALSE,"정산총괄 ";#N/A,#N/A,FALSE,"정산설명개착"}</definedName>
    <definedName name="wrn.중공업군포견적서." hidden="1">{#N/A,#N/A,FALSE,"견적갑지";#N/A,#N/A,FALSE,"총괄표";#N/A,#N/A,FALSE,"철골공사";#N/A,#N/A,FALSE,"토목공사";#N/A,#N/A,FALSE,"판넬전기공사"}</definedName>
    <definedName name="wrn.중기목록인쇄." hidden="1">{#N/A,#N/A,FALSE,"중기목록"}</definedName>
    <definedName name="wrn.중기산출기초인쇄." hidden="1">{#N/A,#N/A,FALSE,"중기산출기초"}</definedName>
    <definedName name="wrn.중기인쇄." hidden="1">{#N/A,#N/A,FALSE,"중기"}</definedName>
    <definedName name="wrn.중기인쇄._.일반형변환." hidden="1">{#N/A,#N/A,FALSE,"중기변환"}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지." hidden="1">{#N/A,#N/A,FALSE,"표지"}</definedName>
    <definedName name="wrn.표지목차." hidden="1">{#N/A,#N/A,FALSE,"표지목차"}</definedName>
    <definedName name="wrn.현장._.NCR._.분석." hidden="1">{#N/A,#N/A,FALSE,"현장 NCR 분석";#N/A,#N/A,FALSE,"현장품질감사";#N/A,#N/A,FALSE,"현장품질감사"}</definedName>
    <definedName name="wrn.혼합골재." hidden="1">{#N/A,#N/A,FALSE,"혼합골재"}</definedName>
    <definedName name="wwwweqwe" hidden="1">{#N/A,#N/A,FALSE,"배수1"}</definedName>
    <definedName name="wwwwwww" hidden="1">{#N/A,#N/A,FALSE,"단가표지"}</definedName>
    <definedName name="X" hidden="1">{#N/A,#N/A,FALSE,"전력간선"}</definedName>
    <definedName name="xcvxcvx" hidden="1">{#N/A,#N/A,FALSE,"표지목차"}</definedName>
    <definedName name="XREF_COLUMN_1" hidden="1">[22]X!#REF!</definedName>
    <definedName name="XREF_COLUMN_3" hidden="1">[23]U!#REF!</definedName>
    <definedName name="XREF_COLUMN_6" hidden="1">[23]U!#REF!</definedName>
    <definedName name="XRefActiveRow" hidden="1">#REF!</definedName>
    <definedName name="XRefCopy1Row" hidden="1">#REF!</definedName>
    <definedName name="XRefPaste1Row" hidden="1">#REF!</definedName>
    <definedName name="xx" hidden="1">#REF!</definedName>
    <definedName name="XXXXXX" hidden="1">{"'공사부문'!$A$6:$A$32"}</definedName>
    <definedName name="YUYUY" hidden="1">{#N/A,#N/A,FALSE,"혼합골재"}</definedName>
    <definedName name="yyyy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Z_4F74ED08_7DE6_11D4_BC29_005004C1F3AD_.wvu.PrintTitles" hidden="1">#REF!</definedName>
    <definedName name="za" hidden="1">[17]실행철강하도!$A$1:$A$4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ㄱ" hidden="1">{#N/A,#N/A,FALSE,"명세표"}</definedName>
    <definedName name="ㄱㄱㄱ" hidden="1">{#N/A,#N/A,FALSE,"견적갑지";#N/A,#N/A,FALSE,"총괄표";#N/A,#N/A,FALSE,"철골공사";#N/A,#N/A,FALSE,"토목공사";#N/A,#N/A,FALSE,"판넬전기공사"}</definedName>
    <definedName name="ㄱㄷㄱㄷ" hidden="1">{#N/A,#N/A,FALSE,"2~8번"}</definedName>
    <definedName name="ㄱㄷㅂㄱㅈ" hidden="1">{#N/A,#N/A,FALSE,"2~8번"}</definedName>
    <definedName name="ㄱㄷ쇼" hidden="1">#REF!</definedName>
    <definedName name="ㄱㄷㅈ" hidden="1">#REF!</definedName>
    <definedName name="ㄱㄷㅈㅄㄷ" hidden="1">#REF!</definedName>
    <definedName name="ㄱㄷ죠" hidden="1">#REF!</definedName>
    <definedName name="ㄱ됵ㄷ" hidden="1">#REF!</definedName>
    <definedName name="ㄱ둊" hidden="1">#REF!</definedName>
    <definedName name="ㄱㅈㅎ" hidden="1">#REF!</definedName>
    <definedName name="가거라" hidden="1">{#N/A,#N/A,FALSE,"명세표"}</definedName>
    <definedName name="가도" hidden="1">#REF!</definedName>
    <definedName name="가로" hidden="1">{#N/A,#N/A,FALSE,"전력간선"}</definedName>
    <definedName name="가설방음벽" hidden="1">{#N/A,#N/A,FALSE,"골재소요량";#N/A,#N/A,FALSE,"골재소요량"}</definedName>
    <definedName name="가아" hidden="1">[24]수량산출!#REF!</definedName>
    <definedName name="간접경비" hidden="1">#REF!</definedName>
    <definedName name="감독2" hidden="1">{#N/A,#N/A,FALSE,"단가표지"}</definedName>
    <definedName name="감독3" hidden="1">{#N/A,#N/A,FALSE,"단가표지"}</definedName>
    <definedName name="갑지" hidden="1">#REF!</definedName>
    <definedName name="강아지" hidden="1">#REF!</definedName>
    <definedName name="개거" hidden="1">#REF!</definedName>
    <definedName name="거더설계" hidden="1">#REF!</definedName>
    <definedName name="거추서" hidden="1">{#N/A,#N/A,FALSE,"견적갑지";#N/A,#N/A,FALSE,"총괄표";#N/A,#N/A,FALSE,"철골공사";#N/A,#N/A,FALSE,"토목공사";#N/A,#N/A,FALSE,"판넬전기공사"}</definedName>
    <definedName name="거ㅏ" hidden="1">[25]수량산출!$A$3:$H$8539</definedName>
    <definedName name="건3" hidden="1">{#N/A,#N/A,FALSE,"견적갑지";#N/A,#N/A,FALSE,"총괄표";#N/A,#N/A,FALSE,"철골공사";#N/A,#N/A,FALSE,"토목공사";#N/A,#N/A,FALSE,"판넬전기공사"}</definedName>
    <definedName name="건444" hidden="1">{#N/A,#N/A,FALSE,"견적갑지";#N/A,#N/A,FALSE,"총괄표";#N/A,#N/A,FALSE,"철골공사";#N/A,#N/A,FALSE,"토목공사";#N/A,#N/A,FALSE,"판넬전기공사"}</definedName>
    <definedName name="건검" hidden="1">{#N/A,#N/A,FALSE,"견적갑지";#N/A,#N/A,FALSE,"총괄표";#N/A,#N/A,FALSE,"철골공사";#N/A,#N/A,FALSE,"토목공사";#N/A,#N/A,FALSE,"판넬전기공사"}</definedName>
    <definedName name="건설기계" hidden="1">{#N/A,#N/A,FALSE,"골재소요량";#N/A,#N/A,FALSE,"골재소요량"}</definedName>
    <definedName name="건추" hidden="1">{#N/A,#N/A,FALSE,"견적갑지";#N/A,#N/A,FALSE,"총괄표";#N/A,#N/A,FALSE,"철골공사";#N/A,#N/A,FALSE,"토목공사";#N/A,#N/A,FALSE,"판넬전기공사"}</definedName>
    <definedName name="건축" hidden="1">{#N/A,#N/A,TRUE,"토적및재료집계";#N/A,#N/A,TRUE,"토적및재료집계";#N/A,#N/A,TRUE,"단위량"}</definedName>
    <definedName name="건축가실" hidden="1">#REF!</definedName>
    <definedName name="건축원가" hidden="1">[26]전기!$B$4:$B$163</definedName>
    <definedName name="검토서5151" hidden="1">{#N/A,#N/A,FALSE,"견적갑지";#N/A,#N/A,FALSE,"총괄표";#N/A,#N/A,FALSE,"철골공사";#N/A,#N/A,FALSE,"토목공사";#N/A,#N/A,FALSE,"판넬전기공사"}</definedName>
    <definedName name="견적" hidden="1">'[27]내역서1999.8최종'!$A$1:$A$2438</definedName>
    <definedName name="경계블럭연장" hidden="1">[28]조명시설!#REF!</definedName>
    <definedName name="경비" hidden="1">{#N/A,#N/A,TRUE,"총괄"}</definedName>
    <definedName name="경비1" hidden="1">#REF!</definedName>
    <definedName name="계약의뢰" hidden="1">[29]프랜트면허!#REF!</definedName>
    <definedName name="계약폐기물처리비" hidden="1">{#N/A,#N/A,TRUE,"960318-1";#N/A,#N/A,TRUE,"960318-2";#N/A,#N/A,TRUE,"960318-3"}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고도고도" hidden="1">{#N/A,#N/A,FALSE,"2~8번"}</definedName>
    <definedName name="공" hidden="1">{#N/A,#N/A,TRUE,"960318-1";#N/A,#N/A,TRUE,"960318-2";#N/A,#N/A,TRUE,"960318-3"}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기1" hidden="1">[30]설계내역서!#REF!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사공" hidden="1">{#N/A,#N/A,FALSE,"명세표"}</definedName>
    <definedName name="공사요청" hidden="1">{#N/A,#N/A,TRUE,"960318-1";#N/A,#N/A,TRUE,"960318-2";#N/A,#N/A,TRUE,"960318-3"}</definedName>
    <definedName name="공사요청2" hidden="1">{#N/A,#N/A,FALSE,"제목"}</definedName>
    <definedName name="공사원가계산서" hidden="1">{#N/A,#N/A,TRUE,"토적및재료집계";#N/A,#N/A,TRUE,"토적및재료집계";#N/A,#N/A,TRUE,"단위량"}</definedName>
    <definedName name="공사준공표시석" hidden="1">{#N/A,#N/A,FALSE,"골재소요량";#N/A,#N/A,FALSE,"골재소요량"}</definedName>
    <definedName name="공제" hidden="1">[31]조명시설!#REF!</definedName>
    <definedName name="관" hidden="1">{#N/A,#N/A,FALSE,"운반시간"}</definedName>
    <definedName name="관리비" hidden="1">#REF!</definedName>
    <definedName name="교대구조계산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교대집계" hidden="1">{#N/A,#N/A,FALSE,"배수1"}</definedName>
    <definedName name="교대펄근집계" hidden="1">{#N/A,#N/A,FALSE,"배수1"}</definedName>
    <definedName name="교통" hidden="1">#N/A</definedName>
    <definedName name="구산갑지" hidden="1">#REF!</definedName>
    <definedName name="구조물공" hidden="1">{#N/A,#N/A,FALSE,"이정표"}</definedName>
    <definedName name="그림" hidden="1">{#N/A,#N/A,FALSE,"전력간선"}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계" hidden="1">{#N/A,#N/A,FALSE,"견적갑지";#N/A,#N/A,FALSE,"총괄표";#N/A,#N/A,FALSE,"철골공사";#N/A,#N/A,FALSE,"토목공사";#N/A,#N/A,FALSE,"판넬전기공사"}</definedName>
    <definedName name="기계1" hidden="1">{#N/A,#N/A,FALSE,"견적갑지";#N/A,#N/A,FALSE,"총괄표";#N/A,#N/A,FALSE,"철골공사";#N/A,#N/A,FALSE,"토목공사";#N/A,#N/A,FALSE,"판넬전기공사"}</definedName>
    <definedName name="기계2" hidden="1">{#N/A,#N/A,FALSE,"견적갑지";#N/A,#N/A,FALSE,"총괄표";#N/A,#N/A,FALSE,"철골공사";#N/A,#N/A,FALSE,"토목공사";#N/A,#N/A,FALSE,"판넬전기공사"}</definedName>
    <definedName name="기계3" hidden="1">{#N/A,#N/A,FALSE,"견적갑지";#N/A,#N/A,FALSE,"총괄표";#N/A,#N/A,FALSE,"철골공사";#N/A,#N/A,FALSE,"토목공사";#N/A,#N/A,FALSE,"판넬전기공사"}</definedName>
    <definedName name="기계4" hidden="1">{#N/A,#N/A,FALSE,"견적갑지";#N/A,#N/A,FALSE,"총괄표";#N/A,#N/A,FALSE,"철골공사";#N/A,#N/A,FALSE,"토목공사";#N/A,#N/A,FALSE,"판넬전기공사"}</definedName>
    <definedName name="기계5" hidden="1">{#N/A,#N/A,FALSE,"견적갑지";#N/A,#N/A,FALSE,"총괄표";#N/A,#N/A,FALSE,"철골공사";#N/A,#N/A,FALSE,"토목공사";#N/A,#N/A,FALSE,"판넬전기공사"}</definedName>
    <definedName name="기계집계" hidden="1">{#N/A,#N/A,FALSE,"견적갑지";#N/A,#N/A,FALSE,"총괄표";#N/A,#N/A,FALSE,"철골공사";#N/A,#N/A,FALSE,"토목공사";#N/A,#N/A,FALSE,"판넬전기공사"}</definedName>
    <definedName name="기공" hidden="1">'[32](실사조정)총괄'!#REF!</definedName>
    <definedName name="기본2" hidden="1">#REF!</definedName>
    <definedName name="기초지지력검토" hidden="1">#REF!</definedName>
    <definedName name="긴급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김" hidden="1">{#N/A,#N/A,FALSE,"명세표"}</definedName>
    <definedName name="김1" hidden="1">{"'Firr(선)'!$AS$1:$AY$62","'Firr(사)'!$AS$1:$AY$62","'Firr(회)'!$AS$1:$AY$62","'Firr(선)'!$L$1:$V$62","'Firr(사)'!$L$1:$V$62","'Firr(회)'!$L$1:$V$62"}</definedName>
    <definedName name="ㄴ" hidden="1">{#N/A,#N/A,TRUE,"960318-1";#N/A,#N/A,TRUE,"960318-2";#N/A,#N/A,TRUE,"960318-3"}</definedName>
    <definedName name="ㄴㄱㄹ" hidden="1">#REF!</definedName>
    <definedName name="ㄴㄴㄴ" hidden="1">{#N/A,#N/A,FALSE,"명세표"}</definedName>
    <definedName name="ㄴㄴㄴㄴㄴ" hidden="1">#REF!</definedName>
    <definedName name="ㄴㄴㄴㄴㄴㄴㄴㄴ" hidden="1">{#N/A,#N/A,FALSE,"배수2"}</definedName>
    <definedName name="ㄴㄴㅀㅇㅇㅀ" hidden="1">{#N/A,#N/A,FALSE,"부대1"}</definedName>
    <definedName name="ㄴㄹ" hidden="1">{#N/A,#N/A,FALSE,"2~8번"}</definedName>
    <definedName name="ㄴㄹㄴ" hidden="1">{#N/A,#N/A,FALSE,"단가표지"}</definedName>
    <definedName name="ㄴㄹㄴ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ㄴㄹㄴㄹㄴㄹ" hidden="1">#REF!</definedName>
    <definedName name="ㄴㄹㅇ" hidden="1">{#N/A,#N/A,FALSE,"포장2"}</definedName>
    <definedName name="ㄴㄻㄹㄴ" hidden="1">{#N/A,#N/A,FALSE,"명세표"}</definedName>
    <definedName name="ㄴㅁ" hidden="1">#REF!</definedName>
    <definedName name="ㄴㅁㄹㅈㄹ" hidden="1">#N/A</definedName>
    <definedName name="ㄴㅁㅇㄴㅁㅇ" hidden="1">{#N/A,#N/A,FALSE,"배수1"}</definedName>
    <definedName name="ㄴㅁㅇㅁㄴ" hidden="1">#REF!</definedName>
    <definedName name="ㄴㅅㅎㅇㅎㄹㅇ" hidden="1">{#N/A,#N/A,FALSE,"배수2"}</definedName>
    <definedName name="ㄴㅇㄹ" hidden="1">{#N/A,#N/A,FALSE,"속도"}</definedName>
    <definedName name="ㄴㅇ로ㅠㅎ" hidden="1">{#N/A,#N/A,FALSE,"구조2"}</definedName>
    <definedName name="ㄴㅇㅀ" hidden="1">{#N/A,#N/A,FALSE,"토공2"}</definedName>
    <definedName name="ㄴㅇㅎㄴㅇ" hidden="1">#REF!</definedName>
    <definedName name="ㄴ흂" hidden="1">{#N/A,#N/A,FALSE,"단가표지"}</definedName>
    <definedName name="나" hidden="1">{#N/A,#N/A,FALSE,"전력간선"}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낙차공" hidden="1">{#N/A,#N/A,FALSE,"2~8번"}</definedName>
    <definedName name="날개벽단면검토" hidden="1">#REF!</definedName>
    <definedName name="남남" hidden="1">#REF!</definedName>
    <definedName name="내역" hidden="1">#REF!</definedName>
    <definedName name="내역서1" hidden="1">[1]공문!#REF!</definedName>
    <definedName name="내역서2" hidden="1">{"'단계별시설공사비'!$A$3:$K$51"}</definedName>
    <definedName name="내역서4" hidden="1">[33]내역서!#REF!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" hidden="1">{#N/A,#N/A,TRUE,"총괄"}</definedName>
    <definedName name="노무비단가산출서" hidden="1">#REF!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트" hidden="1">{#N/A,#N/A,TRUE,"총괄"}</definedName>
    <definedName name="ㄶㄴㄷ" hidden="1">#REF!</definedName>
    <definedName name="ㄷㄱ" hidden="1">#N/A</definedName>
    <definedName name="ㄷㄱㄷ" hidden="1">{#N/A,#N/A,FALSE,"전력간선"}</definedName>
    <definedName name="ㄷㄳ" hidden="1">#N/A</definedName>
    <definedName name="ㄷㄳㅅㄷㄱ" hidden="1">{#N/A,#N/A,FALSE,"2~8번"}</definedName>
    <definedName name="ㄷㄷ" hidden="1">[10]허용전류!$M$201:$M$270</definedName>
    <definedName name="ㄷㅅ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ㅅㅈㄷ" hidden="1">#REF!</definedName>
    <definedName name="ㄷ숃ㄱ" hidden="1">#REF!</definedName>
    <definedName name="ㄷㅈㄱㄷㅈ" hidden="1">{#N/A,#N/A,FALSE,"혼합골재"}</definedName>
    <definedName name="ㄷㅈㄷ" hidden="1">{#N/A,#N/A,FALSE,"속도"}</definedName>
    <definedName name="ㄷㅈㅂㄱㅈㅂㄷㄱ" hidden="1">{#N/A,#N/A,FALSE,"골재소요량";#N/A,#N/A,FALSE,"골재소요량"}</definedName>
    <definedName name="ㄷ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ㅎㄹㅇ" hidden="1">#N/A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면력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단면특성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단면특성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대관공사비" hidden="1">{"'건축내역'!$A$1:$L$413"}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리석포장" hidden="1">{#N/A,#N/A,TRUE,"총괄"}</definedName>
    <definedName name="대상" hidden="1">{#N/A,#N/A,FALSE,"명세표"}</definedName>
    <definedName name="더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도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철" hidden="1">#REF!</definedName>
    <definedName name="도표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동양" hidden="1">#REF!</definedName>
    <definedName name="디" hidden="1">{#N/A,#N/A,FALSE,"견적갑지";#N/A,#N/A,FALSE,"총괄표";#N/A,#N/A,FALSE,"철골공사";#N/A,#N/A,FALSE,"토목공사";#N/A,#N/A,FALSE,"판넬전기공사"}</definedName>
    <definedName name="ㄹ" hidden="1">{#N/A,#N/A,FALSE,"명세표"}</definedName>
    <definedName name="ㄹㄴㄹㄴㄹ" hidden="1">#REF!</definedName>
    <definedName name="ㄹㄷ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" hidden="1">#REF!</definedName>
    <definedName name="ㄹㄹㄹ" hidden="1">{#N/A,#N/A,FALSE,"명세표"}</definedName>
    <definedName name="ㄹㄹㄹ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" hidden="1">{#N/A,#N/A,TRUE,"총괄"}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ㄶ" hidden="1">#REF!</definedName>
    <definedName name="ㄹㅇㄶ옿" hidden="1">'[34]N賃率-職'!$I$5:$I$30</definedName>
    <definedName name="ㄹㅇㄹ" hidden="1">{#N/A,#N/A,FALSE,"골재소요량";#N/A,#N/A,FALSE,"골재소요량"}</definedName>
    <definedName name="ㄹㅇㄹㄴ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ㅇㄹㅇ" hidden="1">#REF!</definedName>
    <definedName name="ㄹㅇㅁㄴㄹ" hidden="1">{#N/A,#N/A,FALSE,"혼합골재"}</definedName>
    <definedName name="ㄹㅇ퓨ㅓㅜㅏㅗㅜㅠㅅ퐇휴ㅗㅎ" hidden="1">{#N/A,#N/A,FALSE,"조골재"}</definedName>
    <definedName name="ㄹㅇㅎㄹㅇ" hidden="1">#REF!</definedName>
    <definedName name="ㄹㅇㅎㅁ" hidden="1">'[35]N賃率-職'!$I$5:$I$30</definedName>
    <definedName name="ㄹㅇㅎㅇㅀ" hidden="1">{#N/A,#N/A,FALSE,"부대2"}</definedName>
    <definedName name="ㄹㅇ홀옹ㅎㄹ" hidden="1">#REF!</definedName>
    <definedName name="ㄹ허ㅗ" hidden="1">{#N/A,#N/A,FALSE,"이정표"}</definedName>
    <definedName name="ㄹ헝ㄹ" hidden="1">#REF!</definedName>
    <definedName name="ㄹ호" hidden="1">#REF!</definedName>
    <definedName name="ㄹ홓ㄹ" hidden="1">{#N/A,#N/A,FALSE,"조골재"}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러" hidden="1">{#N/A,#N/A,FALSE,"혼합골재"}</definedName>
    <definedName name="럴럴" hidden="1">{#N/A,#N/A,FALSE,"전력간선"}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롬ㄴ" hidden="1">#REF!</definedName>
    <definedName name="ㅀ" hidden="1">{#N/A,#N/A,TRUE,"토적및재료집계";#N/A,#N/A,TRUE,"토적및재료집계";#N/A,#N/A,TRUE,"단위량"}</definedName>
    <definedName name="ㅀㅀㄴ" hidden="1">{#N/A,#N/A,FALSE,"조골재"}</definedName>
    <definedName name="ㅀㅎ" hidden="1">{#N/A,#N/A,FALSE,"2~8번"}</definedName>
    <definedName name="ㅁ" hidden="1">'[9]#REF'!#REF!</definedName>
    <definedName name="ㅁㄱㅂ" hidden="1">{#N/A,#N/A,FALSE,"단가표지"}</definedName>
    <definedName name="ㅁㄴ" hidden="1">{#N/A,#N/A,FALSE,"2~8번"}</definedName>
    <definedName name="ㅁㄴㄹ" hidden="1">{#N/A,#N/A,FALSE,"골재소요량";#N/A,#N/A,FALSE,"골재소요량"}</definedName>
    <definedName name="ㅁㄴㅁㅇㄴㅁㄴㅇ" hidden="1">{#N/A,#N/A,FALSE,"조골재"}</definedName>
    <definedName name="ㅁㄴㅇ" hidden="1">{#N/A,#N/A,FALSE,"운반시간"}</definedName>
    <definedName name="ㅁㄴㅇ류" hidden="1">#REF!</definedName>
    <definedName name="ㅁㄴㅇㄻㄴㅇㄻㄴㄹ" hidden="1">{#N/A,#N/A,FALSE,"명세표"}</definedName>
    <definedName name="ㅁㄴㅇㅁ" hidden="1">{#N/A,#N/A,FALSE,"배수1"}</definedName>
    <definedName name="ㅁㄴㅇㅁㄴㅇ" hidden="1">#REF!</definedName>
    <definedName name="ㅁㄴㅇㅇ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ㅁㄶㅁㄴ" hidden="1">#REF!</definedName>
    <definedName name="ㅁㄹ" hidden="1">{#N/A,#N/A,FALSE,"2~8번"}</definedName>
    <definedName name="ㅁㄹㄹ" hidden="1">{#N/A,#N/A,FALSE,"2~8번"}</definedName>
    <definedName name="ㅁㄹㄹㄴㅇㄹㅇㄴㄹㄴㅇ" hidden="1">{#N/A,#N/A,FALSE,"포장1";#N/A,#N/A,FALSE,"포장1"}</definedName>
    <definedName name="ㅁㅀㅁㄴ" hidden="1">#REF!</definedName>
    <definedName name="ㅁㅀㅎ" hidden="1">{#N/A,#N/A,FALSE,"골재소요량";#N/A,#N/A,FALSE,"골재소요량"}</definedName>
    <definedName name="ㅁㅁ" hidden="1">{#N/A,#N/A,FALSE,"조골재"}</definedName>
    <definedName name="ㅁㅁㅁㅁㅁㅁ" hidden="1">#REF!</definedName>
    <definedName name="ㅁㅁㅁㅁㅁㅁㅁㅁ" hidden="1">{#N/A,#N/A,FALSE,"배수1"}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ㅇㄴㅁㅇㅁ" hidden="1">{#N/A,#N/A,FALSE,"배수1"}</definedName>
    <definedName name="ㅁㅇㄹ" hidden="1">{#N/A,#N/A,FALSE,"포장2"}</definedName>
    <definedName name="ㅁㅍㅊ" hidden="1">{#N/A,#N/A,FALSE,"속도"}</definedName>
    <definedName name="망루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머" hidden="1">{#N/A,#N/A,FALSE,"명세표"}</definedName>
    <definedName name="몰라" hidden="1">{#N/A,#N/A,FALSE,"명세표"}</definedName>
    <definedName name="물가" hidden="1">#REF!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뭐라카노" hidden="1">{#N/A,#N/A,FALSE,"운반시간"}</definedName>
    <definedName name="민원사안조사서" hidden="1">{#N/A,#N/A,FALSE,"배수2"}</definedName>
    <definedName name="ㅂㄱㄹㄷㅈㅅㄷ4ㅈ" hidden="1">#REF!</definedName>
    <definedName name="ㅂㄴㅊㅂㄴ" hidden="1">'[34]N賃率-職'!$I$5:$I$30</definedName>
    <definedName name="ㅂㄷ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" hidden="1">{#N/A,#N/A,FALSE,"조골재"}</definedName>
    <definedName name="ㅂㅂㅂㅂ" hidden="1">{#N/A,#N/A,FALSE,"명세표"}</definedName>
    <definedName name="ㅂㅂㅂㅂㅂㅂㅂ" hidden="1">{#N/A,#N/A,FALSE,"명세표"}</definedName>
    <definedName name="ㅂㅈ" hidden="1">{#N/A,#N/A,FALSE,"2~8번"}</definedName>
    <definedName name="ㅂㅈㄱㄷㅈㅂㄱㅈㄷㅂㄱ" hidden="1">{#N/A,#N/A,FALSE,"이정표"}</definedName>
    <definedName name="ㅂㅈㄷ" hidden="1">{#N/A,#N/A,FALSE,"골재소요량";#N/A,#N/A,FALSE,"골재소요량"}</definedName>
    <definedName name="ㅂㅈㄷㄱㅈㅂ" hidden="1">#REF!</definedName>
    <definedName name="ㅂ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바" hidden="1">{#N/A,#N/A,FALSE,"명세표"}</definedName>
    <definedName name="바보" hidden="1">#N/A</definedName>
    <definedName name="박1" hidden="1">{"'Firr(선)'!$AS$1:$AY$62","'Firr(사)'!$AS$1:$AY$62","'Firr(회)'!$AS$1:$AY$62","'Firr(선)'!$L$1:$V$62","'Firr(사)'!$L$1:$V$62","'Firr(회)'!$L$1:$V$62"}</definedName>
    <definedName name="박2" hidden="1">{"'단계별시설공사비'!$A$3:$K$51"}</definedName>
    <definedName name="박어쟈루" hidden="1">#REF!</definedName>
    <definedName name="방음벽" hidden="1">{#N/A,#N/A,FALSE,"2~8번"}</definedName>
    <definedName name="방음벽1" hidden="1">{#N/A,#N/A,FALSE,"운반시간"}</definedName>
    <definedName name="배관공수율" hidden="1">'[12]N賃率-職'!$I$5:$I$30</definedName>
    <definedName name="배수" hidden="1">{#N/A,#N/A,FALSE,"배수2"}</definedName>
    <definedName name="배전반" hidden="1">[36]Sheet13!$S$50:$AV$50</definedName>
    <definedName name="보도" hidden="1">{#N/A,#N/A,TRUE,"총괄"}</definedName>
    <definedName name="보도깨기" hidden="1">{#N/A,#N/A,FALSE,"운반시간"}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중" hidden="1">{#N/A,#N/A,FALSE,"전력간선"}</definedName>
    <definedName name="부대3" hidden="1">{#N/A,#N/A,FALSE,"부대2"}</definedName>
    <definedName name="부대공총괄수량집계" hidden="1">{#N/A,#N/A,FALSE,"2~8번"}</definedName>
    <definedName name="부대원본" hidden="1">{#N/A,#N/A,FALSE,"토공2"}</definedName>
    <definedName name="부대토공2" hidden="1">{#N/A,#N/A,FALSE,"구조2"}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속" hidden="1">[37]수정시산표!#REF!</definedName>
    <definedName name="부손익" hidden="1">{#N/A,#N/A,FALSE,"현장 NCR 분석";#N/A,#N/A,FALSE,"현장품질감사";#N/A,#N/A,FALSE,"현장품질감사"}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전반제조총괄표" hidden="1">{"'건축내역'!$A$1:$L$413"}</definedName>
    <definedName name="비" hidden="1">{#N/A,#N/A,FALSE,"견적갑지";#N/A,#N/A,FALSE,"총괄표";#N/A,#N/A,FALSE,"철골공사";#N/A,#N/A,FALSE,"토목공사";#N/A,#N/A,FALSE,"판넬전기공사"}</definedName>
    <definedName name="비목군집계" hidden="1">#REF!</definedName>
    <definedName name="빙" hidden="1">{#N/A,#N/A,FALSE,"견적갑지";#N/A,#N/A,FALSE,"총괄표";#N/A,#N/A,FALSE,"철골공사";#N/A,#N/A,FALSE,"토목공사";#N/A,#N/A,FALSE,"판넬전기공사"}</definedName>
    <definedName name="빙추" hidden="1">{#N/A,#N/A,FALSE,"견적갑지";#N/A,#N/A,FALSE,"총괄표";#N/A,#N/A,FALSE,"철골공사";#N/A,#N/A,FALSE,"토목공사";#N/A,#N/A,FALSE,"판넬전기공사"}</definedName>
    <definedName name="빙축열" hidden="1">{#N/A,#N/A,FALSE,"견적갑지";#N/A,#N/A,FALSE,"총괄표";#N/A,#N/A,FALSE,"철골공사";#N/A,#N/A,FALSE,"토목공사";#N/A,#N/A,FALSE,"판넬전기공사"}</definedName>
    <definedName name="빙축열주요자재" hidden="1">{#N/A,#N/A,FALSE,"견적갑지";#N/A,#N/A,FALSE,"총괄표";#N/A,#N/A,FALSE,"철골공사";#N/A,#N/A,FALSE,"토목공사";#N/A,#N/A,FALSE,"판넬전기공사"}</definedName>
    <definedName name="ㅄ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ㅅㄱㅈ" hidden="1">#REF!</definedName>
    <definedName name="ㅅㅅ" hidden="1">{#N/A,#N/A,FALSE,"전력간선"}</definedName>
    <definedName name="ㅅㅅㅅ" hidden="1">{#N/A,#N/A,FALSE,"전력간선"}</definedName>
    <definedName name="ㅅㅎㄱㄷㅅㄷㄱ" hidden="1">{#N/A,#N/A,FALSE,"표지목차"}</definedName>
    <definedName name="사랑" hidden="1">#REF!</definedName>
    <definedName name="사사삿" hidden="1">{#N/A,#N/A,FALSE,"견적갑지";#N/A,#N/A,FALSE,"총괄표";#N/A,#N/A,FALSE,"철골공사";#N/A,#N/A,FALSE,"토목공사";#N/A,#N/A,FALSE,"판넬전기공사"}</definedName>
    <definedName name="사진대지1" hidden="1">#REF!</definedName>
    <definedName name="산출" hidden="1">{"'단계별시설공사비'!$A$3:$K$51"}</definedName>
    <definedName name="산출내역" hidden="1">{"'단계별시설공사비'!$A$3:$K$51"}</definedName>
    <definedName name="석항" hidden="1">{#N/A,#N/A,FALSE,"명세표"}</definedName>
    <definedName name="설" hidden="1">{#N/A,#N/A,TRUE,"총괄"}</definedName>
    <definedName name="설계설명" hidden="1">#REF!</definedName>
    <definedName name="설변" hidden="1">{#N/A,#N/A,TRUE,"총괄"}</definedName>
    <definedName name="설비" hidden="1">{#N/A,#N/A,FALSE,"견적갑지";#N/A,#N/A,FALSE,"총괄표";#N/A,#N/A,FALSE,"철골공사";#N/A,#N/A,FALSE,"토목공사";#N/A,#N/A,FALSE,"판넬전기공사"}</definedName>
    <definedName name="설비1" hidden="1">{#N/A,#N/A,TRUE,"960318-1";#N/A,#N/A,TRUE,"960318-2";#N/A,#N/A,TRUE,"960318-3"}</definedName>
    <definedName name="성근" hidden="1">{#N/A,#N/A,FALSE,"포장2"}</definedName>
    <definedName name="성도" hidden="1">{#N/A,#N/A,TRUE,"960318-1";#N/A,#N/A,TRUE,"960318-2";#N/A,#N/A,TRUE,"960318-3"}</definedName>
    <definedName name="성토과재" hidden="1">{#N/A,#N/A,FALSE,"조골재"}</definedName>
    <definedName name="세로" hidden="1">{#N/A,#N/A,FALSE,"전력간선"}</definedName>
    <definedName name="세륜" hidden="1">#REF!</definedName>
    <definedName name="세륜2" hidden="1">#REF!</definedName>
    <definedName name="세륜세차" hidden="1">[38]조명시설!#REF!</definedName>
    <definedName name="셔ㅛ" hidden="1">{#N/A,#N/A,FALSE,"운반시간"}</definedName>
    <definedName name="소포장" hidden="1">{#N/A,#N/A,FALSE,"견적갑지";#N/A,#N/A,FALSE,"총괄표";#N/A,#N/A,FALSE,"철골공사";#N/A,#N/A,FALSE,"토목공사";#N/A,#N/A,FALSE,"판넬전기공사"}</definedName>
    <definedName name="소포장설비" hidden="1">{#N/A,#N/A,FALSE,"견적갑지";#N/A,#N/A,FALSE,"총괄표";#N/A,#N/A,FALSE,"철골공사";#N/A,#N/A,FALSE,"토목공사";#N/A,#N/A,FALSE,"판넬전기공사"}</definedName>
    <definedName name="속도" hidden="1">{#N/A,#N/A,FALSE,"속도"}</definedName>
    <definedName name="손영주" hidden="1">{#N/A,#N/A,FALSE,"조골재"}</definedName>
    <definedName name="송병준" hidden="1">{#N/A,#N/A,FALSE,"명세표"}</definedName>
    <definedName name="수" hidden="1">#REF!</definedName>
    <definedName name="수량산출서" hidden="1">#REF!</definedName>
    <definedName name="수량산출세부3" hidden="1">{#N/A,#N/A,FALSE,"단가표지"}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시중단가" hidden="1">{"'단계별시설공사비'!$A$3:$K$51"}</definedName>
    <definedName name="식재이식삽도" hidden="1">{#N/A,#N/A,FALSE,"운반시간"}</definedName>
    <definedName name="신설" hidden="1">{#N/A,#N/A,FALSE,"명세표"}</definedName>
    <definedName name="신축공사" hidden="1">{"'단계별시설공사비'!$A$3:$K$51"}</definedName>
    <definedName name="신화" hidden="1">{#N/A,#N/A,TRUE,"960318-1";#N/A,#N/A,TRUE,"960318-2";#N/A,#N/A,TRUE,"960318-3"}</definedName>
    <definedName name="ㅇ" hidden="1">{#N/A,#N/A,FALSE,"조골재"}</definedName>
    <definedName name="ㅇㄴㄴㄴㄴㄴㄴㄴㄴㄴ" hidden="1">{#N/A,#N/A,FALSE,"혼합골재"}</definedName>
    <definedName name="ㅇㄴㄹㄹㄴㄹㄹ" hidden="1">{#N/A,#N/A,FALSE,"운반시간"}</definedName>
    <definedName name="ㅇㄴㅁ" hidden="1">[39]실행철강하도!$A$1:$A$4</definedName>
    <definedName name="ㅇㄹ" hidden="1">#REF!</definedName>
    <definedName name="ㅇㄹㄴ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ㄹㄴㄹㅈㄴㄹㄴ" hidden="1">#REF!</definedName>
    <definedName name="ㅇㄹㄴㅀㄹㅇㅎㄹㅇㅎ" hidden="1">{#N/A,#N/A,FALSE,"2~8번"}</definedName>
    <definedName name="ㅇㄹㄶㄴㅁ" hidden="1">'[40]N賃率-職'!$I$5:$I$30</definedName>
    <definedName name="ㅇㄹㄹ" hidden="1">'[41]N賃率-職'!$I$5:$I$30</definedName>
    <definedName name="ㅇㄹㄹㄴㅇㄹㅇㄹㄴㅇ" hidden="1">[42]조명시설!#REF!</definedName>
    <definedName name="ㅇㄹㄹㅇ" hidden="1">{#N/A,#N/A,FALSE,"2~8번"}</definedName>
    <definedName name="ㅇㄹㅇ" hidden="1">{#N/A,#N/A,FALSE,"운반시간"}</definedName>
    <definedName name="ㅇㄹㅇㄹ" hidden="1">#REF!</definedName>
    <definedName name="ㅇㄹㅇㄹㅇ" hidden="1">[1]공문!#REF!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러알ㅇㄹㅇㄹ" hidden="1">[43]Sheet1!#REF!</definedName>
    <definedName name="ㅇㅀㄴ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ㅀㅎㅎㅎㅎㅎㅎㅎㅎㅎㅎㅎㅎㅎㅎㅎ" hidden="1">{#N/A,#N/A,FALSE,"구조2"}</definedName>
    <definedName name="ㅇㅇ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ㅇㅇ" hidden="1">{#N/A,#N/A,FALSE,"전력간선"}</definedName>
    <definedName name="ㅇㅇㅇㅇ" hidden="1">#REF!</definedName>
    <definedName name="ㅇㅇㅇㅇㅇㅇ" hidden="1">{#N/A,#N/A,FALSE,"조골재"}</definedName>
    <definedName name="ㅇㅇㅇㅇㅇㅇㅇ" hidden="1">[10]Sheet14!$Q$48:$AT$48</definedName>
    <definedName name="ㅇㅈㄷㅄㅂㅈㄷㄱ" hidden="1">#REF!</definedName>
    <definedName name="ㅇㅊㅍㅍㅊㅌㅍㅊㅌㅍㅌ" hidden="1">[42]조명시설!#REF!</definedName>
    <definedName name="ㅇㅎㅁㄴ" hidden="1">#REF!</definedName>
    <definedName name="아사" hidden="1">{#N/A,#N/A,FALSE,"구조1"}</definedName>
    <definedName name="아스콘2" hidden="1">[31]조명시설!#REF!</definedName>
    <definedName name="아스콘깨기" hidden="1">{#N/A,#N/A,FALSE,"골재소요량";#N/A,#N/A,FALSE,"골재소요량"}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양식" hidden="1">{#N/A,#N/A,FALSE,"전력간선"}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억이상" hidden="1">{#N/A,#N/A,FALSE,"2~8번"}</definedName>
    <definedName name="업체" hidden="1">#REF!</definedName>
    <definedName name="연간단가" hidden="1">{#N/A,#N/A,FALSE,"명세표"}</definedName>
    <definedName name="연습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영산" hidden="1">{#N/A,#N/A,FALSE,"정산총괄 ";#N/A,#N/A,FALSE,"정산설명개착"}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영시스템" hidden="1">[44]수량산출!#REF!</definedName>
    <definedName name="오" hidden="1">[20]실행철강하도!$A$1:$A$4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완공3" hidden="1">#REF!</definedName>
    <definedName name="외부출입구집계" hidden="1">#REF!</definedName>
    <definedName name="우주" hidden="1">{#N/A,#N/A,FALSE,"전력간선"}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남내역" hidden="1">[45]실행철강하도!$A$1:$A$4</definedName>
    <definedName name="의" hidden="1">{#N/A,#N/A,FALSE,"운반시간"}</definedName>
    <definedName name="이" hidden="1">{#N/A,#N/A,FALSE,"명세표"}</definedName>
    <definedName name="이동" hidden="1">{#N/A,#N/A,FALSE,"조골재"}</definedName>
    <definedName name="이름아름" hidden="1">{#N/A,#N/A,FALSE,"명세표"}</definedName>
    <definedName name="이름표" hidden="1">{#N/A,#N/A,FALSE,"단가표지"}</definedName>
    <definedName name="이릉" hidden="1">#REF!</definedName>
    <definedName name="이정" hidden="1">{#N/A,#N/A,FALSE,"2~8번"}</definedName>
    <definedName name="이종훈" hidden="1">[26]전기!$A$4:$A$163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구" hidden="1">#REF!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" hidden="1">[20]실행철강하도!$A$1:$A$4</definedName>
    <definedName name="일반부" hidden="1">{#N/A,#N/A,FALSE,"조골재"}</definedName>
    <definedName name="일위대가11" hidden="1">{#N/A,#N/A,FALSE,"명세표"}</definedName>
    <definedName name="일위대가호표" hidden="1">#REF!</definedName>
    <definedName name="임ㄴ" hidden="1">{"'공사부문'!$A$6:$A$32"}</definedName>
    <definedName name="임대미수" hidden="1">'[46]8월차잔'!#REF!</definedName>
    <definedName name="임시1" hidden="1">{#N/A,#N/A,FALSE,"전력간선"}</definedName>
    <definedName name="임시2" hidden="1">{#N/A,#N/A,FALSE,"전력간선"}</definedName>
    <definedName name="임심" hidden="1">#REF!</definedName>
    <definedName name="입찰금액안" hidden="1">[47]집계표!#REF!</definedName>
    <definedName name="ㅈ" hidden="1">{#N/A,#N/A,FALSE,"명세표"}</definedName>
    <definedName name="ㅈㄱ" hidden="1">{#N/A,#N/A,FALSE,"조골재"}</definedName>
    <definedName name="ㅈㄷ" hidden="1">{#N/A,#N/A,FALSE,"혼합골재"}</definedName>
    <definedName name="ㅈㄷㄱㄷㅈㄱㄷㅈ" hidden="1">{#N/A,#N/A,FALSE,"표지목차"}</definedName>
    <definedName name="ㅈㄷㄹㅈㄷㄹ" hidden="1">{#N/A,#N/A,FALSE,"명세표"}</definedName>
    <definedName name="ㅈㅈㅈㅈ" hidden="1">{#N/A,#N/A,FALSE,"명세표"}</definedName>
    <definedName name="자미" hidden="1">{#N/A,#N/A,FALSE,"명세표"}</definedName>
    <definedName name="자재" hidden="1">{#N/A,#N/A,FALSE,"운반시간"}</definedName>
    <definedName name="자재업" hidden="1">#REF!</definedName>
    <definedName name="자재총괄" hidden="1">{#N/A,#N/A,FALSE,"혼합골재"}</definedName>
    <definedName name="장위" hidden="1">#REF!</definedName>
    <definedName name="재료노무합계" hidden="1">{"'건축내역'!$A$1:$L$413"}</definedName>
    <definedName name="저온" hidden="1">{#N/A,#N/A,FALSE,"견적갑지";#N/A,#N/A,FALSE,"총괄표";#N/A,#N/A,FALSE,"철골공사";#N/A,#N/A,FALSE,"토목공사";#N/A,#N/A,FALSE,"판넬전기공사"}</definedName>
    <definedName name="저온1" hidden="1">{#N/A,#N/A,FALSE,"견적갑지";#N/A,#N/A,FALSE,"총괄표";#N/A,#N/A,FALSE,"철골공사";#N/A,#N/A,FALSE,"토목공사";#N/A,#N/A,FALSE,"판넬전기공사"}</definedName>
    <definedName name="저온냉동" hidden="1">{#N/A,#N/A,FALSE,"견적갑지";#N/A,#N/A,FALSE,"총괄표";#N/A,#N/A,FALSE,"철골공사";#N/A,#N/A,FALSE,"토목공사";#N/A,#N/A,FALSE,"판넬전기공사"}</definedName>
    <definedName name="저온설비" hidden="1">{#N/A,#N/A,FALSE,"견적갑지";#N/A,#N/A,FALSE,"총괄표";#N/A,#N/A,FALSE,"철골공사";#N/A,#N/A,FALSE,"토목공사";#N/A,#N/A,FALSE,"판넬전기공사"}</definedName>
    <definedName name="저온저장고" hidden="1">{#N/A,#N/A,FALSE,"견적갑지";#N/A,#N/A,FALSE,"총괄표";#N/A,#N/A,FALSE,"철골공사";#N/A,#N/A,FALSE,"토목공사";#N/A,#N/A,FALSE,"판넬전기공사"}</definedName>
    <definedName name="저온집계" hidden="1">{#N/A,#N/A,FALSE,"견적갑지";#N/A,#N/A,FALSE,"총괄표";#N/A,#N/A,FALSE,"철골공사";#N/A,#N/A,FALSE,"토목공사";#N/A,#N/A,FALSE,"판넬전기공사"}</definedName>
    <definedName name="전기" hidden="1">{#N/A,#N/A,FALSE,"견적갑지";#N/A,#N/A,FALSE,"총괄표";#N/A,#N/A,FALSE,"철골공사";#N/A,#N/A,FALSE,"토목공사";#N/A,#N/A,FALSE,"판넬전기공사"}</definedName>
    <definedName name="전기1" hidden="1">{#N/A,#N/A,FALSE,"견적갑지";#N/A,#N/A,FALSE,"총괄표";#N/A,#N/A,FALSE,"철골공사";#N/A,#N/A,FALSE,"토목공사";#N/A,#N/A,FALSE,"판넬전기공사"}</definedName>
    <definedName name="전기3" hidden="1">{#N/A,#N/A,FALSE,"견적갑지";#N/A,#N/A,FALSE,"총괄표";#N/A,#N/A,FALSE,"철골공사";#N/A,#N/A,FALSE,"토목공사";#N/A,#N/A,FALSE,"판넬전기공사"}</definedName>
    <definedName name="전기4" hidden="1">{#N/A,#N/A,FALSE,"견적갑지";#N/A,#N/A,FALSE,"총괄표";#N/A,#N/A,FALSE,"철골공사";#N/A,#N/A,FALSE,"토목공사";#N/A,#N/A,FALSE,"판넬전기공사"}</definedName>
    <definedName name="전기기" hidden="1">[33]내역서!#REF!</definedName>
    <definedName name="전체제조총괄표" hidden="1">{"'건축내역'!$A$1:$L$413"}</definedName>
    <definedName name="정산수량" hidden="1">{#N/A,#N/A,TRUE,"수량총괄";#N/A,#N/A,TRUE,"공사비예산서";#N/A,#N/A,TRUE,"공사비예산서 (2)"}</definedName>
    <definedName name="제" hidden="1">[48]조명시설!#REF!</definedName>
    <definedName name="제수문" hidden="1">#REF!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별유형" hidden="1">#REF!</definedName>
    <definedName name="조사가" hidden="1">[49]입찰안!#REF!</definedName>
    <definedName name="조차장" hidden="1">{#N/A,#N/A,FALSE,"명세표"}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주간" hidden="1">{#N/A,#N/A,FALSE,"운반시간"}</definedName>
    <definedName name="준공" hidden="1">{#N/A,#N/A,FALSE,"운반시간"}</definedName>
    <definedName name="지급" hidden="1">{#N/A,#N/A,FALSE,"견적갑지";#N/A,#N/A,FALSE,"총괄표";#N/A,#N/A,FALSE,"철골공사";#N/A,#N/A,FALSE,"토목공사";#N/A,#N/A,FALSE,"판넬전기공사"}</definedName>
    <definedName name="지랄혀" hidden="1">{#N/A,#N/A,FALSE,"명세표"}</definedName>
    <definedName name="지랄혀고자빠졋내" hidden="1">{#N/A,#N/A,FALSE,"명세표"}</definedName>
    <definedName name="직매54P" hidden="1">{#N/A,#N/A,TRUE,"토적및재료집계";#N/A,#N/A,TRUE,"토적및재료집계";#N/A,#N/A,TRUE,"단위량"}</definedName>
    <definedName name="진" hidden="1">{#N/A,#N/A,FALSE,"2~8번"}</definedName>
    <definedName name="집계" hidden="1">{#N/A,#N/A,FALSE,"명세표"}</definedName>
    <definedName name="집계표" hidden="1">{#N/A,#N/A,FALSE,"전력간선"}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ㅊ퓿ㅍ" hidden="1">{#N/A,#N/A,FALSE,"혼합골재"}</definedName>
    <definedName name="차선내역서" hidden="1">{#N/A,#N/A,FALSE,"전력간선"}</definedName>
    <definedName name="차수벽2.5수정" hidden="1">{#N/A,#N/A,FALSE,"배수1"}</definedName>
    <definedName name="차차" hidden="1">[50]조명시설!#REF!</definedName>
    <definedName name="착공계갑지" hidden="1">{#N/A,#N/A,FALSE,"배수2"}</definedName>
    <definedName name="찰샇기" hidden="1">#N/A</definedName>
    <definedName name="천연공사갑지" hidden="1">#REF!</definedName>
    <definedName name="철근집계표" hidden="1">{#N/A,#N/A,FALSE,"단가표지"}</definedName>
    <definedName name="첫장" hidden="1">{#N/A,#N/A,TRUE,"총괄"}</definedName>
    <definedName name="체크아웃시스템" hidden="1">{#N/A,#N/A,FALSE,"견적갑지";#N/A,#N/A,FALSE,"총괄표";#N/A,#N/A,FALSE,"철골공사";#N/A,#N/A,FALSE,"토목공사";#N/A,#N/A,FALSE,"판넬전기공사"}</definedName>
    <definedName name="총공" hidden="1">{#N/A,#N/A,FALSE,"운반시간"}</definedName>
    <definedName name="총괄" hidden="1">{#N/A,#N/A,TRUE,"총괄"}</definedName>
    <definedName name="총괄내역" hidden="1">{#N/A,#N/A,TRUE,"총괄"}</definedName>
    <definedName name="총괄내역서" hidden="1">{#N/A,#N/A,TRUE,"총괄"}</definedName>
    <definedName name="총괄표" hidden="1">{#N/A,#N/A,TRUE,"총괄"}</definedName>
    <definedName name="추공내역서" hidden="1">#REF!</definedName>
    <definedName name="추산산서2" hidden="1">{#N/A,#N/A,FALSE,"견적갑지";#N/A,#N/A,FALSE,"총괄표";#N/A,#N/A,FALSE,"철골공사";#N/A,#N/A,FALSE,"토목공사";#N/A,#N/A,FALSE,"판넬전기공사"}</definedName>
    <definedName name="축수산장설비" hidden="1">{#N/A,#N/A,FALSE,"견적갑지";#N/A,#N/A,FALSE,"총괄표";#N/A,#N/A,FALSE,"철골공사";#N/A,#N/A,FALSE,"토목공사";#N/A,#N/A,FALSE,"판넬전기공사"}</definedName>
    <definedName name="충돌" hidden="1">{#N/A,#N/A,FALSE,"전력간선"}</definedName>
    <definedName name="ㅋ" hidden="1">{#N/A,#N/A,FALSE,"조골재"}</definedName>
    <definedName name="ㅋㅁ" hidden="1">{#N/A,#N/A,FALSE,"명세표"}</definedName>
    <definedName name="ㅋㅇㅁㅇ" hidden="1">{"'공사부문'!$A$6:$A$32"}</definedName>
    <definedName name="ㅋㅋ" hidden="1">{#N/A,#N/A,FALSE,"명세표"}</definedName>
    <definedName name="ㅋㅋㅋ" hidden="1">{#N/A,#N/A,FALSE,"명세표"}</definedName>
    <definedName name="케이블간지" hidden="1">{#N/A,#N/A,TRUE,"토적및재료집계";#N/A,#N/A,TRUE,"토적및재료집계";#N/A,#N/A,TRUE,"단위량"}</definedName>
    <definedName name="콘크리트2" hidden="1">#REF!</definedName>
    <definedName name="ㅌ" hidden="1">{#N/A,#N/A,FALSE,"2~8번"}</definedName>
    <definedName name="ㅌㅍㅁㄴㅋ" hidden="1">'[34]N賃率-職'!$I$5:$I$30</definedName>
    <definedName name="타" hidden="1">{#N/A,#N/A,FALSE,"견적갑지";#N/A,#N/A,FALSE,"총괄표";#N/A,#N/A,FALSE,"철골공사";#N/A,#N/A,FALSE,"토목공사";#N/A,#N/A,FALSE,"판넬전기공사"}</definedName>
    <definedName name="타견적" hidden="1">[44]수량산출!$A$1:$A$8282</definedName>
    <definedName name="테스트" hidden="1">#REF!</definedName>
    <definedName name="토" hidden="1">#REF!</definedName>
    <definedName name="토목설계" hidden="1">{#N/A,#N/A,FALSE,"골재소요량";#N/A,#N/A,FALSE,"골재소요량"}</definedName>
    <definedName name="ㅍ" hidden="1">{#N/A,#N/A,FALSE,"명세표"}</definedName>
    <definedName name="ㅍ큪ㅊㅋ" hidden="1">#REF!</definedName>
    <definedName name="ㅍㅍ" hidden="1">#N/A</definedName>
    <definedName name="ㅍㅍ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ㅍ" hidden="1">[8]부하!$S$47:$AV$47</definedName>
    <definedName name="ㅍㅍㅍㅍ" hidden="1">#N/A</definedName>
    <definedName name="ㅍㅍㅍㅍㅍ" hidden="1">[8]부하!$O$131:$O$201</definedName>
    <definedName name="ㅍㅍㅍㅍㅍㅍ" hidden="1">#N/A</definedName>
    <definedName name="ㅍㅍㅍㅍㅍㅍㅍ" hidden="1">#N/A</definedName>
    <definedName name="파" hidden="1">{#N/A,#N/A,FALSE,"견적갑지";#N/A,#N/A,FALSE,"총괄표";#N/A,#N/A,FALSE,"철골공사";#N/A,#N/A,FALSE,"토목공사";#N/A,#N/A,FALSE,"판넬전기공사"}</definedName>
    <definedName name="파일" hidden="1">#REF!</definedName>
    <definedName name="판넬" hidden="1">{"'단계별시설공사비'!$A$3:$K$51"}</definedName>
    <definedName name="팔" hidden="1">#REF!</definedName>
    <definedName name="페기갑지" hidden="1">#REF!</definedName>
    <definedName name="폐기" hidden="1">#REF!</definedName>
    <definedName name="표준단면도" hidden="1">{#N/A,#N/A,FALSE,"강교";#N/A,#N/A,FALSE,"한전";#N/A,#N/A,FALSE,"중방";#N/A,#N/A,FALSE,"회소"}</definedName>
    <definedName name="표지" hidden="1">{#N/A,#N/A,FALSE,"강교";#N/A,#N/A,FALSE,"한전";#N/A,#N/A,FALSE,"중방";#N/A,#N/A,FALSE,"회소"}</definedName>
    <definedName name="표지2" hidden="1">#REF!</definedName>
    <definedName name="피" hidden="1">{#N/A,#N/A,FALSE,"견적갑지";#N/A,#N/A,FALSE,"총괄표";#N/A,#N/A,FALSE,"철골공사";#N/A,#N/A,FALSE,"토목공사";#N/A,#N/A,FALSE,"판넬전기공사"}</definedName>
    <definedName name="ㅎ" hidden="1">[8]부하!$N$272:$N$341</definedName>
    <definedName name="ㅎ5" hidden="1">{#N/A,#N/A,FALSE,"골재소요량";#N/A,#N/A,FALSE,"골재소요량"}</definedName>
    <definedName name="ㅎ노ㅠ" hidden="1">{#N/A,#N/A,FALSE,"배수1"}</definedName>
    <definedName name="ㅎㄶ" hidden="1">{#N/A,#N/A,FALSE,"속도"}</definedName>
    <definedName name="ㅎㄹ" hidden="1">#REF!</definedName>
    <definedName name="ㅎㄹㅇㅀ" hidden="1">{#N/A,#N/A,FALSE,"부대1"}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로ㅓ" hidden="1">{#N/A,#N/A,FALSE,"운반시간"}</definedName>
    <definedName name="ㅎㅀㄹ" hidden="1">{#N/A,#N/A,FALSE,"운반시간"}</definedName>
    <definedName name="ㅎㅇㄶㄷㄱ" hidden="1">#REF!</definedName>
    <definedName name="ㅎㅇㅀㅇㅀㅇㅎ" hidden="1">{#N/A,#N/A,FALSE,"표지목차"}</definedName>
    <definedName name="ㅎㅇㅇㅀㅎㄹ" hidden="1">{#N/A,#N/A,FALSE,"속도"}</definedName>
    <definedName name="ㅎㅎ" hidden="1">{#N/A,#N/A,FALSE,"운반시간"}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" hidden="1">{#N/A,#N/A,FALSE,"견적갑지";#N/A,#N/A,FALSE,"총괄표";#N/A,#N/A,FALSE,"철골공사";#N/A,#N/A,FALSE,"토목공사";#N/A,#N/A,FALSE,"판넬전기공사"}</definedName>
    <definedName name="하늘" hidden="1">{#N/A,#N/A,FALSE,"전력간선"}</definedName>
    <definedName name="하늘1" hidden="1">{#N/A,#N/A,FALSE,"전력간선"}</definedName>
    <definedName name="하늘2" hidden="1">{#N/A,#N/A,FALSE,"전력간선"}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하하" hidden="1">{#N/A,#N/A,FALSE,"명세표"}</definedName>
    <definedName name="하하하하" hidden="1">{#N/A,#N/A,FALSE,"단가표지"}</definedName>
    <definedName name="학교" hidden="1">{#N/A,#N/A,FALSE,"전력간선"}</definedName>
    <definedName name="한" hidden="1">#REF!</definedName>
    <definedName name="한전" hidden="1">{#N/A,#N/A,FALSE,"단가표지"}</definedName>
    <definedName name="현조" hidden="1">#REF!</definedName>
    <definedName name="호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호호" hidden="1">{#N/A,#N/A,FALSE,"명세표"}</definedName>
    <definedName name="호ㅓㅕㅏ6ㅅ서ㅛㅓ" hidden="1">[51]입찰안!#REF!</definedName>
    <definedName name="호ㅓㅗ" hidden="1">{#N/A,#N/A,FALSE,"포장1";#N/A,#N/A,FALSE,"포장1"}</definedName>
    <definedName name="홍ㄹㄴㄷㄱ" hidden="1">#REF!</definedName>
    <definedName name="홓" hidden="1">{#N/A,#N/A,FALSE,"조골재"}</definedName>
    <definedName name="히ㅏㅓㅣㅏㅓㅚㅏ" hidden="1">{#N/A,#N/A,FALSE,"구조1"}</definedName>
    <definedName name="ㅏ" hidden="1">{#N/A,#N/A,FALSE,"명세표"}</definedName>
    <definedName name="ㅏㅅ" hidden="1">{#N/A,#N/A,FALSE,"견적갑지";#N/A,#N/A,FALSE,"총괄표";#N/A,#N/A,FALSE,"철골공사";#N/A,#N/A,FALSE,"토목공사";#N/A,#N/A,FALSE,"판넬전기공사"}</definedName>
    <definedName name="ㅏㅏㅏ" hidden="1">{#N/A,#N/A,FALSE,"명세표"}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ㅓ" hidden="1">{#N/A,#N/A,FALSE,"골재소요량";#N/A,#N/A,FALSE,"골재소요량"}</definedName>
    <definedName name="ㅏㅓㅏ" hidden="1">{#N/A,#N/A,FALSE,"단가표지"}</definedName>
    <definedName name="ㅏㅓㅏㅓ" hidden="1">{#N/A,#N/A,FALSE,"2~8번"}</definedName>
    <definedName name="ㅏㅓㅣㅏㅓㅣ" hidden="1">{#N/A,#N/A,FALSE,"부대2"}</definedName>
    <definedName name="ㅏㅕ라ㅕ" hidden="1">#N/A</definedName>
    <definedName name="ㅏㅕㅛㅏㄱㄹㅇ" hidden="1">'[34]N賃率-職'!$I$5:$I$30</definedName>
    <definedName name="ㅑ" hidden="1">{#N/A,#N/A,FALSE,"조골재"}</definedName>
    <definedName name="ㅑㅑ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ㅑㅕㅑ" hidden="1">{#N/A,#N/A,FALSE,"전력간선"}</definedName>
    <definedName name="ㅑㅕㅕㅕ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ㅓ" hidden="1">[8]부하!$Q$45:$AT$45</definedName>
    <definedName name="ㅓ7" hidden="1">{#N/A,#N/A,FALSE,"단가표지"}</definedName>
    <definedName name="ㅓㄴㄱ" hidden="1">[39]실행철강하도!$A$1:$A$4</definedName>
    <definedName name="ㅓㄴㅇ러" hidden="1">{#N/A,#N/A,FALSE,"골재소요량";#N/A,#N/A,FALSE,"골재소요량"}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ㅏ" hidden="1">{#N/A,#N/A,FALSE,"골재소요량";#N/A,#N/A,FALSE,"골재소요량"}</definedName>
    <definedName name="ㅓㅏㅓ" hidden="1">{#N/A,#N/A,FALSE,"조골재"}</definedName>
    <definedName name="ㅓㅏㅣㅓㅣㅓ" hidden="1">{#N/A,#N/A,FALSE,"혼합골재"}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" hidden="1">{#N/A,#N/A,FALSE,"전력간선"}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ㅗ" hidden="1">{#N/A,#N/A,FALSE,"조골재"}</definedName>
    <definedName name="ㅓㅗㅅㄹ" hidden="1">{#N/A,#N/A,FALSE,"조골재"}</definedName>
    <definedName name="ㅓㅗㅓ" hidden="1">{#N/A,#N/A,FALSE,"2~8번"}</definedName>
    <definedName name="ㅔ3" hidden="1">{#N/A,#N/A,FALSE,"배수1"}</definedName>
    <definedName name="ㅔㅔ" hidden="1">{#N/A,#N/A,FALSE,"명세표"}</definedName>
    <definedName name="ㅔㅔㅔㅔㅔ" hidden="1">#N/A</definedName>
    <definedName name="ㅕ" hidden="1">{#N/A,#N/A,FALSE,"명세표"}</definedName>
    <definedName name="ㅕㅕㅕ" hidden="1">#N/A</definedName>
    <definedName name="ㅗ" hidden="1">{#N/A,#N/A,FALSE,"명세표"}</definedName>
    <definedName name="ㅗㄹ호" hidden="1">{#N/A,#N/A,FALSE,"운반시간"}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ㅅㄱ" hidden="1">{"'Firr(선)'!$AS$1:$AY$62","'Firr(사)'!$AS$1:$AY$62","'Firr(회)'!$AS$1:$AY$62","'Firr(선)'!$L$1:$V$62","'Firr(사)'!$L$1:$V$62","'Firr(회)'!$L$1:$V$62"}</definedName>
    <definedName name="ㅗㅎㅅ" hidden="1">{"'공사부문'!$A$6:$A$32"}</definedName>
    <definedName name="ㅗ호" hidden="1">{#N/A,#N/A,FALSE,"조골재"}</definedName>
    <definedName name="ㅗㅓ" hidden="1">{#N/A,#N/A,FALSE,"조골재"}</definedName>
    <definedName name="ㅗㅓㅗ" hidden="1">{#N/A,#N/A,FALSE,"골재소요량";#N/A,#N/A,FALSE,"골재소요량"}</definedName>
    <definedName name="ㅗㅗ" hidden="1">{#N/A,#N/A,FALSE,"명세표"}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ㅗ" hidden="1">{#N/A,#N/A,FALSE,"운반시간"}</definedName>
    <definedName name="ㅘㅓ" hidden="1">{#N/A,#N/A,FALSE,"운반시간"}</definedName>
    <definedName name="ㅘㅗ허ㅎ" hidden="1">#REF!</definedName>
    <definedName name="ㅛ" hidden="1">{#N/A,#N/A,FALSE,"명세표"}</definedName>
    <definedName name="ㅛㅕㅑ" hidden="1">'[41]N賃率-職'!$I$5:$I$30</definedName>
    <definedName name="ㅛㅛㅛㅛ" hidden="1">[52]수량산출!$A$1:$A$8561</definedName>
    <definedName name="ㅜ" hidden="1">{#N/A,#N/A,FALSE,"명세표"}</definedName>
    <definedName name="ㅜㅠㅊ퓨ㅜ" hidden="1">#REF!</definedName>
    <definedName name="ㅠ" hidden="1">[8]부하!$S$48:$AV$48</definedName>
    <definedName name="ㅠㄴㅀㅎ" hidden="1">#N/A</definedName>
    <definedName name="ㅠㅁㄹㅇㄹ" hidden="1">#N/A</definedName>
    <definedName name="ㅠ뮤ㅐ" hidden="1">#N/A</definedName>
    <definedName name="ㅠㅇㅁㄹㅇㅁ" hidden="1">#N/A</definedName>
    <definedName name="ㅠㅠ" hidden="1">#N/A</definedName>
    <definedName name="ㅠㅠㅠ" hidden="1">#N/A</definedName>
    <definedName name="ㅠㅠㅠㅠ" hidden="1">#N/A</definedName>
    <definedName name="ㅠㅠㅠㅠㅠ" hidden="1">[8]부하!$N$131:$N$201</definedName>
    <definedName name="ㅠㅠㅠㅠㅠㅠ" hidden="1">#N/A</definedName>
    <definedName name="ㅡ" hidden="1">{#N/A,#N/A,FALSE,"명세표"}</definedName>
    <definedName name="ㅡㅓㅡ" hidden="1">#REF!</definedName>
    <definedName name="ㅡㅡ" hidden="1">{#N/A,#N/A,FALSE,"명세표"}</definedName>
    <definedName name="ㅣ" hidden="1">[31]조명시설!#REF!</definedName>
    <definedName name="ㅣㅎㄹㅇㅇ" hidden="1">{#N/A,#N/A,FALSE,"토공2"}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ㅓ" hidden="1">{#N/A,#N/A,FALSE,"운반시간"}</definedName>
    <definedName name="ㅣㅏㅓㅣㅏㅓㅣ" hidden="1">{#N/A,#N/A,FALSE,"속도"}</definedName>
    <definedName name="ㅣㅏㅚㅗㅓ" hidden="1">#N/A</definedName>
    <definedName name="ㅣㅑㅑ" hidden="1">{#N/A,#N/A,FALSE,"단가표지"}</definedName>
    <definedName name="ㅣㅑㅕㅗ" hidden="1">#REF!</definedName>
    <definedName name="ㅣㅑㅣㅣ" hidden="1">{#N/A,#N/A,FALSE,"혼합골재"}</definedName>
    <definedName name="ㅣㅣㅣ" hidden="1">[31]조명시설!#REF!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ㅣ" hidden="1">[31]조명시설!#REF!</definedName>
    <definedName name="ㅣㅣㅣㅣㅣ" hidden="1">[31]조명시설!#REF!</definedName>
    <definedName name="ㅣㅣㅣㅣㅣㅣ" hidden="1">[31]조명시설!#REF!</definedName>
  </definedNames>
  <calcPr calcId="191029"/>
</workbook>
</file>

<file path=xl/calcChain.xml><?xml version="1.0" encoding="utf-8"?>
<calcChain xmlns="http://schemas.openxmlformats.org/spreadsheetml/2006/main">
  <c r="J7" i="52" l="1"/>
  <c r="E27" i="54" l="1"/>
  <c r="L18" i="54"/>
  <c r="M18" i="54" s="1"/>
  <c r="E17" i="54"/>
  <c r="E16" i="54"/>
  <c r="E14" i="54"/>
  <c r="E15" i="54" s="1"/>
  <c r="L13" i="54"/>
  <c r="N13" i="54" s="1"/>
  <c r="E9" i="54"/>
  <c r="E10" i="54" s="1"/>
  <c r="E7" i="54"/>
  <c r="L15" i="54" s="1"/>
  <c r="N15" i="54" l="1"/>
  <c r="M15" i="54"/>
  <c r="O15" i="54" s="1"/>
  <c r="E12" i="54"/>
  <c r="E13" i="54"/>
  <c r="N18" i="54"/>
  <c r="O18" i="54" s="1"/>
  <c r="E22" i="54"/>
  <c r="M13" i="54"/>
  <c r="O13" i="54" s="1"/>
  <c r="L14" i="54"/>
  <c r="M14" i="54" l="1"/>
  <c r="N14" i="54"/>
  <c r="O14" i="54" l="1"/>
  <c r="D18" i="54" l="1"/>
  <c r="E18" i="54"/>
  <c r="E23" i="54" s="1"/>
  <c r="E24" i="54" l="1"/>
  <c r="E25" i="54" s="1"/>
  <c r="E26" i="54" s="1"/>
  <c r="L28" i="54"/>
  <c r="N28" i="54" s="1"/>
  <c r="E29" i="54" l="1"/>
  <c r="E30" i="54"/>
  <c r="E31" i="54" l="1"/>
  <c r="E32" i="54" s="1"/>
  <c r="E35" i="54" s="1"/>
  <c r="L27" i="54" l="1"/>
  <c r="M27" i="54" l="1"/>
  <c r="N27" i="54" s="1"/>
  <c r="L31" i="54" s="1"/>
  <c r="N29" i="54"/>
  <c r="D6" i="52" l="1"/>
  <c r="D5" i="52"/>
  <c r="I6" i="52"/>
  <c r="T96" i="15" l="1"/>
  <c r="F92" i="15" l="1"/>
  <c r="T94" i="15"/>
  <c r="Q94" i="15"/>
  <c r="F71" i="15"/>
  <c r="T98" i="15" l="1"/>
  <c r="T100" i="15" s="1"/>
  <c r="E6" i="52" l="1"/>
  <c r="J6" i="52" s="1"/>
  <c r="F36" i="15"/>
  <c r="T75" i="15"/>
  <c r="T73" i="15"/>
  <c r="Q73" i="15"/>
  <c r="H39" i="15"/>
  <c r="H40" i="15"/>
  <c r="A46" i="15"/>
  <c r="B46" i="15"/>
  <c r="T77" i="15" l="1"/>
  <c r="B44" i="15"/>
  <c r="F40" i="15"/>
  <c r="B49" i="15"/>
  <c r="J40" i="15"/>
  <c r="T79" i="15" l="1"/>
  <c r="I5" i="52" l="1"/>
  <c r="E5" i="52"/>
  <c r="A2" i="52"/>
  <c r="J5" i="52" l="1"/>
  <c r="J8" i="52" s="1"/>
  <c r="K4036" i="48" l="1"/>
  <c r="K4035" i="48"/>
  <c r="L4035" i="48" s="1"/>
  <c r="N4035" i="48" s="1"/>
  <c r="K4034" i="48"/>
  <c r="K4031" i="48"/>
  <c r="M4031" i="48" s="1"/>
  <c r="K4030" i="48"/>
  <c r="K4029" i="48"/>
  <c r="M4029" i="48" s="1"/>
  <c r="K4026" i="48"/>
  <c r="K4025" i="48"/>
  <c r="K4024" i="48"/>
  <c r="K4021" i="48"/>
  <c r="L4021" i="48" s="1"/>
  <c r="N4021" i="48" s="1"/>
  <c r="K4020" i="48"/>
  <c r="K4019" i="48"/>
  <c r="L4019" i="48" s="1"/>
  <c r="N4019" i="48" s="1"/>
  <c r="K4018" i="48"/>
  <c r="K4017" i="48"/>
  <c r="L4017" i="48" s="1"/>
  <c r="N4017" i="48" s="1"/>
  <c r="K4016" i="48"/>
  <c r="K4015" i="48"/>
  <c r="L4015" i="48" s="1"/>
  <c r="K4012" i="48"/>
  <c r="K4011" i="48"/>
  <c r="M4011" i="48" s="1"/>
  <c r="K4008" i="48"/>
  <c r="M4008" i="48" s="1"/>
  <c r="K4007" i="48"/>
  <c r="M4007" i="48" s="1"/>
  <c r="K4004" i="48"/>
  <c r="L4004" i="48" s="1"/>
  <c r="N4004" i="48" s="1"/>
  <c r="G4003" i="48"/>
  <c r="H4003" i="48" s="1"/>
  <c r="N4003" i="48" s="1"/>
  <c r="K4000" i="48"/>
  <c r="L4000" i="48" s="1"/>
  <c r="N4000" i="48" s="1"/>
  <c r="G3999" i="48"/>
  <c r="K3996" i="48"/>
  <c r="G3995" i="48"/>
  <c r="K3992" i="48"/>
  <c r="M3992" i="48" s="1"/>
  <c r="G3991" i="48"/>
  <c r="K3988" i="48"/>
  <c r="L3988" i="48" s="1"/>
  <c r="N3988" i="48" s="1"/>
  <c r="G3987" i="48"/>
  <c r="K3984" i="48"/>
  <c r="G3983" i="48"/>
  <c r="M3983" i="48" s="1"/>
  <c r="K3980" i="48"/>
  <c r="G3979" i="48"/>
  <c r="M3979" i="48" s="1"/>
  <c r="K3976" i="48"/>
  <c r="G3975" i="48"/>
  <c r="H3972" i="48"/>
  <c r="K3971" i="48"/>
  <c r="K3970" i="48"/>
  <c r="K3969" i="48"/>
  <c r="M3969" i="48" s="1"/>
  <c r="H3966" i="48"/>
  <c r="K3965" i="48"/>
  <c r="K3964" i="48"/>
  <c r="M3964" i="48" s="1"/>
  <c r="K3963" i="48"/>
  <c r="M3963" i="48" s="1"/>
  <c r="K3962" i="48"/>
  <c r="M3962" i="48" s="1"/>
  <c r="E3962" i="48"/>
  <c r="K3961" i="48"/>
  <c r="E3961" i="48"/>
  <c r="K3960" i="48"/>
  <c r="E3960" i="48"/>
  <c r="K3959" i="48"/>
  <c r="M3959" i="48" s="1"/>
  <c r="E3959" i="48"/>
  <c r="K3958" i="48"/>
  <c r="E3958" i="48"/>
  <c r="Q3957" i="48"/>
  <c r="K3957" i="48"/>
  <c r="M3957" i="48" s="1"/>
  <c r="E3957" i="48"/>
  <c r="H3954" i="48"/>
  <c r="Q3953" i="48"/>
  <c r="K3953" i="48"/>
  <c r="L3953" i="48" s="1"/>
  <c r="N3953" i="48" s="1"/>
  <c r="K3952" i="48"/>
  <c r="K3951" i="48"/>
  <c r="M3951" i="48" s="1"/>
  <c r="K3950" i="48"/>
  <c r="E3950" i="48"/>
  <c r="K3949" i="48"/>
  <c r="M3949" i="48" s="1"/>
  <c r="E3949" i="48"/>
  <c r="K3948" i="48"/>
  <c r="M3948" i="48" s="1"/>
  <c r="E3948" i="48"/>
  <c r="K3947" i="48"/>
  <c r="M3947" i="48" s="1"/>
  <c r="E3947" i="48"/>
  <c r="K3946" i="48"/>
  <c r="E3946" i="48"/>
  <c r="K3945" i="48"/>
  <c r="E3945" i="48"/>
  <c r="H3942" i="48"/>
  <c r="K3941" i="48"/>
  <c r="K3940" i="48"/>
  <c r="L3940" i="48" s="1"/>
  <c r="N3940" i="48" s="1"/>
  <c r="K3939" i="48"/>
  <c r="L3939" i="48" s="1"/>
  <c r="K3938" i="48"/>
  <c r="M3938" i="48" s="1"/>
  <c r="E3938" i="48"/>
  <c r="K3937" i="48"/>
  <c r="M3937" i="48" s="1"/>
  <c r="E3937" i="48"/>
  <c r="K3936" i="48"/>
  <c r="M3936" i="48" s="1"/>
  <c r="E3936" i="48"/>
  <c r="K3935" i="48"/>
  <c r="M3935" i="48" s="1"/>
  <c r="E3935" i="48"/>
  <c r="K3934" i="48"/>
  <c r="M3934" i="48" s="1"/>
  <c r="E3934" i="48"/>
  <c r="K3933" i="48"/>
  <c r="M3933" i="48" s="1"/>
  <c r="E3933" i="48"/>
  <c r="K3930" i="48"/>
  <c r="K3929" i="48"/>
  <c r="M3929" i="48" s="1"/>
  <c r="K3928" i="48"/>
  <c r="M3928" i="48" s="1"/>
  <c r="K3927" i="48"/>
  <c r="K3924" i="48"/>
  <c r="L3924" i="48" s="1"/>
  <c r="N3924" i="48" s="1"/>
  <c r="K3923" i="48"/>
  <c r="K3922" i="48"/>
  <c r="K3921" i="48"/>
  <c r="K3918" i="48"/>
  <c r="K3917" i="48"/>
  <c r="L3917" i="48" s="1"/>
  <c r="N3917" i="48" s="1"/>
  <c r="K3916" i="48"/>
  <c r="K3915" i="48"/>
  <c r="K3912" i="48"/>
  <c r="K3911" i="48"/>
  <c r="L3911" i="48" s="1"/>
  <c r="N3911" i="48" s="1"/>
  <c r="K3910" i="48"/>
  <c r="K3909" i="48"/>
  <c r="K3906" i="48"/>
  <c r="M3906" i="48" s="1"/>
  <c r="K3905" i="48"/>
  <c r="K3904" i="48"/>
  <c r="M3904" i="48" s="1"/>
  <c r="K3903" i="48"/>
  <c r="R3900" i="48"/>
  <c r="R3901" i="48" s="1"/>
  <c r="T3901" i="48" s="1"/>
  <c r="Q3900" i="48"/>
  <c r="Q3901" i="48" s="1"/>
  <c r="K3900" i="48"/>
  <c r="L3900" i="48" s="1"/>
  <c r="N3900" i="48" s="1"/>
  <c r="K3899" i="48"/>
  <c r="K3898" i="48"/>
  <c r="L3898" i="48" s="1"/>
  <c r="N3898" i="48" s="1"/>
  <c r="K3897" i="48"/>
  <c r="K3894" i="48"/>
  <c r="M3894" i="48" s="1"/>
  <c r="K3893" i="48"/>
  <c r="M3893" i="48" s="1"/>
  <c r="K3892" i="48"/>
  <c r="M3892" i="48" s="1"/>
  <c r="K3891" i="48"/>
  <c r="M3891" i="48" s="1"/>
  <c r="K3888" i="48"/>
  <c r="L3888" i="48" s="1"/>
  <c r="N3888" i="48" s="1"/>
  <c r="K3887" i="48"/>
  <c r="L3887" i="48" s="1"/>
  <c r="N3887" i="48" s="1"/>
  <c r="K3886" i="48"/>
  <c r="L3886" i="48" s="1"/>
  <c r="N3886" i="48" s="1"/>
  <c r="K3885" i="48"/>
  <c r="L3885" i="48" s="1"/>
  <c r="N3885" i="48" s="1"/>
  <c r="K3882" i="48"/>
  <c r="K3881" i="48"/>
  <c r="K3880" i="48"/>
  <c r="K3879" i="48"/>
  <c r="K3876" i="48"/>
  <c r="K3875" i="48"/>
  <c r="L3875" i="48" s="1"/>
  <c r="N3875" i="48" s="1"/>
  <c r="K3874" i="48"/>
  <c r="K3873" i="48"/>
  <c r="L3873" i="48" s="1"/>
  <c r="N3873" i="48" s="1"/>
  <c r="K3870" i="48"/>
  <c r="K3869" i="48"/>
  <c r="M3869" i="48" s="1"/>
  <c r="K3868" i="48"/>
  <c r="K3867" i="48"/>
  <c r="K3864" i="48"/>
  <c r="L3864" i="48" s="1"/>
  <c r="N3864" i="48" s="1"/>
  <c r="K3863" i="48"/>
  <c r="L3863" i="48" s="1"/>
  <c r="N3863" i="48" s="1"/>
  <c r="K3862" i="48"/>
  <c r="L3862" i="48" s="1"/>
  <c r="N3862" i="48" s="1"/>
  <c r="K3861" i="48"/>
  <c r="L3861" i="48" s="1"/>
  <c r="N3861" i="48" s="1"/>
  <c r="K3858" i="48"/>
  <c r="K3855" i="48"/>
  <c r="L3855" i="48" s="1"/>
  <c r="N3855" i="48" s="1"/>
  <c r="N3856" i="48" s="1"/>
  <c r="K3852" i="48"/>
  <c r="M3852" i="48" s="1"/>
  <c r="L3850" i="48"/>
  <c r="I3848" i="48"/>
  <c r="E3848" i="48"/>
  <c r="I3847" i="48"/>
  <c r="M3847" i="48" s="1"/>
  <c r="E3847" i="48"/>
  <c r="H3844" i="48"/>
  <c r="H3845" i="48" s="1"/>
  <c r="I3843" i="48"/>
  <c r="I3842" i="48"/>
  <c r="J3842" i="48" s="1"/>
  <c r="N3841" i="48"/>
  <c r="M3841" i="48"/>
  <c r="H3837" i="48"/>
  <c r="I3836" i="48"/>
  <c r="J3836" i="48" s="1"/>
  <c r="N3836" i="48" s="1"/>
  <c r="I3835" i="48"/>
  <c r="J3835" i="48" s="1"/>
  <c r="G3834" i="48"/>
  <c r="M3834" i="48" s="1"/>
  <c r="H3830" i="48"/>
  <c r="I3829" i="48"/>
  <c r="J3829" i="48" s="1"/>
  <c r="N3829" i="48" s="1"/>
  <c r="I3828" i="48"/>
  <c r="G3827" i="48"/>
  <c r="I3824" i="48"/>
  <c r="G3823" i="48"/>
  <c r="H3823" i="48" s="1"/>
  <c r="H3817" i="48"/>
  <c r="I3815" i="48"/>
  <c r="Q3814" i="48"/>
  <c r="I3814" i="48"/>
  <c r="Q3813" i="48"/>
  <c r="G3813" i="48"/>
  <c r="M3813" i="48" s="1"/>
  <c r="G3812" i="48"/>
  <c r="T3809" i="48"/>
  <c r="I3809" i="48"/>
  <c r="T3808" i="48"/>
  <c r="M3808" i="48"/>
  <c r="H3808" i="48"/>
  <c r="I3805" i="48"/>
  <c r="J3805" i="48" s="1"/>
  <c r="T3804" i="48"/>
  <c r="M3804" i="48"/>
  <c r="H3804" i="48"/>
  <c r="H3806" i="48" s="1"/>
  <c r="T3803" i="48"/>
  <c r="K3801" i="48"/>
  <c r="I3801" i="48"/>
  <c r="G3801" i="48"/>
  <c r="E3801" i="48"/>
  <c r="K3800" i="48"/>
  <c r="E3800" i="48"/>
  <c r="I3799" i="48"/>
  <c r="M3799" i="48" s="1"/>
  <c r="E3799" i="48"/>
  <c r="I3798" i="48"/>
  <c r="E3798" i="48"/>
  <c r="K3795" i="48"/>
  <c r="L3795" i="48" s="1"/>
  <c r="I3795" i="48"/>
  <c r="G3795" i="48"/>
  <c r="E3795" i="48"/>
  <c r="K3794" i="48"/>
  <c r="M3794" i="48" s="1"/>
  <c r="E3794" i="48"/>
  <c r="I3793" i="48"/>
  <c r="E3793" i="48"/>
  <c r="I3792" i="48"/>
  <c r="E3792" i="48"/>
  <c r="K3789" i="48"/>
  <c r="M3789" i="48" s="1"/>
  <c r="K3786" i="48"/>
  <c r="L3786" i="48" s="1"/>
  <c r="H3783" i="48"/>
  <c r="T3781" i="48"/>
  <c r="T3780" i="48"/>
  <c r="T3779" i="48"/>
  <c r="G3779" i="48"/>
  <c r="T3778" i="48"/>
  <c r="I3778" i="48"/>
  <c r="E3778" i="48"/>
  <c r="T3777" i="48"/>
  <c r="I3777" i="48"/>
  <c r="M3777" i="48" s="1"/>
  <c r="E3777" i="48"/>
  <c r="T3776" i="48"/>
  <c r="G3776" i="48"/>
  <c r="T3775" i="48"/>
  <c r="H3773" i="48"/>
  <c r="G3769" i="48"/>
  <c r="I3768" i="48"/>
  <c r="M3768" i="48" s="1"/>
  <c r="E3768" i="48"/>
  <c r="I3767" i="48"/>
  <c r="E3767" i="48"/>
  <c r="G3766" i="48"/>
  <c r="H3766" i="48" s="1"/>
  <c r="N3766" i="48" s="1"/>
  <c r="G3765" i="48"/>
  <c r="M3765" i="48" s="1"/>
  <c r="H3762" i="48"/>
  <c r="K3760" i="48"/>
  <c r="K3781" i="48" s="1"/>
  <c r="L3781" i="48" s="1"/>
  <c r="I3760" i="48"/>
  <c r="I3771" i="48" s="1"/>
  <c r="J3771" i="48" s="1"/>
  <c r="G3760" i="48"/>
  <c r="G3771" i="48" s="1"/>
  <c r="G3758" i="48"/>
  <c r="I3757" i="48"/>
  <c r="M3757" i="48" s="1"/>
  <c r="E3757" i="48"/>
  <c r="I3756" i="48"/>
  <c r="M3756" i="48" s="1"/>
  <c r="E3756" i="48"/>
  <c r="G3755" i="48"/>
  <c r="H3755" i="48" s="1"/>
  <c r="N3755" i="48" s="1"/>
  <c r="G3754" i="48"/>
  <c r="H3751" i="48"/>
  <c r="I3750" i="48"/>
  <c r="I3749" i="48"/>
  <c r="K3746" i="48"/>
  <c r="L3746" i="48" s="1"/>
  <c r="L3747" i="48" s="1"/>
  <c r="I3746" i="48"/>
  <c r="J3746" i="48" s="1"/>
  <c r="G3746" i="48"/>
  <c r="I3745" i="48"/>
  <c r="I3744" i="48"/>
  <c r="M3744" i="48" s="1"/>
  <c r="I3743" i="48"/>
  <c r="M3743" i="48" s="1"/>
  <c r="I3742" i="48"/>
  <c r="M3742" i="48" s="1"/>
  <c r="L3740" i="48"/>
  <c r="I3738" i="48"/>
  <c r="M3738" i="48" s="1"/>
  <c r="I3737" i="48"/>
  <c r="M3737" i="48" s="1"/>
  <c r="G3736" i="48"/>
  <c r="G3735" i="48"/>
  <c r="L3733" i="48"/>
  <c r="I3731" i="48"/>
  <c r="M3731" i="48" s="1"/>
  <c r="E3731" i="48"/>
  <c r="E3738" i="48" s="1"/>
  <c r="I3730" i="48"/>
  <c r="M3730" i="48" s="1"/>
  <c r="E3730" i="48"/>
  <c r="E3737" i="48" s="1"/>
  <c r="G3729" i="48"/>
  <c r="G3728" i="48"/>
  <c r="M3728" i="48" s="1"/>
  <c r="L3726" i="48"/>
  <c r="I3724" i="48"/>
  <c r="E3724" i="48"/>
  <c r="I3723" i="48"/>
  <c r="E3723" i="48"/>
  <c r="G3722" i="48"/>
  <c r="G3721" i="48"/>
  <c r="L3719" i="48"/>
  <c r="I3717" i="48"/>
  <c r="M3717" i="48" s="1"/>
  <c r="I3716" i="48"/>
  <c r="G3715" i="48"/>
  <c r="G3714" i="48"/>
  <c r="M3714" i="48" s="1"/>
  <c r="S3713" i="48"/>
  <c r="S3712" i="48"/>
  <c r="L3712" i="48"/>
  <c r="I3710" i="48"/>
  <c r="M3710" i="48" s="1"/>
  <c r="E3710" i="48"/>
  <c r="I3709" i="48"/>
  <c r="M3709" i="48" s="1"/>
  <c r="E3709" i="48"/>
  <c r="G3708" i="48"/>
  <c r="S3707" i="48"/>
  <c r="G3707" i="48"/>
  <c r="S3706" i="48"/>
  <c r="S3705" i="48"/>
  <c r="L3705" i="48"/>
  <c r="I3703" i="48"/>
  <c r="I3702" i="48"/>
  <c r="G3701" i="48"/>
  <c r="G3700" i="48"/>
  <c r="L3698" i="48"/>
  <c r="I3696" i="48"/>
  <c r="E3696" i="48"/>
  <c r="R3695" i="48"/>
  <c r="T3695" i="48" s="1"/>
  <c r="I3695" i="48"/>
  <c r="E3695" i="48"/>
  <c r="R3694" i="48"/>
  <c r="T3694" i="48" s="1"/>
  <c r="G3694" i="48"/>
  <c r="G3693" i="48"/>
  <c r="L3691" i="48"/>
  <c r="I3689" i="48"/>
  <c r="M3689" i="48" s="1"/>
  <c r="I3688" i="48"/>
  <c r="G3687" i="48"/>
  <c r="M3687" i="48" s="1"/>
  <c r="G3686" i="48"/>
  <c r="M3686" i="48" s="1"/>
  <c r="L3684" i="48"/>
  <c r="G3682" i="48"/>
  <c r="I3681" i="48"/>
  <c r="J3681" i="48" s="1"/>
  <c r="N3681" i="48" s="1"/>
  <c r="I3680" i="48"/>
  <c r="L3678" i="48"/>
  <c r="G3676" i="48"/>
  <c r="I3675" i="48"/>
  <c r="M3675" i="48" s="1"/>
  <c r="I3674" i="48"/>
  <c r="M3674" i="48" s="1"/>
  <c r="L3672" i="48"/>
  <c r="G3670" i="48"/>
  <c r="I3669" i="48"/>
  <c r="E3669" i="48"/>
  <c r="I3668" i="48"/>
  <c r="M3668" i="48" s="1"/>
  <c r="E3668" i="48"/>
  <c r="L3666" i="48"/>
  <c r="G3664" i="48"/>
  <c r="I3663" i="48"/>
  <c r="M3663" i="48" s="1"/>
  <c r="I3662" i="48"/>
  <c r="K3659" i="48"/>
  <c r="L3659" i="48" s="1"/>
  <c r="I3657" i="48"/>
  <c r="I3656" i="48"/>
  <c r="J3656" i="48" s="1"/>
  <c r="N3656" i="48" s="1"/>
  <c r="I3655" i="48"/>
  <c r="I3654" i="48"/>
  <c r="K3651" i="48"/>
  <c r="L3651" i="48" s="1"/>
  <c r="I3649" i="48"/>
  <c r="I3648" i="48"/>
  <c r="I3647" i="48"/>
  <c r="I3646" i="48"/>
  <c r="K3643" i="48"/>
  <c r="L3643" i="48" s="1"/>
  <c r="I3641" i="48"/>
  <c r="M3641" i="48" s="1"/>
  <c r="I3640" i="48"/>
  <c r="M3640" i="48" s="1"/>
  <c r="I3639" i="48"/>
  <c r="M3639" i="48" s="1"/>
  <c r="I3638" i="48"/>
  <c r="M3638" i="48" s="1"/>
  <c r="K3635" i="48"/>
  <c r="L3635" i="48" s="1"/>
  <c r="I3633" i="48"/>
  <c r="J3633" i="48" s="1"/>
  <c r="N3633" i="48" s="1"/>
  <c r="I3632" i="48"/>
  <c r="I3631" i="48"/>
  <c r="J3631" i="48" s="1"/>
  <c r="N3631" i="48" s="1"/>
  <c r="I3630" i="48"/>
  <c r="J3630" i="48" s="1"/>
  <c r="K3627" i="48"/>
  <c r="L3627" i="48" s="1"/>
  <c r="I3625" i="48"/>
  <c r="M3625" i="48" s="1"/>
  <c r="I3624" i="48"/>
  <c r="I3623" i="48"/>
  <c r="M3623" i="48" s="1"/>
  <c r="I3622" i="48"/>
  <c r="J3622" i="48" s="1"/>
  <c r="K3619" i="48"/>
  <c r="L3619" i="48" s="1"/>
  <c r="I3617" i="48"/>
  <c r="I3616" i="48"/>
  <c r="I3615" i="48"/>
  <c r="I3614" i="48"/>
  <c r="I3611" i="48"/>
  <c r="G3610" i="48"/>
  <c r="L3608" i="48"/>
  <c r="I3606" i="48"/>
  <c r="M3606" i="48" s="1"/>
  <c r="I3605" i="48"/>
  <c r="G3604" i="48"/>
  <c r="G3603" i="48"/>
  <c r="M3603" i="48" s="1"/>
  <c r="G3602" i="48"/>
  <c r="M3602" i="48" s="1"/>
  <c r="G3601" i="48"/>
  <c r="M3601" i="48" s="1"/>
  <c r="L3599" i="48"/>
  <c r="I3597" i="48"/>
  <c r="M3597" i="48" s="1"/>
  <c r="I3596" i="48"/>
  <c r="M3596" i="48" s="1"/>
  <c r="G3595" i="48"/>
  <c r="M3595" i="48" s="1"/>
  <c r="G3594" i="48"/>
  <c r="G3593" i="48"/>
  <c r="H3593" i="48" s="1"/>
  <c r="N3593" i="48" s="1"/>
  <c r="T3592" i="48"/>
  <c r="G3592" i="48"/>
  <c r="M3592" i="48" s="1"/>
  <c r="T3591" i="48"/>
  <c r="I3588" i="48"/>
  <c r="I3587" i="48"/>
  <c r="G3586" i="48"/>
  <c r="I3582" i="48"/>
  <c r="I3581" i="48"/>
  <c r="G3580" i="48"/>
  <c r="I3576" i="48"/>
  <c r="E3576" i="48"/>
  <c r="I3575" i="48"/>
  <c r="M3575" i="48" s="1"/>
  <c r="E3575" i="48"/>
  <c r="G3574" i="48"/>
  <c r="M3574" i="48" s="1"/>
  <c r="T3570" i="48"/>
  <c r="I3570" i="48"/>
  <c r="M3570" i="48" s="1"/>
  <c r="T3569" i="48"/>
  <c r="I3569" i="48"/>
  <c r="G3568" i="48"/>
  <c r="E3563" i="48"/>
  <c r="E3562" i="48"/>
  <c r="C3562" i="48"/>
  <c r="A3562" i="48"/>
  <c r="H3556" i="48"/>
  <c r="K3555" i="48"/>
  <c r="L3555" i="48" s="1"/>
  <c r="I3555" i="48"/>
  <c r="J3555" i="48" s="1"/>
  <c r="G3555" i="48"/>
  <c r="K3554" i="48"/>
  <c r="L3554" i="48" s="1"/>
  <c r="I3554" i="48"/>
  <c r="J3554" i="48" s="1"/>
  <c r="G3554" i="48"/>
  <c r="I3553" i="48"/>
  <c r="M3553" i="48" s="1"/>
  <c r="I3552" i="48"/>
  <c r="M3552" i="48" s="1"/>
  <c r="G3551" i="48"/>
  <c r="M3551" i="48" s="1"/>
  <c r="G3550" i="48"/>
  <c r="M3550" i="48" s="1"/>
  <c r="G3549" i="48"/>
  <c r="M3549" i="48" s="1"/>
  <c r="G3548" i="48"/>
  <c r="M3548" i="48" s="1"/>
  <c r="G3547" i="48"/>
  <c r="M3547" i="48" s="1"/>
  <c r="H3543" i="48"/>
  <c r="K3542" i="48"/>
  <c r="L3542" i="48" s="1"/>
  <c r="I3542" i="48"/>
  <c r="J3542" i="48" s="1"/>
  <c r="G3542" i="48"/>
  <c r="H3542" i="48" s="1"/>
  <c r="K3541" i="48"/>
  <c r="L3541" i="48" s="1"/>
  <c r="I3541" i="48"/>
  <c r="J3541" i="48" s="1"/>
  <c r="G3541" i="48"/>
  <c r="H3541" i="48" s="1"/>
  <c r="K3540" i="48"/>
  <c r="L3540" i="48" s="1"/>
  <c r="I3540" i="48"/>
  <c r="J3540" i="48" s="1"/>
  <c r="G3540" i="48"/>
  <c r="H3540" i="48" s="1"/>
  <c r="I3539" i="48"/>
  <c r="J3539" i="48" s="1"/>
  <c r="N3539" i="48" s="1"/>
  <c r="I3538" i="48"/>
  <c r="I3537" i="48"/>
  <c r="I3536" i="48"/>
  <c r="G3535" i="48"/>
  <c r="H3535" i="48" s="1"/>
  <c r="N3535" i="48" s="1"/>
  <c r="G3534" i="48"/>
  <c r="G3533" i="48"/>
  <c r="G3532" i="48"/>
  <c r="G3531" i="48"/>
  <c r="M3531" i="48" s="1"/>
  <c r="H3527" i="48"/>
  <c r="K3526" i="48"/>
  <c r="L3526" i="48" s="1"/>
  <c r="I3526" i="48"/>
  <c r="J3526" i="48" s="1"/>
  <c r="G3526" i="48"/>
  <c r="K3525" i="48"/>
  <c r="L3525" i="48" s="1"/>
  <c r="I3525" i="48"/>
  <c r="J3525" i="48" s="1"/>
  <c r="G3525" i="48"/>
  <c r="I3524" i="48"/>
  <c r="M3524" i="48" s="1"/>
  <c r="R3523" i="48"/>
  <c r="I3523" i="48"/>
  <c r="I3522" i="48"/>
  <c r="G3521" i="48"/>
  <c r="G3520" i="48"/>
  <c r="G3519" i="48"/>
  <c r="H3515" i="48"/>
  <c r="K3514" i="48"/>
  <c r="L3514" i="48" s="1"/>
  <c r="I3514" i="48"/>
  <c r="G3514" i="48"/>
  <c r="H3514" i="48" s="1"/>
  <c r="K3513" i="48"/>
  <c r="L3513" i="48" s="1"/>
  <c r="I3513" i="48"/>
  <c r="G3513" i="48"/>
  <c r="H3513" i="48" s="1"/>
  <c r="I3512" i="48"/>
  <c r="I3511" i="48"/>
  <c r="R3510" i="48"/>
  <c r="I3510" i="48"/>
  <c r="M3510" i="48" s="1"/>
  <c r="R3509" i="48"/>
  <c r="I3509" i="48"/>
  <c r="R3508" i="48"/>
  <c r="G3508" i="48"/>
  <c r="M3508" i="48" s="1"/>
  <c r="R3507" i="48"/>
  <c r="G3507" i="48"/>
  <c r="G3506" i="48"/>
  <c r="H3506" i="48" s="1"/>
  <c r="N3506" i="48" s="1"/>
  <c r="H3502" i="48"/>
  <c r="K3501" i="48"/>
  <c r="L3501" i="48" s="1"/>
  <c r="I3501" i="48"/>
  <c r="J3501" i="48" s="1"/>
  <c r="G3501" i="48"/>
  <c r="K3500" i="48"/>
  <c r="L3500" i="48" s="1"/>
  <c r="I3500" i="48"/>
  <c r="J3500" i="48" s="1"/>
  <c r="G3500" i="48"/>
  <c r="I3499" i="48"/>
  <c r="I3498" i="48"/>
  <c r="G3497" i="48"/>
  <c r="G3496" i="48"/>
  <c r="G3495" i="48"/>
  <c r="R3494" i="48"/>
  <c r="G3494" i="48"/>
  <c r="H3494" i="48" s="1"/>
  <c r="R3492" i="48"/>
  <c r="R3491" i="48"/>
  <c r="H3490" i="48"/>
  <c r="K3489" i="48"/>
  <c r="L3489" i="48" s="1"/>
  <c r="I3489" i="48"/>
  <c r="J3489" i="48" s="1"/>
  <c r="G3489" i="48"/>
  <c r="K3488" i="48"/>
  <c r="L3488" i="48" s="1"/>
  <c r="I3488" i="48"/>
  <c r="G3488" i="48"/>
  <c r="H3488" i="48" s="1"/>
  <c r="I3487" i="48"/>
  <c r="I3486" i="48"/>
  <c r="G3485" i="48"/>
  <c r="M3485" i="48" s="1"/>
  <c r="G3484" i="48"/>
  <c r="M3484" i="48" s="1"/>
  <c r="G3483" i="48"/>
  <c r="M3483" i="48" s="1"/>
  <c r="R3482" i="48"/>
  <c r="G3482" i="48"/>
  <c r="R3481" i="48"/>
  <c r="R3480" i="48"/>
  <c r="R3479" i="48"/>
  <c r="R3478" i="48"/>
  <c r="H3478" i="48"/>
  <c r="K3477" i="48"/>
  <c r="L3477" i="48" s="1"/>
  <c r="I3477" i="48"/>
  <c r="J3477" i="48" s="1"/>
  <c r="G3477" i="48"/>
  <c r="K3476" i="48"/>
  <c r="L3476" i="48" s="1"/>
  <c r="I3476" i="48"/>
  <c r="J3476" i="48" s="1"/>
  <c r="G3476" i="48"/>
  <c r="I3475" i="48"/>
  <c r="I3474" i="48"/>
  <c r="G3473" i="48"/>
  <c r="G3472" i="48"/>
  <c r="G3471" i="48"/>
  <c r="G3470" i="48"/>
  <c r="R3469" i="48"/>
  <c r="G3469" i="48"/>
  <c r="M3469" i="48" s="1"/>
  <c r="H3465" i="48"/>
  <c r="K3464" i="48"/>
  <c r="L3464" i="48" s="1"/>
  <c r="I3464" i="48"/>
  <c r="G3464" i="48"/>
  <c r="H3464" i="48" s="1"/>
  <c r="K3463" i="48"/>
  <c r="L3463" i="48" s="1"/>
  <c r="I3463" i="48"/>
  <c r="G3463" i="48"/>
  <c r="H3463" i="48" s="1"/>
  <c r="I3462" i="48"/>
  <c r="I3461" i="48"/>
  <c r="J3461" i="48" s="1"/>
  <c r="G3460" i="48"/>
  <c r="G3459" i="48"/>
  <c r="G3458" i="48"/>
  <c r="H3458" i="48" s="1"/>
  <c r="N3458" i="48" s="1"/>
  <c r="R3457" i="48"/>
  <c r="G3457" i="48"/>
  <c r="G3456" i="48"/>
  <c r="H3452" i="48"/>
  <c r="K3451" i="48"/>
  <c r="L3451" i="48" s="1"/>
  <c r="I3451" i="48"/>
  <c r="G3451" i="48"/>
  <c r="H3451" i="48" s="1"/>
  <c r="K3450" i="48"/>
  <c r="L3450" i="48" s="1"/>
  <c r="I3450" i="48"/>
  <c r="J3450" i="48" s="1"/>
  <c r="G3450" i="48"/>
  <c r="H3450" i="48" s="1"/>
  <c r="K3449" i="48"/>
  <c r="L3449" i="48" s="1"/>
  <c r="I3449" i="48"/>
  <c r="G3449" i="48"/>
  <c r="H3449" i="48" s="1"/>
  <c r="I3448" i="48"/>
  <c r="I3447" i="48"/>
  <c r="J3447" i="48" s="1"/>
  <c r="N3447" i="48" s="1"/>
  <c r="I3446" i="48"/>
  <c r="J3446" i="48" s="1"/>
  <c r="N3446" i="48" s="1"/>
  <c r="R3445" i="48"/>
  <c r="I3445" i="48"/>
  <c r="J3445" i="48" s="1"/>
  <c r="N3445" i="48" s="1"/>
  <c r="G3444" i="48"/>
  <c r="H3444" i="48" s="1"/>
  <c r="N3444" i="48" s="1"/>
  <c r="G3443" i="48"/>
  <c r="G3442" i="48"/>
  <c r="H3442" i="48" s="1"/>
  <c r="G3441" i="48"/>
  <c r="H3437" i="48"/>
  <c r="K3436" i="48"/>
  <c r="L3436" i="48" s="1"/>
  <c r="I3436" i="48"/>
  <c r="J3436" i="48" s="1"/>
  <c r="G3436" i="48"/>
  <c r="K3435" i="48"/>
  <c r="L3435" i="48" s="1"/>
  <c r="I3435" i="48"/>
  <c r="J3435" i="48" s="1"/>
  <c r="G3435" i="48"/>
  <c r="H3435" i="48" s="1"/>
  <c r="K3434" i="48"/>
  <c r="L3434" i="48" s="1"/>
  <c r="I3434" i="48"/>
  <c r="J3434" i="48" s="1"/>
  <c r="G3434" i="48"/>
  <c r="H3434" i="48" s="1"/>
  <c r="I3433" i="48"/>
  <c r="R3432" i="48"/>
  <c r="I3432" i="48"/>
  <c r="I3431" i="48"/>
  <c r="M3431" i="48" s="1"/>
  <c r="I3430" i="48"/>
  <c r="G3429" i="48"/>
  <c r="M3429" i="48" s="1"/>
  <c r="G3428" i="48"/>
  <c r="G3427" i="48"/>
  <c r="M3427" i="48" s="1"/>
  <c r="G3426" i="48"/>
  <c r="M3426" i="48" s="1"/>
  <c r="H3422" i="48"/>
  <c r="K3421" i="48"/>
  <c r="L3421" i="48" s="1"/>
  <c r="I3421" i="48"/>
  <c r="J3421" i="48" s="1"/>
  <c r="G3421" i="48"/>
  <c r="K3420" i="48"/>
  <c r="L3420" i="48" s="1"/>
  <c r="I3420" i="48"/>
  <c r="J3420" i="48" s="1"/>
  <c r="G3420" i="48"/>
  <c r="R3419" i="48"/>
  <c r="K3419" i="48"/>
  <c r="L3419" i="48" s="1"/>
  <c r="I3419" i="48"/>
  <c r="J3419" i="48" s="1"/>
  <c r="G3419" i="48"/>
  <c r="H3419" i="48" s="1"/>
  <c r="R3418" i="48"/>
  <c r="I3418" i="48"/>
  <c r="R3417" i="48"/>
  <c r="I3417" i="48"/>
  <c r="M3417" i="48" s="1"/>
  <c r="R3416" i="48"/>
  <c r="I3416" i="48"/>
  <c r="I3415" i="48"/>
  <c r="G3414" i="48"/>
  <c r="G3413" i="48"/>
  <c r="G3412" i="48"/>
  <c r="G3411" i="48"/>
  <c r="G3410" i="48"/>
  <c r="H3406" i="48"/>
  <c r="K3405" i="48"/>
  <c r="L3405" i="48" s="1"/>
  <c r="I3405" i="48"/>
  <c r="G3405" i="48"/>
  <c r="H3405" i="48" s="1"/>
  <c r="R3404" i="48"/>
  <c r="K3404" i="48"/>
  <c r="L3404" i="48" s="1"/>
  <c r="I3404" i="48"/>
  <c r="J3404" i="48" s="1"/>
  <c r="G3404" i="48"/>
  <c r="H3404" i="48" s="1"/>
  <c r="R3403" i="48"/>
  <c r="K3403" i="48"/>
  <c r="L3403" i="48" s="1"/>
  <c r="I3403" i="48"/>
  <c r="J3403" i="48" s="1"/>
  <c r="G3403" i="48"/>
  <c r="R3402" i="48"/>
  <c r="I3402" i="48"/>
  <c r="R3401" i="48"/>
  <c r="I3401" i="48"/>
  <c r="I3400" i="48"/>
  <c r="I3399" i="48"/>
  <c r="J3399" i="48" s="1"/>
  <c r="G3398" i="48"/>
  <c r="G3397" i="48"/>
  <c r="G3396" i="48"/>
  <c r="H3396" i="48" s="1"/>
  <c r="G3395" i="48"/>
  <c r="M3395" i="48" s="1"/>
  <c r="G3394" i="48"/>
  <c r="M3394" i="48" s="1"/>
  <c r="H3390" i="48"/>
  <c r="R3389" i="48"/>
  <c r="K3389" i="48"/>
  <c r="L3389" i="48" s="1"/>
  <c r="I3389" i="48"/>
  <c r="J3389" i="48" s="1"/>
  <c r="G3389" i="48"/>
  <c r="R3388" i="48"/>
  <c r="I3388" i="48"/>
  <c r="R3387" i="48"/>
  <c r="I3387" i="48"/>
  <c r="R3386" i="48"/>
  <c r="G3386" i="48"/>
  <c r="G3385" i="48"/>
  <c r="H3381" i="48"/>
  <c r="K3380" i="48"/>
  <c r="L3380" i="48" s="1"/>
  <c r="I3380" i="48"/>
  <c r="J3380" i="48" s="1"/>
  <c r="G3380" i="48"/>
  <c r="H3380" i="48" s="1"/>
  <c r="I3379" i="48"/>
  <c r="M3379" i="48" s="1"/>
  <c r="I3378" i="48"/>
  <c r="G3377" i="48"/>
  <c r="H3377" i="48" s="1"/>
  <c r="G3376" i="48"/>
  <c r="M3376" i="48" s="1"/>
  <c r="R3373" i="48"/>
  <c r="R3372" i="48"/>
  <c r="H3372" i="48"/>
  <c r="R3371" i="48"/>
  <c r="K3371" i="48"/>
  <c r="L3371" i="48" s="1"/>
  <c r="I3371" i="48"/>
  <c r="J3371" i="48" s="1"/>
  <c r="G3371" i="48"/>
  <c r="H3371" i="48" s="1"/>
  <c r="R3370" i="48"/>
  <c r="I3370" i="48"/>
  <c r="I3369" i="48"/>
  <c r="G3368" i="48"/>
  <c r="G3367" i="48"/>
  <c r="G3366" i="48"/>
  <c r="H3362" i="48"/>
  <c r="K3361" i="48"/>
  <c r="L3361" i="48" s="1"/>
  <c r="I3361" i="48"/>
  <c r="J3361" i="48" s="1"/>
  <c r="G3361" i="48"/>
  <c r="I3360" i="48"/>
  <c r="M3360" i="48" s="1"/>
  <c r="I3359" i="48"/>
  <c r="G3358" i="48"/>
  <c r="M3358" i="48" s="1"/>
  <c r="R3357" i="48"/>
  <c r="G3357" i="48"/>
  <c r="R3356" i="48"/>
  <c r="G3356" i="48"/>
  <c r="R3355" i="48"/>
  <c r="S3353" i="48"/>
  <c r="S3354" i="48" s="1"/>
  <c r="H3352" i="48"/>
  <c r="K3351" i="48"/>
  <c r="L3351" i="48" s="1"/>
  <c r="I3351" i="48"/>
  <c r="J3351" i="48" s="1"/>
  <c r="G3351" i="48"/>
  <c r="H3351" i="48" s="1"/>
  <c r="K3350" i="48"/>
  <c r="L3350" i="48" s="1"/>
  <c r="I3350" i="48"/>
  <c r="J3350" i="48" s="1"/>
  <c r="G3350" i="48"/>
  <c r="I3349" i="48"/>
  <c r="R3348" i="48"/>
  <c r="I3348" i="48"/>
  <c r="R3347" i="48"/>
  <c r="I3347" i="48"/>
  <c r="R3346" i="48"/>
  <c r="I3346" i="48"/>
  <c r="G3345" i="48"/>
  <c r="G3344" i="48"/>
  <c r="M3344" i="48" s="1"/>
  <c r="S3343" i="48"/>
  <c r="S3344" i="48" s="1"/>
  <c r="S3345" i="48" s="1"/>
  <c r="H3340" i="48"/>
  <c r="R3339" i="48"/>
  <c r="K3339" i="48"/>
  <c r="L3339" i="48" s="1"/>
  <c r="I3339" i="48"/>
  <c r="J3339" i="48" s="1"/>
  <c r="G3339" i="48"/>
  <c r="H3339" i="48" s="1"/>
  <c r="R3338" i="48"/>
  <c r="K3338" i="48"/>
  <c r="L3338" i="48" s="1"/>
  <c r="I3338" i="48"/>
  <c r="G3338" i="48"/>
  <c r="H3338" i="48" s="1"/>
  <c r="R3337" i="48"/>
  <c r="I3337" i="48"/>
  <c r="I3336" i="48"/>
  <c r="I3335" i="48"/>
  <c r="S3334" i="48"/>
  <c r="S3335" i="48" s="1"/>
  <c r="I3334" i="48"/>
  <c r="M3334" i="48" s="1"/>
  <c r="G3333" i="48"/>
  <c r="G3332" i="48"/>
  <c r="H3332" i="48" s="1"/>
  <c r="N3332" i="48" s="1"/>
  <c r="R3329" i="48"/>
  <c r="R3328" i="48"/>
  <c r="H3328" i="48"/>
  <c r="R3327" i="48"/>
  <c r="K3327" i="48"/>
  <c r="L3327" i="48" s="1"/>
  <c r="I3327" i="48"/>
  <c r="G3327" i="48"/>
  <c r="H3327" i="48" s="1"/>
  <c r="K3326" i="48"/>
  <c r="L3326" i="48" s="1"/>
  <c r="I3326" i="48"/>
  <c r="J3326" i="48" s="1"/>
  <c r="G3326" i="48"/>
  <c r="H3326" i="48" s="1"/>
  <c r="I3325" i="48"/>
  <c r="S3324" i="48"/>
  <c r="S3325" i="48" s="1"/>
  <c r="I3324" i="48"/>
  <c r="I3323" i="48"/>
  <c r="I3322" i="48"/>
  <c r="G3321" i="48"/>
  <c r="M3321" i="48" s="1"/>
  <c r="E3321" i="48"/>
  <c r="G3320" i="48"/>
  <c r="M3320" i="48" s="1"/>
  <c r="E3320" i="48"/>
  <c r="R3319" i="48"/>
  <c r="G3319" i="48"/>
  <c r="M3319" i="48" s="1"/>
  <c r="E3319" i="48"/>
  <c r="R3318" i="48"/>
  <c r="R3317" i="48"/>
  <c r="R3316" i="48"/>
  <c r="R3315" i="48"/>
  <c r="H3315" i="48"/>
  <c r="R3314" i="48"/>
  <c r="K3314" i="48"/>
  <c r="L3314" i="48" s="1"/>
  <c r="I3314" i="48"/>
  <c r="J3314" i="48" s="1"/>
  <c r="G3314" i="48"/>
  <c r="K3313" i="48"/>
  <c r="L3313" i="48" s="1"/>
  <c r="I3313" i="48"/>
  <c r="J3313" i="48" s="1"/>
  <c r="G3313" i="48"/>
  <c r="S3312" i="48"/>
  <c r="S3313" i="48" s="1"/>
  <c r="I3312" i="48"/>
  <c r="I3311" i="48"/>
  <c r="M3311" i="48" s="1"/>
  <c r="I3310" i="48"/>
  <c r="J3310" i="48" s="1"/>
  <c r="N3310" i="48" s="1"/>
  <c r="I3309" i="48"/>
  <c r="G3308" i="48"/>
  <c r="E3308" i="48"/>
  <c r="R3307" i="48"/>
  <c r="G3307" i="48"/>
  <c r="M3307" i="48" s="1"/>
  <c r="E3307" i="48"/>
  <c r="R3306" i="48"/>
  <c r="G3306" i="48"/>
  <c r="E3306" i="48"/>
  <c r="R3305" i="48"/>
  <c r="R3304" i="48"/>
  <c r="R3303" i="48"/>
  <c r="R3302" i="48"/>
  <c r="K3302" i="48"/>
  <c r="L3302" i="48" s="1"/>
  <c r="I3302" i="48"/>
  <c r="J3302" i="48" s="1"/>
  <c r="G3302" i="48"/>
  <c r="K3301" i="48"/>
  <c r="L3301" i="48" s="1"/>
  <c r="I3301" i="48"/>
  <c r="J3301" i="48" s="1"/>
  <c r="G3301" i="48"/>
  <c r="H3301" i="48" s="1"/>
  <c r="I3300" i="48"/>
  <c r="S3299" i="48"/>
  <c r="S3300" i="48" s="1"/>
  <c r="S3301" i="48" s="1"/>
  <c r="I3299" i="48"/>
  <c r="J3299" i="48" s="1"/>
  <c r="N3299" i="48" s="1"/>
  <c r="I3296" i="48"/>
  <c r="R3295" i="48"/>
  <c r="R3294" i="48"/>
  <c r="R3293" i="48"/>
  <c r="R3292" i="48"/>
  <c r="R3291" i="48"/>
  <c r="I3291" i="48"/>
  <c r="J3291" i="48" s="1"/>
  <c r="N3291" i="48" s="1"/>
  <c r="R3290" i="48"/>
  <c r="S3287" i="48"/>
  <c r="S3288" i="48" s="1"/>
  <c r="C3287" i="48"/>
  <c r="A3287" i="48"/>
  <c r="I3283" i="48"/>
  <c r="R3282" i="48"/>
  <c r="U3281" i="48"/>
  <c r="X3281" i="48" s="1"/>
  <c r="R3281" i="48"/>
  <c r="U3280" i="48"/>
  <c r="X3280" i="48" s="1"/>
  <c r="R3280" i="48"/>
  <c r="R3279" i="48"/>
  <c r="C3279" i="48"/>
  <c r="A3279" i="48"/>
  <c r="R3278" i="48"/>
  <c r="R3277" i="48"/>
  <c r="I3275" i="48"/>
  <c r="S3274" i="48"/>
  <c r="S3275" i="48" s="1"/>
  <c r="R3271" i="48"/>
  <c r="C3271" i="48"/>
  <c r="A3271" i="48"/>
  <c r="R3270" i="48"/>
  <c r="R3268" i="48"/>
  <c r="R3267" i="48"/>
  <c r="I3267" i="48"/>
  <c r="J3267" i="48" s="1"/>
  <c r="N3267" i="48" s="1"/>
  <c r="S3266" i="48"/>
  <c r="Q3263" i="48"/>
  <c r="C3263" i="48"/>
  <c r="A3263" i="48"/>
  <c r="Q3259" i="48"/>
  <c r="I3259" i="48"/>
  <c r="M3259" i="48" s="1"/>
  <c r="C3255" i="48"/>
  <c r="A3255" i="48"/>
  <c r="I3251" i="48"/>
  <c r="C3247" i="48"/>
  <c r="A3247" i="48"/>
  <c r="I3243" i="48"/>
  <c r="M3243" i="48" s="1"/>
  <c r="C3239" i="48"/>
  <c r="A3239" i="48"/>
  <c r="G3235" i="48"/>
  <c r="G3234" i="48"/>
  <c r="G3233" i="48"/>
  <c r="G3232" i="48"/>
  <c r="G3229" i="48"/>
  <c r="M3229" i="48" s="1"/>
  <c r="G3228" i="48"/>
  <c r="M3228" i="48" s="1"/>
  <c r="G3227" i="48"/>
  <c r="G3224" i="48"/>
  <c r="H3224" i="48" s="1"/>
  <c r="N3224" i="48" s="1"/>
  <c r="G3223" i="48"/>
  <c r="I3220" i="48"/>
  <c r="J3220" i="48" s="1"/>
  <c r="N3220" i="48" s="1"/>
  <c r="I3219" i="48"/>
  <c r="I3218" i="48"/>
  <c r="J3218" i="48" s="1"/>
  <c r="F3217" i="48"/>
  <c r="C3217" i="48"/>
  <c r="A3217" i="48"/>
  <c r="F3216" i="48"/>
  <c r="C3216" i="48"/>
  <c r="A3216" i="48"/>
  <c r="F3215" i="48"/>
  <c r="C3215" i="48"/>
  <c r="A3215" i="48"/>
  <c r="I3212" i="48"/>
  <c r="J3212" i="48" s="1"/>
  <c r="N3212" i="48" s="1"/>
  <c r="I3211" i="48"/>
  <c r="J3211" i="48" s="1"/>
  <c r="N3211" i="48" s="1"/>
  <c r="I3210" i="48"/>
  <c r="J3210" i="48" s="1"/>
  <c r="F3209" i="48"/>
  <c r="C3209" i="48"/>
  <c r="A3209" i="48"/>
  <c r="F3208" i="48"/>
  <c r="C3208" i="48"/>
  <c r="A3208" i="48"/>
  <c r="F3207" i="48"/>
  <c r="C3207" i="48"/>
  <c r="A3207" i="48"/>
  <c r="I3204" i="48"/>
  <c r="I3203" i="48"/>
  <c r="I3202" i="48"/>
  <c r="F3201" i="48"/>
  <c r="C3201" i="48"/>
  <c r="A3201" i="48"/>
  <c r="F3200" i="48"/>
  <c r="C3200" i="48"/>
  <c r="A3200" i="48"/>
  <c r="F3199" i="48"/>
  <c r="C3199" i="48"/>
  <c r="A3199" i="48"/>
  <c r="I3196" i="48"/>
  <c r="I3195" i="48"/>
  <c r="J3195" i="48" s="1"/>
  <c r="N3195" i="48" s="1"/>
  <c r="I3194" i="48"/>
  <c r="J3194" i="48" s="1"/>
  <c r="F3193" i="48"/>
  <c r="C3193" i="48"/>
  <c r="A3193" i="48"/>
  <c r="F3192" i="48"/>
  <c r="C3192" i="48"/>
  <c r="A3192" i="48"/>
  <c r="F3191" i="48"/>
  <c r="C3191" i="48"/>
  <c r="A3191" i="48"/>
  <c r="I3188" i="48"/>
  <c r="J3188" i="48" s="1"/>
  <c r="N3188" i="48" s="1"/>
  <c r="I3187" i="48"/>
  <c r="I3186" i="48"/>
  <c r="J3186" i="48" s="1"/>
  <c r="F3185" i="48"/>
  <c r="C3185" i="48"/>
  <c r="A3185" i="48"/>
  <c r="F3184" i="48"/>
  <c r="C3184" i="48"/>
  <c r="A3184" i="48"/>
  <c r="F3183" i="48"/>
  <c r="C3183" i="48"/>
  <c r="A3183" i="48"/>
  <c r="I3180" i="48"/>
  <c r="J3180" i="48" s="1"/>
  <c r="N3180" i="48" s="1"/>
  <c r="I3179" i="48"/>
  <c r="J3179" i="48" s="1"/>
  <c r="N3179" i="48" s="1"/>
  <c r="I3178" i="48"/>
  <c r="J3178" i="48" s="1"/>
  <c r="F3177" i="48"/>
  <c r="C3177" i="48"/>
  <c r="A3177" i="48"/>
  <c r="F3176" i="48"/>
  <c r="C3176" i="48"/>
  <c r="A3176" i="48"/>
  <c r="F3175" i="48"/>
  <c r="C3175" i="48"/>
  <c r="A3175" i="48"/>
  <c r="I3172" i="48"/>
  <c r="I3171" i="48"/>
  <c r="J3171" i="48" s="1"/>
  <c r="N3171" i="48" s="1"/>
  <c r="I3170" i="48"/>
  <c r="F3169" i="48"/>
  <c r="C3169" i="48"/>
  <c r="A3169" i="48"/>
  <c r="F3168" i="48"/>
  <c r="C3168" i="48"/>
  <c r="A3168" i="48"/>
  <c r="F3167" i="48"/>
  <c r="C3167" i="48"/>
  <c r="A3167" i="48"/>
  <c r="F3164" i="48"/>
  <c r="C3164" i="48"/>
  <c r="A3164" i="48"/>
  <c r="F3160" i="48"/>
  <c r="C3160" i="48"/>
  <c r="A3160" i="48"/>
  <c r="F3156" i="48"/>
  <c r="C3156" i="48"/>
  <c r="A3156" i="48"/>
  <c r="F3152" i="48"/>
  <c r="C3152" i="48"/>
  <c r="A3152" i="48"/>
  <c r="F3148" i="48"/>
  <c r="C3148" i="48"/>
  <c r="A3148" i="48"/>
  <c r="Q3145" i="48"/>
  <c r="Q3146" i="48" s="1"/>
  <c r="Q3147" i="48" s="1"/>
  <c r="Q3148" i="48" s="1"/>
  <c r="R3144" i="48"/>
  <c r="F3144" i="48"/>
  <c r="C3144" i="48"/>
  <c r="A3144" i="48"/>
  <c r="K3139" i="48"/>
  <c r="L3139" i="48" s="1"/>
  <c r="I3139" i="48"/>
  <c r="J3139" i="48" s="1"/>
  <c r="G3139" i="48"/>
  <c r="H3139" i="48" s="1"/>
  <c r="K3138" i="48"/>
  <c r="L3138" i="48" s="1"/>
  <c r="I3138" i="48"/>
  <c r="J3138" i="48" s="1"/>
  <c r="G3138" i="48"/>
  <c r="K3137" i="48"/>
  <c r="L3137" i="48" s="1"/>
  <c r="I3137" i="48"/>
  <c r="J3137" i="48" s="1"/>
  <c r="G3137" i="48"/>
  <c r="K3136" i="48"/>
  <c r="L3136" i="48" s="1"/>
  <c r="I3136" i="48"/>
  <c r="J3136" i="48" s="1"/>
  <c r="G3136" i="48"/>
  <c r="H3136" i="48" s="1"/>
  <c r="T3135" i="48"/>
  <c r="R3135" i="48"/>
  <c r="I3135" i="48"/>
  <c r="J3135" i="48" s="1"/>
  <c r="N3135" i="48" s="1"/>
  <c r="I3134" i="48"/>
  <c r="I3133" i="48"/>
  <c r="M3133" i="48" s="1"/>
  <c r="I3132" i="48"/>
  <c r="M3132" i="48" s="1"/>
  <c r="G3131" i="48"/>
  <c r="M3131" i="48" s="1"/>
  <c r="G3130" i="48"/>
  <c r="M3130" i="48" s="1"/>
  <c r="G3129" i="48"/>
  <c r="M3129" i="48" s="1"/>
  <c r="H3126" i="48"/>
  <c r="I3125" i="48"/>
  <c r="E3125" i="48"/>
  <c r="I3124" i="48"/>
  <c r="M3124" i="48" s="1"/>
  <c r="E3124" i="48"/>
  <c r="G3123" i="48"/>
  <c r="M3123" i="48" s="1"/>
  <c r="G3122" i="48"/>
  <c r="M3122" i="48" s="1"/>
  <c r="G3121" i="48"/>
  <c r="M3121" i="48" s="1"/>
  <c r="H3118" i="48"/>
  <c r="I3117" i="48"/>
  <c r="E3117" i="48"/>
  <c r="I3116" i="48"/>
  <c r="E3116" i="48"/>
  <c r="G3115" i="48"/>
  <c r="G3114" i="48"/>
  <c r="G3113" i="48"/>
  <c r="G3110" i="48"/>
  <c r="H3110" i="48" s="1"/>
  <c r="H3107" i="48"/>
  <c r="I3106" i="48"/>
  <c r="I3105" i="48"/>
  <c r="H3085" i="48"/>
  <c r="Q3083" i="48"/>
  <c r="Q3084" i="48" s="1"/>
  <c r="Q3085" i="48" s="1"/>
  <c r="Q3086" i="48" s="1"/>
  <c r="Q3087" i="48" s="1"/>
  <c r="Q3088" i="48" s="1"/>
  <c r="Q3089" i="48" s="1"/>
  <c r="Q3090" i="48" s="1"/>
  <c r="Q3091" i="48" s="1"/>
  <c r="Q3092" i="48" s="1"/>
  <c r="R3082" i="48"/>
  <c r="T3082" i="48" s="1"/>
  <c r="K3080" i="48"/>
  <c r="L3080" i="48" s="1"/>
  <c r="I3080" i="48"/>
  <c r="J3080" i="48" s="1"/>
  <c r="G3080" i="48"/>
  <c r="H3080" i="48" s="1"/>
  <c r="I3079" i="48"/>
  <c r="I3078" i="48"/>
  <c r="I3077" i="48"/>
  <c r="G3074" i="48"/>
  <c r="M3074" i="48" s="1"/>
  <c r="K3073" i="48"/>
  <c r="M3073" i="48" s="1"/>
  <c r="H3066" i="48"/>
  <c r="K3061" i="48"/>
  <c r="L3061" i="48" s="1"/>
  <c r="I3061" i="48"/>
  <c r="J3061" i="48" s="1"/>
  <c r="G3061" i="48"/>
  <c r="H3061" i="48" s="1"/>
  <c r="Q3060" i="48"/>
  <c r="I3060" i="48"/>
  <c r="J3060" i="48" s="1"/>
  <c r="N3060" i="48" s="1"/>
  <c r="I3059" i="48"/>
  <c r="J3059" i="48" s="1"/>
  <c r="N3059" i="48" s="1"/>
  <c r="I3058" i="48"/>
  <c r="G3057" i="48"/>
  <c r="G3055" i="48"/>
  <c r="H3055" i="48" s="1"/>
  <c r="N3055" i="48" s="1"/>
  <c r="K3054" i="48"/>
  <c r="K3042" i="48"/>
  <c r="L3042" i="48" s="1"/>
  <c r="I3042" i="48"/>
  <c r="J3042" i="48" s="1"/>
  <c r="G3042" i="48"/>
  <c r="I3041" i="48"/>
  <c r="I3040" i="48"/>
  <c r="M3040" i="48" s="1"/>
  <c r="I3039" i="48"/>
  <c r="M3039" i="48" s="1"/>
  <c r="G3036" i="48"/>
  <c r="H3036" i="48" s="1"/>
  <c r="K3035" i="48"/>
  <c r="H3028" i="48"/>
  <c r="K3023" i="48"/>
  <c r="L3023" i="48" s="1"/>
  <c r="I3023" i="48"/>
  <c r="J3023" i="48" s="1"/>
  <c r="G3023" i="48"/>
  <c r="I3022" i="48"/>
  <c r="I3021" i="48"/>
  <c r="M3021" i="48" s="1"/>
  <c r="I3020" i="48"/>
  <c r="G3019" i="48"/>
  <c r="G3017" i="48"/>
  <c r="K3016" i="48"/>
  <c r="K3011" i="48"/>
  <c r="I3011" i="48"/>
  <c r="G3011" i="48"/>
  <c r="E3011" i="48"/>
  <c r="I3010" i="48"/>
  <c r="M3010" i="48" s="1"/>
  <c r="E3010" i="48"/>
  <c r="I3009" i="48"/>
  <c r="M3009" i="48" s="1"/>
  <c r="E3009" i="48"/>
  <c r="E3008" i="48"/>
  <c r="K3004" i="48"/>
  <c r="L3004" i="48" s="1"/>
  <c r="I3004" i="48"/>
  <c r="J3004" i="48" s="1"/>
  <c r="G3004" i="48"/>
  <c r="I3003" i="48"/>
  <c r="I3002" i="48"/>
  <c r="M3002" i="48" s="1"/>
  <c r="H2998" i="48"/>
  <c r="K2997" i="48"/>
  <c r="L2997" i="48" s="1"/>
  <c r="I2997" i="48"/>
  <c r="J2997" i="48" s="1"/>
  <c r="G2997" i="48"/>
  <c r="H2997" i="48" s="1"/>
  <c r="I2996" i="48"/>
  <c r="I2995" i="48"/>
  <c r="J2995" i="48" s="1"/>
  <c r="N2995" i="48" s="1"/>
  <c r="L2991" i="48"/>
  <c r="J2991" i="48"/>
  <c r="G2991" i="48"/>
  <c r="M2991" i="48" s="1"/>
  <c r="K2990" i="48"/>
  <c r="L2990" i="48" s="1"/>
  <c r="I2990" i="48"/>
  <c r="J2990" i="48" s="1"/>
  <c r="G2990" i="48"/>
  <c r="I2989" i="48"/>
  <c r="H2989" i="48"/>
  <c r="L2986" i="48"/>
  <c r="J2986" i="48"/>
  <c r="G2986" i="48"/>
  <c r="M2986" i="48" s="1"/>
  <c r="K2985" i="48"/>
  <c r="L2985" i="48" s="1"/>
  <c r="I2985" i="48"/>
  <c r="J2985" i="48" s="1"/>
  <c r="G2985" i="48"/>
  <c r="H2985" i="48" s="1"/>
  <c r="I2984" i="48"/>
  <c r="M2984" i="48" s="1"/>
  <c r="H2984" i="48"/>
  <c r="K2981" i="48"/>
  <c r="L2981" i="48" s="1"/>
  <c r="L2982" i="48" s="1"/>
  <c r="I2981" i="48"/>
  <c r="J2981" i="48" s="1"/>
  <c r="G2981" i="48"/>
  <c r="I2980" i="48"/>
  <c r="M2980" i="48" s="1"/>
  <c r="R2979" i="48"/>
  <c r="T2979" i="48" s="1"/>
  <c r="Q2979" i="48"/>
  <c r="M2979" i="48"/>
  <c r="H2979" i="48"/>
  <c r="N2979" i="48" s="1"/>
  <c r="K2976" i="48"/>
  <c r="L2976" i="48" s="1"/>
  <c r="L2977" i="48" s="1"/>
  <c r="I2976" i="48"/>
  <c r="J2976" i="48" s="1"/>
  <c r="G2976" i="48"/>
  <c r="I2975" i="48"/>
  <c r="J2975" i="48" s="1"/>
  <c r="N2975" i="48" s="1"/>
  <c r="I2974" i="48"/>
  <c r="J2974" i="48" s="1"/>
  <c r="N2974" i="48" s="1"/>
  <c r="G2973" i="48"/>
  <c r="H2973" i="48" s="1"/>
  <c r="N2973" i="48" s="1"/>
  <c r="R2972" i="48"/>
  <c r="T2972" i="48" s="1"/>
  <c r="Q2972" i="48"/>
  <c r="G2972" i="48"/>
  <c r="M2972" i="48" s="1"/>
  <c r="K2968" i="48"/>
  <c r="L2968" i="48" s="1"/>
  <c r="I2968" i="48"/>
  <c r="J2968" i="48" s="1"/>
  <c r="G2968" i="48"/>
  <c r="H2968" i="48" s="1"/>
  <c r="K2967" i="48"/>
  <c r="L2967" i="48" s="1"/>
  <c r="I2967" i="48"/>
  <c r="J2967" i="48" s="1"/>
  <c r="G2967" i="48"/>
  <c r="K2966" i="48"/>
  <c r="L2966" i="48" s="1"/>
  <c r="I2966" i="48"/>
  <c r="J2966" i="48" s="1"/>
  <c r="G2966" i="48"/>
  <c r="K2965" i="48"/>
  <c r="L2965" i="48" s="1"/>
  <c r="I2965" i="48"/>
  <c r="J2965" i="48" s="1"/>
  <c r="G2965" i="48"/>
  <c r="H2965" i="48" s="1"/>
  <c r="Q2964" i="48"/>
  <c r="Q2965" i="48" s="1"/>
  <c r="Q2966" i="48" s="1"/>
  <c r="I2964" i="48"/>
  <c r="J2964" i="48" s="1"/>
  <c r="N2964" i="48" s="1"/>
  <c r="R2963" i="48"/>
  <c r="R2964" i="48" s="1"/>
  <c r="I2963" i="48"/>
  <c r="M2963" i="48" s="1"/>
  <c r="S2960" i="48"/>
  <c r="S2959" i="48"/>
  <c r="I2959" i="48"/>
  <c r="I2958" i="48"/>
  <c r="J2958" i="48" s="1"/>
  <c r="G2957" i="48"/>
  <c r="H2954" i="48"/>
  <c r="K2953" i="48"/>
  <c r="I2953" i="48"/>
  <c r="G2953" i="48"/>
  <c r="K2952" i="48"/>
  <c r="I2952" i="48"/>
  <c r="G2952" i="48"/>
  <c r="K2951" i="48"/>
  <c r="I2951" i="48"/>
  <c r="G2951" i="48"/>
  <c r="I2950" i="48"/>
  <c r="M2950" i="48" s="1"/>
  <c r="I2949" i="48"/>
  <c r="M2949" i="48" s="1"/>
  <c r="I2948" i="48"/>
  <c r="M2948" i="48" s="1"/>
  <c r="G2947" i="48"/>
  <c r="H2947" i="48" s="1"/>
  <c r="N2947" i="48" s="1"/>
  <c r="G2946" i="48"/>
  <c r="K2945" i="48"/>
  <c r="L2945" i="48" s="1"/>
  <c r="H2941" i="48"/>
  <c r="K2940" i="48"/>
  <c r="I2940" i="48"/>
  <c r="G2940" i="48"/>
  <c r="K2939" i="48"/>
  <c r="I2939" i="48"/>
  <c r="G2939" i="48"/>
  <c r="K2938" i="48"/>
  <c r="I2938" i="48"/>
  <c r="G2938" i="48"/>
  <c r="I2937" i="48"/>
  <c r="M2937" i="48" s="1"/>
  <c r="I2936" i="48"/>
  <c r="M2936" i="48" s="1"/>
  <c r="I2935" i="48"/>
  <c r="M2935" i="48" s="1"/>
  <c r="G2934" i="48"/>
  <c r="G2933" i="48"/>
  <c r="K2932" i="48"/>
  <c r="Q2931" i="48"/>
  <c r="Q2932" i="48" s="1"/>
  <c r="Q2933" i="48" s="1"/>
  <c r="Q2934" i="48" s="1"/>
  <c r="R2930" i="48"/>
  <c r="T2930" i="48" s="1"/>
  <c r="H2928" i="48"/>
  <c r="K2927" i="48"/>
  <c r="I2927" i="48"/>
  <c r="G2927" i="48"/>
  <c r="K2926" i="48"/>
  <c r="I2926" i="48"/>
  <c r="G2926" i="48"/>
  <c r="K2925" i="48"/>
  <c r="I2925" i="48"/>
  <c r="G2925" i="48"/>
  <c r="I2924" i="48"/>
  <c r="M2924" i="48" s="1"/>
  <c r="I2923" i="48"/>
  <c r="M2923" i="48" s="1"/>
  <c r="I2922" i="48"/>
  <c r="M2922" i="48" s="1"/>
  <c r="G2921" i="48"/>
  <c r="H2921" i="48" s="1"/>
  <c r="N2921" i="48" s="1"/>
  <c r="G2920" i="48"/>
  <c r="K2919" i="48"/>
  <c r="H2915" i="48"/>
  <c r="K2914" i="48"/>
  <c r="I2914" i="48"/>
  <c r="G2914" i="48"/>
  <c r="Q2913" i="48"/>
  <c r="Q2914" i="48" s="1"/>
  <c r="Q2915" i="48" s="1"/>
  <c r="Q2916" i="48" s="1"/>
  <c r="Q2917" i="48" s="1"/>
  <c r="Q2918" i="48" s="1"/>
  <c r="Q2919" i="48" s="1"/>
  <c r="Q2920" i="48" s="1"/>
  <c r="Q2921" i="48" s="1"/>
  <c r="Q2922" i="48" s="1"/>
  <c r="Q2923" i="48" s="1"/>
  <c r="K2913" i="48"/>
  <c r="I2913" i="48"/>
  <c r="G2913" i="48"/>
  <c r="K2912" i="48"/>
  <c r="I2912" i="48"/>
  <c r="G2912" i="48"/>
  <c r="I2911" i="48"/>
  <c r="M2911" i="48" s="1"/>
  <c r="I2910" i="48"/>
  <c r="M2910" i="48" s="1"/>
  <c r="I2909" i="48"/>
  <c r="M2909" i="48" s="1"/>
  <c r="G2908" i="48"/>
  <c r="M2908" i="48" s="1"/>
  <c r="G2907" i="48"/>
  <c r="K2906" i="48"/>
  <c r="L2906" i="48" s="1"/>
  <c r="N2906" i="48" s="1"/>
  <c r="H2902" i="48"/>
  <c r="K2901" i="48"/>
  <c r="I2901" i="48"/>
  <c r="G2901" i="48"/>
  <c r="Q2900" i="48"/>
  <c r="R2900" i="48" s="1"/>
  <c r="R2901" i="48" s="1"/>
  <c r="R2902" i="48" s="1"/>
  <c r="R2903" i="48" s="1"/>
  <c r="K2900" i="48"/>
  <c r="I2900" i="48"/>
  <c r="G2900" i="48"/>
  <c r="K2899" i="48"/>
  <c r="I2899" i="48"/>
  <c r="G2899" i="48"/>
  <c r="I2898" i="48"/>
  <c r="M2898" i="48" s="1"/>
  <c r="I2897" i="48"/>
  <c r="M2897" i="48" s="1"/>
  <c r="I2896" i="48"/>
  <c r="M2896" i="48" s="1"/>
  <c r="G2895" i="48"/>
  <c r="G2894" i="48"/>
  <c r="M2894" i="48" s="1"/>
  <c r="K2893" i="48"/>
  <c r="H2889" i="48"/>
  <c r="K2888" i="48"/>
  <c r="I2888" i="48"/>
  <c r="G2888" i="48"/>
  <c r="Q2887" i="48"/>
  <c r="R2887" i="48" s="1"/>
  <c r="K2887" i="48"/>
  <c r="I2887" i="48"/>
  <c r="G2887" i="48"/>
  <c r="K2886" i="48"/>
  <c r="I2886" i="48"/>
  <c r="G2886" i="48"/>
  <c r="I2885" i="48"/>
  <c r="M2885" i="48" s="1"/>
  <c r="I2884" i="48"/>
  <c r="M2884" i="48" s="1"/>
  <c r="I2883" i="48"/>
  <c r="M2883" i="48" s="1"/>
  <c r="G2882" i="48"/>
  <c r="M2882" i="48" s="1"/>
  <c r="G2881" i="48"/>
  <c r="K2880" i="48"/>
  <c r="M2880" i="48" s="1"/>
  <c r="H2876" i="48"/>
  <c r="K2875" i="48"/>
  <c r="I2875" i="48"/>
  <c r="G2875" i="48"/>
  <c r="Q2874" i="48"/>
  <c r="R2874" i="48" s="1"/>
  <c r="K2874" i="48"/>
  <c r="I2874" i="48"/>
  <c r="G2874" i="48"/>
  <c r="K2873" i="48"/>
  <c r="I2873" i="48"/>
  <c r="G2873" i="48"/>
  <c r="I2872" i="48"/>
  <c r="M2872" i="48" s="1"/>
  <c r="I2871" i="48"/>
  <c r="M2871" i="48" s="1"/>
  <c r="I2870" i="48"/>
  <c r="M2870" i="48" s="1"/>
  <c r="G2869" i="48"/>
  <c r="H2869" i="48" s="1"/>
  <c r="N2869" i="48" s="1"/>
  <c r="G2868" i="48"/>
  <c r="M2868" i="48" s="1"/>
  <c r="K2867" i="48"/>
  <c r="H2863" i="48"/>
  <c r="K2862" i="48"/>
  <c r="I2862" i="48"/>
  <c r="G2862" i="48"/>
  <c r="Q2861" i="48"/>
  <c r="Q2862" i="48" s="1"/>
  <c r="Q2863" i="48" s="1"/>
  <c r="Q2864" i="48" s="1"/>
  <c r="Q2865" i="48" s="1"/>
  <c r="Q2866" i="48" s="1"/>
  <c r="Q2867" i="48" s="1"/>
  <c r="Q2868" i="48" s="1"/>
  <c r="Q2869" i="48" s="1"/>
  <c r="Q2870" i="48" s="1"/>
  <c r="Q2871" i="48" s="1"/>
  <c r="K2861" i="48"/>
  <c r="I2861" i="48"/>
  <c r="G2861" i="48"/>
  <c r="K2860" i="48"/>
  <c r="I2860" i="48"/>
  <c r="G2860" i="48"/>
  <c r="I2859" i="48"/>
  <c r="M2859" i="48" s="1"/>
  <c r="I2858" i="48"/>
  <c r="M2858" i="48" s="1"/>
  <c r="I2857" i="48"/>
  <c r="M2857" i="48" s="1"/>
  <c r="G2856" i="48"/>
  <c r="G2855" i="48"/>
  <c r="K2854" i="48"/>
  <c r="H2850" i="48"/>
  <c r="K2849" i="48"/>
  <c r="I2849" i="48"/>
  <c r="G2849" i="48"/>
  <c r="Q2848" i="48"/>
  <c r="R2848" i="48" s="1"/>
  <c r="R2849" i="48" s="1"/>
  <c r="R2850" i="48" s="1"/>
  <c r="R2851" i="48" s="1"/>
  <c r="K2848" i="48"/>
  <c r="I2848" i="48"/>
  <c r="G2848" i="48"/>
  <c r="K2847" i="48"/>
  <c r="I2847" i="48"/>
  <c r="G2847" i="48"/>
  <c r="I2846" i="48"/>
  <c r="M2846" i="48" s="1"/>
  <c r="I2845" i="48"/>
  <c r="M2845" i="48" s="1"/>
  <c r="I2844" i="48"/>
  <c r="M2844" i="48" s="1"/>
  <c r="G2843" i="48"/>
  <c r="G2842" i="48"/>
  <c r="K2841" i="48"/>
  <c r="M2841" i="48" s="1"/>
  <c r="H2837" i="48"/>
  <c r="K2836" i="48"/>
  <c r="I2836" i="48"/>
  <c r="G2836" i="48"/>
  <c r="Q2835" i="48"/>
  <c r="Q2836" i="48" s="1"/>
  <c r="Q2837" i="48" s="1"/>
  <c r="Q2838" i="48" s="1"/>
  <c r="Q2839" i="48" s="1"/>
  <c r="Q2840" i="48" s="1"/>
  <c r="Q2841" i="48" s="1"/>
  <c r="Q2842" i="48" s="1"/>
  <c r="Q2843" i="48" s="1"/>
  <c r="Q2844" i="48" s="1"/>
  <c r="Q2845" i="48" s="1"/>
  <c r="K2835" i="48"/>
  <c r="I2835" i="48"/>
  <c r="G2835" i="48"/>
  <c r="K2834" i="48"/>
  <c r="I2834" i="48"/>
  <c r="G2834" i="48"/>
  <c r="I2833" i="48"/>
  <c r="M2833" i="48" s="1"/>
  <c r="I2832" i="48"/>
  <c r="M2832" i="48" s="1"/>
  <c r="I2831" i="48"/>
  <c r="M2831" i="48" s="1"/>
  <c r="G2830" i="48"/>
  <c r="M2830" i="48" s="1"/>
  <c r="G2829" i="48"/>
  <c r="K2828" i="48"/>
  <c r="M2828" i="48" s="1"/>
  <c r="H2824" i="48"/>
  <c r="K2823" i="48"/>
  <c r="I2823" i="48"/>
  <c r="G2823" i="48"/>
  <c r="E2823" i="48"/>
  <c r="Q2822" i="48"/>
  <c r="R2822" i="48" s="1"/>
  <c r="K2822" i="48"/>
  <c r="I2822" i="48"/>
  <c r="G2822" i="48"/>
  <c r="E2822" i="48"/>
  <c r="K2821" i="48"/>
  <c r="I2821" i="48"/>
  <c r="G2821" i="48"/>
  <c r="E2821" i="48"/>
  <c r="I2820" i="48"/>
  <c r="M2820" i="48" s="1"/>
  <c r="E2820" i="48"/>
  <c r="I2819" i="48"/>
  <c r="M2819" i="48" s="1"/>
  <c r="E2819" i="48"/>
  <c r="I2818" i="48"/>
  <c r="M2818" i="48" s="1"/>
  <c r="E2818" i="48"/>
  <c r="G2817" i="48"/>
  <c r="M2817" i="48" s="1"/>
  <c r="G2816" i="48"/>
  <c r="M2816" i="48" s="1"/>
  <c r="K2815" i="48"/>
  <c r="L2815" i="48" s="1"/>
  <c r="H2811" i="48"/>
  <c r="K2810" i="48"/>
  <c r="I2810" i="48"/>
  <c r="G2810" i="48"/>
  <c r="E2810" i="48"/>
  <c r="Q2809" i="48"/>
  <c r="R2809" i="48" s="1"/>
  <c r="K2809" i="48"/>
  <c r="I2809" i="48"/>
  <c r="G2809" i="48"/>
  <c r="E2809" i="48"/>
  <c r="K2808" i="48"/>
  <c r="I2808" i="48"/>
  <c r="G2808" i="48"/>
  <c r="E2808" i="48"/>
  <c r="I2807" i="48"/>
  <c r="E2807" i="48"/>
  <c r="I2806" i="48"/>
  <c r="E2806" i="48"/>
  <c r="I2805" i="48"/>
  <c r="E2805" i="48"/>
  <c r="G2804" i="48"/>
  <c r="G2803" i="48"/>
  <c r="M2803" i="48" s="1"/>
  <c r="K2802" i="48"/>
  <c r="M2802" i="48" s="1"/>
  <c r="H2798" i="48"/>
  <c r="K2797" i="48"/>
  <c r="I2797" i="48"/>
  <c r="G2797" i="48"/>
  <c r="Q2796" i="48"/>
  <c r="Q2797" i="48" s="1"/>
  <c r="Q2798" i="48" s="1"/>
  <c r="Q2799" i="48" s="1"/>
  <c r="Q2800" i="48" s="1"/>
  <c r="Q2801" i="48" s="1"/>
  <c r="Q2802" i="48" s="1"/>
  <c r="Q2803" i="48" s="1"/>
  <c r="Q2804" i="48" s="1"/>
  <c r="Q2805" i="48" s="1"/>
  <c r="Q2806" i="48" s="1"/>
  <c r="K2796" i="48"/>
  <c r="I2796" i="48"/>
  <c r="G2796" i="48"/>
  <c r="K2795" i="48"/>
  <c r="I2795" i="48"/>
  <c r="G2795" i="48"/>
  <c r="I2794" i="48"/>
  <c r="M2794" i="48" s="1"/>
  <c r="I2793" i="48"/>
  <c r="M2793" i="48" s="1"/>
  <c r="I2792" i="48"/>
  <c r="M2792" i="48" s="1"/>
  <c r="K2790" i="48"/>
  <c r="L2790" i="48" s="1"/>
  <c r="H2786" i="48"/>
  <c r="K2785" i="48"/>
  <c r="I2785" i="48"/>
  <c r="G2785" i="48"/>
  <c r="Q2784" i="48"/>
  <c r="Q2785" i="48" s="1"/>
  <c r="Q2786" i="48" s="1"/>
  <c r="Q2787" i="48" s="1"/>
  <c r="Q2788" i="48" s="1"/>
  <c r="Q2789" i="48" s="1"/>
  <c r="Q2790" i="48" s="1"/>
  <c r="Q2791" i="48" s="1"/>
  <c r="Q2792" i="48" s="1"/>
  <c r="Q2793" i="48" s="1"/>
  <c r="K2784" i="48"/>
  <c r="I2784" i="48"/>
  <c r="G2784" i="48"/>
  <c r="R2783" i="48"/>
  <c r="T2783" i="48" s="1"/>
  <c r="K2783" i="48"/>
  <c r="I2783" i="48"/>
  <c r="G2783" i="48"/>
  <c r="I2782" i="48"/>
  <c r="M2782" i="48" s="1"/>
  <c r="I2781" i="48"/>
  <c r="M2781" i="48" s="1"/>
  <c r="I2780" i="48"/>
  <c r="M2780" i="48" s="1"/>
  <c r="K2778" i="48"/>
  <c r="M2778" i="48" s="1"/>
  <c r="H2774" i="48"/>
  <c r="K2773" i="48"/>
  <c r="I2773" i="48"/>
  <c r="G2773" i="48"/>
  <c r="K2772" i="48"/>
  <c r="I2772" i="48"/>
  <c r="G2772" i="48"/>
  <c r="Q2771" i="48"/>
  <c r="Q2772" i="48" s="1"/>
  <c r="Q2773" i="48" s="1"/>
  <c r="Q2774" i="48" s="1"/>
  <c r="Q2775" i="48" s="1"/>
  <c r="Q2776" i="48" s="1"/>
  <c r="Q2777" i="48" s="1"/>
  <c r="Q2778" i="48" s="1"/>
  <c r="Q2779" i="48" s="1"/>
  <c r="Q2780" i="48" s="1"/>
  <c r="K2771" i="48"/>
  <c r="I2771" i="48"/>
  <c r="G2771" i="48"/>
  <c r="R2770" i="48"/>
  <c r="R2771" i="48" s="1"/>
  <c r="I2770" i="48"/>
  <c r="M2770" i="48" s="1"/>
  <c r="I2769" i="48"/>
  <c r="M2769" i="48" s="1"/>
  <c r="I2768" i="48"/>
  <c r="M2768" i="48" s="1"/>
  <c r="G2767" i="48"/>
  <c r="K2766" i="48"/>
  <c r="L2766" i="48" s="1"/>
  <c r="G2765" i="48"/>
  <c r="H2765" i="48" s="1"/>
  <c r="K2764" i="48"/>
  <c r="L2764" i="48" s="1"/>
  <c r="H2760" i="48"/>
  <c r="Q2759" i="48"/>
  <c r="Q2760" i="48" s="1"/>
  <c r="Q2761" i="48" s="1"/>
  <c r="Q2762" i="48" s="1"/>
  <c r="Q2763" i="48" s="1"/>
  <c r="Q2764" i="48" s="1"/>
  <c r="Q2765" i="48" s="1"/>
  <c r="Q2766" i="48" s="1"/>
  <c r="K2759" i="48"/>
  <c r="L2759" i="48" s="1"/>
  <c r="I2759" i="48"/>
  <c r="G2759" i="48"/>
  <c r="H2759" i="48" s="1"/>
  <c r="R2758" i="48"/>
  <c r="R2759" i="48" s="1"/>
  <c r="K2758" i="48"/>
  <c r="L2758" i="48" s="1"/>
  <c r="I2758" i="48"/>
  <c r="J2758" i="48" s="1"/>
  <c r="G2758" i="48"/>
  <c r="K2757" i="48"/>
  <c r="L2757" i="48" s="1"/>
  <c r="I2757" i="48"/>
  <c r="J2757" i="48" s="1"/>
  <c r="G2757" i="48"/>
  <c r="I2756" i="48"/>
  <c r="M2756" i="48" s="1"/>
  <c r="I2755" i="48"/>
  <c r="M2755" i="48" s="1"/>
  <c r="I2754" i="48"/>
  <c r="M2754" i="48" s="1"/>
  <c r="G2753" i="48"/>
  <c r="H2753" i="48" s="1"/>
  <c r="N2753" i="48" s="1"/>
  <c r="K2752" i="48"/>
  <c r="L2752" i="48" s="1"/>
  <c r="G2751" i="48"/>
  <c r="M2751" i="48" s="1"/>
  <c r="K2750" i="48"/>
  <c r="M2750" i="48" s="1"/>
  <c r="Q2747" i="48"/>
  <c r="Q2748" i="48" s="1"/>
  <c r="Q2749" i="48" s="1"/>
  <c r="Q2750" i="48" s="1"/>
  <c r="Q2751" i="48" s="1"/>
  <c r="Q2752" i="48" s="1"/>
  <c r="Q2753" i="48" s="1"/>
  <c r="Q2754" i="48" s="1"/>
  <c r="R2746" i="48"/>
  <c r="R2747" i="48" s="1"/>
  <c r="H2746" i="48"/>
  <c r="K2745" i="48"/>
  <c r="I2745" i="48"/>
  <c r="G2745" i="48"/>
  <c r="K2744" i="48"/>
  <c r="I2744" i="48"/>
  <c r="G2744" i="48"/>
  <c r="K2743" i="48"/>
  <c r="I2743" i="48"/>
  <c r="G2743" i="48"/>
  <c r="I2742" i="48"/>
  <c r="M2742" i="48" s="1"/>
  <c r="I2741" i="48"/>
  <c r="M2741" i="48" s="1"/>
  <c r="I2740" i="48"/>
  <c r="M2740" i="48" s="1"/>
  <c r="G2739" i="48"/>
  <c r="M2739" i="48" s="1"/>
  <c r="G2738" i="48"/>
  <c r="K2737" i="48"/>
  <c r="Q2733" i="48"/>
  <c r="Q2735" i="48" s="1"/>
  <c r="H2733" i="48"/>
  <c r="R2732" i="48"/>
  <c r="R2733" i="48" s="1"/>
  <c r="K2732" i="48"/>
  <c r="L2732" i="48" s="1"/>
  <c r="I2732" i="48"/>
  <c r="J2732" i="48" s="1"/>
  <c r="G2732" i="48"/>
  <c r="H2732" i="48" s="1"/>
  <c r="K2731" i="48"/>
  <c r="L2731" i="48" s="1"/>
  <c r="I2731" i="48"/>
  <c r="J2731" i="48" s="1"/>
  <c r="G2731" i="48"/>
  <c r="H2731" i="48" s="1"/>
  <c r="K2730" i="48"/>
  <c r="L2730" i="48" s="1"/>
  <c r="I2730" i="48"/>
  <c r="J2730" i="48" s="1"/>
  <c r="G2730" i="48"/>
  <c r="H2730" i="48" s="1"/>
  <c r="I2729" i="48"/>
  <c r="M2729" i="48" s="1"/>
  <c r="I2728" i="48"/>
  <c r="M2728" i="48" s="1"/>
  <c r="I2727" i="48"/>
  <c r="J2727" i="48" s="1"/>
  <c r="G2726" i="48"/>
  <c r="H2726" i="48" s="1"/>
  <c r="N2726" i="48" s="1"/>
  <c r="G2725" i="48"/>
  <c r="M2725" i="48" s="1"/>
  <c r="K2724" i="48"/>
  <c r="M2724" i="48" s="1"/>
  <c r="H2720" i="48"/>
  <c r="Q2719" i="48"/>
  <c r="Q2720" i="48" s="1"/>
  <c r="Q2722" i="48" s="1"/>
  <c r="Q2723" i="48" s="1"/>
  <c r="Q2724" i="48" s="1"/>
  <c r="Q2725" i="48" s="1"/>
  <c r="Q2726" i="48" s="1"/>
  <c r="Q2727" i="48" s="1"/>
  <c r="Q2728" i="48" s="1"/>
  <c r="Q2729" i="48" s="1"/>
  <c r="K2719" i="48"/>
  <c r="I2719" i="48"/>
  <c r="G2719" i="48"/>
  <c r="R2718" i="48"/>
  <c r="R2719" i="48" s="1"/>
  <c r="K2718" i="48"/>
  <c r="I2718" i="48"/>
  <c r="G2718" i="48"/>
  <c r="K2717" i="48"/>
  <c r="I2717" i="48"/>
  <c r="G2717" i="48"/>
  <c r="I2716" i="48"/>
  <c r="M2716" i="48" s="1"/>
  <c r="I2715" i="48"/>
  <c r="M2715" i="48" s="1"/>
  <c r="I2714" i="48"/>
  <c r="M2714" i="48" s="1"/>
  <c r="G2713" i="48"/>
  <c r="M2713" i="48" s="1"/>
  <c r="G2712" i="48"/>
  <c r="M2712" i="48" s="1"/>
  <c r="K2711" i="48"/>
  <c r="H2707" i="48"/>
  <c r="Q2706" i="48"/>
  <c r="Q2707" i="48" s="1"/>
  <c r="Q2708" i="48" s="1"/>
  <c r="Q2709" i="48" s="1"/>
  <c r="Q2710" i="48" s="1"/>
  <c r="Q2711" i="48" s="1"/>
  <c r="Q2712" i="48" s="1"/>
  <c r="Q2713" i="48" s="1"/>
  <c r="Q2714" i="48" s="1"/>
  <c r="Q2715" i="48" s="1"/>
  <c r="K2706" i="48"/>
  <c r="L2706" i="48" s="1"/>
  <c r="I2706" i="48"/>
  <c r="J2706" i="48" s="1"/>
  <c r="G2706" i="48"/>
  <c r="R2705" i="48"/>
  <c r="T2705" i="48" s="1"/>
  <c r="K2705" i="48"/>
  <c r="L2705" i="48" s="1"/>
  <c r="I2705" i="48"/>
  <c r="G2705" i="48"/>
  <c r="H2705" i="48" s="1"/>
  <c r="K2704" i="48"/>
  <c r="L2704" i="48" s="1"/>
  <c r="I2704" i="48"/>
  <c r="G2704" i="48"/>
  <c r="H2704" i="48" s="1"/>
  <c r="I2703" i="48"/>
  <c r="J2703" i="48" s="1"/>
  <c r="N2703" i="48" s="1"/>
  <c r="I2702" i="48"/>
  <c r="M2702" i="48" s="1"/>
  <c r="I2701" i="48"/>
  <c r="M2701" i="48" s="1"/>
  <c r="G2700" i="48"/>
  <c r="M2700" i="48" s="1"/>
  <c r="G2699" i="48"/>
  <c r="H2699" i="48" s="1"/>
  <c r="K2698" i="48"/>
  <c r="M2698" i="48" s="1"/>
  <c r="H2694" i="48"/>
  <c r="Q2693" i="48"/>
  <c r="Q2694" i="48" s="1"/>
  <c r="Q2695" i="48" s="1"/>
  <c r="Q2696" i="48" s="1"/>
  <c r="Q2697" i="48" s="1"/>
  <c r="Q2698" i="48" s="1"/>
  <c r="Q2699" i="48" s="1"/>
  <c r="Q2700" i="48" s="1"/>
  <c r="Q2701" i="48" s="1"/>
  <c r="Q2702" i="48" s="1"/>
  <c r="K2693" i="48"/>
  <c r="I2693" i="48"/>
  <c r="G2693" i="48"/>
  <c r="R2692" i="48"/>
  <c r="R2693" i="48" s="1"/>
  <c r="R2694" i="48" s="1"/>
  <c r="R2695" i="48" s="1"/>
  <c r="K2692" i="48"/>
  <c r="I2692" i="48"/>
  <c r="G2692" i="48"/>
  <c r="I2691" i="48"/>
  <c r="M2691" i="48" s="1"/>
  <c r="I2690" i="48"/>
  <c r="M2690" i="48" s="1"/>
  <c r="I2689" i="48"/>
  <c r="M2689" i="48" s="1"/>
  <c r="G2688" i="48"/>
  <c r="G2687" i="48"/>
  <c r="M2687" i="48" s="1"/>
  <c r="K2686" i="48"/>
  <c r="H2682" i="48"/>
  <c r="K2681" i="48"/>
  <c r="I2681" i="48"/>
  <c r="G2681" i="48"/>
  <c r="Q2680" i="48"/>
  <c r="Q2681" i="48" s="1"/>
  <c r="Q2682" i="48" s="1"/>
  <c r="Q2683" i="48" s="1"/>
  <c r="Q2684" i="48" s="1"/>
  <c r="Q2685" i="48" s="1"/>
  <c r="Q2686" i="48" s="1"/>
  <c r="Q2687" i="48" s="1"/>
  <c r="Q2688" i="48" s="1"/>
  <c r="K2680" i="48"/>
  <c r="I2680" i="48"/>
  <c r="G2680" i="48"/>
  <c r="R2679" i="48"/>
  <c r="R2680" i="48" s="1"/>
  <c r="I2679" i="48"/>
  <c r="M2679" i="48" s="1"/>
  <c r="I2678" i="48"/>
  <c r="M2678" i="48" s="1"/>
  <c r="I2677" i="48"/>
  <c r="M2677" i="48" s="1"/>
  <c r="G2676" i="48"/>
  <c r="G2675" i="48"/>
  <c r="K2674" i="48"/>
  <c r="L2674" i="48" s="1"/>
  <c r="H2670" i="48"/>
  <c r="K2669" i="48"/>
  <c r="I2669" i="48"/>
  <c r="G2669" i="48"/>
  <c r="K2668" i="48"/>
  <c r="I2668" i="48"/>
  <c r="G2668" i="48"/>
  <c r="Q2667" i="48"/>
  <c r="Q2668" i="48" s="1"/>
  <c r="Q2669" i="48" s="1"/>
  <c r="Q2670" i="48" s="1"/>
  <c r="Q2671" i="48" s="1"/>
  <c r="Q2672" i="48" s="1"/>
  <c r="Q2673" i="48" s="1"/>
  <c r="Q2674" i="48" s="1"/>
  <c r="Q2675" i="48" s="1"/>
  <c r="Q2676" i="48" s="1"/>
  <c r="I2667" i="48"/>
  <c r="M2667" i="48" s="1"/>
  <c r="R2666" i="48"/>
  <c r="R2667" i="48" s="1"/>
  <c r="I2666" i="48"/>
  <c r="M2666" i="48" s="1"/>
  <c r="I2665" i="48"/>
  <c r="M2665" i="48" s="1"/>
  <c r="K2663" i="48"/>
  <c r="H2659" i="48"/>
  <c r="K2658" i="48"/>
  <c r="I2658" i="48"/>
  <c r="G2658" i="48"/>
  <c r="K2657" i="48"/>
  <c r="I2657" i="48"/>
  <c r="G2657" i="48"/>
  <c r="I2656" i="48"/>
  <c r="M2656" i="48" s="1"/>
  <c r="Q2655" i="48"/>
  <c r="Q2656" i="48" s="1"/>
  <c r="Q2657" i="48" s="1"/>
  <c r="Q2658" i="48" s="1"/>
  <c r="Q2659" i="48" s="1"/>
  <c r="Q2660" i="48" s="1"/>
  <c r="Q2661" i="48" s="1"/>
  <c r="Q2662" i="48" s="1"/>
  <c r="I2655" i="48"/>
  <c r="M2655" i="48" s="1"/>
  <c r="R2654" i="48"/>
  <c r="I2654" i="48"/>
  <c r="M2654" i="48" s="1"/>
  <c r="K2652" i="48"/>
  <c r="M2652" i="48" s="1"/>
  <c r="H2648" i="48"/>
  <c r="K2647" i="48"/>
  <c r="I2647" i="48"/>
  <c r="G2647" i="48"/>
  <c r="K2646" i="48"/>
  <c r="I2646" i="48"/>
  <c r="G2646" i="48"/>
  <c r="I2645" i="48"/>
  <c r="M2645" i="48" s="1"/>
  <c r="I2644" i="48"/>
  <c r="M2644" i="48" s="1"/>
  <c r="Q2643" i="48"/>
  <c r="Q2644" i="48" s="1"/>
  <c r="Q2645" i="48" s="1"/>
  <c r="Q2646" i="48" s="1"/>
  <c r="Q2647" i="48" s="1"/>
  <c r="Q2648" i="48" s="1"/>
  <c r="Q2649" i="48" s="1"/>
  <c r="Q2650" i="48" s="1"/>
  <c r="I2643" i="48"/>
  <c r="M2643" i="48" s="1"/>
  <c r="R2642" i="48"/>
  <c r="T2642" i="48" s="1"/>
  <c r="G2642" i="48"/>
  <c r="L2641" i="48"/>
  <c r="K2641" i="48"/>
  <c r="G2640" i="48"/>
  <c r="K2639" i="48"/>
  <c r="L2639" i="48" s="1"/>
  <c r="N2639" i="48" s="1"/>
  <c r="H2635" i="48"/>
  <c r="K2634" i="48"/>
  <c r="I2634" i="48"/>
  <c r="G2634" i="48"/>
  <c r="K2633" i="48"/>
  <c r="I2633" i="48"/>
  <c r="G2633" i="48"/>
  <c r="Q2632" i="48"/>
  <c r="Q2633" i="48" s="1"/>
  <c r="Q2634" i="48" s="1"/>
  <c r="Q2635" i="48" s="1"/>
  <c r="Q2636" i="48" s="1"/>
  <c r="Q2637" i="48" s="1"/>
  <c r="Q2638" i="48" s="1"/>
  <c r="I2632" i="48"/>
  <c r="M2632" i="48" s="1"/>
  <c r="R2631" i="48"/>
  <c r="R2632" i="48" s="1"/>
  <c r="I2631" i="48"/>
  <c r="M2631" i="48" s="1"/>
  <c r="I2630" i="48"/>
  <c r="M2630" i="48" s="1"/>
  <c r="G2629" i="48"/>
  <c r="M2629" i="48" s="1"/>
  <c r="K2628" i="48"/>
  <c r="L2628" i="48" s="1"/>
  <c r="G2627" i="48"/>
  <c r="M2627" i="48" s="1"/>
  <c r="K2626" i="48"/>
  <c r="M2626" i="48" s="1"/>
  <c r="H2622" i="48"/>
  <c r="Q2621" i="48"/>
  <c r="Q2622" i="48" s="1"/>
  <c r="Q2623" i="48" s="1"/>
  <c r="Q2624" i="48" s="1"/>
  <c r="Q2625" i="48" s="1"/>
  <c r="Q2626" i="48" s="1"/>
  <c r="Q2627" i="48" s="1"/>
  <c r="K2621" i="48"/>
  <c r="I2621" i="48"/>
  <c r="G2621" i="48"/>
  <c r="R2620" i="48"/>
  <c r="R2621" i="48" s="1"/>
  <c r="K2620" i="48"/>
  <c r="I2620" i="48"/>
  <c r="G2620" i="48"/>
  <c r="I2619" i="48"/>
  <c r="M2619" i="48" s="1"/>
  <c r="I2618" i="48"/>
  <c r="M2618" i="48" s="1"/>
  <c r="I2617" i="48"/>
  <c r="M2617" i="48" s="1"/>
  <c r="G2616" i="48"/>
  <c r="M2616" i="48" s="1"/>
  <c r="G2615" i="48"/>
  <c r="K2614" i="48"/>
  <c r="M2614" i="48" s="1"/>
  <c r="H2610" i="48"/>
  <c r="K2609" i="48"/>
  <c r="I2609" i="48"/>
  <c r="G2609" i="48"/>
  <c r="Q2608" i="48"/>
  <c r="Q2610" i="48" s="1"/>
  <c r="K2608" i="48"/>
  <c r="I2608" i="48"/>
  <c r="G2608" i="48"/>
  <c r="R2607" i="48"/>
  <c r="T2607" i="48" s="1"/>
  <c r="I2607" i="48"/>
  <c r="M2607" i="48" s="1"/>
  <c r="I2606" i="48"/>
  <c r="M2606" i="48" s="1"/>
  <c r="I2605" i="48"/>
  <c r="M2605" i="48" s="1"/>
  <c r="G2604" i="48"/>
  <c r="G2603" i="48"/>
  <c r="M2603" i="48" s="1"/>
  <c r="K2602" i="48"/>
  <c r="M2602" i="48" s="1"/>
  <c r="H2598" i="48"/>
  <c r="K2597" i="48"/>
  <c r="I2597" i="48"/>
  <c r="G2597" i="48"/>
  <c r="K2596" i="48"/>
  <c r="I2596" i="48"/>
  <c r="G2596" i="48"/>
  <c r="Q2595" i="48"/>
  <c r="Q2597" i="48" s="1"/>
  <c r="I2595" i="48"/>
  <c r="M2595" i="48" s="1"/>
  <c r="R2594" i="48"/>
  <c r="R2595" i="48" s="1"/>
  <c r="I2594" i="48"/>
  <c r="M2594" i="48" s="1"/>
  <c r="I2593" i="48"/>
  <c r="M2593" i="48" s="1"/>
  <c r="G2592" i="48"/>
  <c r="M2592" i="48" s="1"/>
  <c r="G2591" i="48"/>
  <c r="K2590" i="48"/>
  <c r="M2590" i="48" s="1"/>
  <c r="H2586" i="48"/>
  <c r="K2585" i="48"/>
  <c r="I2585" i="48"/>
  <c r="G2585" i="48"/>
  <c r="K2584" i="48"/>
  <c r="I2584" i="48"/>
  <c r="G2584" i="48"/>
  <c r="Q2583" i="48"/>
  <c r="Q2584" i="48" s="1"/>
  <c r="Q2585" i="48" s="1"/>
  <c r="Q2586" i="48" s="1"/>
  <c r="Q2587" i="48" s="1"/>
  <c r="Q2588" i="48" s="1"/>
  <c r="Q2589" i="48" s="1"/>
  <c r="Q2590" i="48" s="1"/>
  <c r="I2583" i="48"/>
  <c r="M2583" i="48" s="1"/>
  <c r="R2582" i="48"/>
  <c r="R2583" i="48" s="1"/>
  <c r="I2582" i="48"/>
  <c r="M2582" i="48" s="1"/>
  <c r="I2581" i="48"/>
  <c r="M2581" i="48" s="1"/>
  <c r="G2580" i="48"/>
  <c r="H2580" i="48" s="1"/>
  <c r="N2580" i="48" s="1"/>
  <c r="G2579" i="48"/>
  <c r="K2578" i="48"/>
  <c r="M2578" i="48" s="1"/>
  <c r="K2574" i="48"/>
  <c r="I2574" i="48"/>
  <c r="G2574" i="48"/>
  <c r="K2573" i="48"/>
  <c r="I2573" i="48"/>
  <c r="G2573" i="48"/>
  <c r="I2572" i="48"/>
  <c r="M2572" i="48" s="1"/>
  <c r="Q2571" i="48"/>
  <c r="Q2572" i="48" s="1"/>
  <c r="Q2573" i="48" s="1"/>
  <c r="Q2574" i="48" s="1"/>
  <c r="Q2575" i="48" s="1"/>
  <c r="Q2576" i="48" s="1"/>
  <c r="Q2577" i="48" s="1"/>
  <c r="Q2578" i="48" s="1"/>
  <c r="I2571" i="48"/>
  <c r="M2571" i="48" s="1"/>
  <c r="R2570" i="48"/>
  <c r="R2571" i="48" s="1"/>
  <c r="K2568" i="48"/>
  <c r="I2568" i="48"/>
  <c r="G2568" i="48"/>
  <c r="I2567" i="48"/>
  <c r="M2567" i="48" s="1"/>
  <c r="I2566" i="48"/>
  <c r="M2566" i="48" s="1"/>
  <c r="K2563" i="48"/>
  <c r="L2563" i="48" s="1"/>
  <c r="L2564" i="48" s="1"/>
  <c r="I2563" i="48"/>
  <c r="J2563" i="48" s="1"/>
  <c r="J2564" i="48" s="1"/>
  <c r="G2563" i="48"/>
  <c r="K2560" i="48"/>
  <c r="L2560" i="48" s="1"/>
  <c r="I2560" i="48"/>
  <c r="J2560" i="48" s="1"/>
  <c r="G2560" i="48"/>
  <c r="H2560" i="48" s="1"/>
  <c r="Q2559" i="48"/>
  <c r="Q2560" i="48" s="1"/>
  <c r="Q2561" i="48" s="1"/>
  <c r="Q2562" i="48" s="1"/>
  <c r="Q2563" i="48" s="1"/>
  <c r="Q2564" i="48" s="1"/>
  <c r="Q2565" i="48" s="1"/>
  <c r="Q2566" i="48" s="1"/>
  <c r="Q2567" i="48" s="1"/>
  <c r="R2558" i="48"/>
  <c r="R2559" i="48" s="1"/>
  <c r="K2557" i="48"/>
  <c r="I2556" i="48"/>
  <c r="K2553" i="48"/>
  <c r="M2553" i="48" s="1"/>
  <c r="I2552" i="48"/>
  <c r="M2552" i="48" s="1"/>
  <c r="I2549" i="48"/>
  <c r="M2549" i="48" s="1"/>
  <c r="I2548" i="48"/>
  <c r="Q2547" i="48"/>
  <c r="Q2548" i="48" s="1"/>
  <c r="Q2549" i="48" s="1"/>
  <c r="Q2550" i="48" s="1"/>
  <c r="Q2551" i="48" s="1"/>
  <c r="Q2552" i="48" s="1"/>
  <c r="Q2553" i="48" s="1"/>
  <c r="Q2554" i="48" s="1"/>
  <c r="G2547" i="48"/>
  <c r="H2547" i="48" s="1"/>
  <c r="N2547" i="48" s="1"/>
  <c r="R2546" i="48"/>
  <c r="T2546" i="48" s="1"/>
  <c r="G2546" i="48"/>
  <c r="M2546" i="48" s="1"/>
  <c r="Q2541" i="48"/>
  <c r="Q2542" i="48" s="1"/>
  <c r="R2540" i="48"/>
  <c r="T2540" i="48" s="1"/>
  <c r="E2571" i="48" s="1"/>
  <c r="Q2536" i="48"/>
  <c r="Q2537" i="48" s="1"/>
  <c r="R2535" i="48"/>
  <c r="Q2516" i="48"/>
  <c r="Q2517" i="48" s="1"/>
  <c r="Q2518" i="48" s="1"/>
  <c r="R2515" i="48"/>
  <c r="T2515" i="48" s="1"/>
  <c r="B2512" i="48"/>
  <c r="H2507" i="48"/>
  <c r="I2506" i="48"/>
  <c r="M2506" i="48" s="1"/>
  <c r="I2505" i="48"/>
  <c r="M2505" i="48" s="1"/>
  <c r="G2504" i="48"/>
  <c r="M2504" i="48" s="1"/>
  <c r="H2500" i="48"/>
  <c r="I2499" i="48"/>
  <c r="I2498" i="48"/>
  <c r="J2498" i="48" s="1"/>
  <c r="G2497" i="48"/>
  <c r="M2497" i="48" s="1"/>
  <c r="H2493" i="48"/>
  <c r="I2492" i="48"/>
  <c r="M2492" i="48" s="1"/>
  <c r="I2491" i="48"/>
  <c r="M2491" i="48" s="1"/>
  <c r="G2490" i="48"/>
  <c r="M2490" i="48" s="1"/>
  <c r="K2486" i="48"/>
  <c r="L2486" i="48" s="1"/>
  <c r="I2486" i="48"/>
  <c r="J2486" i="48" s="1"/>
  <c r="G2486" i="48"/>
  <c r="K2485" i="48"/>
  <c r="L2485" i="48" s="1"/>
  <c r="I2485" i="48"/>
  <c r="J2485" i="48" s="1"/>
  <c r="G2485" i="48"/>
  <c r="K2484" i="48"/>
  <c r="L2484" i="48" s="1"/>
  <c r="I2484" i="48"/>
  <c r="J2484" i="48" s="1"/>
  <c r="G2484" i="48"/>
  <c r="K2483" i="48"/>
  <c r="L2483" i="48" s="1"/>
  <c r="I2483" i="48"/>
  <c r="J2483" i="48" s="1"/>
  <c r="G2483" i="48"/>
  <c r="K2480" i="48"/>
  <c r="L2480" i="48" s="1"/>
  <c r="I2480" i="48"/>
  <c r="J2480" i="48" s="1"/>
  <c r="G2480" i="48"/>
  <c r="K2479" i="48"/>
  <c r="L2479" i="48" s="1"/>
  <c r="I2479" i="48"/>
  <c r="J2479" i="48" s="1"/>
  <c r="G2479" i="48"/>
  <c r="I2478" i="48"/>
  <c r="M2478" i="48" s="1"/>
  <c r="I2477" i="48"/>
  <c r="M2477" i="48" s="1"/>
  <c r="K2476" i="48"/>
  <c r="L2476" i="48" s="1"/>
  <c r="G2476" i="48"/>
  <c r="Q2475" i="48"/>
  <c r="Q2476" i="48" s="1"/>
  <c r="K2475" i="48"/>
  <c r="L2475" i="48" s="1"/>
  <c r="G2475" i="48"/>
  <c r="H2475" i="48" s="1"/>
  <c r="R2474" i="48"/>
  <c r="R2475" i="48" s="1"/>
  <c r="G2474" i="48"/>
  <c r="M2474" i="48" s="1"/>
  <c r="K2469" i="48"/>
  <c r="L2469" i="48" s="1"/>
  <c r="I2469" i="48"/>
  <c r="J2469" i="48" s="1"/>
  <c r="G2469" i="48"/>
  <c r="Q2468" i="48"/>
  <c r="Q2469" i="48" s="1"/>
  <c r="K2468" i="48"/>
  <c r="L2468" i="48" s="1"/>
  <c r="I2468" i="48"/>
  <c r="G2468" i="48"/>
  <c r="H2468" i="48" s="1"/>
  <c r="R2467" i="48"/>
  <c r="R2468" i="48" s="1"/>
  <c r="K2467" i="48"/>
  <c r="L2467" i="48" s="1"/>
  <c r="I2467" i="48"/>
  <c r="J2467" i="48" s="1"/>
  <c r="G2467" i="48"/>
  <c r="K2466" i="48"/>
  <c r="L2466" i="48" s="1"/>
  <c r="I2466" i="48"/>
  <c r="J2466" i="48" s="1"/>
  <c r="G2466" i="48"/>
  <c r="K2463" i="48"/>
  <c r="L2463" i="48" s="1"/>
  <c r="I2463" i="48"/>
  <c r="J2463" i="48" s="1"/>
  <c r="G2463" i="48"/>
  <c r="K2462" i="48"/>
  <c r="L2462" i="48" s="1"/>
  <c r="I2462" i="48"/>
  <c r="G2462" i="48"/>
  <c r="H2462" i="48" s="1"/>
  <c r="Q2461" i="48"/>
  <c r="Q2462" i="48" s="1"/>
  <c r="I2461" i="48"/>
  <c r="M2461" i="48" s="1"/>
  <c r="R2460" i="48"/>
  <c r="R2461" i="48" s="1"/>
  <c r="R2462" i="48" s="1"/>
  <c r="T2462" i="48" s="1"/>
  <c r="I2460" i="48"/>
  <c r="K2459" i="48"/>
  <c r="L2459" i="48" s="1"/>
  <c r="G2459" i="48"/>
  <c r="K2458" i="48"/>
  <c r="L2458" i="48" s="1"/>
  <c r="G2458" i="48"/>
  <c r="H2458" i="48" s="1"/>
  <c r="G2457" i="48"/>
  <c r="H2457" i="48" s="1"/>
  <c r="K2452" i="48"/>
  <c r="L2452" i="48" s="1"/>
  <c r="I2452" i="48"/>
  <c r="J2452" i="48" s="1"/>
  <c r="G2452" i="48"/>
  <c r="K2451" i="48"/>
  <c r="L2451" i="48" s="1"/>
  <c r="I2451" i="48"/>
  <c r="G2451" i="48"/>
  <c r="H2451" i="48" s="1"/>
  <c r="K2450" i="48"/>
  <c r="L2450" i="48" s="1"/>
  <c r="I2450" i="48"/>
  <c r="J2450" i="48" s="1"/>
  <c r="G2450" i="48"/>
  <c r="H2450" i="48" s="1"/>
  <c r="K2449" i="48"/>
  <c r="L2449" i="48" s="1"/>
  <c r="I2449" i="48"/>
  <c r="J2449" i="48" s="1"/>
  <c r="G2449" i="48"/>
  <c r="K2446" i="48"/>
  <c r="L2446" i="48" s="1"/>
  <c r="I2446" i="48"/>
  <c r="J2446" i="48" s="1"/>
  <c r="G2446" i="48"/>
  <c r="H2446" i="48" s="1"/>
  <c r="K2445" i="48"/>
  <c r="L2445" i="48" s="1"/>
  <c r="I2445" i="48"/>
  <c r="J2445" i="48" s="1"/>
  <c r="G2445" i="48"/>
  <c r="I2444" i="48"/>
  <c r="M2444" i="48" s="1"/>
  <c r="I2443" i="48"/>
  <c r="J2443" i="48" s="1"/>
  <c r="K2442" i="48"/>
  <c r="L2442" i="48" s="1"/>
  <c r="G2442" i="48"/>
  <c r="H2442" i="48" s="1"/>
  <c r="Q2441" i="48"/>
  <c r="Q2442" i="48" s="1"/>
  <c r="Q2443" i="48" s="1"/>
  <c r="Q2444" i="48" s="1"/>
  <c r="Q2445" i="48" s="1"/>
  <c r="Q2446" i="48" s="1"/>
  <c r="Q2447" i="48" s="1"/>
  <c r="Q2448" i="48" s="1"/>
  <c r="Q2449" i="48" s="1"/>
  <c r="Q2450" i="48" s="1"/>
  <c r="Q2451" i="48" s="1"/>
  <c r="Q2452" i="48" s="1"/>
  <c r="Q2453" i="48" s="1"/>
  <c r="Q2454" i="48" s="1"/>
  <c r="Q2455" i="48" s="1"/>
  <c r="K2441" i="48"/>
  <c r="L2441" i="48" s="1"/>
  <c r="G2441" i="48"/>
  <c r="G2440" i="48"/>
  <c r="M2440" i="48" s="1"/>
  <c r="K2435" i="48"/>
  <c r="L2435" i="48" s="1"/>
  <c r="I2435" i="48"/>
  <c r="J2435" i="48" s="1"/>
  <c r="G2435" i="48"/>
  <c r="K2434" i="48"/>
  <c r="L2434" i="48" s="1"/>
  <c r="I2434" i="48"/>
  <c r="J2434" i="48" s="1"/>
  <c r="G2434" i="48"/>
  <c r="K2433" i="48"/>
  <c r="L2433" i="48" s="1"/>
  <c r="I2433" i="48"/>
  <c r="J2433" i="48" s="1"/>
  <c r="G2433" i="48"/>
  <c r="H2433" i="48" s="1"/>
  <c r="K2432" i="48"/>
  <c r="L2432" i="48" s="1"/>
  <c r="I2432" i="48"/>
  <c r="G2432" i="48"/>
  <c r="H2432" i="48" s="1"/>
  <c r="K2430" i="48"/>
  <c r="L2430" i="48" s="1"/>
  <c r="I2430" i="48"/>
  <c r="J2430" i="48" s="1"/>
  <c r="G2430" i="48"/>
  <c r="K2429" i="48"/>
  <c r="L2429" i="48" s="1"/>
  <c r="I2429" i="48"/>
  <c r="J2429" i="48" s="1"/>
  <c r="G2429" i="48"/>
  <c r="H2429" i="48" s="1"/>
  <c r="I2428" i="48"/>
  <c r="I2427" i="48"/>
  <c r="K2426" i="48"/>
  <c r="L2426" i="48" s="1"/>
  <c r="G2426" i="48"/>
  <c r="K2425" i="48"/>
  <c r="L2425" i="48" s="1"/>
  <c r="G2425" i="48"/>
  <c r="H2425" i="48" s="1"/>
  <c r="Q2424" i="48"/>
  <c r="G2424" i="48"/>
  <c r="M2424" i="48" s="1"/>
  <c r="K2419" i="48"/>
  <c r="L2419" i="48" s="1"/>
  <c r="I2419" i="48"/>
  <c r="J2419" i="48" s="1"/>
  <c r="G2419" i="48"/>
  <c r="K2418" i="48"/>
  <c r="L2418" i="48" s="1"/>
  <c r="I2418" i="48"/>
  <c r="J2418" i="48" s="1"/>
  <c r="G2418" i="48"/>
  <c r="K2417" i="48"/>
  <c r="L2417" i="48" s="1"/>
  <c r="I2417" i="48"/>
  <c r="G2417" i="48"/>
  <c r="H2417" i="48" s="1"/>
  <c r="K2416" i="48"/>
  <c r="L2416" i="48" s="1"/>
  <c r="I2416" i="48"/>
  <c r="J2416" i="48" s="1"/>
  <c r="G2416" i="48"/>
  <c r="K2414" i="48"/>
  <c r="L2414" i="48" s="1"/>
  <c r="I2414" i="48"/>
  <c r="J2414" i="48" s="1"/>
  <c r="G2414" i="48"/>
  <c r="H2414" i="48" s="1"/>
  <c r="K2413" i="48"/>
  <c r="L2413" i="48" s="1"/>
  <c r="I2413" i="48"/>
  <c r="G2413" i="48"/>
  <c r="H2413" i="48" s="1"/>
  <c r="I2412" i="48"/>
  <c r="I2411" i="48"/>
  <c r="M2411" i="48" s="1"/>
  <c r="K2410" i="48"/>
  <c r="L2410" i="48" s="1"/>
  <c r="G2410" i="48"/>
  <c r="H2410" i="48" s="1"/>
  <c r="K2409" i="48"/>
  <c r="L2409" i="48" s="1"/>
  <c r="G2409" i="48"/>
  <c r="Q2408" i="48"/>
  <c r="Q2409" i="48" s="1"/>
  <c r="Q2410" i="48" s="1"/>
  <c r="Q2411" i="48" s="1"/>
  <c r="Q2412" i="48" s="1"/>
  <c r="Q2413" i="48" s="1"/>
  <c r="Q2414" i="48" s="1"/>
  <c r="Q2415" i="48" s="1"/>
  <c r="Q2416" i="48" s="1"/>
  <c r="Q2417" i="48" s="1"/>
  <c r="Q2418" i="48" s="1"/>
  <c r="Q2419" i="48" s="1"/>
  <c r="Q2420" i="48" s="1"/>
  <c r="Q2421" i="48" s="1"/>
  <c r="G2408" i="48"/>
  <c r="R2407" i="48"/>
  <c r="R2408" i="48" s="1"/>
  <c r="R2409" i="48" s="1"/>
  <c r="K2403" i="48"/>
  <c r="L2403" i="48" s="1"/>
  <c r="I2403" i="48"/>
  <c r="G2403" i="48"/>
  <c r="H2403" i="48" s="1"/>
  <c r="K2402" i="48"/>
  <c r="L2402" i="48" s="1"/>
  <c r="I2402" i="48"/>
  <c r="J2402" i="48" s="1"/>
  <c r="G2402" i="48"/>
  <c r="K2401" i="48"/>
  <c r="L2401" i="48" s="1"/>
  <c r="I2401" i="48"/>
  <c r="J2401" i="48" s="1"/>
  <c r="G2401" i="48"/>
  <c r="K2400" i="48"/>
  <c r="L2400" i="48" s="1"/>
  <c r="I2400" i="48"/>
  <c r="J2400" i="48" s="1"/>
  <c r="G2400" i="48"/>
  <c r="H2400" i="48" s="1"/>
  <c r="K2398" i="48"/>
  <c r="L2398" i="48" s="1"/>
  <c r="I2398" i="48"/>
  <c r="J2398" i="48" s="1"/>
  <c r="G2398" i="48"/>
  <c r="K2397" i="48"/>
  <c r="L2397" i="48" s="1"/>
  <c r="I2397" i="48"/>
  <c r="J2397" i="48" s="1"/>
  <c r="G2397" i="48"/>
  <c r="I2396" i="48"/>
  <c r="J2396" i="48" s="1"/>
  <c r="N2396" i="48" s="1"/>
  <c r="I2395" i="48"/>
  <c r="M2395" i="48" s="1"/>
  <c r="K2394" i="48"/>
  <c r="L2394" i="48" s="1"/>
  <c r="G2394" i="48"/>
  <c r="H2394" i="48" s="1"/>
  <c r="K2393" i="48"/>
  <c r="L2393" i="48" s="1"/>
  <c r="G2393" i="48"/>
  <c r="G2392" i="48"/>
  <c r="M2392" i="48" s="1"/>
  <c r="Q2391" i="48"/>
  <c r="R2391" i="48" s="1"/>
  <c r="K2387" i="48"/>
  <c r="L2387" i="48" s="1"/>
  <c r="I2387" i="48"/>
  <c r="G2387" i="48"/>
  <c r="H2387" i="48" s="1"/>
  <c r="K2386" i="48"/>
  <c r="L2386" i="48" s="1"/>
  <c r="I2386" i="48"/>
  <c r="J2386" i="48" s="1"/>
  <c r="G2386" i="48"/>
  <c r="H2386" i="48" s="1"/>
  <c r="K2385" i="48"/>
  <c r="L2385" i="48" s="1"/>
  <c r="I2385" i="48"/>
  <c r="J2385" i="48" s="1"/>
  <c r="G2385" i="48"/>
  <c r="H2385" i="48" s="1"/>
  <c r="K2384" i="48"/>
  <c r="L2384" i="48" s="1"/>
  <c r="I2384" i="48"/>
  <c r="J2384" i="48" s="1"/>
  <c r="G2384" i="48"/>
  <c r="K2382" i="48"/>
  <c r="L2382" i="48" s="1"/>
  <c r="I2382" i="48"/>
  <c r="J2382" i="48" s="1"/>
  <c r="G2382" i="48"/>
  <c r="H2382" i="48" s="1"/>
  <c r="K2381" i="48"/>
  <c r="L2381" i="48" s="1"/>
  <c r="I2381" i="48"/>
  <c r="J2381" i="48" s="1"/>
  <c r="G2381" i="48"/>
  <c r="I2380" i="48"/>
  <c r="M2380" i="48" s="1"/>
  <c r="I2379" i="48"/>
  <c r="M2379" i="48" s="1"/>
  <c r="K2378" i="48"/>
  <c r="L2378" i="48" s="1"/>
  <c r="G2378" i="48"/>
  <c r="H2378" i="48" s="1"/>
  <c r="K2377" i="48"/>
  <c r="L2377" i="48" s="1"/>
  <c r="G2377" i="48"/>
  <c r="G2376" i="48"/>
  <c r="M2376" i="48" s="1"/>
  <c r="Q2375" i="48"/>
  <c r="R2375" i="48" s="1"/>
  <c r="K2371" i="48"/>
  <c r="L2371" i="48" s="1"/>
  <c r="I2371" i="48"/>
  <c r="J2371" i="48" s="1"/>
  <c r="G2371" i="48"/>
  <c r="H2371" i="48" s="1"/>
  <c r="K2370" i="48"/>
  <c r="L2370" i="48" s="1"/>
  <c r="I2370" i="48"/>
  <c r="J2370" i="48" s="1"/>
  <c r="G2370" i="48"/>
  <c r="K2369" i="48"/>
  <c r="L2369" i="48" s="1"/>
  <c r="I2369" i="48"/>
  <c r="J2369" i="48" s="1"/>
  <c r="G2369" i="48"/>
  <c r="K2368" i="48"/>
  <c r="L2368" i="48" s="1"/>
  <c r="I2368" i="48"/>
  <c r="G2368" i="48"/>
  <c r="H2368" i="48" s="1"/>
  <c r="K2366" i="48"/>
  <c r="L2366" i="48" s="1"/>
  <c r="I2366" i="48"/>
  <c r="J2366" i="48" s="1"/>
  <c r="G2366" i="48"/>
  <c r="K2365" i="48"/>
  <c r="L2365" i="48" s="1"/>
  <c r="I2365" i="48"/>
  <c r="J2365" i="48" s="1"/>
  <c r="G2365" i="48"/>
  <c r="I2364" i="48"/>
  <c r="I2363" i="48"/>
  <c r="K2362" i="48"/>
  <c r="L2362" i="48" s="1"/>
  <c r="G2362" i="48"/>
  <c r="K2361" i="48"/>
  <c r="L2361" i="48" s="1"/>
  <c r="G2361" i="48"/>
  <c r="H2361" i="48" s="1"/>
  <c r="Q2360" i="48"/>
  <c r="Q2361" i="48" s="1"/>
  <c r="Q2362" i="48" s="1"/>
  <c r="Q2363" i="48" s="1"/>
  <c r="Q2364" i="48" s="1"/>
  <c r="Q2365" i="48" s="1"/>
  <c r="Q2366" i="48" s="1"/>
  <c r="Q2367" i="48" s="1"/>
  <c r="Q2368" i="48" s="1"/>
  <c r="Q2369" i="48" s="1"/>
  <c r="Q2370" i="48" s="1"/>
  <c r="Q2371" i="48" s="1"/>
  <c r="Q2372" i="48" s="1"/>
  <c r="G2360" i="48"/>
  <c r="M2360" i="48" s="1"/>
  <c r="R2359" i="48"/>
  <c r="R2360" i="48" s="1"/>
  <c r="K2355" i="48"/>
  <c r="L2355" i="48" s="1"/>
  <c r="I2355" i="48"/>
  <c r="J2355" i="48" s="1"/>
  <c r="G2355" i="48"/>
  <c r="K2354" i="48"/>
  <c r="L2354" i="48" s="1"/>
  <c r="I2354" i="48"/>
  <c r="G2354" i="48"/>
  <c r="H2354" i="48" s="1"/>
  <c r="K2353" i="48"/>
  <c r="L2353" i="48" s="1"/>
  <c r="I2353" i="48"/>
  <c r="J2353" i="48" s="1"/>
  <c r="G2353" i="48"/>
  <c r="H2353" i="48" s="1"/>
  <c r="K2352" i="48"/>
  <c r="L2352" i="48" s="1"/>
  <c r="I2352" i="48"/>
  <c r="J2352" i="48" s="1"/>
  <c r="G2352" i="48"/>
  <c r="K2350" i="48"/>
  <c r="L2350" i="48" s="1"/>
  <c r="I2350" i="48"/>
  <c r="G2350" i="48"/>
  <c r="H2350" i="48" s="1"/>
  <c r="K2349" i="48"/>
  <c r="L2349" i="48" s="1"/>
  <c r="I2349" i="48"/>
  <c r="J2349" i="48" s="1"/>
  <c r="G2349" i="48"/>
  <c r="H2349" i="48" s="1"/>
  <c r="I2348" i="48"/>
  <c r="M2348" i="48" s="1"/>
  <c r="I2347" i="48"/>
  <c r="M2347" i="48" s="1"/>
  <c r="K2346" i="48"/>
  <c r="L2346" i="48" s="1"/>
  <c r="G2346" i="48"/>
  <c r="H2346" i="48" s="1"/>
  <c r="K2345" i="48"/>
  <c r="L2345" i="48" s="1"/>
  <c r="G2345" i="48"/>
  <c r="G2344" i="48"/>
  <c r="M2344" i="48" s="1"/>
  <c r="Q2343" i="48"/>
  <c r="R2343" i="48" s="1"/>
  <c r="K2337" i="48"/>
  <c r="L2337" i="48" s="1"/>
  <c r="I2337" i="48"/>
  <c r="J2337" i="48" s="1"/>
  <c r="G2337" i="48"/>
  <c r="H2337" i="48" s="1"/>
  <c r="K2336" i="48"/>
  <c r="L2336" i="48" s="1"/>
  <c r="I2336" i="48"/>
  <c r="J2336" i="48" s="1"/>
  <c r="G2336" i="48"/>
  <c r="K2335" i="48"/>
  <c r="L2335" i="48" s="1"/>
  <c r="I2335" i="48"/>
  <c r="J2335" i="48" s="1"/>
  <c r="G2335" i="48"/>
  <c r="H2335" i="48" s="1"/>
  <c r="K2334" i="48"/>
  <c r="L2334" i="48" s="1"/>
  <c r="I2334" i="48"/>
  <c r="J2334" i="48" s="1"/>
  <c r="G2334" i="48"/>
  <c r="H2334" i="48" s="1"/>
  <c r="I2333" i="48"/>
  <c r="M2333" i="48" s="1"/>
  <c r="I2332" i="48"/>
  <c r="M2332" i="48" s="1"/>
  <c r="I2331" i="48"/>
  <c r="K2330" i="48"/>
  <c r="L2330" i="48" s="1"/>
  <c r="G2330" i="48"/>
  <c r="H2330" i="48" s="1"/>
  <c r="K2329" i="48"/>
  <c r="L2329" i="48" s="1"/>
  <c r="G2329" i="48"/>
  <c r="G2328" i="48"/>
  <c r="M2328" i="48" s="1"/>
  <c r="Q2327" i="48"/>
  <c r="Q2328" i="48" s="1"/>
  <c r="Q2329" i="48" s="1"/>
  <c r="Q2330" i="48" s="1"/>
  <c r="Q2331" i="48" s="1"/>
  <c r="Q2332" i="48" s="1"/>
  <c r="Q2333" i="48" s="1"/>
  <c r="Q2334" i="48" s="1"/>
  <c r="Q2335" i="48" s="1"/>
  <c r="Q2336" i="48" s="1"/>
  <c r="Q2337" i="48" s="1"/>
  <c r="Q2338" i="48" s="1"/>
  <c r="Q2339" i="48" s="1"/>
  <c r="Q2340" i="48" s="1"/>
  <c r="K2323" i="48"/>
  <c r="L2323" i="48" s="1"/>
  <c r="I2323" i="48"/>
  <c r="J2323" i="48" s="1"/>
  <c r="G2323" i="48"/>
  <c r="H2323" i="48" s="1"/>
  <c r="K2322" i="48"/>
  <c r="L2322" i="48" s="1"/>
  <c r="I2322" i="48"/>
  <c r="J2322" i="48" s="1"/>
  <c r="G2322" i="48"/>
  <c r="K2321" i="48"/>
  <c r="L2321" i="48" s="1"/>
  <c r="I2321" i="48"/>
  <c r="J2321" i="48" s="1"/>
  <c r="G2321" i="48"/>
  <c r="K2320" i="48"/>
  <c r="L2320" i="48" s="1"/>
  <c r="I2320" i="48"/>
  <c r="J2320" i="48" s="1"/>
  <c r="G2320" i="48"/>
  <c r="H2320" i="48" s="1"/>
  <c r="K2318" i="48"/>
  <c r="L2318" i="48" s="1"/>
  <c r="I2318" i="48"/>
  <c r="J2318" i="48" s="1"/>
  <c r="G2318" i="48"/>
  <c r="I2317" i="48"/>
  <c r="M2317" i="48" s="1"/>
  <c r="I2316" i="48"/>
  <c r="J2316" i="48" s="1"/>
  <c r="K2315" i="48"/>
  <c r="L2315" i="48" s="1"/>
  <c r="G2315" i="48"/>
  <c r="H2315" i="48" s="1"/>
  <c r="K2314" i="48"/>
  <c r="L2314" i="48" s="1"/>
  <c r="G2314" i="48"/>
  <c r="G2313" i="48"/>
  <c r="M2313" i="48" s="1"/>
  <c r="Q2312" i="48"/>
  <c r="Q2313" i="48" s="1"/>
  <c r="Q2314" i="48" s="1"/>
  <c r="Q2315" i="48" s="1"/>
  <c r="Q2316" i="48" s="1"/>
  <c r="Q2317" i="48" s="1"/>
  <c r="Q2318" i="48" s="1"/>
  <c r="Q2319" i="48" s="1"/>
  <c r="Q2320" i="48" s="1"/>
  <c r="Q2321" i="48" s="1"/>
  <c r="Q2322" i="48" s="1"/>
  <c r="Q2323" i="48" s="1"/>
  <c r="Q2324" i="48" s="1"/>
  <c r="R2311" i="48"/>
  <c r="R2312" i="48" s="1"/>
  <c r="K2308" i="48"/>
  <c r="L2308" i="48" s="1"/>
  <c r="I2308" i="48"/>
  <c r="J2308" i="48" s="1"/>
  <c r="G2308" i="48"/>
  <c r="H2308" i="48" s="1"/>
  <c r="K2307" i="48"/>
  <c r="L2307" i="48" s="1"/>
  <c r="I2307" i="48"/>
  <c r="J2307" i="48" s="1"/>
  <c r="G2307" i="48"/>
  <c r="K2306" i="48"/>
  <c r="L2306" i="48" s="1"/>
  <c r="I2306" i="48"/>
  <c r="J2306" i="48" s="1"/>
  <c r="G2306" i="48"/>
  <c r="K2305" i="48"/>
  <c r="L2305" i="48" s="1"/>
  <c r="I2305" i="48"/>
  <c r="G2305" i="48"/>
  <c r="H2305" i="48" s="1"/>
  <c r="K2303" i="48"/>
  <c r="L2303" i="48" s="1"/>
  <c r="I2303" i="48"/>
  <c r="J2303" i="48" s="1"/>
  <c r="G2303" i="48"/>
  <c r="H2303" i="48" s="1"/>
  <c r="I2302" i="48"/>
  <c r="M2302" i="48" s="1"/>
  <c r="I2301" i="48"/>
  <c r="K2300" i="48"/>
  <c r="L2300" i="48" s="1"/>
  <c r="G2300" i="48"/>
  <c r="H2300" i="48" s="1"/>
  <c r="K2299" i="48"/>
  <c r="L2299" i="48" s="1"/>
  <c r="G2299" i="48"/>
  <c r="H2299" i="48" s="1"/>
  <c r="G2298" i="48"/>
  <c r="M2298" i="48" s="1"/>
  <c r="Q2296" i="48"/>
  <c r="Q2297" i="48" s="1"/>
  <c r="Q2298" i="48" s="1"/>
  <c r="Q2299" i="48" s="1"/>
  <c r="Q2300" i="48" s="1"/>
  <c r="Q2301" i="48" s="1"/>
  <c r="Q2302" i="48" s="1"/>
  <c r="Q2303" i="48" s="1"/>
  <c r="Q2304" i="48" s="1"/>
  <c r="Q2305" i="48" s="1"/>
  <c r="Q2306" i="48" s="1"/>
  <c r="Q2307" i="48" s="1"/>
  <c r="R2295" i="48"/>
  <c r="T2295" i="48" s="1"/>
  <c r="K2293" i="48"/>
  <c r="L2293" i="48" s="1"/>
  <c r="I2293" i="48"/>
  <c r="J2293" i="48" s="1"/>
  <c r="G2293" i="48"/>
  <c r="K2292" i="48"/>
  <c r="L2292" i="48" s="1"/>
  <c r="I2292" i="48"/>
  <c r="J2292" i="48" s="1"/>
  <c r="G2292" i="48"/>
  <c r="K2291" i="48"/>
  <c r="L2291" i="48" s="1"/>
  <c r="I2291" i="48"/>
  <c r="G2291" i="48"/>
  <c r="H2291" i="48" s="1"/>
  <c r="K2290" i="48"/>
  <c r="L2290" i="48" s="1"/>
  <c r="I2290" i="48"/>
  <c r="J2290" i="48" s="1"/>
  <c r="G2290" i="48"/>
  <c r="H2290" i="48" s="1"/>
  <c r="K2288" i="48"/>
  <c r="L2288" i="48" s="1"/>
  <c r="I2288" i="48"/>
  <c r="J2288" i="48" s="1"/>
  <c r="G2288" i="48"/>
  <c r="I2287" i="48"/>
  <c r="M2287" i="48" s="1"/>
  <c r="I2286" i="48"/>
  <c r="K2285" i="48"/>
  <c r="L2285" i="48" s="1"/>
  <c r="G2285" i="48"/>
  <c r="K2284" i="48"/>
  <c r="L2284" i="48" s="1"/>
  <c r="G2284" i="48"/>
  <c r="H2284" i="48" s="1"/>
  <c r="G2283" i="48"/>
  <c r="Q2280" i="48"/>
  <c r="R2280" i="48" s="1"/>
  <c r="K2278" i="48"/>
  <c r="L2278" i="48" s="1"/>
  <c r="I2278" i="48"/>
  <c r="J2278" i="48" s="1"/>
  <c r="G2278" i="48"/>
  <c r="K2277" i="48"/>
  <c r="L2277" i="48" s="1"/>
  <c r="I2277" i="48"/>
  <c r="J2277" i="48" s="1"/>
  <c r="G2277" i="48"/>
  <c r="K2276" i="48"/>
  <c r="L2276" i="48" s="1"/>
  <c r="I2276" i="48"/>
  <c r="G2276" i="48"/>
  <c r="H2276" i="48" s="1"/>
  <c r="K2275" i="48"/>
  <c r="L2275" i="48" s="1"/>
  <c r="I2275" i="48"/>
  <c r="J2275" i="48" s="1"/>
  <c r="G2275" i="48"/>
  <c r="H2275" i="48" s="1"/>
  <c r="K2274" i="48"/>
  <c r="L2274" i="48" s="1"/>
  <c r="I2274" i="48"/>
  <c r="J2274" i="48" s="1"/>
  <c r="G2274" i="48"/>
  <c r="K2273" i="48"/>
  <c r="L2273" i="48" s="1"/>
  <c r="I2273" i="48"/>
  <c r="J2273" i="48" s="1"/>
  <c r="G2273" i="48"/>
  <c r="I2272" i="48"/>
  <c r="J2272" i="48" s="1"/>
  <c r="N2272" i="48" s="1"/>
  <c r="I2271" i="48"/>
  <c r="K2270" i="48"/>
  <c r="L2270" i="48" s="1"/>
  <c r="G2270" i="48"/>
  <c r="H2270" i="48" s="1"/>
  <c r="K2269" i="48"/>
  <c r="L2269" i="48" s="1"/>
  <c r="G2269" i="48"/>
  <c r="H2269" i="48" s="1"/>
  <c r="G2268" i="48"/>
  <c r="M2268" i="48" s="1"/>
  <c r="Q2265" i="48"/>
  <c r="R2265" i="48" s="1"/>
  <c r="K2263" i="48"/>
  <c r="L2263" i="48" s="1"/>
  <c r="I2263" i="48"/>
  <c r="J2263" i="48" s="1"/>
  <c r="G2263" i="48"/>
  <c r="K2262" i="48"/>
  <c r="L2262" i="48" s="1"/>
  <c r="I2262" i="48"/>
  <c r="J2262" i="48" s="1"/>
  <c r="G2262" i="48"/>
  <c r="K2261" i="48"/>
  <c r="L2261" i="48" s="1"/>
  <c r="I2261" i="48"/>
  <c r="G2261" i="48"/>
  <c r="H2261" i="48" s="1"/>
  <c r="K2260" i="48"/>
  <c r="L2260" i="48" s="1"/>
  <c r="I2260" i="48"/>
  <c r="J2260" i="48" s="1"/>
  <c r="G2260" i="48"/>
  <c r="H2260" i="48" s="1"/>
  <c r="K2259" i="48"/>
  <c r="L2259" i="48" s="1"/>
  <c r="I2259" i="48"/>
  <c r="J2259" i="48" s="1"/>
  <c r="G2259" i="48"/>
  <c r="K2258" i="48"/>
  <c r="L2258" i="48" s="1"/>
  <c r="I2258" i="48"/>
  <c r="J2258" i="48" s="1"/>
  <c r="G2258" i="48"/>
  <c r="I2257" i="48"/>
  <c r="I2256" i="48"/>
  <c r="J2256" i="48" s="1"/>
  <c r="N2256" i="48" s="1"/>
  <c r="K2255" i="48"/>
  <c r="L2255" i="48" s="1"/>
  <c r="G2255" i="48"/>
  <c r="K2254" i="48"/>
  <c r="L2254" i="48" s="1"/>
  <c r="G2254" i="48"/>
  <c r="H2254" i="48" s="1"/>
  <c r="G2253" i="48"/>
  <c r="Q2251" i="48"/>
  <c r="Q2252" i="48" s="1"/>
  <c r="Q2253" i="48" s="1"/>
  <c r="Q2254" i="48" s="1"/>
  <c r="Q2255" i="48" s="1"/>
  <c r="Q2256" i="48" s="1"/>
  <c r="Q2257" i="48" s="1"/>
  <c r="Q2259" i="48" s="1"/>
  <c r="R2250" i="48"/>
  <c r="T2250" i="48" s="1"/>
  <c r="K2248" i="48"/>
  <c r="L2248" i="48" s="1"/>
  <c r="I2248" i="48"/>
  <c r="J2248" i="48" s="1"/>
  <c r="G2248" i="48"/>
  <c r="K2247" i="48"/>
  <c r="L2247" i="48" s="1"/>
  <c r="I2247" i="48"/>
  <c r="J2247" i="48" s="1"/>
  <c r="G2247" i="48"/>
  <c r="H2247" i="48" s="1"/>
  <c r="K2246" i="48"/>
  <c r="L2246" i="48" s="1"/>
  <c r="I2246" i="48"/>
  <c r="J2246" i="48" s="1"/>
  <c r="G2246" i="48"/>
  <c r="H2246" i="48" s="1"/>
  <c r="K2245" i="48"/>
  <c r="L2245" i="48" s="1"/>
  <c r="I2245" i="48"/>
  <c r="J2245" i="48" s="1"/>
  <c r="G2245" i="48"/>
  <c r="K2244" i="48"/>
  <c r="L2244" i="48" s="1"/>
  <c r="I2244" i="48"/>
  <c r="J2244" i="48" s="1"/>
  <c r="G2244" i="48"/>
  <c r="K2243" i="48"/>
  <c r="L2243" i="48" s="1"/>
  <c r="I2243" i="48"/>
  <c r="G2243" i="48"/>
  <c r="H2243" i="48" s="1"/>
  <c r="I2242" i="48"/>
  <c r="I2241" i="48"/>
  <c r="M2241" i="48" s="1"/>
  <c r="K2240" i="48"/>
  <c r="L2240" i="48" s="1"/>
  <c r="G2240" i="48"/>
  <c r="K2239" i="48"/>
  <c r="L2239" i="48" s="1"/>
  <c r="G2239" i="48"/>
  <c r="G2238" i="48"/>
  <c r="H2238" i="48" s="1"/>
  <c r="Q2235" i="48"/>
  <c r="K2233" i="48"/>
  <c r="L2233" i="48" s="1"/>
  <c r="I2233" i="48"/>
  <c r="J2233" i="48" s="1"/>
  <c r="G2233" i="48"/>
  <c r="K2232" i="48"/>
  <c r="L2232" i="48" s="1"/>
  <c r="I2232" i="48"/>
  <c r="G2232" i="48"/>
  <c r="H2232" i="48" s="1"/>
  <c r="K2231" i="48"/>
  <c r="L2231" i="48" s="1"/>
  <c r="I2231" i="48"/>
  <c r="J2231" i="48" s="1"/>
  <c r="G2231" i="48"/>
  <c r="H2231" i="48" s="1"/>
  <c r="K2230" i="48"/>
  <c r="L2230" i="48" s="1"/>
  <c r="I2230" i="48"/>
  <c r="J2230" i="48" s="1"/>
  <c r="G2230" i="48"/>
  <c r="K2229" i="48"/>
  <c r="L2229" i="48" s="1"/>
  <c r="I2229" i="48"/>
  <c r="J2229" i="48" s="1"/>
  <c r="G2229" i="48"/>
  <c r="K2228" i="48"/>
  <c r="L2228" i="48" s="1"/>
  <c r="I2228" i="48"/>
  <c r="J2228" i="48" s="1"/>
  <c r="G2228" i="48"/>
  <c r="H2228" i="48" s="1"/>
  <c r="I2227" i="48"/>
  <c r="J2227" i="48" s="1"/>
  <c r="N2227" i="48" s="1"/>
  <c r="I2226" i="48"/>
  <c r="K2225" i="48"/>
  <c r="L2225" i="48" s="1"/>
  <c r="G2225" i="48"/>
  <c r="K2224" i="48"/>
  <c r="L2224" i="48" s="1"/>
  <c r="G2224" i="48"/>
  <c r="H2224" i="48" s="1"/>
  <c r="G2223" i="48"/>
  <c r="Q2220" i="48"/>
  <c r="R2220" i="48" s="1"/>
  <c r="R2221" i="48" s="1"/>
  <c r="K2218" i="48"/>
  <c r="L2218" i="48" s="1"/>
  <c r="I2218" i="48"/>
  <c r="J2218" i="48" s="1"/>
  <c r="G2218" i="48"/>
  <c r="K2217" i="48"/>
  <c r="L2217" i="48" s="1"/>
  <c r="I2217" i="48"/>
  <c r="J2217" i="48" s="1"/>
  <c r="G2217" i="48"/>
  <c r="K2216" i="48"/>
  <c r="L2216" i="48" s="1"/>
  <c r="I2216" i="48"/>
  <c r="J2216" i="48" s="1"/>
  <c r="G2216" i="48"/>
  <c r="H2216" i="48" s="1"/>
  <c r="K2215" i="48"/>
  <c r="L2215" i="48" s="1"/>
  <c r="I2215" i="48"/>
  <c r="J2215" i="48" s="1"/>
  <c r="G2215" i="48"/>
  <c r="H2215" i="48" s="1"/>
  <c r="K2214" i="48"/>
  <c r="L2214" i="48" s="1"/>
  <c r="I2214" i="48"/>
  <c r="J2214" i="48" s="1"/>
  <c r="G2214" i="48"/>
  <c r="K2213" i="48"/>
  <c r="L2213" i="48" s="1"/>
  <c r="I2213" i="48"/>
  <c r="J2213" i="48" s="1"/>
  <c r="G2213" i="48"/>
  <c r="H2213" i="48" s="1"/>
  <c r="I2212" i="48"/>
  <c r="I2211" i="48"/>
  <c r="J2211" i="48" s="1"/>
  <c r="N2211" i="48" s="1"/>
  <c r="K2210" i="48"/>
  <c r="L2210" i="48" s="1"/>
  <c r="G2210" i="48"/>
  <c r="K2209" i="48"/>
  <c r="L2209" i="48" s="1"/>
  <c r="G2209" i="48"/>
  <c r="G2208" i="48"/>
  <c r="H2208" i="48" s="1"/>
  <c r="Q2206" i="48"/>
  <c r="Q2207" i="48" s="1"/>
  <c r="Q2208" i="48" s="1"/>
  <c r="Q2209" i="48" s="1"/>
  <c r="Q2210" i="48" s="1"/>
  <c r="Q2211" i="48" s="1"/>
  <c r="Q2212" i="48" s="1"/>
  <c r="Q2213" i="48" s="1"/>
  <c r="Q2214" i="48" s="1"/>
  <c r="Q2215" i="48" s="1"/>
  <c r="Q2216" i="48" s="1"/>
  <c r="Q2217" i="48" s="1"/>
  <c r="R2205" i="48"/>
  <c r="R2206" i="48" s="1"/>
  <c r="K2203" i="48"/>
  <c r="L2203" i="48" s="1"/>
  <c r="I2203" i="48"/>
  <c r="J2203" i="48" s="1"/>
  <c r="G2203" i="48"/>
  <c r="K2202" i="48"/>
  <c r="L2202" i="48" s="1"/>
  <c r="I2202" i="48"/>
  <c r="J2202" i="48" s="1"/>
  <c r="G2202" i="48"/>
  <c r="H2202" i="48" s="1"/>
  <c r="K2201" i="48"/>
  <c r="L2201" i="48" s="1"/>
  <c r="I2201" i="48"/>
  <c r="J2201" i="48" s="1"/>
  <c r="G2201" i="48"/>
  <c r="K2200" i="48"/>
  <c r="L2200" i="48" s="1"/>
  <c r="I2200" i="48"/>
  <c r="J2200" i="48" s="1"/>
  <c r="G2200" i="48"/>
  <c r="K2199" i="48"/>
  <c r="L2199" i="48" s="1"/>
  <c r="I2199" i="48"/>
  <c r="J2199" i="48" s="1"/>
  <c r="G2199" i="48"/>
  <c r="K2198" i="48"/>
  <c r="L2198" i="48" s="1"/>
  <c r="I2198" i="48"/>
  <c r="J2198" i="48" s="1"/>
  <c r="G2198" i="48"/>
  <c r="H2198" i="48" s="1"/>
  <c r="I2197" i="48"/>
  <c r="I2196" i="48"/>
  <c r="M2196" i="48" s="1"/>
  <c r="K2195" i="48"/>
  <c r="L2195" i="48" s="1"/>
  <c r="G2195" i="48"/>
  <c r="K2194" i="48"/>
  <c r="L2194" i="48" s="1"/>
  <c r="G2194" i="48"/>
  <c r="G2193" i="48"/>
  <c r="M2193" i="48" s="1"/>
  <c r="Q2190" i="48"/>
  <c r="Q2191" i="48" s="1"/>
  <c r="Q2192" i="48" s="1"/>
  <c r="Q2193" i="48" s="1"/>
  <c r="Q2194" i="48" s="1"/>
  <c r="Q2195" i="48" s="1"/>
  <c r="Q2196" i="48" s="1"/>
  <c r="Q2197" i="48" s="1"/>
  <c r="Q2198" i="48" s="1"/>
  <c r="Q2199" i="48" s="1"/>
  <c r="Q2200" i="48" s="1"/>
  <c r="Q2201" i="48" s="1"/>
  <c r="Q2202" i="48" s="1"/>
  <c r="K2187" i="48"/>
  <c r="L2187" i="48" s="1"/>
  <c r="I2187" i="48"/>
  <c r="J2187" i="48" s="1"/>
  <c r="G2187" i="48"/>
  <c r="H2187" i="48" s="1"/>
  <c r="K2186" i="48"/>
  <c r="L2186" i="48" s="1"/>
  <c r="I2186" i="48"/>
  <c r="J2186" i="48" s="1"/>
  <c r="G2186" i="48"/>
  <c r="H2186" i="48" s="1"/>
  <c r="K2184" i="48"/>
  <c r="L2184" i="48" s="1"/>
  <c r="I2184" i="48"/>
  <c r="G2184" i="48"/>
  <c r="H2184" i="48" s="1"/>
  <c r="I2183" i="48"/>
  <c r="I2182" i="48"/>
  <c r="M2182" i="48" s="1"/>
  <c r="K2181" i="48"/>
  <c r="L2181" i="48" s="1"/>
  <c r="G2181" i="48"/>
  <c r="K2180" i="48"/>
  <c r="L2180" i="48" s="1"/>
  <c r="G2180" i="48"/>
  <c r="H2180" i="48" s="1"/>
  <c r="G2179" i="48"/>
  <c r="M2179" i="48" s="1"/>
  <c r="Q2175" i="48"/>
  <c r="R2175" i="48" s="1"/>
  <c r="K2173" i="48"/>
  <c r="L2173" i="48" s="1"/>
  <c r="I2173" i="48"/>
  <c r="G2173" i="48"/>
  <c r="H2173" i="48" s="1"/>
  <c r="K2172" i="48"/>
  <c r="L2172" i="48" s="1"/>
  <c r="I2172" i="48"/>
  <c r="J2172" i="48" s="1"/>
  <c r="G2172" i="48"/>
  <c r="H2172" i="48" s="1"/>
  <c r="K2170" i="48"/>
  <c r="L2170" i="48" s="1"/>
  <c r="I2170" i="48"/>
  <c r="J2170" i="48" s="1"/>
  <c r="G2170" i="48"/>
  <c r="I2169" i="48"/>
  <c r="J2169" i="48" s="1"/>
  <c r="N2169" i="48" s="1"/>
  <c r="I2168" i="48"/>
  <c r="M2168" i="48" s="1"/>
  <c r="K2167" i="48"/>
  <c r="L2167" i="48" s="1"/>
  <c r="G2167" i="48"/>
  <c r="K2166" i="48"/>
  <c r="L2166" i="48" s="1"/>
  <c r="G2166" i="48"/>
  <c r="H2166" i="48" s="1"/>
  <c r="G2165" i="48"/>
  <c r="M2165" i="48" s="1"/>
  <c r="Q2161" i="48"/>
  <c r="Q2162" i="48" s="1"/>
  <c r="Q2163" i="48" s="1"/>
  <c r="Q2164" i="48" s="1"/>
  <c r="Q2165" i="48" s="1"/>
  <c r="Q2166" i="48" s="1"/>
  <c r="Q2167" i="48" s="1"/>
  <c r="Q2168" i="48" s="1"/>
  <c r="Q2169" i="48" s="1"/>
  <c r="Q2170" i="48" s="1"/>
  <c r="Q2171" i="48" s="1"/>
  <c r="Q2172" i="48" s="1"/>
  <c r="R2160" i="48"/>
  <c r="R2161" i="48" s="1"/>
  <c r="K2160" i="48"/>
  <c r="L2160" i="48" s="1"/>
  <c r="I2160" i="48"/>
  <c r="J2160" i="48" s="1"/>
  <c r="G2160" i="48"/>
  <c r="H2160" i="48" s="1"/>
  <c r="K2159" i="48"/>
  <c r="L2159" i="48" s="1"/>
  <c r="I2159" i="48"/>
  <c r="J2159" i="48" s="1"/>
  <c r="G2159" i="48"/>
  <c r="H2159" i="48" s="1"/>
  <c r="K2158" i="48"/>
  <c r="L2158" i="48" s="1"/>
  <c r="I2158" i="48"/>
  <c r="J2158" i="48" s="1"/>
  <c r="G2158" i="48"/>
  <c r="H2158" i="48" s="1"/>
  <c r="K2157" i="48"/>
  <c r="L2157" i="48" s="1"/>
  <c r="I2157" i="48"/>
  <c r="J2157" i="48" s="1"/>
  <c r="G2157" i="48"/>
  <c r="K2156" i="48"/>
  <c r="L2156" i="48" s="1"/>
  <c r="I2156" i="48"/>
  <c r="J2156" i="48" s="1"/>
  <c r="G2156" i="48"/>
  <c r="K2155" i="48"/>
  <c r="L2155" i="48" s="1"/>
  <c r="I2155" i="48"/>
  <c r="G2155" i="48"/>
  <c r="H2155" i="48" s="1"/>
  <c r="I2154" i="48"/>
  <c r="J2154" i="48" s="1"/>
  <c r="N2154" i="48" s="1"/>
  <c r="I2153" i="48"/>
  <c r="M2153" i="48" s="1"/>
  <c r="K2149" i="48"/>
  <c r="L2149" i="48" s="1"/>
  <c r="I2149" i="48"/>
  <c r="J2149" i="48" s="1"/>
  <c r="G2149" i="48"/>
  <c r="H2149" i="48" s="1"/>
  <c r="K2148" i="48"/>
  <c r="L2148" i="48" s="1"/>
  <c r="I2148" i="48"/>
  <c r="J2148" i="48" s="1"/>
  <c r="G2148" i="48"/>
  <c r="Q2147" i="48"/>
  <c r="Q2148" i="48" s="1"/>
  <c r="Q2149" i="48" s="1"/>
  <c r="Q2150" i="48" s="1"/>
  <c r="Q2151" i="48" s="1"/>
  <c r="Q2152" i="48" s="1"/>
  <c r="Q2153" i="48" s="1"/>
  <c r="Q2154" i="48" s="1"/>
  <c r="Q2155" i="48" s="1"/>
  <c r="Q2156" i="48" s="1"/>
  <c r="Q2157" i="48" s="1"/>
  <c r="K2147" i="48"/>
  <c r="L2147" i="48" s="1"/>
  <c r="I2147" i="48"/>
  <c r="J2147" i="48" s="1"/>
  <c r="G2147" i="48"/>
  <c r="R2146" i="48"/>
  <c r="K2146" i="48"/>
  <c r="L2146" i="48" s="1"/>
  <c r="I2146" i="48"/>
  <c r="J2146" i="48" s="1"/>
  <c r="G2146" i="48"/>
  <c r="H2146" i="48" s="1"/>
  <c r="K2145" i="48"/>
  <c r="L2145" i="48" s="1"/>
  <c r="I2145" i="48"/>
  <c r="J2145" i="48" s="1"/>
  <c r="G2145" i="48"/>
  <c r="H2145" i="48" s="1"/>
  <c r="K2144" i="48"/>
  <c r="L2144" i="48" s="1"/>
  <c r="I2144" i="48"/>
  <c r="J2144" i="48" s="1"/>
  <c r="G2144" i="48"/>
  <c r="H2144" i="48" s="1"/>
  <c r="I2143" i="48"/>
  <c r="M2143" i="48" s="1"/>
  <c r="I2142" i="48"/>
  <c r="M2142" i="48" s="1"/>
  <c r="K2138" i="48"/>
  <c r="L2138" i="48" s="1"/>
  <c r="I2138" i="48"/>
  <c r="J2138" i="48" s="1"/>
  <c r="G2138" i="48"/>
  <c r="K2137" i="48"/>
  <c r="L2137" i="48" s="1"/>
  <c r="I2137" i="48"/>
  <c r="J2137" i="48" s="1"/>
  <c r="G2137" i="48"/>
  <c r="Q2136" i="48"/>
  <c r="Q2137" i="48" s="1"/>
  <c r="Q2138" i="48" s="1"/>
  <c r="Q2139" i="48" s="1"/>
  <c r="Q2140" i="48" s="1"/>
  <c r="Q2141" i="48" s="1"/>
  <c r="Q2142" i="48" s="1"/>
  <c r="Q2143" i="48" s="1"/>
  <c r="K2136" i="48"/>
  <c r="L2136" i="48" s="1"/>
  <c r="I2136" i="48"/>
  <c r="G2136" i="48"/>
  <c r="H2136" i="48" s="1"/>
  <c r="R2135" i="48"/>
  <c r="R2136" i="48" s="1"/>
  <c r="K2135" i="48"/>
  <c r="L2135" i="48" s="1"/>
  <c r="I2135" i="48"/>
  <c r="J2135" i="48" s="1"/>
  <c r="G2135" i="48"/>
  <c r="T2134" i="48"/>
  <c r="Q2134" i="48"/>
  <c r="K2134" i="48"/>
  <c r="L2134" i="48" s="1"/>
  <c r="I2134" i="48"/>
  <c r="G2134" i="48"/>
  <c r="H2134" i="48" s="1"/>
  <c r="T2133" i="48"/>
  <c r="K2133" i="48"/>
  <c r="L2133" i="48" s="1"/>
  <c r="I2133" i="48"/>
  <c r="J2133" i="48" s="1"/>
  <c r="G2133" i="48"/>
  <c r="T2132" i="48"/>
  <c r="I2132" i="48"/>
  <c r="M2132" i="48" s="1"/>
  <c r="I2131" i="48"/>
  <c r="M2131" i="48" s="1"/>
  <c r="U2130" i="48"/>
  <c r="K2127" i="48"/>
  <c r="L2127" i="48" s="1"/>
  <c r="I2127" i="48"/>
  <c r="J2127" i="48" s="1"/>
  <c r="G2127" i="48"/>
  <c r="K2126" i="48"/>
  <c r="L2126" i="48" s="1"/>
  <c r="I2126" i="48"/>
  <c r="G2126" i="48"/>
  <c r="H2126" i="48" s="1"/>
  <c r="K2125" i="48"/>
  <c r="L2125" i="48" s="1"/>
  <c r="I2125" i="48"/>
  <c r="J2125" i="48" s="1"/>
  <c r="G2125" i="48"/>
  <c r="H2125" i="48" s="1"/>
  <c r="K2124" i="48"/>
  <c r="L2124" i="48" s="1"/>
  <c r="I2124" i="48"/>
  <c r="J2124" i="48" s="1"/>
  <c r="G2124" i="48"/>
  <c r="K2123" i="48"/>
  <c r="L2123" i="48" s="1"/>
  <c r="I2123" i="48"/>
  <c r="J2123" i="48" s="1"/>
  <c r="G2123" i="48"/>
  <c r="K2122" i="48"/>
  <c r="L2122" i="48" s="1"/>
  <c r="I2122" i="48"/>
  <c r="G2122" i="48"/>
  <c r="H2122" i="48" s="1"/>
  <c r="Q2121" i="48"/>
  <c r="Q2122" i="48" s="1"/>
  <c r="Q2123" i="48" s="1"/>
  <c r="Q2124" i="48" s="1"/>
  <c r="Q2125" i="48" s="1"/>
  <c r="Q2126" i="48" s="1"/>
  <c r="Q2127" i="48" s="1"/>
  <c r="Q2128" i="48" s="1"/>
  <c r="Q2129" i="48" s="1"/>
  <c r="I2121" i="48"/>
  <c r="M2121" i="48" s="1"/>
  <c r="I2120" i="48"/>
  <c r="M2120" i="48" s="1"/>
  <c r="K2116" i="48"/>
  <c r="L2116" i="48" s="1"/>
  <c r="I2116" i="48"/>
  <c r="G2116" i="48"/>
  <c r="H2116" i="48" s="1"/>
  <c r="K2115" i="48"/>
  <c r="L2115" i="48" s="1"/>
  <c r="I2115" i="48"/>
  <c r="J2115" i="48" s="1"/>
  <c r="G2115" i="48"/>
  <c r="H2115" i="48" s="1"/>
  <c r="K2114" i="48"/>
  <c r="L2114" i="48" s="1"/>
  <c r="I2114" i="48"/>
  <c r="J2114" i="48" s="1"/>
  <c r="G2114" i="48"/>
  <c r="K2113" i="48"/>
  <c r="L2113" i="48" s="1"/>
  <c r="I2113" i="48"/>
  <c r="J2113" i="48" s="1"/>
  <c r="G2113" i="48"/>
  <c r="H2113" i="48" s="1"/>
  <c r="K2112" i="48"/>
  <c r="L2112" i="48" s="1"/>
  <c r="I2112" i="48"/>
  <c r="G2112" i="48"/>
  <c r="H2112" i="48" s="1"/>
  <c r="K2111" i="48"/>
  <c r="L2111" i="48" s="1"/>
  <c r="I2111" i="48"/>
  <c r="J2111" i="48" s="1"/>
  <c r="G2111" i="48"/>
  <c r="Q2110" i="48"/>
  <c r="I2110" i="48"/>
  <c r="I2109" i="48"/>
  <c r="J2109" i="48" s="1"/>
  <c r="K2105" i="48"/>
  <c r="L2105" i="48" s="1"/>
  <c r="I2105" i="48"/>
  <c r="J2105" i="48" s="1"/>
  <c r="G2105" i="48"/>
  <c r="K2104" i="48"/>
  <c r="L2104" i="48" s="1"/>
  <c r="I2104" i="48"/>
  <c r="J2104" i="48" s="1"/>
  <c r="G2104" i="48"/>
  <c r="K2103" i="48"/>
  <c r="L2103" i="48" s="1"/>
  <c r="I2103" i="48"/>
  <c r="J2103" i="48" s="1"/>
  <c r="G2103" i="48"/>
  <c r="H2103" i="48" s="1"/>
  <c r="K2102" i="48"/>
  <c r="L2102" i="48" s="1"/>
  <c r="I2102" i="48"/>
  <c r="G2102" i="48"/>
  <c r="H2102" i="48" s="1"/>
  <c r="K2101" i="48"/>
  <c r="L2101" i="48" s="1"/>
  <c r="I2101" i="48"/>
  <c r="J2101" i="48" s="1"/>
  <c r="G2101" i="48"/>
  <c r="H2101" i="48" s="1"/>
  <c r="Q2100" i="48"/>
  <c r="Q2101" i="48" s="1"/>
  <c r="Q2102" i="48" s="1"/>
  <c r="Q2103" i="48" s="1"/>
  <c r="Q2104" i="48" s="1"/>
  <c r="Q2105" i="48" s="1"/>
  <c r="Q2106" i="48" s="1"/>
  <c r="Q2107" i="48" s="1"/>
  <c r="K2100" i="48"/>
  <c r="L2100" i="48" s="1"/>
  <c r="I2100" i="48"/>
  <c r="J2100" i="48" s="1"/>
  <c r="G2100" i="48"/>
  <c r="R2099" i="48"/>
  <c r="R2100" i="48" s="1"/>
  <c r="I2099" i="48"/>
  <c r="I2098" i="48"/>
  <c r="M2098" i="48" s="1"/>
  <c r="K2094" i="48"/>
  <c r="L2094" i="48" s="1"/>
  <c r="I2094" i="48"/>
  <c r="G2094" i="48"/>
  <c r="H2094" i="48" s="1"/>
  <c r="K2093" i="48"/>
  <c r="L2093" i="48" s="1"/>
  <c r="I2093" i="48"/>
  <c r="G2093" i="48"/>
  <c r="H2093" i="48" s="1"/>
  <c r="K2092" i="48"/>
  <c r="L2092" i="48" s="1"/>
  <c r="I2092" i="48"/>
  <c r="J2092" i="48" s="1"/>
  <c r="G2092" i="48"/>
  <c r="K2091" i="48"/>
  <c r="L2091" i="48" s="1"/>
  <c r="I2091" i="48"/>
  <c r="J2091" i="48" s="1"/>
  <c r="G2091" i="48"/>
  <c r="K2090" i="48"/>
  <c r="L2090" i="48" s="1"/>
  <c r="I2090" i="48"/>
  <c r="G2090" i="48"/>
  <c r="H2090" i="48" s="1"/>
  <c r="K2089" i="48"/>
  <c r="L2089" i="48" s="1"/>
  <c r="I2089" i="48"/>
  <c r="G2089" i="48"/>
  <c r="H2089" i="48" s="1"/>
  <c r="Q2088" i="48"/>
  <c r="Q2089" i="48" s="1"/>
  <c r="Q2090" i="48" s="1"/>
  <c r="Q2091" i="48" s="1"/>
  <c r="Q2092" i="48" s="1"/>
  <c r="Q2093" i="48" s="1"/>
  <c r="Q2094" i="48" s="1"/>
  <c r="Q2095" i="48" s="1"/>
  <c r="Q2096" i="48" s="1"/>
  <c r="I2088" i="48"/>
  <c r="M2088" i="48" s="1"/>
  <c r="I2087" i="48"/>
  <c r="M2087" i="48" s="1"/>
  <c r="K2083" i="48"/>
  <c r="L2083" i="48" s="1"/>
  <c r="I2083" i="48"/>
  <c r="G2083" i="48"/>
  <c r="H2083" i="48" s="1"/>
  <c r="K2082" i="48"/>
  <c r="L2082" i="48" s="1"/>
  <c r="I2082" i="48"/>
  <c r="J2082" i="48" s="1"/>
  <c r="G2082" i="48"/>
  <c r="K2081" i="48"/>
  <c r="L2081" i="48" s="1"/>
  <c r="I2081" i="48"/>
  <c r="J2081" i="48" s="1"/>
  <c r="G2081" i="48"/>
  <c r="K2080" i="48"/>
  <c r="L2080" i="48" s="1"/>
  <c r="I2080" i="48"/>
  <c r="G2080" i="48"/>
  <c r="H2080" i="48" s="1"/>
  <c r="K2079" i="48"/>
  <c r="L2079" i="48" s="1"/>
  <c r="I2079" i="48"/>
  <c r="G2079" i="48"/>
  <c r="H2079" i="48" s="1"/>
  <c r="K2078" i="48"/>
  <c r="L2078" i="48" s="1"/>
  <c r="I2078" i="48"/>
  <c r="J2078" i="48" s="1"/>
  <c r="G2078" i="48"/>
  <c r="Q2077" i="48"/>
  <c r="R2077" i="48" s="1"/>
  <c r="R2078" i="48" s="1"/>
  <c r="I2077" i="48"/>
  <c r="J2077" i="48" s="1"/>
  <c r="N2077" i="48" s="1"/>
  <c r="I2076" i="48"/>
  <c r="K2072" i="48"/>
  <c r="L2072" i="48" s="1"/>
  <c r="I2072" i="48"/>
  <c r="J2072" i="48" s="1"/>
  <c r="G2072" i="48"/>
  <c r="K2071" i="48"/>
  <c r="L2071" i="48" s="1"/>
  <c r="I2071" i="48"/>
  <c r="J2071" i="48" s="1"/>
  <c r="G2071" i="48"/>
  <c r="K2070" i="48"/>
  <c r="L2070" i="48" s="1"/>
  <c r="I2070" i="48"/>
  <c r="G2070" i="48"/>
  <c r="H2070" i="48" s="1"/>
  <c r="K2069" i="48"/>
  <c r="L2069" i="48" s="1"/>
  <c r="I2069" i="48"/>
  <c r="G2069" i="48"/>
  <c r="H2069" i="48" s="1"/>
  <c r="K2068" i="48"/>
  <c r="L2068" i="48" s="1"/>
  <c r="I2068" i="48"/>
  <c r="J2068" i="48" s="1"/>
  <c r="G2068" i="48"/>
  <c r="Q2067" i="48"/>
  <c r="Q2068" i="48" s="1"/>
  <c r="Q2069" i="48" s="1"/>
  <c r="Q2070" i="48" s="1"/>
  <c r="Q2071" i="48" s="1"/>
  <c r="Q2072" i="48" s="1"/>
  <c r="Q2073" i="48" s="1"/>
  <c r="Q2074" i="48" s="1"/>
  <c r="K2067" i="48"/>
  <c r="L2067" i="48" s="1"/>
  <c r="I2067" i="48"/>
  <c r="J2067" i="48" s="1"/>
  <c r="G2067" i="48"/>
  <c r="R2066" i="48"/>
  <c r="R2067" i="48" s="1"/>
  <c r="I2066" i="48"/>
  <c r="M2066" i="48" s="1"/>
  <c r="I2065" i="48"/>
  <c r="M2065" i="48" s="1"/>
  <c r="K2061" i="48"/>
  <c r="I2061" i="48"/>
  <c r="G2061" i="48"/>
  <c r="K2060" i="48"/>
  <c r="I2060" i="48"/>
  <c r="G2060" i="48"/>
  <c r="K2059" i="48"/>
  <c r="I2059" i="48"/>
  <c r="G2059" i="48"/>
  <c r="K2058" i="48"/>
  <c r="I2058" i="48"/>
  <c r="G2058" i="48"/>
  <c r="K2057" i="48"/>
  <c r="I2057" i="48"/>
  <c r="G2057" i="48"/>
  <c r="K2056" i="48"/>
  <c r="I2056" i="48"/>
  <c r="G2056" i="48"/>
  <c r="Q2055" i="48"/>
  <c r="K2055" i="48"/>
  <c r="I2055" i="48"/>
  <c r="G2055" i="48"/>
  <c r="K2054" i="48"/>
  <c r="I2054" i="48"/>
  <c r="G2054" i="48"/>
  <c r="K2053" i="48"/>
  <c r="I2053" i="48"/>
  <c r="G2053" i="48"/>
  <c r="I2052" i="48"/>
  <c r="M2052" i="48" s="1"/>
  <c r="I2051" i="48"/>
  <c r="M2051" i="48" s="1"/>
  <c r="K2047" i="48"/>
  <c r="I2047" i="48"/>
  <c r="G2047" i="48"/>
  <c r="K2046" i="48"/>
  <c r="I2046" i="48"/>
  <c r="G2046" i="48"/>
  <c r="K2045" i="48"/>
  <c r="I2045" i="48"/>
  <c r="G2045" i="48"/>
  <c r="Q2044" i="48"/>
  <c r="Q2045" i="48" s="1"/>
  <c r="Q2046" i="48" s="1"/>
  <c r="Q2047" i="48" s="1"/>
  <c r="Q2048" i="48" s="1"/>
  <c r="Q2049" i="48" s="1"/>
  <c r="Q2050" i="48" s="1"/>
  <c r="Q2051" i="48" s="1"/>
  <c r="Q2052" i="48" s="1"/>
  <c r="K2044" i="48"/>
  <c r="I2044" i="48"/>
  <c r="G2044" i="48"/>
  <c r="K2043" i="48"/>
  <c r="I2043" i="48"/>
  <c r="G2043" i="48"/>
  <c r="K2042" i="48"/>
  <c r="I2042" i="48"/>
  <c r="G2042" i="48"/>
  <c r="K2041" i="48"/>
  <c r="I2041" i="48"/>
  <c r="G2041" i="48"/>
  <c r="K2040" i="48"/>
  <c r="I2040" i="48"/>
  <c r="G2040" i="48"/>
  <c r="K2039" i="48"/>
  <c r="I2039" i="48"/>
  <c r="G2039" i="48"/>
  <c r="K2038" i="48"/>
  <c r="I2038" i="48"/>
  <c r="G2038" i="48"/>
  <c r="K2037" i="48"/>
  <c r="I2037" i="48"/>
  <c r="G2037" i="48"/>
  <c r="K2036" i="48"/>
  <c r="I2036" i="48"/>
  <c r="G2036" i="48"/>
  <c r="I2035" i="48"/>
  <c r="M2035" i="48" s="1"/>
  <c r="Q2034" i="48"/>
  <c r="Q2035" i="48" s="1"/>
  <c r="Q2036" i="48" s="1"/>
  <c r="Q2037" i="48" s="1"/>
  <c r="Q2038" i="48" s="1"/>
  <c r="Q2039" i="48" s="1"/>
  <c r="Q2040" i="48" s="1"/>
  <c r="Q2041" i="48" s="1"/>
  <c r="I2034" i="48"/>
  <c r="M2034" i="48" s="1"/>
  <c r="R2033" i="48"/>
  <c r="R2034" i="48" s="1"/>
  <c r="I2033" i="48"/>
  <c r="M2033" i="48" s="1"/>
  <c r="I2032" i="48"/>
  <c r="M2032" i="48" s="1"/>
  <c r="K2028" i="48"/>
  <c r="L2028" i="48" s="1"/>
  <c r="I2028" i="48"/>
  <c r="J2028" i="48" s="1"/>
  <c r="G2028" i="48"/>
  <c r="H2028" i="48" s="1"/>
  <c r="K2027" i="48"/>
  <c r="L2027" i="48" s="1"/>
  <c r="I2027" i="48"/>
  <c r="J2027" i="48" s="1"/>
  <c r="G2027" i="48"/>
  <c r="K2026" i="48"/>
  <c r="L2026" i="48" s="1"/>
  <c r="I2026" i="48"/>
  <c r="J2026" i="48" s="1"/>
  <c r="G2026" i="48"/>
  <c r="K2025" i="48"/>
  <c r="L2025" i="48" s="1"/>
  <c r="I2025" i="48"/>
  <c r="G2025" i="48"/>
  <c r="H2025" i="48" s="1"/>
  <c r="K2023" i="48"/>
  <c r="L2023" i="48" s="1"/>
  <c r="I2023" i="48"/>
  <c r="J2023" i="48" s="1"/>
  <c r="G2023" i="48"/>
  <c r="K2022" i="48"/>
  <c r="L2022" i="48" s="1"/>
  <c r="I2022" i="48"/>
  <c r="J2022" i="48" s="1"/>
  <c r="G2022" i="48"/>
  <c r="K2021" i="48"/>
  <c r="L2021" i="48" s="1"/>
  <c r="I2021" i="48"/>
  <c r="G2021" i="48"/>
  <c r="H2021" i="48" s="1"/>
  <c r="R2020" i="48"/>
  <c r="R2021" i="48" s="1"/>
  <c r="Q2020" i="48"/>
  <c r="Q2021" i="48" s="1"/>
  <c r="Q2022" i="48" s="1"/>
  <c r="Q2023" i="48" s="1"/>
  <c r="Q2024" i="48" s="1"/>
  <c r="Q2025" i="48" s="1"/>
  <c r="Q2026" i="48" s="1"/>
  <c r="Q2027" i="48" s="1"/>
  <c r="Q2028" i="48" s="1"/>
  <c r="Q2029" i="48" s="1"/>
  <c r="Q2030" i="48" s="1"/>
  <c r="K2020" i="48"/>
  <c r="L2020" i="48" s="1"/>
  <c r="I2020" i="48"/>
  <c r="J2020" i="48" s="1"/>
  <c r="G2020" i="48"/>
  <c r="I2019" i="48"/>
  <c r="M2019" i="48" s="1"/>
  <c r="I2018" i="48"/>
  <c r="L2017" i="48"/>
  <c r="J2017" i="48"/>
  <c r="G2017" i="48"/>
  <c r="H2017" i="48" s="1"/>
  <c r="G2016" i="48"/>
  <c r="H2016" i="48" s="1"/>
  <c r="T2015" i="48"/>
  <c r="E2046" i="48" s="1"/>
  <c r="T2012" i="48"/>
  <c r="E2043" i="48" s="1"/>
  <c r="K2012" i="48"/>
  <c r="I2012" i="48"/>
  <c r="G2012" i="48"/>
  <c r="K2011" i="48"/>
  <c r="I2011" i="48"/>
  <c r="G2011" i="48"/>
  <c r="K2010" i="48"/>
  <c r="I2010" i="48"/>
  <c r="G2010" i="48"/>
  <c r="K2009" i="48"/>
  <c r="I2009" i="48"/>
  <c r="G2009" i="48"/>
  <c r="K2007" i="48"/>
  <c r="I2007" i="48"/>
  <c r="G2007" i="48"/>
  <c r="T2006" i="48"/>
  <c r="E2037" i="48" s="1"/>
  <c r="K2006" i="48"/>
  <c r="I2006" i="48"/>
  <c r="G2006" i="48"/>
  <c r="T2005" i="48"/>
  <c r="E2036" i="48" s="1"/>
  <c r="K2005" i="48"/>
  <c r="I2005" i="48"/>
  <c r="G2005" i="48"/>
  <c r="T2004" i="48"/>
  <c r="E2035" i="48" s="1"/>
  <c r="K2004" i="48"/>
  <c r="I2004" i="48"/>
  <c r="G2004" i="48"/>
  <c r="T2003" i="48"/>
  <c r="E2034" i="48" s="1"/>
  <c r="I2003" i="48"/>
  <c r="M2003" i="48" s="1"/>
  <c r="I2002" i="48"/>
  <c r="M2002" i="48" s="1"/>
  <c r="Q2001" i="48"/>
  <c r="Q2002" i="48" s="1"/>
  <c r="Q2007" i="48" s="1"/>
  <c r="Q2008" i="48" s="1"/>
  <c r="Q2009" i="48" s="1"/>
  <c r="L2001" i="48"/>
  <c r="J2001" i="48"/>
  <c r="G2001" i="48"/>
  <c r="R2000" i="48"/>
  <c r="R2001" i="48" s="1"/>
  <c r="G2000" i="48"/>
  <c r="K1996" i="48"/>
  <c r="L1996" i="48" s="1"/>
  <c r="I1996" i="48"/>
  <c r="J1996" i="48" s="1"/>
  <c r="G1996" i="48"/>
  <c r="H1996" i="48" s="1"/>
  <c r="K1995" i="48"/>
  <c r="L1995" i="48" s="1"/>
  <c r="I1995" i="48"/>
  <c r="J1995" i="48" s="1"/>
  <c r="G1995" i="48"/>
  <c r="K1994" i="48"/>
  <c r="L1994" i="48" s="1"/>
  <c r="I1994" i="48"/>
  <c r="J1994" i="48" s="1"/>
  <c r="G1994" i="48"/>
  <c r="K1993" i="48"/>
  <c r="L1993" i="48" s="1"/>
  <c r="I1993" i="48"/>
  <c r="G1993" i="48"/>
  <c r="H1993" i="48" s="1"/>
  <c r="K1991" i="48"/>
  <c r="L1991" i="48" s="1"/>
  <c r="I1991" i="48"/>
  <c r="J1991" i="48" s="1"/>
  <c r="G1991" i="48"/>
  <c r="K1990" i="48"/>
  <c r="L1990" i="48" s="1"/>
  <c r="I1990" i="48"/>
  <c r="J1990" i="48" s="1"/>
  <c r="G1990" i="48"/>
  <c r="K1989" i="48"/>
  <c r="L1989" i="48" s="1"/>
  <c r="I1989" i="48"/>
  <c r="G1989" i="48"/>
  <c r="H1989" i="48" s="1"/>
  <c r="K1988" i="48"/>
  <c r="L1988" i="48" s="1"/>
  <c r="I1988" i="48"/>
  <c r="J1988" i="48" s="1"/>
  <c r="G1988" i="48"/>
  <c r="H1988" i="48" s="1"/>
  <c r="I1987" i="48"/>
  <c r="I1986" i="48"/>
  <c r="M1986" i="48" s="1"/>
  <c r="Q1985" i="48"/>
  <c r="Q1987" i="48" s="1"/>
  <c r="Q1988" i="48" s="1"/>
  <c r="Q1989" i="48" s="1"/>
  <c r="Q1990" i="48" s="1"/>
  <c r="Q1991" i="48" s="1"/>
  <c r="Q1992" i="48" s="1"/>
  <c r="Q1993" i="48" s="1"/>
  <c r="Q1994" i="48" s="1"/>
  <c r="Q1995" i="48" s="1"/>
  <c r="L1985" i="48"/>
  <c r="J1985" i="48"/>
  <c r="G1985" i="48"/>
  <c r="R1984" i="48"/>
  <c r="R1985" i="48" s="1"/>
  <c r="G1984" i="48"/>
  <c r="K1980" i="48"/>
  <c r="I1980" i="48"/>
  <c r="G1980" i="48"/>
  <c r="K1979" i="48"/>
  <c r="I1979" i="48"/>
  <c r="G1979" i="48"/>
  <c r="K1978" i="48"/>
  <c r="I1978" i="48"/>
  <c r="G1978" i="48"/>
  <c r="K1977" i="48"/>
  <c r="I1977" i="48"/>
  <c r="G1977" i="48"/>
  <c r="K1975" i="48"/>
  <c r="I1975" i="48"/>
  <c r="G1975" i="48"/>
  <c r="K1974" i="48"/>
  <c r="I1974" i="48"/>
  <c r="G1974" i="48"/>
  <c r="K1973" i="48"/>
  <c r="I1973" i="48"/>
  <c r="G1973" i="48"/>
  <c r="K1972" i="48"/>
  <c r="I1972" i="48"/>
  <c r="G1972" i="48"/>
  <c r="I1971" i="48"/>
  <c r="M1971" i="48" s="1"/>
  <c r="I1970" i="48"/>
  <c r="M1970" i="48" s="1"/>
  <c r="Q1969" i="48"/>
  <c r="Q1971" i="48" s="1"/>
  <c r="Q1972" i="48" s="1"/>
  <c r="Q1973" i="48" s="1"/>
  <c r="Q1974" i="48" s="1"/>
  <c r="Q1975" i="48" s="1"/>
  <c r="Q1976" i="48" s="1"/>
  <c r="Q1977" i="48" s="1"/>
  <c r="Q1978" i="48" s="1"/>
  <c r="Q1979" i="48" s="1"/>
  <c r="L1969" i="48"/>
  <c r="J1969" i="48"/>
  <c r="G1969" i="48"/>
  <c r="M1969" i="48" s="1"/>
  <c r="R1968" i="48"/>
  <c r="R1969" i="48" s="1"/>
  <c r="G1968" i="48"/>
  <c r="H1968" i="48" s="1"/>
  <c r="K1964" i="48"/>
  <c r="I1964" i="48"/>
  <c r="G1964" i="48"/>
  <c r="K1963" i="48"/>
  <c r="I1963" i="48"/>
  <c r="G1963" i="48"/>
  <c r="K1962" i="48"/>
  <c r="I1962" i="48"/>
  <c r="G1962" i="48"/>
  <c r="K1961" i="48"/>
  <c r="I1961" i="48"/>
  <c r="G1961" i="48"/>
  <c r="K1959" i="48"/>
  <c r="I1959" i="48"/>
  <c r="G1959" i="48"/>
  <c r="K1958" i="48"/>
  <c r="I1958" i="48"/>
  <c r="G1958" i="48"/>
  <c r="K1957" i="48"/>
  <c r="I1957" i="48"/>
  <c r="G1957" i="48"/>
  <c r="K1956" i="48"/>
  <c r="I1956" i="48"/>
  <c r="G1956" i="48"/>
  <c r="I1955" i="48"/>
  <c r="M1955" i="48" s="1"/>
  <c r="I1954" i="48"/>
  <c r="M1954" i="48" s="1"/>
  <c r="Q1953" i="48"/>
  <c r="Q1955" i="48" s="1"/>
  <c r="Q1956" i="48" s="1"/>
  <c r="Q1957" i="48" s="1"/>
  <c r="Q1958" i="48" s="1"/>
  <c r="Q1959" i="48" s="1"/>
  <c r="Q1960" i="48" s="1"/>
  <c r="Q1961" i="48" s="1"/>
  <c r="Q1962" i="48" s="1"/>
  <c r="Q1963" i="48" s="1"/>
  <c r="L1953" i="48"/>
  <c r="J1953" i="48"/>
  <c r="G1953" i="48"/>
  <c r="M1953" i="48" s="1"/>
  <c r="R1952" i="48"/>
  <c r="R1953" i="48" s="1"/>
  <c r="G1952" i="48"/>
  <c r="M1952" i="48" s="1"/>
  <c r="K1948" i="48"/>
  <c r="L1948" i="48" s="1"/>
  <c r="I1948" i="48"/>
  <c r="J1948" i="48" s="1"/>
  <c r="G1948" i="48"/>
  <c r="H1948" i="48" s="1"/>
  <c r="K1947" i="48"/>
  <c r="L1947" i="48" s="1"/>
  <c r="I1947" i="48"/>
  <c r="J1947" i="48" s="1"/>
  <c r="G1947" i="48"/>
  <c r="I1944" i="48"/>
  <c r="I1943" i="48"/>
  <c r="M1943" i="48" s="1"/>
  <c r="K1938" i="48"/>
  <c r="L1938" i="48" s="1"/>
  <c r="I1938" i="48"/>
  <c r="J1938" i="48" s="1"/>
  <c r="G1938" i="48"/>
  <c r="H1938" i="48" s="1"/>
  <c r="Q1937" i="48"/>
  <c r="Q1939" i="48" s="1"/>
  <c r="Q1940" i="48" s="1"/>
  <c r="Q1941" i="48" s="1"/>
  <c r="Q1942" i="48" s="1"/>
  <c r="Q1943" i="48" s="1"/>
  <c r="Q1944" i="48" s="1"/>
  <c r="Q1945" i="48" s="1"/>
  <c r="Q1946" i="48" s="1"/>
  <c r="Q1947" i="48" s="1"/>
  <c r="K1937" i="48"/>
  <c r="L1937" i="48" s="1"/>
  <c r="I1937" i="48"/>
  <c r="J1937" i="48" s="1"/>
  <c r="G1937" i="48"/>
  <c r="H1937" i="48" s="1"/>
  <c r="R1936" i="48"/>
  <c r="R1937" i="48" s="1"/>
  <c r="I1934" i="48"/>
  <c r="I1933" i="48"/>
  <c r="K1928" i="48"/>
  <c r="L1928" i="48" s="1"/>
  <c r="I1928" i="48"/>
  <c r="J1928" i="48" s="1"/>
  <c r="G1928" i="48"/>
  <c r="H1928" i="48" s="1"/>
  <c r="K1927" i="48"/>
  <c r="L1927" i="48" s="1"/>
  <c r="I1927" i="48"/>
  <c r="J1927" i="48" s="1"/>
  <c r="G1927" i="48"/>
  <c r="H1927" i="48" s="1"/>
  <c r="I1924" i="48"/>
  <c r="J1924" i="48" s="1"/>
  <c r="N1924" i="48" s="1"/>
  <c r="I1923" i="48"/>
  <c r="Q1921" i="48"/>
  <c r="Q1923" i="48" s="1"/>
  <c r="Q1924" i="48" s="1"/>
  <c r="Q1925" i="48" s="1"/>
  <c r="Q1926" i="48" s="1"/>
  <c r="Q1927" i="48" s="1"/>
  <c r="Q1928" i="48" s="1"/>
  <c r="Q1929" i="48" s="1"/>
  <c r="Q1930" i="48" s="1"/>
  <c r="Q1931" i="48" s="1"/>
  <c r="R1920" i="48"/>
  <c r="R1921" i="48" s="1"/>
  <c r="T1921" i="48" s="1"/>
  <c r="K1918" i="48"/>
  <c r="L1918" i="48" s="1"/>
  <c r="I1918" i="48"/>
  <c r="J1918" i="48" s="1"/>
  <c r="G1918" i="48"/>
  <c r="H1918" i="48" s="1"/>
  <c r="K1917" i="48"/>
  <c r="L1917" i="48" s="1"/>
  <c r="I1917" i="48"/>
  <c r="J1917" i="48" s="1"/>
  <c r="G1917" i="48"/>
  <c r="H1917" i="48" s="1"/>
  <c r="I1914" i="48"/>
  <c r="J1914" i="48" s="1"/>
  <c r="N1914" i="48" s="1"/>
  <c r="I1913" i="48"/>
  <c r="J1913" i="48" s="1"/>
  <c r="N1913" i="48" s="1"/>
  <c r="Q1911" i="48"/>
  <c r="Q1912" i="48" s="1"/>
  <c r="Q1913" i="48" s="1"/>
  <c r="Q1914" i="48" s="1"/>
  <c r="Q1915" i="48" s="1"/>
  <c r="Q1916" i="48" s="1"/>
  <c r="Q1917" i="48" s="1"/>
  <c r="R1910" i="48"/>
  <c r="R1911" i="48" s="1"/>
  <c r="T1911" i="48" s="1"/>
  <c r="K1908" i="48"/>
  <c r="L1908" i="48" s="1"/>
  <c r="I1908" i="48"/>
  <c r="J1908" i="48" s="1"/>
  <c r="G1908" i="48"/>
  <c r="H1908" i="48" s="1"/>
  <c r="K1907" i="48"/>
  <c r="L1907" i="48" s="1"/>
  <c r="I1907" i="48"/>
  <c r="J1907" i="48" s="1"/>
  <c r="G1907" i="48"/>
  <c r="H1907" i="48" s="1"/>
  <c r="K1906" i="48"/>
  <c r="L1906" i="48" s="1"/>
  <c r="I1906" i="48"/>
  <c r="J1906" i="48" s="1"/>
  <c r="G1906" i="48"/>
  <c r="H1906" i="48" s="1"/>
  <c r="K1905" i="48"/>
  <c r="L1905" i="48" s="1"/>
  <c r="I1905" i="48"/>
  <c r="J1905" i="48" s="1"/>
  <c r="G1905" i="48"/>
  <c r="K1904" i="48"/>
  <c r="L1904" i="48" s="1"/>
  <c r="I1904" i="48"/>
  <c r="J1904" i="48" s="1"/>
  <c r="G1904" i="48"/>
  <c r="H1904" i="48" s="1"/>
  <c r="I1903" i="48"/>
  <c r="J1903" i="48" s="1"/>
  <c r="N1903" i="48" s="1"/>
  <c r="I1902" i="48"/>
  <c r="Q1901" i="48"/>
  <c r="Q1902" i="48" s="1"/>
  <c r="Q1903" i="48" s="1"/>
  <c r="Q1904" i="48" s="1"/>
  <c r="Q1905" i="48" s="1"/>
  <c r="Q1906" i="48" s="1"/>
  <c r="Q1907" i="48" s="1"/>
  <c r="R1900" i="48"/>
  <c r="R1901" i="48" s="1"/>
  <c r="K1897" i="48"/>
  <c r="L1897" i="48" s="1"/>
  <c r="I1897" i="48"/>
  <c r="J1897" i="48" s="1"/>
  <c r="G1897" i="48"/>
  <c r="H1897" i="48" s="1"/>
  <c r="K1896" i="48"/>
  <c r="L1896" i="48" s="1"/>
  <c r="I1896" i="48"/>
  <c r="J1896" i="48" s="1"/>
  <c r="G1896" i="48"/>
  <c r="H1896" i="48" s="1"/>
  <c r="K1895" i="48"/>
  <c r="L1895" i="48" s="1"/>
  <c r="I1895" i="48"/>
  <c r="J1895" i="48" s="1"/>
  <c r="G1895" i="48"/>
  <c r="K1894" i="48"/>
  <c r="L1894" i="48" s="1"/>
  <c r="I1894" i="48"/>
  <c r="J1894" i="48" s="1"/>
  <c r="G1894" i="48"/>
  <c r="H1894" i="48" s="1"/>
  <c r="I1892" i="48"/>
  <c r="M1892" i="48" s="1"/>
  <c r="Q1891" i="48"/>
  <c r="Q1892" i="48" s="1"/>
  <c r="Q1893" i="48" s="1"/>
  <c r="Q1894" i="48" s="1"/>
  <c r="Q1895" i="48" s="1"/>
  <c r="Q1896" i="48" s="1"/>
  <c r="Q1897" i="48" s="1"/>
  <c r="I1891" i="48"/>
  <c r="M1891" i="48" s="1"/>
  <c r="R1890" i="48"/>
  <c r="R1891" i="48" s="1"/>
  <c r="K1886" i="48"/>
  <c r="L1886" i="48" s="1"/>
  <c r="I1886" i="48"/>
  <c r="J1886" i="48" s="1"/>
  <c r="G1886" i="48"/>
  <c r="H1886" i="48" s="1"/>
  <c r="K1885" i="48"/>
  <c r="L1885" i="48" s="1"/>
  <c r="I1885" i="48"/>
  <c r="J1885" i="48" s="1"/>
  <c r="G1885" i="48"/>
  <c r="K1884" i="48"/>
  <c r="L1884" i="48" s="1"/>
  <c r="I1884" i="48"/>
  <c r="J1884" i="48" s="1"/>
  <c r="G1884" i="48"/>
  <c r="H1884" i="48" s="1"/>
  <c r="K1883" i="48"/>
  <c r="L1883" i="48" s="1"/>
  <c r="I1883" i="48"/>
  <c r="J1883" i="48" s="1"/>
  <c r="G1883" i="48"/>
  <c r="H1883" i="48" s="1"/>
  <c r="Q1881" i="48"/>
  <c r="Q1882" i="48" s="1"/>
  <c r="Q1883" i="48" s="1"/>
  <c r="Q1884" i="48" s="1"/>
  <c r="Q1885" i="48" s="1"/>
  <c r="Q1886" i="48" s="1"/>
  <c r="Q1887" i="48" s="1"/>
  <c r="K1881" i="48"/>
  <c r="L1881" i="48" s="1"/>
  <c r="I1881" i="48"/>
  <c r="J1881" i="48" s="1"/>
  <c r="G1881" i="48"/>
  <c r="R1880" i="48"/>
  <c r="R1881" i="48" s="1"/>
  <c r="I1880" i="48"/>
  <c r="I1879" i="48"/>
  <c r="K1874" i="48"/>
  <c r="L1874" i="48" s="1"/>
  <c r="I1874" i="48"/>
  <c r="J1874" i="48" s="1"/>
  <c r="G1874" i="48"/>
  <c r="H1874" i="48" s="1"/>
  <c r="K1873" i="48"/>
  <c r="L1873" i="48" s="1"/>
  <c r="I1873" i="48"/>
  <c r="J1873" i="48" s="1"/>
  <c r="G1873" i="48"/>
  <c r="K1871" i="48"/>
  <c r="L1871" i="48" s="1"/>
  <c r="I1871" i="48"/>
  <c r="J1871" i="48" s="1"/>
  <c r="G1871" i="48"/>
  <c r="Q1870" i="48"/>
  <c r="Q1871" i="48" s="1"/>
  <c r="Q1872" i="48" s="1"/>
  <c r="Q1873" i="48" s="1"/>
  <c r="Q1874" i="48" s="1"/>
  <c r="Q1875" i="48" s="1"/>
  <c r="Q1876" i="48" s="1"/>
  <c r="Q1877" i="48" s="1"/>
  <c r="I1870" i="48"/>
  <c r="J1870" i="48" s="1"/>
  <c r="N1870" i="48" s="1"/>
  <c r="R1869" i="48"/>
  <c r="R1870" i="48" s="1"/>
  <c r="I1869" i="48"/>
  <c r="M1869" i="48" s="1"/>
  <c r="K1864" i="48"/>
  <c r="L1864" i="48" s="1"/>
  <c r="I1864" i="48"/>
  <c r="J1864" i="48" s="1"/>
  <c r="G1864" i="48"/>
  <c r="H1864" i="48" s="1"/>
  <c r="K1863" i="48"/>
  <c r="L1863" i="48" s="1"/>
  <c r="I1863" i="48"/>
  <c r="J1863" i="48" s="1"/>
  <c r="G1863" i="48"/>
  <c r="K1862" i="48"/>
  <c r="L1862" i="48" s="1"/>
  <c r="I1862" i="48"/>
  <c r="J1862" i="48" s="1"/>
  <c r="G1862" i="48"/>
  <c r="K1861" i="48"/>
  <c r="L1861" i="48" s="1"/>
  <c r="I1861" i="48"/>
  <c r="J1861" i="48" s="1"/>
  <c r="G1861" i="48"/>
  <c r="Q1859" i="48"/>
  <c r="Q1860" i="48" s="1"/>
  <c r="Q1861" i="48" s="1"/>
  <c r="Q1862" i="48" s="1"/>
  <c r="Q1863" i="48" s="1"/>
  <c r="Q1864" i="48" s="1"/>
  <c r="Q1865" i="48" s="1"/>
  <c r="Q1866" i="48" s="1"/>
  <c r="I1859" i="48"/>
  <c r="M1859" i="48" s="1"/>
  <c r="R1858" i="48"/>
  <c r="R1859" i="48" s="1"/>
  <c r="I1858" i="48"/>
  <c r="J1858" i="48" s="1"/>
  <c r="N1858" i="48" s="1"/>
  <c r="K1853" i="48"/>
  <c r="L1853" i="48" s="1"/>
  <c r="I1853" i="48"/>
  <c r="J1853" i="48" s="1"/>
  <c r="G1853" i="48"/>
  <c r="K1852" i="48"/>
  <c r="L1852" i="48" s="1"/>
  <c r="I1852" i="48"/>
  <c r="G1852" i="48"/>
  <c r="H1852" i="48" s="1"/>
  <c r="K1851" i="48"/>
  <c r="L1851" i="48" s="1"/>
  <c r="I1851" i="48"/>
  <c r="J1851" i="48" s="1"/>
  <c r="G1851" i="48"/>
  <c r="K1850" i="48"/>
  <c r="L1850" i="48" s="1"/>
  <c r="I1850" i="48"/>
  <c r="J1850" i="48" s="1"/>
  <c r="G1850" i="48"/>
  <c r="K1849" i="48"/>
  <c r="L1849" i="48" s="1"/>
  <c r="I1849" i="48"/>
  <c r="J1849" i="48" s="1"/>
  <c r="G1849" i="48"/>
  <c r="I1848" i="48"/>
  <c r="M1848" i="48" s="1"/>
  <c r="Q1847" i="48"/>
  <c r="Q1848" i="48" s="1"/>
  <c r="Q1849" i="48" s="1"/>
  <c r="Q1850" i="48" s="1"/>
  <c r="Q1851" i="48" s="1"/>
  <c r="Q1852" i="48" s="1"/>
  <c r="Q1853" i="48" s="1"/>
  <c r="Q1854" i="48" s="1"/>
  <c r="Q1855" i="48" s="1"/>
  <c r="I1847" i="48"/>
  <c r="M1847" i="48" s="1"/>
  <c r="R1846" i="48"/>
  <c r="R1847" i="48" s="1"/>
  <c r="K1842" i="48"/>
  <c r="L1842" i="48" s="1"/>
  <c r="I1842" i="48"/>
  <c r="J1842" i="48" s="1"/>
  <c r="G1842" i="48"/>
  <c r="H1842" i="48" s="1"/>
  <c r="K1841" i="48"/>
  <c r="L1841" i="48" s="1"/>
  <c r="I1841" i="48"/>
  <c r="J1841" i="48" s="1"/>
  <c r="G1841" i="48"/>
  <c r="K1840" i="48"/>
  <c r="L1840" i="48" s="1"/>
  <c r="I1840" i="48"/>
  <c r="J1840" i="48" s="1"/>
  <c r="G1840" i="48"/>
  <c r="H1840" i="48" s="1"/>
  <c r="K1839" i="48"/>
  <c r="L1839" i="48" s="1"/>
  <c r="I1839" i="48"/>
  <c r="J1839" i="48" s="1"/>
  <c r="G1839" i="48"/>
  <c r="H1839" i="48" s="1"/>
  <c r="Q1837" i="48"/>
  <c r="Q1838" i="48" s="1"/>
  <c r="Q1839" i="48" s="1"/>
  <c r="Q1840" i="48" s="1"/>
  <c r="Q1841" i="48" s="1"/>
  <c r="Q1842" i="48" s="1"/>
  <c r="Q1843" i="48" s="1"/>
  <c r="I1837" i="48"/>
  <c r="M1837" i="48" s="1"/>
  <c r="R1836" i="48"/>
  <c r="R1837" i="48" s="1"/>
  <c r="I1836" i="48"/>
  <c r="K1831" i="48"/>
  <c r="L1831" i="48" s="1"/>
  <c r="I1831" i="48"/>
  <c r="J1831" i="48" s="1"/>
  <c r="G1831" i="48"/>
  <c r="K1830" i="48"/>
  <c r="L1830" i="48" s="1"/>
  <c r="I1830" i="48"/>
  <c r="J1830" i="48" s="1"/>
  <c r="G1830" i="48"/>
  <c r="H1830" i="48" s="1"/>
  <c r="K1829" i="48"/>
  <c r="L1829" i="48" s="1"/>
  <c r="I1829" i="48"/>
  <c r="J1829" i="48" s="1"/>
  <c r="G1829" i="48"/>
  <c r="H1829" i="48" s="1"/>
  <c r="K1828" i="48"/>
  <c r="K1960" i="48" s="1"/>
  <c r="I1828" i="48"/>
  <c r="I1926" i="48" s="1"/>
  <c r="J1926" i="48" s="1"/>
  <c r="G1828" i="48"/>
  <c r="K1827" i="48"/>
  <c r="K1945" i="48" s="1"/>
  <c r="L1945" i="48" s="1"/>
  <c r="I1827" i="48"/>
  <c r="I1915" i="48" s="1"/>
  <c r="J1915" i="48" s="1"/>
  <c r="G1827" i="48"/>
  <c r="G1945" i="48" s="1"/>
  <c r="Q1826" i="48"/>
  <c r="Q1827" i="48" s="1"/>
  <c r="Q1828" i="48" s="1"/>
  <c r="Q1829" i="48" s="1"/>
  <c r="Q1830" i="48" s="1"/>
  <c r="Q1831" i="48" s="1"/>
  <c r="Q1832" i="48" s="1"/>
  <c r="Q1833" i="48" s="1"/>
  <c r="I1826" i="48"/>
  <c r="J1826" i="48" s="1"/>
  <c r="N1826" i="48" s="1"/>
  <c r="R1825" i="48"/>
  <c r="R1826" i="48" s="1"/>
  <c r="I1825" i="48"/>
  <c r="M1825" i="48" s="1"/>
  <c r="K1820" i="48"/>
  <c r="L1820" i="48" s="1"/>
  <c r="I1820" i="48"/>
  <c r="J1820" i="48" s="1"/>
  <c r="G1820" i="48"/>
  <c r="K1819" i="48"/>
  <c r="L1819" i="48" s="1"/>
  <c r="I1819" i="48"/>
  <c r="J1819" i="48" s="1"/>
  <c r="G1819" i="48"/>
  <c r="H1819" i="48" s="1"/>
  <c r="K1818" i="48"/>
  <c r="L1818" i="48" s="1"/>
  <c r="I1818" i="48"/>
  <c r="J1818" i="48" s="1"/>
  <c r="G1818" i="48"/>
  <c r="K1817" i="48"/>
  <c r="L1817" i="48" s="1"/>
  <c r="I1817" i="48"/>
  <c r="J1817" i="48" s="1"/>
  <c r="G1817" i="48"/>
  <c r="Q1815" i="48"/>
  <c r="Q1816" i="48" s="1"/>
  <c r="Q1817" i="48" s="1"/>
  <c r="Q1818" i="48" s="1"/>
  <c r="Q1819" i="48" s="1"/>
  <c r="Q1820" i="48" s="1"/>
  <c r="Q1821" i="48" s="1"/>
  <c r="Q1822" i="48" s="1"/>
  <c r="K1815" i="48"/>
  <c r="L1815" i="48" s="1"/>
  <c r="I1815" i="48"/>
  <c r="J1815" i="48" s="1"/>
  <c r="G1815" i="48"/>
  <c r="H1815" i="48" s="1"/>
  <c r="R1814" i="48"/>
  <c r="R1815" i="48" s="1"/>
  <c r="I1814" i="48"/>
  <c r="M1814" i="48" s="1"/>
  <c r="I1813" i="48"/>
  <c r="M1813" i="48" s="1"/>
  <c r="K1808" i="48"/>
  <c r="L1808" i="48" s="1"/>
  <c r="I1808" i="48"/>
  <c r="J1808" i="48" s="1"/>
  <c r="G1808" i="48"/>
  <c r="K1807" i="48"/>
  <c r="L1807" i="48" s="1"/>
  <c r="I1807" i="48"/>
  <c r="J1807" i="48" s="1"/>
  <c r="G1807" i="48"/>
  <c r="K1806" i="48"/>
  <c r="L1806" i="48" s="1"/>
  <c r="I1806" i="48"/>
  <c r="J1806" i="48" s="1"/>
  <c r="G1806" i="48"/>
  <c r="K1805" i="48"/>
  <c r="L1805" i="48" s="1"/>
  <c r="I1805" i="48"/>
  <c r="J1805" i="48" s="1"/>
  <c r="G1805" i="48"/>
  <c r="H1805" i="48" s="1"/>
  <c r="Q1804" i="48"/>
  <c r="Q1805" i="48" s="1"/>
  <c r="Q1806" i="48" s="1"/>
  <c r="Q1807" i="48" s="1"/>
  <c r="Q1808" i="48" s="1"/>
  <c r="Q1809" i="48" s="1"/>
  <c r="Q1810" i="48" s="1"/>
  <c r="Q1811" i="48" s="1"/>
  <c r="R1803" i="48"/>
  <c r="R1804" i="48" s="1"/>
  <c r="K1803" i="48"/>
  <c r="L1803" i="48" s="1"/>
  <c r="I1803" i="48"/>
  <c r="J1803" i="48" s="1"/>
  <c r="G1803" i="48"/>
  <c r="H1803" i="48" s="1"/>
  <c r="I1802" i="48"/>
  <c r="J1802" i="48" s="1"/>
  <c r="N1802" i="48" s="1"/>
  <c r="I1801" i="48"/>
  <c r="J1801" i="48" s="1"/>
  <c r="N1801" i="48" s="1"/>
  <c r="K1796" i="48"/>
  <c r="L1796" i="48" s="1"/>
  <c r="I1796" i="48"/>
  <c r="J1796" i="48" s="1"/>
  <c r="G1796" i="48"/>
  <c r="K1795" i="48"/>
  <c r="L1795" i="48" s="1"/>
  <c r="I1795" i="48"/>
  <c r="J1795" i="48" s="1"/>
  <c r="G1795" i="48"/>
  <c r="H1795" i="48" s="1"/>
  <c r="Q1793" i="48"/>
  <c r="Q1794" i="48" s="1"/>
  <c r="Q1795" i="48" s="1"/>
  <c r="Q1796" i="48" s="1"/>
  <c r="Q1797" i="48" s="1"/>
  <c r="Q1798" i="48" s="1"/>
  <c r="Q1799" i="48" s="1"/>
  <c r="Q1800" i="48" s="1"/>
  <c r="K1793" i="48"/>
  <c r="L1793" i="48" s="1"/>
  <c r="I1793" i="48"/>
  <c r="J1793" i="48" s="1"/>
  <c r="G1793" i="48"/>
  <c r="R1792" i="48"/>
  <c r="R1793" i="48" s="1"/>
  <c r="I1792" i="48"/>
  <c r="I1791" i="48"/>
  <c r="J1791" i="48" s="1"/>
  <c r="N1791" i="48" s="1"/>
  <c r="K1786" i="48"/>
  <c r="L1786" i="48" s="1"/>
  <c r="I1786" i="48"/>
  <c r="J1786" i="48" s="1"/>
  <c r="G1786" i="48"/>
  <c r="I1785" i="48"/>
  <c r="K1784" i="48"/>
  <c r="L1784" i="48" s="1"/>
  <c r="G1784" i="48"/>
  <c r="H1784" i="48" s="1"/>
  <c r="Q1781" i="48"/>
  <c r="Q1782" i="48" s="1"/>
  <c r="Q1783" i="48" s="1"/>
  <c r="Q1784" i="48" s="1"/>
  <c r="Q1785" i="48" s="1"/>
  <c r="Q1786" i="48" s="1"/>
  <c r="Q1787" i="48" s="1"/>
  <c r="K1781" i="48"/>
  <c r="L1781" i="48" s="1"/>
  <c r="I1781" i="48"/>
  <c r="J1781" i="48" s="1"/>
  <c r="G1781" i="48"/>
  <c r="H1781" i="48" s="1"/>
  <c r="R1780" i="48"/>
  <c r="R1781" i="48" s="1"/>
  <c r="R1782" i="48" s="1"/>
  <c r="I1780" i="48"/>
  <c r="J1780" i="48" s="1"/>
  <c r="K1779" i="48"/>
  <c r="L1779" i="48" s="1"/>
  <c r="G1779" i="48"/>
  <c r="H1779" i="48" s="1"/>
  <c r="K1776" i="48"/>
  <c r="L1776" i="48" s="1"/>
  <c r="I1776" i="48"/>
  <c r="J1776" i="48" s="1"/>
  <c r="G1776" i="48"/>
  <c r="I1775" i="48"/>
  <c r="J1775" i="48" s="1"/>
  <c r="K1774" i="48"/>
  <c r="L1774" i="48" s="1"/>
  <c r="G1774" i="48"/>
  <c r="H1774" i="48" s="1"/>
  <c r="K1771" i="48"/>
  <c r="L1771" i="48" s="1"/>
  <c r="I1771" i="48"/>
  <c r="J1771" i="48" s="1"/>
  <c r="G1771" i="48"/>
  <c r="I1770" i="48"/>
  <c r="M1770" i="48" s="1"/>
  <c r="Q1769" i="48"/>
  <c r="Q1770" i="48" s="1"/>
  <c r="Q1771" i="48" s="1"/>
  <c r="Q1772" i="48" s="1"/>
  <c r="Q1773" i="48" s="1"/>
  <c r="Q1774" i="48" s="1"/>
  <c r="Q1775" i="48" s="1"/>
  <c r="Q1776" i="48" s="1"/>
  <c r="Q1777" i="48" s="1"/>
  <c r="K1769" i="48"/>
  <c r="L1769" i="48" s="1"/>
  <c r="G1769" i="48"/>
  <c r="R1768" i="48"/>
  <c r="R1769" i="48" s="1"/>
  <c r="K1766" i="48"/>
  <c r="L1766" i="48" s="1"/>
  <c r="I1766" i="48"/>
  <c r="J1766" i="48" s="1"/>
  <c r="G1766" i="48"/>
  <c r="I1763" i="48"/>
  <c r="M1763" i="48" s="1"/>
  <c r="G1762" i="48"/>
  <c r="M1762" i="48" s="1"/>
  <c r="J1761" i="48"/>
  <c r="G1761" i="48"/>
  <c r="Q1759" i="48"/>
  <c r="Q1760" i="48" s="1"/>
  <c r="Q1761" i="48" s="1"/>
  <c r="Q1762" i="48" s="1"/>
  <c r="Q1763" i="48" s="1"/>
  <c r="Q1764" i="48" s="1"/>
  <c r="Q1765" i="48" s="1"/>
  <c r="R1758" i="48"/>
  <c r="R1759" i="48" s="1"/>
  <c r="K1758" i="48"/>
  <c r="L1758" i="48" s="1"/>
  <c r="I1758" i="48"/>
  <c r="J1758" i="48" s="1"/>
  <c r="G1758" i="48"/>
  <c r="I1755" i="48"/>
  <c r="M1755" i="48" s="1"/>
  <c r="I1754" i="48"/>
  <c r="M1754" i="48" s="1"/>
  <c r="G1753" i="48"/>
  <c r="M1753" i="48" s="1"/>
  <c r="G1752" i="48"/>
  <c r="M1752" i="48" s="1"/>
  <c r="K1749" i="48"/>
  <c r="L1749" i="48" s="1"/>
  <c r="I1749" i="48"/>
  <c r="J1749" i="48" s="1"/>
  <c r="G1749" i="48"/>
  <c r="I1746" i="48"/>
  <c r="M1746" i="48" s="1"/>
  <c r="I1745" i="48"/>
  <c r="M1745" i="48" s="1"/>
  <c r="G1744" i="48"/>
  <c r="M1744" i="48" s="1"/>
  <c r="G1743" i="48"/>
  <c r="M1743" i="48" s="1"/>
  <c r="K1740" i="48"/>
  <c r="L1740" i="48" s="1"/>
  <c r="I1740" i="48"/>
  <c r="J1740" i="48" s="1"/>
  <c r="G1740" i="48"/>
  <c r="H1740" i="48" s="1"/>
  <c r="I1737" i="48"/>
  <c r="J1737" i="48" s="1"/>
  <c r="N1737" i="48" s="1"/>
  <c r="I1736" i="48"/>
  <c r="J1736" i="48" s="1"/>
  <c r="N1736" i="48" s="1"/>
  <c r="G1735" i="48"/>
  <c r="G1734" i="48"/>
  <c r="M1734" i="48" s="1"/>
  <c r="Q1731" i="48"/>
  <c r="Q1732" i="48" s="1"/>
  <c r="Q1733" i="48" s="1"/>
  <c r="Q1734" i="48" s="1"/>
  <c r="Q1735" i="48" s="1"/>
  <c r="K1731" i="48"/>
  <c r="L1731" i="48" s="1"/>
  <c r="I1731" i="48"/>
  <c r="J1731" i="48" s="1"/>
  <c r="G1731" i="48"/>
  <c r="H1731" i="48" s="1"/>
  <c r="T1730" i="48"/>
  <c r="R1730" i="48"/>
  <c r="R1731" i="48" s="1"/>
  <c r="I1728" i="48"/>
  <c r="M1728" i="48" s="1"/>
  <c r="I1727" i="48"/>
  <c r="G1726" i="48"/>
  <c r="M1726" i="48" s="1"/>
  <c r="G1725" i="48"/>
  <c r="M1725" i="48" s="1"/>
  <c r="Q1722" i="48"/>
  <c r="Q1723" i="48" s="1"/>
  <c r="Q1724" i="48" s="1"/>
  <c r="Q1725" i="48" s="1"/>
  <c r="Q1726" i="48" s="1"/>
  <c r="Q1727" i="48" s="1"/>
  <c r="K1722" i="48"/>
  <c r="L1722" i="48" s="1"/>
  <c r="I1722" i="48"/>
  <c r="J1722" i="48" s="1"/>
  <c r="G1722" i="48"/>
  <c r="H1722" i="48" s="1"/>
  <c r="T1721" i="48"/>
  <c r="R1721" i="48"/>
  <c r="R1722" i="48" s="1"/>
  <c r="I1719" i="48"/>
  <c r="M1719" i="48" s="1"/>
  <c r="I1718" i="48"/>
  <c r="G1717" i="48"/>
  <c r="H1717" i="48" s="1"/>
  <c r="N1717" i="48" s="1"/>
  <c r="G1716" i="48"/>
  <c r="M1716" i="48" s="1"/>
  <c r="Q1713" i="48"/>
  <c r="Q1714" i="48" s="1"/>
  <c r="Q1715" i="48" s="1"/>
  <c r="Q1716" i="48" s="1"/>
  <c r="Q1717" i="48" s="1"/>
  <c r="Q1718" i="48" s="1"/>
  <c r="K1713" i="48"/>
  <c r="L1713" i="48" s="1"/>
  <c r="I1713" i="48"/>
  <c r="J1713" i="48" s="1"/>
  <c r="G1713" i="48"/>
  <c r="H1713" i="48" s="1"/>
  <c r="T1712" i="48"/>
  <c r="R1712" i="48"/>
  <c r="R1713" i="48" s="1"/>
  <c r="I1710" i="48"/>
  <c r="M1710" i="48" s="1"/>
  <c r="G1709" i="48"/>
  <c r="H1709" i="48" s="1"/>
  <c r="G1708" i="48"/>
  <c r="K1705" i="48"/>
  <c r="L1705" i="48" s="1"/>
  <c r="I1705" i="48"/>
  <c r="J1705" i="48" s="1"/>
  <c r="G1705" i="48"/>
  <c r="Q1704" i="48"/>
  <c r="Q1705" i="48" s="1"/>
  <c r="Q1706" i="48" s="1"/>
  <c r="Q1707" i="48" s="1"/>
  <c r="Q1708" i="48" s="1"/>
  <c r="Q1709" i="48" s="1"/>
  <c r="T1703" i="48"/>
  <c r="R1703" i="48"/>
  <c r="R1704" i="48" s="1"/>
  <c r="K1703" i="48"/>
  <c r="L1703" i="48" s="1"/>
  <c r="I1703" i="48"/>
  <c r="J1703" i="48" s="1"/>
  <c r="G1703" i="48"/>
  <c r="H1703" i="48" s="1"/>
  <c r="I1702" i="48"/>
  <c r="G1701" i="48"/>
  <c r="G1700" i="48"/>
  <c r="M1700" i="48" s="1"/>
  <c r="K1697" i="48"/>
  <c r="L1697" i="48" s="1"/>
  <c r="I1697" i="48"/>
  <c r="J1697" i="48" s="1"/>
  <c r="G1697" i="48"/>
  <c r="H1697" i="48" s="1"/>
  <c r="K1696" i="48"/>
  <c r="L1696" i="48" s="1"/>
  <c r="I1696" i="48"/>
  <c r="J1696" i="48" s="1"/>
  <c r="G1696" i="48"/>
  <c r="H1696" i="48" s="1"/>
  <c r="Q1695" i="48"/>
  <c r="Q1696" i="48" s="1"/>
  <c r="Q1697" i="48" s="1"/>
  <c r="Q1698" i="48" s="1"/>
  <c r="Q1699" i="48" s="1"/>
  <c r="Q1700" i="48" s="1"/>
  <c r="K1695" i="48"/>
  <c r="L1695" i="48" s="1"/>
  <c r="I1695" i="48"/>
  <c r="J1695" i="48" s="1"/>
  <c r="G1695" i="48"/>
  <c r="T1694" i="48"/>
  <c r="R1694" i="48"/>
  <c r="R1695" i="48" s="1"/>
  <c r="T1695" i="48" s="1"/>
  <c r="I1694" i="48"/>
  <c r="I1693" i="48"/>
  <c r="J1693" i="48" s="1"/>
  <c r="N1693" i="48" s="1"/>
  <c r="G1692" i="48"/>
  <c r="M1692" i="48" s="1"/>
  <c r="G1691" i="48"/>
  <c r="K1688" i="48"/>
  <c r="L1688" i="48" s="1"/>
  <c r="I1688" i="48"/>
  <c r="J1688" i="48" s="1"/>
  <c r="G1688" i="48"/>
  <c r="H1688" i="48" s="1"/>
  <c r="K1687" i="48"/>
  <c r="L1687" i="48" s="1"/>
  <c r="I1687" i="48"/>
  <c r="J1687" i="48" s="1"/>
  <c r="G1687" i="48"/>
  <c r="H1687" i="48" s="1"/>
  <c r="Q1686" i="48"/>
  <c r="Q1687" i="48" s="1"/>
  <c r="Q1688" i="48" s="1"/>
  <c r="Q1689" i="48" s="1"/>
  <c r="Q1690" i="48" s="1"/>
  <c r="Q1691" i="48" s="1"/>
  <c r="K1686" i="48"/>
  <c r="L1686" i="48" s="1"/>
  <c r="I1686" i="48"/>
  <c r="J1686" i="48" s="1"/>
  <c r="G1686" i="48"/>
  <c r="H1686" i="48" s="1"/>
  <c r="T1685" i="48"/>
  <c r="R1685" i="48"/>
  <c r="R1686" i="48" s="1"/>
  <c r="T1686" i="48" s="1"/>
  <c r="I1685" i="48"/>
  <c r="J1685" i="48" s="1"/>
  <c r="N1685" i="48" s="1"/>
  <c r="I1684" i="48"/>
  <c r="J1684" i="48" s="1"/>
  <c r="G1683" i="48"/>
  <c r="H1683" i="48" s="1"/>
  <c r="G1682" i="48"/>
  <c r="M1682" i="48" s="1"/>
  <c r="K1679" i="48"/>
  <c r="L1679" i="48" s="1"/>
  <c r="I1679" i="48"/>
  <c r="J1679" i="48" s="1"/>
  <c r="G1679" i="48"/>
  <c r="Q1678" i="48"/>
  <c r="Q1679" i="48" s="1"/>
  <c r="Q1680" i="48" s="1"/>
  <c r="Q1681" i="48" s="1"/>
  <c r="Q1682" i="48" s="1"/>
  <c r="T1677" i="48"/>
  <c r="R1677" i="48"/>
  <c r="R1678" i="48" s="1"/>
  <c r="K1677" i="48"/>
  <c r="K1764" i="48" s="1"/>
  <c r="L1764" i="48" s="1"/>
  <c r="I1677" i="48"/>
  <c r="I1764" i="48" s="1"/>
  <c r="J1764" i="48" s="1"/>
  <c r="G1677" i="48"/>
  <c r="I1676" i="48"/>
  <c r="J1676" i="48" s="1"/>
  <c r="N1676" i="48" s="1"/>
  <c r="Q1675" i="48"/>
  <c r="G1675" i="48"/>
  <c r="G1674" i="48"/>
  <c r="M1674" i="48" s="1"/>
  <c r="K1671" i="48"/>
  <c r="L1671" i="48" s="1"/>
  <c r="I1671" i="48"/>
  <c r="J1671" i="48" s="1"/>
  <c r="G1671" i="48"/>
  <c r="H1671" i="48" s="1"/>
  <c r="Q1670" i="48"/>
  <c r="Q1671" i="48" s="1"/>
  <c r="Q1672" i="48" s="1"/>
  <c r="Q1673" i="48" s="1"/>
  <c r="Q1674" i="48" s="1"/>
  <c r="K1670" i="48"/>
  <c r="I1670" i="48"/>
  <c r="I1704" i="48" s="1"/>
  <c r="J1704" i="48" s="1"/>
  <c r="G1670" i="48"/>
  <c r="G1704" i="48" s="1"/>
  <c r="T1669" i="48"/>
  <c r="R1669" i="48"/>
  <c r="R1670" i="48" s="1"/>
  <c r="K1669" i="48"/>
  <c r="K1756" i="48" s="1"/>
  <c r="L1756" i="48" s="1"/>
  <c r="I1669" i="48"/>
  <c r="G1669" i="48"/>
  <c r="G1756" i="48" s="1"/>
  <c r="I1668" i="48"/>
  <c r="M1668" i="48" s="1"/>
  <c r="I1667" i="48"/>
  <c r="M1667" i="48" s="1"/>
  <c r="G1666" i="48"/>
  <c r="H1666" i="48" s="1"/>
  <c r="G1665" i="48"/>
  <c r="K1662" i="48"/>
  <c r="I1662" i="48"/>
  <c r="J1662" i="48" s="1"/>
  <c r="G1662" i="48"/>
  <c r="Q1661" i="48"/>
  <c r="Q1662" i="48" s="1"/>
  <c r="Q1663" i="48" s="1"/>
  <c r="Q1664" i="48" s="1"/>
  <c r="Q1665" i="48" s="1"/>
  <c r="Q1666" i="48" s="1"/>
  <c r="K1661" i="48"/>
  <c r="L1661" i="48" s="1"/>
  <c r="I1661" i="48"/>
  <c r="J1661" i="48" s="1"/>
  <c r="G1661" i="48"/>
  <c r="H1661" i="48" s="1"/>
  <c r="T1660" i="48"/>
  <c r="R1660" i="48"/>
  <c r="R1661" i="48" s="1"/>
  <c r="K1660" i="48"/>
  <c r="L1660" i="48" s="1"/>
  <c r="I1660" i="48"/>
  <c r="J1660" i="48" s="1"/>
  <c r="G1660" i="48"/>
  <c r="H1660" i="48" s="1"/>
  <c r="I1659" i="48"/>
  <c r="I1658" i="48"/>
  <c r="G1657" i="48"/>
  <c r="M1657" i="48" s="1"/>
  <c r="G1656" i="48"/>
  <c r="I1653" i="48"/>
  <c r="Q1652" i="48"/>
  <c r="Q1653" i="48" s="1"/>
  <c r="Q1654" i="48" s="1"/>
  <c r="Q1655" i="48" s="1"/>
  <c r="Q1656" i="48" s="1"/>
  <c r="Q1657" i="48" s="1"/>
  <c r="I1652" i="48"/>
  <c r="M1652" i="48" s="1"/>
  <c r="T1651" i="48"/>
  <c r="R1651" i="48"/>
  <c r="R1652" i="48" s="1"/>
  <c r="I1649" i="48"/>
  <c r="J1649" i="48" s="1"/>
  <c r="N1649" i="48" s="1"/>
  <c r="I1648" i="48"/>
  <c r="M1648" i="48" s="1"/>
  <c r="Q1644" i="48"/>
  <c r="Q1645" i="48" s="1"/>
  <c r="Q1646" i="48" s="1"/>
  <c r="Q1647" i="48" s="1"/>
  <c r="Q1648" i="48" s="1"/>
  <c r="T1643" i="48"/>
  <c r="R1643" i="48"/>
  <c r="R1644" i="48" s="1"/>
  <c r="L1637" i="48"/>
  <c r="K1639" i="48" s="1"/>
  <c r="L1639" i="48" s="1"/>
  <c r="L1640" i="48" s="1"/>
  <c r="Q1635" i="48"/>
  <c r="Q1636" i="48" s="1"/>
  <c r="Q1637" i="48" s="1"/>
  <c r="Q1638" i="48" s="1"/>
  <c r="Q1639" i="48" s="1"/>
  <c r="Q1640" i="48" s="1"/>
  <c r="I1635" i="48"/>
  <c r="M1635" i="48" s="1"/>
  <c r="T1634" i="48"/>
  <c r="R1634" i="48"/>
  <c r="R1635" i="48" s="1"/>
  <c r="T1635" i="48" s="1"/>
  <c r="I1634" i="48"/>
  <c r="J1634" i="48" s="1"/>
  <c r="M1633" i="48"/>
  <c r="H1633" i="48"/>
  <c r="N1633" i="48" s="1"/>
  <c r="M1627" i="48"/>
  <c r="H1627" i="48"/>
  <c r="N1627" i="48" s="1"/>
  <c r="Q1626" i="48"/>
  <c r="Q1627" i="48" s="1"/>
  <c r="Q1628" i="48" s="1"/>
  <c r="Q1629" i="48" s="1"/>
  <c r="Q1630" i="48" s="1"/>
  <c r="Q1631" i="48" s="1"/>
  <c r="T1625" i="48"/>
  <c r="R1625" i="48"/>
  <c r="R1626" i="48" s="1"/>
  <c r="I1625" i="48"/>
  <c r="M1625" i="48" s="1"/>
  <c r="Q1623" i="48"/>
  <c r="R1621" i="48"/>
  <c r="R1622" i="48" s="1"/>
  <c r="T1622" i="48" s="1"/>
  <c r="Q1618" i="48"/>
  <c r="R1617" i="48"/>
  <c r="R1618" i="48" s="1"/>
  <c r="T1618" i="48" s="1"/>
  <c r="M1617" i="48"/>
  <c r="H1617" i="48"/>
  <c r="N1617" i="48" s="1"/>
  <c r="I1615" i="48"/>
  <c r="M1607" i="48"/>
  <c r="H1607" i="48"/>
  <c r="N1607" i="48" s="1"/>
  <c r="I1605" i="48"/>
  <c r="M1605" i="48" s="1"/>
  <c r="R1604" i="48"/>
  <c r="T1603" i="48"/>
  <c r="Q1603" i="48"/>
  <c r="Q1604" i="48" s="1"/>
  <c r="Q1605" i="48" s="1"/>
  <c r="M1598" i="48"/>
  <c r="H1598" i="48"/>
  <c r="N1598" i="48" s="1"/>
  <c r="I1596" i="48"/>
  <c r="J1596" i="48" s="1"/>
  <c r="N1596" i="48" s="1"/>
  <c r="E1590" i="48"/>
  <c r="I1589" i="48"/>
  <c r="M1589" i="48" s="1"/>
  <c r="I1588" i="48"/>
  <c r="M1588" i="48" s="1"/>
  <c r="K1587" i="48"/>
  <c r="I1587" i="48"/>
  <c r="G1587" i="48"/>
  <c r="K1586" i="48"/>
  <c r="I1586" i="48"/>
  <c r="G1586" i="48"/>
  <c r="K1585" i="48"/>
  <c r="L1585" i="48" s="1"/>
  <c r="E1579" i="48"/>
  <c r="I1578" i="48"/>
  <c r="M1578" i="48" s="1"/>
  <c r="I1577" i="48"/>
  <c r="M1577" i="48" s="1"/>
  <c r="K1576" i="48"/>
  <c r="I1576" i="48"/>
  <c r="G1576" i="48"/>
  <c r="K1575" i="48"/>
  <c r="I1575" i="48"/>
  <c r="G1575" i="48"/>
  <c r="K1574" i="48"/>
  <c r="M1574" i="48" s="1"/>
  <c r="E1568" i="48"/>
  <c r="I1567" i="48"/>
  <c r="M1567" i="48" s="1"/>
  <c r="I1566" i="48"/>
  <c r="M1566" i="48" s="1"/>
  <c r="K1565" i="48"/>
  <c r="I1565" i="48"/>
  <c r="G1565" i="48"/>
  <c r="Q1564" i="48"/>
  <c r="K1564" i="48"/>
  <c r="I1564" i="48"/>
  <c r="G1564" i="48"/>
  <c r="K1563" i="48"/>
  <c r="M1563" i="48" s="1"/>
  <c r="S1560" i="48"/>
  <c r="E1557" i="48"/>
  <c r="I1556" i="48"/>
  <c r="J1556" i="48" s="1"/>
  <c r="N1556" i="48" s="1"/>
  <c r="R1555" i="48"/>
  <c r="T1555" i="48" s="1"/>
  <c r="E1586" i="48" s="1"/>
  <c r="Q1555" i="48"/>
  <c r="I1555" i="48"/>
  <c r="J1555" i="48" s="1"/>
  <c r="N1555" i="48" s="1"/>
  <c r="R1554" i="48"/>
  <c r="T1554" i="48" s="1"/>
  <c r="Q1554" i="48"/>
  <c r="Q1556" i="48" s="1"/>
  <c r="Q1557" i="48" s="1"/>
  <c r="Q1558" i="48" s="1"/>
  <c r="Q1559" i="48" s="1"/>
  <c r="Q1560" i="48" s="1"/>
  <c r="Q1561" i="48" s="1"/>
  <c r="K1554" i="48"/>
  <c r="L1554" i="48" s="1"/>
  <c r="I1554" i="48"/>
  <c r="J1554" i="48" s="1"/>
  <c r="G1554" i="48"/>
  <c r="T1553" i="48"/>
  <c r="K1553" i="48"/>
  <c r="L1553" i="48" s="1"/>
  <c r="I1553" i="48"/>
  <c r="J1553" i="48" s="1"/>
  <c r="G1553" i="48"/>
  <c r="H1553" i="48" s="1"/>
  <c r="K1552" i="48"/>
  <c r="L1552" i="48" s="1"/>
  <c r="T1551" i="48"/>
  <c r="S1549" i="48"/>
  <c r="E1546" i="48"/>
  <c r="I1545" i="48"/>
  <c r="M1545" i="48" s="1"/>
  <c r="Q1544" i="48"/>
  <c r="I1544" i="48"/>
  <c r="M1544" i="48" s="1"/>
  <c r="Q1543" i="48"/>
  <c r="Q1545" i="48" s="1"/>
  <c r="Q1546" i="48" s="1"/>
  <c r="Q1547" i="48" s="1"/>
  <c r="Q1548" i="48" s="1"/>
  <c r="Q1549" i="48" s="1"/>
  <c r="Q1550" i="48" s="1"/>
  <c r="K1543" i="48"/>
  <c r="I1543" i="48"/>
  <c r="G1543" i="48"/>
  <c r="R1542" i="48"/>
  <c r="T1542" i="48" s="1"/>
  <c r="K1542" i="48"/>
  <c r="I1542" i="48"/>
  <c r="G1542" i="48"/>
  <c r="K1541" i="48"/>
  <c r="M1541" i="48" s="1"/>
  <c r="T1540" i="48"/>
  <c r="S1538" i="48"/>
  <c r="E1535" i="48"/>
  <c r="I1534" i="48"/>
  <c r="M1534" i="48" s="1"/>
  <c r="I1533" i="48"/>
  <c r="M1533" i="48" s="1"/>
  <c r="Q1532" i="48"/>
  <c r="Q1534" i="48" s="1"/>
  <c r="Q1535" i="48" s="1"/>
  <c r="Q1536" i="48" s="1"/>
  <c r="Q1537" i="48" s="1"/>
  <c r="Q1538" i="48" s="1"/>
  <c r="Q1539" i="48" s="1"/>
  <c r="K1532" i="48"/>
  <c r="I1532" i="48"/>
  <c r="G1532" i="48"/>
  <c r="R1531" i="48"/>
  <c r="K1531" i="48"/>
  <c r="I1531" i="48"/>
  <c r="G1531" i="48"/>
  <c r="K1530" i="48"/>
  <c r="T1529" i="48"/>
  <c r="S1527" i="48"/>
  <c r="E1524" i="48"/>
  <c r="K1523" i="48"/>
  <c r="I1523" i="48"/>
  <c r="G1523" i="48"/>
  <c r="I1522" i="48"/>
  <c r="M1522" i="48" s="1"/>
  <c r="Q1521" i="48"/>
  <c r="Q1523" i="48" s="1"/>
  <c r="Q1524" i="48" s="1"/>
  <c r="Q1525" i="48" s="1"/>
  <c r="Q1526" i="48" s="1"/>
  <c r="Q1527" i="48" s="1"/>
  <c r="Q1528" i="48" s="1"/>
  <c r="I1521" i="48"/>
  <c r="M1521" i="48" s="1"/>
  <c r="R1520" i="48"/>
  <c r="T1520" i="48" s="1"/>
  <c r="K1520" i="48"/>
  <c r="L1520" i="48" s="1"/>
  <c r="G1520" i="48"/>
  <c r="H1520" i="48" s="1"/>
  <c r="T1518" i="48"/>
  <c r="S1516" i="48"/>
  <c r="E1515" i="48"/>
  <c r="K1514" i="48"/>
  <c r="I1514" i="48"/>
  <c r="G1514" i="48"/>
  <c r="I1513" i="48"/>
  <c r="M1513" i="48" s="1"/>
  <c r="I1512" i="48"/>
  <c r="M1512" i="48" s="1"/>
  <c r="K1511" i="48"/>
  <c r="L1511" i="48" s="1"/>
  <c r="G1511" i="48"/>
  <c r="Q1510" i="48"/>
  <c r="Q1512" i="48" s="1"/>
  <c r="Q1513" i="48" s="1"/>
  <c r="Q1514" i="48" s="1"/>
  <c r="Q1515" i="48" s="1"/>
  <c r="Q1516" i="48" s="1"/>
  <c r="Q1517" i="48" s="1"/>
  <c r="R1509" i="48"/>
  <c r="R1510" i="48" s="1"/>
  <c r="E1506" i="48"/>
  <c r="S1505" i="48"/>
  <c r="K1505" i="48"/>
  <c r="I1505" i="48"/>
  <c r="G1505" i="48"/>
  <c r="I1504" i="48"/>
  <c r="M1504" i="48" s="1"/>
  <c r="I1503" i="48"/>
  <c r="M1503" i="48" s="1"/>
  <c r="K1502" i="48"/>
  <c r="L1502" i="48" s="1"/>
  <c r="G1502" i="48"/>
  <c r="H1502" i="48" s="1"/>
  <c r="Q1499" i="48"/>
  <c r="Q1501" i="48" s="1"/>
  <c r="Q1502" i="48" s="1"/>
  <c r="Q1503" i="48" s="1"/>
  <c r="Q1504" i="48" s="1"/>
  <c r="Q1505" i="48" s="1"/>
  <c r="Q1506" i="48" s="1"/>
  <c r="R1498" i="48"/>
  <c r="R1499" i="48" s="1"/>
  <c r="E1497" i="48"/>
  <c r="K1496" i="48"/>
  <c r="I1496" i="48"/>
  <c r="G1496" i="48"/>
  <c r="I1495" i="48"/>
  <c r="M1495" i="48" s="1"/>
  <c r="S1494" i="48"/>
  <c r="T1494" i="48" s="1"/>
  <c r="I1494" i="48"/>
  <c r="M1494" i="48" s="1"/>
  <c r="K1493" i="48"/>
  <c r="L1493" i="48" s="1"/>
  <c r="G1493" i="48"/>
  <c r="H1493" i="48" s="1"/>
  <c r="Q1490" i="48"/>
  <c r="Q1491" i="48" s="1"/>
  <c r="Q1493" i="48" s="1"/>
  <c r="Q1494" i="48" s="1"/>
  <c r="Q1495" i="48" s="1"/>
  <c r="Q1496" i="48" s="1"/>
  <c r="R1489" i="48"/>
  <c r="R1490" i="48" s="1"/>
  <c r="T1490" i="48" s="1"/>
  <c r="E1521" i="48" s="1"/>
  <c r="E1488" i="48"/>
  <c r="K1487" i="48"/>
  <c r="I1487" i="48"/>
  <c r="G1487" i="48"/>
  <c r="I1486" i="48"/>
  <c r="M1486" i="48" s="1"/>
  <c r="S1485" i="48"/>
  <c r="T1485" i="48" s="1"/>
  <c r="I1485" i="48"/>
  <c r="M1485" i="48" s="1"/>
  <c r="K1484" i="48"/>
  <c r="L1484" i="48" s="1"/>
  <c r="G1484" i="48"/>
  <c r="H1484" i="48" s="1"/>
  <c r="Q1481" i="48"/>
  <c r="Q1482" i="48" s="1"/>
  <c r="R1480" i="48"/>
  <c r="R1481" i="48" s="1"/>
  <c r="E1479" i="48"/>
  <c r="K1478" i="48"/>
  <c r="I1478" i="48"/>
  <c r="G1478" i="48"/>
  <c r="I1477" i="48"/>
  <c r="M1477" i="48" s="1"/>
  <c r="S1476" i="48"/>
  <c r="T1476" i="48" s="1"/>
  <c r="I1476" i="48"/>
  <c r="M1476" i="48" s="1"/>
  <c r="K1475" i="48"/>
  <c r="M1475" i="48" s="1"/>
  <c r="Q1472" i="48"/>
  <c r="Q1473" i="48" s="1"/>
  <c r="R1471" i="48"/>
  <c r="R1472" i="48" s="1"/>
  <c r="T1472" i="48" s="1"/>
  <c r="E1503" i="48" s="1"/>
  <c r="E1469" i="48"/>
  <c r="K1468" i="48"/>
  <c r="I1468" i="48"/>
  <c r="G1468" i="48"/>
  <c r="S1467" i="48"/>
  <c r="T1467" i="48" s="1"/>
  <c r="I1467" i="48"/>
  <c r="M1467" i="48" s="1"/>
  <c r="I1466" i="48"/>
  <c r="M1466" i="48" s="1"/>
  <c r="K1465" i="48"/>
  <c r="Q1463" i="48"/>
  <c r="Q1464" i="48" s="1"/>
  <c r="Q1466" i="48" s="1"/>
  <c r="Q1467" i="48" s="1"/>
  <c r="Q1468" i="48" s="1"/>
  <c r="Q1469" i="48" s="1"/>
  <c r="R1462" i="48"/>
  <c r="R1463" i="48" s="1"/>
  <c r="R1464" i="48" s="1"/>
  <c r="E1459" i="48"/>
  <c r="S1458" i="48"/>
  <c r="T1458" i="48" s="1"/>
  <c r="K1458" i="48"/>
  <c r="I1458" i="48"/>
  <c r="G1458" i="48"/>
  <c r="I1457" i="48"/>
  <c r="M1457" i="48" s="1"/>
  <c r="I1456" i="48"/>
  <c r="M1456" i="48" s="1"/>
  <c r="K1455" i="48"/>
  <c r="Q1454" i="48"/>
  <c r="Q1455" i="48" s="1"/>
  <c r="R1453" i="48"/>
  <c r="R1454" i="48" s="1"/>
  <c r="S1449" i="48"/>
  <c r="E1449" i="48"/>
  <c r="K1448" i="48"/>
  <c r="I1448" i="48"/>
  <c r="G1448" i="48"/>
  <c r="I1447" i="48"/>
  <c r="M1447" i="48" s="1"/>
  <c r="I1446" i="48"/>
  <c r="M1446" i="48" s="1"/>
  <c r="K1445" i="48"/>
  <c r="M1445" i="48" s="1"/>
  <c r="Q1444" i="48"/>
  <c r="Q1445" i="48" s="1"/>
  <c r="Q1446" i="48" s="1"/>
  <c r="R1443" i="48"/>
  <c r="R1444" i="48" s="1"/>
  <c r="R1445" i="48" s="1"/>
  <c r="S1439" i="48"/>
  <c r="T1439" i="48" s="1"/>
  <c r="E1439" i="48"/>
  <c r="K1438" i="48"/>
  <c r="I1438" i="48"/>
  <c r="G1438" i="48"/>
  <c r="I1437" i="48"/>
  <c r="M1437" i="48" s="1"/>
  <c r="I1436" i="48"/>
  <c r="M1436" i="48" s="1"/>
  <c r="K1435" i="48"/>
  <c r="L1435" i="48" s="1"/>
  <c r="Q1434" i="48"/>
  <c r="Q1435" i="48" s="1"/>
  <c r="Q1436" i="48" s="1"/>
  <c r="R1433" i="48"/>
  <c r="R1434" i="48" s="1"/>
  <c r="R1435" i="48" s="1"/>
  <c r="S1429" i="48"/>
  <c r="E1429" i="48"/>
  <c r="K1428" i="48"/>
  <c r="I1428" i="48"/>
  <c r="G1428" i="48"/>
  <c r="I1427" i="48"/>
  <c r="M1427" i="48" s="1"/>
  <c r="I1426" i="48"/>
  <c r="M1426" i="48" s="1"/>
  <c r="K1425" i="48"/>
  <c r="Q1424" i="48"/>
  <c r="Q1425" i="48" s="1"/>
  <c r="Q1426" i="48" s="1"/>
  <c r="R1423" i="48"/>
  <c r="R1424" i="48" s="1"/>
  <c r="R1425" i="48" s="1"/>
  <c r="S1419" i="48"/>
  <c r="T1419" i="48" s="1"/>
  <c r="E1419" i="48"/>
  <c r="K1418" i="48"/>
  <c r="I1418" i="48"/>
  <c r="G1418" i="48"/>
  <c r="I1417" i="48"/>
  <c r="M1417" i="48" s="1"/>
  <c r="I1416" i="48"/>
  <c r="M1416" i="48" s="1"/>
  <c r="K1415" i="48"/>
  <c r="L1415" i="48" s="1"/>
  <c r="G1415" i="48"/>
  <c r="H1415" i="48" s="1"/>
  <c r="Q1414" i="48"/>
  <c r="Q1415" i="48" s="1"/>
  <c r="Q1416" i="48" s="1"/>
  <c r="R1413" i="48"/>
  <c r="R1414" i="48" s="1"/>
  <c r="R1415" i="48" s="1"/>
  <c r="E1410" i="48"/>
  <c r="S1409" i="48"/>
  <c r="T1409" i="48" s="1"/>
  <c r="K1409" i="48"/>
  <c r="I1409" i="48"/>
  <c r="G1409" i="48"/>
  <c r="I1408" i="48"/>
  <c r="M1408" i="48" s="1"/>
  <c r="I1407" i="48"/>
  <c r="M1407" i="48" s="1"/>
  <c r="K1406" i="48"/>
  <c r="L1406" i="48" s="1"/>
  <c r="G1406" i="48"/>
  <c r="H1406" i="48" s="1"/>
  <c r="Q1404" i="48"/>
  <c r="Q1405" i="48" s="1"/>
  <c r="Q1406" i="48" s="1"/>
  <c r="R1403" i="48"/>
  <c r="R1404" i="48" s="1"/>
  <c r="R1405" i="48" s="1"/>
  <c r="E1401" i="48"/>
  <c r="K1400" i="48"/>
  <c r="I1400" i="48"/>
  <c r="G1400" i="48"/>
  <c r="S1399" i="48"/>
  <c r="T1399" i="48" s="1"/>
  <c r="I1399" i="48"/>
  <c r="M1399" i="48" s="1"/>
  <c r="I1398" i="48"/>
  <c r="M1398" i="48" s="1"/>
  <c r="K1397" i="48"/>
  <c r="L1397" i="48" s="1"/>
  <c r="G1397" i="48"/>
  <c r="H1397" i="48" s="1"/>
  <c r="Q1394" i="48"/>
  <c r="Q1395" i="48" s="1"/>
  <c r="Q1396" i="48" s="1"/>
  <c r="R1393" i="48"/>
  <c r="R1394" i="48" s="1"/>
  <c r="R1395" i="48" s="1"/>
  <c r="T1395" i="48" s="1"/>
  <c r="E1426" i="48" s="1"/>
  <c r="E1392" i="48"/>
  <c r="K1391" i="48"/>
  <c r="I1391" i="48"/>
  <c r="G1391" i="48"/>
  <c r="I1390" i="48"/>
  <c r="M1390" i="48" s="1"/>
  <c r="S1389" i="48"/>
  <c r="T1389" i="48" s="1"/>
  <c r="I1389" i="48"/>
  <c r="M1389" i="48" s="1"/>
  <c r="A1389" i="48"/>
  <c r="K1388" i="48"/>
  <c r="L1388" i="48" s="1"/>
  <c r="G1388" i="48"/>
  <c r="Q1385" i="48"/>
  <c r="Q1386" i="48" s="1"/>
  <c r="Q1388" i="48" s="1"/>
  <c r="Q1389" i="48" s="1"/>
  <c r="Q1390" i="48" s="1"/>
  <c r="Q1391" i="48" s="1"/>
  <c r="R1384" i="48"/>
  <c r="R1385" i="48" s="1"/>
  <c r="T1385" i="48" s="1"/>
  <c r="E1416" i="48" s="1"/>
  <c r="E1383" i="48"/>
  <c r="K1382" i="48"/>
  <c r="I1382" i="48"/>
  <c r="G1382" i="48"/>
  <c r="I1381" i="48"/>
  <c r="M1381" i="48" s="1"/>
  <c r="S1380" i="48"/>
  <c r="T1380" i="48" s="1"/>
  <c r="I1380" i="48"/>
  <c r="M1380" i="48" s="1"/>
  <c r="K1379" i="48"/>
  <c r="L1379" i="48" s="1"/>
  <c r="G1379" i="48"/>
  <c r="H1379" i="48" s="1"/>
  <c r="Q1376" i="48"/>
  <c r="Q1377" i="48" s="1"/>
  <c r="R1375" i="48"/>
  <c r="R1376" i="48" s="1"/>
  <c r="E1374" i="48"/>
  <c r="K1373" i="48"/>
  <c r="I1373" i="48"/>
  <c r="G1373" i="48"/>
  <c r="I1372" i="48"/>
  <c r="M1372" i="48" s="1"/>
  <c r="S1371" i="48"/>
  <c r="T1371" i="48" s="1"/>
  <c r="I1371" i="48"/>
  <c r="M1371" i="48" s="1"/>
  <c r="K1370" i="48"/>
  <c r="M1370" i="48" s="1"/>
  <c r="Q1367" i="48"/>
  <c r="Q1368" i="48" s="1"/>
  <c r="R1366" i="48"/>
  <c r="R1367" i="48" s="1"/>
  <c r="E1364" i="48"/>
  <c r="K1363" i="48"/>
  <c r="I1363" i="48"/>
  <c r="G1363" i="48"/>
  <c r="S1362" i="48"/>
  <c r="T1362" i="48" s="1"/>
  <c r="I1362" i="48"/>
  <c r="M1362" i="48" s="1"/>
  <c r="I1361" i="48"/>
  <c r="M1361" i="48" s="1"/>
  <c r="K1360" i="48"/>
  <c r="Q1358" i="48"/>
  <c r="Q1359" i="48" s="1"/>
  <c r="Q1361" i="48" s="1"/>
  <c r="Q1362" i="48" s="1"/>
  <c r="Q1363" i="48" s="1"/>
  <c r="Q1364" i="48" s="1"/>
  <c r="R1357" i="48"/>
  <c r="R1358" i="48" s="1"/>
  <c r="T1358" i="48" s="1"/>
  <c r="E1389" i="48" s="1"/>
  <c r="E1354" i="48"/>
  <c r="S1353" i="48"/>
  <c r="K1353" i="48"/>
  <c r="I1353" i="48"/>
  <c r="G1353" i="48"/>
  <c r="I1352" i="48"/>
  <c r="M1352" i="48" s="1"/>
  <c r="I1351" i="48"/>
  <c r="M1351" i="48" s="1"/>
  <c r="K1350" i="48"/>
  <c r="Q1349" i="48"/>
  <c r="Q1350" i="48" s="1"/>
  <c r="R1348" i="48"/>
  <c r="R1349" i="48" s="1"/>
  <c r="S1344" i="48"/>
  <c r="E1344" i="48"/>
  <c r="K1343" i="48"/>
  <c r="I1343" i="48"/>
  <c r="G1343" i="48"/>
  <c r="I1342" i="48"/>
  <c r="M1342" i="48" s="1"/>
  <c r="I1341" i="48"/>
  <c r="M1341" i="48" s="1"/>
  <c r="K1340" i="48"/>
  <c r="L1340" i="48" s="1"/>
  <c r="Q1339" i="48"/>
  <c r="Q1340" i="48" s="1"/>
  <c r="Q1341" i="48" s="1"/>
  <c r="R1338" i="48"/>
  <c r="T1338" i="48" s="1"/>
  <c r="T1336" i="48"/>
  <c r="S1334" i="48"/>
  <c r="E1334" i="48"/>
  <c r="K1333" i="48"/>
  <c r="I1333" i="48"/>
  <c r="G1333" i="48"/>
  <c r="I1332" i="48"/>
  <c r="M1332" i="48" s="1"/>
  <c r="I1331" i="48"/>
  <c r="M1331" i="48" s="1"/>
  <c r="K1330" i="48"/>
  <c r="L1330" i="48" s="1"/>
  <c r="Q1329" i="48"/>
  <c r="Q1330" i="48" s="1"/>
  <c r="Q1331" i="48" s="1"/>
  <c r="R1328" i="48"/>
  <c r="T1328" i="48" s="1"/>
  <c r="T1326" i="48"/>
  <c r="S1324" i="48"/>
  <c r="E1324" i="48"/>
  <c r="K1323" i="48"/>
  <c r="I1323" i="48"/>
  <c r="G1323" i="48"/>
  <c r="I1322" i="48"/>
  <c r="M1322" i="48" s="1"/>
  <c r="I1321" i="48"/>
  <c r="M1321" i="48" s="1"/>
  <c r="K1320" i="48"/>
  <c r="Q1319" i="48"/>
  <c r="Q1320" i="48" s="1"/>
  <c r="Q1321" i="48" s="1"/>
  <c r="Q1323" i="48" s="1"/>
  <c r="Q1324" i="48" s="1"/>
  <c r="Q1325" i="48" s="1"/>
  <c r="R1318" i="48"/>
  <c r="T1318" i="48" s="1"/>
  <c r="T1316" i="48"/>
  <c r="K1316" i="48"/>
  <c r="I1316" i="48"/>
  <c r="G1316" i="48"/>
  <c r="K1315" i="48"/>
  <c r="I1315" i="48"/>
  <c r="G1315" i="48"/>
  <c r="S1314" i="48"/>
  <c r="I1314" i="48"/>
  <c r="M1314" i="48" s="1"/>
  <c r="I1313" i="48"/>
  <c r="M1313" i="48" s="1"/>
  <c r="K1310" i="48"/>
  <c r="I1310" i="48"/>
  <c r="G1310" i="48"/>
  <c r="Q1309" i="48"/>
  <c r="Q1310" i="48" s="1"/>
  <c r="Q1311" i="48" s="1"/>
  <c r="Q1313" i="48" s="1"/>
  <c r="Q1314" i="48" s="1"/>
  <c r="Q1315" i="48" s="1"/>
  <c r="K1309" i="48"/>
  <c r="I1309" i="48"/>
  <c r="G1309" i="48"/>
  <c r="R1308" i="48"/>
  <c r="I1308" i="48"/>
  <c r="M1308" i="48" s="1"/>
  <c r="I1307" i="48"/>
  <c r="M1307" i="48" s="1"/>
  <c r="T1306" i="48"/>
  <c r="S1304" i="48"/>
  <c r="I1304" i="48"/>
  <c r="M1304" i="48" s="1"/>
  <c r="Q1299" i="48"/>
  <c r="Q1300" i="48" s="1"/>
  <c r="Q1301" i="48" s="1"/>
  <c r="Q1302" i="48" s="1"/>
  <c r="R1298" i="48"/>
  <c r="T1298" i="48" s="1"/>
  <c r="I1296" i="48"/>
  <c r="S1294" i="48"/>
  <c r="Q1289" i="48"/>
  <c r="Q1290" i="48" s="1"/>
  <c r="Q1291" i="48" s="1"/>
  <c r="R1288" i="48"/>
  <c r="R1289" i="48" s="1"/>
  <c r="R1290" i="48" s="1"/>
  <c r="I1288" i="48"/>
  <c r="R1283" i="48"/>
  <c r="R1284" i="48" s="1"/>
  <c r="Q1283" i="48"/>
  <c r="Q1284" i="48" s="1"/>
  <c r="Q1285" i="48" s="1"/>
  <c r="T1282" i="48"/>
  <c r="E1313" i="48" s="1"/>
  <c r="I1280" i="48"/>
  <c r="M1280" i="48" s="1"/>
  <c r="Q1277" i="48"/>
  <c r="Q1278" i="48" s="1"/>
  <c r="Q1279" i="48" s="1"/>
  <c r="R1276" i="48"/>
  <c r="K1272" i="48"/>
  <c r="I1272" i="48"/>
  <c r="G1272" i="48"/>
  <c r="C1272" i="48"/>
  <c r="I1271" i="48"/>
  <c r="M1271" i="48" s="1"/>
  <c r="I1270" i="48"/>
  <c r="M1270" i="48" s="1"/>
  <c r="K1267" i="48"/>
  <c r="I1267" i="48"/>
  <c r="G1267" i="48"/>
  <c r="C1267" i="48"/>
  <c r="U1266" i="48"/>
  <c r="E1272" i="48" s="1"/>
  <c r="T1266" i="48"/>
  <c r="E1267" i="48" s="1"/>
  <c r="I1266" i="48"/>
  <c r="M1266" i="48" s="1"/>
  <c r="U1265" i="48"/>
  <c r="E1271" i="48" s="1"/>
  <c r="T1265" i="48"/>
  <c r="E1266" i="48" s="1"/>
  <c r="I1265" i="48"/>
  <c r="M1265" i="48" s="1"/>
  <c r="U1264" i="48"/>
  <c r="E1270" i="48" s="1"/>
  <c r="T1264" i="48"/>
  <c r="E1265" i="48" s="1"/>
  <c r="L1263" i="48"/>
  <c r="H1263" i="48"/>
  <c r="T1262" i="48"/>
  <c r="E1262" i="48" s="1"/>
  <c r="I1262" i="48"/>
  <c r="M1262" i="48" s="1"/>
  <c r="T1261" i="48"/>
  <c r="E1261" i="48" s="1"/>
  <c r="I1261" i="48"/>
  <c r="M1261" i="48" s="1"/>
  <c r="T1259" i="48"/>
  <c r="E1258" i="48" s="1"/>
  <c r="L1259" i="48"/>
  <c r="H1259" i="48"/>
  <c r="T1258" i="48"/>
  <c r="E1257" i="48" s="1"/>
  <c r="I1258" i="48"/>
  <c r="M1258" i="48" s="1"/>
  <c r="I1257" i="48"/>
  <c r="M1257" i="48" s="1"/>
  <c r="I1254" i="48"/>
  <c r="I1246" i="48"/>
  <c r="M1246" i="48" s="1"/>
  <c r="I1238" i="48"/>
  <c r="M1238" i="48" s="1"/>
  <c r="I1230" i="48"/>
  <c r="M1230" i="48" s="1"/>
  <c r="I1222" i="48"/>
  <c r="I1214" i="48"/>
  <c r="M1214" i="48" s="1"/>
  <c r="I1206" i="48"/>
  <c r="M1206" i="48" s="1"/>
  <c r="I1198" i="48"/>
  <c r="I1190" i="48"/>
  <c r="M1190" i="48" s="1"/>
  <c r="I1182" i="48"/>
  <c r="M1182" i="48" s="1"/>
  <c r="I1174" i="48"/>
  <c r="I1166" i="48"/>
  <c r="M1166" i="48" s="1"/>
  <c r="G1165" i="48"/>
  <c r="M1165" i="48" s="1"/>
  <c r="I1162" i="48"/>
  <c r="M1162" i="48" s="1"/>
  <c r="I1161" i="48"/>
  <c r="M1161" i="48" s="1"/>
  <c r="G1159" i="48"/>
  <c r="H1159" i="48" s="1"/>
  <c r="N1159" i="48" s="1"/>
  <c r="G1158" i="48"/>
  <c r="M1158" i="48" s="1"/>
  <c r="F1154" i="48"/>
  <c r="I1146" i="48"/>
  <c r="M1146" i="48" s="1"/>
  <c r="I1145" i="48"/>
  <c r="M1145" i="48" s="1"/>
  <c r="G1143" i="48"/>
  <c r="M1143" i="48" s="1"/>
  <c r="G1142" i="48"/>
  <c r="M1142" i="48" s="1"/>
  <c r="F1138" i="48"/>
  <c r="I1130" i="48"/>
  <c r="M1130" i="48" s="1"/>
  <c r="I1129" i="48"/>
  <c r="M1129" i="48" s="1"/>
  <c r="G1127" i="48"/>
  <c r="G1126" i="48"/>
  <c r="F1122" i="48"/>
  <c r="T1118" i="48"/>
  <c r="E1130" i="48" s="1"/>
  <c r="I1114" i="48"/>
  <c r="M1114" i="48" s="1"/>
  <c r="I1113" i="48"/>
  <c r="M1113" i="48" s="1"/>
  <c r="G1112" i="48"/>
  <c r="M1112" i="48" s="1"/>
  <c r="G1111" i="48"/>
  <c r="I1108" i="48"/>
  <c r="M1108" i="48" s="1"/>
  <c r="I1107" i="48"/>
  <c r="G1106" i="48"/>
  <c r="M1106" i="48" s="1"/>
  <c r="G1105" i="48"/>
  <c r="I1102" i="48"/>
  <c r="M1102" i="48" s="1"/>
  <c r="I1101" i="48"/>
  <c r="M1101" i="48" s="1"/>
  <c r="G1100" i="48"/>
  <c r="H1100" i="48" s="1"/>
  <c r="N1100" i="48" s="1"/>
  <c r="G1099" i="48"/>
  <c r="H1099" i="48" s="1"/>
  <c r="N1099" i="48" s="1"/>
  <c r="L1097" i="48"/>
  <c r="I1095" i="48"/>
  <c r="M1095" i="48" s="1"/>
  <c r="I1094" i="48"/>
  <c r="M1094" i="48" s="1"/>
  <c r="G1093" i="48"/>
  <c r="G1092" i="48"/>
  <c r="L1090" i="48"/>
  <c r="I1088" i="48"/>
  <c r="M1088" i="48" s="1"/>
  <c r="I1087" i="48"/>
  <c r="M1087" i="48" s="1"/>
  <c r="G1086" i="48"/>
  <c r="M1086" i="48" s="1"/>
  <c r="G1085" i="48"/>
  <c r="L1083" i="48"/>
  <c r="I1081" i="48"/>
  <c r="M1081" i="48" s="1"/>
  <c r="I1080" i="48"/>
  <c r="M1080" i="48" s="1"/>
  <c r="G1079" i="48"/>
  <c r="G1078" i="48"/>
  <c r="R1077" i="48"/>
  <c r="R1076" i="48"/>
  <c r="L1076" i="48"/>
  <c r="I1074" i="48"/>
  <c r="M1074" i="48" s="1"/>
  <c r="I1073" i="48"/>
  <c r="M1073" i="48" s="1"/>
  <c r="W1072" i="48"/>
  <c r="E1114" i="48" s="1"/>
  <c r="G1072" i="48"/>
  <c r="W1071" i="48"/>
  <c r="E1113" i="48" s="1"/>
  <c r="G1071" i="48"/>
  <c r="W1069" i="48"/>
  <c r="E1102" i="48" s="1"/>
  <c r="W1068" i="48"/>
  <c r="E1101" i="48" s="1"/>
  <c r="I1067" i="48"/>
  <c r="M1067" i="48" s="1"/>
  <c r="I1066" i="48"/>
  <c r="M1066" i="48" s="1"/>
  <c r="K1064" i="48"/>
  <c r="I1059" i="48"/>
  <c r="M1059" i="48" s="1"/>
  <c r="I1058" i="48"/>
  <c r="M1058" i="48" s="1"/>
  <c r="K1056" i="48"/>
  <c r="Q1054" i="48"/>
  <c r="Q1053" i="48"/>
  <c r="I1051" i="48"/>
  <c r="M1051" i="48" s="1"/>
  <c r="I1050" i="48"/>
  <c r="M1050" i="48" s="1"/>
  <c r="W1048" i="48"/>
  <c r="E1095" i="48" s="1"/>
  <c r="K1048" i="48"/>
  <c r="W1047" i="48"/>
  <c r="E1094" i="48" s="1"/>
  <c r="W1046" i="48"/>
  <c r="E1088" i="48" s="1"/>
  <c r="W1045" i="48"/>
  <c r="E1087" i="48" s="1"/>
  <c r="W1044" i="48"/>
  <c r="E1081" i="48" s="1"/>
  <c r="W1043" i="48"/>
  <c r="E1080" i="48" s="1"/>
  <c r="I1043" i="48"/>
  <c r="M1043" i="48" s="1"/>
  <c r="W1042" i="48"/>
  <c r="E1074" i="48" s="1"/>
  <c r="I1042" i="48"/>
  <c r="M1042" i="48" s="1"/>
  <c r="W1041" i="48"/>
  <c r="E1073" i="48" s="1"/>
  <c r="K1041" i="48"/>
  <c r="K1049" i="48" s="1"/>
  <c r="I1041" i="48"/>
  <c r="G1041" i="48"/>
  <c r="G1049" i="48" s="1"/>
  <c r="K1040" i="48"/>
  <c r="L1040" i="48" s="1"/>
  <c r="S1036" i="48"/>
  <c r="S1035" i="48"/>
  <c r="I1035" i="48"/>
  <c r="M1035" i="48" s="1"/>
  <c r="S1034" i="48"/>
  <c r="I1034" i="48"/>
  <c r="M1034" i="48" s="1"/>
  <c r="K1032" i="48"/>
  <c r="S1028" i="48"/>
  <c r="S1027" i="48"/>
  <c r="I1027" i="48"/>
  <c r="M1027" i="48" s="1"/>
  <c r="S1026" i="48"/>
  <c r="I1026" i="48"/>
  <c r="M1026" i="48" s="1"/>
  <c r="K1024" i="48"/>
  <c r="M1024" i="48" s="1"/>
  <c r="S1019" i="48"/>
  <c r="I1019" i="48"/>
  <c r="M1019" i="48" s="1"/>
  <c r="S1018" i="48"/>
  <c r="I1018" i="48"/>
  <c r="M1018" i="48" s="1"/>
  <c r="S1017" i="48"/>
  <c r="K1016" i="48"/>
  <c r="S1012" i="48"/>
  <c r="S1011" i="48"/>
  <c r="I1011" i="48"/>
  <c r="M1011" i="48" s="1"/>
  <c r="S1010" i="48"/>
  <c r="I1010" i="48"/>
  <c r="M1010" i="48" s="1"/>
  <c r="K1009" i="48"/>
  <c r="I1009" i="48"/>
  <c r="G1009" i="48"/>
  <c r="K1008" i="48"/>
  <c r="S1004" i="48"/>
  <c r="S1003" i="48"/>
  <c r="I1003" i="48"/>
  <c r="M1003" i="48" s="1"/>
  <c r="S1002" i="48"/>
  <c r="I1002" i="48"/>
  <c r="M1002" i="48" s="1"/>
  <c r="K1001" i="48"/>
  <c r="I1001" i="48"/>
  <c r="I1025" i="48" s="1"/>
  <c r="G1001" i="48"/>
  <c r="K1000" i="48"/>
  <c r="L1000" i="48" s="1"/>
  <c r="S996" i="48"/>
  <c r="S995" i="48"/>
  <c r="I995" i="48"/>
  <c r="M995" i="48" s="1"/>
  <c r="S994" i="48"/>
  <c r="I994" i="48"/>
  <c r="M994" i="48" s="1"/>
  <c r="K993" i="48"/>
  <c r="I993" i="48"/>
  <c r="G993" i="48"/>
  <c r="K992" i="48"/>
  <c r="S988" i="48"/>
  <c r="S987" i="48"/>
  <c r="I987" i="48"/>
  <c r="M987" i="48" s="1"/>
  <c r="S986" i="48"/>
  <c r="I986" i="48"/>
  <c r="M986" i="48" s="1"/>
  <c r="K985" i="48"/>
  <c r="I985" i="48"/>
  <c r="G985" i="48"/>
  <c r="K984" i="48"/>
  <c r="Y982" i="48"/>
  <c r="S980" i="48"/>
  <c r="Y979" i="48"/>
  <c r="S979" i="48"/>
  <c r="I979" i="48"/>
  <c r="M979" i="48" s="1"/>
  <c r="S978" i="48"/>
  <c r="I978" i="48"/>
  <c r="M978" i="48" s="1"/>
  <c r="K977" i="48"/>
  <c r="I977" i="48"/>
  <c r="G977" i="48"/>
  <c r="Y976" i="48"/>
  <c r="K976" i="48"/>
  <c r="Y973" i="48"/>
  <c r="H973" i="48"/>
  <c r="S972" i="48"/>
  <c r="S971" i="48"/>
  <c r="I971" i="48"/>
  <c r="Y970" i="48"/>
  <c r="S970" i="48"/>
  <c r="I970" i="48"/>
  <c r="H968" i="48"/>
  <c r="Y967" i="48"/>
  <c r="I966" i="48"/>
  <c r="M966" i="48" s="1"/>
  <c r="I965" i="48"/>
  <c r="Y964" i="48"/>
  <c r="S964" i="48"/>
  <c r="S963" i="48"/>
  <c r="H963" i="48"/>
  <c r="S962" i="48"/>
  <c r="Y961" i="48"/>
  <c r="I961" i="48"/>
  <c r="J961" i="48" s="1"/>
  <c r="I960" i="48"/>
  <c r="Y958" i="48"/>
  <c r="H958" i="48"/>
  <c r="S956" i="48"/>
  <c r="I956" i="48"/>
  <c r="Y955" i="48"/>
  <c r="S955" i="48"/>
  <c r="I955" i="48"/>
  <c r="S954" i="48"/>
  <c r="H953" i="48"/>
  <c r="Y952" i="48"/>
  <c r="I951" i="48"/>
  <c r="I950" i="48"/>
  <c r="M950" i="48" s="1"/>
  <c r="Y949" i="48"/>
  <c r="S948" i="48"/>
  <c r="H948" i="48"/>
  <c r="S947" i="48"/>
  <c r="T947" i="48" s="1"/>
  <c r="Y946" i="48"/>
  <c r="S946" i="48"/>
  <c r="I946" i="48"/>
  <c r="I945" i="48"/>
  <c r="H943" i="48"/>
  <c r="I941" i="48"/>
  <c r="M941" i="48" s="1"/>
  <c r="I940" i="48"/>
  <c r="H938" i="48"/>
  <c r="I936" i="48"/>
  <c r="I935" i="48"/>
  <c r="H933" i="48"/>
  <c r="I931" i="48"/>
  <c r="I930" i="48"/>
  <c r="M930" i="48" s="1"/>
  <c r="H928" i="48"/>
  <c r="I926" i="48"/>
  <c r="J926" i="48" s="1"/>
  <c r="N926" i="48" s="1"/>
  <c r="I925" i="48"/>
  <c r="H923" i="48"/>
  <c r="I921" i="48"/>
  <c r="I920" i="48"/>
  <c r="J920" i="48" s="1"/>
  <c r="L918" i="48"/>
  <c r="I916" i="48"/>
  <c r="I915" i="48"/>
  <c r="G914" i="48"/>
  <c r="L912" i="48"/>
  <c r="I910" i="48"/>
  <c r="I909" i="48"/>
  <c r="G908" i="48"/>
  <c r="M908" i="48" s="1"/>
  <c r="L906" i="48"/>
  <c r="I904" i="48"/>
  <c r="J904" i="48" s="1"/>
  <c r="N904" i="48" s="1"/>
  <c r="I903" i="48"/>
  <c r="M903" i="48" s="1"/>
  <c r="G902" i="48"/>
  <c r="L900" i="48"/>
  <c r="I898" i="48"/>
  <c r="J898" i="48" s="1"/>
  <c r="N898" i="48" s="1"/>
  <c r="I897" i="48"/>
  <c r="G896" i="48"/>
  <c r="L894" i="48"/>
  <c r="I892" i="48"/>
  <c r="I891" i="48"/>
  <c r="G890" i="48"/>
  <c r="L888" i="48"/>
  <c r="I886" i="48"/>
  <c r="M886" i="48" s="1"/>
  <c r="I885" i="48"/>
  <c r="M885" i="48" s="1"/>
  <c r="G884" i="48"/>
  <c r="M884" i="48" s="1"/>
  <c r="L882" i="48"/>
  <c r="I880" i="48"/>
  <c r="M880" i="48" s="1"/>
  <c r="I879" i="48"/>
  <c r="G878" i="48"/>
  <c r="M878" i="48" s="1"/>
  <c r="L876" i="48"/>
  <c r="I874" i="48"/>
  <c r="I873" i="48"/>
  <c r="G872" i="48"/>
  <c r="L870" i="48"/>
  <c r="I868" i="48"/>
  <c r="I867" i="48"/>
  <c r="G866" i="48"/>
  <c r="L864" i="48"/>
  <c r="I862" i="48"/>
  <c r="M862" i="48" s="1"/>
  <c r="I861" i="48"/>
  <c r="M861" i="48" s="1"/>
  <c r="G860" i="48"/>
  <c r="M860" i="48" s="1"/>
  <c r="L858" i="48"/>
  <c r="I856" i="48"/>
  <c r="J856" i="48" s="1"/>
  <c r="N856" i="48" s="1"/>
  <c r="I855" i="48"/>
  <c r="G854" i="48"/>
  <c r="M854" i="48" s="1"/>
  <c r="L852" i="48"/>
  <c r="I850" i="48"/>
  <c r="I849" i="48"/>
  <c r="G848" i="48"/>
  <c r="K845" i="48"/>
  <c r="I845" i="48"/>
  <c r="G845" i="48"/>
  <c r="K844" i="48"/>
  <c r="I844" i="48"/>
  <c r="G844" i="48"/>
  <c r="U843" i="48"/>
  <c r="V843" i="48" s="1"/>
  <c r="I843" i="48"/>
  <c r="M843" i="48" s="1"/>
  <c r="U842" i="48"/>
  <c r="V842" i="48" s="1"/>
  <c r="I842" i="48"/>
  <c r="M842" i="48" s="1"/>
  <c r="V841" i="48"/>
  <c r="G841" i="48"/>
  <c r="M841" i="48" s="1"/>
  <c r="V840" i="48"/>
  <c r="G840" i="48"/>
  <c r="M840" i="48" s="1"/>
  <c r="U837" i="48"/>
  <c r="V837" i="48" s="1"/>
  <c r="K837" i="48"/>
  <c r="L837" i="48" s="1"/>
  <c r="I837" i="48"/>
  <c r="G837" i="48"/>
  <c r="U836" i="48"/>
  <c r="V836" i="48" s="1"/>
  <c r="K836" i="48"/>
  <c r="I836" i="48"/>
  <c r="G836" i="48"/>
  <c r="U835" i="48"/>
  <c r="V835" i="48" s="1"/>
  <c r="I835" i="48"/>
  <c r="M835" i="48" s="1"/>
  <c r="V834" i="48"/>
  <c r="I834" i="48"/>
  <c r="M834" i="48" s="1"/>
  <c r="V833" i="48"/>
  <c r="G833" i="48"/>
  <c r="H833" i="48" s="1"/>
  <c r="N833" i="48" s="1"/>
  <c r="G832" i="48"/>
  <c r="U829" i="48"/>
  <c r="V829" i="48" s="1"/>
  <c r="K829" i="48"/>
  <c r="I829" i="48"/>
  <c r="G829" i="48"/>
  <c r="U828" i="48"/>
  <c r="V828" i="48" s="1"/>
  <c r="K828" i="48"/>
  <c r="I828" i="48"/>
  <c r="G828" i="48"/>
  <c r="V827" i="48"/>
  <c r="I827" i="48"/>
  <c r="M827" i="48" s="1"/>
  <c r="V826" i="48"/>
  <c r="I826" i="48"/>
  <c r="M826" i="48" s="1"/>
  <c r="G825" i="48"/>
  <c r="K822" i="48"/>
  <c r="L822" i="48" s="1"/>
  <c r="I822" i="48"/>
  <c r="J822" i="48" s="1"/>
  <c r="G822" i="48"/>
  <c r="K821" i="48"/>
  <c r="L821" i="48" s="1"/>
  <c r="I821" i="48"/>
  <c r="J821" i="48" s="1"/>
  <c r="G821" i="48"/>
  <c r="K820" i="48"/>
  <c r="L820" i="48" s="1"/>
  <c r="I820" i="48"/>
  <c r="J820" i="48" s="1"/>
  <c r="G820" i="48"/>
  <c r="H820" i="48" s="1"/>
  <c r="G819" i="48"/>
  <c r="M819" i="48" s="1"/>
  <c r="G818" i="48"/>
  <c r="K815" i="48"/>
  <c r="L815" i="48" s="1"/>
  <c r="I815" i="48"/>
  <c r="J815" i="48" s="1"/>
  <c r="G815" i="48"/>
  <c r="H815" i="48" s="1"/>
  <c r="K814" i="48"/>
  <c r="L814" i="48" s="1"/>
  <c r="I814" i="48"/>
  <c r="G814" i="48"/>
  <c r="H814" i="48" s="1"/>
  <c r="K813" i="48"/>
  <c r="L813" i="48" s="1"/>
  <c r="I813" i="48"/>
  <c r="J813" i="48" s="1"/>
  <c r="G813" i="48"/>
  <c r="H813" i="48" s="1"/>
  <c r="G812" i="48"/>
  <c r="M812" i="48" s="1"/>
  <c r="G811" i="48"/>
  <c r="M811" i="48" s="1"/>
  <c r="K808" i="48"/>
  <c r="L808" i="48" s="1"/>
  <c r="I808" i="48"/>
  <c r="J808" i="48" s="1"/>
  <c r="G808" i="48"/>
  <c r="K807" i="48"/>
  <c r="L807" i="48" s="1"/>
  <c r="I807" i="48"/>
  <c r="J807" i="48" s="1"/>
  <c r="G807" i="48"/>
  <c r="K806" i="48"/>
  <c r="L806" i="48" s="1"/>
  <c r="I806" i="48"/>
  <c r="J806" i="48" s="1"/>
  <c r="G806" i="48"/>
  <c r="I805" i="48"/>
  <c r="G804" i="48"/>
  <c r="H804" i="48" s="1"/>
  <c r="N804" i="48" s="1"/>
  <c r="T802" i="48"/>
  <c r="T804" i="48" s="1"/>
  <c r="S802" i="48"/>
  <c r="S804" i="48" s="1"/>
  <c r="R802" i="48"/>
  <c r="R804" i="48" s="1"/>
  <c r="I801" i="48"/>
  <c r="K800" i="48"/>
  <c r="L800" i="48" s="1"/>
  <c r="G800" i="48"/>
  <c r="K799" i="48"/>
  <c r="M799" i="48" s="1"/>
  <c r="I796" i="48"/>
  <c r="J796" i="48" s="1"/>
  <c r="N796" i="48" s="1"/>
  <c r="X795" i="48"/>
  <c r="E843" i="48" s="1"/>
  <c r="U795" i="48"/>
  <c r="E835" i="48" s="1"/>
  <c r="S795" i="48"/>
  <c r="E827" i="48" s="1"/>
  <c r="I795" i="48"/>
  <c r="X794" i="48"/>
  <c r="E842" i="48" s="1"/>
  <c r="U794" i="48"/>
  <c r="E834" i="48" s="1"/>
  <c r="S794" i="48"/>
  <c r="E826" i="48" s="1"/>
  <c r="I794" i="48"/>
  <c r="G793" i="48"/>
  <c r="X792" i="48"/>
  <c r="X796" i="48" s="1"/>
  <c r="E844" i="48" s="1"/>
  <c r="U792" i="48"/>
  <c r="U798" i="48" s="1"/>
  <c r="E837" i="48" s="1"/>
  <c r="S792" i="48"/>
  <c r="S796" i="48" s="1"/>
  <c r="E828" i="48" s="1"/>
  <c r="E790" i="48"/>
  <c r="E789" i="48"/>
  <c r="O788" i="48"/>
  <c r="L788" i="48"/>
  <c r="H788" i="48"/>
  <c r="E787" i="48"/>
  <c r="E786" i="48"/>
  <c r="G784" i="48"/>
  <c r="M784" i="48" s="1"/>
  <c r="E784" i="48"/>
  <c r="E781" i="48"/>
  <c r="E780" i="48"/>
  <c r="O779" i="48"/>
  <c r="L779" i="48"/>
  <c r="H779" i="48"/>
  <c r="E778" i="48"/>
  <c r="E777" i="48"/>
  <c r="G775" i="48"/>
  <c r="H775" i="48" s="1"/>
  <c r="E775" i="48"/>
  <c r="I772" i="48"/>
  <c r="I771" i="48"/>
  <c r="M771" i="48" s="1"/>
  <c r="G770" i="48"/>
  <c r="I767" i="48"/>
  <c r="M767" i="48" s="1"/>
  <c r="I766" i="48"/>
  <c r="G765" i="48"/>
  <c r="M765" i="48" s="1"/>
  <c r="Q763" i="48"/>
  <c r="Q764" i="48" s="1"/>
  <c r="R762" i="48"/>
  <c r="T762" i="48" s="1"/>
  <c r="I762" i="48"/>
  <c r="I761" i="48"/>
  <c r="G760" i="48"/>
  <c r="I757" i="48"/>
  <c r="I756" i="48"/>
  <c r="G755" i="48"/>
  <c r="Q754" i="48"/>
  <c r="G754" i="48"/>
  <c r="I751" i="48"/>
  <c r="I750" i="48"/>
  <c r="G749" i="48"/>
  <c r="G748" i="48"/>
  <c r="Q745" i="48"/>
  <c r="I745" i="48"/>
  <c r="M745" i="48" s="1"/>
  <c r="I744" i="48"/>
  <c r="M744" i="48" s="1"/>
  <c r="G743" i="48"/>
  <c r="G742" i="48"/>
  <c r="M742" i="48" s="1"/>
  <c r="H739" i="48"/>
  <c r="I738" i="48"/>
  <c r="M738" i="48" s="1"/>
  <c r="I737" i="48"/>
  <c r="M737" i="48" s="1"/>
  <c r="G735" i="48"/>
  <c r="M735" i="48" s="1"/>
  <c r="H732" i="48"/>
  <c r="I731" i="48"/>
  <c r="M731" i="48" s="1"/>
  <c r="I730" i="48"/>
  <c r="M730" i="48" s="1"/>
  <c r="G728" i="48"/>
  <c r="M728" i="48" s="1"/>
  <c r="L726" i="48"/>
  <c r="S725" i="48"/>
  <c r="T726" i="48" s="1"/>
  <c r="I725" i="48"/>
  <c r="M725" i="48" s="1"/>
  <c r="I724" i="48"/>
  <c r="M724" i="48" s="1"/>
  <c r="U722" i="48"/>
  <c r="T722" i="48"/>
  <c r="L720" i="48"/>
  <c r="I719" i="48"/>
  <c r="I718" i="48"/>
  <c r="M718" i="48" s="1"/>
  <c r="L714" i="48"/>
  <c r="K1302" i="48" s="1"/>
  <c r="L1302" i="48" s="1"/>
  <c r="I713" i="48"/>
  <c r="M713" i="48" s="1"/>
  <c r="I712" i="48"/>
  <c r="R709" i="48"/>
  <c r="L708" i="48"/>
  <c r="I707" i="48"/>
  <c r="M707" i="48" s="1"/>
  <c r="I706" i="48"/>
  <c r="M706" i="48" s="1"/>
  <c r="L702" i="48"/>
  <c r="U701" i="48"/>
  <c r="R701" i="48"/>
  <c r="I701" i="48"/>
  <c r="M701" i="48" s="1"/>
  <c r="U700" i="48"/>
  <c r="R700" i="48"/>
  <c r="E730" i="48" s="1"/>
  <c r="I700" i="48"/>
  <c r="M700" i="48" s="1"/>
  <c r="L696" i="48"/>
  <c r="I695" i="48"/>
  <c r="M695" i="48" s="1"/>
  <c r="R694" i="48"/>
  <c r="E725" i="48" s="1"/>
  <c r="I694" i="48"/>
  <c r="M694" i="48" s="1"/>
  <c r="R693" i="48"/>
  <c r="E724" i="48" s="1"/>
  <c r="G692" i="48"/>
  <c r="H692" i="48" s="1"/>
  <c r="N692" i="48" s="1"/>
  <c r="G691" i="48"/>
  <c r="R688" i="48"/>
  <c r="E719" i="48" s="1"/>
  <c r="H688" i="48"/>
  <c r="R687" i="48"/>
  <c r="E718" i="48" s="1"/>
  <c r="I687" i="48"/>
  <c r="M687" i="48" s="1"/>
  <c r="I686" i="48"/>
  <c r="M686" i="48" s="1"/>
  <c r="H685" i="48"/>
  <c r="I684" i="48"/>
  <c r="M684" i="48" s="1"/>
  <c r="I683" i="48"/>
  <c r="M683" i="48" s="1"/>
  <c r="R682" i="48"/>
  <c r="E713" i="48" s="1"/>
  <c r="G682" i="48"/>
  <c r="M682" i="48" s="1"/>
  <c r="R681" i="48"/>
  <c r="E712" i="48" s="1"/>
  <c r="K681" i="48"/>
  <c r="L681" i="48" s="1"/>
  <c r="H677" i="48"/>
  <c r="R676" i="48"/>
  <c r="E707" i="48" s="1"/>
  <c r="I676" i="48"/>
  <c r="M676" i="48" s="1"/>
  <c r="R675" i="48"/>
  <c r="E706" i="48" s="1"/>
  <c r="I675" i="48"/>
  <c r="M675" i="48" s="1"/>
  <c r="H674" i="48"/>
  <c r="I673" i="48"/>
  <c r="M673" i="48" s="1"/>
  <c r="I672" i="48"/>
  <c r="M672" i="48" s="1"/>
  <c r="G671" i="48"/>
  <c r="R670" i="48"/>
  <c r="E701" i="48" s="1"/>
  <c r="K670" i="48"/>
  <c r="R669" i="48"/>
  <c r="E700" i="48" s="1"/>
  <c r="H666" i="48"/>
  <c r="I665" i="48"/>
  <c r="M665" i="48" s="1"/>
  <c r="R664" i="48"/>
  <c r="E695" i="48" s="1"/>
  <c r="I664" i="48"/>
  <c r="M664" i="48" s="1"/>
  <c r="R663" i="48"/>
  <c r="E694" i="48" s="1"/>
  <c r="H663" i="48"/>
  <c r="I662" i="48"/>
  <c r="M662" i="48" s="1"/>
  <c r="I661" i="48"/>
  <c r="M661" i="48" s="1"/>
  <c r="G660" i="48"/>
  <c r="M660" i="48" s="1"/>
  <c r="K659" i="48"/>
  <c r="R656" i="48"/>
  <c r="E687" i="48" s="1"/>
  <c r="R655" i="48"/>
  <c r="E686" i="48" s="1"/>
  <c r="H655" i="48"/>
  <c r="I654" i="48"/>
  <c r="M654" i="48" s="1"/>
  <c r="R653" i="48"/>
  <c r="E684" i="48" s="1"/>
  <c r="I653" i="48"/>
  <c r="M653" i="48" s="1"/>
  <c r="R652" i="48"/>
  <c r="E683" i="48" s="1"/>
  <c r="H652" i="48"/>
  <c r="I651" i="48"/>
  <c r="M651" i="48" s="1"/>
  <c r="I650" i="48"/>
  <c r="M650" i="48" s="1"/>
  <c r="G649" i="48"/>
  <c r="M649" i="48" s="1"/>
  <c r="K648" i="48"/>
  <c r="M648" i="48" s="1"/>
  <c r="R645" i="48"/>
  <c r="E676" i="48" s="1"/>
  <c r="R644" i="48"/>
  <c r="E675" i="48" s="1"/>
  <c r="H644" i="48"/>
  <c r="I643" i="48"/>
  <c r="M643" i="48" s="1"/>
  <c r="R642" i="48"/>
  <c r="E673" i="48" s="1"/>
  <c r="I642" i="48"/>
  <c r="M642" i="48" s="1"/>
  <c r="R641" i="48"/>
  <c r="E672" i="48" s="1"/>
  <c r="H641" i="48"/>
  <c r="I640" i="48"/>
  <c r="M640" i="48" s="1"/>
  <c r="I639" i="48"/>
  <c r="M639" i="48" s="1"/>
  <c r="G638" i="48"/>
  <c r="K637" i="48"/>
  <c r="R634" i="48"/>
  <c r="E665" i="48" s="1"/>
  <c r="R633" i="48"/>
  <c r="E664" i="48" s="1"/>
  <c r="I633" i="48"/>
  <c r="J633" i="48" s="1"/>
  <c r="N633" i="48" s="1"/>
  <c r="G632" i="48"/>
  <c r="M632" i="48" s="1"/>
  <c r="R631" i="48"/>
  <c r="E662" i="48" s="1"/>
  <c r="R630" i="48"/>
  <c r="E661" i="48" s="1"/>
  <c r="I629" i="48"/>
  <c r="G628" i="48"/>
  <c r="G627" i="48"/>
  <c r="H624" i="48"/>
  <c r="H625" i="48" s="1"/>
  <c r="R623" i="48"/>
  <c r="E654" i="48" s="1"/>
  <c r="I623" i="48"/>
  <c r="R622" i="48"/>
  <c r="E653" i="48" s="1"/>
  <c r="I622" i="48"/>
  <c r="J622" i="48" s="1"/>
  <c r="N622" i="48" s="1"/>
  <c r="R620" i="48"/>
  <c r="E651" i="48" s="1"/>
  <c r="R619" i="48"/>
  <c r="E650" i="48" s="1"/>
  <c r="H619" i="48"/>
  <c r="K618" i="48"/>
  <c r="I618" i="48"/>
  <c r="G618" i="48"/>
  <c r="I617" i="48"/>
  <c r="M617" i="48" s="1"/>
  <c r="I616" i="48"/>
  <c r="M616" i="48" s="1"/>
  <c r="R612" i="48"/>
  <c r="E643" i="48" s="1"/>
  <c r="H612" i="48"/>
  <c r="R611" i="48"/>
  <c r="E642" i="48" s="1"/>
  <c r="K611" i="48"/>
  <c r="I611" i="48"/>
  <c r="G611" i="48"/>
  <c r="I610" i="48"/>
  <c r="M610" i="48" s="1"/>
  <c r="R609" i="48"/>
  <c r="E640" i="48" s="1"/>
  <c r="I609" i="48"/>
  <c r="M609" i="48" s="1"/>
  <c r="R608" i="48"/>
  <c r="E639" i="48" s="1"/>
  <c r="H605" i="48"/>
  <c r="K604" i="48"/>
  <c r="I604" i="48"/>
  <c r="G604" i="48"/>
  <c r="I603" i="48"/>
  <c r="M603" i="48" s="1"/>
  <c r="I602" i="48"/>
  <c r="M602" i="48" s="1"/>
  <c r="H598" i="48"/>
  <c r="K597" i="48"/>
  <c r="I597" i="48"/>
  <c r="G597" i="48"/>
  <c r="I596" i="48"/>
  <c r="M596" i="48" s="1"/>
  <c r="I595" i="48"/>
  <c r="M595" i="48" s="1"/>
  <c r="H591" i="48"/>
  <c r="H592" i="48" s="1"/>
  <c r="I590" i="48"/>
  <c r="M590" i="48" s="1"/>
  <c r="I589" i="48"/>
  <c r="M589" i="48" s="1"/>
  <c r="R585" i="48"/>
  <c r="R586" i="48" s="1"/>
  <c r="Q585" i="48"/>
  <c r="Q586" i="48" s="1"/>
  <c r="Q587" i="48" s="1"/>
  <c r="H585" i="48"/>
  <c r="H586" i="48" s="1"/>
  <c r="I584" i="48"/>
  <c r="M584" i="48" s="1"/>
  <c r="I583" i="48"/>
  <c r="M583" i="48" s="1"/>
  <c r="H579" i="48"/>
  <c r="H580" i="48" s="1"/>
  <c r="R578" i="48"/>
  <c r="Q578" i="48"/>
  <c r="Q579" i="48" s="1"/>
  <c r="Q580" i="48" s="1"/>
  <c r="I578" i="48"/>
  <c r="M578" i="48" s="1"/>
  <c r="I577" i="48"/>
  <c r="M577" i="48" s="1"/>
  <c r="H573" i="48"/>
  <c r="H574" i="48" s="1"/>
  <c r="R572" i="48"/>
  <c r="T572" i="48" s="1"/>
  <c r="E603" i="48" s="1"/>
  <c r="Q572" i="48"/>
  <c r="Q573" i="48" s="1"/>
  <c r="I572" i="48"/>
  <c r="M572" i="48" s="1"/>
  <c r="T571" i="48"/>
  <c r="E602" i="48" s="1"/>
  <c r="I571" i="48"/>
  <c r="M571" i="48" s="1"/>
  <c r="I567" i="48"/>
  <c r="M567" i="48" s="1"/>
  <c r="I566" i="48"/>
  <c r="R565" i="48"/>
  <c r="R566" i="48" s="1"/>
  <c r="T566" i="48" s="1"/>
  <c r="E597" i="48" s="1"/>
  <c r="Q565" i="48"/>
  <c r="Q566" i="48" s="1"/>
  <c r="G565" i="48"/>
  <c r="M565" i="48" s="1"/>
  <c r="T564" i="48"/>
  <c r="E595" i="48" s="1"/>
  <c r="G564" i="48"/>
  <c r="K563" i="48"/>
  <c r="L563" i="48" s="1"/>
  <c r="G562" i="48"/>
  <c r="H562" i="48" s="1"/>
  <c r="I559" i="48"/>
  <c r="R558" i="48"/>
  <c r="R559" i="48" s="1"/>
  <c r="T559" i="48" s="1"/>
  <c r="E590" i="48" s="1"/>
  <c r="Q558" i="48"/>
  <c r="Q559" i="48" s="1"/>
  <c r="I558" i="48"/>
  <c r="J558" i="48" s="1"/>
  <c r="G557" i="48"/>
  <c r="G556" i="48"/>
  <c r="M556" i="48" s="1"/>
  <c r="K555" i="48"/>
  <c r="G554" i="48"/>
  <c r="R552" i="48"/>
  <c r="T552" i="48" s="1"/>
  <c r="E583" i="48" s="1"/>
  <c r="Q552" i="48"/>
  <c r="Q553" i="48" s="1"/>
  <c r="I551" i="48"/>
  <c r="M551" i="48" s="1"/>
  <c r="I550" i="48"/>
  <c r="M550" i="48" s="1"/>
  <c r="X549" i="48"/>
  <c r="G549" i="48"/>
  <c r="G548" i="48"/>
  <c r="X547" i="48"/>
  <c r="R547" i="48"/>
  <c r="T547" i="48" s="1"/>
  <c r="E578" i="48" s="1"/>
  <c r="Q547" i="48"/>
  <c r="K547" i="48"/>
  <c r="X546" i="48"/>
  <c r="T546" i="48"/>
  <c r="E577" i="48" s="1"/>
  <c r="G546" i="48"/>
  <c r="M546" i="48" s="1"/>
  <c r="X545" i="48"/>
  <c r="X544" i="48"/>
  <c r="X543" i="48"/>
  <c r="I543" i="48"/>
  <c r="M543" i="48" s="1"/>
  <c r="I542" i="48"/>
  <c r="M542" i="48" s="1"/>
  <c r="X541" i="48"/>
  <c r="T541" i="48"/>
  <c r="E572" i="48" s="1"/>
  <c r="Q541" i="48"/>
  <c r="G541" i="48"/>
  <c r="X540" i="48"/>
  <c r="R540" i="48"/>
  <c r="T540" i="48" s="1"/>
  <c r="E571" i="48" s="1"/>
  <c r="G540" i="48"/>
  <c r="H540" i="48" s="1"/>
  <c r="N540" i="48" s="1"/>
  <c r="X539" i="48"/>
  <c r="K539" i="48"/>
  <c r="G538" i="48"/>
  <c r="H538" i="48" s="1"/>
  <c r="I535" i="48"/>
  <c r="M535" i="48" s="1"/>
  <c r="I534" i="48"/>
  <c r="M534" i="48" s="1"/>
  <c r="G533" i="48"/>
  <c r="M533" i="48" s="1"/>
  <c r="G532" i="48"/>
  <c r="M532" i="48" s="1"/>
  <c r="K531" i="48"/>
  <c r="M531" i="48" s="1"/>
  <c r="G530" i="48"/>
  <c r="M530" i="48" s="1"/>
  <c r="I527" i="48"/>
  <c r="M527" i="48" s="1"/>
  <c r="I526" i="48"/>
  <c r="G525" i="48"/>
  <c r="M525" i="48" s="1"/>
  <c r="G524" i="48"/>
  <c r="K523" i="48"/>
  <c r="M523" i="48" s="1"/>
  <c r="G522" i="48"/>
  <c r="I519" i="48"/>
  <c r="I518" i="48"/>
  <c r="M518" i="48" s="1"/>
  <c r="G517" i="48"/>
  <c r="H517" i="48" s="1"/>
  <c r="N517" i="48" s="1"/>
  <c r="G516" i="48"/>
  <c r="M516" i="48" s="1"/>
  <c r="Q515" i="48"/>
  <c r="R515" i="48" s="1"/>
  <c r="K515" i="48"/>
  <c r="M515" i="48" s="1"/>
  <c r="G514" i="48"/>
  <c r="M514" i="48" s="1"/>
  <c r="I511" i="48"/>
  <c r="M511" i="48" s="1"/>
  <c r="I510" i="48"/>
  <c r="G509" i="48"/>
  <c r="M509" i="48" s="1"/>
  <c r="G508" i="48"/>
  <c r="K507" i="48"/>
  <c r="M507" i="48" s="1"/>
  <c r="G506" i="48"/>
  <c r="I503" i="48"/>
  <c r="I502" i="48"/>
  <c r="G501" i="48"/>
  <c r="H501" i="48" s="1"/>
  <c r="N501" i="48" s="1"/>
  <c r="G500" i="48"/>
  <c r="K499" i="48"/>
  <c r="G498" i="48"/>
  <c r="I495" i="48"/>
  <c r="J495" i="48" s="1"/>
  <c r="G494" i="48"/>
  <c r="K493" i="48"/>
  <c r="L493" i="48" s="1"/>
  <c r="G492" i="48"/>
  <c r="I489" i="48"/>
  <c r="M489" i="48" s="1"/>
  <c r="G488" i="48"/>
  <c r="M488" i="48" s="1"/>
  <c r="K487" i="48"/>
  <c r="M487" i="48" s="1"/>
  <c r="G486" i="48"/>
  <c r="M486" i="48" s="1"/>
  <c r="I483" i="48"/>
  <c r="M483" i="48" s="1"/>
  <c r="G482" i="48"/>
  <c r="K481" i="48"/>
  <c r="M481" i="48" s="1"/>
  <c r="G480" i="48"/>
  <c r="I477" i="48"/>
  <c r="G476" i="48"/>
  <c r="H476" i="48" s="1"/>
  <c r="N476" i="48" s="1"/>
  <c r="K475" i="48"/>
  <c r="G474" i="48"/>
  <c r="I471" i="48"/>
  <c r="J471" i="48" s="1"/>
  <c r="G470" i="48"/>
  <c r="K469" i="48"/>
  <c r="L469" i="48" s="1"/>
  <c r="G468" i="48"/>
  <c r="K465" i="48"/>
  <c r="K462" i="48"/>
  <c r="M462" i="48" s="1"/>
  <c r="K459" i="48"/>
  <c r="M459" i="48" s="1"/>
  <c r="K456" i="48"/>
  <c r="K453" i="48"/>
  <c r="L453" i="48" s="1"/>
  <c r="I453" i="48"/>
  <c r="J453" i="48" s="1"/>
  <c r="G453" i="48"/>
  <c r="H453" i="48" s="1"/>
  <c r="K450" i="48"/>
  <c r="L450" i="48" s="1"/>
  <c r="I450" i="48"/>
  <c r="J450" i="48" s="1"/>
  <c r="G450" i="48"/>
  <c r="K447" i="48"/>
  <c r="L447" i="48" s="1"/>
  <c r="I447" i="48"/>
  <c r="J447" i="48" s="1"/>
  <c r="G447" i="48"/>
  <c r="K444" i="48"/>
  <c r="L444" i="48" s="1"/>
  <c r="I444" i="48"/>
  <c r="J444" i="48" s="1"/>
  <c r="G444" i="48"/>
  <c r="K441" i="48"/>
  <c r="L441" i="48" s="1"/>
  <c r="I441" i="48"/>
  <c r="J441" i="48" s="1"/>
  <c r="G441" i="48"/>
  <c r="H441" i="48" s="1"/>
  <c r="K438" i="48"/>
  <c r="L438" i="48" s="1"/>
  <c r="I438" i="48"/>
  <c r="J438" i="48" s="1"/>
  <c r="G438" i="48"/>
  <c r="H438" i="48" s="1"/>
  <c r="K435" i="48"/>
  <c r="L435" i="48" s="1"/>
  <c r="I435" i="48"/>
  <c r="J435" i="48" s="1"/>
  <c r="G435" i="48"/>
  <c r="K432" i="48"/>
  <c r="L432" i="48" s="1"/>
  <c r="I432" i="48"/>
  <c r="J432" i="48" s="1"/>
  <c r="G432" i="48"/>
  <c r="K429" i="48"/>
  <c r="L429" i="48" s="1"/>
  <c r="I429" i="48"/>
  <c r="J429" i="48" s="1"/>
  <c r="G429" i="48"/>
  <c r="H429" i="48" s="1"/>
  <c r="K426" i="48"/>
  <c r="L426" i="48" s="1"/>
  <c r="I426" i="48"/>
  <c r="J426" i="48" s="1"/>
  <c r="G426" i="48"/>
  <c r="K423" i="48"/>
  <c r="L423" i="48" s="1"/>
  <c r="I423" i="48"/>
  <c r="J423" i="48" s="1"/>
  <c r="G423" i="48"/>
  <c r="K420" i="48"/>
  <c r="L420" i="48" s="1"/>
  <c r="I420" i="48"/>
  <c r="J420" i="48" s="1"/>
  <c r="G420" i="48"/>
  <c r="H420" i="48" s="1"/>
  <c r="K417" i="48"/>
  <c r="L417" i="48" s="1"/>
  <c r="I417" i="48"/>
  <c r="J417" i="48" s="1"/>
  <c r="G417" i="48"/>
  <c r="H417" i="48" s="1"/>
  <c r="K414" i="48"/>
  <c r="L414" i="48" s="1"/>
  <c r="I414" i="48"/>
  <c r="J414" i="48" s="1"/>
  <c r="G414" i="48"/>
  <c r="K411" i="48"/>
  <c r="L411" i="48" s="1"/>
  <c r="I411" i="48"/>
  <c r="J411" i="48" s="1"/>
  <c r="G411" i="48"/>
  <c r="K408" i="48"/>
  <c r="L408" i="48" s="1"/>
  <c r="I408" i="48"/>
  <c r="J408" i="48" s="1"/>
  <c r="G408" i="48"/>
  <c r="H408" i="48" s="1"/>
  <c r="K405" i="48"/>
  <c r="L405" i="48" s="1"/>
  <c r="I405" i="48"/>
  <c r="J405" i="48" s="1"/>
  <c r="G405" i="48"/>
  <c r="H405" i="48" s="1"/>
  <c r="K402" i="48"/>
  <c r="L402" i="48" s="1"/>
  <c r="I402" i="48"/>
  <c r="J402" i="48" s="1"/>
  <c r="G402" i="48"/>
  <c r="K399" i="48"/>
  <c r="L399" i="48" s="1"/>
  <c r="I399" i="48"/>
  <c r="J399" i="48" s="1"/>
  <c r="G399" i="48"/>
  <c r="K396" i="48"/>
  <c r="L396" i="48" s="1"/>
  <c r="I396" i="48"/>
  <c r="J396" i="48" s="1"/>
  <c r="G396" i="48"/>
  <c r="K393" i="48"/>
  <c r="L393" i="48" s="1"/>
  <c r="I393" i="48"/>
  <c r="J393" i="48" s="1"/>
  <c r="G393" i="48"/>
  <c r="H393" i="48" s="1"/>
  <c r="K390" i="48"/>
  <c r="L390" i="48" s="1"/>
  <c r="I390" i="48"/>
  <c r="J390" i="48" s="1"/>
  <c r="G390" i="48"/>
  <c r="H390" i="48" s="1"/>
  <c r="K387" i="48"/>
  <c r="L387" i="48" s="1"/>
  <c r="I387" i="48"/>
  <c r="J387" i="48" s="1"/>
  <c r="G387" i="48"/>
  <c r="K384" i="48"/>
  <c r="L384" i="48" s="1"/>
  <c r="I384" i="48"/>
  <c r="J384" i="48" s="1"/>
  <c r="G384" i="48"/>
  <c r="K381" i="48"/>
  <c r="L381" i="48" s="1"/>
  <c r="I381" i="48"/>
  <c r="J381" i="48" s="1"/>
  <c r="G381" i="48"/>
  <c r="H381" i="48" s="1"/>
  <c r="K378" i="48"/>
  <c r="L378" i="48" s="1"/>
  <c r="I378" i="48"/>
  <c r="J378" i="48" s="1"/>
  <c r="G378" i="48"/>
  <c r="K375" i="48"/>
  <c r="L375" i="48" s="1"/>
  <c r="I375" i="48"/>
  <c r="J375" i="48" s="1"/>
  <c r="G375" i="48"/>
  <c r="K372" i="48"/>
  <c r="L372" i="48" s="1"/>
  <c r="I372" i="48"/>
  <c r="G372" i="48"/>
  <c r="H372" i="48" s="1"/>
  <c r="K369" i="48"/>
  <c r="L369" i="48" s="1"/>
  <c r="I369" i="48"/>
  <c r="J369" i="48" s="1"/>
  <c r="G369" i="48"/>
  <c r="H369" i="48" s="1"/>
  <c r="K366" i="48"/>
  <c r="L366" i="48" s="1"/>
  <c r="I366" i="48"/>
  <c r="J366" i="48" s="1"/>
  <c r="G366" i="48"/>
  <c r="K363" i="48"/>
  <c r="L363" i="48" s="1"/>
  <c r="I363" i="48"/>
  <c r="J363" i="48" s="1"/>
  <c r="G363" i="48"/>
  <c r="K360" i="48"/>
  <c r="L360" i="48" s="1"/>
  <c r="I360" i="48"/>
  <c r="G360" i="48"/>
  <c r="H360" i="48" s="1"/>
  <c r="K357" i="48"/>
  <c r="L357" i="48" s="1"/>
  <c r="I357" i="48"/>
  <c r="J357" i="48" s="1"/>
  <c r="G357" i="48"/>
  <c r="H357" i="48" s="1"/>
  <c r="K354" i="48"/>
  <c r="L354" i="48" s="1"/>
  <c r="I354" i="48"/>
  <c r="J354" i="48" s="1"/>
  <c r="G354" i="48"/>
  <c r="K351" i="48"/>
  <c r="L351" i="48" s="1"/>
  <c r="I351" i="48"/>
  <c r="J351" i="48" s="1"/>
  <c r="G351" i="48"/>
  <c r="K348" i="48"/>
  <c r="L348" i="48" s="1"/>
  <c r="I348" i="48"/>
  <c r="G348" i="48"/>
  <c r="H348" i="48" s="1"/>
  <c r="K345" i="48"/>
  <c r="L345" i="48" s="1"/>
  <c r="I345" i="48"/>
  <c r="J345" i="48" s="1"/>
  <c r="G345" i="48"/>
  <c r="H345" i="48" s="1"/>
  <c r="K342" i="48"/>
  <c r="L342" i="48" s="1"/>
  <c r="I342" i="48"/>
  <c r="J342" i="48" s="1"/>
  <c r="G342" i="48"/>
  <c r="I339" i="48"/>
  <c r="M339" i="48" s="1"/>
  <c r="K336" i="48"/>
  <c r="L336" i="48" s="1"/>
  <c r="L337" i="48" s="1"/>
  <c r="I336" i="48"/>
  <c r="J336" i="48" s="1"/>
  <c r="J337" i="48" s="1"/>
  <c r="G336" i="48"/>
  <c r="K333" i="48"/>
  <c r="L333" i="48" s="1"/>
  <c r="L334" i="48" s="1"/>
  <c r="I333" i="48"/>
  <c r="J333" i="48" s="1"/>
  <c r="J334" i="48" s="1"/>
  <c r="G333" i="48"/>
  <c r="H333" i="48" s="1"/>
  <c r="H334" i="48" s="1"/>
  <c r="K330" i="48"/>
  <c r="L330" i="48" s="1"/>
  <c r="L331" i="48" s="1"/>
  <c r="I330" i="48"/>
  <c r="G330" i="48"/>
  <c r="H330" i="48" s="1"/>
  <c r="H331" i="48" s="1"/>
  <c r="K327" i="48"/>
  <c r="L327" i="48" s="1"/>
  <c r="L328" i="48" s="1"/>
  <c r="I327" i="48"/>
  <c r="J327" i="48" s="1"/>
  <c r="J328" i="48" s="1"/>
  <c r="G327" i="48"/>
  <c r="K324" i="48"/>
  <c r="L324" i="48" s="1"/>
  <c r="L325" i="48" s="1"/>
  <c r="I324" i="48"/>
  <c r="J324" i="48" s="1"/>
  <c r="J325" i="48" s="1"/>
  <c r="G324" i="48"/>
  <c r="I320" i="48"/>
  <c r="M320" i="48" s="1"/>
  <c r="I319" i="48"/>
  <c r="M319" i="48" s="1"/>
  <c r="G315" i="48"/>
  <c r="M315" i="48" s="1"/>
  <c r="G314" i="48"/>
  <c r="M314" i="48" s="1"/>
  <c r="I313" i="48"/>
  <c r="M313" i="48" s="1"/>
  <c r="K310" i="48"/>
  <c r="L310" i="48" s="1"/>
  <c r="L311" i="48" s="1"/>
  <c r="I310" i="48"/>
  <c r="J310" i="48" s="1"/>
  <c r="J311" i="48" s="1"/>
  <c r="G310" i="48"/>
  <c r="H310" i="48" s="1"/>
  <c r="H311" i="48" s="1"/>
  <c r="K307" i="48"/>
  <c r="L307" i="48" s="1"/>
  <c r="L308" i="48" s="1"/>
  <c r="I307" i="48"/>
  <c r="G307" i="48"/>
  <c r="H307" i="48" s="1"/>
  <c r="H308" i="48" s="1"/>
  <c r="K304" i="48"/>
  <c r="L304" i="48" s="1"/>
  <c r="L305" i="48" s="1"/>
  <c r="I304" i="48"/>
  <c r="J304" i="48" s="1"/>
  <c r="J305" i="48" s="1"/>
  <c r="G304" i="48"/>
  <c r="K301" i="48"/>
  <c r="L301" i="48" s="1"/>
  <c r="L302" i="48" s="1"/>
  <c r="I301" i="48"/>
  <c r="J301" i="48" s="1"/>
  <c r="J302" i="48" s="1"/>
  <c r="G301" i="48"/>
  <c r="K298" i="48"/>
  <c r="L298" i="48" s="1"/>
  <c r="L299" i="48" s="1"/>
  <c r="I298" i="48"/>
  <c r="J298" i="48" s="1"/>
  <c r="J299" i="48" s="1"/>
  <c r="G298" i="48"/>
  <c r="H298" i="48" s="1"/>
  <c r="H299" i="48" s="1"/>
  <c r="K295" i="48"/>
  <c r="L295" i="48" s="1"/>
  <c r="L296" i="48" s="1"/>
  <c r="I295" i="48"/>
  <c r="G295" i="48"/>
  <c r="H295" i="48" s="1"/>
  <c r="H296" i="48" s="1"/>
  <c r="K292" i="48"/>
  <c r="L292" i="48" s="1"/>
  <c r="L293" i="48" s="1"/>
  <c r="I292" i="48"/>
  <c r="J292" i="48" s="1"/>
  <c r="J293" i="48" s="1"/>
  <c r="G292" i="48"/>
  <c r="K289" i="48"/>
  <c r="L289" i="48" s="1"/>
  <c r="L290" i="48" s="1"/>
  <c r="I289" i="48"/>
  <c r="J289" i="48" s="1"/>
  <c r="J290" i="48" s="1"/>
  <c r="G289" i="48"/>
  <c r="K286" i="48"/>
  <c r="L286" i="48" s="1"/>
  <c r="L287" i="48" s="1"/>
  <c r="I286" i="48"/>
  <c r="J286" i="48" s="1"/>
  <c r="J287" i="48" s="1"/>
  <c r="G286" i="48"/>
  <c r="H286" i="48" s="1"/>
  <c r="H287" i="48" s="1"/>
  <c r="K283" i="48"/>
  <c r="L283" i="48" s="1"/>
  <c r="L284" i="48" s="1"/>
  <c r="I283" i="48"/>
  <c r="G283" i="48"/>
  <c r="H283" i="48" s="1"/>
  <c r="K280" i="48"/>
  <c r="L280" i="48" s="1"/>
  <c r="L281" i="48" s="1"/>
  <c r="I280" i="48"/>
  <c r="J280" i="48" s="1"/>
  <c r="J281" i="48" s="1"/>
  <c r="G280" i="48"/>
  <c r="E276" i="48"/>
  <c r="U275" i="48"/>
  <c r="V275" i="48" s="1"/>
  <c r="I275" i="48"/>
  <c r="M275" i="48" s="1"/>
  <c r="E275" i="48"/>
  <c r="V274" i="48"/>
  <c r="I274" i="48"/>
  <c r="M274" i="48" s="1"/>
  <c r="E274" i="48"/>
  <c r="V273" i="48"/>
  <c r="E270" i="48"/>
  <c r="U269" i="48"/>
  <c r="V269" i="48" s="1"/>
  <c r="I269" i="48"/>
  <c r="M269" i="48" s="1"/>
  <c r="E269" i="48"/>
  <c r="V268" i="48"/>
  <c r="I268" i="48"/>
  <c r="M268" i="48" s="1"/>
  <c r="E268" i="48"/>
  <c r="V267" i="48"/>
  <c r="I264" i="48"/>
  <c r="M264" i="48" s="1"/>
  <c r="I260" i="48"/>
  <c r="M260" i="48" s="1"/>
  <c r="K257" i="48"/>
  <c r="L257" i="48" s="1"/>
  <c r="L258" i="48" s="1"/>
  <c r="I257" i="48"/>
  <c r="J257" i="48" s="1"/>
  <c r="J258" i="48" s="1"/>
  <c r="G257" i="48"/>
  <c r="K254" i="48"/>
  <c r="L254" i="48" s="1"/>
  <c r="L255" i="48" s="1"/>
  <c r="I254" i="48"/>
  <c r="J254" i="48" s="1"/>
  <c r="J255" i="48" s="1"/>
  <c r="G254" i="48"/>
  <c r="H254" i="48" s="1"/>
  <c r="H255" i="48" s="1"/>
  <c r="K251" i="48"/>
  <c r="L251" i="48" s="1"/>
  <c r="L252" i="48" s="1"/>
  <c r="I251" i="48"/>
  <c r="G251" i="48"/>
  <c r="H251" i="48" s="1"/>
  <c r="G248" i="48"/>
  <c r="M248" i="48" s="1"/>
  <c r="K247" i="48"/>
  <c r="L247" i="48" s="1"/>
  <c r="I247" i="48"/>
  <c r="J247" i="48" s="1"/>
  <c r="G247" i="48"/>
  <c r="K246" i="48"/>
  <c r="L246" i="48" s="1"/>
  <c r="I246" i="48"/>
  <c r="J246" i="48" s="1"/>
  <c r="G246" i="48"/>
  <c r="I245" i="48"/>
  <c r="M245" i="48" s="1"/>
  <c r="K242" i="48"/>
  <c r="L242" i="48" s="1"/>
  <c r="I242" i="48"/>
  <c r="J242" i="48" s="1"/>
  <c r="G242" i="48"/>
  <c r="G241" i="48"/>
  <c r="M241" i="48" s="1"/>
  <c r="K240" i="48"/>
  <c r="L240" i="48" s="1"/>
  <c r="I240" i="48"/>
  <c r="J240" i="48" s="1"/>
  <c r="G240" i="48"/>
  <c r="K239" i="48"/>
  <c r="L239" i="48" s="1"/>
  <c r="I239" i="48"/>
  <c r="J239" i="48" s="1"/>
  <c r="G239" i="48"/>
  <c r="I238" i="48"/>
  <c r="M238" i="48" s="1"/>
  <c r="K235" i="48"/>
  <c r="L235" i="48" s="1"/>
  <c r="I235" i="48"/>
  <c r="J235" i="48" s="1"/>
  <c r="G235" i="48"/>
  <c r="H235" i="48" s="1"/>
  <c r="G234" i="48"/>
  <c r="K233" i="48"/>
  <c r="L233" i="48" s="1"/>
  <c r="I233" i="48"/>
  <c r="J233" i="48" s="1"/>
  <c r="G233" i="48"/>
  <c r="H233" i="48" s="1"/>
  <c r="K232" i="48"/>
  <c r="L232" i="48" s="1"/>
  <c r="I232" i="48"/>
  <c r="J232" i="48" s="1"/>
  <c r="G232" i="48"/>
  <c r="H232" i="48" s="1"/>
  <c r="I231" i="48"/>
  <c r="J231" i="48" s="1"/>
  <c r="K228" i="48"/>
  <c r="L228" i="48" s="1"/>
  <c r="L229" i="48" s="1"/>
  <c r="I228" i="48"/>
  <c r="G228" i="48"/>
  <c r="H228" i="48" s="1"/>
  <c r="K225" i="48"/>
  <c r="L225" i="48" s="1"/>
  <c r="L226" i="48" s="1"/>
  <c r="I225" i="48"/>
  <c r="J225" i="48" s="1"/>
  <c r="J226" i="48" s="1"/>
  <c r="G225" i="48"/>
  <c r="K222" i="48"/>
  <c r="L222" i="48" s="1"/>
  <c r="L223" i="48" s="1"/>
  <c r="I222" i="48"/>
  <c r="J222" i="48" s="1"/>
  <c r="J223" i="48" s="1"/>
  <c r="G222" i="48"/>
  <c r="K218" i="48"/>
  <c r="M218" i="48" s="1"/>
  <c r="C218" i="48"/>
  <c r="A218" i="48"/>
  <c r="G217" i="48"/>
  <c r="Q216" i="48"/>
  <c r="Q217" i="48" s="1"/>
  <c r="Q218" i="48" s="1"/>
  <c r="Q219" i="48" s="1"/>
  <c r="I216" i="48"/>
  <c r="M216" i="48" s="1"/>
  <c r="Q215" i="48"/>
  <c r="I215" i="48"/>
  <c r="M215" i="48" s="1"/>
  <c r="R214" i="48"/>
  <c r="R215" i="48" s="1"/>
  <c r="T215" i="48" s="1"/>
  <c r="K211" i="48"/>
  <c r="M211" i="48" s="1"/>
  <c r="C211" i="48"/>
  <c r="A211" i="48"/>
  <c r="K210" i="48"/>
  <c r="K217" i="48" s="1"/>
  <c r="L217" i="48" s="1"/>
  <c r="I210" i="48"/>
  <c r="J210" i="48" s="1"/>
  <c r="G210" i="48"/>
  <c r="Q209" i="48"/>
  <c r="Q210" i="48" s="1"/>
  <c r="Q211" i="48" s="1"/>
  <c r="Q212" i="48" s="1"/>
  <c r="I209" i="48"/>
  <c r="Q208" i="48"/>
  <c r="I208" i="48"/>
  <c r="J208" i="48" s="1"/>
  <c r="R207" i="48"/>
  <c r="R208" i="48" s="1"/>
  <c r="T208" i="48" s="1"/>
  <c r="I203" i="48"/>
  <c r="J203" i="48" s="1"/>
  <c r="N203" i="48" s="1"/>
  <c r="Q202" i="48"/>
  <c r="Q203" i="48" s="1"/>
  <c r="Q204" i="48" s="1"/>
  <c r="Q205" i="48" s="1"/>
  <c r="I202" i="48"/>
  <c r="M202" i="48" s="1"/>
  <c r="Q201" i="48"/>
  <c r="R200" i="48"/>
  <c r="T200" i="48" s="1"/>
  <c r="K199" i="48"/>
  <c r="L199" i="48" s="1"/>
  <c r="G199" i="48"/>
  <c r="K198" i="48"/>
  <c r="L198" i="48" s="1"/>
  <c r="I198" i="48"/>
  <c r="J198" i="48" s="1"/>
  <c r="G198" i="48"/>
  <c r="I197" i="48"/>
  <c r="M197" i="48" s="1"/>
  <c r="I196" i="48"/>
  <c r="M196" i="48" s="1"/>
  <c r="K193" i="48"/>
  <c r="L193" i="48" s="1"/>
  <c r="G193" i="48"/>
  <c r="H193" i="48" s="1"/>
  <c r="K192" i="48"/>
  <c r="K204" i="48" s="1"/>
  <c r="L204" i="48" s="1"/>
  <c r="L206" i="48" s="1"/>
  <c r="I192" i="48"/>
  <c r="I204" i="48" s="1"/>
  <c r="G192" i="48"/>
  <c r="G204" i="48" s="1"/>
  <c r="H204" i="48" s="1"/>
  <c r="I191" i="48"/>
  <c r="M191" i="48" s="1"/>
  <c r="I190" i="48"/>
  <c r="M190" i="48" s="1"/>
  <c r="K187" i="48"/>
  <c r="L187" i="48" s="1"/>
  <c r="I187" i="48"/>
  <c r="G187" i="48"/>
  <c r="H187" i="48" s="1"/>
  <c r="K186" i="48"/>
  <c r="L186" i="48" s="1"/>
  <c r="I186" i="48"/>
  <c r="G186" i="48"/>
  <c r="H186" i="48" s="1"/>
  <c r="K183" i="48"/>
  <c r="L183" i="48" s="1"/>
  <c r="I183" i="48"/>
  <c r="J183" i="48" s="1"/>
  <c r="G183" i="48"/>
  <c r="H183" i="48" s="1"/>
  <c r="K182" i="48"/>
  <c r="L182" i="48" s="1"/>
  <c r="I182" i="48"/>
  <c r="J182" i="48" s="1"/>
  <c r="G182" i="48"/>
  <c r="H182" i="48" s="1"/>
  <c r="K179" i="48"/>
  <c r="L179" i="48" s="1"/>
  <c r="I179" i="48"/>
  <c r="J179" i="48" s="1"/>
  <c r="G179" i="48"/>
  <c r="K178" i="48"/>
  <c r="L178" i="48" s="1"/>
  <c r="I178" i="48"/>
  <c r="J178" i="48" s="1"/>
  <c r="G178" i="48"/>
  <c r="K175" i="48"/>
  <c r="L175" i="48" s="1"/>
  <c r="I175" i="48"/>
  <c r="J175" i="48" s="1"/>
  <c r="G175" i="48"/>
  <c r="K174" i="48"/>
  <c r="L174" i="48" s="1"/>
  <c r="I174" i="48"/>
  <c r="J174" i="48" s="1"/>
  <c r="G174" i="48"/>
  <c r="Q173" i="48"/>
  <c r="Q172" i="48"/>
  <c r="R171" i="48"/>
  <c r="R173" i="48" s="1"/>
  <c r="T173" i="48" s="1"/>
  <c r="K171" i="48"/>
  <c r="L171" i="48" s="1"/>
  <c r="I171" i="48"/>
  <c r="G171" i="48"/>
  <c r="H171" i="48" s="1"/>
  <c r="K170" i="48"/>
  <c r="L170" i="48" s="1"/>
  <c r="I170" i="48"/>
  <c r="G170" i="48"/>
  <c r="H170" i="48" s="1"/>
  <c r="Q167" i="48"/>
  <c r="K167" i="48"/>
  <c r="L167" i="48" s="1"/>
  <c r="I167" i="48"/>
  <c r="J167" i="48" s="1"/>
  <c r="G167" i="48"/>
  <c r="Q166" i="48"/>
  <c r="Q168" i="48" s="1"/>
  <c r="K166" i="48"/>
  <c r="L166" i="48" s="1"/>
  <c r="I166" i="48"/>
  <c r="G166" i="48"/>
  <c r="H166" i="48" s="1"/>
  <c r="R165" i="48"/>
  <c r="R166" i="48" s="1"/>
  <c r="K163" i="48"/>
  <c r="L163" i="48" s="1"/>
  <c r="I163" i="48"/>
  <c r="J163" i="48" s="1"/>
  <c r="G163" i="48"/>
  <c r="K162" i="48"/>
  <c r="L162" i="48" s="1"/>
  <c r="I162" i="48"/>
  <c r="G162" i="48"/>
  <c r="H162" i="48" s="1"/>
  <c r="Q161" i="48"/>
  <c r="Q160" i="48"/>
  <c r="Q162" i="48" s="1"/>
  <c r="R159" i="48"/>
  <c r="R161" i="48" s="1"/>
  <c r="T161" i="48" s="1"/>
  <c r="K159" i="48"/>
  <c r="L159" i="48" s="1"/>
  <c r="I159" i="48"/>
  <c r="J159" i="48" s="1"/>
  <c r="G159" i="48"/>
  <c r="H159" i="48" s="1"/>
  <c r="K158" i="48"/>
  <c r="L158" i="48" s="1"/>
  <c r="I158" i="48"/>
  <c r="J158" i="48" s="1"/>
  <c r="G158" i="48"/>
  <c r="H158" i="48" s="1"/>
  <c r="K155" i="48"/>
  <c r="L155" i="48" s="1"/>
  <c r="I155" i="48"/>
  <c r="J155" i="48" s="1"/>
  <c r="G155" i="48"/>
  <c r="K152" i="48"/>
  <c r="L152" i="48" s="1"/>
  <c r="I152" i="48"/>
  <c r="J152" i="48" s="1"/>
  <c r="G152" i="48"/>
  <c r="K149" i="48"/>
  <c r="L149" i="48" s="1"/>
  <c r="I149" i="48"/>
  <c r="J149" i="48" s="1"/>
  <c r="G149" i="48"/>
  <c r="K146" i="48"/>
  <c r="L146" i="48" s="1"/>
  <c r="I146" i="48"/>
  <c r="J146" i="48" s="1"/>
  <c r="G146" i="48"/>
  <c r="K143" i="48"/>
  <c r="L143" i="48" s="1"/>
  <c r="I143" i="48"/>
  <c r="J143" i="48" s="1"/>
  <c r="G143" i="48"/>
  <c r="K140" i="48"/>
  <c r="L140" i="48" s="1"/>
  <c r="I140" i="48"/>
  <c r="J140" i="48" s="1"/>
  <c r="G140" i="48"/>
  <c r="K137" i="48"/>
  <c r="L137" i="48" s="1"/>
  <c r="I137" i="48"/>
  <c r="J137" i="48" s="1"/>
  <c r="G137" i="48"/>
  <c r="I136" i="48"/>
  <c r="M136" i="48" s="1"/>
  <c r="K133" i="48"/>
  <c r="L133" i="48" s="1"/>
  <c r="I133" i="48"/>
  <c r="G133" i="48"/>
  <c r="H133" i="48" s="1"/>
  <c r="I132" i="48"/>
  <c r="K129" i="48"/>
  <c r="L129" i="48" s="1"/>
  <c r="L130" i="48" s="1"/>
  <c r="I129" i="48"/>
  <c r="J129" i="48" s="1"/>
  <c r="J130" i="48" s="1"/>
  <c r="G129" i="48"/>
  <c r="H129" i="48" s="1"/>
  <c r="H130" i="48" s="1"/>
  <c r="K126" i="48"/>
  <c r="L126" i="48" s="1"/>
  <c r="L127" i="48" s="1"/>
  <c r="I126" i="48"/>
  <c r="J126" i="48" s="1"/>
  <c r="J127" i="48" s="1"/>
  <c r="G126" i="48"/>
  <c r="K123" i="48"/>
  <c r="L123" i="48" s="1"/>
  <c r="L124" i="48" s="1"/>
  <c r="K789" i="48" s="1"/>
  <c r="I123" i="48"/>
  <c r="J123" i="48" s="1"/>
  <c r="J124" i="48" s="1"/>
  <c r="I789" i="48" s="1"/>
  <c r="J789" i="48" s="1"/>
  <c r="G123" i="48"/>
  <c r="K120" i="48"/>
  <c r="I120" i="48"/>
  <c r="G120" i="48"/>
  <c r="K119" i="48"/>
  <c r="I119" i="48"/>
  <c r="G119" i="48"/>
  <c r="K118" i="48"/>
  <c r="I118" i="48"/>
  <c r="G118" i="48"/>
  <c r="I117" i="48"/>
  <c r="G117" i="48"/>
  <c r="I116" i="48"/>
  <c r="M116" i="48" s="1"/>
  <c r="E116" i="48"/>
  <c r="H116" i="48" s="1"/>
  <c r="X115" i="48"/>
  <c r="Y115" i="48" s="1"/>
  <c r="E120" i="48" s="1"/>
  <c r="U115" i="48"/>
  <c r="V115" i="48" s="1"/>
  <c r="E113" i="48" s="1"/>
  <c r="X114" i="48"/>
  <c r="Y114" i="48" s="1"/>
  <c r="E119" i="48" s="1"/>
  <c r="U114" i="48"/>
  <c r="V114" i="48" s="1"/>
  <c r="E112" i="48" s="1"/>
  <c r="X113" i="48"/>
  <c r="Y113" i="48" s="1"/>
  <c r="E118" i="48" s="1"/>
  <c r="U113" i="48"/>
  <c r="V113" i="48" s="1"/>
  <c r="K113" i="48"/>
  <c r="I113" i="48"/>
  <c r="G113" i="48"/>
  <c r="X112" i="48"/>
  <c r="Y112" i="48" s="1"/>
  <c r="E117" i="48" s="1"/>
  <c r="U112" i="48"/>
  <c r="V112" i="48" s="1"/>
  <c r="K112" i="48"/>
  <c r="I112" i="48"/>
  <c r="G112" i="48"/>
  <c r="Y111" i="48"/>
  <c r="V111" i="48"/>
  <c r="K111" i="48"/>
  <c r="I111" i="48"/>
  <c r="G111" i="48"/>
  <c r="I110" i="48"/>
  <c r="G110" i="48"/>
  <c r="I109" i="48"/>
  <c r="M109" i="48" s="1"/>
  <c r="E109" i="48"/>
  <c r="H109" i="48" s="1"/>
  <c r="K106" i="48"/>
  <c r="L106" i="48" s="1"/>
  <c r="L107" i="48" s="1"/>
  <c r="I106" i="48"/>
  <c r="G106" i="48"/>
  <c r="H106" i="48" s="1"/>
  <c r="K103" i="48"/>
  <c r="L103" i="48" s="1"/>
  <c r="L104" i="48" s="1"/>
  <c r="I103" i="48"/>
  <c r="J103" i="48" s="1"/>
  <c r="J104" i="48" s="1"/>
  <c r="G103" i="48"/>
  <c r="H103" i="48" s="1"/>
  <c r="H104" i="48" s="1"/>
  <c r="K100" i="48"/>
  <c r="L100" i="48" s="1"/>
  <c r="L101" i="48" s="1"/>
  <c r="I100" i="48"/>
  <c r="J100" i="48" s="1"/>
  <c r="J101" i="48" s="1"/>
  <c r="G100" i="48"/>
  <c r="K97" i="48"/>
  <c r="L97" i="48" s="1"/>
  <c r="L98" i="48" s="1"/>
  <c r="I97" i="48"/>
  <c r="J97" i="48" s="1"/>
  <c r="J98" i="48" s="1"/>
  <c r="G97" i="48"/>
  <c r="X95" i="48"/>
  <c r="Y95" i="48" s="1"/>
  <c r="X94" i="48"/>
  <c r="Y94" i="48" s="1"/>
  <c r="K94" i="48"/>
  <c r="L94" i="48" s="1"/>
  <c r="L95" i="48" s="1"/>
  <c r="I94" i="48"/>
  <c r="J94" i="48" s="1"/>
  <c r="J95" i="48" s="1"/>
  <c r="G94" i="48"/>
  <c r="H94" i="48" s="1"/>
  <c r="X93" i="48"/>
  <c r="Y93" i="48" s="1"/>
  <c r="X92" i="48"/>
  <c r="Y92" i="48" s="1"/>
  <c r="X91" i="48"/>
  <c r="Y91" i="48" s="1"/>
  <c r="K91" i="48"/>
  <c r="L91" i="48" s="1"/>
  <c r="L92" i="48" s="1"/>
  <c r="I91" i="48"/>
  <c r="J91" i="48" s="1"/>
  <c r="J92" i="48" s="1"/>
  <c r="G91" i="48"/>
  <c r="X90" i="48"/>
  <c r="Y90" i="48" s="1"/>
  <c r="X89" i="48"/>
  <c r="Y89" i="48" s="1"/>
  <c r="X88" i="48"/>
  <c r="Y88" i="48" s="1"/>
  <c r="K88" i="48"/>
  <c r="I88" i="48"/>
  <c r="G88" i="48"/>
  <c r="K85" i="48"/>
  <c r="I85" i="48"/>
  <c r="G85" i="48"/>
  <c r="X84" i="48"/>
  <c r="Y84" i="48" s="1"/>
  <c r="E70" i="48" s="1"/>
  <c r="X83" i="48"/>
  <c r="Y83" i="48" s="1"/>
  <c r="K82" i="48"/>
  <c r="I82" i="48"/>
  <c r="G82" i="48"/>
  <c r="X79" i="48"/>
  <c r="Y79" i="48" s="1"/>
  <c r="E67" i="48" s="1"/>
  <c r="K79" i="48"/>
  <c r="I79" i="48"/>
  <c r="G79" i="48"/>
  <c r="X78" i="48"/>
  <c r="Y78" i="48" s="1"/>
  <c r="K76" i="48"/>
  <c r="I76" i="48"/>
  <c r="G76" i="48"/>
  <c r="K73" i="48"/>
  <c r="I73" i="48"/>
  <c r="G73" i="48"/>
  <c r="K70" i="48"/>
  <c r="I70" i="48"/>
  <c r="G70" i="48"/>
  <c r="U68" i="48"/>
  <c r="V68" i="48" s="1"/>
  <c r="E88" i="48" s="1"/>
  <c r="K67" i="48"/>
  <c r="I67" i="48"/>
  <c r="G67" i="48"/>
  <c r="U66" i="48"/>
  <c r="V66" i="48" s="1"/>
  <c r="E85" i="48" s="1"/>
  <c r="I64" i="48"/>
  <c r="J64" i="48" s="1"/>
  <c r="U63" i="48"/>
  <c r="V63" i="48" s="1"/>
  <c r="E82" i="48" s="1"/>
  <c r="U61" i="48"/>
  <c r="V61" i="48" s="1"/>
  <c r="E79" i="48" s="1"/>
  <c r="K61" i="48"/>
  <c r="I61" i="48"/>
  <c r="G61" i="48"/>
  <c r="I60" i="48"/>
  <c r="M60" i="48" s="1"/>
  <c r="I59" i="48"/>
  <c r="M59" i="48" s="1"/>
  <c r="U58" i="48"/>
  <c r="V58" i="48" s="1"/>
  <c r="E76" i="48" s="1"/>
  <c r="U56" i="48"/>
  <c r="V56" i="48" s="1"/>
  <c r="E73" i="48" s="1"/>
  <c r="K56" i="48"/>
  <c r="I56" i="48"/>
  <c r="G56" i="48"/>
  <c r="I55" i="48"/>
  <c r="M55" i="48" s="1"/>
  <c r="I54" i="48"/>
  <c r="M54" i="48" s="1"/>
  <c r="V52" i="48"/>
  <c r="W52" i="48" s="1"/>
  <c r="E61" i="48" s="1"/>
  <c r="V51" i="48"/>
  <c r="E60" i="48" s="1"/>
  <c r="K51" i="48"/>
  <c r="I51" i="48"/>
  <c r="G51" i="48"/>
  <c r="V50" i="48"/>
  <c r="E59" i="48" s="1"/>
  <c r="I50" i="48"/>
  <c r="M50" i="48" s="1"/>
  <c r="I49" i="48"/>
  <c r="M49" i="48" s="1"/>
  <c r="V48" i="48"/>
  <c r="W48" i="48" s="1"/>
  <c r="E56" i="48" s="1"/>
  <c r="V47" i="48"/>
  <c r="E55" i="48" s="1"/>
  <c r="V46" i="48"/>
  <c r="E54" i="48" s="1"/>
  <c r="K46" i="48"/>
  <c r="I46" i="48"/>
  <c r="G46" i="48"/>
  <c r="I45" i="48"/>
  <c r="M45" i="48" s="1"/>
  <c r="V44" i="48"/>
  <c r="W44" i="48" s="1"/>
  <c r="E51" i="48" s="1"/>
  <c r="I44" i="48"/>
  <c r="M44" i="48" s="1"/>
  <c r="V43" i="48"/>
  <c r="E50" i="48" s="1"/>
  <c r="V42" i="48"/>
  <c r="E49" i="48" s="1"/>
  <c r="K40" i="48"/>
  <c r="M40" i="48" s="1"/>
  <c r="C40" i="48"/>
  <c r="A40" i="48"/>
  <c r="V39" i="48"/>
  <c r="W39" i="48" s="1"/>
  <c r="E46" i="48" s="1"/>
  <c r="K39" i="48"/>
  <c r="L39" i="48" s="1"/>
  <c r="I39" i="48"/>
  <c r="G39" i="48"/>
  <c r="H39" i="48" s="1"/>
  <c r="V38" i="48"/>
  <c r="E45" i="48" s="1"/>
  <c r="I38" i="48"/>
  <c r="M38" i="48" s="1"/>
  <c r="V37" i="48"/>
  <c r="E44" i="48" s="1"/>
  <c r="I37" i="48"/>
  <c r="M37" i="48" s="1"/>
  <c r="K33" i="48"/>
  <c r="L33" i="48" s="1"/>
  <c r="N33" i="48" s="1"/>
  <c r="C33" i="48"/>
  <c r="A33" i="48"/>
  <c r="K32" i="48"/>
  <c r="L32" i="48" s="1"/>
  <c r="I32" i="48"/>
  <c r="J32" i="48" s="1"/>
  <c r="G32" i="48"/>
  <c r="I31" i="48"/>
  <c r="M31" i="48" s="1"/>
  <c r="I30" i="48"/>
  <c r="M30" i="48" s="1"/>
  <c r="K26" i="48"/>
  <c r="M26" i="48" s="1"/>
  <c r="C26" i="48"/>
  <c r="A26" i="48"/>
  <c r="K25" i="48"/>
  <c r="L25" i="48" s="1"/>
  <c r="I25" i="48"/>
  <c r="J25" i="48" s="1"/>
  <c r="G25" i="48"/>
  <c r="I24" i="48"/>
  <c r="M24" i="48" s="1"/>
  <c r="I23" i="48"/>
  <c r="M23" i="48" s="1"/>
  <c r="K19" i="48"/>
  <c r="M19" i="48" s="1"/>
  <c r="C19" i="48"/>
  <c r="A19" i="48"/>
  <c r="K18" i="48"/>
  <c r="L18" i="48" s="1"/>
  <c r="I18" i="48"/>
  <c r="J18" i="48" s="1"/>
  <c r="G18" i="48"/>
  <c r="H18" i="48" s="1"/>
  <c r="I17" i="48"/>
  <c r="J17" i="48" s="1"/>
  <c r="N17" i="48" s="1"/>
  <c r="I16" i="48"/>
  <c r="J16" i="48" s="1"/>
  <c r="I13" i="48"/>
  <c r="M13" i="48" s="1"/>
  <c r="E13" i="48"/>
  <c r="I10" i="48"/>
  <c r="M10" i="48" s="1"/>
  <c r="E10" i="48"/>
  <c r="U8" i="48"/>
  <c r="U7" i="48"/>
  <c r="I7" i="48"/>
  <c r="M7" i="48" s="1"/>
  <c r="E7" i="48"/>
  <c r="U6" i="48"/>
  <c r="A6" i="48"/>
  <c r="U5" i="48"/>
  <c r="I4" i="48"/>
  <c r="M4" i="48" s="1"/>
  <c r="E4" i="48"/>
  <c r="BK111" i="47"/>
  <c r="AZ111" i="47"/>
  <c r="AO111" i="47"/>
  <c r="AB111" i="47"/>
  <c r="F111" i="47"/>
  <c r="A111" i="47"/>
  <c r="BK110" i="47"/>
  <c r="AZ110" i="47"/>
  <c r="AO110" i="47"/>
  <c r="F110" i="47"/>
  <c r="A110" i="47"/>
  <c r="BK109" i="47"/>
  <c r="AZ109" i="47"/>
  <c r="AO109" i="47"/>
  <c r="F109" i="47"/>
  <c r="A109" i="47"/>
  <c r="BK108" i="47"/>
  <c r="AZ108" i="47"/>
  <c r="AO108" i="47"/>
  <c r="F108" i="47"/>
  <c r="A108" i="47"/>
  <c r="BK107" i="47"/>
  <c r="AZ107" i="47"/>
  <c r="AO107" i="47"/>
  <c r="AB107" i="47"/>
  <c r="F107" i="47"/>
  <c r="A107" i="47"/>
  <c r="BK106" i="47"/>
  <c r="AO106" i="47"/>
  <c r="AB106" i="47"/>
  <c r="F106" i="47"/>
  <c r="A106" i="47"/>
  <c r="BK105" i="47"/>
  <c r="BV105" i="47" s="1"/>
  <c r="AB105" i="47"/>
  <c r="F105" i="47"/>
  <c r="A105" i="47"/>
  <c r="BK104" i="47"/>
  <c r="BV104" i="47" s="1"/>
  <c r="AB104" i="47"/>
  <c r="F104" i="47"/>
  <c r="A104" i="47"/>
  <c r="BK103" i="47"/>
  <c r="BV103" i="47" s="1"/>
  <c r="AB103" i="47"/>
  <c r="F103" i="47"/>
  <c r="A103" i="47"/>
  <c r="BK102" i="47"/>
  <c r="BV102" i="47" s="1"/>
  <c r="AB102" i="47"/>
  <c r="F102" i="47"/>
  <c r="A102" i="47"/>
  <c r="BK101" i="47"/>
  <c r="BV101" i="47" s="1"/>
  <c r="AB101" i="47"/>
  <c r="F101" i="47"/>
  <c r="A101" i="47"/>
  <c r="BK100" i="47"/>
  <c r="BV100" i="47" s="1"/>
  <c r="AB100" i="47"/>
  <c r="F100" i="47"/>
  <c r="A100" i="47"/>
  <c r="BK99" i="47"/>
  <c r="BV99" i="47" s="1"/>
  <c r="AB99" i="47"/>
  <c r="F99" i="47"/>
  <c r="A99" i="47"/>
  <c r="BK98" i="47"/>
  <c r="AZ98" i="47"/>
  <c r="AO98" i="47"/>
  <c r="AB98" i="47"/>
  <c r="F98" i="47"/>
  <c r="A98" i="47"/>
  <c r="BK97" i="47"/>
  <c r="AZ97" i="47"/>
  <c r="AO97" i="47"/>
  <c r="AB97" i="47"/>
  <c r="F97" i="47"/>
  <c r="A97" i="47"/>
  <c r="BK96" i="47"/>
  <c r="AZ96" i="47"/>
  <c r="AO96" i="47"/>
  <c r="AB96" i="47"/>
  <c r="F96" i="47"/>
  <c r="A96" i="47"/>
  <c r="BK95" i="47"/>
  <c r="AZ95" i="47"/>
  <c r="AO95" i="47"/>
  <c r="AB95" i="47"/>
  <c r="F95" i="47"/>
  <c r="A95" i="47"/>
  <c r="BK94" i="47"/>
  <c r="AZ94" i="47"/>
  <c r="AO94" i="47"/>
  <c r="AB94" i="47"/>
  <c r="F94" i="47"/>
  <c r="A94" i="47"/>
  <c r="BK93" i="47"/>
  <c r="AZ93" i="47"/>
  <c r="AO93" i="47"/>
  <c r="AB93" i="47"/>
  <c r="F93" i="47"/>
  <c r="A93" i="47"/>
  <c r="BK92" i="47"/>
  <c r="AZ92" i="47"/>
  <c r="AO92" i="47"/>
  <c r="AB92" i="47"/>
  <c r="F92" i="47"/>
  <c r="A92" i="47"/>
  <c r="BK91" i="47"/>
  <c r="AZ91" i="47"/>
  <c r="AO91" i="47"/>
  <c r="AB91" i="47"/>
  <c r="F91" i="47"/>
  <c r="A91" i="47"/>
  <c r="BK90" i="47"/>
  <c r="BV90" i="47" s="1"/>
  <c r="AB90" i="47"/>
  <c r="F90" i="47"/>
  <c r="A90" i="47"/>
  <c r="BK89" i="47"/>
  <c r="BV89" i="47" s="1"/>
  <c r="AB89" i="47"/>
  <c r="F89" i="47"/>
  <c r="A89" i="47"/>
  <c r="BK88" i="47"/>
  <c r="BV88" i="47" s="1"/>
  <c r="AB88" i="47"/>
  <c r="F88" i="47"/>
  <c r="A88" i="47"/>
  <c r="BK87" i="47"/>
  <c r="AZ87" i="47"/>
  <c r="AO87" i="47"/>
  <c r="AB87" i="47"/>
  <c r="F87" i="47"/>
  <c r="A87" i="47"/>
  <c r="BK86" i="47"/>
  <c r="AZ86" i="47"/>
  <c r="AO86" i="47"/>
  <c r="AB86" i="47"/>
  <c r="F86" i="47"/>
  <c r="A86" i="47"/>
  <c r="BK85" i="47"/>
  <c r="AZ85" i="47"/>
  <c r="AO85" i="47"/>
  <c r="AB85" i="47"/>
  <c r="F85" i="47"/>
  <c r="A85" i="47"/>
  <c r="BK84" i="47"/>
  <c r="AZ84" i="47"/>
  <c r="AO84" i="47"/>
  <c r="AB84" i="47"/>
  <c r="F84" i="47"/>
  <c r="A84" i="47"/>
  <c r="BK83" i="47"/>
  <c r="BV83" i="47" s="1"/>
  <c r="AB83" i="47"/>
  <c r="F83" i="47"/>
  <c r="A83" i="47"/>
  <c r="BK82" i="47"/>
  <c r="BV82" i="47" s="1"/>
  <c r="AB82" i="47"/>
  <c r="F82" i="47"/>
  <c r="A82" i="47"/>
  <c r="BK81" i="47"/>
  <c r="AZ81" i="47"/>
  <c r="AO81" i="47"/>
  <c r="AB81" i="47"/>
  <c r="F81" i="47"/>
  <c r="A81" i="47"/>
  <c r="BK80" i="47"/>
  <c r="AZ80" i="47"/>
  <c r="AO80" i="47"/>
  <c r="AB80" i="47"/>
  <c r="F80" i="47"/>
  <c r="A80" i="47"/>
  <c r="BK79" i="47"/>
  <c r="AO79" i="47"/>
  <c r="AB79" i="47"/>
  <c r="F79" i="47"/>
  <c r="A79" i="47"/>
  <c r="BK78" i="47"/>
  <c r="AZ78" i="47"/>
  <c r="AO78" i="47"/>
  <c r="AB78" i="47"/>
  <c r="F78" i="47"/>
  <c r="A78" i="47"/>
  <c r="BK77" i="47"/>
  <c r="AZ77" i="47"/>
  <c r="AO77" i="47"/>
  <c r="AB77" i="47"/>
  <c r="F77" i="47"/>
  <c r="A77" i="47"/>
  <c r="BK76" i="47"/>
  <c r="AZ76" i="47"/>
  <c r="AO76" i="47"/>
  <c r="AB76" i="47"/>
  <c r="F76" i="47"/>
  <c r="A76" i="47"/>
  <c r="BK75" i="47"/>
  <c r="AZ75" i="47"/>
  <c r="AO75" i="47"/>
  <c r="AB75" i="47"/>
  <c r="F75" i="47"/>
  <c r="A75" i="47"/>
  <c r="BK74" i="47"/>
  <c r="AZ74" i="47"/>
  <c r="AO74" i="47"/>
  <c r="AB74" i="47"/>
  <c r="F74" i="47"/>
  <c r="A74" i="47"/>
  <c r="BK73" i="47"/>
  <c r="AZ73" i="47"/>
  <c r="AO73" i="47"/>
  <c r="AB73" i="47"/>
  <c r="F73" i="47"/>
  <c r="A73" i="47"/>
  <c r="BK72" i="47"/>
  <c r="AZ72" i="47"/>
  <c r="AO72" i="47"/>
  <c r="F72" i="47"/>
  <c r="A72" i="47"/>
  <c r="BK71" i="47"/>
  <c r="AZ71" i="47"/>
  <c r="AO71" i="47"/>
  <c r="AB71" i="47"/>
  <c r="F71" i="47"/>
  <c r="A71" i="47"/>
  <c r="BK70" i="47"/>
  <c r="AZ70" i="47"/>
  <c r="AO70" i="47"/>
  <c r="AB70" i="47"/>
  <c r="F70" i="47"/>
  <c r="A70" i="47"/>
  <c r="BK69" i="47"/>
  <c r="AZ69" i="47"/>
  <c r="AO69" i="47"/>
  <c r="AB69" i="47"/>
  <c r="F69" i="47"/>
  <c r="A69" i="47"/>
  <c r="BK68" i="47"/>
  <c r="AZ68" i="47"/>
  <c r="AO68" i="47"/>
  <c r="AB68" i="47"/>
  <c r="F68" i="47"/>
  <c r="A68" i="47"/>
  <c r="BK67" i="47"/>
  <c r="AZ67" i="47"/>
  <c r="AO67" i="47"/>
  <c r="AB67" i="47"/>
  <c r="F67" i="47"/>
  <c r="A67" i="47"/>
  <c r="BK66" i="47"/>
  <c r="AZ66" i="47"/>
  <c r="AO66" i="47"/>
  <c r="AB66" i="47"/>
  <c r="F66" i="47"/>
  <c r="A66" i="47"/>
  <c r="BK65" i="47"/>
  <c r="AZ65" i="47"/>
  <c r="AO65" i="47"/>
  <c r="AB65" i="47"/>
  <c r="F65" i="47"/>
  <c r="A65" i="47"/>
  <c r="BK64" i="47"/>
  <c r="AZ64" i="47"/>
  <c r="AO64" i="47"/>
  <c r="AB64" i="47"/>
  <c r="F64" i="47"/>
  <c r="A64" i="47"/>
  <c r="BK63" i="47"/>
  <c r="AZ63" i="47"/>
  <c r="AO63" i="47"/>
  <c r="AB63" i="47"/>
  <c r="F63" i="47"/>
  <c r="A63" i="47"/>
  <c r="BK62" i="47"/>
  <c r="AZ62" i="47"/>
  <c r="AO62" i="47"/>
  <c r="AB62" i="47"/>
  <c r="F62" i="47"/>
  <c r="A62" i="47"/>
  <c r="BK61" i="47"/>
  <c r="AZ61" i="47"/>
  <c r="AO61" i="47"/>
  <c r="AB61" i="47"/>
  <c r="F61" i="47"/>
  <c r="A61" i="47"/>
  <c r="BK60" i="47"/>
  <c r="AZ60" i="47"/>
  <c r="AO60" i="47"/>
  <c r="AB60" i="47"/>
  <c r="F60" i="47"/>
  <c r="A60" i="47"/>
  <c r="BK59" i="47"/>
  <c r="AZ59" i="47"/>
  <c r="AO59" i="47"/>
  <c r="AB59" i="47"/>
  <c r="F59" i="47"/>
  <c r="A59" i="47"/>
  <c r="BK58" i="47"/>
  <c r="AZ58" i="47"/>
  <c r="AO58" i="47"/>
  <c r="AB58" i="47"/>
  <c r="F58" i="47"/>
  <c r="A58" i="47"/>
  <c r="BK57" i="47"/>
  <c r="AZ57" i="47"/>
  <c r="AO57" i="47"/>
  <c r="AB57" i="47"/>
  <c r="F57" i="47"/>
  <c r="A57" i="47"/>
  <c r="BK56" i="47"/>
  <c r="AZ56" i="47"/>
  <c r="AO56" i="47"/>
  <c r="AB56" i="47"/>
  <c r="F56" i="47"/>
  <c r="A56" i="47"/>
  <c r="BK55" i="47"/>
  <c r="AZ55" i="47"/>
  <c r="AO55" i="47"/>
  <c r="AB55" i="47"/>
  <c r="F55" i="47"/>
  <c r="A55" i="47"/>
  <c r="BK54" i="47"/>
  <c r="AZ54" i="47"/>
  <c r="AO54" i="47"/>
  <c r="AB54" i="47"/>
  <c r="F54" i="47"/>
  <c r="A54" i="47"/>
  <c r="BK53" i="47"/>
  <c r="AZ53" i="47"/>
  <c r="AO53" i="47"/>
  <c r="AB53" i="47"/>
  <c r="F53" i="47"/>
  <c r="A53" i="47"/>
  <c r="BK52" i="47"/>
  <c r="AZ52" i="47"/>
  <c r="AO52" i="47"/>
  <c r="AB52" i="47"/>
  <c r="F52" i="47"/>
  <c r="A52" i="47"/>
  <c r="BK51" i="47"/>
  <c r="AZ51" i="47"/>
  <c r="AO51" i="47"/>
  <c r="AB51" i="47"/>
  <c r="F51" i="47"/>
  <c r="A51" i="47"/>
  <c r="BK50" i="47"/>
  <c r="BV50" i="47" s="1"/>
  <c r="AB50" i="47"/>
  <c r="F50" i="47"/>
  <c r="A50" i="47"/>
  <c r="BK49" i="47"/>
  <c r="BV49" i="47" s="1"/>
  <c r="AB49" i="47"/>
  <c r="F49" i="47"/>
  <c r="A49" i="47"/>
  <c r="BK48" i="47"/>
  <c r="AZ48" i="47"/>
  <c r="AO48" i="47"/>
  <c r="AB48" i="47"/>
  <c r="F48" i="47"/>
  <c r="A48" i="47"/>
  <c r="BK47" i="47"/>
  <c r="AZ47" i="47"/>
  <c r="AO47" i="47"/>
  <c r="AB47" i="47"/>
  <c r="F47" i="47"/>
  <c r="A47" i="47"/>
  <c r="BK46" i="47"/>
  <c r="AZ46" i="47"/>
  <c r="AO46" i="47"/>
  <c r="AB46" i="47"/>
  <c r="F46" i="47"/>
  <c r="A46" i="47"/>
  <c r="BK45" i="47"/>
  <c r="AZ45" i="47"/>
  <c r="AO45" i="47"/>
  <c r="AB45" i="47"/>
  <c r="F45" i="47"/>
  <c r="A45" i="47"/>
  <c r="BK44" i="47"/>
  <c r="AZ44" i="47"/>
  <c r="AO44" i="47"/>
  <c r="AB44" i="47"/>
  <c r="F44" i="47"/>
  <c r="A44" i="47"/>
  <c r="BK43" i="47"/>
  <c r="AZ43" i="47"/>
  <c r="AO43" i="47"/>
  <c r="AB43" i="47"/>
  <c r="F43" i="47"/>
  <c r="A43" i="47"/>
  <c r="BK42" i="47"/>
  <c r="AZ42" i="47"/>
  <c r="AO42" i="47"/>
  <c r="AB42" i="47"/>
  <c r="F42" i="47"/>
  <c r="A42" i="47"/>
  <c r="BK41" i="47"/>
  <c r="AZ41" i="47"/>
  <c r="AO41" i="47"/>
  <c r="AB41" i="47"/>
  <c r="F41" i="47"/>
  <c r="A41" i="47"/>
  <c r="BK40" i="47"/>
  <c r="AZ40" i="47"/>
  <c r="AO40" i="47"/>
  <c r="AB40" i="47"/>
  <c r="F40" i="47"/>
  <c r="A40" i="47"/>
  <c r="BK39" i="47"/>
  <c r="AZ39" i="47"/>
  <c r="AO39" i="47"/>
  <c r="AB39" i="47"/>
  <c r="F39" i="47"/>
  <c r="A39" i="47"/>
  <c r="BK38" i="47"/>
  <c r="AZ38" i="47"/>
  <c r="AO38" i="47"/>
  <c r="AB38" i="47"/>
  <c r="F38" i="47"/>
  <c r="A38" i="47"/>
  <c r="BK37" i="47"/>
  <c r="AZ37" i="47"/>
  <c r="AO37" i="47"/>
  <c r="AB37" i="47"/>
  <c r="F37" i="47"/>
  <c r="A37" i="47"/>
  <c r="BK36" i="47"/>
  <c r="AZ36" i="47"/>
  <c r="AO36" i="47"/>
  <c r="AB36" i="47"/>
  <c r="F36" i="47"/>
  <c r="A36" i="47"/>
  <c r="BK35" i="47"/>
  <c r="AZ35" i="47"/>
  <c r="AO35" i="47"/>
  <c r="AB35" i="47"/>
  <c r="F35" i="47"/>
  <c r="A35" i="47"/>
  <c r="BK34" i="47"/>
  <c r="AZ34" i="47"/>
  <c r="AO34" i="47"/>
  <c r="AB34" i="47"/>
  <c r="F34" i="47"/>
  <c r="A34" i="47"/>
  <c r="BK33" i="47"/>
  <c r="AZ33" i="47"/>
  <c r="AO33" i="47"/>
  <c r="AB33" i="47"/>
  <c r="F33" i="47"/>
  <c r="A33" i="47"/>
  <c r="BK32" i="47"/>
  <c r="BV32" i="47" s="1"/>
  <c r="AB32" i="47"/>
  <c r="F32" i="47"/>
  <c r="A32" i="47"/>
  <c r="BK31" i="47"/>
  <c r="BV31" i="47" s="1"/>
  <c r="AB31" i="47"/>
  <c r="F31" i="47"/>
  <c r="A31" i="47"/>
  <c r="BK30" i="47"/>
  <c r="BV30" i="47" s="1"/>
  <c r="AB30" i="47"/>
  <c r="F30" i="47"/>
  <c r="A30" i="47"/>
  <c r="BK29" i="47"/>
  <c r="BV29" i="47" s="1"/>
  <c r="AB29" i="47"/>
  <c r="F29" i="47"/>
  <c r="A29" i="47"/>
  <c r="BK28" i="47"/>
  <c r="AZ28" i="47"/>
  <c r="AO28" i="47"/>
  <c r="AB28" i="47"/>
  <c r="F28" i="47"/>
  <c r="A28" i="47"/>
  <c r="BK27" i="47"/>
  <c r="AZ27" i="47"/>
  <c r="AO27" i="47"/>
  <c r="AB27" i="47"/>
  <c r="F27" i="47"/>
  <c r="A27" i="47"/>
  <c r="BK26" i="47"/>
  <c r="AZ26" i="47"/>
  <c r="AO26" i="47"/>
  <c r="AB26" i="47"/>
  <c r="F26" i="47"/>
  <c r="A26" i="47"/>
  <c r="BK25" i="47"/>
  <c r="AZ25" i="47"/>
  <c r="AO25" i="47"/>
  <c r="AB25" i="47"/>
  <c r="F25" i="47"/>
  <c r="A25" i="47"/>
  <c r="BK24" i="47"/>
  <c r="AZ24" i="47"/>
  <c r="AO24" i="47"/>
  <c r="AB24" i="47"/>
  <c r="F24" i="47"/>
  <c r="A24" i="47"/>
  <c r="BK23" i="47"/>
  <c r="AZ23" i="47"/>
  <c r="AO23" i="47"/>
  <c r="AB23" i="47"/>
  <c r="F23" i="47"/>
  <c r="A23" i="47"/>
  <c r="BK22" i="47"/>
  <c r="AZ22" i="47"/>
  <c r="AO22" i="47"/>
  <c r="AB22" i="47"/>
  <c r="F22" i="47"/>
  <c r="A22" i="47"/>
  <c r="BK21" i="47"/>
  <c r="AZ21" i="47"/>
  <c r="AO21" i="47"/>
  <c r="AB21" i="47"/>
  <c r="F21" i="47"/>
  <c r="A21" i="47"/>
  <c r="BK20" i="47"/>
  <c r="AZ20" i="47"/>
  <c r="AO20" i="47"/>
  <c r="AB20" i="47"/>
  <c r="F20" i="47"/>
  <c r="A20" i="47"/>
  <c r="BK19" i="47"/>
  <c r="AZ19" i="47"/>
  <c r="AO19" i="47"/>
  <c r="AB19" i="47"/>
  <c r="F19" i="47"/>
  <c r="A19" i="47"/>
  <c r="BK18" i="47"/>
  <c r="AZ18" i="47"/>
  <c r="AO18" i="47"/>
  <c r="AB18" i="47"/>
  <c r="F18" i="47"/>
  <c r="A18" i="47"/>
  <c r="BK17" i="47"/>
  <c r="AZ17" i="47"/>
  <c r="AO17" i="47"/>
  <c r="AB17" i="47"/>
  <c r="F17" i="47"/>
  <c r="A17" i="47"/>
  <c r="BK16" i="47"/>
  <c r="AZ16" i="47"/>
  <c r="AO16" i="47"/>
  <c r="AB16" i="47"/>
  <c r="F16" i="47"/>
  <c r="A16" i="47"/>
  <c r="BK15" i="47"/>
  <c r="AZ15" i="47"/>
  <c r="AO15" i="47"/>
  <c r="AB15" i="47"/>
  <c r="F15" i="47"/>
  <c r="A15" i="47"/>
  <c r="BK14" i="47"/>
  <c r="AZ14" i="47"/>
  <c r="AO14" i="47"/>
  <c r="AB14" i="47"/>
  <c r="F14" i="47"/>
  <c r="A14" i="47"/>
  <c r="BK13" i="47"/>
  <c r="AZ13" i="47"/>
  <c r="AO13" i="47"/>
  <c r="AB13" i="47"/>
  <c r="F13" i="47"/>
  <c r="A13" i="47"/>
  <c r="BK12" i="47"/>
  <c r="AZ12" i="47"/>
  <c r="AO12" i="47"/>
  <c r="AB12" i="47"/>
  <c r="F12" i="47"/>
  <c r="A12" i="47"/>
  <c r="BK11" i="47"/>
  <c r="AZ11" i="47"/>
  <c r="AO11" i="47"/>
  <c r="AB11" i="47"/>
  <c r="F11" i="47"/>
  <c r="A11" i="47"/>
  <c r="BK10" i="47"/>
  <c r="AZ10" i="47"/>
  <c r="AO10" i="47"/>
  <c r="AB10" i="47"/>
  <c r="F10" i="47"/>
  <c r="A10" i="47"/>
  <c r="BK9" i="47"/>
  <c r="AZ9" i="47"/>
  <c r="AO9" i="47"/>
  <c r="AB9" i="47"/>
  <c r="F9" i="47"/>
  <c r="A9" i="47"/>
  <c r="BK8" i="47"/>
  <c r="AZ8" i="47"/>
  <c r="AO8" i="47"/>
  <c r="AB8" i="47"/>
  <c r="F8" i="47"/>
  <c r="A8" i="47"/>
  <c r="BK7" i="47"/>
  <c r="AZ7" i="47"/>
  <c r="AO7" i="47"/>
  <c r="AB7" i="47"/>
  <c r="F7" i="47"/>
  <c r="A7" i="47"/>
  <c r="BK6" i="47"/>
  <c r="AZ6" i="47"/>
  <c r="AO6" i="47"/>
  <c r="AB6" i="47"/>
  <c r="F6" i="47"/>
  <c r="A6" i="47"/>
  <c r="BK5" i="47"/>
  <c r="AZ5" i="47"/>
  <c r="AO5" i="47"/>
  <c r="AB5" i="47"/>
  <c r="F5" i="47"/>
  <c r="A5" i="47"/>
  <c r="BK4" i="47"/>
  <c r="AZ4" i="47"/>
  <c r="AO4" i="47"/>
  <c r="AB4" i="47"/>
  <c r="F4" i="47"/>
  <c r="A4" i="47"/>
  <c r="D1619" i="46"/>
  <c r="BT1612" i="46"/>
  <c r="AO1596" i="46"/>
  <c r="BT1596" i="46" s="1"/>
  <c r="BT1597" i="46" s="1"/>
  <c r="BT1584" i="46"/>
  <c r="BT1586" i="46" s="1"/>
  <c r="AO1582" i="46"/>
  <c r="BT1582" i="46" s="1"/>
  <c r="D1574" i="46"/>
  <c r="BT1571" i="46"/>
  <c r="BT1567" i="46"/>
  <c r="D1559" i="46"/>
  <c r="BT1552" i="46"/>
  <c r="D1544" i="46"/>
  <c r="BT1541" i="46"/>
  <c r="BT1537" i="46"/>
  <c r="BT1530" i="46"/>
  <c r="BT1526" i="46"/>
  <c r="BT1522" i="46"/>
  <c r="BT1515" i="46"/>
  <c r="BT1511" i="46"/>
  <c r="BT1507" i="46"/>
  <c r="BT1500" i="46"/>
  <c r="BT1496" i="46"/>
  <c r="BT1492" i="46"/>
  <c r="BT1485" i="46"/>
  <c r="BT1481" i="46"/>
  <c r="BT1477" i="46"/>
  <c r="BT1470" i="46"/>
  <c r="BT1466" i="46"/>
  <c r="BT1462" i="46"/>
  <c r="BT1455" i="46"/>
  <c r="BT1451" i="46"/>
  <c r="BT1447" i="46"/>
  <c r="BT1440" i="46"/>
  <c r="BT1436" i="46"/>
  <c r="BT1432" i="46"/>
  <c r="D1424" i="46"/>
  <c r="BT1417" i="46"/>
  <c r="D1409" i="46"/>
  <c r="BT1402" i="46"/>
  <c r="D1394" i="46"/>
  <c r="BT1387" i="46"/>
  <c r="D1379" i="46"/>
  <c r="BT1372" i="46"/>
  <c r="D1364" i="46"/>
  <c r="BT1357" i="46"/>
  <c r="D1349" i="46"/>
  <c r="BT1344" i="46"/>
  <c r="BT1346" i="46" s="1"/>
  <c r="BT1342" i="46"/>
  <c r="D1334" i="46"/>
  <c r="BT1327" i="46"/>
  <c r="D1319" i="46"/>
  <c r="BT1312" i="46"/>
  <c r="BT1305" i="46"/>
  <c r="BT1301" i="46"/>
  <c r="BT1297" i="46"/>
  <c r="BT1290" i="46"/>
  <c r="BT1286" i="46"/>
  <c r="BT1282" i="46"/>
  <c r="BT1275" i="46"/>
  <c r="BT1271" i="46"/>
  <c r="BT1267" i="46"/>
  <c r="D1259" i="46"/>
  <c r="BT1252" i="46"/>
  <c r="D1244" i="46"/>
  <c r="BT1237" i="46"/>
  <c r="D1229" i="46"/>
  <c r="BT1222" i="46"/>
  <c r="AS1207" i="46" s="1"/>
  <c r="BT1207" i="46" s="1"/>
  <c r="AR1214" i="46"/>
  <c r="BT1200" i="46"/>
  <c r="BT1196" i="46"/>
  <c r="BT1192" i="46"/>
  <c r="BT1201" i="46" s="1"/>
  <c r="BT1185" i="46"/>
  <c r="BT1181" i="46"/>
  <c r="BT1177" i="46"/>
  <c r="D1169" i="46"/>
  <c r="BT1162" i="46"/>
  <c r="D1154" i="46"/>
  <c r="BT1147" i="46"/>
  <c r="D1139" i="46"/>
  <c r="BT1136" i="46"/>
  <c r="BT1132" i="46"/>
  <c r="D1124" i="46"/>
  <c r="BT1117" i="46"/>
  <c r="D1109" i="46"/>
  <c r="BT1102" i="46"/>
  <c r="D1094" i="46"/>
  <c r="BT1087" i="46"/>
  <c r="D1079" i="46"/>
  <c r="BT1072" i="46"/>
  <c r="D1064" i="46"/>
  <c r="BT1057" i="46"/>
  <c r="D1049" i="46"/>
  <c r="BT1042" i="46"/>
  <c r="D1034" i="46"/>
  <c r="BT1027" i="46"/>
  <c r="D1019" i="46"/>
  <c r="BT1012" i="46"/>
  <c r="D1004" i="46"/>
  <c r="BT997" i="46"/>
  <c r="D989" i="46"/>
  <c r="BT982" i="46"/>
  <c r="D974" i="46"/>
  <c r="BT967" i="46"/>
  <c r="D959" i="46"/>
  <c r="BT952" i="46"/>
  <c r="D944" i="46"/>
  <c r="BT937" i="46"/>
  <c r="D929" i="46"/>
  <c r="BT922" i="46"/>
  <c r="D914" i="46"/>
  <c r="BT907" i="46"/>
  <c r="D899" i="46"/>
  <c r="BT892" i="46"/>
  <c r="D884" i="46"/>
  <c r="BT877" i="46"/>
  <c r="D869" i="46"/>
  <c r="BT862" i="46"/>
  <c r="D854" i="46"/>
  <c r="BT847" i="46"/>
  <c r="D839" i="46"/>
  <c r="BT832" i="46"/>
  <c r="D824" i="46"/>
  <c r="BT817" i="46"/>
  <c r="D809" i="46"/>
  <c r="BT802" i="46"/>
  <c r="D794" i="46"/>
  <c r="BT787" i="46"/>
  <c r="D779" i="46"/>
  <c r="BT772" i="46"/>
  <c r="D764" i="46"/>
  <c r="BT757" i="46"/>
  <c r="D749" i="46"/>
  <c r="BT742" i="46"/>
  <c r="D734" i="46"/>
  <c r="BT727" i="46"/>
  <c r="D719" i="46"/>
  <c r="AE712" i="46"/>
  <c r="BT712" i="46" s="1"/>
  <c r="BT705" i="46"/>
  <c r="BT701" i="46"/>
  <c r="BT697" i="46"/>
  <c r="BT690" i="46"/>
  <c r="BT686" i="46"/>
  <c r="BT682" i="46"/>
  <c r="D674" i="46"/>
  <c r="H667" i="46"/>
  <c r="BT667" i="46" s="1"/>
  <c r="D659" i="46"/>
  <c r="H652" i="46"/>
  <c r="BT652" i="46" s="1"/>
  <c r="D644" i="46"/>
  <c r="H637" i="46"/>
  <c r="BT637" i="46" s="1"/>
  <c r="D629" i="46"/>
  <c r="H622" i="46"/>
  <c r="BT622" i="46" s="1"/>
  <c r="D614" i="46"/>
  <c r="H607" i="46"/>
  <c r="BT607" i="46" s="1"/>
  <c r="D599" i="46"/>
  <c r="BT592" i="46"/>
  <c r="D584" i="46"/>
  <c r="BT577" i="46"/>
  <c r="D569" i="46"/>
  <c r="BT562" i="46"/>
  <c r="D554" i="46"/>
  <c r="BT547" i="46"/>
  <c r="D539" i="46"/>
  <c r="BT532" i="46"/>
  <c r="D524" i="46"/>
  <c r="BT517" i="46"/>
  <c r="D509" i="46"/>
  <c r="BT502" i="46"/>
  <c r="D494" i="46"/>
  <c r="BT487" i="46"/>
  <c r="D479" i="46"/>
  <c r="BT472" i="46"/>
  <c r="D464" i="46"/>
  <c r="BT457" i="46"/>
  <c r="D449" i="46"/>
  <c r="BT442" i="46"/>
  <c r="BT435" i="46"/>
  <c r="BT431" i="46"/>
  <c r="BT427" i="46"/>
  <c r="BT420" i="46"/>
  <c r="BT416" i="46"/>
  <c r="BT412" i="46"/>
  <c r="BT405" i="46"/>
  <c r="BT401" i="46"/>
  <c r="BT397" i="46"/>
  <c r="BT390" i="46"/>
  <c r="BT386" i="46"/>
  <c r="BT382" i="46"/>
  <c r="D374" i="46"/>
  <c r="AE367" i="46"/>
  <c r="BT367" i="46" s="1"/>
  <c r="D359" i="46"/>
  <c r="AE352" i="46"/>
  <c r="BT352" i="46" s="1"/>
  <c r="D344" i="46"/>
  <c r="AE337" i="46"/>
  <c r="BT337" i="46" s="1"/>
  <c r="D329" i="46"/>
  <c r="AE322" i="46"/>
  <c r="BT322" i="46" s="1"/>
  <c r="D314" i="46"/>
  <c r="BT307" i="46"/>
  <c r="D299" i="46"/>
  <c r="CK294" i="46"/>
  <c r="BT292" i="46"/>
  <c r="D284" i="46"/>
  <c r="BT277" i="46"/>
  <c r="D269" i="46"/>
  <c r="BT262" i="46"/>
  <c r="H262" i="46"/>
  <c r="D254" i="46"/>
  <c r="H247" i="46"/>
  <c r="BT247" i="46" s="1"/>
  <c r="D239" i="46"/>
  <c r="H232" i="46"/>
  <c r="BT232" i="46" s="1"/>
  <c r="D224" i="46"/>
  <c r="H217" i="46"/>
  <c r="BT217" i="46" s="1"/>
  <c r="D209" i="46"/>
  <c r="H202" i="46"/>
  <c r="BT202" i="46" s="1"/>
  <c r="D194" i="46"/>
  <c r="H187" i="46"/>
  <c r="BT187" i="46" s="1"/>
  <c r="D179" i="46"/>
  <c r="H172" i="46"/>
  <c r="BT172" i="46" s="1"/>
  <c r="D164" i="46"/>
  <c r="H157" i="46"/>
  <c r="BT157" i="46" s="1"/>
  <c r="D149" i="46"/>
  <c r="BT142" i="46"/>
  <c r="D134" i="46"/>
  <c r="BT127" i="46"/>
  <c r="D119" i="46"/>
  <c r="BT112" i="46"/>
  <c r="D104" i="46"/>
  <c r="BT97" i="46"/>
  <c r="D89" i="46"/>
  <c r="BT82" i="46"/>
  <c r="D74" i="46"/>
  <c r="BT67" i="46"/>
  <c r="D59" i="46"/>
  <c r="BT52" i="46"/>
  <c r="D44" i="46"/>
  <c r="BT37" i="46"/>
  <c r="D29" i="46"/>
  <c r="BT22" i="46"/>
  <c r="G18" i="46"/>
  <c r="G33" i="46" s="1"/>
  <c r="G48" i="46" s="1"/>
  <c r="G63" i="46" s="1"/>
  <c r="G78" i="46" s="1"/>
  <c r="G93" i="46" s="1"/>
  <c r="G108" i="46" s="1"/>
  <c r="G123" i="46" s="1"/>
  <c r="G138" i="46" s="1"/>
  <c r="G153" i="46" s="1"/>
  <c r="G168" i="46" s="1"/>
  <c r="G183" i="46" s="1"/>
  <c r="G198" i="46" s="1"/>
  <c r="G213" i="46" s="1"/>
  <c r="G228" i="46" s="1"/>
  <c r="G243" i="46" s="1"/>
  <c r="G258" i="46" s="1"/>
  <c r="G273" i="46" s="1"/>
  <c r="G288" i="46" s="1"/>
  <c r="G303" i="46" s="1"/>
  <c r="G318" i="46" s="1"/>
  <c r="G333" i="46" s="1"/>
  <c r="G348" i="46" s="1"/>
  <c r="G363" i="46" s="1"/>
  <c r="G378" i="46" s="1"/>
  <c r="G393" i="46" s="1"/>
  <c r="G408" i="46" s="1"/>
  <c r="G423" i="46" s="1"/>
  <c r="G438" i="46" s="1"/>
  <c r="G453" i="46" s="1"/>
  <c r="G468" i="46" s="1"/>
  <c r="G483" i="46" s="1"/>
  <c r="G498" i="46" s="1"/>
  <c r="G513" i="46" s="1"/>
  <c r="G528" i="46" s="1"/>
  <c r="G543" i="46" s="1"/>
  <c r="G558" i="46" s="1"/>
  <c r="G573" i="46" s="1"/>
  <c r="G588" i="46" s="1"/>
  <c r="G603" i="46" s="1"/>
  <c r="G618" i="46" s="1"/>
  <c r="G633" i="46" s="1"/>
  <c r="G648" i="46" s="1"/>
  <c r="G663" i="46" s="1"/>
  <c r="G678" i="46" s="1"/>
  <c r="G693" i="46" s="1"/>
  <c r="G708" i="46" s="1"/>
  <c r="G723" i="46" s="1"/>
  <c r="G738" i="46" s="1"/>
  <c r="G753" i="46" s="1"/>
  <c r="G768" i="46" s="1"/>
  <c r="G783" i="46" s="1"/>
  <c r="G798" i="46" s="1"/>
  <c r="G813" i="46" s="1"/>
  <c r="G828" i="46" s="1"/>
  <c r="G843" i="46" s="1"/>
  <c r="G858" i="46" s="1"/>
  <c r="G873" i="46" s="1"/>
  <c r="G888" i="46" s="1"/>
  <c r="G903" i="46" s="1"/>
  <c r="G918" i="46" s="1"/>
  <c r="G933" i="46" s="1"/>
  <c r="G948" i="46" s="1"/>
  <c r="G963" i="46" s="1"/>
  <c r="G978" i="46" s="1"/>
  <c r="G993" i="46" s="1"/>
  <c r="G1008" i="46" s="1"/>
  <c r="G1023" i="46" s="1"/>
  <c r="G1038" i="46" s="1"/>
  <c r="G1053" i="46" s="1"/>
  <c r="G1068" i="46" s="1"/>
  <c r="G1083" i="46" s="1"/>
  <c r="G1098" i="46" s="1"/>
  <c r="G1113" i="46" s="1"/>
  <c r="G1128" i="46" s="1"/>
  <c r="G1143" i="46" s="1"/>
  <c r="G1158" i="46" s="1"/>
  <c r="G1173" i="46" s="1"/>
  <c r="G1188" i="46" s="1"/>
  <c r="G1203" i="46" s="1"/>
  <c r="G1218" i="46" s="1"/>
  <c r="G1233" i="46" s="1"/>
  <c r="G1248" i="46" s="1"/>
  <c r="G1263" i="46" s="1"/>
  <c r="G1278" i="46" s="1"/>
  <c r="G1293" i="46" s="1"/>
  <c r="G1308" i="46" s="1"/>
  <c r="G1323" i="46" s="1"/>
  <c r="G1338" i="46" s="1"/>
  <c r="G1353" i="46" s="1"/>
  <c r="G1368" i="46" s="1"/>
  <c r="G1383" i="46" s="1"/>
  <c r="G1398" i="46" s="1"/>
  <c r="G1413" i="46" s="1"/>
  <c r="G1428" i="46" s="1"/>
  <c r="G1443" i="46" s="1"/>
  <c r="G1458" i="46" s="1"/>
  <c r="G1473" i="46" s="1"/>
  <c r="G1488" i="46" s="1"/>
  <c r="G1503" i="46" s="1"/>
  <c r="G1518" i="46" s="1"/>
  <c r="G1533" i="46" s="1"/>
  <c r="G1548" i="46" s="1"/>
  <c r="G1563" i="46" s="1"/>
  <c r="G1578" i="46" s="1"/>
  <c r="G1593" i="46" s="1"/>
  <c r="G1608" i="46" s="1"/>
  <c r="D14" i="46"/>
  <c r="BT7" i="46"/>
  <c r="CP3" i="46"/>
  <c r="CO3" i="46"/>
  <c r="AS88" i="46" s="1"/>
  <c r="BT88" i="46" s="1"/>
  <c r="AS89" i="46" s="1"/>
  <c r="BT89" i="46" s="1"/>
  <c r="CN3" i="46"/>
  <c r="CM3" i="46"/>
  <c r="CL3" i="46"/>
  <c r="CK3" i="46"/>
  <c r="V129" i="46" s="1"/>
  <c r="BT129" i="46" s="1"/>
  <c r="BT131" i="46" s="1"/>
  <c r="CJ3" i="46"/>
  <c r="AS492" i="45"/>
  <c r="AK492" i="45"/>
  <c r="AC492" i="45"/>
  <c r="AS491" i="45"/>
  <c r="AK491" i="45"/>
  <c r="AC491" i="45"/>
  <c r="AS490" i="45"/>
  <c r="AK490" i="45"/>
  <c r="AC490" i="45"/>
  <c r="AS489" i="45"/>
  <c r="AK489" i="45"/>
  <c r="AC489" i="45"/>
  <c r="AS488" i="45"/>
  <c r="AK488" i="45"/>
  <c r="AC488" i="45"/>
  <c r="AS487" i="45"/>
  <c r="AK487" i="45"/>
  <c r="AC487" i="45"/>
  <c r="AS486" i="45"/>
  <c r="AK486" i="45"/>
  <c r="AC486" i="45"/>
  <c r="AS485" i="45"/>
  <c r="AK485" i="45"/>
  <c r="AC485" i="45"/>
  <c r="AS484" i="45"/>
  <c r="AK484" i="45"/>
  <c r="AC484" i="45"/>
  <c r="AS483" i="45"/>
  <c r="AK483" i="45"/>
  <c r="AC483" i="45"/>
  <c r="BU476" i="45"/>
  <c r="BA492" i="45" s="1"/>
  <c r="BU475" i="45"/>
  <c r="BA489" i="45" s="1"/>
  <c r="BU474" i="45"/>
  <c r="BA488" i="45" s="1"/>
  <c r="BU473" i="45"/>
  <c r="BA487" i="45" s="1"/>
  <c r="BU472" i="45"/>
  <c r="BA491" i="45" s="1"/>
  <c r="BU471" i="45"/>
  <c r="BA485" i="45" s="1"/>
  <c r="BU470" i="45"/>
  <c r="BA484" i="45" s="1"/>
  <c r="BU469" i="45"/>
  <c r="BA490" i="45" s="1"/>
  <c r="BU468" i="45"/>
  <c r="BA483" i="45" s="1"/>
  <c r="AS459" i="45"/>
  <c r="AK459" i="45"/>
  <c r="AC459" i="45"/>
  <c r="AS458" i="45"/>
  <c r="AK458" i="45"/>
  <c r="AC458" i="45"/>
  <c r="AS457" i="45"/>
  <c r="AK457" i="45"/>
  <c r="AC457" i="45"/>
  <c r="AS456" i="45"/>
  <c r="AK456" i="45"/>
  <c r="AC456" i="45"/>
  <c r="AS455" i="45"/>
  <c r="AK455" i="45"/>
  <c r="AC455" i="45"/>
  <c r="AS454" i="45"/>
  <c r="AK454" i="45"/>
  <c r="AC454" i="45"/>
  <c r="AS453" i="45"/>
  <c r="AK453" i="45"/>
  <c r="AC453" i="45"/>
  <c r="AS452" i="45"/>
  <c r="AK452" i="45"/>
  <c r="AC452" i="45"/>
  <c r="AS451" i="45"/>
  <c r="AK451" i="45"/>
  <c r="AC451" i="45"/>
  <c r="AS450" i="45"/>
  <c r="AK450" i="45"/>
  <c r="AC450" i="45"/>
  <c r="BU443" i="45"/>
  <c r="BA459" i="45" s="1"/>
  <c r="BU442" i="45"/>
  <c r="BA456" i="45" s="1"/>
  <c r="BU441" i="45"/>
  <c r="BA455" i="45" s="1"/>
  <c r="BU440" i="45"/>
  <c r="BA454" i="45" s="1"/>
  <c r="BU439" i="45"/>
  <c r="BA453" i="45" s="1"/>
  <c r="BU438" i="45"/>
  <c r="BA452" i="45" s="1"/>
  <c r="BU437" i="45"/>
  <c r="BA451" i="45" s="1"/>
  <c r="BU436" i="45"/>
  <c r="BA457" i="45" s="1"/>
  <c r="BU435" i="45"/>
  <c r="BA450" i="45" s="1"/>
  <c r="AS425" i="45"/>
  <c r="AK425" i="45"/>
  <c r="AC425" i="45"/>
  <c r="AS424" i="45"/>
  <c r="AK424" i="45"/>
  <c r="AC424" i="45"/>
  <c r="AS423" i="45"/>
  <c r="AK423" i="45"/>
  <c r="AC423" i="45"/>
  <c r="AS422" i="45"/>
  <c r="AK422" i="45"/>
  <c r="AC422" i="45"/>
  <c r="AS421" i="45"/>
  <c r="AK421" i="45"/>
  <c r="AC421" i="45"/>
  <c r="AS420" i="45"/>
  <c r="AK420" i="45"/>
  <c r="AC420" i="45"/>
  <c r="AS419" i="45"/>
  <c r="AK419" i="45"/>
  <c r="AC419" i="45"/>
  <c r="AS418" i="45"/>
  <c r="AK418" i="45"/>
  <c r="AC418" i="45"/>
  <c r="AS417" i="45"/>
  <c r="AK417" i="45"/>
  <c r="AC417" i="45"/>
  <c r="AS416" i="45"/>
  <c r="AK416" i="45"/>
  <c r="AC416" i="45"/>
  <c r="AS415" i="45"/>
  <c r="AK415" i="45"/>
  <c r="AC415" i="45"/>
  <c r="BU409" i="45"/>
  <c r="BA425" i="45" s="1"/>
  <c r="BU408" i="45"/>
  <c r="BA424" i="45" s="1"/>
  <c r="BU407" i="45"/>
  <c r="BA421" i="45" s="1"/>
  <c r="BU406" i="45"/>
  <c r="BA420" i="45" s="1"/>
  <c r="BU405" i="45"/>
  <c r="BA419" i="45" s="1"/>
  <c r="BU404" i="45"/>
  <c r="BU403" i="45"/>
  <c r="BA417" i="45" s="1"/>
  <c r="BU402" i="45"/>
  <c r="BA416" i="45" s="1"/>
  <c r="BU401" i="45"/>
  <c r="BA422" i="45" s="1"/>
  <c r="BU400" i="45"/>
  <c r="BA415" i="45" s="1"/>
  <c r="R375" i="45"/>
  <c r="AF375" i="45" s="1"/>
  <c r="Y355" i="45"/>
  <c r="AQ355" i="45" s="1"/>
  <c r="Y354" i="45"/>
  <c r="BQ354" i="45" s="1"/>
  <c r="Y352" i="45"/>
  <c r="Y351" i="45"/>
  <c r="Y350" i="45"/>
  <c r="Y348" i="45"/>
  <c r="BE336" i="45"/>
  <c r="BS336" i="45" s="1"/>
  <c r="BE335" i="45"/>
  <c r="BS335" i="45" s="1"/>
  <c r="AS328" i="45"/>
  <c r="AK328" i="45"/>
  <c r="AC328" i="45"/>
  <c r="AH320" i="45"/>
  <c r="BA328" i="45" s="1"/>
  <c r="L320" i="45"/>
  <c r="AS315" i="45"/>
  <c r="AK315" i="45"/>
  <c r="AC315" i="45"/>
  <c r="AH307" i="45"/>
  <c r="BA315" i="45" s="1"/>
  <c r="L307" i="45"/>
  <c r="AS302" i="45"/>
  <c r="AK302" i="45"/>
  <c r="AC302" i="45"/>
  <c r="AI296" i="45"/>
  <c r="BA302" i="45" s="1"/>
  <c r="L296" i="45"/>
  <c r="BU282" i="45"/>
  <c r="AG282" i="45" s="1"/>
  <c r="BU281" i="45"/>
  <c r="AG281" i="45" s="1"/>
  <c r="BK281" i="45" s="1"/>
  <c r="BU280" i="45"/>
  <c r="AG280" i="45" s="1"/>
  <c r="BK280" i="45" s="1"/>
  <c r="BA279" i="45"/>
  <c r="AQ279" i="45"/>
  <c r="AQ285" i="45" s="1"/>
  <c r="AG279" i="45"/>
  <c r="BA278" i="45"/>
  <c r="AQ278" i="45"/>
  <c r="AQ284" i="45" s="1"/>
  <c r="AG278" i="45"/>
  <c r="BA277" i="45"/>
  <c r="AQ277" i="45"/>
  <c r="AQ283" i="45" s="1"/>
  <c r="AG277" i="45"/>
  <c r="BA276" i="45"/>
  <c r="BA275" i="45"/>
  <c r="BK275" i="45" s="1"/>
  <c r="BA274" i="45"/>
  <c r="BK274" i="45" s="1"/>
  <c r="R269" i="45"/>
  <c r="AF269" i="45" s="1"/>
  <c r="Y250" i="45"/>
  <c r="Y249" i="45"/>
  <c r="AQ249" i="45" s="1"/>
  <c r="Y247" i="45"/>
  <c r="Y246" i="45"/>
  <c r="Y245" i="45"/>
  <c r="AQ245" i="45" s="1"/>
  <c r="Y243" i="45"/>
  <c r="AQ243" i="45" s="1"/>
  <c r="AQ244" i="45" s="1"/>
  <c r="AS233" i="45"/>
  <c r="AK233" i="45"/>
  <c r="AC233" i="45"/>
  <c r="AO227" i="45"/>
  <c r="AV226" i="45"/>
  <c r="BA233" i="45" s="1"/>
  <c r="AO226" i="45"/>
  <c r="L226" i="45"/>
  <c r="AS215" i="45"/>
  <c r="AK215" i="45"/>
  <c r="AC215" i="45"/>
  <c r="L209" i="45"/>
  <c r="AS203" i="45"/>
  <c r="AS208" i="45" s="1"/>
  <c r="BA215" i="45" s="1"/>
  <c r="AS194" i="45"/>
  <c r="AK194" i="45"/>
  <c r="AC194" i="45"/>
  <c r="AS193" i="45"/>
  <c r="AK193" i="45"/>
  <c r="AC193" i="45"/>
  <c r="AS192" i="45"/>
  <c r="AK192" i="45"/>
  <c r="AC192" i="45"/>
  <c r="AS191" i="45"/>
  <c r="AK191" i="45"/>
  <c r="AC191" i="45"/>
  <c r="AS190" i="45"/>
  <c r="AK190" i="45"/>
  <c r="AC190" i="45"/>
  <c r="AS189" i="45"/>
  <c r="AK189" i="45"/>
  <c r="AC189" i="45"/>
  <c r="AS188" i="45"/>
  <c r="AK188" i="45"/>
  <c r="AC188" i="45"/>
  <c r="AS187" i="45"/>
  <c r="AK187" i="45"/>
  <c r="AC187" i="45"/>
  <c r="AS186" i="45"/>
  <c r="AK186" i="45"/>
  <c r="AC186" i="45"/>
  <c r="BU180" i="45"/>
  <c r="BA192" i="45" s="1"/>
  <c r="BU179" i="45"/>
  <c r="BA191" i="45" s="1"/>
  <c r="BU178" i="45"/>
  <c r="BA190" i="45" s="1"/>
  <c r="BU177" i="45"/>
  <c r="BA194" i="45" s="1"/>
  <c r="BU176" i="45"/>
  <c r="BA188" i="45" s="1"/>
  <c r="BU175" i="45"/>
  <c r="BA187" i="45" s="1"/>
  <c r="BU174" i="45"/>
  <c r="BA193" i="45" s="1"/>
  <c r="BU173" i="45"/>
  <c r="BA186" i="45" s="1"/>
  <c r="BU153" i="45"/>
  <c r="AG154" i="45" s="1"/>
  <c r="BK154" i="45" s="1"/>
  <c r="BA152" i="45"/>
  <c r="AQ152" i="45"/>
  <c r="AQ158" i="45" s="1"/>
  <c r="AC146" i="45" s="1"/>
  <c r="BI146" i="45" s="1"/>
  <c r="AG152" i="45"/>
  <c r="BA151" i="45"/>
  <c r="BK151" i="45" s="1"/>
  <c r="AS131" i="45"/>
  <c r="AK131" i="45"/>
  <c r="AC131" i="45"/>
  <c r="AS130" i="45"/>
  <c r="AK130" i="45"/>
  <c r="AC130" i="45"/>
  <c r="AS129" i="45"/>
  <c r="AK129" i="45"/>
  <c r="AC129" i="45"/>
  <c r="AS128" i="45"/>
  <c r="AK128" i="45"/>
  <c r="AC128" i="45"/>
  <c r="AS127" i="45"/>
  <c r="AK127" i="45"/>
  <c r="AC127" i="45"/>
  <c r="AS126" i="45"/>
  <c r="AK126" i="45"/>
  <c r="AC126" i="45"/>
  <c r="AS125" i="45"/>
  <c r="AK125" i="45"/>
  <c r="AC125" i="45"/>
  <c r="AS124" i="45"/>
  <c r="AK124" i="45"/>
  <c r="AC124" i="45"/>
  <c r="BA123" i="45"/>
  <c r="AS123" i="45"/>
  <c r="AK123" i="45"/>
  <c r="AC123" i="45"/>
  <c r="BU117" i="45"/>
  <c r="BA129" i="45" s="1"/>
  <c r="BU116" i="45"/>
  <c r="BA128" i="45" s="1"/>
  <c r="BU115" i="45"/>
  <c r="BA127" i="45" s="1"/>
  <c r="BU114" i="45"/>
  <c r="BA126" i="45" s="1"/>
  <c r="BU113" i="45"/>
  <c r="BA125" i="45" s="1"/>
  <c r="BU112" i="45"/>
  <c r="BA124" i="45" s="1"/>
  <c r="BU111" i="45"/>
  <c r="BA130" i="45" s="1"/>
  <c r="BU110" i="45"/>
  <c r="AS100" i="45"/>
  <c r="AK100" i="45"/>
  <c r="AC100" i="45"/>
  <c r="AS99" i="45"/>
  <c r="AK99" i="45"/>
  <c r="AC99" i="45"/>
  <c r="AS98" i="45"/>
  <c r="AK98" i="45"/>
  <c r="AC98" i="45"/>
  <c r="AS97" i="45"/>
  <c r="AK97" i="45"/>
  <c r="AC97" i="45"/>
  <c r="AS96" i="45"/>
  <c r="AK96" i="45"/>
  <c r="AC96" i="45"/>
  <c r="AS95" i="45"/>
  <c r="AK95" i="45"/>
  <c r="AC95" i="45"/>
  <c r="AS94" i="45"/>
  <c r="AK94" i="45"/>
  <c r="AC94" i="45"/>
  <c r="AS93" i="45"/>
  <c r="AK93" i="45"/>
  <c r="AC93" i="45"/>
  <c r="AS92" i="45"/>
  <c r="AK92" i="45"/>
  <c r="AC92" i="45"/>
  <c r="BU86" i="45"/>
  <c r="BA98" i="45" s="1"/>
  <c r="BU85" i="45"/>
  <c r="BA97" i="45" s="1"/>
  <c r="BU84" i="45"/>
  <c r="BA96" i="45" s="1"/>
  <c r="BU83" i="45"/>
  <c r="BA100" i="45" s="1"/>
  <c r="BU82" i="45"/>
  <c r="BA94" i="45" s="1"/>
  <c r="BU81" i="45"/>
  <c r="BA93" i="45" s="1"/>
  <c r="BU80" i="45"/>
  <c r="BA99" i="45" s="1"/>
  <c r="BU79" i="45"/>
  <c r="BA92" i="45" s="1"/>
  <c r="AS67" i="45"/>
  <c r="AK67" i="45"/>
  <c r="AC67" i="45"/>
  <c r="AS66" i="45"/>
  <c r="AK66" i="45"/>
  <c r="AC66" i="45"/>
  <c r="AS65" i="45"/>
  <c r="AK65" i="45"/>
  <c r="AC65" i="45"/>
  <c r="AS64" i="45"/>
  <c r="AK64" i="45"/>
  <c r="AC64" i="45"/>
  <c r="AS63" i="45"/>
  <c r="AK63" i="45"/>
  <c r="AC63" i="45"/>
  <c r="AS62" i="45"/>
  <c r="AK62" i="45"/>
  <c r="AC62" i="45"/>
  <c r="AS61" i="45"/>
  <c r="AK61" i="45"/>
  <c r="AC61" i="45"/>
  <c r="AS60" i="45"/>
  <c r="AK60" i="45"/>
  <c r="AC60" i="45"/>
  <c r="AS59" i="45"/>
  <c r="AK59" i="45"/>
  <c r="AC59" i="45"/>
  <c r="BU53" i="45"/>
  <c r="BA65" i="45" s="1"/>
  <c r="BU52" i="45"/>
  <c r="BA64" i="45" s="1"/>
  <c r="BU51" i="45"/>
  <c r="BA63" i="45" s="1"/>
  <c r="BU50" i="45"/>
  <c r="BA67" i="45" s="1"/>
  <c r="BU49" i="45"/>
  <c r="BA61" i="45" s="1"/>
  <c r="BU48" i="45"/>
  <c r="BA60" i="45" s="1"/>
  <c r="BU47" i="45"/>
  <c r="BA66" i="45" s="1"/>
  <c r="BU46" i="45"/>
  <c r="BA59" i="45" s="1"/>
  <c r="Y33" i="45"/>
  <c r="BL33" i="45" s="1"/>
  <c r="I33" i="45"/>
  <c r="Y32" i="45"/>
  <c r="AL32" i="45" s="1"/>
  <c r="Y30" i="45"/>
  <c r="AY30" i="45" s="1"/>
  <c r="Y29" i="45"/>
  <c r="BL29" i="45" s="1"/>
  <c r="Y28" i="45"/>
  <c r="Y26" i="45"/>
  <c r="AL26" i="45" s="1"/>
  <c r="AL27" i="45" s="1"/>
  <c r="BE11" i="45"/>
  <c r="BE10" i="45"/>
  <c r="BE9" i="45"/>
  <c r="BE8" i="45"/>
  <c r="CP7" i="45"/>
  <c r="AV11" i="45" s="1"/>
  <c r="CO7" i="45"/>
  <c r="AV10" i="45" s="1"/>
  <c r="CN7" i="45"/>
  <c r="AV9" i="45" s="1"/>
  <c r="CM7" i="45"/>
  <c r="AV8" i="45" s="1"/>
  <c r="N161" i="44"/>
  <c r="N160" i="44"/>
  <c r="N159" i="44"/>
  <c r="N158" i="44"/>
  <c r="N156" i="44"/>
  <c r="N155" i="44"/>
  <c r="N154" i="44"/>
  <c r="N153" i="44"/>
  <c r="P152" i="44"/>
  <c r="N151" i="44"/>
  <c r="P150" i="44"/>
  <c r="N150" i="44"/>
  <c r="N149" i="44"/>
  <c r="N148" i="44"/>
  <c r="N147" i="44"/>
  <c r="H146" i="44"/>
  <c r="N146" i="44" s="1"/>
  <c r="L145" i="44"/>
  <c r="J145" i="44"/>
  <c r="H145" i="44"/>
  <c r="N144" i="44"/>
  <c r="J143" i="44"/>
  <c r="H143" i="44"/>
  <c r="N142" i="44"/>
  <c r="H141" i="44"/>
  <c r="N141" i="44" s="1"/>
  <c r="N140" i="44"/>
  <c r="N139" i="44"/>
  <c r="N138" i="44"/>
  <c r="N137" i="44"/>
  <c r="N136" i="44"/>
  <c r="N135" i="44"/>
  <c r="N134" i="44"/>
  <c r="N133" i="44"/>
  <c r="N132" i="44"/>
  <c r="N131" i="44"/>
  <c r="N130" i="44"/>
  <c r="N129" i="44"/>
  <c r="P128" i="44"/>
  <c r="Q128" i="44" s="1"/>
  <c r="N128" i="44"/>
  <c r="J127" i="44"/>
  <c r="H127" i="44"/>
  <c r="J126" i="44"/>
  <c r="H126" i="44"/>
  <c r="J125" i="44"/>
  <c r="H125" i="44"/>
  <c r="N125" i="44" s="1"/>
  <c r="R124" i="44"/>
  <c r="T124" i="44" s="1"/>
  <c r="N124" i="44"/>
  <c r="S123" i="44"/>
  <c r="R123" i="44"/>
  <c r="N123" i="44"/>
  <c r="R122" i="44"/>
  <c r="N122" i="44"/>
  <c r="N121" i="44"/>
  <c r="J120" i="44"/>
  <c r="H120" i="44"/>
  <c r="J119" i="44"/>
  <c r="H119" i="44"/>
  <c r="N119" i="44" s="1"/>
  <c r="N118" i="44"/>
  <c r="N117" i="44"/>
  <c r="J116" i="44"/>
  <c r="H116" i="44"/>
  <c r="J115" i="44"/>
  <c r="H115" i="44"/>
  <c r="N115" i="44" s="1"/>
  <c r="L114" i="44"/>
  <c r="J114" i="44"/>
  <c r="H114" i="44"/>
  <c r="J113" i="44"/>
  <c r="N113" i="44" s="1"/>
  <c r="H113" i="44"/>
  <c r="J112" i="44"/>
  <c r="H112" i="44"/>
  <c r="N111" i="44"/>
  <c r="N110" i="44"/>
  <c r="N109" i="44"/>
  <c r="N108" i="44"/>
  <c r="N107" i="44"/>
  <c r="P106" i="44"/>
  <c r="N106" i="44"/>
  <c r="N105" i="44"/>
  <c r="N104" i="44"/>
  <c r="N103" i="44"/>
  <c r="N102" i="44"/>
  <c r="N101" i="44"/>
  <c r="N100" i="44"/>
  <c r="N99" i="44"/>
  <c r="N98" i="44"/>
  <c r="N97" i="44"/>
  <c r="N96" i="44"/>
  <c r="N95" i="44"/>
  <c r="N94" i="44"/>
  <c r="N93" i="44"/>
  <c r="N92" i="44"/>
  <c r="N91" i="44"/>
  <c r="N90" i="44"/>
  <c r="N89" i="44"/>
  <c r="N88" i="44"/>
  <c r="N87" i="44"/>
  <c r="N86" i="44"/>
  <c r="N85" i="44"/>
  <c r="N84" i="44"/>
  <c r="N83" i="44"/>
  <c r="N82" i="44"/>
  <c r="N81" i="44"/>
  <c r="N80" i="44"/>
  <c r="N79" i="44"/>
  <c r="N78" i="44"/>
  <c r="N77" i="44"/>
  <c r="N76" i="44"/>
  <c r="N75" i="44"/>
  <c r="N74" i="44"/>
  <c r="N73" i="44"/>
  <c r="N72" i="44"/>
  <c r="N71" i="44"/>
  <c r="H70" i="44"/>
  <c r="N70" i="44" s="1"/>
  <c r="H69" i="44"/>
  <c r="N69" i="44" s="1"/>
  <c r="N68" i="44"/>
  <c r="H67" i="44"/>
  <c r="N67" i="44" s="1"/>
  <c r="H66" i="44"/>
  <c r="N66" i="44" s="1"/>
  <c r="N65" i="44"/>
  <c r="H64" i="44"/>
  <c r="N64" i="44" s="1"/>
  <c r="N63" i="44"/>
  <c r="N62" i="44"/>
  <c r="N61" i="44"/>
  <c r="O60" i="44"/>
  <c r="P61" i="44" s="1"/>
  <c r="H60" i="44"/>
  <c r="N60" i="44" s="1"/>
  <c r="N59" i="44"/>
  <c r="N58" i="44"/>
  <c r="N57" i="44"/>
  <c r="N56" i="44"/>
  <c r="N55" i="44"/>
  <c r="O54" i="44"/>
  <c r="N54" i="44"/>
  <c r="O53" i="44"/>
  <c r="N53" i="44"/>
  <c r="N52" i="44"/>
  <c r="J51" i="44"/>
  <c r="H51" i="44"/>
  <c r="N51" i="44" s="1"/>
  <c r="J50" i="44"/>
  <c r="H50" i="44"/>
  <c r="N49" i="44"/>
  <c r="T48" i="44"/>
  <c r="S48" i="44"/>
  <c r="R48" i="44"/>
  <c r="H48" i="44"/>
  <c r="N48" i="44" s="1"/>
  <c r="N47" i="44"/>
  <c r="N46" i="44"/>
  <c r="N45" i="44"/>
  <c r="N44" i="44"/>
  <c r="N43" i="44"/>
  <c r="N42" i="44"/>
  <c r="N41" i="44"/>
  <c r="N40" i="44"/>
  <c r="N39" i="44"/>
  <c r="N38" i="44"/>
  <c r="P37" i="44"/>
  <c r="N37" i="44"/>
  <c r="N36" i="44"/>
  <c r="H35" i="44"/>
  <c r="N35" i="44" s="1"/>
  <c r="H34" i="44"/>
  <c r="N34" i="44" s="1"/>
  <c r="N33" i="44"/>
  <c r="N32" i="44"/>
  <c r="N31" i="44"/>
  <c r="N30" i="44"/>
  <c r="N29" i="44"/>
  <c r="N28" i="44"/>
  <c r="N27" i="44"/>
  <c r="N26" i="44"/>
  <c r="N25" i="44"/>
  <c r="J24" i="44"/>
  <c r="N24" i="44" s="1"/>
  <c r="N23" i="44"/>
  <c r="Q22" i="44"/>
  <c r="J22" i="44"/>
  <c r="H22" i="44"/>
  <c r="T21" i="44"/>
  <c r="J21" i="44"/>
  <c r="H21" i="44"/>
  <c r="N20" i="44"/>
  <c r="J19" i="44"/>
  <c r="N19" i="44" s="1"/>
  <c r="P18" i="44"/>
  <c r="J18" i="44"/>
  <c r="H18" i="44"/>
  <c r="R17" i="44"/>
  <c r="N17" i="44"/>
  <c r="N16" i="44"/>
  <c r="N15" i="44"/>
  <c r="Q14" i="44"/>
  <c r="N14" i="44"/>
  <c r="N13" i="44"/>
  <c r="N12" i="44"/>
  <c r="N11" i="44"/>
  <c r="U10" i="44"/>
  <c r="J10" i="44"/>
  <c r="H10" i="44"/>
  <c r="N9" i="44"/>
  <c r="N8" i="44"/>
  <c r="N7" i="44"/>
  <c r="N6" i="44"/>
  <c r="R5" i="44"/>
  <c r="P5" i="44"/>
  <c r="R4" i="44"/>
  <c r="J1114" i="48" l="1"/>
  <c r="N1114" i="48" s="1"/>
  <c r="N112" i="44"/>
  <c r="L2808" i="48"/>
  <c r="T2718" i="48"/>
  <c r="T2732" i="48"/>
  <c r="R160" i="48"/>
  <c r="R162" i="48" s="1"/>
  <c r="T162" i="48" s="1"/>
  <c r="R2441" i="48"/>
  <c r="R2442" i="48" s="1"/>
  <c r="J3116" i="48"/>
  <c r="N3116" i="48" s="1"/>
  <c r="N116" i="44"/>
  <c r="N127" i="44"/>
  <c r="BT1486" i="46"/>
  <c r="BQ126" i="45"/>
  <c r="N120" i="44"/>
  <c r="L46" i="48"/>
  <c r="L47" i="48" s="1"/>
  <c r="J49" i="48"/>
  <c r="N49" i="48" s="1"/>
  <c r="N50" i="44"/>
  <c r="N114" i="44"/>
  <c r="BQ65" i="45"/>
  <c r="BY66" i="45"/>
  <c r="BI187" i="45"/>
  <c r="BQ193" i="45"/>
  <c r="BI424" i="45"/>
  <c r="BT1291" i="46"/>
  <c r="T585" i="48"/>
  <c r="E616" i="48" s="1"/>
  <c r="R2327" i="48"/>
  <c r="T2679" i="48"/>
  <c r="R2861" i="48"/>
  <c r="T2861" i="48" s="1"/>
  <c r="T2902" i="48"/>
  <c r="J3801" i="48"/>
  <c r="BQ96" i="45"/>
  <c r="BQ123" i="45"/>
  <c r="BY455" i="45"/>
  <c r="BQ483" i="45"/>
  <c r="BQ487" i="45"/>
  <c r="BI490" i="45"/>
  <c r="BQ491" i="45"/>
  <c r="BY492" i="45"/>
  <c r="BT436" i="46"/>
  <c r="BT1501" i="46"/>
  <c r="BT1531" i="46"/>
  <c r="R1339" i="48"/>
  <c r="R1340" i="48" s="1"/>
  <c r="R1341" i="48" s="1"/>
  <c r="N10" i="44"/>
  <c r="N22" i="44"/>
  <c r="BQ63" i="45"/>
  <c r="BY92" i="45"/>
  <c r="BY96" i="45"/>
  <c r="BI126" i="45"/>
  <c r="BY187" i="45"/>
  <c r="BQ191" i="45"/>
  <c r="BQ415" i="45"/>
  <c r="BQ419" i="45"/>
  <c r="BI422" i="45"/>
  <c r="BY424" i="45"/>
  <c r="BI451" i="45"/>
  <c r="BY487" i="45"/>
  <c r="BQ490" i="45"/>
  <c r="BT691" i="46"/>
  <c r="BT706" i="46"/>
  <c r="BT1456" i="46"/>
  <c r="R1319" i="48"/>
  <c r="T1319" i="48" s="1"/>
  <c r="T1621" i="48"/>
  <c r="N21" i="44"/>
  <c r="J603" i="48"/>
  <c r="N603" i="48" s="1"/>
  <c r="E731" i="48"/>
  <c r="E738" i="48"/>
  <c r="N18" i="44"/>
  <c r="BY64" i="45"/>
  <c r="BI94" i="45"/>
  <c r="BY454" i="45"/>
  <c r="BS11" i="45"/>
  <c r="BA62" i="45"/>
  <c r="BI62" i="45" s="1"/>
  <c r="BI64" i="45"/>
  <c r="BI92" i="45"/>
  <c r="BQ93" i="45"/>
  <c r="BY94" i="45"/>
  <c r="BY100" i="45"/>
  <c r="BI125" i="45"/>
  <c r="BI129" i="45"/>
  <c r="BQ215" i="45"/>
  <c r="BQ417" i="45"/>
  <c r="BQ421" i="45"/>
  <c r="BY422" i="45"/>
  <c r="BQ425" i="45"/>
  <c r="BY451" i="45"/>
  <c r="BI454" i="45"/>
  <c r="BT1306" i="46"/>
  <c r="N2017" i="48"/>
  <c r="Q2221" i="48"/>
  <c r="Q2222" i="48" s="1"/>
  <c r="Q2223" i="48" s="1"/>
  <c r="Q2224" i="48" s="1"/>
  <c r="Q2225" i="48" s="1"/>
  <c r="Q2226" i="48" s="1"/>
  <c r="Q2227" i="48" s="1"/>
  <c r="Q2228" i="48" s="1"/>
  <c r="Q2229" i="48" s="1"/>
  <c r="Q2230" i="48" s="1"/>
  <c r="Q2231" i="48" s="1"/>
  <c r="Q2232" i="48" s="1"/>
  <c r="L3800" i="48"/>
  <c r="N3800" i="48" s="1"/>
  <c r="N3804" i="48"/>
  <c r="N126" i="44"/>
  <c r="N143" i="44"/>
  <c r="BQ59" i="45"/>
  <c r="BY60" i="45"/>
  <c r="BI63" i="45"/>
  <c r="BI67" i="45"/>
  <c r="BI96" i="45"/>
  <c r="BQ97" i="45"/>
  <c r="BY98" i="45"/>
  <c r="BI123" i="45"/>
  <c r="BI124" i="45"/>
  <c r="BQ125" i="45"/>
  <c r="BY126" i="45"/>
  <c r="BY130" i="45"/>
  <c r="BA131" i="45"/>
  <c r="BI131" i="45" s="1"/>
  <c r="BY190" i="45"/>
  <c r="BI193" i="45"/>
  <c r="L208" i="45"/>
  <c r="BY215" i="45"/>
  <c r="BI302" i="45"/>
  <c r="BY328" i="45"/>
  <c r="BI415" i="45"/>
  <c r="BY417" i="45"/>
  <c r="BI419" i="45"/>
  <c r="BY421" i="45"/>
  <c r="BQ424" i="45"/>
  <c r="BY425" i="45"/>
  <c r="BI452" i="45"/>
  <c r="BQ454" i="45"/>
  <c r="BT1186" i="46"/>
  <c r="BT1441" i="46"/>
  <c r="BT1471" i="46"/>
  <c r="BT1591" i="46"/>
  <c r="T558" i="48"/>
  <c r="E589" i="48" s="1"/>
  <c r="T1283" i="48"/>
  <c r="E1314" i="48" s="1"/>
  <c r="R2044" i="48"/>
  <c r="R2045" i="48" s="1"/>
  <c r="T2311" i="48"/>
  <c r="T2407" i="48"/>
  <c r="R2541" i="48"/>
  <c r="R2542" i="48" s="1"/>
  <c r="T2542" i="48" s="1"/>
  <c r="E2573" i="48" s="1"/>
  <c r="T2558" i="48"/>
  <c r="R2643" i="48"/>
  <c r="T2643" i="48" s="1"/>
  <c r="J3795" i="48"/>
  <c r="N145" i="44"/>
  <c r="BI60" i="45"/>
  <c r="BY62" i="45"/>
  <c r="BI98" i="45"/>
  <c r="BY123" i="45"/>
  <c r="BY124" i="45"/>
  <c r="BQ127" i="45"/>
  <c r="BY128" i="45"/>
  <c r="BI130" i="45"/>
  <c r="BI190" i="45"/>
  <c r="BY193" i="45"/>
  <c r="BI215" i="45"/>
  <c r="BY302" i="45"/>
  <c r="BI328" i="45"/>
  <c r="BY415" i="45"/>
  <c r="BI417" i="45"/>
  <c r="BY419" i="45"/>
  <c r="BI421" i="45"/>
  <c r="BQ422" i="45"/>
  <c r="BI425" i="45"/>
  <c r="BI450" i="45"/>
  <c r="BI457" i="45"/>
  <c r="BY459" i="45"/>
  <c r="BY483" i="45"/>
  <c r="BY491" i="45"/>
  <c r="BT391" i="46"/>
  <c r="BT421" i="46"/>
  <c r="BT1276" i="46"/>
  <c r="BT1516" i="46"/>
  <c r="R1696" i="48"/>
  <c r="T1696" i="48" s="1"/>
  <c r="T2620" i="48"/>
  <c r="T2692" i="48"/>
  <c r="R2835" i="48"/>
  <c r="R2836" i="48" s="1"/>
  <c r="BS8" i="45"/>
  <c r="J1389" i="48"/>
  <c r="N1389" i="48" s="1"/>
  <c r="M2167" i="48"/>
  <c r="M39" i="48"/>
  <c r="J54" i="48"/>
  <c r="N54" i="48" s="1"/>
  <c r="BQ64" i="45"/>
  <c r="BY93" i="45"/>
  <c r="J616" i="48"/>
  <c r="N616" i="48" s="1"/>
  <c r="M3171" i="48"/>
  <c r="BY65" i="45"/>
  <c r="BV21" i="47"/>
  <c r="BV23" i="47"/>
  <c r="BV27" i="47"/>
  <c r="BV39" i="47"/>
  <c r="BV51" i="47"/>
  <c r="H3358" i="48"/>
  <c r="N3358" i="48" s="1"/>
  <c r="M3332" i="48"/>
  <c r="M2209" i="48"/>
  <c r="M3310" i="48"/>
  <c r="BV79" i="47"/>
  <c r="M611" i="48"/>
  <c r="M3539" i="48"/>
  <c r="M1775" i="48"/>
  <c r="J673" i="48"/>
  <c r="N673" i="48" s="1"/>
  <c r="J684" i="48"/>
  <c r="N684" i="48" s="1"/>
  <c r="J1426" i="48"/>
  <c r="N1426" i="48" s="1"/>
  <c r="BQ92" i="45"/>
  <c r="J583" i="48"/>
  <c r="N583" i="48" s="1"/>
  <c r="H3395" i="48"/>
  <c r="G3407" i="48" s="1"/>
  <c r="H3427" i="48"/>
  <c r="N3427" i="48" s="1"/>
  <c r="J3002" i="48"/>
  <c r="N3002" i="48" s="1"/>
  <c r="M622" i="48"/>
  <c r="M3855" i="48"/>
  <c r="J676" i="48"/>
  <c r="N676" i="48" s="1"/>
  <c r="J687" i="48"/>
  <c r="N687" i="48" s="1"/>
  <c r="J1313" i="48"/>
  <c r="N1313" i="48" s="1"/>
  <c r="J2035" i="48"/>
  <c r="N2035" i="48" s="1"/>
  <c r="M856" i="48"/>
  <c r="M1330" i="48"/>
  <c r="M1737" i="48"/>
  <c r="J2984" i="48"/>
  <c r="N2984" i="48" s="1"/>
  <c r="M3135" i="48"/>
  <c r="J3243" i="48"/>
  <c r="N3243" i="48" s="1"/>
  <c r="H3376" i="48"/>
  <c r="N3376" i="48" s="1"/>
  <c r="M3399" i="48"/>
  <c r="BQ130" i="45"/>
  <c r="AC262" i="45"/>
  <c r="BI262" i="45" s="1"/>
  <c r="BV95" i="47"/>
  <c r="L249" i="48"/>
  <c r="M1556" i="48"/>
  <c r="M2210" i="48"/>
  <c r="M2227" i="48"/>
  <c r="M2498" i="48"/>
  <c r="M3447" i="48"/>
  <c r="M3888" i="48"/>
  <c r="J1719" i="48"/>
  <c r="N1719" i="48" s="1"/>
  <c r="AC386" i="45"/>
  <c r="BI386" i="45" s="1"/>
  <c r="AG285" i="45"/>
  <c r="U369" i="45" s="1"/>
  <c r="BA369" i="45" s="1"/>
  <c r="AQ354" i="45"/>
  <c r="AQ356" i="45" s="1"/>
  <c r="BV40" i="47"/>
  <c r="BV42" i="47"/>
  <c r="BV43" i="47"/>
  <c r="M800" i="48"/>
  <c r="N2394" i="48"/>
  <c r="M2419" i="48"/>
  <c r="M2459" i="48"/>
  <c r="M2674" i="48"/>
  <c r="J3799" i="48"/>
  <c r="N3799" i="48" s="1"/>
  <c r="BQ243" i="45"/>
  <c r="BQ244" i="45" s="1"/>
  <c r="AC267" i="45"/>
  <c r="BI267" i="45" s="1"/>
  <c r="BQ450" i="45"/>
  <c r="BV37" i="47"/>
  <c r="BV52" i="47"/>
  <c r="BV54" i="47"/>
  <c r="BV56" i="47"/>
  <c r="BV85" i="47"/>
  <c r="BV87" i="47"/>
  <c r="BV108" i="47"/>
  <c r="BV111" i="47"/>
  <c r="J653" i="48"/>
  <c r="N653" i="48" s="1"/>
  <c r="J664" i="48"/>
  <c r="N664" i="48" s="1"/>
  <c r="H840" i="48"/>
  <c r="N840" i="48" s="1"/>
  <c r="H1682" i="48"/>
  <c r="N1682" i="48" s="1"/>
  <c r="M1693" i="48"/>
  <c r="H1725" i="48"/>
  <c r="N1725" i="48" s="1"/>
  <c r="N1928" i="48"/>
  <c r="J2168" i="48"/>
  <c r="N2168" i="48" s="1"/>
  <c r="M2256" i="48"/>
  <c r="M2790" i="48"/>
  <c r="M3494" i="48"/>
  <c r="H3602" i="48"/>
  <c r="N3602" i="48" s="1"/>
  <c r="J3737" i="48"/>
  <c r="L3789" i="48"/>
  <c r="L3790" i="48" s="1"/>
  <c r="M3836" i="48"/>
  <c r="M3875" i="48"/>
  <c r="M3886" i="48"/>
  <c r="L3936" i="48"/>
  <c r="N3936" i="48" s="1"/>
  <c r="L3938" i="48"/>
  <c r="N3938" i="48" s="1"/>
  <c r="BS10" i="45"/>
  <c r="BV7" i="47"/>
  <c r="BV8" i="47"/>
  <c r="BV10" i="47"/>
  <c r="BV12" i="47"/>
  <c r="BV78" i="47"/>
  <c r="J826" i="48"/>
  <c r="N826" i="48" s="1"/>
  <c r="M3361" i="48"/>
  <c r="M3489" i="48"/>
  <c r="J3606" i="48"/>
  <c r="N3606" i="48" s="1"/>
  <c r="L3963" i="48"/>
  <c r="N3963" i="48" s="1"/>
  <c r="BQ245" i="45"/>
  <c r="BV47" i="47"/>
  <c r="BV65" i="47"/>
  <c r="BV67" i="47"/>
  <c r="BV71" i="47"/>
  <c r="BV91" i="47"/>
  <c r="J13" i="48"/>
  <c r="J14" i="48" s="1"/>
  <c r="M32" i="48"/>
  <c r="J59" i="48"/>
  <c r="N59" i="48" s="1"/>
  <c r="M117" i="48"/>
  <c r="J236" i="48"/>
  <c r="M354" i="48"/>
  <c r="J642" i="48"/>
  <c r="N642" i="48" s="1"/>
  <c r="H632" i="48"/>
  <c r="N632" i="48" s="1"/>
  <c r="N634" i="48" s="1"/>
  <c r="J695" i="48"/>
  <c r="N695" i="48" s="1"/>
  <c r="M904" i="48"/>
  <c r="J941" i="48"/>
  <c r="N941" i="48" s="1"/>
  <c r="J1080" i="48"/>
  <c r="N1080" i="48" s="1"/>
  <c r="M1649" i="48"/>
  <c r="J1652" i="48"/>
  <c r="L1677" i="48"/>
  <c r="H1726" i="48"/>
  <c r="N1726" i="48" s="1"/>
  <c r="J1943" i="48"/>
  <c r="N1943" i="48" s="1"/>
  <c r="M1973" i="48"/>
  <c r="M1978" i="48"/>
  <c r="N2299" i="48"/>
  <c r="J2552" i="48"/>
  <c r="N2552" i="48" s="1"/>
  <c r="M3110" i="48"/>
  <c r="H3321" i="48"/>
  <c r="N3321" i="48" s="1"/>
  <c r="M3656" i="48"/>
  <c r="L3947" i="48"/>
  <c r="N3947" i="48" s="1"/>
  <c r="L3949" i="48"/>
  <c r="N3949" i="48" s="1"/>
  <c r="M4015" i="48"/>
  <c r="BV15" i="47"/>
  <c r="BV44" i="47"/>
  <c r="BV46" i="47"/>
  <c r="BV59" i="47"/>
  <c r="BV81" i="47"/>
  <c r="M187" i="48"/>
  <c r="J275" i="48"/>
  <c r="N275" i="48" s="1"/>
  <c r="M558" i="48"/>
  <c r="M1272" i="48"/>
  <c r="N2166" i="48"/>
  <c r="M2194" i="48"/>
  <c r="N2334" i="48"/>
  <c r="L2578" i="48"/>
  <c r="N2578" i="48" s="1"/>
  <c r="M2639" i="48"/>
  <c r="M3059" i="48"/>
  <c r="M3446" i="48"/>
  <c r="M3506" i="48"/>
  <c r="H3574" i="48"/>
  <c r="N3574" i="48" s="1"/>
  <c r="M3593" i="48"/>
  <c r="J3596" i="48"/>
  <c r="N3596" i="48" s="1"/>
  <c r="M3917" i="48"/>
  <c r="M4019" i="48"/>
  <c r="BI100" i="45"/>
  <c r="BI191" i="45"/>
  <c r="AC369" i="45"/>
  <c r="BI369" i="45" s="1"/>
  <c r="BV11" i="47"/>
  <c r="BV14" i="47"/>
  <c r="BV55" i="47"/>
  <c r="BV58" i="47"/>
  <c r="BV76" i="47"/>
  <c r="BV80" i="47"/>
  <c r="M2314" i="48"/>
  <c r="M2486" i="48"/>
  <c r="M2573" i="48"/>
  <c r="J3360" i="48"/>
  <c r="N3360" i="48" s="1"/>
  <c r="J3379" i="48"/>
  <c r="N3379" i="48" s="1"/>
  <c r="J3417" i="48"/>
  <c r="N3417" i="48" s="1"/>
  <c r="J3431" i="48"/>
  <c r="N3431" i="48" s="1"/>
  <c r="M3622" i="48"/>
  <c r="J3625" i="48"/>
  <c r="N3625" i="48" s="1"/>
  <c r="J3668" i="48"/>
  <c r="N3668" i="48" s="1"/>
  <c r="M3681" i="48"/>
  <c r="H3686" i="48"/>
  <c r="N3686" i="48" s="1"/>
  <c r="M4017" i="48"/>
  <c r="BL26" i="45"/>
  <c r="BL27" i="45" s="1"/>
  <c r="BY29" i="45"/>
  <c r="BY188" i="45"/>
  <c r="AC263" i="45"/>
  <c r="BI263" i="45" s="1"/>
  <c r="BK279" i="45"/>
  <c r="AS238" i="46"/>
  <c r="BT238" i="46" s="1"/>
  <c r="AR239" i="46" s="1"/>
  <c r="BV5" i="47"/>
  <c r="BV28" i="47"/>
  <c r="BV96" i="47"/>
  <c r="BV98" i="47"/>
  <c r="M25" i="48"/>
  <c r="J707" i="48"/>
  <c r="N707" i="48" s="1"/>
  <c r="J725" i="48"/>
  <c r="N725" i="48" s="1"/>
  <c r="J730" i="48"/>
  <c r="N730" i="48" s="1"/>
  <c r="J745" i="48"/>
  <c r="N745" i="48" s="1"/>
  <c r="H860" i="48"/>
  <c r="N860" i="48" s="1"/>
  <c r="M961" i="48"/>
  <c r="J1074" i="48"/>
  <c r="N1074" i="48" s="1"/>
  <c r="J1087" i="48"/>
  <c r="N1087" i="48" s="1"/>
  <c r="J1280" i="48"/>
  <c r="N1280" i="48" s="1"/>
  <c r="M1634" i="48"/>
  <c r="J1635" i="48"/>
  <c r="N1635" i="48" s="1"/>
  <c r="H1692" i="48"/>
  <c r="N1692" i="48" s="1"/>
  <c r="J1892" i="48"/>
  <c r="N1892" i="48" s="1"/>
  <c r="M2112" i="48"/>
  <c r="M2238" i="48"/>
  <c r="AY26" i="45"/>
  <c r="AY27" i="45" s="1"/>
  <c r="BY26" i="45"/>
  <c r="BY27" i="45" s="1"/>
  <c r="BY97" i="45"/>
  <c r="BK152" i="45"/>
  <c r="AS178" i="46"/>
  <c r="BT178" i="46" s="1"/>
  <c r="AR179" i="46" s="1"/>
  <c r="BV107" i="47"/>
  <c r="J4" i="48"/>
  <c r="J5" i="48" s="1"/>
  <c r="I779" i="48" s="1"/>
  <c r="M85" i="48"/>
  <c r="M198" i="48"/>
  <c r="L462" i="48"/>
  <c r="L463" i="48" s="1"/>
  <c r="J639" i="48"/>
  <c r="N639" i="48" s="1"/>
  <c r="J694" i="48"/>
  <c r="N694" i="48" s="1"/>
  <c r="J713" i="48"/>
  <c r="N713" i="48" s="1"/>
  <c r="M692" i="48"/>
  <c r="J771" i="48"/>
  <c r="M775" i="48"/>
  <c r="J842" i="48"/>
  <c r="N842" i="48" s="1"/>
  <c r="H841" i="48"/>
  <c r="N841" i="48" s="1"/>
  <c r="H1670" i="48"/>
  <c r="H1674" i="48"/>
  <c r="N1674" i="48" s="1"/>
  <c r="M1676" i="48"/>
  <c r="M1679" i="48"/>
  <c r="M1736" i="48"/>
  <c r="L2626" i="48"/>
  <c r="N2626" i="48" s="1"/>
  <c r="M2906" i="48"/>
  <c r="M3188" i="48"/>
  <c r="M3211" i="48"/>
  <c r="M3218" i="48"/>
  <c r="H3531" i="48"/>
  <c r="N3531" i="48" s="1"/>
  <c r="J3575" i="48"/>
  <c r="N3575" i="48" s="1"/>
  <c r="M3633" i="48"/>
  <c r="M3911" i="48"/>
  <c r="M4021" i="48"/>
  <c r="BY28" i="45"/>
  <c r="BL28" i="45"/>
  <c r="AY28" i="45"/>
  <c r="M557" i="48"/>
  <c r="H557" i="48"/>
  <c r="N557" i="48" s="1"/>
  <c r="M1653" i="48"/>
  <c r="J1653" i="48"/>
  <c r="N1653" i="48" s="1"/>
  <c r="M1902" i="48"/>
  <c r="J1902" i="48"/>
  <c r="N1902" i="48" s="1"/>
  <c r="M2099" i="48"/>
  <c r="J2099" i="48"/>
  <c r="N2099" i="48" s="1"/>
  <c r="J3487" i="48"/>
  <c r="N3487" i="48" s="1"/>
  <c r="M3487" i="48"/>
  <c r="M3916" i="48"/>
  <c r="L3916" i="48"/>
  <c r="N3916" i="48" s="1"/>
  <c r="BK282" i="45"/>
  <c r="J550" i="48"/>
  <c r="N550" i="48" s="1"/>
  <c r="J701" i="48"/>
  <c r="N701" i="48" s="1"/>
  <c r="M898" i="48"/>
  <c r="J132" i="48"/>
  <c r="N132" i="48" s="1"/>
  <c r="M132" i="48"/>
  <c r="M719" i="48"/>
  <c r="J719" i="48"/>
  <c r="N719" i="48" s="1"/>
  <c r="M1064" i="48"/>
  <c r="L1064" i="48"/>
  <c r="N1064" i="48" s="1"/>
  <c r="M1694" i="48"/>
  <c r="J1694" i="48"/>
  <c r="N1694" i="48" s="1"/>
  <c r="G1960" i="48"/>
  <c r="H1828" i="48"/>
  <c r="BY192" i="45"/>
  <c r="BK278" i="45"/>
  <c r="BQ351" i="45"/>
  <c r="AQ351" i="45"/>
  <c r="H554" i="48"/>
  <c r="N554" i="48" s="1"/>
  <c r="M554" i="48"/>
  <c r="H691" i="48"/>
  <c r="G716" i="48" s="1"/>
  <c r="M716" i="48" s="1"/>
  <c r="M691" i="48"/>
  <c r="J903" i="48"/>
  <c r="J906" i="48" s="1"/>
  <c r="J1879" i="48"/>
  <c r="N1879" i="48" s="1"/>
  <c r="M1879" i="48"/>
  <c r="H2842" i="48"/>
  <c r="N2842" i="48" s="1"/>
  <c r="M2842" i="48"/>
  <c r="J3196" i="48"/>
  <c r="N3196" i="48" s="1"/>
  <c r="M3196" i="48"/>
  <c r="BQ249" i="45"/>
  <c r="BV24" i="47"/>
  <c r="BV26" i="47"/>
  <c r="BV33" i="47"/>
  <c r="BV35" i="47"/>
  <c r="BV68" i="47"/>
  <c r="BV70" i="47"/>
  <c r="BV72" i="47"/>
  <c r="BV74" i="47"/>
  <c r="M231" i="48"/>
  <c r="M423" i="48"/>
  <c r="M517" i="48"/>
  <c r="J589" i="48"/>
  <c r="N589" i="48" s="1"/>
  <c r="H564" i="48"/>
  <c r="N564" i="48" s="1"/>
  <c r="M564" i="48"/>
  <c r="J835" i="48"/>
  <c r="N835" i="48" s="1"/>
  <c r="M814" i="48"/>
  <c r="J823" i="48"/>
  <c r="J1261" i="48"/>
  <c r="N1261" i="48" s="1"/>
  <c r="J1296" i="48"/>
  <c r="N1296" i="48" s="1"/>
  <c r="M1296" i="48"/>
  <c r="J1944" i="48"/>
  <c r="N1944" i="48" s="1"/>
  <c r="M1944" i="48"/>
  <c r="L2711" i="48"/>
  <c r="N2711" i="48" s="1"/>
  <c r="M2711" i="48"/>
  <c r="J3655" i="48"/>
  <c r="N3655" i="48" s="1"/>
  <c r="M3655" i="48"/>
  <c r="M4012" i="48"/>
  <c r="L4012" i="48"/>
  <c r="N4012" i="48" s="1"/>
  <c r="M465" i="48"/>
  <c r="L465" i="48"/>
  <c r="L466" i="48" s="1"/>
  <c r="K3303" i="48" s="1"/>
  <c r="L3303" i="48" s="1"/>
  <c r="H2253" i="48"/>
  <c r="N2253" i="48" s="1"/>
  <c r="M2253" i="48"/>
  <c r="AL28" i="45"/>
  <c r="M540" i="48"/>
  <c r="M3020" i="48"/>
  <c r="J3020" i="48"/>
  <c r="N3020" i="48" s="1"/>
  <c r="AQ246" i="45"/>
  <c r="BQ246" i="45"/>
  <c r="BQ348" i="45"/>
  <c r="BQ349" i="45" s="1"/>
  <c r="AQ348" i="45"/>
  <c r="AQ349" i="45" s="1"/>
  <c r="BV17" i="47"/>
  <c r="BV19" i="47"/>
  <c r="BV61" i="47"/>
  <c r="BV63" i="47"/>
  <c r="BV92" i="47"/>
  <c r="BV97" i="47"/>
  <c r="M146" i="48"/>
  <c r="M897" i="48"/>
  <c r="J897" i="48"/>
  <c r="J900" i="48" s="1"/>
  <c r="G1033" i="48"/>
  <c r="G1025" i="48"/>
  <c r="L1008" i="48"/>
  <c r="N1008" i="48" s="1"/>
  <c r="M1008" i="48"/>
  <c r="M3507" i="48"/>
  <c r="H3507" i="48"/>
  <c r="N3507" i="48" s="1"/>
  <c r="H3999" i="48"/>
  <c r="N3999" i="48" s="1"/>
  <c r="L4001" i="48" s="1"/>
  <c r="N4001" i="48" s="1"/>
  <c r="M3999" i="48"/>
  <c r="M2126" i="48"/>
  <c r="N2228" i="48"/>
  <c r="L2893" i="48"/>
  <c r="N2893" i="48" s="1"/>
  <c r="M2893" i="48"/>
  <c r="L4020" i="48"/>
  <c r="N4020" i="48" s="1"/>
  <c r="M4020" i="48"/>
  <c r="BV18" i="47"/>
  <c r="BV69" i="47"/>
  <c r="BV73" i="47"/>
  <c r="L418" i="48"/>
  <c r="J731" i="48"/>
  <c r="N731" i="48" s="1"/>
  <c r="M1458" i="48"/>
  <c r="J1521" i="48"/>
  <c r="N1521" i="48" s="1"/>
  <c r="N1886" i="48"/>
  <c r="M2016" i="48"/>
  <c r="M2018" i="48"/>
  <c r="J2018" i="48"/>
  <c r="N2018" i="48" s="1"/>
  <c r="J2065" i="48"/>
  <c r="N2065" i="48" s="1"/>
  <c r="M2077" i="48"/>
  <c r="M2197" i="48"/>
  <c r="J2197" i="48"/>
  <c r="N2197" i="48" s="1"/>
  <c r="J2271" i="48"/>
  <c r="N2271" i="48" s="1"/>
  <c r="M2271" i="48"/>
  <c r="N2335" i="48"/>
  <c r="L2686" i="48"/>
  <c r="N2686" i="48" s="1"/>
  <c r="M2686" i="48"/>
  <c r="M3058" i="48"/>
  <c r="J3058" i="48"/>
  <c r="K3066" i="48" s="1"/>
  <c r="H3361" i="48"/>
  <c r="N3361" i="48" s="1"/>
  <c r="M3445" i="48"/>
  <c r="H3482" i="48"/>
  <c r="N3482" i="48" s="1"/>
  <c r="M3482" i="48"/>
  <c r="M3769" i="48"/>
  <c r="H3769" i="48"/>
  <c r="N3769" i="48" s="1"/>
  <c r="L3912" i="48"/>
  <c r="N3912" i="48" s="1"/>
  <c r="M3912" i="48"/>
  <c r="M3940" i="48"/>
  <c r="L4018" i="48"/>
  <c r="N4018" i="48" s="1"/>
  <c r="M4018" i="48"/>
  <c r="J3632" i="48"/>
  <c r="N3632" i="48" s="1"/>
  <c r="M3632" i="48"/>
  <c r="M3745" i="48"/>
  <c r="J3745" i="48"/>
  <c r="N3745" i="48" s="1"/>
  <c r="BQ60" i="45"/>
  <c r="BQ233" i="45"/>
  <c r="BK277" i="45"/>
  <c r="BV9" i="47"/>
  <c r="BV16" i="47"/>
  <c r="BV25" i="47"/>
  <c r="BV34" i="47"/>
  <c r="BV41" i="47"/>
  <c r="BV48" i="47"/>
  <c r="BV53" i="47"/>
  <c r="BV60" i="47"/>
  <c r="BV62" i="47"/>
  <c r="BV84" i="47"/>
  <c r="BV93" i="47"/>
  <c r="BV94" i="47"/>
  <c r="BV109" i="47"/>
  <c r="M46" i="48"/>
  <c r="J55" i="48"/>
  <c r="N55" i="48" s="1"/>
  <c r="J60" i="48"/>
  <c r="N60" i="48" s="1"/>
  <c r="M112" i="48"/>
  <c r="N233" i="48"/>
  <c r="J640" i="48"/>
  <c r="N640" i="48" s="1"/>
  <c r="J718" i="48"/>
  <c r="N718" i="48" s="1"/>
  <c r="J1416" i="48"/>
  <c r="N1416" i="48" s="1"/>
  <c r="BY30" i="45"/>
  <c r="BY33" i="45"/>
  <c r="BY61" i="45"/>
  <c r="BQ315" i="45"/>
  <c r="BV4" i="47"/>
  <c r="BV6" i="47"/>
  <c r="BV13" i="47"/>
  <c r="BV20" i="47"/>
  <c r="BV22" i="47"/>
  <c r="BV36" i="47"/>
  <c r="BV38" i="47"/>
  <c r="BV45" i="47"/>
  <c r="BV57" i="47"/>
  <c r="BV64" i="47"/>
  <c r="BV66" i="47"/>
  <c r="BV75" i="47"/>
  <c r="BV77" i="47"/>
  <c r="BV86" i="47"/>
  <c r="BV106" i="47"/>
  <c r="BV110" i="47"/>
  <c r="J7" i="48"/>
  <c r="J8" i="48" s="1"/>
  <c r="J10" i="48"/>
  <c r="J11" i="48" s="1"/>
  <c r="M33" i="48"/>
  <c r="J45" i="48"/>
  <c r="N45" i="48" s="1"/>
  <c r="M64" i="48"/>
  <c r="M123" i="48"/>
  <c r="M137" i="48"/>
  <c r="M178" i="48"/>
  <c r="J215" i="48"/>
  <c r="N215" i="48" s="1"/>
  <c r="M251" i="48"/>
  <c r="J268" i="48"/>
  <c r="N268" i="48" s="1"/>
  <c r="H516" i="48"/>
  <c r="N516" i="48" s="1"/>
  <c r="J518" i="48"/>
  <c r="N518" i="48" s="1"/>
  <c r="J578" i="48"/>
  <c r="N578" i="48" s="1"/>
  <c r="M562" i="48"/>
  <c r="J700" i="48"/>
  <c r="N700" i="48" s="1"/>
  <c r="J837" i="48"/>
  <c r="J844" i="48"/>
  <c r="M836" i="48"/>
  <c r="M837" i="48"/>
  <c r="M926" i="48"/>
  <c r="M1000" i="48"/>
  <c r="J1081" i="48"/>
  <c r="N1081" i="48" s="1"/>
  <c r="G1065" i="48"/>
  <c r="J1088" i="48"/>
  <c r="N1088" i="48" s="1"/>
  <c r="J1314" i="48"/>
  <c r="N1314" i="48" s="1"/>
  <c r="L1370" i="48"/>
  <c r="N1370" i="48" s="1"/>
  <c r="M1496" i="48"/>
  <c r="M1802" i="48"/>
  <c r="L1828" i="48"/>
  <c r="N1842" i="48"/>
  <c r="J1848" i="48"/>
  <c r="N1848" i="48" s="1"/>
  <c r="M1905" i="48"/>
  <c r="N1906" i="48"/>
  <c r="M2000" i="48"/>
  <c r="H2000" i="48"/>
  <c r="N2000" i="48" s="1"/>
  <c r="H2167" i="48"/>
  <c r="N2167" i="48" s="1"/>
  <c r="M2233" i="48"/>
  <c r="M2240" i="48"/>
  <c r="N2275" i="48"/>
  <c r="J2301" i="48"/>
  <c r="N2301" i="48" s="1"/>
  <c r="M2301" i="48"/>
  <c r="N2337" i="48"/>
  <c r="H2497" i="48"/>
  <c r="H2501" i="48" s="1"/>
  <c r="G3098" i="48" s="1"/>
  <c r="J2571" i="48"/>
  <c r="N2571" i="48" s="1"/>
  <c r="M2556" i="48"/>
  <c r="J2556" i="48"/>
  <c r="N2556" i="48" s="1"/>
  <c r="M2771" i="48"/>
  <c r="M2772" i="48"/>
  <c r="M2773" i="48"/>
  <c r="M2783" i="48"/>
  <c r="M2900" i="48"/>
  <c r="M3041" i="48"/>
  <c r="J3041" i="48"/>
  <c r="N3041" i="48" s="1"/>
  <c r="J3203" i="48"/>
  <c r="N3203" i="48" s="1"/>
  <c r="M3203" i="48"/>
  <c r="M3323" i="48"/>
  <c r="J3323" i="48"/>
  <c r="N3323" i="48" s="1"/>
  <c r="J3400" i="48"/>
  <c r="N3400" i="48" s="1"/>
  <c r="M3400" i="48"/>
  <c r="H3429" i="48"/>
  <c r="N3429" i="48" s="1"/>
  <c r="H3443" i="48"/>
  <c r="N3443" i="48" s="1"/>
  <c r="M3443" i="48"/>
  <c r="J3663" i="48"/>
  <c r="N3663" i="48" s="1"/>
  <c r="J3731" i="48"/>
  <c r="N3731" i="48" s="1"/>
  <c r="M3910" i="48"/>
  <c r="L3910" i="48"/>
  <c r="N3910" i="48" s="1"/>
  <c r="L3918" i="48"/>
  <c r="N3918" i="48" s="1"/>
  <c r="M3918" i="48"/>
  <c r="L4016" i="48"/>
  <c r="N4016" i="48" s="1"/>
  <c r="M4016" i="48"/>
  <c r="M2123" i="48"/>
  <c r="M2154" i="48"/>
  <c r="M2173" i="48"/>
  <c r="N2346" i="48"/>
  <c r="N2361" i="48"/>
  <c r="M2401" i="48"/>
  <c r="M2445" i="48"/>
  <c r="J2461" i="48"/>
  <c r="N2461" i="48" s="1"/>
  <c r="M2580" i="48"/>
  <c r="M2597" i="48"/>
  <c r="M2726" i="48"/>
  <c r="M2759" i="48"/>
  <c r="H3229" i="48"/>
  <c r="N3229" i="48" s="1"/>
  <c r="M3396" i="48"/>
  <c r="H3426" i="48"/>
  <c r="N3426" i="48" s="1"/>
  <c r="H3595" i="48"/>
  <c r="N3595" i="48" s="1"/>
  <c r="M3630" i="48"/>
  <c r="J3743" i="48"/>
  <c r="N3743" i="48" s="1"/>
  <c r="J3760" i="48"/>
  <c r="H3765" i="48"/>
  <c r="G3772" i="48" s="1"/>
  <c r="M3805" i="48"/>
  <c r="L3892" i="48"/>
  <c r="N3892" i="48" s="1"/>
  <c r="L3935" i="48"/>
  <c r="N3935" i="48" s="1"/>
  <c r="M3953" i="48"/>
  <c r="L3959" i="48"/>
  <c r="N3959" i="48" s="1"/>
  <c r="M4000" i="48"/>
  <c r="J1258" i="48"/>
  <c r="N1258" i="48" s="1"/>
  <c r="M1418" i="48"/>
  <c r="M1487" i="48"/>
  <c r="M1861" i="48"/>
  <c r="J2034" i="48"/>
  <c r="N2034" i="48" s="1"/>
  <c r="M2009" i="48"/>
  <c r="N2146" i="48"/>
  <c r="M2449" i="48"/>
  <c r="M2469" i="48"/>
  <c r="N2965" i="48"/>
  <c r="J3011" i="48"/>
  <c r="E110" i="48"/>
  <c r="E111" i="48"/>
  <c r="L539" i="48"/>
  <c r="L544" i="48" s="1"/>
  <c r="M539" i="48"/>
  <c r="J1785" i="48"/>
  <c r="J1787" i="48" s="1"/>
  <c r="M1785" i="48"/>
  <c r="M17" i="48"/>
  <c r="J23" i="48"/>
  <c r="N23" i="48" s="1"/>
  <c r="H25" i="48"/>
  <c r="N25" i="48" s="1"/>
  <c r="L26" i="48"/>
  <c r="N26" i="48" s="1"/>
  <c r="H123" i="48"/>
  <c r="H124" i="48" s="1"/>
  <c r="G789" i="48" s="1"/>
  <c r="H789" i="48" s="1"/>
  <c r="M204" i="48"/>
  <c r="M480" i="48"/>
  <c r="H480" i="48"/>
  <c r="N480" i="48" s="1"/>
  <c r="H492" i="48"/>
  <c r="M492" i="48"/>
  <c r="M498" i="48"/>
  <c r="H498" i="48"/>
  <c r="M502" i="48"/>
  <c r="J502" i="48"/>
  <c r="N502" i="48" s="1"/>
  <c r="M524" i="48"/>
  <c r="H524" i="48"/>
  <c r="N524" i="48" s="1"/>
  <c r="M766" i="48"/>
  <c r="J766" i="48"/>
  <c r="M873" i="48"/>
  <c r="J873" i="48"/>
  <c r="M879" i="48"/>
  <c r="J879" i="48"/>
  <c r="N879" i="48" s="1"/>
  <c r="M925" i="48"/>
  <c r="J925" i="48"/>
  <c r="J928" i="48" s="1"/>
  <c r="M960" i="48"/>
  <c r="J960" i="48"/>
  <c r="J963" i="48" s="1"/>
  <c r="M1085" i="48"/>
  <c r="H1085" i="48"/>
  <c r="N1085" i="48" s="1"/>
  <c r="R1277" i="48"/>
  <c r="T1277" i="48" s="1"/>
  <c r="E1308" i="48" s="1"/>
  <c r="J1308" i="48" s="1"/>
  <c r="N1308" i="48" s="1"/>
  <c r="T1276" i="48"/>
  <c r="E1307" i="48" s="1"/>
  <c r="J1307" i="48" s="1"/>
  <c r="N1307" i="48" s="1"/>
  <c r="M1350" i="48"/>
  <c r="L1350" i="48"/>
  <c r="N1350" i="48" s="1"/>
  <c r="M1455" i="48"/>
  <c r="L1455" i="48"/>
  <c r="N1455" i="48" s="1"/>
  <c r="M1659" i="48"/>
  <c r="J1659" i="48"/>
  <c r="N1659" i="48" s="1"/>
  <c r="R2424" i="48"/>
  <c r="T2424" i="48" s="1"/>
  <c r="Q2425" i="48"/>
  <c r="Q2426" i="48" s="1"/>
  <c r="Q2427" i="48" s="1"/>
  <c r="Q2428" i="48" s="1"/>
  <c r="Q2429" i="48" s="1"/>
  <c r="Q2430" i="48" s="1"/>
  <c r="Q2431" i="48" s="1"/>
  <c r="Q2432" i="48" s="1"/>
  <c r="Q2433" i="48" s="1"/>
  <c r="Q2434" i="48" s="1"/>
  <c r="Q2435" i="48" s="1"/>
  <c r="Q2436" i="48" s="1"/>
  <c r="Q2437" i="48" s="1"/>
  <c r="Q2438" i="48" s="1"/>
  <c r="N183" i="48"/>
  <c r="M477" i="48"/>
  <c r="J477" i="48"/>
  <c r="J478" i="48" s="1"/>
  <c r="M549" i="48"/>
  <c r="H549" i="48"/>
  <c r="N549" i="48" s="1"/>
  <c r="M872" i="48"/>
  <c r="H872" i="48"/>
  <c r="N872" i="48" s="1"/>
  <c r="M1701" i="48"/>
  <c r="H1701" i="48"/>
  <c r="N1701" i="48" s="1"/>
  <c r="J37" i="48"/>
  <c r="N37" i="48" s="1"/>
  <c r="M91" i="48"/>
  <c r="M97" i="48"/>
  <c r="H137" i="48"/>
  <c r="N137" i="48" s="1"/>
  <c r="M143" i="48"/>
  <c r="H146" i="48"/>
  <c r="L147" i="48" s="1"/>
  <c r="M152" i="48"/>
  <c r="M175" i="48"/>
  <c r="J191" i="48"/>
  <c r="N191" i="48" s="1"/>
  <c r="J192" i="48"/>
  <c r="M475" i="48"/>
  <c r="L475" i="48"/>
  <c r="R579" i="48"/>
  <c r="T578" i="48"/>
  <c r="E609" i="48" s="1"/>
  <c r="J609" i="48" s="1"/>
  <c r="N609" i="48" s="1"/>
  <c r="M772" i="48"/>
  <c r="J772" i="48"/>
  <c r="N772" i="48" s="1"/>
  <c r="M874" i="48"/>
  <c r="J874" i="48"/>
  <c r="N874" i="48" s="1"/>
  <c r="M1056" i="48"/>
  <c r="L1056" i="48"/>
  <c r="N1056" i="48" s="1"/>
  <c r="J1198" i="48"/>
  <c r="N1198" i="48" s="1"/>
  <c r="M1198" i="48"/>
  <c r="R1605" i="48"/>
  <c r="T1605" i="48" s="1"/>
  <c r="T1604" i="48"/>
  <c r="M1656" i="48"/>
  <c r="H1656" i="48"/>
  <c r="N1656" i="48" s="1"/>
  <c r="M1691" i="48"/>
  <c r="H1691" i="48"/>
  <c r="N1691" i="48" s="1"/>
  <c r="R1848" i="48"/>
  <c r="T1848" i="48" s="1"/>
  <c r="T1847" i="48"/>
  <c r="J1934" i="48"/>
  <c r="N1934" i="48" s="1"/>
  <c r="M1934" i="48"/>
  <c r="R2376" i="48"/>
  <c r="T2375" i="48"/>
  <c r="M910" i="48"/>
  <c r="J910" i="48"/>
  <c r="N910" i="48" s="1"/>
  <c r="M1093" i="48"/>
  <c r="H1093" i="48"/>
  <c r="N1093" i="48" s="1"/>
  <c r="T1308" i="48"/>
  <c r="R1309" i="48"/>
  <c r="R1532" i="48"/>
  <c r="R1534" i="48" s="1"/>
  <c r="T1531" i="48"/>
  <c r="K3942" i="48"/>
  <c r="N3939" i="48"/>
  <c r="A9" i="48"/>
  <c r="A12" i="48" s="1"/>
  <c r="A15" i="48" s="1"/>
  <c r="A22" i="48" s="1"/>
  <c r="A29" i="48" s="1"/>
  <c r="A36" i="48" s="1"/>
  <c r="A43" i="48" s="1"/>
  <c r="A48" i="48" s="1"/>
  <c r="A53" i="48" s="1"/>
  <c r="M16" i="48"/>
  <c r="L35" i="48"/>
  <c r="M88" i="48"/>
  <c r="H91" i="48"/>
  <c r="N91" i="48" s="1"/>
  <c r="N92" i="48" s="1"/>
  <c r="T159" i="48"/>
  <c r="M170" i="48"/>
  <c r="M174" i="48"/>
  <c r="M183" i="48"/>
  <c r="J190" i="48"/>
  <c r="N190" i="48" s="1"/>
  <c r="M203" i="48"/>
  <c r="M209" i="48"/>
  <c r="J209" i="48"/>
  <c r="N209" i="48" s="1"/>
  <c r="M234" i="48"/>
  <c r="H234" i="48"/>
  <c r="N234" i="48" s="1"/>
  <c r="M482" i="48"/>
  <c r="H482" i="48"/>
  <c r="N482" i="48" s="1"/>
  <c r="H494" i="48"/>
  <c r="N494" i="48" s="1"/>
  <c r="M494" i="48"/>
  <c r="M500" i="48"/>
  <c r="H500" i="48"/>
  <c r="N500" i="48" s="1"/>
  <c r="M522" i="48"/>
  <c r="H522" i="48"/>
  <c r="M526" i="48"/>
  <c r="J526" i="48"/>
  <c r="N526" i="48" s="1"/>
  <c r="M547" i="48"/>
  <c r="L547" i="48"/>
  <c r="L552" i="48" s="1"/>
  <c r="K2543" i="48" s="1"/>
  <c r="L2543" i="48" s="1"/>
  <c r="L2544" i="48" s="1"/>
  <c r="J559" i="48"/>
  <c r="N559" i="48" s="1"/>
  <c r="M559" i="48"/>
  <c r="J650" i="48"/>
  <c r="N650" i="48" s="1"/>
  <c r="J724" i="48"/>
  <c r="N724" i="48" s="1"/>
  <c r="M770" i="48"/>
  <c r="H770" i="48"/>
  <c r="H773" i="48" s="1"/>
  <c r="G1156" i="48" s="1"/>
  <c r="H1156" i="48" s="1"/>
  <c r="M821" i="48"/>
  <c r="H821" i="48"/>
  <c r="N821" i="48" s="1"/>
  <c r="J921" i="48"/>
  <c r="N921" i="48" s="1"/>
  <c r="M921" i="48"/>
  <c r="M940" i="48"/>
  <c r="J940" i="48"/>
  <c r="M1072" i="48"/>
  <c r="H1072" i="48"/>
  <c r="N1072" i="48" s="1"/>
  <c r="M1174" i="48"/>
  <c r="J1174" i="48"/>
  <c r="N1174" i="48" s="1"/>
  <c r="R1350" i="48"/>
  <c r="T1350" i="48" s="1"/>
  <c r="E1381" i="48" s="1"/>
  <c r="J1381" i="48" s="1"/>
  <c r="N1381" i="48" s="1"/>
  <c r="T1349" i="48"/>
  <c r="E1380" i="48" s="1"/>
  <c r="J1380" i="48" s="1"/>
  <c r="N1380" i="48" s="1"/>
  <c r="H1761" i="48"/>
  <c r="N1761" i="48" s="1"/>
  <c r="M1761" i="48"/>
  <c r="M597" i="48"/>
  <c r="S797" i="48"/>
  <c r="E829" i="48" s="1"/>
  <c r="L829" i="48" s="1"/>
  <c r="M985" i="48"/>
  <c r="M1353" i="48"/>
  <c r="M1438" i="48"/>
  <c r="M1448" i="48"/>
  <c r="M1514" i="48"/>
  <c r="M1554" i="48"/>
  <c r="R1556" i="48"/>
  <c r="R1557" i="48" s="1"/>
  <c r="M1695" i="48"/>
  <c r="M1769" i="48"/>
  <c r="M1776" i="48"/>
  <c r="T1793" i="48"/>
  <c r="R1794" i="48"/>
  <c r="R1795" i="48" s="1"/>
  <c r="R2147" i="48"/>
  <c r="T2147" i="48" s="1"/>
  <c r="T2146" i="48"/>
  <c r="N2371" i="48"/>
  <c r="N2382" i="48"/>
  <c r="M2460" i="48"/>
  <c r="J2460" i="48"/>
  <c r="N2460" i="48" s="1"/>
  <c r="N3808" i="48"/>
  <c r="H3810" i="48"/>
  <c r="M330" i="48"/>
  <c r="M351" i="48"/>
  <c r="L391" i="48"/>
  <c r="M432" i="48"/>
  <c r="J551" i="48"/>
  <c r="N551" i="48" s="1"/>
  <c r="H556" i="48"/>
  <c r="N556" i="48" s="1"/>
  <c r="H565" i="48"/>
  <c r="N565" i="48" s="1"/>
  <c r="T565" i="48"/>
  <c r="E596" i="48" s="1"/>
  <c r="J596" i="48" s="1"/>
  <c r="N596" i="48" s="1"/>
  <c r="J706" i="48"/>
  <c r="N706" i="48" s="1"/>
  <c r="E737" i="48"/>
  <c r="J737" i="48" s="1"/>
  <c r="N737" i="48" s="1"/>
  <c r="M796" i="48"/>
  <c r="S798" i="48"/>
  <c r="H819" i="48"/>
  <c r="N819" i="48" s="1"/>
  <c r="M833" i="48"/>
  <c r="J862" i="48"/>
  <c r="N862" i="48" s="1"/>
  <c r="H878" i="48"/>
  <c r="N878" i="48" s="1"/>
  <c r="H908" i="48"/>
  <c r="N908" i="48" s="1"/>
  <c r="J966" i="48"/>
  <c r="N966" i="48" s="1"/>
  <c r="G1057" i="48"/>
  <c r="M1159" i="48"/>
  <c r="H1165" i="48"/>
  <c r="H1167" i="48" s="1"/>
  <c r="J1230" i="48"/>
  <c r="N1230" i="48" s="1"/>
  <c r="J1304" i="48"/>
  <c r="N1304" i="48" s="1"/>
  <c r="M1310" i="48"/>
  <c r="M1316" i="48"/>
  <c r="M1793" i="48"/>
  <c r="M1836" i="48"/>
  <c r="J1836" i="48"/>
  <c r="N1836" i="48" s="1"/>
  <c r="M1923" i="48"/>
  <c r="J1923" i="48"/>
  <c r="N1923" i="48" s="1"/>
  <c r="R2110" i="48"/>
  <c r="R2111" i="48" s="1"/>
  <c r="Q2111" i="48"/>
  <c r="Q2112" i="48" s="1"/>
  <c r="Q2113" i="48" s="1"/>
  <c r="Q2114" i="48" s="1"/>
  <c r="Q2115" i="48" s="1"/>
  <c r="Q2116" i="48" s="1"/>
  <c r="Q2117" i="48" s="1"/>
  <c r="Q2118" i="48" s="1"/>
  <c r="Q2236" i="48"/>
  <c r="Q2237" i="48" s="1"/>
  <c r="Q2238" i="48" s="1"/>
  <c r="Q2239" i="48" s="1"/>
  <c r="Q2240" i="48" s="1"/>
  <c r="Q2241" i="48" s="1"/>
  <c r="Q2242" i="48" s="1"/>
  <c r="Q2243" i="48" s="1"/>
  <c r="Q2244" i="48" s="1"/>
  <c r="Q2245" i="48" s="1"/>
  <c r="Q2246" i="48" s="1"/>
  <c r="Q2247" i="48" s="1"/>
  <c r="R2235" i="48"/>
  <c r="R2236" i="48" s="1"/>
  <c r="R2237" i="48" s="1"/>
  <c r="R2328" i="48"/>
  <c r="T2327" i="48"/>
  <c r="J2363" i="48"/>
  <c r="N2363" i="48" s="1"/>
  <c r="M2363" i="48"/>
  <c r="M2591" i="48"/>
  <c r="H2591" i="48"/>
  <c r="N2591" i="48" s="1"/>
  <c r="R2655" i="48"/>
  <c r="R2656" i="48" s="1"/>
  <c r="R2657" i="48" s="1"/>
  <c r="R2658" i="48" s="1"/>
  <c r="R2659" i="48" s="1"/>
  <c r="R2660" i="48" s="1"/>
  <c r="T2660" i="48" s="1"/>
  <c r="E2691" i="48" s="1"/>
  <c r="J2691" i="48" s="1"/>
  <c r="N2691" i="48" s="1"/>
  <c r="T2654" i="48"/>
  <c r="M3349" i="48"/>
  <c r="J3349" i="48"/>
  <c r="N3349" i="48" s="1"/>
  <c r="M3594" i="48"/>
  <c r="H3594" i="48"/>
  <c r="N3594" i="48" s="1"/>
  <c r="M3716" i="48"/>
  <c r="J3716" i="48"/>
  <c r="N3716" i="48" s="1"/>
  <c r="J274" i="48"/>
  <c r="M372" i="48"/>
  <c r="N393" i="48"/>
  <c r="N394" i="48" s="1"/>
  <c r="M411" i="48"/>
  <c r="M476" i="48"/>
  <c r="L481" i="48"/>
  <c r="N481" i="48" s="1"/>
  <c r="J483" i="48"/>
  <c r="N483" i="48" s="1"/>
  <c r="M493" i="48"/>
  <c r="M495" i="48"/>
  <c r="M501" i="48"/>
  <c r="L523" i="48"/>
  <c r="N523" i="48" s="1"/>
  <c r="H525" i="48"/>
  <c r="N525" i="48" s="1"/>
  <c r="J527" i="48"/>
  <c r="N527" i="48" s="1"/>
  <c r="M538" i="48"/>
  <c r="J602" i="48"/>
  <c r="N602" i="48" s="1"/>
  <c r="J654" i="48"/>
  <c r="N654" i="48" s="1"/>
  <c r="M633" i="48"/>
  <c r="H660" i="48"/>
  <c r="H667" i="48" s="1"/>
  <c r="M681" i="48"/>
  <c r="R763" i="48"/>
  <c r="H765" i="48"/>
  <c r="N765" i="48" s="1"/>
  <c r="J767" i="48"/>
  <c r="N767" i="48" s="1"/>
  <c r="J834" i="48"/>
  <c r="N834" i="48" s="1"/>
  <c r="U796" i="48"/>
  <c r="E836" i="48" s="1"/>
  <c r="L836" i="48" s="1"/>
  <c r="L838" i="48" s="1"/>
  <c r="J885" i="48"/>
  <c r="N885" i="48" s="1"/>
  <c r="J1266" i="48"/>
  <c r="N1266" i="48" s="1"/>
  <c r="R1299" i="48"/>
  <c r="M1340" i="48"/>
  <c r="M1409" i="48"/>
  <c r="M1428" i="48"/>
  <c r="M1435" i="48"/>
  <c r="L1475" i="48"/>
  <c r="N1475" i="48" s="1"/>
  <c r="T1509" i="48"/>
  <c r="M1532" i="48"/>
  <c r="M1542" i="48"/>
  <c r="M1586" i="48"/>
  <c r="J1605" i="48"/>
  <c r="N1605" i="48" s="1"/>
  <c r="T1617" i="48"/>
  <c r="M1666" i="48"/>
  <c r="M1705" i="48"/>
  <c r="M1717" i="48"/>
  <c r="J1746" i="48"/>
  <c r="N1746" i="48" s="1"/>
  <c r="J1777" i="48"/>
  <c r="I1857" i="48" s="1"/>
  <c r="J1857" i="48" s="1"/>
  <c r="M1780" i="48"/>
  <c r="M1791" i="48"/>
  <c r="Q2056" i="48"/>
  <c r="Q2057" i="48" s="1"/>
  <c r="Q2058" i="48" s="1"/>
  <c r="Q2059" i="48" s="1"/>
  <c r="Q2060" i="48" s="1"/>
  <c r="Q2061" i="48" s="1"/>
  <c r="Q2062" i="48" s="1"/>
  <c r="Q2063" i="48" s="1"/>
  <c r="R2055" i="48"/>
  <c r="R2056" i="48" s="1"/>
  <c r="N2385" i="48"/>
  <c r="L4034" i="48"/>
  <c r="N4034" i="48" s="1"/>
  <c r="M4034" i="48"/>
  <c r="M1831" i="48"/>
  <c r="N1839" i="48"/>
  <c r="M1841" i="48"/>
  <c r="M1853" i="48"/>
  <c r="M1871" i="48"/>
  <c r="M1885" i="48"/>
  <c r="M2005" i="48"/>
  <c r="M2007" i="48"/>
  <c r="M2012" i="48"/>
  <c r="Q2078" i="48"/>
  <c r="Q2079" i="48" s="1"/>
  <c r="Q2080" i="48" s="1"/>
  <c r="Q2081" i="48" s="1"/>
  <c r="Q2082" i="48" s="1"/>
  <c r="Q2083" i="48" s="1"/>
  <c r="Q2084" i="48" s="1"/>
  <c r="Q2085" i="48" s="1"/>
  <c r="M2111" i="48"/>
  <c r="L2234" i="48"/>
  <c r="R2251" i="48"/>
  <c r="T2251" i="48" s="1"/>
  <c r="M2413" i="48"/>
  <c r="M2432" i="48"/>
  <c r="M2468" i="48"/>
  <c r="M2485" i="48"/>
  <c r="R2536" i="48"/>
  <c r="R2537" i="48" s="1"/>
  <c r="T2537" i="48" s="1"/>
  <c r="E2568" i="48" s="1"/>
  <c r="T2535" i="48"/>
  <c r="E2566" i="48" s="1"/>
  <c r="J2566" i="48" s="1"/>
  <c r="N2566" i="48" s="1"/>
  <c r="M2933" i="48"/>
  <c r="H2933" i="48"/>
  <c r="N2933" i="48" s="1"/>
  <c r="L3054" i="48"/>
  <c r="N3054" i="48" s="1"/>
  <c r="M3054" i="48"/>
  <c r="M3309" i="48"/>
  <c r="J3309" i="48"/>
  <c r="K3315" i="48" s="1"/>
  <c r="L3315" i="48" s="1"/>
  <c r="N3315" i="48" s="1"/>
  <c r="M3418" i="48"/>
  <c r="J3418" i="48"/>
  <c r="N3418" i="48" s="1"/>
  <c r="M3430" i="48"/>
  <c r="J3430" i="48"/>
  <c r="N3430" i="48" s="1"/>
  <c r="M3512" i="48"/>
  <c r="J3512" i="48"/>
  <c r="N3512" i="48" s="1"/>
  <c r="M3534" i="48"/>
  <c r="H3534" i="48"/>
  <c r="N3534" i="48" s="1"/>
  <c r="M3538" i="48"/>
  <c r="J3538" i="48"/>
  <c r="N3538" i="48" s="1"/>
  <c r="M3605" i="48"/>
  <c r="J3605" i="48"/>
  <c r="M3664" i="48"/>
  <c r="H3664" i="48"/>
  <c r="N3664" i="48" s="1"/>
  <c r="M3688" i="48"/>
  <c r="J3688" i="48"/>
  <c r="N3688" i="48" s="1"/>
  <c r="M3814" i="48"/>
  <c r="J3814" i="48"/>
  <c r="N3814" i="48" s="1"/>
  <c r="N1815" i="48"/>
  <c r="N1864" i="48"/>
  <c r="N1918" i="48"/>
  <c r="M1959" i="48"/>
  <c r="M1964" i="48"/>
  <c r="M1968" i="48"/>
  <c r="M2021" i="48"/>
  <c r="M2027" i="48"/>
  <c r="M2037" i="48"/>
  <c r="M2041" i="48"/>
  <c r="M2054" i="48"/>
  <c r="M2055" i="48"/>
  <c r="M2056" i="48"/>
  <c r="M2057" i="48"/>
  <c r="M2058" i="48"/>
  <c r="M2069" i="48"/>
  <c r="M2072" i="48"/>
  <c r="M2081" i="48"/>
  <c r="M2091" i="48"/>
  <c r="M2101" i="48"/>
  <c r="M2109" i="48"/>
  <c r="H2111" i="48"/>
  <c r="N2111" i="48" s="1"/>
  <c r="M2148" i="48"/>
  <c r="N2149" i="48"/>
  <c r="T2160" i="48"/>
  <c r="M2169" i="48"/>
  <c r="H2209" i="48"/>
  <c r="N2209" i="48" s="1"/>
  <c r="M2214" i="48"/>
  <c r="M2244" i="48"/>
  <c r="L2264" i="48"/>
  <c r="J2287" i="48"/>
  <c r="N2287" i="48" s="1"/>
  <c r="M2345" i="48"/>
  <c r="T2359" i="48"/>
  <c r="Q2376" i="48"/>
  <c r="Q2377" i="48" s="1"/>
  <c r="Q2378" i="48" s="1"/>
  <c r="Q2379" i="48" s="1"/>
  <c r="Q2380" i="48" s="1"/>
  <c r="Q2381" i="48" s="1"/>
  <c r="Q2382" i="48" s="1"/>
  <c r="Q2383" i="48" s="1"/>
  <c r="Q2384" i="48" s="1"/>
  <c r="Q2385" i="48" s="1"/>
  <c r="Q2386" i="48" s="1"/>
  <c r="Q2387" i="48" s="1"/>
  <c r="Q2388" i="48" s="1"/>
  <c r="M2384" i="48"/>
  <c r="M3078" i="48"/>
  <c r="J3078" i="48"/>
  <c r="N3078" i="48" s="1"/>
  <c r="T3144" i="48"/>
  <c r="R3145" i="48"/>
  <c r="M3335" i="48"/>
  <c r="J3335" i="48"/>
  <c r="N3335" i="48" s="1"/>
  <c r="M3348" i="48"/>
  <c r="J3348" i="48"/>
  <c r="N3348" i="48" s="1"/>
  <c r="M3723" i="48"/>
  <c r="J3723" i="48"/>
  <c r="N3723" i="48" s="1"/>
  <c r="L3984" i="48"/>
  <c r="N3984" i="48" s="1"/>
  <c r="M3984" i="48"/>
  <c r="M4030" i="48"/>
  <c r="L4030" i="48"/>
  <c r="N4030" i="48" s="1"/>
  <c r="L4036" i="48"/>
  <c r="N4036" i="48" s="1"/>
  <c r="M4036" i="48"/>
  <c r="M1820" i="48"/>
  <c r="N1829" i="48"/>
  <c r="M1881" i="48"/>
  <c r="N1883" i="48"/>
  <c r="N1917" i="48"/>
  <c r="M1958" i="48"/>
  <c r="M1963" i="48"/>
  <c r="M2023" i="48"/>
  <c r="M2093" i="48"/>
  <c r="N2101" i="48"/>
  <c r="M2113" i="48"/>
  <c r="M2157" i="48"/>
  <c r="N2158" i="48"/>
  <c r="M2184" i="48"/>
  <c r="N2198" i="48"/>
  <c r="M2211" i="48"/>
  <c r="N2213" i="48"/>
  <c r="J2241" i="48"/>
  <c r="N2241" i="48" s="1"/>
  <c r="M2272" i="48"/>
  <c r="N2323" i="48"/>
  <c r="M2365" i="48"/>
  <c r="M2369" i="48"/>
  <c r="M2393" i="48"/>
  <c r="M2417" i="48"/>
  <c r="M2483" i="48"/>
  <c r="M2854" i="48"/>
  <c r="L2854" i="48"/>
  <c r="N2854" i="48" s="1"/>
  <c r="L2992" i="48"/>
  <c r="K3083" i="48" s="1"/>
  <c r="L3083" i="48" s="1"/>
  <c r="H3320" i="48"/>
  <c r="N3320" i="48" s="1"/>
  <c r="M3532" i="48"/>
  <c r="H3532" i="48"/>
  <c r="N3532" i="48" s="1"/>
  <c r="M3536" i="48"/>
  <c r="J3536" i="48"/>
  <c r="N3536" i="48" s="1"/>
  <c r="M3654" i="48"/>
  <c r="J3654" i="48"/>
  <c r="H3721" i="48"/>
  <c r="N3721" i="48" s="1"/>
  <c r="M3721" i="48"/>
  <c r="M3809" i="48"/>
  <c r="J3809" i="48"/>
  <c r="J3810" i="48" s="1"/>
  <c r="M3867" i="48"/>
  <c r="L3867" i="48"/>
  <c r="N3867" i="48" s="1"/>
  <c r="L3960" i="48"/>
  <c r="N3960" i="48" s="1"/>
  <c r="M3960" i="48"/>
  <c r="M2821" i="48"/>
  <c r="L2823" i="48"/>
  <c r="M2912" i="48"/>
  <c r="M2914" i="48"/>
  <c r="R2931" i="48"/>
  <c r="T2931" i="48" s="1"/>
  <c r="M3011" i="48"/>
  <c r="M3464" i="48"/>
  <c r="M3746" i="48"/>
  <c r="K3771" i="48"/>
  <c r="L3771" i="48" s="1"/>
  <c r="L3856" i="48"/>
  <c r="T2570" i="48"/>
  <c r="M2596" i="48"/>
  <c r="M2608" i="48"/>
  <c r="M2609" i="48"/>
  <c r="T2666" i="48"/>
  <c r="M2703" i="48"/>
  <c r="M2706" i="48"/>
  <c r="M2757" i="48"/>
  <c r="M2808" i="48"/>
  <c r="M2809" i="48"/>
  <c r="J2810" i="48"/>
  <c r="H2882" i="48"/>
  <c r="N2882" i="48" s="1"/>
  <c r="M2886" i="48"/>
  <c r="M2927" i="48"/>
  <c r="M2947" i="48"/>
  <c r="M2958" i="48"/>
  <c r="H2991" i="48"/>
  <c r="N2991" i="48" s="1"/>
  <c r="M3136" i="48"/>
  <c r="M3224" i="48"/>
  <c r="J3311" i="48"/>
  <c r="N3311" i="48" s="1"/>
  <c r="M3350" i="48"/>
  <c r="H3394" i="48"/>
  <c r="N3394" i="48" s="1"/>
  <c r="M3435" i="48"/>
  <c r="M3442" i="48"/>
  <c r="M3444" i="48"/>
  <c r="M3463" i="48"/>
  <c r="M3555" i="48"/>
  <c r="J3597" i="48"/>
  <c r="N3597" i="48" s="1"/>
  <c r="H3601" i="48"/>
  <c r="N3601" i="48" s="1"/>
  <c r="J3742" i="48"/>
  <c r="N3742" i="48" s="1"/>
  <c r="J3744" i="48"/>
  <c r="N3744" i="48" s="1"/>
  <c r="H3746" i="48"/>
  <c r="N3746" i="48" s="1"/>
  <c r="J3757" i="48"/>
  <c r="N3757" i="48" s="1"/>
  <c r="M3766" i="48"/>
  <c r="M3829" i="48"/>
  <c r="M3835" i="48"/>
  <c r="L3852" i="48"/>
  <c r="L3853" i="48" s="1"/>
  <c r="M3863" i="48"/>
  <c r="M3887" i="48"/>
  <c r="L3891" i="48"/>
  <c r="N3891" i="48" s="1"/>
  <c r="L3893" i="48"/>
  <c r="N3893" i="48" s="1"/>
  <c r="T3900" i="48"/>
  <c r="H3979" i="48"/>
  <c r="N3979" i="48" s="1"/>
  <c r="H3983" i="48"/>
  <c r="N3983" i="48" s="1"/>
  <c r="L3992" i="48"/>
  <c r="N3992" i="48" s="1"/>
  <c r="L4011" i="48"/>
  <c r="Q2543" i="48"/>
  <c r="M2547" i="48"/>
  <c r="M2585" i="48"/>
  <c r="T2594" i="48"/>
  <c r="M2620" i="48"/>
  <c r="M2647" i="48"/>
  <c r="H2713" i="48"/>
  <c r="N2713" i="48" s="1"/>
  <c r="M2717" i="48"/>
  <c r="M2718" i="48"/>
  <c r="M2719" i="48"/>
  <c r="N2732" i="48"/>
  <c r="M2745" i="48"/>
  <c r="H2751" i="48"/>
  <c r="N2751" i="48" s="1"/>
  <c r="J2754" i="48"/>
  <c r="N2754" i="48" s="1"/>
  <c r="M2764" i="48"/>
  <c r="M2810" i="48"/>
  <c r="T2900" i="48"/>
  <c r="R2913" i="48"/>
  <c r="T2913" i="48" s="1"/>
  <c r="M2921" i="48"/>
  <c r="M2945" i="48"/>
  <c r="N2985" i="48"/>
  <c r="M3060" i="48"/>
  <c r="J3124" i="48"/>
  <c r="N3136" i="48"/>
  <c r="M3179" i="48"/>
  <c r="M3186" i="48"/>
  <c r="M3220" i="48"/>
  <c r="J3259" i="48"/>
  <c r="N3259" i="48" s="1"/>
  <c r="H3307" i="48"/>
  <c r="N3307" i="48" s="1"/>
  <c r="N3326" i="48"/>
  <c r="M3338" i="48"/>
  <c r="H3350" i="48"/>
  <c r="N3350" i="48" s="1"/>
  <c r="M3377" i="48"/>
  <c r="M3458" i="48"/>
  <c r="M3461" i="48"/>
  <c r="M3535" i="48"/>
  <c r="M3554" i="48"/>
  <c r="J3696" i="48"/>
  <c r="N3696" i="48" s="1"/>
  <c r="J3709" i="48"/>
  <c r="N3709" i="48" s="1"/>
  <c r="L3929" i="48"/>
  <c r="N3929" i="48" s="1"/>
  <c r="L4029" i="48"/>
  <c r="N4029" i="48" s="1"/>
  <c r="L4031" i="48"/>
  <c r="N4031" i="48" s="1"/>
  <c r="M4035" i="48"/>
  <c r="N235" i="48"/>
  <c r="L382" i="48"/>
  <c r="M474" i="48"/>
  <c r="H474" i="48"/>
  <c r="H478" i="48" s="1"/>
  <c r="M548" i="48"/>
  <c r="H548" i="48"/>
  <c r="N548" i="48" s="1"/>
  <c r="J801" i="48"/>
  <c r="J802" i="48" s="1"/>
  <c r="M801" i="48"/>
  <c r="M1360" i="48"/>
  <c r="L1360" i="48"/>
  <c r="N1360" i="48" s="1"/>
  <c r="M1425" i="48"/>
  <c r="L1425" i="48"/>
  <c r="N1425" i="48" s="1"/>
  <c r="M2001" i="48"/>
  <c r="H2001" i="48"/>
  <c r="N2001" i="48" s="1"/>
  <c r="M3357" i="48"/>
  <c r="H3357" i="48"/>
  <c r="J24" i="48"/>
  <c r="N24" i="48" s="1"/>
  <c r="J39" i="48"/>
  <c r="N39" i="48" s="1"/>
  <c r="L40" i="48"/>
  <c r="N40" i="48" s="1"/>
  <c r="J50" i="48"/>
  <c r="N50" i="48" s="1"/>
  <c r="M61" i="48"/>
  <c r="M76" i="48"/>
  <c r="M94" i="48"/>
  <c r="H97" i="48"/>
  <c r="H98" i="48" s="1"/>
  <c r="M106" i="48"/>
  <c r="M113" i="48"/>
  <c r="M119" i="48"/>
  <c r="M120" i="48"/>
  <c r="M129" i="48"/>
  <c r="J136" i="48"/>
  <c r="N136" i="48" s="1"/>
  <c r="M140" i="48"/>
  <c r="M149" i="48"/>
  <c r="H152" i="48"/>
  <c r="N152" i="48" s="1"/>
  <c r="N153" i="48" s="1"/>
  <c r="M163" i="48"/>
  <c r="M186" i="48"/>
  <c r="H192" i="48"/>
  <c r="H194" i="48" s="1"/>
  <c r="G3238" i="48" s="1"/>
  <c r="L192" i="48"/>
  <c r="L194" i="48" s="1"/>
  <c r="K3286" i="48" s="1"/>
  <c r="L3286" i="48" s="1"/>
  <c r="M208" i="48"/>
  <c r="L243" i="48"/>
  <c r="K276" i="48"/>
  <c r="M276" i="48" s="1"/>
  <c r="M295" i="48"/>
  <c r="M307" i="48"/>
  <c r="M336" i="48"/>
  <c r="M342" i="48"/>
  <c r="M360" i="48"/>
  <c r="M387" i="48"/>
  <c r="M402" i="48"/>
  <c r="H402" i="48"/>
  <c r="L403" i="48" s="1"/>
  <c r="L406" i="48"/>
  <c r="M506" i="48"/>
  <c r="H506" i="48"/>
  <c r="N506" i="48" s="1"/>
  <c r="M510" i="48"/>
  <c r="J510" i="48"/>
  <c r="N510" i="48" s="1"/>
  <c r="H541" i="48"/>
  <c r="N541" i="48" s="1"/>
  <c r="M541" i="48"/>
  <c r="M555" i="48"/>
  <c r="L555" i="48"/>
  <c r="L560" i="48" s="1"/>
  <c r="K1275" i="48" s="1"/>
  <c r="L1275" i="48" s="1"/>
  <c r="M755" i="48"/>
  <c r="H755" i="48"/>
  <c r="N755" i="48" s="1"/>
  <c r="M761" i="48"/>
  <c r="J761" i="48"/>
  <c r="M849" i="48"/>
  <c r="J849" i="48"/>
  <c r="M855" i="48"/>
  <c r="J855" i="48"/>
  <c r="J858" i="48" s="1"/>
  <c r="M955" i="48"/>
  <c r="J955" i="48"/>
  <c r="N955" i="48" s="1"/>
  <c r="M976" i="48"/>
  <c r="L976" i="48"/>
  <c r="N976" i="48" s="1"/>
  <c r="K1033" i="48"/>
  <c r="K1025" i="48"/>
  <c r="M1032" i="48"/>
  <c r="L1032" i="48"/>
  <c r="N1032" i="48" s="1"/>
  <c r="M1092" i="48"/>
  <c r="H1092" i="48"/>
  <c r="N1092" i="48" s="1"/>
  <c r="M1105" i="48"/>
  <c r="H1105" i="48"/>
  <c r="N1105" i="48" s="1"/>
  <c r="M1111" i="48"/>
  <c r="H1111" i="48"/>
  <c r="N1111" i="48" s="1"/>
  <c r="M1254" i="48"/>
  <c r="J1254" i="48"/>
  <c r="N1254" i="48" s="1"/>
  <c r="M1665" i="48"/>
  <c r="H1665" i="48"/>
  <c r="N1665" i="48" s="1"/>
  <c r="M1933" i="48"/>
  <c r="J1933" i="48"/>
  <c r="N1933" i="48" s="1"/>
  <c r="M1987" i="48"/>
  <c r="J1987" i="48"/>
  <c r="N1987" i="48" s="1"/>
  <c r="M2377" i="48"/>
  <c r="H2377" i="48"/>
  <c r="N2377" i="48" s="1"/>
  <c r="M2548" i="48"/>
  <c r="J2548" i="48"/>
  <c r="N2548" i="48" s="1"/>
  <c r="M2640" i="48"/>
  <c r="H2640" i="48"/>
  <c r="N2640" i="48" s="1"/>
  <c r="M2663" i="48"/>
  <c r="L2663" i="48"/>
  <c r="N2663" i="48" s="1"/>
  <c r="H468" i="48"/>
  <c r="N468" i="48" s="1"/>
  <c r="M468" i="48"/>
  <c r="M818" i="48"/>
  <c r="H818" i="48"/>
  <c r="N818" i="48" s="1"/>
  <c r="M848" i="48"/>
  <c r="H848" i="48"/>
  <c r="N848" i="48" s="1"/>
  <c r="M956" i="48"/>
  <c r="J956" i="48"/>
  <c r="N956" i="48" s="1"/>
  <c r="H1071" i="48"/>
  <c r="N1071" i="48" s="1"/>
  <c r="M1071" i="48"/>
  <c r="M1127" i="48"/>
  <c r="H1127" i="48"/>
  <c r="N1127" i="48" s="1"/>
  <c r="M1288" i="48"/>
  <c r="J1288" i="48"/>
  <c r="N1288" i="48" s="1"/>
  <c r="M2020" i="48"/>
  <c r="H2020" i="48"/>
  <c r="N2020" i="48" s="1"/>
  <c r="J44" i="48"/>
  <c r="N44" i="48" s="1"/>
  <c r="M51" i="48"/>
  <c r="M56" i="48"/>
  <c r="M79" i="48"/>
  <c r="M82" i="48"/>
  <c r="M103" i="48"/>
  <c r="J109" i="48"/>
  <c r="N109" i="48" s="1"/>
  <c r="M111" i="48"/>
  <c r="M118" i="48"/>
  <c r="M126" i="48"/>
  <c r="M133" i="48"/>
  <c r="M155" i="48"/>
  <c r="N158" i="48"/>
  <c r="M162" i="48"/>
  <c r="M167" i="48"/>
  <c r="M193" i="48"/>
  <c r="L200" i="48"/>
  <c r="M225" i="48"/>
  <c r="M240" i="48"/>
  <c r="M242" i="48"/>
  <c r="M246" i="48"/>
  <c r="M247" i="48"/>
  <c r="J269" i="48"/>
  <c r="N269" i="48" s="1"/>
  <c r="K270" i="48"/>
  <c r="M270" i="48" s="1"/>
  <c r="M280" i="48"/>
  <c r="M289" i="48"/>
  <c r="M301" i="48"/>
  <c r="M327" i="48"/>
  <c r="M348" i="48"/>
  <c r="M375" i="48"/>
  <c r="M378" i="48"/>
  <c r="M384" i="48"/>
  <c r="L456" i="48"/>
  <c r="L457" i="48" s="1"/>
  <c r="M456" i="48"/>
  <c r="H470" i="48"/>
  <c r="N470" i="48" s="1"/>
  <c r="M470" i="48"/>
  <c r="J672" i="48"/>
  <c r="N672" i="48" s="1"/>
  <c r="M659" i="48"/>
  <c r="L659" i="48"/>
  <c r="N659" i="48" s="1"/>
  <c r="M671" i="48"/>
  <c r="H671" i="48"/>
  <c r="N671" i="48" s="1"/>
  <c r="M743" i="48"/>
  <c r="H743" i="48"/>
  <c r="N743" i="48" s="1"/>
  <c r="M756" i="48"/>
  <c r="J756" i="48"/>
  <c r="M762" i="48"/>
  <c r="J762" i="48"/>
  <c r="N762" i="48" s="1"/>
  <c r="L816" i="48"/>
  <c r="N815" i="48"/>
  <c r="M850" i="48"/>
  <c r="J850" i="48"/>
  <c r="N850" i="48" s="1"/>
  <c r="H896" i="48"/>
  <c r="N896" i="48" s="1"/>
  <c r="M896" i="48"/>
  <c r="M902" i="48"/>
  <c r="H902" i="48"/>
  <c r="N902" i="48" s="1"/>
  <c r="M1615" i="48"/>
  <c r="J1615" i="48"/>
  <c r="N1615" i="48" s="1"/>
  <c r="M1808" i="48"/>
  <c r="H1808" i="48"/>
  <c r="N1808" i="48" s="1"/>
  <c r="N1927" i="48"/>
  <c r="M1984" i="48"/>
  <c r="H1984" i="48"/>
  <c r="N1984" i="48" s="1"/>
  <c r="M2286" i="48"/>
  <c r="J2286" i="48"/>
  <c r="N2286" i="48" s="1"/>
  <c r="L236" i="48"/>
  <c r="M499" i="48"/>
  <c r="L499" i="48"/>
  <c r="M503" i="48"/>
  <c r="J503" i="48"/>
  <c r="N503" i="48" s="1"/>
  <c r="M519" i="48"/>
  <c r="J519" i="48"/>
  <c r="N519" i="48" s="1"/>
  <c r="J566" i="48"/>
  <c r="N566" i="48" s="1"/>
  <c r="M566" i="48"/>
  <c r="M760" i="48"/>
  <c r="H760" i="48"/>
  <c r="M970" i="48"/>
  <c r="J970" i="48"/>
  <c r="L1530" i="48"/>
  <c r="N1530" i="48" s="1"/>
  <c r="M1530" i="48"/>
  <c r="M1852" i="48"/>
  <c r="J1852" i="48"/>
  <c r="N1852" i="48" s="1"/>
  <c r="H2738" i="48"/>
  <c r="N2738" i="48" s="1"/>
  <c r="M2738" i="48"/>
  <c r="H2946" i="48"/>
  <c r="N2946" i="48" s="1"/>
  <c r="M2946" i="48"/>
  <c r="M3729" i="48"/>
  <c r="H3729" i="48"/>
  <c r="N3729" i="48" s="1"/>
  <c r="J3848" i="48"/>
  <c r="N3848" i="48" s="1"/>
  <c r="M3848" i="48"/>
  <c r="M67" i="48"/>
  <c r="M70" i="48"/>
  <c r="M73" i="48"/>
  <c r="M100" i="48"/>
  <c r="M110" i="48"/>
  <c r="M166" i="48"/>
  <c r="M171" i="48"/>
  <c r="M179" i="48"/>
  <c r="L184" i="48"/>
  <c r="N193" i="48"/>
  <c r="M199" i="48"/>
  <c r="M210" i="48"/>
  <c r="M222" i="48"/>
  <c r="M228" i="48"/>
  <c r="M239" i="48"/>
  <c r="M257" i="48"/>
  <c r="M283" i="48"/>
  <c r="M292" i="48"/>
  <c r="M304" i="48"/>
  <c r="M324" i="48"/>
  <c r="M363" i="48"/>
  <c r="M366" i="48"/>
  <c r="L370" i="48"/>
  <c r="L394" i="48"/>
  <c r="M426" i="48"/>
  <c r="H426" i="48"/>
  <c r="N426" i="48" s="1"/>
  <c r="N427" i="48" s="1"/>
  <c r="M450" i="48"/>
  <c r="H450" i="48"/>
  <c r="L451" i="48" s="1"/>
  <c r="M508" i="48"/>
  <c r="H508" i="48"/>
  <c r="N508" i="48" s="1"/>
  <c r="M623" i="48"/>
  <c r="J623" i="48"/>
  <c r="N623" i="48" s="1"/>
  <c r="M712" i="48"/>
  <c r="J712" i="48"/>
  <c r="N712" i="48" s="1"/>
  <c r="M757" i="48"/>
  <c r="J757" i="48"/>
  <c r="N757" i="48" s="1"/>
  <c r="M795" i="48"/>
  <c r="J795" i="48"/>
  <c r="N795" i="48" s="1"/>
  <c r="M909" i="48"/>
  <c r="J909" i="48"/>
  <c r="M931" i="48"/>
  <c r="J931" i="48"/>
  <c r="N931" i="48" s="1"/>
  <c r="M945" i="48"/>
  <c r="J945" i="48"/>
  <c r="N945" i="48" s="1"/>
  <c r="M971" i="48"/>
  <c r="J971" i="48"/>
  <c r="N971" i="48" s="1"/>
  <c r="M977" i="48"/>
  <c r="M992" i="48"/>
  <c r="L992" i="48"/>
  <c r="N992" i="48" s="1"/>
  <c r="M1107" i="48"/>
  <c r="J1107" i="48"/>
  <c r="N1107" i="48" s="1"/>
  <c r="M1126" i="48"/>
  <c r="H1126" i="48"/>
  <c r="N1126" i="48" s="1"/>
  <c r="J1222" i="48"/>
  <c r="N1222" i="48" s="1"/>
  <c r="M1222" i="48"/>
  <c r="M1388" i="48"/>
  <c r="H1388" i="48"/>
  <c r="N1388" i="48" s="1"/>
  <c r="M1880" i="48"/>
  <c r="J1880" i="48"/>
  <c r="N1880" i="48" s="1"/>
  <c r="M396" i="48"/>
  <c r="M399" i="48"/>
  <c r="M420" i="48"/>
  <c r="M444" i="48"/>
  <c r="M447" i="48"/>
  <c r="J590" i="48"/>
  <c r="N590" i="48" s="1"/>
  <c r="J665" i="48"/>
  <c r="N665" i="48" s="1"/>
  <c r="J683" i="48"/>
  <c r="N683" i="48" s="1"/>
  <c r="M829" i="48"/>
  <c r="J1095" i="48"/>
  <c r="N1095" i="48" s="1"/>
  <c r="K1057" i="48"/>
  <c r="K1065" i="48"/>
  <c r="M1267" i="48"/>
  <c r="M1363" i="48"/>
  <c r="M1382" i="48"/>
  <c r="M1400" i="48"/>
  <c r="M1468" i="48"/>
  <c r="M1478" i="48"/>
  <c r="M1576" i="48"/>
  <c r="N1660" i="48"/>
  <c r="N1661" i="48"/>
  <c r="K1704" i="48"/>
  <c r="L1704" i="48" s="1"/>
  <c r="L1706" i="48" s="1"/>
  <c r="L1670" i="48"/>
  <c r="G1764" i="48"/>
  <c r="H1764" i="48" s="1"/>
  <c r="N1764" i="48" s="1"/>
  <c r="H1677" i="48"/>
  <c r="M1702" i="48"/>
  <c r="J1702" i="48"/>
  <c r="N1702" i="48" s="1"/>
  <c r="N1884" i="48"/>
  <c r="N1904" i="48"/>
  <c r="N1938" i="48"/>
  <c r="M1947" i="48"/>
  <c r="H1947" i="48"/>
  <c r="N1947" i="48" s="1"/>
  <c r="M1972" i="48"/>
  <c r="M1977" i="48"/>
  <c r="M1991" i="48"/>
  <c r="H1991" i="48"/>
  <c r="N1991" i="48" s="1"/>
  <c r="M1995" i="48"/>
  <c r="H1995" i="48"/>
  <c r="N1995" i="48" s="1"/>
  <c r="M2038" i="48"/>
  <c r="M2042" i="48"/>
  <c r="M2043" i="48"/>
  <c r="M2045" i="48"/>
  <c r="M2059" i="48"/>
  <c r="M2067" i="48"/>
  <c r="M2070" i="48"/>
  <c r="J2070" i="48"/>
  <c r="N2070" i="48" s="1"/>
  <c r="L2084" i="48"/>
  <c r="M2089" i="48"/>
  <c r="M2090" i="48"/>
  <c r="J2090" i="48"/>
  <c r="N2090" i="48" s="1"/>
  <c r="L2117" i="48"/>
  <c r="M2136" i="48"/>
  <c r="M2138" i="48"/>
  <c r="L2150" i="48"/>
  <c r="M2156" i="48"/>
  <c r="M2201" i="48"/>
  <c r="H2201" i="48"/>
  <c r="N2201" i="48" s="1"/>
  <c r="J2242" i="48"/>
  <c r="N2242" i="48" s="1"/>
  <c r="M2242" i="48"/>
  <c r="N2269" i="48"/>
  <c r="N2303" i="48"/>
  <c r="M2362" i="48"/>
  <c r="H2362" i="48"/>
  <c r="N2362" i="48" s="1"/>
  <c r="M2428" i="48"/>
  <c r="J2428" i="48"/>
  <c r="N2428" i="48" s="1"/>
  <c r="M2615" i="48"/>
  <c r="H2615" i="48"/>
  <c r="N2615" i="48" s="1"/>
  <c r="M2920" i="48"/>
  <c r="H2920" i="48"/>
  <c r="N2920" i="48" s="1"/>
  <c r="J2989" i="48"/>
  <c r="J2992" i="48" s="1"/>
  <c r="I3026" i="48" s="1"/>
  <c r="J3026" i="48" s="1"/>
  <c r="M2989" i="48"/>
  <c r="M3114" i="48"/>
  <c r="H3114" i="48"/>
  <c r="N3114" i="48" s="1"/>
  <c r="J3462" i="48"/>
  <c r="N3462" i="48" s="1"/>
  <c r="M3462" i="48"/>
  <c r="M414" i="48"/>
  <c r="L430" i="48"/>
  <c r="M435" i="48"/>
  <c r="L439" i="48"/>
  <c r="J571" i="48"/>
  <c r="N571" i="48" s="1"/>
  <c r="M563" i="48"/>
  <c r="M618" i="48"/>
  <c r="J827" i="48"/>
  <c r="N827" i="48" s="1"/>
  <c r="H800" i="48"/>
  <c r="H802" i="48" s="1"/>
  <c r="M804" i="48"/>
  <c r="H811" i="48"/>
  <c r="H812" i="48"/>
  <c r="N812" i="48" s="1"/>
  <c r="J814" i="48"/>
  <c r="N814" i="48" s="1"/>
  <c r="J829" i="48"/>
  <c r="M844" i="48"/>
  <c r="H854" i="48"/>
  <c r="N854" i="48" s="1"/>
  <c r="J861" i="48"/>
  <c r="J880" i="48"/>
  <c r="N880" i="48" s="1"/>
  <c r="H884" i="48"/>
  <c r="N884" i="48" s="1"/>
  <c r="J886" i="48"/>
  <c r="N886" i="48" s="1"/>
  <c r="M920" i="48"/>
  <c r="M1009" i="48"/>
  <c r="M1040" i="48"/>
  <c r="J1101" i="48"/>
  <c r="N1101" i="48" s="1"/>
  <c r="H1086" i="48"/>
  <c r="N1086" i="48" s="1"/>
  <c r="H1103" i="48"/>
  <c r="M1100" i="48"/>
  <c r="J1161" i="48"/>
  <c r="N1161" i="48" s="1"/>
  <c r="J1166" i="48"/>
  <c r="J1167" i="48" s="1"/>
  <c r="J1206" i="48"/>
  <c r="N1206" i="48" s="1"/>
  <c r="J1238" i="48"/>
  <c r="N1238" i="48" s="1"/>
  <c r="J1265" i="48"/>
  <c r="J1271" i="48"/>
  <c r="N1271" i="48" s="1"/>
  <c r="M1315" i="48"/>
  <c r="M1323" i="48"/>
  <c r="M1333" i="48"/>
  <c r="M1465" i="48"/>
  <c r="L1465" i="48"/>
  <c r="N1465" i="48" s="1"/>
  <c r="M1565" i="48"/>
  <c r="M1658" i="48"/>
  <c r="J1658" i="48"/>
  <c r="N1658" i="48" s="1"/>
  <c r="I1756" i="48"/>
  <c r="J1756" i="48" s="1"/>
  <c r="J1669" i="48"/>
  <c r="M1708" i="48"/>
  <c r="H1708" i="48"/>
  <c r="N1708" i="48" s="1"/>
  <c r="J1727" i="48"/>
  <c r="N1727" i="48" s="1"/>
  <c r="M1727" i="48"/>
  <c r="M1817" i="48"/>
  <c r="H1817" i="48"/>
  <c r="N1817" i="48" s="1"/>
  <c r="M1863" i="48"/>
  <c r="M1990" i="48"/>
  <c r="M1994" i="48"/>
  <c r="M2026" i="48"/>
  <c r="M2082" i="48"/>
  <c r="H2082" i="48"/>
  <c r="N2082" i="48" s="1"/>
  <c r="L2095" i="48"/>
  <c r="L2128" i="48"/>
  <c r="M2124" i="48"/>
  <c r="M2181" i="48"/>
  <c r="H2181" i="48"/>
  <c r="N2181" i="48" s="1"/>
  <c r="N2186" i="48"/>
  <c r="M2199" i="48"/>
  <c r="H2199" i="48"/>
  <c r="N2199" i="48" s="1"/>
  <c r="M2239" i="48"/>
  <c r="H2239" i="48"/>
  <c r="N2239" i="48" s="1"/>
  <c r="M2245" i="48"/>
  <c r="H2245" i="48"/>
  <c r="N2245" i="48" s="1"/>
  <c r="M2257" i="48"/>
  <c r="J2257" i="48"/>
  <c r="N2257" i="48" s="1"/>
  <c r="M2285" i="48"/>
  <c r="H2285" i="48"/>
  <c r="N2285" i="48" s="1"/>
  <c r="M2426" i="48"/>
  <c r="H2426" i="48"/>
  <c r="N2426" i="48" s="1"/>
  <c r="H2855" i="48"/>
  <c r="N2855" i="48" s="1"/>
  <c r="M2855" i="48"/>
  <c r="N3139" i="48"/>
  <c r="H3460" i="48"/>
  <c r="N3460" i="48" s="1"/>
  <c r="M3460" i="48"/>
  <c r="M408" i="48"/>
  <c r="H414" i="48"/>
  <c r="L415" i="48" s="1"/>
  <c r="M469" i="48"/>
  <c r="M471" i="48"/>
  <c r="L507" i="48"/>
  <c r="N507" i="48" s="1"/>
  <c r="H509" i="48"/>
  <c r="N509" i="48" s="1"/>
  <c r="J511" i="48"/>
  <c r="N511" i="48" s="1"/>
  <c r="J577" i="48"/>
  <c r="N577" i="48" s="1"/>
  <c r="J572" i="48"/>
  <c r="N572" i="48" s="1"/>
  <c r="J675" i="48"/>
  <c r="N675" i="48" s="1"/>
  <c r="H649" i="48"/>
  <c r="N649" i="48" s="1"/>
  <c r="J651" i="48"/>
  <c r="N651" i="48" s="1"/>
  <c r="H682" i="48"/>
  <c r="N682" i="48" s="1"/>
  <c r="J738" i="48"/>
  <c r="N738" i="48" s="1"/>
  <c r="H784" i="48"/>
  <c r="N784" i="48" s="1"/>
  <c r="M813" i="48"/>
  <c r="M815" i="48"/>
  <c r="M828" i="48"/>
  <c r="J930" i="48"/>
  <c r="N930" i="48" s="1"/>
  <c r="J950" i="48"/>
  <c r="N950" i="48" s="1"/>
  <c r="I1017" i="48"/>
  <c r="L1024" i="48"/>
  <c r="N1024" i="48" s="1"/>
  <c r="J1073" i="48"/>
  <c r="J1094" i="48"/>
  <c r="N1094" i="48" s="1"/>
  <c r="M1099" i="48"/>
  <c r="J1102" i="48"/>
  <c r="N1102" i="48" s="1"/>
  <c r="H1106" i="48"/>
  <c r="N1106" i="48" s="1"/>
  <c r="J1108" i="48"/>
  <c r="N1108" i="48" s="1"/>
  <c r="H1112" i="48"/>
  <c r="N1112" i="48" s="1"/>
  <c r="J1257" i="48"/>
  <c r="J1262" i="48"/>
  <c r="N1262" i="48" s="1"/>
  <c r="J1270" i="48"/>
  <c r="N1270" i="48" s="1"/>
  <c r="M1309" i="48"/>
  <c r="M1343" i="48"/>
  <c r="M1373" i="48"/>
  <c r="M1391" i="48"/>
  <c r="L1445" i="48"/>
  <c r="N1445" i="48" s="1"/>
  <c r="M1505" i="48"/>
  <c r="M1511" i="48"/>
  <c r="H1511" i="48"/>
  <c r="N1511" i="48" s="1"/>
  <c r="M1587" i="48"/>
  <c r="J1648" i="48"/>
  <c r="J1650" i="48" s="1"/>
  <c r="N1671" i="48"/>
  <c r="M1675" i="48"/>
  <c r="H1675" i="48"/>
  <c r="N1675" i="48" s="1"/>
  <c r="N1686" i="48"/>
  <c r="N1687" i="48"/>
  <c r="H1716" i="48"/>
  <c r="N1716" i="48" s="1"/>
  <c r="M1735" i="48"/>
  <c r="H1735" i="48"/>
  <c r="N1735" i="48" s="1"/>
  <c r="H1744" i="48"/>
  <c r="N1744" i="48" s="1"/>
  <c r="M1758" i="48"/>
  <c r="H1769" i="48"/>
  <c r="N1769" i="48" s="1"/>
  <c r="M1792" i="48"/>
  <c r="J1792" i="48"/>
  <c r="N1792" i="48" s="1"/>
  <c r="N1830" i="48"/>
  <c r="N1840" i="48"/>
  <c r="M1851" i="48"/>
  <c r="H1861" i="48"/>
  <c r="N1861" i="48" s="1"/>
  <c r="N1907" i="48"/>
  <c r="H1953" i="48"/>
  <c r="N1953" i="48" s="1"/>
  <c r="M1985" i="48"/>
  <c r="H1985" i="48"/>
  <c r="N1985" i="48" s="1"/>
  <c r="M1989" i="48"/>
  <c r="J1989" i="48"/>
  <c r="N1989" i="48" s="1"/>
  <c r="M1993" i="48"/>
  <c r="J1993" i="48"/>
  <c r="N1993" i="48" s="1"/>
  <c r="M2022" i="48"/>
  <c r="M2071" i="48"/>
  <c r="H2072" i="48"/>
  <c r="N2072" i="48" s="1"/>
  <c r="J2076" i="48"/>
  <c r="N2076" i="48" s="1"/>
  <c r="M2076" i="48"/>
  <c r="M2083" i="48"/>
  <c r="M2092" i="48"/>
  <c r="H2092" i="48"/>
  <c r="N2092" i="48" s="1"/>
  <c r="J2110" i="48"/>
  <c r="N2110" i="48" s="1"/>
  <c r="M2110" i="48"/>
  <c r="H2179" i="48"/>
  <c r="N2179" i="48" s="1"/>
  <c r="N2215" i="48"/>
  <c r="H2223" i="48"/>
  <c r="N2223" i="48" s="1"/>
  <c r="M2223" i="48"/>
  <c r="M2259" i="48"/>
  <c r="H2259" i="48"/>
  <c r="N2259" i="48" s="1"/>
  <c r="M2263" i="48"/>
  <c r="H2263" i="48"/>
  <c r="N2263" i="48" s="1"/>
  <c r="M2283" i="48"/>
  <c r="H2283" i="48"/>
  <c r="N2283" i="48" s="1"/>
  <c r="M2350" i="48"/>
  <c r="J2350" i="48"/>
  <c r="N2350" i="48" s="1"/>
  <c r="M2381" i="48"/>
  <c r="H2381" i="48"/>
  <c r="N2381" i="48" s="1"/>
  <c r="H2579" i="48"/>
  <c r="N2579" i="48" s="1"/>
  <c r="M2579" i="48"/>
  <c r="H2829" i="48"/>
  <c r="N2829" i="48" s="1"/>
  <c r="M2829" i="48"/>
  <c r="M3016" i="48"/>
  <c r="L3016" i="48"/>
  <c r="N3016" i="48" s="1"/>
  <c r="M3398" i="48"/>
  <c r="H3398" i="48"/>
  <c r="N3398" i="48" s="1"/>
  <c r="M2368" i="48"/>
  <c r="J2368" i="48"/>
  <c r="N2368" i="48" s="1"/>
  <c r="M2387" i="48"/>
  <c r="J2387" i="48"/>
  <c r="N2387" i="48" s="1"/>
  <c r="M2604" i="48"/>
  <c r="H2604" i="48"/>
  <c r="N2604" i="48" s="1"/>
  <c r="M2646" i="48"/>
  <c r="M2658" i="48"/>
  <c r="M2805" i="48"/>
  <c r="J2805" i="48"/>
  <c r="N2805" i="48" s="1"/>
  <c r="M2807" i="48"/>
  <c r="J2807" i="48"/>
  <c r="N2807" i="48" s="1"/>
  <c r="H3017" i="48"/>
  <c r="N3017" i="48" s="1"/>
  <c r="M3017" i="48"/>
  <c r="M3079" i="48"/>
  <c r="J3079" i="48"/>
  <c r="N3079" i="48" s="1"/>
  <c r="J3275" i="48"/>
  <c r="N3275" i="48" s="1"/>
  <c r="M3275" i="48"/>
  <c r="M3313" i="48"/>
  <c r="H3313" i="48"/>
  <c r="N3313" i="48" s="1"/>
  <c r="M3322" i="48"/>
  <c r="J3322" i="48"/>
  <c r="M3436" i="48"/>
  <c r="H3436" i="48"/>
  <c r="N3436" i="48" s="1"/>
  <c r="M3486" i="48"/>
  <c r="J3486" i="48"/>
  <c r="N3486" i="48" s="1"/>
  <c r="M3662" i="48"/>
  <c r="J3662" i="48"/>
  <c r="J3680" i="48"/>
  <c r="N3680" i="48" s="1"/>
  <c r="M3680" i="48"/>
  <c r="M3695" i="48"/>
  <c r="J3695" i="48"/>
  <c r="N3695" i="48" s="1"/>
  <c r="M3707" i="48"/>
  <c r="H3707" i="48"/>
  <c r="N3707" i="48" s="1"/>
  <c r="M3903" i="48"/>
  <c r="L3903" i="48"/>
  <c r="N3903" i="48" s="1"/>
  <c r="M3915" i="48"/>
  <c r="L3915" i="48"/>
  <c r="L3921" i="48"/>
  <c r="N3921" i="48" s="1"/>
  <c r="M3921" i="48"/>
  <c r="M3927" i="48"/>
  <c r="L3927" i="48"/>
  <c r="N3927" i="48" s="1"/>
  <c r="M3945" i="48"/>
  <c r="L3945" i="48"/>
  <c r="N3945" i="48" s="1"/>
  <c r="M3970" i="48"/>
  <c r="L3970" i="48"/>
  <c r="N3970" i="48" s="1"/>
  <c r="M3996" i="48"/>
  <c r="L3996" i="48"/>
  <c r="N3996" i="48" s="1"/>
  <c r="J1503" i="48"/>
  <c r="N1503" i="48" s="1"/>
  <c r="M1493" i="48"/>
  <c r="M1523" i="48"/>
  <c r="M1531" i="48"/>
  <c r="M1543" i="48"/>
  <c r="M1564" i="48"/>
  <c r="M1575" i="48"/>
  <c r="N1697" i="48"/>
  <c r="M1749" i="48"/>
  <c r="L1772" i="48"/>
  <c r="K3093" i="48" s="1"/>
  <c r="L3093" i="48" s="1"/>
  <c r="M1771" i="48"/>
  <c r="L1782" i="48"/>
  <c r="K1868" i="48" s="1"/>
  <c r="L1868" i="48" s="1"/>
  <c r="M1786" i="48"/>
  <c r="M1796" i="48"/>
  <c r="M1806" i="48"/>
  <c r="M1807" i="48"/>
  <c r="M1818" i="48"/>
  <c r="M1842" i="48"/>
  <c r="M1850" i="48"/>
  <c r="M1862" i="48"/>
  <c r="M1895" i="48"/>
  <c r="M1957" i="48"/>
  <c r="M1962" i="48"/>
  <c r="M1975" i="48"/>
  <c r="M1980" i="48"/>
  <c r="M2004" i="48"/>
  <c r="M2006" i="48"/>
  <c r="M2011" i="48"/>
  <c r="M2025" i="48"/>
  <c r="M2036" i="48"/>
  <c r="M2040" i="48"/>
  <c r="M2044" i="48"/>
  <c r="M2047" i="48"/>
  <c r="M2053" i="48"/>
  <c r="M2061" i="48"/>
  <c r="M2068" i="48"/>
  <c r="M2078" i="48"/>
  <c r="M2079" i="48"/>
  <c r="M2080" i="48"/>
  <c r="M2094" i="48"/>
  <c r="M2104" i="48"/>
  <c r="M2105" i="48"/>
  <c r="M2116" i="48"/>
  <c r="M2122" i="48"/>
  <c r="M2134" i="48"/>
  <c r="M2155" i="48"/>
  <c r="J2212" i="48"/>
  <c r="N2212" i="48" s="1"/>
  <c r="M2212" i="48"/>
  <c r="M2232" i="48"/>
  <c r="J2232" i="48"/>
  <c r="N2232" i="48" s="1"/>
  <c r="M2258" i="48"/>
  <c r="M2262" i="48"/>
  <c r="M2307" i="48"/>
  <c r="H2307" i="48"/>
  <c r="N2307" i="48" s="1"/>
  <c r="M2318" i="48"/>
  <c r="H2318" i="48"/>
  <c r="N2318" i="48" s="1"/>
  <c r="M2331" i="48"/>
  <c r="J2331" i="48"/>
  <c r="N2331" i="48" s="1"/>
  <c r="J2348" i="48"/>
  <c r="N2348" i="48" s="1"/>
  <c r="M2364" i="48"/>
  <c r="J2364" i="48"/>
  <c r="N2364" i="48" s="1"/>
  <c r="J2379" i="48"/>
  <c r="N2379" i="48" s="1"/>
  <c r="M2396" i="48"/>
  <c r="H2424" i="48"/>
  <c r="N2424" i="48" s="1"/>
  <c r="M2499" i="48"/>
  <c r="J2499" i="48"/>
  <c r="N2499" i="48" s="1"/>
  <c r="M2557" i="48"/>
  <c r="L2557" i="48"/>
  <c r="M2699" i="48"/>
  <c r="M2869" i="48"/>
  <c r="H2907" i="48"/>
  <c r="N2907" i="48" s="1"/>
  <c r="M2907" i="48"/>
  <c r="H2934" i="48"/>
  <c r="N2934" i="48" s="1"/>
  <c r="M2934" i="48"/>
  <c r="M2990" i="48"/>
  <c r="M2995" i="48"/>
  <c r="J3039" i="48"/>
  <c r="N3039" i="48" s="1"/>
  <c r="M3077" i="48"/>
  <c r="J3077" i="48"/>
  <c r="N3077" i="48" s="1"/>
  <c r="M3134" i="48"/>
  <c r="J3134" i="48"/>
  <c r="N3134" i="48" s="1"/>
  <c r="J3172" i="48"/>
  <c r="N3172" i="48" s="1"/>
  <c r="M3172" i="48"/>
  <c r="M3227" i="48"/>
  <c r="H3227" i="48"/>
  <c r="M3300" i="48"/>
  <c r="J3300" i="48"/>
  <c r="N3300" i="48" s="1"/>
  <c r="M3327" i="48"/>
  <c r="J3327" i="48"/>
  <c r="N3327" i="48" s="1"/>
  <c r="J3334" i="48"/>
  <c r="L1698" i="48"/>
  <c r="N1713" i="48"/>
  <c r="M1722" i="48"/>
  <c r="H1743" i="48"/>
  <c r="N1743" i="48" s="1"/>
  <c r="J1745" i="48"/>
  <c r="N1745" i="48" s="1"/>
  <c r="H1749" i="48"/>
  <c r="N1749" i="48" s="1"/>
  <c r="M1766" i="48"/>
  <c r="H1771" i="48"/>
  <c r="N1771" i="48" s="1"/>
  <c r="M1801" i="48"/>
  <c r="M1840" i="48"/>
  <c r="M1849" i="48"/>
  <c r="H1850" i="48"/>
  <c r="N1850" i="48" s="1"/>
  <c r="M1873" i="48"/>
  <c r="M1886" i="48"/>
  <c r="M1903" i="48"/>
  <c r="N1908" i="48"/>
  <c r="M1913" i="48"/>
  <c r="M1924" i="48"/>
  <c r="M1956" i="48"/>
  <c r="M1961" i="48"/>
  <c r="H1969" i="48"/>
  <c r="N1969" i="48" s="1"/>
  <c r="M1974" i="48"/>
  <c r="M1979" i="48"/>
  <c r="J1986" i="48"/>
  <c r="N1986" i="48" s="1"/>
  <c r="M2010" i="48"/>
  <c r="J2019" i="48"/>
  <c r="N2019" i="48" s="1"/>
  <c r="M2039" i="48"/>
  <c r="M2046" i="48"/>
  <c r="M2060" i="48"/>
  <c r="J2066" i="48"/>
  <c r="N2066" i="48" s="1"/>
  <c r="H2068" i="48"/>
  <c r="N2068" i="48" s="1"/>
  <c r="H2078" i="48"/>
  <c r="N2078" i="48" s="1"/>
  <c r="J2080" i="48"/>
  <c r="N2080" i="48" s="1"/>
  <c r="J2094" i="48"/>
  <c r="N2094" i="48" s="1"/>
  <c r="J2098" i="48"/>
  <c r="N2098" i="48" s="1"/>
  <c r="M2100" i="48"/>
  <c r="M2102" i="48"/>
  <c r="M2103" i="48"/>
  <c r="H2105" i="48"/>
  <c r="N2105" i="48" s="1"/>
  <c r="N2113" i="48"/>
  <c r="M2114" i="48"/>
  <c r="M2115" i="48"/>
  <c r="M2127" i="48"/>
  <c r="M2133" i="48"/>
  <c r="M2135" i="48"/>
  <c r="M2137" i="48"/>
  <c r="M2147" i="48"/>
  <c r="L2161" i="48"/>
  <c r="H2165" i="48"/>
  <c r="N2165" i="48" s="1"/>
  <c r="M2183" i="48"/>
  <c r="J2183" i="48"/>
  <c r="N2183" i="48" s="1"/>
  <c r="L2204" i="48"/>
  <c r="M2215" i="48"/>
  <c r="M2217" i="48"/>
  <c r="H2217" i="48"/>
  <c r="N2217" i="48" s="1"/>
  <c r="N2224" i="48"/>
  <c r="M2226" i="48"/>
  <c r="J2226" i="48"/>
  <c r="N2226" i="48" s="1"/>
  <c r="M2243" i="48"/>
  <c r="J2243" i="48"/>
  <c r="N2243" i="48" s="1"/>
  <c r="N2247" i="48"/>
  <c r="M2261" i="48"/>
  <c r="J2261" i="48"/>
  <c r="N2261" i="48" s="1"/>
  <c r="H2268" i="48"/>
  <c r="N2268" i="48" s="1"/>
  <c r="N2270" i="48"/>
  <c r="N2284" i="48"/>
  <c r="M2306" i="48"/>
  <c r="H2314" i="48"/>
  <c r="N2314" i="48" s="1"/>
  <c r="H2345" i="48"/>
  <c r="N2345" i="48" s="1"/>
  <c r="M2352" i="48"/>
  <c r="H2352" i="48"/>
  <c r="N2352" i="48" s="1"/>
  <c r="H2360" i="48"/>
  <c r="N2360" i="48" s="1"/>
  <c r="M2366" i="48"/>
  <c r="H2366" i="48"/>
  <c r="N2366" i="48" s="1"/>
  <c r="M2370" i="48"/>
  <c r="H2370" i="48"/>
  <c r="N2370" i="48" s="1"/>
  <c r="N2378" i="48"/>
  <c r="M2385" i="48"/>
  <c r="H2393" i="48"/>
  <c r="N2393" i="48" s="1"/>
  <c r="N2410" i="48"/>
  <c r="H2418" i="48"/>
  <c r="N2418" i="48" s="1"/>
  <c r="M2418" i="48"/>
  <c r="M2452" i="48"/>
  <c r="M2457" i="48"/>
  <c r="M2463" i="48"/>
  <c r="M2466" i="48"/>
  <c r="M2467" i="48"/>
  <c r="M2484" i="48"/>
  <c r="L2561" i="48"/>
  <c r="M2563" i="48"/>
  <c r="H2563" i="48"/>
  <c r="H2564" i="48" s="1"/>
  <c r="M2568" i="48"/>
  <c r="M2574" i="48"/>
  <c r="H2592" i="48"/>
  <c r="N2592" i="48" s="1"/>
  <c r="L2602" i="48"/>
  <c r="N2602" i="48" s="1"/>
  <c r="H2675" i="48"/>
  <c r="N2675" i="48" s="1"/>
  <c r="M2675" i="48"/>
  <c r="M2692" i="48"/>
  <c r="M2693" i="48"/>
  <c r="N2730" i="48"/>
  <c r="M2737" i="48"/>
  <c r="L2737" i="48"/>
  <c r="N2737" i="48" s="1"/>
  <c r="M2767" i="48"/>
  <c r="H2767" i="48"/>
  <c r="N2767" i="48" s="1"/>
  <c r="M2804" i="48"/>
  <c r="H2804" i="48"/>
  <c r="N2804" i="48" s="1"/>
  <c r="M2806" i="48"/>
  <c r="J2806" i="48"/>
  <c r="N2806" i="48" s="1"/>
  <c r="M2939" i="48"/>
  <c r="M2951" i="48"/>
  <c r="J2959" i="48"/>
  <c r="N2959" i="48" s="1"/>
  <c r="M2959" i="48"/>
  <c r="M2974" i="48"/>
  <c r="J2980" i="48"/>
  <c r="J2982" i="48" s="1"/>
  <c r="I3018" i="48" s="1"/>
  <c r="J3018" i="48" s="1"/>
  <c r="L3035" i="48"/>
  <c r="N3035" i="48" s="1"/>
  <c r="M3035" i="48"/>
  <c r="M3125" i="48"/>
  <c r="J3125" i="48"/>
  <c r="N3125" i="48" s="1"/>
  <c r="J3170" i="48"/>
  <c r="M3170" i="48"/>
  <c r="M2170" i="48"/>
  <c r="M2195" i="48"/>
  <c r="M2200" i="48"/>
  <c r="M2203" i="48"/>
  <c r="N2216" i="48"/>
  <c r="M2230" i="48"/>
  <c r="N2246" i="48"/>
  <c r="M2255" i="48"/>
  <c r="M2273" i="48"/>
  <c r="M2274" i="48"/>
  <c r="M2276" i="48"/>
  <c r="M2277" i="48"/>
  <c r="M2278" i="48"/>
  <c r="M2291" i="48"/>
  <c r="M2292" i="48"/>
  <c r="M2293" i="48"/>
  <c r="M2305" i="48"/>
  <c r="M2321" i="48"/>
  <c r="M2322" i="48"/>
  <c r="M2329" i="48"/>
  <c r="N2330" i="48"/>
  <c r="M2354" i="48"/>
  <c r="M2355" i="48"/>
  <c r="M2397" i="48"/>
  <c r="M2403" i="48"/>
  <c r="M2409" i="48"/>
  <c r="N2414" i="48"/>
  <c r="M2451" i="48"/>
  <c r="M2462" i="48"/>
  <c r="M2476" i="48"/>
  <c r="M2480" i="48"/>
  <c r="M2584" i="48"/>
  <c r="M2621" i="48"/>
  <c r="M2634" i="48"/>
  <c r="M2657" i="48"/>
  <c r="M2705" i="48"/>
  <c r="M2743" i="48"/>
  <c r="M2744" i="48"/>
  <c r="M2822" i="48"/>
  <c r="M2835" i="48"/>
  <c r="H2843" i="48"/>
  <c r="N2843" i="48" s="1"/>
  <c r="M2843" i="48"/>
  <c r="M2899" i="48"/>
  <c r="M2901" i="48"/>
  <c r="M2926" i="48"/>
  <c r="M2938" i="48"/>
  <c r="M2953" i="48"/>
  <c r="H2957" i="48"/>
  <c r="N2957" i="48" s="1"/>
  <c r="M2957" i="48"/>
  <c r="M2967" i="48"/>
  <c r="M3004" i="48"/>
  <c r="H3004" i="48"/>
  <c r="N3004" i="48" s="1"/>
  <c r="M3057" i="48"/>
  <c r="H3057" i="48"/>
  <c r="N3057" i="48" s="1"/>
  <c r="N3080" i="48"/>
  <c r="M3113" i="48"/>
  <c r="H3113" i="48"/>
  <c r="M3115" i="48"/>
  <c r="H3115" i="48"/>
  <c r="N3115" i="48" s="1"/>
  <c r="M3137" i="48"/>
  <c r="H3137" i="48"/>
  <c r="N3137" i="48" s="1"/>
  <c r="J3204" i="48"/>
  <c r="N3204" i="48" s="1"/>
  <c r="M3204" i="48"/>
  <c r="J3405" i="48"/>
  <c r="N3405" i="48" s="1"/>
  <c r="M3405" i="48"/>
  <c r="M3433" i="48"/>
  <c r="J3433" i="48"/>
  <c r="N3433" i="48" s="1"/>
  <c r="M2186" i="48"/>
  <c r="H2193" i="48"/>
  <c r="N2193" i="48" s="1"/>
  <c r="H2195" i="48"/>
  <c r="N2195" i="48" s="1"/>
  <c r="H2203" i="48"/>
  <c r="N2203" i="48" s="1"/>
  <c r="M2208" i="48"/>
  <c r="M2213" i="48"/>
  <c r="M2218" i="48"/>
  <c r="M2224" i="48"/>
  <c r="M2225" i="48"/>
  <c r="M2228" i="48"/>
  <c r="M2229" i="48"/>
  <c r="H2230" i="48"/>
  <c r="N2230" i="48" s="1"/>
  <c r="M2247" i="48"/>
  <c r="M2248" i="48"/>
  <c r="N2254" i="48"/>
  <c r="H2255" i="48"/>
  <c r="N2255" i="48" s="1"/>
  <c r="M2270" i="48"/>
  <c r="H2274" i="48"/>
  <c r="N2274" i="48" s="1"/>
  <c r="J2276" i="48"/>
  <c r="N2276" i="48" s="1"/>
  <c r="H2278" i="48"/>
  <c r="N2278" i="48" s="1"/>
  <c r="M2288" i="48"/>
  <c r="J2291" i="48"/>
  <c r="N2291" i="48" s="1"/>
  <c r="H2293" i="48"/>
  <c r="N2293" i="48" s="1"/>
  <c r="M2299" i="48"/>
  <c r="N2300" i="48"/>
  <c r="M2303" i="48"/>
  <c r="J2305" i="48"/>
  <c r="N2305" i="48" s="1"/>
  <c r="N2315" i="48"/>
  <c r="M2316" i="48"/>
  <c r="M2320" i="48"/>
  <c r="H2322" i="48"/>
  <c r="N2322" i="48" s="1"/>
  <c r="H2329" i="48"/>
  <c r="N2329" i="48" s="1"/>
  <c r="J2333" i="48"/>
  <c r="N2333" i="48" s="1"/>
  <c r="M2335" i="48"/>
  <c r="M2336" i="48"/>
  <c r="M2337" i="48"/>
  <c r="H2344" i="48"/>
  <c r="N2344" i="48" s="1"/>
  <c r="M2346" i="48"/>
  <c r="J2354" i="48"/>
  <c r="N2354" i="48" s="1"/>
  <c r="H2392" i="48"/>
  <c r="N2392" i="48" s="1"/>
  <c r="M2394" i="48"/>
  <c r="H2409" i="48"/>
  <c r="N2409" i="48" s="1"/>
  <c r="M2430" i="48"/>
  <c r="M2434" i="48"/>
  <c r="M2441" i="48"/>
  <c r="M2443" i="48"/>
  <c r="N2475" i="48"/>
  <c r="H2476" i="48"/>
  <c r="N2476" i="48" s="1"/>
  <c r="M2479" i="48"/>
  <c r="M2560" i="48"/>
  <c r="M2633" i="48"/>
  <c r="M2668" i="48"/>
  <c r="M2669" i="48"/>
  <c r="M2680" i="48"/>
  <c r="M2681" i="48"/>
  <c r="L2698" i="48"/>
  <c r="N2698" i="48" s="1"/>
  <c r="H2700" i="48"/>
  <c r="N2700" i="48" s="1"/>
  <c r="J2702" i="48"/>
  <c r="N2702" i="48" s="1"/>
  <c r="M2704" i="48"/>
  <c r="M2727" i="48"/>
  <c r="M2753" i="48"/>
  <c r="M2758" i="48"/>
  <c r="M2765" i="48"/>
  <c r="M2796" i="48"/>
  <c r="M2797" i="48"/>
  <c r="M2815" i="48"/>
  <c r="M2823" i="48"/>
  <c r="L2828" i="48"/>
  <c r="N2828" i="48" s="1"/>
  <c r="M2848" i="48"/>
  <c r="M2849" i="48"/>
  <c r="M2861" i="48"/>
  <c r="H2868" i="48"/>
  <c r="N2868" i="48" s="1"/>
  <c r="M2873" i="48"/>
  <c r="M2887" i="48"/>
  <c r="M2888" i="48"/>
  <c r="M2964" i="48"/>
  <c r="M2966" i="48"/>
  <c r="H2967" i="48"/>
  <c r="N2967" i="48" s="1"/>
  <c r="H2972" i="48"/>
  <c r="N2972" i="48" s="1"/>
  <c r="H2986" i="48"/>
  <c r="N2986" i="48" s="1"/>
  <c r="H2990" i="48"/>
  <c r="N2990" i="48" s="1"/>
  <c r="J3009" i="48"/>
  <c r="M3022" i="48"/>
  <c r="J3022" i="48"/>
  <c r="N3022" i="48" s="1"/>
  <c r="M3117" i="48"/>
  <c r="J3117" i="48"/>
  <c r="M3195" i="48"/>
  <c r="J3202" i="48"/>
  <c r="N3202" i="48" s="1"/>
  <c r="M3202" i="48"/>
  <c r="M3283" i="48"/>
  <c r="J3283" i="48"/>
  <c r="N3283" i="48" s="1"/>
  <c r="M3306" i="48"/>
  <c r="H3306" i="48"/>
  <c r="N3306" i="48" s="1"/>
  <c r="M3324" i="48"/>
  <c r="J3324" i="48"/>
  <c r="N3324" i="48" s="1"/>
  <c r="M3345" i="48"/>
  <c r="H3345" i="48"/>
  <c r="N3345" i="48" s="1"/>
  <c r="M3388" i="48"/>
  <c r="J3388" i="48"/>
  <c r="N3388" i="48" s="1"/>
  <c r="M3397" i="48"/>
  <c r="H3397" i="48"/>
  <c r="N3397" i="48" s="1"/>
  <c r="M3401" i="48"/>
  <c r="J3401" i="48"/>
  <c r="N3401" i="48" s="1"/>
  <c r="N3404" i="48"/>
  <c r="M3511" i="48"/>
  <c r="J3511" i="48"/>
  <c r="N3511" i="48" s="1"/>
  <c r="H3223" i="48"/>
  <c r="H3225" i="48" s="1"/>
  <c r="M3223" i="48"/>
  <c r="M3308" i="48"/>
  <c r="H3308" i="48"/>
  <c r="N3308" i="48" s="1"/>
  <c r="M3347" i="48"/>
  <c r="J3347" i="48"/>
  <c r="N3347" i="48" s="1"/>
  <c r="M3359" i="48"/>
  <c r="J3359" i="48"/>
  <c r="N3359" i="48" s="1"/>
  <c r="M3378" i="48"/>
  <c r="J3378" i="48"/>
  <c r="J3387" i="48"/>
  <c r="N3387" i="48" s="1"/>
  <c r="M3387" i="48"/>
  <c r="M3389" i="48"/>
  <c r="H3389" i="48"/>
  <c r="N3389" i="48" s="1"/>
  <c r="N3419" i="48"/>
  <c r="M3428" i="48"/>
  <c r="H3428" i="48"/>
  <c r="N3428" i="48" s="1"/>
  <c r="H3441" i="48"/>
  <c r="N3441" i="48" s="1"/>
  <c r="M3441" i="48"/>
  <c r="M3533" i="48"/>
  <c r="H3533" i="48"/>
  <c r="N3533" i="48" s="1"/>
  <c r="M3882" i="48"/>
  <c r="L3882" i="48"/>
  <c r="N3882" i="48" s="1"/>
  <c r="M3965" i="48"/>
  <c r="L3965" i="48"/>
  <c r="N3965" i="48" s="1"/>
  <c r="N4015" i="48"/>
  <c r="M2784" i="48"/>
  <c r="M2785" i="48"/>
  <c r="M2795" i="48"/>
  <c r="J2808" i="48"/>
  <c r="J2809" i="48"/>
  <c r="J2821" i="48"/>
  <c r="L2822" i="48"/>
  <c r="M2834" i="48"/>
  <c r="M2836" i="48"/>
  <c r="M2847" i="48"/>
  <c r="M2860" i="48"/>
  <c r="M2862" i="48"/>
  <c r="M2913" i="48"/>
  <c r="M2925" i="48"/>
  <c r="M2940" i="48"/>
  <c r="M2952" i="48"/>
  <c r="M2965" i="48"/>
  <c r="N2968" i="48"/>
  <c r="J3010" i="48"/>
  <c r="N3010" i="48" s="1"/>
  <c r="M3042" i="48"/>
  <c r="M3055" i="48"/>
  <c r="M3080" i="48"/>
  <c r="M3116" i="48"/>
  <c r="M3178" i="48"/>
  <c r="M3180" i="48"/>
  <c r="J3187" i="48"/>
  <c r="N3187" i="48" s="1"/>
  <c r="M3187" i="48"/>
  <c r="M3210" i="48"/>
  <c r="M3212" i="48"/>
  <c r="J3219" i="48"/>
  <c r="N3219" i="48" s="1"/>
  <c r="M3219" i="48"/>
  <c r="H3228" i="48"/>
  <c r="N3228" i="48" s="1"/>
  <c r="M3291" i="48"/>
  <c r="M3299" i="48"/>
  <c r="M3312" i="48"/>
  <c r="J3312" i="48"/>
  <c r="N3312" i="48" s="1"/>
  <c r="M3333" i="48"/>
  <c r="H3333" i="48"/>
  <c r="N3333" i="48" s="1"/>
  <c r="J3338" i="48"/>
  <c r="N3338" i="48" s="1"/>
  <c r="H3344" i="48"/>
  <c r="N3344" i="48" s="1"/>
  <c r="N3371" i="48"/>
  <c r="M3402" i="48"/>
  <c r="J3402" i="48"/>
  <c r="N3402" i="48" s="1"/>
  <c r="M3432" i="48"/>
  <c r="J3432" i="48"/>
  <c r="N3432" i="48" s="1"/>
  <c r="M3448" i="48"/>
  <c r="J3448" i="48"/>
  <c r="N3448" i="48" s="1"/>
  <c r="H3459" i="48"/>
  <c r="N3459" i="48" s="1"/>
  <c r="M3459" i="48"/>
  <c r="J3463" i="48"/>
  <c r="N3463" i="48" s="1"/>
  <c r="J3464" i="48"/>
  <c r="N3464" i="48" s="1"/>
  <c r="H3469" i="48"/>
  <c r="N3469" i="48" s="1"/>
  <c r="H3484" i="48"/>
  <c r="N3484" i="48" s="1"/>
  <c r="H3508" i="48"/>
  <c r="H3682" i="48"/>
  <c r="N3682" i="48" s="1"/>
  <c r="M3682" i="48"/>
  <c r="M3715" i="48"/>
  <c r="H3715" i="48"/>
  <c r="N3715" i="48" s="1"/>
  <c r="H3722" i="48"/>
  <c r="N3722" i="48" s="1"/>
  <c r="M3722" i="48"/>
  <c r="M3754" i="48"/>
  <c r="H3754" i="48"/>
  <c r="N3754" i="48" s="1"/>
  <c r="J3806" i="48"/>
  <c r="N3805" i="48"/>
  <c r="N3806" i="48" s="1"/>
  <c r="J3824" i="48"/>
  <c r="M3824" i="48"/>
  <c r="M3858" i="48"/>
  <c r="L3858" i="48"/>
  <c r="L3859" i="48" s="1"/>
  <c r="M3868" i="48"/>
  <c r="L3868" i="48"/>
  <c r="N3868" i="48" s="1"/>
  <c r="M3879" i="48"/>
  <c r="L3879" i="48"/>
  <c r="M3138" i="48"/>
  <c r="M3139" i="48"/>
  <c r="H3319" i="48"/>
  <c r="N3319" i="48" s="1"/>
  <c r="M3351" i="48"/>
  <c r="M3404" i="48"/>
  <c r="M3525" i="48"/>
  <c r="M3526" i="48"/>
  <c r="M3624" i="48"/>
  <c r="J3624" i="48"/>
  <c r="N3624" i="48" s="1"/>
  <c r="M3776" i="48"/>
  <c r="H3776" i="48"/>
  <c r="N3776" i="48" s="1"/>
  <c r="L3865" i="48"/>
  <c r="M3880" i="48"/>
  <c r="L3880" i="48"/>
  <c r="N3880" i="48" s="1"/>
  <c r="L3899" i="48"/>
  <c r="N3899" i="48" s="1"/>
  <c r="M3899" i="48"/>
  <c r="M3905" i="48"/>
  <c r="L3905" i="48"/>
  <c r="N3905" i="48" s="1"/>
  <c r="L3923" i="48"/>
  <c r="N3923" i="48" s="1"/>
  <c r="M3923" i="48"/>
  <c r="M3946" i="48"/>
  <c r="L3946" i="48"/>
  <c r="N3946" i="48" s="1"/>
  <c r="L3952" i="48"/>
  <c r="N3952" i="48" s="1"/>
  <c r="M3952" i="48"/>
  <c r="H3138" i="48"/>
  <c r="N3138" i="48" s="1"/>
  <c r="M3194" i="48"/>
  <c r="M3267" i="48"/>
  <c r="M3301" i="48"/>
  <c r="M3326" i="48"/>
  <c r="N3351" i="48"/>
  <c r="M3371" i="48"/>
  <c r="M3419" i="48"/>
  <c r="M3434" i="48"/>
  <c r="K3452" i="48"/>
  <c r="M3452" i="48" s="1"/>
  <c r="H3483" i="48"/>
  <c r="N3483" i="48" s="1"/>
  <c r="H3485" i="48"/>
  <c r="N3485" i="48" s="1"/>
  <c r="H3489" i="48"/>
  <c r="N3489" i="48" s="1"/>
  <c r="M3537" i="48"/>
  <c r="J3537" i="48"/>
  <c r="N3537" i="48" s="1"/>
  <c r="M3604" i="48"/>
  <c r="H3604" i="48"/>
  <c r="N3604" i="48" s="1"/>
  <c r="M3657" i="48"/>
  <c r="J3657" i="48"/>
  <c r="N3657" i="48" s="1"/>
  <c r="M3676" i="48"/>
  <c r="H3676" i="48"/>
  <c r="N3676" i="48" s="1"/>
  <c r="L3787" i="48"/>
  <c r="N3786" i="48"/>
  <c r="N3787" i="48" s="1"/>
  <c r="M3870" i="48"/>
  <c r="L3870" i="48"/>
  <c r="N3870" i="48" s="1"/>
  <c r="M3881" i="48"/>
  <c r="L3881" i="48"/>
  <c r="N3881" i="48" s="1"/>
  <c r="M3958" i="48"/>
  <c r="L3958" i="48"/>
  <c r="N3958" i="48" s="1"/>
  <c r="M3975" i="48"/>
  <c r="H3975" i="48"/>
  <c r="N3975" i="48" s="1"/>
  <c r="I3781" i="48"/>
  <c r="J3781" i="48" s="1"/>
  <c r="L3794" i="48"/>
  <c r="L3796" i="48" s="1"/>
  <c r="M3801" i="48"/>
  <c r="L3948" i="48"/>
  <c r="N3948" i="48" s="1"/>
  <c r="H3603" i="48"/>
  <c r="N3603" i="48" s="1"/>
  <c r="J3623" i="48"/>
  <c r="N3623" i="48" s="1"/>
  <c r="M3631" i="48"/>
  <c r="J3675" i="48"/>
  <c r="N3675" i="48" s="1"/>
  <c r="H3687" i="48"/>
  <c r="N3687" i="48" s="1"/>
  <c r="J3689" i="48"/>
  <c r="N3689" i="48" s="1"/>
  <c r="T3696" i="48"/>
  <c r="M3696" i="48"/>
  <c r="H3714" i="48"/>
  <c r="N3714" i="48" s="1"/>
  <c r="H3728" i="48"/>
  <c r="N3728" i="48" s="1"/>
  <c r="J3738" i="48"/>
  <c r="N3738" i="48" s="1"/>
  <c r="L4005" i="48"/>
  <c r="N4005" i="48" s="1"/>
  <c r="J3674" i="48"/>
  <c r="J3710" i="48"/>
  <c r="N3710" i="48" s="1"/>
  <c r="J3717" i="48"/>
  <c r="N3717" i="48" s="1"/>
  <c r="J3730" i="48"/>
  <c r="M3755" i="48"/>
  <c r="M3800" i="48"/>
  <c r="M3823" i="48"/>
  <c r="M3842" i="48"/>
  <c r="J3847" i="48"/>
  <c r="N3847" i="48" s="1"/>
  <c r="N3865" i="48"/>
  <c r="L3869" i="48"/>
  <c r="N3869" i="48" s="1"/>
  <c r="M3873" i="48"/>
  <c r="L3894" i="48"/>
  <c r="N3894" i="48" s="1"/>
  <c r="M3898" i="48"/>
  <c r="M3900" i="48"/>
  <c r="L3904" i="48"/>
  <c r="N3904" i="48" s="1"/>
  <c r="L3906" i="48"/>
  <c r="N3906" i="48" s="1"/>
  <c r="L3937" i="48"/>
  <c r="N3937" i="48" s="1"/>
  <c r="L3951" i="48"/>
  <c r="N3951" i="48" s="1"/>
  <c r="L3957" i="48"/>
  <c r="N3957" i="48" s="1"/>
  <c r="L3962" i="48"/>
  <c r="N3962" i="48" s="1"/>
  <c r="M3988" i="48"/>
  <c r="M4003" i="48"/>
  <c r="L4007" i="48"/>
  <c r="N4007" i="48" s="1"/>
  <c r="J82" i="48"/>
  <c r="J83" i="48" s="1"/>
  <c r="L82" i="48"/>
  <c r="L83" i="48" s="1"/>
  <c r="H82" i="48"/>
  <c r="K1628" i="48"/>
  <c r="L1628" i="48" s="1"/>
  <c r="K1608" i="48"/>
  <c r="L1608" i="48" s="1"/>
  <c r="K1618" i="48"/>
  <c r="L1618" i="48" s="1"/>
  <c r="K1599" i="48"/>
  <c r="L1599" i="48" s="1"/>
  <c r="H229" i="48"/>
  <c r="H284" i="48"/>
  <c r="L421" i="48"/>
  <c r="N420" i="48"/>
  <c r="N421" i="48" s="1"/>
  <c r="T579" i="48"/>
  <c r="E610" i="48" s="1"/>
  <c r="J610" i="48" s="1"/>
  <c r="R580" i="48"/>
  <c r="T580" i="48" s="1"/>
  <c r="E611" i="48" s="1"/>
  <c r="T586" i="48"/>
  <c r="E617" i="48" s="1"/>
  <c r="J617" i="48" s="1"/>
  <c r="R587" i="48"/>
  <c r="T587" i="48" s="1"/>
  <c r="E618" i="48" s="1"/>
  <c r="H95" i="48"/>
  <c r="N94" i="48"/>
  <c r="N95" i="48" s="1"/>
  <c r="J21" i="48"/>
  <c r="N16" i="48"/>
  <c r="N18" i="48"/>
  <c r="J65" i="48"/>
  <c r="N64" i="48"/>
  <c r="N65" i="48" s="1"/>
  <c r="J70" i="48"/>
  <c r="J71" i="48" s="1"/>
  <c r="L70" i="48"/>
  <c r="L71" i="48" s="1"/>
  <c r="H70" i="48"/>
  <c r="J118" i="48"/>
  <c r="L118" i="48"/>
  <c r="H118" i="48"/>
  <c r="L119" i="48"/>
  <c r="H119" i="48"/>
  <c r="J119" i="48"/>
  <c r="N159" i="48"/>
  <c r="H252" i="48"/>
  <c r="L454" i="48"/>
  <c r="N453" i="48"/>
  <c r="N454" i="48" s="1"/>
  <c r="N538" i="48"/>
  <c r="L568" i="48"/>
  <c r="K3294" i="48" s="1"/>
  <c r="L3294" i="48" s="1"/>
  <c r="L3297" i="48" s="1"/>
  <c r="N563" i="48"/>
  <c r="L61" i="48"/>
  <c r="L62" i="48" s="1"/>
  <c r="H61" i="48"/>
  <c r="J61" i="48"/>
  <c r="J88" i="48"/>
  <c r="J89" i="48" s="1"/>
  <c r="L88" i="48"/>
  <c r="L89" i="48" s="1"/>
  <c r="H88" i="48"/>
  <c r="I787" i="48"/>
  <c r="J787" i="48" s="1"/>
  <c r="I778" i="48"/>
  <c r="J778" i="48" s="1"/>
  <c r="H107" i="48"/>
  <c r="H117" i="48"/>
  <c r="J117" i="48"/>
  <c r="L113" i="48"/>
  <c r="H113" i="48"/>
  <c r="J113" i="48"/>
  <c r="N208" i="48"/>
  <c r="L358" i="48"/>
  <c r="L409" i="48"/>
  <c r="N408" i="48"/>
  <c r="N409" i="48" s="1"/>
  <c r="L442" i="48"/>
  <c r="N441" i="48"/>
  <c r="N442" i="48" s="1"/>
  <c r="L472" i="48"/>
  <c r="N469" i="48"/>
  <c r="J472" i="48"/>
  <c r="N471" i="48"/>
  <c r="J597" i="48"/>
  <c r="H597" i="48"/>
  <c r="L597" i="48"/>
  <c r="J76" i="48"/>
  <c r="J77" i="48" s="1"/>
  <c r="L76" i="48"/>
  <c r="L77" i="48" s="1"/>
  <c r="H76" i="48"/>
  <c r="L85" i="48"/>
  <c r="L86" i="48" s="1"/>
  <c r="H85" i="48"/>
  <c r="J85" i="48"/>
  <c r="J86" i="48" s="1"/>
  <c r="L51" i="48"/>
  <c r="L52" i="48" s="1"/>
  <c r="K780" i="48" s="1"/>
  <c r="L780" i="48" s="1"/>
  <c r="H51" i="48"/>
  <c r="J51" i="48"/>
  <c r="L56" i="48"/>
  <c r="L57" i="48" s="1"/>
  <c r="H56" i="48"/>
  <c r="J56" i="48"/>
  <c r="L73" i="48"/>
  <c r="L74" i="48" s="1"/>
  <c r="H73" i="48"/>
  <c r="J73" i="48"/>
  <c r="J74" i="48" s="1"/>
  <c r="J79" i="48"/>
  <c r="J80" i="48" s="1"/>
  <c r="L79" i="48"/>
  <c r="L80" i="48" s="1"/>
  <c r="H79" i="48"/>
  <c r="J67" i="48"/>
  <c r="J68" i="48" s="1"/>
  <c r="L67" i="48"/>
  <c r="L68" i="48" s="1"/>
  <c r="H67" i="48"/>
  <c r="K778" i="48"/>
  <c r="L778" i="48" s="1"/>
  <c r="K787" i="48"/>
  <c r="L787" i="48" s="1"/>
  <c r="H110" i="48"/>
  <c r="J110" i="48"/>
  <c r="J112" i="48"/>
  <c r="L112" i="48"/>
  <c r="H112" i="48"/>
  <c r="L120" i="48"/>
  <c r="H120" i="48"/>
  <c r="J120" i="48"/>
  <c r="T166" i="48"/>
  <c r="R168" i="48"/>
  <c r="T168" i="48" s="1"/>
  <c r="L346" i="48"/>
  <c r="N346" i="48" s="1"/>
  <c r="L496" i="48"/>
  <c r="N493" i="48"/>
  <c r="J496" i="48"/>
  <c r="N495" i="48"/>
  <c r="N562" i="48"/>
  <c r="H143" i="48"/>
  <c r="H155" i="48"/>
  <c r="M158" i="48"/>
  <c r="M159" i="48"/>
  <c r="L160" i="48"/>
  <c r="T160" i="48"/>
  <c r="J162" i="48"/>
  <c r="N162" i="48" s="1"/>
  <c r="T165" i="48"/>
  <c r="J166" i="48"/>
  <c r="N166" i="48" s="1"/>
  <c r="J170" i="48"/>
  <c r="J171" i="48"/>
  <c r="N171" i="48" s="1"/>
  <c r="H178" i="48"/>
  <c r="H179" i="48"/>
  <c r="N179" i="48" s="1"/>
  <c r="M182" i="48"/>
  <c r="J186" i="48"/>
  <c r="J187" i="48"/>
  <c r="N187" i="48" s="1"/>
  <c r="G2481" i="48"/>
  <c r="G2415" i="48"/>
  <c r="G2447" i="48"/>
  <c r="G2399" i="48"/>
  <c r="G2464" i="48"/>
  <c r="G2367" i="48"/>
  <c r="G2338" i="48"/>
  <c r="G2431" i="48"/>
  <c r="G2383" i="48"/>
  <c r="G2351" i="48"/>
  <c r="K2481" i="48"/>
  <c r="L2481" i="48" s="1"/>
  <c r="K2415" i="48"/>
  <c r="L2415" i="48" s="1"/>
  <c r="L2420" i="48" s="1"/>
  <c r="K2447" i="48"/>
  <c r="L2447" i="48" s="1"/>
  <c r="K2399" i="48"/>
  <c r="L2399" i="48" s="1"/>
  <c r="L2404" i="48" s="1"/>
  <c r="K2464" i="48"/>
  <c r="L2464" i="48" s="1"/>
  <c r="K2431" i="48"/>
  <c r="L2431" i="48" s="1"/>
  <c r="L2436" i="48" s="1"/>
  <c r="K2367" i="48"/>
  <c r="L2367" i="48" s="1"/>
  <c r="L2372" i="48" s="1"/>
  <c r="K2338" i="48"/>
  <c r="L2338" i="48" s="1"/>
  <c r="L2340" i="48" s="1"/>
  <c r="K2383" i="48"/>
  <c r="L2383" i="48" s="1"/>
  <c r="L2388" i="48" s="1"/>
  <c r="K2351" i="48"/>
  <c r="L2351" i="48" s="1"/>
  <c r="L2356" i="48" s="1"/>
  <c r="J196" i="48"/>
  <c r="J197" i="48"/>
  <c r="N197" i="48" s="1"/>
  <c r="H198" i="48"/>
  <c r="H199" i="48"/>
  <c r="N199" i="48" s="1"/>
  <c r="J202" i="48"/>
  <c r="R202" i="48"/>
  <c r="J204" i="48"/>
  <c r="N204" i="48" s="1"/>
  <c r="T207" i="48"/>
  <c r="H210" i="48"/>
  <c r="L210" i="48"/>
  <c r="T214" i="48"/>
  <c r="H217" i="48"/>
  <c r="H222" i="48"/>
  <c r="J228" i="48"/>
  <c r="J229" i="48" s="1"/>
  <c r="M232" i="48"/>
  <c r="M233" i="48"/>
  <c r="M235" i="48"/>
  <c r="J238" i="48"/>
  <c r="H239" i="48"/>
  <c r="H240" i="48"/>
  <c r="N240" i="48" s="1"/>
  <c r="H241" i="48"/>
  <c r="N241" i="48" s="1"/>
  <c r="H242" i="48"/>
  <c r="N242" i="48" s="1"/>
  <c r="J251" i="48"/>
  <c r="J252" i="48" s="1"/>
  <c r="M254" i="48"/>
  <c r="H257" i="48"/>
  <c r="J283" i="48"/>
  <c r="J284" i="48" s="1"/>
  <c r="M286" i="48"/>
  <c r="H289" i="48"/>
  <c r="J295" i="48"/>
  <c r="M298" i="48"/>
  <c r="H301" i="48"/>
  <c r="J307" i="48"/>
  <c r="M310" i="48"/>
  <c r="J313" i="48"/>
  <c r="H314" i="48"/>
  <c r="H315" i="48"/>
  <c r="N315" i="48" s="1"/>
  <c r="J319" i="48"/>
  <c r="J320" i="48"/>
  <c r="N320" i="48" s="1"/>
  <c r="H324" i="48"/>
  <c r="J330" i="48"/>
  <c r="M333" i="48"/>
  <c r="H336" i="48"/>
  <c r="H342" i="48"/>
  <c r="M345" i="48"/>
  <c r="J348" i="48"/>
  <c r="L349" i="48" s="1"/>
  <c r="N349" i="48" s="1"/>
  <c r="H354" i="48"/>
  <c r="M357" i="48"/>
  <c r="J360" i="48"/>
  <c r="L361" i="48" s="1"/>
  <c r="H366" i="48"/>
  <c r="M369" i="48"/>
  <c r="J372" i="48"/>
  <c r="L373" i="48" s="1"/>
  <c r="H378" i="48"/>
  <c r="M381" i="48"/>
  <c r="M393" i="48"/>
  <c r="M405" i="48"/>
  <c r="M417" i="48"/>
  <c r="M429" i="48"/>
  <c r="M441" i="48"/>
  <c r="M453" i="48"/>
  <c r="R553" i="48"/>
  <c r="T553" i="48" s="1"/>
  <c r="E584" i="48" s="1"/>
  <c r="J584" i="48" s="1"/>
  <c r="N584" i="48" s="1"/>
  <c r="M637" i="48"/>
  <c r="L637" i="48"/>
  <c r="N775" i="48"/>
  <c r="M793" i="48"/>
  <c r="H793" i="48"/>
  <c r="M807" i="48"/>
  <c r="H807" i="48"/>
  <c r="N807" i="48" s="1"/>
  <c r="N813" i="48"/>
  <c r="M868" i="48"/>
  <c r="J868" i="48"/>
  <c r="N868" i="48" s="1"/>
  <c r="M890" i="48"/>
  <c r="H890" i="48"/>
  <c r="Z982" i="48"/>
  <c r="E1065" i="48" s="1"/>
  <c r="Z980" i="48"/>
  <c r="E1066" i="48" s="1"/>
  <c r="J1066" i="48" s="1"/>
  <c r="N1066" i="48" s="1"/>
  <c r="Z973" i="48"/>
  <c r="E1041" i="48" s="1"/>
  <c r="Z971" i="48"/>
  <c r="E1042" i="48" s="1"/>
  <c r="J1042" i="48" s="1"/>
  <c r="N1042" i="48" s="1"/>
  <c r="Z967" i="48"/>
  <c r="E1025" i="48" s="1"/>
  <c r="Z964" i="48"/>
  <c r="E1017" i="48" s="1"/>
  <c r="Z963" i="48"/>
  <c r="E1019" i="48" s="1"/>
  <c r="J1019" i="48" s="1"/>
  <c r="Z961" i="48"/>
  <c r="E1009" i="48" s="1"/>
  <c r="Z956" i="48"/>
  <c r="E1002" i="48" s="1"/>
  <c r="J1002" i="48" s="1"/>
  <c r="N1002" i="48" s="1"/>
  <c r="Z953" i="48"/>
  <c r="E994" i="48" s="1"/>
  <c r="J994" i="48" s="1"/>
  <c r="N994" i="48" s="1"/>
  <c r="Z950" i="48"/>
  <c r="Z948" i="48"/>
  <c r="E987" i="48" s="1"/>
  <c r="J987" i="48" s="1"/>
  <c r="Z945" i="48"/>
  <c r="E979" i="48" s="1"/>
  <c r="J979" i="48" s="1"/>
  <c r="Z977" i="48"/>
  <c r="E1058" i="48" s="1"/>
  <c r="J1058" i="48" s="1"/>
  <c r="N1058" i="48" s="1"/>
  <c r="Z975" i="48"/>
  <c r="E1051" i="48" s="1"/>
  <c r="J1051" i="48" s="1"/>
  <c r="Z969" i="48"/>
  <c r="E1035" i="48" s="1"/>
  <c r="J1035" i="48" s="1"/>
  <c r="Z958" i="48"/>
  <c r="E1001" i="48" s="1"/>
  <c r="Z954" i="48"/>
  <c r="E995" i="48" s="1"/>
  <c r="J995" i="48" s="1"/>
  <c r="Z952" i="48"/>
  <c r="Z949" i="48"/>
  <c r="E985" i="48" s="1"/>
  <c r="Z944" i="48"/>
  <c r="E978" i="48" s="1"/>
  <c r="J978" i="48" s="1"/>
  <c r="N978" i="48" s="1"/>
  <c r="Z978" i="48"/>
  <c r="E1059" i="48" s="1"/>
  <c r="J1059" i="48" s="1"/>
  <c r="Z974" i="48"/>
  <c r="E1050" i="48" s="1"/>
  <c r="J1050" i="48" s="1"/>
  <c r="N1050" i="48" s="1"/>
  <c r="Z972" i="48"/>
  <c r="E1043" i="48" s="1"/>
  <c r="J1043" i="48" s="1"/>
  <c r="Z966" i="48"/>
  <c r="E1027" i="48" s="1"/>
  <c r="J1027" i="48" s="1"/>
  <c r="Z962" i="48"/>
  <c r="E1018" i="48" s="1"/>
  <c r="J1018" i="48" s="1"/>
  <c r="N1018" i="48" s="1"/>
  <c r="Z960" i="48"/>
  <c r="E1011" i="48" s="1"/>
  <c r="J1011" i="48" s="1"/>
  <c r="Z947" i="48"/>
  <c r="E986" i="48" s="1"/>
  <c r="J986" i="48" s="1"/>
  <c r="N986" i="48" s="1"/>
  <c r="M951" i="48"/>
  <c r="J951" i="48"/>
  <c r="I1065" i="48"/>
  <c r="I1057" i="48"/>
  <c r="M1078" i="48"/>
  <c r="H1078" i="48"/>
  <c r="Q1293" i="48"/>
  <c r="Q1294" i="48" s="1"/>
  <c r="Q1295" i="48" s="1"/>
  <c r="Q1292" i="48"/>
  <c r="M18" i="48"/>
  <c r="N103" i="48"/>
  <c r="N104" i="48" s="1"/>
  <c r="N129" i="48"/>
  <c r="N130" i="48" s="1"/>
  <c r="L19" i="48"/>
  <c r="N19" i="48" s="1"/>
  <c r="J30" i="48"/>
  <c r="J31" i="48"/>
  <c r="N31" i="48" s="1"/>
  <c r="H32" i="48"/>
  <c r="J38" i="48"/>
  <c r="N38" i="48" s="1"/>
  <c r="H100" i="48"/>
  <c r="J106" i="48"/>
  <c r="J107" i="48" s="1"/>
  <c r="J116" i="48"/>
  <c r="H126" i="48"/>
  <c r="J133" i="48"/>
  <c r="H140" i="48"/>
  <c r="H163" i="48"/>
  <c r="N163" i="48" s="1"/>
  <c r="H167" i="48"/>
  <c r="N167" i="48" s="1"/>
  <c r="R167" i="48"/>
  <c r="T167" i="48" s="1"/>
  <c r="H174" i="48"/>
  <c r="H175" i="48"/>
  <c r="N175" i="48" s="1"/>
  <c r="N182" i="48"/>
  <c r="R201" i="48"/>
  <c r="T201" i="48" s="1"/>
  <c r="R209" i="48"/>
  <c r="L211" i="48"/>
  <c r="N211" i="48" s="1"/>
  <c r="J216" i="48"/>
  <c r="R216" i="48"/>
  <c r="I217" i="48"/>
  <c r="J217" i="48" s="1"/>
  <c r="L218" i="48"/>
  <c r="N218" i="48" s="1"/>
  <c r="H225" i="48"/>
  <c r="N231" i="48"/>
  <c r="N232" i="48"/>
  <c r="J245" i="48"/>
  <c r="H246" i="48"/>
  <c r="H247" i="48"/>
  <c r="N247" i="48" s="1"/>
  <c r="H248" i="48"/>
  <c r="N248" i="48" s="1"/>
  <c r="N254" i="48"/>
  <c r="N255" i="48" s="1"/>
  <c r="J260" i="48"/>
  <c r="J264" i="48"/>
  <c r="H280" i="48"/>
  <c r="N286" i="48"/>
  <c r="N287" i="48" s="1"/>
  <c r="H292" i="48"/>
  <c r="N298" i="48"/>
  <c r="N299" i="48" s="1"/>
  <c r="H304" i="48"/>
  <c r="N310" i="48"/>
  <c r="N311" i="48" s="1"/>
  <c r="H327" i="48"/>
  <c r="N333" i="48"/>
  <c r="N334" i="48" s="1"/>
  <c r="J339" i="48"/>
  <c r="N345" i="48"/>
  <c r="H351" i="48"/>
  <c r="N357" i="48"/>
  <c r="N358" i="48" s="1"/>
  <c r="H363" i="48"/>
  <c r="N369" i="48"/>
  <c r="N370" i="48" s="1"/>
  <c r="H375" i="48"/>
  <c r="N381" i="48"/>
  <c r="N382" i="48" s="1"/>
  <c r="H387" i="48"/>
  <c r="M390" i="48"/>
  <c r="H399" i="48"/>
  <c r="N405" i="48"/>
  <c r="N406" i="48" s="1"/>
  <c r="H411" i="48"/>
  <c r="N417" i="48"/>
  <c r="N418" i="48" s="1"/>
  <c r="H423" i="48"/>
  <c r="N429" i="48"/>
  <c r="N430" i="48" s="1"/>
  <c r="H435" i="48"/>
  <c r="M438" i="48"/>
  <c r="H447" i="48"/>
  <c r="L459" i="48"/>
  <c r="H486" i="48"/>
  <c r="L487" i="48"/>
  <c r="H488" i="48"/>
  <c r="N488" i="48" s="1"/>
  <c r="J489" i="48"/>
  <c r="H514" i="48"/>
  <c r="L515" i="48"/>
  <c r="H530" i="48"/>
  <c r="L531" i="48"/>
  <c r="H532" i="48"/>
  <c r="N532" i="48" s="1"/>
  <c r="H533" i="48"/>
  <c r="N533" i="48" s="1"/>
  <c r="J534" i="48"/>
  <c r="J535" i="48"/>
  <c r="N535" i="48" s="1"/>
  <c r="J542" i="48"/>
  <c r="J543" i="48"/>
  <c r="N543" i="48" s="1"/>
  <c r="H546" i="48"/>
  <c r="N558" i="48"/>
  <c r="J567" i="48"/>
  <c r="N567" i="48" s="1"/>
  <c r="R573" i="48"/>
  <c r="T573" i="48" s="1"/>
  <c r="E604" i="48" s="1"/>
  <c r="M604" i="48"/>
  <c r="M628" i="48"/>
  <c r="H628" i="48"/>
  <c r="N628" i="48" s="1"/>
  <c r="J634" i="48"/>
  <c r="J643" i="48"/>
  <c r="N643" i="48" s="1"/>
  <c r="J661" i="48"/>
  <c r="T725" i="48"/>
  <c r="H728" i="48"/>
  <c r="H735" i="48"/>
  <c r="H742" i="48"/>
  <c r="J744" i="48"/>
  <c r="M749" i="48"/>
  <c r="H749" i="48"/>
  <c r="N749" i="48" s="1"/>
  <c r="M751" i="48"/>
  <c r="J751" i="48"/>
  <c r="N751" i="48" s="1"/>
  <c r="M754" i="48"/>
  <c r="H754" i="48"/>
  <c r="L828" i="48"/>
  <c r="H828" i="48"/>
  <c r="J828" i="48"/>
  <c r="M805" i="48"/>
  <c r="J805" i="48"/>
  <c r="M808" i="48"/>
  <c r="H808" i="48"/>
  <c r="N808" i="48" s="1"/>
  <c r="L823" i="48"/>
  <c r="M822" i="48"/>
  <c r="M832" i="48"/>
  <c r="H832" i="48"/>
  <c r="L844" i="48"/>
  <c r="M891" i="48"/>
  <c r="J891" i="48"/>
  <c r="M914" i="48"/>
  <c r="H914" i="48"/>
  <c r="M935" i="48"/>
  <c r="J935" i="48"/>
  <c r="Z946" i="48"/>
  <c r="E977" i="48" s="1"/>
  <c r="Z951" i="48"/>
  <c r="Z957" i="48"/>
  <c r="E1003" i="48" s="1"/>
  <c r="J1003" i="48" s="1"/>
  <c r="Z959" i="48"/>
  <c r="E1010" i="48" s="1"/>
  <c r="J1010" i="48" s="1"/>
  <c r="N1010" i="48" s="1"/>
  <c r="Z976" i="48"/>
  <c r="E1049" i="48" s="1"/>
  <c r="M984" i="48"/>
  <c r="L984" i="48"/>
  <c r="I1049" i="48"/>
  <c r="M1049" i="48" s="1"/>
  <c r="M1079" i="48"/>
  <c r="H1079" i="48"/>
  <c r="N1079" i="48" s="1"/>
  <c r="L1267" i="48"/>
  <c r="L1268" i="48" s="1"/>
  <c r="H1267" i="48"/>
  <c r="J1267" i="48"/>
  <c r="R1291" i="48"/>
  <c r="T1290" i="48"/>
  <c r="E1321" i="48" s="1"/>
  <c r="J1321" i="48" s="1"/>
  <c r="J46" i="48"/>
  <c r="H46" i="48"/>
  <c r="H111" i="48"/>
  <c r="H149" i="48"/>
  <c r="T171" i="48"/>
  <c r="R172" i="48"/>
  <c r="T172" i="48" s="1"/>
  <c r="I2447" i="48"/>
  <c r="J2447" i="48" s="1"/>
  <c r="I2399" i="48"/>
  <c r="J2399" i="48" s="1"/>
  <c r="I2464" i="48"/>
  <c r="J2464" i="48" s="1"/>
  <c r="I2481" i="48"/>
  <c r="J2481" i="48" s="1"/>
  <c r="I2415" i="48"/>
  <c r="J2415" i="48" s="1"/>
  <c r="I2431" i="48"/>
  <c r="J2431" i="48" s="1"/>
  <c r="I2351" i="48"/>
  <c r="J2351" i="48" s="1"/>
  <c r="I2367" i="48"/>
  <c r="J2367" i="48" s="1"/>
  <c r="I2338" i="48"/>
  <c r="J2338" i="48" s="1"/>
  <c r="I2383" i="48"/>
  <c r="J2383" i="48" s="1"/>
  <c r="M192" i="48"/>
  <c r="H384" i="48"/>
  <c r="N390" i="48"/>
  <c r="N391" i="48" s="1"/>
  <c r="H396" i="48"/>
  <c r="H432" i="48"/>
  <c r="N438" i="48"/>
  <c r="N439" i="48" s="1"/>
  <c r="H444" i="48"/>
  <c r="M638" i="48"/>
  <c r="H638" i="48"/>
  <c r="L648" i="48"/>
  <c r="J662" i="48"/>
  <c r="N662" i="48" s="1"/>
  <c r="M670" i="48"/>
  <c r="L670" i="48"/>
  <c r="K1277" i="48"/>
  <c r="L1277" i="48" s="1"/>
  <c r="K1227" i="48"/>
  <c r="L1227" i="48" s="1"/>
  <c r="K1301" i="48"/>
  <c r="L1301" i="48" s="1"/>
  <c r="K1251" i="48"/>
  <c r="L1251" i="48" s="1"/>
  <c r="K1219" i="48"/>
  <c r="L1219" i="48" s="1"/>
  <c r="K1293" i="48"/>
  <c r="L1293" i="48" s="1"/>
  <c r="K1243" i="48"/>
  <c r="L1243" i="48" s="1"/>
  <c r="K1211" i="48"/>
  <c r="L1211" i="48" s="1"/>
  <c r="K1285" i="48"/>
  <c r="L1285" i="48" s="1"/>
  <c r="K1235" i="48"/>
  <c r="L1235" i="48" s="1"/>
  <c r="M794" i="48"/>
  <c r="J794" i="48"/>
  <c r="L799" i="48"/>
  <c r="L809" i="48"/>
  <c r="N820" i="48"/>
  <c r="M820" i="48"/>
  <c r="H822" i="48"/>
  <c r="N822" i="48" s="1"/>
  <c r="H837" i="48"/>
  <c r="J843" i="48"/>
  <c r="N843" i="48" s="1"/>
  <c r="H844" i="48"/>
  <c r="M845" i="48"/>
  <c r="M866" i="48"/>
  <c r="H866" i="48"/>
  <c r="M892" i="48"/>
  <c r="J892" i="48"/>
  <c r="N892" i="48" s="1"/>
  <c r="M915" i="48"/>
  <c r="J915" i="48"/>
  <c r="N920" i="48"/>
  <c r="M936" i="48"/>
  <c r="J936" i="48"/>
  <c r="N936" i="48" s="1"/>
  <c r="M965" i="48"/>
  <c r="J965" i="48"/>
  <c r="M993" i="48"/>
  <c r="N1040" i="48"/>
  <c r="M1041" i="48"/>
  <c r="J1130" i="48"/>
  <c r="N1130" i="48" s="1"/>
  <c r="E1146" i="48"/>
  <c r="L1272" i="48"/>
  <c r="L1273" i="48" s="1"/>
  <c r="H1272" i="48"/>
  <c r="J1272" i="48"/>
  <c r="T1284" i="48"/>
  <c r="E1315" i="48" s="1"/>
  <c r="R1285" i="48"/>
  <c r="T1285" i="48" s="1"/>
  <c r="E1316" i="48" s="1"/>
  <c r="J595" i="48"/>
  <c r="M627" i="48"/>
  <c r="H627" i="48"/>
  <c r="M629" i="48"/>
  <c r="J629" i="48"/>
  <c r="N681" i="48"/>
  <c r="J686" i="48"/>
  <c r="N686" i="48" s="1"/>
  <c r="M748" i="48"/>
  <c r="H748" i="48"/>
  <c r="M750" i="48"/>
  <c r="J750" i="48"/>
  <c r="L789" i="48"/>
  <c r="X798" i="48"/>
  <c r="E845" i="48" s="1"/>
  <c r="X797" i="48"/>
  <c r="J836" i="48"/>
  <c r="M806" i="48"/>
  <c r="H806" i="48"/>
  <c r="N806" i="48" s="1"/>
  <c r="M825" i="48"/>
  <c r="H825" i="48"/>
  <c r="M867" i="48"/>
  <c r="J867" i="48"/>
  <c r="M916" i="48"/>
  <c r="J916" i="48"/>
  <c r="N916" i="48" s="1"/>
  <c r="M946" i="48"/>
  <c r="J946" i="48"/>
  <c r="N946" i="48" s="1"/>
  <c r="Z955" i="48"/>
  <c r="E993" i="48" s="1"/>
  <c r="Z965" i="48"/>
  <c r="E1026" i="48" s="1"/>
  <c r="J1026" i="48" s="1"/>
  <c r="N1026" i="48" s="1"/>
  <c r="Z968" i="48"/>
  <c r="E1034" i="48" s="1"/>
  <c r="J1034" i="48" s="1"/>
  <c r="N1034" i="48" s="1"/>
  <c r="Z970" i="48"/>
  <c r="E1033" i="48" s="1"/>
  <c r="Z979" i="48"/>
  <c r="E1057" i="48" s="1"/>
  <c r="Z981" i="48"/>
  <c r="E1067" i="48" s="1"/>
  <c r="J1067" i="48" s="1"/>
  <c r="M1016" i="48"/>
  <c r="L1016" i="48"/>
  <c r="M1048" i="48"/>
  <c r="L1048" i="48"/>
  <c r="J1113" i="48"/>
  <c r="R1278" i="48"/>
  <c r="J1182" i="48"/>
  <c r="N1182" i="48" s="1"/>
  <c r="J1214" i="48"/>
  <c r="N1214" i="48" s="1"/>
  <c r="K1228" i="48"/>
  <c r="L1228" i="48" s="1"/>
  <c r="J1246" i="48"/>
  <c r="N1246" i="48" s="1"/>
  <c r="K1286" i="48"/>
  <c r="L1286" i="48" s="1"/>
  <c r="T1289" i="48"/>
  <c r="Q1303" i="48"/>
  <c r="Q1304" i="48" s="1"/>
  <c r="Q1305" i="48" s="1"/>
  <c r="Q1312" i="48"/>
  <c r="M1320" i="48"/>
  <c r="L1320" i="48"/>
  <c r="Q1352" i="48"/>
  <c r="Q1353" i="48" s="1"/>
  <c r="Q1354" i="48" s="1"/>
  <c r="Q1355" i="48" s="1"/>
  <c r="Q1351" i="48"/>
  <c r="Q1379" i="48"/>
  <c r="Q1380" i="48" s="1"/>
  <c r="Q1381" i="48" s="1"/>
  <c r="Q1382" i="48" s="1"/>
  <c r="Q1378" i="48"/>
  <c r="N1415" i="48"/>
  <c r="R1466" i="48"/>
  <c r="R1465" i="48"/>
  <c r="T1465" i="48" s="1"/>
  <c r="E1496" i="48" s="1"/>
  <c r="T1464" i="48"/>
  <c r="E1495" i="48" s="1"/>
  <c r="J1495" i="48" s="1"/>
  <c r="N1495" i="48" s="1"/>
  <c r="N1484" i="48"/>
  <c r="T1499" i="48"/>
  <c r="R1501" i="48"/>
  <c r="R1500" i="48"/>
  <c r="T1500" i="48" s="1"/>
  <c r="E1531" i="48" s="1"/>
  <c r="N1634" i="48"/>
  <c r="R1662" i="48"/>
  <c r="T1661" i="48"/>
  <c r="J1689" i="48"/>
  <c r="N1684" i="48"/>
  <c r="L1689" i="48"/>
  <c r="N1688" i="48"/>
  <c r="N1696" i="48"/>
  <c r="R1714" i="48"/>
  <c r="T1713" i="48"/>
  <c r="K3289" i="48"/>
  <c r="L3289" i="48" s="1"/>
  <c r="K3273" i="48"/>
  <c r="L3273" i="48" s="1"/>
  <c r="K3265" i="48"/>
  <c r="L3265" i="48" s="1"/>
  <c r="K3281" i="48"/>
  <c r="L3281" i="48" s="1"/>
  <c r="K3249" i="48"/>
  <c r="L3249" i="48" s="1"/>
  <c r="K3257" i="48"/>
  <c r="L3257" i="48" s="1"/>
  <c r="K3241" i="48"/>
  <c r="L3241" i="48" s="1"/>
  <c r="U797" i="48"/>
  <c r="N961" i="48"/>
  <c r="N1000" i="48"/>
  <c r="M1001" i="48"/>
  <c r="G1017" i="48"/>
  <c r="K1017" i="48"/>
  <c r="I1033" i="48"/>
  <c r="J1129" i="48"/>
  <c r="N1129" i="48" s="1"/>
  <c r="H1142" i="48"/>
  <c r="N1142" i="48" s="1"/>
  <c r="H1143" i="48"/>
  <c r="N1143" i="48" s="1"/>
  <c r="J1145" i="48"/>
  <c r="N1145" i="48" s="1"/>
  <c r="H1158" i="48"/>
  <c r="N1158" i="48" s="1"/>
  <c r="J1190" i="48"/>
  <c r="N1190" i="48" s="1"/>
  <c r="K1236" i="48"/>
  <c r="L1236" i="48" s="1"/>
  <c r="K1294" i="48"/>
  <c r="L1294" i="48" s="1"/>
  <c r="Q1322" i="48"/>
  <c r="N1330" i="48"/>
  <c r="Q1343" i="48"/>
  <c r="Q1344" i="48" s="1"/>
  <c r="Q1345" i="48" s="1"/>
  <c r="Q1342" i="48"/>
  <c r="T1367" i="48"/>
  <c r="E1398" i="48" s="1"/>
  <c r="J1398" i="48" s="1"/>
  <c r="R1368" i="48"/>
  <c r="N1379" i="48"/>
  <c r="R1406" i="48"/>
  <c r="T1405" i="48"/>
  <c r="E1436" i="48" s="1"/>
  <c r="J1436" i="48" s="1"/>
  <c r="Q1438" i="48"/>
  <c r="Q1439" i="48" s="1"/>
  <c r="Q1440" i="48" s="1"/>
  <c r="Q1437" i="48"/>
  <c r="T1445" i="48"/>
  <c r="R1446" i="48"/>
  <c r="Q1448" i="48"/>
  <c r="Q1449" i="48" s="1"/>
  <c r="Q1450" i="48" s="1"/>
  <c r="Q1447" i="48"/>
  <c r="R1455" i="48"/>
  <c r="T1454" i="48"/>
  <c r="E1485" i="48" s="1"/>
  <c r="J1485" i="48" s="1"/>
  <c r="T1532" i="48"/>
  <c r="N1552" i="48"/>
  <c r="N1666" i="48"/>
  <c r="R1671" i="48"/>
  <c r="T1670" i="48"/>
  <c r="K1212" i="48"/>
  <c r="L1212" i="48" s="1"/>
  <c r="K1244" i="48"/>
  <c r="L1244" i="48" s="1"/>
  <c r="Q1370" i="48"/>
  <c r="Q1371" i="48" s="1"/>
  <c r="Q1372" i="48" s="1"/>
  <c r="Q1373" i="48" s="1"/>
  <c r="Q1369" i="48"/>
  <c r="N1397" i="48"/>
  <c r="Q1408" i="48"/>
  <c r="Q1409" i="48" s="1"/>
  <c r="Q1410" i="48" s="1"/>
  <c r="Q1407" i="48"/>
  <c r="T1415" i="48"/>
  <c r="E1446" i="48" s="1"/>
  <c r="J1446" i="48" s="1"/>
  <c r="R1416" i="48"/>
  <c r="T1425" i="48"/>
  <c r="E1456" i="48" s="1"/>
  <c r="J1456" i="48" s="1"/>
  <c r="R1426" i="48"/>
  <c r="R1436" i="48"/>
  <c r="T1435" i="48"/>
  <c r="E1466" i="48" s="1"/>
  <c r="J1466" i="48" s="1"/>
  <c r="Q1457" i="48"/>
  <c r="Q1458" i="48" s="1"/>
  <c r="Q1459" i="48" s="1"/>
  <c r="Q1460" i="48" s="1"/>
  <c r="Q1456" i="48"/>
  <c r="Q1474" i="48"/>
  <c r="Q1475" i="48"/>
  <c r="Q1476" i="48" s="1"/>
  <c r="Q1477" i="48" s="1"/>
  <c r="Q1478" i="48" s="1"/>
  <c r="R1482" i="48"/>
  <c r="T1481" i="48"/>
  <c r="E1512" i="48" s="1"/>
  <c r="J1512" i="48" s="1"/>
  <c r="N1502" i="48"/>
  <c r="N1520" i="48"/>
  <c r="N1553" i="48"/>
  <c r="J1586" i="48"/>
  <c r="L1586" i="48"/>
  <c r="H1586" i="48"/>
  <c r="R1558" i="48"/>
  <c r="T1557" i="48"/>
  <c r="E1588" i="48" s="1"/>
  <c r="J1588" i="48" s="1"/>
  <c r="N1588" i="48" s="1"/>
  <c r="T1644" i="48"/>
  <c r="R1645" i="48"/>
  <c r="R1653" i="48"/>
  <c r="T1652" i="48"/>
  <c r="N1703" i="48"/>
  <c r="R1705" i="48"/>
  <c r="T1704" i="48"/>
  <c r="N1709" i="48"/>
  <c r="K1220" i="48"/>
  <c r="L1220" i="48" s="1"/>
  <c r="K1252" i="48"/>
  <c r="L1252" i="48" s="1"/>
  <c r="K1278" i="48"/>
  <c r="L1278" i="48" s="1"/>
  <c r="Q1333" i="48"/>
  <c r="Q1334" i="48" s="1"/>
  <c r="Q1335" i="48" s="1"/>
  <c r="Q1332" i="48"/>
  <c r="N1340" i="48"/>
  <c r="R1377" i="48"/>
  <c r="T1376" i="48"/>
  <c r="E1407" i="48" s="1"/>
  <c r="J1407" i="48" s="1"/>
  <c r="Q1398" i="48"/>
  <c r="Q1399" i="48" s="1"/>
  <c r="Q1400" i="48" s="1"/>
  <c r="Q1397" i="48"/>
  <c r="N1406" i="48"/>
  <c r="Q1418" i="48"/>
  <c r="Q1419" i="48" s="1"/>
  <c r="Q1420" i="48" s="1"/>
  <c r="Q1417" i="48"/>
  <c r="Q1428" i="48"/>
  <c r="Q1429" i="48" s="1"/>
  <c r="Q1430" i="48" s="1"/>
  <c r="Q1427" i="48"/>
  <c r="N1435" i="48"/>
  <c r="Q1484" i="48"/>
  <c r="Q1485" i="48" s="1"/>
  <c r="Q1486" i="48" s="1"/>
  <c r="Q1487" i="48" s="1"/>
  <c r="Q1483" i="48"/>
  <c r="R1512" i="48"/>
  <c r="R1511" i="48"/>
  <c r="T1511" i="48" s="1"/>
  <c r="E1542" i="48" s="1"/>
  <c r="T1510" i="48"/>
  <c r="N1585" i="48"/>
  <c r="R1627" i="48"/>
  <c r="T1626" i="48"/>
  <c r="H1704" i="48"/>
  <c r="R1679" i="48"/>
  <c r="T1678" i="48"/>
  <c r="N1683" i="48"/>
  <c r="R1351" i="48"/>
  <c r="T1351" i="48" s="1"/>
  <c r="E1382" i="48" s="1"/>
  <c r="R1352" i="48"/>
  <c r="M1379" i="48"/>
  <c r="Q1387" i="48"/>
  <c r="R1396" i="48"/>
  <c r="M1406" i="48"/>
  <c r="R1473" i="48"/>
  <c r="M1484" i="48"/>
  <c r="Q1492" i="48"/>
  <c r="N1493" i="48"/>
  <c r="M1520" i="48"/>
  <c r="Q1533" i="48"/>
  <c r="L1541" i="48"/>
  <c r="R1543" i="48"/>
  <c r="R1544" i="48"/>
  <c r="T1544" i="48" s="1"/>
  <c r="E1575" i="48" s="1"/>
  <c r="M1552" i="48"/>
  <c r="M1553" i="48"/>
  <c r="H1554" i="48"/>
  <c r="N1554" i="48" s="1"/>
  <c r="M1555" i="48"/>
  <c r="L1563" i="48"/>
  <c r="L1574" i="48"/>
  <c r="M1585" i="48"/>
  <c r="M1596" i="48"/>
  <c r="R1636" i="48"/>
  <c r="G3081" i="48"/>
  <c r="G3024" i="48"/>
  <c r="G3062" i="48"/>
  <c r="G3043" i="48"/>
  <c r="G1804" i="48"/>
  <c r="G1738" i="48"/>
  <c r="G1816" i="48"/>
  <c r="G1729" i="48"/>
  <c r="G1882" i="48"/>
  <c r="G1747" i="48"/>
  <c r="G1720" i="48"/>
  <c r="K3081" i="48"/>
  <c r="L3081" i="48" s="1"/>
  <c r="K3043" i="48"/>
  <c r="L3043" i="48" s="1"/>
  <c r="K3024" i="48"/>
  <c r="L3024" i="48" s="1"/>
  <c r="K3062" i="48"/>
  <c r="L3062" i="48" s="1"/>
  <c r="K1804" i="48"/>
  <c r="L1804" i="48" s="1"/>
  <c r="K1738" i="48"/>
  <c r="L1738" i="48" s="1"/>
  <c r="K1816" i="48"/>
  <c r="L1816" i="48" s="1"/>
  <c r="K1729" i="48"/>
  <c r="L1729" i="48" s="1"/>
  <c r="K1882" i="48"/>
  <c r="L1882" i="48" s="1"/>
  <c r="K1747" i="48"/>
  <c r="L1747" i="48" s="1"/>
  <c r="K1720" i="48"/>
  <c r="L1720" i="48" s="1"/>
  <c r="I2465" i="48"/>
  <c r="J2465" i="48" s="1"/>
  <c r="I2448" i="48"/>
  <c r="J2448" i="48" s="1"/>
  <c r="I2482" i="48"/>
  <c r="J2482" i="48" s="1"/>
  <c r="I2185" i="48"/>
  <c r="J2185" i="48" s="1"/>
  <c r="I2289" i="48"/>
  <c r="J2289" i="48" s="1"/>
  <c r="I2319" i="48"/>
  <c r="J2319" i="48" s="1"/>
  <c r="I2304" i="48"/>
  <c r="J2304" i="48" s="1"/>
  <c r="I1730" i="48"/>
  <c r="J1730" i="48" s="1"/>
  <c r="I1872" i="48"/>
  <c r="J1872" i="48" s="1"/>
  <c r="I1748" i="48"/>
  <c r="J1748" i="48" s="1"/>
  <c r="I1721" i="48"/>
  <c r="J1721" i="48" s="1"/>
  <c r="I2171" i="48"/>
  <c r="J2171" i="48" s="1"/>
  <c r="I1794" i="48"/>
  <c r="J1794" i="48" s="1"/>
  <c r="I1739" i="48"/>
  <c r="J1739" i="48" s="1"/>
  <c r="M1661" i="48"/>
  <c r="M1671" i="48"/>
  <c r="I1678" i="48"/>
  <c r="J1678" i="48" s="1"/>
  <c r="M1683" i="48"/>
  <c r="M1684" i="48"/>
  <c r="M1685" i="48"/>
  <c r="R1687" i="48"/>
  <c r="M1688" i="48"/>
  <c r="M1709" i="48"/>
  <c r="N1731" i="48"/>
  <c r="T1769" i="48"/>
  <c r="R1770" i="48"/>
  <c r="N1774" i="48"/>
  <c r="J1782" i="48"/>
  <c r="I1868" i="48" s="1"/>
  <c r="J1868" i="48" s="1"/>
  <c r="N1780" i="48"/>
  <c r="N1781" i="48"/>
  <c r="Q1789" i="48"/>
  <c r="Q1788" i="48"/>
  <c r="L1787" i="48"/>
  <c r="N1795" i="48"/>
  <c r="N1805" i="48"/>
  <c r="R1816" i="48"/>
  <c r="T1815" i="48"/>
  <c r="N1937" i="48"/>
  <c r="Q1949" i="48"/>
  <c r="Q1948" i="48"/>
  <c r="R1955" i="48"/>
  <c r="T1953" i="48"/>
  <c r="N1968" i="48"/>
  <c r="Q1980" i="48"/>
  <c r="Q1981" i="48"/>
  <c r="N1988" i="48"/>
  <c r="N2109" i="48"/>
  <c r="R2112" i="48"/>
  <c r="T2111" i="48"/>
  <c r="N2160" i="48"/>
  <c r="T2161" i="48"/>
  <c r="R2162" i="48"/>
  <c r="R1329" i="48"/>
  <c r="R1359" i="48"/>
  <c r="R1386" i="48"/>
  <c r="T1463" i="48"/>
  <c r="E1494" i="48" s="1"/>
  <c r="J1494" i="48" s="1"/>
  <c r="Q1465" i="48"/>
  <c r="J1476" i="48"/>
  <c r="J1477" i="48"/>
  <c r="N1477" i="48" s="1"/>
  <c r="R1491" i="48"/>
  <c r="Q1522" i="48"/>
  <c r="G3770" i="48"/>
  <c r="G3780" i="48"/>
  <c r="G3759" i="48"/>
  <c r="K3759" i="48"/>
  <c r="L3759" i="48" s="1"/>
  <c r="K3770" i="48"/>
  <c r="L3770" i="48" s="1"/>
  <c r="K3780" i="48"/>
  <c r="L3780" i="48" s="1"/>
  <c r="H1756" i="48"/>
  <c r="I1757" i="48"/>
  <c r="J1757" i="48" s="1"/>
  <c r="I1765" i="48"/>
  <c r="J1765" i="48" s="1"/>
  <c r="M1670" i="48"/>
  <c r="M1687" i="48"/>
  <c r="M1697" i="48"/>
  <c r="G1711" i="48"/>
  <c r="K1711" i="48"/>
  <c r="L1711" i="48" s="1"/>
  <c r="G1712" i="48"/>
  <c r="K1712" i="48"/>
  <c r="L1712" i="48" s="1"/>
  <c r="M1713" i="48"/>
  <c r="R1723" i="48"/>
  <c r="T1722" i="48"/>
  <c r="R1732" i="48"/>
  <c r="T1731" i="48"/>
  <c r="R1760" i="48"/>
  <c r="T1759" i="48"/>
  <c r="R1783" i="48"/>
  <c r="T1782" i="48"/>
  <c r="H1945" i="48"/>
  <c r="T1881" i="48"/>
  <c r="R1882" i="48"/>
  <c r="T1891" i="48"/>
  <c r="R1892" i="48"/>
  <c r="Q1964" i="48"/>
  <c r="Q1965" i="48"/>
  <c r="T1985" i="48"/>
  <c r="R1987" i="48"/>
  <c r="N1996" i="48"/>
  <c r="T2001" i="48"/>
  <c r="E2032" i="48" s="1"/>
  <c r="J2032" i="48" s="1"/>
  <c r="R2002" i="48"/>
  <c r="J2036" i="48"/>
  <c r="L2036" i="48"/>
  <c r="H2036" i="48"/>
  <c r="J2037" i="48"/>
  <c r="L2037" i="48"/>
  <c r="H2037" i="48"/>
  <c r="L2043" i="48"/>
  <c r="H2043" i="48"/>
  <c r="J2043" i="48"/>
  <c r="T2056" i="48"/>
  <c r="R2057" i="48"/>
  <c r="R2068" i="48"/>
  <c r="T2067" i="48"/>
  <c r="L2073" i="48"/>
  <c r="N2115" i="48"/>
  <c r="N2145" i="48"/>
  <c r="N2172" i="48"/>
  <c r="T2175" i="48"/>
  <c r="R2176" i="48"/>
  <c r="N2180" i="48"/>
  <c r="M1397" i="48"/>
  <c r="M1415" i="48"/>
  <c r="M1502" i="48"/>
  <c r="R1521" i="48"/>
  <c r="J1625" i="48"/>
  <c r="N1625" i="48" s="1"/>
  <c r="H1657" i="48"/>
  <c r="N1657" i="48" s="1"/>
  <c r="I3024" i="48"/>
  <c r="J3024" i="48" s="1"/>
  <c r="I3062" i="48"/>
  <c r="J3062" i="48" s="1"/>
  <c r="I3081" i="48"/>
  <c r="J3081" i="48" s="1"/>
  <c r="I3043" i="48"/>
  <c r="J3043" i="48" s="1"/>
  <c r="I1816" i="48"/>
  <c r="J1816" i="48" s="1"/>
  <c r="I1729" i="48"/>
  <c r="J1729" i="48" s="1"/>
  <c r="I1882" i="48"/>
  <c r="J1882" i="48" s="1"/>
  <c r="I1747" i="48"/>
  <c r="J1747" i="48" s="1"/>
  <c r="I1720" i="48"/>
  <c r="J1720" i="48" s="1"/>
  <c r="I1804" i="48"/>
  <c r="J1804" i="48" s="1"/>
  <c r="I1738" i="48"/>
  <c r="J1738" i="48" s="1"/>
  <c r="M1660" i="48"/>
  <c r="G2482" i="48"/>
  <c r="G2465" i="48"/>
  <c r="G2448" i="48"/>
  <c r="G2319" i="48"/>
  <c r="G2304" i="48"/>
  <c r="G2289" i="48"/>
  <c r="G2171" i="48"/>
  <c r="G1794" i="48"/>
  <c r="G1739" i="48"/>
  <c r="G1730" i="48"/>
  <c r="G2185" i="48"/>
  <c r="G1872" i="48"/>
  <c r="G1748" i="48"/>
  <c r="G1721" i="48"/>
  <c r="K2482" i="48"/>
  <c r="L2482" i="48" s="1"/>
  <c r="K2465" i="48"/>
  <c r="L2465" i="48" s="1"/>
  <c r="K2448" i="48"/>
  <c r="L2448" i="48" s="1"/>
  <c r="K2319" i="48"/>
  <c r="L2319" i="48" s="1"/>
  <c r="L2324" i="48" s="1"/>
  <c r="K2304" i="48"/>
  <c r="L2304" i="48" s="1"/>
  <c r="L2309" i="48" s="1"/>
  <c r="K2289" i="48"/>
  <c r="L2289" i="48" s="1"/>
  <c r="L2294" i="48" s="1"/>
  <c r="K2171" i="48"/>
  <c r="L2171" i="48" s="1"/>
  <c r="L2175" i="48" s="1"/>
  <c r="K1794" i="48"/>
  <c r="L1794" i="48" s="1"/>
  <c r="K1739" i="48"/>
  <c r="L1739" i="48" s="1"/>
  <c r="K2185" i="48"/>
  <c r="L2185" i="48" s="1"/>
  <c r="L2189" i="48" s="1"/>
  <c r="K1730" i="48"/>
  <c r="L1730" i="48" s="1"/>
  <c r="K1872" i="48"/>
  <c r="L1872" i="48" s="1"/>
  <c r="K1748" i="48"/>
  <c r="L1748" i="48" s="1"/>
  <c r="K1721" i="48"/>
  <c r="L1721" i="48" s="1"/>
  <c r="H1662" i="48"/>
  <c r="L1662" i="48"/>
  <c r="L1663" i="48" s="1"/>
  <c r="J1667" i="48"/>
  <c r="J1668" i="48"/>
  <c r="N1668" i="48" s="1"/>
  <c r="H1669" i="48"/>
  <c r="L1669" i="48"/>
  <c r="J1670" i="48"/>
  <c r="M1677" i="48"/>
  <c r="G1678" i="48"/>
  <c r="K1678" i="48"/>
  <c r="L1678" i="48" s="1"/>
  <c r="H1679" i="48"/>
  <c r="N1679" i="48" s="1"/>
  <c r="M1686" i="48"/>
  <c r="H1695" i="48"/>
  <c r="N1695" i="48" s="1"/>
  <c r="M1696" i="48"/>
  <c r="H1700" i="48"/>
  <c r="M1703" i="48"/>
  <c r="H1705" i="48"/>
  <c r="N1705" i="48" s="1"/>
  <c r="J1710" i="48"/>
  <c r="M1718" i="48"/>
  <c r="J1718" i="48"/>
  <c r="L1777" i="48"/>
  <c r="H1782" i="48"/>
  <c r="G1868" i="48" s="1"/>
  <c r="N1779" i="48"/>
  <c r="N1784" i="48"/>
  <c r="R1805" i="48"/>
  <c r="T1804" i="48"/>
  <c r="N1819" i="48"/>
  <c r="R1827" i="48"/>
  <c r="T1826" i="48"/>
  <c r="T1837" i="48"/>
  <c r="R1838" i="48"/>
  <c r="R1860" i="48"/>
  <c r="T1859" i="48"/>
  <c r="R1871" i="48"/>
  <c r="T1870" i="48"/>
  <c r="T1901" i="48"/>
  <c r="R1902" i="48"/>
  <c r="Q1932" i="48"/>
  <c r="Q1933" i="48"/>
  <c r="T1937" i="48"/>
  <c r="R1939" i="48"/>
  <c r="R1971" i="48"/>
  <c r="T1969" i="48"/>
  <c r="Q1996" i="48"/>
  <c r="Q1997" i="48"/>
  <c r="Q2014" i="48"/>
  <c r="Q2010" i="48"/>
  <c r="L2046" i="48"/>
  <c r="H2046" i="48"/>
  <c r="J2046" i="48"/>
  <c r="R2079" i="48"/>
  <c r="T2078" i="48"/>
  <c r="Q1360" i="48"/>
  <c r="Q1500" i="48"/>
  <c r="Q1511" i="48"/>
  <c r="T1556" i="48"/>
  <c r="E1587" i="48" s="1"/>
  <c r="I3770" i="48"/>
  <c r="J3770" i="48" s="1"/>
  <c r="I3759" i="48"/>
  <c r="J3759" i="48" s="1"/>
  <c r="I3780" i="48"/>
  <c r="J3780" i="48" s="1"/>
  <c r="M1662" i="48"/>
  <c r="M1669" i="48"/>
  <c r="G1765" i="48"/>
  <c r="G1757" i="48"/>
  <c r="K1765" i="48"/>
  <c r="L1765" i="48" s="1"/>
  <c r="L1767" i="48" s="1"/>
  <c r="K1757" i="48"/>
  <c r="L1757" i="48" s="1"/>
  <c r="L1759" i="48" s="1"/>
  <c r="J1677" i="48"/>
  <c r="I1711" i="48"/>
  <c r="J1711" i="48" s="1"/>
  <c r="I1712" i="48"/>
  <c r="J1712" i="48" s="1"/>
  <c r="N1722" i="48"/>
  <c r="N1740" i="48"/>
  <c r="R1796" i="48"/>
  <c r="T1795" i="48"/>
  <c r="N1803" i="48"/>
  <c r="N1874" i="48"/>
  <c r="N1894" i="48"/>
  <c r="N1896" i="48"/>
  <c r="N1897" i="48"/>
  <c r="N1948" i="48"/>
  <c r="T2021" i="48"/>
  <c r="E2052" i="48" s="1"/>
  <c r="J2052" i="48" s="1"/>
  <c r="N2052" i="48" s="1"/>
  <c r="R2022" i="48"/>
  <c r="N2028" i="48"/>
  <c r="T2034" i="48"/>
  <c r="R2035" i="48"/>
  <c r="T2045" i="48"/>
  <c r="R2046" i="48"/>
  <c r="R2101" i="48"/>
  <c r="T2100" i="48"/>
  <c r="L2106" i="48"/>
  <c r="N2103" i="48"/>
  <c r="N2125" i="48"/>
  <c r="L2139" i="48"/>
  <c r="T2136" i="48"/>
  <c r="R2137" i="48"/>
  <c r="N2159" i="48"/>
  <c r="M1779" i="48"/>
  <c r="M1795" i="48"/>
  <c r="M1803" i="48"/>
  <c r="M1805" i="48"/>
  <c r="M1815" i="48"/>
  <c r="H1818" i="48"/>
  <c r="N1818" i="48" s="1"/>
  <c r="M1819" i="48"/>
  <c r="M1826" i="48"/>
  <c r="J1827" i="48"/>
  <c r="M1830" i="48"/>
  <c r="G1838" i="48"/>
  <c r="K1838" i="48"/>
  <c r="L1838" i="48" s="1"/>
  <c r="H1849" i="48"/>
  <c r="N1849" i="48" s="1"/>
  <c r="R1849" i="48"/>
  <c r="H1853" i="48"/>
  <c r="N1853" i="48" s="1"/>
  <c r="M1858" i="48"/>
  <c r="J1859" i="48"/>
  <c r="N1859" i="48" s="1"/>
  <c r="I1860" i="48"/>
  <c r="J1860" i="48" s="1"/>
  <c r="H1863" i="48"/>
  <c r="N1863" i="48" s="1"/>
  <c r="M1864" i="48"/>
  <c r="M1870" i="48"/>
  <c r="H1873" i="48"/>
  <c r="N1873" i="48" s="1"/>
  <c r="M1874" i="48"/>
  <c r="M1884" i="48"/>
  <c r="M1894" i="48"/>
  <c r="M1904" i="48"/>
  <c r="M1908" i="48"/>
  <c r="M1914" i="48"/>
  <c r="G1916" i="48"/>
  <c r="K1916" i="48"/>
  <c r="L1916" i="48" s="1"/>
  <c r="M1918" i="48"/>
  <c r="I1925" i="48"/>
  <c r="J1925" i="48" s="1"/>
  <c r="I1946" i="48"/>
  <c r="J1946" i="48" s="1"/>
  <c r="H1952" i="48"/>
  <c r="I1976" i="48"/>
  <c r="M1988" i="48"/>
  <c r="I1992" i="48"/>
  <c r="J1992" i="48" s="1"/>
  <c r="M1996" i="48"/>
  <c r="G2008" i="48"/>
  <c r="K2008" i="48"/>
  <c r="N2016" i="48"/>
  <c r="M2017" i="48"/>
  <c r="T2020" i="48"/>
  <c r="E2051" i="48" s="1"/>
  <c r="J2051" i="48" s="1"/>
  <c r="J2021" i="48"/>
  <c r="N2021" i="48" s="1"/>
  <c r="H2023" i="48"/>
  <c r="N2023" i="48" s="1"/>
  <c r="I2024" i="48"/>
  <c r="J2024" i="48" s="1"/>
  <c r="J2025" i="48"/>
  <c r="N2025" i="48" s="1"/>
  <c r="H2027" i="48"/>
  <c r="N2027" i="48" s="1"/>
  <c r="M2028" i="48"/>
  <c r="H2067" i="48"/>
  <c r="J2069" i="48"/>
  <c r="H2071" i="48"/>
  <c r="N2071" i="48" s="1"/>
  <c r="J2079" i="48"/>
  <c r="N2079" i="48" s="1"/>
  <c r="H2081" i="48"/>
  <c r="N2081" i="48" s="1"/>
  <c r="J2083" i="48"/>
  <c r="N2083" i="48" s="1"/>
  <c r="J2087" i="48"/>
  <c r="J2088" i="48"/>
  <c r="N2088" i="48" s="1"/>
  <c r="R2088" i="48"/>
  <c r="R2089" i="48" s="1"/>
  <c r="J2089" i="48"/>
  <c r="N2089" i="48" s="1"/>
  <c r="H2091" i="48"/>
  <c r="J2093" i="48"/>
  <c r="N2093" i="48" s="1"/>
  <c r="H2100" i="48"/>
  <c r="J2102" i="48"/>
  <c r="H2104" i="48"/>
  <c r="N2104" i="48" s="1"/>
  <c r="J2112" i="48"/>
  <c r="H2114" i="48"/>
  <c r="N2114" i="48" s="1"/>
  <c r="J2116" i="48"/>
  <c r="N2116" i="48" s="1"/>
  <c r="J2120" i="48"/>
  <c r="J2121" i="48"/>
  <c r="N2121" i="48" s="1"/>
  <c r="R2121" i="48"/>
  <c r="R2122" i="48" s="1"/>
  <c r="J2122" i="48"/>
  <c r="N2122" i="48" s="1"/>
  <c r="H2124" i="48"/>
  <c r="N2124" i="48" s="1"/>
  <c r="M2125" i="48"/>
  <c r="J2126" i="48"/>
  <c r="N2126" i="48" s="1"/>
  <c r="J2131" i="48"/>
  <c r="J2132" i="48"/>
  <c r="N2132" i="48" s="1"/>
  <c r="J2134" i="48"/>
  <c r="N2134" i="48" s="1"/>
  <c r="H2135" i="48"/>
  <c r="N2135" i="48" s="1"/>
  <c r="T2135" i="48"/>
  <c r="J2136" i="48"/>
  <c r="N2136" i="48" s="1"/>
  <c r="H2138" i="48"/>
  <c r="N2138" i="48" s="1"/>
  <c r="J2143" i="48"/>
  <c r="N2143" i="48" s="1"/>
  <c r="M2144" i="48"/>
  <c r="M2145" i="48"/>
  <c r="M2146" i="48"/>
  <c r="H2148" i="48"/>
  <c r="N2148" i="48" s="1"/>
  <c r="M2149" i="48"/>
  <c r="J2153" i="48"/>
  <c r="J2155" i="48"/>
  <c r="N2155" i="48" s="1"/>
  <c r="H2157" i="48"/>
  <c r="N2157" i="48" s="1"/>
  <c r="M2158" i="48"/>
  <c r="M2159" i="48"/>
  <c r="M2160" i="48"/>
  <c r="M2166" i="48"/>
  <c r="M2172" i="48"/>
  <c r="J2173" i="48"/>
  <c r="N2173" i="48" s="1"/>
  <c r="J2182" i="48"/>
  <c r="J2184" i="48"/>
  <c r="N2184" i="48" s="1"/>
  <c r="N2208" i="48"/>
  <c r="L2279" i="48"/>
  <c r="N2316" i="48"/>
  <c r="N2320" i="48"/>
  <c r="R2329" i="48"/>
  <c r="T2328" i="48"/>
  <c r="R2361" i="48"/>
  <c r="T2360" i="48"/>
  <c r="M1731" i="48"/>
  <c r="M1740" i="48"/>
  <c r="J1763" i="48"/>
  <c r="N1763" i="48" s="1"/>
  <c r="J1770" i="48"/>
  <c r="M1774" i="48"/>
  <c r="N1775" i="48"/>
  <c r="M1781" i="48"/>
  <c r="T1781" i="48"/>
  <c r="M1784" i="48"/>
  <c r="H1793" i="48"/>
  <c r="N1793" i="48" s="1"/>
  <c r="H1807" i="48"/>
  <c r="N1807" i="48" s="1"/>
  <c r="M1829" i="48"/>
  <c r="M1839" i="48"/>
  <c r="H1862" i="48"/>
  <c r="N1862" i="48" s="1"/>
  <c r="M1883" i="48"/>
  <c r="I1893" i="48"/>
  <c r="J1893" i="48" s="1"/>
  <c r="M1897" i="48"/>
  <c r="M1907" i="48"/>
  <c r="R1912" i="48"/>
  <c r="G1915" i="48"/>
  <c r="K1915" i="48"/>
  <c r="L1915" i="48" s="1"/>
  <c r="M1917" i="48"/>
  <c r="R1923" i="48"/>
  <c r="G1926" i="48"/>
  <c r="K1926" i="48"/>
  <c r="L1926" i="48" s="1"/>
  <c r="M1928" i="48"/>
  <c r="I1935" i="48"/>
  <c r="J1935" i="48" s="1"/>
  <c r="I1936" i="48"/>
  <c r="J1936" i="48" s="1"/>
  <c r="M1938" i="48"/>
  <c r="I1945" i="48"/>
  <c r="J1945" i="48" s="1"/>
  <c r="I1960" i="48"/>
  <c r="H1990" i="48"/>
  <c r="N1990" i="48" s="1"/>
  <c r="H1994" i="48"/>
  <c r="N1994" i="48" s="1"/>
  <c r="H2022" i="48"/>
  <c r="N2022" i="48" s="1"/>
  <c r="H2026" i="48"/>
  <c r="N2026" i="48" s="1"/>
  <c r="H2123" i="48"/>
  <c r="H2127" i="48"/>
  <c r="N2127" i="48" s="1"/>
  <c r="H2133" i="48"/>
  <c r="H2137" i="48"/>
  <c r="N2137" i="48" s="1"/>
  <c r="J2142" i="48"/>
  <c r="N2144" i="48"/>
  <c r="H2147" i="48"/>
  <c r="N2147" i="48" s="1"/>
  <c r="H2156" i="48"/>
  <c r="N2156" i="48" s="1"/>
  <c r="H2170" i="48"/>
  <c r="N2170" i="48" s="1"/>
  <c r="Q2176" i="48"/>
  <c r="Q2177" i="48" s="1"/>
  <c r="Q2178" i="48" s="1"/>
  <c r="Q2179" i="48" s="1"/>
  <c r="Q2180" i="48" s="1"/>
  <c r="Q2181" i="48" s="1"/>
  <c r="Q2182" i="48" s="1"/>
  <c r="Q2183" i="48" s="1"/>
  <c r="Q2184" i="48" s="1"/>
  <c r="Q2185" i="48" s="1"/>
  <c r="Q2186" i="48" s="1"/>
  <c r="Q2187" i="48" s="1"/>
  <c r="M2180" i="48"/>
  <c r="M2187" i="48"/>
  <c r="N2202" i="48"/>
  <c r="L2219" i="48"/>
  <c r="T2221" i="48"/>
  <c r="R2222" i="48"/>
  <c r="N2238" i="48"/>
  <c r="T2265" i="48"/>
  <c r="R2266" i="48"/>
  <c r="N2308" i="48"/>
  <c r="R2313" i="48"/>
  <c r="T2312" i="48"/>
  <c r="N2349" i="48"/>
  <c r="N2386" i="48"/>
  <c r="J1728" i="48"/>
  <c r="N1728" i="48" s="1"/>
  <c r="H1734" i="48"/>
  <c r="H1752" i="48"/>
  <c r="H1753" i="48"/>
  <c r="N1753" i="48" s="1"/>
  <c r="J1754" i="48"/>
  <c r="J1755" i="48"/>
  <c r="N1755" i="48" s="1"/>
  <c r="H1758" i="48"/>
  <c r="N1758" i="48" s="1"/>
  <c r="H1762" i="48"/>
  <c r="N1762" i="48" s="1"/>
  <c r="H1766" i="48"/>
  <c r="N1766" i="48" s="1"/>
  <c r="H1776" i="48"/>
  <c r="N1776" i="48" s="1"/>
  <c r="H1786" i="48"/>
  <c r="N1786" i="48" s="1"/>
  <c r="H1796" i="48"/>
  <c r="N1796" i="48" s="1"/>
  <c r="H1806" i="48"/>
  <c r="N1806" i="48" s="1"/>
  <c r="J1813" i="48"/>
  <c r="N1813" i="48" s="1"/>
  <c r="J1814" i="48"/>
  <c r="N1814" i="48" s="1"/>
  <c r="H1820" i="48"/>
  <c r="N1820" i="48" s="1"/>
  <c r="J1825" i="48"/>
  <c r="N1825" i="48" s="1"/>
  <c r="H1827" i="48"/>
  <c r="L1827" i="48"/>
  <c r="M1828" i="48"/>
  <c r="H1831" i="48"/>
  <c r="N1831" i="48" s="1"/>
  <c r="J1837" i="48"/>
  <c r="N1837" i="48" s="1"/>
  <c r="I1838" i="48"/>
  <c r="J1838" i="48" s="1"/>
  <c r="H1841" i="48"/>
  <c r="N1841" i="48" s="1"/>
  <c r="J1847" i="48"/>
  <c r="N1847" i="48" s="1"/>
  <c r="H1851" i="48"/>
  <c r="N1851" i="48" s="1"/>
  <c r="G1860" i="48"/>
  <c r="K1860" i="48"/>
  <c r="L1860" i="48" s="1"/>
  <c r="J1869" i="48"/>
  <c r="N1869" i="48" s="1"/>
  <c r="H1871" i="48"/>
  <c r="N1871" i="48" s="1"/>
  <c r="H1881" i="48"/>
  <c r="N1881" i="48" s="1"/>
  <c r="H1885" i="48"/>
  <c r="N1885" i="48" s="1"/>
  <c r="J1891" i="48"/>
  <c r="N1891" i="48" s="1"/>
  <c r="H1895" i="48"/>
  <c r="N1895" i="48" s="1"/>
  <c r="M1896" i="48"/>
  <c r="H1905" i="48"/>
  <c r="N1905" i="48" s="1"/>
  <c r="M1906" i="48"/>
  <c r="I1916" i="48"/>
  <c r="J1916" i="48" s="1"/>
  <c r="G1925" i="48"/>
  <c r="K1925" i="48"/>
  <c r="L1925" i="48" s="1"/>
  <c r="M1927" i="48"/>
  <c r="M1937" i="48"/>
  <c r="G1946" i="48"/>
  <c r="K1946" i="48"/>
  <c r="L1946" i="48" s="1"/>
  <c r="M1948" i="48"/>
  <c r="G1976" i="48"/>
  <c r="K1976" i="48"/>
  <c r="G1992" i="48"/>
  <c r="K1992" i="48"/>
  <c r="L1992" i="48" s="1"/>
  <c r="L1997" i="48" s="1"/>
  <c r="I2008" i="48"/>
  <c r="G2024" i="48"/>
  <c r="K2024" i="48"/>
  <c r="L2024" i="48" s="1"/>
  <c r="L2029" i="48" s="1"/>
  <c r="N2187" i="48"/>
  <c r="T2206" i="48"/>
  <c r="R2207" i="48"/>
  <c r="N2231" i="48"/>
  <c r="L2249" i="48"/>
  <c r="N2260" i="48"/>
  <c r="T2280" i="48"/>
  <c r="R2281" i="48"/>
  <c r="N2290" i="48"/>
  <c r="N2353" i="48"/>
  <c r="M1827" i="48"/>
  <c r="J1828" i="48"/>
  <c r="G1893" i="48"/>
  <c r="K1893" i="48"/>
  <c r="L1893" i="48" s="1"/>
  <c r="G1935" i="48"/>
  <c r="K1935" i="48"/>
  <c r="L1935" i="48" s="1"/>
  <c r="G1936" i="48"/>
  <c r="K1936" i="48"/>
  <c r="L1936" i="48" s="1"/>
  <c r="Q2261" i="48"/>
  <c r="Q2258" i="48"/>
  <c r="Q2260" i="48" s="1"/>
  <c r="Q2262" i="48" s="1"/>
  <c r="T2343" i="48"/>
  <c r="R2344" i="48"/>
  <c r="R2377" i="48"/>
  <c r="T2376" i="48"/>
  <c r="T2391" i="48"/>
  <c r="R2392" i="48"/>
  <c r="R2190" i="48"/>
  <c r="H2194" i="48"/>
  <c r="N2194" i="48" s="1"/>
  <c r="T2205" i="48"/>
  <c r="H2210" i="48"/>
  <c r="N2210" i="48" s="1"/>
  <c r="T2220" i="48"/>
  <c r="H2225" i="48"/>
  <c r="N2225" i="48" s="1"/>
  <c r="H2240" i="48"/>
  <c r="N2240" i="48" s="1"/>
  <c r="R2252" i="48"/>
  <c r="Q2266" i="48"/>
  <c r="Q2267" i="48" s="1"/>
  <c r="Q2268" i="48" s="1"/>
  <c r="Q2269" i="48" s="1"/>
  <c r="Q2270" i="48" s="1"/>
  <c r="Q2271" i="48" s="1"/>
  <c r="Q2272" i="48" s="1"/>
  <c r="Q2274" i="48" s="1"/>
  <c r="Q2281" i="48"/>
  <c r="Q2282" i="48" s="1"/>
  <c r="Q2283" i="48" s="1"/>
  <c r="Q2284" i="48" s="1"/>
  <c r="Q2285" i="48" s="1"/>
  <c r="Q2286" i="48" s="1"/>
  <c r="Q2287" i="48" s="1"/>
  <c r="Q2289" i="48" s="1"/>
  <c r="R2296" i="48"/>
  <c r="Q2344" i="48"/>
  <c r="Q2345" i="48" s="1"/>
  <c r="Q2346" i="48" s="1"/>
  <c r="Q2347" i="48" s="1"/>
  <c r="Q2348" i="48" s="1"/>
  <c r="Q2349" i="48" s="1"/>
  <c r="Q2350" i="48" s="1"/>
  <c r="Q2351" i="48" s="1"/>
  <c r="Q2352" i="48" s="1"/>
  <c r="Q2353" i="48" s="1"/>
  <c r="Q2354" i="48" s="1"/>
  <c r="Q2355" i="48" s="1"/>
  <c r="Q2356" i="48" s="1"/>
  <c r="Q2392" i="48"/>
  <c r="Q2393" i="48" s="1"/>
  <c r="Q2394" i="48" s="1"/>
  <c r="Q2395" i="48" s="1"/>
  <c r="Q2396" i="48" s="1"/>
  <c r="Q2397" i="48" s="1"/>
  <c r="Q2398" i="48" s="1"/>
  <c r="Q2399" i="48" s="1"/>
  <c r="Q2400" i="48" s="1"/>
  <c r="Q2401" i="48" s="1"/>
  <c r="Q2402" i="48" s="1"/>
  <c r="Q2403" i="48" s="1"/>
  <c r="Q2404" i="48" s="1"/>
  <c r="N2400" i="48"/>
  <c r="N2429" i="48"/>
  <c r="N2443" i="48"/>
  <c r="N2458" i="48"/>
  <c r="R2476" i="48"/>
  <c r="T2476" i="48" s="1"/>
  <c r="T2475" i="48"/>
  <c r="L2573" i="48"/>
  <c r="H2573" i="48"/>
  <c r="J2573" i="48"/>
  <c r="T2571" i="48"/>
  <c r="R2572" i="48"/>
  <c r="M2198" i="48"/>
  <c r="M2202" i="48"/>
  <c r="M2216" i="48"/>
  <c r="M2231" i="48"/>
  <c r="M2246" i="48"/>
  <c r="M2254" i="48"/>
  <c r="M2260" i="48"/>
  <c r="M2269" i="48"/>
  <c r="M2275" i="48"/>
  <c r="M2284" i="48"/>
  <c r="M2290" i="48"/>
  <c r="M2300" i="48"/>
  <c r="M2308" i="48"/>
  <c r="M2315" i="48"/>
  <c r="M2323" i="48"/>
  <c r="M2330" i="48"/>
  <c r="M2334" i="48"/>
  <c r="M2349" i="48"/>
  <c r="M2353" i="48"/>
  <c r="M2361" i="48"/>
  <c r="M2371" i="48"/>
  <c r="M2378" i="48"/>
  <c r="M2382" i="48"/>
  <c r="M2386" i="48"/>
  <c r="H2398" i="48"/>
  <c r="N2398" i="48" s="1"/>
  <c r="M2398" i="48"/>
  <c r="H2408" i="48"/>
  <c r="M2408" i="48"/>
  <c r="H2435" i="48"/>
  <c r="N2435" i="48" s="1"/>
  <c r="M2435" i="48"/>
  <c r="R2443" i="48"/>
  <c r="T2442" i="48"/>
  <c r="R2584" i="48"/>
  <c r="T2583" i="48"/>
  <c r="J2196" i="48"/>
  <c r="H2200" i="48"/>
  <c r="N2200" i="48" s="1"/>
  <c r="H2214" i="48"/>
  <c r="N2214" i="48" s="1"/>
  <c r="H2218" i="48"/>
  <c r="N2218" i="48" s="1"/>
  <c r="H2229" i="48"/>
  <c r="N2229" i="48" s="1"/>
  <c r="H2233" i="48"/>
  <c r="N2233" i="48" s="1"/>
  <c r="H2244" i="48"/>
  <c r="N2244" i="48" s="1"/>
  <c r="H2248" i="48"/>
  <c r="N2248" i="48" s="1"/>
  <c r="H2258" i="48"/>
  <c r="N2258" i="48" s="1"/>
  <c r="H2262" i="48"/>
  <c r="N2262" i="48" s="1"/>
  <c r="H2273" i="48"/>
  <c r="N2273" i="48" s="1"/>
  <c r="H2277" i="48"/>
  <c r="N2277" i="48" s="1"/>
  <c r="H2288" i="48"/>
  <c r="N2288" i="48" s="1"/>
  <c r="H2292" i="48"/>
  <c r="N2292" i="48" s="1"/>
  <c r="H2298" i="48"/>
  <c r="J2302" i="48"/>
  <c r="N2302" i="48" s="1"/>
  <c r="H2306" i="48"/>
  <c r="N2306" i="48" s="1"/>
  <c r="H2313" i="48"/>
  <c r="J2317" i="48"/>
  <c r="N2317" i="48" s="1"/>
  <c r="H2321" i="48"/>
  <c r="N2321" i="48" s="1"/>
  <c r="H2328" i="48"/>
  <c r="J2332" i="48"/>
  <c r="N2332" i="48" s="1"/>
  <c r="H2336" i="48"/>
  <c r="N2336" i="48" s="1"/>
  <c r="J2347" i="48"/>
  <c r="H2355" i="48"/>
  <c r="N2355" i="48" s="1"/>
  <c r="H2365" i="48"/>
  <c r="N2365" i="48" s="1"/>
  <c r="H2369" i="48"/>
  <c r="N2369" i="48" s="1"/>
  <c r="H2376" i="48"/>
  <c r="J2380" i="48"/>
  <c r="N2380" i="48" s="1"/>
  <c r="H2384" i="48"/>
  <c r="N2384" i="48" s="1"/>
  <c r="J2395" i="48"/>
  <c r="H2402" i="48"/>
  <c r="N2402" i="48" s="1"/>
  <c r="M2402" i="48"/>
  <c r="J2427" i="48"/>
  <c r="M2427" i="48"/>
  <c r="M2433" i="48"/>
  <c r="N2442" i="48"/>
  <c r="N2457" i="48"/>
  <c r="T2536" i="48"/>
  <c r="E2567" i="48" s="1"/>
  <c r="J2567" i="48" s="1"/>
  <c r="N2567" i="48" s="1"/>
  <c r="R2560" i="48"/>
  <c r="T2559" i="48"/>
  <c r="T2621" i="48"/>
  <c r="R2622" i="48"/>
  <c r="R2633" i="48"/>
  <c r="T2632" i="48"/>
  <c r="M2400" i="48"/>
  <c r="R2410" i="48"/>
  <c r="T2409" i="48"/>
  <c r="M2410" i="48"/>
  <c r="J2412" i="48"/>
  <c r="N2412" i="48" s="1"/>
  <c r="M2412" i="48"/>
  <c r="M2414" i="48"/>
  <c r="H2416" i="48"/>
  <c r="N2416" i="48" s="1"/>
  <c r="M2416" i="48"/>
  <c r="N2425" i="48"/>
  <c r="M2429" i="48"/>
  <c r="N2433" i="48"/>
  <c r="N2446" i="48"/>
  <c r="N2450" i="48"/>
  <c r="T2468" i="48"/>
  <c r="R2469" i="48"/>
  <c r="T2469" i="48" s="1"/>
  <c r="T2595" i="48"/>
  <c r="R2597" i="48"/>
  <c r="T2597" i="48" s="1"/>
  <c r="R2596" i="48"/>
  <c r="H2397" i="48"/>
  <c r="N2397" i="48" s="1"/>
  <c r="H2401" i="48"/>
  <c r="N2401" i="48" s="1"/>
  <c r="J2403" i="48"/>
  <c r="N2403" i="48" s="1"/>
  <c r="T2408" i="48"/>
  <c r="J2411" i="48"/>
  <c r="J2413" i="48"/>
  <c r="N2413" i="48" s="1"/>
  <c r="J2417" i="48"/>
  <c r="N2417" i="48" s="1"/>
  <c r="H2419" i="48"/>
  <c r="N2419" i="48" s="1"/>
  <c r="M2425" i="48"/>
  <c r="H2430" i="48"/>
  <c r="N2430" i="48" s="1"/>
  <c r="J2432" i="48"/>
  <c r="N2432" i="48" s="1"/>
  <c r="H2434" i="48"/>
  <c r="N2434" i="48" s="1"/>
  <c r="H2440" i="48"/>
  <c r="H2441" i="48"/>
  <c r="N2441" i="48" s="1"/>
  <c r="M2442" i="48"/>
  <c r="H2445" i="48"/>
  <c r="N2445" i="48" s="1"/>
  <c r="M2446" i="48"/>
  <c r="H2449" i="48"/>
  <c r="N2449" i="48" s="1"/>
  <c r="M2450" i="48"/>
  <c r="J2451" i="48"/>
  <c r="N2451" i="48" s="1"/>
  <c r="H2459" i="48"/>
  <c r="N2459" i="48" s="1"/>
  <c r="T2461" i="48"/>
  <c r="J2462" i="48"/>
  <c r="N2462" i="48" s="1"/>
  <c r="J2468" i="48"/>
  <c r="N2468" i="48" s="1"/>
  <c r="J2477" i="48"/>
  <c r="J2478" i="48"/>
  <c r="N2478" i="48" s="1"/>
  <c r="H2479" i="48"/>
  <c r="N2479" i="48" s="1"/>
  <c r="H2480" i="48"/>
  <c r="N2480" i="48" s="1"/>
  <c r="H2483" i="48"/>
  <c r="N2483" i="48" s="1"/>
  <c r="H2484" i="48"/>
  <c r="N2484" i="48" s="1"/>
  <c r="H2485" i="48"/>
  <c r="N2485" i="48" s="1"/>
  <c r="H2486" i="48"/>
  <c r="N2486" i="48" s="1"/>
  <c r="R2516" i="48"/>
  <c r="T2541" i="48"/>
  <c r="E2572" i="48" s="1"/>
  <c r="J2572" i="48" s="1"/>
  <c r="N2572" i="48" s="1"/>
  <c r="R2547" i="48"/>
  <c r="T2582" i="48"/>
  <c r="L2590" i="48"/>
  <c r="H2603" i="48"/>
  <c r="Q2609" i="48"/>
  <c r="Q2611" i="48" s="1"/>
  <c r="Q2612" i="48" s="1"/>
  <c r="Q2613" i="48" s="1"/>
  <c r="Q2614" i="48" s="1"/>
  <c r="Q2615" i="48" s="1"/>
  <c r="Q2616" i="48" s="1"/>
  <c r="H2616" i="48"/>
  <c r="N2616" i="48" s="1"/>
  <c r="T2631" i="48"/>
  <c r="T2655" i="48"/>
  <c r="M2688" i="48"/>
  <c r="H2688" i="48"/>
  <c r="N2688" i="48" s="1"/>
  <c r="T2693" i="48"/>
  <c r="R2721" i="48"/>
  <c r="T2721" i="48" s="1"/>
  <c r="T2719" i="48"/>
  <c r="R2720" i="48"/>
  <c r="N2727" i="48"/>
  <c r="R2772" i="48"/>
  <c r="T2771" i="48"/>
  <c r="N2790" i="48"/>
  <c r="T2809" i="48"/>
  <c r="R2810" i="48"/>
  <c r="T2822" i="48"/>
  <c r="R2823" i="48"/>
  <c r="J2444" i="48"/>
  <c r="N2444" i="48" s="1"/>
  <c r="H2452" i="48"/>
  <c r="N2452" i="48" s="1"/>
  <c r="M2458" i="48"/>
  <c r="H2463" i="48"/>
  <c r="N2463" i="48" s="1"/>
  <c r="H2466" i="48"/>
  <c r="N2466" i="48" s="1"/>
  <c r="H2467" i="48"/>
  <c r="N2467" i="48" s="1"/>
  <c r="H2469" i="48"/>
  <c r="N2469" i="48" s="1"/>
  <c r="H2474" i="48"/>
  <c r="M2475" i="48"/>
  <c r="H2490" i="48"/>
  <c r="J2491" i="48"/>
  <c r="J2492" i="48"/>
  <c r="N2492" i="48" s="1"/>
  <c r="N2498" i="48"/>
  <c r="H2504" i="48"/>
  <c r="J2505" i="48"/>
  <c r="J2506" i="48"/>
  <c r="N2506" i="48" s="1"/>
  <c r="N2560" i="48"/>
  <c r="N2561" i="48" s="1"/>
  <c r="R2608" i="48"/>
  <c r="T2658" i="48"/>
  <c r="E2689" i="48" s="1"/>
  <c r="J2689" i="48" s="1"/>
  <c r="T2695" i="48"/>
  <c r="R2696" i="48"/>
  <c r="T2759" i="48"/>
  <c r="R2760" i="48"/>
  <c r="R2543" i="48"/>
  <c r="T2543" i="48" s="1"/>
  <c r="E2574" i="48" s="1"/>
  <c r="H2546" i="48"/>
  <c r="J2549" i="48"/>
  <c r="N2549" i="48" s="1"/>
  <c r="L2553" i="48"/>
  <c r="L2614" i="48"/>
  <c r="H2627" i="48"/>
  <c r="H2629" i="48"/>
  <c r="N2629" i="48" s="1"/>
  <c r="T2667" i="48"/>
  <c r="R2668" i="48"/>
  <c r="M2676" i="48"/>
  <c r="H2676" i="48"/>
  <c r="N2676" i="48" s="1"/>
  <c r="T2680" i="48"/>
  <c r="R2681" i="48"/>
  <c r="N2699" i="48"/>
  <c r="N2731" i="48"/>
  <c r="T2747" i="48"/>
  <c r="R2748" i="48"/>
  <c r="N2765" i="48"/>
  <c r="N2815" i="48"/>
  <c r="R2837" i="48"/>
  <c r="T2836" i="48"/>
  <c r="T2441" i="48"/>
  <c r="Q2596" i="48"/>
  <c r="Q2598" i="48" s="1"/>
  <c r="Q2599" i="48" s="1"/>
  <c r="Q2600" i="48" s="1"/>
  <c r="Q2601" i="48" s="1"/>
  <c r="Q2602" i="48" s="1"/>
  <c r="Q2603" i="48" s="1"/>
  <c r="M2642" i="48"/>
  <c r="H2642" i="48"/>
  <c r="N2642" i="48" s="1"/>
  <c r="R2661" i="48"/>
  <c r="T2656" i="48"/>
  <c r="T2694" i="48"/>
  <c r="T2733" i="48"/>
  <c r="R2735" i="48"/>
  <c r="T2735" i="48" s="1"/>
  <c r="R2734" i="48"/>
  <c r="N2674" i="48"/>
  <c r="J2701" i="48"/>
  <c r="J2704" i="48"/>
  <c r="N2704" i="48" s="1"/>
  <c r="J2705" i="48"/>
  <c r="N2705" i="48" s="1"/>
  <c r="H2706" i="48"/>
  <c r="N2706" i="48" s="1"/>
  <c r="R2706" i="48"/>
  <c r="H2712" i="48"/>
  <c r="H2725" i="48"/>
  <c r="J2729" i="48"/>
  <c r="N2729" i="48" s="1"/>
  <c r="M2730" i="48"/>
  <c r="M2731" i="48"/>
  <c r="M2732" i="48"/>
  <c r="Q2734" i="48"/>
  <c r="Q2736" i="48" s="1"/>
  <c r="Q2737" i="48" s="1"/>
  <c r="Q2738" i="48" s="1"/>
  <c r="Q2739" i="48" s="1"/>
  <c r="Q2740" i="48" s="1"/>
  <c r="Q2741" i="48" s="1"/>
  <c r="Q2742" i="48" s="1"/>
  <c r="T2746" i="48"/>
  <c r="L2750" i="48"/>
  <c r="J2755" i="48"/>
  <c r="N2755" i="48" s="1"/>
  <c r="J2756" i="48"/>
  <c r="N2756" i="48" s="1"/>
  <c r="H2757" i="48"/>
  <c r="N2757" i="48" s="1"/>
  <c r="H2758" i="48"/>
  <c r="N2758" i="48" s="1"/>
  <c r="T2758" i="48"/>
  <c r="J2759" i="48"/>
  <c r="N2759" i="48" s="1"/>
  <c r="T2770" i="48"/>
  <c r="L2778" i="48"/>
  <c r="R2796" i="48"/>
  <c r="H2803" i="48"/>
  <c r="H2808" i="48"/>
  <c r="Q2810" i="48"/>
  <c r="Q2811" i="48" s="1"/>
  <c r="Q2812" i="48" s="1"/>
  <c r="Q2813" i="48" s="1"/>
  <c r="Q2814" i="48" s="1"/>
  <c r="Q2815" i="48" s="1"/>
  <c r="Q2816" i="48" s="1"/>
  <c r="Q2817" i="48" s="1"/>
  <c r="Q2818" i="48" s="1"/>
  <c r="Q2819" i="48" s="1"/>
  <c r="H2817" i="48"/>
  <c r="N2817" i="48" s="1"/>
  <c r="J2818" i="48"/>
  <c r="J2819" i="48"/>
  <c r="N2819" i="48" s="1"/>
  <c r="J2820" i="48"/>
  <c r="N2820" i="48" s="1"/>
  <c r="J2822" i="48"/>
  <c r="J2823" i="48"/>
  <c r="T2835" i="48"/>
  <c r="L2841" i="48"/>
  <c r="T2848" i="48"/>
  <c r="Q2849" i="48"/>
  <c r="Q2850" i="48" s="1"/>
  <c r="Q2851" i="48" s="1"/>
  <c r="Q2852" i="48" s="1"/>
  <c r="Q2853" i="48" s="1"/>
  <c r="Q2854" i="48" s="1"/>
  <c r="Q2855" i="48" s="1"/>
  <c r="Q2856" i="48" s="1"/>
  <c r="Q2857" i="48" s="1"/>
  <c r="Q2858" i="48" s="1"/>
  <c r="M2856" i="48"/>
  <c r="H2856" i="48"/>
  <c r="N2856" i="48" s="1"/>
  <c r="M2874" i="48"/>
  <c r="M2875" i="48"/>
  <c r="T2901" i="48"/>
  <c r="M2919" i="48"/>
  <c r="L2919" i="48"/>
  <c r="N2945" i="48"/>
  <c r="T2964" i="48"/>
  <c r="R2965" i="48"/>
  <c r="L2652" i="48"/>
  <c r="H2687" i="48"/>
  <c r="L2724" i="48"/>
  <c r="J2728" i="48"/>
  <c r="N2728" i="48" s="1"/>
  <c r="H2739" i="48"/>
  <c r="N2739" i="48" s="1"/>
  <c r="N2764" i="48"/>
  <c r="R2784" i="48"/>
  <c r="L2802" i="48"/>
  <c r="H2809" i="48"/>
  <c r="L2809" i="48"/>
  <c r="H2810" i="48"/>
  <c r="L2810" i="48"/>
  <c r="H2816" i="48"/>
  <c r="H2821" i="48"/>
  <c r="L2821" i="48"/>
  <c r="Q2823" i="48"/>
  <c r="Q2824" i="48" s="1"/>
  <c r="Q2825" i="48" s="1"/>
  <c r="Q2826" i="48" s="1"/>
  <c r="Q2827" i="48" s="1"/>
  <c r="Q2828" i="48" s="1"/>
  <c r="Q2829" i="48" s="1"/>
  <c r="Q2830" i="48" s="1"/>
  <c r="Q2831" i="48" s="1"/>
  <c r="Q2832" i="48" s="1"/>
  <c r="H2830" i="48"/>
  <c r="N2830" i="48" s="1"/>
  <c r="T2849" i="48"/>
  <c r="M2881" i="48"/>
  <c r="H2881" i="48"/>
  <c r="M2895" i="48"/>
  <c r="H2895" i="48"/>
  <c r="N2895" i="48" s="1"/>
  <c r="N2958" i="48"/>
  <c r="L2970" i="48"/>
  <c r="Q2721" i="48"/>
  <c r="H2822" i="48"/>
  <c r="H2823" i="48"/>
  <c r="M2867" i="48"/>
  <c r="L2867" i="48"/>
  <c r="T2903" i="48"/>
  <c r="R2904" i="48"/>
  <c r="M2932" i="48"/>
  <c r="L2932" i="48"/>
  <c r="T2851" i="48"/>
  <c r="R2852" i="48"/>
  <c r="T2850" i="48"/>
  <c r="T2874" i="48"/>
  <c r="R2875" i="48"/>
  <c r="Q2875" i="48"/>
  <c r="Q2876" i="48" s="1"/>
  <c r="Q2877" i="48" s="1"/>
  <c r="Q2878" i="48" s="1"/>
  <c r="Q2879" i="48" s="1"/>
  <c r="Q2880" i="48" s="1"/>
  <c r="Q2881" i="48" s="1"/>
  <c r="Q2882" i="48" s="1"/>
  <c r="Q2883" i="48" s="1"/>
  <c r="Q2884" i="48" s="1"/>
  <c r="T2887" i="48"/>
  <c r="R2888" i="48"/>
  <c r="Q2936" i="48"/>
  <c r="Q2935" i="48"/>
  <c r="Q2937" i="48" s="1"/>
  <c r="Q2888" i="48"/>
  <c r="Q2889" i="48" s="1"/>
  <c r="Q2890" i="48" s="1"/>
  <c r="Q2891" i="48" s="1"/>
  <c r="Q2892" i="48" s="1"/>
  <c r="Q2893" i="48" s="1"/>
  <c r="Q2894" i="48" s="1"/>
  <c r="Q2895" i="48" s="1"/>
  <c r="Q2896" i="48" s="1"/>
  <c r="Q2897" i="48" s="1"/>
  <c r="J2963" i="48"/>
  <c r="T2963" i="48"/>
  <c r="H2966" i="48"/>
  <c r="N2966" i="48" s="1"/>
  <c r="M2973" i="48"/>
  <c r="M2976" i="48"/>
  <c r="H2976" i="48"/>
  <c r="N2976" i="48" s="1"/>
  <c r="K3056" i="48"/>
  <c r="L3056" i="48" s="1"/>
  <c r="K3075" i="48"/>
  <c r="L3075" i="48" s="1"/>
  <c r="K3037" i="48"/>
  <c r="L3037" i="48" s="1"/>
  <c r="N2997" i="48"/>
  <c r="K3018" i="48"/>
  <c r="L3018" i="48" s="1"/>
  <c r="M3023" i="48"/>
  <c r="H3023" i="48"/>
  <c r="N3023" i="48" s="1"/>
  <c r="L2880" i="48"/>
  <c r="H2894" i="48"/>
  <c r="Q2901" i="48"/>
  <c r="Q2902" i="48" s="1"/>
  <c r="Q2903" i="48" s="1"/>
  <c r="Q2904" i="48" s="1"/>
  <c r="Q2905" i="48" s="1"/>
  <c r="Q2906" i="48" s="1"/>
  <c r="Q2907" i="48" s="1"/>
  <c r="Q2908" i="48" s="1"/>
  <c r="Q2909" i="48" s="1"/>
  <c r="Q2910" i="48" s="1"/>
  <c r="H2908" i="48"/>
  <c r="N2908" i="48" s="1"/>
  <c r="M2981" i="48"/>
  <c r="H2981" i="48"/>
  <c r="J2996" i="48"/>
  <c r="N2996" i="48" s="1"/>
  <c r="M2996" i="48"/>
  <c r="M3003" i="48"/>
  <c r="J3003" i="48"/>
  <c r="N3003" i="48" s="1"/>
  <c r="L3011" i="48"/>
  <c r="H3011" i="48"/>
  <c r="M3019" i="48"/>
  <c r="H3019" i="48"/>
  <c r="N3019" i="48" s="1"/>
  <c r="M2968" i="48"/>
  <c r="J2977" i="48"/>
  <c r="M2975" i="48"/>
  <c r="M2985" i="48"/>
  <c r="M3105" i="48"/>
  <c r="J3105" i="48"/>
  <c r="J3181" i="48"/>
  <c r="I3148" i="48" s="1"/>
  <c r="J3148" i="48" s="1"/>
  <c r="J3149" i="48" s="1"/>
  <c r="N3178" i="48"/>
  <c r="J3213" i="48"/>
  <c r="I3160" i="48" s="1"/>
  <c r="J3160" i="48" s="1"/>
  <c r="J3161" i="48" s="1"/>
  <c r="N3210" i="48"/>
  <c r="M3234" i="48"/>
  <c r="H3234" i="48"/>
  <c r="N3234" i="48" s="1"/>
  <c r="M3386" i="48"/>
  <c r="H3386" i="48"/>
  <c r="L2987" i="48"/>
  <c r="H2999" i="48"/>
  <c r="M2997" i="48"/>
  <c r="M3036" i="48"/>
  <c r="J3040" i="48"/>
  <c r="M3061" i="48"/>
  <c r="M3106" i="48"/>
  <c r="J3106" i="48"/>
  <c r="N3106" i="48" s="1"/>
  <c r="H3111" i="48"/>
  <c r="N3110" i="48"/>
  <c r="N3111" i="48" s="1"/>
  <c r="L3141" i="48"/>
  <c r="M3235" i="48"/>
  <c r="H3235" i="48"/>
  <c r="N3235" i="48" s="1"/>
  <c r="M3251" i="48"/>
  <c r="J3251" i="48"/>
  <c r="N3251" i="48" s="1"/>
  <c r="M3369" i="48"/>
  <c r="J3369" i="48"/>
  <c r="M3403" i="48"/>
  <c r="H3403" i="48"/>
  <c r="N3403" i="48" s="1"/>
  <c r="J3449" i="48"/>
  <c r="N3449" i="48" s="1"/>
  <c r="M3449" i="48"/>
  <c r="M3520" i="48"/>
  <c r="H3520" i="48"/>
  <c r="N3520" i="48" s="1"/>
  <c r="N3036" i="48"/>
  <c r="N3061" i="48"/>
  <c r="R3083" i="48"/>
  <c r="N3194" i="48"/>
  <c r="M3232" i="48"/>
  <c r="H3232" i="48"/>
  <c r="M3346" i="48"/>
  <c r="J3346" i="48"/>
  <c r="M3413" i="48"/>
  <c r="H3413" i="48"/>
  <c r="N3413" i="48" s="1"/>
  <c r="N3461" i="48"/>
  <c r="J3513" i="48"/>
  <c r="N3513" i="48" s="1"/>
  <c r="M3513" i="48"/>
  <c r="J3021" i="48"/>
  <c r="N3021" i="48" s="1"/>
  <c r="H3042" i="48"/>
  <c r="N3042" i="48" s="1"/>
  <c r="N3186" i="48"/>
  <c r="N3218" i="48"/>
  <c r="M3233" i="48"/>
  <c r="H3233" i="48"/>
  <c r="N3233" i="48" s="1"/>
  <c r="N3442" i="48"/>
  <c r="J3451" i="48"/>
  <c r="N3451" i="48" s="1"/>
  <c r="M3451" i="48"/>
  <c r="M3456" i="48"/>
  <c r="H3456" i="48"/>
  <c r="N3456" i="48" s="1"/>
  <c r="M3471" i="48"/>
  <c r="H3471" i="48"/>
  <c r="M3475" i="48"/>
  <c r="J3475" i="48"/>
  <c r="N3475" i="48" s="1"/>
  <c r="M3588" i="48"/>
  <c r="J3588" i="48"/>
  <c r="N3588" i="48" s="1"/>
  <c r="M3702" i="48"/>
  <c r="J3702" i="48"/>
  <c r="N3842" i="48"/>
  <c r="M3930" i="48"/>
  <c r="L3930" i="48"/>
  <c r="N3930" i="48" s="1"/>
  <c r="N3301" i="48"/>
  <c r="M3302" i="48"/>
  <c r="H3302" i="48"/>
  <c r="N3302" i="48" s="1"/>
  <c r="M3325" i="48"/>
  <c r="J3325" i="48"/>
  <c r="N3325" i="48" s="1"/>
  <c r="M3336" i="48"/>
  <c r="J3336" i="48"/>
  <c r="N3336" i="48" s="1"/>
  <c r="N3339" i="48"/>
  <c r="M3339" i="48"/>
  <c r="M3366" i="48"/>
  <c r="H3366" i="48"/>
  <c r="N3366" i="48" s="1"/>
  <c r="M3370" i="48"/>
  <c r="J3370" i="48"/>
  <c r="N3370" i="48" s="1"/>
  <c r="M3410" i="48"/>
  <c r="H3410" i="48"/>
  <c r="N3410" i="48" s="1"/>
  <c r="M3414" i="48"/>
  <c r="H3414" i="48"/>
  <c r="N3414" i="48" s="1"/>
  <c r="M3420" i="48"/>
  <c r="H3420" i="48"/>
  <c r="N3420" i="48" s="1"/>
  <c r="M3421" i="48"/>
  <c r="H3421" i="48"/>
  <c r="N3421" i="48" s="1"/>
  <c r="N3450" i="48"/>
  <c r="M3450" i="48"/>
  <c r="M3457" i="48"/>
  <c r="H3457" i="48"/>
  <c r="M3472" i="48"/>
  <c r="H3472" i="48"/>
  <c r="N3472" i="48" s="1"/>
  <c r="M3476" i="48"/>
  <c r="H3476" i="48"/>
  <c r="N3476" i="48" s="1"/>
  <c r="M3477" i="48"/>
  <c r="H3477" i="48"/>
  <c r="N3477" i="48" s="1"/>
  <c r="M3647" i="48"/>
  <c r="J3647" i="48"/>
  <c r="N3647" i="48" s="1"/>
  <c r="L3073" i="48"/>
  <c r="H3074" i="48"/>
  <c r="H3121" i="48"/>
  <c r="H3122" i="48"/>
  <c r="N3122" i="48" s="1"/>
  <c r="H3123" i="48"/>
  <c r="N3123" i="48" s="1"/>
  <c r="H3129" i="48"/>
  <c r="H3130" i="48"/>
  <c r="N3130" i="48" s="1"/>
  <c r="H3131" i="48"/>
  <c r="N3131" i="48" s="1"/>
  <c r="J3132" i="48"/>
  <c r="J3133" i="48"/>
  <c r="N3133" i="48" s="1"/>
  <c r="M3296" i="48"/>
  <c r="J3296" i="48"/>
  <c r="N3296" i="48" s="1"/>
  <c r="M3337" i="48"/>
  <c r="J3337" i="48"/>
  <c r="N3337" i="48" s="1"/>
  <c r="M3367" i="48"/>
  <c r="H3367" i="48"/>
  <c r="N3380" i="48"/>
  <c r="M3380" i="48"/>
  <c r="M3411" i="48"/>
  <c r="H3411" i="48"/>
  <c r="M3415" i="48"/>
  <c r="J3415" i="48"/>
  <c r="N3434" i="48"/>
  <c r="M3473" i="48"/>
  <c r="H3473" i="48"/>
  <c r="N3473" i="48" s="1"/>
  <c r="M3314" i="48"/>
  <c r="H3314" i="48"/>
  <c r="N3314" i="48" s="1"/>
  <c r="M3356" i="48"/>
  <c r="H3356" i="48"/>
  <c r="N3356" i="48" s="1"/>
  <c r="M3368" i="48"/>
  <c r="H3368" i="48"/>
  <c r="M3385" i="48"/>
  <c r="H3385" i="48"/>
  <c r="M3412" i="48"/>
  <c r="H3412" i="48"/>
  <c r="M3416" i="48"/>
  <c r="J3416" i="48"/>
  <c r="N3416" i="48" s="1"/>
  <c r="N3435" i="48"/>
  <c r="M3470" i="48"/>
  <c r="H3470" i="48"/>
  <c r="M3474" i="48"/>
  <c r="J3474" i="48"/>
  <c r="J3488" i="48"/>
  <c r="M3488" i="48"/>
  <c r="M3497" i="48"/>
  <c r="H3497" i="48"/>
  <c r="N3497" i="48" s="1"/>
  <c r="J3514" i="48"/>
  <c r="N3514" i="48" s="1"/>
  <c r="M3514" i="48"/>
  <c r="M3617" i="48"/>
  <c r="J3617" i="48"/>
  <c r="N3617" i="48" s="1"/>
  <c r="M3750" i="48"/>
  <c r="J3750" i="48"/>
  <c r="N3750" i="48" s="1"/>
  <c r="N3377" i="48"/>
  <c r="N3396" i="48"/>
  <c r="N3399" i="48"/>
  <c r="M3498" i="48"/>
  <c r="J3498" i="48"/>
  <c r="M3521" i="48"/>
  <c r="H3521" i="48"/>
  <c r="N3540" i="48"/>
  <c r="M3568" i="48"/>
  <c r="H3568" i="48"/>
  <c r="M3580" i="48"/>
  <c r="H3580" i="48"/>
  <c r="M3614" i="48"/>
  <c r="J3614" i="48"/>
  <c r="M3648" i="48"/>
  <c r="J3648" i="48"/>
  <c r="N3648" i="48" s="1"/>
  <c r="M3693" i="48"/>
  <c r="H3693" i="48"/>
  <c r="M3495" i="48"/>
  <c r="H3495" i="48"/>
  <c r="G3503" i="48" s="1"/>
  <c r="M3499" i="48"/>
  <c r="J3499" i="48"/>
  <c r="N3499" i="48" s="1"/>
  <c r="M3501" i="48"/>
  <c r="H3501" i="48"/>
  <c r="N3501" i="48" s="1"/>
  <c r="M3509" i="48"/>
  <c r="J3509" i="48"/>
  <c r="M3522" i="48"/>
  <c r="J3522" i="48"/>
  <c r="N3541" i="48"/>
  <c r="M3569" i="48"/>
  <c r="J3569" i="48"/>
  <c r="M3576" i="48"/>
  <c r="J3576" i="48"/>
  <c r="N3576" i="48" s="1"/>
  <c r="M3581" i="48"/>
  <c r="J3581" i="48"/>
  <c r="M3586" i="48"/>
  <c r="H3586" i="48"/>
  <c r="M3610" i="48"/>
  <c r="H3610" i="48"/>
  <c r="M3615" i="48"/>
  <c r="J3615" i="48"/>
  <c r="N3615" i="48" s="1"/>
  <c r="M3649" i="48"/>
  <c r="J3649" i="48"/>
  <c r="N3649" i="48" s="1"/>
  <c r="J3828" i="48"/>
  <c r="M3828" i="48"/>
  <c r="N3494" i="48"/>
  <c r="M3496" i="48"/>
  <c r="H3496" i="48"/>
  <c r="N3496" i="48" s="1"/>
  <c r="M3500" i="48"/>
  <c r="H3500" i="48"/>
  <c r="N3500" i="48" s="1"/>
  <c r="M3519" i="48"/>
  <c r="H3519" i="48"/>
  <c r="M3523" i="48"/>
  <c r="J3523" i="48"/>
  <c r="N3523" i="48" s="1"/>
  <c r="N3542" i="48"/>
  <c r="M3582" i="48"/>
  <c r="J3582" i="48"/>
  <c r="N3582" i="48" s="1"/>
  <c r="M3587" i="48"/>
  <c r="J3587" i="48"/>
  <c r="M3611" i="48"/>
  <c r="J3611" i="48"/>
  <c r="M3616" i="48"/>
  <c r="J3616" i="48"/>
  <c r="N3616" i="48" s="1"/>
  <c r="N3622" i="48"/>
  <c r="N3630" i="48"/>
  <c r="M3646" i="48"/>
  <c r="J3646" i="48"/>
  <c r="M3670" i="48"/>
  <c r="H3670" i="48"/>
  <c r="M3540" i="48"/>
  <c r="M3541" i="48"/>
  <c r="M3542" i="48"/>
  <c r="M3694" i="48"/>
  <c r="H3694" i="48"/>
  <c r="N3694" i="48" s="1"/>
  <c r="M3703" i="48"/>
  <c r="J3703" i="48"/>
  <c r="N3703" i="48" s="1"/>
  <c r="M3724" i="48"/>
  <c r="J3724" i="48"/>
  <c r="N3724" i="48" s="1"/>
  <c r="H3752" i="48"/>
  <c r="M3758" i="48"/>
  <c r="H3758" i="48"/>
  <c r="N3758" i="48" s="1"/>
  <c r="J3510" i="48"/>
  <c r="N3510" i="48" s="1"/>
  <c r="J3524" i="48"/>
  <c r="N3524" i="48" s="1"/>
  <c r="H3525" i="48"/>
  <c r="N3525" i="48" s="1"/>
  <c r="H3526" i="48"/>
  <c r="N3526" i="48" s="1"/>
  <c r="H3547" i="48"/>
  <c r="H3548" i="48"/>
  <c r="N3548" i="48" s="1"/>
  <c r="H3549" i="48"/>
  <c r="H3550" i="48"/>
  <c r="N3550" i="48" s="1"/>
  <c r="H3551" i="48"/>
  <c r="N3551" i="48" s="1"/>
  <c r="J3552" i="48"/>
  <c r="J3553" i="48"/>
  <c r="H3554" i="48"/>
  <c r="N3554" i="48" s="1"/>
  <c r="H3555" i="48"/>
  <c r="N3555" i="48" s="1"/>
  <c r="J3570" i="48"/>
  <c r="N3570" i="48" s="1"/>
  <c r="H3592" i="48"/>
  <c r="J3638" i="48"/>
  <c r="J3639" i="48"/>
  <c r="N3639" i="48" s="1"/>
  <c r="J3640" i="48"/>
  <c r="N3640" i="48" s="1"/>
  <c r="J3641" i="48"/>
  <c r="N3641" i="48" s="1"/>
  <c r="M3700" i="48"/>
  <c r="H3700" i="48"/>
  <c r="M3708" i="48"/>
  <c r="H3708" i="48"/>
  <c r="N3708" i="48" s="1"/>
  <c r="M3735" i="48"/>
  <c r="H3735" i="48"/>
  <c r="M3779" i="48"/>
  <c r="H3779" i="48"/>
  <c r="N3779" i="48" s="1"/>
  <c r="J3815" i="48"/>
  <c r="N3815" i="48" s="1"/>
  <c r="M3815" i="48"/>
  <c r="M3669" i="48"/>
  <c r="J3669" i="48"/>
  <c r="N3669" i="48" s="1"/>
  <c r="M3701" i="48"/>
  <c r="H3701" i="48"/>
  <c r="N3701" i="48" s="1"/>
  <c r="M3736" i="48"/>
  <c r="H3736" i="48"/>
  <c r="N3736" i="48" s="1"/>
  <c r="M3749" i="48"/>
  <c r="J3749" i="48"/>
  <c r="M3792" i="48"/>
  <c r="J3792" i="48"/>
  <c r="M3795" i="48"/>
  <c r="M3812" i="48"/>
  <c r="H3812" i="48"/>
  <c r="H3825" i="48"/>
  <c r="N3823" i="48"/>
  <c r="N3835" i="48"/>
  <c r="K3837" i="48"/>
  <c r="J3839" i="48"/>
  <c r="L3876" i="48"/>
  <c r="N3876" i="48" s="1"/>
  <c r="M3876" i="48"/>
  <c r="M3976" i="48"/>
  <c r="L3976" i="48"/>
  <c r="N3976" i="48" s="1"/>
  <c r="M3767" i="48"/>
  <c r="J3767" i="48"/>
  <c r="H3771" i="48"/>
  <c r="M3778" i="48"/>
  <c r="J3778" i="48"/>
  <c r="N3778" i="48" s="1"/>
  <c r="M3843" i="48"/>
  <c r="J3843" i="48"/>
  <c r="N3843" i="48" s="1"/>
  <c r="L3874" i="48"/>
  <c r="N3874" i="48" s="1"/>
  <c r="M3874" i="48"/>
  <c r="M3909" i="48"/>
  <c r="L3909" i="48"/>
  <c r="M3950" i="48"/>
  <c r="L3950" i="48"/>
  <c r="N3950" i="48" s="1"/>
  <c r="M3995" i="48"/>
  <c r="H3995" i="48"/>
  <c r="N3995" i="48" s="1"/>
  <c r="J3756" i="48"/>
  <c r="J3768" i="48"/>
  <c r="N3768" i="48" s="1"/>
  <c r="J3793" i="48"/>
  <c r="N3793" i="48" s="1"/>
  <c r="M3793" i="48"/>
  <c r="J3798" i="48"/>
  <c r="M3798" i="48"/>
  <c r="L3801" i="48"/>
  <c r="H3813" i="48"/>
  <c r="N3813" i="48" s="1"/>
  <c r="H3827" i="48"/>
  <c r="M3827" i="48"/>
  <c r="H3834" i="48"/>
  <c r="M3861" i="48"/>
  <c r="L3897" i="48"/>
  <c r="M3897" i="48"/>
  <c r="M3961" i="48"/>
  <c r="L3961" i="48"/>
  <c r="N3961" i="48" s="1"/>
  <c r="M3991" i="48"/>
  <c r="H3991" i="48"/>
  <c r="N3991" i="48" s="1"/>
  <c r="M4024" i="48"/>
  <c r="L4024" i="48"/>
  <c r="G3781" i="48"/>
  <c r="M3760" i="48"/>
  <c r="N3889" i="48"/>
  <c r="L3889" i="48"/>
  <c r="L3922" i="48"/>
  <c r="N3922" i="48" s="1"/>
  <c r="M3922" i="48"/>
  <c r="M3980" i="48"/>
  <c r="L3980" i="48"/>
  <c r="N3980" i="48" s="1"/>
  <c r="H3987" i="48"/>
  <c r="N3987" i="48" s="1"/>
  <c r="L3989" i="48" s="1"/>
  <c r="N3989" i="48" s="1"/>
  <c r="M3987" i="48"/>
  <c r="H3760" i="48"/>
  <c r="L3760" i="48"/>
  <c r="J3777" i="48"/>
  <c r="M3786" i="48"/>
  <c r="H3795" i="48"/>
  <c r="H3801" i="48"/>
  <c r="M3862" i="48"/>
  <c r="M3864" i="48"/>
  <c r="M3885" i="48"/>
  <c r="L3941" i="48"/>
  <c r="N3941" i="48" s="1"/>
  <c r="M3941" i="48"/>
  <c r="M3971" i="48"/>
  <c r="L3971" i="48"/>
  <c r="N3971" i="48" s="1"/>
  <c r="M4026" i="48"/>
  <c r="L4026" i="48"/>
  <c r="N4026" i="48" s="1"/>
  <c r="L3934" i="48"/>
  <c r="N3934" i="48" s="1"/>
  <c r="M4025" i="48"/>
  <c r="L4025" i="48"/>
  <c r="N4025" i="48" s="1"/>
  <c r="M3924" i="48"/>
  <c r="L3928" i="48"/>
  <c r="N3928" i="48" s="1"/>
  <c r="L3933" i="48"/>
  <c r="M3939" i="48"/>
  <c r="L3964" i="48"/>
  <c r="N3964" i="48" s="1"/>
  <c r="L3969" i="48"/>
  <c r="M4004" i="48"/>
  <c r="L4008" i="48"/>
  <c r="N4008" i="48" s="1"/>
  <c r="AS1558" i="46"/>
  <c r="BT1558" i="46" s="1"/>
  <c r="AS1573" i="46"/>
  <c r="BT1573" i="46" s="1"/>
  <c r="AS1393" i="46"/>
  <c r="BT1393" i="46" s="1"/>
  <c r="AS1078" i="46"/>
  <c r="BT1078" i="46" s="1"/>
  <c r="AS1378" i="46"/>
  <c r="BT1378" i="46" s="1"/>
  <c r="AS1138" i="46"/>
  <c r="BT1138" i="46" s="1"/>
  <c r="AS1108" i="46"/>
  <c r="BT1108" i="46" s="1"/>
  <c r="AS1093" i="46"/>
  <c r="BT1093" i="46" s="1"/>
  <c r="AS883" i="46"/>
  <c r="BT883" i="46" s="1"/>
  <c r="AS1348" i="46"/>
  <c r="BT1348" i="46" s="1"/>
  <c r="AS898" i="46"/>
  <c r="BT898" i="46" s="1"/>
  <c r="V9" i="46"/>
  <c r="BT9" i="46" s="1"/>
  <c r="BT11" i="46" s="1"/>
  <c r="V24" i="46"/>
  <c r="BT24" i="46" s="1"/>
  <c r="BT26" i="46" s="1"/>
  <c r="V1239" i="46"/>
  <c r="BT1239" i="46" s="1"/>
  <c r="BT1241" i="46" s="1"/>
  <c r="V1119" i="46"/>
  <c r="BT1119" i="46" s="1"/>
  <c r="BT1121" i="46" s="1"/>
  <c r="V1059" i="46"/>
  <c r="BT1059" i="46" s="1"/>
  <c r="BT1061" i="46" s="1"/>
  <c r="V999" i="46"/>
  <c r="BT999" i="46" s="1"/>
  <c r="BT1001" i="46" s="1"/>
  <c r="V1224" i="46"/>
  <c r="BT1224" i="46" s="1"/>
  <c r="BT1226" i="46" s="1"/>
  <c r="V1044" i="46"/>
  <c r="BT1044" i="46" s="1"/>
  <c r="BT1046" i="46" s="1"/>
  <c r="V1029" i="46"/>
  <c r="BT1029" i="46" s="1"/>
  <c r="BT1031" i="46" s="1"/>
  <c r="V924" i="46"/>
  <c r="BT924" i="46" s="1"/>
  <c r="BT926" i="46" s="1"/>
  <c r="V864" i="46"/>
  <c r="BT864" i="46" s="1"/>
  <c r="BT866" i="46" s="1"/>
  <c r="V804" i="46"/>
  <c r="BT804" i="46" s="1"/>
  <c r="BT806" i="46" s="1"/>
  <c r="V744" i="46"/>
  <c r="BT744" i="46" s="1"/>
  <c r="BT746" i="46" s="1"/>
  <c r="V1254" i="46"/>
  <c r="BT1254" i="46" s="1"/>
  <c r="BT1256" i="46" s="1"/>
  <c r="V909" i="46"/>
  <c r="BT909" i="46" s="1"/>
  <c r="BT911" i="46" s="1"/>
  <c r="V849" i="46"/>
  <c r="BT849" i="46" s="1"/>
  <c r="BT851" i="46" s="1"/>
  <c r="V729" i="46"/>
  <c r="BT729" i="46" s="1"/>
  <c r="BT731" i="46" s="1"/>
  <c r="V1209" i="46"/>
  <c r="BT1209" i="46" s="1"/>
  <c r="BT1211" i="46" s="1"/>
  <c r="V834" i="46"/>
  <c r="BT834" i="46" s="1"/>
  <c r="BT836" i="46" s="1"/>
  <c r="V504" i="46"/>
  <c r="BT504" i="46" s="1"/>
  <c r="BT506" i="46" s="1"/>
  <c r="V444" i="46"/>
  <c r="BT444" i="46" s="1"/>
  <c r="BT446" i="46" s="1"/>
  <c r="V1074" i="46"/>
  <c r="BT1074" i="46" s="1"/>
  <c r="BT1076" i="46" s="1"/>
  <c r="V1014" i="46"/>
  <c r="BT1014" i="46" s="1"/>
  <c r="BT1016" i="46" s="1"/>
  <c r="V939" i="46"/>
  <c r="BT939" i="46" s="1"/>
  <c r="BT941" i="46" s="1"/>
  <c r="V759" i="46"/>
  <c r="BT759" i="46" s="1"/>
  <c r="BT761" i="46" s="1"/>
  <c r="V489" i="46"/>
  <c r="BT489" i="46" s="1"/>
  <c r="BT491" i="46" s="1"/>
  <c r="V369" i="46"/>
  <c r="BT369" i="46" s="1"/>
  <c r="BT371" i="46" s="1"/>
  <c r="V339" i="46"/>
  <c r="BT339" i="46" s="1"/>
  <c r="BT341" i="46" s="1"/>
  <c r="V594" i="46"/>
  <c r="BT594" i="46" s="1"/>
  <c r="BT596" i="46" s="1"/>
  <c r="V474" i="46"/>
  <c r="BT474" i="46" s="1"/>
  <c r="BT476" i="46" s="1"/>
  <c r="V324" i="46"/>
  <c r="BT324" i="46" s="1"/>
  <c r="BT326" i="46" s="1"/>
  <c r="V309" i="46"/>
  <c r="BT309" i="46" s="1"/>
  <c r="BT311" i="46" s="1"/>
  <c r="V264" i="46"/>
  <c r="BT264" i="46" s="1"/>
  <c r="BT266" i="46" s="1"/>
  <c r="V234" i="46"/>
  <c r="BT234" i="46" s="1"/>
  <c r="BT236" i="46" s="1"/>
  <c r="V204" i="46"/>
  <c r="BT204" i="46" s="1"/>
  <c r="BT206" i="46" s="1"/>
  <c r="V174" i="46"/>
  <c r="BT174" i="46" s="1"/>
  <c r="BT176" i="46" s="1"/>
  <c r="V144" i="46"/>
  <c r="BT144" i="46" s="1"/>
  <c r="BT146" i="46" s="1"/>
  <c r="V84" i="46"/>
  <c r="BT84" i="46" s="1"/>
  <c r="BT86" i="46" s="1"/>
  <c r="V819" i="46"/>
  <c r="BT819" i="46" s="1"/>
  <c r="BT821" i="46" s="1"/>
  <c r="V669" i="46"/>
  <c r="BT669" i="46" s="1"/>
  <c r="BT671" i="46" s="1"/>
  <c r="V354" i="46"/>
  <c r="BT354" i="46" s="1"/>
  <c r="BT356" i="46" s="1"/>
  <c r="V294" i="46"/>
  <c r="BT294" i="46" s="1"/>
  <c r="BT296" i="46" s="1"/>
  <c r="V249" i="46"/>
  <c r="BT249" i="46" s="1"/>
  <c r="BT251" i="46" s="1"/>
  <c r="V219" i="46"/>
  <c r="BT219" i="46" s="1"/>
  <c r="BT221" i="46" s="1"/>
  <c r="V189" i="46"/>
  <c r="BT189" i="46" s="1"/>
  <c r="BT191" i="46" s="1"/>
  <c r="V159" i="46"/>
  <c r="BT159" i="46" s="1"/>
  <c r="BT161" i="46" s="1"/>
  <c r="V114" i="46"/>
  <c r="BT114" i="46" s="1"/>
  <c r="BT116" i="46" s="1"/>
  <c r="V54" i="46"/>
  <c r="BT54" i="46" s="1"/>
  <c r="BT56" i="46" s="1"/>
  <c r="V774" i="46"/>
  <c r="BT774" i="46" s="1"/>
  <c r="BT776" i="46" s="1"/>
  <c r="V579" i="46"/>
  <c r="BT579" i="46" s="1"/>
  <c r="BT581" i="46" s="1"/>
  <c r="V459" i="46"/>
  <c r="BT459" i="46" s="1"/>
  <c r="BT461" i="46" s="1"/>
  <c r="V279" i="46"/>
  <c r="BT279" i="46" s="1"/>
  <c r="BT281" i="46" s="1"/>
  <c r="V99" i="46"/>
  <c r="BT99" i="46" s="1"/>
  <c r="BT101" i="46" s="1"/>
  <c r="V39" i="46"/>
  <c r="BT39" i="46" s="1"/>
  <c r="BT41" i="46" s="1"/>
  <c r="AS1604" i="46"/>
  <c r="BT1604" i="46" s="1"/>
  <c r="BT1605" i="46" s="1"/>
  <c r="AS1408" i="46"/>
  <c r="BT1408" i="46" s="1"/>
  <c r="AS1543" i="46"/>
  <c r="BT1543" i="46" s="1"/>
  <c r="AS1318" i="46"/>
  <c r="BT1318" i="46" s="1"/>
  <c r="AS1258" i="46"/>
  <c r="BT1258" i="46" s="1"/>
  <c r="AS1168" i="46"/>
  <c r="BT1168" i="46" s="1"/>
  <c r="AS1018" i="46"/>
  <c r="BT1018" i="46" s="1"/>
  <c r="AS1243" i="46"/>
  <c r="BT1243" i="46" s="1"/>
  <c r="AS1153" i="46"/>
  <c r="BT1153" i="46" s="1"/>
  <c r="AS1123" i="46"/>
  <c r="BT1123" i="46" s="1"/>
  <c r="AS1063" i="46"/>
  <c r="BT1063" i="46" s="1"/>
  <c r="AS1003" i="46"/>
  <c r="BT1003" i="46" s="1"/>
  <c r="AS1618" i="46"/>
  <c r="BT1618" i="46" s="1"/>
  <c r="AS1423" i="46"/>
  <c r="BT1423" i="46" s="1"/>
  <c r="AS1363" i="46"/>
  <c r="BT1363" i="46" s="1"/>
  <c r="AS1228" i="46"/>
  <c r="BT1228" i="46" s="1"/>
  <c r="AS1048" i="46"/>
  <c r="BT1048" i="46" s="1"/>
  <c r="AS973" i="46"/>
  <c r="BT973" i="46" s="1"/>
  <c r="AS913" i="46"/>
  <c r="BT913" i="46" s="1"/>
  <c r="AS1333" i="46"/>
  <c r="BT1333" i="46" s="1"/>
  <c r="AS943" i="46"/>
  <c r="BT943" i="46" s="1"/>
  <c r="AS823" i="46"/>
  <c r="BT823" i="46" s="1"/>
  <c r="AS763" i="46"/>
  <c r="BT763" i="46" s="1"/>
  <c r="AS1033" i="46"/>
  <c r="BT1033" i="46" s="1"/>
  <c r="AS988" i="46"/>
  <c r="BT988" i="46" s="1"/>
  <c r="AS928" i="46"/>
  <c r="BT928" i="46" s="1"/>
  <c r="AS868" i="46"/>
  <c r="BT868" i="46" s="1"/>
  <c r="AS808" i="46"/>
  <c r="BT808" i="46" s="1"/>
  <c r="AS748" i="46"/>
  <c r="BT748" i="46" s="1"/>
  <c r="AS658" i="46"/>
  <c r="BT658" i="46" s="1"/>
  <c r="AS958" i="46"/>
  <c r="BT958" i="46" s="1"/>
  <c r="AS613" i="46"/>
  <c r="BT613" i="46" s="1"/>
  <c r="AS583" i="46"/>
  <c r="BT583" i="46" s="1"/>
  <c r="AS523" i="46"/>
  <c r="BT523" i="46" s="1"/>
  <c r="AS463" i="46"/>
  <c r="BT463" i="46" s="1"/>
  <c r="AS358" i="46"/>
  <c r="BT358" i="46" s="1"/>
  <c r="AS793" i="46"/>
  <c r="BT793" i="46" s="1"/>
  <c r="AS778" i="46"/>
  <c r="BT778" i="46" s="1"/>
  <c r="AS673" i="46"/>
  <c r="BT673" i="46" s="1"/>
  <c r="AS628" i="46"/>
  <c r="BT628" i="46" s="1"/>
  <c r="AS568" i="46"/>
  <c r="BT568" i="46" s="1"/>
  <c r="AS508" i="46"/>
  <c r="BT508" i="46" s="1"/>
  <c r="AS448" i="46"/>
  <c r="BT448" i="46" s="1"/>
  <c r="AS283" i="46"/>
  <c r="BT283" i="46" s="1"/>
  <c r="AS103" i="46"/>
  <c r="BT103" i="46" s="1"/>
  <c r="AS718" i="46"/>
  <c r="BT718" i="46" s="1"/>
  <c r="AS643" i="46"/>
  <c r="BT643" i="46" s="1"/>
  <c r="AS553" i="46"/>
  <c r="BT553" i="46" s="1"/>
  <c r="AS538" i="46"/>
  <c r="BT538" i="46" s="1"/>
  <c r="AS373" i="46"/>
  <c r="BT373" i="46" s="1"/>
  <c r="AS313" i="46"/>
  <c r="BT313" i="46" s="1"/>
  <c r="AS328" i="46"/>
  <c r="BT328" i="46" s="1"/>
  <c r="AS298" i="46"/>
  <c r="BT298" i="46" s="1"/>
  <c r="AS133" i="46"/>
  <c r="BT133" i="46" s="1"/>
  <c r="AS73" i="46"/>
  <c r="BT73" i="46" s="1"/>
  <c r="AS13" i="46"/>
  <c r="BT13" i="46" s="1"/>
  <c r="AS853" i="46"/>
  <c r="BT853" i="46" s="1"/>
  <c r="AS838" i="46"/>
  <c r="BT838" i="46" s="1"/>
  <c r="AS733" i="46"/>
  <c r="BT733" i="46" s="1"/>
  <c r="AS598" i="46"/>
  <c r="BT598" i="46" s="1"/>
  <c r="AS493" i="46"/>
  <c r="BT493" i="46" s="1"/>
  <c r="AS478" i="46"/>
  <c r="BT478" i="46" s="1"/>
  <c r="AS343" i="46"/>
  <c r="BT343" i="46" s="1"/>
  <c r="AS253" i="46"/>
  <c r="BT253" i="46" s="1"/>
  <c r="AS223" i="46"/>
  <c r="BT223" i="46" s="1"/>
  <c r="AS193" i="46"/>
  <c r="BT193" i="46" s="1"/>
  <c r="AS163" i="46"/>
  <c r="BT163" i="46" s="1"/>
  <c r="AS118" i="46"/>
  <c r="BT118" i="46" s="1"/>
  <c r="AS58" i="46"/>
  <c r="BT58" i="46" s="1"/>
  <c r="AS28" i="46"/>
  <c r="BT28" i="46" s="1"/>
  <c r="AS43" i="46"/>
  <c r="BT43" i="46" s="1"/>
  <c r="V69" i="46"/>
  <c r="BT69" i="46" s="1"/>
  <c r="BT71" i="46" s="1"/>
  <c r="AS148" i="46"/>
  <c r="BT148" i="46" s="1"/>
  <c r="AS208" i="46"/>
  <c r="BT208" i="46" s="1"/>
  <c r="AS268" i="46"/>
  <c r="BT268" i="46" s="1"/>
  <c r="AR89" i="46"/>
  <c r="BT90" i="46"/>
  <c r="V984" i="46"/>
  <c r="BT984" i="46" s="1"/>
  <c r="BT986" i="46" s="1"/>
  <c r="V1599" i="46"/>
  <c r="BT1599" i="46" s="1"/>
  <c r="BT1601" i="46" s="1"/>
  <c r="V1329" i="46"/>
  <c r="BT1329" i="46" s="1"/>
  <c r="BT1331" i="46" s="1"/>
  <c r="V954" i="46"/>
  <c r="BT954" i="46" s="1"/>
  <c r="BT956" i="46" s="1"/>
  <c r="V654" i="46"/>
  <c r="BT654" i="46" s="1"/>
  <c r="BT656" i="46" s="1"/>
  <c r="V624" i="46"/>
  <c r="BT624" i="46" s="1"/>
  <c r="BT626" i="46" s="1"/>
  <c r="V1314" i="46"/>
  <c r="BT1314" i="46" s="1"/>
  <c r="BT1316" i="46" s="1"/>
  <c r="V969" i="46"/>
  <c r="BT969" i="46" s="1"/>
  <c r="BT971" i="46" s="1"/>
  <c r="V714" i="46"/>
  <c r="BT714" i="46" s="1"/>
  <c r="BT716" i="46" s="1"/>
  <c r="V639" i="46"/>
  <c r="BT639" i="46" s="1"/>
  <c r="BT641" i="46" s="1"/>
  <c r="V564" i="46"/>
  <c r="BT564" i="46" s="1"/>
  <c r="BT566" i="46" s="1"/>
  <c r="V549" i="46"/>
  <c r="BT549" i="46" s="1"/>
  <c r="BT551" i="46" s="1"/>
  <c r="BT406" i="46"/>
  <c r="V1389" i="46"/>
  <c r="BT1389" i="46" s="1"/>
  <c r="BT1391" i="46" s="1"/>
  <c r="V1374" i="46"/>
  <c r="BT1374" i="46" s="1"/>
  <c r="BT1376" i="46" s="1"/>
  <c r="V1149" i="46"/>
  <c r="BT1149" i="46" s="1"/>
  <c r="BT1151" i="46" s="1"/>
  <c r="V1614" i="46"/>
  <c r="BT1614" i="46" s="1"/>
  <c r="BT1616" i="46" s="1"/>
  <c r="V1419" i="46"/>
  <c r="BT1419" i="46" s="1"/>
  <c r="BT1421" i="46" s="1"/>
  <c r="V1359" i="46"/>
  <c r="BT1359" i="46" s="1"/>
  <c r="BT1361" i="46" s="1"/>
  <c r="V1104" i="46"/>
  <c r="BT1104" i="46" s="1"/>
  <c r="BT1106" i="46" s="1"/>
  <c r="V1554" i="46"/>
  <c r="BT1554" i="46" s="1"/>
  <c r="BT1556" i="46" s="1"/>
  <c r="V1404" i="46"/>
  <c r="BT1404" i="46" s="1"/>
  <c r="BT1406" i="46" s="1"/>
  <c r="V1089" i="46"/>
  <c r="BT1089" i="46" s="1"/>
  <c r="BT1091" i="46" s="1"/>
  <c r="V894" i="46"/>
  <c r="BT894" i="46" s="1"/>
  <c r="BT896" i="46" s="1"/>
  <c r="V789" i="46"/>
  <c r="BT789" i="46" s="1"/>
  <c r="BT791" i="46" s="1"/>
  <c r="V1164" i="46"/>
  <c r="BT1164" i="46" s="1"/>
  <c r="BT1166" i="46" s="1"/>
  <c r="V879" i="46"/>
  <c r="BT879" i="46" s="1"/>
  <c r="BT881" i="46" s="1"/>
  <c r="V534" i="46"/>
  <c r="BT534" i="46" s="1"/>
  <c r="BT536" i="46" s="1"/>
  <c r="V519" i="46"/>
  <c r="BT519" i="46" s="1"/>
  <c r="BT521" i="46" s="1"/>
  <c r="V609" i="46"/>
  <c r="BT609" i="46" s="1"/>
  <c r="BT611" i="46" s="1"/>
  <c r="BY127" i="45"/>
  <c r="BI59" i="45"/>
  <c r="BQ61" i="45"/>
  <c r="BI66" i="45"/>
  <c r="BQ67" i="45"/>
  <c r="BI99" i="45"/>
  <c r="BI128" i="45"/>
  <c r="BQ129" i="45"/>
  <c r="BI186" i="45"/>
  <c r="BI194" i="45"/>
  <c r="BQ99" i="45"/>
  <c r="BQ100" i="45"/>
  <c r="BY129" i="45"/>
  <c r="BA189" i="45"/>
  <c r="BY189" i="45" s="1"/>
  <c r="BQ192" i="45"/>
  <c r="AQ350" i="45"/>
  <c r="BQ350" i="45"/>
  <c r="BQ416" i="45"/>
  <c r="BQ420" i="45"/>
  <c r="BI485" i="45"/>
  <c r="AL29" i="45"/>
  <c r="AL30" i="45"/>
  <c r="BL32" i="45"/>
  <c r="BL34" i="45" s="1"/>
  <c r="AL33" i="45"/>
  <c r="AL34" i="45" s="1"/>
  <c r="BQ62" i="45"/>
  <c r="BQ66" i="45"/>
  <c r="BQ94" i="45"/>
  <c r="BA95" i="45"/>
  <c r="BY95" i="45" s="1"/>
  <c r="BQ98" i="45"/>
  <c r="BQ124" i="45"/>
  <c r="BQ128" i="45"/>
  <c r="AC143" i="45"/>
  <c r="BI143" i="45" s="1"/>
  <c r="AG155" i="45"/>
  <c r="AG153" i="45"/>
  <c r="AG157" i="45"/>
  <c r="BI188" i="45"/>
  <c r="BY191" i="45"/>
  <c r="BQ247" i="45"/>
  <c r="AQ247" i="45"/>
  <c r="BA285" i="45"/>
  <c r="BK276" i="45"/>
  <c r="AG284" i="45"/>
  <c r="AC388" i="45"/>
  <c r="BI388" i="45" s="1"/>
  <c r="AC384" i="45"/>
  <c r="BI384" i="45" s="1"/>
  <c r="AC373" i="45"/>
  <c r="BI373" i="45" s="1"/>
  <c r="AC264" i="45"/>
  <c r="BI264" i="45" s="1"/>
  <c r="AC371" i="45"/>
  <c r="BI371" i="45" s="1"/>
  <c r="AC367" i="45"/>
  <c r="BI367" i="45" s="1"/>
  <c r="AC265" i="45"/>
  <c r="BI265" i="45" s="1"/>
  <c r="BY315" i="45"/>
  <c r="AY32" i="45"/>
  <c r="BY59" i="45"/>
  <c r="BY63" i="45"/>
  <c r="BY67" i="45"/>
  <c r="BY99" i="45"/>
  <c r="BY125" i="45"/>
  <c r="BS9" i="45"/>
  <c r="AY29" i="45"/>
  <c r="BL30" i="45"/>
  <c r="BY32" i="45"/>
  <c r="AY33" i="45"/>
  <c r="BI61" i="45"/>
  <c r="BI65" i="45"/>
  <c r="BI93" i="45"/>
  <c r="BI97" i="45"/>
  <c r="BI127" i="45"/>
  <c r="BY186" i="45"/>
  <c r="BQ187" i="45"/>
  <c r="BQ188" i="45"/>
  <c r="BY194" i="45"/>
  <c r="BQ250" i="45"/>
  <c r="AQ250" i="45"/>
  <c r="AQ251" i="45" s="1"/>
  <c r="BA283" i="45"/>
  <c r="AG283" i="45"/>
  <c r="AC385" i="45"/>
  <c r="BI385" i="45" s="1"/>
  <c r="AC370" i="45"/>
  <c r="BI370" i="45" s="1"/>
  <c r="AC387" i="45"/>
  <c r="BI387" i="45" s="1"/>
  <c r="AC383" i="45"/>
  <c r="BI383" i="45" s="1"/>
  <c r="AC372" i="45"/>
  <c r="BI372" i="45" s="1"/>
  <c r="AC368" i="45"/>
  <c r="BI368" i="45" s="1"/>
  <c r="AC266" i="45"/>
  <c r="BI266" i="45" s="1"/>
  <c r="BA284" i="45"/>
  <c r="BI192" i="45"/>
  <c r="BY233" i="45"/>
  <c r="BI416" i="45"/>
  <c r="BI420" i="45"/>
  <c r="BI489" i="45"/>
  <c r="BA158" i="45"/>
  <c r="BA157" i="45"/>
  <c r="BA156" i="45"/>
  <c r="BQ186" i="45"/>
  <c r="BQ190" i="45"/>
  <c r="BQ194" i="45"/>
  <c r="BI233" i="45"/>
  <c r="AQ352" i="45"/>
  <c r="BQ352" i="45"/>
  <c r="BY416" i="45"/>
  <c r="BY420" i="45"/>
  <c r="BI453" i="45"/>
  <c r="AQ156" i="45"/>
  <c r="AQ157" i="45"/>
  <c r="BI315" i="45"/>
  <c r="BQ328" i="45"/>
  <c r="BA423" i="45"/>
  <c r="BI423" i="45" s="1"/>
  <c r="BA418" i="45"/>
  <c r="BI418" i="45" s="1"/>
  <c r="BQ451" i="45"/>
  <c r="BQ452" i="45"/>
  <c r="BQ453" i="45"/>
  <c r="BI455" i="45"/>
  <c r="BI456" i="45"/>
  <c r="BI459" i="45"/>
  <c r="BI484" i="45"/>
  <c r="BQ485" i="45"/>
  <c r="BI488" i="45"/>
  <c r="BQ489" i="45"/>
  <c r="BY490" i="45"/>
  <c r="BI492" i="45"/>
  <c r="BQ302" i="45"/>
  <c r="BQ355" i="45"/>
  <c r="BQ356" i="45" s="1"/>
  <c r="BY450" i="45"/>
  <c r="BY452" i="45"/>
  <c r="BY453" i="45"/>
  <c r="BQ455" i="45"/>
  <c r="BQ456" i="45"/>
  <c r="BQ457" i="45"/>
  <c r="BQ459" i="45"/>
  <c r="BI483" i="45"/>
  <c r="BQ484" i="45"/>
  <c r="BY485" i="45"/>
  <c r="BI487" i="45"/>
  <c r="BQ488" i="45"/>
  <c r="BY489" i="45"/>
  <c r="BI491" i="45"/>
  <c r="BQ492" i="45"/>
  <c r="BY456" i="45"/>
  <c r="BY457" i="45"/>
  <c r="BY484" i="45"/>
  <c r="BY488" i="45"/>
  <c r="BA458" i="45"/>
  <c r="BQ458" i="45" s="1"/>
  <c r="BA486" i="45"/>
  <c r="BI486" i="45" s="1"/>
  <c r="P130" i="44"/>
  <c r="J3119" i="48" l="1"/>
  <c r="CJ415" i="45"/>
  <c r="CJ422" i="45"/>
  <c r="R2425" i="48"/>
  <c r="T1339" i="48"/>
  <c r="T1340" i="48"/>
  <c r="E1371" i="48" s="1"/>
  <c r="J1371" i="48" s="1"/>
  <c r="CJ417" i="45"/>
  <c r="R1320" i="48"/>
  <c r="BQ131" i="45"/>
  <c r="CJ424" i="45"/>
  <c r="CJ491" i="45"/>
  <c r="CJ490" i="45"/>
  <c r="CJ419" i="45"/>
  <c r="CJ487" i="45"/>
  <c r="BQ95" i="45"/>
  <c r="R2862" i="48"/>
  <c r="T2236" i="48"/>
  <c r="R2644" i="48"/>
  <c r="T2235" i="48"/>
  <c r="CJ483" i="45"/>
  <c r="CJ421" i="45"/>
  <c r="U384" i="45"/>
  <c r="BA384" i="45" s="1"/>
  <c r="L3802" i="48"/>
  <c r="CJ425" i="45"/>
  <c r="BY418" i="45"/>
  <c r="BI189" i="45"/>
  <c r="BI95" i="45"/>
  <c r="R2914" i="48"/>
  <c r="T2914" i="48" s="1"/>
  <c r="BY131" i="45"/>
  <c r="BQ418" i="45"/>
  <c r="BY458" i="45"/>
  <c r="BY486" i="45"/>
  <c r="BI458" i="45"/>
  <c r="BQ486" i="45"/>
  <c r="R1697" i="48"/>
  <c r="R1698" i="48" s="1"/>
  <c r="BQ423" i="45"/>
  <c r="BQ189" i="45"/>
  <c r="J2960" i="48"/>
  <c r="I2641" i="48" s="1"/>
  <c r="J2641" i="48" s="1"/>
  <c r="N474" i="48"/>
  <c r="U267" i="45"/>
  <c r="BA267" i="45" s="1"/>
  <c r="U371" i="45"/>
  <c r="BA371" i="45" s="1"/>
  <c r="U388" i="45"/>
  <c r="BA388" i="45" s="1"/>
  <c r="G212" i="48"/>
  <c r="M212" i="48" s="1"/>
  <c r="K3381" i="48"/>
  <c r="M3381" i="48" s="1"/>
  <c r="BQ248" i="45"/>
  <c r="N925" i="48"/>
  <c r="K644" i="48"/>
  <c r="L644" i="48" s="1"/>
  <c r="N644" i="48" s="1"/>
  <c r="N465" i="48"/>
  <c r="N466" i="48" s="1"/>
  <c r="K3328" i="48"/>
  <c r="M3328" i="48" s="1"/>
  <c r="G3438" i="48"/>
  <c r="H3438" i="48" s="1"/>
  <c r="N3438" i="48" s="1"/>
  <c r="N4037" i="48"/>
  <c r="U373" i="45"/>
  <c r="BA373" i="45" s="1"/>
  <c r="BQ251" i="45"/>
  <c r="BY34" i="45"/>
  <c r="BK285" i="45"/>
  <c r="G3683" i="48"/>
  <c r="H3683" i="48" s="1"/>
  <c r="G3047" i="48"/>
  <c r="H3047" i="48" s="1"/>
  <c r="K927" i="48"/>
  <c r="L927" i="48" s="1"/>
  <c r="H2960" i="48"/>
  <c r="G2641" i="48" s="1"/>
  <c r="N3322" i="48"/>
  <c r="U386" i="45"/>
  <c r="BA386" i="45" s="1"/>
  <c r="L1680" i="48"/>
  <c r="K942" i="48"/>
  <c r="M942" i="48" s="1"/>
  <c r="N10" i="48"/>
  <c r="N11" i="48" s="1"/>
  <c r="M3303" i="48"/>
  <c r="J1259" i="48"/>
  <c r="K677" i="48"/>
  <c r="M677" i="48" s="1"/>
  <c r="H689" i="48"/>
  <c r="L512" i="48"/>
  <c r="K1429" i="48"/>
  <c r="L1429" i="48" s="1"/>
  <c r="I788" i="48"/>
  <c r="M788" i="48" s="1"/>
  <c r="J57" i="48"/>
  <c r="J696" i="48"/>
  <c r="U264" i="45"/>
  <c r="BA264" i="45" s="1"/>
  <c r="N2563" i="48"/>
  <c r="N2564" i="48" s="1"/>
  <c r="N1828" i="48"/>
  <c r="N462" i="48"/>
  <c r="N463" i="48" s="1"/>
  <c r="G20" i="48"/>
  <c r="M20" i="48" s="1"/>
  <c r="N160" i="48"/>
  <c r="L3985" i="48"/>
  <c r="N3985" i="48" s="1"/>
  <c r="L3919" i="48"/>
  <c r="L4013" i="48"/>
  <c r="N3915" i="48"/>
  <c r="N3919" i="48" s="1"/>
  <c r="L3981" i="48"/>
  <c r="N3981" i="48" s="1"/>
  <c r="N3794" i="48"/>
  <c r="K3064" i="48"/>
  <c r="L3064" i="48" s="1"/>
  <c r="K3262" i="48"/>
  <c r="L3262" i="48" s="1"/>
  <c r="K1401" i="48"/>
  <c r="L1401" i="48" s="1"/>
  <c r="G3382" i="48"/>
  <c r="N3771" i="48"/>
  <c r="G2174" i="48"/>
  <c r="H2174" i="48" s="1"/>
  <c r="N2174" i="48" s="1"/>
  <c r="N4" i="48"/>
  <c r="N5" i="48" s="1"/>
  <c r="K1568" i="48"/>
  <c r="L1568" i="48" s="1"/>
  <c r="G3607" i="48"/>
  <c r="H3607" i="48" s="1"/>
  <c r="J958" i="48"/>
  <c r="N1103" i="48"/>
  <c r="G3677" i="48"/>
  <c r="M3677" i="48" s="1"/>
  <c r="M1764" i="48"/>
  <c r="N855" i="48"/>
  <c r="K1291" i="48"/>
  <c r="L1291" i="48" s="1"/>
  <c r="G3635" i="48"/>
  <c r="M3635" i="48" s="1"/>
  <c r="J3221" i="48"/>
  <c r="I3164" i="48" s="1"/>
  <c r="J3164" i="48" s="1"/>
  <c r="J3165" i="48" s="1"/>
  <c r="H678" i="48"/>
  <c r="N414" i="48"/>
  <c r="N415" i="48" s="1"/>
  <c r="K776" i="48"/>
  <c r="L776" i="48" s="1"/>
  <c r="K1177" i="48"/>
  <c r="L1177" i="48" s="1"/>
  <c r="N770" i="48"/>
  <c r="J943" i="48"/>
  <c r="N4011" i="48"/>
  <c r="N4013" i="48" s="1"/>
  <c r="G857" i="48"/>
  <c r="H857" i="48" s="1"/>
  <c r="G1096" i="48"/>
  <c r="M1096" i="48" s="1"/>
  <c r="K688" i="48"/>
  <c r="M688" i="48" s="1"/>
  <c r="J552" i="48"/>
  <c r="I2537" i="48" s="1"/>
  <c r="J2537" i="48" s="1"/>
  <c r="J2538" i="48" s="1"/>
  <c r="K3561" i="48"/>
  <c r="L3561" i="48" s="1"/>
  <c r="L4022" i="48"/>
  <c r="J1654" i="48"/>
  <c r="N3858" i="48"/>
  <c r="N3859" i="48" s="1"/>
  <c r="N2808" i="48"/>
  <c r="N1652" i="48"/>
  <c r="N1654" i="48" s="1"/>
  <c r="N691" i="48"/>
  <c r="J912" i="48"/>
  <c r="G3718" i="48"/>
  <c r="M3718" i="48" s="1"/>
  <c r="K3543" i="48"/>
  <c r="M3543" i="48" s="1"/>
  <c r="K605" i="48"/>
  <c r="L605" i="48" s="1"/>
  <c r="N605" i="48" s="1"/>
  <c r="N3789" i="48"/>
  <c r="N3790" i="48" s="1"/>
  <c r="J3304" i="48"/>
  <c r="J1706" i="48"/>
  <c r="N1257" i="48"/>
  <c r="N1259" i="48" s="1"/>
  <c r="H568" i="48"/>
  <c r="G3294" i="48" s="1"/>
  <c r="N7" i="48"/>
  <c r="N8" i="48" s="1"/>
  <c r="J3383" i="48"/>
  <c r="H768" i="48"/>
  <c r="G1140" i="48" s="1"/>
  <c r="H1140" i="48" s="1"/>
  <c r="I1846" i="48"/>
  <c r="J1846" i="48" s="1"/>
  <c r="J1854" i="48" s="1"/>
  <c r="J1090" i="48"/>
  <c r="AQ248" i="45"/>
  <c r="AQ252" i="45" s="1"/>
  <c r="J3691" i="48"/>
  <c r="H3747" i="48"/>
  <c r="J2987" i="48"/>
  <c r="I3044" i="48" s="1"/>
  <c r="J3044" i="48" s="1"/>
  <c r="G693" i="48"/>
  <c r="H693" i="48" s="1"/>
  <c r="N184" i="48"/>
  <c r="N3907" i="48"/>
  <c r="AS179" i="46"/>
  <c r="BT179" i="46" s="1"/>
  <c r="BT180" i="46" s="1"/>
  <c r="BT181" i="46" s="1"/>
  <c r="K3954" i="48"/>
  <c r="L3954" i="48" s="1"/>
  <c r="G3659" i="48"/>
  <c r="H3659" i="48" s="1"/>
  <c r="N3309" i="48"/>
  <c r="K3126" i="48"/>
  <c r="M3126" i="48" s="1"/>
  <c r="M3315" i="48"/>
  <c r="N3058" i="48"/>
  <c r="M1960" i="48"/>
  <c r="L2453" i="48"/>
  <c r="I1812" i="48"/>
  <c r="J1812" i="48" s="1"/>
  <c r="J1821" i="48" s="1"/>
  <c r="G704" i="48"/>
  <c r="H704" i="48" s="1"/>
  <c r="J923" i="48"/>
  <c r="H716" i="48"/>
  <c r="N716" i="48" s="1"/>
  <c r="G3732" i="48"/>
  <c r="H3732" i="48" s="1"/>
  <c r="J560" i="48"/>
  <c r="I1283" i="48" s="1"/>
  <c r="J1283" i="48" s="1"/>
  <c r="K685" i="48"/>
  <c r="M685" i="48" s="1"/>
  <c r="N4032" i="48"/>
  <c r="K3490" i="48"/>
  <c r="L3490" i="48" s="1"/>
  <c r="N1785" i="48"/>
  <c r="N1787" i="48" s="1"/>
  <c r="I1824" i="48"/>
  <c r="J1824" i="48" s="1"/>
  <c r="J1832" i="48" s="1"/>
  <c r="N837" i="48"/>
  <c r="G710" i="48"/>
  <c r="M710" i="48" s="1"/>
  <c r="G1089" i="48"/>
  <c r="M1089" i="48" s="1"/>
  <c r="G722" i="48"/>
  <c r="M722" i="48" s="1"/>
  <c r="K666" i="48"/>
  <c r="L666" i="48" s="1"/>
  <c r="N666" i="48" s="1"/>
  <c r="J278" i="48"/>
  <c r="J3636" i="48"/>
  <c r="N3605" i="48"/>
  <c r="G3544" i="48"/>
  <c r="M3544" i="48" s="1"/>
  <c r="G3065" i="48"/>
  <c r="M3065" i="48" s="1"/>
  <c r="I1800" i="48"/>
  <c r="J1800" i="48" s="1"/>
  <c r="J1809" i="48" s="1"/>
  <c r="BT1606" i="46"/>
  <c r="L4032" i="48"/>
  <c r="L3977" i="48"/>
  <c r="N3977" i="48" s="1"/>
  <c r="G3598" i="48"/>
  <c r="H3598" i="48" s="1"/>
  <c r="N3598" i="48" s="1"/>
  <c r="J3740" i="48"/>
  <c r="K3634" i="48"/>
  <c r="L3634" i="48" s="1"/>
  <c r="N3395" i="48"/>
  <c r="J3733" i="48"/>
  <c r="K1790" i="48"/>
  <c r="L1790" i="48" s="1"/>
  <c r="L1797" i="48" s="1"/>
  <c r="J1741" i="48"/>
  <c r="I1835" i="48"/>
  <c r="J1835" i="48" s="1"/>
  <c r="J1843" i="48" s="1"/>
  <c r="G899" i="48"/>
  <c r="M899" i="48" s="1"/>
  <c r="G698" i="48"/>
  <c r="M698" i="48" s="1"/>
  <c r="L528" i="48"/>
  <c r="K2531" i="48" s="1"/>
  <c r="L2531" i="48" s="1"/>
  <c r="L2532" i="48" s="1"/>
  <c r="L134" i="48"/>
  <c r="J484" i="48"/>
  <c r="I3103" i="48" s="1"/>
  <c r="J3103" i="48" s="1"/>
  <c r="J3173" i="48"/>
  <c r="I3144" i="48" s="1"/>
  <c r="J3144" i="48" s="1"/>
  <c r="J3145" i="48" s="1"/>
  <c r="N97" i="48"/>
  <c r="N98" i="48" s="1"/>
  <c r="G41" i="48"/>
  <c r="M41" i="48" s="1"/>
  <c r="J213" i="48"/>
  <c r="I786" i="48" s="1"/>
  <c r="J786" i="48" s="1"/>
  <c r="K3390" i="48"/>
  <c r="M3390" i="48" s="1"/>
  <c r="I3075" i="48"/>
  <c r="J3075" i="48" s="1"/>
  <c r="G34" i="48"/>
  <c r="H34" i="48" s="1"/>
  <c r="N34" i="48" s="1"/>
  <c r="J592" i="48"/>
  <c r="G3739" i="48"/>
  <c r="H3739" i="48" s="1"/>
  <c r="N3739" i="48" s="1"/>
  <c r="G3849" i="48"/>
  <c r="H3849" i="48" s="1"/>
  <c r="G3761" i="48"/>
  <c r="H3761" i="48" s="1"/>
  <c r="N3761" i="48" s="1"/>
  <c r="H92" i="48"/>
  <c r="G27" i="48"/>
  <c r="M27" i="48" s="1"/>
  <c r="J3127" i="48"/>
  <c r="J3660" i="48"/>
  <c r="K652" i="48"/>
  <c r="M652" i="48" s="1"/>
  <c r="H496" i="48"/>
  <c r="J773" i="48"/>
  <c r="I1156" i="48" s="1"/>
  <c r="M1156" i="48" s="1"/>
  <c r="K641" i="48"/>
  <c r="M641" i="48" s="1"/>
  <c r="M3771" i="48"/>
  <c r="N3747" i="48"/>
  <c r="G3329" i="48"/>
  <c r="H3329" i="48" s="1"/>
  <c r="H2987" i="48"/>
  <c r="G3063" i="48" s="1"/>
  <c r="G3095" i="48"/>
  <c r="H3095" i="48" s="1"/>
  <c r="N13" i="48"/>
  <c r="N14" i="48" s="1"/>
  <c r="L484" i="48"/>
  <c r="K3008" i="48" s="1"/>
  <c r="L3008" i="48" s="1"/>
  <c r="L3013" i="48" s="1"/>
  <c r="K3246" i="48"/>
  <c r="L3246" i="48" s="1"/>
  <c r="K1419" i="48"/>
  <c r="L1419" i="48" s="1"/>
  <c r="K1590" i="48"/>
  <c r="L1590" i="48" s="1"/>
  <c r="K1178" i="48"/>
  <c r="L1178" i="48" s="1"/>
  <c r="K1241" i="48"/>
  <c r="L1241" i="48" s="1"/>
  <c r="G3665" i="48"/>
  <c r="H3665" i="48" s="1"/>
  <c r="J1076" i="48"/>
  <c r="AY31" i="45"/>
  <c r="J3850" i="48"/>
  <c r="J3726" i="48"/>
  <c r="G3690" i="48"/>
  <c r="M3690" i="48" s="1"/>
  <c r="N3737" i="48"/>
  <c r="N3223" i="48"/>
  <c r="N3225" i="48" s="1"/>
  <c r="N3170" i="48"/>
  <c r="N2977" i="48"/>
  <c r="N2497" i="48"/>
  <c r="J1637" i="48"/>
  <c r="I1639" i="48" s="1"/>
  <c r="J1639" i="48" s="1"/>
  <c r="J1640" i="48" s="1"/>
  <c r="J1109" i="48"/>
  <c r="J733" i="48"/>
  <c r="N660" i="48"/>
  <c r="K3270" i="48"/>
  <c r="L3270" i="48" s="1"/>
  <c r="K3238" i="48"/>
  <c r="L3238" i="48" s="1"/>
  <c r="K1579" i="48"/>
  <c r="L1579" i="48" s="1"/>
  <c r="K1334" i="48"/>
  <c r="L1334" i="48" s="1"/>
  <c r="K2537" i="48"/>
  <c r="L2537" i="48" s="1"/>
  <c r="L2538" i="48" s="1"/>
  <c r="K1242" i="48"/>
  <c r="L1242" i="48" s="1"/>
  <c r="K1169" i="48"/>
  <c r="L1169" i="48" s="1"/>
  <c r="G3012" i="48"/>
  <c r="H3012" i="48" s="1"/>
  <c r="N3012" i="48" s="1"/>
  <c r="K655" i="48"/>
  <c r="M655" i="48" s="1"/>
  <c r="AS239" i="46"/>
  <c r="BT239" i="46" s="1"/>
  <c r="BT240" i="46" s="1"/>
  <c r="BT241" i="46" s="1"/>
  <c r="J3684" i="48"/>
  <c r="J3197" i="48"/>
  <c r="I3156" i="48" s="1"/>
  <c r="J3156" i="48" s="1"/>
  <c r="J3157" i="48" s="1"/>
  <c r="J1698" i="48"/>
  <c r="G1636" i="48"/>
  <c r="M1636" i="48" s="1"/>
  <c r="N555" i="48"/>
  <c r="N560" i="48" s="1"/>
  <c r="M1065" i="48"/>
  <c r="K3278" i="48"/>
  <c r="L3278" i="48" s="1"/>
  <c r="K1439" i="48"/>
  <c r="L1439" i="48" s="1"/>
  <c r="K1133" i="48"/>
  <c r="L1133" i="48" s="1"/>
  <c r="K674" i="48"/>
  <c r="L674" i="48" s="1"/>
  <c r="N674" i="48" s="1"/>
  <c r="N3925" i="48"/>
  <c r="L3997" i="48"/>
  <c r="N3997" i="48" s="1"/>
  <c r="G3782" i="48"/>
  <c r="H3782" i="48" s="1"/>
  <c r="N3782" i="48" s="1"/>
  <c r="J3747" i="48"/>
  <c r="G3697" i="48"/>
  <c r="H3697" i="48" s="1"/>
  <c r="N3697" i="48" s="1"/>
  <c r="J3628" i="48"/>
  <c r="J3317" i="48"/>
  <c r="G3353" i="48"/>
  <c r="H3353" i="48" s="1"/>
  <c r="J3467" i="48"/>
  <c r="I3064" i="48"/>
  <c r="J3064" i="48" s="1"/>
  <c r="H1109" i="48"/>
  <c r="N484" i="48"/>
  <c r="J2372" i="48"/>
  <c r="K785" i="48"/>
  <c r="L785" i="48" s="1"/>
  <c r="K3254" i="48"/>
  <c r="L3254" i="48" s="1"/>
  <c r="K1324" i="48"/>
  <c r="L1324" i="48" s="1"/>
  <c r="K1557" i="48"/>
  <c r="L1557" i="48" s="1"/>
  <c r="K1383" i="48"/>
  <c r="L1383" i="48" s="1"/>
  <c r="K2534" i="48"/>
  <c r="L2534" i="48" s="1"/>
  <c r="L2535" i="48" s="1"/>
  <c r="K3067" i="48" s="1"/>
  <c r="L3067" i="48" s="1"/>
  <c r="K1120" i="48"/>
  <c r="L1120" i="48" s="1"/>
  <c r="K1233" i="48"/>
  <c r="L1233" i="48" s="1"/>
  <c r="G3491" i="48"/>
  <c r="M3491" i="48" s="1"/>
  <c r="G3577" i="48"/>
  <c r="J3608" i="48"/>
  <c r="K3437" i="48"/>
  <c r="L3993" i="48"/>
  <c r="N3993" i="48" s="1"/>
  <c r="R3953" i="48" s="1"/>
  <c r="N3765" i="48"/>
  <c r="N3654" i="48"/>
  <c r="G3453" i="48"/>
  <c r="M3453" i="48" s="1"/>
  <c r="N3730" i="48"/>
  <c r="N3124" i="48"/>
  <c r="N2980" i="48"/>
  <c r="I3037" i="48"/>
  <c r="J3037" i="48" s="1"/>
  <c r="J2249" i="48"/>
  <c r="J2073" i="48"/>
  <c r="L1875" i="48"/>
  <c r="K3563" i="48" s="1"/>
  <c r="L3563" i="48" s="1"/>
  <c r="M1033" i="48"/>
  <c r="N192" i="48"/>
  <c r="N194" i="48" s="1"/>
  <c r="J888" i="48"/>
  <c r="N402" i="48"/>
  <c r="N403" i="48" s="1"/>
  <c r="J656" i="48"/>
  <c r="J528" i="48"/>
  <c r="I2522" i="48" s="1"/>
  <c r="J2522" i="48" s="1"/>
  <c r="J2523" i="48" s="1"/>
  <c r="N539" i="48"/>
  <c r="J708" i="48"/>
  <c r="N492" i="48"/>
  <c r="N496" i="48" s="1"/>
  <c r="L427" i="48"/>
  <c r="H634" i="48"/>
  <c r="BL31" i="45"/>
  <c r="BL35" i="45" s="1"/>
  <c r="N3852" i="48"/>
  <c r="N3853" i="48" s="1"/>
  <c r="N3895" i="48"/>
  <c r="G3711" i="48"/>
  <c r="H3711" i="48" s="1"/>
  <c r="N3711" i="48" s="1"/>
  <c r="N3712" i="48" s="1"/>
  <c r="K3658" i="48"/>
  <c r="L3658" i="48" s="1"/>
  <c r="J3545" i="48"/>
  <c r="I3564" i="48" s="1"/>
  <c r="J3564" i="48" s="1"/>
  <c r="N3378" i="48"/>
  <c r="J3439" i="48"/>
  <c r="J3189" i="48"/>
  <c r="I3152" i="48" s="1"/>
  <c r="J3152" i="48" s="1"/>
  <c r="J3153" i="48" s="1"/>
  <c r="K3026" i="48"/>
  <c r="L3026" i="48" s="1"/>
  <c r="G3005" i="48"/>
  <c r="H3005" i="48" s="1"/>
  <c r="N3005" i="48" s="1"/>
  <c r="J3205" i="48"/>
  <c r="G3316" i="48"/>
  <c r="H3316" i="48" s="1"/>
  <c r="N3316" i="48" s="1"/>
  <c r="G3084" i="48"/>
  <c r="H3084" i="48" s="1"/>
  <c r="N3084" i="48" s="1"/>
  <c r="K3045" i="48"/>
  <c r="L3045" i="48" s="1"/>
  <c r="I3083" i="48"/>
  <c r="J3083" i="48" s="1"/>
  <c r="N3009" i="48"/>
  <c r="I3056" i="48"/>
  <c r="J3056" i="48" s="1"/>
  <c r="N2823" i="48"/>
  <c r="J2264" i="48"/>
  <c r="H1672" i="48"/>
  <c r="M1704" i="48"/>
  <c r="G905" i="48"/>
  <c r="H905" i="48" s="1"/>
  <c r="N903" i="48"/>
  <c r="N909" i="48"/>
  <c r="J838" i="48"/>
  <c r="G1082" i="48"/>
  <c r="H1082" i="48" s="1"/>
  <c r="N1082" i="48" s="1"/>
  <c r="N1073" i="48"/>
  <c r="G3270" i="48"/>
  <c r="H3270" i="48" s="1"/>
  <c r="J62" i="48"/>
  <c r="J702" i="48"/>
  <c r="K3406" i="48"/>
  <c r="N771" i="48"/>
  <c r="L3895" i="48"/>
  <c r="J3712" i="48"/>
  <c r="K3465" i="48"/>
  <c r="L3465" i="48" s="1"/>
  <c r="I3045" i="48"/>
  <c r="J3045" i="48" s="1"/>
  <c r="N2822" i="48"/>
  <c r="J2812" i="48"/>
  <c r="J2279" i="48"/>
  <c r="L2470" i="48"/>
  <c r="J1663" i="48"/>
  <c r="H1689" i="48"/>
  <c r="J1083" i="48"/>
  <c r="N477" i="48"/>
  <c r="G3516" i="48"/>
  <c r="M3516" i="48" s="1"/>
  <c r="N4022" i="48"/>
  <c r="J726" i="48"/>
  <c r="I1592" i="48" s="1"/>
  <c r="J1592" i="48" s="1"/>
  <c r="H3407" i="48"/>
  <c r="N3407" i="48" s="1"/>
  <c r="M3407" i="48"/>
  <c r="N456" i="48"/>
  <c r="N457" i="48" s="1"/>
  <c r="G863" i="48"/>
  <c r="H863" i="48" s="1"/>
  <c r="G277" i="48"/>
  <c r="M277" i="48" s="1"/>
  <c r="J3599" i="48"/>
  <c r="L153" i="48"/>
  <c r="K1284" i="48"/>
  <c r="L1284" i="48" s="1"/>
  <c r="N897" i="48"/>
  <c r="K1193" i="48"/>
  <c r="L1193" i="48" s="1"/>
  <c r="J720" i="48"/>
  <c r="K1210" i="48"/>
  <c r="L1210" i="48" s="1"/>
  <c r="K1276" i="48"/>
  <c r="L1276" i="48" s="1"/>
  <c r="L1281" i="48" s="1"/>
  <c r="K1300" i="48"/>
  <c r="L1300" i="48" s="1"/>
  <c r="K1152" i="48"/>
  <c r="L1152" i="48" s="1"/>
  <c r="K1225" i="48"/>
  <c r="L1225" i="48" s="1"/>
  <c r="K1118" i="48"/>
  <c r="L1118" i="48" s="1"/>
  <c r="K1149" i="48"/>
  <c r="L1149" i="48" s="1"/>
  <c r="K1201" i="48"/>
  <c r="L1201" i="48" s="1"/>
  <c r="K1150" i="48"/>
  <c r="L1150" i="48" s="1"/>
  <c r="K1209" i="48"/>
  <c r="L1209" i="48" s="1"/>
  <c r="K1645" i="48"/>
  <c r="L1645" i="48" s="1"/>
  <c r="L1646" i="48" s="1"/>
  <c r="K591" i="48"/>
  <c r="M591" i="48" s="1"/>
  <c r="K1217" i="48"/>
  <c r="L1217" i="48" s="1"/>
  <c r="K1283" i="48"/>
  <c r="L1283" i="48" s="1"/>
  <c r="K1117" i="48"/>
  <c r="L1117" i="48" s="1"/>
  <c r="K1186" i="48"/>
  <c r="L1186" i="48" s="1"/>
  <c r="K1250" i="48"/>
  <c r="L1250" i="48" s="1"/>
  <c r="K1121" i="48"/>
  <c r="L1121" i="48" s="1"/>
  <c r="K1153" i="48"/>
  <c r="L1153" i="48" s="1"/>
  <c r="K1226" i="48"/>
  <c r="L1226" i="48" s="1"/>
  <c r="K1170" i="48"/>
  <c r="L1170" i="48" s="1"/>
  <c r="K1234" i="48"/>
  <c r="L1234" i="48" s="1"/>
  <c r="K1185" i="48"/>
  <c r="L1185" i="48" s="1"/>
  <c r="K1249" i="48"/>
  <c r="L1249" i="48" s="1"/>
  <c r="K1299" i="48"/>
  <c r="L1299" i="48" s="1"/>
  <c r="K1136" i="48"/>
  <c r="L1136" i="48" s="1"/>
  <c r="K1218" i="48"/>
  <c r="L1218" i="48" s="1"/>
  <c r="K1292" i="48"/>
  <c r="L1292" i="48" s="1"/>
  <c r="K1137" i="48"/>
  <c r="L1137" i="48" s="1"/>
  <c r="K1194" i="48"/>
  <c r="L1194" i="48" s="1"/>
  <c r="K1134" i="48"/>
  <c r="L1134" i="48" s="1"/>
  <c r="K1202" i="48"/>
  <c r="L1202" i="48" s="1"/>
  <c r="K3085" i="48"/>
  <c r="L3085" i="48" s="1"/>
  <c r="N3085" i="48" s="1"/>
  <c r="H560" i="48"/>
  <c r="G1134" i="48" s="1"/>
  <c r="K952" i="48"/>
  <c r="L952" i="48" s="1"/>
  <c r="N2987" i="48"/>
  <c r="J768" i="48"/>
  <c r="I1140" i="48" s="1"/>
  <c r="J1140" i="48" s="1"/>
  <c r="J678" i="48"/>
  <c r="K3340" i="48"/>
  <c r="M1057" i="48"/>
  <c r="BT91" i="46"/>
  <c r="G3725" i="48"/>
  <c r="M3725" i="48" s="1"/>
  <c r="N2810" i="48"/>
  <c r="J1680" i="48"/>
  <c r="L2487" i="48"/>
  <c r="N450" i="48"/>
  <c r="N451" i="48" s="1"/>
  <c r="J1097" i="48"/>
  <c r="L172" i="48"/>
  <c r="G3254" i="48"/>
  <c r="H3254" i="48" s="1"/>
  <c r="J52" i="48"/>
  <c r="I780" i="48" s="1"/>
  <c r="J780" i="48" s="1"/>
  <c r="N3011" i="48"/>
  <c r="K624" i="48"/>
  <c r="M624" i="48" s="1"/>
  <c r="J625" i="48"/>
  <c r="K579" i="48"/>
  <c r="M579" i="48" s="1"/>
  <c r="G3262" i="48"/>
  <c r="H3262" i="48" s="1"/>
  <c r="K1354" i="48"/>
  <c r="L1354" i="48" s="1"/>
  <c r="K1449" i="48"/>
  <c r="L1449" i="48" s="1"/>
  <c r="K1459" i="48"/>
  <c r="L1459" i="48" s="1"/>
  <c r="K1488" i="48"/>
  <c r="L1488" i="48" s="1"/>
  <c r="K3104" i="48"/>
  <c r="L3104" i="48" s="1"/>
  <c r="N766" i="48"/>
  <c r="N768" i="48" s="1"/>
  <c r="N960" i="48"/>
  <c r="AQ353" i="45"/>
  <c r="AQ357" i="45" s="1"/>
  <c r="N2960" i="48"/>
  <c r="H472" i="48"/>
  <c r="K732" i="48"/>
  <c r="K962" i="48"/>
  <c r="M962" i="48" s="1"/>
  <c r="G3561" i="48"/>
  <c r="H3561" i="48" s="1"/>
  <c r="N118" i="48"/>
  <c r="N3809" i="48"/>
  <c r="N3810" i="48" s="1"/>
  <c r="N3871" i="48"/>
  <c r="M1025" i="48"/>
  <c r="CJ492" i="45"/>
  <c r="CJ489" i="45"/>
  <c r="AY34" i="45"/>
  <c r="J520" i="48"/>
  <c r="J3818" i="48"/>
  <c r="I3820" i="48" s="1"/>
  <c r="J3820" i="48" s="1"/>
  <c r="J3821" i="48" s="1"/>
  <c r="L4037" i="48"/>
  <c r="N512" i="48"/>
  <c r="N789" i="48"/>
  <c r="L3317" i="48"/>
  <c r="H504" i="48"/>
  <c r="G2513" i="48" s="1"/>
  <c r="H2513" i="48" s="1"/>
  <c r="H484" i="48"/>
  <c r="G1393" i="48" s="1"/>
  <c r="H1393" i="48" s="1"/>
  <c r="BY31" i="45"/>
  <c r="A58" i="48"/>
  <c r="A63" i="48" s="1"/>
  <c r="A66" i="48" s="1"/>
  <c r="A69" i="48" s="1"/>
  <c r="A72" i="48" s="1"/>
  <c r="A75" i="48" s="1"/>
  <c r="A78" i="48" s="1"/>
  <c r="A81" i="48" s="1"/>
  <c r="A84" i="48" s="1"/>
  <c r="A87" i="48" s="1"/>
  <c r="A90" i="48" s="1"/>
  <c r="A93" i="48" s="1"/>
  <c r="A96" i="48" s="1"/>
  <c r="A99" i="48" s="1"/>
  <c r="O787" i="48" s="1"/>
  <c r="N2043" i="48"/>
  <c r="N236" i="48"/>
  <c r="J882" i="48"/>
  <c r="N146" i="48"/>
  <c r="N147" i="48" s="1"/>
  <c r="T3145" i="48"/>
  <c r="R3146" i="48"/>
  <c r="R764" i="48"/>
  <c r="T764" i="48" s="1"/>
  <c r="T763" i="48"/>
  <c r="H528" i="48"/>
  <c r="T1309" i="48"/>
  <c r="R1310" i="48"/>
  <c r="J876" i="48"/>
  <c r="N873" i="48"/>
  <c r="L111" i="48"/>
  <c r="L114" i="48" s="1"/>
  <c r="J111" i="48"/>
  <c r="J114" i="48" s="1"/>
  <c r="N2279" i="48"/>
  <c r="L3925" i="48"/>
  <c r="L3871" i="48"/>
  <c r="L3907" i="48"/>
  <c r="N3877" i="48"/>
  <c r="K3626" i="48"/>
  <c r="M3626" i="48" s="1"/>
  <c r="J3578" i="48"/>
  <c r="N3508" i="48"/>
  <c r="N3334" i="48"/>
  <c r="J3492" i="48"/>
  <c r="J3342" i="48"/>
  <c r="J3392" i="48"/>
  <c r="L3452" i="48"/>
  <c r="N3452" i="48" s="1"/>
  <c r="J2999" i="48"/>
  <c r="R2932" i="48"/>
  <c r="R2933" i="48" s="1"/>
  <c r="K2811" i="48"/>
  <c r="M2811" i="48" s="1"/>
  <c r="T2659" i="48"/>
  <c r="E2690" i="48" s="1"/>
  <c r="J2690" i="48" s="1"/>
  <c r="N2690" i="48" s="1"/>
  <c r="J2501" i="48"/>
  <c r="I3095" i="48" s="1"/>
  <c r="J3095" i="48" s="1"/>
  <c r="J2219" i="48"/>
  <c r="J2294" i="48"/>
  <c r="T1794" i="48"/>
  <c r="J2117" i="48"/>
  <c r="J1997" i="48"/>
  <c r="R2148" i="48"/>
  <c r="R2149" i="48" s="1"/>
  <c r="H1698" i="48"/>
  <c r="N1670" i="48"/>
  <c r="N1648" i="48"/>
  <c r="N1650" i="48" s="1"/>
  <c r="N2069" i="48"/>
  <c r="N1756" i="48"/>
  <c r="N1704" i="48"/>
  <c r="R1533" i="48"/>
  <c r="T1533" i="48" s="1"/>
  <c r="E1564" i="48" s="1"/>
  <c r="H1564" i="48" s="1"/>
  <c r="N1166" i="48"/>
  <c r="G851" i="48"/>
  <c r="M851" i="48" s="1"/>
  <c r="G911" i="48"/>
  <c r="M911" i="48" s="1"/>
  <c r="H836" i="48"/>
  <c r="N836" i="48" s="1"/>
  <c r="N801" i="48"/>
  <c r="N522" i="48"/>
  <c r="N528" i="48" s="1"/>
  <c r="N123" i="48"/>
  <c r="N124" i="48" s="1"/>
  <c r="J47" i="48"/>
  <c r="G1075" i="48"/>
  <c r="M1075" i="48" s="1"/>
  <c r="H829" i="48"/>
  <c r="N829" i="48" s="1"/>
  <c r="J830" i="48"/>
  <c r="J714" i="48"/>
  <c r="I3241" i="48" s="1"/>
  <c r="J3241" i="48" s="1"/>
  <c r="N547" i="48"/>
  <c r="N498" i="48"/>
  <c r="N1263" i="48"/>
  <c r="J864" i="48"/>
  <c r="L276" i="48"/>
  <c r="L278" i="48" s="1"/>
  <c r="L188" i="48"/>
  <c r="J580" i="48"/>
  <c r="G785" i="48"/>
  <c r="H785" i="48" s="1"/>
  <c r="G3246" i="48"/>
  <c r="H3246" i="48" s="1"/>
  <c r="G3278" i="48"/>
  <c r="K1364" i="48"/>
  <c r="L1364" i="48" s="1"/>
  <c r="K1479" i="48"/>
  <c r="L1479" i="48" s="1"/>
  <c r="K1506" i="48"/>
  <c r="L1506" i="48" s="1"/>
  <c r="K1642" i="48"/>
  <c r="L1642" i="48" s="1"/>
  <c r="L1643" i="48" s="1"/>
  <c r="K1469" i="48"/>
  <c r="L1469" i="48" s="1"/>
  <c r="K1392" i="48"/>
  <c r="L1392" i="48" s="1"/>
  <c r="K1515" i="48"/>
  <c r="L1515" i="48" s="1"/>
  <c r="K2540" i="48"/>
  <c r="L2540" i="48" s="1"/>
  <c r="L2541" i="48" s="1"/>
  <c r="K573" i="48"/>
  <c r="L573" i="48" s="1"/>
  <c r="N573" i="48" s="1"/>
  <c r="N574" i="48" s="1"/>
  <c r="G271" i="48"/>
  <c r="M271" i="48" s="1"/>
  <c r="O780" i="48"/>
  <c r="G3341" i="48"/>
  <c r="H2992" i="48"/>
  <c r="J1268" i="48"/>
  <c r="J194" i="48"/>
  <c r="I3254" i="48" s="1"/>
  <c r="J3254" i="48" s="1"/>
  <c r="M789" i="48"/>
  <c r="N940" i="48"/>
  <c r="N138" i="48"/>
  <c r="T1299" i="48"/>
  <c r="R1300" i="48"/>
  <c r="M3942" i="48"/>
  <c r="L3942" i="48"/>
  <c r="N3942" i="48" s="1"/>
  <c r="N475" i="48"/>
  <c r="L478" i="48"/>
  <c r="G3627" i="48"/>
  <c r="M3627" i="48" s="1"/>
  <c r="K2998" i="48"/>
  <c r="L2998" i="48" s="1"/>
  <c r="T2657" i="48"/>
  <c r="J2234" i="48"/>
  <c r="J1750" i="48"/>
  <c r="H2117" i="48"/>
  <c r="L1672" i="48"/>
  <c r="M1756" i="48"/>
  <c r="L1732" i="48"/>
  <c r="K3069" i="48" s="1"/>
  <c r="L3069" i="48" s="1"/>
  <c r="G881" i="48"/>
  <c r="M881" i="48" s="1"/>
  <c r="N1165" i="48"/>
  <c r="G875" i="48"/>
  <c r="H875" i="48" s="1"/>
  <c r="N1109" i="48"/>
  <c r="N274" i="48"/>
  <c r="J1263" i="48"/>
  <c r="K922" i="48"/>
  <c r="L922" i="48" s="1"/>
  <c r="N861" i="48"/>
  <c r="L270" i="48"/>
  <c r="N270" i="48" s="1"/>
  <c r="G776" i="48"/>
  <c r="H776" i="48" s="1"/>
  <c r="G3286" i="48"/>
  <c r="H3286" i="48" s="1"/>
  <c r="H121" i="48"/>
  <c r="K1374" i="48"/>
  <c r="L1374" i="48" s="1"/>
  <c r="K1535" i="48"/>
  <c r="L1535" i="48" s="1"/>
  <c r="K1524" i="48"/>
  <c r="L1524" i="48" s="1"/>
  <c r="K1344" i="48"/>
  <c r="L1344" i="48" s="1"/>
  <c r="K1497" i="48"/>
  <c r="L1497" i="48" s="1"/>
  <c r="K1410" i="48"/>
  <c r="L1410" i="48" s="1"/>
  <c r="K1546" i="48"/>
  <c r="L1546" i="48" s="1"/>
  <c r="J574" i="48"/>
  <c r="J3698" i="48"/>
  <c r="H236" i="48"/>
  <c r="L28" i="48"/>
  <c r="J3678" i="48"/>
  <c r="N3674" i="48"/>
  <c r="J3825" i="48"/>
  <c r="N3824" i="48"/>
  <c r="N3825" i="48" s="1"/>
  <c r="K972" i="48"/>
  <c r="N761" i="48"/>
  <c r="J763" i="48"/>
  <c r="I1124" i="48" s="1"/>
  <c r="J1124" i="48" s="1"/>
  <c r="H512" i="48"/>
  <c r="L3877" i="48"/>
  <c r="N2821" i="48"/>
  <c r="N168" i="48"/>
  <c r="L3883" i="48"/>
  <c r="N3879" i="48"/>
  <c r="N3883" i="48" s="1"/>
  <c r="K3362" i="48"/>
  <c r="J3364" i="48"/>
  <c r="N3117" i="48"/>
  <c r="K3118" i="48"/>
  <c r="J3408" i="48"/>
  <c r="N3113" i="48"/>
  <c r="H3119" i="48"/>
  <c r="H3230" i="48"/>
  <c r="N3227" i="48"/>
  <c r="N3230" i="48" s="1"/>
  <c r="H1772" i="48"/>
  <c r="J852" i="48"/>
  <c r="N849" i="48"/>
  <c r="G3816" i="48"/>
  <c r="M3816" i="48" s="1"/>
  <c r="K3817" i="48"/>
  <c r="M3817" i="48" s="1"/>
  <c r="N3488" i="48"/>
  <c r="G3027" i="48"/>
  <c r="H3027" i="48" s="1"/>
  <c r="N3027" i="48" s="1"/>
  <c r="N2264" i="48"/>
  <c r="J2106" i="48"/>
  <c r="N2046" i="48"/>
  <c r="N1689" i="48"/>
  <c r="K932" i="48"/>
  <c r="M932" i="48" s="1"/>
  <c r="H656" i="48"/>
  <c r="N1265" i="48"/>
  <c r="G887" i="48"/>
  <c r="M887" i="48" s="1"/>
  <c r="N970" i="48"/>
  <c r="L830" i="48"/>
  <c r="J121" i="48"/>
  <c r="N117" i="48"/>
  <c r="H544" i="48"/>
  <c r="G3264" i="48" s="1"/>
  <c r="J3719" i="48"/>
  <c r="L2558" i="48"/>
  <c r="N2557" i="48"/>
  <c r="N2558" i="48" s="1"/>
  <c r="J3666" i="48"/>
  <c r="N3662" i="48"/>
  <c r="H816" i="48"/>
  <c r="N811" i="48"/>
  <c r="N816" i="48" s="1"/>
  <c r="J504" i="48"/>
  <c r="N760" i="48"/>
  <c r="H763" i="48"/>
  <c r="G1124" i="48" s="1"/>
  <c r="N499" i="48"/>
  <c r="L504" i="48"/>
  <c r="K957" i="48"/>
  <c r="G2339" i="48"/>
  <c r="H2339" i="48" s="1"/>
  <c r="N2339" i="48" s="1"/>
  <c r="J2084" i="48"/>
  <c r="N1698" i="48"/>
  <c r="J1273" i="48"/>
  <c r="N800" i="48"/>
  <c r="J740" i="48"/>
  <c r="J1103" i="48"/>
  <c r="J973" i="48"/>
  <c r="H1115" i="48"/>
  <c r="J512" i="48"/>
  <c r="J272" i="48"/>
  <c r="N164" i="48"/>
  <c r="N2989" i="48"/>
  <c r="N2992" i="48" s="1"/>
  <c r="K2500" i="48"/>
  <c r="J933" i="48"/>
  <c r="K739" i="48"/>
  <c r="L42" i="48"/>
  <c r="J758" i="48"/>
  <c r="I1155" i="48" s="1"/>
  <c r="J1155" i="48" s="1"/>
  <c r="N756" i="48"/>
  <c r="L138" i="48"/>
  <c r="J816" i="48"/>
  <c r="G3363" i="48"/>
  <c r="N3357" i="48"/>
  <c r="J28" i="48"/>
  <c r="K3972" i="48"/>
  <c r="N3969" i="48"/>
  <c r="N3933" i="48"/>
  <c r="H3781" i="48"/>
  <c r="N3781" i="48" s="1"/>
  <c r="M3781" i="48"/>
  <c r="N3834" i="48"/>
  <c r="G3838" i="48"/>
  <c r="J3763" i="48"/>
  <c r="N3756" i="48"/>
  <c r="K3762" i="48"/>
  <c r="K3751" i="48"/>
  <c r="N3749" i="48"/>
  <c r="J3752" i="48"/>
  <c r="M3772" i="48"/>
  <c r="H3772" i="48"/>
  <c r="N3772" i="48" s="1"/>
  <c r="G3643" i="48"/>
  <c r="K3642" i="48"/>
  <c r="J3644" i="48"/>
  <c r="N3638" i="48"/>
  <c r="G3557" i="48"/>
  <c r="N3547" i="48"/>
  <c r="J3652" i="48"/>
  <c r="N3646" i="48"/>
  <c r="K3650" i="48"/>
  <c r="G3651" i="48"/>
  <c r="N3611" i="48"/>
  <c r="J3612" i="48"/>
  <c r="N3519" i="48"/>
  <c r="G3528" i="48"/>
  <c r="N3586" i="48"/>
  <c r="G3589" i="48"/>
  <c r="J3620" i="48"/>
  <c r="N3614" i="48"/>
  <c r="G3619" i="48"/>
  <c r="K3618" i="48"/>
  <c r="N3568" i="48"/>
  <c r="G3571" i="48"/>
  <c r="N3470" i="48"/>
  <c r="G3479" i="48"/>
  <c r="N3411" i="48"/>
  <c r="G3423" i="48"/>
  <c r="N3457" i="48"/>
  <c r="G3466" i="48"/>
  <c r="L3931" i="48"/>
  <c r="J3845" i="48"/>
  <c r="N3040" i="48"/>
  <c r="K3047" i="48"/>
  <c r="L3047" i="48" s="1"/>
  <c r="G3046" i="48"/>
  <c r="H2982" i="48"/>
  <c r="N2981" i="48"/>
  <c r="N2894" i="48"/>
  <c r="T2888" i="48"/>
  <c r="R2889" i="48"/>
  <c r="N2932" i="48"/>
  <c r="N2724" i="48"/>
  <c r="N2841" i="48"/>
  <c r="H2812" i="48"/>
  <c r="N2803" i="48"/>
  <c r="L2554" i="48"/>
  <c r="N2553" i="48"/>
  <c r="N2554" i="48" s="1"/>
  <c r="T2760" i="48"/>
  <c r="R2761" i="48"/>
  <c r="N2505" i="48"/>
  <c r="J2508" i="48"/>
  <c r="K2507" i="48"/>
  <c r="N2474" i="48"/>
  <c r="T2823" i="48"/>
  <c r="R2824" i="48"/>
  <c r="J2734" i="48"/>
  <c r="N2603" i="48"/>
  <c r="T2596" i="48"/>
  <c r="R2598" i="48"/>
  <c r="H3098" i="48"/>
  <c r="N2427" i="48"/>
  <c r="J2436" i="48"/>
  <c r="J2550" i="48"/>
  <c r="Q2276" i="48"/>
  <c r="Q2273" i="48"/>
  <c r="Q2275" i="48" s="1"/>
  <c r="Q2277" i="48" s="1"/>
  <c r="N2234" i="48"/>
  <c r="T2207" i="48"/>
  <c r="R2208" i="48"/>
  <c r="H2024" i="48"/>
  <c r="N2024" i="48" s="1"/>
  <c r="N2029" i="48" s="1"/>
  <c r="M2024" i="48"/>
  <c r="H1946" i="48"/>
  <c r="N1946" i="48" s="1"/>
  <c r="M1946" i="48"/>
  <c r="H1925" i="48"/>
  <c r="N1925" i="48" s="1"/>
  <c r="M1925" i="48"/>
  <c r="H1860" i="48"/>
  <c r="N1860" i="48" s="1"/>
  <c r="M1860" i="48"/>
  <c r="N1752" i="48"/>
  <c r="T2266" i="48"/>
  <c r="R2267" i="48"/>
  <c r="T2222" i="48"/>
  <c r="R2223" i="48"/>
  <c r="N2133" i="48"/>
  <c r="H2139" i="48"/>
  <c r="M1926" i="48"/>
  <c r="H1926" i="48"/>
  <c r="N1926" i="48" s="1"/>
  <c r="M1915" i="48"/>
  <c r="H1915" i="48"/>
  <c r="N1915" i="48" s="1"/>
  <c r="R2362" i="48"/>
  <c r="T2361" i="48"/>
  <c r="R2330" i="48"/>
  <c r="T2329" i="48"/>
  <c r="H2219" i="48"/>
  <c r="N2153" i="48"/>
  <c r="N2161" i="48" s="1"/>
  <c r="J2161" i="48"/>
  <c r="N2120" i="48"/>
  <c r="J2128" i="48"/>
  <c r="N2067" i="48"/>
  <c r="H2073" i="48"/>
  <c r="N1952" i="48"/>
  <c r="R1850" i="48"/>
  <c r="T1849" i="48"/>
  <c r="T2137" i="48"/>
  <c r="R2138" i="48"/>
  <c r="R2102" i="48"/>
  <c r="T2101" i="48"/>
  <c r="T2035" i="48"/>
  <c r="R2036" i="48"/>
  <c r="J2175" i="48"/>
  <c r="R1861" i="48"/>
  <c r="T1860" i="48"/>
  <c r="R1806" i="48"/>
  <c r="T1805" i="48"/>
  <c r="M1868" i="48"/>
  <c r="H1868" i="48"/>
  <c r="M1721" i="48"/>
  <c r="H1721" i="48"/>
  <c r="N1721" i="48" s="1"/>
  <c r="M1730" i="48"/>
  <c r="H1730" i="48"/>
  <c r="N1730" i="48" s="1"/>
  <c r="M2289" i="48"/>
  <c r="H2289" i="48"/>
  <c r="N2289" i="48" s="1"/>
  <c r="N2294" i="48" s="1"/>
  <c r="M2465" i="48"/>
  <c r="H2465" i="48"/>
  <c r="N2465" i="48" s="1"/>
  <c r="T2176" i="48"/>
  <c r="R2177" i="48"/>
  <c r="T2057" i="48"/>
  <c r="R2058" i="48"/>
  <c r="T1882" i="48"/>
  <c r="R1883" i="48"/>
  <c r="M1945" i="48"/>
  <c r="R1784" i="48"/>
  <c r="T1783" i="48"/>
  <c r="R1733" i="48"/>
  <c r="T1732" i="48"/>
  <c r="M3770" i="48"/>
  <c r="H3770" i="48"/>
  <c r="N1494" i="48"/>
  <c r="T1359" i="48"/>
  <c r="E1390" i="48" s="1"/>
  <c r="J1390" i="48" s="1"/>
  <c r="R1361" i="48"/>
  <c r="R1360" i="48"/>
  <c r="T1360" i="48" s="1"/>
  <c r="E1391" i="48" s="1"/>
  <c r="T1329" i="48"/>
  <c r="R1330" i="48"/>
  <c r="N2112" i="48"/>
  <c r="N2117" i="48" s="1"/>
  <c r="J1865" i="48"/>
  <c r="T1770" i="48"/>
  <c r="R1771" i="48"/>
  <c r="R1688" i="48"/>
  <c r="T1687" i="48"/>
  <c r="M1720" i="48"/>
  <c r="H1720" i="48"/>
  <c r="M1816" i="48"/>
  <c r="H1816" i="48"/>
  <c r="N1816" i="48" s="1"/>
  <c r="M3062" i="48"/>
  <c r="H3062" i="48"/>
  <c r="N3062" i="48" s="1"/>
  <c r="N1574" i="48"/>
  <c r="J1575" i="48"/>
  <c r="L1575" i="48"/>
  <c r="H1575" i="48"/>
  <c r="N1677" i="48"/>
  <c r="N1407" i="48"/>
  <c r="T1645" i="48"/>
  <c r="R1646" i="48"/>
  <c r="R1559" i="48"/>
  <c r="T1558" i="48"/>
  <c r="E1589" i="48" s="1"/>
  <c r="J1589" i="48" s="1"/>
  <c r="N1589" i="48" s="1"/>
  <c r="T1426" i="48"/>
  <c r="E1457" i="48" s="1"/>
  <c r="J1457" i="48" s="1"/>
  <c r="N1457" i="48" s="1"/>
  <c r="R1428" i="48"/>
  <c r="R1427" i="48"/>
  <c r="T1427" i="48" s="1"/>
  <c r="E1458" i="48" s="1"/>
  <c r="L1564" i="48"/>
  <c r="N1436" i="48"/>
  <c r="T1368" i="48"/>
  <c r="E1399" i="48" s="1"/>
  <c r="J1399" i="48" s="1"/>
  <c r="N1399" i="48" s="1"/>
  <c r="R1369" i="48"/>
  <c r="T1369" i="48" s="1"/>
  <c r="E1400" i="48" s="1"/>
  <c r="R1370" i="48"/>
  <c r="T1466" i="48"/>
  <c r="R1467" i="48"/>
  <c r="R1468" i="48" s="1"/>
  <c r="N1048" i="48"/>
  <c r="J1057" i="48"/>
  <c r="J1061" i="48" s="1"/>
  <c r="L1057" i="48"/>
  <c r="L1061" i="48" s="1"/>
  <c r="H1057" i="48"/>
  <c r="J845" i="48"/>
  <c r="J846" i="48" s="1"/>
  <c r="L845" i="48"/>
  <c r="L846" i="48" s="1"/>
  <c r="H845" i="48"/>
  <c r="H846" i="48" s="1"/>
  <c r="H1273" i="48"/>
  <c r="N1272" i="48"/>
  <c r="N1273" i="48" s="1"/>
  <c r="J1146" i="48"/>
  <c r="N1146" i="48" s="1"/>
  <c r="E1162" i="48"/>
  <c r="J1162" i="48" s="1"/>
  <c r="N1162" i="48" s="1"/>
  <c r="N965" i="48"/>
  <c r="K967" i="48"/>
  <c r="J968" i="48"/>
  <c r="N844" i="48"/>
  <c r="N670" i="48"/>
  <c r="H1268" i="48"/>
  <c r="N1267" i="48"/>
  <c r="L1049" i="48"/>
  <c r="L1053" i="48" s="1"/>
  <c r="H1049" i="48"/>
  <c r="J1049" i="48"/>
  <c r="J1053" i="48" s="1"/>
  <c r="N914" i="48"/>
  <c r="N891" i="48"/>
  <c r="J894" i="48"/>
  <c r="G893" i="48"/>
  <c r="N832" i="48"/>
  <c r="J809" i="48"/>
  <c r="N805" i="48"/>
  <c r="N809" i="48" s="1"/>
  <c r="N728" i="48"/>
  <c r="G729" i="48"/>
  <c r="N661" i="48"/>
  <c r="J667" i="48"/>
  <c r="N542" i="48"/>
  <c r="J544" i="48"/>
  <c r="N487" i="48"/>
  <c r="L490" i="48"/>
  <c r="N264" i="48"/>
  <c r="J266" i="48"/>
  <c r="G265" i="48"/>
  <c r="T216" i="48"/>
  <c r="R217" i="48"/>
  <c r="N32" i="48"/>
  <c r="N1027" i="48"/>
  <c r="G1028" i="48"/>
  <c r="J1001" i="48"/>
  <c r="J1005" i="48" s="1"/>
  <c r="L1001" i="48"/>
  <c r="L1005" i="48" s="1"/>
  <c r="H1001" i="48"/>
  <c r="G980" i="48"/>
  <c r="N979" i="48"/>
  <c r="J1025" i="48"/>
  <c r="J1029" i="48" s="1"/>
  <c r="L1025" i="48"/>
  <c r="L1029" i="48" s="1"/>
  <c r="H1025" i="48"/>
  <c r="J1065" i="48"/>
  <c r="J1069" i="48" s="1"/>
  <c r="L1065" i="48"/>
  <c r="L1069" i="48" s="1"/>
  <c r="H1065" i="48"/>
  <c r="N637" i="48"/>
  <c r="L355" i="48"/>
  <c r="N354" i="48"/>
  <c r="N355" i="48" s="1"/>
  <c r="H337" i="48"/>
  <c r="N336" i="48"/>
  <c r="N337" i="48" s="1"/>
  <c r="G316" i="48"/>
  <c r="N313" i="48"/>
  <c r="J317" i="48"/>
  <c r="N238" i="48"/>
  <c r="J243" i="48"/>
  <c r="L213" i="48"/>
  <c r="R203" i="48"/>
  <c r="T202" i="48"/>
  <c r="M2351" i="48"/>
  <c r="H2351" i="48"/>
  <c r="M2367" i="48"/>
  <c r="H2367" i="48"/>
  <c r="N2367" i="48" s="1"/>
  <c r="N2372" i="48" s="1"/>
  <c r="M2415" i="48"/>
  <c r="H2415" i="48"/>
  <c r="N2415" i="48" s="1"/>
  <c r="L156" i="48"/>
  <c r="N155" i="48"/>
  <c r="N156" i="48" s="1"/>
  <c r="N568" i="48"/>
  <c r="N348" i="48"/>
  <c r="H3238" i="48"/>
  <c r="N133" i="48"/>
  <c r="N134" i="48" s="1"/>
  <c r="N79" i="48"/>
  <c r="N80" i="48" s="1"/>
  <c r="H80" i="48"/>
  <c r="H74" i="48"/>
  <c r="N73" i="48"/>
  <c r="N74" i="48" s="1"/>
  <c r="L21" i="48"/>
  <c r="H86" i="48"/>
  <c r="N85" i="48"/>
  <c r="N86" i="48" s="1"/>
  <c r="N597" i="48"/>
  <c r="H599" i="48"/>
  <c r="N251" i="48"/>
  <c r="N252" i="48" s="1"/>
  <c r="J779" i="48"/>
  <c r="N779" i="48" s="1"/>
  <c r="M779" i="48"/>
  <c r="K619" i="48"/>
  <c r="N617" i="48"/>
  <c r="J568" i="48"/>
  <c r="I3294" i="48" s="1"/>
  <c r="J3294" i="48" s="1"/>
  <c r="J3297" i="48" s="1"/>
  <c r="N472" i="48"/>
  <c r="M217" i="48"/>
  <c r="J3784" i="48"/>
  <c r="K3783" i="48"/>
  <c r="N3777" i="48"/>
  <c r="N4009" i="48"/>
  <c r="J3774" i="48"/>
  <c r="N3767" i="48"/>
  <c r="K3773" i="48"/>
  <c r="G3671" i="48"/>
  <c r="J3529" i="48"/>
  <c r="N3522" i="48"/>
  <c r="K3527" i="48"/>
  <c r="N3121" i="48"/>
  <c r="H3127" i="48"/>
  <c r="N3471" i="48"/>
  <c r="N3346" i="48"/>
  <c r="J3354" i="48"/>
  <c r="K3352" i="48"/>
  <c r="R3084" i="48"/>
  <c r="T3083" i="48"/>
  <c r="L3066" i="48"/>
  <c r="N3066" i="48" s="1"/>
  <c r="M3066" i="48"/>
  <c r="N2880" i="48"/>
  <c r="H2977" i="48"/>
  <c r="N2867" i="48"/>
  <c r="H2970" i="48"/>
  <c r="N2816" i="48"/>
  <c r="H2825" i="48"/>
  <c r="N2809" i="48"/>
  <c r="N2687" i="48"/>
  <c r="T2796" i="48"/>
  <c r="R2797" i="48"/>
  <c r="T2706" i="48"/>
  <c r="R2707" i="48"/>
  <c r="J2708" i="48"/>
  <c r="K2707" i="48"/>
  <c r="N2701" i="48"/>
  <c r="T2661" i="48"/>
  <c r="E2692" i="48" s="1"/>
  <c r="R2662" i="48"/>
  <c r="T2662" i="48" s="1"/>
  <c r="E2693" i="48" s="1"/>
  <c r="T2644" i="48"/>
  <c r="R2645" i="48"/>
  <c r="N2504" i="48"/>
  <c r="H2508" i="48"/>
  <c r="N2491" i="48"/>
  <c r="J2494" i="48"/>
  <c r="I3086" i="48" s="1"/>
  <c r="J3086" i="48" s="1"/>
  <c r="K2493" i="48"/>
  <c r="R2722" i="48"/>
  <c r="T2720" i="48"/>
  <c r="N2590" i="48"/>
  <c r="R2517" i="48"/>
  <c r="T2516" i="48"/>
  <c r="R2411" i="48"/>
  <c r="T2410" i="48"/>
  <c r="R2634" i="48"/>
  <c r="T2633" i="48"/>
  <c r="N2298" i="48"/>
  <c r="H2204" i="48"/>
  <c r="R2585" i="48"/>
  <c r="T2584" i="48"/>
  <c r="J2453" i="48"/>
  <c r="R2253" i="48"/>
  <c r="T2252" i="48"/>
  <c r="R2191" i="48"/>
  <c r="T2190" i="48"/>
  <c r="J2388" i="48"/>
  <c r="R2345" i="48"/>
  <c r="T2344" i="48"/>
  <c r="T2237" i="48"/>
  <c r="R2238" i="48"/>
  <c r="M1935" i="48"/>
  <c r="H1935" i="48"/>
  <c r="N1935" i="48" s="1"/>
  <c r="H2264" i="48"/>
  <c r="M1976" i="48"/>
  <c r="N1827" i="48"/>
  <c r="N1734" i="48"/>
  <c r="J2309" i="48"/>
  <c r="T1923" i="48"/>
  <c r="E1954" i="48" s="1"/>
  <c r="J1954" i="48" s="1"/>
  <c r="R1924" i="48"/>
  <c r="T1912" i="48"/>
  <c r="R1913" i="48"/>
  <c r="J1772" i="48"/>
  <c r="N1770" i="48"/>
  <c r="N1772" i="48" s="1"/>
  <c r="N2219" i="48"/>
  <c r="J2139" i="48"/>
  <c r="N2131" i="48"/>
  <c r="H2095" i="48"/>
  <c r="N2091" i="48"/>
  <c r="N2087" i="48"/>
  <c r="J2095" i="48"/>
  <c r="M1916" i="48"/>
  <c r="H1916" i="48"/>
  <c r="N1916" i="48" s="1"/>
  <c r="N2102" i="48"/>
  <c r="J2029" i="48"/>
  <c r="T1796" i="48"/>
  <c r="R1797" i="48"/>
  <c r="J1587" i="48"/>
  <c r="L1587" i="48"/>
  <c r="H1587" i="48"/>
  <c r="N2084" i="48"/>
  <c r="T1838" i="48"/>
  <c r="R1839" i="48"/>
  <c r="T1827" i="48"/>
  <c r="R1828" i="48"/>
  <c r="H1787" i="48"/>
  <c r="K1846" i="48"/>
  <c r="L1846" i="48" s="1"/>
  <c r="L1854" i="48" s="1"/>
  <c r="K1835" i="48"/>
  <c r="L1835" i="48" s="1"/>
  <c r="L1843" i="48" s="1"/>
  <c r="K1800" i="48"/>
  <c r="L1800" i="48" s="1"/>
  <c r="L1809" i="48" s="1"/>
  <c r="K1857" i="48"/>
  <c r="L1857" i="48" s="1"/>
  <c r="L1865" i="48" s="1"/>
  <c r="K1824" i="48"/>
  <c r="L1824" i="48" s="1"/>
  <c r="L1832" i="48" s="1"/>
  <c r="K1812" i="48"/>
  <c r="L1812" i="48" s="1"/>
  <c r="L1821" i="48" s="1"/>
  <c r="J1732" i="48"/>
  <c r="H1678" i="48"/>
  <c r="M1678" i="48"/>
  <c r="N1669" i="48"/>
  <c r="N1662" i="48"/>
  <c r="N1663" i="48" s="1"/>
  <c r="M1748" i="48"/>
  <c r="H1748" i="48"/>
  <c r="N1748" i="48" s="1"/>
  <c r="M1739" i="48"/>
  <c r="H1739" i="48"/>
  <c r="N1739" i="48" s="1"/>
  <c r="M2304" i="48"/>
  <c r="H2304" i="48"/>
  <c r="N2304" i="48" s="1"/>
  <c r="M2482" i="48"/>
  <c r="H2482" i="48"/>
  <c r="N2482" i="48" s="1"/>
  <c r="N2036" i="48"/>
  <c r="T2002" i="48"/>
  <c r="E2033" i="48" s="1"/>
  <c r="J2033" i="48" s="1"/>
  <c r="N2033" i="48" s="1"/>
  <c r="R2007" i="48"/>
  <c r="R1988" i="48"/>
  <c r="T1987" i="48"/>
  <c r="M1712" i="48"/>
  <c r="H1712" i="48"/>
  <c r="N1712" i="48" s="1"/>
  <c r="N1476" i="48"/>
  <c r="T1320" i="48"/>
  <c r="E1351" i="48" s="1"/>
  <c r="J1351" i="48" s="1"/>
  <c r="R1321" i="48"/>
  <c r="T1955" i="48"/>
  <c r="R1956" i="48"/>
  <c r="K1922" i="48"/>
  <c r="L1922" i="48" s="1"/>
  <c r="L1929" i="48" s="1"/>
  <c r="K1912" i="48"/>
  <c r="L1912" i="48" s="1"/>
  <c r="L1919" i="48" s="1"/>
  <c r="K1890" i="48"/>
  <c r="L1890" i="48" s="1"/>
  <c r="L1898" i="48" s="1"/>
  <c r="K1878" i="48"/>
  <c r="L1878" i="48" s="1"/>
  <c r="L1887" i="48" s="1"/>
  <c r="K1942" i="48"/>
  <c r="L1942" i="48" s="1"/>
  <c r="L1949" i="48" s="1"/>
  <c r="K1932" i="48"/>
  <c r="L1932" i="48" s="1"/>
  <c r="L1939" i="48" s="1"/>
  <c r="K1901" i="48"/>
  <c r="L1901" i="48" s="1"/>
  <c r="L1909" i="48" s="1"/>
  <c r="H1777" i="48"/>
  <c r="L1723" i="48"/>
  <c r="M1747" i="48"/>
  <c r="H1747" i="48"/>
  <c r="M1738" i="48"/>
  <c r="H1738" i="48"/>
  <c r="N1738" i="48" s="1"/>
  <c r="M3024" i="48"/>
  <c r="H3024" i="48"/>
  <c r="N3024" i="48" s="1"/>
  <c r="N1563" i="48"/>
  <c r="T1543" i="48"/>
  <c r="R1545" i="48"/>
  <c r="R1379" i="48"/>
  <c r="T1377" i="48"/>
  <c r="E1408" i="48" s="1"/>
  <c r="J1408" i="48" s="1"/>
  <c r="N1408" i="48" s="1"/>
  <c r="R1378" i="48"/>
  <c r="T1378" i="48" s="1"/>
  <c r="E1409" i="48" s="1"/>
  <c r="T1705" i="48"/>
  <c r="R1706" i="48"/>
  <c r="H1663" i="48"/>
  <c r="N1586" i="48"/>
  <c r="N1466" i="48"/>
  <c r="N1456" i="48"/>
  <c r="R1535" i="48"/>
  <c r="T1534" i="48"/>
  <c r="E1565" i="48" s="1"/>
  <c r="N1485" i="48"/>
  <c r="T1446" i="48"/>
  <c r="R1448" i="48"/>
  <c r="R1447" i="48"/>
  <c r="T1447" i="48" s="1"/>
  <c r="E1478" i="48" s="1"/>
  <c r="R1408" i="48"/>
  <c r="R1407" i="48"/>
  <c r="T1407" i="48" s="1"/>
  <c r="E1438" i="48" s="1"/>
  <c r="T1406" i="48"/>
  <c r="E1437" i="48" s="1"/>
  <c r="J1437" i="48" s="1"/>
  <c r="N1437" i="48" s="1"/>
  <c r="N1398" i="48"/>
  <c r="M1017" i="48"/>
  <c r="R1715" i="48"/>
  <c r="T1714" i="48"/>
  <c r="N1320" i="48"/>
  <c r="N1113" i="48"/>
  <c r="N1115" i="48" s="1"/>
  <c r="J1115" i="48"/>
  <c r="H752" i="48"/>
  <c r="G1139" i="48" s="1"/>
  <c r="N748" i="48"/>
  <c r="J630" i="48"/>
  <c r="N629" i="48"/>
  <c r="L1316" i="48"/>
  <c r="H1316" i="48"/>
  <c r="J1316" i="48"/>
  <c r="K947" i="48"/>
  <c r="N648" i="48"/>
  <c r="L433" i="48"/>
  <c r="N432" i="48"/>
  <c r="N433" i="48" s="1"/>
  <c r="L397" i="48"/>
  <c r="N396" i="48"/>
  <c r="N397" i="48" s="1"/>
  <c r="L150" i="48"/>
  <c r="N149" i="48"/>
  <c r="N150" i="48" s="1"/>
  <c r="H47" i="48"/>
  <c r="N46" i="48"/>
  <c r="N47" i="48" s="1"/>
  <c r="N1321" i="48"/>
  <c r="G1004" i="48"/>
  <c r="N1003" i="48"/>
  <c r="L977" i="48"/>
  <c r="L981" i="48" s="1"/>
  <c r="H977" i="48"/>
  <c r="J977" i="48"/>
  <c r="J981" i="48" s="1"/>
  <c r="N744" i="48"/>
  <c r="J746" i="48"/>
  <c r="I1123" i="48" s="1"/>
  <c r="J1123" i="48" s="1"/>
  <c r="J604" i="48"/>
  <c r="J606" i="48" s="1"/>
  <c r="H604" i="48"/>
  <c r="L604" i="48"/>
  <c r="N531" i="48"/>
  <c r="L536" i="48"/>
  <c r="N515" i="48"/>
  <c r="L520" i="48"/>
  <c r="N486" i="48"/>
  <c r="H490" i="48"/>
  <c r="N435" i="48"/>
  <c r="N436" i="48" s="1"/>
  <c r="L436" i="48"/>
  <c r="N411" i="48"/>
  <c r="N412" i="48" s="1"/>
  <c r="L412" i="48"/>
  <c r="N387" i="48"/>
  <c r="N388" i="48" s="1"/>
  <c r="L388" i="48"/>
  <c r="N363" i="48"/>
  <c r="N364" i="48" s="1"/>
  <c r="L364" i="48"/>
  <c r="N339" i="48"/>
  <c r="L340" i="48"/>
  <c r="N340" i="48" s="1"/>
  <c r="N304" i="48"/>
  <c r="N305" i="48" s="1"/>
  <c r="H305" i="48"/>
  <c r="N280" i="48"/>
  <c r="N281" i="48" s="1"/>
  <c r="H281" i="48"/>
  <c r="N260" i="48"/>
  <c r="J262" i="48"/>
  <c r="G261" i="48"/>
  <c r="N246" i="48"/>
  <c r="H249" i="48"/>
  <c r="N225" i="48"/>
  <c r="N226" i="48" s="1"/>
  <c r="H226" i="48"/>
  <c r="J220" i="48"/>
  <c r="G219" i="48"/>
  <c r="N216" i="48"/>
  <c r="N126" i="48"/>
  <c r="N127" i="48" s="1"/>
  <c r="H127" i="48"/>
  <c r="N100" i="48"/>
  <c r="N101" i="48" s="1"/>
  <c r="H101" i="48"/>
  <c r="G1044" i="48"/>
  <c r="N1043" i="48"/>
  <c r="L985" i="48"/>
  <c r="L989" i="48" s="1"/>
  <c r="H985" i="48"/>
  <c r="J985" i="48"/>
  <c r="J989" i="48" s="1"/>
  <c r="G1036" i="48"/>
  <c r="N1035" i="48"/>
  <c r="N987" i="48"/>
  <c r="G988" i="48"/>
  <c r="L1009" i="48"/>
  <c r="L1013" i="48" s="1"/>
  <c r="H1009" i="48"/>
  <c r="J1009" i="48"/>
  <c r="J1013" i="48" s="1"/>
  <c r="L367" i="48"/>
  <c r="N366" i="48"/>
  <c r="N367" i="48" s="1"/>
  <c r="G321" i="48"/>
  <c r="N319" i="48"/>
  <c r="J322" i="48"/>
  <c r="J296" i="48"/>
  <c r="N295" i="48"/>
  <c r="N296" i="48" s="1"/>
  <c r="H258" i="48"/>
  <c r="N257" i="48"/>
  <c r="N258" i="48" s="1"/>
  <c r="H223" i="48"/>
  <c r="N222" i="48"/>
  <c r="N223" i="48" s="1"/>
  <c r="N210" i="48"/>
  <c r="J206" i="48"/>
  <c r="N202" i="48"/>
  <c r="G205" i="48"/>
  <c r="H205" i="48" s="1"/>
  <c r="J200" i="48"/>
  <c r="N196" i="48"/>
  <c r="H2383" i="48"/>
  <c r="N2383" i="48" s="1"/>
  <c r="M2383" i="48"/>
  <c r="M2464" i="48"/>
  <c r="H2464" i="48"/>
  <c r="N2464" i="48" s="1"/>
  <c r="M2481" i="48"/>
  <c r="H2481" i="48"/>
  <c r="N2481" i="48" s="1"/>
  <c r="N112" i="48"/>
  <c r="N110" i="48"/>
  <c r="N67" i="48"/>
  <c r="N68" i="48" s="1"/>
  <c r="H68" i="48"/>
  <c r="J42" i="48"/>
  <c r="N360" i="48"/>
  <c r="N361" i="48" s="1"/>
  <c r="N113" i="48"/>
  <c r="N372" i="48"/>
  <c r="N373" i="48" s="1"/>
  <c r="N170" i="48"/>
  <c r="N172" i="48" s="1"/>
  <c r="L121" i="48"/>
  <c r="J611" i="48"/>
  <c r="J613" i="48" s="1"/>
  <c r="H611" i="48"/>
  <c r="L611" i="48"/>
  <c r="K585" i="48"/>
  <c r="N82" i="48"/>
  <c r="N83" i="48" s="1"/>
  <c r="H83" i="48"/>
  <c r="H3802" i="48"/>
  <c r="N3801" i="48"/>
  <c r="G3831" i="48"/>
  <c r="N3827" i="48"/>
  <c r="N3798" i="48"/>
  <c r="J3802" i="48"/>
  <c r="L4009" i="48"/>
  <c r="M3837" i="48"/>
  <c r="L3837" i="48"/>
  <c r="N3812" i="48"/>
  <c r="N3735" i="48"/>
  <c r="N3700" i="48"/>
  <c r="N3592" i="48"/>
  <c r="K3556" i="48"/>
  <c r="N3553" i="48"/>
  <c r="N3549" i="48"/>
  <c r="J3672" i="48"/>
  <c r="N3587" i="48"/>
  <c r="J3590" i="48"/>
  <c r="N3610" i="48"/>
  <c r="H3612" i="48"/>
  <c r="N3581" i="48"/>
  <c r="J3584" i="48"/>
  <c r="J3572" i="48"/>
  <c r="N3569" i="48"/>
  <c r="N3495" i="48"/>
  <c r="N3693" i="48"/>
  <c r="N3580" i="48"/>
  <c r="G3583" i="48"/>
  <c r="N3474" i="48"/>
  <c r="K3478" i="48"/>
  <c r="J3480" i="48"/>
  <c r="N3412" i="48"/>
  <c r="J3330" i="48"/>
  <c r="N3415" i="48"/>
  <c r="J3424" i="48"/>
  <c r="K3422" i="48"/>
  <c r="N3129" i="48"/>
  <c r="N3074" i="48"/>
  <c r="H3304" i="48"/>
  <c r="G3215" i="48"/>
  <c r="G3207" i="48"/>
  <c r="G3199" i="48"/>
  <c r="G3191" i="48"/>
  <c r="G3183" i="48"/>
  <c r="G3175" i="48"/>
  <c r="G3167" i="48"/>
  <c r="K3372" i="48"/>
  <c r="N3369" i="48"/>
  <c r="J3374" i="48"/>
  <c r="N3386" i="48"/>
  <c r="N3105" i="48"/>
  <c r="K3107" i="48"/>
  <c r="J2970" i="48"/>
  <c r="N2963" i="48"/>
  <c r="N2970" i="48" s="1"/>
  <c r="T2852" i="48"/>
  <c r="E2883" i="48" s="1"/>
  <c r="J2883" i="48" s="1"/>
  <c r="R2853" i="48"/>
  <c r="N2802" i="48"/>
  <c r="N2652" i="48"/>
  <c r="N2818" i="48"/>
  <c r="J2825" i="48"/>
  <c r="K2824" i="48"/>
  <c r="N2778" i="48"/>
  <c r="N2725" i="48"/>
  <c r="H2734" i="48"/>
  <c r="K2760" i="48"/>
  <c r="H2708" i="48"/>
  <c r="N2627" i="48"/>
  <c r="H2550" i="48"/>
  <c r="N2546" i="48"/>
  <c r="N2550" i="48" s="1"/>
  <c r="T2608" i="48"/>
  <c r="R2610" i="48"/>
  <c r="T2610" i="48" s="1"/>
  <c r="R2609" i="48"/>
  <c r="N2490" i="48"/>
  <c r="H2494" i="48"/>
  <c r="G3086" i="48" s="1"/>
  <c r="T2810" i="48"/>
  <c r="R2811" i="48"/>
  <c r="N2477" i="48"/>
  <c r="J2487" i="48"/>
  <c r="T2622" i="48"/>
  <c r="R2623" i="48"/>
  <c r="R2426" i="48"/>
  <c r="T2425" i="48"/>
  <c r="N2376" i="48"/>
  <c r="N2313" i="48"/>
  <c r="T2443" i="48"/>
  <c r="R2444" i="48"/>
  <c r="N2408" i="48"/>
  <c r="T2572" i="48"/>
  <c r="R2573" i="48"/>
  <c r="N2573" i="48"/>
  <c r="R2297" i="48"/>
  <c r="T2296" i="48"/>
  <c r="H2279" i="48"/>
  <c r="T2281" i="48"/>
  <c r="R2282" i="48"/>
  <c r="J1759" i="48"/>
  <c r="N1754" i="48"/>
  <c r="H2249" i="48"/>
  <c r="N2142" i="48"/>
  <c r="N2150" i="48" s="1"/>
  <c r="J2150" i="48"/>
  <c r="H2128" i="48"/>
  <c r="N2123" i="48"/>
  <c r="J2340" i="48"/>
  <c r="T2122" i="48"/>
  <c r="R2123" i="48"/>
  <c r="H2084" i="48"/>
  <c r="T2046" i="48"/>
  <c r="R2047" i="48"/>
  <c r="M1757" i="48"/>
  <c r="H1757" i="48"/>
  <c r="N1757" i="48" s="1"/>
  <c r="Q2016" i="48"/>
  <c r="Q2011" i="48"/>
  <c r="Q2013" i="48" s="1"/>
  <c r="R1972" i="48"/>
  <c r="T1971" i="48"/>
  <c r="E2002" i="48" s="1"/>
  <c r="J2002" i="48" s="1"/>
  <c r="T1871" i="48"/>
  <c r="R1872" i="48"/>
  <c r="H1706" i="48"/>
  <c r="N1700" i="48"/>
  <c r="M1872" i="48"/>
  <c r="H1872" i="48"/>
  <c r="N1872" i="48" s="1"/>
  <c r="M1794" i="48"/>
  <c r="H1794" i="48"/>
  <c r="N1794" i="48" s="1"/>
  <c r="M2319" i="48"/>
  <c r="H2319" i="48"/>
  <c r="N2319" i="48" s="1"/>
  <c r="T1521" i="48"/>
  <c r="R1523" i="48"/>
  <c r="R1522" i="48"/>
  <c r="T1522" i="48" s="1"/>
  <c r="N2037" i="48"/>
  <c r="N2032" i="48"/>
  <c r="T1892" i="48"/>
  <c r="R1893" i="48"/>
  <c r="I1942" i="48"/>
  <c r="J1942" i="48" s="1"/>
  <c r="J1949" i="48" s="1"/>
  <c r="I1932" i="48"/>
  <c r="J1932" i="48" s="1"/>
  <c r="J1939" i="48" s="1"/>
  <c r="I1901" i="48"/>
  <c r="J1901" i="48" s="1"/>
  <c r="J1909" i="48" s="1"/>
  <c r="I1922" i="48"/>
  <c r="J1922" i="48" s="1"/>
  <c r="J1929" i="48" s="1"/>
  <c r="I1912" i="48"/>
  <c r="J1912" i="48" s="1"/>
  <c r="J1919" i="48" s="1"/>
  <c r="I1890" i="48"/>
  <c r="J1890" i="48" s="1"/>
  <c r="J1898" i="48" s="1"/>
  <c r="I1878" i="48"/>
  <c r="J1878" i="48" s="1"/>
  <c r="J1887" i="48" s="1"/>
  <c r="R1761" i="48"/>
  <c r="T1760" i="48"/>
  <c r="T1723" i="48"/>
  <c r="R1724" i="48"/>
  <c r="L1714" i="48"/>
  <c r="M3759" i="48"/>
  <c r="H3759" i="48"/>
  <c r="N3759" i="48" s="1"/>
  <c r="H2150" i="48"/>
  <c r="T2112" i="48"/>
  <c r="R2113" i="48"/>
  <c r="T1816" i="48"/>
  <c r="R1817" i="48"/>
  <c r="J1875" i="48"/>
  <c r="N1777" i="48"/>
  <c r="J1767" i="48"/>
  <c r="L1750" i="48"/>
  <c r="L1741" i="48"/>
  <c r="M1882" i="48"/>
  <c r="H1882" i="48"/>
  <c r="N1882" i="48" s="1"/>
  <c r="M1804" i="48"/>
  <c r="H1804" i="48"/>
  <c r="N1804" i="48" s="1"/>
  <c r="M3081" i="48"/>
  <c r="H3081" i="48"/>
  <c r="N3081" i="48" s="1"/>
  <c r="N1541" i="48"/>
  <c r="R1474" i="48"/>
  <c r="T1474" i="48" s="1"/>
  <c r="E1505" i="48" s="1"/>
  <c r="R1475" i="48"/>
  <c r="T1473" i="48"/>
  <c r="E1504" i="48" s="1"/>
  <c r="J1504" i="48" s="1"/>
  <c r="R1398" i="48"/>
  <c r="R1399" i="48" s="1"/>
  <c r="R1397" i="48"/>
  <c r="T1397" i="48" s="1"/>
  <c r="E1428" i="48" s="1"/>
  <c r="T1396" i="48"/>
  <c r="E1427" i="48" s="1"/>
  <c r="J1427" i="48" s="1"/>
  <c r="T1352" i="48"/>
  <c r="R1353" i="48"/>
  <c r="J1542" i="48"/>
  <c r="L1542" i="48"/>
  <c r="H1542" i="48"/>
  <c r="N1512" i="48"/>
  <c r="R1438" i="48"/>
  <c r="R1437" i="48"/>
  <c r="T1437" i="48" s="1"/>
  <c r="E1468" i="48" s="1"/>
  <c r="T1436" i="48"/>
  <c r="E1467" i="48" s="1"/>
  <c r="J1467" i="48" s="1"/>
  <c r="N1467" i="48" s="1"/>
  <c r="T1416" i="48"/>
  <c r="E1447" i="48" s="1"/>
  <c r="J1447" i="48" s="1"/>
  <c r="N1447" i="48" s="1"/>
  <c r="R1418" i="48"/>
  <c r="R1417" i="48"/>
  <c r="T1417" i="48" s="1"/>
  <c r="E1448" i="48" s="1"/>
  <c r="N1371" i="48"/>
  <c r="R1672" i="48"/>
  <c r="T1671" i="48"/>
  <c r="T1455" i="48"/>
  <c r="E1486" i="48" s="1"/>
  <c r="J1486" i="48" s="1"/>
  <c r="N1486" i="48" s="1"/>
  <c r="R1457" i="48"/>
  <c r="R1456" i="48"/>
  <c r="T1456" i="48" s="1"/>
  <c r="E1487" i="48" s="1"/>
  <c r="L1531" i="48"/>
  <c r="H1531" i="48"/>
  <c r="J1531" i="48"/>
  <c r="J993" i="48"/>
  <c r="J997" i="48" s="1"/>
  <c r="L993" i="48"/>
  <c r="L997" i="48" s="1"/>
  <c r="H993" i="48"/>
  <c r="N595" i="48"/>
  <c r="J599" i="48"/>
  <c r="L1315" i="48"/>
  <c r="H1315" i="48"/>
  <c r="J1315" i="48"/>
  <c r="J948" i="48"/>
  <c r="N915" i="48"/>
  <c r="J918" i="48"/>
  <c r="G917" i="48"/>
  <c r="N799" i="48"/>
  <c r="L802" i="48"/>
  <c r="H645" i="48"/>
  <c r="N638" i="48"/>
  <c r="R1293" i="48"/>
  <c r="R1292" i="48"/>
  <c r="T1292" i="48" s="1"/>
  <c r="E1323" i="48" s="1"/>
  <c r="T1291" i="48"/>
  <c r="E1322" i="48" s="1"/>
  <c r="J1322" i="48" s="1"/>
  <c r="N1322" i="48" s="1"/>
  <c r="N984" i="48"/>
  <c r="N935" i="48"/>
  <c r="J938" i="48"/>
  <c r="K937" i="48"/>
  <c r="N742" i="48"/>
  <c r="H746" i="48"/>
  <c r="G1123" i="48" s="1"/>
  <c r="H552" i="48"/>
  <c r="N546" i="48"/>
  <c r="N534" i="48"/>
  <c r="J536" i="48"/>
  <c r="N530" i="48"/>
  <c r="H536" i="48"/>
  <c r="N514" i="48"/>
  <c r="H520" i="48"/>
  <c r="N489" i="48"/>
  <c r="J490" i="48"/>
  <c r="N459" i="48"/>
  <c r="N460" i="48" s="1"/>
  <c r="L460" i="48"/>
  <c r="N245" i="48"/>
  <c r="J249" i="48"/>
  <c r="J35" i="48"/>
  <c r="N30" i="48"/>
  <c r="G1012" i="48"/>
  <c r="N1011" i="48"/>
  <c r="N1051" i="48"/>
  <c r="G1052" i="48"/>
  <c r="G1020" i="48"/>
  <c r="N1019" i="48"/>
  <c r="L1041" i="48"/>
  <c r="L1045" i="48" s="1"/>
  <c r="H1041" i="48"/>
  <c r="J1041" i="48"/>
  <c r="J1045" i="48" s="1"/>
  <c r="N823" i="48"/>
  <c r="L379" i="48"/>
  <c r="N378" i="48"/>
  <c r="N379" i="48" s="1"/>
  <c r="J331" i="48"/>
  <c r="N330" i="48"/>
  <c r="N331" i="48" s="1"/>
  <c r="J308" i="48"/>
  <c r="N307" i="48"/>
  <c r="N308" i="48" s="1"/>
  <c r="H290" i="48"/>
  <c r="N289" i="48"/>
  <c r="N290" i="48" s="1"/>
  <c r="N217" i="48"/>
  <c r="H2431" i="48"/>
  <c r="N2431" i="48" s="1"/>
  <c r="M2431" i="48"/>
  <c r="M2399" i="48"/>
  <c r="H2399" i="48"/>
  <c r="N2399" i="48" s="1"/>
  <c r="L180" i="48"/>
  <c r="N178" i="48"/>
  <c r="N180" i="48" s="1"/>
  <c r="L144" i="48"/>
  <c r="N143" i="48"/>
  <c r="N144" i="48" s="1"/>
  <c r="K3280" i="48"/>
  <c r="L3280" i="48" s="1"/>
  <c r="K3272" i="48"/>
  <c r="L3272" i="48" s="1"/>
  <c r="K3264" i="48"/>
  <c r="L3264" i="48" s="1"/>
  <c r="K3288" i="48"/>
  <c r="L3288" i="48" s="1"/>
  <c r="K3240" i="48"/>
  <c r="L3240" i="48" s="1"/>
  <c r="K3248" i="48"/>
  <c r="L3248" i="48" s="1"/>
  <c r="K3256" i="48"/>
  <c r="L3256" i="48" s="1"/>
  <c r="H52" i="48"/>
  <c r="G780" i="48" s="1"/>
  <c r="N51" i="48"/>
  <c r="N52" i="48" s="1"/>
  <c r="N116" i="48"/>
  <c r="N76" i="48"/>
  <c r="N77" i="48" s="1"/>
  <c r="H77" i="48"/>
  <c r="N186" i="48"/>
  <c r="N188" i="48" s="1"/>
  <c r="N106" i="48"/>
  <c r="N107" i="48" s="1"/>
  <c r="L168" i="48"/>
  <c r="N119" i="48"/>
  <c r="N610" i="48"/>
  <c r="K612" i="48"/>
  <c r="J586" i="48"/>
  <c r="N283" i="48"/>
  <c r="N284" i="48" s="1"/>
  <c r="N228" i="48"/>
  <c r="N229" i="48" s="1"/>
  <c r="N3795" i="48"/>
  <c r="H3796" i="48"/>
  <c r="N3760" i="48"/>
  <c r="L4027" i="48"/>
  <c r="N4024" i="48"/>
  <c r="N4027" i="48" s="1"/>
  <c r="K3966" i="48"/>
  <c r="L3901" i="48"/>
  <c r="N3897" i="48"/>
  <c r="N3901" i="48" s="1"/>
  <c r="N3909" i="48"/>
  <c r="N3913" i="48" s="1"/>
  <c r="L3913" i="48"/>
  <c r="N3792" i="48"/>
  <c r="J3796" i="48"/>
  <c r="J3558" i="48"/>
  <c r="N3552" i="48"/>
  <c r="N3670" i="48"/>
  <c r="M3503" i="48"/>
  <c r="H3503" i="48"/>
  <c r="N3503" i="48" s="1"/>
  <c r="K3830" i="48"/>
  <c r="N3828" i="48"/>
  <c r="J3832" i="48"/>
  <c r="K3515" i="48"/>
  <c r="N3509" i="48"/>
  <c r="J3517" i="48"/>
  <c r="N3521" i="48"/>
  <c r="N3498" i="48"/>
  <c r="J3504" i="48"/>
  <c r="K3502" i="48"/>
  <c r="N3385" i="48"/>
  <c r="G3391" i="48"/>
  <c r="N3368" i="48"/>
  <c r="N3367" i="48"/>
  <c r="G3373" i="48"/>
  <c r="G3140" i="48"/>
  <c r="N3132" i="48"/>
  <c r="J3141" i="48"/>
  <c r="N3073" i="48"/>
  <c r="M3329" i="48"/>
  <c r="N3931" i="48"/>
  <c r="K3844" i="48"/>
  <c r="N3702" i="48"/>
  <c r="J3705" i="48"/>
  <c r="G3704" i="48"/>
  <c r="N3232" i="48"/>
  <c r="N3236" i="48" s="1"/>
  <c r="H3236" i="48"/>
  <c r="J3454" i="48"/>
  <c r="K3082" i="48"/>
  <c r="L3082" i="48" s="1"/>
  <c r="K3044" i="48"/>
  <c r="L3044" i="48" s="1"/>
  <c r="K3063" i="48"/>
  <c r="L3063" i="48" s="1"/>
  <c r="K3025" i="48"/>
  <c r="L3025" i="48" s="1"/>
  <c r="K3028" i="48"/>
  <c r="T2875" i="48"/>
  <c r="R2876" i="48"/>
  <c r="T2904" i="48"/>
  <c r="E2935" i="48" s="1"/>
  <c r="J2935" i="48" s="1"/>
  <c r="R2905" i="48"/>
  <c r="R2915" i="48"/>
  <c r="N2881" i="48"/>
  <c r="T2784" i="48"/>
  <c r="R2785" i="48"/>
  <c r="T2965" i="48"/>
  <c r="R2966" i="48"/>
  <c r="T2966" i="48" s="1"/>
  <c r="N2919" i="48"/>
  <c r="N2750" i="48"/>
  <c r="N2712" i="48"/>
  <c r="T2734" i="48"/>
  <c r="R2736" i="48"/>
  <c r="R2838" i="48"/>
  <c r="T2837" i="48"/>
  <c r="T2748" i="48"/>
  <c r="R2749" i="48"/>
  <c r="T2681" i="48"/>
  <c r="R2682" i="48"/>
  <c r="T2668" i="48"/>
  <c r="R2669" i="48"/>
  <c r="N2614" i="48"/>
  <c r="L2574" i="48"/>
  <c r="L2575" i="48" s="1"/>
  <c r="H2574" i="48"/>
  <c r="J2574" i="48"/>
  <c r="J2575" i="48" s="1"/>
  <c r="T2696" i="48"/>
  <c r="R2697" i="48"/>
  <c r="N2689" i="48"/>
  <c r="R2773" i="48"/>
  <c r="T2772" i="48"/>
  <c r="K2733" i="48"/>
  <c r="R2548" i="48"/>
  <c r="T2547" i="48"/>
  <c r="J2470" i="48"/>
  <c r="N2440" i="48"/>
  <c r="J2420" i="48"/>
  <c r="N2411" i="48"/>
  <c r="R2561" i="48"/>
  <c r="T2560" i="48"/>
  <c r="L2568" i="48"/>
  <c r="L2569" i="48" s="1"/>
  <c r="H2568" i="48"/>
  <c r="J2568" i="48"/>
  <c r="J2569" i="48" s="1"/>
  <c r="J2404" i="48"/>
  <c r="N2395" i="48"/>
  <c r="J2356" i="48"/>
  <c r="N2347" i="48"/>
  <c r="N2328" i="48"/>
  <c r="J2204" i="48"/>
  <c r="N2196" i="48"/>
  <c r="N2204" i="48" s="1"/>
  <c r="Q2291" i="48"/>
  <c r="Q2288" i="48"/>
  <c r="Q2290" i="48" s="1"/>
  <c r="Q2292" i="48" s="1"/>
  <c r="R2393" i="48"/>
  <c r="T2392" i="48"/>
  <c r="R2378" i="48"/>
  <c r="T2377" i="48"/>
  <c r="H2234" i="48"/>
  <c r="M1936" i="48"/>
  <c r="H1936" i="48"/>
  <c r="N1936" i="48" s="1"/>
  <c r="M1893" i="48"/>
  <c r="H1893" i="48"/>
  <c r="N1893" i="48" s="1"/>
  <c r="H1992" i="48"/>
  <c r="N1992" i="48" s="1"/>
  <c r="N1997" i="48" s="1"/>
  <c r="M1992" i="48"/>
  <c r="R2314" i="48"/>
  <c r="T2313" i="48"/>
  <c r="N2249" i="48"/>
  <c r="J2324" i="48"/>
  <c r="J2189" i="48"/>
  <c r="G2188" i="48"/>
  <c r="N2182" i="48"/>
  <c r="N2100" i="48"/>
  <c r="H2106" i="48"/>
  <c r="T2089" i="48"/>
  <c r="R2090" i="48"/>
  <c r="N2051" i="48"/>
  <c r="M2008" i="48"/>
  <c r="M1838" i="48"/>
  <c r="H1838" i="48"/>
  <c r="N1838" i="48" s="1"/>
  <c r="T2022" i="48"/>
  <c r="E2053" i="48" s="1"/>
  <c r="R2023" i="48"/>
  <c r="H1765" i="48"/>
  <c r="N1765" i="48" s="1"/>
  <c r="N1767" i="48" s="1"/>
  <c r="M1765" i="48"/>
  <c r="H2161" i="48"/>
  <c r="T2079" i="48"/>
  <c r="R2080" i="48"/>
  <c r="T1939" i="48"/>
  <c r="E1970" i="48" s="1"/>
  <c r="J1970" i="48" s="1"/>
  <c r="R1940" i="48"/>
  <c r="T1902" i="48"/>
  <c r="R1903" i="48"/>
  <c r="N1782" i="48"/>
  <c r="J1723" i="48"/>
  <c r="N1718" i="48"/>
  <c r="J1714" i="48"/>
  <c r="N1710" i="48"/>
  <c r="J1672" i="48"/>
  <c r="N1667" i="48"/>
  <c r="M2185" i="48"/>
  <c r="H2185" i="48"/>
  <c r="M2171" i="48"/>
  <c r="H2171" i="48"/>
  <c r="N2171" i="48" s="1"/>
  <c r="M2448" i="48"/>
  <c r="H2448" i="48"/>
  <c r="N2448" i="48" s="1"/>
  <c r="R2069" i="48"/>
  <c r="T2068" i="48"/>
  <c r="N1945" i="48"/>
  <c r="M1711" i="48"/>
  <c r="H1711" i="48"/>
  <c r="H3780" i="48"/>
  <c r="M3780" i="48"/>
  <c r="R1493" i="48"/>
  <c r="T1491" i="48"/>
  <c r="E1522" i="48" s="1"/>
  <c r="J1522" i="48" s="1"/>
  <c r="R1492" i="48"/>
  <c r="T1492" i="48" s="1"/>
  <c r="E1523" i="48" s="1"/>
  <c r="R1388" i="48"/>
  <c r="T1386" i="48"/>
  <c r="E1417" i="48" s="1"/>
  <c r="J1417" i="48" s="1"/>
  <c r="R1387" i="48"/>
  <c r="T1387" i="48" s="1"/>
  <c r="E1418" i="48" s="1"/>
  <c r="T2162" i="48"/>
  <c r="R2163" i="48"/>
  <c r="M1729" i="48"/>
  <c r="H1729" i="48"/>
  <c r="M3043" i="48"/>
  <c r="H3043" i="48"/>
  <c r="N3043" i="48" s="1"/>
  <c r="R1637" i="48"/>
  <c r="T1636" i="48"/>
  <c r="J1382" i="48"/>
  <c r="L1382" i="48"/>
  <c r="H1382" i="48"/>
  <c r="T1679" i="48"/>
  <c r="R1680" i="48"/>
  <c r="T1627" i="48"/>
  <c r="R1628" i="48"/>
  <c r="T1512" i="48"/>
  <c r="E1543" i="48" s="1"/>
  <c r="R1513" i="48"/>
  <c r="R1654" i="48"/>
  <c r="T1653" i="48"/>
  <c r="R1484" i="48"/>
  <c r="T1482" i="48"/>
  <c r="E1513" i="48" s="1"/>
  <c r="J1513" i="48" s="1"/>
  <c r="N1513" i="48" s="1"/>
  <c r="R1483" i="48"/>
  <c r="T1483" i="48" s="1"/>
  <c r="E1514" i="48" s="1"/>
  <c r="N1446" i="48"/>
  <c r="R1343" i="48"/>
  <c r="R1342" i="48"/>
  <c r="T1342" i="48" s="1"/>
  <c r="E1373" i="48" s="1"/>
  <c r="T1341" i="48"/>
  <c r="E1372" i="48" s="1"/>
  <c r="J1372" i="48" s="1"/>
  <c r="N1372" i="48" s="1"/>
  <c r="T1662" i="48"/>
  <c r="R1663" i="48"/>
  <c r="R1502" i="48"/>
  <c r="T1501" i="48"/>
  <c r="E1532" i="48" s="1"/>
  <c r="L1496" i="48"/>
  <c r="H1496" i="48"/>
  <c r="J1496" i="48"/>
  <c r="T1278" i="48"/>
  <c r="E1309" i="48" s="1"/>
  <c r="R1279" i="48"/>
  <c r="T1279" i="48" s="1"/>
  <c r="E1310" i="48" s="1"/>
  <c r="N1016" i="48"/>
  <c r="G1068" i="48"/>
  <c r="N1067" i="48"/>
  <c r="J1033" i="48"/>
  <c r="J1037" i="48" s="1"/>
  <c r="L1033" i="48"/>
  <c r="L1037" i="48" s="1"/>
  <c r="H1033" i="48"/>
  <c r="N867" i="48"/>
  <c r="J870" i="48"/>
  <c r="G869" i="48"/>
  <c r="N825" i="48"/>
  <c r="J752" i="48"/>
  <c r="I1139" i="48" s="1"/>
  <c r="J1139" i="48" s="1"/>
  <c r="N750" i="48"/>
  <c r="H630" i="48"/>
  <c r="N627" i="48"/>
  <c r="N866" i="48"/>
  <c r="H809" i="48"/>
  <c r="J797" i="48"/>
  <c r="N794" i="48"/>
  <c r="L445" i="48"/>
  <c r="N444" i="48"/>
  <c r="N445" i="48" s="1"/>
  <c r="L385" i="48"/>
  <c r="N384" i="48"/>
  <c r="N385" i="48" s="1"/>
  <c r="N828" i="48"/>
  <c r="H758" i="48"/>
  <c r="G1155" i="48" s="1"/>
  <c r="N754" i="48"/>
  <c r="N735" i="48"/>
  <c r="G736" i="48"/>
  <c r="J689" i="48"/>
  <c r="I1630" i="48"/>
  <c r="J1630" i="48" s="1"/>
  <c r="I1601" i="48"/>
  <c r="J1601" i="48" s="1"/>
  <c r="I1620" i="48"/>
  <c r="J1620" i="48" s="1"/>
  <c r="I1610" i="48"/>
  <c r="J1610" i="48" s="1"/>
  <c r="K2522" i="48"/>
  <c r="L2522" i="48" s="1"/>
  <c r="L2523" i="48" s="1"/>
  <c r="N447" i="48"/>
  <c r="N448" i="48" s="1"/>
  <c r="L448" i="48"/>
  <c r="N423" i="48"/>
  <c r="N424" i="48" s="1"/>
  <c r="L424" i="48"/>
  <c r="N399" i="48"/>
  <c r="N400" i="48" s="1"/>
  <c r="L400" i="48"/>
  <c r="N375" i="48"/>
  <c r="N376" i="48" s="1"/>
  <c r="L376" i="48"/>
  <c r="N351" i="48"/>
  <c r="L352" i="48"/>
  <c r="N352" i="48" s="1"/>
  <c r="N327" i="48"/>
  <c r="N328" i="48" s="1"/>
  <c r="H328" i="48"/>
  <c r="N292" i="48"/>
  <c r="N293" i="48" s="1"/>
  <c r="H293" i="48"/>
  <c r="T209" i="48"/>
  <c r="R210" i="48"/>
  <c r="N174" i="48"/>
  <c r="N176" i="48" s="1"/>
  <c r="L176" i="48"/>
  <c r="N140" i="48"/>
  <c r="N141" i="48" s="1"/>
  <c r="L141" i="48"/>
  <c r="H114" i="48"/>
  <c r="N1078" i="48"/>
  <c r="N951" i="48"/>
  <c r="J953" i="48"/>
  <c r="G1060" i="48"/>
  <c r="N1059" i="48"/>
  <c r="N995" i="48"/>
  <c r="G996" i="48"/>
  <c r="L1017" i="48"/>
  <c r="L1021" i="48" s="1"/>
  <c r="H1017" i="48"/>
  <c r="J1017" i="48"/>
  <c r="J1021" i="48" s="1"/>
  <c r="N890" i="48"/>
  <c r="H823" i="48"/>
  <c r="H797" i="48"/>
  <c r="N793" i="48"/>
  <c r="J645" i="48"/>
  <c r="L343" i="48"/>
  <c r="N343" i="48" s="1"/>
  <c r="N342" i="48"/>
  <c r="H325" i="48"/>
  <c r="N324" i="48"/>
  <c r="N325" i="48" s="1"/>
  <c r="N314" i="48"/>
  <c r="H302" i="48"/>
  <c r="N301" i="48"/>
  <c r="N302" i="48" s="1"/>
  <c r="H243" i="48"/>
  <c r="N239" i="48"/>
  <c r="N198" i="48"/>
  <c r="H200" i="48"/>
  <c r="M2338" i="48"/>
  <c r="H2338" i="48"/>
  <c r="N2338" i="48" s="1"/>
  <c r="M2447" i="48"/>
  <c r="H2447" i="48"/>
  <c r="N2447" i="48" s="1"/>
  <c r="K598" i="48"/>
  <c r="L220" i="48"/>
  <c r="L164" i="48"/>
  <c r="N120" i="48"/>
  <c r="H57" i="48"/>
  <c r="N56" i="48"/>
  <c r="N57" i="48" s="1"/>
  <c r="N3303" i="48"/>
  <c r="N3304" i="48" s="1"/>
  <c r="L3304" i="48"/>
  <c r="N88" i="48"/>
  <c r="N89" i="48" s="1"/>
  <c r="H89" i="48"/>
  <c r="H62" i="48"/>
  <c r="N61" i="48"/>
  <c r="N62" i="48" s="1"/>
  <c r="N70" i="48"/>
  <c r="N71" i="48" s="1"/>
  <c r="H71" i="48"/>
  <c r="A102" i="48"/>
  <c r="A105" i="48" s="1"/>
  <c r="A108" i="48" s="1"/>
  <c r="A115" i="48" s="1"/>
  <c r="A122" i="48" s="1"/>
  <c r="L618" i="48"/>
  <c r="H618" i="48"/>
  <c r="J618" i="48"/>
  <c r="J620" i="48" s="1"/>
  <c r="AR269" i="46"/>
  <c r="AS269" i="46"/>
  <c r="BT269" i="46" s="1"/>
  <c r="BT270" i="46" s="1"/>
  <c r="BT271" i="46" s="1"/>
  <c r="AR119" i="46"/>
  <c r="AS119" i="46"/>
  <c r="BT119" i="46" s="1"/>
  <c r="BT120" i="46" s="1"/>
  <c r="BT121" i="46" s="1"/>
  <c r="AR254" i="46"/>
  <c r="AS254" i="46"/>
  <c r="BT254" i="46" s="1"/>
  <c r="BT255" i="46" s="1"/>
  <c r="BT256" i="46" s="1"/>
  <c r="AS599" i="46"/>
  <c r="BT599" i="46" s="1"/>
  <c r="BT600" i="46" s="1"/>
  <c r="BT601" i="46" s="1"/>
  <c r="AR599" i="46"/>
  <c r="AS14" i="46"/>
  <c r="BT14" i="46" s="1"/>
  <c r="BT15" i="46" s="1"/>
  <c r="BT16" i="46" s="1"/>
  <c r="AR14" i="46"/>
  <c r="AR329" i="46"/>
  <c r="AS329" i="46"/>
  <c r="BT329" i="46" s="1"/>
  <c r="BT330" i="46" s="1"/>
  <c r="BT331" i="46" s="1"/>
  <c r="AS554" i="46"/>
  <c r="BT554" i="46" s="1"/>
  <c r="BT555" i="46" s="1"/>
  <c r="BT556" i="46" s="1"/>
  <c r="AR554" i="46"/>
  <c r="AS284" i="46"/>
  <c r="BT284" i="46" s="1"/>
  <c r="BT285" i="46" s="1"/>
  <c r="BT286" i="46" s="1"/>
  <c r="AR284" i="46"/>
  <c r="AS629" i="46"/>
  <c r="BT629" i="46" s="1"/>
  <c r="BT630" i="46" s="1"/>
  <c r="BT631" i="46" s="1"/>
  <c r="AR629" i="46"/>
  <c r="AS359" i="46"/>
  <c r="BT359" i="46" s="1"/>
  <c r="BT360" i="46" s="1"/>
  <c r="BT361" i="46" s="1"/>
  <c r="AR359" i="46"/>
  <c r="AR614" i="46"/>
  <c r="AS614" i="46"/>
  <c r="BT614" i="46" s="1"/>
  <c r="BT615" i="46" s="1"/>
  <c r="BT616" i="46" s="1"/>
  <c r="AS809" i="46"/>
  <c r="BT809" i="46" s="1"/>
  <c r="BT810" i="46" s="1"/>
  <c r="BT811" i="46" s="1"/>
  <c r="AR809" i="46"/>
  <c r="AR1034" i="46"/>
  <c r="AS1034" i="46"/>
  <c r="BT1034" i="46" s="1"/>
  <c r="BT1035" i="46" s="1"/>
  <c r="BT1036" i="46" s="1"/>
  <c r="AR1334" i="46"/>
  <c r="AS1334" i="46"/>
  <c r="BT1334" i="46" s="1"/>
  <c r="BT1335" i="46" s="1"/>
  <c r="BT1336" i="46" s="1"/>
  <c r="AS1229" i="46"/>
  <c r="BT1229" i="46" s="1"/>
  <c r="BT1230" i="46" s="1"/>
  <c r="AR1229" i="46"/>
  <c r="AS1004" i="46"/>
  <c r="BT1004" i="46" s="1"/>
  <c r="BT1005" i="46" s="1"/>
  <c r="BT1006" i="46" s="1"/>
  <c r="AR1004" i="46"/>
  <c r="AS1244" i="46"/>
  <c r="BT1244" i="46" s="1"/>
  <c r="BT1245" i="46" s="1"/>
  <c r="BT1246" i="46" s="1"/>
  <c r="AR1244" i="46"/>
  <c r="AS1319" i="46"/>
  <c r="BT1319" i="46" s="1"/>
  <c r="BT1320" i="46" s="1"/>
  <c r="BT1321" i="46" s="1"/>
  <c r="AR1319" i="46"/>
  <c r="AR899" i="46"/>
  <c r="AS899" i="46"/>
  <c r="BT899" i="46" s="1"/>
  <c r="BT900" i="46" s="1"/>
  <c r="BT901" i="46" s="1"/>
  <c r="AS1109" i="46"/>
  <c r="BT1109" i="46" s="1"/>
  <c r="BT1110" i="46" s="1"/>
  <c r="BT1111" i="46" s="1"/>
  <c r="AR1109" i="46"/>
  <c r="AS1394" i="46"/>
  <c r="BT1394" i="46" s="1"/>
  <c r="BT1395" i="46" s="1"/>
  <c r="BT1396" i="46" s="1"/>
  <c r="AR1394" i="46"/>
  <c r="AS44" i="46"/>
  <c r="BT44" i="46" s="1"/>
  <c r="BT45" i="46" s="1"/>
  <c r="BT46" i="46" s="1"/>
  <c r="AR44" i="46"/>
  <c r="AR164" i="46"/>
  <c r="AS164" i="46"/>
  <c r="BT164" i="46" s="1"/>
  <c r="BT165" i="46" s="1"/>
  <c r="BT166" i="46" s="1"/>
  <c r="AS344" i="46"/>
  <c r="BT344" i="46" s="1"/>
  <c r="BT345" i="46" s="1"/>
  <c r="BT346" i="46" s="1"/>
  <c r="AR344" i="46"/>
  <c r="AS734" i="46"/>
  <c r="BT734" i="46" s="1"/>
  <c r="BT735" i="46" s="1"/>
  <c r="BT736" i="46" s="1"/>
  <c r="AR734" i="46"/>
  <c r="AS74" i="46"/>
  <c r="BT74" i="46" s="1"/>
  <c r="BT75" i="46" s="1"/>
  <c r="BT76" i="46" s="1"/>
  <c r="AR74" i="46"/>
  <c r="AS314" i="46"/>
  <c r="BT314" i="46" s="1"/>
  <c r="BT315" i="46" s="1"/>
  <c r="BT316" i="46" s="1"/>
  <c r="AR314" i="46"/>
  <c r="AR644" i="46"/>
  <c r="AS644" i="46"/>
  <c r="BT644" i="46" s="1"/>
  <c r="BT645" i="46" s="1"/>
  <c r="BT646" i="46" s="1"/>
  <c r="AS449" i="46"/>
  <c r="BT449" i="46" s="1"/>
  <c r="BT450" i="46" s="1"/>
  <c r="BT451" i="46" s="1"/>
  <c r="AR449" i="46"/>
  <c r="AR674" i="46"/>
  <c r="AS674" i="46"/>
  <c r="BT674" i="46" s="1"/>
  <c r="BT675" i="46" s="1"/>
  <c r="BT676" i="46" s="1"/>
  <c r="AS464" i="46"/>
  <c r="BT464" i="46" s="1"/>
  <c r="BT465" i="46" s="1"/>
  <c r="BT466" i="46" s="1"/>
  <c r="AR464" i="46"/>
  <c r="AR959" i="46"/>
  <c r="AS959" i="46"/>
  <c r="BT959" i="46" s="1"/>
  <c r="BT960" i="46" s="1"/>
  <c r="BT961" i="46" s="1"/>
  <c r="AS869" i="46"/>
  <c r="BT869" i="46" s="1"/>
  <c r="BT870" i="46" s="1"/>
  <c r="BT871" i="46" s="1"/>
  <c r="AR869" i="46"/>
  <c r="AS764" i="46"/>
  <c r="BT764" i="46" s="1"/>
  <c r="BT765" i="46" s="1"/>
  <c r="BT766" i="46" s="1"/>
  <c r="AR764" i="46"/>
  <c r="AS914" i="46"/>
  <c r="BT914" i="46" s="1"/>
  <c r="BT915" i="46" s="1"/>
  <c r="BT916" i="46" s="1"/>
  <c r="AR914" i="46"/>
  <c r="AS1364" i="46"/>
  <c r="BT1364" i="46" s="1"/>
  <c r="BT1365" i="46" s="1"/>
  <c r="BT1366" i="46" s="1"/>
  <c r="AR1364" i="46"/>
  <c r="AS1064" i="46"/>
  <c r="BT1064" i="46" s="1"/>
  <c r="BT1065" i="46" s="1"/>
  <c r="BT1066" i="46" s="1"/>
  <c r="AR1064" i="46"/>
  <c r="AS1019" i="46"/>
  <c r="BT1019" i="46" s="1"/>
  <c r="BT1020" i="46" s="1"/>
  <c r="BT1021" i="46" s="1"/>
  <c r="AR1019" i="46"/>
  <c r="AS1544" i="46"/>
  <c r="BT1544" i="46" s="1"/>
  <c r="BT1545" i="46" s="1"/>
  <c r="BT1546" i="46" s="1"/>
  <c r="AR1544" i="46"/>
  <c r="AR1349" i="46"/>
  <c r="AS1349" i="46"/>
  <c r="BT1349" i="46" s="1"/>
  <c r="BT1350" i="46" s="1"/>
  <c r="BT1351" i="46" s="1"/>
  <c r="AS1139" i="46"/>
  <c r="BT1139" i="46" s="1"/>
  <c r="BT1140" i="46" s="1"/>
  <c r="BT1141" i="46" s="1"/>
  <c r="AR1139" i="46"/>
  <c r="AS1574" i="46"/>
  <c r="BT1574" i="46" s="1"/>
  <c r="BT1575" i="46" s="1"/>
  <c r="BT1576" i="46" s="1"/>
  <c r="AR1574" i="46"/>
  <c r="AR149" i="46"/>
  <c r="AS149" i="46"/>
  <c r="BT149" i="46" s="1"/>
  <c r="BT150" i="46" s="1"/>
  <c r="BT151" i="46" s="1"/>
  <c r="AR29" i="46"/>
  <c r="AS29" i="46"/>
  <c r="BT29" i="46" s="1"/>
  <c r="BT30" i="46" s="1"/>
  <c r="BT31" i="46" s="1"/>
  <c r="AR194" i="46"/>
  <c r="AS194" i="46"/>
  <c r="BT194" i="46" s="1"/>
  <c r="BT195" i="46" s="1"/>
  <c r="BT196" i="46" s="1"/>
  <c r="AR479" i="46"/>
  <c r="AS479" i="46"/>
  <c r="BT479" i="46" s="1"/>
  <c r="BT480" i="46" s="1"/>
  <c r="BT481" i="46" s="1"/>
  <c r="AR839" i="46"/>
  <c r="AS839" i="46"/>
  <c r="BT839" i="46" s="1"/>
  <c r="BT840" i="46" s="1"/>
  <c r="BT841" i="46" s="1"/>
  <c r="AS134" i="46"/>
  <c r="BT134" i="46" s="1"/>
  <c r="BT135" i="46" s="1"/>
  <c r="BT136" i="46" s="1"/>
  <c r="AR134" i="46"/>
  <c r="AS374" i="46"/>
  <c r="BT374" i="46" s="1"/>
  <c r="BT375" i="46" s="1"/>
  <c r="BT376" i="46" s="1"/>
  <c r="AR374" i="46"/>
  <c r="AR719" i="46"/>
  <c r="AS719" i="46"/>
  <c r="BT719" i="46" s="1"/>
  <c r="BT720" i="46" s="1"/>
  <c r="BT721" i="46" s="1"/>
  <c r="AS509" i="46"/>
  <c r="BT509" i="46" s="1"/>
  <c r="BT510" i="46" s="1"/>
  <c r="BT511" i="46" s="1"/>
  <c r="AR509" i="46"/>
  <c r="AR779" i="46"/>
  <c r="AS779" i="46"/>
  <c r="BT779" i="46" s="1"/>
  <c r="BT780" i="46" s="1"/>
  <c r="BT781" i="46" s="1"/>
  <c r="AS524" i="46"/>
  <c r="BT524" i="46" s="1"/>
  <c r="BT525" i="46" s="1"/>
  <c r="BT526" i="46" s="1"/>
  <c r="AR524" i="46"/>
  <c r="AS659" i="46"/>
  <c r="BT659" i="46" s="1"/>
  <c r="BT660" i="46" s="1"/>
  <c r="BT661" i="46" s="1"/>
  <c r="AR659" i="46"/>
  <c r="AR929" i="46"/>
  <c r="AS929" i="46"/>
  <c r="BT929" i="46" s="1"/>
  <c r="BT930" i="46" s="1"/>
  <c r="BT931" i="46" s="1"/>
  <c r="AS824" i="46"/>
  <c r="BT824" i="46" s="1"/>
  <c r="BT825" i="46" s="1"/>
  <c r="BT826" i="46" s="1"/>
  <c r="AR824" i="46"/>
  <c r="AS974" i="46"/>
  <c r="BT974" i="46" s="1"/>
  <c r="BT975" i="46" s="1"/>
  <c r="BT976" i="46" s="1"/>
  <c r="AR974" i="46"/>
  <c r="AR1424" i="46"/>
  <c r="AS1424" i="46"/>
  <c r="BT1424" i="46" s="1"/>
  <c r="BT1425" i="46" s="1"/>
  <c r="BT1426" i="46" s="1"/>
  <c r="AS1124" i="46"/>
  <c r="BT1124" i="46" s="1"/>
  <c r="BT1125" i="46" s="1"/>
  <c r="BT1126" i="46" s="1"/>
  <c r="AR1124" i="46"/>
  <c r="AS1169" i="46"/>
  <c r="BT1169" i="46" s="1"/>
  <c r="BT1170" i="46" s="1"/>
  <c r="BT1171" i="46" s="1"/>
  <c r="AR1169" i="46"/>
  <c r="AS1409" i="46"/>
  <c r="BT1409" i="46" s="1"/>
  <c r="BT1410" i="46" s="1"/>
  <c r="BT1411" i="46" s="1"/>
  <c r="AR1409" i="46"/>
  <c r="AS884" i="46"/>
  <c r="BT884" i="46" s="1"/>
  <c r="BT885" i="46" s="1"/>
  <c r="BT886" i="46" s="1"/>
  <c r="AR884" i="46"/>
  <c r="AS1379" i="46"/>
  <c r="BT1379" i="46" s="1"/>
  <c r="BT1380" i="46" s="1"/>
  <c r="BT1381" i="46" s="1"/>
  <c r="AR1379" i="46"/>
  <c r="AS1559" i="46"/>
  <c r="BT1559" i="46" s="1"/>
  <c r="BT1560" i="46" s="1"/>
  <c r="BT1561" i="46" s="1"/>
  <c r="AR1559" i="46"/>
  <c r="AR209" i="46"/>
  <c r="AS209" i="46"/>
  <c r="BT209" i="46" s="1"/>
  <c r="BT210" i="46" s="1"/>
  <c r="BT211" i="46" s="1"/>
  <c r="AR59" i="46"/>
  <c r="AS59" i="46"/>
  <c r="BT59" i="46" s="1"/>
  <c r="BT60" i="46" s="1"/>
  <c r="BT61" i="46" s="1"/>
  <c r="AR224" i="46"/>
  <c r="AS224" i="46"/>
  <c r="BT224" i="46" s="1"/>
  <c r="BT225" i="46" s="1"/>
  <c r="BT226" i="46" s="1"/>
  <c r="AS494" i="46"/>
  <c r="BT494" i="46" s="1"/>
  <c r="BT495" i="46" s="1"/>
  <c r="BT496" i="46" s="1"/>
  <c r="AR494" i="46"/>
  <c r="AS854" i="46"/>
  <c r="BT854" i="46" s="1"/>
  <c r="BT855" i="46" s="1"/>
  <c r="BT856" i="46" s="1"/>
  <c r="AR854" i="46"/>
  <c r="AS299" i="46"/>
  <c r="BT299" i="46" s="1"/>
  <c r="BT300" i="46" s="1"/>
  <c r="BT301" i="46" s="1"/>
  <c r="AR299" i="46"/>
  <c r="AR539" i="46"/>
  <c r="AS539" i="46"/>
  <c r="BT539" i="46" s="1"/>
  <c r="BT540" i="46" s="1"/>
  <c r="BT541" i="46" s="1"/>
  <c r="AS104" i="46"/>
  <c r="BT104" i="46" s="1"/>
  <c r="BT105" i="46" s="1"/>
  <c r="BT106" i="46" s="1"/>
  <c r="AR104" i="46"/>
  <c r="AS569" i="46"/>
  <c r="BT569" i="46" s="1"/>
  <c r="BT570" i="46" s="1"/>
  <c r="BT571" i="46" s="1"/>
  <c r="AR569" i="46"/>
  <c r="AS794" i="46"/>
  <c r="BT794" i="46" s="1"/>
  <c r="BT795" i="46" s="1"/>
  <c r="BT796" i="46" s="1"/>
  <c r="AR794" i="46"/>
  <c r="AS584" i="46"/>
  <c r="BT584" i="46" s="1"/>
  <c r="BT585" i="46" s="1"/>
  <c r="BT586" i="46" s="1"/>
  <c r="AR584" i="46"/>
  <c r="AS749" i="46"/>
  <c r="BT749" i="46" s="1"/>
  <c r="BT750" i="46" s="1"/>
  <c r="BT751" i="46" s="1"/>
  <c r="AR749" i="46"/>
  <c r="AS989" i="46"/>
  <c r="BT989" i="46" s="1"/>
  <c r="BT990" i="46" s="1"/>
  <c r="BT991" i="46" s="1"/>
  <c r="AR989" i="46"/>
  <c r="AS944" i="46"/>
  <c r="BT944" i="46" s="1"/>
  <c r="BT945" i="46" s="1"/>
  <c r="BT946" i="46" s="1"/>
  <c r="AR944" i="46"/>
  <c r="AS1049" i="46"/>
  <c r="BT1049" i="46" s="1"/>
  <c r="BT1050" i="46" s="1"/>
  <c r="BT1051" i="46" s="1"/>
  <c r="AR1049" i="46"/>
  <c r="AR1619" i="46"/>
  <c r="AS1619" i="46"/>
  <c r="BT1619" i="46" s="1"/>
  <c r="BT1620" i="46" s="1"/>
  <c r="BT1621" i="46" s="1"/>
  <c r="AS1154" i="46"/>
  <c r="BT1154" i="46" s="1"/>
  <c r="BT1155" i="46" s="1"/>
  <c r="BT1156" i="46" s="1"/>
  <c r="AR1154" i="46"/>
  <c r="AS1259" i="46"/>
  <c r="BT1259" i="46" s="1"/>
  <c r="BT1260" i="46" s="1"/>
  <c r="BT1261" i="46" s="1"/>
  <c r="AR1259" i="46"/>
  <c r="AR1094" i="46"/>
  <c r="AS1094" i="46"/>
  <c r="BT1094" i="46" s="1"/>
  <c r="BT1095" i="46" s="1"/>
  <c r="BT1096" i="46" s="1"/>
  <c r="AS1079" i="46"/>
  <c r="BT1079" i="46" s="1"/>
  <c r="BT1080" i="46" s="1"/>
  <c r="BT1081" i="46" s="1"/>
  <c r="AR1079" i="46"/>
  <c r="AK367" i="45"/>
  <c r="BQ367" i="45" s="1"/>
  <c r="AK265" i="45"/>
  <c r="BQ265" i="45" s="1"/>
  <c r="AK262" i="45"/>
  <c r="BQ262" i="45" s="1"/>
  <c r="BK153" i="45"/>
  <c r="AG156" i="45"/>
  <c r="CJ416" i="45"/>
  <c r="BK155" i="45"/>
  <c r="AG158" i="45"/>
  <c r="AL31" i="45"/>
  <c r="AL35" i="45" s="1"/>
  <c r="CJ484" i="45"/>
  <c r="AC145" i="45"/>
  <c r="BI145" i="45" s="1"/>
  <c r="AC142" i="45"/>
  <c r="BI142" i="45" s="1"/>
  <c r="AK145" i="45"/>
  <c r="BQ145" i="45" s="1"/>
  <c r="AK142" i="45"/>
  <c r="BQ142" i="45" s="1"/>
  <c r="BK284" i="45"/>
  <c r="U387" i="45"/>
  <c r="BA387" i="45" s="1"/>
  <c r="U385" i="45"/>
  <c r="BA385" i="45" s="1"/>
  <c r="U383" i="45"/>
  <c r="BA383" i="45" s="1"/>
  <c r="U372" i="45"/>
  <c r="BA372" i="45" s="1"/>
  <c r="U263" i="45"/>
  <c r="BA263" i="45" s="1"/>
  <c r="U370" i="45"/>
  <c r="BA370" i="45" s="1"/>
  <c r="U266" i="45"/>
  <c r="BA266" i="45" s="1"/>
  <c r="U368" i="45"/>
  <c r="BA368" i="45" s="1"/>
  <c r="CJ485" i="45"/>
  <c r="AK141" i="45"/>
  <c r="BQ141" i="45" s="1"/>
  <c r="AK144" i="45"/>
  <c r="BQ144" i="45" s="1"/>
  <c r="CJ488" i="45"/>
  <c r="AC141" i="45"/>
  <c r="BI141" i="45" s="1"/>
  <c r="AC144" i="45"/>
  <c r="BI144" i="45" s="1"/>
  <c r="AK146" i="45"/>
  <c r="BQ146" i="45" s="1"/>
  <c r="AK143" i="45"/>
  <c r="BQ143" i="45" s="1"/>
  <c r="CJ420" i="45"/>
  <c r="BY423" i="45"/>
  <c r="AK385" i="45"/>
  <c r="BQ385" i="45" s="1"/>
  <c r="AK387" i="45"/>
  <c r="BQ387" i="45" s="1"/>
  <c r="AK368" i="45"/>
  <c r="BQ368" i="45" s="1"/>
  <c r="AK266" i="45"/>
  <c r="BQ266" i="45" s="1"/>
  <c r="AK383" i="45"/>
  <c r="BQ383" i="45" s="1"/>
  <c r="AK372" i="45"/>
  <c r="BQ372" i="45" s="1"/>
  <c r="AK370" i="45"/>
  <c r="BQ370" i="45" s="1"/>
  <c r="AK263" i="45"/>
  <c r="BQ263" i="45" s="1"/>
  <c r="BK283" i="45"/>
  <c r="U367" i="45"/>
  <c r="BA367" i="45" s="1"/>
  <c r="U265" i="45"/>
  <c r="BA265" i="45" s="1"/>
  <c r="U262" i="45"/>
  <c r="BA262" i="45" s="1"/>
  <c r="U145" i="45"/>
  <c r="BA145" i="45" s="1"/>
  <c r="BK157" i="45"/>
  <c r="U142" i="45"/>
  <c r="BA142" i="45" s="1"/>
  <c r="BQ353" i="45"/>
  <c r="BQ357" i="45" s="1"/>
  <c r="AK386" i="45"/>
  <c r="BQ386" i="45" s="1"/>
  <c r="AK371" i="45"/>
  <c r="BQ371" i="45" s="1"/>
  <c r="AK388" i="45"/>
  <c r="BQ388" i="45" s="1"/>
  <c r="AK384" i="45"/>
  <c r="BQ384" i="45" s="1"/>
  <c r="AK373" i="45"/>
  <c r="BQ373" i="45" s="1"/>
  <c r="AK369" i="45"/>
  <c r="BQ369" i="45" s="1"/>
  <c r="BY369" i="45" s="1"/>
  <c r="AK267" i="45"/>
  <c r="BQ267" i="45" s="1"/>
  <c r="AK264" i="45"/>
  <c r="BQ264" i="45" s="1"/>
  <c r="M3607" i="48" l="1"/>
  <c r="I2766" i="48"/>
  <c r="J2766" i="48" s="1"/>
  <c r="L1207" i="48"/>
  <c r="I2752" i="48"/>
  <c r="J2752" i="48" s="1"/>
  <c r="J2761" i="48" s="1"/>
  <c r="K3029" i="48"/>
  <c r="L3029" i="48" s="1"/>
  <c r="K1384" i="48"/>
  <c r="L1384" i="48" s="1"/>
  <c r="I3082" i="48"/>
  <c r="J3082" i="48" s="1"/>
  <c r="M3849" i="48"/>
  <c r="I2628" i="48"/>
  <c r="J2628" i="48" s="1"/>
  <c r="K1525" i="48"/>
  <c r="L1525" i="48" s="1"/>
  <c r="K1450" i="48"/>
  <c r="L1450" i="48" s="1"/>
  <c r="K1345" i="48"/>
  <c r="L1345" i="48" s="1"/>
  <c r="BY388" i="45"/>
  <c r="K1536" i="48"/>
  <c r="L1536" i="48" s="1"/>
  <c r="K1402" i="48"/>
  <c r="L1402" i="48" s="1"/>
  <c r="M34" i="48"/>
  <c r="K1547" i="48"/>
  <c r="L1547" i="48" s="1"/>
  <c r="K2779" i="48"/>
  <c r="L2779" i="48" s="1"/>
  <c r="BY264" i="45"/>
  <c r="G2766" i="48"/>
  <c r="BY384" i="45"/>
  <c r="H271" i="48"/>
  <c r="H272" i="48" s="1"/>
  <c r="G3025" i="48"/>
  <c r="H3025" i="48" s="1"/>
  <c r="M644" i="48"/>
  <c r="CJ423" i="45"/>
  <c r="CJ418" i="45"/>
  <c r="T2932" i="48"/>
  <c r="J1564" i="48"/>
  <c r="N1564" i="48" s="1"/>
  <c r="T2862" i="48"/>
  <c r="R2863" i="48"/>
  <c r="H3690" i="48"/>
  <c r="H3691" i="48" s="1"/>
  <c r="BY371" i="45"/>
  <c r="M3954" i="48"/>
  <c r="J788" i="48"/>
  <c r="N788" i="48" s="1"/>
  <c r="L942" i="48"/>
  <c r="L943" i="48" s="1"/>
  <c r="H41" i="48"/>
  <c r="N41" i="48" s="1"/>
  <c r="N42" i="48" s="1"/>
  <c r="L677" i="48"/>
  <c r="N677" i="48" s="1"/>
  <c r="N678" i="48" s="1"/>
  <c r="L3543" i="48"/>
  <c r="L3545" i="48" s="1"/>
  <c r="K3564" i="48" s="1"/>
  <c r="L3564" i="48" s="1"/>
  <c r="M3490" i="48"/>
  <c r="G2628" i="48"/>
  <c r="H2628" i="48" s="1"/>
  <c r="CJ486" i="45"/>
  <c r="O778" i="48"/>
  <c r="G2752" i="48"/>
  <c r="M693" i="48"/>
  <c r="T1697" i="48"/>
  <c r="G3044" i="48"/>
  <c r="H3044" i="48" s="1"/>
  <c r="N3044" i="48" s="1"/>
  <c r="H212" i="48"/>
  <c r="N212" i="48" s="1"/>
  <c r="N213" i="48" s="1"/>
  <c r="H710" i="48"/>
  <c r="N710" i="48" s="1"/>
  <c r="T2148" i="48"/>
  <c r="BY267" i="45"/>
  <c r="BY373" i="45"/>
  <c r="G3082" i="48"/>
  <c r="L641" i="48"/>
  <c r="N641" i="48" s="1"/>
  <c r="N645" i="48" s="1"/>
  <c r="M2174" i="48"/>
  <c r="N1167" i="48"/>
  <c r="BQ252" i="45"/>
  <c r="M3012" i="48"/>
  <c r="M674" i="48"/>
  <c r="M2998" i="48"/>
  <c r="L3381" i="48"/>
  <c r="L3383" i="48" s="1"/>
  <c r="G2791" i="48"/>
  <c r="H2791" i="48" s="1"/>
  <c r="G1325" i="48"/>
  <c r="H1325" i="48" s="1"/>
  <c r="M3634" i="48"/>
  <c r="L1183" i="48"/>
  <c r="K2525" i="48"/>
  <c r="L2525" i="48" s="1"/>
  <c r="L2526" i="48" s="1"/>
  <c r="L591" i="48"/>
  <c r="N591" i="48" s="1"/>
  <c r="N592" i="48" s="1"/>
  <c r="K1335" i="48"/>
  <c r="L1335" i="48" s="1"/>
  <c r="K1393" i="48"/>
  <c r="L1393" i="48" s="1"/>
  <c r="K1591" i="48"/>
  <c r="L1591" i="48" s="1"/>
  <c r="L1593" i="48" s="1"/>
  <c r="K1420" i="48"/>
  <c r="L1420" i="48" s="1"/>
  <c r="K1558" i="48"/>
  <c r="L1558" i="48" s="1"/>
  <c r="L1560" i="48" s="1"/>
  <c r="K1460" i="48"/>
  <c r="L1460" i="48" s="1"/>
  <c r="K1440" i="48"/>
  <c r="L1440" i="48" s="1"/>
  <c r="K2653" i="48"/>
  <c r="L2653" i="48" s="1"/>
  <c r="K3001" i="48"/>
  <c r="L3001" i="48" s="1"/>
  <c r="L3006" i="48" s="1"/>
  <c r="M857" i="48"/>
  <c r="H3544" i="48"/>
  <c r="H3545" i="48" s="1"/>
  <c r="G3564" i="48" s="1"/>
  <c r="H20" i="48"/>
  <c r="N20" i="48" s="1"/>
  <c r="N21" i="48" s="1"/>
  <c r="K3048" i="48"/>
  <c r="L3048" i="48" s="1"/>
  <c r="I3063" i="48"/>
  <c r="J3063" i="48" s="1"/>
  <c r="L3126" i="48"/>
  <c r="L3127" i="48" s="1"/>
  <c r="J1156" i="48"/>
  <c r="N1156" i="48" s="1"/>
  <c r="K2528" i="48"/>
  <c r="L2528" i="48" s="1"/>
  <c r="L2529" i="48" s="1"/>
  <c r="K1355" i="48"/>
  <c r="L1355" i="48" s="1"/>
  <c r="K1430" i="48"/>
  <c r="L1430" i="48" s="1"/>
  <c r="K1325" i="48"/>
  <c r="L1325" i="48" s="1"/>
  <c r="K1480" i="48"/>
  <c r="L1480" i="48" s="1"/>
  <c r="K1580" i="48"/>
  <c r="L1580" i="48" s="1"/>
  <c r="K1470" i="48"/>
  <c r="L1470" i="48" s="1"/>
  <c r="K1498" i="48"/>
  <c r="L1498" i="48" s="1"/>
  <c r="L1500" i="48" s="1"/>
  <c r="K2791" i="48"/>
  <c r="L2791" i="48" s="1"/>
  <c r="K3103" i="48"/>
  <c r="L3103" i="48" s="1"/>
  <c r="H3718" i="48"/>
  <c r="N3718" i="48" s="1"/>
  <c r="N3719" i="48" s="1"/>
  <c r="I3025" i="48"/>
  <c r="J3025" i="48" s="1"/>
  <c r="M666" i="48"/>
  <c r="I2525" i="48"/>
  <c r="J2525" i="48" s="1"/>
  <c r="J2526" i="48" s="1"/>
  <c r="K1365" i="48"/>
  <c r="L1365" i="48" s="1"/>
  <c r="K1489" i="48"/>
  <c r="L1489" i="48" s="1"/>
  <c r="K1375" i="48"/>
  <c r="L1375" i="48" s="1"/>
  <c r="K1507" i="48"/>
  <c r="L1507" i="48" s="1"/>
  <c r="K1411" i="48"/>
  <c r="L1411" i="48" s="1"/>
  <c r="K1569" i="48"/>
  <c r="L1569" i="48" s="1"/>
  <c r="K1516" i="48"/>
  <c r="L1516" i="48" s="1"/>
  <c r="K2664" i="48"/>
  <c r="L2664" i="48" s="1"/>
  <c r="M3782" i="48"/>
  <c r="N1268" i="48"/>
  <c r="M905" i="48"/>
  <c r="M952" i="48"/>
  <c r="M927" i="48"/>
  <c r="H3453" i="48"/>
  <c r="H3454" i="48" s="1"/>
  <c r="H3516" i="48"/>
  <c r="N3516" i="48" s="1"/>
  <c r="H3491" i="48"/>
  <c r="N3491" i="48" s="1"/>
  <c r="L1199" i="48"/>
  <c r="M3438" i="48"/>
  <c r="M3084" i="48"/>
  <c r="BY35" i="45"/>
  <c r="H3439" i="48"/>
  <c r="L1305" i="48"/>
  <c r="L1175" i="48"/>
  <c r="I1275" i="48"/>
  <c r="J1275" i="48" s="1"/>
  <c r="N276" i="48"/>
  <c r="L3328" i="48"/>
  <c r="L3330" i="48" s="1"/>
  <c r="M3665" i="48"/>
  <c r="I3008" i="48"/>
  <c r="J3008" i="48" s="1"/>
  <c r="J3013" i="48" s="1"/>
  <c r="M3683" i="48"/>
  <c r="H1096" i="48"/>
  <c r="H1097" i="48" s="1"/>
  <c r="M3732" i="48"/>
  <c r="BY386" i="45"/>
  <c r="M605" i="48"/>
  <c r="H3065" i="48"/>
  <c r="N3065" i="48" s="1"/>
  <c r="M3761" i="48"/>
  <c r="I1515" i="48"/>
  <c r="J1515" i="48" s="1"/>
  <c r="H3635" i="48"/>
  <c r="N3635" i="48" s="1"/>
  <c r="I1568" i="48"/>
  <c r="J1568" i="48" s="1"/>
  <c r="I2540" i="48"/>
  <c r="J2540" i="48" s="1"/>
  <c r="J2541" i="48" s="1"/>
  <c r="G3272" i="48"/>
  <c r="H3272" i="48" s="1"/>
  <c r="I1591" i="48"/>
  <c r="J1591" i="48" s="1"/>
  <c r="I1392" i="48"/>
  <c r="J1392" i="48" s="1"/>
  <c r="I1449" i="48"/>
  <c r="J1449" i="48" s="1"/>
  <c r="L3817" i="48"/>
  <c r="L3818" i="48" s="1"/>
  <c r="K3820" i="48" s="1"/>
  <c r="L3820" i="48" s="1"/>
  <c r="L3821" i="48" s="1"/>
  <c r="I1354" i="48"/>
  <c r="J1354" i="48" s="1"/>
  <c r="I1460" i="48"/>
  <c r="J1460" i="48" s="1"/>
  <c r="M3316" i="48"/>
  <c r="I1469" i="48"/>
  <c r="J1469" i="48" s="1"/>
  <c r="I1419" i="48"/>
  <c r="J1419" i="48" s="1"/>
  <c r="N2982" i="48"/>
  <c r="I3562" i="48"/>
  <c r="J3562" i="48" s="1"/>
  <c r="I1498" i="48"/>
  <c r="J1498" i="48" s="1"/>
  <c r="I1480" i="48"/>
  <c r="J1480" i="48" s="1"/>
  <c r="M3353" i="48"/>
  <c r="N3612" i="48"/>
  <c r="M875" i="48"/>
  <c r="N504" i="48"/>
  <c r="H830" i="48"/>
  <c r="H851" i="48"/>
  <c r="H852" i="48" s="1"/>
  <c r="K2694" i="48"/>
  <c r="L2694" i="48" s="1"/>
  <c r="N2694" i="48" s="1"/>
  <c r="I1335" i="48"/>
  <c r="J1335" i="48" s="1"/>
  <c r="I1558" i="48"/>
  <c r="J1558" i="48" s="1"/>
  <c r="G3240" i="48"/>
  <c r="H3240" i="48" s="1"/>
  <c r="I1430" i="48"/>
  <c r="J1430" i="48" s="1"/>
  <c r="I2791" i="48"/>
  <c r="J2791" i="48" s="1"/>
  <c r="M922" i="48"/>
  <c r="M3294" i="48"/>
  <c r="H3677" i="48"/>
  <c r="N3677" i="48" s="1"/>
  <c r="N3678" i="48" s="1"/>
  <c r="I1344" i="48"/>
  <c r="J1344" i="48" s="1"/>
  <c r="I1497" i="48"/>
  <c r="J1497" i="48" s="1"/>
  <c r="I1410" i="48"/>
  <c r="J1410" i="48" s="1"/>
  <c r="I1546" i="48"/>
  <c r="J1546" i="48" s="1"/>
  <c r="I1364" i="48"/>
  <c r="J1364" i="48" s="1"/>
  <c r="I1479" i="48"/>
  <c r="J1479" i="48" s="1"/>
  <c r="I1506" i="48"/>
  <c r="J1506" i="48" s="1"/>
  <c r="I1642" i="48"/>
  <c r="J1642" i="48" s="1"/>
  <c r="J1643" i="48" s="1"/>
  <c r="I2543" i="48"/>
  <c r="J2543" i="48" s="1"/>
  <c r="J2544" i="48" s="1"/>
  <c r="L579" i="48"/>
  <c r="N579" i="48" s="1"/>
  <c r="N580" i="48" s="1"/>
  <c r="H3294" i="48"/>
  <c r="N3294" i="48" s="1"/>
  <c r="N3297" i="48" s="1"/>
  <c r="I1439" i="48"/>
  <c r="J1439" i="48" s="1"/>
  <c r="I1334" i="48"/>
  <c r="J1334" i="48" s="1"/>
  <c r="I1429" i="48"/>
  <c r="J1429" i="48" s="1"/>
  <c r="I1590" i="48"/>
  <c r="J1590" i="48" s="1"/>
  <c r="I1374" i="48"/>
  <c r="J1374" i="48" s="1"/>
  <c r="I1535" i="48"/>
  <c r="J1535" i="48" s="1"/>
  <c r="I1524" i="48"/>
  <c r="J1524" i="48" s="1"/>
  <c r="I2534" i="48"/>
  <c r="J2534" i="48" s="1"/>
  <c r="J2535" i="48" s="1"/>
  <c r="I3067" i="48" s="1"/>
  <c r="J3067" i="48" s="1"/>
  <c r="I3104" i="48"/>
  <c r="J3104" i="48" s="1"/>
  <c r="J3108" i="48" s="1"/>
  <c r="K3092" i="48"/>
  <c r="L3092" i="48" s="1"/>
  <c r="N478" i="48"/>
  <c r="I1459" i="48"/>
  <c r="J1459" i="48" s="1"/>
  <c r="I1383" i="48"/>
  <c r="J1383" i="48" s="1"/>
  <c r="I1488" i="48"/>
  <c r="J1488" i="48" s="1"/>
  <c r="I1324" i="48"/>
  <c r="J1324" i="48" s="1"/>
  <c r="I1401" i="48"/>
  <c r="J1401" i="48" s="1"/>
  <c r="I1579" i="48"/>
  <c r="J1579" i="48" s="1"/>
  <c r="I1557" i="48"/>
  <c r="J1557" i="48" s="1"/>
  <c r="M573" i="48"/>
  <c r="H1089" i="48"/>
  <c r="N1089" i="48" s="1"/>
  <c r="N1090" i="48" s="1"/>
  <c r="G3280" i="48"/>
  <c r="H3280" i="48" s="1"/>
  <c r="N2436" i="48"/>
  <c r="I1470" i="48"/>
  <c r="J1470" i="48" s="1"/>
  <c r="I1355" i="48"/>
  <c r="J1355" i="48" s="1"/>
  <c r="I1325" i="48"/>
  <c r="J1325" i="48" s="1"/>
  <c r="I1580" i="48"/>
  <c r="J1580" i="48" s="1"/>
  <c r="L2811" i="48"/>
  <c r="L688" i="48"/>
  <c r="N688" i="48" s="1"/>
  <c r="M3658" i="48"/>
  <c r="I776" i="48"/>
  <c r="J776" i="48" s="1"/>
  <c r="N776" i="48" s="1"/>
  <c r="G1498" i="48"/>
  <c r="H1498" i="48" s="1"/>
  <c r="G1355" i="48"/>
  <c r="H1355" i="48" s="1"/>
  <c r="I1121" i="48"/>
  <c r="J1121" i="48" s="1"/>
  <c r="I1149" i="48"/>
  <c r="J1149" i="48" s="1"/>
  <c r="L1297" i="48"/>
  <c r="G3248" i="48"/>
  <c r="H3248" i="48" s="1"/>
  <c r="I777" i="48"/>
  <c r="J777" i="48" s="1"/>
  <c r="I1440" i="48"/>
  <c r="J1440" i="48" s="1"/>
  <c r="I1393" i="48"/>
  <c r="J1393" i="48" s="1"/>
  <c r="I1420" i="48"/>
  <c r="J1420" i="48" s="1"/>
  <c r="I2653" i="48"/>
  <c r="J2653" i="48" s="1"/>
  <c r="N552" i="48"/>
  <c r="G1580" i="48"/>
  <c r="H1580" i="48" s="1"/>
  <c r="G3038" i="48"/>
  <c r="M3038" i="48" s="1"/>
  <c r="G1480" i="48"/>
  <c r="H1480" i="48" s="1"/>
  <c r="G1335" i="48"/>
  <c r="H1335" i="48" s="1"/>
  <c r="M3382" i="48"/>
  <c r="H3382" i="48"/>
  <c r="L932" i="48"/>
  <c r="N932" i="48" s="1"/>
  <c r="N933" i="48" s="1"/>
  <c r="I1210" i="48"/>
  <c r="J1210" i="48" s="1"/>
  <c r="I1186" i="48"/>
  <c r="J1186" i="48" s="1"/>
  <c r="AY35" i="45"/>
  <c r="N773" i="48"/>
  <c r="L1191" i="48"/>
  <c r="L1247" i="48"/>
  <c r="L1231" i="48"/>
  <c r="L1289" i="48"/>
  <c r="N544" i="48"/>
  <c r="N1706" i="48"/>
  <c r="H3627" i="48"/>
  <c r="N3627" i="48" s="1"/>
  <c r="M3027" i="48"/>
  <c r="I1241" i="48"/>
  <c r="J1241" i="48" s="1"/>
  <c r="I1117" i="48"/>
  <c r="J1117" i="48" s="1"/>
  <c r="I1136" i="48"/>
  <c r="J1136" i="48" s="1"/>
  <c r="L1255" i="48"/>
  <c r="M704" i="48"/>
  <c r="K3031" i="48"/>
  <c r="L3031" i="48" s="1"/>
  <c r="I1291" i="48"/>
  <c r="J1291" i="48" s="1"/>
  <c r="I1169" i="48"/>
  <c r="J1169" i="48" s="1"/>
  <c r="H277" i="48"/>
  <c r="H278" i="48" s="1"/>
  <c r="I1234" i="48"/>
  <c r="J1234" i="48" s="1"/>
  <c r="L655" i="48"/>
  <c r="N655" i="48" s="1"/>
  <c r="I1217" i="48"/>
  <c r="J1217" i="48" s="1"/>
  <c r="I1225" i="48"/>
  <c r="J1225" i="48" s="1"/>
  <c r="H911" i="48"/>
  <c r="N911" i="48" s="1"/>
  <c r="N912" i="48" s="1"/>
  <c r="K3088" i="48"/>
  <c r="L3088" i="48" s="1"/>
  <c r="I1193" i="48"/>
  <c r="J1193" i="48" s="1"/>
  <c r="I1133" i="48"/>
  <c r="J1133" i="48" s="1"/>
  <c r="I1170" i="48"/>
  <c r="J1170" i="48" s="1"/>
  <c r="I1284" i="48"/>
  <c r="J1284" i="48" s="1"/>
  <c r="N1140" i="48"/>
  <c r="N3317" i="48"/>
  <c r="H27" i="48"/>
  <c r="N27" i="48" s="1"/>
  <c r="N28" i="48" s="1"/>
  <c r="H722" i="48"/>
  <c r="N722" i="48" s="1"/>
  <c r="I1645" i="48"/>
  <c r="J1645" i="48" s="1"/>
  <c r="J1646" i="48" s="1"/>
  <c r="I1152" i="48"/>
  <c r="J1152" i="48" s="1"/>
  <c r="I1118" i="48"/>
  <c r="J1118" i="48" s="1"/>
  <c r="I1201" i="48"/>
  <c r="J1201" i="48" s="1"/>
  <c r="I1242" i="48"/>
  <c r="J1242" i="48" s="1"/>
  <c r="I1299" i="48"/>
  <c r="J1299" i="48" s="1"/>
  <c r="I1209" i="48"/>
  <c r="J1209" i="48" s="1"/>
  <c r="M1082" i="48"/>
  <c r="M3005" i="48"/>
  <c r="L3390" i="48"/>
  <c r="N3390" i="48" s="1"/>
  <c r="I1411" i="48"/>
  <c r="J1411" i="48" s="1"/>
  <c r="I1569" i="48"/>
  <c r="J1569" i="48" s="1"/>
  <c r="I1516" i="48"/>
  <c r="J1516" i="48" s="1"/>
  <c r="I1365" i="48"/>
  <c r="J1365" i="48" s="1"/>
  <c r="I1489" i="48"/>
  <c r="J1489" i="48" s="1"/>
  <c r="I1375" i="48"/>
  <c r="J1375" i="48" s="1"/>
  <c r="I1507" i="48"/>
  <c r="J1507" i="48" s="1"/>
  <c r="I2664" i="48"/>
  <c r="J2664" i="48" s="1"/>
  <c r="I3001" i="48"/>
  <c r="J3001" i="48" s="1"/>
  <c r="J3006" i="48" s="1"/>
  <c r="I2528" i="48"/>
  <c r="J2528" i="48" s="1"/>
  <c r="J2529" i="48" s="1"/>
  <c r="I3257" i="48"/>
  <c r="J3257" i="48" s="1"/>
  <c r="H698" i="48"/>
  <c r="N698" i="48" s="1"/>
  <c r="M3659" i="48"/>
  <c r="N2470" i="48"/>
  <c r="H899" i="48"/>
  <c r="H900" i="48" s="1"/>
  <c r="M3598" i="48"/>
  <c r="G1470" i="48"/>
  <c r="H1470" i="48" s="1"/>
  <c r="G1430" i="48"/>
  <c r="H1430" i="48" s="1"/>
  <c r="I1120" i="48"/>
  <c r="J1120" i="48" s="1"/>
  <c r="I1177" i="48"/>
  <c r="J1177" i="48" s="1"/>
  <c r="I1300" i="48"/>
  <c r="J1300" i="48" s="1"/>
  <c r="I1249" i="48"/>
  <c r="J1249" i="48" s="1"/>
  <c r="I1226" i="48"/>
  <c r="J1226" i="48" s="1"/>
  <c r="I1202" i="48"/>
  <c r="J1202" i="48" s="1"/>
  <c r="L685" i="48"/>
  <c r="N685" i="48" s="1"/>
  <c r="I1178" i="48"/>
  <c r="J1178" i="48" s="1"/>
  <c r="I1134" i="48"/>
  <c r="J1134" i="48" s="1"/>
  <c r="H3408" i="48"/>
  <c r="I1172" i="48"/>
  <c r="J1172" i="48" s="1"/>
  <c r="I1171" i="48"/>
  <c r="J1171" i="48" s="1"/>
  <c r="I1450" i="48"/>
  <c r="J1450" i="48" s="1"/>
  <c r="I1345" i="48"/>
  <c r="J1345" i="48" s="1"/>
  <c r="I1547" i="48"/>
  <c r="J1547" i="48" s="1"/>
  <c r="I1384" i="48"/>
  <c r="J1384" i="48" s="1"/>
  <c r="I1536" i="48"/>
  <c r="J1536" i="48" s="1"/>
  <c r="I1402" i="48"/>
  <c r="J1402" i="48" s="1"/>
  <c r="I1525" i="48"/>
  <c r="J1525" i="48" s="1"/>
  <c r="I2779" i="48"/>
  <c r="J2779" i="48" s="1"/>
  <c r="I1276" i="48"/>
  <c r="J1276" i="48" s="1"/>
  <c r="I1233" i="48"/>
  <c r="J1233" i="48" s="1"/>
  <c r="I1250" i="48"/>
  <c r="J1250" i="48" s="1"/>
  <c r="I1185" i="48"/>
  <c r="J1185" i="48" s="1"/>
  <c r="I1153" i="48"/>
  <c r="J1153" i="48" s="1"/>
  <c r="I1292" i="48"/>
  <c r="J1292" i="48" s="1"/>
  <c r="I1194" i="48"/>
  <c r="J1194" i="48" s="1"/>
  <c r="I1150" i="48"/>
  <c r="J1150" i="48" s="1"/>
  <c r="I1218" i="48"/>
  <c r="J1218" i="48" s="1"/>
  <c r="I1137" i="48"/>
  <c r="J1137" i="48" s="1"/>
  <c r="M3739" i="48"/>
  <c r="I1278" i="48"/>
  <c r="J1278" i="48" s="1"/>
  <c r="I3265" i="48"/>
  <c r="J3265" i="48" s="1"/>
  <c r="I1376" i="48"/>
  <c r="J1376" i="48" s="1"/>
  <c r="H887" i="48"/>
  <c r="N887" i="48" s="1"/>
  <c r="N888" i="48" s="1"/>
  <c r="I1188" i="48"/>
  <c r="J1188" i="48" s="1"/>
  <c r="I1499" i="48"/>
  <c r="J1499" i="48" s="1"/>
  <c r="M3697" i="48"/>
  <c r="I1597" i="48"/>
  <c r="J1597" i="48" s="1"/>
  <c r="M3437" i="48"/>
  <c r="L3437" i="48"/>
  <c r="I1236" i="48"/>
  <c r="J1236" i="48" s="1"/>
  <c r="H2470" i="48"/>
  <c r="I1204" i="48"/>
  <c r="J1204" i="48" s="1"/>
  <c r="I1626" i="48"/>
  <c r="J1626" i="48" s="1"/>
  <c r="N630" i="48"/>
  <c r="G3288" i="48"/>
  <c r="H3288" i="48" s="1"/>
  <c r="I2531" i="48"/>
  <c r="J2531" i="48" s="1"/>
  <c r="J2532" i="48" s="1"/>
  <c r="I1212" i="48"/>
  <c r="J1212" i="48" s="1"/>
  <c r="I1220" i="48"/>
  <c r="J1220" i="48" s="1"/>
  <c r="I1228" i="48"/>
  <c r="J1228" i="48" s="1"/>
  <c r="I1294" i="48"/>
  <c r="J1294" i="48" s="1"/>
  <c r="I1616" i="48"/>
  <c r="J1616" i="48" s="1"/>
  <c r="I3281" i="48"/>
  <c r="J3281" i="48" s="1"/>
  <c r="I3289" i="48"/>
  <c r="J3289" i="48" s="1"/>
  <c r="L652" i="48"/>
  <c r="N652" i="48" s="1"/>
  <c r="H1636" i="48"/>
  <c r="N1636" i="48" s="1"/>
  <c r="N1637" i="48" s="1"/>
  <c r="I1385" i="48"/>
  <c r="J1385" i="48" s="1"/>
  <c r="I1356" i="48"/>
  <c r="J1356" i="48" s="1"/>
  <c r="L272" i="48"/>
  <c r="M3577" i="48"/>
  <c r="H3577" i="48"/>
  <c r="I1196" i="48"/>
  <c r="J1196" i="48" s="1"/>
  <c r="I1180" i="48"/>
  <c r="J1180" i="48" s="1"/>
  <c r="I3249" i="48"/>
  <c r="J3249" i="48" s="1"/>
  <c r="I3273" i="48"/>
  <c r="J3273" i="48" s="1"/>
  <c r="I1179" i="48"/>
  <c r="J1179" i="48" s="1"/>
  <c r="I1481" i="48"/>
  <c r="J1481" i="48" s="1"/>
  <c r="M863" i="48"/>
  <c r="N2175" i="48"/>
  <c r="G3256" i="48"/>
  <c r="H3256" i="48" s="1"/>
  <c r="I1244" i="48"/>
  <c r="J1244" i="48" s="1"/>
  <c r="I1252" i="48"/>
  <c r="J1252" i="48" s="1"/>
  <c r="I1286" i="48"/>
  <c r="J1286" i="48" s="1"/>
  <c r="I1302" i="48"/>
  <c r="J1302" i="48" s="1"/>
  <c r="I1606" i="48"/>
  <c r="J1606" i="48" s="1"/>
  <c r="N802" i="48"/>
  <c r="I1195" i="48"/>
  <c r="J1195" i="48" s="1"/>
  <c r="I1461" i="48"/>
  <c r="J1461" i="48" s="1"/>
  <c r="I1537" i="48"/>
  <c r="J1537" i="48" s="1"/>
  <c r="H881" i="48"/>
  <c r="N881" i="48" s="1"/>
  <c r="N882" i="48" s="1"/>
  <c r="L1239" i="48"/>
  <c r="G1620" i="48"/>
  <c r="H1620" i="48" s="1"/>
  <c r="N1620" i="48" s="1"/>
  <c r="G1630" i="48"/>
  <c r="H1630" i="48" s="1"/>
  <c r="N1630" i="48" s="1"/>
  <c r="G1601" i="48"/>
  <c r="H1601" i="48" s="1"/>
  <c r="N1601" i="48" s="1"/>
  <c r="N1672" i="48"/>
  <c r="N2404" i="48"/>
  <c r="M3465" i="48"/>
  <c r="N2388" i="48"/>
  <c r="I3098" i="48"/>
  <c r="J3098" i="48" s="1"/>
  <c r="I1187" i="48"/>
  <c r="J1187" i="48" s="1"/>
  <c r="I1227" i="48"/>
  <c r="J1227" i="48" s="1"/>
  <c r="I1203" i="48"/>
  <c r="J1203" i="48" s="1"/>
  <c r="I1211" i="48"/>
  <c r="J1211" i="48" s="1"/>
  <c r="I1394" i="48"/>
  <c r="J1394" i="48" s="1"/>
  <c r="I1490" i="48"/>
  <c r="J1490" i="48" s="1"/>
  <c r="I1412" i="48"/>
  <c r="J1412" i="48" s="1"/>
  <c r="I1548" i="48"/>
  <c r="J1548" i="48" s="1"/>
  <c r="I1421" i="48"/>
  <c r="J1421" i="48" s="1"/>
  <c r="I1326" i="48"/>
  <c r="J1326" i="48" s="1"/>
  <c r="I1526" i="48"/>
  <c r="J1526" i="48" s="1"/>
  <c r="H2294" i="48"/>
  <c r="I3278" i="48"/>
  <c r="J3278" i="48" s="1"/>
  <c r="G3001" i="48"/>
  <c r="H3001" i="48" s="1"/>
  <c r="G1241" i="48"/>
  <c r="M3406" i="48"/>
  <c r="L3406" i="48"/>
  <c r="L1386" i="48"/>
  <c r="H3278" i="48"/>
  <c r="N249" i="48"/>
  <c r="I1219" i="48"/>
  <c r="J1219" i="48" s="1"/>
  <c r="I1277" i="48"/>
  <c r="J1277" i="48" s="1"/>
  <c r="I1235" i="48"/>
  <c r="J1235" i="48" s="1"/>
  <c r="I1243" i="48"/>
  <c r="J1243" i="48" s="1"/>
  <c r="I1403" i="48"/>
  <c r="J1403" i="48" s="1"/>
  <c r="I1581" i="48"/>
  <c r="J1581" i="48" s="1"/>
  <c r="I1431" i="48"/>
  <c r="J1431" i="48" s="1"/>
  <c r="I1570" i="48"/>
  <c r="J1570" i="48" s="1"/>
  <c r="I1508" i="48"/>
  <c r="J1508" i="48" s="1"/>
  <c r="I1366" i="48"/>
  <c r="J1366" i="48" s="1"/>
  <c r="I1559" i="48"/>
  <c r="J1559" i="48" s="1"/>
  <c r="N2139" i="48"/>
  <c r="M3711" i="48"/>
  <c r="M2339" i="48"/>
  <c r="L3626" i="48"/>
  <c r="L3628" i="48" s="1"/>
  <c r="H3725" i="48"/>
  <c r="N3725" i="48" s="1"/>
  <c r="N3726" i="48" s="1"/>
  <c r="I3238" i="48"/>
  <c r="L962" i="48"/>
  <c r="G1610" i="48"/>
  <c r="H1610" i="48" s="1"/>
  <c r="N1610" i="48" s="1"/>
  <c r="BY262" i="45"/>
  <c r="I1251" i="48"/>
  <c r="J1251" i="48" s="1"/>
  <c r="I1301" i="48"/>
  <c r="J1301" i="48" s="1"/>
  <c r="I1285" i="48"/>
  <c r="J1285" i="48" s="1"/>
  <c r="I1293" i="48"/>
  <c r="J1293" i="48" s="1"/>
  <c r="I1441" i="48"/>
  <c r="J1441" i="48" s="1"/>
  <c r="I1346" i="48"/>
  <c r="J1346" i="48" s="1"/>
  <c r="I1471" i="48"/>
  <c r="J1471" i="48" s="1"/>
  <c r="I1336" i="48"/>
  <c r="J1336" i="48" s="1"/>
  <c r="I1517" i="48"/>
  <c r="J1517" i="48" s="1"/>
  <c r="I1451" i="48"/>
  <c r="J1451" i="48" s="1"/>
  <c r="L1215" i="48"/>
  <c r="L1223" i="48"/>
  <c r="H1134" i="48"/>
  <c r="J1317" i="48"/>
  <c r="H1075" i="48"/>
  <c r="N1075" i="48" s="1"/>
  <c r="N1076" i="48" s="1"/>
  <c r="H2420" i="48"/>
  <c r="L3943" i="48"/>
  <c r="N3943" i="48" s="1"/>
  <c r="BY145" i="45"/>
  <c r="G2653" i="48"/>
  <c r="H2653" i="48" s="1"/>
  <c r="G1177" i="48"/>
  <c r="L624" i="48"/>
  <c r="N624" i="48" s="1"/>
  <c r="N625" i="48" s="1"/>
  <c r="H3816" i="48"/>
  <c r="N763" i="48"/>
  <c r="G1440" i="48"/>
  <c r="H1440" i="48" s="1"/>
  <c r="G1170" i="48"/>
  <c r="H1170" i="48" s="1"/>
  <c r="G1275" i="48"/>
  <c r="N2106" i="48"/>
  <c r="G1460" i="48"/>
  <c r="H1460" i="48" s="1"/>
  <c r="G1233" i="48"/>
  <c r="H1233" i="48" s="1"/>
  <c r="G1202" i="48"/>
  <c r="M3085" i="48"/>
  <c r="G1558" i="48"/>
  <c r="H1558" i="48" s="1"/>
  <c r="G1595" i="48"/>
  <c r="H1595" i="48" s="1"/>
  <c r="G1420" i="48"/>
  <c r="H1420" i="48" s="1"/>
  <c r="G2510" i="48"/>
  <c r="H2510" i="48" s="1"/>
  <c r="H2511" i="48" s="1"/>
  <c r="N758" i="48"/>
  <c r="N2073" i="48"/>
  <c r="G1591" i="48"/>
  <c r="H1591" i="48" s="1"/>
  <c r="G2516" i="48"/>
  <c r="H2516" i="48" s="1"/>
  <c r="H2517" i="48" s="1"/>
  <c r="G2519" i="48"/>
  <c r="H2519" i="48" s="1"/>
  <c r="H2520" i="48" s="1"/>
  <c r="G1604" i="48"/>
  <c r="H1604" i="48" s="1"/>
  <c r="M1140" i="48"/>
  <c r="G1234" i="48"/>
  <c r="G1645" i="48"/>
  <c r="G1226" i="48"/>
  <c r="G1153" i="48"/>
  <c r="G1121" i="48"/>
  <c r="G1291" i="48"/>
  <c r="G1193" i="48"/>
  <c r="G1120" i="48"/>
  <c r="G1276" i="48"/>
  <c r="G1210" i="48"/>
  <c r="G1209" i="48"/>
  <c r="G1201" i="48"/>
  <c r="G1149" i="48"/>
  <c r="G1118" i="48"/>
  <c r="G1250" i="48"/>
  <c r="G1186" i="48"/>
  <c r="G1117" i="48"/>
  <c r="G1249" i="48"/>
  <c r="G1185" i="48"/>
  <c r="G1150" i="48"/>
  <c r="G1194" i="48"/>
  <c r="G1137" i="48"/>
  <c r="G1299" i="48"/>
  <c r="G1225" i="48"/>
  <c r="G1152" i="48"/>
  <c r="G1284" i="48"/>
  <c r="G1242" i="48"/>
  <c r="G1178" i="48"/>
  <c r="G1300" i="48"/>
  <c r="G1169" i="48"/>
  <c r="G1133" i="48"/>
  <c r="G1292" i="48"/>
  <c r="G1218" i="48"/>
  <c r="G1136" i="48"/>
  <c r="G1283" i="48"/>
  <c r="G1217" i="48"/>
  <c r="M3340" i="48"/>
  <c r="L3340" i="48"/>
  <c r="N2095" i="48"/>
  <c r="BY387" i="45"/>
  <c r="L3070" i="48"/>
  <c r="N3599" i="48"/>
  <c r="H2029" i="48"/>
  <c r="M3254" i="48"/>
  <c r="H838" i="48"/>
  <c r="K3099" i="48"/>
  <c r="L3099" i="48" s="1"/>
  <c r="BY265" i="45"/>
  <c r="N746" i="48"/>
  <c r="H3599" i="48"/>
  <c r="N838" i="48"/>
  <c r="K3050" i="48"/>
  <c r="L3050" i="48" s="1"/>
  <c r="M732" i="48"/>
  <c r="L732" i="48"/>
  <c r="BY142" i="45"/>
  <c r="BY370" i="45"/>
  <c r="N2574" i="48"/>
  <c r="N2575" i="48" s="1"/>
  <c r="BY367" i="45"/>
  <c r="BY372" i="45"/>
  <c r="N3802" i="48"/>
  <c r="G3076" i="48"/>
  <c r="G3103" i="48"/>
  <c r="H3103" i="48" s="1"/>
  <c r="G1516" i="48"/>
  <c r="H1516" i="48" s="1"/>
  <c r="G1411" i="48"/>
  <c r="H1411" i="48" s="1"/>
  <c r="G1375" i="48"/>
  <c r="H1375" i="48" s="1"/>
  <c r="G1365" i="48"/>
  <c r="H1365" i="48" s="1"/>
  <c r="G2779" i="48"/>
  <c r="H2779" i="48" s="1"/>
  <c r="G1345" i="48"/>
  <c r="H1345" i="48" s="1"/>
  <c r="G1525" i="48"/>
  <c r="H1525" i="48" s="1"/>
  <c r="G1536" i="48"/>
  <c r="H1536" i="48" s="1"/>
  <c r="G2664" i="48"/>
  <c r="H2664" i="48" s="1"/>
  <c r="G1569" i="48"/>
  <c r="H1569" i="48" s="1"/>
  <c r="G1507" i="48"/>
  <c r="H1507" i="48" s="1"/>
  <c r="G1489" i="48"/>
  <c r="H1489" i="48" s="1"/>
  <c r="G3008" i="48"/>
  <c r="H3008" i="48" s="1"/>
  <c r="H3013" i="48" s="1"/>
  <c r="G1547" i="48"/>
  <c r="H1547" i="48" s="1"/>
  <c r="G1450" i="48"/>
  <c r="H1450" i="48" s="1"/>
  <c r="G1402" i="48"/>
  <c r="H1402" i="48" s="1"/>
  <c r="G1384" i="48"/>
  <c r="H1384" i="48" s="1"/>
  <c r="N536" i="48"/>
  <c r="M3047" i="48"/>
  <c r="L3454" i="48"/>
  <c r="N111" i="48"/>
  <c r="N114" i="48" s="1"/>
  <c r="T1300" i="48"/>
  <c r="E1331" i="48" s="1"/>
  <c r="J1331" i="48" s="1"/>
  <c r="N1331" i="48" s="1"/>
  <c r="R1301" i="48"/>
  <c r="M3341" i="48"/>
  <c r="H3341" i="48"/>
  <c r="G2528" i="48"/>
  <c r="H2528" i="48" s="1"/>
  <c r="H2529" i="48" s="1"/>
  <c r="G2525" i="48"/>
  <c r="G2522" i="48"/>
  <c r="H2522" i="48" s="1"/>
  <c r="H2523" i="48" s="1"/>
  <c r="G2531" i="48"/>
  <c r="H2531" i="48" s="1"/>
  <c r="N3047" i="48"/>
  <c r="I3286" i="48"/>
  <c r="I3270" i="48"/>
  <c r="I3262" i="48"/>
  <c r="I3246" i="48"/>
  <c r="I3561" i="48"/>
  <c r="I785" i="48"/>
  <c r="T1310" i="48"/>
  <c r="E1341" i="48" s="1"/>
  <c r="J1341" i="48" s="1"/>
  <c r="N1341" i="48" s="1"/>
  <c r="R1311" i="48"/>
  <c r="H1767" i="48"/>
  <c r="G3083" i="48"/>
  <c r="G3064" i="48"/>
  <c r="G3045" i="48"/>
  <c r="G3026" i="48"/>
  <c r="R3147" i="48"/>
  <c r="T3146" i="48"/>
  <c r="H1083" i="48"/>
  <c r="H1997" i="48"/>
  <c r="I2513" i="48"/>
  <c r="I1604" i="48"/>
  <c r="I2516" i="48"/>
  <c r="I2510" i="48"/>
  <c r="I2519" i="48"/>
  <c r="I1595" i="48"/>
  <c r="G3200" i="48"/>
  <c r="G3168" i="48"/>
  <c r="G3176" i="48"/>
  <c r="G3192" i="48"/>
  <c r="G3216" i="48"/>
  <c r="G3184" i="48"/>
  <c r="G3208" i="48"/>
  <c r="M3118" i="48"/>
  <c r="L3118" i="48"/>
  <c r="N797" i="48"/>
  <c r="N2340" i="48"/>
  <c r="H2453" i="48"/>
  <c r="M739" i="48"/>
  <c r="L739" i="48"/>
  <c r="H1124" i="48"/>
  <c r="N1124" i="48" s="1"/>
  <c r="M1124" i="48"/>
  <c r="N1741" i="48"/>
  <c r="M957" i="48"/>
  <c r="L957" i="48"/>
  <c r="G1790" i="48"/>
  <c r="H1790" i="48" s="1"/>
  <c r="H1797" i="48" s="1"/>
  <c r="G3093" i="48"/>
  <c r="H3093" i="48" s="1"/>
  <c r="N3740" i="48"/>
  <c r="M3363" i="48"/>
  <c r="H3363" i="48"/>
  <c r="M2500" i="48"/>
  <c r="L2500" i="48"/>
  <c r="K2519" i="48"/>
  <c r="L2519" i="48" s="1"/>
  <c r="L2520" i="48" s="1"/>
  <c r="K2513" i="48"/>
  <c r="L2513" i="48" s="1"/>
  <c r="L2514" i="48" s="1"/>
  <c r="K2516" i="48"/>
  <c r="L2516" i="48" s="1"/>
  <c r="L2517" i="48" s="1"/>
  <c r="K1604" i="48"/>
  <c r="L1604" i="48" s="1"/>
  <c r="L1611" i="48" s="1"/>
  <c r="K2510" i="48"/>
  <c r="L2510" i="48" s="1"/>
  <c r="L2511" i="48" s="1"/>
  <c r="K1595" i="48"/>
  <c r="L1595" i="48" s="1"/>
  <c r="L1602" i="48" s="1"/>
  <c r="M3362" i="48"/>
  <c r="L3362" i="48"/>
  <c r="L972" i="48"/>
  <c r="M972" i="48"/>
  <c r="O789" i="48"/>
  <c r="A125" i="48"/>
  <c r="A128" i="48" s="1"/>
  <c r="A131" i="48" s="1"/>
  <c r="A135" i="48" s="1"/>
  <c r="A139" i="48" s="1"/>
  <c r="A142" i="48" s="1"/>
  <c r="A145" i="48" s="1"/>
  <c r="A148" i="48" s="1"/>
  <c r="A151" i="48" s="1"/>
  <c r="A154" i="48" s="1"/>
  <c r="A157" i="48" s="1"/>
  <c r="A161" i="48" s="1"/>
  <c r="A165" i="48" s="1"/>
  <c r="A169" i="48" s="1"/>
  <c r="A173" i="48" s="1"/>
  <c r="A177" i="48" s="1"/>
  <c r="A181" i="48" s="1"/>
  <c r="A185" i="48" s="1"/>
  <c r="A189" i="48" s="1"/>
  <c r="N1017" i="48"/>
  <c r="L1309" i="48"/>
  <c r="H1309" i="48"/>
  <c r="J1309" i="48"/>
  <c r="N1729" i="48"/>
  <c r="N1732" i="48" s="1"/>
  <c r="H1732" i="48"/>
  <c r="R1389" i="48"/>
  <c r="R1390" i="48" s="1"/>
  <c r="T1388" i="48"/>
  <c r="R1904" i="48"/>
  <c r="T1903" i="48"/>
  <c r="R2394" i="48"/>
  <c r="T2393" i="48"/>
  <c r="H2569" i="48"/>
  <c r="N2568" i="48"/>
  <c r="N2569" i="48" s="1"/>
  <c r="M2733" i="48"/>
  <c r="L2733" i="48"/>
  <c r="T2682" i="48"/>
  <c r="R2683" i="48"/>
  <c r="M3515" i="48"/>
  <c r="L3515" i="48"/>
  <c r="N993" i="48"/>
  <c r="T1672" i="48"/>
  <c r="R1673" i="48"/>
  <c r="N1427" i="48"/>
  <c r="T1475" i="48"/>
  <c r="R1476" i="48"/>
  <c r="R1477" i="48" s="1"/>
  <c r="T2113" i="48"/>
  <c r="R2114" i="48"/>
  <c r="H3063" i="48"/>
  <c r="M3207" i="48"/>
  <c r="H3207" i="48"/>
  <c r="L3556" i="48"/>
  <c r="M3556" i="48"/>
  <c r="L585" i="48"/>
  <c r="N585" i="48" s="1"/>
  <c r="N586" i="48" s="1"/>
  <c r="M585" i="48"/>
  <c r="G778" i="48"/>
  <c r="G787" i="48"/>
  <c r="I3087" i="48"/>
  <c r="J3087" i="48" s="1"/>
  <c r="I3049" i="48"/>
  <c r="J3049" i="48" s="1"/>
  <c r="I3030" i="48"/>
  <c r="J3030" i="48" s="1"/>
  <c r="I3068" i="48"/>
  <c r="J3068" i="48" s="1"/>
  <c r="I3094" i="48"/>
  <c r="J3094" i="48" s="1"/>
  <c r="L1438" i="48"/>
  <c r="H1438" i="48"/>
  <c r="J1438" i="48"/>
  <c r="T1535" i="48"/>
  <c r="E1566" i="48" s="1"/>
  <c r="J1566" i="48" s="1"/>
  <c r="N1566" i="48" s="1"/>
  <c r="R1536" i="48"/>
  <c r="R1380" i="48"/>
  <c r="R1381" i="48" s="1"/>
  <c r="T1379" i="48"/>
  <c r="N1351" i="48"/>
  <c r="T2007" i="48"/>
  <c r="E2038" i="48" s="1"/>
  <c r="R2008" i="48"/>
  <c r="N1678" i="48"/>
  <c r="N1680" i="48" s="1"/>
  <c r="H1680" i="48"/>
  <c r="G1922" i="48"/>
  <c r="G1912" i="48"/>
  <c r="G1890" i="48"/>
  <c r="G1878" i="48"/>
  <c r="G1942" i="48"/>
  <c r="G1932" i="48"/>
  <c r="G1901" i="48"/>
  <c r="K3287" i="48"/>
  <c r="L3287" i="48" s="1"/>
  <c r="L3292" i="48" s="1"/>
  <c r="K3279" i="48"/>
  <c r="L3279" i="48" s="1"/>
  <c r="L3284" i="48" s="1"/>
  <c r="K3271" i="48"/>
  <c r="L3271" i="48" s="1"/>
  <c r="L3276" i="48" s="1"/>
  <c r="K3263" i="48"/>
  <c r="L3263" i="48" s="1"/>
  <c r="L3268" i="48" s="1"/>
  <c r="K3239" i="48"/>
  <c r="L3239" i="48" s="1"/>
  <c r="L3244" i="48" s="1"/>
  <c r="K3247" i="48"/>
  <c r="L3247" i="48" s="1"/>
  <c r="L3252" i="48" s="1"/>
  <c r="K3255" i="48"/>
  <c r="L3255" i="48" s="1"/>
  <c r="L3260" i="48" s="1"/>
  <c r="H1060" i="48"/>
  <c r="N1060" i="48" s="1"/>
  <c r="M1060" i="48"/>
  <c r="N1083" i="48"/>
  <c r="M736" i="48"/>
  <c r="H736" i="48"/>
  <c r="H1155" i="48"/>
  <c r="N1155" i="48" s="1"/>
  <c r="M1155" i="48"/>
  <c r="M869" i="48"/>
  <c r="H869" i="48"/>
  <c r="L953" i="48"/>
  <c r="N952" i="48"/>
  <c r="N953" i="48" s="1"/>
  <c r="J1532" i="48"/>
  <c r="L1532" i="48"/>
  <c r="H1532" i="48"/>
  <c r="R1485" i="48"/>
  <c r="R1486" i="48" s="1"/>
  <c r="T1484" i="48"/>
  <c r="T1654" i="48"/>
  <c r="R1655" i="48"/>
  <c r="T1513" i="48"/>
  <c r="E1544" i="48" s="1"/>
  <c r="J1544" i="48" s="1"/>
  <c r="N1544" i="48" s="1"/>
  <c r="R1514" i="48"/>
  <c r="T1680" i="48"/>
  <c r="R1681" i="48"/>
  <c r="R1638" i="48"/>
  <c r="T1637" i="48"/>
  <c r="L1523" i="48"/>
  <c r="L1527" i="48" s="1"/>
  <c r="H1523" i="48"/>
  <c r="J1523" i="48"/>
  <c r="N3780" i="48"/>
  <c r="H3784" i="48"/>
  <c r="N2185" i="48"/>
  <c r="T2080" i="48"/>
  <c r="R2081" i="48"/>
  <c r="R2315" i="48"/>
  <c r="T2314" i="48"/>
  <c r="T2838" i="48"/>
  <c r="R2839" i="48"/>
  <c r="R2934" i="48"/>
  <c r="T2933" i="48"/>
  <c r="M3028" i="48"/>
  <c r="L3028" i="48"/>
  <c r="N3028" i="48" s="1"/>
  <c r="G3217" i="48"/>
  <c r="G3209" i="48"/>
  <c r="G3201" i="48"/>
  <c r="G3193" i="48"/>
  <c r="G3185" i="48"/>
  <c r="G3177" i="48"/>
  <c r="G3169" i="48"/>
  <c r="M3844" i="48"/>
  <c r="L3844" i="48"/>
  <c r="H3264" i="48"/>
  <c r="N121" i="48"/>
  <c r="G3104" i="48"/>
  <c r="G2534" i="48"/>
  <c r="G2543" i="48"/>
  <c r="G2540" i="48"/>
  <c r="G2537" i="48"/>
  <c r="G1590" i="48"/>
  <c r="G1546" i="48"/>
  <c r="G1515" i="48"/>
  <c r="G1488" i="48"/>
  <c r="G1429" i="48"/>
  <c r="G1410" i="48"/>
  <c r="G1392" i="48"/>
  <c r="G1383" i="48"/>
  <c r="G1334" i="48"/>
  <c r="G1497" i="48"/>
  <c r="G1469" i="48"/>
  <c r="G1459" i="48"/>
  <c r="G1439" i="48"/>
  <c r="G1344" i="48"/>
  <c r="G1642" i="48"/>
  <c r="G1568" i="48"/>
  <c r="G1557" i="48"/>
  <c r="G1524" i="48"/>
  <c r="G1506" i="48"/>
  <c r="G1449" i="48"/>
  <c r="G1579" i="48"/>
  <c r="G1535" i="48"/>
  <c r="G1479" i="48"/>
  <c r="G1419" i="48"/>
  <c r="G1401" i="48"/>
  <c r="G1374" i="48"/>
  <c r="G1364" i="48"/>
  <c r="G1354" i="48"/>
  <c r="G1324" i="48"/>
  <c r="M917" i="48"/>
  <c r="H917" i="48"/>
  <c r="N1531" i="48"/>
  <c r="L1448" i="48"/>
  <c r="H1448" i="48"/>
  <c r="J1448" i="48"/>
  <c r="L1468" i="48"/>
  <c r="H1468" i="48"/>
  <c r="J1468" i="48"/>
  <c r="J1428" i="48"/>
  <c r="L1428" i="48"/>
  <c r="H1428" i="48"/>
  <c r="J1505" i="48"/>
  <c r="L1505" i="48"/>
  <c r="H1505" i="48"/>
  <c r="R1699" i="48"/>
  <c r="T1698" i="48"/>
  <c r="I3563" i="48"/>
  <c r="J3563" i="48" s="1"/>
  <c r="I3092" i="48"/>
  <c r="J3092" i="48" s="1"/>
  <c r="T2047" i="48"/>
  <c r="R2048" i="48"/>
  <c r="T2123" i="48"/>
  <c r="R2124" i="48"/>
  <c r="H2575" i="48"/>
  <c r="N2420" i="48"/>
  <c r="H2388" i="48"/>
  <c r="T2811" i="48"/>
  <c r="R2812" i="48"/>
  <c r="T2609" i="48"/>
  <c r="R2611" i="48"/>
  <c r="G1629" i="48"/>
  <c r="G1600" i="48"/>
  <c r="G1619" i="48"/>
  <c r="G1609" i="48"/>
  <c r="M2824" i="48"/>
  <c r="L2824" i="48"/>
  <c r="T2853" i="48"/>
  <c r="E2884" i="48" s="1"/>
  <c r="J2884" i="48" s="1"/>
  <c r="N2884" i="48" s="1"/>
  <c r="R2854" i="48"/>
  <c r="M3183" i="48"/>
  <c r="H3183" i="48"/>
  <c r="M3215" i="48"/>
  <c r="H3215" i="48"/>
  <c r="M3583" i="48"/>
  <c r="H3583" i="48"/>
  <c r="N3659" i="48"/>
  <c r="H3660" i="48"/>
  <c r="N3849" i="48"/>
  <c r="N3850" i="48" s="1"/>
  <c r="H3850" i="48"/>
  <c r="N200" i="48"/>
  <c r="I1618" i="48"/>
  <c r="J1618" i="48" s="1"/>
  <c r="I1599" i="48"/>
  <c r="J1599" i="48" s="1"/>
  <c r="I1628" i="48"/>
  <c r="J1628" i="48" s="1"/>
  <c r="I1608" i="48"/>
  <c r="J1608" i="48" s="1"/>
  <c r="N1009" i="48"/>
  <c r="M219" i="48"/>
  <c r="H219" i="48"/>
  <c r="N490" i="48"/>
  <c r="K1151" i="48"/>
  <c r="L1151" i="48" s="1"/>
  <c r="K1135" i="48"/>
  <c r="L1135" i="48" s="1"/>
  <c r="K1119" i="48"/>
  <c r="L1119" i="48" s="1"/>
  <c r="N977" i="48"/>
  <c r="M947" i="48"/>
  <c r="L947" i="48"/>
  <c r="R1409" i="48"/>
  <c r="R1410" i="48" s="1"/>
  <c r="T1408" i="48"/>
  <c r="I3099" i="48"/>
  <c r="J3099" i="48" s="1"/>
  <c r="I3088" i="48"/>
  <c r="J3088" i="48" s="1"/>
  <c r="I3069" i="48"/>
  <c r="J3069" i="48" s="1"/>
  <c r="I3050" i="48"/>
  <c r="J3050" i="48" s="1"/>
  <c r="I3031" i="48"/>
  <c r="J3031" i="48" s="1"/>
  <c r="T1828" i="48"/>
  <c r="U1821" i="48" s="1"/>
  <c r="R1829" i="48"/>
  <c r="R1925" i="48"/>
  <c r="T1924" i="48"/>
  <c r="E1955" i="48" s="1"/>
  <c r="J1955" i="48" s="1"/>
  <c r="N1955" i="48" s="1"/>
  <c r="H1741" i="48"/>
  <c r="R2192" i="48"/>
  <c r="T2191" i="48"/>
  <c r="H2404" i="48"/>
  <c r="N2309" i="48"/>
  <c r="R2635" i="48"/>
  <c r="T2634" i="48"/>
  <c r="E2665" i="48" s="1"/>
  <c r="J2665" i="48" s="1"/>
  <c r="M2493" i="48"/>
  <c r="L2493" i="48"/>
  <c r="M2707" i="48"/>
  <c r="L2707" i="48"/>
  <c r="T2797" i="48"/>
  <c r="R2798" i="48"/>
  <c r="N3607" i="48"/>
  <c r="N3608" i="48" s="1"/>
  <c r="H3608" i="48"/>
  <c r="M3671" i="48"/>
  <c r="H3671" i="48"/>
  <c r="N1065" i="48"/>
  <c r="N1001" i="48"/>
  <c r="N845" i="48"/>
  <c r="N846" i="48" s="1"/>
  <c r="T1370" i="48"/>
  <c r="R1371" i="48"/>
  <c r="R1372" i="48" s="1"/>
  <c r="N1575" i="48"/>
  <c r="T1330" i="48"/>
  <c r="E1361" i="48" s="1"/>
  <c r="J1361" i="48" s="1"/>
  <c r="R1331" i="48"/>
  <c r="N1390" i="48"/>
  <c r="T1806" i="48"/>
  <c r="R1807" i="48"/>
  <c r="R2150" i="48"/>
  <c r="T2149" i="48"/>
  <c r="R2331" i="48"/>
  <c r="T2330" i="48"/>
  <c r="R2224" i="48"/>
  <c r="T2223" i="48"/>
  <c r="N1759" i="48"/>
  <c r="I1600" i="48"/>
  <c r="J1600" i="48" s="1"/>
  <c r="I1619" i="48"/>
  <c r="J1619" i="48" s="1"/>
  <c r="I1609" i="48"/>
  <c r="J1609" i="48" s="1"/>
  <c r="I1629" i="48"/>
  <c r="J1629" i="48" s="1"/>
  <c r="R2599" i="48"/>
  <c r="T2598" i="48"/>
  <c r="N2487" i="48"/>
  <c r="T2889" i="48"/>
  <c r="R2890" i="48"/>
  <c r="L3492" i="48"/>
  <c r="N3490" i="48"/>
  <c r="M3589" i="48"/>
  <c r="H3589" i="48"/>
  <c r="H3528" i="48"/>
  <c r="M3528" i="48"/>
  <c r="H3651" i="48"/>
  <c r="M3651" i="48"/>
  <c r="H3557" i="48"/>
  <c r="M3557" i="48"/>
  <c r="H3643" i="48"/>
  <c r="M3643" i="48"/>
  <c r="G3094" i="48"/>
  <c r="G3087" i="48"/>
  <c r="G3049" i="48"/>
  <c r="G3068" i="48"/>
  <c r="G3030" i="48"/>
  <c r="N927" i="48"/>
  <c r="N928" i="48" s="1"/>
  <c r="L928" i="48"/>
  <c r="J2053" i="48"/>
  <c r="L2053" i="48"/>
  <c r="H2053" i="48"/>
  <c r="N3329" i="48"/>
  <c r="H3330" i="48"/>
  <c r="M3391" i="48"/>
  <c r="H3391" i="48"/>
  <c r="M1052" i="48"/>
  <c r="H1052" i="48"/>
  <c r="N1052" i="48" s="1"/>
  <c r="H1123" i="48"/>
  <c r="N1123" i="48" s="1"/>
  <c r="M1123" i="48"/>
  <c r="T1872" i="48"/>
  <c r="R1873" i="48"/>
  <c r="M3107" i="48"/>
  <c r="L3107" i="48"/>
  <c r="N3107" i="48" s="1"/>
  <c r="M3372" i="48"/>
  <c r="L3372" i="48"/>
  <c r="M3478" i="48"/>
  <c r="L3478" i="48"/>
  <c r="M321" i="48"/>
  <c r="H321" i="48"/>
  <c r="N604" i="48"/>
  <c r="N606" i="48" s="1"/>
  <c r="H606" i="48"/>
  <c r="M1004" i="48"/>
  <c r="H1004" i="48"/>
  <c r="N1004" i="48" s="1"/>
  <c r="N1496" i="48"/>
  <c r="T1502" i="48"/>
  <c r="E1533" i="48" s="1"/>
  <c r="J1533" i="48" s="1"/>
  <c r="N1533" i="48" s="1"/>
  <c r="R1503" i="48"/>
  <c r="J1373" i="48"/>
  <c r="L1373" i="48"/>
  <c r="H1373" i="48"/>
  <c r="J1543" i="48"/>
  <c r="L1543" i="48"/>
  <c r="H1543" i="48"/>
  <c r="J1418" i="48"/>
  <c r="L1418" i="48"/>
  <c r="H1418" i="48"/>
  <c r="N1522" i="48"/>
  <c r="R1941" i="48"/>
  <c r="T1940" i="48"/>
  <c r="E1971" i="48" s="1"/>
  <c r="J1971" i="48" s="1"/>
  <c r="N1971" i="48" s="1"/>
  <c r="K781" i="48"/>
  <c r="L781" i="48" s="1"/>
  <c r="K790" i="48"/>
  <c r="L790" i="48" s="1"/>
  <c r="T2090" i="48"/>
  <c r="R2091" i="48"/>
  <c r="R2379" i="48"/>
  <c r="T2378" i="48"/>
  <c r="R2774" i="48"/>
  <c r="T2773" i="48"/>
  <c r="T2669" i="48"/>
  <c r="R2670" i="48"/>
  <c r="T2749" i="48"/>
  <c r="E2780" i="48" s="1"/>
  <c r="J2780" i="48" s="1"/>
  <c r="R2750" i="48"/>
  <c r="R2737" i="48"/>
  <c r="T2736" i="48"/>
  <c r="T2785" i="48"/>
  <c r="R2786" i="48"/>
  <c r="R2916" i="48"/>
  <c r="T2915" i="48"/>
  <c r="T2905" i="48"/>
  <c r="E2936" i="48" s="1"/>
  <c r="J2936" i="48" s="1"/>
  <c r="N2936" i="48" s="1"/>
  <c r="R2906" i="48"/>
  <c r="M2641" i="48"/>
  <c r="H2641" i="48"/>
  <c r="M3704" i="48"/>
  <c r="H3704" i="48"/>
  <c r="M3140" i="48"/>
  <c r="H3140" i="48"/>
  <c r="N3796" i="48"/>
  <c r="M612" i="48"/>
  <c r="L612" i="48"/>
  <c r="N612" i="48" s="1"/>
  <c r="N35" i="48"/>
  <c r="I1151" i="48"/>
  <c r="J1151" i="48" s="1"/>
  <c r="I1135" i="48"/>
  <c r="J1135" i="48" s="1"/>
  <c r="I1119" i="48"/>
  <c r="J1119" i="48" s="1"/>
  <c r="J1323" i="48"/>
  <c r="L1323" i="48"/>
  <c r="H1323" i="48"/>
  <c r="G1157" i="48"/>
  <c r="G1141" i="48"/>
  <c r="G1125" i="48"/>
  <c r="G699" i="48"/>
  <c r="G723" i="48"/>
  <c r="G711" i="48"/>
  <c r="G705" i="48"/>
  <c r="G717" i="48"/>
  <c r="N693" i="48"/>
  <c r="N696" i="48" s="1"/>
  <c r="H696" i="48"/>
  <c r="H1317" i="48"/>
  <c r="N1315" i="48"/>
  <c r="N857" i="48"/>
  <c r="N858" i="48" s="1"/>
  <c r="R826" i="48" s="1"/>
  <c r="H858" i="48"/>
  <c r="R1419" i="48"/>
  <c r="R1420" i="48" s="1"/>
  <c r="T1418" i="48"/>
  <c r="R1439" i="48"/>
  <c r="R1440" i="48" s="1"/>
  <c r="T1438" i="48"/>
  <c r="R1354" i="48"/>
  <c r="T1353" i="48"/>
  <c r="T1400" i="48"/>
  <c r="R1400" i="48"/>
  <c r="T1817" i="48"/>
  <c r="R1818" i="48"/>
  <c r="R1762" i="48"/>
  <c r="T1761" i="48"/>
  <c r="R1894" i="48"/>
  <c r="T1893" i="48"/>
  <c r="R1524" i="48"/>
  <c r="T1523" i="48"/>
  <c r="N2002" i="48"/>
  <c r="T2573" i="48"/>
  <c r="R2574" i="48"/>
  <c r="T2444" i="48"/>
  <c r="R2445" i="48"/>
  <c r="N2324" i="48"/>
  <c r="T2623" i="48"/>
  <c r="E2654" i="48" s="1"/>
  <c r="J2654" i="48" s="1"/>
  <c r="R2624" i="48"/>
  <c r="N2883" i="48"/>
  <c r="M3191" i="48"/>
  <c r="H3191" i="48"/>
  <c r="N3698" i="48"/>
  <c r="M3831" i="48"/>
  <c r="H3831" i="48"/>
  <c r="H613" i="48"/>
  <c r="N611" i="48"/>
  <c r="L923" i="48"/>
  <c r="N922" i="48"/>
  <c r="N923" i="48" s="1"/>
  <c r="M1036" i="48"/>
  <c r="H1036" i="48"/>
  <c r="N1036" i="48" s="1"/>
  <c r="I3279" i="48"/>
  <c r="J3279" i="48" s="1"/>
  <c r="I3271" i="48"/>
  <c r="J3271" i="48" s="1"/>
  <c r="I3263" i="48"/>
  <c r="J3263" i="48" s="1"/>
  <c r="I3287" i="48"/>
  <c r="J3287" i="48" s="1"/>
  <c r="I3247" i="48"/>
  <c r="J3247" i="48" s="1"/>
  <c r="I3255" i="48"/>
  <c r="J3255" i="48" s="1"/>
  <c r="I3239" i="48"/>
  <c r="J3239" i="48" s="1"/>
  <c r="N752" i="48"/>
  <c r="N942" i="48"/>
  <c r="N943" i="48" s="1"/>
  <c r="J1478" i="48"/>
  <c r="L1478" i="48"/>
  <c r="L1482" i="48" s="1"/>
  <c r="H1478" i="48"/>
  <c r="L1409" i="48"/>
  <c r="H1409" i="48"/>
  <c r="J1409" i="48"/>
  <c r="G1846" i="48"/>
  <c r="G1835" i="48"/>
  <c r="G1800" i="48"/>
  <c r="G1857" i="48"/>
  <c r="G1824" i="48"/>
  <c r="G1812" i="48"/>
  <c r="N1587" i="48"/>
  <c r="T1797" i="48"/>
  <c r="R1798" i="48"/>
  <c r="I3093" i="48"/>
  <c r="I1790" i="48"/>
  <c r="N1954" i="48"/>
  <c r="R2346" i="48"/>
  <c r="T2345" i="48"/>
  <c r="H2309" i="48"/>
  <c r="T2645" i="48"/>
  <c r="R2646" i="48"/>
  <c r="L2693" i="48"/>
  <c r="H2693" i="48"/>
  <c r="J2693" i="48"/>
  <c r="L3527" i="48"/>
  <c r="M3527" i="48"/>
  <c r="M619" i="48"/>
  <c r="L619" i="48"/>
  <c r="N619" i="48" s="1"/>
  <c r="G1614" i="48"/>
  <c r="G1624" i="48"/>
  <c r="N3254" i="48"/>
  <c r="N243" i="48"/>
  <c r="H35" i="48"/>
  <c r="M265" i="48"/>
  <c r="H265" i="48"/>
  <c r="K663" i="48"/>
  <c r="M893" i="48"/>
  <c r="H893" i="48"/>
  <c r="N704" i="48"/>
  <c r="N875" i="48"/>
  <c r="N876" i="48" s="1"/>
  <c r="H876" i="48"/>
  <c r="J1400" i="48"/>
  <c r="L1400" i="48"/>
  <c r="H1400" i="48"/>
  <c r="N905" i="48"/>
  <c r="N906" i="48" s="1"/>
  <c r="H906" i="48"/>
  <c r="N1720" i="48"/>
  <c r="N1723" i="48" s="1"/>
  <c r="H1723" i="48"/>
  <c r="R1689" i="48"/>
  <c r="T1688" i="48"/>
  <c r="R1785" i="48"/>
  <c r="T1784" i="48"/>
  <c r="T2058" i="48"/>
  <c r="R2059" i="48"/>
  <c r="N1868" i="48"/>
  <c r="N1875" i="48" s="1"/>
  <c r="H1875" i="48"/>
  <c r="T2102" i="48"/>
  <c r="R2103" i="48"/>
  <c r="R1851" i="48"/>
  <c r="T1850" i="48"/>
  <c r="H1759" i="48"/>
  <c r="H2372" i="48"/>
  <c r="H2487" i="48"/>
  <c r="H3479" i="48"/>
  <c r="M3479" i="48"/>
  <c r="M3650" i="48"/>
  <c r="L3650" i="48"/>
  <c r="L3972" i="48"/>
  <c r="N3972" i="48" s="1"/>
  <c r="L3973" i="48" s="1"/>
  <c r="N3973" i="48" s="1"/>
  <c r="M3972" i="48"/>
  <c r="R2164" i="48"/>
  <c r="T2163" i="48"/>
  <c r="T2876" i="48"/>
  <c r="R2877" i="48"/>
  <c r="L3467" i="48"/>
  <c r="N3465" i="48"/>
  <c r="M3502" i="48"/>
  <c r="L3502" i="48"/>
  <c r="N1041" i="48"/>
  <c r="G1151" i="48"/>
  <c r="G1135" i="48"/>
  <c r="G1119" i="48"/>
  <c r="I1624" i="48"/>
  <c r="J1624" i="48" s="1"/>
  <c r="I1614" i="48"/>
  <c r="J1614" i="48" s="1"/>
  <c r="T1457" i="48"/>
  <c r="R1458" i="48"/>
  <c r="R1459" i="48" s="1"/>
  <c r="M3175" i="48"/>
  <c r="H3175" i="48"/>
  <c r="H3504" i="48"/>
  <c r="I1154" i="48"/>
  <c r="J1154" i="48" s="1"/>
  <c r="I1138" i="48"/>
  <c r="J1138" i="48" s="1"/>
  <c r="I1122" i="48"/>
  <c r="J1122" i="48" s="1"/>
  <c r="N985" i="48"/>
  <c r="H620" i="48"/>
  <c r="N618" i="48"/>
  <c r="M598" i="48"/>
  <c r="L598" i="48"/>
  <c r="M996" i="48"/>
  <c r="H996" i="48"/>
  <c r="N996" i="48" s="1"/>
  <c r="I1157" i="48"/>
  <c r="J1157" i="48" s="1"/>
  <c r="I1141" i="48"/>
  <c r="J1141" i="48" s="1"/>
  <c r="I1125" i="48"/>
  <c r="J1125" i="48" s="1"/>
  <c r="N863" i="48"/>
  <c r="N864" i="48" s="1"/>
  <c r="R832" i="48" s="1"/>
  <c r="H864" i="48"/>
  <c r="R211" i="48"/>
  <c r="T210" i="48"/>
  <c r="K1154" i="48"/>
  <c r="L1154" i="48" s="1"/>
  <c r="K1138" i="48"/>
  <c r="L1138" i="48" s="1"/>
  <c r="K1122" i="48"/>
  <c r="L1122" i="48" s="1"/>
  <c r="N830" i="48"/>
  <c r="N1033" i="48"/>
  <c r="H1068" i="48"/>
  <c r="N1068" i="48" s="1"/>
  <c r="M1068" i="48"/>
  <c r="J1310" i="48"/>
  <c r="L1310" i="48"/>
  <c r="H1310" i="48"/>
  <c r="T1663" i="48"/>
  <c r="R1664" i="48"/>
  <c r="R1344" i="48"/>
  <c r="T1343" i="48"/>
  <c r="J1514" i="48"/>
  <c r="L1514" i="48"/>
  <c r="H1514" i="48"/>
  <c r="R1629" i="48"/>
  <c r="T1628" i="48"/>
  <c r="N1382" i="48"/>
  <c r="N1417" i="48"/>
  <c r="T1493" i="48"/>
  <c r="R1494" i="48"/>
  <c r="R1495" i="48" s="1"/>
  <c r="N1711" i="48"/>
  <c r="N1714" i="48" s="1"/>
  <c r="H1714" i="48"/>
  <c r="T2069" i="48"/>
  <c r="R2070" i="48"/>
  <c r="N1970" i="48"/>
  <c r="R2024" i="48"/>
  <c r="T2023" i="48"/>
  <c r="E2054" i="48" s="1"/>
  <c r="H2188" i="48"/>
  <c r="N2188" i="48" s="1"/>
  <c r="M2188" i="48"/>
  <c r="H2340" i="48"/>
  <c r="T2561" i="48"/>
  <c r="R2562" i="48"/>
  <c r="N2453" i="48"/>
  <c r="R2549" i="48"/>
  <c r="T2548" i="48"/>
  <c r="R2698" i="48"/>
  <c r="T2697" i="48"/>
  <c r="N2935" i="48"/>
  <c r="M3373" i="48"/>
  <c r="H3373" i="48"/>
  <c r="L3830" i="48"/>
  <c r="M3830" i="48"/>
  <c r="H3763" i="48"/>
  <c r="N3665" i="48"/>
  <c r="N3666" i="48" s="1"/>
  <c r="H3666" i="48"/>
  <c r="L3966" i="48"/>
  <c r="M3966" i="48"/>
  <c r="H2514" i="48"/>
  <c r="M780" i="48"/>
  <c r="H780" i="48"/>
  <c r="N780" i="48" s="1"/>
  <c r="H1020" i="48"/>
  <c r="N1020" i="48" s="1"/>
  <c r="M1020" i="48"/>
  <c r="H1012" i="48"/>
  <c r="N1012" i="48" s="1"/>
  <c r="M1012" i="48"/>
  <c r="N520" i="48"/>
  <c r="M937" i="48"/>
  <c r="L937" i="48"/>
  <c r="R1294" i="48"/>
  <c r="T1293" i="48"/>
  <c r="L1317" i="48"/>
  <c r="J1487" i="48"/>
  <c r="L1487" i="48"/>
  <c r="H1487" i="48"/>
  <c r="N1542" i="48"/>
  <c r="N1504" i="48"/>
  <c r="H2175" i="48"/>
  <c r="T1724" i="48"/>
  <c r="R1725" i="48"/>
  <c r="R1973" i="48"/>
  <c r="T1972" i="48"/>
  <c r="E2003" i="48" s="1"/>
  <c r="J2003" i="48" s="1"/>
  <c r="N2003" i="48" s="1"/>
  <c r="R2283" i="48"/>
  <c r="T2282" i="48"/>
  <c r="R2298" i="48"/>
  <c r="T2297" i="48"/>
  <c r="H2324" i="48"/>
  <c r="R2427" i="48"/>
  <c r="T2426" i="48"/>
  <c r="H3086" i="48"/>
  <c r="M2760" i="48"/>
  <c r="L2760" i="48"/>
  <c r="M3167" i="48"/>
  <c r="H3167" i="48"/>
  <c r="M3199" i="48"/>
  <c r="H3199" i="48"/>
  <c r="M3422" i="48"/>
  <c r="L3422" i="48"/>
  <c r="N3353" i="48"/>
  <c r="H3354" i="48"/>
  <c r="H3698" i="48"/>
  <c r="H3740" i="48"/>
  <c r="L3839" i="48"/>
  <c r="N3837" i="48"/>
  <c r="L3955" i="48"/>
  <c r="N3955" i="48" s="1"/>
  <c r="N3954" i="48"/>
  <c r="N205" i="48"/>
  <c r="N206" i="48" s="1"/>
  <c r="H206" i="48"/>
  <c r="M988" i="48"/>
  <c r="H988" i="48"/>
  <c r="N988" i="48" s="1"/>
  <c r="M1044" i="48"/>
  <c r="H1044" i="48"/>
  <c r="N1044" i="48" s="1"/>
  <c r="M261" i="48"/>
  <c r="H261" i="48"/>
  <c r="L606" i="48"/>
  <c r="N1316" i="48"/>
  <c r="H1139" i="48"/>
  <c r="N1139" i="48" s="1"/>
  <c r="M1139" i="48"/>
  <c r="R1716" i="48"/>
  <c r="T1715" i="48"/>
  <c r="R1449" i="48"/>
  <c r="T1448" i="48"/>
  <c r="L1565" i="48"/>
  <c r="H1565" i="48"/>
  <c r="J1565" i="48"/>
  <c r="T1706" i="48"/>
  <c r="R1707" i="48"/>
  <c r="R1546" i="48"/>
  <c r="T1545" i="48"/>
  <c r="E1576" i="48" s="1"/>
  <c r="N1747" i="48"/>
  <c r="N1750" i="48" s="1"/>
  <c r="H1750" i="48"/>
  <c r="T1956" i="48"/>
  <c r="R1957" i="48"/>
  <c r="T1321" i="48"/>
  <c r="E1352" i="48" s="1"/>
  <c r="J1352" i="48" s="1"/>
  <c r="N1352" i="48" s="1"/>
  <c r="R1323" i="48"/>
  <c r="R1322" i="48"/>
  <c r="T1322" i="48" s="1"/>
  <c r="E1353" i="48" s="1"/>
  <c r="R1989" i="48"/>
  <c r="T1988" i="48"/>
  <c r="R1840" i="48"/>
  <c r="T1839" i="48"/>
  <c r="R1914" i="48"/>
  <c r="T1913" i="48"/>
  <c r="R2239" i="48"/>
  <c r="T2238" i="48"/>
  <c r="R2254" i="48"/>
  <c r="T2253" i="48"/>
  <c r="R2586" i="48"/>
  <c r="T2585" i="48"/>
  <c r="R2412" i="48"/>
  <c r="T2411" i="48"/>
  <c r="R2518" i="48"/>
  <c r="T2518" i="48" s="1"/>
  <c r="T2517" i="48"/>
  <c r="J2692" i="48"/>
  <c r="H2692" i="48"/>
  <c r="L2692" i="48"/>
  <c r="R2708" i="48"/>
  <c r="T2707" i="48"/>
  <c r="R3085" i="48"/>
  <c r="T3084" i="48"/>
  <c r="N2998" i="48"/>
  <c r="N2999" i="48" s="1"/>
  <c r="L2999" i="48"/>
  <c r="N3453" i="48"/>
  <c r="N3454" i="48" s="1"/>
  <c r="H3712" i="48"/>
  <c r="L3773" i="48"/>
  <c r="M3773" i="48"/>
  <c r="R204" i="48"/>
  <c r="T203" i="48"/>
  <c r="M316" i="48"/>
  <c r="H316" i="48"/>
  <c r="I3288" i="48"/>
  <c r="J3288" i="48" s="1"/>
  <c r="I3264" i="48"/>
  <c r="J3264" i="48" s="1"/>
  <c r="I3256" i="48"/>
  <c r="J3256" i="48" s="1"/>
  <c r="I3280" i="48"/>
  <c r="J3280" i="48" s="1"/>
  <c r="I3272" i="48"/>
  <c r="J3272" i="48" s="1"/>
  <c r="I3240" i="48"/>
  <c r="J3240" i="48" s="1"/>
  <c r="I3248" i="48"/>
  <c r="J3248" i="48" s="1"/>
  <c r="M729" i="48"/>
  <c r="H729" i="48"/>
  <c r="G1154" i="48"/>
  <c r="G1138" i="48"/>
  <c r="G1122" i="48"/>
  <c r="L967" i="48"/>
  <c r="M967" i="48"/>
  <c r="N1057" i="48"/>
  <c r="R1469" i="48"/>
  <c r="T1469" i="48" s="1"/>
  <c r="T1468" i="48"/>
  <c r="L1458" i="48"/>
  <c r="H1458" i="48"/>
  <c r="J1458" i="48"/>
  <c r="T1559" i="48"/>
  <c r="R1560" i="48"/>
  <c r="R1772" i="48"/>
  <c r="T1771" i="48"/>
  <c r="J1391" i="48"/>
  <c r="L1391" i="48"/>
  <c r="H1391" i="48"/>
  <c r="T1861" i="48"/>
  <c r="R1862" i="48"/>
  <c r="T2036" i="48"/>
  <c r="R2037" i="48"/>
  <c r="R2139" i="48"/>
  <c r="T2138" i="48"/>
  <c r="T2362" i="48"/>
  <c r="R2363" i="48"/>
  <c r="R2268" i="48"/>
  <c r="T2267" i="48"/>
  <c r="R2209" i="48"/>
  <c r="T2208" i="48"/>
  <c r="T2824" i="48"/>
  <c r="R2825" i="48"/>
  <c r="M2507" i="48"/>
  <c r="L2507" i="48"/>
  <c r="T2761" i="48"/>
  <c r="E2792" i="48" s="1"/>
  <c r="J2792" i="48" s="1"/>
  <c r="R2762" i="48"/>
  <c r="G3056" i="48"/>
  <c r="G3075" i="48"/>
  <c r="G3037" i="48"/>
  <c r="G3018" i="48"/>
  <c r="H3466" i="48"/>
  <c r="M3466" i="48"/>
  <c r="M3618" i="48"/>
  <c r="L3618" i="48"/>
  <c r="L3762" i="48"/>
  <c r="M3762" i="48"/>
  <c r="M3838" i="48"/>
  <c r="H3838" i="48"/>
  <c r="H2436" i="48"/>
  <c r="R2723" i="48"/>
  <c r="T2722" i="48"/>
  <c r="M3352" i="48"/>
  <c r="L3352" i="48"/>
  <c r="N3683" i="48"/>
  <c r="N3684" i="48" s="1"/>
  <c r="H3684" i="48"/>
  <c r="M3783" i="48"/>
  <c r="L3783" i="48"/>
  <c r="N2351" i="48"/>
  <c r="N2356" i="48" s="1"/>
  <c r="H2356" i="48"/>
  <c r="K3562" i="48"/>
  <c r="L3562" i="48" s="1"/>
  <c r="K786" i="48"/>
  <c r="L786" i="48" s="1"/>
  <c r="K777" i="48"/>
  <c r="L777" i="48" s="1"/>
  <c r="N1025" i="48"/>
  <c r="H980" i="48"/>
  <c r="N980" i="48" s="1"/>
  <c r="M980" i="48"/>
  <c r="M1028" i="48"/>
  <c r="H1028" i="48"/>
  <c r="N1028" i="48" s="1"/>
  <c r="R218" i="48"/>
  <c r="T217" i="48"/>
  <c r="N1049" i="48"/>
  <c r="R1429" i="48"/>
  <c r="T1428" i="48"/>
  <c r="T1646" i="48"/>
  <c r="R1647" i="48"/>
  <c r="T1361" i="48"/>
  <c r="R1362" i="48"/>
  <c r="R1363" i="48" s="1"/>
  <c r="N3770" i="48"/>
  <c r="H3774" i="48"/>
  <c r="R1734" i="48"/>
  <c r="T1733" i="48"/>
  <c r="R1884" i="48"/>
  <c r="T1883" i="48"/>
  <c r="T2177" i="48"/>
  <c r="R2178" i="48"/>
  <c r="N2128" i="48"/>
  <c r="H3046" i="48"/>
  <c r="N3046" i="48" s="1"/>
  <c r="M3046" i="48"/>
  <c r="N3732" i="48"/>
  <c r="N3733" i="48" s="1"/>
  <c r="H3733" i="48"/>
  <c r="H3317" i="48"/>
  <c r="M3423" i="48"/>
  <c r="H3423" i="48"/>
  <c r="H3571" i="48"/>
  <c r="M3571" i="48"/>
  <c r="H3619" i="48"/>
  <c r="M3619" i="48"/>
  <c r="L3660" i="48"/>
  <c r="N3658" i="48"/>
  <c r="L3636" i="48"/>
  <c r="N3634" i="48"/>
  <c r="M3642" i="48"/>
  <c r="L3642" i="48"/>
  <c r="M3751" i="48"/>
  <c r="L3751" i="48"/>
  <c r="AS1214" i="46"/>
  <c r="BT1214" i="46" s="1"/>
  <c r="BT1215" i="46" s="1"/>
  <c r="BT1216" i="46" s="1"/>
  <c r="BT1231" i="46"/>
  <c r="BY385" i="45"/>
  <c r="BY368" i="45"/>
  <c r="BY266" i="45"/>
  <c r="BY383" i="45"/>
  <c r="BK158" i="45"/>
  <c r="U146" i="45"/>
  <c r="BA146" i="45" s="1"/>
  <c r="BY146" i="45" s="1"/>
  <c r="U143" i="45"/>
  <c r="BA143" i="45" s="1"/>
  <c r="BY143" i="45" s="1"/>
  <c r="U144" i="45"/>
  <c r="BA144" i="45" s="1"/>
  <c r="BY144" i="45" s="1"/>
  <c r="BK156" i="45"/>
  <c r="U141" i="45"/>
  <c r="BA141" i="45" s="1"/>
  <c r="BY141" i="45" s="1"/>
  <c r="BY263" i="45"/>
  <c r="M3082" i="48" l="1"/>
  <c r="M2766" i="48"/>
  <c r="L1538" i="48"/>
  <c r="L678" i="48"/>
  <c r="M2752" i="48"/>
  <c r="L1549" i="48"/>
  <c r="L1452" i="48"/>
  <c r="L1377" i="48"/>
  <c r="H2766" i="48"/>
  <c r="L1404" i="48"/>
  <c r="N271" i="48"/>
  <c r="N272" i="48" s="1"/>
  <c r="H2752" i="48"/>
  <c r="N2752" i="48" s="1"/>
  <c r="H21" i="48"/>
  <c r="N1233" i="48"/>
  <c r="H213" i="48"/>
  <c r="G786" i="48" s="1"/>
  <c r="N3690" i="48"/>
  <c r="N3691" i="48" s="1"/>
  <c r="N1096" i="48"/>
  <c r="N1097" i="48" s="1"/>
  <c r="M3044" i="48"/>
  <c r="H42" i="48"/>
  <c r="M2628" i="48"/>
  <c r="N3381" i="48"/>
  <c r="R2864" i="48"/>
  <c r="T2863" i="48"/>
  <c r="N3543" i="48"/>
  <c r="L1571" i="48"/>
  <c r="N3328" i="48"/>
  <c r="N3330" i="48" s="1"/>
  <c r="N3025" i="48"/>
  <c r="M3025" i="48"/>
  <c r="L1422" i="48"/>
  <c r="N1325" i="48"/>
  <c r="L1491" i="48"/>
  <c r="L1327" i="48"/>
  <c r="H3082" i="48"/>
  <c r="N3082" i="48" s="1"/>
  <c r="N3126" i="48"/>
  <c r="N3127" i="48" s="1"/>
  <c r="H3719" i="48"/>
  <c r="L645" i="48"/>
  <c r="K1125" i="48" s="1"/>
  <c r="L1125" i="48" s="1"/>
  <c r="L1131" i="48" s="1"/>
  <c r="N3544" i="48"/>
  <c r="L1472" i="48"/>
  <c r="L1413" i="48"/>
  <c r="N1591" i="48"/>
  <c r="L1442" i="48"/>
  <c r="L3051" i="48"/>
  <c r="M2791" i="48"/>
  <c r="N851" i="48"/>
  <c r="N852" i="48" s="1"/>
  <c r="R821" i="48" s="1"/>
  <c r="N1355" i="48"/>
  <c r="N1335" i="48"/>
  <c r="N2791" i="48"/>
  <c r="L1432" i="48"/>
  <c r="N1470" i="48"/>
  <c r="L1518" i="48"/>
  <c r="L1509" i="48"/>
  <c r="N3103" i="48"/>
  <c r="L1395" i="48"/>
  <c r="L1462" i="48"/>
  <c r="H3678" i="48"/>
  <c r="N3492" i="48"/>
  <c r="N3063" i="48"/>
  <c r="N1393" i="48"/>
  <c r="M3063" i="48"/>
  <c r="H3492" i="48"/>
  <c r="H3517" i="48"/>
  <c r="N1498" i="48"/>
  <c r="M1480" i="48"/>
  <c r="N3817" i="48"/>
  <c r="L933" i="48"/>
  <c r="H3636" i="48"/>
  <c r="M2694" i="48"/>
  <c r="N3626" i="48"/>
  <c r="N3628" i="48" s="1"/>
  <c r="M1325" i="48"/>
  <c r="H3038" i="48"/>
  <c r="N3038" i="48" s="1"/>
  <c r="N1430" i="48"/>
  <c r="H3297" i="48"/>
  <c r="H28" i="48"/>
  <c r="M1498" i="48"/>
  <c r="H912" i="48"/>
  <c r="N1525" i="48"/>
  <c r="J1482" i="48"/>
  <c r="H888" i="48"/>
  <c r="M1393" i="48"/>
  <c r="N2531" i="48"/>
  <c r="N2532" i="48" s="1"/>
  <c r="N1547" i="48"/>
  <c r="N1411" i="48"/>
  <c r="N689" i="48"/>
  <c r="M1489" i="48"/>
  <c r="M1470" i="48"/>
  <c r="M1402" i="48"/>
  <c r="J1199" i="48"/>
  <c r="M1620" i="48"/>
  <c r="N1558" i="48"/>
  <c r="N1460" i="48"/>
  <c r="N1170" i="48"/>
  <c r="J1560" i="48"/>
  <c r="J1500" i="48"/>
  <c r="N1480" i="48"/>
  <c r="N1489" i="48"/>
  <c r="N3001" i="48"/>
  <c r="N3006" i="48" s="1"/>
  <c r="J1593" i="48"/>
  <c r="L689" i="48"/>
  <c r="J1462" i="48"/>
  <c r="H1090" i="48"/>
  <c r="I3029" i="48"/>
  <c r="J3029" i="48" s="1"/>
  <c r="J3032" i="48" s="1"/>
  <c r="M1355" i="48"/>
  <c r="N1420" i="48"/>
  <c r="J1491" i="48"/>
  <c r="I3048" i="48"/>
  <c r="J3048" i="48" s="1"/>
  <c r="J3051" i="48" s="1"/>
  <c r="N2664" i="48"/>
  <c r="L3392" i="48"/>
  <c r="N1402" i="48"/>
  <c r="N1365" i="48"/>
  <c r="N1580" i="48"/>
  <c r="M1365" i="48"/>
  <c r="M1580" i="48"/>
  <c r="N1440" i="48"/>
  <c r="M3103" i="48"/>
  <c r="J1413" i="48"/>
  <c r="J1432" i="48"/>
  <c r="M1335" i="48"/>
  <c r="N1450" i="48"/>
  <c r="N1507" i="48"/>
  <c r="N2653" i="48"/>
  <c r="M776" i="48"/>
  <c r="N277" i="48"/>
  <c r="N278" i="48" s="1"/>
  <c r="J1175" i="48"/>
  <c r="N3382" i="48"/>
  <c r="H3383" i="48"/>
  <c r="M2664" i="48"/>
  <c r="M1610" i="48"/>
  <c r="J1527" i="48"/>
  <c r="N1345" i="48"/>
  <c r="N2811" i="48"/>
  <c r="N2812" i="48" s="1"/>
  <c r="L2812" i="48"/>
  <c r="J1289" i="48"/>
  <c r="N656" i="48"/>
  <c r="N3660" i="48"/>
  <c r="H3628" i="48"/>
  <c r="N1569" i="48"/>
  <c r="N3278" i="48"/>
  <c r="H3006" i="48"/>
  <c r="M2653" i="48"/>
  <c r="H1637" i="48"/>
  <c r="G1639" i="48" s="1"/>
  <c r="H1639" i="48" s="1"/>
  <c r="J1377" i="48"/>
  <c r="L656" i="48"/>
  <c r="M2528" i="48"/>
  <c r="J1509" i="48"/>
  <c r="J1472" i="48"/>
  <c r="J1239" i="48"/>
  <c r="N1375" i="48"/>
  <c r="J1386" i="48"/>
  <c r="J1297" i="48"/>
  <c r="J1305" i="48"/>
  <c r="L620" i="48"/>
  <c r="J1281" i="48"/>
  <c r="N1536" i="48"/>
  <c r="N1516" i="48"/>
  <c r="J1247" i="48"/>
  <c r="J1191" i="48"/>
  <c r="J1183" i="48"/>
  <c r="L791" i="48"/>
  <c r="M1411" i="48"/>
  <c r="J1395" i="48"/>
  <c r="M2531" i="48"/>
  <c r="M1430" i="48"/>
  <c r="M1536" i="48"/>
  <c r="M1547" i="48"/>
  <c r="M1630" i="48"/>
  <c r="N899" i="48"/>
  <c r="N900" i="48" s="1"/>
  <c r="M3001" i="48"/>
  <c r="N1384" i="48"/>
  <c r="N2779" i="48"/>
  <c r="N1134" i="48"/>
  <c r="J1215" i="48"/>
  <c r="H1037" i="48"/>
  <c r="M1558" i="48"/>
  <c r="J1223" i="48"/>
  <c r="H2532" i="48"/>
  <c r="L3032" i="48"/>
  <c r="J1422" i="48"/>
  <c r="M1134" i="48"/>
  <c r="J1207" i="48"/>
  <c r="M1440" i="48"/>
  <c r="J1231" i="48"/>
  <c r="M1420" i="48"/>
  <c r="M1591" i="48"/>
  <c r="L782" i="48"/>
  <c r="N1021" i="48"/>
  <c r="H882" i="48"/>
  <c r="J1255" i="48"/>
  <c r="H1076" i="48"/>
  <c r="H3726" i="48"/>
  <c r="J1404" i="48"/>
  <c r="J1327" i="48"/>
  <c r="M1375" i="48"/>
  <c r="N3437" i="48"/>
  <c r="N3439" i="48" s="1"/>
  <c r="L3439" i="48"/>
  <c r="H3578" i="48"/>
  <c r="N3577" i="48"/>
  <c r="N3578" i="48" s="1"/>
  <c r="M1601" i="48"/>
  <c r="J1452" i="48"/>
  <c r="J1442" i="48"/>
  <c r="M1241" i="48"/>
  <c r="H1241" i="48"/>
  <c r="N1241" i="48" s="1"/>
  <c r="M3008" i="48"/>
  <c r="N2522" i="48"/>
  <c r="N2523" i="48" s="1"/>
  <c r="J3100" i="48"/>
  <c r="N3008" i="48"/>
  <c r="N3013" i="48" s="1"/>
  <c r="L3408" i="48"/>
  <c r="N3406" i="48"/>
  <c r="N3408" i="48" s="1"/>
  <c r="M3278" i="48"/>
  <c r="J3238" i="48"/>
  <c r="N3238" i="48" s="1"/>
  <c r="M3238" i="48"/>
  <c r="L2695" i="48"/>
  <c r="M2779" i="48"/>
  <c r="M2522" i="48"/>
  <c r="J1518" i="48"/>
  <c r="M1384" i="48"/>
  <c r="M1516" i="48"/>
  <c r="M1170" i="48"/>
  <c r="N962" i="48"/>
  <c r="N963" i="48" s="1"/>
  <c r="L963" i="48"/>
  <c r="N2528" i="48"/>
  <c r="N2529" i="48" s="1"/>
  <c r="M1177" i="48"/>
  <c r="H1177" i="48"/>
  <c r="N1177" i="48" s="1"/>
  <c r="M1460" i="48"/>
  <c r="M1202" i="48"/>
  <c r="H1202" i="48"/>
  <c r="N1202" i="48" s="1"/>
  <c r="J3070" i="48"/>
  <c r="M1450" i="48"/>
  <c r="H1053" i="48"/>
  <c r="N1053" i="48"/>
  <c r="N1037" i="48"/>
  <c r="M1275" i="48"/>
  <c r="H1275" i="48"/>
  <c r="N1275" i="48" s="1"/>
  <c r="M1233" i="48"/>
  <c r="N3816" i="48"/>
  <c r="H3818" i="48"/>
  <c r="G3820" i="48" s="1"/>
  <c r="H1169" i="48"/>
  <c r="N1169" i="48" s="1"/>
  <c r="M1169" i="48"/>
  <c r="M1284" i="48"/>
  <c r="H1284" i="48"/>
  <c r="N1284" i="48" s="1"/>
  <c r="M1249" i="48"/>
  <c r="H1249" i="48"/>
  <c r="N1249" i="48" s="1"/>
  <c r="H1118" i="48"/>
  <c r="N1118" i="48" s="1"/>
  <c r="M1118" i="48"/>
  <c r="M1210" i="48"/>
  <c r="H1210" i="48"/>
  <c r="N1210" i="48" s="1"/>
  <c r="M1291" i="48"/>
  <c r="H1291" i="48"/>
  <c r="N1291" i="48" s="1"/>
  <c r="M1507" i="48"/>
  <c r="J1631" i="48"/>
  <c r="H1121" i="48"/>
  <c r="N1121" i="48" s="1"/>
  <c r="M1121" i="48"/>
  <c r="H1061" i="48"/>
  <c r="N2189" i="48"/>
  <c r="M1345" i="48"/>
  <c r="M1217" i="48"/>
  <c r="H1217" i="48"/>
  <c r="N1217" i="48" s="1"/>
  <c r="M1292" i="48"/>
  <c r="H1292" i="48"/>
  <c r="N1292" i="48" s="1"/>
  <c r="M1178" i="48"/>
  <c r="H1178" i="48"/>
  <c r="N1178" i="48" s="1"/>
  <c r="M1225" i="48"/>
  <c r="H1225" i="48"/>
  <c r="N1225" i="48" s="1"/>
  <c r="M1150" i="48"/>
  <c r="H1150" i="48"/>
  <c r="N1150" i="48" s="1"/>
  <c r="M1186" i="48"/>
  <c r="H1186" i="48"/>
  <c r="N1186" i="48" s="1"/>
  <c r="H1201" i="48"/>
  <c r="N1201" i="48" s="1"/>
  <c r="M1201" i="48"/>
  <c r="M1120" i="48"/>
  <c r="H1120" i="48"/>
  <c r="N1120" i="48" s="1"/>
  <c r="H1153" i="48"/>
  <c r="N1153" i="48" s="1"/>
  <c r="M1153" i="48"/>
  <c r="M1136" i="48"/>
  <c r="H1136" i="48"/>
  <c r="N1136" i="48" s="1"/>
  <c r="H1137" i="48"/>
  <c r="N1137" i="48" s="1"/>
  <c r="M1137" i="48"/>
  <c r="M1645" i="48"/>
  <c r="H1645" i="48"/>
  <c r="M1218" i="48"/>
  <c r="H1218" i="48"/>
  <c r="N1218" i="48" s="1"/>
  <c r="H1300" i="48"/>
  <c r="N1300" i="48" s="1"/>
  <c r="M1300" i="48"/>
  <c r="H1152" i="48"/>
  <c r="N1152" i="48" s="1"/>
  <c r="M1152" i="48"/>
  <c r="M1194" i="48"/>
  <c r="H1194" i="48"/>
  <c r="N1194" i="48" s="1"/>
  <c r="H1117" i="48"/>
  <c r="N1117" i="48" s="1"/>
  <c r="M1117" i="48"/>
  <c r="M1149" i="48"/>
  <c r="H1149" i="48"/>
  <c r="N1149" i="48" s="1"/>
  <c r="M1276" i="48"/>
  <c r="H1276" i="48"/>
  <c r="N1276" i="48" s="1"/>
  <c r="M1234" i="48"/>
  <c r="H1234" i="48"/>
  <c r="N1234" i="48" s="1"/>
  <c r="N1061" i="48"/>
  <c r="N620" i="48"/>
  <c r="M1569" i="48"/>
  <c r="M1525" i="48"/>
  <c r="M1283" i="48"/>
  <c r="H1283" i="48"/>
  <c r="N1283" i="48" s="1"/>
  <c r="H1133" i="48"/>
  <c r="N1133" i="48" s="1"/>
  <c r="M1133" i="48"/>
  <c r="H1242" i="48"/>
  <c r="N1242" i="48" s="1"/>
  <c r="M1242" i="48"/>
  <c r="H1299" i="48"/>
  <c r="N1299" i="48" s="1"/>
  <c r="M1299" i="48"/>
  <c r="H1185" i="48"/>
  <c r="N1185" i="48" s="1"/>
  <c r="M1185" i="48"/>
  <c r="H1250" i="48"/>
  <c r="N1250" i="48" s="1"/>
  <c r="M1250" i="48"/>
  <c r="M1209" i="48"/>
  <c r="H1209" i="48"/>
  <c r="N1209" i="48" s="1"/>
  <c r="M1193" i="48"/>
  <c r="H1193" i="48"/>
  <c r="N1193" i="48" s="1"/>
  <c r="H1226" i="48"/>
  <c r="N1226" i="48" s="1"/>
  <c r="M1226" i="48"/>
  <c r="N3340" i="48"/>
  <c r="L3342" i="48"/>
  <c r="L733" i="48"/>
  <c r="N732" i="48"/>
  <c r="J2695" i="48"/>
  <c r="N1310" i="48"/>
  <c r="J1621" i="48"/>
  <c r="H3076" i="48"/>
  <c r="N3076" i="48" s="1"/>
  <c r="M3076" i="48"/>
  <c r="H3083" i="48"/>
  <c r="N3083" i="48" s="1"/>
  <c r="M3083" i="48"/>
  <c r="T1311" i="48"/>
  <c r="E1342" i="48" s="1"/>
  <c r="J1342" i="48" s="1"/>
  <c r="R1312" i="48"/>
  <c r="T1312" i="48" s="1"/>
  <c r="E1343" i="48" s="1"/>
  <c r="R1313" i="48"/>
  <c r="J3246" i="48"/>
  <c r="N3246" i="48" s="1"/>
  <c r="M3246" i="48"/>
  <c r="H3026" i="48"/>
  <c r="N3026" i="48" s="1"/>
  <c r="M3026" i="48"/>
  <c r="J3262" i="48"/>
  <c r="N3262" i="48" s="1"/>
  <c r="M3262" i="48"/>
  <c r="H2525" i="48"/>
  <c r="M2525" i="48"/>
  <c r="T1301" i="48"/>
  <c r="E1332" i="48" s="1"/>
  <c r="J1332" i="48" s="1"/>
  <c r="N1332" i="48" s="1"/>
  <c r="R1303" i="48"/>
  <c r="R1302" i="48"/>
  <c r="T1302" i="48" s="1"/>
  <c r="E1333" i="48" s="1"/>
  <c r="H3045" i="48"/>
  <c r="N3045" i="48" s="1"/>
  <c r="M3045" i="48"/>
  <c r="J785" i="48"/>
  <c r="N785" i="48" s="1"/>
  <c r="M785" i="48"/>
  <c r="J3270" i="48"/>
  <c r="N3270" i="48" s="1"/>
  <c r="M3270" i="48"/>
  <c r="T3147" i="48"/>
  <c r="R3148" i="48"/>
  <c r="T3148" i="48" s="1"/>
  <c r="H3064" i="48"/>
  <c r="N3064" i="48" s="1"/>
  <c r="M3064" i="48"/>
  <c r="J3561" i="48"/>
  <c r="N3561" i="48" s="1"/>
  <c r="M3561" i="48"/>
  <c r="J3286" i="48"/>
  <c r="N3286" i="48" s="1"/>
  <c r="M3286" i="48"/>
  <c r="N3341" i="48"/>
  <c r="H3342" i="48"/>
  <c r="H1029" i="48"/>
  <c r="N1565" i="48"/>
  <c r="J3089" i="48"/>
  <c r="N972" i="48"/>
  <c r="N973" i="48" s="1"/>
  <c r="L973" i="48"/>
  <c r="N957" i="48"/>
  <c r="N958" i="48" s="1"/>
  <c r="L958" i="48"/>
  <c r="M3192" i="48"/>
  <c r="H3192" i="48"/>
  <c r="N3192" i="48" s="1"/>
  <c r="J1595" i="48"/>
  <c r="N1595" i="48" s="1"/>
  <c r="M1595" i="48"/>
  <c r="J1604" i="48"/>
  <c r="N1604" i="48" s="1"/>
  <c r="M1604" i="48"/>
  <c r="N3362" i="48"/>
  <c r="L3364" i="48"/>
  <c r="L2501" i="48"/>
  <c r="N2500" i="48"/>
  <c r="N2501" i="48" s="1"/>
  <c r="M3208" i="48"/>
  <c r="H3208" i="48"/>
  <c r="N3208" i="48" s="1"/>
  <c r="M3176" i="48"/>
  <c r="H3176" i="48"/>
  <c r="N3176" i="48" s="1"/>
  <c r="J2519" i="48"/>
  <c r="M2519" i="48"/>
  <c r="J2513" i="48"/>
  <c r="M2513" i="48"/>
  <c r="N989" i="48"/>
  <c r="N613" i="48"/>
  <c r="L3108" i="48"/>
  <c r="M3184" i="48"/>
  <c r="H3184" i="48"/>
  <c r="N3184" i="48" s="1"/>
  <c r="M3168" i="48"/>
  <c r="H3168" i="48"/>
  <c r="N3168" i="48" s="1"/>
  <c r="J2510" i="48"/>
  <c r="M2510" i="48"/>
  <c r="N1543" i="48"/>
  <c r="N3363" i="48"/>
  <c r="H3364" i="48"/>
  <c r="L740" i="48"/>
  <c r="N739" i="48"/>
  <c r="L3119" i="48"/>
  <c r="N3118" i="48"/>
  <c r="N3119" i="48" s="1"/>
  <c r="M3216" i="48"/>
  <c r="H3216" i="48"/>
  <c r="N3216" i="48" s="1"/>
  <c r="H3200" i="48"/>
  <c r="N3200" i="48" s="1"/>
  <c r="M3200" i="48"/>
  <c r="J2516" i="48"/>
  <c r="M2516" i="48"/>
  <c r="M3018" i="48"/>
  <c r="H3018" i="48"/>
  <c r="L3644" i="48"/>
  <c r="N3642" i="48"/>
  <c r="T218" i="48"/>
  <c r="R219" i="48"/>
  <c r="T219" i="48" s="1"/>
  <c r="L3566" i="48"/>
  <c r="N3783" i="48"/>
  <c r="N3784" i="48" s="1"/>
  <c r="L3784" i="48"/>
  <c r="N3352" i="48"/>
  <c r="N3354" i="48" s="1"/>
  <c r="L3354" i="48"/>
  <c r="N3466" i="48"/>
  <c r="N3467" i="48" s="1"/>
  <c r="H3467" i="48"/>
  <c r="H3056" i="48"/>
  <c r="M3056" i="48"/>
  <c r="L2508" i="48"/>
  <c r="N2507" i="48"/>
  <c r="N2508" i="48" s="1"/>
  <c r="M1122" i="48"/>
  <c r="H1122" i="48"/>
  <c r="N1122" i="48" s="1"/>
  <c r="N316" i="48"/>
  <c r="N317" i="48" s="1"/>
  <c r="H317" i="48"/>
  <c r="N3773" i="48"/>
  <c r="N3774" i="48" s="1"/>
  <c r="L3774" i="48"/>
  <c r="R2587" i="48"/>
  <c r="T2586" i="48"/>
  <c r="E2617" i="48" s="1"/>
  <c r="J2617" i="48" s="1"/>
  <c r="R2240" i="48"/>
  <c r="T2239" i="48"/>
  <c r="J1353" i="48"/>
  <c r="J1357" i="48" s="1"/>
  <c r="L1353" i="48"/>
  <c r="L1357" i="48" s="1"/>
  <c r="H1353" i="48"/>
  <c r="T1546" i="48"/>
  <c r="E1577" i="48" s="1"/>
  <c r="J1577" i="48" s="1"/>
  <c r="N1577" i="48" s="1"/>
  <c r="R1547" i="48"/>
  <c r="R1450" i="48"/>
  <c r="T1449" i="48"/>
  <c r="R2284" i="48"/>
  <c r="T2283" i="48"/>
  <c r="N937" i="48"/>
  <c r="N938" i="48" s="1"/>
  <c r="L938" i="48"/>
  <c r="M3280" i="48"/>
  <c r="R2699" i="48"/>
  <c r="T2698" i="48"/>
  <c r="R2563" i="48"/>
  <c r="T2562" i="48"/>
  <c r="E2593" i="48" s="1"/>
  <c r="J2593" i="48" s="1"/>
  <c r="R1630" i="48"/>
  <c r="T1629" i="48"/>
  <c r="N1514" i="48"/>
  <c r="T1344" i="48"/>
  <c r="R1345" i="48"/>
  <c r="T1345" i="48" s="1"/>
  <c r="H1045" i="48"/>
  <c r="T1689" i="48"/>
  <c r="R1690" i="48"/>
  <c r="N1400" i="48"/>
  <c r="N893" i="48"/>
  <c r="N894" i="48" s="1"/>
  <c r="H894" i="48"/>
  <c r="N265" i="48"/>
  <c r="N266" i="48" s="1"/>
  <c r="H266" i="48"/>
  <c r="T2646" i="48"/>
  <c r="E2677" i="48" s="1"/>
  <c r="J2677" i="48" s="1"/>
  <c r="R2647" i="48"/>
  <c r="R2347" i="48"/>
  <c r="T2346" i="48"/>
  <c r="J3093" i="48"/>
  <c r="N3093" i="48" s="1"/>
  <c r="M3093" i="48"/>
  <c r="H1800" i="48"/>
  <c r="M1800" i="48"/>
  <c r="N3831" i="48"/>
  <c r="H3832" i="48"/>
  <c r="N2654" i="48"/>
  <c r="T2574" i="48"/>
  <c r="E2605" i="48" s="1"/>
  <c r="J2605" i="48" s="1"/>
  <c r="R2575" i="48"/>
  <c r="G781" i="48"/>
  <c r="G790" i="48"/>
  <c r="R1819" i="48"/>
  <c r="T1818" i="48"/>
  <c r="H711" i="48"/>
  <c r="M711" i="48"/>
  <c r="H1141" i="48"/>
  <c r="M3272" i="48"/>
  <c r="T2786" i="48"/>
  <c r="R2787" i="48"/>
  <c r="R2738" i="48"/>
  <c r="T2737" i="48"/>
  <c r="E2768" i="48" s="1"/>
  <c r="J2768" i="48" s="1"/>
  <c r="R1942" i="48"/>
  <c r="T1941" i="48"/>
  <c r="E1972" i="48" s="1"/>
  <c r="N2053" i="48"/>
  <c r="H3087" i="48"/>
  <c r="N3087" i="48" s="1"/>
  <c r="M3087" i="48"/>
  <c r="N3557" i="48"/>
  <c r="H3558" i="48"/>
  <c r="R2332" i="48"/>
  <c r="T2331" i="48"/>
  <c r="N1361" i="48"/>
  <c r="T1372" i="48"/>
  <c r="R1373" i="48"/>
  <c r="T1373" i="48" s="1"/>
  <c r="H1069" i="48"/>
  <c r="N2707" i="48"/>
  <c r="N2708" i="48" s="1"/>
  <c r="L2708" i="48"/>
  <c r="H981" i="48"/>
  <c r="N3583" i="48"/>
  <c r="N3584" i="48" s="1"/>
  <c r="H3584" i="48"/>
  <c r="N2824" i="48"/>
  <c r="N2825" i="48" s="1"/>
  <c r="L2825" i="48"/>
  <c r="H1600" i="48"/>
  <c r="N1600" i="48" s="1"/>
  <c r="M1600" i="48"/>
  <c r="T2812" i="48"/>
  <c r="R2813" i="48"/>
  <c r="R1700" i="48"/>
  <c r="T1700" i="48" s="1"/>
  <c r="T1699" i="48"/>
  <c r="N1428" i="48"/>
  <c r="N1448" i="48"/>
  <c r="M1324" i="48"/>
  <c r="H1324" i="48"/>
  <c r="N1324" i="48" s="1"/>
  <c r="M1401" i="48"/>
  <c r="H1401" i="48"/>
  <c r="N1401" i="48" s="1"/>
  <c r="M1579" i="48"/>
  <c r="H1579" i="48"/>
  <c r="N1579" i="48" s="1"/>
  <c r="M1557" i="48"/>
  <c r="H1557" i="48"/>
  <c r="M1439" i="48"/>
  <c r="H1439" i="48"/>
  <c r="N1439" i="48" s="1"/>
  <c r="M1334" i="48"/>
  <c r="H1334" i="48"/>
  <c r="N1334" i="48" s="1"/>
  <c r="M1429" i="48"/>
  <c r="H1429" i="48"/>
  <c r="N1429" i="48" s="1"/>
  <c r="M1590" i="48"/>
  <c r="H1590" i="48"/>
  <c r="H2534" i="48"/>
  <c r="M2534" i="48"/>
  <c r="N3256" i="48"/>
  <c r="L3845" i="48"/>
  <c r="N3844" i="48"/>
  <c r="N3845" i="48" s="1"/>
  <c r="M3185" i="48"/>
  <c r="H3185" i="48"/>
  <c r="N3185" i="48" s="1"/>
  <c r="M3217" i="48"/>
  <c r="H3217" i="48"/>
  <c r="N3217" i="48" s="1"/>
  <c r="T2934" i="48"/>
  <c r="R2936" i="48"/>
  <c r="T2936" i="48" s="1"/>
  <c r="R2935" i="48"/>
  <c r="R2082" i="48"/>
  <c r="T2081" i="48"/>
  <c r="N1523" i="48"/>
  <c r="T1486" i="48"/>
  <c r="R1487" i="48"/>
  <c r="T1487" i="48" s="1"/>
  <c r="N1532" i="48"/>
  <c r="M1878" i="48"/>
  <c r="H1878" i="48"/>
  <c r="T1536" i="48"/>
  <c r="E1567" i="48" s="1"/>
  <c r="J1567" i="48" s="1"/>
  <c r="R1537" i="48"/>
  <c r="N3207" i="48"/>
  <c r="N2733" i="48"/>
  <c r="N2734" i="48" s="1"/>
  <c r="L2734" i="48"/>
  <c r="L1311" i="48"/>
  <c r="O3561" i="48"/>
  <c r="O3238" i="48"/>
  <c r="O3246" i="48"/>
  <c r="O3278" i="48"/>
  <c r="O3270" i="48"/>
  <c r="O3254" i="48"/>
  <c r="O3286" i="48"/>
  <c r="O3262" i="48"/>
  <c r="O776" i="48"/>
  <c r="O785" i="48"/>
  <c r="A195" i="48"/>
  <c r="A201" i="48" s="1"/>
  <c r="T1862" i="48"/>
  <c r="R1863" i="48"/>
  <c r="N1458" i="48"/>
  <c r="R3086" i="48"/>
  <c r="T3085" i="48"/>
  <c r="N2692" i="48"/>
  <c r="H2695" i="48"/>
  <c r="R1841" i="48"/>
  <c r="T1840" i="48"/>
  <c r="R1324" i="48"/>
  <c r="T1323" i="48"/>
  <c r="T1707" i="48"/>
  <c r="R1708" i="48"/>
  <c r="H3564" i="48"/>
  <c r="N3564" i="48" s="1"/>
  <c r="M3564" i="48"/>
  <c r="N3422" i="48"/>
  <c r="L3424" i="48"/>
  <c r="N3167" i="48"/>
  <c r="N2760" i="48"/>
  <c r="L2761" i="48"/>
  <c r="N3280" i="48"/>
  <c r="N2628" i="48"/>
  <c r="J2054" i="48"/>
  <c r="L2054" i="48"/>
  <c r="H2054" i="48"/>
  <c r="T2070" i="48"/>
  <c r="R2071" i="48"/>
  <c r="R1496" i="48"/>
  <c r="T1496" i="48" s="1"/>
  <c r="T1495" i="48"/>
  <c r="T211" i="48"/>
  <c r="R212" i="48"/>
  <c r="T212" i="48" s="1"/>
  <c r="N3175" i="48"/>
  <c r="T1459" i="48"/>
  <c r="R1460" i="48"/>
  <c r="T1460" i="48" s="1"/>
  <c r="M1119" i="48"/>
  <c r="H1119" i="48"/>
  <c r="N1045" i="48"/>
  <c r="G3563" i="48"/>
  <c r="G3092" i="48"/>
  <c r="T1798" i="48"/>
  <c r="R1799" i="48"/>
  <c r="M1812" i="48"/>
  <c r="H1812" i="48"/>
  <c r="M1835" i="48"/>
  <c r="H1835" i="48"/>
  <c r="N1409" i="48"/>
  <c r="J3260" i="48"/>
  <c r="R1895" i="48"/>
  <c r="T1894" i="48"/>
  <c r="H723" i="48"/>
  <c r="M723" i="48"/>
  <c r="H1157" i="48"/>
  <c r="J1131" i="48"/>
  <c r="N3272" i="48"/>
  <c r="N2641" i="48"/>
  <c r="R2751" i="48"/>
  <c r="T2750" i="48"/>
  <c r="E2781" i="48" s="1"/>
  <c r="J2781" i="48" s="1"/>
  <c r="R2380" i="48"/>
  <c r="T2379" i="48"/>
  <c r="N1373" i="48"/>
  <c r="H322" i="48"/>
  <c r="N321" i="48"/>
  <c r="N322" i="48" s="1"/>
  <c r="N3478" i="48"/>
  <c r="L3480" i="48"/>
  <c r="N3288" i="48"/>
  <c r="N3391" i="48"/>
  <c r="N3392" i="48" s="1"/>
  <c r="H3392" i="48"/>
  <c r="H3030" i="48"/>
  <c r="N3030" i="48" s="1"/>
  <c r="M3030" i="48"/>
  <c r="H3094" i="48"/>
  <c r="N3094" i="48" s="1"/>
  <c r="M3094" i="48"/>
  <c r="H1005" i="48"/>
  <c r="N947" i="48"/>
  <c r="N948" i="48" s="1"/>
  <c r="L948" i="48"/>
  <c r="N981" i="48"/>
  <c r="N1013" i="48"/>
  <c r="N3183" i="48"/>
  <c r="M1629" i="48"/>
  <c r="H1629" i="48"/>
  <c r="N1629" i="48" s="1"/>
  <c r="R2125" i="48"/>
  <c r="T2124" i="48"/>
  <c r="N1505" i="48"/>
  <c r="N1468" i="48"/>
  <c r="N917" i="48"/>
  <c r="N918" i="48" s="1"/>
  <c r="H918" i="48"/>
  <c r="M1354" i="48"/>
  <c r="H1354" i="48"/>
  <c r="N1354" i="48" s="1"/>
  <c r="M1419" i="48"/>
  <c r="H1419" i="48"/>
  <c r="N1419" i="48" s="1"/>
  <c r="M1449" i="48"/>
  <c r="H1449" i="48"/>
  <c r="N1449" i="48" s="1"/>
  <c r="M1568" i="48"/>
  <c r="H1568" i="48"/>
  <c r="N1568" i="48" s="1"/>
  <c r="M1459" i="48"/>
  <c r="H1459" i="48"/>
  <c r="N1459" i="48" s="1"/>
  <c r="M1383" i="48"/>
  <c r="H1383" i="48"/>
  <c r="M1488" i="48"/>
  <c r="H1488" i="48"/>
  <c r="N1488" i="48" s="1"/>
  <c r="M2537" i="48"/>
  <c r="H2537" i="48"/>
  <c r="M3104" i="48"/>
  <c r="H3104" i="48"/>
  <c r="M3256" i="48"/>
  <c r="M3193" i="48"/>
  <c r="H3193" i="48"/>
  <c r="N3193" i="48" s="1"/>
  <c r="H2761" i="48"/>
  <c r="T1681" i="48"/>
  <c r="R1682" i="48"/>
  <c r="T1682" i="48" s="1"/>
  <c r="R1656" i="48"/>
  <c r="T1655" i="48"/>
  <c r="M1901" i="48"/>
  <c r="H1901" i="48"/>
  <c r="M1890" i="48"/>
  <c r="H1890" i="48"/>
  <c r="R2115" i="48"/>
  <c r="T2114" i="48"/>
  <c r="H997" i="48"/>
  <c r="T2683" i="48"/>
  <c r="E2714" i="48" s="1"/>
  <c r="J2714" i="48" s="1"/>
  <c r="R2684" i="48"/>
  <c r="R2395" i="48"/>
  <c r="T2394" i="48"/>
  <c r="T1390" i="48"/>
  <c r="R1391" i="48"/>
  <c r="T1391" i="48" s="1"/>
  <c r="N3571" i="48"/>
  <c r="N3572" i="48" s="1"/>
  <c r="H3572" i="48"/>
  <c r="R1885" i="48"/>
  <c r="T1884" i="48"/>
  <c r="N3618" i="48"/>
  <c r="L3620" i="48"/>
  <c r="N3636" i="48"/>
  <c r="N3423" i="48"/>
  <c r="H3424" i="48"/>
  <c r="R2179" i="48"/>
  <c r="T2178" i="48"/>
  <c r="R1364" i="48"/>
  <c r="T1364" i="48" s="1"/>
  <c r="T1363" i="48"/>
  <c r="T1647" i="48"/>
  <c r="R1648" i="48"/>
  <c r="T1648" i="48" s="1"/>
  <c r="N1029" i="48"/>
  <c r="N3838" i="48"/>
  <c r="N3839" i="48" s="1"/>
  <c r="H3839" i="48"/>
  <c r="H3037" i="48"/>
  <c r="M3037" i="48"/>
  <c r="T2762" i="48"/>
  <c r="E2793" i="48" s="1"/>
  <c r="J2793" i="48" s="1"/>
  <c r="N2793" i="48" s="1"/>
  <c r="R2763" i="48"/>
  <c r="T2825" i="48"/>
  <c r="R2826" i="48"/>
  <c r="R2364" i="48"/>
  <c r="T2363" i="48"/>
  <c r="R2140" i="48"/>
  <c r="T2139" i="48"/>
  <c r="T1560" i="48"/>
  <c r="R1561" i="48"/>
  <c r="T1561" i="48" s="1"/>
  <c r="M1154" i="48"/>
  <c r="H1154" i="48"/>
  <c r="N1154" i="48" s="1"/>
  <c r="N729" i="48"/>
  <c r="H733" i="48"/>
  <c r="T2412" i="48"/>
  <c r="R2413" i="48"/>
  <c r="R2255" i="48"/>
  <c r="T2254" i="48"/>
  <c r="R1915" i="48"/>
  <c r="T1914" i="48"/>
  <c r="R1717" i="48"/>
  <c r="T1716" i="48"/>
  <c r="N261" i="48"/>
  <c r="N262" i="48" s="1"/>
  <c r="H262" i="48"/>
  <c r="R2299" i="48"/>
  <c r="T2298" i="48"/>
  <c r="R1974" i="48"/>
  <c r="T1973" i="48"/>
  <c r="E2004" i="48" s="1"/>
  <c r="N1487" i="48"/>
  <c r="N3240" i="48"/>
  <c r="N3966" i="48"/>
  <c r="L3967" i="48"/>
  <c r="N3967" i="48" s="1"/>
  <c r="T2549" i="48"/>
  <c r="R2550" i="48"/>
  <c r="R2025" i="48"/>
  <c r="T2024" i="48"/>
  <c r="E2055" i="48" s="1"/>
  <c r="N598" i="48"/>
  <c r="N599" i="48" s="1"/>
  <c r="L599" i="48"/>
  <c r="H989" i="48"/>
  <c r="M1135" i="48"/>
  <c r="H1135" i="48"/>
  <c r="L3504" i="48"/>
  <c r="N3502" i="48"/>
  <c r="N3504" i="48" s="1"/>
  <c r="T2877" i="48"/>
  <c r="R2878" i="48"/>
  <c r="R2165" i="48"/>
  <c r="T2164" i="48"/>
  <c r="N3650" i="48"/>
  <c r="L3652" i="48"/>
  <c r="N3479" i="48"/>
  <c r="H3480" i="48"/>
  <c r="T1851" i="48"/>
  <c r="R1852" i="48"/>
  <c r="R1786" i="48"/>
  <c r="T1785" i="48"/>
  <c r="H1624" i="48"/>
  <c r="L3529" i="48"/>
  <c r="N3527" i="48"/>
  <c r="N2693" i="48"/>
  <c r="M1824" i="48"/>
  <c r="H1824" i="48"/>
  <c r="M1846" i="48"/>
  <c r="H1846" i="48"/>
  <c r="J3284" i="48"/>
  <c r="R2446" i="48"/>
  <c r="T2445" i="48"/>
  <c r="T1354" i="48"/>
  <c r="R1355" i="48"/>
  <c r="T1355" i="48" s="1"/>
  <c r="N1317" i="48"/>
  <c r="M717" i="48"/>
  <c r="H717" i="48"/>
  <c r="M699" i="48"/>
  <c r="H699" i="48"/>
  <c r="N1323" i="48"/>
  <c r="J1147" i="48"/>
  <c r="M3248" i="48"/>
  <c r="N3704" i="48"/>
  <c r="N3705" i="48" s="1"/>
  <c r="H3705" i="48"/>
  <c r="N2780" i="48"/>
  <c r="R2775" i="48"/>
  <c r="T2774" i="48"/>
  <c r="M3288" i="48"/>
  <c r="M3068" i="48"/>
  <c r="H3068" i="48"/>
  <c r="N3068" i="48" s="1"/>
  <c r="H3644" i="48"/>
  <c r="N3643" i="48"/>
  <c r="H3652" i="48"/>
  <c r="N3651" i="48"/>
  <c r="N3528" i="48"/>
  <c r="H3529" i="48"/>
  <c r="T2890" i="48"/>
  <c r="R2891" i="48"/>
  <c r="R2225" i="48"/>
  <c r="T2224" i="48"/>
  <c r="T2150" i="48"/>
  <c r="R2151" i="48"/>
  <c r="N1005" i="48"/>
  <c r="N3671" i="48"/>
  <c r="N3672" i="48" s="1"/>
  <c r="H3672" i="48"/>
  <c r="R2799" i="48"/>
  <c r="T2798" i="48"/>
  <c r="N2665" i="48"/>
  <c r="R1926" i="48"/>
  <c r="T1925" i="48"/>
  <c r="E1956" i="48" s="1"/>
  <c r="H1013" i="48"/>
  <c r="R2855" i="48"/>
  <c r="T2854" i="48"/>
  <c r="E2885" i="48" s="1"/>
  <c r="J2885" i="48" s="1"/>
  <c r="H1609" i="48"/>
  <c r="N1609" i="48" s="1"/>
  <c r="M1609" i="48"/>
  <c r="T2611" i="48"/>
  <c r="R2612" i="48"/>
  <c r="M1364" i="48"/>
  <c r="H1364" i="48"/>
  <c r="N1364" i="48" s="1"/>
  <c r="M1479" i="48"/>
  <c r="H1479" i="48"/>
  <c r="N1479" i="48" s="1"/>
  <c r="M1506" i="48"/>
  <c r="H1506" i="48"/>
  <c r="N1506" i="48" s="1"/>
  <c r="M1642" i="48"/>
  <c r="H1642" i="48"/>
  <c r="M1469" i="48"/>
  <c r="H1469" i="48"/>
  <c r="N1469" i="48" s="1"/>
  <c r="M1392" i="48"/>
  <c r="H1392" i="48"/>
  <c r="N1392" i="48" s="1"/>
  <c r="M1515" i="48"/>
  <c r="H1515" i="48"/>
  <c r="N1515" i="48" s="1"/>
  <c r="M2540" i="48"/>
  <c r="H2540" i="48"/>
  <c r="M3264" i="48"/>
  <c r="M3169" i="48"/>
  <c r="H3169" i="48"/>
  <c r="N3169" i="48" s="1"/>
  <c r="M3201" i="48"/>
  <c r="H3201" i="48"/>
  <c r="N3201" i="48" s="1"/>
  <c r="T2839" i="48"/>
  <c r="E2870" i="48" s="1"/>
  <c r="J2870" i="48" s="1"/>
  <c r="R2840" i="48"/>
  <c r="R2316" i="48"/>
  <c r="T2315" i="48"/>
  <c r="N869" i="48"/>
  <c r="N870" i="48" s="1"/>
  <c r="H870" i="48"/>
  <c r="N736" i="48"/>
  <c r="H740" i="48"/>
  <c r="M1932" i="48"/>
  <c r="H1932" i="48"/>
  <c r="M1912" i="48"/>
  <c r="H1912" i="48"/>
  <c r="T2008" i="48"/>
  <c r="E2039" i="48" s="1"/>
  <c r="R2009" i="48"/>
  <c r="M787" i="48"/>
  <c r="H787" i="48"/>
  <c r="N787" i="48" s="1"/>
  <c r="N997" i="48"/>
  <c r="N2766" i="48"/>
  <c r="G3088" i="48"/>
  <c r="G3069" i="48"/>
  <c r="G3050" i="48"/>
  <c r="G3031" i="48"/>
  <c r="G3099" i="48"/>
  <c r="J1311" i="48"/>
  <c r="R1430" i="48"/>
  <c r="T1429" i="48"/>
  <c r="N3762" i="48"/>
  <c r="N3763" i="48" s="1"/>
  <c r="L3763" i="48"/>
  <c r="R2269" i="48"/>
  <c r="T2268" i="48"/>
  <c r="M1138" i="48"/>
  <c r="H1138" i="48"/>
  <c r="N1138" i="48" s="1"/>
  <c r="L3752" i="48"/>
  <c r="N3751" i="48"/>
  <c r="N3752" i="48" s="1"/>
  <c r="H3620" i="48"/>
  <c r="N3619" i="48"/>
  <c r="T1734" i="48"/>
  <c r="R1735" i="48"/>
  <c r="T1735" i="48" s="1"/>
  <c r="T2723" i="48"/>
  <c r="R2724" i="48"/>
  <c r="M3075" i="48"/>
  <c r="H3075" i="48"/>
  <c r="N2792" i="48"/>
  <c r="R2210" i="48"/>
  <c r="T2209" i="48"/>
  <c r="T2037" i="48"/>
  <c r="R2038" i="48"/>
  <c r="N1391" i="48"/>
  <c r="R1773" i="48"/>
  <c r="T1772" i="48"/>
  <c r="L968" i="48"/>
  <c r="N967" i="48"/>
  <c r="N968" i="48" s="1"/>
  <c r="T204" i="48"/>
  <c r="R205" i="48"/>
  <c r="T205" i="48" s="1"/>
  <c r="R2709" i="48"/>
  <c r="T2708" i="48"/>
  <c r="T1989" i="48"/>
  <c r="R1990" i="48"/>
  <c r="T1957" i="48"/>
  <c r="R1958" i="48"/>
  <c r="L1576" i="48"/>
  <c r="L1582" i="48" s="1"/>
  <c r="H1576" i="48"/>
  <c r="J1576" i="48"/>
  <c r="G1628" i="48"/>
  <c r="G1608" i="48"/>
  <c r="G1618" i="48"/>
  <c r="G1599" i="48"/>
  <c r="N3199" i="48"/>
  <c r="T2427" i="48"/>
  <c r="R2428" i="48"/>
  <c r="T1725" i="48"/>
  <c r="R1726" i="48"/>
  <c r="R1295" i="48"/>
  <c r="T1294" i="48"/>
  <c r="M3240" i="48"/>
  <c r="L3832" i="48"/>
  <c r="N3830" i="48"/>
  <c r="N3373" i="48"/>
  <c r="H3374" i="48"/>
  <c r="T1664" i="48"/>
  <c r="R1665" i="48"/>
  <c r="M1151" i="48"/>
  <c r="H1151" i="48"/>
  <c r="T2103" i="48"/>
  <c r="R2104" i="48"/>
  <c r="T2059" i="48"/>
  <c r="R2060" i="48"/>
  <c r="L663" i="48"/>
  <c r="M663" i="48"/>
  <c r="H1614" i="48"/>
  <c r="J1790" i="48"/>
  <c r="M1790" i="48"/>
  <c r="M1857" i="48"/>
  <c r="H1857" i="48"/>
  <c r="N1478" i="48"/>
  <c r="N3191" i="48"/>
  <c r="T2624" i="48"/>
  <c r="E2655" i="48" s="1"/>
  <c r="J2655" i="48" s="1"/>
  <c r="R2625" i="48"/>
  <c r="R1525" i="48"/>
  <c r="T1524" i="48"/>
  <c r="T1762" i="48"/>
  <c r="R1763" i="48"/>
  <c r="H705" i="48"/>
  <c r="M705" i="48"/>
  <c r="H1125" i="48"/>
  <c r="J1163" i="48"/>
  <c r="N3248" i="48"/>
  <c r="N3140" i="48"/>
  <c r="N3141" i="48" s="1"/>
  <c r="H3141" i="48"/>
  <c r="R2907" i="48"/>
  <c r="T2906" i="48"/>
  <c r="E2937" i="48" s="1"/>
  <c r="J2937" i="48" s="1"/>
  <c r="R2917" i="48"/>
  <c r="T2916" i="48"/>
  <c r="T2670" i="48"/>
  <c r="R2671" i="48"/>
  <c r="R2092" i="48"/>
  <c r="T2091" i="48"/>
  <c r="N1418" i="48"/>
  <c r="T1503" i="48"/>
  <c r="E1534" i="48" s="1"/>
  <c r="J1534" i="48" s="1"/>
  <c r="N1534" i="48" s="1"/>
  <c r="R1504" i="48"/>
  <c r="L3374" i="48"/>
  <c r="N3372" i="48"/>
  <c r="R1874" i="48"/>
  <c r="T1873" i="48"/>
  <c r="H3049" i="48"/>
  <c r="N3049" i="48" s="1"/>
  <c r="M3049" i="48"/>
  <c r="N3589" i="48"/>
  <c r="N3590" i="48" s="1"/>
  <c r="H3590" i="48"/>
  <c r="R2600" i="48"/>
  <c r="T2599" i="48"/>
  <c r="E2630" i="48" s="1"/>
  <c r="J2630" i="48" s="1"/>
  <c r="T1807" i="48"/>
  <c r="R1808" i="48"/>
  <c r="T1331" i="48"/>
  <c r="E1362" i="48" s="1"/>
  <c r="J1362" i="48" s="1"/>
  <c r="N1362" i="48" s="1"/>
  <c r="R1333" i="48"/>
  <c r="R1332" i="48"/>
  <c r="T1332" i="48" s="1"/>
  <c r="E1363" i="48" s="1"/>
  <c r="N1069" i="48"/>
  <c r="L2494" i="48"/>
  <c r="K3086" i="48" s="1"/>
  <c r="N2493" i="48"/>
  <c r="N2494" i="48" s="1"/>
  <c r="R2636" i="48"/>
  <c r="T2635" i="48"/>
  <c r="E2666" i="48" s="1"/>
  <c r="J2666" i="48" s="1"/>
  <c r="N2666" i="48" s="1"/>
  <c r="T2192" i="48"/>
  <c r="R2193" i="48"/>
  <c r="R1830" i="48"/>
  <c r="T1829" i="48"/>
  <c r="N219" i="48"/>
  <c r="N220" i="48" s="1"/>
  <c r="H220" i="48"/>
  <c r="L613" i="48"/>
  <c r="N3215" i="48"/>
  <c r="H1619" i="48"/>
  <c r="N1619" i="48" s="1"/>
  <c r="M1619" i="48"/>
  <c r="T2048" i="48"/>
  <c r="R2049" i="48"/>
  <c r="M1374" i="48"/>
  <c r="H1374" i="48"/>
  <c r="N1374" i="48" s="1"/>
  <c r="M1535" i="48"/>
  <c r="H1535" i="48"/>
  <c r="M1524" i="48"/>
  <c r="H1524" i="48"/>
  <c r="N1524" i="48" s="1"/>
  <c r="M1344" i="48"/>
  <c r="H1344" i="48"/>
  <c r="N1344" i="48" s="1"/>
  <c r="M1497" i="48"/>
  <c r="H1497" i="48"/>
  <c r="M1410" i="48"/>
  <c r="H1410" i="48"/>
  <c r="N1410" i="48" s="1"/>
  <c r="M1546" i="48"/>
  <c r="H1546" i="48"/>
  <c r="M2543" i="48"/>
  <c r="H2543" i="48"/>
  <c r="N3264" i="48"/>
  <c r="M3177" i="48"/>
  <c r="H3177" i="48"/>
  <c r="N3177" i="48" s="1"/>
  <c r="M3209" i="48"/>
  <c r="H3209" i="48"/>
  <c r="N3209" i="48" s="1"/>
  <c r="H2189" i="48"/>
  <c r="R1639" i="48"/>
  <c r="T1638" i="48"/>
  <c r="R1515" i="48"/>
  <c r="T1514" i="48"/>
  <c r="E1545" i="48" s="1"/>
  <c r="J1545" i="48" s="1"/>
  <c r="N1545" i="48" s="1"/>
  <c r="M1942" i="48"/>
  <c r="H1942" i="48"/>
  <c r="M1922" i="48"/>
  <c r="H1922" i="48"/>
  <c r="J2038" i="48"/>
  <c r="L2038" i="48"/>
  <c r="H2038" i="48"/>
  <c r="T1381" i="48"/>
  <c r="R1382" i="48"/>
  <c r="T1382" i="48" s="1"/>
  <c r="N1438" i="48"/>
  <c r="H778" i="48"/>
  <c r="N778" i="48" s="1"/>
  <c r="M778" i="48"/>
  <c r="L3558" i="48"/>
  <c r="N3556" i="48"/>
  <c r="T1477" i="48"/>
  <c r="R1478" i="48"/>
  <c r="T1478" i="48" s="1"/>
  <c r="T1673" i="48"/>
  <c r="R1674" i="48"/>
  <c r="T1674" i="48" s="1"/>
  <c r="N3515" i="48"/>
  <c r="N3517" i="48" s="1"/>
  <c r="L3517" i="48"/>
  <c r="R1905" i="48"/>
  <c r="T1904" i="48"/>
  <c r="H1311" i="48"/>
  <c r="N1309" i="48"/>
  <c r="H1021" i="48"/>
  <c r="G3562" i="48" l="1"/>
  <c r="G777" i="48"/>
  <c r="N3383" i="48"/>
  <c r="K1157" i="48"/>
  <c r="L1157" i="48" s="1"/>
  <c r="L1163" i="48" s="1"/>
  <c r="N3545" i="48"/>
  <c r="T2864" i="48"/>
  <c r="R2865" i="48"/>
  <c r="K1141" i="48"/>
  <c r="L1141" i="48" s="1"/>
  <c r="L1147" i="48" s="1"/>
  <c r="N1125" i="48"/>
  <c r="M1125" i="48"/>
  <c r="M1639" i="48"/>
  <c r="N3818" i="48"/>
  <c r="N1311" i="48"/>
  <c r="N733" i="48"/>
  <c r="J3292" i="48"/>
  <c r="M1141" i="48"/>
  <c r="J3276" i="48"/>
  <c r="N3558" i="48"/>
  <c r="J3268" i="48"/>
  <c r="H3197" i="48"/>
  <c r="G3156" i="48" s="1"/>
  <c r="H3156" i="48" s="1"/>
  <c r="N3832" i="48"/>
  <c r="N3205" i="48"/>
  <c r="J1602" i="48"/>
  <c r="J3252" i="48"/>
  <c r="J3244" i="48"/>
  <c r="N3342" i="48"/>
  <c r="N3374" i="48"/>
  <c r="H3205" i="48"/>
  <c r="M3820" i="48"/>
  <c r="H3820" i="48"/>
  <c r="J3096" i="48"/>
  <c r="N1645" i="48"/>
  <c r="N1646" i="48" s="1"/>
  <c r="H1646" i="48"/>
  <c r="J3566" i="48"/>
  <c r="J1538" i="48"/>
  <c r="N3529" i="48"/>
  <c r="J1333" i="48"/>
  <c r="J1337" i="48" s="1"/>
  <c r="L1333" i="48"/>
  <c r="L1337" i="48" s="1"/>
  <c r="H1333" i="48"/>
  <c r="H2526" i="48"/>
  <c r="N2525" i="48"/>
  <c r="N2526" i="48" s="1"/>
  <c r="N1342" i="48"/>
  <c r="T1303" i="48"/>
  <c r="R1304" i="48"/>
  <c r="R1314" i="48"/>
  <c r="T1313" i="48"/>
  <c r="J1343" i="48"/>
  <c r="J1347" i="48" s="1"/>
  <c r="L1343" i="48"/>
  <c r="L1347" i="48" s="1"/>
  <c r="H1343" i="48"/>
  <c r="N3221" i="48"/>
  <c r="N3197" i="48"/>
  <c r="N740" i="48"/>
  <c r="N3189" i="48"/>
  <c r="J2517" i="48"/>
  <c r="N2516" i="48"/>
  <c r="N2517" i="48" s="1"/>
  <c r="J2520" i="48"/>
  <c r="N2519" i="48"/>
  <c r="N2520" i="48" s="1"/>
  <c r="N3364" i="48"/>
  <c r="J1611" i="48"/>
  <c r="H3221" i="48"/>
  <c r="G3164" i="48" s="1"/>
  <c r="H3164" i="48" s="1"/>
  <c r="N2761" i="48"/>
  <c r="H3189" i="48"/>
  <c r="G3152" i="48" s="1"/>
  <c r="H3152" i="48" s="1"/>
  <c r="J2511" i="48"/>
  <c r="N2510" i="48"/>
  <c r="N2511" i="48" s="1"/>
  <c r="J2514" i="48"/>
  <c r="N2513" i="48"/>
  <c r="N2514" i="48" s="1"/>
  <c r="K3095" i="48"/>
  <c r="K3098" i="48"/>
  <c r="N1546" i="48"/>
  <c r="T2671" i="48"/>
  <c r="R2672" i="48"/>
  <c r="T1515" i="48"/>
  <c r="R1516" i="48"/>
  <c r="H2544" i="48"/>
  <c r="N2543" i="48"/>
  <c r="N2544" i="48" s="1"/>
  <c r="N1535" i="48"/>
  <c r="T2049" i="48"/>
  <c r="R2050" i="48"/>
  <c r="G3287" i="48"/>
  <c r="G3263" i="48"/>
  <c r="G3239" i="48"/>
  <c r="G3279" i="48"/>
  <c r="G3271" i="48"/>
  <c r="G3247" i="48"/>
  <c r="G3255" i="48"/>
  <c r="R1831" i="48"/>
  <c r="T1830" i="48"/>
  <c r="T2636" i="48"/>
  <c r="E2667" i="48" s="1"/>
  <c r="J2667" i="48" s="1"/>
  <c r="N2667" i="48" s="1"/>
  <c r="R2637" i="48"/>
  <c r="J1363" i="48"/>
  <c r="J1367" i="48" s="1"/>
  <c r="L1363" i="48"/>
  <c r="L1367" i="48" s="1"/>
  <c r="H1363" i="48"/>
  <c r="T1504" i="48"/>
  <c r="R1505" i="48"/>
  <c r="T1763" i="48"/>
  <c r="R1764" i="48"/>
  <c r="R2105" i="48"/>
  <c r="T2104" i="48"/>
  <c r="M1608" i="48"/>
  <c r="H1608" i="48"/>
  <c r="N1608" i="48" s="1"/>
  <c r="R2710" i="48"/>
  <c r="T2709" i="48"/>
  <c r="E2740" i="48" s="1"/>
  <c r="J2740" i="48" s="1"/>
  <c r="T2210" i="48"/>
  <c r="R2211" i="48"/>
  <c r="R2270" i="48"/>
  <c r="T2269" i="48"/>
  <c r="M3050" i="48"/>
  <c r="H3050" i="48"/>
  <c r="N3050" i="48" s="1"/>
  <c r="N2870" i="48"/>
  <c r="R2613" i="48"/>
  <c r="T2612" i="48"/>
  <c r="E2643" i="48" s="1"/>
  <c r="J2643" i="48" s="1"/>
  <c r="N2885" i="48"/>
  <c r="K2889" i="48"/>
  <c r="T2225" i="48"/>
  <c r="R2226" i="48"/>
  <c r="R2447" i="48"/>
  <c r="T2446" i="48"/>
  <c r="T1786" i="48"/>
  <c r="R1787" i="48"/>
  <c r="M3562" i="48"/>
  <c r="H3562" i="48"/>
  <c r="R1718" i="48"/>
  <c r="T1718" i="48" s="1"/>
  <c r="T1717" i="48"/>
  <c r="T2255" i="48"/>
  <c r="R2256" i="48"/>
  <c r="R2764" i="48"/>
  <c r="T2763" i="48"/>
  <c r="E2794" i="48" s="1"/>
  <c r="J2794" i="48" s="1"/>
  <c r="R2180" i="48"/>
  <c r="T2179" i="48"/>
  <c r="T1885" i="48"/>
  <c r="R1886" i="48"/>
  <c r="T2684" i="48"/>
  <c r="E2715" i="48" s="1"/>
  <c r="J2715" i="48" s="1"/>
  <c r="N2715" i="48" s="1"/>
  <c r="R2685" i="48"/>
  <c r="H1898" i="48"/>
  <c r="N1890" i="48"/>
  <c r="N1898" i="48" s="1"/>
  <c r="N3480" i="48"/>
  <c r="R2752" i="48"/>
  <c r="T2751" i="48"/>
  <c r="E2782" i="48" s="1"/>
  <c r="J2782" i="48" s="1"/>
  <c r="H1843" i="48"/>
  <c r="N1835" i="48"/>
  <c r="N1843" i="48" s="1"/>
  <c r="T1799" i="48"/>
  <c r="R1800" i="48"/>
  <c r="T1800" i="48" s="1"/>
  <c r="M3092" i="48"/>
  <c r="H3092" i="48"/>
  <c r="N1119" i="48"/>
  <c r="H1131" i="48"/>
  <c r="N3181" i="48"/>
  <c r="R1325" i="48"/>
  <c r="T1325" i="48" s="1"/>
  <c r="T1324" i="48"/>
  <c r="N2695" i="48"/>
  <c r="N1567" i="48"/>
  <c r="J1571" i="48"/>
  <c r="R2814" i="48"/>
  <c r="T2813" i="48"/>
  <c r="E2844" i="48" s="1"/>
  <c r="J2844" i="48" s="1"/>
  <c r="L1972" i="48"/>
  <c r="H1972" i="48"/>
  <c r="J1972" i="48"/>
  <c r="T2787" i="48"/>
  <c r="R2788" i="48"/>
  <c r="R1820" i="48"/>
  <c r="T1819" i="48"/>
  <c r="N2605" i="48"/>
  <c r="H1809" i="48"/>
  <c r="N1800" i="48"/>
  <c r="N1809" i="48" s="1"/>
  <c r="T2347" i="48"/>
  <c r="R2348" i="48"/>
  <c r="N2617" i="48"/>
  <c r="N3018" i="48"/>
  <c r="J1549" i="48"/>
  <c r="L3086" i="48"/>
  <c r="M3086" i="48"/>
  <c r="T1905" i="48"/>
  <c r="R1906" i="48"/>
  <c r="H1949" i="48"/>
  <c r="N1942" i="48"/>
  <c r="N1949" i="48" s="1"/>
  <c r="H1929" i="48"/>
  <c r="N1922" i="48"/>
  <c r="N1929" i="48" s="1"/>
  <c r="R1640" i="48"/>
  <c r="T1640" i="48" s="1"/>
  <c r="T1639" i="48"/>
  <c r="R2194" i="48"/>
  <c r="T2193" i="48"/>
  <c r="R1334" i="48"/>
  <c r="T1333" i="48"/>
  <c r="N2630" i="48"/>
  <c r="R1875" i="48"/>
  <c r="T1874" i="48"/>
  <c r="R2093" i="48"/>
  <c r="T2092" i="48"/>
  <c r="R2918" i="48"/>
  <c r="T2917" i="48"/>
  <c r="E2948" i="48" s="1"/>
  <c r="J2948" i="48" s="1"/>
  <c r="R2626" i="48"/>
  <c r="T2625" i="48"/>
  <c r="E2656" i="48" s="1"/>
  <c r="J2656" i="48" s="1"/>
  <c r="N2656" i="48" s="1"/>
  <c r="J1797" i="48"/>
  <c r="N1790" i="48"/>
  <c r="N1797" i="48" s="1"/>
  <c r="N663" i="48"/>
  <c r="N667" i="48" s="1"/>
  <c r="L667" i="48"/>
  <c r="R1666" i="48"/>
  <c r="T1666" i="48" s="1"/>
  <c r="T1665" i="48"/>
  <c r="S1296" i="48"/>
  <c r="T1296" i="48" s="1"/>
  <c r="T1295" i="48"/>
  <c r="T2428" i="48"/>
  <c r="R2429" i="48"/>
  <c r="M1628" i="48"/>
  <c r="H1628" i="48"/>
  <c r="N1628" i="48" s="1"/>
  <c r="N1576" i="48"/>
  <c r="T1990" i="48"/>
  <c r="R1991" i="48"/>
  <c r="T2038" i="48"/>
  <c r="R2039" i="48"/>
  <c r="T2724" i="48"/>
  <c r="R2725" i="48"/>
  <c r="H3069" i="48"/>
  <c r="N3069" i="48" s="1"/>
  <c r="M3069" i="48"/>
  <c r="R2014" i="48"/>
  <c r="T2014" i="48" s="1"/>
  <c r="E2045" i="48" s="1"/>
  <c r="T2009" i="48"/>
  <c r="E2040" i="48" s="1"/>
  <c r="R2010" i="48"/>
  <c r="H1939" i="48"/>
  <c r="N1932" i="48"/>
  <c r="N1939" i="48" s="1"/>
  <c r="R2856" i="48"/>
  <c r="T2855" i="48"/>
  <c r="E2886" i="48" s="1"/>
  <c r="J1956" i="48"/>
  <c r="L1956" i="48"/>
  <c r="H1956" i="48"/>
  <c r="T2151" i="48"/>
  <c r="R2152" i="48"/>
  <c r="T2891" i="48"/>
  <c r="E2922" i="48" s="1"/>
  <c r="J2922" i="48" s="1"/>
  <c r="R2892" i="48"/>
  <c r="N717" i="48"/>
  <c r="N720" i="48" s="1"/>
  <c r="H720" i="48"/>
  <c r="H1854" i="48"/>
  <c r="N1846" i="48"/>
  <c r="N1854" i="48" s="1"/>
  <c r="T1852" i="48"/>
  <c r="R1853" i="48"/>
  <c r="R2166" i="48"/>
  <c r="T2165" i="48"/>
  <c r="L2055" i="48"/>
  <c r="H2055" i="48"/>
  <c r="J2055" i="48"/>
  <c r="R2300" i="48"/>
  <c r="T2299" i="48"/>
  <c r="T2413" i="48"/>
  <c r="R2414" i="48"/>
  <c r="R2365" i="48"/>
  <c r="T2364" i="48"/>
  <c r="N3620" i="48"/>
  <c r="N2714" i="48"/>
  <c r="R2116" i="48"/>
  <c r="T2115" i="48"/>
  <c r="R1657" i="48"/>
  <c r="T1657" i="48" s="1"/>
  <c r="T1656" i="48"/>
  <c r="N3104" i="48"/>
  <c r="N3108" i="48" s="1"/>
  <c r="H3108" i="48"/>
  <c r="N723" i="48"/>
  <c r="N726" i="48" s="1"/>
  <c r="H726" i="48"/>
  <c r="M3563" i="48"/>
  <c r="H3563" i="48"/>
  <c r="N3563" i="48" s="1"/>
  <c r="H3181" i="48"/>
  <c r="G3148" i="48" s="1"/>
  <c r="N2054" i="48"/>
  <c r="N3424" i="48"/>
  <c r="R1709" i="48"/>
  <c r="T1709" i="48" s="1"/>
  <c r="T1708" i="48"/>
  <c r="R1864" i="48"/>
  <c r="T1863" i="48"/>
  <c r="N3213" i="48"/>
  <c r="H2535" i="48"/>
  <c r="N2534" i="48"/>
  <c r="N2535" i="48" s="1"/>
  <c r="R1943" i="48"/>
  <c r="T1942" i="48"/>
  <c r="E1973" i="48" s="1"/>
  <c r="H790" i="48"/>
  <c r="T2647" i="48"/>
  <c r="E2678" i="48" s="1"/>
  <c r="J2678" i="48" s="1"/>
  <c r="N2678" i="48" s="1"/>
  <c r="R2648" i="48"/>
  <c r="T2699" i="48"/>
  <c r="R2700" i="48"/>
  <c r="R1548" i="48"/>
  <c r="T1547" i="48"/>
  <c r="E1578" i="48" s="1"/>
  <c r="J1578" i="48" s="1"/>
  <c r="N1578" i="48" s="1"/>
  <c r="T2587" i="48"/>
  <c r="E2618" i="48" s="1"/>
  <c r="J2618" i="48" s="1"/>
  <c r="N2618" i="48" s="1"/>
  <c r="R2588" i="48"/>
  <c r="N2038" i="48"/>
  <c r="N1497" i="48"/>
  <c r="N2937" i="48"/>
  <c r="K2941" i="48"/>
  <c r="N2655" i="48"/>
  <c r="H1865" i="48"/>
  <c r="N1857" i="48"/>
  <c r="N1865" i="48" s="1"/>
  <c r="T2060" i="48"/>
  <c r="R2061" i="48"/>
  <c r="N1151" i="48"/>
  <c r="H1163" i="48"/>
  <c r="M1599" i="48"/>
  <c r="H1599" i="48"/>
  <c r="N1599" i="48" s="1"/>
  <c r="R1774" i="48"/>
  <c r="T1773" i="48"/>
  <c r="M3099" i="48"/>
  <c r="H3099" i="48"/>
  <c r="M3088" i="48"/>
  <c r="H3088" i="48"/>
  <c r="N3088" i="48" s="1"/>
  <c r="J2039" i="48"/>
  <c r="L2039" i="48"/>
  <c r="H2039" i="48"/>
  <c r="R2317" i="48"/>
  <c r="T2316" i="48"/>
  <c r="T1926" i="48"/>
  <c r="E1957" i="48" s="1"/>
  <c r="R1927" i="48"/>
  <c r="R2800" i="48"/>
  <c r="T2799" i="48"/>
  <c r="T2775" i="48"/>
  <c r="R2776" i="48"/>
  <c r="R2879" i="48"/>
  <c r="T2878" i="48"/>
  <c r="E2909" i="48" s="1"/>
  <c r="J2909" i="48" s="1"/>
  <c r="K1614" i="48"/>
  <c r="K1624" i="48"/>
  <c r="T2025" i="48"/>
  <c r="E2056" i="48" s="1"/>
  <c r="R2026" i="48"/>
  <c r="L2004" i="48"/>
  <c r="H2004" i="48"/>
  <c r="J2004" i="48"/>
  <c r="M777" i="48"/>
  <c r="H777" i="48"/>
  <c r="T1915" i="48"/>
  <c r="R1916" i="48"/>
  <c r="T2826" i="48"/>
  <c r="E2857" i="48" s="1"/>
  <c r="J2857" i="48" s="1"/>
  <c r="R2827" i="48"/>
  <c r="N1901" i="48"/>
  <c r="N1909" i="48" s="1"/>
  <c r="H1909" i="48"/>
  <c r="T2380" i="48"/>
  <c r="R2381" i="48"/>
  <c r="N1812" i="48"/>
  <c r="N1821" i="48" s="1"/>
  <c r="H1821" i="48"/>
  <c r="H1640" i="48"/>
  <c r="N1639" i="48"/>
  <c r="N1640" i="48" s="1"/>
  <c r="N3173" i="48"/>
  <c r="T1841" i="48"/>
  <c r="R1842" i="48"/>
  <c r="R3087" i="48"/>
  <c r="T3086" i="48"/>
  <c r="H3213" i="48"/>
  <c r="G3160" i="48" s="1"/>
  <c r="H1887" i="48"/>
  <c r="N1878" i="48"/>
  <c r="N1887" i="48" s="1"/>
  <c r="T2935" i="48"/>
  <c r="R2937" i="48"/>
  <c r="T2937" i="48" s="1"/>
  <c r="N1590" i="48"/>
  <c r="N1557" i="48"/>
  <c r="N2768" i="48"/>
  <c r="N711" i="48"/>
  <c r="N714" i="48" s="1"/>
  <c r="H714" i="48"/>
  <c r="H781" i="48"/>
  <c r="N2677" i="48"/>
  <c r="N2593" i="48"/>
  <c r="R2285" i="48"/>
  <c r="T2284" i="48"/>
  <c r="N3644" i="48"/>
  <c r="R2601" i="48"/>
  <c r="T2600" i="48"/>
  <c r="E2631" i="48" s="1"/>
  <c r="J2631" i="48" s="1"/>
  <c r="N2631" i="48" s="1"/>
  <c r="R1809" i="48"/>
  <c r="T1808" i="48"/>
  <c r="R2908" i="48"/>
  <c r="T2907" i="48"/>
  <c r="E2938" i="48" s="1"/>
  <c r="N705" i="48"/>
  <c r="N708" i="48" s="1"/>
  <c r="H708" i="48"/>
  <c r="R1526" i="48"/>
  <c r="T1525" i="48"/>
  <c r="R1727" i="48"/>
  <c r="T1727" i="48" s="1"/>
  <c r="T1726" i="48"/>
  <c r="M1618" i="48"/>
  <c r="H1618" i="48"/>
  <c r="N1618" i="48" s="1"/>
  <c r="T1958" i="48"/>
  <c r="R1959" i="48"/>
  <c r="N3075" i="48"/>
  <c r="M3031" i="48"/>
  <c r="H3031" i="48"/>
  <c r="N3031" i="48" s="1"/>
  <c r="H1919" i="48"/>
  <c r="N1912" i="48"/>
  <c r="N1919" i="48" s="1"/>
  <c r="T2840" i="48"/>
  <c r="E2871" i="48" s="1"/>
  <c r="J2871" i="48" s="1"/>
  <c r="N2871" i="48" s="1"/>
  <c r="R2841" i="48"/>
  <c r="N2540" i="48"/>
  <c r="N2541" i="48" s="1"/>
  <c r="H2541" i="48"/>
  <c r="H1643" i="48"/>
  <c r="N1642" i="48"/>
  <c r="N1643" i="48" s="1"/>
  <c r="N699" i="48"/>
  <c r="N702" i="48" s="1"/>
  <c r="H702" i="48"/>
  <c r="N1824" i="48"/>
  <c r="N1832" i="48" s="1"/>
  <c r="H1832" i="48"/>
  <c r="N3652" i="48"/>
  <c r="N1135" i="48"/>
  <c r="H1147" i="48"/>
  <c r="T2550" i="48"/>
  <c r="E2581" i="48" s="1"/>
  <c r="J2581" i="48" s="1"/>
  <c r="R2551" i="48"/>
  <c r="R1975" i="48"/>
  <c r="T1974" i="48"/>
  <c r="E2005" i="48" s="1"/>
  <c r="H786" i="48"/>
  <c r="M786" i="48"/>
  <c r="R2141" i="48"/>
  <c r="T2140" i="48"/>
  <c r="N3037" i="48"/>
  <c r="R2396" i="48"/>
  <c r="T2395" i="48"/>
  <c r="H2538" i="48"/>
  <c r="N2537" i="48"/>
  <c r="N2538" i="48" s="1"/>
  <c r="N1383" i="48"/>
  <c r="R2126" i="48"/>
  <c r="T2125" i="48"/>
  <c r="N2781" i="48"/>
  <c r="T1895" i="48"/>
  <c r="R1896" i="48"/>
  <c r="R2072" i="48"/>
  <c r="T2071" i="48"/>
  <c r="H3173" i="48"/>
  <c r="G3144" i="48" s="1"/>
  <c r="O1628" i="48"/>
  <c r="O1608" i="48"/>
  <c r="O1618" i="48"/>
  <c r="O1599" i="48"/>
  <c r="A207" i="48"/>
  <c r="R1538" i="48"/>
  <c r="T1537" i="48"/>
  <c r="R2083" i="48"/>
  <c r="T2082" i="48"/>
  <c r="T2332" i="48"/>
  <c r="R2333" i="48"/>
  <c r="T2738" i="48"/>
  <c r="E2769" i="48" s="1"/>
  <c r="J2769" i="48" s="1"/>
  <c r="N2769" i="48" s="1"/>
  <c r="R2739" i="48"/>
  <c r="T2575" i="48"/>
  <c r="E2606" i="48" s="1"/>
  <c r="J2606" i="48" s="1"/>
  <c r="N2606" i="48" s="1"/>
  <c r="R2576" i="48"/>
  <c r="T1690" i="48"/>
  <c r="R1691" i="48"/>
  <c r="T1691" i="48" s="1"/>
  <c r="T1630" i="48"/>
  <c r="R1631" i="48"/>
  <c r="T1631" i="48" s="1"/>
  <c r="R2564" i="48"/>
  <c r="T2563" i="48"/>
  <c r="E2594" i="48" s="1"/>
  <c r="J2594" i="48" s="1"/>
  <c r="N2594" i="48" s="1"/>
  <c r="N1353" i="48"/>
  <c r="T2240" i="48"/>
  <c r="R2241" i="48"/>
  <c r="N3056" i="48"/>
  <c r="N1131" i="48" l="1"/>
  <c r="N1141" i="48"/>
  <c r="N1147" i="48" s="1"/>
  <c r="N1157" i="48"/>
  <c r="N1163" i="48" s="1"/>
  <c r="M1157" i="48"/>
  <c r="T2865" i="48"/>
  <c r="E2896" i="48" s="1"/>
  <c r="J2896" i="48" s="1"/>
  <c r="N2896" i="48" s="1"/>
  <c r="R2866" i="48"/>
  <c r="H3089" i="48"/>
  <c r="K2670" i="48"/>
  <c r="L2670" i="48" s="1"/>
  <c r="N2670" i="48" s="1"/>
  <c r="M3152" i="48"/>
  <c r="M3156" i="48"/>
  <c r="N3820" i="48"/>
  <c r="N3821" i="48" s="1"/>
  <c r="H3821" i="48"/>
  <c r="M3164" i="48"/>
  <c r="N1343" i="48"/>
  <c r="R1305" i="48"/>
  <c r="T1305" i="48" s="1"/>
  <c r="T1304" i="48"/>
  <c r="T1314" i="48"/>
  <c r="R1315" i="48"/>
  <c r="T1315" i="48" s="1"/>
  <c r="N1333" i="48"/>
  <c r="K2659" i="48"/>
  <c r="L2659" i="48" s="1"/>
  <c r="N2659" i="48" s="1"/>
  <c r="L3098" i="48"/>
  <c r="M3098" i="48"/>
  <c r="L3095" i="48"/>
  <c r="M3095" i="48"/>
  <c r="T2241" i="48"/>
  <c r="R2242" i="48"/>
  <c r="R1539" i="48"/>
  <c r="T1539" i="48" s="1"/>
  <c r="T1538" i="48"/>
  <c r="O3562" i="48"/>
  <c r="O786" i="48"/>
  <c r="O777" i="48"/>
  <c r="A214" i="48"/>
  <c r="R2073" i="48"/>
  <c r="T2072" i="48"/>
  <c r="N3152" i="48"/>
  <c r="N3153" i="48" s="1"/>
  <c r="H3153" i="48"/>
  <c r="T2576" i="48"/>
  <c r="E2607" i="48" s="1"/>
  <c r="J2607" i="48" s="1"/>
  <c r="N2607" i="48" s="1"/>
  <c r="R2577" i="48"/>
  <c r="T2333" i="48"/>
  <c r="R2334" i="48"/>
  <c r="T2083" i="48"/>
  <c r="R2084" i="48"/>
  <c r="R2397" i="48"/>
  <c r="T2396" i="48"/>
  <c r="T2141" i="48"/>
  <c r="R2142" i="48"/>
  <c r="R1976" i="48"/>
  <c r="T1975" i="48"/>
  <c r="E2006" i="48" s="1"/>
  <c r="R1810" i="48"/>
  <c r="T1809" i="48"/>
  <c r="G3289" i="48"/>
  <c r="G3273" i="48"/>
  <c r="G3265" i="48"/>
  <c r="G3281" i="48"/>
  <c r="G3249" i="48"/>
  <c r="G3257" i="48"/>
  <c r="G3241" i="48"/>
  <c r="G1626" i="48"/>
  <c r="G1597" i="48"/>
  <c r="G1606" i="48"/>
  <c r="G1616" i="48"/>
  <c r="G1278" i="48"/>
  <c r="G1252" i="48"/>
  <c r="G1220" i="48"/>
  <c r="G1204" i="48"/>
  <c r="G1172" i="48"/>
  <c r="G1302" i="48"/>
  <c r="G1244" i="48"/>
  <c r="G1212" i="48"/>
  <c r="G1196" i="48"/>
  <c r="G1294" i="48"/>
  <c r="G1236" i="48"/>
  <c r="G1188" i="48"/>
  <c r="G1286" i="48"/>
  <c r="G1228" i="48"/>
  <c r="G1180" i="48"/>
  <c r="R2828" i="48"/>
  <c r="T2827" i="48"/>
  <c r="E2858" i="48" s="1"/>
  <c r="J2858" i="48" s="1"/>
  <c r="N2858" i="48" s="1"/>
  <c r="N777" i="48"/>
  <c r="H782" i="48"/>
  <c r="L1624" i="48"/>
  <c r="M1624" i="48"/>
  <c r="R2801" i="48"/>
  <c r="T2800" i="48"/>
  <c r="E2831" i="48" s="1"/>
  <c r="J2831" i="48" s="1"/>
  <c r="T2317" i="48"/>
  <c r="R2318" i="48"/>
  <c r="G3067" i="48"/>
  <c r="G3048" i="48"/>
  <c r="G3029" i="48"/>
  <c r="T2365" i="48"/>
  <c r="R2366" i="48"/>
  <c r="R2301" i="48"/>
  <c r="T2300" i="48"/>
  <c r="J2886" i="48"/>
  <c r="L2886" i="48"/>
  <c r="H2886" i="48"/>
  <c r="R2016" i="48"/>
  <c r="T2016" i="48" s="1"/>
  <c r="E2047" i="48" s="1"/>
  <c r="T2010" i="48"/>
  <c r="E2041" i="48" s="1"/>
  <c r="R2011" i="48"/>
  <c r="I790" i="48"/>
  <c r="I781" i="48"/>
  <c r="N2948" i="48"/>
  <c r="R2195" i="48"/>
  <c r="T2194" i="48"/>
  <c r="L3089" i="48"/>
  <c r="N3086" i="48"/>
  <c r="N3089" i="48" s="1"/>
  <c r="H3096" i="48"/>
  <c r="N3092" i="48"/>
  <c r="R2686" i="48"/>
  <c r="T2685" i="48"/>
  <c r="E2716" i="48" s="1"/>
  <c r="J2716" i="48" s="1"/>
  <c r="R2257" i="48"/>
  <c r="T2256" i="48"/>
  <c r="N3562" i="48"/>
  <c r="N3566" i="48" s="1"/>
  <c r="H3566" i="48"/>
  <c r="R2614" i="48"/>
  <c r="T2613" i="48"/>
  <c r="E2644" i="48" s="1"/>
  <c r="J2644" i="48" s="1"/>
  <c r="N2644" i="48" s="1"/>
  <c r="T2270" i="48"/>
  <c r="R2271" i="48"/>
  <c r="T2710" i="48"/>
  <c r="E2741" i="48" s="1"/>
  <c r="J2741" i="48" s="1"/>
  <c r="N2741" i="48" s="1"/>
  <c r="R2711" i="48"/>
  <c r="R1765" i="48"/>
  <c r="T1765" i="48" s="1"/>
  <c r="T1764" i="48"/>
  <c r="N1363" i="48"/>
  <c r="M3247" i="48"/>
  <c r="H3247" i="48"/>
  <c r="M3263" i="48"/>
  <c r="H3263" i="48"/>
  <c r="T2672" i="48"/>
  <c r="R2673" i="48"/>
  <c r="M3144" i="48"/>
  <c r="H3144" i="48"/>
  <c r="T1896" i="48"/>
  <c r="R1897" i="48"/>
  <c r="T1897" i="48" s="1"/>
  <c r="T2126" i="48"/>
  <c r="R2127" i="48"/>
  <c r="R2552" i="48"/>
  <c r="T2551" i="48"/>
  <c r="E2582" i="48" s="1"/>
  <c r="J2582" i="48" s="1"/>
  <c r="N2582" i="48" s="1"/>
  <c r="L2938" i="48"/>
  <c r="H2938" i="48"/>
  <c r="J2938" i="48"/>
  <c r="T2285" i="48"/>
  <c r="R2286" i="48"/>
  <c r="T3087" i="48"/>
  <c r="R3088" i="48"/>
  <c r="N2857" i="48"/>
  <c r="T2026" i="48"/>
  <c r="E2057" i="48" s="1"/>
  <c r="R2027" i="48"/>
  <c r="L1614" i="48"/>
  <c r="M1614" i="48"/>
  <c r="T2776" i="48"/>
  <c r="R2777" i="48"/>
  <c r="T1927" i="48"/>
  <c r="E1958" i="48" s="1"/>
  <c r="R1928" i="48"/>
  <c r="N2039" i="48"/>
  <c r="R1775" i="48"/>
  <c r="T1774" i="48"/>
  <c r="R1549" i="48"/>
  <c r="T1548" i="48"/>
  <c r="R1865" i="48"/>
  <c r="T1864" i="48"/>
  <c r="R2415" i="48"/>
  <c r="T2414" i="48"/>
  <c r="R2893" i="48"/>
  <c r="T2892" i="48"/>
  <c r="E2923" i="48" s="1"/>
  <c r="J2923" i="48" s="1"/>
  <c r="N2923" i="48" s="1"/>
  <c r="N1956" i="48"/>
  <c r="T2856" i="48"/>
  <c r="E2887" i="48" s="1"/>
  <c r="R2857" i="48"/>
  <c r="J2040" i="48"/>
  <c r="L2040" i="48"/>
  <c r="H2040" i="48"/>
  <c r="R2726" i="48"/>
  <c r="T2725" i="48"/>
  <c r="R1992" i="48"/>
  <c r="T1991" i="48"/>
  <c r="T2918" i="48"/>
  <c r="E2949" i="48" s="1"/>
  <c r="J2949" i="48" s="1"/>
  <c r="N2949" i="48" s="1"/>
  <c r="R2919" i="48"/>
  <c r="T1875" i="48"/>
  <c r="R1876" i="48"/>
  <c r="H3165" i="48"/>
  <c r="N3164" i="48"/>
  <c r="N3165" i="48" s="1"/>
  <c r="T1906" i="48"/>
  <c r="R1907" i="48"/>
  <c r="T1907" i="48" s="1"/>
  <c r="T2348" i="48"/>
  <c r="R2349" i="48"/>
  <c r="T1820" i="48"/>
  <c r="R1821" i="48"/>
  <c r="N1972" i="48"/>
  <c r="N2844" i="48"/>
  <c r="R2181" i="48"/>
  <c r="T2180" i="48"/>
  <c r="T2226" i="48"/>
  <c r="R2227" i="48"/>
  <c r="M2889" i="48"/>
  <c r="L2889" i="48"/>
  <c r="N2889" i="48" s="1"/>
  <c r="T2211" i="48"/>
  <c r="R2212" i="48"/>
  <c r="J1582" i="48"/>
  <c r="R2106" i="48"/>
  <c r="T2105" i="48"/>
  <c r="M3271" i="48"/>
  <c r="H3271" i="48"/>
  <c r="M3287" i="48"/>
  <c r="H3287" i="48"/>
  <c r="R1517" i="48"/>
  <c r="T1517" i="48" s="1"/>
  <c r="T1516" i="48"/>
  <c r="T2739" i="48"/>
  <c r="E2770" i="48" s="1"/>
  <c r="J2770" i="48" s="1"/>
  <c r="N2770" i="48" s="1"/>
  <c r="R2740" i="48"/>
  <c r="N786" i="48"/>
  <c r="H791" i="48"/>
  <c r="N2581" i="48"/>
  <c r="T1526" i="48"/>
  <c r="R1527" i="48"/>
  <c r="T2908" i="48"/>
  <c r="E2939" i="48" s="1"/>
  <c r="R2909" i="48"/>
  <c r="T2601" i="48"/>
  <c r="E2632" i="48" s="1"/>
  <c r="J2632" i="48" s="1"/>
  <c r="N2632" i="48" s="1"/>
  <c r="R2602" i="48"/>
  <c r="T1842" i="48"/>
  <c r="R1843" i="48"/>
  <c r="T1843" i="48" s="1"/>
  <c r="T1916" i="48"/>
  <c r="R1917" i="48"/>
  <c r="T1917" i="48" s="1"/>
  <c r="J2056" i="48"/>
  <c r="L2056" i="48"/>
  <c r="H2056" i="48"/>
  <c r="N2909" i="48"/>
  <c r="J1957" i="48"/>
  <c r="L1957" i="48"/>
  <c r="H1957" i="48"/>
  <c r="N3099" i="48"/>
  <c r="H3100" i="48"/>
  <c r="T2061" i="48"/>
  <c r="R2062" i="48"/>
  <c r="M2941" i="48"/>
  <c r="L2941" i="48"/>
  <c r="N2941" i="48" s="1"/>
  <c r="T2588" i="48"/>
  <c r="E2619" i="48" s="1"/>
  <c r="J2619" i="48" s="1"/>
  <c r="N2619" i="48" s="1"/>
  <c r="R2589" i="48"/>
  <c r="T2700" i="48"/>
  <c r="R2701" i="48"/>
  <c r="R2649" i="48"/>
  <c r="T2648" i="48"/>
  <c r="E2679" i="48" s="1"/>
  <c r="J2679" i="48" s="1"/>
  <c r="L1973" i="48"/>
  <c r="H1973" i="48"/>
  <c r="J1973" i="48"/>
  <c r="G1570" i="48"/>
  <c r="G1548" i="48"/>
  <c r="G1481" i="48"/>
  <c r="G1471" i="48"/>
  <c r="G1431" i="48"/>
  <c r="G1412" i="48"/>
  <c r="G1376" i="48"/>
  <c r="G1346" i="48"/>
  <c r="G1581" i="48"/>
  <c r="G1490" i="48"/>
  <c r="G1461" i="48"/>
  <c r="G1441" i="48"/>
  <c r="G1403" i="48"/>
  <c r="G1394" i="48"/>
  <c r="G1385" i="48"/>
  <c r="G1592" i="48"/>
  <c r="G1559" i="48"/>
  <c r="G1526" i="48"/>
  <c r="G1499" i="48"/>
  <c r="G1451" i="48"/>
  <c r="G1366" i="48"/>
  <c r="G1326" i="48"/>
  <c r="G1537" i="48"/>
  <c r="G1517" i="48"/>
  <c r="G1508" i="48"/>
  <c r="G1421" i="48"/>
  <c r="G1356" i="48"/>
  <c r="G1336" i="48"/>
  <c r="G1277" i="48"/>
  <c r="G1227" i="48"/>
  <c r="G1195" i="48"/>
  <c r="G1251" i="48"/>
  <c r="G1219" i="48"/>
  <c r="G1187" i="48"/>
  <c r="G1293" i="48"/>
  <c r="G1243" i="48"/>
  <c r="G1211" i="48"/>
  <c r="G1179" i="48"/>
  <c r="G1301" i="48"/>
  <c r="G1285" i="48"/>
  <c r="G1235" i="48"/>
  <c r="G1203" i="48"/>
  <c r="G1171" i="48"/>
  <c r="T2116" i="48"/>
  <c r="R2117" i="48"/>
  <c r="R2167" i="48"/>
  <c r="T2166" i="48"/>
  <c r="N2922" i="48"/>
  <c r="L2045" i="48"/>
  <c r="H2045" i="48"/>
  <c r="J2045" i="48"/>
  <c r="R1335" i="48"/>
  <c r="T1335" i="48" s="1"/>
  <c r="T1334" i="48"/>
  <c r="R2789" i="48"/>
  <c r="T2788" i="48"/>
  <c r="R2815" i="48"/>
  <c r="T2814" i="48"/>
  <c r="E2845" i="48" s="1"/>
  <c r="J2845" i="48" s="1"/>
  <c r="N2845" i="48" s="1"/>
  <c r="N2782" i="48"/>
  <c r="K2786" i="48"/>
  <c r="T1886" i="48"/>
  <c r="R1887" i="48"/>
  <c r="T1887" i="48" s="1"/>
  <c r="N2794" i="48"/>
  <c r="K2798" i="48"/>
  <c r="T1787" i="48"/>
  <c r="R1788" i="48"/>
  <c r="T1788" i="48" s="1"/>
  <c r="R1789" i="48"/>
  <c r="T1789" i="48" s="1"/>
  <c r="H3157" i="48"/>
  <c r="N3156" i="48"/>
  <c r="N3157" i="48" s="1"/>
  <c r="R1506" i="48"/>
  <c r="T1505" i="48"/>
  <c r="T1831" i="48"/>
  <c r="R1832" i="48"/>
  <c r="M3279" i="48"/>
  <c r="H3279" i="48"/>
  <c r="T2050" i="48"/>
  <c r="R2051" i="48"/>
  <c r="T2564" i="48"/>
  <c r="E2595" i="48" s="1"/>
  <c r="J2595" i="48" s="1"/>
  <c r="N2595" i="48" s="1"/>
  <c r="R2565" i="48"/>
  <c r="J2005" i="48"/>
  <c r="L2005" i="48"/>
  <c r="H2005" i="48"/>
  <c r="R2842" i="48"/>
  <c r="T2841" i="48"/>
  <c r="E2872" i="48" s="1"/>
  <c r="J2872" i="48" s="1"/>
  <c r="N2872" i="48" s="1"/>
  <c r="T1959" i="48"/>
  <c r="R1960" i="48"/>
  <c r="H3160" i="48"/>
  <c r="M3160" i="48"/>
  <c r="T2381" i="48"/>
  <c r="R2382" i="48"/>
  <c r="N2004" i="48"/>
  <c r="R2880" i="48"/>
  <c r="T2879" i="48"/>
  <c r="E2910" i="48" s="1"/>
  <c r="J2910" i="48" s="1"/>
  <c r="N2910" i="48" s="1"/>
  <c r="T1943" i="48"/>
  <c r="E1974" i="48" s="1"/>
  <c r="R1944" i="48"/>
  <c r="H3148" i="48"/>
  <c r="M3148" i="48"/>
  <c r="N2055" i="48"/>
  <c r="R1854" i="48"/>
  <c r="T1853" i="48"/>
  <c r="T2152" i="48"/>
  <c r="R2153" i="48"/>
  <c r="T2039" i="48"/>
  <c r="R2040" i="48"/>
  <c r="R2430" i="48"/>
  <c r="T2429" i="48"/>
  <c r="R2627" i="48"/>
  <c r="T2627" i="48" s="1"/>
  <c r="E2658" i="48" s="1"/>
  <c r="T2626" i="48"/>
  <c r="E2657" i="48" s="1"/>
  <c r="T2093" i="48"/>
  <c r="R2094" i="48"/>
  <c r="R2753" i="48"/>
  <c r="T2752" i="48"/>
  <c r="E2783" i="48" s="1"/>
  <c r="R2765" i="48"/>
  <c r="T2764" i="48"/>
  <c r="E2795" i="48" s="1"/>
  <c r="T2447" i="48"/>
  <c r="R2448" i="48"/>
  <c r="N2643" i="48"/>
  <c r="N2740" i="48"/>
  <c r="T2637" i="48"/>
  <c r="E2668" i="48" s="1"/>
  <c r="R2638" i="48"/>
  <c r="T2638" i="48" s="1"/>
  <c r="E2669" i="48" s="1"/>
  <c r="M3255" i="48"/>
  <c r="H3255" i="48"/>
  <c r="H3239" i="48"/>
  <c r="M3239" i="48"/>
  <c r="M2670" i="48" l="1"/>
  <c r="R2867" i="48"/>
  <c r="T2866" i="48"/>
  <c r="E2897" i="48" s="1"/>
  <c r="J2897" i="48" s="1"/>
  <c r="N2897" i="48" s="1"/>
  <c r="K2610" i="48"/>
  <c r="L2610" i="48" s="1"/>
  <c r="N2610" i="48" s="1"/>
  <c r="M2659" i="48"/>
  <c r="N1957" i="48"/>
  <c r="K2598" i="48"/>
  <c r="L2598" i="48" s="1"/>
  <c r="N2598" i="48" s="1"/>
  <c r="N2045" i="48"/>
  <c r="L3100" i="48"/>
  <c r="N3098" i="48"/>
  <c r="N3100" i="48" s="1"/>
  <c r="L3096" i="48"/>
  <c r="N3095" i="48"/>
  <c r="N3096" i="48" s="1"/>
  <c r="N3239" i="48"/>
  <c r="L2668" i="48"/>
  <c r="H2668" i="48"/>
  <c r="J2668" i="48"/>
  <c r="L2795" i="48"/>
  <c r="H2795" i="48"/>
  <c r="J2795" i="48"/>
  <c r="R2431" i="48"/>
  <c r="T2430" i="48"/>
  <c r="R2154" i="48"/>
  <c r="T2153" i="48"/>
  <c r="T1944" i="48"/>
  <c r="E1975" i="48" s="1"/>
  <c r="R1945" i="48"/>
  <c r="T2051" i="48"/>
  <c r="R2052" i="48"/>
  <c r="T2052" i="48" s="1"/>
  <c r="T1832" i="48"/>
  <c r="R1833" i="48"/>
  <c r="T1833" i="48" s="1"/>
  <c r="H1203" i="48"/>
  <c r="M1203" i="48"/>
  <c r="H1179" i="48"/>
  <c r="M1179" i="48"/>
  <c r="H1187" i="48"/>
  <c r="M1187" i="48"/>
  <c r="M1227" i="48"/>
  <c r="H1227" i="48"/>
  <c r="H1421" i="48"/>
  <c r="M1421" i="48"/>
  <c r="H1326" i="48"/>
  <c r="M1326" i="48"/>
  <c r="H1526" i="48"/>
  <c r="M1526" i="48"/>
  <c r="H1394" i="48"/>
  <c r="M1394" i="48"/>
  <c r="H1490" i="48"/>
  <c r="M1490" i="48"/>
  <c r="M1412" i="48"/>
  <c r="H1412" i="48"/>
  <c r="M1548" i="48"/>
  <c r="H1548" i="48"/>
  <c r="N2056" i="48"/>
  <c r="T2740" i="48"/>
  <c r="E2771" i="48" s="1"/>
  <c r="R2741" i="48"/>
  <c r="N3287" i="48"/>
  <c r="R2228" i="48"/>
  <c r="T2227" i="48"/>
  <c r="T1876" i="48"/>
  <c r="R1877" i="48"/>
  <c r="T1877" i="48" s="1"/>
  <c r="N2040" i="48"/>
  <c r="L2887" i="48"/>
  <c r="H2887" i="48"/>
  <c r="J2887" i="48"/>
  <c r="R2894" i="48"/>
  <c r="T2893" i="48"/>
  <c r="E2924" i="48" s="1"/>
  <c r="J2924" i="48" s="1"/>
  <c r="T1865" i="48"/>
  <c r="R1866" i="48"/>
  <c r="T1866" i="48" s="1"/>
  <c r="R1550" i="48"/>
  <c r="T1550" i="48" s="1"/>
  <c r="T1549" i="48"/>
  <c r="R1929" i="48"/>
  <c r="T1928" i="48"/>
  <c r="E1959" i="48" s="1"/>
  <c r="T2614" i="48"/>
  <c r="E2645" i="48" s="1"/>
  <c r="J2645" i="48" s="1"/>
  <c r="R2615" i="48"/>
  <c r="R2259" i="48"/>
  <c r="T2257" i="48"/>
  <c r="R2196" i="48"/>
  <c r="T2195" i="48"/>
  <c r="R2013" i="48"/>
  <c r="T2013" i="48" s="1"/>
  <c r="E2044" i="48" s="1"/>
  <c r="T2011" i="48"/>
  <c r="E2042" i="48" s="1"/>
  <c r="R2302" i="48"/>
  <c r="T2301" i="48"/>
  <c r="M3048" i="48"/>
  <c r="H3048" i="48"/>
  <c r="T2801" i="48"/>
  <c r="E2832" i="48" s="1"/>
  <c r="J2832" i="48" s="1"/>
  <c r="N2832" i="48" s="1"/>
  <c r="R2802" i="48"/>
  <c r="M1286" i="48"/>
  <c r="H1286" i="48"/>
  <c r="N1286" i="48" s="1"/>
  <c r="H1196" i="48"/>
  <c r="N1196" i="48" s="1"/>
  <c r="M1196" i="48"/>
  <c r="M1172" i="48"/>
  <c r="H1172" i="48"/>
  <c r="N1172" i="48" s="1"/>
  <c r="M1278" i="48"/>
  <c r="H1278" i="48"/>
  <c r="N1278" i="48" s="1"/>
  <c r="M1626" i="48"/>
  <c r="H1626" i="48"/>
  <c r="H3281" i="48"/>
  <c r="N3281" i="48" s="1"/>
  <c r="M3281" i="48"/>
  <c r="L2006" i="48"/>
  <c r="H2006" i="48"/>
  <c r="J2006" i="48"/>
  <c r="R2243" i="48"/>
  <c r="T2242" i="48"/>
  <c r="N3255" i="48"/>
  <c r="T2765" i="48"/>
  <c r="E2796" i="48" s="1"/>
  <c r="R2766" i="48"/>
  <c r="T2766" i="48" s="1"/>
  <c r="E2797" i="48" s="1"/>
  <c r="L2657" i="48"/>
  <c r="H2657" i="48"/>
  <c r="J2657" i="48"/>
  <c r="T2040" i="48"/>
  <c r="R2041" i="48"/>
  <c r="T2041" i="48" s="1"/>
  <c r="L1974" i="48"/>
  <c r="H1974" i="48"/>
  <c r="J1974" i="48"/>
  <c r="N3160" i="48"/>
  <c r="N3161" i="48" s="1"/>
  <c r="H3161" i="48"/>
  <c r="R2790" i="48"/>
  <c r="T2789" i="48"/>
  <c r="T2117" i="48"/>
  <c r="R2118" i="48"/>
  <c r="T2118" i="48" s="1"/>
  <c r="M1235" i="48"/>
  <c r="H1235" i="48"/>
  <c r="M1211" i="48"/>
  <c r="H1211" i="48"/>
  <c r="H1219" i="48"/>
  <c r="M1219" i="48"/>
  <c r="M1277" i="48"/>
  <c r="H1277" i="48"/>
  <c r="H1508" i="48"/>
  <c r="M1508" i="48"/>
  <c r="H1366" i="48"/>
  <c r="M1366" i="48"/>
  <c r="H1559" i="48"/>
  <c r="M1559" i="48"/>
  <c r="H1403" i="48"/>
  <c r="M1403" i="48"/>
  <c r="H1581" i="48"/>
  <c r="M1581" i="48"/>
  <c r="M1431" i="48"/>
  <c r="H1431" i="48"/>
  <c r="M1570" i="48"/>
  <c r="H1570" i="48"/>
  <c r="N2679" i="48"/>
  <c r="K2682" i="48"/>
  <c r="T2589" i="48"/>
  <c r="E2620" i="48" s="1"/>
  <c r="R2590" i="48"/>
  <c r="T2590" i="48" s="1"/>
  <c r="E2621" i="48" s="1"/>
  <c r="T2909" i="48"/>
  <c r="E2940" i="48" s="1"/>
  <c r="R2910" i="48"/>
  <c r="T2910" i="48" s="1"/>
  <c r="T2106" i="48"/>
  <c r="R2107" i="48"/>
  <c r="T2107" i="48" s="1"/>
  <c r="K2876" i="48"/>
  <c r="R2350" i="48"/>
  <c r="T2349" i="48"/>
  <c r="R1993" i="48"/>
  <c r="T1992" i="48"/>
  <c r="J1958" i="48"/>
  <c r="L1958" i="48"/>
  <c r="H1958" i="48"/>
  <c r="L1621" i="48"/>
  <c r="N1614" i="48"/>
  <c r="R2553" i="48"/>
  <c r="T2552" i="48"/>
  <c r="E2583" i="48" s="1"/>
  <c r="J2583" i="48" s="1"/>
  <c r="R2674" i="48"/>
  <c r="T2673" i="48"/>
  <c r="N3247" i="48"/>
  <c r="R2272" i="48"/>
  <c r="T2271" i="48"/>
  <c r="N2716" i="48"/>
  <c r="K2720" i="48"/>
  <c r="K2635" i="48"/>
  <c r="J781" i="48"/>
  <c r="M781" i="48"/>
  <c r="J2041" i="48"/>
  <c r="L2041" i="48"/>
  <c r="H2041" i="48"/>
  <c r="T2366" i="48"/>
  <c r="R2367" i="48"/>
  <c r="H3067" i="48"/>
  <c r="M3067" i="48"/>
  <c r="T2318" i="48"/>
  <c r="R2319" i="48"/>
  <c r="K2774" i="48"/>
  <c r="H1188" i="48"/>
  <c r="N1188" i="48" s="1"/>
  <c r="M1188" i="48"/>
  <c r="H1212" i="48"/>
  <c r="N1212" i="48" s="1"/>
  <c r="M1212" i="48"/>
  <c r="M1204" i="48"/>
  <c r="H1204" i="48"/>
  <c r="N1204" i="48" s="1"/>
  <c r="H1616" i="48"/>
  <c r="M1616" i="48"/>
  <c r="M3241" i="48"/>
  <c r="H3241" i="48"/>
  <c r="N3241" i="48" s="1"/>
  <c r="M3265" i="48"/>
  <c r="H3265" i="48"/>
  <c r="N3265" i="48" s="1"/>
  <c r="R1977" i="48"/>
  <c r="T1976" i="48"/>
  <c r="E2007" i="48" s="1"/>
  <c r="R2398" i="48"/>
  <c r="T2397" i="48"/>
  <c r="R2335" i="48"/>
  <c r="T2334" i="48"/>
  <c r="T2073" i="48"/>
  <c r="R2074" i="48"/>
  <c r="T2074" i="48" s="1"/>
  <c r="L2783" i="48"/>
  <c r="H2783" i="48"/>
  <c r="J2783" i="48"/>
  <c r="L2658" i="48"/>
  <c r="H2658" i="48"/>
  <c r="J2658" i="48"/>
  <c r="R2383" i="48"/>
  <c r="T2382" i="48"/>
  <c r="R2843" i="48"/>
  <c r="T2842" i="48"/>
  <c r="E2873" i="48" s="1"/>
  <c r="T2565" i="48"/>
  <c r="E2596" i="48" s="1"/>
  <c r="R2566" i="48"/>
  <c r="N3279" i="48"/>
  <c r="T2815" i="48"/>
  <c r="E2846" i="48" s="1"/>
  <c r="J2846" i="48" s="1"/>
  <c r="N2846" i="48" s="1"/>
  <c r="R2816" i="48"/>
  <c r="M1285" i="48"/>
  <c r="H1285" i="48"/>
  <c r="M1243" i="48"/>
  <c r="H1243" i="48"/>
  <c r="H1251" i="48"/>
  <c r="M1251" i="48"/>
  <c r="H1336" i="48"/>
  <c r="M1336" i="48"/>
  <c r="H1517" i="48"/>
  <c r="M1517" i="48"/>
  <c r="H1451" i="48"/>
  <c r="M1451" i="48"/>
  <c r="H1592" i="48"/>
  <c r="M1592" i="48"/>
  <c r="H1441" i="48"/>
  <c r="M1441" i="48"/>
  <c r="M1346" i="48"/>
  <c r="H1346" i="48"/>
  <c r="M1471" i="48"/>
  <c r="H1471" i="48"/>
  <c r="R2650" i="48"/>
  <c r="T2650" i="48" s="1"/>
  <c r="E2681" i="48" s="1"/>
  <c r="T2649" i="48"/>
  <c r="E2680" i="48" s="1"/>
  <c r="T2062" i="48"/>
  <c r="R2063" i="48"/>
  <c r="T2063" i="48" s="1"/>
  <c r="L2939" i="48"/>
  <c r="H2939" i="48"/>
  <c r="J2939" i="48"/>
  <c r="N3271" i="48"/>
  <c r="R1822" i="48"/>
  <c r="T1822" i="48" s="1"/>
  <c r="T1821" i="48"/>
  <c r="T2919" i="48"/>
  <c r="E2950" i="48" s="1"/>
  <c r="J2950" i="48" s="1"/>
  <c r="N2950" i="48" s="1"/>
  <c r="R2920" i="48"/>
  <c r="R2416" i="48"/>
  <c r="T2415" i="48"/>
  <c r="R1776" i="48"/>
  <c r="T1775" i="48"/>
  <c r="T2777" i="48"/>
  <c r="R2778" i="48"/>
  <c r="R2028" i="48"/>
  <c r="T2027" i="48"/>
  <c r="E2058" i="48" s="1"/>
  <c r="N2938" i="48"/>
  <c r="T2127" i="48"/>
  <c r="R2128" i="48"/>
  <c r="H3145" i="48"/>
  <c r="N3144" i="48"/>
  <c r="N3145" i="48" s="1"/>
  <c r="R2687" i="48"/>
  <c r="T2686" i="48"/>
  <c r="E2717" i="48" s="1"/>
  <c r="J790" i="48"/>
  <c r="M790" i="48"/>
  <c r="L2047" i="48"/>
  <c r="H2047" i="48"/>
  <c r="J2047" i="48"/>
  <c r="L1631" i="48"/>
  <c r="N1624" i="48"/>
  <c r="H1180" i="48"/>
  <c r="N1180" i="48" s="1"/>
  <c r="M1180" i="48"/>
  <c r="M1236" i="48"/>
  <c r="H1236" i="48"/>
  <c r="N1236" i="48" s="1"/>
  <c r="H1244" i="48"/>
  <c r="N1244" i="48" s="1"/>
  <c r="M1244" i="48"/>
  <c r="M1220" i="48"/>
  <c r="H1220" i="48"/>
  <c r="N1220" i="48" s="1"/>
  <c r="H1606" i="48"/>
  <c r="M1606" i="48"/>
  <c r="H3257" i="48"/>
  <c r="N3257" i="48" s="1"/>
  <c r="M3257" i="48"/>
  <c r="M3273" i="48"/>
  <c r="H3273" i="48"/>
  <c r="N3273" i="48" s="1"/>
  <c r="T2142" i="48"/>
  <c r="R2143" i="48"/>
  <c r="T2143" i="48" s="1"/>
  <c r="O3287" i="48"/>
  <c r="O3279" i="48"/>
  <c r="O3271" i="48"/>
  <c r="O3239" i="48"/>
  <c r="O3247" i="48"/>
  <c r="O3255" i="48"/>
  <c r="O3263" i="48"/>
  <c r="A221" i="48"/>
  <c r="A224" i="48" s="1"/>
  <c r="A227" i="48" s="1"/>
  <c r="A230" i="48" s="1"/>
  <c r="A237" i="48" s="1"/>
  <c r="A244" i="48" s="1"/>
  <c r="A250" i="48" s="1"/>
  <c r="A253" i="48" s="1"/>
  <c r="A256" i="48" s="1"/>
  <c r="A259" i="48" s="1"/>
  <c r="A263" i="48" s="1"/>
  <c r="A267" i="48" s="1"/>
  <c r="A273" i="48" s="1"/>
  <c r="A279" i="48" s="1"/>
  <c r="A282" i="48" s="1"/>
  <c r="A285" i="48" s="1"/>
  <c r="A288" i="48" s="1"/>
  <c r="A291" i="48" s="1"/>
  <c r="A294" i="48" s="1"/>
  <c r="A297" i="48" s="1"/>
  <c r="A300" i="48" s="1"/>
  <c r="A303" i="48" s="1"/>
  <c r="A306" i="48" s="1"/>
  <c r="A309" i="48" s="1"/>
  <c r="A312" i="48" s="1"/>
  <c r="A318" i="48" s="1"/>
  <c r="A323" i="48" s="1"/>
  <c r="A326" i="48" s="1"/>
  <c r="A329" i="48" s="1"/>
  <c r="A332" i="48" s="1"/>
  <c r="A335" i="48" s="1"/>
  <c r="A338" i="48" s="1"/>
  <c r="A341" i="48" s="1"/>
  <c r="A344" i="48" s="1"/>
  <c r="A347" i="48" s="1"/>
  <c r="A350" i="48" s="1"/>
  <c r="A353" i="48" s="1"/>
  <c r="A356" i="48" s="1"/>
  <c r="A359" i="48" s="1"/>
  <c r="A362" i="48" s="1"/>
  <c r="A365" i="48" s="1"/>
  <c r="A368" i="48" s="1"/>
  <c r="A371" i="48" s="1"/>
  <c r="A374" i="48" s="1"/>
  <c r="A377" i="48" s="1"/>
  <c r="A380" i="48" s="1"/>
  <c r="A383" i="48" s="1"/>
  <c r="A386" i="48" s="1"/>
  <c r="A389" i="48" s="1"/>
  <c r="A392" i="48" s="1"/>
  <c r="A395" i="48" s="1"/>
  <c r="A398" i="48" s="1"/>
  <c r="A401" i="48" s="1"/>
  <c r="A404" i="48" s="1"/>
  <c r="A407" i="48" s="1"/>
  <c r="A410" i="48" s="1"/>
  <c r="A413" i="48" s="1"/>
  <c r="A416" i="48" s="1"/>
  <c r="A419" i="48" s="1"/>
  <c r="A422" i="48" s="1"/>
  <c r="A425" i="48" s="1"/>
  <c r="A428" i="48" s="1"/>
  <c r="A431" i="48" s="1"/>
  <c r="A434" i="48" s="1"/>
  <c r="A437" i="48" s="1"/>
  <c r="A440" i="48" s="1"/>
  <c r="A443" i="48" s="1"/>
  <c r="A446" i="48" s="1"/>
  <c r="A449" i="48" s="1"/>
  <c r="A452" i="48" s="1"/>
  <c r="A455" i="48" s="1"/>
  <c r="A458" i="48" s="1"/>
  <c r="A461" i="48" s="1"/>
  <c r="A464" i="48" s="1"/>
  <c r="A467" i="48" s="1"/>
  <c r="A473" i="48" s="1"/>
  <c r="A479" i="48" s="1"/>
  <c r="T2448" i="48"/>
  <c r="R2449" i="48"/>
  <c r="L2669" i="48"/>
  <c r="H2669" i="48"/>
  <c r="J2669" i="48"/>
  <c r="T2753" i="48"/>
  <c r="E2784" i="48" s="1"/>
  <c r="R2754" i="48"/>
  <c r="T2754" i="48" s="1"/>
  <c r="E2785" i="48" s="1"/>
  <c r="T2094" i="48"/>
  <c r="R2095" i="48"/>
  <c r="R1855" i="48"/>
  <c r="T1855" i="48" s="1"/>
  <c r="T1854" i="48"/>
  <c r="H3149" i="48"/>
  <c r="N3148" i="48"/>
  <c r="N3149" i="48" s="1"/>
  <c r="T2880" i="48"/>
  <c r="E2911" i="48" s="1"/>
  <c r="J2911" i="48" s="1"/>
  <c r="N2911" i="48" s="1"/>
  <c r="R2881" i="48"/>
  <c r="T1960" i="48"/>
  <c r="R1961" i="48"/>
  <c r="N2005" i="48"/>
  <c r="S1507" i="48"/>
  <c r="T1507" i="48" s="1"/>
  <c r="T1506" i="48"/>
  <c r="M2798" i="48"/>
  <c r="L2798" i="48"/>
  <c r="N2798" i="48" s="1"/>
  <c r="M2786" i="48"/>
  <c r="L2786" i="48"/>
  <c r="N2786" i="48" s="1"/>
  <c r="R2168" i="48"/>
  <c r="T2167" i="48"/>
  <c r="H1171" i="48"/>
  <c r="M1171" i="48"/>
  <c r="H1301" i="48"/>
  <c r="M1301" i="48"/>
  <c r="M1293" i="48"/>
  <c r="H1293" i="48"/>
  <c r="M1195" i="48"/>
  <c r="H1195" i="48"/>
  <c r="H1356" i="48"/>
  <c r="M1356" i="48"/>
  <c r="H1537" i="48"/>
  <c r="M1537" i="48"/>
  <c r="H1499" i="48"/>
  <c r="M1499" i="48"/>
  <c r="H1385" i="48"/>
  <c r="M1385" i="48"/>
  <c r="H1461" i="48"/>
  <c r="M1461" i="48"/>
  <c r="M1376" i="48"/>
  <c r="H1376" i="48"/>
  <c r="M1481" i="48"/>
  <c r="H1481" i="48"/>
  <c r="N1973" i="48"/>
  <c r="R2702" i="48"/>
  <c r="T2702" i="48" s="1"/>
  <c r="T2701" i="48"/>
  <c r="T2602" i="48"/>
  <c r="E2633" i="48" s="1"/>
  <c r="R2603" i="48"/>
  <c r="T2603" i="48" s="1"/>
  <c r="E2634" i="48" s="1"/>
  <c r="T1527" i="48"/>
  <c r="R1528" i="48"/>
  <c r="T1528" i="48" s="1"/>
  <c r="R2213" i="48"/>
  <c r="T2212" i="48"/>
  <c r="T2181" i="48"/>
  <c r="R2182" i="48"/>
  <c r="K2622" i="48"/>
  <c r="R2727" i="48"/>
  <c r="T2726" i="48"/>
  <c r="T2857" i="48"/>
  <c r="E2888" i="48" s="1"/>
  <c r="R2858" i="48"/>
  <c r="T2858" i="48" s="1"/>
  <c r="J2057" i="48"/>
  <c r="L2057" i="48"/>
  <c r="H2057" i="48"/>
  <c r="T3088" i="48"/>
  <c r="R3089" i="48"/>
  <c r="R2287" i="48"/>
  <c r="T2286" i="48"/>
  <c r="N3263" i="48"/>
  <c r="T2711" i="48"/>
  <c r="E2742" i="48" s="1"/>
  <c r="J2742" i="48" s="1"/>
  <c r="R2712" i="48"/>
  <c r="N2886" i="48"/>
  <c r="M3029" i="48"/>
  <c r="H3029" i="48"/>
  <c r="N2831" i="48"/>
  <c r="R2829" i="48"/>
  <c r="T2828" i="48"/>
  <c r="E2859" i="48" s="1"/>
  <c r="J2859" i="48" s="1"/>
  <c r="M1228" i="48"/>
  <c r="H1228" i="48"/>
  <c r="N1228" i="48" s="1"/>
  <c r="M1294" i="48"/>
  <c r="H1294" i="48"/>
  <c r="N1294" i="48" s="1"/>
  <c r="H1302" i="48"/>
  <c r="N1302" i="48" s="1"/>
  <c r="M1302" i="48"/>
  <c r="M1252" i="48"/>
  <c r="H1252" i="48"/>
  <c r="N1252" i="48" s="1"/>
  <c r="H1597" i="48"/>
  <c r="M1597" i="48"/>
  <c r="M3249" i="48"/>
  <c r="H3249" i="48"/>
  <c r="N3249" i="48" s="1"/>
  <c r="M3289" i="48"/>
  <c r="H3289" i="48"/>
  <c r="N3289" i="48" s="1"/>
  <c r="R1811" i="48"/>
  <c r="T1811" i="48" s="1"/>
  <c r="T1810" i="48"/>
  <c r="T2084" i="48"/>
  <c r="R2085" i="48"/>
  <c r="T2085" i="48" s="1"/>
  <c r="R2578" i="48"/>
  <c r="T2578" i="48" s="1"/>
  <c r="E2609" i="48" s="1"/>
  <c r="T2577" i="48"/>
  <c r="E2608" i="48" s="1"/>
  <c r="T2867" i="48" l="1"/>
  <c r="E2898" i="48" s="1"/>
  <c r="J2898" i="48" s="1"/>
  <c r="R2868" i="48"/>
  <c r="M2610" i="48"/>
  <c r="M2598" i="48"/>
  <c r="N3268" i="48"/>
  <c r="J2671" i="48"/>
  <c r="N2939" i="48"/>
  <c r="H3284" i="48"/>
  <c r="K2850" i="48"/>
  <c r="M2850" i="48" s="1"/>
  <c r="N3284" i="48"/>
  <c r="N2057" i="48"/>
  <c r="N1974" i="48"/>
  <c r="H3268" i="48"/>
  <c r="K2954" i="48"/>
  <c r="M2954" i="48" s="1"/>
  <c r="N2887" i="48"/>
  <c r="M2622" i="48"/>
  <c r="L2622" i="48"/>
  <c r="N2622" i="48" s="1"/>
  <c r="N1195" i="48"/>
  <c r="N1199" i="48" s="1"/>
  <c r="H1199" i="48"/>
  <c r="T2881" i="48"/>
  <c r="E2912" i="48" s="1"/>
  <c r="R2882" i="48"/>
  <c r="J2785" i="48"/>
  <c r="L2785" i="48"/>
  <c r="H2785" i="48"/>
  <c r="N1597" i="48"/>
  <c r="N1602" i="48" s="1"/>
  <c r="H1602" i="48"/>
  <c r="N2742" i="48"/>
  <c r="K2746" i="48"/>
  <c r="L2888" i="48"/>
  <c r="L2890" i="48" s="1"/>
  <c r="H2888" i="48"/>
  <c r="J2888" i="48"/>
  <c r="J2890" i="48" s="1"/>
  <c r="R2214" i="48"/>
  <c r="T2213" i="48"/>
  <c r="L2633" i="48"/>
  <c r="H2633" i="48"/>
  <c r="J2633" i="48"/>
  <c r="N1385" i="48"/>
  <c r="N1386" i="48" s="1"/>
  <c r="H1386" i="48"/>
  <c r="N1537" i="48"/>
  <c r="N1538" i="48" s="1"/>
  <c r="H1538" i="48"/>
  <c r="N1301" i="48"/>
  <c r="N1305" i="48" s="1"/>
  <c r="H1305" i="48"/>
  <c r="R2169" i="48"/>
  <c r="T2168" i="48"/>
  <c r="J2784" i="48"/>
  <c r="L2784" i="48"/>
  <c r="H2784" i="48"/>
  <c r="R2450" i="48"/>
  <c r="T2449" i="48"/>
  <c r="J2717" i="48"/>
  <c r="L2717" i="48"/>
  <c r="H2717" i="48"/>
  <c r="T2128" i="48"/>
  <c r="R2129" i="48"/>
  <c r="T2129" i="48" s="1"/>
  <c r="T2416" i="48"/>
  <c r="R2417" i="48"/>
  <c r="N3276" i="48"/>
  <c r="N1441" i="48"/>
  <c r="N1442" i="48" s="1"/>
  <c r="H1442" i="48"/>
  <c r="N1451" i="48"/>
  <c r="N1452" i="48" s="1"/>
  <c r="H1452" i="48"/>
  <c r="N1336" i="48"/>
  <c r="N1337" i="48" s="1"/>
  <c r="H1337" i="48"/>
  <c r="T2566" i="48"/>
  <c r="E2597" i="48" s="1"/>
  <c r="R2567" i="48"/>
  <c r="T2567" i="48" s="1"/>
  <c r="N2783" i="48"/>
  <c r="T2398" i="48"/>
  <c r="R2399" i="48"/>
  <c r="L2774" i="48"/>
  <c r="N2774" i="48" s="1"/>
  <c r="M2774" i="48"/>
  <c r="H3252" i="48"/>
  <c r="N2583" i="48"/>
  <c r="K2586" i="48"/>
  <c r="T1993" i="48"/>
  <c r="R1994" i="48"/>
  <c r="L2620" i="48"/>
  <c r="H2620" i="48"/>
  <c r="J2620" i="48"/>
  <c r="N1570" i="48"/>
  <c r="N1571" i="48" s="1"/>
  <c r="H1571" i="48"/>
  <c r="N1235" i="48"/>
  <c r="N1239" i="48" s="1"/>
  <c r="H1239" i="48"/>
  <c r="L2660" i="48"/>
  <c r="N3260" i="48"/>
  <c r="N2006" i="48"/>
  <c r="N1626" i="48"/>
  <c r="N1631" i="48" s="1"/>
  <c r="H1631" i="48"/>
  <c r="N3048" i="48"/>
  <c r="N3051" i="48" s="1"/>
  <c r="H3051" i="48"/>
  <c r="T2615" i="48"/>
  <c r="E2646" i="48" s="1"/>
  <c r="R2616" i="48"/>
  <c r="T2616" i="48" s="1"/>
  <c r="E2647" i="48" s="1"/>
  <c r="J1959" i="48"/>
  <c r="L1959" i="48"/>
  <c r="H1959" i="48"/>
  <c r="N3292" i="48"/>
  <c r="N1548" i="48"/>
  <c r="N1549" i="48" s="1"/>
  <c r="H1549" i="48"/>
  <c r="L2671" i="48"/>
  <c r="R2713" i="48"/>
  <c r="T2712" i="48"/>
  <c r="E2743" i="48" s="1"/>
  <c r="J2608" i="48"/>
  <c r="L2608" i="48"/>
  <c r="H2608" i="48"/>
  <c r="N2859" i="48"/>
  <c r="K2863" i="48"/>
  <c r="R2289" i="48"/>
  <c r="T2287" i="48"/>
  <c r="R2183" i="48"/>
  <c r="T2182" i="48"/>
  <c r="N1481" i="48"/>
  <c r="N1482" i="48" s="1"/>
  <c r="H1482" i="48"/>
  <c r="N1293" i="48"/>
  <c r="N1297" i="48" s="1"/>
  <c r="H1297" i="48"/>
  <c r="T1961" i="48"/>
  <c r="R1962" i="48"/>
  <c r="T2095" i="48"/>
  <c r="R2096" i="48"/>
  <c r="T2096" i="48" s="1"/>
  <c r="J791" i="48"/>
  <c r="N790" i="48"/>
  <c r="N791" i="48" s="1"/>
  <c r="T2687" i="48"/>
  <c r="E2718" i="48" s="1"/>
  <c r="R2688" i="48"/>
  <c r="T2688" i="48" s="1"/>
  <c r="E2719" i="48" s="1"/>
  <c r="J2058" i="48"/>
  <c r="L2058" i="48"/>
  <c r="H2058" i="48"/>
  <c r="L2680" i="48"/>
  <c r="H2680" i="48"/>
  <c r="J2680" i="48"/>
  <c r="N1346" i="48"/>
  <c r="N1347" i="48" s="1"/>
  <c r="H1347" i="48"/>
  <c r="N1285" i="48"/>
  <c r="N1289" i="48" s="1"/>
  <c r="H1289" i="48"/>
  <c r="J2596" i="48"/>
  <c r="L2596" i="48"/>
  <c r="H2596" i="48"/>
  <c r="N2658" i="48"/>
  <c r="J2007" i="48"/>
  <c r="L2007" i="48"/>
  <c r="H2007" i="48"/>
  <c r="N1616" i="48"/>
  <c r="N1621" i="48" s="1"/>
  <c r="H1621" i="48"/>
  <c r="N3067" i="48"/>
  <c r="N3070" i="48" s="1"/>
  <c r="H3070" i="48"/>
  <c r="N2041" i="48"/>
  <c r="J782" i="48"/>
  <c r="N781" i="48"/>
  <c r="N782" i="48" s="1"/>
  <c r="N3252" i="48"/>
  <c r="R2554" i="48"/>
  <c r="T2554" i="48" s="1"/>
  <c r="E2585" i="48" s="1"/>
  <c r="T2553" i="48"/>
  <c r="E2584" i="48" s="1"/>
  <c r="N1958" i="48"/>
  <c r="M2876" i="48"/>
  <c r="L2876" i="48"/>
  <c r="N2876" i="48" s="1"/>
  <c r="J2940" i="48"/>
  <c r="J2942" i="48" s="1"/>
  <c r="L2940" i="48"/>
  <c r="L2942" i="48" s="1"/>
  <c r="H2940" i="48"/>
  <c r="M2682" i="48"/>
  <c r="L2682" i="48"/>
  <c r="N2682" i="48" s="1"/>
  <c r="N1581" i="48"/>
  <c r="N1582" i="48" s="1"/>
  <c r="H1582" i="48"/>
  <c r="N1559" i="48"/>
  <c r="N1560" i="48" s="1"/>
  <c r="H1560" i="48"/>
  <c r="N1508" i="48"/>
  <c r="N1509" i="48" s="1"/>
  <c r="H1509" i="48"/>
  <c r="N1219" i="48"/>
  <c r="N1223" i="48" s="1"/>
  <c r="H1223" i="48"/>
  <c r="T2790" i="48"/>
  <c r="R2791" i="48"/>
  <c r="J2797" i="48"/>
  <c r="L2797" i="48"/>
  <c r="H2797" i="48"/>
  <c r="J2042" i="48"/>
  <c r="L2042" i="48"/>
  <c r="H2042" i="48"/>
  <c r="T2196" i="48"/>
  <c r="R2197" i="48"/>
  <c r="N2645" i="48"/>
  <c r="K2648" i="48"/>
  <c r="R1930" i="48"/>
  <c r="T1929" i="48"/>
  <c r="E1960" i="48" s="1"/>
  <c r="T2741" i="48"/>
  <c r="E2772" i="48" s="1"/>
  <c r="R2742" i="48"/>
  <c r="T2742" i="48" s="1"/>
  <c r="E2773" i="48" s="1"/>
  <c r="N1490" i="48"/>
  <c r="N1491" i="48" s="1"/>
  <c r="H1491" i="48"/>
  <c r="N1526" i="48"/>
  <c r="N1527" i="48" s="1"/>
  <c r="H1527" i="48"/>
  <c r="N1421" i="48"/>
  <c r="N1422" i="48" s="1"/>
  <c r="H1422" i="48"/>
  <c r="N1187" i="48"/>
  <c r="N1191" i="48" s="1"/>
  <c r="H1191" i="48"/>
  <c r="N1203" i="48"/>
  <c r="N1207" i="48" s="1"/>
  <c r="H1207" i="48"/>
  <c r="R2155" i="48"/>
  <c r="T2154" i="48"/>
  <c r="H3244" i="48"/>
  <c r="L2634" i="48"/>
  <c r="H2634" i="48"/>
  <c r="J2634" i="48"/>
  <c r="N1376" i="48"/>
  <c r="N1377" i="48" s="1"/>
  <c r="H1377" i="48"/>
  <c r="J2609" i="48"/>
  <c r="L2609" i="48"/>
  <c r="H2609" i="48"/>
  <c r="T2829" i="48"/>
  <c r="E2860" i="48" s="1"/>
  <c r="R2830" i="48"/>
  <c r="N3029" i="48"/>
  <c r="N3032" i="48" s="1"/>
  <c r="H3032" i="48"/>
  <c r="T3089" i="48"/>
  <c r="R3090" i="48"/>
  <c r="T2727" i="48"/>
  <c r="R2728" i="48"/>
  <c r="N1461" i="48"/>
  <c r="N1462" i="48" s="1"/>
  <c r="H1462" i="48"/>
  <c r="N1499" i="48"/>
  <c r="N1500" i="48" s="1"/>
  <c r="H1500" i="48"/>
  <c r="N1356" i="48"/>
  <c r="N1357" i="48" s="1"/>
  <c r="H1357" i="48"/>
  <c r="N1171" i="48"/>
  <c r="N1175" i="48" s="1"/>
  <c r="H1175" i="48"/>
  <c r="N2669" i="48"/>
  <c r="N1606" i="48"/>
  <c r="N1611" i="48" s="1"/>
  <c r="H1611" i="48"/>
  <c r="N2047" i="48"/>
  <c r="R2029" i="48"/>
  <c r="T2028" i="48"/>
  <c r="E2059" i="48" s="1"/>
  <c r="T1776" i="48"/>
  <c r="R1777" i="48"/>
  <c r="T1777" i="48" s="1"/>
  <c r="R2921" i="48"/>
  <c r="T2920" i="48"/>
  <c r="E2951" i="48" s="1"/>
  <c r="L2850" i="48"/>
  <c r="N2850" i="48" s="1"/>
  <c r="K2915" i="48"/>
  <c r="L2681" i="48"/>
  <c r="H2681" i="48"/>
  <c r="J2681" i="48"/>
  <c r="N1592" i="48"/>
  <c r="N1593" i="48" s="1"/>
  <c r="H1593" i="48"/>
  <c r="N1517" i="48"/>
  <c r="N1518" i="48" s="1"/>
  <c r="H1518" i="48"/>
  <c r="N1251" i="48"/>
  <c r="N1255" i="48" s="1"/>
  <c r="H1255" i="48"/>
  <c r="J2873" i="48"/>
  <c r="L2873" i="48"/>
  <c r="H2873" i="48"/>
  <c r="R2336" i="48"/>
  <c r="T2335" i="48"/>
  <c r="R1978" i="48"/>
  <c r="T1977" i="48"/>
  <c r="E2008" i="48" s="1"/>
  <c r="R2320" i="48"/>
  <c r="T2319" i="48"/>
  <c r="R2368" i="48"/>
  <c r="T2367" i="48"/>
  <c r="L2635" i="48"/>
  <c r="N2635" i="48" s="1"/>
  <c r="M2635" i="48"/>
  <c r="R2351" i="48"/>
  <c r="T2350" i="48"/>
  <c r="N1431" i="48"/>
  <c r="N1432" i="48" s="1"/>
  <c r="H1432" i="48"/>
  <c r="N1277" i="48"/>
  <c r="N1281" i="48" s="1"/>
  <c r="H1281" i="48"/>
  <c r="N1211" i="48"/>
  <c r="N1215" i="48" s="1"/>
  <c r="H1215" i="48"/>
  <c r="J2660" i="48"/>
  <c r="J2796" i="48"/>
  <c r="L2796" i="48"/>
  <c r="H2796" i="48"/>
  <c r="R2244" i="48"/>
  <c r="T2243" i="48"/>
  <c r="T2802" i="48"/>
  <c r="E2833" i="48" s="1"/>
  <c r="J2833" i="48" s="1"/>
  <c r="R2803" i="48"/>
  <c r="L2044" i="48"/>
  <c r="H2044" i="48"/>
  <c r="J2044" i="48"/>
  <c r="N2924" i="48"/>
  <c r="K2928" i="48"/>
  <c r="R2229" i="48"/>
  <c r="T2228" i="48"/>
  <c r="L2771" i="48"/>
  <c r="H2771" i="48"/>
  <c r="J2771" i="48"/>
  <c r="N1412" i="48"/>
  <c r="N1413" i="48" s="1"/>
  <c r="H1413" i="48"/>
  <c r="N1227" i="48"/>
  <c r="N1231" i="48" s="1"/>
  <c r="H1231" i="48"/>
  <c r="R1946" i="48"/>
  <c r="T1945" i="48"/>
  <c r="E1976" i="48" s="1"/>
  <c r="N3244" i="48"/>
  <c r="O3038" i="48"/>
  <c r="O3008" i="48"/>
  <c r="O3103" i="48"/>
  <c r="O3076" i="48"/>
  <c r="O3001" i="48"/>
  <c r="O2779" i="48"/>
  <c r="O2664" i="48"/>
  <c r="O2791" i="48"/>
  <c r="O2653" i="48"/>
  <c r="O1547" i="48"/>
  <c r="O1516" i="48"/>
  <c r="O1498" i="48"/>
  <c r="O1440" i="48"/>
  <c r="O1345" i="48"/>
  <c r="O1569" i="48"/>
  <c r="O1470" i="48"/>
  <c r="O1460" i="48"/>
  <c r="O1450" i="48"/>
  <c r="O1411" i="48"/>
  <c r="O1580" i="48"/>
  <c r="O1558" i="48"/>
  <c r="O1525" i="48"/>
  <c r="O1507" i="48"/>
  <c r="O1480" i="48"/>
  <c r="O1420" i="48"/>
  <c r="O1402" i="48"/>
  <c r="O1375" i="48"/>
  <c r="O1325" i="48"/>
  <c r="O1591" i="48"/>
  <c r="O1536" i="48"/>
  <c r="O1489" i="48"/>
  <c r="O1430" i="48"/>
  <c r="O1393" i="48"/>
  <c r="O1384" i="48"/>
  <c r="O1365" i="48"/>
  <c r="O1355" i="48"/>
  <c r="O1335" i="48"/>
  <c r="A485" i="48"/>
  <c r="A491" i="48" s="1"/>
  <c r="A497" i="48" s="1"/>
  <c r="T2778" i="48"/>
  <c r="R2779" i="48"/>
  <c r="H3276" i="48"/>
  <c r="N1471" i="48"/>
  <c r="N1472" i="48" s="1"/>
  <c r="H1472" i="48"/>
  <c r="N1243" i="48"/>
  <c r="N1247" i="48" s="1"/>
  <c r="H1247" i="48"/>
  <c r="T2816" i="48"/>
  <c r="E2847" i="48" s="1"/>
  <c r="R2817" i="48"/>
  <c r="T2843" i="48"/>
  <c r="E2874" i="48" s="1"/>
  <c r="R2844" i="48"/>
  <c r="R2384" i="48"/>
  <c r="T2383" i="48"/>
  <c r="M2720" i="48"/>
  <c r="L2720" i="48"/>
  <c r="N2720" i="48" s="1"/>
  <c r="R2274" i="48"/>
  <c r="T2272" i="48"/>
  <c r="R2675" i="48"/>
  <c r="T2674" i="48"/>
  <c r="L2621" i="48"/>
  <c r="H2621" i="48"/>
  <c r="J2621" i="48"/>
  <c r="N1403" i="48"/>
  <c r="N1404" i="48" s="1"/>
  <c r="H1404" i="48"/>
  <c r="N1366" i="48"/>
  <c r="N1367" i="48" s="1"/>
  <c r="H1367" i="48"/>
  <c r="N2657" i="48"/>
  <c r="H2660" i="48"/>
  <c r="H3260" i="48"/>
  <c r="T2302" i="48"/>
  <c r="R2303" i="48"/>
  <c r="R2261" i="48"/>
  <c r="T2261" i="48" s="1"/>
  <c r="T2259" i="48"/>
  <c r="R2258" i="48"/>
  <c r="T2894" i="48"/>
  <c r="E2925" i="48" s="1"/>
  <c r="R2895" i="48"/>
  <c r="H3292" i="48"/>
  <c r="N1394" i="48"/>
  <c r="N1395" i="48" s="1"/>
  <c r="H1395" i="48"/>
  <c r="N1326" i="48"/>
  <c r="N1327" i="48" s="1"/>
  <c r="H1327" i="48"/>
  <c r="N1179" i="48"/>
  <c r="N1183" i="48" s="1"/>
  <c r="H1183" i="48"/>
  <c r="L1975" i="48"/>
  <c r="H1975" i="48"/>
  <c r="J1975" i="48"/>
  <c r="T2431" i="48"/>
  <c r="R2432" i="48"/>
  <c r="N2795" i="48"/>
  <c r="N2668" i="48"/>
  <c r="H2671" i="48"/>
  <c r="R2869" i="48" l="1"/>
  <c r="T2868" i="48"/>
  <c r="E2899" i="48" s="1"/>
  <c r="N2898" i="48"/>
  <c r="K2902" i="48"/>
  <c r="L2048" i="48"/>
  <c r="N2660" i="48"/>
  <c r="H2048" i="48"/>
  <c r="L2954" i="48"/>
  <c r="N2954" i="48" s="1"/>
  <c r="J2787" i="48"/>
  <c r="H2787" i="48"/>
  <c r="N2796" i="48"/>
  <c r="J2048" i="48"/>
  <c r="L2787" i="48"/>
  <c r="L2799" i="48"/>
  <c r="H2799" i="48"/>
  <c r="N2007" i="48"/>
  <c r="N2671" i="48"/>
  <c r="N2797" i="48"/>
  <c r="N2058" i="48"/>
  <c r="N2785" i="48"/>
  <c r="N2042" i="48"/>
  <c r="R2276" i="48"/>
  <c r="T2276" i="48" s="1"/>
  <c r="T2274" i="48"/>
  <c r="R2273" i="48"/>
  <c r="T2817" i="48"/>
  <c r="E2848" i="48" s="1"/>
  <c r="R2818" i="48"/>
  <c r="O1604" i="48"/>
  <c r="O1595" i="48"/>
  <c r="A505" i="48"/>
  <c r="A513" i="48" s="1"/>
  <c r="A521" i="48" s="1"/>
  <c r="A529" i="48" s="1"/>
  <c r="R1947" i="48"/>
  <c r="T1946" i="48"/>
  <c r="E1977" i="48" s="1"/>
  <c r="R2804" i="48"/>
  <c r="T2803" i="48"/>
  <c r="E2834" i="48" s="1"/>
  <c r="R2369" i="48"/>
  <c r="T2368" i="48"/>
  <c r="R1979" i="48"/>
  <c r="T1978" i="48"/>
  <c r="E2009" i="48" s="1"/>
  <c r="L2773" i="48"/>
  <c r="H2773" i="48"/>
  <c r="J2773" i="48"/>
  <c r="L2585" i="48"/>
  <c r="H2585" i="48"/>
  <c r="J2585" i="48"/>
  <c r="J2718" i="48"/>
  <c r="L2718" i="48"/>
  <c r="H2718" i="48"/>
  <c r="N2608" i="48"/>
  <c r="H2611" i="48"/>
  <c r="R2714" i="48"/>
  <c r="T2713" i="48"/>
  <c r="E2744" i="48" s="1"/>
  <c r="N2620" i="48"/>
  <c r="H2623" i="48"/>
  <c r="L2586" i="48"/>
  <c r="N2586" i="48" s="1"/>
  <c r="M2586" i="48"/>
  <c r="T2169" i="48"/>
  <c r="R2170" i="48"/>
  <c r="N2633" i="48"/>
  <c r="H2636" i="48"/>
  <c r="M2746" i="48"/>
  <c r="L2746" i="48"/>
  <c r="N2746" i="48" s="1"/>
  <c r="L2912" i="48"/>
  <c r="H2912" i="48"/>
  <c r="J2912" i="48"/>
  <c r="N1975" i="48"/>
  <c r="T2384" i="48"/>
  <c r="R2385" i="48"/>
  <c r="L2847" i="48"/>
  <c r="H2847" i="48"/>
  <c r="J2847" i="48"/>
  <c r="T2229" i="48"/>
  <c r="R2230" i="48"/>
  <c r="N2833" i="48"/>
  <c r="K2837" i="48"/>
  <c r="N2681" i="48"/>
  <c r="R3091" i="48"/>
  <c r="T3090" i="48"/>
  <c r="T2830" i="48"/>
  <c r="E2861" i="48" s="1"/>
  <c r="R2831" i="48"/>
  <c r="N2634" i="48"/>
  <c r="T2155" i="48"/>
  <c r="R2156" i="48"/>
  <c r="L2772" i="48"/>
  <c r="H2772" i="48"/>
  <c r="J2772" i="48"/>
  <c r="M2648" i="48"/>
  <c r="L2648" i="48"/>
  <c r="N2648" i="48" s="1"/>
  <c r="J2683" i="48"/>
  <c r="R2184" i="48"/>
  <c r="T2183" i="48"/>
  <c r="M2863" i="48"/>
  <c r="L2863" i="48"/>
  <c r="N2863" i="48" s="1"/>
  <c r="L2611" i="48"/>
  <c r="J2647" i="48"/>
  <c r="H2647" i="48"/>
  <c r="L2647" i="48"/>
  <c r="L2623" i="48"/>
  <c r="T2399" i="48"/>
  <c r="R2400" i="48"/>
  <c r="L2636" i="48"/>
  <c r="N2888" i="48"/>
  <c r="N2890" i="48" s="1"/>
  <c r="H2890" i="48"/>
  <c r="J2925" i="48"/>
  <c r="H2925" i="48"/>
  <c r="L2925" i="48"/>
  <c r="T2432" i="48"/>
  <c r="R2433" i="48"/>
  <c r="T2258" i="48"/>
  <c r="R2260" i="48"/>
  <c r="T2303" i="48"/>
  <c r="R2304" i="48"/>
  <c r="N2621" i="48"/>
  <c r="T2675" i="48"/>
  <c r="R2676" i="48"/>
  <c r="T2676" i="48" s="1"/>
  <c r="T2844" i="48"/>
  <c r="E2875" i="48" s="1"/>
  <c r="R2845" i="48"/>
  <c r="T2845" i="48" s="1"/>
  <c r="N2771" i="48"/>
  <c r="L2928" i="48"/>
  <c r="N2928" i="48" s="1"/>
  <c r="M2928" i="48"/>
  <c r="N2044" i="48"/>
  <c r="R2321" i="48"/>
  <c r="T2320" i="48"/>
  <c r="T2336" i="48"/>
  <c r="R2337" i="48"/>
  <c r="L2951" i="48"/>
  <c r="H2951" i="48"/>
  <c r="J2951" i="48"/>
  <c r="J2059" i="48"/>
  <c r="L2059" i="48"/>
  <c r="H2059" i="48"/>
  <c r="L2860" i="48"/>
  <c r="H2860" i="48"/>
  <c r="J2860" i="48"/>
  <c r="J1960" i="48"/>
  <c r="L1960" i="48"/>
  <c r="H1960" i="48"/>
  <c r="J2799" i="48"/>
  <c r="N2596" i="48"/>
  <c r="N2680" i="48"/>
  <c r="H2683" i="48"/>
  <c r="T1962" i="48"/>
  <c r="R1963" i="48"/>
  <c r="J2611" i="48"/>
  <c r="N1959" i="48"/>
  <c r="J2646" i="48"/>
  <c r="H2646" i="48"/>
  <c r="L2646" i="48"/>
  <c r="T1994" i="48"/>
  <c r="R1995" i="48"/>
  <c r="J2597" i="48"/>
  <c r="J2599" i="48" s="1"/>
  <c r="L2597" i="48"/>
  <c r="L2599" i="48" s="1"/>
  <c r="H2597" i="48"/>
  <c r="T2417" i="48"/>
  <c r="R2418" i="48"/>
  <c r="N2717" i="48"/>
  <c r="R2451" i="48"/>
  <c r="T2450" i="48"/>
  <c r="T2895" i="48"/>
  <c r="E2926" i="48" s="1"/>
  <c r="R2896" i="48"/>
  <c r="J2874" i="48"/>
  <c r="L2874" i="48"/>
  <c r="H2874" i="48"/>
  <c r="T2779" i="48"/>
  <c r="R2780" i="48"/>
  <c r="T2780" i="48" s="1"/>
  <c r="L1976" i="48"/>
  <c r="H1976" i="48"/>
  <c r="J1976" i="48"/>
  <c r="T2244" i="48"/>
  <c r="R2245" i="48"/>
  <c r="T2351" i="48"/>
  <c r="R2352" i="48"/>
  <c r="J2008" i="48"/>
  <c r="L2008" i="48"/>
  <c r="H2008" i="48"/>
  <c r="N2873" i="48"/>
  <c r="M2915" i="48"/>
  <c r="L2915" i="48"/>
  <c r="N2915" i="48" s="1"/>
  <c r="R2922" i="48"/>
  <c r="T2921" i="48"/>
  <c r="E2952" i="48" s="1"/>
  <c r="T2029" i="48"/>
  <c r="E2060" i="48" s="1"/>
  <c r="R2030" i="48"/>
  <c r="T2030" i="48" s="1"/>
  <c r="E2061" i="48" s="1"/>
  <c r="T2728" i="48"/>
  <c r="R2729" i="48"/>
  <c r="T2729" i="48" s="1"/>
  <c r="N2609" i="48"/>
  <c r="R1931" i="48"/>
  <c r="T1930" i="48"/>
  <c r="E1961" i="48" s="1"/>
  <c r="T2197" i="48"/>
  <c r="R2198" i="48"/>
  <c r="T2791" i="48"/>
  <c r="R2792" i="48"/>
  <c r="N2940" i="48"/>
  <c r="N2942" i="48" s="1"/>
  <c r="H2942" i="48"/>
  <c r="L2584" i="48"/>
  <c r="H2584" i="48"/>
  <c r="J2584" i="48"/>
  <c r="L2683" i="48"/>
  <c r="J2719" i="48"/>
  <c r="L2719" i="48"/>
  <c r="H2719" i="48"/>
  <c r="R2291" i="48"/>
  <c r="T2291" i="48" s="1"/>
  <c r="T2289" i="48"/>
  <c r="R2288" i="48"/>
  <c r="J2743" i="48"/>
  <c r="L2743" i="48"/>
  <c r="H2743" i="48"/>
  <c r="J2623" i="48"/>
  <c r="N2784" i="48"/>
  <c r="J2636" i="48"/>
  <c r="T2214" i="48"/>
  <c r="R2215" i="48"/>
  <c r="T2882" i="48"/>
  <c r="E2913" i="48" s="1"/>
  <c r="R2883" i="48"/>
  <c r="N2787" i="48" l="1"/>
  <c r="J2899" i="48"/>
  <c r="H2899" i="48"/>
  <c r="L2899" i="48"/>
  <c r="L2902" i="48"/>
  <c r="N2902" i="48" s="1"/>
  <c r="M2902" i="48"/>
  <c r="R2870" i="48"/>
  <c r="T2869" i="48"/>
  <c r="E2900" i="48" s="1"/>
  <c r="L2587" i="48"/>
  <c r="L2775" i="48"/>
  <c r="J2587" i="48"/>
  <c r="J2721" i="48"/>
  <c r="N2799" i="48"/>
  <c r="N2048" i="48"/>
  <c r="N1976" i="48"/>
  <c r="N2636" i="48"/>
  <c r="L2721" i="48"/>
  <c r="N2772" i="48"/>
  <c r="N2874" i="48"/>
  <c r="N2719" i="48"/>
  <c r="J2649" i="48"/>
  <c r="N2718" i="48"/>
  <c r="L2649" i="48"/>
  <c r="H2775" i="48"/>
  <c r="J2775" i="48"/>
  <c r="N2773" i="48"/>
  <c r="R2199" i="48"/>
  <c r="T2198" i="48"/>
  <c r="J2060" i="48"/>
  <c r="L2060" i="48"/>
  <c r="H2060" i="48"/>
  <c r="T2245" i="48"/>
  <c r="R2246" i="48"/>
  <c r="J2926" i="48"/>
  <c r="L2926" i="48"/>
  <c r="H2926" i="48"/>
  <c r="T2337" i="48"/>
  <c r="R2338" i="48"/>
  <c r="R2401" i="48"/>
  <c r="T2400" i="48"/>
  <c r="R3092" i="48"/>
  <c r="T3092" i="48" s="1"/>
  <c r="T3091" i="48"/>
  <c r="T2385" i="48"/>
  <c r="R2386" i="48"/>
  <c r="L2744" i="48"/>
  <c r="H2744" i="48"/>
  <c r="J2744" i="48"/>
  <c r="T2273" i="48"/>
  <c r="R2275" i="48"/>
  <c r="T2883" i="48"/>
  <c r="E2914" i="48" s="1"/>
  <c r="R2884" i="48"/>
  <c r="T2884" i="48" s="1"/>
  <c r="T2288" i="48"/>
  <c r="R2290" i="48"/>
  <c r="L2952" i="48"/>
  <c r="H2952" i="48"/>
  <c r="J2952" i="48"/>
  <c r="R2419" i="48"/>
  <c r="T2418" i="48"/>
  <c r="R2262" i="48"/>
  <c r="T2262" i="48" s="1"/>
  <c r="T2260" i="48"/>
  <c r="R2185" i="48"/>
  <c r="T2184" i="48"/>
  <c r="T2831" i="48"/>
  <c r="E2862" i="48" s="1"/>
  <c r="R2832" i="48"/>
  <c r="T2832" i="48" s="1"/>
  <c r="N2683" i="48"/>
  <c r="N2912" i="48"/>
  <c r="R2715" i="48"/>
  <c r="T2715" i="48" s="1"/>
  <c r="T2714" i="48"/>
  <c r="E2745" i="48" s="1"/>
  <c r="N2585" i="48"/>
  <c r="T2369" i="48"/>
  <c r="R2370" i="48"/>
  <c r="L1977" i="48"/>
  <c r="H1977" i="48"/>
  <c r="J1977" i="48"/>
  <c r="J2913" i="48"/>
  <c r="H2913" i="48"/>
  <c r="L2913" i="48"/>
  <c r="N2743" i="48"/>
  <c r="N2584" i="48"/>
  <c r="H2587" i="48"/>
  <c r="T2792" i="48"/>
  <c r="R2793" i="48"/>
  <c r="T2793" i="48" s="1"/>
  <c r="J1961" i="48"/>
  <c r="L1961" i="48"/>
  <c r="H1961" i="48"/>
  <c r="R2923" i="48"/>
  <c r="T2923" i="48" s="1"/>
  <c r="T2922" i="48"/>
  <c r="E2953" i="48" s="1"/>
  <c r="T2352" i="48"/>
  <c r="R2353" i="48"/>
  <c r="T2451" i="48"/>
  <c r="R2452" i="48"/>
  <c r="N2646" i="48"/>
  <c r="H2649" i="48"/>
  <c r="N2059" i="48"/>
  <c r="N2951" i="48"/>
  <c r="N2925" i="48"/>
  <c r="T2156" i="48"/>
  <c r="R2157" i="48"/>
  <c r="T2157" i="48" s="1"/>
  <c r="J2861" i="48"/>
  <c r="L2861" i="48"/>
  <c r="H2861" i="48"/>
  <c r="T2230" i="48"/>
  <c r="R2231" i="48"/>
  <c r="N2847" i="48"/>
  <c r="J2009" i="48"/>
  <c r="L2009" i="48"/>
  <c r="H2009" i="48"/>
  <c r="L2834" i="48"/>
  <c r="H2834" i="48"/>
  <c r="J2834" i="48"/>
  <c r="T1947" i="48"/>
  <c r="E1978" i="48" s="1"/>
  <c r="R1948" i="48"/>
  <c r="T1948" i="48" s="1"/>
  <c r="E1979" i="48" s="1"/>
  <c r="R1949" i="48"/>
  <c r="T1949" i="48" s="1"/>
  <c r="E1980" i="48" s="1"/>
  <c r="T2818" i="48"/>
  <c r="E2849" i="48" s="1"/>
  <c r="R2819" i="48"/>
  <c r="T2819" i="48" s="1"/>
  <c r="T2215" i="48"/>
  <c r="R2216" i="48"/>
  <c r="T1931" i="48"/>
  <c r="E1962" i="48" s="1"/>
  <c r="R1932" i="48"/>
  <c r="T1932" i="48" s="1"/>
  <c r="E1963" i="48" s="1"/>
  <c r="R1933" i="48"/>
  <c r="T1933" i="48" s="1"/>
  <c r="E1964" i="48" s="1"/>
  <c r="J2061" i="48"/>
  <c r="L2061" i="48"/>
  <c r="H2061" i="48"/>
  <c r="N2008" i="48"/>
  <c r="T2896" i="48"/>
  <c r="E2927" i="48" s="1"/>
  <c r="R2897" i="48"/>
  <c r="T2897" i="48" s="1"/>
  <c r="H2721" i="48"/>
  <c r="N2597" i="48"/>
  <c r="N2599" i="48" s="1"/>
  <c r="R1996" i="48"/>
  <c r="T1996" i="48" s="1"/>
  <c r="R1997" i="48"/>
  <c r="T1997" i="48" s="1"/>
  <c r="T1995" i="48"/>
  <c r="R1965" i="48"/>
  <c r="T1965" i="48" s="1"/>
  <c r="T1963" i="48"/>
  <c r="R1964" i="48"/>
  <c r="T1964" i="48" s="1"/>
  <c r="H2599" i="48"/>
  <c r="N1960" i="48"/>
  <c r="N2860" i="48"/>
  <c r="T2321" i="48"/>
  <c r="R2322" i="48"/>
  <c r="J2875" i="48"/>
  <c r="J2877" i="48" s="1"/>
  <c r="L2875" i="48"/>
  <c r="L2877" i="48" s="1"/>
  <c r="H2875" i="48"/>
  <c r="R2305" i="48"/>
  <c r="T2304" i="48"/>
  <c r="R2434" i="48"/>
  <c r="T2433" i="48"/>
  <c r="N2647" i="48"/>
  <c r="L2837" i="48"/>
  <c r="N2837" i="48" s="1"/>
  <c r="M2837" i="48"/>
  <c r="T2170" i="48"/>
  <c r="R2171" i="48"/>
  <c r="N2623" i="48"/>
  <c r="N2611" i="48"/>
  <c r="R1980" i="48"/>
  <c r="T1980" i="48" s="1"/>
  <c r="E2011" i="48" s="1"/>
  <c r="R1981" i="48"/>
  <c r="T1981" i="48" s="1"/>
  <c r="E2012" i="48" s="1"/>
  <c r="T1979" i="48"/>
  <c r="E2010" i="48" s="1"/>
  <c r="R2805" i="48"/>
  <c r="T2804" i="48"/>
  <c r="E2835" i="48" s="1"/>
  <c r="O1151" i="48"/>
  <c r="O1135" i="48"/>
  <c r="O1119" i="48"/>
  <c r="A537" i="48"/>
  <c r="J2848" i="48"/>
  <c r="L2848" i="48"/>
  <c r="H2848" i="48"/>
  <c r="L2900" i="48" l="1"/>
  <c r="H2900" i="48"/>
  <c r="J2900" i="48"/>
  <c r="R2871" i="48"/>
  <c r="T2871" i="48" s="1"/>
  <c r="T2870" i="48"/>
  <c r="E2901" i="48" s="1"/>
  <c r="N2899" i="48"/>
  <c r="N2775" i="48"/>
  <c r="J2062" i="48"/>
  <c r="N2721" i="48"/>
  <c r="N2649" i="48"/>
  <c r="N2913" i="48"/>
  <c r="L2062" i="48"/>
  <c r="N2744" i="48"/>
  <c r="L2835" i="48"/>
  <c r="H2835" i="48"/>
  <c r="J2835" i="48"/>
  <c r="J2011" i="48"/>
  <c r="L2011" i="48"/>
  <c r="H2011" i="48"/>
  <c r="R2306" i="48"/>
  <c r="T2305" i="48"/>
  <c r="T2322" i="48"/>
  <c r="R2323" i="48"/>
  <c r="L2927" i="48"/>
  <c r="L2929" i="48" s="1"/>
  <c r="H2927" i="48"/>
  <c r="J2927" i="48"/>
  <c r="J2929" i="48" s="1"/>
  <c r="J1962" i="48"/>
  <c r="L1962" i="48"/>
  <c r="H1962" i="48"/>
  <c r="L1978" i="48"/>
  <c r="H1978" i="48"/>
  <c r="J1978" i="48"/>
  <c r="N2009" i="48"/>
  <c r="N2861" i="48"/>
  <c r="R2354" i="48"/>
  <c r="T2353" i="48"/>
  <c r="T2370" i="48"/>
  <c r="R2371" i="48"/>
  <c r="R2420" i="48"/>
  <c r="T2419" i="48"/>
  <c r="J2914" i="48"/>
  <c r="J2916" i="48" s="1"/>
  <c r="H2914" i="48"/>
  <c r="H2916" i="48" s="1"/>
  <c r="L2914" i="48"/>
  <c r="L2916" i="48" s="1"/>
  <c r="R2387" i="48"/>
  <c r="T2386" i="48"/>
  <c r="N2060" i="48"/>
  <c r="R2200" i="48"/>
  <c r="T2199" i="48"/>
  <c r="N2848" i="48"/>
  <c r="R2806" i="48"/>
  <c r="T2806" i="48" s="1"/>
  <c r="T2805" i="48"/>
  <c r="E2836" i="48" s="1"/>
  <c r="N2875" i="48"/>
  <c r="N2877" i="48" s="1"/>
  <c r="L2849" i="48"/>
  <c r="L2851" i="48" s="1"/>
  <c r="H2849" i="48"/>
  <c r="J2849" i="48"/>
  <c r="J2851" i="48" s="1"/>
  <c r="N1961" i="48"/>
  <c r="H2877" i="48"/>
  <c r="R2292" i="48"/>
  <c r="T2292" i="48" s="1"/>
  <c r="T2290" i="48"/>
  <c r="R2277" i="48"/>
  <c r="T2277" i="48" s="1"/>
  <c r="T2275" i="48"/>
  <c r="O3280" i="48"/>
  <c r="O3272" i="48"/>
  <c r="O3264" i="48"/>
  <c r="O3288" i="48"/>
  <c r="O3240" i="48"/>
  <c r="O3248" i="48"/>
  <c r="O3256" i="48"/>
  <c r="A545" i="48"/>
  <c r="J2010" i="48"/>
  <c r="L2010" i="48"/>
  <c r="H2010" i="48"/>
  <c r="R2435" i="48"/>
  <c r="T2434" i="48"/>
  <c r="J1964" i="48"/>
  <c r="L1964" i="48"/>
  <c r="H1964" i="48"/>
  <c r="R2217" i="48"/>
  <c r="T2217" i="48" s="1"/>
  <c r="T2216" i="48"/>
  <c r="L1980" i="48"/>
  <c r="H1980" i="48"/>
  <c r="J1980" i="48"/>
  <c r="N2834" i="48"/>
  <c r="R2232" i="48"/>
  <c r="T2232" i="48" s="1"/>
  <c r="T2231" i="48"/>
  <c r="T2452" i="48"/>
  <c r="R2453" i="48"/>
  <c r="N1977" i="48"/>
  <c r="N2587" i="48"/>
  <c r="T2185" i="48"/>
  <c r="R2186" i="48"/>
  <c r="R2402" i="48"/>
  <c r="T2401" i="48"/>
  <c r="R2247" i="48"/>
  <c r="T2247" i="48" s="1"/>
  <c r="T2246" i="48"/>
  <c r="J2012" i="48"/>
  <c r="L2012" i="48"/>
  <c r="H2012" i="48"/>
  <c r="R2172" i="48"/>
  <c r="T2172" i="48" s="1"/>
  <c r="T2171" i="48"/>
  <c r="N2061" i="48"/>
  <c r="H2062" i="48"/>
  <c r="J1963" i="48"/>
  <c r="L1963" i="48"/>
  <c r="H1963" i="48"/>
  <c r="L1979" i="48"/>
  <c r="H1979" i="48"/>
  <c r="J1979" i="48"/>
  <c r="J2953" i="48"/>
  <c r="J2955" i="48" s="1"/>
  <c r="L2953" i="48"/>
  <c r="L2955" i="48" s="1"/>
  <c r="H2953" i="48"/>
  <c r="L2745" i="48"/>
  <c r="L2747" i="48" s="1"/>
  <c r="H2745" i="48"/>
  <c r="J2745" i="48"/>
  <c r="J2747" i="48" s="1"/>
  <c r="J2862" i="48"/>
  <c r="J2864" i="48" s="1"/>
  <c r="H2862" i="48"/>
  <c r="L2862" i="48"/>
  <c r="L2864" i="48" s="1"/>
  <c r="N2952" i="48"/>
  <c r="R2339" i="48"/>
  <c r="T2338" i="48"/>
  <c r="N2926" i="48"/>
  <c r="N2900" i="48" l="1"/>
  <c r="H2901" i="48"/>
  <c r="J2901" i="48"/>
  <c r="J2903" i="48" s="1"/>
  <c r="L2901" i="48"/>
  <c r="L2903" i="48" s="1"/>
  <c r="J2013" i="48"/>
  <c r="N2849" i="48"/>
  <c r="N2851" i="48" s="1"/>
  <c r="N2062" i="48"/>
  <c r="L2013" i="48"/>
  <c r="N1964" i="48"/>
  <c r="N2010" i="48"/>
  <c r="N2011" i="48"/>
  <c r="N1962" i="48"/>
  <c r="N2862" i="48"/>
  <c r="N2864" i="48" s="1"/>
  <c r="H2864" i="48"/>
  <c r="N1963" i="48"/>
  <c r="J1981" i="48"/>
  <c r="N2927" i="48"/>
  <c r="N2929" i="48" s="1"/>
  <c r="H2929" i="48"/>
  <c r="H2851" i="48"/>
  <c r="N2953" i="48"/>
  <c r="N2955" i="48" s="1"/>
  <c r="H2955" i="48"/>
  <c r="T2402" i="48"/>
  <c r="R2403" i="48"/>
  <c r="N1980" i="48"/>
  <c r="H1981" i="48"/>
  <c r="T2435" i="48"/>
  <c r="R2436" i="48"/>
  <c r="O3104" i="48"/>
  <c r="O1590" i="48"/>
  <c r="O1546" i="48"/>
  <c r="O1515" i="48"/>
  <c r="O1488" i="48"/>
  <c r="O1429" i="48"/>
  <c r="O1410" i="48"/>
  <c r="O1392" i="48"/>
  <c r="O1383" i="48"/>
  <c r="O1334" i="48"/>
  <c r="O1497" i="48"/>
  <c r="O1469" i="48"/>
  <c r="O1459" i="48"/>
  <c r="O1439" i="48"/>
  <c r="O1344" i="48"/>
  <c r="O1642" i="48"/>
  <c r="O1568" i="48"/>
  <c r="O1557" i="48"/>
  <c r="O1524" i="48"/>
  <c r="O1506" i="48"/>
  <c r="O1449" i="48"/>
  <c r="O1579" i="48"/>
  <c r="O1535" i="48"/>
  <c r="O1479" i="48"/>
  <c r="O1419" i="48"/>
  <c r="O1401" i="48"/>
  <c r="O1374" i="48"/>
  <c r="O1364" i="48"/>
  <c r="O1354" i="48"/>
  <c r="O1324" i="48"/>
  <c r="A553" i="48"/>
  <c r="R2388" i="48"/>
  <c r="T2388" i="48" s="1"/>
  <c r="T2387" i="48"/>
  <c r="T2306" i="48"/>
  <c r="R2307" i="48"/>
  <c r="T2307" i="48" s="1"/>
  <c r="R2340" i="48"/>
  <c r="T2340" i="48" s="1"/>
  <c r="T2339" i="48"/>
  <c r="N1979" i="48"/>
  <c r="T2186" i="48"/>
  <c r="R2187" i="48"/>
  <c r="T2187" i="48" s="1"/>
  <c r="T2453" i="48"/>
  <c r="R2454" i="48"/>
  <c r="L1981" i="48"/>
  <c r="L1965" i="48"/>
  <c r="L2836" i="48"/>
  <c r="L2838" i="48" s="1"/>
  <c r="H2836" i="48"/>
  <c r="J2836" i="48"/>
  <c r="J2838" i="48" s="1"/>
  <c r="T2200" i="48"/>
  <c r="R2201" i="48"/>
  <c r="R2421" i="48"/>
  <c r="T2421" i="48" s="1"/>
  <c r="T2420" i="48"/>
  <c r="R2355" i="48"/>
  <c r="T2354" i="48"/>
  <c r="N1978" i="48"/>
  <c r="R2324" i="48"/>
  <c r="T2324" i="48" s="1"/>
  <c r="T2323" i="48"/>
  <c r="N2835" i="48"/>
  <c r="N2745" i="48"/>
  <c r="N2747" i="48" s="1"/>
  <c r="H2747" i="48"/>
  <c r="N2012" i="48"/>
  <c r="H2013" i="48"/>
  <c r="J1965" i="48"/>
  <c r="H1965" i="48"/>
  <c r="N2914" i="48"/>
  <c r="N2916" i="48" s="1"/>
  <c r="R2372" i="48"/>
  <c r="T2372" i="48" s="1"/>
  <c r="T2371" i="48"/>
  <c r="H2903" i="48" l="1"/>
  <c r="N2901" i="48"/>
  <c r="N2903" i="48" s="1"/>
  <c r="N1965" i="48"/>
  <c r="N2013" i="48"/>
  <c r="N1981" i="48"/>
  <c r="T2201" i="48"/>
  <c r="R2202" i="48"/>
  <c r="T2202" i="48" s="1"/>
  <c r="T2436" i="48"/>
  <c r="R2437" i="48"/>
  <c r="T2355" i="48"/>
  <c r="R2356" i="48"/>
  <c r="T2356" i="48" s="1"/>
  <c r="O1645" i="48"/>
  <c r="O1299" i="48"/>
  <c r="O1275" i="48"/>
  <c r="O1241" i="48"/>
  <c r="O1234" i="48"/>
  <c r="O1209" i="48"/>
  <c r="O1202" i="48"/>
  <c r="O1177" i="48"/>
  <c r="O1170" i="48"/>
  <c r="O1150" i="48"/>
  <c r="O1134" i="48"/>
  <c r="O1300" i="48"/>
  <c r="O1233" i="48"/>
  <c r="O1226" i="48"/>
  <c r="O1201" i="48"/>
  <c r="O1194" i="48"/>
  <c r="O1169" i="48"/>
  <c r="O1153" i="48"/>
  <c r="O1149" i="48"/>
  <c r="O1137" i="48"/>
  <c r="O1133" i="48"/>
  <c r="O1121" i="48"/>
  <c r="O1118" i="48"/>
  <c r="O1292" i="48"/>
  <c r="O1291" i="48"/>
  <c r="O1250" i="48"/>
  <c r="O1225" i="48"/>
  <c r="O1218" i="48"/>
  <c r="O1193" i="48"/>
  <c r="O1186" i="48"/>
  <c r="O1152" i="48"/>
  <c r="O1136" i="48"/>
  <c r="O1120" i="48"/>
  <c r="O1117" i="48"/>
  <c r="O1284" i="48"/>
  <c r="O1283" i="48"/>
  <c r="O1276" i="48"/>
  <c r="O1249" i="48"/>
  <c r="O1242" i="48"/>
  <c r="O1217" i="48"/>
  <c r="O1210" i="48"/>
  <c r="O1185" i="48"/>
  <c r="O1178" i="48"/>
  <c r="A561" i="48"/>
  <c r="T2403" i="48"/>
  <c r="R2404" i="48"/>
  <c r="T2404" i="48" s="1"/>
  <c r="N2836" i="48"/>
  <c r="N2838" i="48" s="1"/>
  <c r="H2838" i="48"/>
  <c r="R2455" i="48"/>
  <c r="T2455" i="48" s="1"/>
  <c r="T2454" i="48"/>
  <c r="O3294" i="48" l="1"/>
  <c r="A569" i="48"/>
  <c r="A575" i="48" s="1"/>
  <c r="A581" i="48" s="1"/>
  <c r="A587" i="48" s="1"/>
  <c r="A593" i="48" s="1"/>
  <c r="T2437" i="48"/>
  <c r="R2438" i="48"/>
  <c r="T2438" i="48" s="1"/>
  <c r="O1614" i="48" l="1"/>
  <c r="O1624" i="48"/>
  <c r="A600" i="48"/>
  <c r="A607" i="48" s="1"/>
  <c r="A614" i="48" s="1"/>
  <c r="A621" i="48" s="1"/>
  <c r="A626" i="48" s="1"/>
  <c r="O3087" i="48" l="1"/>
  <c r="O3049" i="48"/>
  <c r="O3030" i="48"/>
  <c r="O3068" i="48"/>
  <c r="O3094" i="48"/>
  <c r="A631" i="48"/>
  <c r="O1630" i="48" l="1"/>
  <c r="O1601" i="48"/>
  <c r="O1620" i="48"/>
  <c r="O1610" i="48"/>
  <c r="A635" i="48"/>
  <c r="O1157" i="48" l="1"/>
  <c r="O1141" i="48"/>
  <c r="O1125" i="48"/>
  <c r="A646" i="48"/>
  <c r="A657" i="48" s="1"/>
  <c r="A668" i="48" s="1"/>
  <c r="A679" i="48" s="1"/>
  <c r="A690" i="48" s="1"/>
  <c r="A697" i="48" s="1"/>
  <c r="A703" i="48" s="1"/>
  <c r="A709" i="48" s="1"/>
  <c r="O3289" i="48" l="1"/>
  <c r="O3273" i="48"/>
  <c r="O3265" i="48"/>
  <c r="O3281" i="48"/>
  <c r="O3249" i="48"/>
  <c r="O3257" i="48"/>
  <c r="O3241" i="48"/>
  <c r="O1606" i="48"/>
  <c r="O1616" i="48"/>
  <c r="O1626" i="48"/>
  <c r="O1597" i="48"/>
  <c r="O1278" i="48"/>
  <c r="O1252" i="48"/>
  <c r="O1220" i="48"/>
  <c r="O1188" i="48"/>
  <c r="O1302" i="48"/>
  <c r="O1244" i="48"/>
  <c r="O1212" i="48"/>
  <c r="O1180" i="48"/>
  <c r="O1294" i="48"/>
  <c r="O1236" i="48"/>
  <c r="O1204" i="48"/>
  <c r="O1172" i="48"/>
  <c r="O1286" i="48"/>
  <c r="O1228" i="48"/>
  <c r="O1196" i="48"/>
  <c r="A715" i="48"/>
  <c r="A721" i="48" s="1"/>
  <c r="O1592" i="48" l="1"/>
  <c r="O1559" i="48"/>
  <c r="O1526" i="48"/>
  <c r="O1499" i="48"/>
  <c r="O1451" i="48"/>
  <c r="O1366" i="48"/>
  <c r="O1326" i="48"/>
  <c r="O1537" i="48"/>
  <c r="O1517" i="48"/>
  <c r="O1508" i="48"/>
  <c r="O1421" i="48"/>
  <c r="O1356" i="48"/>
  <c r="O1336" i="48"/>
  <c r="O1570" i="48"/>
  <c r="O1548" i="48"/>
  <c r="O1481" i="48"/>
  <c r="O1471" i="48"/>
  <c r="O1431" i="48"/>
  <c r="O1412" i="48"/>
  <c r="O1376" i="48"/>
  <c r="O1346" i="48"/>
  <c r="O1581" i="48"/>
  <c r="O1490" i="48"/>
  <c r="O1461" i="48"/>
  <c r="O1441" i="48"/>
  <c r="O1403" i="48"/>
  <c r="O1394" i="48"/>
  <c r="O1385" i="48"/>
  <c r="O1277" i="48"/>
  <c r="O1227" i="48"/>
  <c r="O1179" i="48"/>
  <c r="O1251" i="48"/>
  <c r="O1219" i="48"/>
  <c r="O1203" i="48"/>
  <c r="O1171" i="48"/>
  <c r="A727" i="48"/>
  <c r="A734" i="48" s="1"/>
  <c r="A741" i="48" s="1"/>
  <c r="O1293" i="48"/>
  <c r="O1243" i="48"/>
  <c r="O1211" i="48"/>
  <c r="O1195" i="48"/>
  <c r="O1301" i="48"/>
  <c r="O1285" i="48"/>
  <c r="O1235" i="48"/>
  <c r="O1187" i="48"/>
  <c r="O1123" i="48" l="1"/>
  <c r="A747" i="48"/>
  <c r="O1139" i="48" l="1"/>
  <c r="A753" i="48"/>
  <c r="O1155" i="48" l="1"/>
  <c r="A759" i="48"/>
  <c r="O1124" i="48" l="1"/>
  <c r="A764" i="48"/>
  <c r="O1140" i="48" l="1"/>
  <c r="A769" i="48"/>
  <c r="O1156" i="48" l="1"/>
  <c r="A774" i="48"/>
  <c r="A783" i="48" s="1"/>
  <c r="A792" i="48" s="1"/>
  <c r="A798" i="48" s="1"/>
  <c r="A803" i="48" s="1"/>
  <c r="A810" i="48" s="1"/>
  <c r="A817" i="48" s="1"/>
  <c r="A824" i="48" s="1"/>
  <c r="A831" i="48" s="1"/>
  <c r="A839" i="48" s="1"/>
  <c r="O1154" i="48" l="1"/>
  <c r="O1138" i="48"/>
  <c r="O1122" i="48"/>
  <c r="A847" i="48"/>
  <c r="A853" i="48" s="1"/>
  <c r="A859" i="48" s="1"/>
  <c r="A865" i="48" s="1"/>
  <c r="A871" i="48" s="1"/>
  <c r="A877" i="48" s="1"/>
  <c r="A883" i="48" s="1"/>
  <c r="A889" i="48" s="1"/>
  <c r="A895" i="48" s="1"/>
  <c r="A901" i="48" s="1"/>
  <c r="A907" i="48" s="1"/>
  <c r="A913" i="48" s="1"/>
  <c r="A919" i="48" s="1"/>
  <c r="A924" i="48" s="1"/>
  <c r="A929" i="48" s="1"/>
  <c r="A934" i="48" s="1"/>
  <c r="A939" i="48" s="1"/>
  <c r="A944" i="48" s="1"/>
  <c r="A949" i="48" s="1"/>
  <c r="A954" i="48" s="1"/>
  <c r="A959" i="48" s="1"/>
  <c r="A964" i="48" s="1"/>
  <c r="A969" i="48" s="1"/>
  <c r="A974" i="48" s="1"/>
  <c r="A982" i="48" s="1"/>
  <c r="A990" i="48" s="1"/>
  <c r="A998" i="48" s="1"/>
  <c r="A1006" i="48" s="1"/>
  <c r="A1014" i="48" s="1"/>
  <c r="A1022" i="48" s="1"/>
  <c r="A1030" i="48" s="1"/>
  <c r="A1038" i="48" s="1"/>
  <c r="A1046" i="48" s="1"/>
  <c r="A1054" i="48" s="1"/>
  <c r="A1062" i="48" s="1"/>
  <c r="A1070" i="48" s="1"/>
  <c r="A1077" i="48" s="1"/>
  <c r="A1084" i="48" s="1"/>
  <c r="A1091" i="48" s="1"/>
  <c r="A1098" i="48" s="1"/>
  <c r="A1104" i="48" s="1"/>
  <c r="A1110" i="48" s="1"/>
  <c r="A1116" i="48" s="1"/>
  <c r="A1132" i="48" s="1"/>
  <c r="A1148" i="48" s="1"/>
  <c r="A1164" i="48" s="1"/>
  <c r="A1168" i="48" s="1"/>
  <c r="A1176" i="48" s="1"/>
  <c r="A1184" i="48" s="1"/>
  <c r="A1192" i="48" s="1"/>
  <c r="A1200" i="48" s="1"/>
  <c r="A1208" i="48" s="1"/>
  <c r="A1216" i="48" s="1"/>
  <c r="A1224" i="48" s="1"/>
  <c r="A1232" i="48" s="1"/>
  <c r="A1240" i="48" s="1"/>
  <c r="A1248" i="48" s="1"/>
  <c r="A1256" i="48" s="1"/>
  <c r="A1260" i="48" s="1"/>
  <c r="A1264" i="48" s="1"/>
  <c r="A1269" i="48" s="1"/>
  <c r="A1274" i="48" s="1"/>
  <c r="A1282" i="48" s="1"/>
  <c r="A1290" i="48" s="1"/>
  <c r="A1298" i="48" s="1"/>
  <c r="A1306" i="48" s="1"/>
  <c r="A1312" i="48" s="1"/>
  <c r="A1318" i="48" s="1"/>
  <c r="A1328" i="48" s="1"/>
  <c r="A1338" i="48" s="1"/>
  <c r="A1348" i="48" s="1"/>
  <c r="A1358" i="48" s="1"/>
  <c r="A1368" i="48" s="1"/>
  <c r="A1378" i="48" s="1"/>
  <c r="A1387" i="48" s="1"/>
  <c r="A1396" i="48" s="1"/>
  <c r="A1405" i="48" s="1"/>
  <c r="A1414" i="48" s="1"/>
  <c r="A1423" i="48" s="1"/>
  <c r="A1433" i="48" s="1"/>
  <c r="A1443" i="48" s="1"/>
  <c r="A1453" i="48" s="1"/>
  <c r="A1463" i="48" s="1"/>
  <c r="A1473" i="48" s="1"/>
  <c r="A1483" i="48" s="1"/>
  <c r="A1492" i="48" s="1"/>
  <c r="A1501" i="48" s="1"/>
  <c r="A1510" i="48" s="1"/>
  <c r="A1519" i="48" s="1"/>
  <c r="A1528" i="48" s="1"/>
  <c r="A1539" i="48" s="1"/>
  <c r="A1550" i="48" s="1"/>
  <c r="A1561" i="48" s="1"/>
  <c r="A1572" i="48" s="1"/>
  <c r="A1583" i="48" s="1"/>
  <c r="A1594" i="48" s="1"/>
  <c r="A1603" i="48" s="1"/>
  <c r="A1612" i="48" s="1"/>
  <c r="A1622" i="48" s="1"/>
  <c r="A1632" i="48" s="1"/>
  <c r="O1639" i="48" l="1"/>
  <c r="A1638" i="48"/>
  <c r="A1641" i="48" s="1"/>
  <c r="A1644" i="48" s="1"/>
  <c r="A1647" i="48" s="1"/>
  <c r="A1651" i="48" s="1"/>
  <c r="A1655" i="48" s="1"/>
  <c r="A1664" i="48" s="1"/>
  <c r="A1673" i="48" s="1"/>
  <c r="A1681" i="48" s="1"/>
  <c r="A1690" i="48" s="1"/>
  <c r="A1699" i="48" s="1"/>
  <c r="A1707" i="48" s="1"/>
  <c r="A1715" i="48" s="1"/>
  <c r="A1724" i="48" s="1"/>
  <c r="O3088" i="48" l="1"/>
  <c r="O3069" i="48"/>
  <c r="O3099" i="48"/>
  <c r="O3050" i="48"/>
  <c r="O3031" i="48"/>
  <c r="A1733" i="48"/>
  <c r="A1742" i="48" s="1"/>
  <c r="A1751" i="48" s="1"/>
  <c r="A1760" i="48" s="1"/>
  <c r="A1768" i="48" s="1"/>
  <c r="O1790" i="48" l="1"/>
  <c r="A1773" i="48"/>
  <c r="O1846" i="48" l="1"/>
  <c r="O1835" i="48"/>
  <c r="A1778" i="48"/>
  <c r="O1800" i="48"/>
  <c r="O1857" i="48"/>
  <c r="O1824" i="48"/>
  <c r="O1812" i="48"/>
  <c r="O3093" i="48" l="1"/>
  <c r="A1783" i="48"/>
  <c r="O1868" i="48"/>
  <c r="O1922" i="48" l="1"/>
  <c r="O1912" i="48"/>
  <c r="O1890" i="48"/>
  <c r="O1878" i="48"/>
  <c r="A1788" i="48"/>
  <c r="O1942" i="48"/>
  <c r="O1932" i="48"/>
  <c r="O1901" i="48"/>
  <c r="A1798" i="48" l="1"/>
  <c r="A1810" i="48" s="1"/>
  <c r="A1822" i="48" s="1"/>
  <c r="A1833" i="48" s="1"/>
  <c r="A1844" i="48" s="1"/>
  <c r="A1855" i="48" s="1"/>
  <c r="A1866" i="48" s="1"/>
  <c r="O781" i="48"/>
  <c r="O790" i="48"/>
  <c r="O3092" i="48" l="1"/>
  <c r="A1876" i="48"/>
  <c r="O3563" i="48" l="1"/>
  <c r="A1888" i="48"/>
  <c r="A1899" i="48" s="1"/>
  <c r="A1910" i="48" s="1"/>
  <c r="A1920" i="48" s="1"/>
  <c r="A1930" i="48" s="1"/>
  <c r="A1940" i="48" s="1"/>
  <c r="A1950" i="48" s="1"/>
  <c r="A1966" i="48" s="1"/>
  <c r="A1982" i="48" s="1"/>
  <c r="A1998" i="48" s="1"/>
  <c r="A2014" i="48" s="1"/>
  <c r="A2030" i="48" s="1"/>
  <c r="A2049" i="48" s="1"/>
  <c r="A2063" i="48" s="1"/>
  <c r="A2074" i="48" s="1"/>
  <c r="A2085" i="48" s="1"/>
  <c r="A2096" i="48" s="1"/>
  <c r="A2107" i="48" s="1"/>
  <c r="A2118" i="48" s="1"/>
  <c r="A2129" i="48" s="1"/>
  <c r="A2140" i="48" s="1"/>
  <c r="A2151" i="48" s="1"/>
  <c r="A2162" i="48" s="1"/>
  <c r="A2176" i="48" s="1"/>
  <c r="A2190" i="48" s="1"/>
  <c r="A2205" i="48" s="1"/>
  <c r="A2220" i="48" s="1"/>
  <c r="A2235" i="48" s="1"/>
  <c r="A2250" i="48" s="1"/>
  <c r="A2265" i="48" s="1"/>
  <c r="A2280" i="48" s="1"/>
  <c r="A2295" i="48" s="1"/>
  <c r="A2310" i="48" s="1"/>
  <c r="A2325" i="48" s="1"/>
  <c r="A2341" i="48" s="1"/>
  <c r="A2357" i="48" s="1"/>
  <c r="A2373" i="48" s="1"/>
  <c r="A2389" i="48" s="1"/>
  <c r="A2405" i="48" s="1"/>
  <c r="A2421" i="48" s="1"/>
  <c r="A2437" i="48" s="1"/>
  <c r="A2454" i="48" s="1"/>
  <c r="A2471" i="48" s="1"/>
  <c r="A2488" i="48" s="1"/>
  <c r="O3067" i="48" l="1"/>
  <c r="O3086" i="48"/>
  <c r="O3048" i="48"/>
  <c r="O3029" i="48"/>
  <c r="A2495" i="48"/>
  <c r="O3098" i="48" l="1"/>
  <c r="O3095" i="48"/>
  <c r="A2502" i="48"/>
  <c r="A2509" i="48" s="1"/>
  <c r="A2512" i="48" s="1"/>
  <c r="A2515" i="48" s="1"/>
  <c r="A2518" i="48" s="1"/>
  <c r="A2521" i="48" s="1"/>
  <c r="A2524" i="48" s="1"/>
  <c r="A2527" i="48" s="1"/>
  <c r="A2530" i="48" s="1"/>
  <c r="A2533" i="48" s="1"/>
  <c r="A2536" i="48" s="1"/>
  <c r="A2539" i="48" s="1"/>
  <c r="A2542" i="48" s="1"/>
  <c r="A2545" i="48" s="1"/>
  <c r="A2551" i="48" l="1"/>
  <c r="A2555" i="48" s="1"/>
  <c r="A2559" i="48" s="1"/>
  <c r="A2562" i="48" s="1"/>
  <c r="A2565" i="48" s="1"/>
  <c r="A2570" i="48" s="1"/>
  <c r="A2576" i="48" s="1"/>
  <c r="A2588" i="48" s="1"/>
  <c r="A2600" i="48" s="1"/>
  <c r="A2612" i="48" s="1"/>
  <c r="A2624" i="48" s="1"/>
  <c r="A2637" i="48" s="1"/>
  <c r="A2650" i="48" s="1"/>
  <c r="A2661" i="48" s="1"/>
  <c r="A2672" i="48" s="1"/>
  <c r="A2684" i="48" s="1"/>
  <c r="A2696" i="48" s="1"/>
  <c r="A2709" i="48" s="1"/>
  <c r="A2722" i="48" s="1"/>
  <c r="A2735" i="48" s="1"/>
  <c r="A2748" i="48" s="1"/>
  <c r="A2762" i="48" s="1"/>
  <c r="A2776" i="48" s="1"/>
  <c r="A2788" i="48" s="1"/>
  <c r="A2800" i="48" s="1"/>
  <c r="A2813" i="48" s="1"/>
  <c r="A2826" i="48" s="1"/>
  <c r="A2839" i="48" s="1"/>
  <c r="A2852" i="48" s="1"/>
  <c r="A2865" i="48" s="1"/>
  <c r="A2878" i="48" s="1"/>
  <c r="A2891" i="48" s="1"/>
  <c r="A2904" i="48" s="1"/>
  <c r="A2917" i="48" s="1"/>
  <c r="A2930" i="48" s="1"/>
  <c r="A2943" i="48" s="1"/>
  <c r="A2956" i="48" s="1"/>
  <c r="O1600" i="48"/>
  <c r="O1619" i="48"/>
  <c r="O1609" i="48"/>
  <c r="O1629" i="48"/>
  <c r="A2961" i="48" l="1"/>
  <c r="A2971" i="48" s="1"/>
  <c r="A2978" i="48" s="1"/>
  <c r="O2641" i="48"/>
  <c r="O2752" i="48"/>
  <c r="O2766" i="48"/>
  <c r="O2628" i="48"/>
  <c r="O3056" i="48" l="1"/>
  <c r="O3075" i="48"/>
  <c r="O3018" i="48"/>
  <c r="O3037" i="48"/>
  <c r="A2983" i="48"/>
  <c r="O3082" i="48" l="1"/>
  <c r="O3025" i="48"/>
  <c r="O3063" i="48"/>
  <c r="O3044" i="48"/>
  <c r="A2988" i="48"/>
  <c r="O3083" i="48" l="1"/>
  <c r="O3064" i="48"/>
  <c r="O3045" i="48"/>
  <c r="O3026" i="48"/>
  <c r="A2993" i="48"/>
  <c r="A3000" i="48" s="1"/>
  <c r="A3007" i="48" s="1"/>
  <c r="A3014" i="48" s="1"/>
  <c r="A3033" i="48" s="1"/>
  <c r="A3052" i="48" s="1"/>
  <c r="A3071" i="48" s="1"/>
  <c r="A3090" i="48" s="1"/>
  <c r="A3097" i="48" s="1"/>
  <c r="A3101" i="48" s="1"/>
  <c r="A3109" i="48" s="1"/>
  <c r="A3112" i="48" s="1"/>
  <c r="A3120" i="48" s="1"/>
  <c r="A3128" i="48" s="1"/>
  <c r="A3142" i="48" s="1"/>
  <c r="A3146" i="48" s="1"/>
  <c r="A3150" i="48" s="1"/>
  <c r="A3154" i="48" s="1"/>
  <c r="A3158" i="48" s="1"/>
  <c r="A3162" i="48" s="1"/>
  <c r="A3166" i="48" s="1"/>
  <c r="A3174" i="48" l="1"/>
  <c r="O3144" i="48"/>
  <c r="O3148" i="48" l="1"/>
  <c r="A3182" i="48"/>
  <c r="O3152" i="48" l="1"/>
  <c r="A3190" i="48"/>
  <c r="A3198" i="48" l="1"/>
  <c r="A3206" i="48" s="1"/>
  <c r="O3156" i="48"/>
  <c r="O3160" i="48" l="1"/>
  <c r="A3214" i="48"/>
  <c r="A3222" i="48" l="1"/>
  <c r="O3164" i="48"/>
  <c r="O3215" i="48" l="1"/>
  <c r="O3207" i="48"/>
  <c r="O3199" i="48"/>
  <c r="O3191" i="48"/>
  <c r="O3183" i="48"/>
  <c r="O3175" i="48"/>
  <c r="O3167" i="48"/>
  <c r="A3226" i="48"/>
  <c r="A3231" i="48" l="1"/>
  <c r="O3216" i="48"/>
  <c r="O3208" i="48"/>
  <c r="O3200" i="48"/>
  <c r="O3192" i="48"/>
  <c r="O3184" i="48"/>
  <c r="O3176" i="48"/>
  <c r="O3168" i="48"/>
  <c r="A3237" i="48" l="1"/>
  <c r="A3245" i="48" s="1"/>
  <c r="A3253" i="48" s="1"/>
  <c r="A3261" i="48" s="1"/>
  <c r="A3269" i="48" s="1"/>
  <c r="A3277" i="48" s="1"/>
  <c r="A3285" i="48" s="1"/>
  <c r="A3293" i="48" s="1"/>
  <c r="A3298" i="48" s="1"/>
  <c r="A3305" i="48" s="1"/>
  <c r="A3318" i="48" s="1"/>
  <c r="A3331" i="48" s="1"/>
  <c r="A3343" i="48" s="1"/>
  <c r="A3355" i="48" s="1"/>
  <c r="A3365" i="48" s="1"/>
  <c r="A3375" i="48" s="1"/>
  <c r="A3384" i="48" s="1"/>
  <c r="A3393" i="48" s="1"/>
  <c r="A3409" i="48" s="1"/>
  <c r="A3425" i="48" s="1"/>
  <c r="A3440" i="48" s="1"/>
  <c r="A3455" i="48" s="1"/>
  <c r="A3468" i="48" s="1"/>
  <c r="A3481" i="48" s="1"/>
  <c r="A3493" i="48" s="1"/>
  <c r="A3505" i="48" s="1"/>
  <c r="A3518" i="48" s="1"/>
  <c r="A3530" i="48" s="1"/>
  <c r="O3217" i="48"/>
  <c r="O3209" i="48"/>
  <c r="O3201" i="48"/>
  <c r="O3193" i="48"/>
  <c r="O3185" i="48"/>
  <c r="O3177" i="48"/>
  <c r="O3169" i="48"/>
  <c r="O3564" i="48" l="1"/>
  <c r="A3546" i="48"/>
  <c r="A3559" i="48" s="1"/>
  <c r="A3567" i="48" s="1"/>
  <c r="A3573" i="48" s="1"/>
  <c r="A3579" i="48" s="1"/>
  <c r="A3585" i="48" s="1"/>
  <c r="A3591" i="48" s="1"/>
  <c r="A3600" i="48" s="1"/>
  <c r="A3609" i="48" s="1"/>
  <c r="A3613" i="48" s="1"/>
  <c r="A3621" i="48" s="1"/>
  <c r="A3629" i="48" s="1"/>
  <c r="A3637" i="48" s="1"/>
  <c r="A3645" i="48" s="1"/>
  <c r="A3653" i="48" s="1"/>
  <c r="A3661" i="48" s="1"/>
  <c r="A3667" i="48" s="1"/>
  <c r="A3673" i="48" s="1"/>
  <c r="A3679" i="48" s="1"/>
  <c r="A3685" i="48" s="1"/>
  <c r="A3692" i="48" s="1"/>
  <c r="A3699" i="48" s="1"/>
  <c r="A3706" i="48" s="1"/>
  <c r="A3713" i="48" s="1"/>
  <c r="A3720" i="48" s="1"/>
  <c r="A3727" i="48" s="1"/>
  <c r="A3734" i="48" s="1"/>
  <c r="A3741" i="48" s="1"/>
  <c r="A3748" i="48" s="1"/>
  <c r="A3753" i="48" s="1"/>
  <c r="A3764" i="48" s="1"/>
  <c r="A3775" i="48" s="1"/>
  <c r="A3785" i="48" s="1"/>
  <c r="A3788" i="48" s="1"/>
  <c r="A3791" i="48" s="1"/>
  <c r="A3797" i="48" s="1"/>
  <c r="A3803" i="48" s="1"/>
  <c r="A3807" i="48" s="1"/>
  <c r="A3811" i="48" s="1"/>
  <c r="A3819" i="48" l="1"/>
  <c r="A3822" i="48" s="1"/>
  <c r="A3826" i="48" s="1"/>
  <c r="A3833" i="48" s="1"/>
  <c r="A3840" i="48" s="1"/>
  <c r="A3846" i="48" s="1"/>
  <c r="A3851" i="48" s="1"/>
  <c r="A3854" i="48" s="1"/>
  <c r="A3857" i="48" s="1"/>
  <c r="A3860" i="48" s="1"/>
  <c r="A3866" i="48" s="1"/>
  <c r="A3872" i="48" s="1"/>
  <c r="A3878" i="48" s="1"/>
  <c r="A3884" i="48" s="1"/>
  <c r="A3890" i="48" s="1"/>
  <c r="A3896" i="48" s="1"/>
  <c r="A3902" i="48" s="1"/>
  <c r="A3908" i="48" s="1"/>
  <c r="A3914" i="48" s="1"/>
  <c r="A3920" i="48" s="1"/>
  <c r="A3926" i="48" s="1"/>
  <c r="A3932" i="48" s="1"/>
  <c r="A3944" i="48" s="1"/>
  <c r="A3956" i="48" s="1"/>
  <c r="A3968" i="48" s="1"/>
  <c r="A3974" i="48" s="1"/>
  <c r="A3978" i="48" s="1"/>
  <c r="A3982" i="48" s="1"/>
  <c r="A3986" i="48" s="1"/>
  <c r="A3990" i="48" s="1"/>
  <c r="A3994" i="48" s="1"/>
  <c r="A3998" i="48" s="1"/>
  <c r="A4002" i="48" s="1"/>
  <c r="A4006" i="48" s="1"/>
  <c r="A4010" i="48" s="1"/>
  <c r="A4014" i="48" s="1"/>
  <c r="A4023" i="48" s="1"/>
  <c r="A4028" i="48" s="1"/>
  <c r="A4033" i="48" s="1"/>
  <c r="O3820" i="48"/>
  <c r="CM7" i="42" l="1"/>
  <c r="CN7" i="42"/>
  <c r="CO7" i="42"/>
  <c r="AV10" i="42" s="1"/>
  <c r="CP7" i="42"/>
  <c r="AV11" i="42" s="1"/>
  <c r="AV8" i="42"/>
  <c r="BE8" i="42"/>
  <c r="BS8" i="42" s="1"/>
  <c r="AV9" i="42"/>
  <c r="BE9" i="42"/>
  <c r="BS9" i="42" s="1"/>
  <c r="BE10" i="42"/>
  <c r="BE11" i="42"/>
  <c r="Y26" i="42"/>
  <c r="AL26" i="42" s="1"/>
  <c r="AL27" i="42" s="1"/>
  <c r="Y28" i="42"/>
  <c r="AL28" i="42" s="1"/>
  <c r="Y29" i="42"/>
  <c r="AY29" i="42" s="1"/>
  <c r="Y30" i="42"/>
  <c r="AL30" i="42" s="1"/>
  <c r="Y32" i="42"/>
  <c r="AL32" i="42" s="1"/>
  <c r="I33" i="42"/>
  <c r="Y33" i="42"/>
  <c r="AY33" i="42" s="1"/>
  <c r="BU46" i="42"/>
  <c r="BA59" i="42" s="1"/>
  <c r="BU47" i="42"/>
  <c r="BA66" i="42" s="1"/>
  <c r="BU48" i="42"/>
  <c r="BA60" i="42" s="1"/>
  <c r="BU49" i="42"/>
  <c r="BA61" i="42" s="1"/>
  <c r="BU50" i="42"/>
  <c r="BA67" i="42" s="1"/>
  <c r="BU51" i="42"/>
  <c r="BA63" i="42" s="1"/>
  <c r="BU52" i="42"/>
  <c r="BA64" i="42" s="1"/>
  <c r="BU53" i="42"/>
  <c r="BA65" i="42" s="1"/>
  <c r="AC59" i="42"/>
  <c r="AK59" i="42"/>
  <c r="AS59" i="42"/>
  <c r="AC60" i="42"/>
  <c r="AK60" i="42"/>
  <c r="AS60" i="42"/>
  <c r="AC61" i="42"/>
  <c r="AK61" i="42"/>
  <c r="AS61" i="42"/>
  <c r="AC62" i="42"/>
  <c r="AK62" i="42"/>
  <c r="AS62" i="42"/>
  <c r="AC63" i="42"/>
  <c r="AK63" i="42"/>
  <c r="AS63" i="42"/>
  <c r="AC64" i="42"/>
  <c r="AK64" i="42"/>
  <c r="AS64" i="42"/>
  <c r="AC65" i="42"/>
  <c r="AK65" i="42"/>
  <c r="AS65" i="42"/>
  <c r="AC66" i="42"/>
  <c r="AK66" i="42"/>
  <c r="AS66" i="42"/>
  <c r="AC67" i="42"/>
  <c r="AK67" i="42"/>
  <c r="AS67" i="42"/>
  <c r="BU79" i="42"/>
  <c r="BA92" i="42" s="1"/>
  <c r="BU80" i="42"/>
  <c r="BA99" i="42" s="1"/>
  <c r="BU81" i="42"/>
  <c r="BA93" i="42" s="1"/>
  <c r="BU82" i="42"/>
  <c r="BA94" i="42" s="1"/>
  <c r="BU83" i="42"/>
  <c r="BA100" i="42" s="1"/>
  <c r="BU84" i="42"/>
  <c r="BA96" i="42" s="1"/>
  <c r="BU85" i="42"/>
  <c r="BU86" i="42"/>
  <c r="AC92" i="42"/>
  <c r="AK92" i="42"/>
  <c r="AS92" i="42"/>
  <c r="AC93" i="42"/>
  <c r="AK93" i="42"/>
  <c r="AS93" i="42"/>
  <c r="AC94" i="42"/>
  <c r="AK94" i="42"/>
  <c r="AS94" i="42"/>
  <c r="AC95" i="42"/>
  <c r="AK95" i="42"/>
  <c r="AS95" i="42"/>
  <c r="AC96" i="42"/>
  <c r="AK96" i="42"/>
  <c r="AS96" i="42"/>
  <c r="AC97" i="42"/>
  <c r="AK97" i="42"/>
  <c r="AS97" i="42"/>
  <c r="BA97" i="42"/>
  <c r="AC98" i="42"/>
  <c r="AK98" i="42"/>
  <c r="AS98" i="42"/>
  <c r="BA98" i="42"/>
  <c r="AC99" i="42"/>
  <c r="AK99" i="42"/>
  <c r="AS99" i="42"/>
  <c r="AC100" i="42"/>
  <c r="AK100" i="42"/>
  <c r="AS100" i="42"/>
  <c r="BU110" i="42"/>
  <c r="BA123" i="42" s="1"/>
  <c r="BU111" i="42"/>
  <c r="BA130" i="42" s="1"/>
  <c r="BU112" i="42"/>
  <c r="BA124" i="42" s="1"/>
  <c r="BU113" i="42"/>
  <c r="BA125" i="42" s="1"/>
  <c r="BU114" i="42"/>
  <c r="BA131" i="42" s="1"/>
  <c r="BU115" i="42"/>
  <c r="BA127" i="42" s="1"/>
  <c r="BU116" i="42"/>
  <c r="BA128" i="42" s="1"/>
  <c r="BU117" i="42"/>
  <c r="AC123" i="42"/>
  <c r="AK123" i="42"/>
  <c r="AS123" i="42"/>
  <c r="AC124" i="42"/>
  <c r="AK124" i="42"/>
  <c r="AS124" i="42"/>
  <c r="AC125" i="42"/>
  <c r="AK125" i="42"/>
  <c r="AS125" i="42"/>
  <c r="AC126" i="42"/>
  <c r="AK126" i="42"/>
  <c r="AS126" i="42"/>
  <c r="AC127" i="42"/>
  <c r="AK127" i="42"/>
  <c r="AS127" i="42"/>
  <c r="AC128" i="42"/>
  <c r="AK128" i="42"/>
  <c r="AS128" i="42"/>
  <c r="AC129" i="42"/>
  <c r="AK129" i="42"/>
  <c r="AS129" i="42"/>
  <c r="BA129" i="42"/>
  <c r="AC130" i="42"/>
  <c r="AK130" i="42"/>
  <c r="AS130" i="42"/>
  <c r="AC131" i="42"/>
  <c r="AK131" i="42"/>
  <c r="AS131" i="42"/>
  <c r="BA151" i="42"/>
  <c r="AG152" i="42"/>
  <c r="AQ152" i="42"/>
  <c r="AQ158" i="42" s="1"/>
  <c r="BA152" i="42"/>
  <c r="BU153" i="42"/>
  <c r="AG153" i="42" s="1"/>
  <c r="BU173" i="42"/>
  <c r="BA186" i="42" s="1"/>
  <c r="BU174" i="42"/>
  <c r="BA193" i="42" s="1"/>
  <c r="BU175" i="42"/>
  <c r="BA187" i="42" s="1"/>
  <c r="BU176" i="42"/>
  <c r="BA188" i="42" s="1"/>
  <c r="BU177" i="42"/>
  <c r="BU178" i="42"/>
  <c r="BA190" i="42" s="1"/>
  <c r="BU179" i="42"/>
  <c r="BA191" i="42" s="1"/>
  <c r="BU180" i="42"/>
  <c r="BA192" i="42" s="1"/>
  <c r="AC186" i="42"/>
  <c r="AK186" i="42"/>
  <c r="AS186" i="42"/>
  <c r="AC187" i="42"/>
  <c r="AK187" i="42"/>
  <c r="AS187" i="42"/>
  <c r="AC188" i="42"/>
  <c r="AK188" i="42"/>
  <c r="BQ188" i="42" s="1"/>
  <c r="AS188" i="42"/>
  <c r="AC189" i="42"/>
  <c r="AK189" i="42"/>
  <c r="AS189" i="42"/>
  <c r="BA189" i="42"/>
  <c r="AC190" i="42"/>
  <c r="AK190" i="42"/>
  <c r="AS190" i="42"/>
  <c r="AC191" i="42"/>
  <c r="AK191" i="42"/>
  <c r="AS191" i="42"/>
  <c r="AC192" i="42"/>
  <c r="AK192" i="42"/>
  <c r="BQ192" i="42" s="1"/>
  <c r="AS192" i="42"/>
  <c r="AC193" i="42"/>
  <c r="AK193" i="42"/>
  <c r="AS193" i="42"/>
  <c r="AC194" i="42"/>
  <c r="AK194" i="42"/>
  <c r="AS194" i="42"/>
  <c r="BA194" i="42"/>
  <c r="AS203" i="42"/>
  <c r="L209" i="42"/>
  <c r="AC215" i="42"/>
  <c r="AK215" i="42"/>
  <c r="AS215" i="42"/>
  <c r="L226" i="42"/>
  <c r="AO226" i="42"/>
  <c r="AV226" i="42"/>
  <c r="BA233" i="42" s="1"/>
  <c r="AO227" i="42"/>
  <c r="AC233" i="42"/>
  <c r="AK233" i="42"/>
  <c r="AS233" i="42"/>
  <c r="Y243" i="42"/>
  <c r="AQ243" i="42" s="1"/>
  <c r="AQ244" i="42" s="1"/>
  <c r="Y245" i="42"/>
  <c r="AQ245" i="42" s="1"/>
  <c r="Y246" i="42"/>
  <c r="AQ246" i="42" s="1"/>
  <c r="Y247" i="42"/>
  <c r="AQ247" i="42" s="1"/>
  <c r="Y249" i="42"/>
  <c r="AQ249" i="42" s="1"/>
  <c r="Y250" i="42"/>
  <c r="AQ250" i="42" s="1"/>
  <c r="R269" i="42"/>
  <c r="AF269" i="42" s="1"/>
  <c r="BA274" i="42"/>
  <c r="BK274" i="42" s="1"/>
  <c r="BA275" i="42"/>
  <c r="BK275" i="42" s="1"/>
  <c r="BA276" i="42"/>
  <c r="BK276" i="42" s="1"/>
  <c r="AG277" i="42"/>
  <c r="AQ277" i="42"/>
  <c r="AQ283" i="42" s="1"/>
  <c r="BA277" i="42"/>
  <c r="AG278" i="42"/>
  <c r="AQ278" i="42"/>
  <c r="AQ284" i="42" s="1"/>
  <c r="BA278" i="42"/>
  <c r="AG279" i="42"/>
  <c r="AQ279" i="42"/>
  <c r="AQ285" i="42" s="1"/>
  <c r="BA279" i="42"/>
  <c r="BU280" i="42"/>
  <c r="AG280" i="42" s="1"/>
  <c r="BU281" i="42"/>
  <c r="AG281" i="42" s="1"/>
  <c r="BU282" i="42"/>
  <c r="AG282" i="42" s="1"/>
  <c r="L296" i="42"/>
  <c r="AI296" i="42"/>
  <c r="BA302" i="42" s="1"/>
  <c r="AC302" i="42"/>
  <c r="AK302" i="42"/>
  <c r="AS302" i="42"/>
  <c r="L307" i="42"/>
  <c r="AH307" i="42"/>
  <c r="BA315" i="42" s="1"/>
  <c r="AC315" i="42"/>
  <c r="AK315" i="42"/>
  <c r="AS315" i="42"/>
  <c r="L320" i="42"/>
  <c r="AH320" i="42"/>
  <c r="BA328" i="42" s="1"/>
  <c r="AC328" i="42"/>
  <c r="AK328" i="42"/>
  <c r="AS328" i="42"/>
  <c r="BE335" i="42"/>
  <c r="BS335" i="42" s="1"/>
  <c r="BE336" i="42"/>
  <c r="BS336" i="42" s="1"/>
  <c r="Y348" i="42"/>
  <c r="BQ348" i="42" s="1"/>
  <c r="BQ349" i="42" s="1"/>
  <c r="Y350" i="42"/>
  <c r="AQ350" i="42" s="1"/>
  <c r="Y351" i="42"/>
  <c r="AQ351" i="42" s="1"/>
  <c r="Y352" i="42"/>
  <c r="AQ352" i="42" s="1"/>
  <c r="Y354" i="42"/>
  <c r="AQ354" i="42" s="1"/>
  <c r="Y355" i="42"/>
  <c r="AQ355" i="42" s="1"/>
  <c r="R375" i="42"/>
  <c r="AF375" i="42" s="1"/>
  <c r="BU400" i="42"/>
  <c r="BA415" i="42" s="1"/>
  <c r="BU401" i="42"/>
  <c r="BA422" i="42" s="1"/>
  <c r="BU402" i="42"/>
  <c r="BA416" i="42" s="1"/>
  <c r="BU403" i="42"/>
  <c r="BA417" i="42" s="1"/>
  <c r="BU404" i="42"/>
  <c r="BA418" i="42" s="1"/>
  <c r="BU405" i="42"/>
  <c r="BU406" i="42"/>
  <c r="BA420" i="42" s="1"/>
  <c r="BU407" i="42"/>
  <c r="BA421" i="42" s="1"/>
  <c r="BU408" i="42"/>
  <c r="BA424" i="42" s="1"/>
  <c r="BU409" i="42"/>
  <c r="AC415" i="42"/>
  <c r="AK415" i="42"/>
  <c r="AS415" i="42"/>
  <c r="AC416" i="42"/>
  <c r="AK416" i="42"/>
  <c r="AS416" i="42"/>
  <c r="AC417" i="42"/>
  <c r="AK417" i="42"/>
  <c r="AS417" i="42"/>
  <c r="AC418" i="42"/>
  <c r="AK418" i="42"/>
  <c r="BQ418" i="42" s="1"/>
  <c r="AS418" i="42"/>
  <c r="AC419" i="42"/>
  <c r="AK419" i="42"/>
  <c r="AS419" i="42"/>
  <c r="BA419" i="42"/>
  <c r="AC420" i="42"/>
  <c r="AK420" i="42"/>
  <c r="AS420" i="42"/>
  <c r="AC421" i="42"/>
  <c r="AK421" i="42"/>
  <c r="AS421" i="42"/>
  <c r="AC422" i="42"/>
  <c r="AK422" i="42"/>
  <c r="AS422" i="42"/>
  <c r="AC423" i="42"/>
  <c r="AK423" i="42"/>
  <c r="AS423" i="42"/>
  <c r="AC424" i="42"/>
  <c r="AK424" i="42"/>
  <c r="AS424" i="42"/>
  <c r="AC425" i="42"/>
  <c r="AK425" i="42"/>
  <c r="AS425" i="42"/>
  <c r="BA425" i="42"/>
  <c r="BU435" i="42"/>
  <c r="BU436" i="42"/>
  <c r="BA457" i="42" s="1"/>
  <c r="BU437" i="42"/>
  <c r="BA451" i="42" s="1"/>
  <c r="BU438" i="42"/>
  <c r="BA452" i="42" s="1"/>
  <c r="BU439" i="42"/>
  <c r="BA453" i="42" s="1"/>
  <c r="BU440" i="42"/>
  <c r="BA454" i="42" s="1"/>
  <c r="BU441" i="42"/>
  <c r="BA455" i="42" s="1"/>
  <c r="BU442" i="42"/>
  <c r="BU443" i="42"/>
  <c r="BA459" i="42" s="1"/>
  <c r="AC450" i="42"/>
  <c r="AK450" i="42"/>
  <c r="AS450" i="42"/>
  <c r="BA450" i="42"/>
  <c r="AC451" i="42"/>
  <c r="AK451" i="42"/>
  <c r="BQ451" i="42" s="1"/>
  <c r="AS451" i="42"/>
  <c r="AC452" i="42"/>
  <c r="AK452" i="42"/>
  <c r="AS452" i="42"/>
  <c r="AC453" i="42"/>
  <c r="AK453" i="42"/>
  <c r="AS453" i="42"/>
  <c r="AC454" i="42"/>
  <c r="BI454" i="42" s="1"/>
  <c r="AK454" i="42"/>
  <c r="AS454" i="42"/>
  <c r="AC455" i="42"/>
  <c r="AK455" i="42"/>
  <c r="AS455" i="42"/>
  <c r="AC456" i="42"/>
  <c r="AK456" i="42"/>
  <c r="AS456" i="42"/>
  <c r="BA456" i="42"/>
  <c r="AC457" i="42"/>
  <c r="AK457" i="42"/>
  <c r="AS457" i="42"/>
  <c r="AC458" i="42"/>
  <c r="AK458" i="42"/>
  <c r="AS458" i="42"/>
  <c r="BY458" i="42" s="1"/>
  <c r="BA458" i="42"/>
  <c r="AC459" i="42"/>
  <c r="AK459" i="42"/>
  <c r="AS459" i="42"/>
  <c r="BU468" i="42"/>
  <c r="BU469" i="42"/>
  <c r="BA490" i="42" s="1"/>
  <c r="BU470" i="42"/>
  <c r="BA484" i="42" s="1"/>
  <c r="BU471" i="42"/>
  <c r="BA485" i="42" s="1"/>
  <c r="BU472" i="42"/>
  <c r="BA486" i="42" s="1"/>
  <c r="BU473" i="42"/>
  <c r="BU474" i="42"/>
  <c r="BA488" i="42" s="1"/>
  <c r="BU475" i="42"/>
  <c r="BA489" i="42" s="1"/>
  <c r="BU476" i="42"/>
  <c r="BA492" i="42" s="1"/>
  <c r="AC483" i="42"/>
  <c r="AK483" i="42"/>
  <c r="AS483" i="42"/>
  <c r="BA483" i="42"/>
  <c r="AC484" i="42"/>
  <c r="AK484" i="42"/>
  <c r="AS484" i="42"/>
  <c r="AC485" i="42"/>
  <c r="AK485" i="42"/>
  <c r="AS485" i="42"/>
  <c r="AC486" i="42"/>
  <c r="AK486" i="42"/>
  <c r="AS486" i="42"/>
  <c r="AC487" i="42"/>
  <c r="AK487" i="42"/>
  <c r="BQ487" i="42" s="1"/>
  <c r="AS487" i="42"/>
  <c r="BA487" i="42"/>
  <c r="AC488" i="42"/>
  <c r="AK488" i="42"/>
  <c r="BQ488" i="42" s="1"/>
  <c r="AS488" i="42"/>
  <c r="AC489" i="42"/>
  <c r="AK489" i="42"/>
  <c r="BQ489" i="42" s="1"/>
  <c r="AS489" i="42"/>
  <c r="AC490" i="42"/>
  <c r="AK490" i="42"/>
  <c r="AS490" i="42"/>
  <c r="AC491" i="42"/>
  <c r="AK491" i="42"/>
  <c r="AS491" i="42"/>
  <c r="BA491" i="42"/>
  <c r="AC492" i="42"/>
  <c r="AK492" i="42"/>
  <c r="AS492" i="42"/>
  <c r="BY456" i="42" l="1"/>
  <c r="BQ415" i="42"/>
  <c r="BY459" i="42"/>
  <c r="BQ421" i="42"/>
  <c r="BY422" i="42"/>
  <c r="BQ485" i="42"/>
  <c r="BY124" i="42"/>
  <c r="BQ187" i="42"/>
  <c r="BY189" i="42"/>
  <c r="BY94" i="42"/>
  <c r="BY489" i="42"/>
  <c r="BI458" i="42"/>
  <c r="BY452" i="42"/>
  <c r="BQ450" i="42"/>
  <c r="BY425" i="42"/>
  <c r="BQ424" i="42"/>
  <c r="BQ417" i="42"/>
  <c r="BQ425" i="42"/>
  <c r="BY191" i="42"/>
  <c r="BY66" i="42"/>
  <c r="BQ64" i="42"/>
  <c r="BQ191" i="42"/>
  <c r="BI191" i="42"/>
  <c r="BI93" i="42"/>
  <c r="BQ486" i="42"/>
  <c r="BY131" i="42"/>
  <c r="BI123" i="42"/>
  <c r="BY492" i="42"/>
  <c r="BY491" i="42"/>
  <c r="BY490" i="42"/>
  <c r="BY483" i="42"/>
  <c r="BI450" i="42"/>
  <c r="BY420" i="42"/>
  <c r="BY419" i="42"/>
  <c r="BY328" i="42"/>
  <c r="BQ233" i="42"/>
  <c r="BY193" i="42"/>
  <c r="BI187" i="42"/>
  <c r="BQ131" i="42"/>
  <c r="BA126" i="42"/>
  <c r="BQ126" i="42" s="1"/>
  <c r="BY98" i="42"/>
  <c r="BY97" i="42"/>
  <c r="BY93" i="42"/>
  <c r="BI64" i="42"/>
  <c r="BI60" i="42"/>
  <c r="BQ492" i="42"/>
  <c r="BQ490" i="42"/>
  <c r="BQ483" i="42"/>
  <c r="BQ455" i="42"/>
  <c r="BQ420" i="42"/>
  <c r="BQ419" i="42"/>
  <c r="BQ328" i="42"/>
  <c r="BI131" i="42"/>
  <c r="BY123" i="42"/>
  <c r="BQ97" i="42"/>
  <c r="BQ93" i="42"/>
  <c r="BA62" i="42"/>
  <c r="BQ62" i="42" s="1"/>
  <c r="BQ416" i="42"/>
  <c r="BQ491" i="42"/>
  <c r="BY488" i="42"/>
  <c r="BY487" i="42"/>
  <c r="BY486" i="42"/>
  <c r="BQ459" i="42"/>
  <c r="BQ458" i="42"/>
  <c r="BY450" i="42"/>
  <c r="BQ422" i="42"/>
  <c r="BY416" i="42"/>
  <c r="BI328" i="42"/>
  <c r="BY315" i="42"/>
  <c r="BI302" i="42"/>
  <c r="BY187" i="42"/>
  <c r="BY128" i="42"/>
  <c r="BQ123" i="42"/>
  <c r="BI97" i="42"/>
  <c r="BA95" i="42"/>
  <c r="BQ60" i="42"/>
  <c r="BI66" i="42"/>
  <c r="BI483" i="42"/>
  <c r="BA156" i="42"/>
  <c r="AK141" i="42" s="1"/>
  <c r="BQ141" i="42" s="1"/>
  <c r="BQ99" i="42"/>
  <c r="BQ243" i="42"/>
  <c r="BQ244" i="42" s="1"/>
  <c r="BI189" i="42"/>
  <c r="BQ245" i="42"/>
  <c r="BI419" i="42"/>
  <c r="BI492" i="42"/>
  <c r="AQ251" i="42"/>
  <c r="BY33" i="42"/>
  <c r="AG285" i="42"/>
  <c r="U373" i="42" s="1"/>
  <c r="BA373" i="42" s="1"/>
  <c r="BI124" i="42"/>
  <c r="BL30" i="42"/>
  <c r="BY28" i="42"/>
  <c r="BI486" i="42"/>
  <c r="BQ95" i="42"/>
  <c r="BY64" i="42"/>
  <c r="AY32" i="42"/>
  <c r="AY34" i="42" s="1"/>
  <c r="BY29" i="42"/>
  <c r="BL26" i="42"/>
  <c r="BL27" i="42" s="1"/>
  <c r="AQ356" i="42"/>
  <c r="BQ352" i="42"/>
  <c r="AQ348" i="42"/>
  <c r="AQ349" i="42" s="1"/>
  <c r="AQ157" i="42"/>
  <c r="AC142" i="42" s="1"/>
  <c r="BI142" i="42" s="1"/>
  <c r="BQ129" i="42"/>
  <c r="AC264" i="42"/>
  <c r="BI264" i="42" s="1"/>
  <c r="BQ354" i="42"/>
  <c r="BK279" i="42"/>
  <c r="AC263" i="42"/>
  <c r="BI263" i="42" s="1"/>
  <c r="BQ249" i="42"/>
  <c r="BQ246" i="42"/>
  <c r="BQ63" i="42"/>
  <c r="BI193" i="42"/>
  <c r="BL32" i="42"/>
  <c r="AC146" i="42"/>
  <c r="BI146" i="42" s="1"/>
  <c r="AC143" i="42"/>
  <c r="BI143" i="42" s="1"/>
  <c r="BI491" i="42"/>
  <c r="AQ248" i="42"/>
  <c r="BI94" i="42"/>
  <c r="BS10" i="42"/>
  <c r="BI490" i="42"/>
  <c r="BI487" i="42"/>
  <c r="CJ487" i="42" s="1"/>
  <c r="BI459" i="42"/>
  <c r="BI456" i="42"/>
  <c r="BI452" i="42"/>
  <c r="BI425" i="42"/>
  <c r="BI422" i="42"/>
  <c r="CJ422" i="42" s="1"/>
  <c r="BI420" i="42"/>
  <c r="BI416" i="42"/>
  <c r="BQ351" i="42"/>
  <c r="BK277" i="42"/>
  <c r="BQ125" i="42"/>
  <c r="BI98" i="42"/>
  <c r="AY28" i="42"/>
  <c r="BI489" i="42"/>
  <c r="BI488" i="42"/>
  <c r="AQ353" i="42"/>
  <c r="AQ156" i="42"/>
  <c r="BI128" i="42"/>
  <c r="BL28" i="42"/>
  <c r="BK278" i="42"/>
  <c r="BK152" i="42"/>
  <c r="BQ67" i="42"/>
  <c r="BY60" i="42"/>
  <c r="BQ59" i="42"/>
  <c r="BY32" i="42"/>
  <c r="BY30" i="42"/>
  <c r="BY26" i="42"/>
  <c r="BY27" i="42" s="1"/>
  <c r="BS11" i="42"/>
  <c r="BY484" i="42"/>
  <c r="BI484" i="42"/>
  <c r="BI453" i="42"/>
  <c r="BQ453" i="42"/>
  <c r="BY453" i="42"/>
  <c r="BY424" i="42"/>
  <c r="BI424" i="42"/>
  <c r="BY418" i="42"/>
  <c r="BI418" i="42"/>
  <c r="BY415" i="42"/>
  <c r="BI415" i="42"/>
  <c r="AC368" i="42"/>
  <c r="BI368" i="42" s="1"/>
  <c r="AC385" i="42"/>
  <c r="BI385" i="42" s="1"/>
  <c r="AC367" i="42"/>
  <c r="BI367" i="42" s="1"/>
  <c r="AC372" i="42"/>
  <c r="BI372" i="42" s="1"/>
  <c r="AC383" i="42"/>
  <c r="BI383" i="42" s="1"/>
  <c r="AC387" i="42"/>
  <c r="BI387" i="42" s="1"/>
  <c r="BQ484" i="42"/>
  <c r="BQ454" i="42"/>
  <c r="BY454" i="42"/>
  <c r="BY421" i="42"/>
  <c r="BI421" i="42"/>
  <c r="BY417" i="42"/>
  <c r="BI417" i="42"/>
  <c r="BI457" i="42"/>
  <c r="BQ457" i="42"/>
  <c r="BY457" i="42"/>
  <c r="BY485" i="42"/>
  <c r="BI485" i="42"/>
  <c r="BY455" i="42"/>
  <c r="BI455" i="42"/>
  <c r="BY451" i="42"/>
  <c r="BI451" i="42"/>
  <c r="BI127" i="42"/>
  <c r="BQ127" i="42"/>
  <c r="BY127" i="42"/>
  <c r="BQ456" i="42"/>
  <c r="BQ452" i="42"/>
  <c r="AC388" i="42"/>
  <c r="BI388" i="42" s="1"/>
  <c r="AC384" i="42"/>
  <c r="BI384" i="42" s="1"/>
  <c r="AC373" i="42"/>
  <c r="BI373" i="42" s="1"/>
  <c r="BQ355" i="42"/>
  <c r="BQ350" i="42"/>
  <c r="BQ302" i="42"/>
  <c r="BY302" i="42"/>
  <c r="BA284" i="42"/>
  <c r="BK281" i="42"/>
  <c r="AG284" i="42"/>
  <c r="BY96" i="42"/>
  <c r="BI96" i="42"/>
  <c r="BQ96" i="42"/>
  <c r="AC265" i="42"/>
  <c r="BI265" i="42" s="1"/>
  <c r="AC262" i="42"/>
  <c r="BI262" i="42" s="1"/>
  <c r="BY130" i="42"/>
  <c r="BI130" i="42"/>
  <c r="BQ130" i="42"/>
  <c r="BA423" i="42"/>
  <c r="AC369" i="42"/>
  <c r="BI369" i="42" s="1"/>
  <c r="BI315" i="42"/>
  <c r="BQ315" i="42"/>
  <c r="AC370" i="42"/>
  <c r="BI370" i="42" s="1"/>
  <c r="AC266" i="42"/>
  <c r="BI266" i="42" s="1"/>
  <c r="BK282" i="42"/>
  <c r="BK280" i="42"/>
  <c r="AG283" i="42"/>
  <c r="AC267" i="42"/>
  <c r="BI267" i="42" s="1"/>
  <c r="BI233" i="42"/>
  <c r="BY233" i="42"/>
  <c r="AS208" i="42"/>
  <c r="BA215" i="42" s="1"/>
  <c r="BI215" i="42" s="1"/>
  <c r="L208" i="42"/>
  <c r="BK153" i="42"/>
  <c r="AG156" i="42"/>
  <c r="BY100" i="42"/>
  <c r="BI100" i="42"/>
  <c r="BQ100" i="42"/>
  <c r="BY92" i="42"/>
  <c r="BI92" i="42"/>
  <c r="BQ92" i="42"/>
  <c r="AC386" i="42"/>
  <c r="BI386" i="42" s="1"/>
  <c r="AC371" i="42"/>
  <c r="BI371" i="42" s="1"/>
  <c r="BA285" i="42"/>
  <c r="BA283" i="42"/>
  <c r="BQ194" i="42"/>
  <c r="BY194" i="42"/>
  <c r="BI194" i="42"/>
  <c r="BQ190" i="42"/>
  <c r="BY190" i="42"/>
  <c r="BI190" i="42"/>
  <c r="BQ186" i="42"/>
  <c r="BY186" i="42"/>
  <c r="BI186" i="42"/>
  <c r="BI192" i="42"/>
  <c r="BY192" i="42"/>
  <c r="BI188" i="42"/>
  <c r="BY188" i="42"/>
  <c r="BI65" i="42"/>
  <c r="BQ65" i="42"/>
  <c r="BY65" i="42"/>
  <c r="BI61" i="42"/>
  <c r="BQ61" i="42"/>
  <c r="BY61" i="42"/>
  <c r="AG154" i="42"/>
  <c r="BK151" i="42"/>
  <c r="BI129" i="42"/>
  <c r="BI125" i="42"/>
  <c r="BI99" i="42"/>
  <c r="BI95" i="42"/>
  <c r="BI67" i="42"/>
  <c r="BI63" i="42"/>
  <c r="BI59" i="42"/>
  <c r="AL33" i="42"/>
  <c r="AL34" i="42" s="1"/>
  <c r="AL29" i="42"/>
  <c r="AL31" i="42" s="1"/>
  <c r="AY26" i="42"/>
  <c r="AY27" i="42" s="1"/>
  <c r="BQ250" i="42"/>
  <c r="BQ247" i="42"/>
  <c r="BQ193" i="42"/>
  <c r="BQ189" i="42"/>
  <c r="BA158" i="42"/>
  <c r="BA157" i="42"/>
  <c r="AG155" i="42"/>
  <c r="BY129" i="42"/>
  <c r="BQ128" i="42"/>
  <c r="BY125" i="42"/>
  <c r="BQ124" i="42"/>
  <c r="BY99" i="42"/>
  <c r="BQ98" i="42"/>
  <c r="BY95" i="42"/>
  <c r="BQ94" i="42"/>
  <c r="BY67" i="42"/>
  <c r="BQ66" i="42"/>
  <c r="BY63" i="42"/>
  <c r="BY59" i="42"/>
  <c r="BL33" i="42"/>
  <c r="AY30" i="42"/>
  <c r="BL29" i="42"/>
  <c r="CJ486" i="42" l="1"/>
  <c r="CJ492" i="42"/>
  <c r="CJ489" i="42"/>
  <c r="CJ488" i="42"/>
  <c r="BY62" i="42"/>
  <c r="BY126" i="42"/>
  <c r="BI62" i="42"/>
  <c r="CJ420" i="42"/>
  <c r="CJ425" i="42"/>
  <c r="CJ419" i="42"/>
  <c r="CJ490" i="42"/>
  <c r="BI126" i="42"/>
  <c r="CJ416" i="42"/>
  <c r="CJ491" i="42"/>
  <c r="CJ483" i="42"/>
  <c r="BQ356" i="42"/>
  <c r="BQ353" i="42"/>
  <c r="AY31" i="42"/>
  <c r="AY35" i="42" s="1"/>
  <c r="BQ248" i="42"/>
  <c r="AQ252" i="42"/>
  <c r="U388" i="42"/>
  <c r="BA388" i="42" s="1"/>
  <c r="BK285" i="42"/>
  <c r="U369" i="42"/>
  <c r="BA369" i="42" s="1"/>
  <c r="AK144" i="42"/>
  <c r="BQ144" i="42" s="1"/>
  <c r="BL34" i="42"/>
  <c r="U267" i="42"/>
  <c r="BA267" i="42" s="1"/>
  <c r="U264" i="42"/>
  <c r="BA264" i="42" s="1"/>
  <c r="U384" i="42"/>
  <c r="BA384" i="42" s="1"/>
  <c r="BY34" i="42"/>
  <c r="AQ357" i="42"/>
  <c r="BY31" i="42"/>
  <c r="AC145" i="42"/>
  <c r="BI145" i="42" s="1"/>
  <c r="U386" i="42"/>
  <c r="BA386" i="42" s="1"/>
  <c r="U371" i="42"/>
  <c r="BA371" i="42" s="1"/>
  <c r="BQ251" i="42"/>
  <c r="BL31" i="42"/>
  <c r="AC141" i="42"/>
  <c r="BI141" i="42" s="1"/>
  <c r="AC144" i="42"/>
  <c r="BI144" i="42" s="1"/>
  <c r="AL35" i="42"/>
  <c r="AK266" i="42"/>
  <c r="BQ266" i="42" s="1"/>
  <c r="AK263" i="42"/>
  <c r="BQ263" i="42" s="1"/>
  <c r="AK372" i="42"/>
  <c r="BQ372" i="42" s="1"/>
  <c r="AK383" i="42"/>
  <c r="BQ383" i="42" s="1"/>
  <c r="AK387" i="42"/>
  <c r="BQ387" i="42" s="1"/>
  <c r="AK368" i="42"/>
  <c r="BQ368" i="42" s="1"/>
  <c r="AK385" i="42"/>
  <c r="BQ385" i="42" s="1"/>
  <c r="AK370" i="42"/>
  <c r="BQ370" i="42" s="1"/>
  <c r="AK143" i="42"/>
  <c r="BQ143" i="42" s="1"/>
  <c r="AK146" i="42"/>
  <c r="BQ146" i="42" s="1"/>
  <c r="BK154" i="42"/>
  <c r="AG157" i="42"/>
  <c r="BY215" i="42"/>
  <c r="BQ215" i="42"/>
  <c r="BY423" i="42"/>
  <c r="BI423" i="42"/>
  <c r="BQ423" i="42"/>
  <c r="CJ421" i="42"/>
  <c r="CJ418" i="42"/>
  <c r="U141" i="42"/>
  <c r="BA141" i="42" s="1"/>
  <c r="U144" i="42"/>
  <c r="BA144" i="42" s="1"/>
  <c r="BK156" i="42"/>
  <c r="BK284" i="42"/>
  <c r="U263" i="42"/>
  <c r="BA263" i="42" s="1"/>
  <c r="U385" i="42"/>
  <c r="BA385" i="42" s="1"/>
  <c r="U266" i="42"/>
  <c r="BA266" i="42" s="1"/>
  <c r="U370" i="42"/>
  <c r="BA370" i="42" s="1"/>
  <c r="U372" i="42"/>
  <c r="BA372" i="42" s="1"/>
  <c r="U383" i="42"/>
  <c r="BA383" i="42" s="1"/>
  <c r="U387" i="42"/>
  <c r="BA387" i="42" s="1"/>
  <c r="U368" i="42"/>
  <c r="BA368" i="42" s="1"/>
  <c r="CJ485" i="42"/>
  <c r="CJ484" i="42"/>
  <c r="AK142" i="42"/>
  <c r="BQ142" i="42" s="1"/>
  <c r="AK145" i="42"/>
  <c r="BQ145" i="42" s="1"/>
  <c r="AK267" i="42"/>
  <c r="BQ267" i="42" s="1"/>
  <c r="AK264" i="42"/>
  <c r="BQ264" i="42" s="1"/>
  <c r="AK371" i="42"/>
  <c r="BQ371" i="42" s="1"/>
  <c r="AK386" i="42"/>
  <c r="BQ386" i="42" s="1"/>
  <c r="AK369" i="42"/>
  <c r="BQ369" i="42" s="1"/>
  <c r="AK373" i="42"/>
  <c r="BQ373" i="42" s="1"/>
  <c r="BY373" i="42" s="1"/>
  <c r="AK384" i="42"/>
  <c r="BQ384" i="42" s="1"/>
  <c r="AK388" i="42"/>
  <c r="BQ388" i="42" s="1"/>
  <c r="BK155" i="42"/>
  <c r="AG158" i="42"/>
  <c r="AK262" i="42"/>
  <c r="BQ262" i="42" s="1"/>
  <c r="AK367" i="42"/>
  <c r="BQ367" i="42" s="1"/>
  <c r="AK265" i="42"/>
  <c r="BQ265" i="42" s="1"/>
  <c r="BK283" i="42"/>
  <c r="U265" i="42"/>
  <c r="BA265" i="42" s="1"/>
  <c r="U262" i="42"/>
  <c r="BA262" i="42" s="1"/>
  <c r="U367" i="42"/>
  <c r="BA367" i="42" s="1"/>
  <c r="CJ417" i="42"/>
  <c r="CJ415" i="42"/>
  <c r="CJ424" i="42"/>
  <c r="BY371" i="42" l="1"/>
  <c r="BQ357" i="42"/>
  <c r="BQ252" i="42"/>
  <c r="BY267" i="42"/>
  <c r="BY369" i="42"/>
  <c r="BY264" i="42"/>
  <c r="BL35" i="42"/>
  <c r="BY388" i="42"/>
  <c r="BY141" i="42"/>
  <c r="BY387" i="42"/>
  <c r="BY266" i="42"/>
  <c r="BY384" i="42"/>
  <c r="BY144" i="42"/>
  <c r="BY35" i="42"/>
  <c r="BY263" i="42"/>
  <c r="BY386" i="42"/>
  <c r="BY370" i="42"/>
  <c r="BY383" i="42"/>
  <c r="BY385" i="42"/>
  <c r="BY265" i="42"/>
  <c r="BY372" i="42"/>
  <c r="BY367" i="42"/>
  <c r="U143" i="42"/>
  <c r="BA143" i="42" s="1"/>
  <c r="BY143" i="42" s="1"/>
  <c r="BK158" i="42"/>
  <c r="U146" i="42"/>
  <c r="BA146" i="42" s="1"/>
  <c r="BY146" i="42" s="1"/>
  <c r="BY368" i="42"/>
  <c r="BY262" i="42"/>
  <c r="CJ423" i="42"/>
  <c r="U145" i="42"/>
  <c r="BA145" i="42" s="1"/>
  <c r="BY145" i="42" s="1"/>
  <c r="BK157" i="42"/>
  <c r="U142" i="42"/>
  <c r="BA142" i="42" s="1"/>
  <c r="BY142" i="42" s="1"/>
  <c r="J305" i="18" l="1"/>
  <c r="P272" i="18"/>
  <c r="J248" i="18"/>
  <c r="J216" i="18"/>
  <c r="J184" i="18"/>
  <c r="J152" i="18"/>
  <c r="J120" i="18"/>
  <c r="J85" i="18"/>
  <c r="J50" i="18"/>
  <c r="J15" i="18"/>
  <c r="T312" i="18" l="1"/>
  <c r="Q312" i="18"/>
  <c r="M312" i="18"/>
  <c r="S309" i="18"/>
  <c r="L297" i="18"/>
  <c r="R299" i="18" s="1"/>
  <c r="F302" i="18" s="1"/>
  <c r="Q276" i="18"/>
  <c r="P280" i="18"/>
  <c r="AA312" i="18" l="1"/>
  <c r="M315" i="18"/>
  <c r="V309" i="18"/>
  <c r="T308" i="18"/>
  <c r="J272" i="18" l="1"/>
  <c r="C305" i="18"/>
  <c r="AA305" i="18" s="1"/>
  <c r="H315" i="18" s="1"/>
  <c r="AA315" i="18" s="1"/>
  <c r="F320" i="18" s="1"/>
  <c r="N308" i="18"/>
  <c r="AA308" i="18" s="1"/>
  <c r="N309" i="18" s="1"/>
  <c r="AA309" i="18" s="1"/>
  <c r="F318" i="18" s="1"/>
  <c r="S89" i="18" l="1"/>
  <c r="S54" i="18"/>
  <c r="S19" i="18"/>
  <c r="S252" i="18"/>
  <c r="S220" i="18"/>
  <c r="S188" i="18"/>
  <c r="S156" i="18"/>
  <c r="S124" i="18"/>
  <c r="I111" i="18"/>
  <c r="W312" i="18" l="1"/>
  <c r="AD312" i="18" s="1"/>
  <c r="F319" i="18" s="1"/>
  <c r="F321" i="18" l="1"/>
  <c r="C184" i="18"/>
  <c r="C152" i="18"/>
  <c r="C120" i="18"/>
  <c r="C216" i="18" l="1"/>
  <c r="AA216" i="18" s="1"/>
  <c r="H226" i="18" s="1"/>
  <c r="C248" i="18"/>
  <c r="AA248" i="18" s="1"/>
  <c r="H258" i="18" s="1"/>
  <c r="AA184" i="18"/>
  <c r="H194" i="18" s="1"/>
  <c r="AA152" i="18"/>
  <c r="H162" i="18" s="1"/>
  <c r="AA120" i="18"/>
  <c r="H130" i="18" s="1"/>
  <c r="C15" i="18"/>
  <c r="AA15" i="18" s="1"/>
  <c r="H25" i="18" s="1"/>
  <c r="N251" i="18"/>
  <c r="G378" i="23"/>
  <c r="G387" i="23" s="1"/>
  <c r="G375" i="23"/>
  <c r="G374" i="23"/>
  <c r="G373" i="23"/>
  <c r="G372" i="23"/>
  <c r="G371" i="23"/>
  <c r="G370" i="23"/>
  <c r="G369" i="23"/>
  <c r="G368" i="23"/>
  <c r="G367" i="23"/>
  <c r="G350" i="23"/>
  <c r="G359" i="23" s="1"/>
  <c r="G347" i="23"/>
  <c r="G346" i="23"/>
  <c r="G345" i="23"/>
  <c r="G344" i="23"/>
  <c r="G343" i="23"/>
  <c r="G342" i="23"/>
  <c r="G341" i="23"/>
  <c r="G340" i="23"/>
  <c r="G339" i="23"/>
  <c r="G322" i="23"/>
  <c r="G331" i="23" s="1"/>
  <c r="G319" i="23"/>
  <c r="G318" i="23"/>
  <c r="G317" i="23"/>
  <c r="G316" i="23"/>
  <c r="G315" i="23"/>
  <c r="G314" i="23"/>
  <c r="G313" i="23"/>
  <c r="G312" i="23"/>
  <c r="G311" i="23"/>
  <c r="G295" i="23"/>
  <c r="G303" i="23" s="1"/>
  <c r="G292" i="23"/>
  <c r="G291" i="23"/>
  <c r="G290" i="23"/>
  <c r="G289" i="23"/>
  <c r="G288" i="23"/>
  <c r="G287" i="23"/>
  <c r="G286" i="23"/>
  <c r="G285" i="23"/>
  <c r="G284" i="23"/>
  <c r="G267" i="23"/>
  <c r="G276" i="23" s="1"/>
  <c r="G264" i="23"/>
  <c r="G263" i="23"/>
  <c r="G262" i="23"/>
  <c r="G261" i="23"/>
  <c r="G260" i="23"/>
  <c r="G259" i="23"/>
  <c r="G258" i="23"/>
  <c r="G257" i="23"/>
  <c r="G256" i="23"/>
  <c r="G239" i="23"/>
  <c r="G248" i="23" s="1"/>
  <c r="G236" i="23"/>
  <c r="G235" i="23"/>
  <c r="G234" i="23"/>
  <c r="G233" i="23"/>
  <c r="G232" i="23"/>
  <c r="G231" i="23"/>
  <c r="G230" i="23"/>
  <c r="G229" i="23"/>
  <c r="G228" i="23"/>
  <c r="G211" i="23"/>
  <c r="G220" i="23" s="1"/>
  <c r="G208" i="23"/>
  <c r="G207" i="23"/>
  <c r="G206" i="23"/>
  <c r="G205" i="23"/>
  <c r="G204" i="23"/>
  <c r="G203" i="23"/>
  <c r="G202" i="23"/>
  <c r="G201" i="23"/>
  <c r="G200" i="23"/>
  <c r="G183" i="23"/>
  <c r="G192" i="23" s="1"/>
  <c r="G180" i="23"/>
  <c r="G179" i="23"/>
  <c r="G178" i="23"/>
  <c r="G177" i="23"/>
  <c r="G176" i="23"/>
  <c r="G175" i="23"/>
  <c r="G174" i="23"/>
  <c r="G173" i="23"/>
  <c r="G172" i="23"/>
  <c r="G155" i="23"/>
  <c r="G164" i="23" s="1"/>
  <c r="G152" i="23"/>
  <c r="G151" i="23"/>
  <c r="G150" i="23"/>
  <c r="G149" i="23"/>
  <c r="G148" i="23"/>
  <c r="G147" i="23"/>
  <c r="G146" i="23"/>
  <c r="G145" i="23"/>
  <c r="G144" i="23"/>
  <c r="G127" i="23"/>
  <c r="G136" i="23" s="1"/>
  <c r="G124" i="23"/>
  <c r="G123" i="23"/>
  <c r="G122" i="23"/>
  <c r="G121" i="23"/>
  <c r="G120" i="23"/>
  <c r="G119" i="23"/>
  <c r="G118" i="23"/>
  <c r="G117" i="23"/>
  <c r="G116" i="23"/>
  <c r="G99" i="23"/>
  <c r="G108" i="23" s="1"/>
  <c r="G96" i="23"/>
  <c r="G95" i="23"/>
  <c r="G94" i="23"/>
  <c r="G93" i="23"/>
  <c r="G92" i="23"/>
  <c r="G91" i="23"/>
  <c r="G90" i="23"/>
  <c r="G89" i="23"/>
  <c r="G88" i="23"/>
  <c r="G71" i="23"/>
  <c r="G80" i="23" s="1"/>
  <c r="G68" i="23"/>
  <c r="G67" i="23"/>
  <c r="G66" i="23"/>
  <c r="G65" i="23"/>
  <c r="G64" i="23"/>
  <c r="G63" i="23"/>
  <c r="G62" i="23"/>
  <c r="G61" i="23"/>
  <c r="G60" i="23"/>
  <c r="G43" i="23"/>
  <c r="G52" i="23" s="1"/>
  <c r="G40" i="23"/>
  <c r="G39" i="23"/>
  <c r="G38" i="23"/>
  <c r="G37" i="23"/>
  <c r="G36" i="23"/>
  <c r="G35" i="23"/>
  <c r="G34" i="23"/>
  <c r="G33" i="23"/>
  <c r="G32" i="23"/>
  <c r="G15" i="23"/>
  <c r="G24" i="23" s="1"/>
  <c r="G12" i="23"/>
  <c r="G11" i="23"/>
  <c r="G10" i="23"/>
  <c r="G9" i="23"/>
  <c r="G8" i="23"/>
  <c r="G7" i="23"/>
  <c r="G6" i="23"/>
  <c r="G5" i="23"/>
  <c r="G4" i="23"/>
  <c r="G190" i="22"/>
  <c r="G189" i="22"/>
  <c r="G186" i="22"/>
  <c r="G185" i="22"/>
  <c r="G184" i="22"/>
  <c r="G183" i="22"/>
  <c r="G182" i="22"/>
  <c r="G181" i="22"/>
  <c r="G180" i="22"/>
  <c r="G161" i="22"/>
  <c r="G160" i="22"/>
  <c r="G157" i="22"/>
  <c r="G156" i="22"/>
  <c r="G155" i="22"/>
  <c r="G154" i="22"/>
  <c r="G153" i="22"/>
  <c r="G152" i="22"/>
  <c r="G151" i="22"/>
  <c r="G132" i="22"/>
  <c r="G131" i="22"/>
  <c r="G128" i="22"/>
  <c r="G127" i="22"/>
  <c r="G126" i="22"/>
  <c r="G125" i="22"/>
  <c r="G124" i="22"/>
  <c r="G123" i="22"/>
  <c r="G122" i="22"/>
  <c r="G108" i="22"/>
  <c r="G103" i="22"/>
  <c r="G102" i="22"/>
  <c r="G99" i="22"/>
  <c r="G98" i="22"/>
  <c r="G97" i="22"/>
  <c r="G96" i="22"/>
  <c r="G95" i="22"/>
  <c r="G94" i="22"/>
  <c r="G93" i="22"/>
  <c r="G74" i="22"/>
  <c r="G73" i="22"/>
  <c r="G70" i="22"/>
  <c r="G69" i="22"/>
  <c r="G68" i="22"/>
  <c r="G67" i="22"/>
  <c r="G66" i="22"/>
  <c r="G65" i="22"/>
  <c r="G64" i="22"/>
  <c r="G45" i="22"/>
  <c r="G44" i="22"/>
  <c r="G41" i="22"/>
  <c r="G40" i="22"/>
  <c r="G39" i="22"/>
  <c r="G38" i="22"/>
  <c r="G37" i="22"/>
  <c r="G36" i="22"/>
  <c r="G35" i="22"/>
  <c r="G15" i="22"/>
  <c r="G14" i="22"/>
  <c r="G11" i="22"/>
  <c r="G10" i="22"/>
  <c r="G9" i="22"/>
  <c r="G8" i="22"/>
  <c r="G7" i="22"/>
  <c r="G6" i="22"/>
  <c r="G5" i="22"/>
  <c r="G461" i="20"/>
  <c r="G460" i="20"/>
  <c r="G457" i="20"/>
  <c r="G456" i="20"/>
  <c r="G455" i="20"/>
  <c r="G454" i="20"/>
  <c r="G453" i="20"/>
  <c r="G452" i="20"/>
  <c r="G451" i="20"/>
  <c r="G450" i="20"/>
  <c r="G449" i="20"/>
  <c r="G427" i="20"/>
  <c r="G426" i="20"/>
  <c r="G423" i="20"/>
  <c r="G422" i="20"/>
  <c r="G421" i="20"/>
  <c r="G420" i="20"/>
  <c r="G419" i="20"/>
  <c r="G418" i="20"/>
  <c r="G417" i="20"/>
  <c r="G416" i="20"/>
  <c r="G415" i="20"/>
  <c r="G393" i="20"/>
  <c r="G392" i="20"/>
  <c r="G389" i="20"/>
  <c r="G388" i="20"/>
  <c r="G387" i="20"/>
  <c r="G386" i="20"/>
  <c r="G385" i="20"/>
  <c r="G384" i="20"/>
  <c r="G383" i="20"/>
  <c r="G382" i="20"/>
  <c r="G381" i="20"/>
  <c r="G359" i="20"/>
  <c r="G358" i="20"/>
  <c r="G355" i="20"/>
  <c r="G354" i="20"/>
  <c r="G353" i="20"/>
  <c r="G352" i="20"/>
  <c r="G351" i="20"/>
  <c r="G350" i="20"/>
  <c r="G349" i="20"/>
  <c r="G348" i="20"/>
  <c r="G347" i="20"/>
  <c r="G325" i="20"/>
  <c r="G324" i="20"/>
  <c r="G321" i="20"/>
  <c r="G320" i="20"/>
  <c r="G319" i="20"/>
  <c r="G318" i="20"/>
  <c r="G317" i="20"/>
  <c r="G316" i="20"/>
  <c r="G315" i="20"/>
  <c r="G314" i="20"/>
  <c r="G313" i="20"/>
  <c r="G291" i="20"/>
  <c r="G290" i="20"/>
  <c r="G287" i="20"/>
  <c r="G286" i="20"/>
  <c r="G285" i="20"/>
  <c r="G284" i="20"/>
  <c r="G283" i="20"/>
  <c r="G282" i="20"/>
  <c r="G281" i="20"/>
  <c r="G280" i="20"/>
  <c r="G279" i="20"/>
  <c r="G257" i="20"/>
  <c r="G256" i="20"/>
  <c r="G253" i="20"/>
  <c r="G252" i="20"/>
  <c r="G251" i="20"/>
  <c r="G250" i="20"/>
  <c r="G249" i="20"/>
  <c r="G248" i="20"/>
  <c r="G247" i="20"/>
  <c r="G246" i="20"/>
  <c r="G245" i="20"/>
  <c r="G223" i="20"/>
  <c r="G222" i="20"/>
  <c r="G219" i="20"/>
  <c r="G218" i="20"/>
  <c r="G217" i="20"/>
  <c r="G216" i="20"/>
  <c r="G215" i="20"/>
  <c r="G214" i="20"/>
  <c r="G213" i="20"/>
  <c r="G212" i="20"/>
  <c r="G211" i="20"/>
  <c r="G189" i="20"/>
  <c r="G188" i="20"/>
  <c r="G185" i="20"/>
  <c r="G184" i="20"/>
  <c r="G183" i="20"/>
  <c r="G182" i="20"/>
  <c r="G181" i="20"/>
  <c r="G180" i="20"/>
  <c r="G179" i="20"/>
  <c r="G178" i="20"/>
  <c r="G177" i="20"/>
  <c r="G155" i="20"/>
  <c r="G154" i="20"/>
  <c r="G151" i="20"/>
  <c r="G150" i="20"/>
  <c r="G149" i="20"/>
  <c r="G148" i="20"/>
  <c r="G147" i="20"/>
  <c r="G146" i="20"/>
  <c r="G145" i="20"/>
  <c r="G144" i="20"/>
  <c r="G143" i="20"/>
  <c r="G121" i="20"/>
  <c r="G120" i="20"/>
  <c r="G117" i="20"/>
  <c r="G116" i="20"/>
  <c r="G115" i="20"/>
  <c r="G114" i="20"/>
  <c r="G113" i="20"/>
  <c r="G112" i="20"/>
  <c r="G111" i="20"/>
  <c r="G110" i="20"/>
  <c r="G109" i="20"/>
  <c r="G87" i="20"/>
  <c r="G86" i="20"/>
  <c r="G83" i="20"/>
  <c r="G82" i="20"/>
  <c r="G81" i="20"/>
  <c r="G80" i="20"/>
  <c r="G79" i="20"/>
  <c r="G78" i="20"/>
  <c r="G77" i="20"/>
  <c r="G76" i="20"/>
  <c r="G75" i="20"/>
  <c r="G53" i="20"/>
  <c r="G52" i="20"/>
  <c r="G49" i="20"/>
  <c r="G48" i="20"/>
  <c r="G47" i="20"/>
  <c r="G46" i="20"/>
  <c r="G45" i="20"/>
  <c r="G44" i="20"/>
  <c r="G43" i="20"/>
  <c r="G42" i="20"/>
  <c r="G41" i="20"/>
  <c r="G19" i="20"/>
  <c r="G18" i="20"/>
  <c r="G15" i="20"/>
  <c r="G14" i="20"/>
  <c r="G13" i="20"/>
  <c r="G12" i="20"/>
  <c r="G11" i="20"/>
  <c r="G10" i="20"/>
  <c r="G9" i="20"/>
  <c r="G8" i="20"/>
  <c r="G7" i="20"/>
  <c r="G226" i="19"/>
  <c r="G221" i="19"/>
  <c r="G220" i="19"/>
  <c r="G217" i="19"/>
  <c r="G216" i="19"/>
  <c r="G215" i="19"/>
  <c r="G214" i="19"/>
  <c r="G213" i="19"/>
  <c r="G212" i="19"/>
  <c r="G211" i="19"/>
  <c r="G192" i="19"/>
  <c r="G187" i="19"/>
  <c r="G186" i="19"/>
  <c r="G183" i="19"/>
  <c r="G182" i="19"/>
  <c r="G181" i="19"/>
  <c r="G180" i="19"/>
  <c r="G179" i="19"/>
  <c r="G178" i="19"/>
  <c r="G177" i="19"/>
  <c r="G158" i="19"/>
  <c r="G153" i="19"/>
  <c r="G152" i="19"/>
  <c r="G149" i="19"/>
  <c r="G148" i="19"/>
  <c r="G147" i="19"/>
  <c r="G146" i="19"/>
  <c r="G145" i="19"/>
  <c r="G144" i="19"/>
  <c r="G143" i="19"/>
  <c r="G124" i="19"/>
  <c r="G119" i="19"/>
  <c r="G118" i="19"/>
  <c r="G115" i="19"/>
  <c r="G114" i="19"/>
  <c r="G113" i="19"/>
  <c r="G112" i="19"/>
  <c r="G111" i="19"/>
  <c r="G110" i="19"/>
  <c r="G109" i="19"/>
  <c r="G85" i="19"/>
  <c r="G84" i="19"/>
  <c r="G81" i="19"/>
  <c r="G80" i="19"/>
  <c r="G79" i="19"/>
  <c r="G78" i="19"/>
  <c r="G77" i="19"/>
  <c r="G76" i="19"/>
  <c r="G75" i="19"/>
  <c r="G51" i="19"/>
  <c r="G50" i="19"/>
  <c r="G47" i="19"/>
  <c r="G46" i="19"/>
  <c r="G45" i="19"/>
  <c r="G44" i="19"/>
  <c r="G43" i="19"/>
  <c r="G42" i="19"/>
  <c r="G41" i="19"/>
  <c r="G17" i="19"/>
  <c r="G16" i="19"/>
  <c r="G13" i="19"/>
  <c r="G12" i="19"/>
  <c r="G11" i="19"/>
  <c r="G10" i="19"/>
  <c r="G9" i="19"/>
  <c r="G8" i="19"/>
  <c r="G7" i="19"/>
  <c r="L7" i="18"/>
  <c r="R9" i="18" s="1"/>
  <c r="F12" i="18" s="1"/>
  <c r="T18" i="18" s="1"/>
  <c r="O10" i="18"/>
  <c r="M22" i="18"/>
  <c r="Q22" i="18"/>
  <c r="T22" i="18"/>
  <c r="L42" i="18"/>
  <c r="R44" i="18" s="1"/>
  <c r="F47" i="18" s="1"/>
  <c r="M60" i="18" s="1"/>
  <c r="M57" i="18"/>
  <c r="Q57" i="18"/>
  <c r="T57" i="18"/>
  <c r="L77" i="18"/>
  <c r="R79" i="18" s="1"/>
  <c r="F82" i="18" s="1"/>
  <c r="M92" i="18"/>
  <c r="Q92" i="18"/>
  <c r="T92" i="18"/>
  <c r="L112" i="18"/>
  <c r="Q114" i="18" s="1"/>
  <c r="F117" i="18" s="1"/>
  <c r="M130" i="18" s="1"/>
  <c r="M127" i="18"/>
  <c r="Q127" i="18"/>
  <c r="T127" i="18"/>
  <c r="I143" i="18"/>
  <c r="L144" i="18" s="1"/>
  <c r="Q146" i="18" s="1"/>
  <c r="F149" i="18" s="1"/>
  <c r="M162" i="18" s="1"/>
  <c r="M159" i="18"/>
  <c r="Q159" i="18"/>
  <c r="T159" i="18"/>
  <c r="I175" i="18"/>
  <c r="L176" i="18" s="1"/>
  <c r="Q178" i="18" s="1"/>
  <c r="F181" i="18" s="1"/>
  <c r="M191" i="18"/>
  <c r="Q191" i="18"/>
  <c r="T191" i="18"/>
  <c r="L208" i="18"/>
  <c r="R210" i="18" s="1"/>
  <c r="F213" i="18" s="1"/>
  <c r="V220" i="18" s="1"/>
  <c r="M223" i="18"/>
  <c r="Q223" i="18"/>
  <c r="T223" i="18"/>
  <c r="L240" i="18"/>
  <c r="R242" i="18" s="1"/>
  <c r="F245" i="18" s="1"/>
  <c r="M258" i="18" s="1"/>
  <c r="M255" i="18"/>
  <c r="Q255" i="18"/>
  <c r="T255" i="18"/>
  <c r="U276" i="18"/>
  <c r="Z276" i="18"/>
  <c r="F1" i="17"/>
  <c r="A7" i="17"/>
  <c r="H14" i="17"/>
  <c r="A20" i="17"/>
  <c r="H27" i="17"/>
  <c r="H28" i="17" s="1"/>
  <c r="F36" i="17"/>
  <c r="A42" i="17"/>
  <c r="H49" i="17"/>
  <c r="A55" i="17"/>
  <c r="H62" i="17"/>
  <c r="H63" i="17" s="1"/>
  <c r="F1" i="16"/>
  <c r="A7" i="16"/>
  <c r="B7" i="16"/>
  <c r="H14" i="16"/>
  <c r="U18" i="16"/>
  <c r="A20" i="16"/>
  <c r="U20" i="16"/>
  <c r="U22" i="16"/>
  <c r="U24" i="16"/>
  <c r="U26" i="16"/>
  <c r="H27" i="16"/>
  <c r="H28" i="16" s="1"/>
  <c r="U27" i="16"/>
  <c r="T29" i="16"/>
  <c r="T31" i="16" s="1"/>
  <c r="R33" i="16"/>
  <c r="F1" i="15"/>
  <c r="H4" i="15"/>
  <c r="H5" i="15"/>
  <c r="O7" i="15"/>
  <c r="A11" i="15"/>
  <c r="B11" i="15"/>
  <c r="H19" i="15"/>
  <c r="A25" i="15"/>
  <c r="H31" i="15"/>
  <c r="H32" i="15" s="1"/>
  <c r="H54" i="15"/>
  <c r="A60" i="15"/>
  <c r="H66" i="15"/>
  <c r="H67" i="15" s="1"/>
  <c r="N219" i="18"/>
  <c r="N53" i="18"/>
  <c r="N187" i="18"/>
  <c r="N88" i="18"/>
  <c r="N18" i="18"/>
  <c r="N155" i="18"/>
  <c r="J280" i="18"/>
  <c r="U280" i="18" s="1"/>
  <c r="J281" i="18" s="1"/>
  <c r="U281" i="18" s="1"/>
  <c r="U282" i="18" s="1"/>
  <c r="F286" i="18" s="1"/>
  <c r="N123" i="18"/>
  <c r="W191" i="18"/>
  <c r="K276" i="18"/>
  <c r="W127" i="18"/>
  <c r="W159" i="18"/>
  <c r="N63" i="18"/>
  <c r="U63" i="18" s="1"/>
  <c r="N28" i="18"/>
  <c r="U28" i="18" s="1"/>
  <c r="W22" i="18"/>
  <c r="W223" i="18"/>
  <c r="N98" i="18"/>
  <c r="U98" i="18" s="1"/>
  <c r="O42" i="15" l="1"/>
  <c r="T42" i="15"/>
  <c r="G299" i="20"/>
  <c r="AA57" i="18"/>
  <c r="H18" i="15"/>
  <c r="T11" i="15" s="1"/>
  <c r="O42" i="17"/>
  <c r="H13" i="16"/>
  <c r="O4" i="16" s="1"/>
  <c r="B10" i="16"/>
  <c r="G231" i="20"/>
  <c r="G129" i="20"/>
  <c r="H53" i="15"/>
  <c r="T39" i="15" s="1"/>
  <c r="G51" i="20"/>
  <c r="G61" i="20"/>
  <c r="G197" i="20"/>
  <c r="G333" i="20"/>
  <c r="G469" i="20"/>
  <c r="AA18" i="18"/>
  <c r="N19" i="18" s="1"/>
  <c r="T7" i="16"/>
  <c r="B5" i="16"/>
  <c r="T42" i="17"/>
  <c r="G349" i="23"/>
  <c r="G362" i="23" s="1"/>
  <c r="O7" i="17"/>
  <c r="G83" i="19"/>
  <c r="G119" i="20"/>
  <c r="G130" i="22"/>
  <c r="G266" i="23"/>
  <c r="G279" i="23" s="1"/>
  <c r="G377" i="23"/>
  <c r="G390" i="23" s="1"/>
  <c r="G155" i="19"/>
  <c r="F5" i="15"/>
  <c r="F19" i="15" s="1"/>
  <c r="G255" i="20"/>
  <c r="G14" i="23"/>
  <c r="G27" i="23" s="1"/>
  <c r="G70" i="23"/>
  <c r="G83" i="23" s="1"/>
  <c r="G210" i="23"/>
  <c r="G223" i="23" s="1"/>
  <c r="G238" i="23"/>
  <c r="G251" i="23" s="1"/>
  <c r="G321" i="23"/>
  <c r="G334" i="23" s="1"/>
  <c r="O7" i="16"/>
  <c r="J5" i="15"/>
  <c r="J19" i="15" s="1"/>
  <c r="T7" i="17"/>
  <c r="AI276" i="18"/>
  <c r="F287" i="18" s="1"/>
  <c r="H13" i="17"/>
  <c r="F14" i="17" s="1"/>
  <c r="G121" i="19"/>
  <c r="G87" i="19"/>
  <c r="AA162" i="18"/>
  <c r="F167" i="18" s="1"/>
  <c r="G219" i="19"/>
  <c r="G223" i="19"/>
  <c r="G27" i="20"/>
  <c r="G117" i="19"/>
  <c r="G163" i="22"/>
  <c r="H48" i="17"/>
  <c r="J49" i="17" s="1"/>
  <c r="G188" i="22"/>
  <c r="G85" i="20"/>
  <c r="G221" i="20"/>
  <c r="G265" i="20"/>
  <c r="G357" i="20"/>
  <c r="G401" i="20"/>
  <c r="G13" i="22"/>
  <c r="G47" i="22"/>
  <c r="T219" i="18"/>
  <c r="AA219" i="18" s="1"/>
  <c r="T53" i="18"/>
  <c r="AA53" i="18" s="1"/>
  <c r="N54" i="18" s="1"/>
  <c r="V54" i="18"/>
  <c r="V89" i="18"/>
  <c r="T88" i="18"/>
  <c r="AA88" i="18" s="1"/>
  <c r="N89" i="18" s="1"/>
  <c r="M95" i="18"/>
  <c r="AA92" i="18"/>
  <c r="M226" i="18"/>
  <c r="AA226" i="18" s="1"/>
  <c r="F231" i="18" s="1"/>
  <c r="AA223" i="18"/>
  <c r="AD223" i="18" s="1"/>
  <c r="F230" i="18" s="1"/>
  <c r="G49" i="19"/>
  <c r="G185" i="19"/>
  <c r="G17" i="20"/>
  <c r="G95" i="20"/>
  <c r="G367" i="20"/>
  <c r="G425" i="20"/>
  <c r="G72" i="22"/>
  <c r="G159" i="22"/>
  <c r="G126" i="23"/>
  <c r="G139" i="23" s="1"/>
  <c r="T187" i="18"/>
  <c r="M194" i="18"/>
  <c r="AA194" i="18" s="1"/>
  <c r="F199" i="18" s="1"/>
  <c r="G15" i="19"/>
  <c r="G163" i="20"/>
  <c r="G391" i="20"/>
  <c r="U272" i="18"/>
  <c r="H284" i="18" s="1"/>
  <c r="AA284" i="18" s="1"/>
  <c r="F288" i="18" s="1"/>
  <c r="AA258" i="18"/>
  <c r="F263" i="18" s="1"/>
  <c r="C50" i="18"/>
  <c r="AA50" i="18" s="1"/>
  <c r="H60" i="18" s="1"/>
  <c r="AA60" i="18" s="1"/>
  <c r="F68" i="18" s="1"/>
  <c r="G42" i="23"/>
  <c r="G55" i="23" s="1"/>
  <c r="G98" i="23"/>
  <c r="G111" i="23" s="1"/>
  <c r="G19" i="19"/>
  <c r="G53" i="19"/>
  <c r="G151" i="19"/>
  <c r="G189" i="19"/>
  <c r="G187" i="20"/>
  <c r="G323" i="20"/>
  <c r="G435" i="20"/>
  <c r="G459" i="20"/>
  <c r="G17" i="22"/>
  <c r="G43" i="22"/>
  <c r="G105" i="22"/>
  <c r="G134" i="22"/>
  <c r="G192" i="22"/>
  <c r="G154" i="23"/>
  <c r="G167" i="23" s="1"/>
  <c r="G182" i="23"/>
  <c r="G195" i="23" s="1"/>
  <c r="G294" i="23"/>
  <c r="G306" i="23" s="1"/>
  <c r="C85" i="18"/>
  <c r="AA85" i="18" s="1"/>
  <c r="H95" i="18" s="1"/>
  <c r="T251" i="18"/>
  <c r="AA251" i="18" s="1"/>
  <c r="AA255" i="18"/>
  <c r="V252" i="18"/>
  <c r="T155" i="18"/>
  <c r="AA155" i="18" s="1"/>
  <c r="AA159" i="18"/>
  <c r="AD159" i="18" s="1"/>
  <c r="F166" i="18" s="1"/>
  <c r="V156" i="18"/>
  <c r="M25" i="18"/>
  <c r="AA25" i="18" s="1"/>
  <c r="F33" i="18" s="1"/>
  <c r="V19" i="18"/>
  <c r="AA22" i="18"/>
  <c r="AD22" i="18" s="1"/>
  <c r="F32" i="18" s="1"/>
  <c r="T4" i="16"/>
  <c r="B14" i="15"/>
  <c r="B9" i="15"/>
  <c r="T13" i="16"/>
  <c r="Q13" i="16"/>
  <c r="T7" i="15"/>
  <c r="G153" i="20"/>
  <c r="G289" i="20"/>
  <c r="G76" i="22"/>
  <c r="G101" i="22"/>
  <c r="AA130" i="18"/>
  <c r="F135" i="18" s="1"/>
  <c r="V188" i="18"/>
  <c r="AA191" i="18"/>
  <c r="AD191" i="18" s="1"/>
  <c r="F198" i="18" s="1"/>
  <c r="T123" i="18"/>
  <c r="AA123" i="18" s="1"/>
  <c r="V124" i="18"/>
  <c r="AA127" i="18"/>
  <c r="AD127" i="18" s="1"/>
  <c r="F134" i="18" s="1"/>
  <c r="W57" i="18"/>
  <c r="W255" i="18"/>
  <c r="W92" i="18"/>
  <c r="G200" i="20" l="1"/>
  <c r="Q16" i="16"/>
  <c r="G302" i="20"/>
  <c r="F14" i="16"/>
  <c r="J14" i="16"/>
  <c r="R44" i="15"/>
  <c r="T44" i="15"/>
  <c r="T48" i="15" s="1"/>
  <c r="J54" i="15"/>
  <c r="T46" i="15"/>
  <c r="Q46" i="15"/>
  <c r="O39" i="15"/>
  <c r="T4" i="15"/>
  <c r="T39" i="17"/>
  <c r="R44" i="17" s="1"/>
  <c r="AD57" i="18"/>
  <c r="F67" i="18" s="1"/>
  <c r="G132" i="20"/>
  <c r="O4" i="15"/>
  <c r="Q11" i="15"/>
  <c r="T16" i="16"/>
  <c r="G30" i="20"/>
  <c r="F49" i="17"/>
  <c r="G64" i="20"/>
  <c r="F54" i="15"/>
  <c r="G145" i="22"/>
  <c r="G472" i="20"/>
  <c r="G404" i="20"/>
  <c r="G234" i="20"/>
  <c r="G98" i="19"/>
  <c r="G203" i="22"/>
  <c r="T4" i="17"/>
  <c r="T9" i="17" s="1"/>
  <c r="G336" i="20"/>
  <c r="G174" i="22"/>
  <c r="G98" i="20"/>
  <c r="G268" i="20"/>
  <c r="G166" i="19"/>
  <c r="G132" i="19"/>
  <c r="O4" i="17"/>
  <c r="G28" i="22"/>
  <c r="G116" i="22"/>
  <c r="J14" i="17"/>
  <c r="G64" i="19"/>
  <c r="G166" i="20"/>
  <c r="AA95" i="18"/>
  <c r="F103" i="18" s="1"/>
  <c r="G58" i="22"/>
  <c r="AD92" i="18"/>
  <c r="F102" i="18" s="1"/>
  <c r="O39" i="17"/>
  <c r="G370" i="20"/>
  <c r="G87" i="22"/>
  <c r="AA54" i="18"/>
  <c r="F66" i="18" s="1"/>
  <c r="G234" i="19"/>
  <c r="AA89" i="18"/>
  <c r="F101" i="18" s="1"/>
  <c r="F289" i="18"/>
  <c r="G30" i="19"/>
  <c r="G200" i="19"/>
  <c r="G438" i="20"/>
  <c r="AA187" i="18"/>
  <c r="N188" i="18" s="1"/>
  <c r="AA188" i="18" s="1"/>
  <c r="F197" i="18" s="1"/>
  <c r="AJ68" i="18"/>
  <c r="AA19" i="18"/>
  <c r="AD255" i="18"/>
  <c r="F262" i="18" s="1"/>
  <c r="Z68" i="18"/>
  <c r="P68" i="18"/>
  <c r="N220" i="18"/>
  <c r="AA220" i="18" s="1"/>
  <c r="F229" i="18" s="1"/>
  <c r="P33" i="18"/>
  <c r="AJ33" i="18"/>
  <c r="Z33" i="18"/>
  <c r="T9" i="16"/>
  <c r="R9" i="16"/>
  <c r="P32" i="18"/>
  <c r="Z32" i="18"/>
  <c r="AJ32" i="18"/>
  <c r="N252" i="18"/>
  <c r="AA252" i="18" s="1"/>
  <c r="F261" i="18" s="1"/>
  <c r="N124" i="18"/>
  <c r="AA124" i="18" s="1"/>
  <c r="F133" i="18" s="1"/>
  <c r="N156" i="18"/>
  <c r="AA156" i="18" s="1"/>
  <c r="F165" i="18" s="1"/>
  <c r="T9" i="15" l="1"/>
  <c r="T13" i="15"/>
  <c r="T44" i="17"/>
  <c r="T46" i="17" s="1"/>
  <c r="R9" i="15"/>
  <c r="P67" i="18"/>
  <c r="AJ67" i="18"/>
  <c r="Z67" i="18"/>
  <c r="R9" i="17"/>
  <c r="Z102" i="18"/>
  <c r="P102" i="18"/>
  <c r="AJ103" i="18"/>
  <c r="P103" i="18"/>
  <c r="Z103" i="18"/>
  <c r="T11" i="17"/>
  <c r="AJ102" i="18"/>
  <c r="P101" i="18"/>
  <c r="F104" i="18"/>
  <c r="Z104" i="18" s="1"/>
  <c r="F31" i="18"/>
  <c r="F34" i="18" s="1"/>
  <c r="AJ101" i="18"/>
  <c r="Z101" i="18"/>
  <c r="Z66" i="18"/>
  <c r="F69" i="18"/>
  <c r="AJ69" i="18" s="1"/>
  <c r="P66" i="18"/>
  <c r="T11" i="16"/>
  <c r="Q11" i="16"/>
  <c r="Q11" i="17"/>
  <c r="AJ66" i="18"/>
  <c r="F232" i="18"/>
  <c r="F168" i="18"/>
  <c r="F136" i="18"/>
  <c r="F264" i="18"/>
  <c r="F200" i="18"/>
  <c r="Q46" i="17" l="1"/>
  <c r="P31" i="18"/>
  <c r="Z31" i="18"/>
  <c r="P69" i="18"/>
  <c r="P104" i="18"/>
  <c r="AJ104" i="18"/>
  <c r="Z34" i="18"/>
  <c r="AJ34" i="18"/>
  <c r="AJ31" i="18"/>
  <c r="Z69" i="18"/>
  <c r="P34" i="18" l="1"/>
  <c r="G21" i="54" l="1"/>
  <c r="H21" i="54" s="1"/>
  <c r="G28" i="54"/>
  <c r="H28" i="54" s="1"/>
  <c r="M35" i="54" l="1"/>
  <c r="G6" i="54" l="1"/>
  <c r="H6" i="54" l="1"/>
  <c r="G7" i="54"/>
  <c r="H7" i="54" l="1"/>
  <c r="L21" i="54"/>
  <c r="M21" i="54" l="1"/>
  <c r="N21" i="54"/>
  <c r="O21" i="54" l="1"/>
  <c r="G8" i="54"/>
  <c r="H8" i="54" l="1"/>
  <c r="G14" i="54"/>
  <c r="G17" i="54"/>
  <c r="H17" i="54" s="1"/>
  <c r="G16" i="54"/>
  <c r="H16" i="54" s="1"/>
  <c r="G9" i="54"/>
  <c r="H9" i="54" s="1"/>
  <c r="L22" i="54"/>
  <c r="G27" i="54"/>
  <c r="H27" i="54" s="1"/>
  <c r="N22" i="54" l="1"/>
  <c r="M22" i="54"/>
  <c r="G10" i="54"/>
  <c r="H14" i="54"/>
  <c r="G15" i="54"/>
  <c r="H15" i="54" s="1"/>
  <c r="O22" i="54" l="1"/>
  <c r="F18" i="54" s="1"/>
  <c r="H10" i="54"/>
  <c r="G12" i="54"/>
  <c r="H12" i="54" s="1"/>
  <c r="G13" i="54"/>
  <c r="H13" i="54" s="1"/>
  <c r="G19" i="54"/>
  <c r="H19" i="54" s="1"/>
  <c r="G20" i="54"/>
  <c r="H20" i="54" s="1"/>
  <c r="G22" i="54"/>
  <c r="H22" i="54" s="1"/>
  <c r="G18" i="54" l="1"/>
  <c r="H18" i="54" s="1"/>
  <c r="G11" i="54"/>
  <c r="H11" i="54" l="1"/>
  <c r="G23" i="54"/>
  <c r="G24" i="54" l="1"/>
  <c r="H23" i="54"/>
  <c r="Q28" i="54" l="1"/>
  <c r="S28" i="54" s="1"/>
  <c r="G25" i="54"/>
  <c r="H24" i="54"/>
  <c r="H25" i="54" l="1"/>
  <c r="G26" i="54"/>
  <c r="H26" i="54" s="1"/>
  <c r="G29" i="54" l="1"/>
  <c r="G30" i="54" l="1"/>
  <c r="H30" i="54" s="1"/>
  <c r="H29" i="54"/>
  <c r="G31" i="54" l="1"/>
  <c r="H31" i="54" l="1"/>
  <c r="G32" i="54"/>
  <c r="H32" i="54" l="1"/>
  <c r="I32" i="54" s="1"/>
  <c r="Q27" i="54"/>
  <c r="G35" i="54"/>
  <c r="R27" i="54" l="1"/>
  <c r="S27" i="54" s="1"/>
  <c r="Q31" i="54" s="1"/>
  <c r="S29" i="5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M1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user: </t>
        </r>
        <r>
          <rPr>
            <b/>
            <sz val="9"/>
            <color indexed="81"/>
            <rFont val="돋움"/>
            <family val="3"/>
            <charset val="129"/>
          </rPr>
          <t xml:space="preserve">분야직접입력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건축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토목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 xml:space="preserve">특수
</t>
        </r>
      </text>
    </comment>
    <comment ref="N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변경금지
</t>
        </r>
      </text>
    </comment>
    <comment ref="K28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영세사업일경우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부가세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미포함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20" authorId="0" shapeId="0" xr:uid="{6D494B86-DEFD-40EF-BEAC-896A8D2F6816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b/>
            <sz val="9"/>
            <color indexed="81"/>
            <rFont val="돋움"/>
            <family val="3"/>
            <charset val="129"/>
          </rPr>
          <t>조달고시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적용
</t>
        </r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환경부고시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석면피해구제분담금률</t>
        </r>
        <r>
          <rPr>
            <b/>
            <sz val="9"/>
            <color indexed="81"/>
            <rFont val="Tahoma"/>
            <family val="2"/>
          </rPr>
          <t xml:space="preserve">) 
- </t>
        </r>
        <r>
          <rPr>
            <b/>
            <sz val="9"/>
            <color indexed="81"/>
            <rFont val="돋움"/>
            <family val="3"/>
            <charset val="129"/>
          </rPr>
          <t>노동부고시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임금채권보장법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분담금비율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고시</t>
        </r>
        <r>
          <rPr>
            <b/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<sst xmlns="http://schemas.openxmlformats.org/spreadsheetml/2006/main" count="23646" uniqueCount="2903">
  <si>
    <t>공 사 원 가 계 산 서</t>
    <phoneticPr fontId="11" type="noConversion"/>
  </si>
  <si>
    <t>비                   목</t>
    <phoneticPr fontId="11" type="noConversion"/>
  </si>
  <si>
    <t xml:space="preserve"> 직  접  재  료  비 </t>
    <phoneticPr fontId="11" type="noConversion"/>
  </si>
  <si>
    <t xml:space="preserve"> 간  접  재  료  비 </t>
    <phoneticPr fontId="11" type="noConversion"/>
  </si>
  <si>
    <t>작업설, 부산물(△)</t>
    <phoneticPr fontId="11" type="noConversion"/>
  </si>
  <si>
    <t>[ 소          계 ]</t>
    <phoneticPr fontId="11" type="noConversion"/>
  </si>
  <si>
    <t xml:space="preserve"> 직  접  노  무  비 </t>
    <phoneticPr fontId="11" type="noConversion"/>
  </si>
  <si>
    <t xml:space="preserve"> 간  접  노  무  비 </t>
    <phoneticPr fontId="11" type="noConversion"/>
  </si>
  <si>
    <t>기   계   경   비</t>
    <phoneticPr fontId="11" type="noConversion"/>
  </si>
  <si>
    <t xml:space="preserve"> 산  재  보  험  료 </t>
    <phoneticPr fontId="11" type="noConversion"/>
  </si>
  <si>
    <t>건  강  보  험  료</t>
    <phoneticPr fontId="3" type="noConversion"/>
  </si>
  <si>
    <t>연  금  보  험  료</t>
    <phoneticPr fontId="3" type="noConversion"/>
  </si>
  <si>
    <t>노인장기요양보험료</t>
    <phoneticPr fontId="11" type="noConversion"/>
  </si>
  <si>
    <t xml:space="preserve"> 고  용  보  험  료 </t>
    <phoneticPr fontId="11" type="noConversion"/>
  </si>
  <si>
    <t>퇴 직 공 제 부금비</t>
    <phoneticPr fontId="11" type="noConversion"/>
  </si>
  <si>
    <t>기   타   경   비</t>
    <phoneticPr fontId="11" type="noConversion"/>
  </si>
  <si>
    <t>계</t>
    <phoneticPr fontId="11" type="noConversion"/>
  </si>
  <si>
    <t>일     반     관     리     비</t>
    <phoneticPr fontId="11" type="noConversion"/>
  </si>
  <si>
    <t>이                          윤</t>
    <phoneticPr fontId="11" type="noConversion"/>
  </si>
  <si>
    <t>공       급        가       액</t>
    <phoneticPr fontId="11" type="noConversion"/>
  </si>
  <si>
    <t>부     가     가     치     세</t>
    <phoneticPr fontId="11" type="noConversion"/>
  </si>
  <si>
    <t>수량</t>
  </si>
  <si>
    <t>단위</t>
  </si>
  <si>
    <t>재   료   비</t>
  </si>
  <si>
    <t>노   무   비</t>
  </si>
  <si>
    <t>경       비</t>
  </si>
  <si>
    <t>총    액</t>
  </si>
  <si>
    <t>단  가</t>
  </si>
  <si>
    <t>금   액</t>
  </si>
  <si>
    <t>비고</t>
    <phoneticPr fontId="14" type="noConversion"/>
  </si>
  <si>
    <t>개</t>
    <phoneticPr fontId="3" type="noConversion"/>
  </si>
  <si>
    <t>공   종</t>
  </si>
  <si>
    <t>규     격</t>
  </si>
  <si>
    <t>수  량</t>
  </si>
  <si>
    <t>금    액</t>
  </si>
  <si>
    <t>금     액</t>
  </si>
  <si>
    <t>비고</t>
    <phoneticPr fontId="17" type="noConversion"/>
  </si>
  <si>
    <t>본</t>
    <phoneticPr fontId="17" type="noConversion"/>
  </si>
  <si>
    <t>내선전공</t>
    <phoneticPr fontId="17" type="noConversion"/>
  </si>
  <si>
    <t>인</t>
    <phoneticPr fontId="17" type="noConversion"/>
  </si>
  <si>
    <t>소  계</t>
    <phoneticPr fontId="17" type="noConversion"/>
  </si>
  <si>
    <t>=</t>
    <phoneticPr fontId="3" type="noConversion"/>
  </si>
  <si>
    <t>휘발유</t>
    <phoneticPr fontId="3" type="noConversion"/>
  </si>
  <si>
    <t>경유</t>
    <phoneticPr fontId="3" type="noConversion"/>
  </si>
  <si>
    <t>5ton</t>
    <phoneticPr fontId="3" type="noConversion"/>
  </si>
  <si>
    <t>개</t>
  </si>
  <si>
    <t>중 량 계 산 표</t>
    <phoneticPr fontId="25" type="noConversion"/>
  </si>
  <si>
    <t xml:space="preserve">제품명 </t>
    <phoneticPr fontId="25" type="noConversion"/>
  </si>
  <si>
    <t xml:space="preserve"> : 가로등주 </t>
    <phoneticPr fontId="25" type="noConversion"/>
  </si>
  <si>
    <t>7M</t>
    <phoneticPr fontId="25" type="noConversion"/>
  </si>
  <si>
    <t xml:space="preserve">            구분
부품명</t>
    <phoneticPr fontId="25" type="noConversion"/>
  </si>
  <si>
    <t>규   격</t>
    <phoneticPr fontId="25" type="noConversion"/>
  </si>
  <si>
    <t>단위</t>
    <phoneticPr fontId="25" type="noConversion"/>
  </si>
  <si>
    <t>수량</t>
    <phoneticPr fontId="25" type="noConversion"/>
  </si>
  <si>
    <t>단위중량</t>
    <phoneticPr fontId="25" type="noConversion"/>
  </si>
  <si>
    <t>㎥</t>
  </si>
  <si>
    <t>중 량</t>
    <phoneticPr fontId="25" type="noConversion"/>
  </si>
  <si>
    <t>비  고</t>
    <phoneticPr fontId="25" type="noConversion"/>
  </si>
  <si>
    <t>몸체</t>
    <phoneticPr fontId="25" type="noConversion"/>
  </si>
  <si>
    <t xml:space="preserve"> 3.2t×270×570×6300</t>
    <phoneticPr fontId="25" type="noConversion"/>
  </si>
  <si>
    <t>EA</t>
    <phoneticPr fontId="25" type="noConversion"/>
  </si>
  <si>
    <t>스위치판넬</t>
    <phoneticPr fontId="25" type="noConversion"/>
  </si>
  <si>
    <t xml:space="preserve"> 1.6t×120×200</t>
    <phoneticPr fontId="25" type="noConversion"/>
  </si>
  <si>
    <t>보조대</t>
    <phoneticPr fontId="25" type="noConversion"/>
  </si>
  <si>
    <t xml:space="preserve"> 3.2t× 50×178</t>
    <phoneticPr fontId="25" type="noConversion"/>
  </si>
  <si>
    <t>보강대</t>
    <phoneticPr fontId="25" type="noConversion"/>
  </si>
  <si>
    <t xml:space="preserve"> 9.0t× 80×200</t>
    <phoneticPr fontId="25" type="noConversion"/>
  </si>
  <si>
    <t>후렌지</t>
    <phoneticPr fontId="25" type="noConversion"/>
  </si>
  <si>
    <t>12.0t×Φ350×Φ165</t>
    <phoneticPr fontId="25" type="noConversion"/>
  </si>
  <si>
    <t>연결관</t>
    <phoneticPr fontId="25" type="noConversion"/>
  </si>
  <si>
    <t xml:space="preserve"> 3.2t× 76.3×300</t>
    <phoneticPr fontId="25" type="noConversion"/>
  </si>
  <si>
    <t>안정기걸이</t>
    <phoneticPr fontId="25" type="noConversion"/>
  </si>
  <si>
    <t xml:space="preserve"> M6×40L</t>
    <phoneticPr fontId="25" type="noConversion"/>
  </si>
  <si>
    <t>소    계</t>
    <phoneticPr fontId="25" type="noConversion"/>
  </si>
  <si>
    <t>KG</t>
    <phoneticPr fontId="25" type="noConversion"/>
  </si>
  <si>
    <t>부품</t>
    <phoneticPr fontId="25" type="noConversion"/>
  </si>
  <si>
    <t>기꽂이</t>
    <phoneticPr fontId="25" type="noConversion"/>
  </si>
  <si>
    <t xml:space="preserve"> 2.3t×Φ27.2×250</t>
    <phoneticPr fontId="25" type="noConversion"/>
  </si>
  <si>
    <t>보조판</t>
    <phoneticPr fontId="25" type="noConversion"/>
  </si>
  <si>
    <t xml:space="preserve"> 3.2t×100.0× 80</t>
    <phoneticPr fontId="25" type="noConversion"/>
  </si>
  <si>
    <t>기타</t>
    <phoneticPr fontId="25" type="noConversion"/>
  </si>
  <si>
    <t>접시머리볼트</t>
    <phoneticPr fontId="25" type="noConversion"/>
  </si>
  <si>
    <t>W 1/4"×3/4"</t>
    <phoneticPr fontId="25" type="noConversion"/>
  </si>
  <si>
    <t>받침목</t>
    <phoneticPr fontId="25" type="noConversion"/>
  </si>
  <si>
    <t xml:space="preserve"> 75×90×1800</t>
    <phoneticPr fontId="25" type="noConversion"/>
  </si>
  <si>
    <t xml:space="preserve"> 1/7</t>
    <phoneticPr fontId="25" type="noConversion"/>
  </si>
  <si>
    <t>철밴드</t>
    <phoneticPr fontId="25" type="noConversion"/>
  </si>
  <si>
    <t xml:space="preserve"> 1.2t×1"×4.5M</t>
    <phoneticPr fontId="25" type="noConversion"/>
  </si>
  <si>
    <t>크맆</t>
    <phoneticPr fontId="25" type="noConversion"/>
  </si>
  <si>
    <t xml:space="preserve"> 2/7</t>
    <phoneticPr fontId="25" type="noConversion"/>
  </si>
  <si>
    <t>페인트</t>
    <phoneticPr fontId="25" type="noConversion"/>
  </si>
  <si>
    <t xml:space="preserve"> #80740</t>
    <phoneticPr fontId="25" type="noConversion"/>
  </si>
  <si>
    <t>ℓ</t>
    <phoneticPr fontId="25" type="noConversion"/>
  </si>
  <si>
    <t>신나</t>
    <phoneticPr fontId="25" type="noConversion"/>
  </si>
  <si>
    <t>포장지</t>
    <phoneticPr fontId="25" type="noConversion"/>
  </si>
  <si>
    <t xml:space="preserve"> 0.1×10"×ROLL</t>
    <phoneticPr fontId="25" type="noConversion"/>
  </si>
  <si>
    <t>합     계</t>
    <phoneticPr fontId="25" type="noConversion"/>
  </si>
  <si>
    <t>특기 사항</t>
    <phoneticPr fontId="25" type="noConversion"/>
  </si>
  <si>
    <t>8M</t>
    <phoneticPr fontId="25" type="noConversion"/>
  </si>
  <si>
    <t xml:space="preserve"> 3.2t×270×570×7300</t>
    <phoneticPr fontId="25" type="noConversion"/>
  </si>
  <si>
    <t>8.5M</t>
    <phoneticPr fontId="25" type="noConversion"/>
  </si>
  <si>
    <t xml:space="preserve"> 3.2t×270×570×7800</t>
    <phoneticPr fontId="25" type="noConversion"/>
  </si>
  <si>
    <t>9.0M</t>
    <phoneticPr fontId="25" type="noConversion"/>
  </si>
  <si>
    <t xml:space="preserve"> 3.2t×350×685×8300</t>
    <phoneticPr fontId="25" type="noConversion"/>
  </si>
  <si>
    <t>16.0t×Φ400×Φ205</t>
    <phoneticPr fontId="25" type="noConversion"/>
  </si>
  <si>
    <t xml:space="preserve"> 3.2t×Φ101.6×300</t>
    <phoneticPr fontId="25" type="noConversion"/>
  </si>
  <si>
    <t>10.0M</t>
    <phoneticPr fontId="25" type="noConversion"/>
  </si>
  <si>
    <t xml:space="preserve"> 3.2t×350×685×9300</t>
    <phoneticPr fontId="25" type="noConversion"/>
  </si>
  <si>
    <t>11.0M</t>
    <phoneticPr fontId="25" type="noConversion"/>
  </si>
  <si>
    <t xml:space="preserve"> 3.2t×350×685×10300</t>
    <phoneticPr fontId="25" type="noConversion"/>
  </si>
  <si>
    <t>12.0M</t>
    <phoneticPr fontId="25" type="noConversion"/>
  </si>
  <si>
    <t xml:space="preserve"> 3.2t×350×685×11300</t>
    <phoneticPr fontId="25" type="noConversion"/>
  </si>
  <si>
    <t xml:space="preserve"> : 아암 1.5M X Φ90(1등용)</t>
    <phoneticPr fontId="25" type="noConversion"/>
  </si>
  <si>
    <t>아암</t>
    <phoneticPr fontId="25" type="noConversion"/>
  </si>
  <si>
    <t xml:space="preserve"> 3.2t×275×400</t>
    <phoneticPr fontId="25" type="noConversion"/>
  </si>
  <si>
    <t>캡</t>
    <phoneticPr fontId="25" type="noConversion"/>
  </si>
  <si>
    <t xml:space="preserve"> 3.2t×Φ105</t>
    <phoneticPr fontId="25" type="noConversion"/>
  </si>
  <si>
    <t>지지대-1</t>
    <phoneticPr fontId="25" type="noConversion"/>
  </si>
  <si>
    <t xml:space="preserve"> 3.2t×525×310</t>
    <phoneticPr fontId="25" type="noConversion"/>
  </si>
  <si>
    <t>지지대-2</t>
    <phoneticPr fontId="25" type="noConversion"/>
  </si>
  <si>
    <t xml:space="preserve"> 3.2t× 69×510</t>
    <phoneticPr fontId="25" type="noConversion"/>
  </si>
  <si>
    <t>지지대-3</t>
    <phoneticPr fontId="25" type="noConversion"/>
  </si>
  <si>
    <t xml:space="preserve"> 3.2t× 69×580</t>
    <phoneticPr fontId="25" type="noConversion"/>
  </si>
  <si>
    <t xml:space="preserve"> 3.2t× 75×75×1000</t>
    <phoneticPr fontId="25" type="noConversion"/>
  </si>
  <si>
    <t>유도관</t>
    <phoneticPr fontId="25" type="noConversion"/>
  </si>
  <si>
    <t xml:space="preserve"> 3.2t×Φ60.5×350</t>
    <phoneticPr fontId="25" type="noConversion"/>
  </si>
  <si>
    <t xml:space="preserve"> 3.2t× 75×75×Φ61</t>
    <phoneticPr fontId="25" type="noConversion"/>
  </si>
  <si>
    <t>육각너트</t>
    <phoneticPr fontId="25" type="noConversion"/>
  </si>
  <si>
    <t xml:space="preserve"> W1/2</t>
    <phoneticPr fontId="25" type="noConversion"/>
  </si>
  <si>
    <t>육각볼트</t>
    <phoneticPr fontId="25" type="noConversion"/>
  </si>
  <si>
    <t xml:space="preserve"> W1/2"×1"</t>
    <phoneticPr fontId="25" type="noConversion"/>
  </si>
  <si>
    <t xml:space="preserve"> 1.2t×1"×3.6M</t>
    <phoneticPr fontId="25" type="noConversion"/>
  </si>
  <si>
    <t>크립</t>
    <phoneticPr fontId="25" type="noConversion"/>
  </si>
  <si>
    <t xml:space="preserve"> : 아암 1.5M X Φ90(2등용)</t>
    <phoneticPr fontId="25" type="noConversion"/>
  </si>
  <si>
    <t xml:space="preserve"> : 아암 1.8M X Φ90(1등용)</t>
    <phoneticPr fontId="25" type="noConversion"/>
  </si>
  <si>
    <t xml:space="preserve"> 3.2t× 75×75×1300</t>
    <phoneticPr fontId="25" type="noConversion"/>
  </si>
  <si>
    <t xml:space="preserve"> : 아암 1.8M X Φ90(2등용)</t>
    <phoneticPr fontId="25" type="noConversion"/>
  </si>
  <si>
    <t xml:space="preserve"> : 아암 2.0M X Φ90(1등용)</t>
    <phoneticPr fontId="25" type="noConversion"/>
  </si>
  <si>
    <t xml:space="preserve"> 3.2t× 75×75×1500</t>
    <phoneticPr fontId="25" type="noConversion"/>
  </si>
  <si>
    <t xml:space="preserve"> : 아암 2.0M X Φ90(2등용)</t>
    <phoneticPr fontId="25" type="noConversion"/>
  </si>
  <si>
    <t xml:space="preserve"> : 아암 1.5M X Φ110(1등용)</t>
    <phoneticPr fontId="25" type="noConversion"/>
  </si>
  <si>
    <t xml:space="preserve"> 3.2t×350×400</t>
    <phoneticPr fontId="25" type="noConversion"/>
  </si>
  <si>
    <t xml:space="preserve"> 3.2t×Φ139</t>
    <phoneticPr fontId="25" type="noConversion"/>
  </si>
  <si>
    <t xml:space="preserve"> : 아암 1.5M X Φ110(2등용)</t>
    <phoneticPr fontId="25" type="noConversion"/>
  </si>
  <si>
    <t xml:space="preserve"> : 아암 2.0M X Φ110(1등용)</t>
    <phoneticPr fontId="25" type="noConversion"/>
  </si>
  <si>
    <t xml:space="preserve"> : 아암 2.0M X Φ110(2등용)</t>
    <phoneticPr fontId="25" type="noConversion"/>
  </si>
  <si>
    <t xml:space="preserve"> : 아암 2.5M X Φ110(1등용)</t>
    <phoneticPr fontId="25" type="noConversion"/>
  </si>
  <si>
    <t xml:space="preserve"> 3.2t× 75×75×2000</t>
    <phoneticPr fontId="25" type="noConversion"/>
  </si>
  <si>
    <t xml:space="preserve"> : 아암 2.5M X Φ110(2등용)</t>
    <phoneticPr fontId="25" type="noConversion"/>
  </si>
  <si>
    <t xml:space="preserve"> : 아암 2.8M X Φ110(1등용)</t>
    <phoneticPr fontId="25" type="noConversion"/>
  </si>
  <si>
    <t xml:space="preserve"> 3.2t× 75×75×2300</t>
    <phoneticPr fontId="25" type="noConversion"/>
  </si>
  <si>
    <t xml:space="preserve"> : 아암 2.8M X Φ110(2등용)</t>
    <phoneticPr fontId="25" type="noConversion"/>
  </si>
  <si>
    <t>세종로형, 무역의 거리형 등기구 재질별 무게</t>
  </si>
  <si>
    <t>품명</t>
  </si>
  <si>
    <t>재질</t>
  </si>
  <si>
    <t>무게</t>
  </si>
  <si>
    <t>중  량(kg)</t>
    <phoneticPr fontId="3" type="noConversion"/>
  </si>
  <si>
    <t>세종로형</t>
  </si>
  <si>
    <t>몸체 </t>
  </si>
  <si>
    <t>알루미늄</t>
  </si>
  <si>
    <t>6 kg</t>
  </si>
  <si>
    <t>클립 외 스틸</t>
  </si>
  <si>
    <t>0.5kg</t>
  </si>
  <si>
    <t>무역의거리형</t>
  </si>
  <si>
    <t xml:space="preserve">몸체 </t>
  </si>
  <si>
    <t>5 kg</t>
  </si>
  <si>
    <t xml:space="preserve">:STS가로등주 </t>
    <phoneticPr fontId="25" type="noConversion"/>
  </si>
  <si>
    <t>7M</t>
    <phoneticPr fontId="43" type="noConversion"/>
  </si>
  <si>
    <t xml:space="preserve"> 2.5t×270×570×6300</t>
    <phoneticPr fontId="25" type="noConversion"/>
  </si>
  <si>
    <t xml:space="preserve"> 2.0t×120×200</t>
    <phoneticPr fontId="25" type="noConversion"/>
  </si>
  <si>
    <t xml:space="preserve"> 2.5t× 50×178</t>
    <phoneticPr fontId="25" type="noConversion"/>
  </si>
  <si>
    <t xml:space="preserve"> 2.5t× 76.3×300</t>
    <phoneticPr fontId="25" type="noConversion"/>
  </si>
  <si>
    <t xml:space="preserve"> 2.0t×Φ27.2×250</t>
    <phoneticPr fontId="25" type="noConversion"/>
  </si>
  <si>
    <t xml:space="preserve"> 2.5t×100.0× 80</t>
    <phoneticPr fontId="25" type="noConversion"/>
  </si>
  <si>
    <t xml:space="preserve"> 2.5t×270×570×7300</t>
    <phoneticPr fontId="25" type="noConversion"/>
  </si>
  <si>
    <t xml:space="preserve"> 2.5t×270×570×7800</t>
    <phoneticPr fontId="25" type="noConversion"/>
  </si>
  <si>
    <t xml:space="preserve"> 2.5t×350×685×8300</t>
    <phoneticPr fontId="25" type="noConversion"/>
  </si>
  <si>
    <t>12.0t×Φ400×Φ205</t>
    <phoneticPr fontId="25" type="noConversion"/>
  </si>
  <si>
    <t xml:space="preserve"> 2.5t×Φ101.6×300</t>
    <phoneticPr fontId="25" type="noConversion"/>
  </si>
  <si>
    <t xml:space="preserve"> 2.5t×350×685×9300</t>
    <phoneticPr fontId="25" type="noConversion"/>
  </si>
  <si>
    <t xml:space="preserve"> 2.5t×350×685×10300</t>
    <phoneticPr fontId="25" type="noConversion"/>
  </si>
  <si>
    <t>15.0t×Φ400×Φ205</t>
    <phoneticPr fontId="25" type="noConversion"/>
  </si>
  <si>
    <t xml:space="preserve"> 2.5t×350×685×11300</t>
    <phoneticPr fontId="25" type="noConversion"/>
  </si>
  <si>
    <t xml:space="preserve"> : STS아암 1.5M X Φ90(1등용)</t>
    <phoneticPr fontId="25" type="noConversion"/>
  </si>
  <si>
    <t xml:space="preserve"> 2.5t×275×400</t>
  </si>
  <si>
    <t xml:space="preserve"> 2.5t×Φ105</t>
  </si>
  <si>
    <t xml:space="preserve"> 2.5t×525×310</t>
  </si>
  <si>
    <t xml:space="preserve"> 2.5t× 69×510</t>
  </si>
  <si>
    <t xml:space="preserve"> 2.5t× 69×580</t>
  </si>
  <si>
    <t xml:space="preserve"> 2.5t× 75×75×1000</t>
  </si>
  <si>
    <t xml:space="preserve"> 2.5t×Φ60.5×350</t>
  </si>
  <si>
    <t xml:space="preserve"> 2.5t× 75×75×Φ61</t>
  </si>
  <si>
    <t xml:space="preserve"> : STS아암 1.5M X Φ90(2등용)</t>
    <phoneticPr fontId="25" type="noConversion"/>
  </si>
  <si>
    <t xml:space="preserve"> : STS아암 1.8M X Φ90(1등용)</t>
    <phoneticPr fontId="25" type="noConversion"/>
  </si>
  <si>
    <t xml:space="preserve"> 2.5t× 75×75×1300</t>
  </si>
  <si>
    <t xml:space="preserve"> : STS아암 1.8M X Φ90(2등용)</t>
    <phoneticPr fontId="25" type="noConversion"/>
  </si>
  <si>
    <t xml:space="preserve"> : STS아암 2.0M X Φ90(1등용)</t>
    <phoneticPr fontId="25" type="noConversion"/>
  </si>
  <si>
    <t xml:space="preserve"> 2.5t× 75×75×1500</t>
  </si>
  <si>
    <t xml:space="preserve"> : STS아암 2.0M X Φ90(2등용)</t>
    <phoneticPr fontId="25" type="noConversion"/>
  </si>
  <si>
    <t xml:space="preserve"> : STS아암 1.5M X Φ110(1등용)</t>
    <phoneticPr fontId="25" type="noConversion"/>
  </si>
  <si>
    <t xml:space="preserve"> 2.5t×350×400</t>
  </si>
  <si>
    <t xml:space="preserve"> 2.5t×Φ139</t>
  </si>
  <si>
    <t xml:space="preserve"> : STS아암 1.5M X Φ110(2등용)</t>
    <phoneticPr fontId="25" type="noConversion"/>
  </si>
  <si>
    <t xml:space="preserve"> : STS아암 2.0M X Φ110(1등용)</t>
    <phoneticPr fontId="25" type="noConversion"/>
  </si>
  <si>
    <t xml:space="preserve"> : STS아암 2.0M X Φ110(2등용)</t>
    <phoneticPr fontId="25" type="noConversion"/>
  </si>
  <si>
    <t xml:space="preserve"> : STS아암 2.5M X Φ110(1등용)</t>
    <phoneticPr fontId="25" type="noConversion"/>
  </si>
  <si>
    <t xml:space="preserve"> 2.5t× 75×75×2000</t>
  </si>
  <si>
    <t xml:space="preserve"> : STS아암 2.5M X Φ110(2등용)</t>
    <phoneticPr fontId="25" type="noConversion"/>
  </si>
  <si>
    <t xml:space="preserve"> : STS아암 2.8M X Φ110(1등용)</t>
    <phoneticPr fontId="25" type="noConversion"/>
  </si>
  <si>
    <t xml:space="preserve"> 2.5t× 75×75×2300</t>
  </si>
  <si>
    <t xml:space="preserve"> : STS아암 2.8M X Φ110(2등용)</t>
    <phoneticPr fontId="25" type="noConversion"/>
  </si>
  <si>
    <t>방전등용 안정기 중량</t>
    <phoneticPr fontId="3" type="noConversion"/>
  </si>
  <si>
    <t>규    격</t>
    <phoneticPr fontId="3" type="noConversion"/>
  </si>
  <si>
    <t>중량(kg)</t>
    <phoneticPr fontId="3" type="noConversion"/>
  </si>
  <si>
    <t>중요자재중량(g)</t>
    <phoneticPr fontId="3" type="noConversion"/>
  </si>
  <si>
    <t>코일(동선)</t>
    <phoneticPr fontId="3" type="noConversion"/>
  </si>
  <si>
    <t>코아(철심)</t>
    <phoneticPr fontId="3" type="noConversion"/>
  </si>
  <si>
    <t>외함(철)</t>
    <phoneticPr fontId="3" type="noConversion"/>
  </si>
  <si>
    <t>NH50W</t>
    <phoneticPr fontId="3" type="noConversion"/>
  </si>
  <si>
    <t>NH100W</t>
    <phoneticPr fontId="3" type="noConversion"/>
  </si>
  <si>
    <t>NH150W</t>
    <phoneticPr fontId="3" type="noConversion"/>
  </si>
  <si>
    <t>NH200W</t>
    <phoneticPr fontId="3" type="noConversion"/>
  </si>
  <si>
    <t>NH250W</t>
    <phoneticPr fontId="3" type="noConversion"/>
  </si>
  <si>
    <t>NH400W</t>
    <phoneticPr fontId="3" type="noConversion"/>
  </si>
  <si>
    <t>NH1000W</t>
    <phoneticPr fontId="3" type="noConversion"/>
  </si>
  <si>
    <t>MH70W</t>
    <phoneticPr fontId="3" type="noConversion"/>
  </si>
  <si>
    <t>MH150W</t>
    <phoneticPr fontId="3" type="noConversion"/>
  </si>
  <si>
    <t>MH175W</t>
    <phoneticPr fontId="3" type="noConversion"/>
  </si>
  <si>
    <t>MH200W</t>
    <phoneticPr fontId="3" type="noConversion"/>
  </si>
  <si>
    <t>MH250W</t>
    <phoneticPr fontId="3" type="noConversion"/>
  </si>
  <si>
    <t>MH350W</t>
    <phoneticPr fontId="3" type="noConversion"/>
  </si>
  <si>
    <t>MH400W</t>
    <phoneticPr fontId="3" type="noConversion"/>
  </si>
  <si>
    <t>MH1000W</t>
    <phoneticPr fontId="3" type="noConversion"/>
  </si>
  <si>
    <t>MH2000W</t>
    <phoneticPr fontId="3" type="noConversion"/>
  </si>
  <si>
    <t>MH175W RC</t>
    <phoneticPr fontId="3" type="noConversion"/>
  </si>
  <si>
    <t>MH250W RC</t>
    <phoneticPr fontId="3" type="noConversion"/>
  </si>
  <si>
    <t>MH400W RC</t>
    <phoneticPr fontId="3" type="noConversion"/>
  </si>
  <si>
    <t>MH1000W RC</t>
    <phoneticPr fontId="3" type="noConversion"/>
  </si>
  <si>
    <t>MH1500W RC</t>
    <phoneticPr fontId="3" type="noConversion"/>
  </si>
  <si>
    <t>고효율 MH100W</t>
    <phoneticPr fontId="3" type="noConversion"/>
  </si>
  <si>
    <t>고효율 MH150W</t>
    <phoneticPr fontId="3" type="noConversion"/>
  </si>
  <si>
    <t>고효율 MH200W</t>
    <phoneticPr fontId="3" type="noConversion"/>
  </si>
  <si>
    <t>고효율 MH350W</t>
    <phoneticPr fontId="3" type="noConversion"/>
  </si>
  <si>
    <t>CMH70W</t>
    <phoneticPr fontId="3" type="noConversion"/>
  </si>
  <si>
    <t>CMH100W</t>
    <phoneticPr fontId="3" type="noConversion"/>
  </si>
  <si>
    <t>CMH150W</t>
    <phoneticPr fontId="3" type="noConversion"/>
  </si>
  <si>
    <t>CMH250W</t>
    <phoneticPr fontId="3" type="noConversion"/>
  </si>
  <si>
    <t>CMH400W</t>
    <phoneticPr fontId="3" type="noConversion"/>
  </si>
  <si>
    <t>보통인부</t>
    <phoneticPr fontId="3" type="noConversion"/>
  </si>
  <si>
    <t>80kg</t>
    <phoneticPr fontId="3" type="noConversion"/>
  </si>
  <si>
    <t xml:space="preserve">% </t>
  </si>
  <si>
    <t xml:space="preserve">T   :작업계수 적용 산정후 1본당 작업 소요시간 (분) = </t>
    <phoneticPr fontId="3" type="noConversion"/>
  </si>
  <si>
    <t xml:space="preserve">Tc  :1본당 F=1.0 에서의 작업 소요시간 (분) = </t>
    <phoneticPr fontId="3" type="noConversion"/>
  </si>
  <si>
    <t>Q   :T/60 =</t>
    <phoneticPr fontId="3" type="noConversion"/>
  </si>
  <si>
    <t>4) 재료비</t>
    <phoneticPr fontId="3" type="noConversion"/>
  </si>
  <si>
    <t>(원/ℓ)</t>
    <phoneticPr fontId="3" type="noConversion"/>
  </si>
  <si>
    <t>5) 운전노무비</t>
    <phoneticPr fontId="3" type="noConversion"/>
  </si>
  <si>
    <t>화물차운전사</t>
    <phoneticPr fontId="23" type="noConversion"/>
  </si>
  <si>
    <t>6) 기계경비</t>
    <phoneticPr fontId="3" type="noConversion"/>
  </si>
  <si>
    <t>기계손료</t>
    <phoneticPr fontId="23" type="noConversion"/>
  </si>
  <si>
    <t>POLE LIGHT 건주 기계화 시공 (8M-9M)</t>
    <phoneticPr fontId="23" type="noConversion"/>
  </si>
  <si>
    <t>T   :작업계수 적용 산정후 1본당 작업 소요시간 (분) =</t>
    <phoneticPr fontId="3" type="noConversion"/>
  </si>
  <si>
    <t>POLE LIGHT 건주 기계화 시공 (10M-12M)</t>
    <phoneticPr fontId="23" type="noConversion"/>
  </si>
  <si>
    <t>가로등 기초설치(굴삭기 무한궤도 0.4㎡)</t>
    <phoneticPr fontId="23" type="noConversion"/>
  </si>
  <si>
    <t>1) 사용장비 : 굴삭기(무한궤도-0.4㎡)</t>
    <phoneticPr fontId="23" type="noConversion"/>
  </si>
  <si>
    <t>2) 경비(기계손료) = 건설기계 가격 * 시간당 손료계수의 합계</t>
    <phoneticPr fontId="3" type="noConversion"/>
  </si>
  <si>
    <t>경비</t>
    <phoneticPr fontId="3" type="noConversion"/>
  </si>
  <si>
    <t>3) 노무비 = 노임단가 * 1일 기준시간 *상여계수 * 휴지계수 * 수량</t>
    <phoneticPr fontId="3" type="noConversion"/>
  </si>
  <si>
    <t>건설기계운전사</t>
    <phoneticPr fontId="3" type="noConversion"/>
  </si>
  <si>
    <t>4) 재료비 = 단가 * 수량</t>
    <phoneticPr fontId="3" type="noConversion"/>
  </si>
  <si>
    <t>잡재료(주연료의 22%)</t>
    <phoneticPr fontId="3" type="noConversion"/>
  </si>
  <si>
    <t>합계</t>
    <phoneticPr fontId="3" type="noConversion"/>
  </si>
  <si>
    <t>m</t>
    <phoneticPr fontId="3" type="noConversion"/>
  </si>
  <si>
    <t>1) 사용장비 : 크레인 트럭 (5ton)</t>
    <phoneticPr fontId="23" type="noConversion"/>
  </si>
  <si>
    <t>Tc  :1본당 F=1.0 에서의 작업 소요시간 (분) = 0.7</t>
    <phoneticPr fontId="3" type="noConversion"/>
  </si>
  <si>
    <t>(원)</t>
    <phoneticPr fontId="3" type="noConversion"/>
  </si>
  <si>
    <t>건설기계운전사</t>
    <phoneticPr fontId="23" type="noConversion"/>
  </si>
  <si>
    <t>굴삭기(무한궤도)</t>
    <phoneticPr fontId="3" type="noConversion"/>
  </si>
  <si>
    <t>대</t>
    <phoneticPr fontId="3" type="noConversion"/>
  </si>
  <si>
    <t>*</t>
    <phoneticPr fontId="3" type="noConversion"/>
  </si>
  <si>
    <t>보통인부</t>
  </si>
  <si>
    <t>접지동봉</t>
    <phoneticPr fontId="23" type="noConversion"/>
  </si>
  <si>
    <t>부표</t>
    <phoneticPr fontId="27" type="noConversion"/>
  </si>
  <si>
    <t>호표  :</t>
    <phoneticPr fontId="27" type="noConversion"/>
  </si>
  <si>
    <t xml:space="preserve">          개소당</t>
  </si>
  <si>
    <t>가로</t>
  </si>
  <si>
    <t>세로</t>
  </si>
  <si>
    <t>높이</t>
  </si>
  <si>
    <t>산</t>
  </si>
  <si>
    <t>출</t>
  </si>
  <si>
    <t>공     량</t>
  </si>
  <si>
    <t>1. 터파기 [㎥]</t>
  </si>
  <si>
    <t>2. 콘크리트 [㎥]</t>
  </si>
  <si>
    <t>4. 잔토처리 [㎥]</t>
  </si>
  <si>
    <t>5. 거푸집 [㎡]</t>
  </si>
  <si>
    <t>10. 접지봉 W/CLAMP (Φ14x1000L)[EA]</t>
  </si>
  <si>
    <t>(인)</t>
  </si>
  <si>
    <t>m</t>
  </si>
  <si>
    <t>ELP 30Φ</t>
    <phoneticPr fontId="23" type="noConversion"/>
  </si>
  <si>
    <t>특별인부</t>
  </si>
  <si>
    <t>내선전공</t>
  </si>
  <si>
    <t>POLE LIGHT 건주 기계화 시공 (5M-7M)</t>
    <phoneticPr fontId="23" type="noConversion"/>
  </si>
  <si>
    <t>2) 기계장비 작업능력 산정</t>
  </si>
  <si>
    <t>Tc</t>
  </si>
  <si>
    <t xml:space="preserve">     T  =</t>
  </si>
  <si>
    <t xml:space="preserve"> = </t>
  </si>
  <si>
    <t>=</t>
  </si>
  <si>
    <t>(분)</t>
  </si>
  <si>
    <t>F</t>
  </si>
  <si>
    <t xml:space="preserve">     T  = </t>
  </si>
  <si>
    <t>T   :작업계수 적용 산정후 1본당 작업 소요시간 (분)</t>
  </si>
  <si>
    <t xml:space="preserve">     Tc = </t>
  </si>
  <si>
    <t>Tc  :1본당 F=1.0 에서의 작업 소요시간 (분)</t>
  </si>
  <si>
    <t xml:space="preserve">     F  =</t>
  </si>
  <si>
    <t xml:space="preserve">F   :작업계수 </t>
  </si>
  <si>
    <t>3) 기계손료</t>
  </si>
  <si>
    <t>/ 대</t>
  </si>
  <si>
    <t>x</t>
  </si>
  <si>
    <t>(원)</t>
  </si>
  <si>
    <t xml:space="preserve">주연료(경유)= </t>
  </si>
  <si>
    <t>(ℓ/Hr)</t>
  </si>
  <si>
    <t>잡        품=</t>
  </si>
  <si>
    <t>주연료 x</t>
  </si>
  <si>
    <t>(인/일)</t>
  </si>
  <si>
    <t>6) 노 무 비</t>
  </si>
  <si>
    <t>내 선 전 공 =</t>
  </si>
  <si>
    <t>(인/본)</t>
  </si>
  <si>
    <t>(원/인)</t>
  </si>
  <si>
    <t>일반</t>
    <phoneticPr fontId="23" type="noConversion"/>
  </si>
  <si>
    <t>주철</t>
    <phoneticPr fontId="23" type="noConversion"/>
  </si>
  <si>
    <t>이설</t>
    <phoneticPr fontId="23" type="noConversion"/>
  </si>
  <si>
    <t>철거</t>
    <phoneticPr fontId="23" type="noConversion"/>
  </si>
  <si>
    <t>자 재 비 계 =</t>
  </si>
  <si>
    <t>노 무 비 계 =</t>
  </si>
  <si>
    <t>경       비 =</t>
  </si>
  <si>
    <t xml:space="preserve">합       계 = </t>
  </si>
  <si>
    <t>배너걸이 설치(크래인트럭)</t>
    <phoneticPr fontId="23" type="noConversion"/>
  </si>
  <si>
    <t xml:space="preserve">  부표</t>
  </si>
  <si>
    <t>호표 :</t>
  </si>
  <si>
    <t>6.보도블럭 [㎡]</t>
    <phoneticPr fontId="28" type="noConversion"/>
  </si>
  <si>
    <t>이형철근량</t>
  </si>
  <si>
    <t>윗변</t>
    <phoneticPr fontId="28" type="noConversion"/>
  </si>
  <si>
    <t>윗변'</t>
    <phoneticPr fontId="28" type="noConversion"/>
  </si>
  <si>
    <t>밑변</t>
    <phoneticPr fontId="28" type="noConversion"/>
  </si>
  <si>
    <t>밑변'</t>
    <phoneticPr fontId="28" type="noConversion"/>
  </si>
  <si>
    <t>4.보도블럭 [㎡]</t>
    <phoneticPr fontId="28" type="noConversion"/>
  </si>
  <si>
    <t>3. 되메우기고 다짐 [㎥]</t>
    <phoneticPr fontId="27" type="noConversion"/>
  </si>
  <si>
    <t>7. 앙카볼트(Φ25x500L)[EA]</t>
    <phoneticPr fontId="27" type="noConversion"/>
  </si>
  <si>
    <t>8. 전선관 (PE 22C) [m]</t>
    <phoneticPr fontId="27" type="noConversion"/>
  </si>
  <si>
    <t>9. 전  선 (GV 16㎟)[m]</t>
    <phoneticPr fontId="27" type="noConversion"/>
  </si>
  <si>
    <t>10. 압착단자 (16㎟)[EA]</t>
    <phoneticPr fontId="27" type="noConversion"/>
  </si>
  <si>
    <t>12. 이형철근 (D 10) [㎏]</t>
  </si>
  <si>
    <t>㎏=0.23x4x2x0.56=</t>
    <phoneticPr fontId="27" type="noConversion"/>
  </si>
  <si>
    <t>13. 잡철물 제작설치[㎏]:</t>
  </si>
  <si>
    <t>14. 노무비(내선전공):</t>
  </si>
  <si>
    <t>(보통인부):</t>
    <phoneticPr fontId="8" type="noConversion"/>
  </si>
  <si>
    <t>(케이블공):</t>
    <phoneticPr fontId="8" type="noConversion"/>
  </si>
  <si>
    <t>2. 콘크리트량 [㎥]</t>
    <phoneticPr fontId="27" type="noConversion"/>
  </si>
  <si>
    <t>3. 되메우기고 다짐 [㎥]</t>
    <phoneticPr fontId="27" type="noConversion"/>
  </si>
  <si>
    <t>0.4㎥</t>
    <phoneticPr fontId="3" type="noConversion"/>
  </si>
  <si>
    <t>(㎥당)</t>
    <phoneticPr fontId="3" type="noConversion"/>
  </si>
  <si>
    <t>구                        분</t>
    <phoneticPr fontId="3" type="noConversion"/>
  </si>
  <si>
    <t>단 위</t>
    <phoneticPr fontId="3" type="noConversion"/>
  </si>
  <si>
    <t>수   량</t>
    <phoneticPr fontId="3" type="noConversion"/>
  </si>
  <si>
    <t>금    액</t>
    <phoneticPr fontId="3" type="noConversion"/>
  </si>
  <si>
    <t>보 통 토 사</t>
    <phoneticPr fontId="3" type="noConversion"/>
  </si>
  <si>
    <t>인</t>
    <phoneticPr fontId="3" type="noConversion"/>
  </si>
  <si>
    <t>경질토사, 고사점토 및 자갈섞인 점토</t>
    <phoneticPr fontId="3" type="noConversion"/>
  </si>
  <si>
    <t>구         분</t>
    <phoneticPr fontId="3" type="noConversion"/>
  </si>
  <si>
    <t>구       분</t>
    <phoneticPr fontId="3" type="noConversion"/>
  </si>
  <si>
    <t>단위</t>
    <phoneticPr fontId="3" type="noConversion"/>
  </si>
  <si>
    <t>수량</t>
    <phoneticPr fontId="3" type="noConversion"/>
  </si>
  <si>
    <t>금  액</t>
    <phoneticPr fontId="3" type="noConversion"/>
  </si>
  <si>
    <t>경암</t>
    <phoneticPr fontId="3" type="noConversion"/>
  </si>
  <si>
    <t>보통암</t>
    <phoneticPr fontId="3" type="noConversion"/>
  </si>
  <si>
    <t>7-2  기계 토사절취</t>
    <phoneticPr fontId="3" type="noConversion"/>
  </si>
  <si>
    <t>○ 시간당 작업량(㎥/hr)</t>
    <phoneticPr fontId="3" type="noConversion"/>
  </si>
  <si>
    <t>Q =</t>
    <phoneticPr fontId="3" type="noConversion"/>
  </si>
  <si>
    <t>3600 × q × k × f × E</t>
    <phoneticPr fontId="3" type="noConversion"/>
  </si>
  <si>
    <t>q : 버킷용량(㎥)</t>
    <phoneticPr fontId="3" type="noConversion"/>
  </si>
  <si>
    <t>k : 버킷계수</t>
    <phoneticPr fontId="3" type="noConversion"/>
  </si>
  <si>
    <t>cm</t>
    <phoneticPr fontId="3" type="noConversion"/>
  </si>
  <si>
    <t>f : 체적환산계수 = 1/L = 1/1.25 = 0.8</t>
    <phoneticPr fontId="3" type="noConversion"/>
  </si>
  <si>
    <t>E : 작업효율</t>
    <phoneticPr fontId="3" type="noConversion"/>
  </si>
  <si>
    <t>cm : 1회 사이클 시간(초)</t>
    <phoneticPr fontId="3" type="noConversion"/>
  </si>
  <si>
    <t>장 비 명</t>
    <phoneticPr fontId="3" type="noConversion"/>
  </si>
  <si>
    <t>q</t>
    <phoneticPr fontId="3" type="noConversion"/>
  </si>
  <si>
    <t>k</t>
    <phoneticPr fontId="3" type="noConversion"/>
  </si>
  <si>
    <t>f</t>
    <phoneticPr fontId="3" type="noConversion"/>
  </si>
  <si>
    <t>E</t>
    <phoneticPr fontId="3" type="noConversion"/>
  </si>
  <si>
    <t>Q (㎥/hr)</t>
    <phoneticPr fontId="3" type="noConversion"/>
  </si>
  <si>
    <t>굴 삭 기</t>
    <phoneticPr fontId="3" type="noConversion"/>
  </si>
  <si>
    <t>0.12㎥</t>
    <phoneticPr fontId="3" type="noConversion"/>
  </si>
  <si>
    <t>180˚</t>
    <phoneticPr fontId="3" type="noConversion"/>
  </si>
  <si>
    <t>0.18㎥</t>
    <phoneticPr fontId="3" type="noConversion"/>
  </si>
  <si>
    <t>0.2㎥</t>
    <phoneticPr fontId="3" type="noConversion"/>
  </si>
  <si>
    <t>135˚</t>
    <phoneticPr fontId="3" type="noConversion"/>
  </si>
  <si>
    <t>0.6㎥</t>
    <phoneticPr fontId="3" type="noConversion"/>
  </si>
  <si>
    <t>90˚</t>
    <phoneticPr fontId="3" type="noConversion"/>
  </si>
  <si>
    <t>0.7㎥</t>
    <phoneticPr fontId="3" type="noConversion"/>
  </si>
  <si>
    <t>0.8㎥</t>
    <phoneticPr fontId="3" type="noConversion"/>
  </si>
  <si>
    <t>1.0㎥</t>
    <phoneticPr fontId="3" type="noConversion"/>
  </si>
  <si>
    <t>○ ㎥당 기계경비(원/㎥)</t>
    <phoneticPr fontId="3" type="noConversion"/>
  </si>
  <si>
    <t>기계경비 (원/hr)</t>
    <phoneticPr fontId="3" type="noConversion"/>
  </si>
  <si>
    <t>Q
(㎥/hr)</t>
    <phoneticPr fontId="3" type="noConversion"/>
  </si>
  <si>
    <t>기계경비 (원/㎥)</t>
    <phoneticPr fontId="3" type="noConversion"/>
  </si>
  <si>
    <t>재료비</t>
    <phoneticPr fontId="3" type="noConversion"/>
  </si>
  <si>
    <t>노무비</t>
    <phoneticPr fontId="3" type="noConversion"/>
  </si>
  <si>
    <t>경  비</t>
    <phoneticPr fontId="3" type="noConversion"/>
  </si>
  <si>
    <t>굴삭기(타이어)</t>
    <phoneticPr fontId="3" type="noConversion"/>
  </si>
  <si>
    <t>7-3  기계 토사터파기</t>
    <phoneticPr fontId="3" type="noConversion"/>
  </si>
  <si>
    <t>7-4  기계 암반터파기</t>
    <phoneticPr fontId="3" type="noConversion"/>
  </si>
  <si>
    <t>대형브레이커나 화약사용이 불가능한 경우</t>
    <phoneticPr fontId="3" type="noConversion"/>
  </si>
  <si>
    <t>단  가</t>
    <phoneticPr fontId="3" type="noConversion"/>
  </si>
  <si>
    <t>풍화암</t>
    <phoneticPr fontId="3" type="noConversion"/>
  </si>
  <si>
    <t>연암</t>
    <phoneticPr fontId="3" type="noConversion"/>
  </si>
  <si>
    <t>재
료
비</t>
    <phoneticPr fontId="3" type="noConversion"/>
  </si>
  <si>
    <t>공기압축기</t>
    <phoneticPr fontId="3" type="noConversion"/>
  </si>
  <si>
    <t>hr</t>
    <phoneticPr fontId="3" type="noConversion"/>
  </si>
  <si>
    <t>계</t>
    <phoneticPr fontId="3" type="noConversion"/>
  </si>
  <si>
    <t>노
무
비</t>
    <phoneticPr fontId="3" type="noConversion"/>
  </si>
  <si>
    <t>착암공</t>
    <phoneticPr fontId="3" type="noConversion"/>
  </si>
  <si>
    <t>경
비</t>
    <phoneticPr fontId="3" type="noConversion"/>
  </si>
  <si>
    <t>경   비</t>
    <phoneticPr fontId="3" type="noConversion"/>
  </si>
  <si>
    <t>합   계</t>
    <phoneticPr fontId="3" type="noConversion"/>
  </si>
  <si>
    <t>암
파
쇄</t>
    <phoneticPr fontId="3" type="noConversion"/>
  </si>
  <si>
    <t>터
파
기</t>
    <phoneticPr fontId="3" type="noConversion"/>
  </si>
  <si>
    <t>※ 기계경비 조합산정(원/hr)</t>
    <phoneticPr fontId="3" type="noConversion"/>
  </si>
  <si>
    <t>수  량</t>
    <phoneticPr fontId="3" type="noConversion"/>
  </si>
  <si>
    <t>재 료 비</t>
    <phoneticPr fontId="3" type="noConversion"/>
  </si>
  <si>
    <t>노 무 비</t>
    <phoneticPr fontId="3" type="noConversion"/>
  </si>
  <si>
    <t>경     비</t>
    <phoneticPr fontId="3" type="noConversion"/>
  </si>
  <si>
    <t>합    계</t>
    <phoneticPr fontId="3" type="noConversion"/>
  </si>
  <si>
    <t>비      고</t>
    <phoneticPr fontId="3" type="noConversion"/>
  </si>
  <si>
    <t>대형브레이커(0.7㎥용)</t>
    <phoneticPr fontId="3" type="noConversion"/>
  </si>
  <si>
    <t>굴삭기(무한궤도 0.7㎥)</t>
    <phoneticPr fontId="3" type="noConversion"/>
  </si>
  <si>
    <t>치
즐</t>
    <phoneticPr fontId="3" type="noConversion"/>
  </si>
  <si>
    <t>본</t>
    <phoneticPr fontId="3" type="noConversion"/>
  </si>
  <si>
    <t>소
계</t>
    <phoneticPr fontId="3" type="noConversion"/>
  </si>
  <si>
    <t>7-5  기계 되메우기</t>
    <phoneticPr fontId="3" type="noConversion"/>
  </si>
  <si>
    <t>f : 체적환산계수 = C/L = 0.875/1.25 = 0.7</t>
    <phoneticPr fontId="3" type="noConversion"/>
  </si>
  <si>
    <t>7-6  기계 다짐</t>
    <phoneticPr fontId="3" type="noConversion"/>
  </si>
  <si>
    <t>7-6-1  래머 다짐</t>
    <phoneticPr fontId="3" type="noConversion"/>
  </si>
  <si>
    <t>A × N × H × f × E</t>
    <phoneticPr fontId="3" type="noConversion"/>
  </si>
  <si>
    <t>P</t>
    <phoneticPr fontId="3" type="noConversion"/>
  </si>
  <si>
    <t xml:space="preserve">A : 1회당 유효다짐면적 = </t>
    <phoneticPr fontId="3" type="noConversion"/>
  </si>
  <si>
    <t>×</t>
    <phoneticPr fontId="3" type="noConversion"/>
  </si>
  <si>
    <t>㎡</t>
    <phoneticPr fontId="3" type="noConversion"/>
  </si>
  <si>
    <t xml:space="preserve">N : 1시간당 타격횟수 = </t>
    <phoneticPr fontId="3" type="noConversion"/>
  </si>
  <si>
    <t>회/hr</t>
    <phoneticPr fontId="3" type="noConversion"/>
  </si>
  <si>
    <t>H : 다짐두께 =</t>
    <phoneticPr fontId="3" type="noConversion"/>
  </si>
  <si>
    <t>f : 체적환산계수 =</t>
    <phoneticPr fontId="3" type="noConversion"/>
  </si>
  <si>
    <t>E : 작업효율 (0.3~0.7) =</t>
    <phoneticPr fontId="3" type="noConversion"/>
  </si>
  <si>
    <t>P :  중복다짐횟수 =</t>
    <phoneticPr fontId="3" type="noConversion"/>
  </si>
  <si>
    <t>회</t>
    <phoneticPr fontId="3" type="noConversion"/>
  </si>
  <si>
    <t>래      머</t>
    <phoneticPr fontId="3" type="noConversion"/>
  </si>
  <si>
    <t>7-6-2  플레이트 콤팩터 다짐</t>
    <phoneticPr fontId="3" type="noConversion"/>
  </si>
  <si>
    <t xml:space="preserve">1,000 × V × W × D × E × </t>
    <phoneticPr fontId="3" type="noConversion"/>
  </si>
  <si>
    <t>N</t>
    <phoneticPr fontId="3" type="noConversion"/>
  </si>
  <si>
    <t>V : 다짐속도 =</t>
    <phoneticPr fontId="3" type="noConversion"/>
  </si>
  <si>
    <t>km/hr</t>
    <phoneticPr fontId="3" type="noConversion"/>
  </si>
  <si>
    <t>W : 롤러의 유효다짐폭 =</t>
    <phoneticPr fontId="3" type="noConversion"/>
  </si>
  <si>
    <t>D : 펴는 흙의 두께 =</t>
    <phoneticPr fontId="3" type="noConversion"/>
  </si>
  <si>
    <t>E : 작업효율 =</t>
    <phoneticPr fontId="3" type="noConversion"/>
  </si>
  <si>
    <t>N : 소요다짐횟수 =</t>
    <phoneticPr fontId="3" type="noConversion"/>
  </si>
  <si>
    <t>플레이트 콤팩터</t>
    <phoneticPr fontId="3" type="noConversion"/>
  </si>
  <si>
    <t>1.5ton</t>
    <phoneticPr fontId="3" type="noConversion"/>
  </si>
  <si>
    <t>7-7  기존 포장 깨기</t>
    <phoneticPr fontId="3" type="noConversion"/>
  </si>
  <si>
    <t>단가(특별인부)</t>
    <phoneticPr fontId="3" type="noConversion"/>
  </si>
  <si>
    <t>아스팔트 포장</t>
    <phoneticPr fontId="3" type="noConversion"/>
  </si>
  <si>
    <t>콘크리트 포장</t>
    <phoneticPr fontId="3" type="noConversion"/>
  </si>
  <si>
    <t>※ 잡재료는 인력품의 5%까지 계상</t>
    <phoneticPr fontId="3" type="noConversion"/>
  </si>
  <si>
    <t>금      액</t>
    <phoneticPr fontId="3" type="noConversion"/>
  </si>
  <si>
    <t>○ 사용장비 : 대형브레이커 + 굴삭기</t>
    <phoneticPr fontId="3" type="noConversion"/>
  </si>
  <si>
    <t>아스팔트
포장</t>
    <phoneticPr fontId="3" type="noConversion"/>
  </si>
  <si>
    <t>※ 기계경비 (원/hr)에 작업보조로서 보통인부 1인 계상</t>
    <phoneticPr fontId="3" type="noConversion"/>
  </si>
  <si>
    <t>보통인부 :</t>
    <phoneticPr fontId="3" type="noConversion"/>
  </si>
  <si>
    <t>÷</t>
    <phoneticPr fontId="3" type="noConversion"/>
  </si>
  <si>
    <t>원/hr</t>
    <phoneticPr fontId="3" type="noConversion"/>
  </si>
  <si>
    <t>0.4㎥용</t>
    <phoneticPr fontId="3" type="noConversion"/>
  </si>
  <si>
    <t>0.7㎥용</t>
    <phoneticPr fontId="3" type="noConversion"/>
  </si>
  <si>
    <t>굴삭기</t>
    <phoneticPr fontId="3" type="noConversion"/>
  </si>
  <si>
    <t>7-8  아스팔트 노면파쇄공</t>
    <phoneticPr fontId="3" type="noConversion"/>
  </si>
  <si>
    <t>7-8-1  노면파쇄기 2.0m</t>
    <phoneticPr fontId="3" type="noConversion"/>
  </si>
  <si>
    <t>W × V × t × E</t>
    <phoneticPr fontId="3" type="noConversion"/>
  </si>
  <si>
    <t xml:space="preserve">W : 기계의 절삭폭 = </t>
    <phoneticPr fontId="3" type="noConversion"/>
  </si>
  <si>
    <t>V : 작업속도 =</t>
    <phoneticPr fontId="3" type="noConversion"/>
  </si>
  <si>
    <t>m/h</t>
    <phoneticPr fontId="3" type="noConversion"/>
  </si>
  <si>
    <t>t : 절삭깊이 =</t>
    <phoneticPr fontId="3" type="noConversion"/>
  </si>
  <si>
    <t>㎥/hr</t>
    <phoneticPr fontId="3" type="noConversion"/>
  </si>
  <si>
    <t>노면파쇄기</t>
    <phoneticPr fontId="3" type="noConversion"/>
  </si>
  <si>
    <t>2.0m</t>
    <phoneticPr fontId="3" type="noConversion"/>
  </si>
  <si>
    <t>7-8-2  노면파쇄기 1.0m</t>
    <phoneticPr fontId="3" type="noConversion"/>
  </si>
  <si>
    <t>1.0m</t>
    <phoneticPr fontId="3" type="noConversion"/>
  </si>
  <si>
    <t>7-8-3  노면파쇄기 0.6m</t>
    <phoneticPr fontId="3" type="noConversion"/>
  </si>
  <si>
    <t>0.6m</t>
    <phoneticPr fontId="3" type="noConversion"/>
  </si>
  <si>
    <t>7-9  기존 구조물 헐기</t>
    <phoneticPr fontId="3" type="noConversion"/>
  </si>
  <si>
    <t>7-9-1  인력헐기</t>
    <phoneticPr fontId="3" type="noConversion"/>
  </si>
  <si>
    <t>단가(할석공)</t>
    <phoneticPr fontId="3" type="noConversion"/>
  </si>
  <si>
    <t>무근 구조물</t>
    <phoneticPr fontId="3" type="noConversion"/>
  </si>
  <si>
    <t>철근 구조물</t>
    <phoneticPr fontId="3" type="noConversion"/>
  </si>
  <si>
    <t>※ 본 품은 부수기내의 장애물 제거(철근, 파이프 등) 및 공구손료가 포함되어 있음</t>
    <phoneticPr fontId="3" type="noConversion"/>
  </si>
  <si>
    <t>○ 적용개소 : 대형브레이커 사용이 불가능한 경우</t>
    <phoneticPr fontId="3" type="noConversion"/>
  </si>
  <si>
    <t>7-9-3  무근 구조물 헐기 (대형브레이커+굴삭기 사용)</t>
    <phoneticPr fontId="3" type="noConversion"/>
  </si>
  <si>
    <t>○ 적용개소 : 건축물, 교량, 기초, BOX등 구조물 철거시</t>
    <phoneticPr fontId="3" type="noConversion"/>
  </si>
  <si>
    <t>구조물
평 균
두 께
30cm
미 만</t>
    <phoneticPr fontId="3" type="noConversion"/>
  </si>
  <si>
    <t>평 균
두 께
30cm
이 상</t>
    <phoneticPr fontId="3" type="noConversion"/>
  </si>
  <si>
    <t>간 이
철 근
구조물</t>
    <phoneticPr fontId="3" type="noConversion"/>
  </si>
  <si>
    <t>7-9-4  철근 구조물 헐기 (대형브레이커+굴삭기 사용)</t>
    <phoneticPr fontId="3" type="noConversion"/>
  </si>
  <si>
    <t>평 균
두 께
30cm
미 만</t>
    <phoneticPr fontId="3" type="noConversion"/>
  </si>
  <si>
    <t>교 량
상 부
강 교
슬래브</t>
    <phoneticPr fontId="3" type="noConversion"/>
  </si>
  <si>
    <t>7-10  파쇄물 기계 절취 및 집적</t>
    <phoneticPr fontId="3" type="noConversion"/>
  </si>
  <si>
    <t>7-11  토사 기계 상차</t>
    <phoneticPr fontId="3" type="noConversion"/>
  </si>
  <si>
    <t>로     더</t>
    <phoneticPr fontId="3" type="noConversion"/>
  </si>
  <si>
    <t>1.72㎥</t>
    <phoneticPr fontId="3" type="noConversion"/>
  </si>
  <si>
    <t>로더(타이어)</t>
    <phoneticPr fontId="3" type="noConversion"/>
  </si>
  <si>
    <t>7-12  파쇄물 기계 상차</t>
    <phoneticPr fontId="3" type="noConversion"/>
  </si>
  <si>
    <t>f : 체적환산계수 = 1/L = 1/1.5 = 0.67</t>
    <phoneticPr fontId="3" type="noConversion"/>
  </si>
  <si>
    <t>크레인트럭 (5M-7M)</t>
    <phoneticPr fontId="23" type="noConversion"/>
  </si>
  <si>
    <t>크레인트럭 (8M-9M)</t>
    <phoneticPr fontId="23" type="noConversion"/>
  </si>
  <si>
    <t>크레인트럭 (10M-12M)</t>
    <phoneticPr fontId="23" type="noConversion"/>
  </si>
  <si>
    <t>국기봉 설치(크레인트럭)</t>
    <phoneticPr fontId="23" type="noConversion"/>
  </si>
  <si>
    <t>분전함기성기초</t>
    <phoneticPr fontId="3" type="noConversion"/>
  </si>
  <si>
    <t>5) 기계경비</t>
    <phoneticPr fontId="3" type="noConversion"/>
  </si>
  <si>
    <t>*</t>
    <phoneticPr fontId="3" type="noConversion"/>
  </si>
  <si>
    <t>비계공</t>
    <phoneticPr fontId="3" type="noConversion"/>
  </si>
  <si>
    <t>맨홀 설치(크레인트럭)</t>
    <phoneticPr fontId="23" type="noConversion"/>
  </si>
  <si>
    <t>전5-26-1</t>
    <phoneticPr fontId="17" type="noConversion"/>
  </si>
  <si>
    <t>할석공</t>
    <phoneticPr fontId="3" type="noConversion"/>
  </si>
  <si>
    <t>콘크리트
포장</t>
    <phoneticPr fontId="3" type="noConversion"/>
  </si>
  <si>
    <t>대형브레이커</t>
    <phoneticPr fontId="3" type="noConversion"/>
  </si>
  <si>
    <t>비  고</t>
    <phoneticPr fontId="11" type="noConversion"/>
  </si>
  <si>
    <t>전 4-2</t>
    <phoneticPr fontId="3" type="noConversion"/>
  </si>
  <si>
    <t>인</t>
  </si>
  <si>
    <t>관    급    자    재    비</t>
    <phoneticPr fontId="11" type="noConversion"/>
  </si>
  <si>
    <t>이          전          비</t>
    <phoneticPr fontId="11" type="noConversion"/>
  </si>
  <si>
    <t>금          액</t>
    <phoneticPr fontId="11" type="noConversion"/>
  </si>
  <si>
    <t>75mm</t>
    <phoneticPr fontId="3" type="noConversion"/>
  </si>
  <si>
    <t>고 용 개 선 지 원 비  (PS단가)</t>
    <phoneticPr fontId="3" type="noConversion"/>
  </si>
  <si>
    <r>
      <t xml:space="preserve">※ 현장내에서 </t>
    </r>
    <r>
      <rPr>
        <b/>
        <sz val="11"/>
        <color theme="1"/>
        <rFont val="08서울남산체 M"/>
        <family val="1"/>
        <charset val="129"/>
      </rPr>
      <t>소운반하여 깔고 고르는 잔토처리</t>
    </r>
    <r>
      <rPr>
        <sz val="11"/>
        <color theme="1"/>
        <rFont val="08서울남산체 M"/>
        <family val="1"/>
        <charset val="129"/>
      </rPr>
      <t xml:space="preserve">는 ㎥당 </t>
    </r>
    <r>
      <rPr>
        <b/>
        <sz val="11"/>
        <color theme="1"/>
        <rFont val="08서울남산체 M"/>
        <family val="1"/>
        <charset val="129"/>
      </rPr>
      <t>보통인부 0.2인</t>
    </r>
    <r>
      <rPr>
        <sz val="11"/>
        <color theme="1"/>
        <rFont val="08서울남산체 M"/>
        <family val="1"/>
        <charset val="129"/>
      </rPr>
      <t>을 별도 계상</t>
    </r>
    <phoneticPr fontId="3" type="noConversion"/>
  </si>
  <si>
    <t>포장공</t>
    <phoneticPr fontId="3" type="noConversion"/>
  </si>
  <si>
    <t>500*500*800</t>
    <phoneticPr fontId="3" type="noConversion"/>
  </si>
  <si>
    <t>시멘트</t>
    <phoneticPr fontId="3" type="noConversion"/>
  </si>
  <si>
    <t>모래</t>
    <phoneticPr fontId="3" type="noConversion"/>
  </si>
  <si>
    <t>자갈</t>
    <phoneticPr fontId="3" type="noConversion"/>
  </si>
  <si>
    <t>NO</t>
    <phoneticPr fontId="3" type="noConversion"/>
  </si>
  <si>
    <t>트럭탑재형크레인</t>
    <phoneticPr fontId="3" type="noConversion"/>
  </si>
  <si>
    <t>No</t>
  </si>
  <si>
    <t>5Ton</t>
  </si>
  <si>
    <t>소형브레이커</t>
    <phoneticPr fontId="3" type="noConversion"/>
  </si>
  <si>
    <t>3.5㎥/min</t>
    <phoneticPr fontId="3" type="noConversion"/>
  </si>
  <si>
    <t>플레이트 콤팩터</t>
  </si>
  <si>
    <t>커터(콘크리트 및 아스팔트용)</t>
    <phoneticPr fontId="3" type="noConversion"/>
  </si>
  <si>
    <t>물탱크(살수차)</t>
    <phoneticPr fontId="3" type="noConversion"/>
  </si>
  <si>
    <t>진동롤러(핸드가이드식)</t>
    <phoneticPr fontId="3" type="noConversion"/>
  </si>
  <si>
    <t>0.57㎥</t>
    <phoneticPr fontId="3" type="noConversion"/>
  </si>
  <si>
    <t>동력분무기</t>
    <phoneticPr fontId="3" type="noConversion"/>
  </si>
  <si>
    <t>hr</t>
  </si>
  <si>
    <t>hr</t>
    <phoneticPr fontId="3" type="noConversion"/>
  </si>
  <si>
    <t>전5-27(나)</t>
    <phoneticPr fontId="17" type="noConversion"/>
  </si>
  <si>
    <t>합계</t>
    <phoneticPr fontId="3" type="noConversion"/>
  </si>
  <si>
    <t>전5-26-3</t>
    <phoneticPr fontId="17" type="noConversion"/>
  </si>
  <si>
    <t>개</t>
    <phoneticPr fontId="3" type="noConversion"/>
  </si>
  <si>
    <t>100W이하</t>
    <phoneticPr fontId="3" type="noConversion"/>
  </si>
  <si>
    <t>LED 가로등기구 설치</t>
    <phoneticPr fontId="3" type="noConversion"/>
  </si>
  <si>
    <t>LED 보안등기구 설치</t>
    <phoneticPr fontId="3" type="noConversion"/>
  </si>
  <si>
    <t>50W이하</t>
    <phoneticPr fontId="3" type="noConversion"/>
  </si>
  <si>
    <t>LED 가로등기구 철거</t>
    <phoneticPr fontId="3" type="noConversion"/>
  </si>
  <si>
    <t>가로등 분전반 설치</t>
    <phoneticPr fontId="3" type="noConversion"/>
  </si>
  <si>
    <t>대</t>
    <phoneticPr fontId="3" type="noConversion"/>
  </si>
  <si>
    <t>전5-18-2</t>
    <phoneticPr fontId="17" type="noConversion"/>
  </si>
  <si>
    <t>가로등 분전반 철거</t>
    <phoneticPr fontId="3" type="noConversion"/>
  </si>
  <si>
    <t>공통</t>
    <phoneticPr fontId="3" type="noConversion"/>
  </si>
  <si>
    <t>가로등주 기계 설치(관급)</t>
    <phoneticPr fontId="17" type="noConversion"/>
  </si>
  <si>
    <t>가로등주 기계 철거(관급)</t>
    <phoneticPr fontId="17" type="noConversion"/>
  </si>
  <si>
    <t>개소</t>
    <phoneticPr fontId="3" type="noConversion"/>
  </si>
  <si>
    <t>가로등주 기초(기성품) 설치</t>
    <phoneticPr fontId="3" type="noConversion"/>
  </si>
  <si>
    <t>가로등주 기초(기성품)</t>
    <phoneticPr fontId="3" type="noConversion"/>
  </si>
  <si>
    <t>내선전공</t>
    <phoneticPr fontId="3" type="noConversion"/>
  </si>
  <si>
    <t>보통인부</t>
    <phoneticPr fontId="3" type="noConversion"/>
  </si>
  <si>
    <t>인</t>
    <phoneticPr fontId="3" type="noConversion"/>
  </si>
  <si>
    <t>굴삭기(무한궤도)</t>
    <phoneticPr fontId="3" type="noConversion"/>
  </si>
  <si>
    <t>0.4㎥</t>
  </si>
  <si>
    <t>래머</t>
    <phoneticPr fontId="3" type="noConversion"/>
  </si>
  <si>
    <t>80kg</t>
    <phoneticPr fontId="3" type="noConversion"/>
  </si>
  <si>
    <t>보통토사(0~1m)</t>
  </si>
  <si>
    <t>분전반 기초(기성품) 설치</t>
    <phoneticPr fontId="3" type="noConversion"/>
  </si>
  <si>
    <t>전5-27-1</t>
    <phoneticPr fontId="3" type="noConversion"/>
  </si>
  <si>
    <t>500*500*1050*1050*1100</t>
    <phoneticPr fontId="3" type="noConversion"/>
  </si>
  <si>
    <t>전선관 설치</t>
    <phoneticPr fontId="3" type="noConversion"/>
  </si>
  <si>
    <t>배전전공</t>
    <phoneticPr fontId="3" type="noConversion"/>
  </si>
  <si>
    <t>보통인부</t>
    <phoneticPr fontId="3" type="noConversion"/>
  </si>
  <si>
    <t>m</t>
    <phoneticPr fontId="3" type="noConversion"/>
  </si>
  <si>
    <t>인</t>
    <phoneticPr fontId="3" type="noConversion"/>
  </si>
  <si>
    <t>전선관</t>
    <phoneticPr fontId="3" type="noConversion"/>
  </si>
  <si>
    <t>전4-31</t>
    <phoneticPr fontId="3" type="noConversion"/>
  </si>
  <si>
    <t>내선전공</t>
    <phoneticPr fontId="3" type="noConversion"/>
  </si>
  <si>
    <t>케이블 설치</t>
    <phoneticPr fontId="3" type="noConversion"/>
  </si>
  <si>
    <t>F-CV 6㎟/1C</t>
    <phoneticPr fontId="3" type="noConversion"/>
  </si>
  <si>
    <t>케이블</t>
    <phoneticPr fontId="3" type="noConversion"/>
  </si>
  <si>
    <t>저압케이블전공</t>
  </si>
  <si>
    <t>전4-34</t>
    <phoneticPr fontId="3" type="noConversion"/>
  </si>
  <si>
    <t>F-CV 6㎟/1C/2L</t>
    <phoneticPr fontId="3" type="noConversion"/>
  </si>
  <si>
    <t>가공/F-CV 6㎟/2C</t>
    <phoneticPr fontId="3" type="noConversion"/>
  </si>
  <si>
    <t>F-GV 6㎟</t>
    <phoneticPr fontId="3" type="noConversion"/>
  </si>
  <si>
    <t>접지케이블</t>
    <phoneticPr fontId="3" type="noConversion"/>
  </si>
  <si>
    <t>접지케이블 설치</t>
    <phoneticPr fontId="3" type="noConversion"/>
  </si>
  <si>
    <t>전3-38</t>
    <phoneticPr fontId="3" type="noConversion"/>
  </si>
  <si>
    <t>케이블 철거</t>
    <phoneticPr fontId="3" type="noConversion"/>
  </si>
  <si>
    <t>접지케이블 철거</t>
    <phoneticPr fontId="3" type="noConversion"/>
  </si>
  <si>
    <t>개</t>
    <phoneticPr fontId="3" type="noConversion"/>
  </si>
  <si>
    <t>내선전공</t>
    <phoneticPr fontId="3" type="noConversion"/>
  </si>
  <si>
    <t>인</t>
    <phoneticPr fontId="3" type="noConversion"/>
  </si>
  <si>
    <t>ELB(32Fb,30A,2P)</t>
    <phoneticPr fontId="17" type="noConversion"/>
  </si>
  <si>
    <t>32Fb,30A,2P</t>
    <phoneticPr fontId="23" type="noConversion"/>
  </si>
  <si>
    <t>누전차단기(ELB)</t>
    <phoneticPr fontId="3" type="noConversion"/>
  </si>
  <si>
    <t>전5-19</t>
    <phoneticPr fontId="3" type="noConversion"/>
  </si>
  <si>
    <t>누전차단기 철거</t>
    <phoneticPr fontId="3" type="noConversion"/>
  </si>
  <si>
    <t>지중케이블 매설표시 시트 설치</t>
    <phoneticPr fontId="17" type="noConversion"/>
  </si>
  <si>
    <t>200*250</t>
    <phoneticPr fontId="3" type="noConversion"/>
  </si>
  <si>
    <t>m</t>
    <phoneticPr fontId="3" type="noConversion"/>
  </si>
  <si>
    <t>매설표시 시트</t>
    <phoneticPr fontId="3" type="noConversion"/>
  </si>
  <si>
    <t>저압용(200mm)</t>
    <phoneticPr fontId="23" type="noConversion"/>
  </si>
  <si>
    <t>저압케이블전공</t>
    <phoneticPr fontId="3" type="noConversion"/>
  </si>
  <si>
    <t>보통인부</t>
    <phoneticPr fontId="3" type="noConversion"/>
  </si>
  <si>
    <t>22㎟</t>
    <phoneticPr fontId="3" type="noConversion"/>
  </si>
  <si>
    <t>터파기</t>
    <phoneticPr fontId="3" type="noConversion"/>
  </si>
  <si>
    <t>m3</t>
  </si>
  <si>
    <t>특별인부</t>
    <phoneticPr fontId="3" type="noConversion"/>
  </si>
  <si>
    <t>굴착기</t>
    <phoneticPr fontId="3" type="noConversion"/>
  </si>
  <si>
    <t>살수차</t>
    <phoneticPr fontId="3" type="noConversion"/>
  </si>
  <si>
    <t>접지봉 설치</t>
    <phoneticPr fontId="3" type="noConversion"/>
  </si>
  <si>
    <t>Φ14x1000L</t>
  </si>
  <si>
    <t>보통인부</t>
    <phoneticPr fontId="17" type="noConversion"/>
  </si>
  <si>
    <t>전3-38</t>
    <phoneticPr fontId="3" type="noConversion"/>
  </si>
  <si>
    <t>잔토처리</t>
    <phoneticPr fontId="3" type="noConversion"/>
  </si>
  <si>
    <t>0.7ton</t>
  </si>
  <si>
    <t>보도용 블록 걷기</t>
    <phoneticPr fontId="3" type="noConversion"/>
  </si>
  <si>
    <t>B-tybe(인력, 재사용)</t>
    <phoneticPr fontId="3" type="noConversion"/>
  </si>
  <si>
    <t>포장공</t>
    <phoneticPr fontId="3" type="noConversion"/>
  </si>
  <si>
    <t>보통인부</t>
    <phoneticPr fontId="3" type="noConversion"/>
  </si>
  <si>
    <t>트럭</t>
    <phoneticPr fontId="3" type="noConversion"/>
  </si>
  <si>
    <t>2.5ton</t>
    <phoneticPr fontId="3" type="noConversion"/>
  </si>
  <si>
    <t>인</t>
    <phoneticPr fontId="3" type="noConversion"/>
  </si>
  <si>
    <t>hr</t>
    <phoneticPr fontId="3" type="noConversion"/>
  </si>
  <si>
    <t>m2</t>
    <phoneticPr fontId="3" type="noConversion"/>
  </si>
  <si>
    <t>보통토사 / TypeⅠ(지반 및 현장조건이 일반적인 경우) / 기계9+인력1</t>
    <phoneticPr fontId="3" type="noConversion"/>
  </si>
  <si>
    <t>전4-45</t>
    <phoneticPr fontId="3" type="noConversion"/>
  </si>
  <si>
    <t>일 위 대 가</t>
    <phoneticPr fontId="3" type="noConversion"/>
  </si>
  <si>
    <t>내 역 서</t>
    <phoneticPr fontId="3" type="noConversion"/>
  </si>
  <si>
    <t>합 계 금 액</t>
    <phoneticPr fontId="3" type="noConversion"/>
  </si>
  <si>
    <t>순 공 사 원 가</t>
    <phoneticPr fontId="11" type="noConversion"/>
  </si>
  <si>
    <t>재 료 비</t>
    <phoneticPr fontId="11" type="noConversion"/>
  </si>
  <si>
    <t>노 무 비</t>
    <phoneticPr fontId="11" type="noConversion"/>
  </si>
  <si>
    <t>경   비</t>
    <phoneticPr fontId="11" type="noConversion"/>
  </si>
  <si>
    <t>고     재     처     리     비</t>
    <phoneticPr fontId="11" type="noConversion"/>
  </si>
  <si>
    <t>도          급          액</t>
    <phoneticPr fontId="11" type="noConversion"/>
  </si>
  <si>
    <t>총      공      사      비</t>
    <phoneticPr fontId="11" type="noConversion"/>
  </si>
  <si>
    <t>요  율</t>
    <phoneticPr fontId="11" type="noConversion"/>
  </si>
  <si>
    <t>본</t>
  </si>
  <si>
    <t>고철</t>
    <phoneticPr fontId="3" type="noConversion"/>
  </si>
  <si>
    <t>Kg</t>
    <phoneticPr fontId="3" type="noConversion"/>
  </si>
  <si>
    <t>동</t>
  </si>
  <si>
    <t>고재처리(분전반)</t>
    <phoneticPr fontId="3" type="noConversion"/>
  </si>
  <si>
    <t>공통</t>
    <phoneticPr fontId="3" type="noConversion"/>
  </si>
  <si>
    <t>고스텐</t>
    <phoneticPr fontId="3" type="noConversion"/>
  </si>
  <si>
    <t>고재처리(안정기)</t>
    <phoneticPr fontId="3" type="noConversion"/>
  </si>
  <si>
    <t>고동</t>
    <phoneticPr fontId="3" type="noConversion"/>
  </si>
  <si>
    <t>고재처리(케이블)</t>
    <phoneticPr fontId="3" type="noConversion"/>
  </si>
  <si>
    <t>F-CV 6㎟/1C</t>
    <phoneticPr fontId="3" type="noConversion"/>
  </si>
  <si>
    <t>동영상 편집</t>
    <phoneticPr fontId="3" type="noConversion"/>
  </si>
  <si>
    <t>초급숙련기술자</t>
    <phoneticPr fontId="3" type="noConversion"/>
  </si>
  <si>
    <t>식</t>
    <phoneticPr fontId="3" type="noConversion"/>
  </si>
  <si>
    <t>인</t>
    <phoneticPr fontId="3" type="noConversion"/>
  </si>
  <si>
    <t>동영상 촬영장비 임대</t>
    <phoneticPr fontId="3" type="noConversion"/>
  </si>
  <si>
    <t>카메라</t>
  </si>
  <si>
    <t>액션캠/2"/4K UHD</t>
  </si>
  <si>
    <t>삼각대</t>
  </si>
  <si>
    <t>SD카드</t>
  </si>
  <si>
    <t>SD카드(128GB)</t>
  </si>
  <si>
    <t>대</t>
    <phoneticPr fontId="3" type="noConversion"/>
  </si>
  <si>
    <t xml:space="preserve">산 업 안 전 관 리 비 </t>
    <phoneticPr fontId="11" type="noConversion"/>
  </si>
  <si>
    <t>안  전  관  리  비</t>
    <phoneticPr fontId="3" type="noConversion"/>
  </si>
  <si>
    <t>부가세 포함</t>
    <phoneticPr fontId="3" type="noConversion"/>
  </si>
  <si>
    <t>&lt;&lt;재료비+직접노무비&gt; x 2.07%&gt; x 1.2</t>
    <phoneticPr fontId="3" type="noConversion"/>
  </si>
  <si>
    <t>5-27(나)</t>
    <phoneticPr fontId="3" type="noConversion"/>
  </si>
  <si>
    <t>소  계</t>
    <phoneticPr fontId="3" type="noConversion"/>
  </si>
  <si>
    <t>5Ton</t>
    <phoneticPr fontId="3" type="noConversion"/>
  </si>
  <si>
    <t>hr</t>
    <phoneticPr fontId="3" type="noConversion"/>
  </si>
  <si>
    <t>SMPS 설치</t>
    <phoneticPr fontId="3" type="noConversion"/>
  </si>
  <si>
    <t>관급, 각종, 등기구 병행</t>
    <phoneticPr fontId="3" type="noConversion"/>
  </si>
  <si>
    <t>노후 보안등기구 철거</t>
    <phoneticPr fontId="3" type="noConversion"/>
  </si>
  <si>
    <t>내선전공</t>
    <phoneticPr fontId="3" type="noConversion"/>
  </si>
  <si>
    <t>절연버킷트럭</t>
    <phoneticPr fontId="3" type="noConversion"/>
  </si>
  <si>
    <t>전5-26-1</t>
    <phoneticPr fontId="3" type="noConversion"/>
  </si>
  <si>
    <t>개</t>
    <phoneticPr fontId="3" type="noConversion"/>
  </si>
  <si>
    <t>인</t>
    <phoneticPr fontId="3" type="noConversion"/>
  </si>
  <si>
    <t>전선관 철거</t>
    <phoneticPr fontId="3" type="noConversion"/>
  </si>
  <si>
    <t>소  계</t>
  </si>
  <si>
    <t>고철</t>
  </si>
  <si>
    <t>370x270mm</t>
    <phoneticPr fontId="3" type="noConversion"/>
  </si>
  <si>
    <t>전5-27</t>
    <phoneticPr fontId="3" type="noConversion"/>
  </si>
  <si>
    <t>전5-27-4</t>
    <phoneticPr fontId="3" type="noConversion"/>
  </si>
  <si>
    <t>베이스커버</t>
    <phoneticPr fontId="3" type="noConversion"/>
  </si>
  <si>
    <t>고재처리(가로등주)</t>
  </si>
  <si>
    <t>고재처리(암대)</t>
  </si>
  <si>
    <t>고재처리(암대_보행등)</t>
  </si>
  <si>
    <t>2m,Φ110</t>
    <phoneticPr fontId="3" type="noConversion"/>
  </si>
  <si>
    <t>0.7m,Φ110</t>
    <phoneticPr fontId="3" type="noConversion"/>
  </si>
  <si>
    <t>Kg</t>
  </si>
  <si>
    <t>MH 70W철거</t>
    <phoneticPr fontId="3" type="noConversion"/>
  </si>
  <si>
    <t>전5-26</t>
    <phoneticPr fontId="17" type="noConversion"/>
  </si>
  <si>
    <t>대</t>
  </si>
  <si>
    <t>7-1-1  인력굴착(토사)</t>
    <phoneticPr fontId="3" type="noConversion"/>
  </si>
  <si>
    <t xml:space="preserve">※ 로더 cm(1회 사이클 시간:초) = m · ℓ ＋ t1 ＋ t2 = 1.8 × 8 ＋ 6 ＋ 14 = 34.4 </t>
    <phoneticPr fontId="3" type="noConversion"/>
  </si>
  <si>
    <t>흐트러진, 파쇄암, 보통</t>
    <phoneticPr fontId="3" type="noConversion"/>
  </si>
  <si>
    <t>흐트러진상태로 담긴 버킷용량을 자연상태로 변환해주어야함</t>
    <phoneticPr fontId="3" type="noConversion"/>
  </si>
  <si>
    <t xml:space="preserve">우리가 정산하여 주는 면적은 자연상태의 면적기준이므로 </t>
    <phoneticPr fontId="3" type="noConversion"/>
  </si>
  <si>
    <t>q 버킷용량은 흐트러진상태에서 흐트러진상태로 담기게 되는데</t>
    <phoneticPr fontId="3" type="noConversion"/>
  </si>
  <si>
    <t xml:space="preserve">Q는 한시간에 0루베의 파쇄물을 상차 작업할수있는 능력 </t>
    <phoneticPr fontId="3" type="noConversion"/>
  </si>
  <si>
    <t>8-2-5 로더</t>
    <phoneticPr fontId="3" type="noConversion"/>
  </si>
  <si>
    <t>8-2-3 굴삭기</t>
    <phoneticPr fontId="3" type="noConversion"/>
  </si>
  <si>
    <t>흐트러진, 자갈섞인흙, 양호</t>
    <phoneticPr fontId="3" type="noConversion"/>
  </si>
  <si>
    <t xml:space="preserve">Q는 한시간에 0루베의 토사를 상차 작업할수있는 능력 </t>
    <phoneticPr fontId="3" type="noConversion"/>
  </si>
  <si>
    <t>0.4㎥
(보도포장철거)</t>
    <phoneticPr fontId="3" type="noConversion"/>
  </si>
  <si>
    <t>0.2㎥
(보도포장철거)</t>
    <phoneticPr fontId="3" type="noConversion"/>
  </si>
  <si>
    <t>서울형품셈17년</t>
    <phoneticPr fontId="3" type="noConversion"/>
  </si>
  <si>
    <t>q 버킷용량은 자연상태에서 흐트러진상태로 담기게 되는데</t>
    <phoneticPr fontId="3" type="noConversion"/>
  </si>
  <si>
    <t xml:space="preserve">Q는 한시간에 0루베의 파쇄물을 절취 및 집적 작업할수있는 능력 </t>
    <phoneticPr fontId="3" type="noConversion"/>
  </si>
  <si>
    <t>8-2-15 대형브레이커 2.작업능력 가. 구조물 헐기</t>
    <phoneticPr fontId="3" type="noConversion"/>
  </si>
  <si>
    <t>※ 잡재료비(치즐 등)는 인력품의 1%로 계상</t>
    <phoneticPr fontId="3" type="noConversion"/>
  </si>
  <si>
    <t>소형브레이커(공압식)</t>
    <phoneticPr fontId="3" type="noConversion"/>
  </si>
  <si>
    <t>○ 사용장비 : 공기압축기 3.5㎥/min + 소형브레이커(공압식)1.3 ㎥/min  2대</t>
    <phoneticPr fontId="3" type="noConversion"/>
  </si>
  <si>
    <t>건축 12-3-1 콘크리트구조물 헐기(소형장비)</t>
    <phoneticPr fontId="3" type="noConversion"/>
  </si>
  <si>
    <t>7-9-2  소형브레이커(공압식) 사용</t>
    <phoneticPr fontId="3" type="noConversion"/>
  </si>
  <si>
    <t>????????????????</t>
    <phoneticPr fontId="3" type="noConversion"/>
  </si>
  <si>
    <t>??????????</t>
    <phoneticPr fontId="3" type="noConversion"/>
  </si>
  <si>
    <t>8-2-18 노면파쇄기</t>
    <phoneticPr fontId="3" type="noConversion"/>
  </si>
  <si>
    <t>0.2㎥용</t>
    <phoneticPr fontId="3" type="noConversion"/>
  </si>
  <si>
    <t>※ 포장두께 20cm이하의 경우 0.2㎥, 0.4㎥적용 30cm이하의 경우 0.7㎥적용</t>
    <phoneticPr fontId="3" type="noConversion"/>
  </si>
  <si>
    <t>8-2-15 대형 브레이커 2. 작업능력</t>
    <phoneticPr fontId="3" type="noConversion"/>
  </si>
  <si>
    <t>7-7-2  대형브레이커+굴삭기 사용</t>
    <phoneticPr fontId="3" type="noConversion"/>
  </si>
  <si>
    <t>※ 잡재료비는 인력품의 1%까지 계상</t>
    <phoneticPr fontId="3" type="noConversion"/>
  </si>
  <si>
    <t>※ 버럭적재 · 운반 및 기계 · 기구 경비는 별도 계상</t>
    <phoneticPr fontId="3" type="noConversion"/>
  </si>
  <si>
    <t>○ 사용장비 : 공기압축기 7.1㎥/min + 소형브레이커(공압식)1.3 ㎥/min  4대</t>
    <phoneticPr fontId="3" type="noConversion"/>
  </si>
  <si>
    <t>3-1-3 인력굴착(암반) (풍화암-아스팔트, 연암-콘크리트)</t>
    <phoneticPr fontId="3" type="noConversion"/>
  </si>
  <si>
    <t>7-7-1  소형브레이커(공압식) 사용</t>
    <phoneticPr fontId="3" type="noConversion"/>
  </si>
  <si>
    <t>8-2-12 플레이트 컴팩터</t>
    <phoneticPr fontId="3" type="noConversion"/>
  </si>
  <si>
    <t>8-2-11 래머</t>
    <phoneticPr fontId="3" type="noConversion"/>
  </si>
  <si>
    <t>흐트러진-양호</t>
    <phoneticPr fontId="3" type="noConversion"/>
  </si>
  <si>
    <t>흐트러진-보통</t>
    <phoneticPr fontId="3" type="noConversion"/>
  </si>
  <si>
    <t>흐트러진상태로 담긴 버킷용량을 다져진상태로 변환해주어야함</t>
    <phoneticPr fontId="3" type="noConversion"/>
  </si>
  <si>
    <t xml:space="preserve">우리가 정산하여 주는 면적은 다져진상태의 면적기준이므로 </t>
    <phoneticPr fontId="3" type="noConversion"/>
  </si>
  <si>
    <t>q 버킷용량은 흐트러진상태에 담겨서 다져진상태로 마무리되어야 하는데</t>
    <phoneticPr fontId="3" type="noConversion"/>
  </si>
  <si>
    <t xml:space="preserve">Q는 한시간에 0루베의 토사를 되메우기 작업할수있는 능력 </t>
    <phoneticPr fontId="3" type="noConversion"/>
  </si>
  <si>
    <t>8-2-3 굴삭기 2. 작업효율</t>
    <phoneticPr fontId="3" type="noConversion"/>
  </si>
  <si>
    <t>○ 사용장비 : 대형브레이커 + 굴삭기 0.6~0.8㎥</t>
    <phoneticPr fontId="3" type="noConversion"/>
  </si>
  <si>
    <t>8-2-15 대형브레이커 2-나. 굴삭</t>
    <phoneticPr fontId="3" type="noConversion"/>
  </si>
  <si>
    <t>7-4-1  대형브레이커+굴삭기 사용</t>
    <phoneticPr fontId="3" type="noConversion"/>
  </si>
  <si>
    <t>3-3-2.기계사용터파기(암반)</t>
    <phoneticPr fontId="3" type="noConversion"/>
  </si>
  <si>
    <t>자연상태-보통</t>
    <phoneticPr fontId="3" type="noConversion"/>
  </si>
  <si>
    <t>q 버킷용량은 자연상태에서 흐트러진상태로 버킷에 담기게 되는데</t>
    <phoneticPr fontId="3" type="noConversion"/>
  </si>
  <si>
    <t xml:space="preserve">Q는 한시간에 0루베의 토사를 터파기 작업할수있는 능력 </t>
    <phoneticPr fontId="3" type="noConversion"/>
  </si>
  <si>
    <t>8-2-3 굴삭기 2. 작업효율 (7)</t>
    <phoneticPr fontId="3" type="noConversion"/>
  </si>
  <si>
    <t>7-3-2  기계 토사터파기(상·하수도 관부설)</t>
    <phoneticPr fontId="3" type="noConversion"/>
  </si>
  <si>
    <t>※ 주택가, 번화가 등 이와 유사한 현장에서 연속적인 작업이 불가능한 관부설 터파기 토공사는  "8-2-3 굴삭기"의 "2. 작업효율(E) [주] (7)"을 적용한다.</t>
    <phoneticPr fontId="3" type="noConversion"/>
  </si>
  <si>
    <t>터파기 0.05감</t>
    <phoneticPr fontId="3" type="noConversion"/>
  </si>
  <si>
    <t>8-2-3 굴삭기 2. 작업효율 (4)</t>
    <phoneticPr fontId="3" type="noConversion"/>
  </si>
  <si>
    <t>7-3-1  기계 토사터파기</t>
    <phoneticPr fontId="3" type="noConversion"/>
  </si>
  <si>
    <t xml:space="preserve">Q는 한시간에 0루베의 토사를 절취 작업할수있는 능력 </t>
    <phoneticPr fontId="3" type="noConversion"/>
  </si>
  <si>
    <t>○ 적용대상 : 단위개소당 굴착토량이 10㎥미만의 경우</t>
    <phoneticPr fontId="3" type="noConversion"/>
  </si>
  <si>
    <t>3-1-3 인력굴착(암반)</t>
    <phoneticPr fontId="3" type="noConversion"/>
  </si>
  <si>
    <t>7-1-2  인력굴착(암반)</t>
    <phoneticPr fontId="3" type="noConversion"/>
  </si>
  <si>
    <r>
      <t xml:space="preserve">※ 주위 장애물이 있거나 협소한 장소와 용수가 있는 곳은 </t>
    </r>
    <r>
      <rPr>
        <b/>
        <sz val="11"/>
        <color theme="1"/>
        <rFont val="08서울남산체 M"/>
        <family val="1"/>
        <charset val="129"/>
      </rPr>
      <t>본 품의 50%까지 가산할 수 있다.</t>
    </r>
    <phoneticPr fontId="3" type="noConversion"/>
  </si>
  <si>
    <t>※ 흙막기 및 물푸기 품은 별도 계상</t>
    <phoneticPr fontId="3" type="noConversion"/>
  </si>
  <si>
    <r>
      <t xml:space="preserve">※ 본 품은 면고르기가 포함된 품이며, </t>
    </r>
    <r>
      <rPr>
        <b/>
        <sz val="11"/>
        <color theme="1"/>
        <rFont val="08서울남산체 M"/>
        <family val="1"/>
        <charset val="129"/>
      </rPr>
      <t>호박돌이 섞인 토사 품에는 발파품도 포함</t>
    </r>
    <phoneticPr fontId="3" type="noConversion"/>
  </si>
  <si>
    <t>호박돌섞인토사</t>
    <phoneticPr fontId="3" type="noConversion"/>
  </si>
  <si>
    <t>경 질 토 사</t>
    <phoneticPr fontId="3" type="noConversion"/>
  </si>
  <si>
    <t>호박돌</t>
    <phoneticPr fontId="3" type="noConversion"/>
  </si>
  <si>
    <t>고사점토</t>
    <phoneticPr fontId="3" type="noConversion"/>
  </si>
  <si>
    <t>경질</t>
    <phoneticPr fontId="3" type="noConversion"/>
  </si>
  <si>
    <t>보통</t>
    <phoneticPr fontId="3" type="noConversion"/>
  </si>
  <si>
    <t>○ 적용대상 : 깊이 1m이하의 인력에 의한 구조물 터파기 또는 흙깎기 등에 적용</t>
    <phoneticPr fontId="3" type="noConversion"/>
  </si>
  <si>
    <t>3-1-2 인력굴착(토사)</t>
    <phoneticPr fontId="3" type="noConversion"/>
  </si>
  <si>
    <t>3-2-1  인력굴착</t>
    <phoneticPr fontId="3" type="noConversion"/>
  </si>
  <si>
    <t>품         명</t>
    <phoneticPr fontId="3" type="noConversion"/>
  </si>
  <si>
    <t>규         격</t>
    <phoneticPr fontId="3" type="noConversion"/>
  </si>
  <si>
    <t>물 가 정 보  (2026. 1.)</t>
    <phoneticPr fontId="3" type="noConversion"/>
  </si>
  <si>
    <t>물 가 자 료 (2026. 1.)</t>
    <phoneticPr fontId="3" type="noConversion"/>
  </si>
  <si>
    <t>거 래 가 격  (2026. 1.)</t>
    <phoneticPr fontId="3" type="noConversion"/>
  </si>
  <si>
    <t>유 통 물 가  (2026. 1.)</t>
    <phoneticPr fontId="3" type="noConversion"/>
  </si>
  <si>
    <t>조달청가격정보,견적</t>
    <phoneticPr fontId="3" type="noConversion"/>
  </si>
  <si>
    <t>적 용 가 격</t>
    <phoneticPr fontId="3" type="noConversion"/>
  </si>
  <si>
    <t>page</t>
    <phoneticPr fontId="3" type="noConversion"/>
  </si>
  <si>
    <t>가    격</t>
    <phoneticPr fontId="3" type="noConversion"/>
  </si>
  <si>
    <t>가   격</t>
    <phoneticPr fontId="3" type="noConversion"/>
  </si>
  <si>
    <t>환율</t>
    <phoneticPr fontId="3" type="noConversion"/>
  </si>
  <si>
    <t>1월1일 기준가(외국환 중개)</t>
    <phoneticPr fontId="3" type="noConversion"/>
  </si>
  <si>
    <t>$</t>
    <phoneticPr fontId="3" type="noConversion"/>
  </si>
  <si>
    <t>휘발유(부가세 제외)</t>
    <phoneticPr fontId="3" type="noConversion"/>
  </si>
  <si>
    <t>1월 1주차(한국석유공사 서울지역 주유소 판매가)</t>
    <phoneticPr fontId="3" type="noConversion"/>
  </si>
  <si>
    <t>L</t>
    <phoneticPr fontId="3" type="noConversion"/>
  </si>
  <si>
    <t>경유(부가세 제외)</t>
    <phoneticPr fontId="3" type="noConversion"/>
  </si>
  <si>
    <t>냉연강판</t>
    <phoneticPr fontId="3" type="noConversion"/>
  </si>
  <si>
    <t>t=0.9mm</t>
  </si>
  <si>
    <t>kg</t>
  </si>
  <si>
    <t>냉연박판</t>
    <phoneticPr fontId="3" type="noConversion"/>
  </si>
  <si>
    <t>건축</t>
    <phoneticPr fontId="3" type="noConversion"/>
  </si>
  <si>
    <t>전기아연도금강판(EGI)</t>
    <phoneticPr fontId="3" type="noConversion"/>
  </si>
  <si>
    <t>914×1,828mm,t=0.8mm</t>
    <phoneticPr fontId="3" type="noConversion"/>
  </si>
  <si>
    <t>매</t>
    <phoneticPr fontId="3" type="noConversion"/>
  </si>
  <si>
    <t>소철선(어니일링)</t>
    <phoneticPr fontId="3" type="noConversion"/>
  </si>
  <si>
    <t>#8 (4mm)</t>
  </si>
  <si>
    <t>어닐링</t>
    <phoneticPr fontId="3" type="noConversion"/>
  </si>
  <si>
    <t>결속선</t>
    <phoneticPr fontId="3" type="noConversion"/>
  </si>
  <si>
    <t>#20 (0.9mm)</t>
  </si>
  <si>
    <t>철선,보통</t>
    <phoneticPr fontId="3" type="noConversion"/>
  </si>
  <si>
    <t>일반못</t>
    <phoneticPr fontId="3" type="noConversion"/>
  </si>
  <si>
    <t>N75</t>
    <phoneticPr fontId="3" type="noConversion"/>
  </si>
  <si>
    <t>와이어메시</t>
    <phoneticPr fontId="3" type="noConversion"/>
  </si>
  <si>
    <t>#8-150×150</t>
    <phoneticPr fontId="3" type="noConversion"/>
  </si>
  <si>
    <t>강모래</t>
    <phoneticPr fontId="3" type="noConversion"/>
  </si>
  <si>
    <t>(현장도착도)</t>
  </si>
  <si>
    <t>-</t>
  </si>
  <si>
    <t>자연자갈</t>
    <phoneticPr fontId="3" type="noConversion"/>
  </si>
  <si>
    <t>#57 25mm(현장도착도)</t>
  </si>
  <si>
    <t>-</t>
    <phoneticPr fontId="3" type="noConversion"/>
  </si>
  <si>
    <t>-</t>
    <phoneticPr fontId="3" type="noConversion"/>
  </si>
  <si>
    <t>굵은골재</t>
    <phoneticPr fontId="3" type="noConversion"/>
  </si>
  <si>
    <t>#57(현장도착도)</t>
  </si>
  <si>
    <t>혼합골재</t>
    <phoneticPr fontId="3" type="noConversion"/>
  </si>
  <si>
    <t>기층용(현장도착도)</t>
  </si>
  <si>
    <t>잡석</t>
    <phoneticPr fontId="3" type="noConversion"/>
  </si>
  <si>
    <t>제강슬래그</t>
    <phoneticPr fontId="3" type="noConversion"/>
  </si>
  <si>
    <t>미끄럼 방지용</t>
    <phoneticPr fontId="3" type="noConversion"/>
  </si>
  <si>
    <t>kg</t>
    <phoneticPr fontId="3" type="noConversion"/>
  </si>
  <si>
    <t>슬래그시멘트</t>
    <phoneticPr fontId="3" type="noConversion"/>
  </si>
  <si>
    <t>시멘트(부가세 제외)</t>
    <phoneticPr fontId="3" type="noConversion"/>
  </si>
  <si>
    <t>40kg/포</t>
  </si>
  <si>
    <t>200(부가세포함)</t>
    <phoneticPr fontId="3" type="noConversion"/>
  </si>
  <si>
    <t>대리점기준</t>
    <phoneticPr fontId="3" type="noConversion"/>
  </si>
  <si>
    <t>초속경 시멘트</t>
    <phoneticPr fontId="3" type="noConversion"/>
  </si>
  <si>
    <t>20kg/포</t>
    <phoneticPr fontId="3" type="noConversion"/>
  </si>
  <si>
    <t>수지</t>
    <phoneticPr fontId="3" type="noConversion"/>
  </si>
  <si>
    <t>폴리머계</t>
    <phoneticPr fontId="3" type="noConversion"/>
  </si>
  <si>
    <t>각재</t>
    <phoneticPr fontId="3" type="noConversion"/>
  </si>
  <si>
    <t>외송</t>
  </si>
  <si>
    <t>외송</t>
    <phoneticPr fontId="3" type="noConversion"/>
  </si>
  <si>
    <t>판재</t>
    <phoneticPr fontId="3" type="noConversion"/>
  </si>
  <si>
    <t>외송, 3.6×0.3×0.03m</t>
    <phoneticPr fontId="3" type="noConversion"/>
  </si>
  <si>
    <t>m3</t>
    <phoneticPr fontId="3" type="noConversion"/>
  </si>
  <si>
    <t>목재판재</t>
    <phoneticPr fontId="3" type="noConversion"/>
  </si>
  <si>
    <t>강관동바리</t>
    <phoneticPr fontId="3" type="noConversion"/>
  </si>
  <si>
    <t>Φ48.6×2.3mm×6m</t>
    <phoneticPr fontId="3" type="noConversion"/>
  </si>
  <si>
    <t>비계파이프</t>
    <phoneticPr fontId="3" type="noConversion"/>
  </si>
  <si>
    <t>Φ48.6×2.3mm</t>
    <phoneticPr fontId="3" type="noConversion"/>
  </si>
  <si>
    <t>비계</t>
    <phoneticPr fontId="3" type="noConversion"/>
  </si>
  <si>
    <t>이음철물</t>
    <phoneticPr fontId="3" type="noConversion"/>
  </si>
  <si>
    <t>연결핀</t>
    <phoneticPr fontId="3" type="noConversion"/>
  </si>
  <si>
    <t>비계안전장치, 연결핀</t>
    <phoneticPr fontId="3" type="noConversion"/>
  </si>
  <si>
    <t>조임철물</t>
    <phoneticPr fontId="3" type="noConversion"/>
  </si>
  <si>
    <t>직교, 자재</t>
    <phoneticPr fontId="3" type="noConversion"/>
  </si>
  <si>
    <t>비계안전장치, 직교</t>
    <phoneticPr fontId="3" type="noConversion"/>
  </si>
  <si>
    <t>받침철물</t>
    <phoneticPr fontId="3" type="noConversion"/>
  </si>
  <si>
    <t>비계안전장치, 받침</t>
    <phoneticPr fontId="3" type="noConversion"/>
  </si>
  <si>
    <t>클램프(자동,고정)</t>
    <phoneticPr fontId="3" type="noConversion"/>
  </si>
  <si>
    <t>파이프용 48×48용</t>
    <phoneticPr fontId="3" type="noConversion"/>
  </si>
  <si>
    <t>크램프</t>
    <phoneticPr fontId="3" type="noConversion"/>
  </si>
  <si>
    <t>U형 볼트 너트</t>
    <phoneticPr fontId="3" type="noConversion"/>
  </si>
  <si>
    <t>Φ3/8", 길이 2 1/2"</t>
    <phoneticPr fontId="3" type="noConversion"/>
  </si>
  <si>
    <t>유로폼</t>
    <phoneticPr fontId="3" type="noConversion"/>
  </si>
  <si>
    <t>300×1200mm</t>
    <phoneticPr fontId="3" type="noConversion"/>
  </si>
  <si>
    <t>건설용거푸집</t>
    <phoneticPr fontId="3" type="noConversion"/>
  </si>
  <si>
    <t>400×1200mm</t>
    <phoneticPr fontId="3" type="noConversion"/>
  </si>
  <si>
    <t>600×1200mm</t>
    <phoneticPr fontId="3" type="noConversion"/>
  </si>
  <si>
    <t>내부코너패널</t>
    <phoneticPr fontId="3" type="noConversion"/>
  </si>
  <si>
    <t>(200×200)×1200mm</t>
    <phoneticPr fontId="3" type="noConversion"/>
  </si>
  <si>
    <t>건설용거푸집, 내벽코너패널</t>
    <phoneticPr fontId="3" type="noConversion"/>
  </si>
  <si>
    <t>박리제</t>
    <phoneticPr fontId="3" type="noConversion"/>
  </si>
  <si>
    <t>목재, 합판용</t>
    <phoneticPr fontId="3" type="noConversion"/>
  </si>
  <si>
    <t>L</t>
  </si>
  <si>
    <t>박리오일</t>
    <phoneticPr fontId="3" type="noConversion"/>
  </si>
  <si>
    <t>철재유로폼용</t>
    <phoneticPr fontId="3" type="noConversion"/>
  </si>
  <si>
    <t>P.E 원형맨홀 기초거푸집</t>
    <phoneticPr fontId="3" type="noConversion"/>
  </si>
  <si>
    <t>Φ900, 200T</t>
  </si>
  <si>
    <t>Φ1200, 250T</t>
  </si>
  <si>
    <t>Φ1500, 250T</t>
  </si>
  <si>
    <t>P.E 원형맨홀 벽체거푸집</t>
    <phoneticPr fontId="3" type="noConversion"/>
  </si>
  <si>
    <t>H=1.2m, Φ900, 200T</t>
  </si>
  <si>
    <t>H=1.2m, Φ1200, 250T</t>
  </si>
  <si>
    <t>H=1.2m, Φ1500, 250T</t>
  </si>
  <si>
    <t>P.E 원형맨홀 슬래브거푸집</t>
    <phoneticPr fontId="3" type="noConversion"/>
  </si>
  <si>
    <t>웨지핀</t>
    <phoneticPr fontId="3" type="noConversion"/>
  </si>
  <si>
    <t>중</t>
    <phoneticPr fontId="3" type="noConversion"/>
  </si>
  <si>
    <t>웨지핀, 60mm</t>
    <phoneticPr fontId="3" type="noConversion"/>
  </si>
  <si>
    <t>플랫타이</t>
    <phoneticPr fontId="3" type="noConversion"/>
  </si>
  <si>
    <t>L=200mm</t>
    <phoneticPr fontId="3" type="noConversion"/>
  </si>
  <si>
    <t>건설용거푸집액세서리, 플랫타이, 4×19×200mm</t>
    <phoneticPr fontId="3" type="noConversion"/>
  </si>
  <si>
    <t>핀볼트</t>
    <phoneticPr fontId="3" type="noConversion"/>
  </si>
  <si>
    <t>M12×90mm</t>
    <phoneticPr fontId="3" type="noConversion"/>
  </si>
  <si>
    <t>보호망</t>
    <phoneticPr fontId="3" type="noConversion"/>
  </si>
  <si>
    <t>P.V.C 코팅지</t>
    <phoneticPr fontId="3" type="noConversion"/>
  </si>
  <si>
    <t>부직포(필터매트)</t>
    <phoneticPr fontId="3" type="noConversion"/>
  </si>
  <si>
    <t>300g/㎡</t>
    <phoneticPr fontId="3" type="noConversion"/>
  </si>
  <si>
    <t>m2</t>
  </si>
  <si>
    <t>컷백아스팔트</t>
    <phoneticPr fontId="3" type="noConversion"/>
  </si>
  <si>
    <t>MC-1</t>
    <phoneticPr fontId="3" type="noConversion"/>
  </si>
  <si>
    <t xml:space="preserve">아스팔트, MC-1 </t>
    <phoneticPr fontId="3" type="noConversion"/>
  </si>
  <si>
    <t>토목 , 1D/M=200L</t>
    <phoneticPr fontId="3" type="noConversion"/>
  </si>
  <si>
    <t>유화아스팔트</t>
    <phoneticPr fontId="3" type="noConversion"/>
  </si>
  <si>
    <t>RSC-3,4</t>
    <phoneticPr fontId="3" type="noConversion"/>
  </si>
  <si>
    <t>아스팔트, RSC-3,4</t>
    <phoneticPr fontId="3" type="noConversion"/>
  </si>
  <si>
    <t>토목</t>
    <phoneticPr fontId="3" type="noConversion"/>
  </si>
  <si>
    <t>아스팔트콘크리트</t>
    <phoneticPr fontId="3" type="noConversion"/>
  </si>
  <si>
    <t>#467, 일반용</t>
    <phoneticPr fontId="3" type="noConversion"/>
  </si>
  <si>
    <t>ton</t>
    <phoneticPr fontId="3" type="noConversion"/>
  </si>
  <si>
    <t>줄눈재</t>
    <phoneticPr fontId="3" type="noConversion"/>
  </si>
  <si>
    <t>백업재</t>
    <phoneticPr fontId="3" type="noConversion"/>
  </si>
  <si>
    <t>도로 경계블록</t>
    <phoneticPr fontId="3" type="noConversion"/>
  </si>
  <si>
    <t>120×120×120×1000mm</t>
    <phoneticPr fontId="3" type="noConversion"/>
  </si>
  <si>
    <t>150×150×150×1000mm</t>
  </si>
  <si>
    <t>보차도 경계블록</t>
    <phoneticPr fontId="3" type="noConversion"/>
  </si>
  <si>
    <t>180×205×250×1000mm</t>
    <phoneticPr fontId="3" type="noConversion"/>
  </si>
  <si>
    <t>180×210×300×1000mm</t>
    <phoneticPr fontId="3" type="noConversion"/>
  </si>
  <si>
    <t>점자·유도블록</t>
    <phoneticPr fontId="3" type="noConversion"/>
  </si>
  <si>
    <t>30×30×6cm,고강도</t>
    <phoneticPr fontId="3" type="noConversion"/>
  </si>
  <si>
    <t>t=6cm</t>
    <phoneticPr fontId="3" type="noConversion"/>
  </si>
  <si>
    <t>P.E 코팅사다리</t>
    <phoneticPr fontId="3" type="noConversion"/>
  </si>
  <si>
    <t>22×300×200</t>
  </si>
  <si>
    <t>노면표시열접착시트</t>
    <phoneticPr fontId="3" type="noConversion"/>
  </si>
  <si>
    <t>P.E안전휀스</t>
    <phoneticPr fontId="3" type="noConversion"/>
  </si>
  <si>
    <t>1500*450*880</t>
    <phoneticPr fontId="3" type="noConversion"/>
  </si>
  <si>
    <t>윙카호스</t>
    <phoneticPr fontId="3" type="noConversion"/>
  </si>
  <si>
    <t>10m/Roll(DC)</t>
    <phoneticPr fontId="3" type="noConversion"/>
  </si>
  <si>
    <t>임시차선오뚜기</t>
    <phoneticPr fontId="3" type="noConversion"/>
  </si>
  <si>
    <t>90*50</t>
    <phoneticPr fontId="3" type="noConversion"/>
  </si>
  <si>
    <t>견적</t>
    <phoneticPr fontId="3" type="noConversion"/>
  </si>
  <si>
    <t>노면표지용 도료(KSM6080)</t>
    <phoneticPr fontId="3" type="noConversion"/>
  </si>
  <si>
    <t>2종 수용성형 흰색</t>
    <phoneticPr fontId="3" type="noConversion"/>
  </si>
  <si>
    <t>KSM6080</t>
    <phoneticPr fontId="3" type="noConversion"/>
  </si>
  <si>
    <t>2종 수용성형 노란색</t>
    <phoneticPr fontId="3" type="noConversion"/>
  </si>
  <si>
    <t>도로표지용 유리알</t>
    <phoneticPr fontId="3" type="noConversion"/>
  </si>
  <si>
    <t>KSL 2521, 1호</t>
  </si>
  <si>
    <t>고성능 융착도료</t>
    <phoneticPr fontId="3" type="noConversion"/>
  </si>
  <si>
    <t>4종 융착식 백색 P3-R5/RW4</t>
  </si>
  <si>
    <t>4종 융착식 노란색 P3-R4/RW4</t>
  </si>
  <si>
    <t>융착식프라이머</t>
    <phoneticPr fontId="3" type="noConversion"/>
  </si>
  <si>
    <t>충전재(석분)</t>
    <phoneticPr fontId="3" type="noConversion"/>
  </si>
  <si>
    <t>도로용 복합슬래그 상부노상재</t>
    <phoneticPr fontId="3" type="noConversion"/>
  </si>
  <si>
    <t>표지병(PC)</t>
    <phoneticPr fontId="3" type="noConversion"/>
  </si>
  <si>
    <t>접착식,130*110*30mm(양면)</t>
    <phoneticPr fontId="3" type="noConversion"/>
  </si>
  <si>
    <t>-</t>
    <phoneticPr fontId="3" type="noConversion"/>
  </si>
  <si>
    <t>표지병(유리알)</t>
    <phoneticPr fontId="3" type="noConversion"/>
  </si>
  <si>
    <t>도로용 접착제</t>
    <phoneticPr fontId="3" type="noConversion"/>
  </si>
  <si>
    <t>도로표지병 용</t>
    <phoneticPr fontId="3" type="noConversion"/>
  </si>
  <si>
    <t>공공하수관연결구</t>
    <phoneticPr fontId="3" type="noConversion"/>
  </si>
  <si>
    <t>단지관, 100mm용</t>
  </si>
  <si>
    <t>단지관, 125mm용</t>
  </si>
  <si>
    <t>단지관, 150mm용</t>
  </si>
  <si>
    <t>단지관, 200mm용</t>
  </si>
  <si>
    <t>단지관, 250mm,흄관용</t>
    <phoneticPr fontId="3" type="noConversion"/>
  </si>
  <si>
    <t>단지관, 300mm,흄관용</t>
    <phoneticPr fontId="3" type="noConversion"/>
  </si>
  <si>
    <t>수밀시험기(물막이용)</t>
    <phoneticPr fontId="3" type="noConversion"/>
  </si>
  <si>
    <t>D=300mm</t>
    <phoneticPr fontId="3" type="noConversion"/>
  </si>
  <si>
    <t>D=400mm</t>
    <phoneticPr fontId="3" type="noConversion"/>
  </si>
  <si>
    <t>D=450mm</t>
    <phoneticPr fontId="3" type="noConversion"/>
  </si>
  <si>
    <t>D=500mm</t>
    <phoneticPr fontId="3" type="noConversion"/>
  </si>
  <si>
    <t>D=600mm</t>
    <phoneticPr fontId="3" type="noConversion"/>
  </si>
  <si>
    <t>수밀시험기(공기방출형)</t>
    <phoneticPr fontId="3" type="noConversion"/>
  </si>
  <si>
    <t>D=700mm</t>
    <phoneticPr fontId="3" type="noConversion"/>
  </si>
  <si>
    <t>D=800mm</t>
    <phoneticPr fontId="3" type="noConversion"/>
  </si>
  <si>
    <t>치즐</t>
    <phoneticPr fontId="3" type="noConversion"/>
  </si>
  <si>
    <t>경첩</t>
    <phoneticPr fontId="3" type="noConversion"/>
  </si>
  <si>
    <t>114×102×3.0T</t>
  </si>
  <si>
    <t>용접봉</t>
    <phoneticPr fontId="3" type="noConversion"/>
  </si>
  <si>
    <t>연강용, Φ4.0mm</t>
    <phoneticPr fontId="3" type="noConversion"/>
  </si>
  <si>
    <t>블레이드</t>
    <phoneticPr fontId="3" type="noConversion"/>
  </si>
  <si>
    <t>D=320~400mm,t=3.2mm</t>
  </si>
  <si>
    <t>비트</t>
    <phoneticPr fontId="3" type="noConversion"/>
  </si>
  <si>
    <t>콘크리트 코아드릴5"</t>
    <phoneticPr fontId="3" type="noConversion"/>
  </si>
  <si>
    <t>콘크리트 코아드릴6"</t>
    <phoneticPr fontId="3" type="noConversion"/>
  </si>
  <si>
    <t>콘크리트  코아드릴7"</t>
    <phoneticPr fontId="3" type="noConversion"/>
  </si>
  <si>
    <t>콘크리트 코아드릴10"</t>
    <phoneticPr fontId="3" type="noConversion"/>
  </si>
  <si>
    <t>콘크리트 코아드릴12"</t>
    <phoneticPr fontId="3" type="noConversion"/>
  </si>
  <si>
    <t>콘크리트 코아드릴14"</t>
    <phoneticPr fontId="3" type="noConversion"/>
  </si>
  <si>
    <t>연마지</t>
    <phoneticPr fontId="3" type="noConversion"/>
  </si>
  <si>
    <t>#120~180</t>
    <phoneticPr fontId="3" type="noConversion"/>
  </si>
  <si>
    <t>하수관로촬영,보고서</t>
    <phoneticPr fontId="3" type="noConversion"/>
  </si>
  <si>
    <t>신설관로 1일 250m기준</t>
  </si>
  <si>
    <t>기존관로 1일 180m기준</t>
  </si>
  <si>
    <t>경광등</t>
    <phoneticPr fontId="3" type="noConversion"/>
  </si>
  <si>
    <t>일액형실리콘</t>
    <phoneticPr fontId="3" type="noConversion"/>
  </si>
  <si>
    <t>310ml(20m시공/카트리지)</t>
  </si>
  <si>
    <t>CTG</t>
  </si>
  <si>
    <t>조합페인트</t>
    <phoneticPr fontId="3" type="noConversion"/>
  </si>
  <si>
    <t>KSM-6020 백색1급</t>
    <phoneticPr fontId="3" type="noConversion"/>
  </si>
  <si>
    <t>KSM6020</t>
    <phoneticPr fontId="3" type="noConversion"/>
  </si>
  <si>
    <t>녹막이페인트</t>
    <phoneticPr fontId="3" type="noConversion"/>
  </si>
  <si>
    <t>KSM-6030 1종 2류</t>
    <phoneticPr fontId="3" type="noConversion"/>
  </si>
  <si>
    <t>KSM6030</t>
    <phoneticPr fontId="3" type="noConversion"/>
  </si>
  <si>
    <t>시너</t>
    <phoneticPr fontId="3" type="noConversion"/>
  </si>
  <si>
    <t>KSM-6060 2종</t>
    <phoneticPr fontId="3" type="noConversion"/>
  </si>
  <si>
    <t>KSM6060</t>
    <phoneticPr fontId="3" type="noConversion"/>
  </si>
  <si>
    <t>퍼티</t>
    <phoneticPr fontId="3" type="noConversion"/>
  </si>
  <si>
    <t>수성 외부용</t>
    <phoneticPr fontId="3" type="noConversion"/>
  </si>
  <si>
    <t>에폭시 시너</t>
    <phoneticPr fontId="3" type="noConversion"/>
  </si>
  <si>
    <t>에폭시 수지</t>
    <phoneticPr fontId="3" type="noConversion"/>
  </si>
  <si>
    <t>신구콘크리트 접착제</t>
  </si>
  <si>
    <t>에폭시 프라이머</t>
    <phoneticPr fontId="3" type="noConversion"/>
  </si>
  <si>
    <t>합판</t>
    <phoneticPr fontId="3" type="noConversion"/>
  </si>
  <si>
    <t>내수, 12mm</t>
  </si>
  <si>
    <t>내수합판</t>
    <phoneticPr fontId="3" type="noConversion"/>
  </si>
  <si>
    <t>준내수,2.7mm</t>
    <phoneticPr fontId="3" type="noConversion"/>
  </si>
  <si>
    <t>가설사무실(콘테이너)</t>
    <phoneticPr fontId="3" type="noConversion"/>
  </si>
  <si>
    <t>3×6×2.6m</t>
  </si>
  <si>
    <t>컨테이너 하우스(사무실용)</t>
    <phoneticPr fontId="3" type="noConversion"/>
  </si>
  <si>
    <t>3×9×2.6m</t>
    <phoneticPr fontId="3" type="noConversion"/>
  </si>
  <si>
    <t>동</t>
    <phoneticPr fontId="3" type="noConversion"/>
  </si>
  <si>
    <t>컨테이너 하우스(창고용)</t>
    <phoneticPr fontId="3" type="noConversion"/>
  </si>
  <si>
    <t>가설창고(콘테이너)</t>
    <phoneticPr fontId="3" type="noConversion"/>
  </si>
  <si>
    <t>창고</t>
    <phoneticPr fontId="3" type="noConversion"/>
  </si>
  <si>
    <t>PVC파이프</t>
    <phoneticPr fontId="3" type="noConversion"/>
  </si>
  <si>
    <t>VG1, Φ100mm</t>
  </si>
  <si>
    <t>VG1, Φ125mm</t>
  </si>
  <si>
    <t>VG1, Φ150mm</t>
  </si>
  <si>
    <t>소켓(DS), Φ100mm, KSM3410</t>
    <phoneticPr fontId="3" type="noConversion"/>
  </si>
  <si>
    <t>소켓(DS), Φ125mm, KSM3410</t>
    <phoneticPr fontId="3" type="noConversion"/>
  </si>
  <si>
    <t>소켓(DS), Φ150mm, KSM3410</t>
    <phoneticPr fontId="3" type="noConversion"/>
  </si>
  <si>
    <t>이중벽P.E관 이음관</t>
    <phoneticPr fontId="3" type="noConversion"/>
  </si>
  <si>
    <t>PE밴드,Φ150mm</t>
  </si>
  <si>
    <t>PE밴드,Φ200mm</t>
  </si>
  <si>
    <t>PE밴드,Φ250mm</t>
  </si>
  <si>
    <t>PE밴드,Φ300mm</t>
  </si>
  <si>
    <t>이중벽P.E관</t>
    <phoneticPr fontId="3" type="noConversion"/>
  </si>
  <si>
    <t>Φ150mm,1종</t>
  </si>
  <si>
    <t>Φ200mm,1종</t>
  </si>
  <si>
    <t>Φ250mm,1종</t>
  </si>
  <si>
    <t>Φ300mm,1종</t>
  </si>
  <si>
    <t>이형철근</t>
    <phoneticPr fontId="3" type="noConversion"/>
  </si>
  <si>
    <t>d13mm</t>
    <phoneticPr fontId="3" type="noConversion"/>
  </si>
  <si>
    <t>d16mm</t>
    <phoneticPr fontId="3" type="noConversion"/>
  </si>
  <si>
    <t>프로판가스</t>
    <phoneticPr fontId="3" type="noConversion"/>
  </si>
  <si>
    <t>하:32</t>
    <phoneticPr fontId="3" type="noConversion"/>
  </si>
  <si>
    <t>액화석유가스</t>
    <phoneticPr fontId="3" type="noConversion"/>
  </si>
  <si>
    <t>아세틸렌</t>
    <phoneticPr fontId="3" type="noConversion"/>
  </si>
  <si>
    <t>98%(용접용)</t>
  </si>
  <si>
    <t>하.33</t>
  </si>
  <si>
    <t>아세틸렌가스</t>
    <phoneticPr fontId="3" type="noConversion"/>
  </si>
  <si>
    <t>산소</t>
    <phoneticPr fontId="3" type="noConversion"/>
  </si>
  <si>
    <t>40L/병</t>
    <phoneticPr fontId="3" type="noConversion"/>
  </si>
  <si>
    <t>산소가스</t>
    <phoneticPr fontId="3" type="noConversion"/>
  </si>
  <si>
    <t>P.P마대</t>
    <phoneticPr fontId="3" type="noConversion"/>
  </si>
  <si>
    <t>45×70cm</t>
  </si>
  <si>
    <t>매</t>
  </si>
  <si>
    <t>하.71</t>
    <phoneticPr fontId="3" type="noConversion"/>
  </si>
  <si>
    <t>하.48</t>
  </si>
  <si>
    <t>PE필름</t>
    <phoneticPr fontId="3" type="noConversion"/>
  </si>
  <si>
    <t>t=0.1mm</t>
  </si>
  <si>
    <t>하.18</t>
  </si>
  <si>
    <t>필름</t>
    <phoneticPr fontId="3" type="noConversion"/>
  </si>
  <si>
    <t>백색규사</t>
    <phoneticPr fontId="3" type="noConversion"/>
  </si>
  <si>
    <t>하.41</t>
  </si>
  <si>
    <t>관로조사용 CCTV</t>
    <phoneticPr fontId="3" type="noConversion"/>
  </si>
  <si>
    <t>승합차</t>
    <phoneticPr fontId="3" type="noConversion"/>
  </si>
  <si>
    <t>카니발</t>
    <phoneticPr fontId="3" type="noConversion"/>
  </si>
  <si>
    <t>팁(날)</t>
    <phoneticPr fontId="3" type="noConversion"/>
  </si>
  <si>
    <t>보도공사 실명제 표지판</t>
    <phoneticPr fontId="3" type="noConversion"/>
  </si>
  <si>
    <t>포천석,60cm×60cm(운반비 포함)</t>
  </si>
  <si>
    <t>물</t>
    <phoneticPr fontId="3" type="noConversion"/>
  </si>
  <si>
    <t>사용량: 일반용 30㎥기준
○ 상수도사용료: 0~300㎥이하 = 1,270원/㎥  ○ 하수도사용료: 0~30㎥이하 = 500원/㎥
○ 물이용부담금: 170원/㎥                      계: 1,940원/톤</t>
    <phoneticPr fontId="3" type="noConversion"/>
  </si>
  <si>
    <t>거래가격 P.1603</t>
    <phoneticPr fontId="3" type="noConversion"/>
  </si>
  <si>
    <t>전력</t>
    <phoneticPr fontId="3" type="noConversion"/>
  </si>
  <si>
    <t>kWh</t>
    <phoneticPr fontId="3" type="noConversion"/>
  </si>
  <si>
    <t>한국전력공사 일반용 전력(갑)  저압전력 
여름철(6~8월) : 132.4원/kWh,  봄.가을철(3~5,9~10월) : 91.9원/kWh, 겨울철(11~2월) : 119원/kWh
평균값 : (3개월*132.4+5개월*91.9+4개월*119)/12 = 111.06 ≒ 111</t>
    <phoneticPr fontId="3" type="noConversion"/>
  </si>
  <si>
    <t>거래가격 P.1601</t>
    <phoneticPr fontId="3" type="noConversion"/>
  </si>
  <si>
    <t>투수기층용 (현장도착도)</t>
    <phoneticPr fontId="3" type="noConversion"/>
  </si>
  <si>
    <t>투수블록용</t>
    <phoneticPr fontId="3" type="noConversion"/>
  </si>
  <si>
    <t>캇타기 날</t>
    <phoneticPr fontId="3" type="noConversion"/>
  </si>
  <si>
    <t>10 inch</t>
    <phoneticPr fontId="3" type="noConversion"/>
  </si>
  <si>
    <t>가림막휀스(원형)</t>
    <phoneticPr fontId="3" type="noConversion"/>
  </si>
  <si>
    <t>2000*1100(1단)</t>
    <phoneticPr fontId="3" type="noConversion"/>
  </si>
  <si>
    <t>폐콘크리트</t>
    <phoneticPr fontId="3" type="noConversion"/>
  </si>
  <si>
    <t>처리비</t>
    <phoneticPr fontId="3" type="noConversion"/>
  </si>
  <si>
    <t>산양환경산업</t>
    <phoneticPr fontId="3" type="noConversion"/>
  </si>
  <si>
    <t>가남환경</t>
    <phoneticPr fontId="3" type="noConversion"/>
  </si>
  <si>
    <t>도성개발</t>
    <phoneticPr fontId="3" type="noConversion"/>
  </si>
  <si>
    <t>태성기초산업</t>
    <phoneticPr fontId="3" type="noConversion"/>
  </si>
  <si>
    <t>폐아스콘</t>
    <phoneticPr fontId="3" type="noConversion"/>
  </si>
  <si>
    <t>건설폐재류</t>
    <phoneticPr fontId="3" type="noConversion"/>
  </si>
  <si>
    <t>혼합건설폐재류</t>
    <phoneticPr fontId="3" type="noConversion"/>
  </si>
  <si>
    <t>기계경비 산출</t>
    <phoneticPr fontId="3" type="noConversion"/>
  </si>
  <si>
    <t>건설기계조장</t>
    <phoneticPr fontId="3" type="noConversion"/>
  </si>
  <si>
    <t>화물차운전사</t>
    <phoneticPr fontId="3" type="noConversion"/>
  </si>
  <si>
    <t>일반기계운전사</t>
    <phoneticPr fontId="3" type="noConversion"/>
  </si>
  <si>
    <t>경  유</t>
    <phoneticPr fontId="3" type="noConversion"/>
  </si>
  <si>
    <t xml:space="preserve"> [연번</t>
    <phoneticPr fontId="3" type="noConversion"/>
  </si>
  <si>
    <t>]</t>
    <phoneticPr fontId="3" type="noConversion"/>
  </si>
  <si>
    <t>중기명 :</t>
    <phoneticPr fontId="3" type="noConversion"/>
  </si>
  <si>
    <t>불도저(무한궤도)</t>
    <phoneticPr fontId="3" type="noConversion"/>
  </si>
  <si>
    <t>규격 :</t>
    <phoneticPr fontId="3" type="noConversion"/>
  </si>
  <si>
    <t>12ton</t>
    <phoneticPr fontId="3" type="noConversion"/>
  </si>
  <si>
    <t>【0101-0012】</t>
    <phoneticPr fontId="3" type="noConversion"/>
  </si>
  <si>
    <t>경비(기계손료) = 건설기계 가격 × 시간당 손료계수의 합계</t>
    <phoneticPr fontId="3" type="noConversion"/>
  </si>
  <si>
    <t>(</t>
    <phoneticPr fontId="3" type="noConversion"/>
  </si>
  <si>
    <r>
      <t>10</t>
    </r>
    <r>
      <rPr>
        <vertAlign val="superscript"/>
        <sz val="11"/>
        <color theme="1"/>
        <rFont val="08서울남산체 M"/>
        <family val="1"/>
        <charset val="129"/>
      </rPr>
      <t>-7</t>
    </r>
    <phoneticPr fontId="3" type="noConversion"/>
  </si>
  <si>
    <t>)</t>
    <phoneticPr fontId="3" type="noConversion"/>
  </si>
  <si>
    <t>노무비 = 노임단가 × 1일 기준시간 × 상여계수 × 휴지계수 × 수량</t>
    <phoneticPr fontId="3" type="noConversion"/>
  </si>
  <si>
    <t>1/8</t>
    <phoneticPr fontId="3" type="noConversion"/>
  </si>
  <si>
    <t>16/12</t>
    <phoneticPr fontId="3" type="noConversion"/>
  </si>
  <si>
    <t>25/20</t>
    <phoneticPr fontId="3" type="noConversion"/>
  </si>
  <si>
    <t>재료비 = 단가 × 수량</t>
    <phoneticPr fontId="3" type="noConversion"/>
  </si>
  <si>
    <t>ℓ</t>
    <phoneticPr fontId="3" type="noConversion"/>
  </si>
  <si>
    <t>%</t>
    <phoneticPr fontId="3" type="noConversion"/>
  </si>
  <si>
    <t>합     계</t>
    <phoneticPr fontId="3" type="noConversion"/>
  </si>
  <si>
    <t>19ton</t>
    <phoneticPr fontId="3" type="noConversion"/>
  </si>
  <si>
    <t>【0101-0019】</t>
    <phoneticPr fontId="3" type="noConversion"/>
  </si>
  <si>
    <t>불도저(타이어)</t>
    <phoneticPr fontId="3" type="noConversion"/>
  </si>
  <si>
    <t>15ton</t>
    <phoneticPr fontId="3" type="noConversion"/>
  </si>
  <si>
    <t>【0102-0015】</t>
    <phoneticPr fontId="3" type="noConversion"/>
  </si>
  <si>
    <t>【0201-0012】</t>
    <phoneticPr fontId="3" type="noConversion"/>
  </si>
  <si>
    <t>【0201-0020】</t>
    <phoneticPr fontId="3" type="noConversion"/>
  </si>
  <si>
    <t>【0201-0040】</t>
    <phoneticPr fontId="3" type="noConversion"/>
  </si>
  <si>
    <t>【0201-0060】</t>
    <phoneticPr fontId="3" type="noConversion"/>
  </si>
  <si>
    <t>【0201-0070】</t>
    <phoneticPr fontId="3" type="noConversion"/>
  </si>
  <si>
    <t>【0201-0080】</t>
    <phoneticPr fontId="3" type="noConversion"/>
  </si>
  <si>
    <t>【0201-0100】</t>
    <phoneticPr fontId="3" type="noConversion"/>
  </si>
  <si>
    <t>굴삭기(무한궤도,전석토사)</t>
    <phoneticPr fontId="3" type="noConversion"/>
  </si>
  <si>
    <t>[</t>
    <phoneticPr fontId="3" type="noConversion"/>
  </si>
  <si>
    <t>+</t>
    <phoneticPr fontId="3" type="noConversion"/>
  </si>
  <si>
    <t>굴삭기(무한궤도,암석)</t>
    <phoneticPr fontId="3" type="noConversion"/>
  </si>
  <si>
    <t>【0211-0018】</t>
    <phoneticPr fontId="3" type="noConversion"/>
  </si>
  <si>
    <t>【0211-0060】</t>
    <phoneticPr fontId="3" type="noConversion"/>
  </si>
  <si>
    <t>【0211-0100】</t>
    <phoneticPr fontId="3" type="noConversion"/>
  </si>
  <si>
    <t>0.4㎥ (대형브레이커 조합용)</t>
    <phoneticPr fontId="3" type="noConversion"/>
  </si>
  <si>
    <t>0.7㎥ (대형브레이커 조합용)</t>
    <phoneticPr fontId="3" type="noConversion"/>
  </si>
  <si>
    <t>0.18㎥ (대형브레이커 조합용)</t>
    <phoneticPr fontId="3" type="noConversion"/>
  </si>
  <si>
    <t>0.6㎥ (대형브레이커 조합용)</t>
    <phoneticPr fontId="3" type="noConversion"/>
  </si>
  <si>
    <t>【0230-0002】</t>
    <phoneticPr fontId="3" type="noConversion"/>
  </si>
  <si>
    <t>【0230-0004】</t>
    <phoneticPr fontId="3" type="noConversion"/>
  </si>
  <si>
    <t>0.6㎥용</t>
    <phoneticPr fontId="3" type="noConversion"/>
  </si>
  <si>
    <t>【0230-0006】</t>
    <phoneticPr fontId="3" type="noConversion"/>
  </si>
  <si>
    <t>【0230-0007】</t>
    <phoneticPr fontId="3" type="noConversion"/>
  </si>
  <si>
    <t>0.25㎥</t>
    <phoneticPr fontId="3" type="noConversion"/>
  </si>
  <si>
    <t>【0302-0025】</t>
    <phoneticPr fontId="3" type="noConversion"/>
  </si>
  <si>
    <t>【0302-0057】</t>
    <phoneticPr fontId="3" type="noConversion"/>
  </si>
  <si>
    <t>20년 신설</t>
    <phoneticPr fontId="3" type="noConversion"/>
  </si>
  <si>
    <t>0.95㎥</t>
    <phoneticPr fontId="3" type="noConversion"/>
  </si>
  <si>
    <t>【0302-0095】</t>
    <phoneticPr fontId="3" type="noConversion"/>
  </si>
  <si>
    <t>【0302-0172】</t>
    <phoneticPr fontId="3" type="noConversion"/>
  </si>
  <si>
    <t>모터그레이더(일반용)</t>
    <phoneticPr fontId="3" type="noConversion"/>
  </si>
  <si>
    <t>3.6m</t>
    <phoneticPr fontId="3" type="noConversion"/>
  </si>
  <si>
    <t>【0502-0036】</t>
    <phoneticPr fontId="3" type="noConversion"/>
  </si>
  <si>
    <t>덤프트럭(토사)</t>
    <phoneticPr fontId="3" type="noConversion"/>
  </si>
  <si>
    <t>【0602-0025】</t>
    <phoneticPr fontId="3" type="noConversion"/>
  </si>
  <si>
    <t>4.5ton</t>
    <phoneticPr fontId="3" type="noConversion"/>
  </si>
  <si>
    <t>【0602-0045】</t>
    <phoneticPr fontId="3" type="noConversion"/>
  </si>
  <si>
    <t>8ton</t>
    <phoneticPr fontId="3" type="noConversion"/>
  </si>
  <si>
    <t>【0602-0080】</t>
    <phoneticPr fontId="3" type="noConversion"/>
  </si>
  <si>
    <t>10.5ton</t>
    <phoneticPr fontId="3" type="noConversion"/>
  </si>
  <si>
    <t>【0602-0105】</t>
    <phoneticPr fontId="3" type="noConversion"/>
  </si>
  <si>
    <t>【0602-0150】</t>
    <phoneticPr fontId="3" type="noConversion"/>
  </si>
  <si>
    <t>덤프트럭</t>
    <phoneticPr fontId="3" type="noConversion"/>
  </si>
  <si>
    <t>24ton</t>
    <phoneticPr fontId="3" type="noConversion"/>
  </si>
  <si>
    <t>【0602-0240】</t>
    <phoneticPr fontId="3" type="noConversion"/>
  </si>
  <si>
    <t>덤프트럭(전석,토사)</t>
    <phoneticPr fontId="3" type="noConversion"/>
  </si>
  <si>
    <t>덤프트럭 자동덮개시설</t>
    <phoneticPr fontId="3" type="noConversion"/>
  </si>
  <si>
    <t>15ton용</t>
    <phoneticPr fontId="3" type="noConversion"/>
  </si>
  <si>
    <t>【0610-0150】</t>
    <phoneticPr fontId="3" type="noConversion"/>
  </si>
  <si>
    <t>24ton용</t>
    <phoneticPr fontId="3" type="noConversion"/>
  </si>
  <si>
    <t>【0610-0240】</t>
    <phoneticPr fontId="3" type="noConversion"/>
  </si>
  <si>
    <t>암롤트럭</t>
    <phoneticPr fontId="3" type="noConversion"/>
  </si>
  <si>
    <t>서울형 품셈 10번(2019년)</t>
    <phoneticPr fontId="3" type="noConversion"/>
  </si>
  <si>
    <t>머캐덤롤러(자주식)</t>
    <phoneticPr fontId="3" type="noConversion"/>
  </si>
  <si>
    <t>8~10ton</t>
    <phoneticPr fontId="3" type="noConversion"/>
  </si>
  <si>
    <t>【1106-0010】</t>
    <phoneticPr fontId="3" type="noConversion"/>
  </si>
  <si>
    <t>10~12ton</t>
    <phoneticPr fontId="3" type="noConversion"/>
  </si>
  <si>
    <t>【1106-0012】</t>
    <phoneticPr fontId="3" type="noConversion"/>
  </si>
  <si>
    <t>탠덤롤러(자주식)</t>
    <phoneticPr fontId="3" type="noConversion"/>
  </si>
  <si>
    <t>5~8ton</t>
    <phoneticPr fontId="3" type="noConversion"/>
  </si>
  <si>
    <t>【1206-0008】</t>
    <phoneticPr fontId="3" type="noConversion"/>
  </si>
  <si>
    <t>【1206-0010】</t>
    <phoneticPr fontId="3" type="noConversion"/>
  </si>
  <si>
    <t>0.7ton</t>
    <phoneticPr fontId="3" type="noConversion"/>
  </si>
  <si>
    <t>【1305-0007】</t>
    <phoneticPr fontId="3" type="noConversion"/>
  </si>
  <si>
    <t>진동롤러(자주식)</t>
    <phoneticPr fontId="3" type="noConversion"/>
  </si>
  <si>
    <t>【1306-0025】</t>
    <phoneticPr fontId="3" type="noConversion"/>
  </si>
  <si>
    <t>10ton</t>
    <phoneticPr fontId="3" type="noConversion"/>
  </si>
  <si>
    <t>【1306-0100】</t>
    <phoneticPr fontId="3" type="noConversion"/>
  </si>
  <si>
    <t>【1306-0120】</t>
    <phoneticPr fontId="3" type="noConversion"/>
  </si>
  <si>
    <t>타이어롤러(자주식)</t>
    <phoneticPr fontId="3" type="noConversion"/>
  </si>
  <si>
    <t>【1406-0008】</t>
    <phoneticPr fontId="3" type="noConversion"/>
  </si>
  <si>
    <t>8~15ton</t>
    <phoneticPr fontId="3" type="noConversion"/>
  </si>
  <si>
    <t>【1406-0015】</t>
    <phoneticPr fontId="3" type="noConversion"/>
  </si>
  <si>
    <t>【1630-0080】</t>
    <phoneticPr fontId="3" type="noConversion"/>
  </si>
  <si>
    <t>【1730-0015】</t>
    <phoneticPr fontId="3" type="noConversion"/>
  </si>
  <si>
    <t>크레인(타이어)</t>
    <phoneticPr fontId="3" type="noConversion"/>
  </si>
  <si>
    <t>【2104-0010】</t>
    <phoneticPr fontId="3" type="noConversion"/>
  </si>
  <si>
    <t>【2104-0015】</t>
    <phoneticPr fontId="3" type="noConversion"/>
  </si>
  <si>
    <t>20ton</t>
    <phoneticPr fontId="3" type="noConversion"/>
  </si>
  <si>
    <t>【2104-0020】</t>
    <phoneticPr fontId="3" type="noConversion"/>
  </si>
  <si>
    <t>트럭탑재형 크레인</t>
    <phoneticPr fontId="3" type="noConversion"/>
  </si>
  <si>
    <t>【2105-0005】</t>
    <phoneticPr fontId="3" type="noConversion"/>
  </si>
  <si>
    <t>【2105-0010】</t>
    <phoneticPr fontId="3" type="noConversion"/>
  </si>
  <si>
    <t>【2105-0015】</t>
    <phoneticPr fontId="3" type="noConversion"/>
  </si>
  <si>
    <t>지게차</t>
    <phoneticPr fontId="3" type="noConversion"/>
  </si>
  <si>
    <t>5.0ton</t>
    <phoneticPr fontId="3" type="noConversion"/>
  </si>
  <si>
    <t>【2502-0050】</t>
    <phoneticPr fontId="3" type="noConversion"/>
  </si>
  <si>
    <t>트럭 트랙터 및 평판트레일러</t>
    <phoneticPr fontId="3" type="noConversion"/>
  </si>
  <si>
    <t>30ton</t>
    <phoneticPr fontId="3" type="noConversion"/>
  </si>
  <si>
    <t>【2702-0030】</t>
    <phoneticPr fontId="3" type="noConversion"/>
  </si>
  <si>
    <t>아스팔트 피니셔</t>
    <phoneticPr fontId="3" type="noConversion"/>
  </si>
  <si>
    <t>1.7m</t>
    <phoneticPr fontId="3" type="noConversion"/>
  </si>
  <si>
    <t>【3201-0001】</t>
    <phoneticPr fontId="3" type="noConversion"/>
  </si>
  <si>
    <t>3m</t>
    <phoneticPr fontId="3" type="noConversion"/>
  </si>
  <si>
    <t>【3201-0003】</t>
    <phoneticPr fontId="3" type="noConversion"/>
  </si>
  <si>
    <t>아스팔트 디스트리뷰터</t>
    <phoneticPr fontId="3" type="noConversion"/>
  </si>
  <si>
    <t>3,800ℓ</t>
    <phoneticPr fontId="3" type="noConversion"/>
  </si>
  <si>
    <t>【3302-0038】</t>
    <phoneticPr fontId="3" type="noConversion"/>
  </si>
  <si>
    <t>아스팔트 스프레이어</t>
    <phoneticPr fontId="3" type="noConversion"/>
  </si>
  <si>
    <t>400ℓ</t>
    <phoneticPr fontId="3" type="noConversion"/>
  </si>
  <si>
    <t>【3430-0400】</t>
    <phoneticPr fontId="3" type="noConversion"/>
  </si>
  <si>
    <t>콘크리트 믹서</t>
    <phoneticPr fontId="3" type="noConversion"/>
  </si>
  <si>
    <t>0.20㎥</t>
    <phoneticPr fontId="3" type="noConversion"/>
  </si>
  <si>
    <t>【4205-0020】</t>
    <phoneticPr fontId="3" type="noConversion"/>
  </si>
  <si>
    <t>320~400mm</t>
    <phoneticPr fontId="3" type="noConversion"/>
  </si>
  <si>
    <t>【4430-0400】</t>
    <phoneticPr fontId="3" type="noConversion"/>
  </si>
  <si>
    <t>콘크리트 펌프차</t>
    <phoneticPr fontId="3" type="noConversion"/>
  </si>
  <si>
    <t>36m(80㎥/hr)</t>
    <phoneticPr fontId="3" type="noConversion"/>
  </si>
  <si>
    <t>【4504-0036】</t>
    <phoneticPr fontId="3" type="noConversion"/>
  </si>
  <si>
    <t>콘크리트 진동기</t>
    <phoneticPr fontId="3" type="noConversion"/>
  </si>
  <si>
    <t>엔진식 Φ45(2.6kW)</t>
    <phoneticPr fontId="3" type="noConversion"/>
  </si>
  <si>
    <t>【4611-0350】</t>
    <phoneticPr fontId="3" type="noConversion"/>
  </si>
  <si>
    <t>공기압축기(이동식)</t>
    <phoneticPr fontId="3" type="noConversion"/>
  </si>
  <si>
    <t>【5205-0035】</t>
    <phoneticPr fontId="3" type="noConversion"/>
  </si>
  <si>
    <t>7.1㎥/min</t>
    <phoneticPr fontId="3" type="noConversion"/>
  </si>
  <si>
    <t>【5205-0071】</t>
    <phoneticPr fontId="3" type="noConversion"/>
  </si>
  <si>
    <t>1.0 ㎥/min (15.9kg)</t>
    <phoneticPr fontId="3" type="noConversion"/>
  </si>
  <si>
    <t>【5210-0010】</t>
    <phoneticPr fontId="3" type="noConversion"/>
  </si>
  <si>
    <t>1.3 ㎥/min (25kg)</t>
    <phoneticPr fontId="3" type="noConversion"/>
  </si>
  <si>
    <t>【5210-0013】</t>
    <phoneticPr fontId="3" type="noConversion"/>
  </si>
  <si>
    <t>【5701-0010】</t>
    <phoneticPr fontId="3" type="noConversion"/>
  </si>
  <si>
    <t>【5701-0020】</t>
    <phoneticPr fontId="3" type="noConversion"/>
  </si>
  <si>
    <t>소형 노면파쇄기</t>
    <phoneticPr fontId="3" type="noConversion"/>
  </si>
  <si>
    <t>【5702-0095】</t>
    <phoneticPr fontId="3" type="noConversion"/>
  </si>
  <si>
    <t>코아드릴</t>
    <phoneticPr fontId="3" type="noConversion"/>
  </si>
  <si>
    <t>15.24cm</t>
    <phoneticPr fontId="3" type="noConversion"/>
  </si>
  <si>
    <t>【5901-0006】</t>
    <phoneticPr fontId="3" type="noConversion"/>
  </si>
  <si>
    <t>25.40cm</t>
    <phoneticPr fontId="3" type="noConversion"/>
  </si>
  <si>
    <t>【5901-0010】</t>
    <phoneticPr fontId="3" type="noConversion"/>
  </si>
  <si>
    <t>하수관 천공기</t>
    <phoneticPr fontId="3" type="noConversion"/>
  </si>
  <si>
    <t>수동식</t>
    <phoneticPr fontId="3" type="noConversion"/>
  </si>
  <si>
    <t>【7103-0010】</t>
    <phoneticPr fontId="3" type="noConversion"/>
  </si>
  <si>
    <t>5,500ℓ</t>
    <phoneticPr fontId="3" type="noConversion"/>
  </si>
  <si>
    <t>【7204-0055】</t>
    <phoneticPr fontId="3" type="noConversion"/>
  </si>
  <si>
    <t>16,000ℓ</t>
    <phoneticPr fontId="3" type="noConversion"/>
  </si>
  <si>
    <t>【7204-0160】</t>
    <phoneticPr fontId="3" type="noConversion"/>
  </si>
  <si>
    <t>4.85kW</t>
    <phoneticPr fontId="3" type="noConversion"/>
  </si>
  <si>
    <t>【7210-0485】</t>
    <phoneticPr fontId="3" type="noConversion"/>
  </si>
  <si>
    <t>조정원</t>
    <phoneticPr fontId="3" type="noConversion"/>
  </si>
  <si>
    <t>라인 마커</t>
    <phoneticPr fontId="3" type="noConversion"/>
  </si>
  <si>
    <t>융착식</t>
    <phoneticPr fontId="3" type="noConversion"/>
  </si>
  <si>
    <t>【7330-0010】</t>
    <phoneticPr fontId="3" type="noConversion"/>
  </si>
  <si>
    <t>차선제거기</t>
    <phoneticPr fontId="3" type="noConversion"/>
  </si>
  <si>
    <t>4.1kw</t>
    <phoneticPr fontId="3" type="noConversion"/>
  </si>
  <si>
    <t>【7360-0055】</t>
    <phoneticPr fontId="3" type="noConversion"/>
  </si>
  <si>
    <t>6.71kw</t>
    <phoneticPr fontId="3" type="noConversion"/>
  </si>
  <si>
    <t>【7360-0090】</t>
    <phoneticPr fontId="3" type="noConversion"/>
  </si>
  <si>
    <t>발전기</t>
    <phoneticPr fontId="3" type="noConversion"/>
  </si>
  <si>
    <t>25kW</t>
    <phoneticPr fontId="3" type="noConversion"/>
  </si>
  <si>
    <t>【7505-0025】</t>
    <phoneticPr fontId="3" type="noConversion"/>
  </si>
  <si>
    <t>50kW</t>
    <phoneticPr fontId="3" type="noConversion"/>
  </si>
  <si>
    <t>【7505-0050】</t>
    <phoneticPr fontId="3" type="noConversion"/>
  </si>
  <si>
    <t>용접기(교류)</t>
    <phoneticPr fontId="3" type="noConversion"/>
  </si>
  <si>
    <t>200Amp</t>
    <phoneticPr fontId="3" type="noConversion"/>
  </si>
  <si>
    <t>【7611-0200】</t>
    <phoneticPr fontId="3" type="noConversion"/>
  </si>
  <si>
    <t>융착기</t>
    <phoneticPr fontId="3" type="noConversion"/>
  </si>
  <si>
    <t>100~150mm</t>
    <phoneticPr fontId="3" type="noConversion"/>
  </si>
  <si>
    <t>【7613-0150】</t>
    <phoneticPr fontId="3" type="noConversion"/>
  </si>
  <si>
    <t>알곤 용접기</t>
    <phoneticPr fontId="3" type="noConversion"/>
  </si>
  <si>
    <t>300Amp</t>
    <phoneticPr fontId="3" type="noConversion"/>
  </si>
  <si>
    <t>【7614-0300】</t>
    <phoneticPr fontId="3" type="noConversion"/>
  </si>
  <si>
    <t>절단기</t>
    <phoneticPr fontId="3" type="noConversion"/>
  </si>
  <si>
    <t>40.64cm</t>
    <phoneticPr fontId="3" type="noConversion"/>
  </si>
  <si>
    <t>【7620-0003】</t>
    <phoneticPr fontId="3" type="noConversion"/>
  </si>
  <si>
    <t>건설용펌프(자흡식)</t>
    <phoneticPr fontId="3" type="noConversion"/>
  </si>
  <si>
    <t>50mm(1.49×10)</t>
    <phoneticPr fontId="3" type="noConversion"/>
  </si>
  <si>
    <t>【7730-0050】</t>
    <phoneticPr fontId="3" type="noConversion"/>
  </si>
  <si>
    <t>150mm(14.92×20)</t>
    <phoneticPr fontId="3" type="noConversion"/>
  </si>
  <si>
    <t>【7730-0150】</t>
    <phoneticPr fontId="3" type="noConversion"/>
  </si>
  <si>
    <t>수중모터펌프</t>
    <phoneticPr fontId="3" type="noConversion"/>
  </si>
  <si>
    <t>150mm</t>
    <phoneticPr fontId="3" type="noConversion"/>
  </si>
  <si>
    <t>【7740-0150】</t>
    <phoneticPr fontId="3" type="noConversion"/>
  </si>
  <si>
    <t>엔진(디젤)</t>
    <phoneticPr fontId="3" type="noConversion"/>
  </si>
  <si>
    <t>14.92kW</t>
    <phoneticPr fontId="3" type="noConversion"/>
  </si>
  <si>
    <t>【7812-0020】</t>
    <phoneticPr fontId="3" type="noConversion"/>
  </si>
  <si>
    <t>캇타기</t>
    <phoneticPr fontId="3" type="noConversion"/>
  </si>
  <si>
    <t>습식,5마력</t>
    <phoneticPr fontId="3" type="noConversion"/>
  </si>
  <si>
    <t>【       -       】</t>
    <phoneticPr fontId="3" type="noConversion"/>
  </si>
  <si>
    <t>접착용해기</t>
    <phoneticPr fontId="3" type="noConversion"/>
  </si>
  <si>
    <t>경비(기계손료) = 건설기계 단가 × 수량</t>
    <phoneticPr fontId="3" type="noConversion"/>
  </si>
  <si>
    <t>노무비 = 노임단가 × 수량</t>
    <phoneticPr fontId="3" type="noConversion"/>
  </si>
  <si>
    <t>진공흡입준설차</t>
    <phoneticPr fontId="3" type="noConversion"/>
  </si>
  <si>
    <t>13ton</t>
    <phoneticPr fontId="3" type="noConversion"/>
  </si>
  <si>
    <t>【7110-0013】</t>
    <phoneticPr fontId="3" type="noConversion"/>
  </si>
  <si>
    <t>기계경비 집계표</t>
    <phoneticPr fontId="3" type="noConversion"/>
  </si>
  <si>
    <t>연번</t>
    <phoneticPr fontId="3" type="noConversion"/>
  </si>
  <si>
    <t>장   비   명</t>
    <phoneticPr fontId="3" type="noConversion"/>
  </si>
  <si>
    <t>공         종</t>
    <phoneticPr fontId="3" type="noConversion"/>
  </si>
  <si>
    <t>재      료      비</t>
    <phoneticPr fontId="3" type="noConversion"/>
  </si>
  <si>
    <t>노      무      비</t>
    <phoneticPr fontId="3" type="noConversion"/>
  </si>
  <si>
    <t>경               비</t>
    <phoneticPr fontId="3" type="noConversion"/>
  </si>
  <si>
    <t>합               계</t>
    <phoneticPr fontId="3" type="noConversion"/>
  </si>
  <si>
    <t>비    고</t>
    <phoneticPr fontId="3" type="noConversion"/>
  </si>
  <si>
    <t>단    가</t>
    <phoneticPr fontId="3" type="noConversion"/>
  </si>
  <si>
    <t>인력굴착(토사)</t>
    <phoneticPr fontId="3" type="noConversion"/>
  </si>
  <si>
    <t>보통토사(0~1m)</t>
    <phoneticPr fontId="3" type="noConversion"/>
  </si>
  <si>
    <t>3-2-2 인력굴착</t>
    <phoneticPr fontId="3" type="noConversion"/>
  </si>
  <si>
    <t>2025년개정</t>
    <phoneticPr fontId="3" type="noConversion"/>
  </si>
  <si>
    <t>2025년 개정</t>
    <phoneticPr fontId="3" type="noConversion"/>
  </si>
  <si>
    <t>3-2-1</t>
    <phoneticPr fontId="3" type="noConversion"/>
  </si>
  <si>
    <t>3-1-2 인력굴착</t>
    <phoneticPr fontId="3" type="noConversion"/>
  </si>
  <si>
    <t>소     계</t>
    <phoneticPr fontId="3" type="noConversion"/>
  </si>
  <si>
    <t>보통토사</t>
    <phoneticPr fontId="3" type="noConversion"/>
  </si>
  <si>
    <t>경질토사(0~1m)</t>
    <phoneticPr fontId="3" type="noConversion"/>
  </si>
  <si>
    <t>개정</t>
    <phoneticPr fontId="3" type="noConversion"/>
  </si>
  <si>
    <t>경질토사</t>
    <phoneticPr fontId="3" type="noConversion"/>
  </si>
  <si>
    <t>고사점토 및 자갈섞인 토사(0~1m)</t>
    <phoneticPr fontId="3" type="noConversion"/>
  </si>
  <si>
    <t>인력굴착(암반)</t>
    <phoneticPr fontId="3" type="noConversion"/>
  </si>
  <si>
    <t>2028년 삭제예정</t>
    <phoneticPr fontId="3" type="noConversion"/>
  </si>
  <si>
    <t>잡재료</t>
    <phoneticPr fontId="3" type="noConversion"/>
  </si>
  <si>
    <t>인력품의 1%</t>
    <phoneticPr fontId="3" type="noConversion"/>
  </si>
  <si>
    <t>2025년 신설</t>
    <phoneticPr fontId="3" type="noConversion"/>
  </si>
  <si>
    <t>3-4-3 흙다지기</t>
    <phoneticPr fontId="3" type="noConversion"/>
  </si>
  <si>
    <t>토사 15cm</t>
    <phoneticPr fontId="3" type="noConversion"/>
  </si>
  <si>
    <t>1일시공량</t>
    <phoneticPr fontId="3" type="noConversion"/>
  </si>
  <si>
    <t>1시간당 작업량</t>
    <phoneticPr fontId="3" type="noConversion"/>
  </si>
  <si>
    <t>토사 30cm</t>
    <phoneticPr fontId="3" type="noConversion"/>
  </si>
  <si>
    <t>흙 다지고, 고르기</t>
    <phoneticPr fontId="3" type="noConversion"/>
  </si>
  <si>
    <t>토사 ,다짐두께15cm</t>
    <phoneticPr fontId="3" type="noConversion"/>
  </si>
  <si>
    <t>신설</t>
    <phoneticPr fontId="3" type="noConversion"/>
  </si>
  <si>
    <t>되메우기</t>
    <phoneticPr fontId="3" type="noConversion"/>
  </si>
  <si>
    <t>점토 15cm</t>
    <phoneticPr fontId="3" type="noConversion"/>
  </si>
  <si>
    <t>다짐</t>
    <phoneticPr fontId="3" type="noConversion"/>
  </si>
  <si>
    <t>래머 80kg</t>
    <phoneticPr fontId="3" type="noConversion"/>
  </si>
  <si>
    <t>토사 ,다짐두께30cm</t>
    <phoneticPr fontId="3" type="noConversion"/>
  </si>
  <si>
    <t>점토 30cm</t>
    <phoneticPr fontId="3" type="noConversion"/>
  </si>
  <si>
    <t>점토 ,다짐두께15cm</t>
    <phoneticPr fontId="3" type="noConversion"/>
  </si>
  <si>
    <t>3-2-4</t>
    <phoneticPr fontId="3" type="noConversion"/>
  </si>
  <si>
    <t>TypeⅠ(지반 및 현장조건이 일반적인 경우)</t>
    <phoneticPr fontId="3" type="noConversion"/>
  </si>
  <si>
    <t>시간당 작업량</t>
    <phoneticPr fontId="3" type="noConversion"/>
  </si>
  <si>
    <t>1m3 당 작업시간</t>
    <phoneticPr fontId="3" type="noConversion"/>
  </si>
  <si>
    <t>굴착기(1.0)</t>
    <phoneticPr fontId="3" type="noConversion"/>
  </si>
  <si>
    <t>혼합토사</t>
    <phoneticPr fontId="3" type="noConversion"/>
  </si>
  <si>
    <t>점토 ,다짐두께 30m</t>
    <phoneticPr fontId="3" type="noConversion"/>
  </si>
  <si>
    <t>TypeⅡ(지장물, 가시설 등에 의해 연속작업이 곤란하며 작업방해가 발생하는 조건)</t>
    <phoneticPr fontId="3" type="noConversion"/>
  </si>
  <si>
    <t>소운반후 잔토처리</t>
    <phoneticPr fontId="3" type="noConversion"/>
  </si>
  <si>
    <t>TypeⅢ(작업공간이 협소하여 작업효율이 현저하게 저하하는 경우)</t>
    <phoneticPr fontId="3" type="noConversion"/>
  </si>
  <si>
    <t>흙깍기(기계)</t>
    <phoneticPr fontId="3" type="noConversion"/>
  </si>
  <si>
    <t>보통토사, 소규모(10,000㎥미만)</t>
    <phoneticPr fontId="3" type="noConversion"/>
  </si>
  <si>
    <t>굴착기(0.6)</t>
    <phoneticPr fontId="3" type="noConversion"/>
  </si>
  <si>
    <t>흙깍기</t>
    <phoneticPr fontId="3" type="noConversion"/>
  </si>
  <si>
    <t>굴착기(1.0㎥)</t>
    <phoneticPr fontId="3" type="noConversion"/>
  </si>
  <si>
    <t>혼합토사, 소규모(10,000㎥미만)</t>
    <phoneticPr fontId="3" type="noConversion"/>
  </si>
  <si>
    <t>터파기(기계)</t>
    <phoneticPr fontId="3" type="noConversion"/>
  </si>
  <si>
    <t>보통토사, TypeⅠ(지반 및 현장조건이 일반적인 경우)</t>
    <phoneticPr fontId="3" type="noConversion"/>
  </si>
  <si>
    <t>혼합토사, TypeⅠ(지반 및 현장조건이 일반적인 경우)</t>
    <phoneticPr fontId="3" type="noConversion"/>
  </si>
  <si>
    <t>3-2-3</t>
    <phoneticPr fontId="3" type="noConversion"/>
  </si>
  <si>
    <t>1m3 작업시간</t>
    <phoneticPr fontId="3" type="noConversion"/>
  </si>
  <si>
    <t>보통토사, TypeⅡ(지장물, 가시설 등에 의해 연속작업이 곤란하며 작업방해가 발생하는 조건)</t>
    <phoneticPr fontId="3" type="noConversion"/>
  </si>
  <si>
    <t>중규모</t>
    <phoneticPr fontId="3" type="noConversion"/>
  </si>
  <si>
    <t>불도우저(19ton)</t>
    <phoneticPr fontId="3" type="noConversion"/>
  </si>
  <si>
    <t>소규모</t>
    <phoneticPr fontId="3" type="noConversion"/>
  </si>
  <si>
    <t>혼합토사, TypeⅡ(지장물, 가시설 등에 의해 연속작업이 곤란하며 작업방해가 발생하는 조건)</t>
    <phoneticPr fontId="3" type="noConversion"/>
  </si>
  <si>
    <t>보통토사, TypeⅢ(작업공간이 협소하여 작업효율이 현저하게 저하하는 경우)</t>
    <phoneticPr fontId="3" type="noConversion"/>
  </si>
  <si>
    <t>굴착기(0.6㎥)</t>
    <phoneticPr fontId="3" type="noConversion"/>
  </si>
  <si>
    <t>혼합토사, TypeⅢ(작업공간이 협소하여 작업효율이 현저하게 저하하는 경우)</t>
    <phoneticPr fontId="3" type="noConversion"/>
  </si>
  <si>
    <t>암</t>
    <phoneticPr fontId="3" type="noConversion"/>
  </si>
  <si>
    <t>대형브레이커(1.0)</t>
    <phoneticPr fontId="3" type="noConversion"/>
  </si>
  <si>
    <t>기계 절취(토사)</t>
    <phoneticPr fontId="3" type="noConversion"/>
  </si>
  <si>
    <t>B.H 0.18㎥</t>
    <phoneticPr fontId="3" type="noConversion"/>
  </si>
  <si>
    <t>B.H 절취</t>
    <phoneticPr fontId="3" type="noConversion"/>
  </si>
  <si>
    <t>B.H 0.4㎥</t>
    <phoneticPr fontId="3" type="noConversion"/>
  </si>
  <si>
    <t>B.H 0.7㎥</t>
    <phoneticPr fontId="3" type="noConversion"/>
  </si>
  <si>
    <t>기계 터파기</t>
    <phoneticPr fontId="3" type="noConversion"/>
  </si>
  <si>
    <t>B.H 터파기</t>
    <phoneticPr fontId="3" type="noConversion"/>
  </si>
  <si>
    <t>흙쌓기</t>
    <phoneticPr fontId="3" type="noConversion"/>
  </si>
  <si>
    <t>두께30cm (다짐도90%이상)</t>
    <phoneticPr fontId="3" type="noConversion"/>
  </si>
  <si>
    <t>3-4-1</t>
    <phoneticPr fontId="3" type="noConversion"/>
  </si>
  <si>
    <t>시공량</t>
    <phoneticPr fontId="3" type="noConversion"/>
  </si>
  <si>
    <t>공통3-4-1</t>
    <phoneticPr fontId="3" type="noConversion"/>
  </si>
  <si>
    <t>흙쌓기(다짐)</t>
    <phoneticPr fontId="3" type="noConversion"/>
  </si>
  <si>
    <t>30cm</t>
    <phoneticPr fontId="3" type="noConversion"/>
  </si>
  <si>
    <t>1시간당작업량</t>
    <phoneticPr fontId="3" type="noConversion"/>
  </si>
  <si>
    <t>1m3당 시간</t>
    <phoneticPr fontId="3" type="noConversion"/>
  </si>
  <si>
    <t>20cm</t>
    <phoneticPr fontId="3" type="noConversion"/>
  </si>
  <si>
    <t>모터그레이더(일반)</t>
    <phoneticPr fontId="3" type="noConversion"/>
  </si>
  <si>
    <t>16,000ℓ</t>
  </si>
  <si>
    <t>두께20cm (다짐도95%이상)</t>
    <phoneticPr fontId="3" type="noConversion"/>
  </si>
  <si>
    <t>물탱크</t>
    <phoneticPr fontId="3" type="noConversion"/>
  </si>
  <si>
    <t>기계 되메우기</t>
    <phoneticPr fontId="3" type="noConversion"/>
  </si>
  <si>
    <t>B.H 되메우기</t>
    <phoneticPr fontId="3" type="noConversion"/>
  </si>
  <si>
    <t>토사운반(인력상차)</t>
    <phoneticPr fontId="3" type="noConversion"/>
  </si>
  <si>
    <t>2.5D.T(현장~임시집하장,L=3km)</t>
    <phoneticPr fontId="3" type="noConversion"/>
  </si>
  <si>
    <t>상차비</t>
    <phoneticPr fontId="3" type="noConversion"/>
  </si>
  <si>
    <t>인력</t>
    <phoneticPr fontId="3" type="noConversion"/>
  </si>
  <si>
    <t>토사운반</t>
    <phoneticPr fontId="3" type="noConversion"/>
  </si>
  <si>
    <t>인력×2.5D.T</t>
    <phoneticPr fontId="3" type="noConversion"/>
  </si>
  <si>
    <t>경비반영</t>
    <phoneticPr fontId="3" type="noConversion"/>
  </si>
  <si>
    <t>4.5D.T(현장~임시집하장,L=3km)</t>
    <phoneticPr fontId="3" type="noConversion"/>
  </si>
  <si>
    <t>인력×4.5D.T</t>
    <phoneticPr fontId="3" type="noConversion"/>
  </si>
  <si>
    <t>토사운반(0.18B.H직상차)</t>
    <phoneticPr fontId="3" type="noConversion"/>
  </si>
  <si>
    <t>0.18B.H×4.5D.T</t>
    <phoneticPr fontId="3" type="noConversion"/>
  </si>
  <si>
    <t>토사운반(0.4B.H직상차)</t>
    <phoneticPr fontId="3" type="noConversion"/>
  </si>
  <si>
    <t>0.4B.H×4.5D.T</t>
    <phoneticPr fontId="3" type="noConversion"/>
  </si>
  <si>
    <t>8.0D.T(현장~임시집하장,L=3km)</t>
    <phoneticPr fontId="3" type="noConversion"/>
  </si>
  <si>
    <t>0.4B.H×8.0D.T</t>
    <phoneticPr fontId="3" type="noConversion"/>
  </si>
  <si>
    <t>15D.T(현장~사토장,L=61.5km)</t>
  </si>
  <si>
    <t>0.4B.H×15D.T</t>
    <phoneticPr fontId="3" type="noConversion"/>
  </si>
  <si>
    <t>토사운반(0.7B.H직상차)</t>
    <phoneticPr fontId="3" type="noConversion"/>
  </si>
  <si>
    <t>0.7B.H×15D.T</t>
    <phoneticPr fontId="3" type="noConversion"/>
  </si>
  <si>
    <t>24D.T(현장~사토장,L=61.5km)</t>
  </si>
  <si>
    <t>0.7B.H×24D.T</t>
    <phoneticPr fontId="3" type="noConversion"/>
  </si>
  <si>
    <t>토사운반(0.18B.H상차)</t>
    <phoneticPr fontId="3" type="noConversion"/>
  </si>
  <si>
    <t>2021년 개정</t>
    <phoneticPr fontId="3" type="noConversion"/>
  </si>
  <si>
    <t>기준시공(m)</t>
    <phoneticPr fontId="3" type="noConversion"/>
  </si>
  <si>
    <t>환산m</t>
    <phoneticPr fontId="3" type="noConversion"/>
  </si>
  <si>
    <t>기준수량</t>
    <phoneticPr fontId="3" type="noConversion"/>
  </si>
  <si>
    <t>단위수량</t>
    <phoneticPr fontId="3" type="noConversion"/>
  </si>
  <si>
    <t>품셈 1-10-1</t>
    <phoneticPr fontId="3" type="noConversion"/>
  </si>
  <si>
    <t>토사운반(0.4B.H상차)</t>
    <phoneticPr fontId="3" type="noConversion"/>
  </si>
  <si>
    <t>15D.T(현장~사토장,L=61.5km)</t>
    <phoneticPr fontId="3" type="noConversion"/>
  </si>
  <si>
    <t>품셈 1-6-6</t>
    <phoneticPr fontId="3" type="noConversion"/>
  </si>
  <si>
    <t>토사운반(0.7B.H상차)</t>
    <phoneticPr fontId="3" type="noConversion"/>
  </si>
  <si>
    <t>3-1-3-1 기계사용터파기(암반)참고(풍화암)</t>
    <phoneticPr fontId="3" type="noConversion"/>
  </si>
  <si>
    <t>24D.T(현장~사토장,L=61.5km)</t>
    <phoneticPr fontId="3" type="noConversion"/>
  </si>
  <si>
    <t>토사운반(페이로더상차)</t>
    <phoneticPr fontId="3" type="noConversion"/>
  </si>
  <si>
    <t>15D.T(임시집하장~사토장,L=61.5km)</t>
    <phoneticPr fontId="3" type="noConversion"/>
  </si>
  <si>
    <t>페이로더 1.72㎥</t>
    <phoneticPr fontId="3" type="noConversion"/>
  </si>
  <si>
    <t>페이로더×15D.T</t>
    <phoneticPr fontId="3" type="noConversion"/>
  </si>
  <si>
    <t>3-1-3-1 기계사용터파기(암반)참고(연암)</t>
    <phoneticPr fontId="3" type="noConversion"/>
  </si>
  <si>
    <t>24D.T(임시집하장~사토장,L=61.5km)</t>
    <phoneticPr fontId="3" type="noConversion"/>
  </si>
  <si>
    <t>페이로더×24D.T</t>
    <phoneticPr fontId="3" type="noConversion"/>
  </si>
  <si>
    <t>아스팔트포장 절단</t>
    <phoneticPr fontId="3" type="noConversion"/>
  </si>
  <si>
    <t>포장두께(t ≤ 20cm)</t>
    <phoneticPr fontId="3" type="noConversion"/>
  </si>
  <si>
    <t>커터</t>
    <phoneticPr fontId="3" type="noConversion"/>
  </si>
  <si>
    <t>콘크리트포장 절단</t>
    <phoneticPr fontId="3" type="noConversion"/>
  </si>
  <si>
    <t>토공 노면파쇄기 Q를 통해 계산</t>
    <phoneticPr fontId="3" type="noConversion"/>
  </si>
  <si>
    <t>기준시공(m2)</t>
    <phoneticPr fontId="3" type="noConversion"/>
  </si>
  <si>
    <t>환산a</t>
    <phoneticPr fontId="3" type="noConversion"/>
  </si>
  <si>
    <t>콘크리트포장 줄눈절단</t>
    <phoneticPr fontId="3" type="noConversion"/>
  </si>
  <si>
    <t>절단깊이(10cm 이하)기준</t>
    <phoneticPr fontId="3" type="noConversion"/>
  </si>
  <si>
    <t>공구손료,기계경비,소모재료</t>
    <phoneticPr fontId="3" type="noConversion"/>
  </si>
  <si>
    <t>인력품의 3%</t>
    <phoneticPr fontId="3" type="noConversion"/>
  </si>
  <si>
    <t>아스팔트포장 깨기</t>
    <phoneticPr fontId="3" type="noConversion"/>
  </si>
  <si>
    <t>소형브레이커+공기압축기</t>
    <phoneticPr fontId="3" type="noConversion"/>
  </si>
  <si>
    <t>콘크리트포장 깨기</t>
    <phoneticPr fontId="3" type="noConversion"/>
  </si>
  <si>
    <t>대형브레이커+굴삭기</t>
    <phoneticPr fontId="3" type="noConversion"/>
  </si>
  <si>
    <t>노면 파쇄공</t>
    <phoneticPr fontId="3" type="noConversion"/>
  </si>
  <si>
    <t>2m, t=5cm</t>
    <phoneticPr fontId="3" type="noConversion"/>
  </si>
  <si>
    <t>a</t>
    <phoneticPr fontId="3" type="noConversion"/>
  </si>
  <si>
    <t>절삭</t>
    <phoneticPr fontId="3" type="noConversion"/>
  </si>
  <si>
    <t>부분적 기존 포장면 파쇄</t>
    <phoneticPr fontId="3" type="noConversion"/>
  </si>
  <si>
    <t>굴삭기(0.6㎥)+대형브레이커</t>
    <phoneticPr fontId="3" type="noConversion"/>
  </si>
  <si>
    <t>필요시 계상</t>
    <phoneticPr fontId="3" type="noConversion"/>
  </si>
  <si>
    <t>18-2-1-1 참고</t>
    <phoneticPr fontId="3" type="noConversion"/>
  </si>
  <si>
    <t>1m, t=5cm</t>
    <phoneticPr fontId="3" type="noConversion"/>
  </si>
  <si>
    <t>굴삭기(0.2㎥)+대형브레이커</t>
    <phoneticPr fontId="3" type="noConversion"/>
  </si>
  <si>
    <t>0.6m, t=5cm</t>
    <phoneticPr fontId="3" type="noConversion"/>
  </si>
  <si>
    <t xml:space="preserve">    </t>
    <phoneticPr fontId="3" type="noConversion"/>
  </si>
  <si>
    <t>무근구조물 헐기</t>
    <phoneticPr fontId="3" type="noConversion"/>
  </si>
  <si>
    <t>인력품의 5%</t>
    <phoneticPr fontId="3" type="noConversion"/>
  </si>
  <si>
    <t>철근구조물 헐기</t>
    <phoneticPr fontId="3" type="noConversion"/>
  </si>
  <si>
    <t>유지3-1-1</t>
    <phoneticPr fontId="3" type="noConversion"/>
  </si>
  <si>
    <t>무근</t>
    <phoneticPr fontId="3" type="noConversion"/>
  </si>
  <si>
    <t>철근</t>
    <phoneticPr fontId="3" type="noConversion"/>
  </si>
  <si>
    <t>B.H 0.18㎥,구조물두께 30cm 미만</t>
    <phoneticPr fontId="3" type="noConversion"/>
  </si>
  <si>
    <t>B.H 0.4㎥,구조물두께 30cm 미만</t>
    <phoneticPr fontId="3" type="noConversion"/>
  </si>
  <si>
    <t>B.H 0.7㎥,구조물두께 30cm 미만</t>
    <phoneticPr fontId="3" type="noConversion"/>
  </si>
  <si>
    <t>B.H 0.4㎥,구조물두께 30cm 이상</t>
    <phoneticPr fontId="3" type="noConversion"/>
  </si>
  <si>
    <t>B.H 0.7㎥,구조물두께 30cm 이상</t>
    <phoneticPr fontId="3" type="noConversion"/>
  </si>
  <si>
    <t>B.H 0.4㎥,간이철근 구조물</t>
    <phoneticPr fontId="3" type="noConversion"/>
  </si>
  <si>
    <t>B.H 0.7㎥,간이철근 구조물</t>
    <phoneticPr fontId="3" type="noConversion"/>
  </si>
  <si>
    <t>철근구조물 헐기시 철근 절단</t>
    <phoneticPr fontId="3" type="noConversion"/>
  </si>
  <si>
    <t>용접공</t>
    <phoneticPr fontId="3" type="noConversion"/>
  </si>
  <si>
    <t>98%(용접용)</t>
    <phoneticPr fontId="3" type="noConversion"/>
  </si>
  <si>
    <t>6,000L/병</t>
    <phoneticPr fontId="3" type="noConversion"/>
  </si>
  <si>
    <t>공구손료</t>
    <phoneticPr fontId="3" type="noConversion"/>
  </si>
  <si>
    <t>벽돌 헐기</t>
    <phoneticPr fontId="3" type="noConversion"/>
  </si>
  <si>
    <t>파쇄물 기계 절취 및 집적</t>
    <phoneticPr fontId="3" type="noConversion"/>
  </si>
  <si>
    <t>B.H 절취 및 집적</t>
    <phoneticPr fontId="3" type="noConversion"/>
  </si>
  <si>
    <t>B.H 0.2㎥, 보도블럭 포장철거</t>
    <phoneticPr fontId="3" type="noConversion"/>
  </si>
  <si>
    <t>B.H 0.4㎥, 보도블럭 포장철거</t>
    <phoneticPr fontId="3" type="noConversion"/>
  </si>
  <si>
    <t>파쇄물 상차</t>
    <phoneticPr fontId="3" type="noConversion"/>
  </si>
  <si>
    <t>B.H 상차</t>
    <phoneticPr fontId="3" type="noConversion"/>
  </si>
  <si>
    <t>폐아스콘 운반(인력상차)</t>
    <phoneticPr fontId="3" type="noConversion"/>
  </si>
  <si>
    <t>폐아스콘 운반</t>
    <phoneticPr fontId="3" type="noConversion"/>
  </si>
  <si>
    <t>폐아스콘 운반(0.18B.H상차)</t>
    <phoneticPr fontId="3" type="noConversion"/>
  </si>
  <si>
    <t>폐아스콘 운반(0.4B.H상차)</t>
    <phoneticPr fontId="3" type="noConversion"/>
  </si>
  <si>
    <t>폐아스콘 운반(0.7B.H상차)</t>
    <phoneticPr fontId="3" type="noConversion"/>
  </si>
  <si>
    <t>15D.T(현장~중간처리장,L=30km)</t>
  </si>
  <si>
    <t>24D.T(현장~중간처리장,L=30km)</t>
  </si>
  <si>
    <t>24톤 암롤(현장~중간처리장,L=30km)</t>
  </si>
  <si>
    <t>0.7B.H×24톤 암롤트럭</t>
    <phoneticPr fontId="3" type="noConversion"/>
  </si>
  <si>
    <t>폐아스콘 운반(페이로더상차)</t>
    <phoneticPr fontId="3" type="noConversion"/>
  </si>
  <si>
    <t>15D.T(복정역교차로~용인시삼가동,L=30km)</t>
    <phoneticPr fontId="3" type="noConversion"/>
  </si>
  <si>
    <t>24D.T(복정역교차로~용인시삼가동,L=30km)</t>
    <phoneticPr fontId="3" type="noConversion"/>
  </si>
  <si>
    <t>24톤 암롤(복정역교차로~용인시삼가동,L=30km)</t>
    <phoneticPr fontId="3" type="noConversion"/>
  </si>
  <si>
    <t>페이로더×24톤 암롤트럭</t>
    <phoneticPr fontId="3" type="noConversion"/>
  </si>
  <si>
    <t>폐콘크리트 운반(인력상차)</t>
    <phoneticPr fontId="3" type="noConversion"/>
  </si>
  <si>
    <t>폐콘크리트 운반</t>
    <phoneticPr fontId="3" type="noConversion"/>
  </si>
  <si>
    <t>폐콘크리트 운반(0.18B.H상차)</t>
    <phoneticPr fontId="3" type="noConversion"/>
  </si>
  <si>
    <t>폐콘크리트 운반(0.4B.H상차)</t>
    <phoneticPr fontId="3" type="noConversion"/>
  </si>
  <si>
    <t>폐콘크리트 운반(0.7B.H상차)</t>
    <phoneticPr fontId="3" type="noConversion"/>
  </si>
  <si>
    <t>폐콘크리트 운반(페이로더상차)</t>
    <phoneticPr fontId="3" type="noConversion"/>
  </si>
  <si>
    <t>건설폐재류 운반(0.7B.H상차)</t>
    <phoneticPr fontId="3" type="noConversion"/>
  </si>
  <si>
    <t>건설폐재류 운반</t>
    <phoneticPr fontId="3" type="noConversion"/>
  </si>
  <si>
    <t>건설폐재류 운반(페이로더상차)</t>
    <phoneticPr fontId="3" type="noConversion"/>
  </si>
  <si>
    <t>건축 15-1-1 참고</t>
    <phoneticPr fontId="3" type="noConversion"/>
  </si>
  <si>
    <t>혼합폐기물 운반(0.7B.H상차)</t>
    <phoneticPr fontId="3" type="noConversion"/>
  </si>
  <si>
    <t>혼합폐기물 운반</t>
    <phoneticPr fontId="3" type="noConversion"/>
  </si>
  <si>
    <t>혼합폐기물 운반(페이로더상차)</t>
    <phoneticPr fontId="3" type="noConversion"/>
  </si>
  <si>
    <t>건설폐기물 처리비</t>
    <phoneticPr fontId="3" type="noConversion"/>
  </si>
  <si>
    <t>혼합폐기물</t>
    <phoneticPr fontId="3" type="noConversion"/>
  </si>
  <si>
    <t>2024년 추가</t>
    <phoneticPr fontId="3" type="noConversion"/>
  </si>
  <si>
    <t>6-1-1-2 인력비빔타설 및 배합설계</t>
    <phoneticPr fontId="3" type="noConversion"/>
  </si>
  <si>
    <t>모르타르</t>
    <phoneticPr fontId="3" type="noConversion"/>
  </si>
  <si>
    <t>1 : 1</t>
    <phoneticPr fontId="3" type="noConversion"/>
  </si>
  <si>
    <t>시멘트 운반</t>
    <phoneticPr fontId="3" type="noConversion"/>
  </si>
  <si>
    <t>(현장도착도)</t>
    <phoneticPr fontId="3" type="noConversion"/>
  </si>
  <si>
    <t>1 : 2</t>
    <phoneticPr fontId="3" type="noConversion"/>
  </si>
  <si>
    <t>1 : 3</t>
    <phoneticPr fontId="3" type="noConversion"/>
  </si>
  <si>
    <t>1 : 4</t>
    <phoneticPr fontId="3" type="noConversion"/>
  </si>
  <si>
    <t>1 : 5</t>
    <phoneticPr fontId="3" type="noConversion"/>
  </si>
  <si>
    <t>1종콘크리트(인력,무근)</t>
    <phoneticPr fontId="3" type="noConversion"/>
  </si>
  <si>
    <t>인력비빔, 무근(3㎥이상) fck=24MPa</t>
    <phoneticPr fontId="3" type="noConversion"/>
  </si>
  <si>
    <t>잔골재</t>
    <phoneticPr fontId="3" type="noConversion"/>
  </si>
  <si>
    <t>강모래(현장도착도)</t>
    <phoneticPr fontId="3" type="noConversion"/>
  </si>
  <si>
    <t>#57(현장도착도)</t>
    <phoneticPr fontId="3" type="noConversion"/>
  </si>
  <si>
    <t>콘크리트공</t>
    <phoneticPr fontId="3" type="noConversion"/>
  </si>
  <si>
    <t>1종콘크리트(인력,소형)</t>
    <phoneticPr fontId="3" type="noConversion"/>
  </si>
  <si>
    <t>인력비빔, 소형(3㎥미만),fck=24MPa</t>
    <phoneticPr fontId="3" type="noConversion"/>
  </si>
  <si>
    <t>1종콘크리트(인력,초속경 소형)</t>
    <phoneticPr fontId="3" type="noConversion"/>
  </si>
  <si>
    <t>인력비빔,초속경,소형(3㎥미만),fck=24MPa</t>
    <phoneticPr fontId="3" type="noConversion"/>
  </si>
  <si>
    <t>6-1-2 인력비빔타설 및 배합설계</t>
    <phoneticPr fontId="3" type="noConversion"/>
  </si>
  <si>
    <t>2종콘크리트(인력,무근)</t>
    <phoneticPr fontId="3" type="noConversion"/>
  </si>
  <si>
    <t>인력비빔, 무근(3㎥이상) fck=21MPa</t>
    <phoneticPr fontId="3" type="noConversion"/>
  </si>
  <si>
    <t>2종콘크리트(인력,소형)</t>
    <phoneticPr fontId="3" type="noConversion"/>
  </si>
  <si>
    <t>인력비빔, 소형(3㎥미만),fck=21MPa</t>
    <phoneticPr fontId="3" type="noConversion"/>
  </si>
  <si>
    <t>2종콘크리트(인력,초속경 소형)</t>
    <phoneticPr fontId="3" type="noConversion"/>
  </si>
  <si>
    <t>인력비빔,초속경,소형(3㎥미만),fck=21MPa</t>
    <phoneticPr fontId="3" type="noConversion"/>
  </si>
  <si>
    <t>2024년 개정</t>
    <phoneticPr fontId="3" type="noConversion"/>
  </si>
  <si>
    <t>6-1-1 인력비빔타설 및 배합설계</t>
    <phoneticPr fontId="3" type="noConversion"/>
  </si>
  <si>
    <t>기준시공(m3)</t>
    <phoneticPr fontId="3" type="noConversion"/>
  </si>
  <si>
    <t>환산</t>
    <phoneticPr fontId="3" type="noConversion"/>
  </si>
  <si>
    <t>3종콘크리트(인력,무근)</t>
    <phoneticPr fontId="3" type="noConversion"/>
  </si>
  <si>
    <t>인력비빔, 무근(3㎥이상)fck=18MPa</t>
    <phoneticPr fontId="3" type="noConversion"/>
  </si>
  <si>
    <t>3종콘크리트(인력,소형)</t>
    <phoneticPr fontId="3" type="noConversion"/>
  </si>
  <si>
    <t>인력,소형(3㎥미만),fck=18MPa</t>
    <phoneticPr fontId="3" type="noConversion"/>
  </si>
  <si>
    <t>3종콘크리트(인력, 초속경 소형)</t>
    <phoneticPr fontId="3" type="noConversion"/>
  </si>
  <si>
    <t>인력비빔,초속경,소형(3㎥미만),fck=18MPa</t>
    <phoneticPr fontId="3" type="noConversion"/>
  </si>
  <si>
    <t>2024년 개정 추가</t>
    <phoneticPr fontId="3" type="noConversion"/>
  </si>
  <si>
    <t>레미콘 타설(무근)</t>
    <phoneticPr fontId="3" type="noConversion"/>
  </si>
  <si>
    <t>인력운반 운반(12㎥이상)</t>
    <phoneticPr fontId="3" type="noConversion"/>
  </si>
  <si>
    <t>자재비 별도</t>
    <phoneticPr fontId="3" type="noConversion"/>
  </si>
  <si>
    <t>레미콘</t>
    <phoneticPr fontId="3" type="noConversion"/>
  </si>
  <si>
    <t>별도(관급)</t>
    <phoneticPr fontId="3" type="noConversion"/>
  </si>
  <si>
    <t>공구손료및경장비 기계경비</t>
    <phoneticPr fontId="3" type="noConversion"/>
  </si>
  <si>
    <t>인력품의 2%</t>
    <phoneticPr fontId="3" type="noConversion"/>
  </si>
  <si>
    <t>레미콘 타설(철근)</t>
    <phoneticPr fontId="3" type="noConversion"/>
  </si>
  <si>
    <t>인력운반 운반(12㎥이하), 작업구간 산재</t>
    <phoneticPr fontId="3" type="noConversion"/>
  </si>
  <si>
    <t>품셈 6-1-12</t>
    <phoneticPr fontId="3" type="noConversion"/>
  </si>
  <si>
    <t>장비사용 운반(12㎥이상)</t>
    <phoneticPr fontId="3" type="noConversion"/>
  </si>
  <si>
    <t>14-3 와이어메시 바닥깔기</t>
    <phoneticPr fontId="3" type="noConversion"/>
  </si>
  <si>
    <t>B.H 0.6㎥</t>
    <phoneticPr fontId="3" type="noConversion"/>
  </si>
  <si>
    <t>6-2-1 현장가공 및 조립</t>
    <phoneticPr fontId="3" type="noConversion"/>
  </si>
  <si>
    <t>시공량(ton)</t>
    <phoneticPr fontId="3" type="noConversion"/>
  </si>
  <si>
    <t>장비사용 운반(12㎥이하), 작업구간 산재</t>
    <phoneticPr fontId="3" type="noConversion"/>
  </si>
  <si>
    <t>24년개정</t>
    <phoneticPr fontId="3" type="noConversion"/>
  </si>
  <si>
    <t>Type-1</t>
    <phoneticPr fontId="3" type="noConversion"/>
  </si>
  <si>
    <t>철근공</t>
    <phoneticPr fontId="3" type="noConversion"/>
  </si>
  <si>
    <t>Type-1-1</t>
    <phoneticPr fontId="3" type="noConversion"/>
  </si>
  <si>
    <t>콘크리트 치핑</t>
    <phoneticPr fontId="3" type="noConversion"/>
  </si>
  <si>
    <t>인력식(소형장비사용)</t>
    <phoneticPr fontId="3" type="noConversion"/>
  </si>
  <si>
    <t>Type-1-2</t>
    <phoneticPr fontId="3" type="noConversion"/>
  </si>
  <si>
    <t>인력품의 8%</t>
    <phoneticPr fontId="3" type="noConversion"/>
  </si>
  <si>
    <t>와이어메시 설치</t>
    <phoneticPr fontId="3" type="noConversion"/>
  </si>
  <si>
    <t>#20 (0.9mm)</t>
    <phoneticPr fontId="3" type="noConversion"/>
  </si>
  <si>
    <t>Type-2</t>
    <phoneticPr fontId="3" type="noConversion"/>
  </si>
  <si>
    <t>비닐 깔기(양생)</t>
    <phoneticPr fontId="3" type="noConversion"/>
  </si>
  <si>
    <t>t=0.1mm(두겹)</t>
    <phoneticPr fontId="3" type="noConversion"/>
  </si>
  <si>
    <t>Type-2-1</t>
    <phoneticPr fontId="3" type="noConversion"/>
  </si>
  <si>
    <t>철근 현장가공 및 조립(Type-1-1)</t>
    <phoneticPr fontId="3" type="noConversion"/>
  </si>
  <si>
    <t>일반적인 토목시설(L형 옹벽, 교량 슬래브 등)</t>
    <phoneticPr fontId="3" type="noConversion"/>
  </si>
  <si>
    <t>별도(관급)-생산공장상차도</t>
    <phoneticPr fontId="3" type="noConversion"/>
  </si>
  <si>
    <t>철근 운반</t>
    <phoneticPr fontId="3" type="noConversion"/>
  </si>
  <si>
    <t>운반비+하차비</t>
    <phoneticPr fontId="3" type="noConversion"/>
  </si>
  <si>
    <t>가공</t>
    <phoneticPr fontId="3" type="noConversion"/>
  </si>
  <si>
    <t>공구손료,경장비,기계기구 손료</t>
    <phoneticPr fontId="3" type="noConversion"/>
  </si>
  <si>
    <t>인력(가공)품의 9%</t>
    <phoneticPr fontId="3" type="noConversion"/>
  </si>
  <si>
    <r>
      <t>조립</t>
    </r>
    <r>
      <rPr>
        <sz val="6"/>
        <color theme="1"/>
        <rFont val="굴림"/>
        <family val="3"/>
        <charset val="129"/>
      </rPr>
      <t>(Type-1-1)</t>
    </r>
    <phoneticPr fontId="3" type="noConversion"/>
  </si>
  <si>
    <t>Type-2-2</t>
    <phoneticPr fontId="3" type="noConversion"/>
  </si>
  <si>
    <t>인력(조립)품의 2%</t>
    <phoneticPr fontId="3" type="noConversion"/>
  </si>
  <si>
    <t>철근 현장가공 및 조립(Type-1-2)</t>
    <phoneticPr fontId="3" type="noConversion"/>
  </si>
  <si>
    <t>특정위치에서 가공및조립 반복(빔제작, 철근망 등)</t>
    <phoneticPr fontId="3" type="noConversion"/>
  </si>
  <si>
    <t>Type-3</t>
    <phoneticPr fontId="3" type="noConversion"/>
  </si>
  <si>
    <r>
      <t>조립</t>
    </r>
    <r>
      <rPr>
        <sz val="6"/>
        <color theme="1"/>
        <rFont val="굴림"/>
        <family val="3"/>
        <charset val="129"/>
      </rPr>
      <t>(Type-1-2)</t>
    </r>
    <phoneticPr fontId="3" type="noConversion"/>
  </si>
  <si>
    <t>철근 현장가공 및 조립(Type-2-1)</t>
    <phoneticPr fontId="3" type="noConversion"/>
  </si>
  <si>
    <t>복잡한 토목시설(교대, 암거, 지하차도 등)</t>
    <phoneticPr fontId="3" type="noConversion"/>
  </si>
  <si>
    <t>6-3-1 합판거푸집</t>
    <phoneticPr fontId="3" type="noConversion"/>
  </si>
  <si>
    <t>시공량(m2)</t>
    <phoneticPr fontId="3" type="noConversion"/>
  </si>
  <si>
    <r>
      <t>조립</t>
    </r>
    <r>
      <rPr>
        <sz val="6"/>
        <color theme="1"/>
        <rFont val="굴림"/>
        <family val="3"/>
        <charset val="129"/>
      </rPr>
      <t>(Type-2-1)</t>
    </r>
    <phoneticPr fontId="3" type="noConversion"/>
  </si>
  <si>
    <t>철근 현장가공 및 조립(Type-2-2)</t>
    <phoneticPr fontId="3" type="noConversion"/>
  </si>
  <si>
    <t>콘크리트대비 소량의 철근사용(측구, 중력식옹벽 등)</t>
    <phoneticPr fontId="3" type="noConversion"/>
  </si>
  <si>
    <r>
      <t>조립</t>
    </r>
    <r>
      <rPr>
        <sz val="6"/>
        <color theme="1"/>
        <rFont val="굴림"/>
        <family val="3"/>
        <charset val="129"/>
      </rPr>
      <t>(Type-2-2)</t>
    </r>
    <phoneticPr fontId="3" type="noConversion"/>
  </si>
  <si>
    <t>철근 현장가공 및 조립(Type-3)</t>
    <phoneticPr fontId="3" type="noConversion"/>
  </si>
  <si>
    <t>복잡한 토목시설(교각, 원자력 발전소 등)</t>
    <phoneticPr fontId="3" type="noConversion"/>
  </si>
  <si>
    <r>
      <t>조립</t>
    </r>
    <r>
      <rPr>
        <sz val="6"/>
        <color theme="1"/>
        <rFont val="굴림"/>
        <family val="3"/>
        <charset val="129"/>
      </rPr>
      <t>(Type-3)</t>
    </r>
    <phoneticPr fontId="3" type="noConversion"/>
  </si>
  <si>
    <t>합판 거푸집</t>
    <phoneticPr fontId="3" type="noConversion"/>
  </si>
  <si>
    <t>간단, 1회</t>
    <phoneticPr fontId="3" type="noConversion"/>
  </si>
  <si>
    <t>내수,12mm</t>
    <phoneticPr fontId="3" type="noConversion"/>
  </si>
  <si>
    <t>소모자재비</t>
    <phoneticPr fontId="3" type="noConversion"/>
  </si>
  <si>
    <t>주자재비의 4%</t>
    <phoneticPr fontId="3" type="noConversion"/>
  </si>
  <si>
    <t>형틀목공</t>
    <phoneticPr fontId="3" type="noConversion"/>
  </si>
  <si>
    <t>6-3-3 유로폼 참고</t>
    <phoneticPr fontId="3" type="noConversion"/>
  </si>
  <si>
    <t>간단, 2회</t>
    <phoneticPr fontId="3" type="noConversion"/>
  </si>
  <si>
    <t>주자재비</t>
    <phoneticPr fontId="3" type="noConversion"/>
  </si>
  <si>
    <t>1회 주자재비의 55%</t>
    <phoneticPr fontId="3" type="noConversion"/>
  </si>
  <si>
    <t>1회 소모자재의 7.0%</t>
    <phoneticPr fontId="3" type="noConversion"/>
  </si>
  <si>
    <t>간단, 3회</t>
    <phoneticPr fontId="3" type="noConversion"/>
  </si>
  <si>
    <t>1회 주자재비의 44.3%</t>
    <phoneticPr fontId="3" type="noConversion"/>
  </si>
  <si>
    <t>1회 소모자재의 8.0%</t>
    <phoneticPr fontId="3" type="noConversion"/>
  </si>
  <si>
    <t>6-3-5 합성수지 원형맨홀</t>
    <phoneticPr fontId="3" type="noConversion"/>
  </si>
  <si>
    <t>간단, 4회</t>
    <phoneticPr fontId="3" type="noConversion"/>
  </si>
  <si>
    <t>1회 주자재비의 38.0%</t>
    <phoneticPr fontId="3" type="noConversion"/>
  </si>
  <si>
    <t>1회 소모자재의 9.0%</t>
    <phoneticPr fontId="3" type="noConversion"/>
  </si>
  <si>
    <t>간단, 5회</t>
    <phoneticPr fontId="3" type="noConversion"/>
  </si>
  <si>
    <t>1회 주자재비의 35.0%</t>
    <phoneticPr fontId="3" type="noConversion"/>
  </si>
  <si>
    <t>1회 소모자재의 10.0%</t>
    <phoneticPr fontId="3" type="noConversion"/>
  </si>
  <si>
    <t>2026년 개정</t>
    <phoneticPr fontId="3" type="noConversion"/>
  </si>
  <si>
    <t>10m2당</t>
    <phoneticPr fontId="3" type="noConversion"/>
  </si>
  <si>
    <t>m2당</t>
    <phoneticPr fontId="3" type="noConversion"/>
  </si>
  <si>
    <t>간단, 6회</t>
    <phoneticPr fontId="3" type="noConversion"/>
  </si>
  <si>
    <t>6-3-3</t>
    <phoneticPr fontId="3" type="noConversion"/>
  </si>
  <si>
    <t>3회(보통)</t>
    <phoneticPr fontId="3" type="noConversion"/>
  </si>
  <si>
    <t>6회(보통)</t>
    <phoneticPr fontId="3" type="noConversion"/>
  </si>
  <si>
    <t>1회 주자재비의 32.7%</t>
    <phoneticPr fontId="3" type="noConversion"/>
  </si>
  <si>
    <t>패널</t>
    <phoneticPr fontId="3" type="noConversion"/>
  </si>
  <si>
    <t>1회 소모자재의 11.0%</t>
    <phoneticPr fontId="3" type="noConversion"/>
  </si>
  <si>
    <t>부자재,소모자재</t>
    <phoneticPr fontId="3" type="noConversion"/>
  </si>
  <si>
    <t>주자배의</t>
    <phoneticPr fontId="3" type="noConversion"/>
  </si>
  <si>
    <t>보통(일당)</t>
    <phoneticPr fontId="3" type="noConversion"/>
  </si>
  <si>
    <t>형틀목공</t>
    <phoneticPr fontId="3" type="noConversion"/>
  </si>
  <si>
    <t>보통인부</t>
    <phoneticPr fontId="3" type="noConversion"/>
  </si>
  <si>
    <t>보통(3회)</t>
    <phoneticPr fontId="3" type="noConversion"/>
  </si>
  <si>
    <t>부자재</t>
    <phoneticPr fontId="3" type="noConversion"/>
  </si>
  <si>
    <t>주자재비의 44%</t>
    <phoneticPr fontId="3" type="noConversion"/>
  </si>
  <si>
    <t>보통(6회)</t>
    <phoneticPr fontId="3" type="noConversion"/>
  </si>
  <si>
    <t>주자재비의 55%</t>
    <phoneticPr fontId="3" type="noConversion"/>
  </si>
  <si>
    <t>P.E 원형 맨홀 거푸집</t>
    <phoneticPr fontId="3" type="noConversion"/>
  </si>
  <si>
    <t>기초및슬래브,Φ900</t>
    <phoneticPr fontId="3" type="noConversion"/>
  </si>
  <si>
    <t>Φ900, B형</t>
    <phoneticPr fontId="3" type="noConversion"/>
  </si>
  <si>
    <t>산술식</t>
    <phoneticPr fontId="3" type="noConversion"/>
  </si>
  <si>
    <t>기초및슬래브,Φ1200</t>
    <phoneticPr fontId="3" type="noConversion"/>
  </si>
  <si>
    <t>Φ1200, B형</t>
    <phoneticPr fontId="3" type="noConversion"/>
  </si>
  <si>
    <t>기준시공(개)</t>
    <phoneticPr fontId="3" type="noConversion"/>
  </si>
  <si>
    <t>환산m3</t>
    <phoneticPr fontId="3" type="noConversion"/>
  </si>
  <si>
    <t>기초및슬래브,Φ1500</t>
    <phoneticPr fontId="3" type="noConversion"/>
  </si>
  <si>
    <t>Φ1500, B형</t>
    <phoneticPr fontId="3" type="noConversion"/>
  </si>
  <si>
    <t>벽체,Φ900,H=1.0m기준</t>
    <phoneticPr fontId="3" type="noConversion"/>
  </si>
  <si>
    <t>H=1.2m, Φ900, B형</t>
    <phoneticPr fontId="3" type="noConversion"/>
  </si>
  <si>
    <t>벽체,Φ1200,H=1.0m기준</t>
    <phoneticPr fontId="3" type="noConversion"/>
  </si>
  <si>
    <t>H=1.2m, Φ1200, B형</t>
    <phoneticPr fontId="3" type="noConversion"/>
  </si>
  <si>
    <t>벽체,Φ1500,H=1.0m기준</t>
    <phoneticPr fontId="3" type="noConversion"/>
  </si>
  <si>
    <t>H=1.2m, Φ1500, B형</t>
    <phoneticPr fontId="3" type="noConversion"/>
  </si>
  <si>
    <t>5-1-1-1-가 기초 뒤채움</t>
    <phoneticPr fontId="3" type="noConversion"/>
  </si>
  <si>
    <t>시험굴착(인력+기계)</t>
    <phoneticPr fontId="3" type="noConversion"/>
  </si>
  <si>
    <t>B×L×H=2.4m×1.0m×1.5m, (인력 되메우기)</t>
    <phoneticPr fontId="3" type="noConversion"/>
  </si>
  <si>
    <t>아스콘</t>
    <phoneticPr fontId="3" type="noConversion"/>
  </si>
  <si>
    <t>#467(별도)</t>
    <phoneticPr fontId="3" type="noConversion"/>
  </si>
  <si>
    <t>아스팔트포장 절단</t>
  </si>
  <si>
    <t>포장두께(t ≤ 20cm)</t>
  </si>
  <si>
    <t>아스팔트포장 깨기</t>
  </si>
  <si>
    <t>소형브레이커+공기압축기</t>
  </si>
  <si>
    <t>기계 터파기</t>
  </si>
  <si>
    <t>B.H 0.18㎥</t>
  </si>
  <si>
    <t>인력굴착(토사)</t>
  </si>
  <si>
    <t>되메우고 다짐</t>
  </si>
  <si>
    <t>인력+래머</t>
  </si>
  <si>
    <t>아스팔트 기층(중층)</t>
  </si>
  <si>
    <t xml:space="preserve"> t=7.5cm이하, 인력식 포설(12.5cm 임시복구)</t>
    <phoneticPr fontId="3" type="noConversion"/>
  </si>
  <si>
    <t>B×L×H=2.4m×1.0m×1.5m, (기계 되메우기)</t>
    <phoneticPr fontId="3" type="noConversion"/>
  </si>
  <si>
    <t>자갈과 잡석의 비율은 어디서 정해져있는지</t>
    <phoneticPr fontId="3" type="noConversion"/>
  </si>
  <si>
    <t>기계 되메우기</t>
  </si>
  <si>
    <t>P.P마대 쌓기 및 헐기</t>
    <phoneticPr fontId="3" type="noConversion"/>
  </si>
  <si>
    <t>개정</t>
    <phoneticPr fontId="3" type="noConversion"/>
  </si>
  <si>
    <t>45×70cm</t>
    <phoneticPr fontId="3" type="noConversion"/>
  </si>
  <si>
    <t>5-1-1</t>
    <phoneticPr fontId="3" type="noConversion"/>
  </si>
  <si>
    <t>만들기</t>
    <phoneticPr fontId="3" type="noConversion"/>
  </si>
  <si>
    <t>쌓기</t>
    <phoneticPr fontId="3" type="noConversion"/>
  </si>
  <si>
    <t>헐기</t>
    <phoneticPr fontId="3" type="noConversion"/>
  </si>
  <si>
    <t>굴착기(0.2)</t>
    <phoneticPr fontId="3" type="noConversion"/>
  </si>
  <si>
    <t>프레이트콤패터(1.5)</t>
    <phoneticPr fontId="3" type="noConversion"/>
  </si>
  <si>
    <t>물돌리기(물푸기)</t>
    <phoneticPr fontId="3" type="noConversion"/>
  </si>
  <si>
    <t>D=150mm</t>
    <phoneticPr fontId="3" type="noConversion"/>
  </si>
  <si>
    <t>진동롤러(0.7)</t>
    <phoneticPr fontId="3" type="noConversion"/>
  </si>
  <si>
    <t>PP마대 쌓기</t>
    <phoneticPr fontId="3" type="noConversion"/>
  </si>
  <si>
    <t>만들기</t>
    <phoneticPr fontId="3" type="noConversion"/>
  </si>
  <si>
    <t>쌓기</t>
    <phoneticPr fontId="3" type="noConversion"/>
  </si>
  <si>
    <t>헐기</t>
    <phoneticPr fontId="3" type="noConversion"/>
  </si>
  <si>
    <t>m3확산</t>
    <phoneticPr fontId="3" type="noConversion"/>
  </si>
  <si>
    <t>기초 뒤채우기</t>
    <phoneticPr fontId="3" type="noConversion"/>
  </si>
  <si>
    <t>보통인 M3당</t>
    <phoneticPr fontId="3" type="noConversion"/>
  </si>
  <si>
    <t>5-1-2 기초지정</t>
    <phoneticPr fontId="3" type="noConversion"/>
  </si>
  <si>
    <t>2025 개정 3-4-8</t>
    <phoneticPr fontId="3" type="noConversion"/>
  </si>
  <si>
    <t>기초지정</t>
    <phoneticPr fontId="3" type="noConversion"/>
  </si>
  <si>
    <t>플레이트콤팩터</t>
    <phoneticPr fontId="3" type="noConversion"/>
  </si>
  <si>
    <t>진동롤러</t>
    <phoneticPr fontId="3" type="noConversion"/>
  </si>
  <si>
    <t>하수관 천공 및 접합(단지관포함)</t>
    <phoneticPr fontId="3" type="noConversion"/>
  </si>
  <si>
    <t>D500이하×Φ150</t>
    <phoneticPr fontId="3" type="noConversion"/>
  </si>
  <si>
    <t>단지관,150mm용</t>
    <phoneticPr fontId="3" type="noConversion"/>
  </si>
  <si>
    <t>배관공(수도)</t>
    <phoneticPr fontId="3" type="noConversion"/>
  </si>
  <si>
    <t>D500이하×Φ200</t>
    <phoneticPr fontId="3" type="noConversion"/>
  </si>
  <si>
    <t>단지관,200mm용</t>
    <phoneticPr fontId="3" type="noConversion"/>
  </si>
  <si>
    <t>D500이하×Φ250</t>
    <phoneticPr fontId="3" type="noConversion"/>
  </si>
  <si>
    <t>단지관,250mm흄관용</t>
    <phoneticPr fontId="3" type="noConversion"/>
  </si>
  <si>
    <t>D500이하×Φ300</t>
    <phoneticPr fontId="3" type="noConversion"/>
  </si>
  <si>
    <t>단지관,300mm흄관용</t>
    <phoneticPr fontId="3" type="noConversion"/>
  </si>
  <si>
    <t>D500초과~900이하×Φ150</t>
    <phoneticPr fontId="3" type="noConversion"/>
  </si>
  <si>
    <t>D500초과~900이하×Φ200</t>
    <phoneticPr fontId="3" type="noConversion"/>
  </si>
  <si>
    <t>D500초과~900이하×Φ250</t>
    <phoneticPr fontId="3" type="noConversion"/>
  </si>
  <si>
    <t>D500초과~900이하×Φ300</t>
    <phoneticPr fontId="3" type="noConversion"/>
  </si>
  <si>
    <t>D900초과~1200이하×Φ150</t>
    <phoneticPr fontId="3" type="noConversion"/>
  </si>
  <si>
    <t>D900초과~1200이하×Φ200</t>
    <phoneticPr fontId="3" type="noConversion"/>
  </si>
  <si>
    <t>D900초과~1200이하×Φ250</t>
    <phoneticPr fontId="3" type="noConversion"/>
  </si>
  <si>
    <t>D900초과~1200이하×Φ300</t>
    <phoneticPr fontId="3" type="noConversion"/>
  </si>
  <si>
    <t>흄관 절단</t>
    <phoneticPr fontId="3" type="noConversion"/>
  </si>
  <si>
    <t>D=250mm</t>
    <phoneticPr fontId="3" type="noConversion"/>
  </si>
  <si>
    <t>기계경비 및 잡재료비</t>
    <phoneticPr fontId="3" type="noConversion"/>
  </si>
  <si>
    <t>인력품의 6%</t>
    <phoneticPr fontId="3" type="noConversion"/>
  </si>
  <si>
    <t>6-6-1</t>
    <phoneticPr fontId="3" type="noConversion"/>
  </si>
  <si>
    <t>작업량</t>
    <phoneticPr fontId="3" type="noConversion"/>
  </si>
  <si>
    <t>본당</t>
    <phoneticPr fontId="3" type="noConversion"/>
  </si>
  <si>
    <t>250mm</t>
    <phoneticPr fontId="3" type="noConversion"/>
  </si>
  <si>
    <t>배관공</t>
    <phoneticPr fontId="3" type="noConversion"/>
  </si>
  <si>
    <t>양중장비</t>
    <phoneticPr fontId="3" type="noConversion"/>
  </si>
  <si>
    <t>300mm</t>
    <phoneticPr fontId="3" type="noConversion"/>
  </si>
  <si>
    <t>350mm</t>
    <phoneticPr fontId="3" type="noConversion"/>
  </si>
  <si>
    <t>400mm</t>
    <phoneticPr fontId="3" type="noConversion"/>
  </si>
  <si>
    <t>450mm</t>
    <phoneticPr fontId="3" type="noConversion"/>
  </si>
  <si>
    <t>D=900mm</t>
    <phoneticPr fontId="3" type="noConversion"/>
  </si>
  <si>
    <t>500mm</t>
    <phoneticPr fontId="3" type="noConversion"/>
  </si>
  <si>
    <t>600mm</t>
    <phoneticPr fontId="3" type="noConversion"/>
  </si>
  <si>
    <t>D=1000mm</t>
    <phoneticPr fontId="3" type="noConversion"/>
  </si>
  <si>
    <t>700mm</t>
    <phoneticPr fontId="3" type="noConversion"/>
  </si>
  <si>
    <t>800mm</t>
    <phoneticPr fontId="3" type="noConversion"/>
  </si>
  <si>
    <t>D=1200mm</t>
    <phoneticPr fontId="3" type="noConversion"/>
  </si>
  <si>
    <t>900mm</t>
    <phoneticPr fontId="3" type="noConversion"/>
  </si>
  <si>
    <t>흄관 부설 및 접합</t>
    <phoneticPr fontId="3" type="noConversion"/>
  </si>
  <si>
    <t>소켓식, D=250mm</t>
    <phoneticPr fontId="3" type="noConversion"/>
  </si>
  <si>
    <t>1000mm</t>
    <phoneticPr fontId="3" type="noConversion"/>
  </si>
  <si>
    <t>흄관(관급별도)</t>
    <phoneticPr fontId="3" type="noConversion"/>
  </si>
  <si>
    <t>흄관 운반</t>
    <phoneticPr fontId="3" type="noConversion"/>
  </si>
  <si>
    <t>하차비</t>
    <phoneticPr fontId="3" type="noConversion"/>
  </si>
  <si>
    <t>1100mm</t>
    <phoneticPr fontId="3" type="noConversion"/>
  </si>
  <si>
    <t>공구손료 및 잡재료비</t>
    <phoneticPr fontId="3" type="noConversion"/>
  </si>
  <si>
    <t>인력품의 2%</t>
    <phoneticPr fontId="3" type="noConversion"/>
  </si>
  <si>
    <t>1200mm</t>
    <phoneticPr fontId="3" type="noConversion"/>
  </si>
  <si>
    <t>소켓식, D=300mm</t>
    <phoneticPr fontId="3" type="noConversion"/>
  </si>
  <si>
    <t>소켓식, D=400mm</t>
    <phoneticPr fontId="3" type="noConversion"/>
  </si>
  <si>
    <t>소켓식, D=450mm</t>
    <phoneticPr fontId="3" type="noConversion"/>
  </si>
  <si>
    <t>소켓식, D=500mm</t>
    <phoneticPr fontId="3" type="noConversion"/>
  </si>
  <si>
    <t>소켓식, D=600mm</t>
    <phoneticPr fontId="3" type="noConversion"/>
  </si>
  <si>
    <t>소켓식, D=700mm</t>
    <phoneticPr fontId="3" type="noConversion"/>
  </si>
  <si>
    <t>소켓식, D=800mm</t>
    <phoneticPr fontId="3" type="noConversion"/>
  </si>
  <si>
    <t>소켓식, D=900mm</t>
    <phoneticPr fontId="3" type="noConversion"/>
  </si>
  <si>
    <t>개소당 인력</t>
    <phoneticPr fontId="3" type="noConversion"/>
  </si>
  <si>
    <t>PE밴드 관 접합 부설 6-5-2</t>
    <phoneticPr fontId="3" type="noConversion"/>
  </si>
  <si>
    <t>200mm</t>
    <phoneticPr fontId="3" type="noConversion"/>
  </si>
  <si>
    <t>소켓식, D=1,000mm</t>
    <phoneticPr fontId="3" type="noConversion"/>
  </si>
  <si>
    <t>D=1,000mm</t>
    <phoneticPr fontId="3" type="noConversion"/>
  </si>
  <si>
    <t>소켓식, D=1,100mm</t>
    <phoneticPr fontId="3" type="noConversion"/>
  </si>
  <si>
    <t>D=1,100mm</t>
    <phoneticPr fontId="3" type="noConversion"/>
  </si>
  <si>
    <t>치수과</t>
    <phoneticPr fontId="3" type="noConversion"/>
  </si>
  <si>
    <t>소켓식, D=1,200mm</t>
    <phoneticPr fontId="3" type="noConversion"/>
  </si>
  <si>
    <t>D=1,200mm</t>
    <phoneticPr fontId="3" type="noConversion"/>
  </si>
  <si>
    <t>23년 개정 6-4-1</t>
    <phoneticPr fontId="3" type="noConversion"/>
  </si>
  <si>
    <t>100mm</t>
    <phoneticPr fontId="3" type="noConversion"/>
  </si>
  <si>
    <t>이중벽P.E관 부설 및 접합</t>
    <phoneticPr fontId="3" type="noConversion"/>
  </si>
  <si>
    <t>Φ150mm,1종</t>
    <phoneticPr fontId="3" type="noConversion"/>
  </si>
  <si>
    <t>PE밴드,Φ150mm</t>
    <phoneticPr fontId="3" type="noConversion"/>
  </si>
  <si>
    <t>D=200mm</t>
    <phoneticPr fontId="3" type="noConversion"/>
  </si>
  <si>
    <t>Φ200mm,1종</t>
    <phoneticPr fontId="3" type="noConversion"/>
  </si>
  <si>
    <t>PE밴드,Φ200mm</t>
    <phoneticPr fontId="3" type="noConversion"/>
  </si>
  <si>
    <t>Φ250mm,1종</t>
    <phoneticPr fontId="3" type="noConversion"/>
  </si>
  <si>
    <t>PE밴드,Φ250mm</t>
    <phoneticPr fontId="3" type="noConversion"/>
  </si>
  <si>
    <t>Φ300mm,1종</t>
    <phoneticPr fontId="3" type="noConversion"/>
  </si>
  <si>
    <t>PE밴드,Φ300mm</t>
    <phoneticPr fontId="3" type="noConversion"/>
  </si>
  <si>
    <t>P.V.C관 부설 및 접합</t>
    <phoneticPr fontId="3" type="noConversion"/>
  </si>
  <si>
    <t>D=100mm</t>
    <phoneticPr fontId="3" type="noConversion"/>
  </si>
  <si>
    <t>VG1, 100mm</t>
    <phoneticPr fontId="3" type="noConversion"/>
  </si>
  <si>
    <t>소켓, 100mm</t>
    <phoneticPr fontId="3" type="noConversion"/>
  </si>
  <si>
    <t>D=125mm</t>
    <phoneticPr fontId="3" type="noConversion"/>
  </si>
  <si>
    <t>VG1, 125mm</t>
    <phoneticPr fontId="3" type="noConversion"/>
  </si>
  <si>
    <t>소켓, 125mm</t>
    <phoneticPr fontId="3" type="noConversion"/>
  </si>
  <si>
    <t>VG1, 150mm</t>
    <phoneticPr fontId="3" type="noConversion"/>
  </si>
  <si>
    <t>소켓, 150mm</t>
    <phoneticPr fontId="3" type="noConversion"/>
  </si>
  <si>
    <t>1호 맨홀(Φ900) 설치</t>
    <phoneticPr fontId="3" type="noConversion"/>
  </si>
  <si>
    <t>벽체H=1.0m,PE거푸집사용</t>
    <phoneticPr fontId="3" type="noConversion"/>
  </si>
  <si>
    <t>서울형 품셈</t>
    <phoneticPr fontId="3" type="noConversion"/>
  </si>
  <si>
    <t>하수맨홀 인버트 설치</t>
    <phoneticPr fontId="3" type="noConversion"/>
  </si>
  <si>
    <t>기초콘크리트</t>
    <phoneticPr fontId="3" type="noConversion"/>
  </si>
  <si>
    <t>fck=18MPa(소형)</t>
    <phoneticPr fontId="3" type="noConversion"/>
  </si>
  <si>
    <t>개소당</t>
    <phoneticPr fontId="3" type="noConversion"/>
  </si>
  <si>
    <t>벽체콘크리트</t>
    <phoneticPr fontId="3" type="noConversion"/>
  </si>
  <si>
    <t>표면마무리</t>
    <phoneticPr fontId="3" type="noConversion"/>
  </si>
  <si>
    <t>미장공</t>
    <phoneticPr fontId="3" type="noConversion"/>
  </si>
  <si>
    <t>슬래브콘크리트</t>
    <phoneticPr fontId="3" type="noConversion"/>
  </si>
  <si>
    <t>fck=21MPa(소형)</t>
    <phoneticPr fontId="3" type="noConversion"/>
  </si>
  <si>
    <t>높이조절콘크리트</t>
    <phoneticPr fontId="3" type="noConversion"/>
  </si>
  <si>
    <t>인버트콘크리트</t>
    <phoneticPr fontId="3" type="noConversion"/>
  </si>
  <si>
    <t>잡석지정</t>
    <phoneticPr fontId="3" type="noConversion"/>
  </si>
  <si>
    <t>P.E 기초및슬래브거푸집</t>
    <phoneticPr fontId="3" type="noConversion"/>
  </si>
  <si>
    <t>P.E 벽체거푸집</t>
    <phoneticPr fontId="3" type="noConversion"/>
  </si>
  <si>
    <t>철근가공 및 조립</t>
    <phoneticPr fontId="3" type="noConversion"/>
  </si>
  <si>
    <t>간단구조(소형)</t>
    <phoneticPr fontId="3" type="noConversion"/>
  </si>
  <si>
    <t>D13mm</t>
    <phoneticPr fontId="3" type="noConversion"/>
  </si>
  <si>
    <t>D16mm</t>
    <phoneticPr fontId="3" type="noConversion"/>
  </si>
  <si>
    <t>맨홀뚜껑및받침</t>
    <phoneticPr fontId="3" type="noConversion"/>
  </si>
  <si>
    <t>(별도)</t>
    <phoneticPr fontId="3" type="noConversion"/>
  </si>
  <si>
    <t>조</t>
    <phoneticPr fontId="3" type="noConversion"/>
  </si>
  <si>
    <t>받침및뚜껑 설치</t>
    <phoneticPr fontId="3" type="noConversion"/>
  </si>
  <si>
    <t>표면 마무리</t>
    <phoneticPr fontId="3" type="noConversion"/>
  </si>
  <si>
    <t>인</t>
    <phoneticPr fontId="3" type="noConversion"/>
  </si>
  <si>
    <t>2호 맨홀(Φ1200) 설치</t>
    <phoneticPr fontId="3" type="noConversion"/>
  </si>
  <si>
    <t>하수도공 참조</t>
    <phoneticPr fontId="3" type="noConversion"/>
  </si>
  <si>
    <t>3호 맨홀(Φ1500) 설치</t>
    <phoneticPr fontId="3" type="noConversion"/>
  </si>
  <si>
    <t>맨홀 사다리 설치</t>
    <phoneticPr fontId="3" type="noConversion"/>
  </si>
  <si>
    <t>200×210×210,Φ22</t>
    <phoneticPr fontId="3" type="noConversion"/>
  </si>
  <si>
    <t>빗물받이설치(300*400)</t>
    <phoneticPr fontId="3" type="noConversion"/>
  </si>
  <si>
    <t>H=0.4m,연결관300mm</t>
    <phoneticPr fontId="3" type="noConversion"/>
  </si>
  <si>
    <t>구체콘크리트</t>
    <phoneticPr fontId="3" type="noConversion"/>
  </si>
  <si>
    <t>기초거푸집</t>
    <phoneticPr fontId="3" type="noConversion"/>
  </si>
  <si>
    <t>합판6회</t>
    <phoneticPr fontId="3" type="noConversion"/>
  </si>
  <si>
    <t>구체거푸집</t>
    <phoneticPr fontId="3" type="noConversion"/>
  </si>
  <si>
    <t>합판4회</t>
    <phoneticPr fontId="3" type="noConversion"/>
  </si>
  <si>
    <t>스틸그레이팅뚜껑및받침</t>
    <phoneticPr fontId="3" type="noConversion"/>
  </si>
  <si>
    <t>H=0.6m,연결관300mm</t>
    <phoneticPr fontId="3" type="noConversion"/>
  </si>
  <si>
    <t>H=0.8m,연결관300mm</t>
    <phoneticPr fontId="3" type="noConversion"/>
  </si>
  <si>
    <t>H=1.0m,연결관300mm</t>
    <phoneticPr fontId="3" type="noConversion"/>
  </si>
  <si>
    <t>빗물받이설치(300*900)</t>
    <phoneticPr fontId="3" type="noConversion"/>
  </si>
  <si>
    <t>H=0.6m,연결관450mm</t>
    <phoneticPr fontId="3" type="noConversion"/>
  </si>
  <si>
    <t>H=0.8m,연결관450mm</t>
    <phoneticPr fontId="3" type="noConversion"/>
  </si>
  <si>
    <t>H=1.0m,연결관450mm</t>
    <phoneticPr fontId="3" type="noConversion"/>
  </si>
  <si>
    <t>빗물받이청소(300*400)</t>
    <phoneticPr fontId="3" type="noConversion"/>
  </si>
  <si>
    <t>인력식</t>
    <phoneticPr fontId="3" type="noConversion"/>
  </si>
  <si>
    <t>서울형품셈</t>
    <phoneticPr fontId="3" type="noConversion"/>
  </si>
  <si>
    <t>1호</t>
    <phoneticPr fontId="3" type="noConversion"/>
  </si>
  <si>
    <t>빗물받이청소(인력식)</t>
    <phoneticPr fontId="3" type="noConversion"/>
  </si>
  <si>
    <t>2호</t>
    <phoneticPr fontId="3" type="noConversion"/>
  </si>
  <si>
    <t>보통인부</t>
    <phoneticPr fontId="3" type="noConversion"/>
  </si>
  <si>
    <t>특별인부</t>
    <phoneticPr fontId="3" type="noConversion"/>
  </si>
  <si>
    <t>빗물받이청소(300*800)</t>
    <phoneticPr fontId="3" type="noConversion"/>
  </si>
  <si>
    <t>빗물받이청소(흡입식)</t>
    <phoneticPr fontId="3" type="noConversion"/>
  </si>
  <si>
    <t>흡입식</t>
    <phoneticPr fontId="3" type="noConversion"/>
  </si>
  <si>
    <t>배관공(수도)</t>
    <phoneticPr fontId="3" type="noConversion"/>
  </si>
  <si>
    <t>진공흡입 준설차</t>
    <phoneticPr fontId="3" type="noConversion"/>
  </si>
  <si>
    <t>진공흡입준설차</t>
    <phoneticPr fontId="3" type="noConversion"/>
  </si>
  <si>
    <t>대</t>
    <phoneticPr fontId="3" type="noConversion"/>
  </si>
  <si>
    <t>횡단빗물받이설치</t>
    <phoneticPr fontId="3" type="noConversion"/>
  </si>
  <si>
    <t>400*1000mm,H=0.5m</t>
    <phoneticPr fontId="3" type="noConversion"/>
  </si>
  <si>
    <t>품셈 2-1-29</t>
    <phoneticPr fontId="3" type="noConversion"/>
  </si>
  <si>
    <t>400*2000mm,H=0.5m</t>
    <phoneticPr fontId="3" type="noConversion"/>
  </si>
  <si>
    <t>품셈 1-9-2</t>
    <phoneticPr fontId="3" type="noConversion"/>
  </si>
  <si>
    <t>400*3000mm,H=0.5m</t>
    <phoneticPr fontId="3" type="noConversion"/>
  </si>
  <si>
    <t>400*4000mm,H=0.5m</t>
    <phoneticPr fontId="3" type="noConversion"/>
  </si>
  <si>
    <t>보차도 경계석 철거</t>
    <phoneticPr fontId="3" type="noConversion"/>
  </si>
  <si>
    <t>200×250×1000mm, B-type</t>
    <phoneticPr fontId="3" type="noConversion"/>
  </si>
  <si>
    <t>환산m2</t>
    <phoneticPr fontId="3" type="noConversion"/>
  </si>
  <si>
    <t>도로 경계석 철거</t>
    <phoneticPr fontId="3" type="noConversion"/>
  </si>
  <si>
    <t>150×150×1000mm, B-type</t>
    <phoneticPr fontId="3" type="noConversion"/>
  </si>
  <si>
    <t>보차도 경계석 설치</t>
    <phoneticPr fontId="3" type="noConversion"/>
  </si>
  <si>
    <t>180×200×1000mm, B-type</t>
    <phoneticPr fontId="3" type="noConversion"/>
  </si>
  <si>
    <t>보차도 경계석</t>
    <phoneticPr fontId="3" type="noConversion"/>
  </si>
  <si>
    <t>180×200×1000mm(별도)</t>
    <phoneticPr fontId="3" type="noConversion"/>
  </si>
  <si>
    <t>보차도 경계석 운반</t>
    <phoneticPr fontId="3" type="noConversion"/>
  </si>
  <si>
    <t>기초 콘크리트</t>
    <phoneticPr fontId="3" type="noConversion"/>
  </si>
  <si>
    <t>3종 인력</t>
    <phoneticPr fontId="3" type="noConversion"/>
  </si>
  <si>
    <t>이음 모르타르</t>
    <phoneticPr fontId="3" type="noConversion"/>
  </si>
  <si>
    <t>거푸집</t>
    <phoneticPr fontId="3" type="noConversion"/>
  </si>
  <si>
    <t>200×250×1000mm(별도)</t>
    <phoneticPr fontId="3" type="noConversion"/>
  </si>
  <si>
    <t>200×300×1000mm, B-type</t>
    <phoneticPr fontId="3" type="noConversion"/>
  </si>
  <si>
    <t>200×300×1000mm(별도)</t>
    <phoneticPr fontId="3" type="noConversion"/>
  </si>
  <si>
    <t>도로 경계석 설치</t>
    <phoneticPr fontId="3" type="noConversion"/>
  </si>
  <si>
    <t>120×120×1000mm, B-type</t>
    <phoneticPr fontId="3" type="noConversion"/>
  </si>
  <si>
    <t>도로 경계석</t>
    <phoneticPr fontId="3" type="noConversion"/>
  </si>
  <si>
    <t>120×120×1000mm(별도)</t>
    <phoneticPr fontId="3" type="noConversion"/>
  </si>
  <si>
    <t>도로 경계석 운반</t>
    <phoneticPr fontId="3" type="noConversion"/>
  </si>
  <si>
    <t>150×150×150×1000mm(별도)</t>
    <phoneticPr fontId="3" type="noConversion"/>
  </si>
  <si>
    <t>150×150×1000mm, B-type, 거푸집한면공제</t>
    <phoneticPr fontId="3" type="noConversion"/>
  </si>
  <si>
    <t>도로 경계블록 설치</t>
    <phoneticPr fontId="3" type="noConversion"/>
  </si>
  <si>
    <t xml:space="preserve">120×120×120×1000mm, B-type </t>
    <phoneticPr fontId="3" type="noConversion"/>
  </si>
  <si>
    <t xml:space="preserve">150×150×150×1000mm, B-type </t>
    <phoneticPr fontId="3" type="noConversion"/>
  </si>
  <si>
    <t>150×150×150×1000mm</t>
    <phoneticPr fontId="3" type="noConversion"/>
  </si>
  <si>
    <t>150×150×150×1000mm, B-type, 거푸집한면공제</t>
    <phoneticPr fontId="3" type="noConversion"/>
  </si>
  <si>
    <t>보차도 경계블록 설치</t>
    <phoneticPr fontId="3" type="noConversion"/>
  </si>
  <si>
    <t>180×205×250×1000mm, B-type</t>
    <phoneticPr fontId="3" type="noConversion"/>
  </si>
  <si>
    <t>180×210×300×1000mm, B-type</t>
    <phoneticPr fontId="3" type="noConversion"/>
  </si>
  <si>
    <t>180×200×1000mm(곡선부), B-type</t>
    <phoneticPr fontId="3" type="noConversion"/>
  </si>
  <si>
    <t>200×250×1000mm(곡선부), B-type</t>
    <phoneticPr fontId="3" type="noConversion"/>
  </si>
  <si>
    <t>200×300×1000mm(곡선부), B-type</t>
    <phoneticPr fontId="3" type="noConversion"/>
  </si>
  <si>
    <t>120×120×1000mm(곡선부), B-type</t>
    <phoneticPr fontId="3" type="noConversion"/>
  </si>
  <si>
    <t>150×150×1000mm(곡선부), B-type</t>
    <phoneticPr fontId="3" type="noConversion"/>
  </si>
  <si>
    <t>150×150×1000mm(별도)</t>
    <phoneticPr fontId="3" type="noConversion"/>
  </si>
  <si>
    <t>150×150×1000mm,거푸집한면공제(곡선부), B-type</t>
    <phoneticPr fontId="3" type="noConversion"/>
  </si>
  <si>
    <t>120×120×120×1000mm(곡선부), B-type</t>
    <phoneticPr fontId="3" type="noConversion"/>
  </si>
  <si>
    <t>150×150×150×1000mm(곡선부), B-type</t>
    <phoneticPr fontId="3" type="noConversion"/>
  </si>
  <si>
    <t>품셈 2-1-30</t>
    <phoneticPr fontId="3" type="noConversion"/>
  </si>
  <si>
    <t>150×150×150×1000mm,거푸집한면공제(곡선부), B-type</t>
    <phoneticPr fontId="3" type="noConversion"/>
  </si>
  <si>
    <t>180×205×250×1000mm(곡선부), B-type</t>
    <phoneticPr fontId="3" type="noConversion"/>
  </si>
  <si>
    <t>180×210×300×1000mm(곡선부), B-type</t>
    <phoneticPr fontId="3" type="noConversion"/>
  </si>
  <si>
    <t>보차도 경계석 재설치</t>
    <phoneticPr fontId="3" type="noConversion"/>
  </si>
  <si>
    <t>도로 경계석 재설치</t>
    <phoneticPr fontId="3" type="noConversion"/>
  </si>
  <si>
    <t>2종-&gt;1종</t>
    <phoneticPr fontId="3" type="noConversion"/>
  </si>
  <si>
    <t>23년 기심반영 부설공 삭제, 미장공 추가</t>
    <phoneticPr fontId="3" type="noConversion"/>
  </si>
  <si>
    <t>도로 경계측구</t>
    <phoneticPr fontId="3" type="noConversion"/>
  </si>
  <si>
    <t>B=45cm,인력비빔</t>
    <phoneticPr fontId="3" type="noConversion"/>
  </si>
  <si>
    <t>인력비빔,1종</t>
    <phoneticPr fontId="3" type="noConversion"/>
  </si>
  <si>
    <t>미장공</t>
    <phoneticPr fontId="3" type="noConversion"/>
  </si>
  <si>
    <t>표면마무리</t>
    <phoneticPr fontId="3" type="noConversion"/>
  </si>
  <si>
    <t>세퍼레이터(거푸집간격유지철물)</t>
    <phoneticPr fontId="3" type="noConversion"/>
  </si>
  <si>
    <t>L450mm</t>
    <phoneticPr fontId="3" type="noConversion"/>
  </si>
  <si>
    <t>콘크리트줄눈 절단</t>
    <phoneticPr fontId="3" type="noConversion"/>
  </si>
  <si>
    <t>6m당 1개소</t>
    <phoneticPr fontId="3" type="noConversion"/>
  </si>
  <si>
    <t>포장 줄눈설치</t>
    <phoneticPr fontId="3" type="noConversion"/>
  </si>
  <si>
    <t>폭6mm,깊이50mm</t>
    <phoneticPr fontId="3" type="noConversion"/>
  </si>
  <si>
    <t>비닐 깔기</t>
    <phoneticPr fontId="3" type="noConversion"/>
  </si>
  <si>
    <t>기준시공(개소)</t>
    <phoneticPr fontId="3" type="noConversion"/>
  </si>
  <si>
    <t>환산개소</t>
    <phoneticPr fontId="3" type="noConversion"/>
  </si>
  <si>
    <t>보차도 경계측구</t>
    <phoneticPr fontId="3" type="noConversion"/>
  </si>
  <si>
    <t>B=50cm,인력비빔</t>
    <phoneticPr fontId="3" type="noConversion"/>
  </si>
  <si>
    <t>L500mm</t>
    <phoneticPr fontId="3" type="noConversion"/>
  </si>
  <si>
    <t>B=45cm,레미콘</t>
    <phoneticPr fontId="3" type="noConversion"/>
  </si>
  <si>
    <t>25-24-08(별도)</t>
    <phoneticPr fontId="3" type="noConversion"/>
  </si>
  <si>
    <t>레미콘 타설</t>
    <phoneticPr fontId="3" type="noConversion"/>
  </si>
  <si>
    <t>무근구조물</t>
    <phoneticPr fontId="3" type="noConversion"/>
  </si>
  <si>
    <t>2021 개정</t>
    <phoneticPr fontId="3" type="noConversion"/>
  </si>
  <si>
    <t>품셈 1-1-2</t>
    <phoneticPr fontId="3" type="noConversion"/>
  </si>
  <si>
    <t>B=50cm,레미콘</t>
    <phoneticPr fontId="3" type="noConversion"/>
  </si>
  <si>
    <t>품셈 1-3-1</t>
    <phoneticPr fontId="3" type="noConversion"/>
  </si>
  <si>
    <t>시선유도봉 설치</t>
    <phoneticPr fontId="3" type="noConversion"/>
  </si>
  <si>
    <t>200*80*450(볼트식)</t>
    <phoneticPr fontId="3" type="noConversion"/>
  </si>
  <si>
    <t>시선유도봉</t>
    <phoneticPr fontId="3" type="noConversion"/>
  </si>
  <si>
    <t>200*80*750, 볼트식</t>
    <phoneticPr fontId="3" type="noConversion"/>
  </si>
  <si>
    <t>자재별도</t>
    <phoneticPr fontId="3" type="noConversion"/>
  </si>
  <si>
    <t>품셈 1-3-2</t>
    <phoneticPr fontId="3" type="noConversion"/>
  </si>
  <si>
    <t>공구손료 및 경장비</t>
    <phoneticPr fontId="3" type="noConversion"/>
  </si>
  <si>
    <t>시선유도봉 철거</t>
    <phoneticPr fontId="3" type="noConversion"/>
  </si>
  <si>
    <t>경계블록,측구틈 보수</t>
    <phoneticPr fontId="3" type="noConversion"/>
  </si>
  <si>
    <t>3종콘크리트,무근(3㎡이상)</t>
    <phoneticPr fontId="3" type="noConversion"/>
  </si>
  <si>
    <t>콘크리트</t>
    <phoneticPr fontId="3" type="noConversion"/>
  </si>
  <si>
    <t>인력비빔,3종,무근</t>
    <phoneticPr fontId="3" type="noConversion"/>
  </si>
  <si>
    <t>품셈 1-3-3</t>
    <phoneticPr fontId="3" type="noConversion"/>
  </si>
  <si>
    <t>3종콘크리트,소형(3㎡미만)</t>
  </si>
  <si>
    <t>인력비빔,3종,소형</t>
    <phoneticPr fontId="3" type="noConversion"/>
  </si>
  <si>
    <t>유도선 설치 및 해체</t>
    <phoneticPr fontId="3" type="noConversion"/>
  </si>
  <si>
    <t>설치간격 10m이하</t>
    <phoneticPr fontId="3" type="noConversion"/>
  </si>
  <si>
    <t>설치간격 6m이하</t>
    <phoneticPr fontId="3" type="noConversion"/>
  </si>
  <si>
    <t>보조기층</t>
    <phoneticPr fontId="3" type="noConversion"/>
  </si>
  <si>
    <t>t=20cm,인력식 소규모 장비사용 시공</t>
    <phoneticPr fontId="3" type="noConversion"/>
  </si>
  <si>
    <t>보조기층재</t>
    <phoneticPr fontId="3" type="noConversion"/>
  </si>
  <si>
    <t>75mm이하</t>
    <phoneticPr fontId="3" type="noConversion"/>
  </si>
  <si>
    <t>포설공</t>
    <phoneticPr fontId="3" type="noConversion"/>
  </si>
  <si>
    <t>t=20cm,기계시공-길어깨 포장</t>
    <phoneticPr fontId="3" type="noConversion"/>
  </si>
  <si>
    <t>t=20cm,기계시공-본선포장</t>
    <phoneticPr fontId="3" type="noConversion"/>
  </si>
  <si>
    <t>모터 그레이더</t>
    <phoneticPr fontId="3" type="noConversion"/>
  </si>
  <si>
    <t>t=30cm,인력식 소규모 장비사용 시공</t>
    <phoneticPr fontId="3" type="noConversion"/>
  </si>
  <si>
    <t>품셈 1-4-1</t>
    <phoneticPr fontId="3" type="noConversion"/>
  </si>
  <si>
    <t>t=30cm,기계시공-길어깨 포장</t>
    <phoneticPr fontId="3" type="noConversion"/>
  </si>
  <si>
    <t>t=30cm,기계시공-본선포장</t>
    <phoneticPr fontId="3" type="noConversion"/>
  </si>
  <si>
    <t>t=40cm,기계시공-본선포장</t>
    <phoneticPr fontId="3" type="noConversion"/>
  </si>
  <si>
    <t>입도조정(혼합)기층</t>
    <phoneticPr fontId="3" type="noConversion"/>
  </si>
  <si>
    <t>t=10cm,인력식 소규모장비사용 시공</t>
    <phoneticPr fontId="3" type="noConversion"/>
  </si>
  <si>
    <t>입도조정(혼합)기층재</t>
    <phoneticPr fontId="3" type="noConversion"/>
  </si>
  <si>
    <t>40mm이하</t>
    <phoneticPr fontId="3" type="noConversion"/>
  </si>
  <si>
    <t>품셈 1-4-2</t>
    <phoneticPr fontId="3" type="noConversion"/>
  </si>
  <si>
    <t>t=15cm,인력식 소규모장비사용 시공</t>
    <phoneticPr fontId="3" type="noConversion"/>
  </si>
  <si>
    <t>입도조정(투수)기층</t>
    <phoneticPr fontId="3" type="noConversion"/>
  </si>
  <si>
    <t>입도조정(투수)기층재</t>
    <phoneticPr fontId="3" type="noConversion"/>
  </si>
  <si>
    <t>계약심사과-2995(2015.02.23)</t>
    <phoneticPr fontId="3" type="noConversion"/>
  </si>
  <si>
    <t>t=20cm,인력식 소규모장비사용 시공</t>
    <phoneticPr fontId="3" type="noConversion"/>
  </si>
  <si>
    <t>품셈 1-5-2</t>
    <phoneticPr fontId="3" type="noConversion"/>
  </si>
  <si>
    <t>프라임 코팅</t>
    <phoneticPr fontId="3" type="noConversion"/>
  </si>
  <si>
    <t>품셈 1-5-3</t>
    <phoneticPr fontId="3" type="noConversion"/>
  </si>
  <si>
    <t>유화 아스팔트</t>
    <phoneticPr fontId="3" type="noConversion"/>
  </si>
  <si>
    <t>RSC-3, 기층 하단 사용</t>
    <phoneticPr fontId="3" type="noConversion"/>
  </si>
  <si>
    <t>서울형품셈</t>
    <phoneticPr fontId="3" type="noConversion"/>
  </si>
  <si>
    <t>수동식살포기, 400ℓ</t>
    <phoneticPr fontId="3" type="noConversion"/>
  </si>
  <si>
    <t>기계식</t>
    <phoneticPr fontId="3" type="noConversion"/>
  </si>
  <si>
    <t>아스팔트 디스트리뷰트</t>
    <phoneticPr fontId="3" type="noConversion"/>
  </si>
  <si>
    <t>폭2.4m, 3,800ℓ</t>
    <phoneticPr fontId="3" type="noConversion"/>
  </si>
  <si>
    <t>택코팅</t>
    <phoneticPr fontId="3" type="noConversion"/>
  </si>
  <si>
    <t>RSC-4, 표층 하단 사용</t>
    <phoneticPr fontId="3" type="noConversion"/>
  </si>
  <si>
    <t>아스팔트 기층(중층)</t>
    <phoneticPr fontId="3" type="noConversion"/>
  </si>
  <si>
    <t xml:space="preserve"> t=7.5cm이하, 인력식 포설(소로, 주택가 내 피니셔 불가 도로)</t>
    <phoneticPr fontId="3" type="noConversion"/>
  </si>
  <si>
    <t>프라임 코팅(인력식)</t>
    <phoneticPr fontId="3" type="noConversion"/>
  </si>
  <si>
    <t>RSC-3</t>
    <phoneticPr fontId="3" type="noConversion"/>
  </si>
  <si>
    <t>포설, 다짐</t>
    <phoneticPr fontId="3" type="noConversion"/>
  </si>
  <si>
    <t>품셈 1-5-4</t>
    <phoneticPr fontId="3" type="noConversion"/>
  </si>
  <si>
    <t xml:space="preserve"> t=5~7cm, 소형장비 사용[피니셔(1.7m)]</t>
    <phoneticPr fontId="3" type="noConversion"/>
  </si>
  <si>
    <t>프라임 코팅(기계식)</t>
    <phoneticPr fontId="3" type="noConversion"/>
  </si>
  <si>
    <t xml:space="preserve"> t=8~10cm, 소형장비 사용[피니셔(1.7m)]</t>
    <phoneticPr fontId="3" type="noConversion"/>
  </si>
  <si>
    <t>t=5~7cm, 기계 2m≤시공폭＜3m</t>
    <phoneticPr fontId="3" type="noConversion"/>
  </si>
  <si>
    <t>3.0m</t>
    <phoneticPr fontId="3" type="noConversion"/>
  </si>
  <si>
    <t>t=8~10cm, 기계 2m≤시공폭＜3m</t>
    <phoneticPr fontId="3" type="noConversion"/>
  </si>
  <si>
    <t>품셈 1-5-5</t>
    <phoneticPr fontId="3" type="noConversion"/>
  </si>
  <si>
    <t>t=5~7cm, 기계 3m≤시공폭</t>
    <phoneticPr fontId="3" type="noConversion"/>
  </si>
  <si>
    <t>품셈 1-5-6</t>
    <phoneticPr fontId="3" type="noConversion"/>
  </si>
  <si>
    <t>t=8~10cm,  기계 3m≤시공폭</t>
    <phoneticPr fontId="3" type="noConversion"/>
  </si>
  <si>
    <t>품셈 1-5-7</t>
    <phoneticPr fontId="3" type="noConversion"/>
  </si>
  <si>
    <t>아스팔트 표층</t>
  </si>
  <si>
    <t>아스콘</t>
  </si>
  <si>
    <t>#67 or #78(별도)</t>
  </si>
  <si>
    <t>ton</t>
  </si>
  <si>
    <t>텍 코팅(인력식)</t>
    <phoneticPr fontId="3" type="noConversion"/>
  </si>
  <si>
    <t>RSC-4</t>
    <phoneticPr fontId="3" type="noConversion"/>
  </si>
  <si>
    <t>포장공</t>
  </si>
  <si>
    <t>1.5ton</t>
  </si>
  <si>
    <t>진동롤러(핸드가이드식)</t>
  </si>
  <si>
    <t>로더(타이어)</t>
  </si>
  <si>
    <t>0.57㎥</t>
  </si>
  <si>
    <t>살수차</t>
  </si>
  <si>
    <t>5,500ℓ</t>
  </si>
  <si>
    <t>소     계</t>
  </si>
  <si>
    <t>아스팔트 표층</t>
    <phoneticPr fontId="3" type="noConversion"/>
  </si>
  <si>
    <t>#67 or #78(별도)</t>
    <phoneticPr fontId="3" type="noConversion"/>
  </si>
  <si>
    <t>텍 코팅(기계식)</t>
    <phoneticPr fontId="3" type="noConversion"/>
  </si>
  <si>
    <t>개질 아스팔트 표층</t>
    <phoneticPr fontId="3" type="noConversion"/>
  </si>
  <si>
    <t>t=5cm, 기계-2m≤시공폭＜3m</t>
    <phoneticPr fontId="3" type="noConversion"/>
  </si>
  <si>
    <t>t=5cm, 기계-3m≤시공폭</t>
    <phoneticPr fontId="3" type="noConversion"/>
  </si>
  <si>
    <t>2-1-3</t>
    <phoneticPr fontId="3" type="noConversion"/>
  </si>
  <si>
    <t>투배수성 아스팔트 표층</t>
    <phoneticPr fontId="3" type="noConversion"/>
  </si>
  <si>
    <t>t=7.5cm이하,기계-시공폭&lt;3m</t>
    <phoneticPr fontId="3" type="noConversion"/>
  </si>
  <si>
    <t>24년신설</t>
    <phoneticPr fontId="3" type="noConversion"/>
  </si>
  <si>
    <t>2-1-4</t>
    <phoneticPr fontId="3" type="noConversion"/>
  </si>
  <si>
    <t>t=7.5cm이하,기계-시공폭≥3m</t>
    <phoneticPr fontId="3" type="noConversion"/>
  </si>
  <si>
    <t>절삭 후 아스팔트 덧씌우기(1회절삭, 1회포장)</t>
    <phoneticPr fontId="3" type="noConversion"/>
  </si>
  <si>
    <t>연속구간, Atype(고속도로, 자동차전용도로, 평면교차로 없는 일반도로), 시공량 5,000㎡</t>
    <phoneticPr fontId="3" type="noConversion"/>
  </si>
  <si>
    <t>20년신설</t>
    <phoneticPr fontId="3" type="noConversion"/>
  </si>
  <si>
    <t>절삭, 청소</t>
    <phoneticPr fontId="3" type="noConversion"/>
  </si>
  <si>
    <t>로더(타이어)+소형노면파쇄기</t>
    <phoneticPr fontId="3" type="noConversion"/>
  </si>
  <si>
    <t>절삭 후 아스팔트 덧씌우기(1회절삭, 2회포장)</t>
    <phoneticPr fontId="3" type="noConversion"/>
  </si>
  <si>
    <t>연속구간, Atype(고속도로, 자동차전용도로, 평면교차로 없는 일반도로), 시공량 2,600㎡,(1회 절삭, 2회포설)</t>
    <phoneticPr fontId="3" type="noConversion"/>
  </si>
  <si>
    <t>불연속 구간, Btype(평면교차로 등 장비의 일시적 이동 발생), 시공량 3,400㎡</t>
    <phoneticPr fontId="3" type="noConversion"/>
  </si>
  <si>
    <t>불연속 구간, Btype(평면교차로 등 장비의 일시적 이동 발생), 시공량 1,800㎡</t>
    <phoneticPr fontId="3" type="noConversion"/>
  </si>
  <si>
    <t>24년개정 2-1-6</t>
    <phoneticPr fontId="3" type="noConversion"/>
  </si>
  <si>
    <t>덧씌우기</t>
    <phoneticPr fontId="3" type="noConversion"/>
  </si>
  <si>
    <t>불연속 구간, Ctype(평면교차로 등 장비이동 발생), 시공량 1,800㎡</t>
    <phoneticPr fontId="3" type="noConversion"/>
  </si>
  <si>
    <t>24년신설 2-1-7</t>
    <phoneticPr fontId="3" type="noConversion"/>
  </si>
  <si>
    <t>아스팔트 절삭 및 덧씌우기(주택가, 소규모)</t>
    <phoneticPr fontId="3" type="noConversion"/>
  </si>
  <si>
    <t>노면파쇄기(2.0m)+피니셔(3.0m)</t>
    <phoneticPr fontId="3" type="noConversion"/>
  </si>
  <si>
    <t>덧씌우기 포장</t>
    <phoneticPr fontId="3" type="noConversion"/>
  </si>
  <si>
    <t>콘크리트 포장 절삭후 덧씌우기</t>
    <phoneticPr fontId="3" type="noConversion"/>
  </si>
  <si>
    <t>t=10cm, 2회 재포장</t>
    <phoneticPr fontId="3" type="noConversion"/>
  </si>
  <si>
    <t>소파보수(표층)</t>
    <phoneticPr fontId="3" type="noConversion"/>
  </si>
  <si>
    <t>소형장비 절삭포장, Atype(시공시간 7시간 이상), 시공량 400㎡, 개소별 평균시공면적 120㎡ 이하</t>
    <phoneticPr fontId="3" type="noConversion"/>
  </si>
  <si>
    <t>2.5ton, 아스팔트 및 소모자재 운반</t>
    <phoneticPr fontId="3" type="noConversion"/>
  </si>
  <si>
    <t>2.5ton, 공구 및 경장비 운반</t>
    <phoneticPr fontId="3" type="noConversion"/>
  </si>
  <si>
    <t>소형장비 절삭포장, Atype(시공시간 7시간 이상), 시공량 400㎡, 개소별 평균 시공면적 180㎡ 초과</t>
    <phoneticPr fontId="3" type="noConversion"/>
  </si>
  <si>
    <t>소형장비 절삭포장, Atype(시공시간 7시간 이상), 시공량 400㎡, 개소별 평균 시공면적 30㎡ 이하</t>
    <phoneticPr fontId="3" type="noConversion"/>
  </si>
  <si>
    <t>소형장비 절삭포장, Btype(시공시간 5시간 이상), 시공량 140㎡, 개소별 평균시공면적 60㎡ 이하</t>
    <phoneticPr fontId="3" type="noConversion"/>
  </si>
  <si>
    <t>소형장비 절삭포장, Btype(시공시간 5시간 이상), 시공량 140㎡, 개소별 평균 시공면적 90㎡초과</t>
    <phoneticPr fontId="3" type="noConversion"/>
  </si>
  <si>
    <t>소형장비 절삭포장, Btype(시공시간 5시간 이상), 시공량 140㎡, 개소별 평균 시공면적 15㎡이하</t>
    <phoneticPr fontId="3" type="noConversion"/>
  </si>
  <si>
    <t>소형장비 절삭포장, Ctype(시공시간 3시간 이상), 시공량 50㎡, 개소별 평균시공면적 60㎡ 이하</t>
    <phoneticPr fontId="3" type="noConversion"/>
  </si>
  <si>
    <t>소형장비 절삭포장, Ctype(시공시간 3시간 이상), 시공량 50㎡, 개소별 평균 시공면적 30㎡초과</t>
    <phoneticPr fontId="3" type="noConversion"/>
  </si>
  <si>
    <t>소형장비 절삭포장, Ctype(시공시간 3시간 이상), 시공량 50㎡, 개소별 평균 시공면적 5㎡이하</t>
    <phoneticPr fontId="3" type="noConversion"/>
  </si>
  <si>
    <t>20년 보완</t>
    <phoneticPr fontId="3" type="noConversion"/>
  </si>
  <si>
    <t>소규모 포장복구</t>
    <phoneticPr fontId="3" type="noConversion"/>
  </si>
  <si>
    <t>소폭 띠모양의 일정구간,일당 포장면적 10㎡초과</t>
    <phoneticPr fontId="3" type="noConversion"/>
  </si>
  <si>
    <t>소폭 띠모양의 일정구간,일당 포장면적 10㎡이하</t>
    <phoneticPr fontId="3" type="noConversion"/>
  </si>
  <si>
    <t>소파보수(포장복구)</t>
    <phoneticPr fontId="3" type="noConversion"/>
  </si>
  <si>
    <t>임시되메우기 상태 포장복구, A-Type(시공시간 7시간 이상), 시공량 110㎡</t>
    <phoneticPr fontId="3" type="noConversion"/>
  </si>
  <si>
    <t>임시되메우기 상태 포장복구, A-Type(시공시간 7시간 이상), 시공량 110㎡, 개소별 평균 시공면적 48㎡초과</t>
    <phoneticPr fontId="3" type="noConversion"/>
  </si>
  <si>
    <t>임시되메우기 상태 포장복구, A-Type(시공시간 7시간 이상), 시공량 110㎡, 개소별 평균 시공면적 8㎡이하</t>
    <phoneticPr fontId="3" type="noConversion"/>
  </si>
  <si>
    <t>임시되메우기 상태 포장복구, B-Type(시공시간 5시간 이상), 시공량 45㎡</t>
    <phoneticPr fontId="3" type="noConversion"/>
  </si>
  <si>
    <t>임시되메우기 상태 포장복구, B-Type(시공시간 5시간 이상), 시공량 45㎡, 개소별 평균 시공면적 30㎡초과</t>
    <phoneticPr fontId="3" type="noConversion"/>
  </si>
  <si>
    <t>임시되메우기 상태 포장복구, B-Type(시공시간 5시간 이상), 시공량 45㎡, 개소별 평균 시공면적 5㎡이하</t>
    <phoneticPr fontId="3" type="noConversion"/>
  </si>
  <si>
    <t>임시되메우기 상태 포장복구, C-Type(시공시간 3시간 이상), 시공량 20㎡</t>
    <phoneticPr fontId="3" type="noConversion"/>
  </si>
  <si>
    <t>임시되메우기 상태 포장복구, C-Type(시공시간 3시간 이상), 시공량 20㎡, 개소별 평균 시공면적 18㎡초과</t>
    <phoneticPr fontId="3" type="noConversion"/>
  </si>
  <si>
    <t>임시되메우기 상태 포장복구, C-Type(시공시간 3시간 이상), 시공량 20㎡, 개소별 평균 시공면적 3㎡이하</t>
    <phoneticPr fontId="3" type="noConversion"/>
  </si>
  <si>
    <t>소규모 도로긴급복구</t>
    <phoneticPr fontId="3" type="noConversion"/>
  </si>
  <si>
    <t>소규모 응급복구시</t>
    <phoneticPr fontId="3" type="noConversion"/>
  </si>
  <si>
    <t>#68 or #78(별도)</t>
    <phoneticPr fontId="3" type="noConversion"/>
  </si>
  <si>
    <t>소파보수(도로복구)</t>
    <phoneticPr fontId="3" type="noConversion"/>
  </si>
  <si>
    <t>기존도로 소파보수(골재층 포함) , A-Type(시공시간 7시간 이상), 시공량 85㎡</t>
    <phoneticPr fontId="3" type="noConversion"/>
  </si>
  <si>
    <t>기존도로 소파보수(골재층 포함) , A-Type(시공시간 7시간 이상), 시공량 85㎡, 개소별 평균 시공면적 36㎡ 초과</t>
    <phoneticPr fontId="3" type="noConversion"/>
  </si>
  <si>
    <t>기존도로 소파보수(골재층 포함) , A-Type(시공시간 7시간 이상), 시공량 85㎡, 개소별 평균 시공면적 6㎡ 이하</t>
    <phoneticPr fontId="3" type="noConversion"/>
  </si>
  <si>
    <t>기존도로 소파보수(골재층 포함) , B-Type(시공시간 5시간 이상), 시공량 35㎡</t>
    <phoneticPr fontId="3" type="noConversion"/>
  </si>
  <si>
    <t>기존도로 소파보수(골재층 포함) , B-Type(시공시간 5시간 이상), 시공량 35㎡, 개소별 평균 시공면적 24㎡초과</t>
    <phoneticPr fontId="3" type="noConversion"/>
  </si>
  <si>
    <t>기존도로 소파보수(골재층 포함) , B-Type(시공시간 5시간 이상), 시공량 35㎡, 개소별 평균 시공면적 4㎡ 이하</t>
    <phoneticPr fontId="3" type="noConversion"/>
  </si>
  <si>
    <t>기존도로 소파보수(골재층 포함) , C-Type(시공시간 3시간 이상), 시공량 15㎡</t>
    <phoneticPr fontId="3" type="noConversion"/>
  </si>
  <si>
    <t>기존도로 소파보수(골재층 포함) , C-Type(시공시간 3시간 이상), 시공량 15㎡, 개소별 평균 시공면적 12㎡ 초과</t>
    <phoneticPr fontId="3" type="noConversion"/>
  </si>
  <si>
    <t>2024년개정</t>
    <phoneticPr fontId="3" type="noConversion"/>
  </si>
  <si>
    <t>1-6-2</t>
    <phoneticPr fontId="3" type="noConversion"/>
  </si>
  <si>
    <t>기존도로 소파보수(골재층 포함) , C-Type(시공시간 3시간 이상), 시공량 15㎡, 개소별 평균 시공면적 2㎡ 이하</t>
    <phoneticPr fontId="3" type="noConversion"/>
  </si>
  <si>
    <t>23년 기심반영 부설공 삭제</t>
    <phoneticPr fontId="3" type="noConversion"/>
  </si>
  <si>
    <t>포장공, 보통인부 삭제</t>
    <phoneticPr fontId="3" type="noConversion"/>
  </si>
  <si>
    <t>표층 인력시공 A-Type(t=20㎝ ,레미콘)</t>
    <phoneticPr fontId="3" type="noConversion"/>
  </si>
  <si>
    <t>25-24-80(관급)</t>
    <phoneticPr fontId="3" type="noConversion"/>
  </si>
  <si>
    <t>현장도착도</t>
    <phoneticPr fontId="3" type="noConversion"/>
  </si>
  <si>
    <t>기계경비</t>
    <phoneticPr fontId="3" type="noConversion"/>
  </si>
  <si>
    <t>표층 인력시공 A-Type(t=30㎝ ,레미콘)</t>
    <phoneticPr fontId="3" type="noConversion"/>
  </si>
  <si>
    <t>표층 인력시공 A-Type(t=40㎝ ,레미콘)</t>
    <phoneticPr fontId="3" type="noConversion"/>
  </si>
  <si>
    <t>t=10cm, 현장비빔, 인력, 1종</t>
    <phoneticPr fontId="3" type="noConversion"/>
  </si>
  <si>
    <t>1종 콘크리트</t>
    <phoneticPr fontId="3" type="noConversion"/>
  </si>
  <si>
    <t>t=15cm, 현장비빔, 인력, 1종</t>
    <phoneticPr fontId="3" type="noConversion"/>
  </si>
  <si>
    <t>t=20cm, 현장비빔, 인력, 1종</t>
    <phoneticPr fontId="3" type="noConversion"/>
  </si>
  <si>
    <t>품셈 1-6-7</t>
    <phoneticPr fontId="3" type="noConversion"/>
  </si>
  <si>
    <t>t=30cm, 현장비빔, 인력, 1종</t>
    <phoneticPr fontId="3" type="noConversion"/>
  </si>
  <si>
    <t>t=10cm, 현장비빔, 인력, 2종</t>
    <phoneticPr fontId="3" type="noConversion"/>
  </si>
  <si>
    <t>2종 콘크리트</t>
    <phoneticPr fontId="3" type="noConversion"/>
  </si>
  <si>
    <t>t=15cm, 현장비빔, 인력, 2종</t>
    <phoneticPr fontId="3" type="noConversion"/>
  </si>
  <si>
    <t>t=20cm, 현장비빔, 인력, 2종</t>
    <phoneticPr fontId="3" type="noConversion"/>
  </si>
  <si>
    <t>t=30cm, 현장비빔, 인력, 2종</t>
    <phoneticPr fontId="3" type="noConversion"/>
  </si>
  <si>
    <t>t=10cm, 현장비빔, 인력, 3종</t>
    <phoneticPr fontId="3" type="noConversion"/>
  </si>
  <si>
    <t>3종 콘크리트</t>
    <phoneticPr fontId="3" type="noConversion"/>
  </si>
  <si>
    <t>품셈 2-1-24</t>
    <phoneticPr fontId="3" type="noConversion"/>
  </si>
  <si>
    <t>t=15cm, 현장비빔, 인력, 3종</t>
    <phoneticPr fontId="3" type="noConversion"/>
  </si>
  <si>
    <t>t=20cm, 현장비빔, 인력, 3종</t>
    <phoneticPr fontId="3" type="noConversion"/>
  </si>
  <si>
    <t>품셈 2-1-25</t>
    <phoneticPr fontId="3" type="noConversion"/>
  </si>
  <si>
    <t>t=30cm, 현장비빔, 인력, 3종</t>
    <phoneticPr fontId="3" type="noConversion"/>
  </si>
  <si>
    <t>콘크리트 포장 표층 절단면</t>
    <phoneticPr fontId="3" type="noConversion"/>
  </si>
  <si>
    <t>품셈 1-7-1</t>
    <phoneticPr fontId="3" type="noConversion"/>
  </si>
  <si>
    <t>2021-01-09 메일수신</t>
    <phoneticPr fontId="3" type="noConversion"/>
  </si>
  <si>
    <t>표준품셈 우선적용</t>
    <phoneticPr fontId="3" type="noConversion"/>
  </si>
  <si>
    <t>소형고압블록 운반</t>
    <phoneticPr fontId="3" type="noConversion"/>
  </si>
  <si>
    <t>운반비+상,하차비, (적치장~현장,L=10km 미만)</t>
    <phoneticPr fontId="3" type="noConversion"/>
  </si>
  <si>
    <t>상,하차비</t>
    <phoneticPr fontId="3" type="noConversion"/>
  </si>
  <si>
    <t>운반비</t>
    <phoneticPr fontId="3" type="noConversion"/>
  </si>
  <si>
    <t>디자인블록 운반</t>
    <phoneticPr fontId="3" type="noConversion"/>
  </si>
  <si>
    <t>운반비+상차비, (적치장~현장,L=10km 미만)</t>
    <phoneticPr fontId="3" type="noConversion"/>
  </si>
  <si>
    <t>2024년 신설</t>
    <phoneticPr fontId="3" type="noConversion"/>
  </si>
  <si>
    <t>모래, 기층재 운반</t>
    <phoneticPr fontId="3" type="noConversion"/>
  </si>
  <si>
    <t>4.5D.T(적치장~현장,L=3km)</t>
    <phoneticPr fontId="3" type="noConversion"/>
  </si>
  <si>
    <t>원지반 다짐</t>
    <phoneticPr fontId="3" type="noConversion"/>
  </si>
  <si>
    <t>보도용 블록 걷기(B-type)</t>
    <phoneticPr fontId="3" type="noConversion"/>
  </si>
  <si>
    <t>인력, 재사용</t>
    <phoneticPr fontId="3" type="noConversion"/>
  </si>
  <si>
    <t>보도용 블록 철거(B-type)</t>
    <phoneticPr fontId="3" type="noConversion"/>
  </si>
  <si>
    <t>장비사용</t>
    <phoneticPr fontId="3" type="noConversion"/>
  </si>
  <si>
    <t>B.H 0.2㎥</t>
    <phoneticPr fontId="3" type="noConversion"/>
  </si>
  <si>
    <t>보도용 블록 설치(소형, 규격0.1㎡이하)</t>
    <phoneticPr fontId="3" type="noConversion"/>
  </si>
  <si>
    <t>소형고압블록, Atype(택지조성, 공원)</t>
  </si>
  <si>
    <t>소형고압블록</t>
    <phoneticPr fontId="3" type="noConversion"/>
  </si>
  <si>
    <t>t=6cm(별도:관급)-납품장소차상도</t>
    <phoneticPr fontId="3" type="noConversion"/>
  </si>
  <si>
    <t>줄눈모래</t>
    <phoneticPr fontId="3" type="noConversion"/>
  </si>
  <si>
    <t>줄눈간격 2mm</t>
    <phoneticPr fontId="3" type="noConversion"/>
  </si>
  <si>
    <t>t=3cm(현장도착도)</t>
    <phoneticPr fontId="3" type="noConversion"/>
  </si>
  <si>
    <t>품셈 1-7-2</t>
    <phoneticPr fontId="3" type="noConversion"/>
  </si>
  <si>
    <t>소형고압블록, Btype(차도인접, 주택가 보도)</t>
    <phoneticPr fontId="3" type="noConversion"/>
  </si>
  <si>
    <t>콘크리트블록, Atype(택지조성, 공원)</t>
  </si>
  <si>
    <t>콘크리트블록</t>
    <phoneticPr fontId="3" type="noConversion"/>
  </si>
  <si>
    <t>20×20×6cm(별도)-납품장소차상도</t>
    <phoneticPr fontId="3" type="noConversion"/>
  </si>
  <si>
    <t>콘크리트블록 운반</t>
    <phoneticPr fontId="3" type="noConversion"/>
  </si>
  <si>
    <t>줄눈모래(백색규사)</t>
    <phoneticPr fontId="3" type="noConversion"/>
  </si>
  <si>
    <t>품셈 1-10-23</t>
    <phoneticPr fontId="3" type="noConversion"/>
  </si>
  <si>
    <t>콘크리트블록, Btype(차도인접, 주택가 보도)</t>
    <phoneticPr fontId="3" type="noConversion"/>
  </si>
  <si>
    <t>투수블록, Atype(택지조성, 공원)</t>
  </si>
  <si>
    <t>줄눈모래(투수블록용)</t>
    <phoneticPr fontId="3" type="noConversion"/>
  </si>
  <si>
    <t>투수시트 설치</t>
  </si>
  <si>
    <t>투수블록, Btype(차도인접, 주택가 보도)</t>
    <phoneticPr fontId="3" type="noConversion"/>
  </si>
  <si>
    <t>보도용 블록 설치(대형, 규격0.1㎡초과 0.25㎡이하)</t>
    <phoneticPr fontId="3" type="noConversion"/>
  </si>
  <si>
    <t>대형블록, Atype(택지조성, 공원)</t>
  </si>
  <si>
    <t>대형블록</t>
    <phoneticPr fontId="3" type="noConversion"/>
  </si>
  <si>
    <t>50×50×4.5cm(별도)</t>
    <phoneticPr fontId="3" type="noConversion"/>
  </si>
  <si>
    <t>대형블록, Btype(차도인접, 주택가 보도)</t>
    <phoneticPr fontId="3" type="noConversion"/>
  </si>
  <si>
    <t>2021년 신설</t>
    <phoneticPr fontId="3" type="noConversion"/>
  </si>
  <si>
    <t>품셈 2-1-26</t>
    <phoneticPr fontId="3" type="noConversion"/>
  </si>
  <si>
    <t>30×30×6cm(점자유도 등), Atype(택지조성, 공원)</t>
  </si>
  <si>
    <t>콘크리트 블록</t>
    <phoneticPr fontId="3" type="noConversion"/>
  </si>
  <si>
    <t>30×30×6cm(별도)</t>
    <phoneticPr fontId="3" type="noConversion"/>
  </si>
  <si>
    <t>줄눈간격 3mm</t>
    <phoneticPr fontId="3" type="noConversion"/>
  </si>
  <si>
    <t>30×30×6cm(점자유도 등), Btype(차도인접, 주택가 보도)</t>
    <phoneticPr fontId="3" type="noConversion"/>
  </si>
  <si>
    <t>보도용 블록 설치 재설치(유지보수, 소형, 규격0.1㎡이하)</t>
    <phoneticPr fontId="3" type="noConversion"/>
  </si>
  <si>
    <t>품셈 2-1-27</t>
    <phoneticPr fontId="3" type="noConversion"/>
  </si>
  <si>
    <t>보도용 블록 설치 재설치(유지보수, 대형, 규격0.1㎡초과 0.25㎡이하)</t>
    <phoneticPr fontId="3" type="noConversion"/>
  </si>
  <si>
    <t>품셈 2-1-28</t>
    <phoneticPr fontId="3" type="noConversion"/>
  </si>
  <si>
    <t>30×30×6cm(점자유도 등), Atype(택지조성, 공원)-시공량10%감</t>
    <phoneticPr fontId="3" type="noConversion"/>
  </si>
  <si>
    <t>30×30×6cm(점자유도 등), Btype(차도인접, 주택가 보도)-시공량10% 감</t>
    <phoneticPr fontId="3" type="noConversion"/>
  </si>
  <si>
    <t>보도용 블록 소규모 보수</t>
    <phoneticPr fontId="3" type="noConversion"/>
  </si>
  <si>
    <t>소형고압블록. 구간별 평균 시공량 10m2이하</t>
    <phoneticPr fontId="3" type="noConversion"/>
  </si>
  <si>
    <t>소형고압블록. 구간별 평균 시공량 30m2이하</t>
    <phoneticPr fontId="3" type="noConversion"/>
  </si>
  <si>
    <t>소형고압블록. 구간별 평균 시공량 60m2이하</t>
    <phoneticPr fontId="3" type="noConversion"/>
  </si>
  <si>
    <t>소형고압블록. 구간별 평균 시공량 110m2이하</t>
    <phoneticPr fontId="3" type="noConversion"/>
  </si>
  <si>
    <t>소형고압블록. 구간별 평균 시공량 110m2초과</t>
    <phoneticPr fontId="3" type="noConversion"/>
  </si>
  <si>
    <t>콘크리트블록, 구간별 평균 시공량 10m2이하</t>
    <phoneticPr fontId="3" type="noConversion"/>
  </si>
  <si>
    <t>콘크리트블록, 구간별 평균 시공량 30m2이하</t>
    <phoneticPr fontId="3" type="noConversion"/>
  </si>
  <si>
    <t>콘크리트블록, 구간별 평균 시공량 60m2이하</t>
    <phoneticPr fontId="3" type="noConversion"/>
  </si>
  <si>
    <t>콘크리트블록, 구간별 평균 시공량 110m2이하</t>
    <phoneticPr fontId="3" type="noConversion"/>
  </si>
  <si>
    <t>콘크리트블록, 구간별 평균 시공량 110m2초과</t>
    <phoneticPr fontId="3" type="noConversion"/>
  </si>
  <si>
    <t>투수시트 설치</t>
    <phoneticPr fontId="3" type="noConversion"/>
  </si>
  <si>
    <t>5-4-1</t>
    <phoneticPr fontId="3" type="noConversion"/>
  </si>
  <si>
    <t>방수공</t>
    <phoneticPr fontId="3" type="noConversion"/>
  </si>
  <si>
    <t>방수공</t>
    <phoneticPr fontId="3" type="noConversion"/>
  </si>
  <si>
    <t>차수재공</t>
    <phoneticPr fontId="3" type="noConversion"/>
  </si>
  <si>
    <t>일당</t>
    <phoneticPr fontId="3" type="noConversion"/>
  </si>
  <si>
    <t>m2당 환산</t>
    <phoneticPr fontId="3" type="noConversion"/>
  </si>
  <si>
    <t>투수아스팔트(표층)</t>
    <phoneticPr fontId="3" type="noConversion"/>
  </si>
  <si>
    <t>인력식, T=5~7cm</t>
    <phoneticPr fontId="3" type="noConversion"/>
  </si>
  <si>
    <t>투수콘크리트</t>
    <phoneticPr fontId="3" type="noConversion"/>
  </si>
  <si>
    <t>품셈 1-7-4</t>
    <phoneticPr fontId="3" type="noConversion"/>
  </si>
  <si>
    <t>코팅</t>
    <phoneticPr fontId="3" type="noConversion"/>
  </si>
  <si>
    <t>별도 계상</t>
    <phoneticPr fontId="3" type="noConversion"/>
  </si>
  <si>
    <t>투수콘크리트 표면 코팅</t>
    <phoneticPr fontId="3" type="noConversion"/>
  </si>
  <si>
    <t>0.3mm도포</t>
    <phoneticPr fontId="3" type="noConversion"/>
  </si>
  <si>
    <t>보도용 줄눈 모래채움</t>
    <phoneticPr fontId="3" type="noConversion"/>
  </si>
  <si>
    <t>㎥</t>
    <phoneticPr fontId="3" type="noConversion"/>
  </si>
  <si>
    <t>보도블록 절단</t>
    <phoneticPr fontId="3" type="noConversion"/>
  </si>
  <si>
    <t>직선</t>
    <phoneticPr fontId="3" type="noConversion"/>
  </si>
  <si>
    <t>곡선</t>
    <phoneticPr fontId="3" type="noConversion"/>
  </si>
  <si>
    <t>탄성포장재 포설</t>
    <phoneticPr fontId="3" type="noConversion"/>
  </si>
  <si>
    <t>포장두께(t&lt;=7.5cm)</t>
    <phoneticPr fontId="3" type="noConversion"/>
  </si>
  <si>
    <t>탄성 재료</t>
    <phoneticPr fontId="3" type="noConversion"/>
  </si>
  <si>
    <t>보통인부(포설)</t>
    <phoneticPr fontId="3" type="noConversion"/>
  </si>
  <si>
    <t>보도매뉴얼</t>
    <phoneticPr fontId="3" type="noConversion"/>
  </si>
  <si>
    <t>화강판석 소파보수</t>
    <phoneticPr fontId="3" type="noConversion"/>
  </si>
  <si>
    <t>화강판석, 개소당 2㎡ 이하 적용</t>
    <phoneticPr fontId="3" type="noConversion"/>
  </si>
  <si>
    <t>1 : 3, t=4cm</t>
    <phoneticPr fontId="3" type="noConversion"/>
  </si>
  <si>
    <t>차량 진출입로 포장</t>
    <phoneticPr fontId="3" type="noConversion"/>
  </si>
  <si>
    <t>소형고압블록,평지구간</t>
    <phoneticPr fontId="3" type="noConversion"/>
  </si>
  <si>
    <t>t=8cm(별도:관급)-납품장소차상도</t>
    <phoneticPr fontId="3" type="noConversion"/>
  </si>
  <si>
    <t>블록절단</t>
    <phoneticPr fontId="3" type="noConversion"/>
  </si>
  <si>
    <t>콘크리트포장</t>
    <phoneticPr fontId="3" type="noConversion"/>
  </si>
  <si>
    <t>인력,T=10Cm</t>
    <phoneticPr fontId="3" type="noConversion"/>
  </si>
  <si>
    <t xml:space="preserve">와이어메쉬 </t>
    <phoneticPr fontId="3" type="noConversion"/>
  </si>
  <si>
    <t xml:space="preserve"> </t>
    <phoneticPr fontId="3" type="noConversion"/>
  </si>
  <si>
    <t>입도조정기층</t>
    <phoneticPr fontId="3" type="noConversion"/>
  </si>
  <si>
    <t>t=15cm,인력식 시공</t>
    <phoneticPr fontId="3" type="noConversion"/>
  </si>
  <si>
    <t>소형고압블록,경사구간</t>
    <phoneticPr fontId="3" type="noConversion"/>
  </si>
  <si>
    <t>붙임 모르타르</t>
    <phoneticPr fontId="3" type="noConversion"/>
  </si>
  <si>
    <t>t=10cm,인력</t>
    <phoneticPr fontId="3" type="noConversion"/>
  </si>
  <si>
    <t>와이어메쉬</t>
    <phoneticPr fontId="3" type="noConversion"/>
  </si>
  <si>
    <t>디자인블록,평지구간</t>
    <phoneticPr fontId="3" type="noConversion"/>
  </si>
  <si>
    <t>디자인블록</t>
    <phoneticPr fontId="3" type="noConversion"/>
  </si>
  <si>
    <t>20×20×8cm(별도)-납품장소차상도</t>
    <phoneticPr fontId="3" type="noConversion"/>
  </si>
  <si>
    <t>와이어메쉬 설치</t>
    <phoneticPr fontId="3" type="noConversion"/>
  </si>
  <si>
    <t>7-4-1 석재판 붙임</t>
    <phoneticPr fontId="3" type="noConversion"/>
  </si>
  <si>
    <t>디자인블록,경사구간</t>
    <phoneticPr fontId="3" type="noConversion"/>
  </si>
  <si>
    <t>건축 4</t>
    <phoneticPr fontId="3" type="noConversion"/>
  </si>
  <si>
    <t>10-6-6 미끄럼 방지공</t>
    <phoneticPr fontId="3" type="noConversion"/>
  </si>
  <si>
    <t>아스콘 포장</t>
    <phoneticPr fontId="3" type="noConversion"/>
  </si>
  <si>
    <t>t=5cm, #67 or #78(별도)</t>
    <phoneticPr fontId="3" type="noConversion"/>
  </si>
  <si>
    <t>t=5cm, 인력식 시공</t>
    <phoneticPr fontId="3" type="noConversion"/>
  </si>
  <si>
    <t>t=15cm,인력</t>
    <phoneticPr fontId="3" type="noConversion"/>
  </si>
  <si>
    <t>화강석판석 포장</t>
    <phoneticPr fontId="3" type="noConversion"/>
  </si>
  <si>
    <t>화강석판석</t>
    <phoneticPr fontId="3" type="noConversion"/>
  </si>
  <si>
    <t>바닥 콘크리트</t>
    <phoneticPr fontId="3" type="noConversion"/>
  </si>
  <si>
    <t>3종 인력, t=10cm</t>
    <phoneticPr fontId="3" type="noConversion"/>
  </si>
  <si>
    <t>화강석 바닥깔기</t>
    <phoneticPr fontId="3" type="noConversion"/>
  </si>
  <si>
    <t>석공</t>
    <phoneticPr fontId="3" type="noConversion"/>
  </si>
  <si>
    <t>보도공사 실명제 표지판 설치</t>
    <phoneticPr fontId="3" type="noConversion"/>
  </si>
  <si>
    <t>포천석,60cm×60cm</t>
    <phoneticPr fontId="3" type="noConversion"/>
  </si>
  <si>
    <t>포천석,60cm×60cm(운반비 포함)</t>
    <phoneticPr fontId="3" type="noConversion"/>
  </si>
  <si>
    <t>미끄럼 방지공</t>
    <phoneticPr fontId="3" type="noConversion"/>
  </si>
  <si>
    <t>A-Type(전면처리)</t>
    <phoneticPr fontId="3" type="noConversion"/>
  </si>
  <si>
    <t>에폭시수지</t>
    <phoneticPr fontId="3" type="noConversion"/>
  </si>
  <si>
    <t>신구콘크리트 접착제</t>
    <phoneticPr fontId="3" type="noConversion"/>
  </si>
  <si>
    <t>충전제</t>
    <phoneticPr fontId="3" type="noConversion"/>
  </si>
  <si>
    <t>도장공</t>
    <phoneticPr fontId="3" type="noConversion"/>
  </si>
  <si>
    <t>B-Type(이격식 처리)</t>
    <phoneticPr fontId="3" type="noConversion"/>
  </si>
  <si>
    <t>m2=</t>
    <phoneticPr fontId="3" type="noConversion"/>
  </si>
  <si>
    <t>산출근거</t>
    <phoneticPr fontId="3" type="noConversion"/>
  </si>
  <si>
    <t>디자인맨홀뚜껑</t>
    <phoneticPr fontId="3" type="noConversion"/>
  </si>
  <si>
    <t>하수 Φ648</t>
    <phoneticPr fontId="3" type="noConversion"/>
  </si>
  <si>
    <t>디자인맨홀</t>
    <phoneticPr fontId="3" type="noConversion"/>
  </si>
  <si>
    <t>하수도용 Φ648(별도)</t>
    <phoneticPr fontId="3" type="noConversion"/>
  </si>
  <si>
    <t>환산개</t>
    <phoneticPr fontId="3" type="noConversion"/>
  </si>
  <si>
    <t>상수 Φ648</t>
    <phoneticPr fontId="3" type="noConversion"/>
  </si>
  <si>
    <t>상수도용 Φ648(별도)</t>
    <phoneticPr fontId="3" type="noConversion"/>
  </si>
  <si>
    <t>Φ766</t>
    <phoneticPr fontId="3" type="noConversion"/>
  </si>
  <si>
    <t>10-4-2-1 맨홀유지보수</t>
    <phoneticPr fontId="3" type="noConversion"/>
  </si>
  <si>
    <t>Φ766(별도)</t>
    <phoneticPr fontId="3" type="noConversion"/>
  </si>
  <si>
    <t>Φ918</t>
    <phoneticPr fontId="3" type="noConversion"/>
  </si>
  <si>
    <t>Φ918(별도)</t>
    <phoneticPr fontId="3" type="noConversion"/>
  </si>
  <si>
    <t>전기,통신 620*1020</t>
    <phoneticPr fontId="3" type="noConversion"/>
  </si>
  <si>
    <t>620*1020(별도)</t>
    <phoneticPr fontId="3" type="noConversion"/>
  </si>
  <si>
    <t>가로등,신호등 500*500</t>
    <phoneticPr fontId="3" type="noConversion"/>
  </si>
  <si>
    <t>500*500(별도)</t>
    <phoneticPr fontId="3" type="noConversion"/>
  </si>
  <si>
    <t>맨홀보수</t>
    <phoneticPr fontId="3" type="noConversion"/>
  </si>
  <si>
    <t>하수 Φ648(조절높이 0mm)</t>
    <phoneticPr fontId="3" type="noConversion"/>
  </si>
  <si>
    <t>맨홀뚜껑및받침철거설치</t>
    <phoneticPr fontId="3" type="noConversion"/>
  </si>
  <si>
    <t>상수 Φ648(조절높이 0mm)</t>
    <phoneticPr fontId="3" type="noConversion"/>
  </si>
  <si>
    <t>Φ766(조절높이 0mm)</t>
    <phoneticPr fontId="3" type="noConversion"/>
  </si>
  <si>
    <t>Φ918(조절높이 0mm)</t>
    <phoneticPr fontId="3" type="noConversion"/>
  </si>
  <si>
    <t>전기,통신537×572×2조(조절높이 0mm)</t>
    <phoneticPr fontId="3" type="noConversion"/>
  </si>
  <si>
    <t>전기,통신620×1020(조절높이 0mm)</t>
    <phoneticPr fontId="3" type="noConversion"/>
  </si>
  <si>
    <t>가로등,신호등500×500(조절높이 0mm)</t>
    <phoneticPr fontId="3" type="noConversion"/>
  </si>
  <si>
    <t>프라이머</t>
    <phoneticPr fontId="3" type="noConversion"/>
  </si>
  <si>
    <t>맨홀보수용</t>
    <phoneticPr fontId="3" type="noConversion"/>
  </si>
  <si>
    <t>콘크리트용</t>
    <phoneticPr fontId="3" type="noConversion"/>
  </si>
  <si>
    <t>에폭시용</t>
    <phoneticPr fontId="3" type="noConversion"/>
  </si>
  <si>
    <t>플라이애쉬</t>
    <phoneticPr fontId="3" type="noConversion"/>
  </si>
  <si>
    <t>폴리머콘크리트</t>
    <phoneticPr fontId="3" type="noConversion"/>
  </si>
  <si>
    <t>#57 25mm</t>
    <phoneticPr fontId="3" type="noConversion"/>
  </si>
  <si>
    <t>맨홀굴상</t>
    <phoneticPr fontId="3" type="noConversion"/>
  </si>
  <si>
    <t>초속경콘크리트</t>
    <phoneticPr fontId="3" type="noConversion"/>
  </si>
  <si>
    <t>합판거푸집</t>
    <phoneticPr fontId="3" type="noConversion"/>
  </si>
  <si>
    <t>4회</t>
    <phoneticPr fontId="3" type="noConversion"/>
  </si>
  <si>
    <t>폐콘크리트운반</t>
    <phoneticPr fontId="3" type="noConversion"/>
  </si>
  <si>
    <t>하,전,통,도 Φ766</t>
    <phoneticPr fontId="3" type="noConversion"/>
  </si>
  <si>
    <t>전,통,도 Φ918</t>
    <phoneticPr fontId="3" type="noConversion"/>
  </si>
  <si>
    <t>4.2ℓ/10㎡→</t>
    <phoneticPr fontId="3" type="noConversion"/>
  </si>
  <si>
    <t>차선제거 일당 시공량 =</t>
    <phoneticPr fontId="3" type="noConversion"/>
  </si>
  <si>
    <t>8hr. m/153.3m=</t>
    <phoneticPr fontId="3" type="noConversion"/>
  </si>
  <si>
    <t>시설팀</t>
    <phoneticPr fontId="3" type="noConversion"/>
  </si>
  <si>
    <t>전기 Φ1108</t>
    <phoneticPr fontId="3" type="noConversion"/>
  </si>
  <si>
    <t>시설팀20년보완</t>
    <phoneticPr fontId="3" type="noConversion"/>
  </si>
  <si>
    <t>23년기심보완</t>
    <phoneticPr fontId="3" type="noConversion"/>
  </si>
  <si>
    <t>일당 시공량(공용600㎡)=</t>
    <phoneticPr fontId="3" type="noConversion"/>
  </si>
  <si>
    <t>교통통제수 삭제</t>
    <phoneticPr fontId="3" type="noConversion"/>
  </si>
  <si>
    <t>주차장 일당 시공량 =</t>
    <phoneticPr fontId="3" type="noConversion"/>
  </si>
  <si>
    <t>8hr. m/4000m=</t>
    <phoneticPr fontId="3" type="noConversion"/>
  </si>
  <si>
    <t>공구손료 차로밑그림 제외</t>
    <phoneticPr fontId="3" type="noConversion"/>
  </si>
  <si>
    <t>유리알기준</t>
    <phoneticPr fontId="3" type="noConversion"/>
  </si>
  <si>
    <t>3.1kg/10㎡→</t>
    <phoneticPr fontId="3" type="noConversion"/>
  </si>
  <si>
    <t>전기,통신 580*1080</t>
    <phoneticPr fontId="3" type="noConversion"/>
  </si>
  <si>
    <t>하수 Φ300~350</t>
    <phoneticPr fontId="3" type="noConversion"/>
  </si>
  <si>
    <t>일당 시공량(공용600㎡×파선 50%)=</t>
    <phoneticPr fontId="3" type="noConversion"/>
  </si>
  <si>
    <t>맨홀뚜껑 및 받침 교체</t>
    <phoneticPr fontId="3" type="noConversion"/>
  </si>
  <si>
    <t>보도</t>
    <phoneticPr fontId="3" type="noConversion"/>
  </si>
  <si>
    <t>fck=18MPa(인력,소형)</t>
    <phoneticPr fontId="3" type="noConversion"/>
  </si>
  <si>
    <t>차선도색 제거</t>
    <phoneticPr fontId="3" type="noConversion"/>
  </si>
  <si>
    <t>건식흡입 수동식, 15cm</t>
    <phoneticPr fontId="3" type="noConversion"/>
  </si>
  <si>
    <t>작업인부</t>
    <phoneticPr fontId="3" type="noConversion"/>
  </si>
  <si>
    <t>일당 시공량(공용600㎡×횡단보도, 주차장 38%)=</t>
    <phoneticPr fontId="3" type="noConversion"/>
  </si>
  <si>
    <t>8hr. m/228m2=</t>
    <phoneticPr fontId="3" type="noConversion"/>
  </si>
  <si>
    <t>작업차량</t>
    <phoneticPr fontId="3" type="noConversion"/>
  </si>
  <si>
    <t>폐기물처리</t>
    <phoneticPr fontId="3" type="noConversion"/>
  </si>
  <si>
    <t>페인트 및 아스콘</t>
    <phoneticPr fontId="3" type="noConversion"/>
  </si>
  <si>
    <t>차선 도색(상온형 수동식)</t>
    <phoneticPr fontId="3" type="noConversion"/>
  </si>
  <si>
    <t>실선, 15cm</t>
    <phoneticPr fontId="3" type="noConversion"/>
  </si>
  <si>
    <t>도로표지용 페인트</t>
    <phoneticPr fontId="3" type="noConversion"/>
  </si>
  <si>
    <t>상온형 백색KSM6080(택일)</t>
    <phoneticPr fontId="3" type="noConversion"/>
  </si>
  <si>
    <t>자재 별도</t>
    <phoneticPr fontId="3" type="noConversion"/>
  </si>
  <si>
    <t>상온형 황색KSM6080(택일)</t>
    <phoneticPr fontId="3" type="noConversion"/>
  </si>
  <si>
    <t>KSL 2521, 1호</t>
    <phoneticPr fontId="3" type="noConversion"/>
  </si>
  <si>
    <t>차로 밑그림</t>
    <phoneticPr fontId="3" type="noConversion"/>
  </si>
  <si>
    <t>일당 시공량(공용600㎡×문자,기호 18%)=</t>
    <phoneticPr fontId="3" type="noConversion"/>
  </si>
  <si>
    <t>2.5ton, 차로 밑그림</t>
    <phoneticPr fontId="3" type="noConversion"/>
  </si>
  <si>
    <t>공구손료(라인마커)</t>
    <phoneticPr fontId="3" type="noConversion"/>
  </si>
  <si>
    <t>주재료비의 1%</t>
    <phoneticPr fontId="3" type="noConversion"/>
  </si>
  <si>
    <t>차선도색(상온형 수동식)</t>
    <phoneticPr fontId="3" type="noConversion"/>
  </si>
  <si>
    <t>파선, 15cm</t>
    <phoneticPr fontId="3" type="noConversion"/>
  </si>
  <si>
    <t>횡단보도, 주차장(폭 15cm 기준)</t>
    <phoneticPr fontId="3" type="noConversion"/>
  </si>
  <si>
    <t>주차장</t>
    <phoneticPr fontId="3" type="noConversion"/>
  </si>
  <si>
    <t>문자, 기호(폭 15cm 기준)</t>
    <phoneticPr fontId="3" type="noConversion"/>
  </si>
  <si>
    <t>일당 시공량(공용600㎡×문자, 기호 38%)=</t>
    <phoneticPr fontId="3" type="noConversion"/>
  </si>
  <si>
    <t>상온형 백색KSM6080</t>
    <phoneticPr fontId="3" type="noConversion"/>
  </si>
  <si>
    <t>실선, 재도색 15cm</t>
    <phoneticPr fontId="3" type="noConversion"/>
  </si>
  <si>
    <t>파선, 재도색 15cm</t>
    <phoneticPr fontId="3" type="noConversion"/>
  </si>
  <si>
    <t>횡단보도, 주차장 재도색(폭 15cm 기준)</t>
    <phoneticPr fontId="3" type="noConversion"/>
  </si>
  <si>
    <t>문자, 기호 재도색(폭 15cm 기준)</t>
    <phoneticPr fontId="3" type="noConversion"/>
  </si>
  <si>
    <t>차선도색(고성능 수동융착식)</t>
    <phoneticPr fontId="3" type="noConversion"/>
  </si>
  <si>
    <t>백색(택일)</t>
    <phoneticPr fontId="3" type="noConversion"/>
  </si>
  <si>
    <t>황색(택일)</t>
    <phoneticPr fontId="3" type="noConversion"/>
  </si>
  <si>
    <t>라인업 전용</t>
    <phoneticPr fontId="3" type="noConversion"/>
  </si>
  <si>
    <t>2.5ton, 자재 및 공구</t>
    <phoneticPr fontId="3" type="noConversion"/>
  </si>
  <si>
    <t>4.5ton, 용해기 운반</t>
    <phoneticPr fontId="3" type="noConversion"/>
  </si>
  <si>
    <t>인력품의 10%</t>
    <phoneticPr fontId="3" type="noConversion"/>
  </si>
  <si>
    <t>백색</t>
    <phoneticPr fontId="3" type="noConversion"/>
  </si>
  <si>
    <t>횡단보도 재도색(폭 15cm 기준)</t>
    <phoneticPr fontId="3" type="noConversion"/>
  </si>
  <si>
    <t>과속방지턱 도색(신설)</t>
    <phoneticPr fontId="3" type="noConversion"/>
  </si>
  <si>
    <t>수용성형,수동식</t>
  </si>
  <si>
    <t>수용성형 흰색</t>
  </si>
  <si>
    <t>수용성형 노란색</t>
  </si>
  <si>
    <t>과속방지턱 재도색</t>
    <phoneticPr fontId="3" type="noConversion"/>
  </si>
  <si>
    <t>교통통제수</t>
    <phoneticPr fontId="3" type="noConversion"/>
  </si>
  <si>
    <t>고성능 수동융착식</t>
    <phoneticPr fontId="3" type="noConversion"/>
  </si>
  <si>
    <t>황색</t>
    <phoneticPr fontId="3" type="noConversion"/>
  </si>
  <si>
    <t>2-5-1 강관동바리</t>
    <phoneticPr fontId="3" type="noConversion"/>
  </si>
  <si>
    <t>과속방지턱 신설</t>
    <phoneticPr fontId="3" type="noConversion"/>
  </si>
  <si>
    <t>B=3.6m,H=0.1m</t>
    <phoneticPr fontId="3" type="noConversion"/>
  </si>
  <si>
    <t>#78(별도)</t>
    <phoneticPr fontId="3" type="noConversion"/>
  </si>
  <si>
    <t>t=7.5cm이하,인력식 시공</t>
    <phoneticPr fontId="3" type="noConversion"/>
  </si>
  <si>
    <t>고성능 수동융착식(자재별도)</t>
    <phoneticPr fontId="3" type="noConversion"/>
  </si>
  <si>
    <t>폐아스콘운반</t>
    <phoneticPr fontId="3" type="noConversion"/>
  </si>
  <si>
    <t>3개월,암거구조물</t>
    <phoneticPr fontId="3" type="noConversion"/>
  </si>
  <si>
    <t>10공m3</t>
    <phoneticPr fontId="3" type="noConversion"/>
  </si>
  <si>
    <t>26년 개정</t>
    <phoneticPr fontId="3" type="noConversion"/>
  </si>
  <si>
    <t>2-6-1</t>
    <phoneticPr fontId="3" type="noConversion"/>
  </si>
  <si>
    <t>강관 동바리</t>
    <phoneticPr fontId="3" type="noConversion"/>
  </si>
  <si>
    <t>일당</t>
    <phoneticPr fontId="3" type="noConversion"/>
  </si>
  <si>
    <t>10공m3 환산</t>
    <phoneticPr fontId="3" type="noConversion"/>
  </si>
  <si>
    <t>형틀목공</t>
    <phoneticPr fontId="3" type="noConversion"/>
  </si>
  <si>
    <t>보통인부</t>
    <phoneticPr fontId="3" type="noConversion"/>
  </si>
  <si>
    <t>재료비의 5%</t>
    <phoneticPr fontId="3" type="noConversion"/>
  </si>
  <si>
    <t>6개월,암거구조물</t>
    <phoneticPr fontId="3" type="noConversion"/>
  </si>
  <si>
    <t>3개월,교량구조물</t>
    <phoneticPr fontId="3" type="noConversion"/>
  </si>
  <si>
    <t>6개월,교량구조물</t>
    <phoneticPr fontId="3" type="noConversion"/>
  </si>
  <si>
    <t>2-7-1</t>
    <phoneticPr fontId="3" type="noConversion"/>
  </si>
  <si>
    <t>강관비계 설치 및 해체</t>
    <phoneticPr fontId="3" type="noConversion"/>
  </si>
  <si>
    <t>m2 환산</t>
    <phoneticPr fontId="3" type="noConversion"/>
  </si>
  <si>
    <t>강관비계</t>
    <phoneticPr fontId="3" type="noConversion"/>
  </si>
  <si>
    <t>3개월</t>
    <phoneticPr fontId="3" type="noConversion"/>
  </si>
  <si>
    <t>강관</t>
    <phoneticPr fontId="3" type="noConversion"/>
  </si>
  <si>
    <t>설치, 해체</t>
    <phoneticPr fontId="3" type="noConversion"/>
  </si>
  <si>
    <t>인</t>
    <phoneticPr fontId="3" type="noConversion"/>
  </si>
  <si>
    <t>6개월</t>
    <phoneticPr fontId="3" type="noConversion"/>
  </si>
  <si>
    <t>보호막 설치</t>
    <phoneticPr fontId="3" type="noConversion"/>
  </si>
  <si>
    <t>기존비계 이용</t>
    <phoneticPr fontId="3" type="noConversion"/>
  </si>
  <si>
    <t>보호막</t>
    <phoneticPr fontId="3" type="noConversion"/>
  </si>
  <si>
    <t>잡철물 제작</t>
    <phoneticPr fontId="3" type="noConversion"/>
  </si>
  <si>
    <t>제품설치(일반철재)</t>
    <phoneticPr fontId="3" type="noConversion"/>
  </si>
  <si>
    <t>8-3-1</t>
    <phoneticPr fontId="3" type="noConversion"/>
  </si>
  <si>
    <t>철공</t>
    <phoneticPr fontId="3" type="noConversion"/>
  </si>
  <si>
    <t>공구손료 및 기계경비(절단기,용접기 등)</t>
    <phoneticPr fontId="3" type="noConversion"/>
  </si>
  <si>
    <t>잡재료비(용접봉,볼트 등)</t>
    <phoneticPr fontId="3" type="noConversion"/>
  </si>
  <si>
    <t>제품설치(경량철재)</t>
    <phoneticPr fontId="3" type="noConversion"/>
  </si>
  <si>
    <t>인력품의 4%</t>
    <phoneticPr fontId="3" type="noConversion"/>
  </si>
  <si>
    <t>규격철물 설치(일반철재)</t>
    <phoneticPr fontId="3" type="noConversion"/>
  </si>
  <si>
    <t>규격철물 설치(경량철재)</t>
    <phoneticPr fontId="3" type="noConversion"/>
  </si>
  <si>
    <t>현장제작 설치(일반철재)</t>
    <phoneticPr fontId="3" type="noConversion"/>
  </si>
  <si>
    <t>현장제작 설치(경량철재)</t>
    <phoneticPr fontId="3" type="noConversion"/>
  </si>
  <si>
    <t>콘크리트·모르타르면 바탕만들기</t>
    <phoneticPr fontId="3" type="noConversion"/>
  </si>
  <si>
    <t>콘크리트,모르타르 벽면</t>
    <phoneticPr fontId="3" type="noConversion"/>
  </si>
  <si>
    <t>품셈 11-2-5</t>
    <phoneticPr fontId="3" type="noConversion"/>
  </si>
  <si>
    <t>콘크리트,모르타르 천장</t>
    <phoneticPr fontId="3" type="noConversion"/>
  </si>
  <si>
    <t>도장 후 퍼티 및 연마</t>
    <phoneticPr fontId="3" type="noConversion"/>
  </si>
  <si>
    <t>철재면</t>
    <phoneticPr fontId="3" type="noConversion"/>
  </si>
  <si>
    <t>품셈 11-2-6</t>
    <phoneticPr fontId="3" type="noConversion"/>
  </si>
  <si>
    <t>콘크리트면</t>
    <phoneticPr fontId="3" type="noConversion"/>
  </si>
  <si>
    <t>유성 페인트칠</t>
    <phoneticPr fontId="3" type="noConversion"/>
  </si>
  <si>
    <t>롤러칠,철재벽면 2회</t>
    <phoneticPr fontId="3" type="noConversion"/>
  </si>
  <si>
    <t>롤러칠,철재천장 2회</t>
  </si>
  <si>
    <t>롤러칠,콘크리트벽면 2회</t>
  </si>
  <si>
    <t>공원녹지과 경험식</t>
    <phoneticPr fontId="3" type="noConversion"/>
  </si>
  <si>
    <t>롤러칠,콘크리트천장 2회</t>
  </si>
  <si>
    <t>23년 서울형품셈 신설</t>
    <phoneticPr fontId="3" type="noConversion"/>
  </si>
  <si>
    <t>녹막이 페인트칠</t>
    <phoneticPr fontId="3" type="noConversion"/>
  </si>
  <si>
    <t>벽면 1회</t>
    <phoneticPr fontId="3" type="noConversion"/>
  </si>
  <si>
    <t>치수과 검토</t>
    <phoneticPr fontId="3" type="noConversion"/>
  </si>
  <si>
    <t>벽면 2회</t>
    <phoneticPr fontId="3" type="noConversion"/>
  </si>
  <si>
    <t>천장 1회</t>
    <phoneticPr fontId="3" type="noConversion"/>
  </si>
  <si>
    <t>천장 2회</t>
    <phoneticPr fontId="3" type="noConversion"/>
  </si>
  <si>
    <t>수목보호판 설치</t>
    <phoneticPr fontId="3" type="noConversion"/>
  </si>
  <si>
    <t>2.0*2.0미만</t>
    <phoneticPr fontId="3" type="noConversion"/>
  </si>
  <si>
    <t>'24 도기본</t>
    <phoneticPr fontId="3" type="noConversion"/>
  </si>
  <si>
    <t>보호판 설치</t>
    <phoneticPr fontId="3" type="noConversion"/>
  </si>
  <si>
    <t>받침틀 설치</t>
    <phoneticPr fontId="3" type="noConversion"/>
  </si>
  <si>
    <t>5톤</t>
    <phoneticPr fontId="3" type="noConversion"/>
  </si>
  <si>
    <t>수목보호틀 교체설치</t>
    <phoneticPr fontId="3" type="noConversion"/>
  </si>
  <si>
    <t>하수관 수밀시험</t>
    <phoneticPr fontId="3" type="noConversion"/>
  </si>
  <si>
    <t>D300mm 이하</t>
    <phoneticPr fontId="3" type="noConversion"/>
  </si>
  <si>
    <t>D=300mm(15회 사용기준)</t>
    <phoneticPr fontId="3" type="noConversion"/>
  </si>
  <si>
    <t>(길이에 따라 계상 : 70L/m)</t>
    <phoneticPr fontId="3" type="noConversion"/>
  </si>
  <si>
    <t>기구손료</t>
    <phoneticPr fontId="3" type="noConversion"/>
  </si>
  <si>
    <t>D600mm 이하</t>
    <phoneticPr fontId="3" type="noConversion"/>
  </si>
  <si>
    <t>D=600mm(10회 사용기준)</t>
    <phoneticPr fontId="3" type="noConversion"/>
  </si>
  <si>
    <t>(길이에 따라 계상 : 282L/m)</t>
    <phoneticPr fontId="3" type="noConversion"/>
  </si>
  <si>
    <t>D800mm 이하</t>
    <phoneticPr fontId="3" type="noConversion"/>
  </si>
  <si>
    <t>D=800mm(10회 사용기준)</t>
    <phoneticPr fontId="3" type="noConversion"/>
  </si>
  <si>
    <t>(길이에 따라 계상 : 502L/m)</t>
    <phoneticPr fontId="3" type="noConversion"/>
  </si>
  <si>
    <t>하수관로 촬영,보고서</t>
    <phoneticPr fontId="3" type="noConversion"/>
  </si>
  <si>
    <t>(신설 250m 기준)</t>
    <phoneticPr fontId="3" type="noConversion"/>
  </si>
  <si>
    <t>신설관로 1일 250m기준</t>
    <phoneticPr fontId="3" type="noConversion"/>
  </si>
  <si>
    <t>(기존 180m 기준)</t>
    <phoneticPr fontId="3" type="noConversion"/>
  </si>
  <si>
    <t>기존관로 1일 180m기준</t>
    <phoneticPr fontId="3" type="noConversion"/>
  </si>
  <si>
    <t>1-9-4 도로표지병</t>
    <phoneticPr fontId="3" type="noConversion"/>
  </si>
  <si>
    <t>하수관로 CCTV 조사</t>
    <phoneticPr fontId="3" type="noConversion"/>
  </si>
  <si>
    <t>(신설 520m 기준)</t>
    <phoneticPr fontId="3" type="noConversion"/>
  </si>
  <si>
    <t>C.C.T.V 적재차</t>
    <phoneticPr fontId="3" type="noConversion"/>
  </si>
  <si>
    <t>9인승 승합차</t>
    <phoneticPr fontId="3" type="noConversion"/>
  </si>
  <si>
    <t>(기존 320m 기준)</t>
    <phoneticPr fontId="3" type="noConversion"/>
  </si>
  <si>
    <t>1-9-6 볼라드 설치</t>
    <phoneticPr fontId="3" type="noConversion"/>
  </si>
  <si>
    <t>준공표지판(하수관)</t>
    <phoneticPr fontId="3" type="noConversion"/>
  </si>
  <si>
    <t>15*10cm(알루미늄)</t>
    <phoneticPr fontId="3" type="noConversion"/>
  </si>
  <si>
    <t>준공표지판(알루미늄판)</t>
    <phoneticPr fontId="3" type="noConversion"/>
  </si>
  <si>
    <t>150*100mm,t=1.0mm</t>
    <phoneticPr fontId="3" type="noConversion"/>
  </si>
  <si>
    <t>준공표지판(맨홀)</t>
    <phoneticPr fontId="3" type="noConversion"/>
  </si>
  <si>
    <t>15*10cm(스텐레스)</t>
    <phoneticPr fontId="3" type="noConversion"/>
  </si>
  <si>
    <t>준공표지판(스텐레스판)</t>
    <phoneticPr fontId="3" type="noConversion"/>
  </si>
  <si>
    <t>150*100mm,t=1.4mm</t>
    <phoneticPr fontId="3" type="noConversion"/>
  </si>
  <si>
    <t>노면표시열부착테이프</t>
    <phoneticPr fontId="3" type="noConversion"/>
  </si>
  <si>
    <t>인력품의 20%</t>
    <phoneticPr fontId="3" type="noConversion"/>
  </si>
  <si>
    <t>1글자</t>
    <phoneticPr fontId="3" type="noConversion"/>
  </si>
  <si>
    <t>임시차선오뚜기 설치</t>
    <phoneticPr fontId="3" type="noConversion"/>
  </si>
  <si>
    <t>100*50</t>
    <phoneticPr fontId="3" type="noConversion"/>
  </si>
  <si>
    <t>도로표지병 설치(PC)</t>
    <phoneticPr fontId="3" type="noConversion"/>
  </si>
  <si>
    <t>130*110*30mm(양면),접착식</t>
  </si>
  <si>
    <t>잡재료비</t>
    <phoneticPr fontId="3" type="noConversion"/>
  </si>
  <si>
    <t>주재료비의 5%</t>
    <phoneticPr fontId="3" type="noConversion"/>
  </si>
  <si>
    <t>도로표지병 설치(유리알)</t>
    <phoneticPr fontId="3" type="noConversion"/>
  </si>
  <si>
    <t>볼라드 설치</t>
    <phoneticPr fontId="3" type="noConversion"/>
  </si>
  <si>
    <t>개소</t>
  </si>
  <si>
    <t>차량진입억제용 단주</t>
  </si>
  <si>
    <t>관급(별도)</t>
  </si>
  <si>
    <t>인력품의 5%이내</t>
    <phoneticPr fontId="3" type="noConversion"/>
  </si>
  <si>
    <t>볼라드 철거</t>
    <phoneticPr fontId="3" type="noConversion"/>
  </si>
  <si>
    <t>철거(신설 품 50%)</t>
    <phoneticPr fontId="3" type="noConversion"/>
  </si>
  <si>
    <t>잡재료비</t>
  </si>
  <si>
    <t>교통통제원</t>
    <phoneticPr fontId="3" type="noConversion"/>
  </si>
  <si>
    <t>보행안전도우미</t>
    <phoneticPr fontId="3" type="noConversion"/>
  </si>
  <si>
    <t>임시 보행로 연장 10~30m, 1인</t>
    <phoneticPr fontId="3" type="noConversion"/>
  </si>
  <si>
    <t>임시 보행로 연장 30m이상, 2인</t>
    <phoneticPr fontId="3" type="noConversion"/>
  </si>
  <si>
    <t>3×6×2.6m(3개월)</t>
    <phoneticPr fontId="3" type="noConversion"/>
  </si>
  <si>
    <t>3×6×2.6m</t>
    <phoneticPr fontId="3" type="noConversion"/>
  </si>
  <si>
    <t>설치 및 해체</t>
    <phoneticPr fontId="3" type="noConversion"/>
  </si>
  <si>
    <t>10ton,설치</t>
    <phoneticPr fontId="3" type="noConversion"/>
  </si>
  <si>
    <t>3×6×2.6m(6개월)</t>
    <phoneticPr fontId="3" type="noConversion"/>
  </si>
  <si>
    <t>3×6×2.6m(12개월)</t>
    <phoneticPr fontId="3" type="noConversion"/>
  </si>
  <si>
    <t>3×9×2.6m(3개월)</t>
    <phoneticPr fontId="3" type="noConversion"/>
  </si>
  <si>
    <t>3×9×2.6m(6개월)</t>
    <phoneticPr fontId="3" type="noConversion"/>
  </si>
  <si>
    <t>3×9×2.6m(12개월)</t>
    <phoneticPr fontId="3" type="noConversion"/>
  </si>
  <si>
    <t>2-4-3 가설</t>
    <phoneticPr fontId="3" type="noConversion"/>
  </si>
  <si>
    <t>10ton,설치 및 해체</t>
    <phoneticPr fontId="3" type="noConversion"/>
  </si>
  <si>
    <t>EGI휀스 설치</t>
    <phoneticPr fontId="3" type="noConversion"/>
  </si>
  <si>
    <t>H≤3.5m(3개월)</t>
    <phoneticPr fontId="3" type="noConversion"/>
  </si>
  <si>
    <t>EGI철판</t>
    <phoneticPr fontId="3" type="noConversion"/>
  </si>
  <si>
    <t>550×2,400</t>
    <phoneticPr fontId="3" type="noConversion"/>
  </si>
  <si>
    <t>강관파이프</t>
    <phoneticPr fontId="3" type="noConversion"/>
  </si>
  <si>
    <t>설치</t>
    <phoneticPr fontId="3" type="noConversion"/>
  </si>
  <si>
    <t>클램프</t>
    <phoneticPr fontId="3" type="noConversion"/>
  </si>
  <si>
    <t>자동</t>
    <phoneticPr fontId="3" type="noConversion"/>
  </si>
  <si>
    <t>23년 신설 2-9-8</t>
    <phoneticPr fontId="3" type="noConversion"/>
  </si>
  <si>
    <t>수동</t>
    <phoneticPr fontId="3" type="noConversion"/>
  </si>
  <si>
    <t>U형 볼트너트</t>
    <phoneticPr fontId="3" type="noConversion"/>
  </si>
  <si>
    <t>용융아연도금</t>
    <phoneticPr fontId="3" type="noConversion"/>
  </si>
  <si>
    <t>H≤3.5m(6개월)</t>
    <phoneticPr fontId="3" type="noConversion"/>
  </si>
  <si>
    <t>23년 신설 2-9-9</t>
    <phoneticPr fontId="3" type="noConversion"/>
  </si>
  <si>
    <t>23년 서울형품셈 손율 신설</t>
    <phoneticPr fontId="3" type="noConversion"/>
  </si>
  <si>
    <t>H≤3.5m(12개월)</t>
    <phoneticPr fontId="3" type="noConversion"/>
  </si>
  <si>
    <t>EGI휀스 철거</t>
    <phoneticPr fontId="3" type="noConversion"/>
  </si>
  <si>
    <t>H≤3.5m</t>
    <phoneticPr fontId="3" type="noConversion"/>
  </si>
  <si>
    <t>가설휀스 손료</t>
    <phoneticPr fontId="3" type="noConversion"/>
  </si>
  <si>
    <t>재료비의 31%</t>
    <phoneticPr fontId="3" type="noConversion"/>
  </si>
  <si>
    <t>설치 및 철거</t>
    <phoneticPr fontId="3" type="noConversion"/>
  </si>
  <si>
    <t>재료비의 36%</t>
    <phoneticPr fontId="3" type="noConversion"/>
  </si>
  <si>
    <t>12개월</t>
    <phoneticPr fontId="3" type="noConversion"/>
  </si>
  <si>
    <t>재료비의 45%</t>
    <phoneticPr fontId="3" type="noConversion"/>
  </si>
  <si>
    <t>가림막휀스 설치</t>
    <phoneticPr fontId="3" type="noConversion"/>
  </si>
  <si>
    <t>연간단가(6개월)</t>
    <phoneticPr fontId="3" type="noConversion"/>
  </si>
  <si>
    <t>가림막휀스 손료</t>
    <phoneticPr fontId="3" type="noConversion"/>
  </si>
  <si>
    <t>재료비의 47%</t>
    <phoneticPr fontId="3" type="noConversion"/>
  </si>
  <si>
    <t>연간단가(12개월)</t>
    <phoneticPr fontId="3" type="noConversion"/>
  </si>
  <si>
    <t>재료비의 92%</t>
    <phoneticPr fontId="3" type="noConversion"/>
  </si>
  <si>
    <t>일반공사(3개월)</t>
    <phoneticPr fontId="3" type="noConversion"/>
  </si>
  <si>
    <t>재료비의 25%</t>
    <phoneticPr fontId="3" type="noConversion"/>
  </si>
  <si>
    <t>일반공사(6개월)</t>
    <phoneticPr fontId="3" type="noConversion"/>
  </si>
  <si>
    <t>재료비의 35%</t>
    <phoneticPr fontId="3" type="noConversion"/>
  </si>
  <si>
    <t>일반공사(12개월)</t>
    <phoneticPr fontId="3" type="noConversion"/>
  </si>
  <si>
    <t>재료비의 54%</t>
    <phoneticPr fontId="3" type="noConversion"/>
  </si>
  <si>
    <t>경광등 설치</t>
    <phoneticPr fontId="3" type="noConversion"/>
  </si>
  <si>
    <t>10회 사용</t>
    <phoneticPr fontId="3" type="noConversion"/>
  </si>
  <si>
    <t>윙카호스 설치</t>
    <phoneticPr fontId="3" type="noConversion"/>
  </si>
  <si>
    <t>공사안내간판</t>
    <phoneticPr fontId="3" type="noConversion"/>
  </si>
  <si>
    <t>0.9*1.8m</t>
    <phoneticPr fontId="3" type="noConversion"/>
  </si>
  <si>
    <t>냉연간판</t>
    <phoneticPr fontId="3" type="noConversion"/>
  </si>
  <si>
    <t>t=0.9mm</t>
    <phoneticPr fontId="3" type="noConversion"/>
  </si>
  <si>
    <t>외송, 1.8×2.4×360cm</t>
    <phoneticPr fontId="3" type="noConversion"/>
  </si>
  <si>
    <t>114×102×3.0T</t>
    <phoneticPr fontId="3" type="noConversion"/>
  </si>
  <si>
    <t>제도사</t>
    <phoneticPr fontId="3" type="noConversion"/>
  </si>
  <si>
    <t>포장장비 운반</t>
    <phoneticPr fontId="3" type="noConversion"/>
  </si>
  <si>
    <t>연속구간 (L=10km)</t>
    <phoneticPr fontId="3" type="noConversion"/>
  </si>
  <si>
    <t>트럭 트렉터 및 평판트레일러</t>
    <phoneticPr fontId="3" type="noConversion"/>
  </si>
  <si>
    <t>불연속구간 (L=1.0km)</t>
    <phoneticPr fontId="3" type="noConversion"/>
  </si>
  <si>
    <t>불연속구간 (L=0.5km)</t>
    <phoneticPr fontId="3" type="noConversion"/>
  </si>
  <si>
    <t>LED 보안등기구 철거</t>
    <phoneticPr fontId="3" type="noConversion"/>
  </si>
  <si>
    <t>가로등주 기초(기성품) 철거</t>
    <phoneticPr fontId="3" type="noConversion"/>
  </si>
  <si>
    <t>베이스 커버 설치</t>
    <phoneticPr fontId="3" type="noConversion"/>
  </si>
  <si>
    <t>2026년 건설공사 설계지침 제376호표</t>
    <phoneticPr fontId="3" type="noConversion"/>
  </si>
  <si>
    <t>2026년 건설공사 설계지침 제16호표</t>
    <phoneticPr fontId="3" type="noConversion"/>
  </si>
  <si>
    <t>2026년 건설공사 설계지침 제1호표</t>
    <phoneticPr fontId="3" type="noConversion"/>
  </si>
  <si>
    <t>2026년 건설공사 설계지침 제13호표</t>
    <phoneticPr fontId="3" type="noConversion"/>
  </si>
  <si>
    <t>0.4㎥ 무한궤도</t>
    <phoneticPr fontId="3" type="noConversion"/>
  </si>
  <si>
    <t>분전반 기초(기성품) 철거</t>
    <phoneticPr fontId="3" type="noConversion"/>
  </si>
  <si>
    <t>CDM 70W</t>
    <phoneticPr fontId="3" type="noConversion"/>
  </si>
  <si>
    <t>절연버킷트럭</t>
    <phoneticPr fontId="3" type="noConversion"/>
  </si>
  <si>
    <t>hr</t>
    <phoneticPr fontId="3" type="noConversion"/>
  </si>
  <si>
    <t>수량
(m/개소)</t>
  </si>
  <si>
    <t>복구물량
(㎡)</t>
  </si>
  <si>
    <t>복구비</t>
  </si>
  <si>
    <t>비  고</t>
  </si>
  <si>
    <t>직접복구비</t>
  </si>
  <si>
    <t>간접복구비</t>
  </si>
  <si>
    <t>감독업무비</t>
  </si>
  <si>
    <t>단 가</t>
  </si>
  <si>
    <t>합 계</t>
  </si>
  <si>
    <t>보도블럭굴착.복구</t>
  </si>
  <si>
    <t>합                   계</t>
  </si>
  <si>
    <t>공   종</t>
    <phoneticPr fontId="3" type="noConversion"/>
  </si>
  <si>
    <t>규격</t>
    <phoneticPr fontId="3" type="noConversion"/>
  </si>
  <si>
    <t>보도(콘크리트 가공블록) 복구단가</t>
    <phoneticPr fontId="3" type="noConversion"/>
  </si>
  <si>
    <t>1.보도블럭 [㎡]</t>
    <phoneticPr fontId="28" type="noConversion"/>
  </si>
  <si>
    <t>(1.2+0.4)/2*0.94=</t>
    <phoneticPr fontId="3" type="noConversion"/>
  </si>
  <si>
    <t>2. 터파기 [㎥]</t>
    <phoneticPr fontId="3" type="noConversion"/>
  </si>
  <si>
    <t>0.752-(3.18*0.015*0.015)=</t>
    <phoneticPr fontId="3" type="noConversion"/>
  </si>
  <si>
    <t xml:space="preserve">          M당</t>
    <phoneticPr fontId="3" type="noConversion"/>
  </si>
  <si>
    <t xml:space="preserve">4. 잔토처리 [㎥] </t>
    <phoneticPr fontId="3" type="noConversion"/>
  </si>
  <si>
    <t>0.752-0.75=</t>
    <phoneticPr fontId="3" type="noConversion"/>
  </si>
  <si>
    <t xml:space="preserve">5. 잔토처리 [㎥] </t>
    <phoneticPr fontId="3" type="noConversion"/>
  </si>
  <si>
    <t>&lt;재료비+직접노무비+도급자관급&gt; x 2.07%</t>
    <phoneticPr fontId="3" type="noConversion"/>
  </si>
  <si>
    <t>기계 되매우기 및 다짐</t>
    <phoneticPr fontId="3" type="noConversion"/>
  </si>
  <si>
    <t>일위대가 04-003 준용</t>
    <phoneticPr fontId="3" type="noConversion"/>
  </si>
  <si>
    <t xml:space="preserve">3. 되매우기 및 다짐 [㎥] </t>
    <phoneticPr fontId="3" type="noConversion"/>
  </si>
  <si>
    <t>3. 되메우기 및 다짐 [㎥]</t>
    <phoneticPr fontId="28" type="noConversion"/>
  </si>
  <si>
    <t>커터</t>
  </si>
  <si>
    <t>동력분무기</t>
  </si>
  <si>
    <t>320~400mm</t>
    <phoneticPr fontId="3" type="noConversion"/>
  </si>
  <si>
    <t>4.85kW</t>
    <phoneticPr fontId="3" type="noConversion"/>
  </si>
  <si>
    <t>2026년 건설공사 설계지침 제49호표</t>
    <phoneticPr fontId="3" type="noConversion"/>
  </si>
  <si>
    <t>0.4㎥</t>
    <phoneticPr fontId="3" type="noConversion"/>
  </si>
  <si>
    <t>2026년 건설공사 설계지침 제55호표</t>
    <phoneticPr fontId="3" type="noConversion"/>
  </si>
  <si>
    <t>아스팔트 포장 절단</t>
    <phoneticPr fontId="3" type="noConversion"/>
  </si>
  <si>
    <t>1.아스팔트절단 및 깨기 [㎡]</t>
    <phoneticPr fontId="28" type="noConversion"/>
  </si>
  <si>
    <t>(1.2+0.6)/2=</t>
    <phoneticPr fontId="3" type="noConversion"/>
  </si>
  <si>
    <t>0.9-(3.18*0.015*0.015)=</t>
    <phoneticPr fontId="3" type="noConversion"/>
  </si>
  <si>
    <t>0.9-0.89=</t>
    <phoneticPr fontId="3" type="noConversion"/>
  </si>
  <si>
    <t>이 전 비[굴착.복구비]</t>
    <phoneticPr fontId="3" type="noConversion"/>
  </si>
  <si>
    <t>건설폐기물 처리비</t>
    <phoneticPr fontId="3" type="noConversion"/>
  </si>
  <si>
    <t>폐아스콘</t>
    <phoneticPr fontId="3" type="noConversion"/>
  </si>
  <si>
    <t>ton</t>
    <phoneticPr fontId="3" type="noConversion"/>
  </si>
  <si>
    <t>2026년 건설공사 설계지침 제124호표</t>
    <phoneticPr fontId="3" type="noConversion"/>
  </si>
  <si>
    <t>ASP 굴착.복구</t>
    <phoneticPr fontId="3" type="noConversion"/>
  </si>
  <si>
    <t>A-2</t>
    <phoneticPr fontId="3" type="noConversion"/>
  </si>
  <si>
    <t>10-12M, 트럭탑재형크레인</t>
    <phoneticPr fontId="17" type="noConversion"/>
  </si>
  <si>
    <t>공통, 고스텐</t>
    <phoneticPr fontId="3" type="noConversion"/>
  </si>
  <si>
    <t>12M, 스텐</t>
    <phoneticPr fontId="3" type="noConversion"/>
  </si>
  <si>
    <t>고스텐</t>
    <phoneticPr fontId="3" type="noConversion"/>
  </si>
  <si>
    <t>370x270mm, 관급</t>
    <phoneticPr fontId="3" type="noConversion"/>
  </si>
  <si>
    <t>가로등 표찰 설치</t>
    <phoneticPr fontId="3" type="noConversion"/>
  </si>
  <si>
    <t>관급</t>
    <phoneticPr fontId="3" type="noConversion"/>
  </si>
  <si>
    <t>ELB(32Fb,30A,2P), 방수형</t>
    <phoneticPr fontId="17" type="noConversion"/>
  </si>
  <si>
    <t>배너걸이 설치</t>
    <phoneticPr fontId="3" type="noConversion"/>
  </si>
  <si>
    <t>국기꽂이 설치</t>
    <phoneticPr fontId="3" type="noConversion"/>
  </si>
  <si>
    <t>배너걸이</t>
    <phoneticPr fontId="3" type="noConversion"/>
  </si>
  <si>
    <t>국기꽂이</t>
    <phoneticPr fontId="3" type="noConversion"/>
  </si>
  <si>
    <t>전5-53</t>
    <phoneticPr fontId="3" type="noConversion"/>
  </si>
  <si>
    <t>트럭탑재형크레인</t>
    <phoneticPr fontId="3" type="noConversion"/>
  </si>
  <si>
    <t xml:space="preserve"> HR</t>
    <phoneticPr fontId="3" type="noConversion"/>
  </si>
  <si>
    <t>50W이하, 절연버킷트럭</t>
    <phoneticPr fontId="3" type="noConversion"/>
  </si>
  <si>
    <t>100W이하, 절연버킷트럭</t>
    <phoneticPr fontId="3" type="noConversion"/>
  </si>
  <si>
    <t>5Ton</t>
    <phoneticPr fontId="3" type="noConversion"/>
  </si>
  <si>
    <t>STS, 트럭탑재형크레인, 관급</t>
    <phoneticPr fontId="3" type="noConversion"/>
  </si>
  <si>
    <t>누전차단기 설치(관급)</t>
    <phoneticPr fontId="3" type="noConversion"/>
  </si>
  <si>
    <t>LED 투광등기구 철거</t>
    <phoneticPr fontId="3" type="noConversion"/>
  </si>
  <si>
    <t>100W 이하, 절연버킷트럭</t>
    <phoneticPr fontId="3" type="noConversion"/>
  </si>
  <si>
    <t>전5-26-4</t>
    <phoneticPr fontId="3" type="noConversion"/>
  </si>
  <si>
    <t>심 사 결 과 요 약 서</t>
    <phoneticPr fontId="23" type="noConversion"/>
  </si>
  <si>
    <t>○ 공사명: 2026년 위례성대로 가로등 개량공사</t>
    <phoneticPr fontId="372" type="noConversion"/>
  </si>
  <si>
    <t>공사기간:</t>
    <phoneticPr fontId="372" type="noConversion"/>
  </si>
  <si>
    <t>6~12개월</t>
    <phoneticPr fontId="372" type="noConversion"/>
  </si>
  <si>
    <t>비   목</t>
    <phoneticPr fontId="3" type="noConversion"/>
  </si>
  <si>
    <t>구        분</t>
    <phoneticPr fontId="3" type="noConversion"/>
  </si>
  <si>
    <t>요청금액</t>
    <phoneticPr fontId="372" type="noConversion"/>
  </si>
  <si>
    <t>심사금액</t>
    <phoneticPr fontId="372" type="noConversion"/>
  </si>
  <si>
    <t>증ㆍ감</t>
    <phoneticPr fontId="3" type="noConversion"/>
  </si>
  <si>
    <t>비고</t>
    <phoneticPr fontId="3" type="noConversion"/>
  </si>
  <si>
    <t>요율</t>
    <phoneticPr fontId="372" type="noConversion"/>
  </si>
  <si>
    <t>금액</t>
    <phoneticPr fontId="372" type="noConversion"/>
  </si>
  <si>
    <t>요율</t>
    <phoneticPr fontId="372" type="noConversion"/>
  </si>
  <si>
    <t>금액</t>
    <phoneticPr fontId="372" type="noConversion"/>
  </si>
  <si>
    <t>순
공
사
원
가</t>
    <phoneticPr fontId="3" type="noConversion"/>
  </si>
  <si>
    <t>재료비</t>
    <phoneticPr fontId="372" type="noConversion"/>
  </si>
  <si>
    <t>직 접 재 료 비</t>
  </si>
  <si>
    <t>소          계</t>
    <phoneticPr fontId="3" type="noConversion"/>
  </si>
  <si>
    <t>노무비</t>
    <phoneticPr fontId="372" type="noConversion"/>
  </si>
  <si>
    <t>직 접 노 무 비</t>
    <phoneticPr fontId="372" type="noConversion"/>
  </si>
  <si>
    <t>간 접 노 무 비</t>
    <phoneticPr fontId="372" type="noConversion"/>
  </si>
  <si>
    <t>경    비</t>
    <phoneticPr fontId="372" type="noConversion"/>
  </si>
  <si>
    <t>산  출   경  비</t>
    <phoneticPr fontId="3" type="noConversion"/>
  </si>
  <si>
    <t xml:space="preserve">산업안전보건관리비: </t>
    <phoneticPr fontId="372" type="noConversion"/>
  </si>
  <si>
    <t>특수</t>
    <phoneticPr fontId="372" type="noConversion"/>
  </si>
  <si>
    <t>산 재 보 험 료</t>
    <phoneticPr fontId="3" type="noConversion"/>
  </si>
  <si>
    <t>심사요청</t>
    <phoneticPr fontId="3" type="noConversion"/>
  </si>
  <si>
    <t>대상액</t>
    <phoneticPr fontId="372" type="noConversion"/>
  </si>
  <si>
    <t>기초액</t>
    <phoneticPr fontId="372" type="noConversion"/>
  </si>
  <si>
    <t>금액</t>
    <phoneticPr fontId="372" type="noConversion"/>
  </si>
  <si>
    <t>고 용 보 험 료</t>
    <phoneticPr fontId="3" type="noConversion"/>
  </si>
  <si>
    <t>관급없음</t>
    <phoneticPr fontId="372" type="noConversion"/>
  </si>
  <si>
    <t>건 강 보 험 료</t>
    <phoneticPr fontId="3" type="noConversion"/>
  </si>
  <si>
    <t>관급있음 a</t>
    <phoneticPr fontId="372" type="noConversion"/>
  </si>
  <si>
    <t>노인장기요양보험료</t>
  </si>
  <si>
    <t>관급있음 b</t>
    <phoneticPr fontId="372" type="noConversion"/>
  </si>
  <si>
    <t>연 금 보 험 료</t>
    <phoneticPr fontId="3" type="noConversion"/>
  </si>
  <si>
    <t xml:space="preserve">산업안전보건관리비: </t>
    <phoneticPr fontId="372" type="noConversion"/>
  </si>
  <si>
    <t>특수</t>
    <phoneticPr fontId="372" type="noConversion"/>
  </si>
  <si>
    <t>퇴직공제부금비</t>
  </si>
  <si>
    <t>2.3</t>
  </si>
  <si>
    <t>심사결과</t>
    <phoneticPr fontId="3" type="noConversion"/>
  </si>
  <si>
    <t>대상액</t>
    <phoneticPr fontId="372" type="noConversion"/>
  </si>
  <si>
    <t>요율</t>
    <phoneticPr fontId="372" type="noConversion"/>
  </si>
  <si>
    <t>기초액</t>
    <phoneticPr fontId="372" type="noConversion"/>
  </si>
  <si>
    <t>산업안전보건관리비</t>
  </si>
  <si>
    <t>안전관리비</t>
    <phoneticPr fontId="372" type="noConversion"/>
  </si>
  <si>
    <t>관급있음 A</t>
    <phoneticPr fontId="372" type="noConversion"/>
  </si>
  <si>
    <t>기  타   경  비</t>
    <phoneticPr fontId="23" type="noConversion"/>
  </si>
  <si>
    <t>관급있음 b</t>
    <phoneticPr fontId="372" type="noConversion"/>
  </si>
  <si>
    <t>합         계</t>
    <phoneticPr fontId="3" type="noConversion"/>
  </si>
  <si>
    <t>일 반 관 리 비</t>
    <phoneticPr fontId="23" type="noConversion"/>
  </si>
  <si>
    <t>기초금액의 순공사비율(낙찰률 영향 판단)</t>
    <phoneticPr fontId="372" type="noConversion"/>
  </si>
  <si>
    <t>이            윤</t>
    <phoneticPr fontId="23" type="noConversion"/>
  </si>
  <si>
    <t>심사요청</t>
    <phoneticPr fontId="3" type="noConversion"/>
  </si>
  <si>
    <t>구분</t>
    <phoneticPr fontId="372" type="noConversion"/>
  </si>
  <si>
    <t>금액</t>
    <phoneticPr fontId="372" type="noConversion"/>
  </si>
  <si>
    <t>기준</t>
  </si>
  <si>
    <t>산출금액</t>
    <phoneticPr fontId="372" type="noConversion"/>
  </si>
  <si>
    <t>심사결과</t>
    <phoneticPr fontId="3" type="noConversion"/>
  </si>
  <si>
    <t>구분</t>
    <phoneticPr fontId="372" type="noConversion"/>
  </si>
  <si>
    <t>금액</t>
    <phoneticPr fontId="372" type="noConversion"/>
  </si>
  <si>
    <t>산출금액</t>
    <phoneticPr fontId="372" type="noConversion"/>
  </si>
  <si>
    <t>고용개선지원비</t>
    <phoneticPr fontId="3" type="noConversion"/>
  </si>
  <si>
    <t>기초금액</t>
  </si>
  <si>
    <t>제요율제외공종</t>
    <phoneticPr fontId="3" type="noConversion"/>
  </si>
  <si>
    <t>순공사비
(부가세포함)</t>
    <phoneticPr fontId="372" type="noConversion"/>
  </si>
  <si>
    <t>합          계</t>
    <phoneticPr fontId="23" type="noConversion"/>
  </si>
  <si>
    <t>순공사금액 98% 금액의 낙찰율:</t>
    <phoneticPr fontId="372" type="noConversion"/>
  </si>
  <si>
    <t>순공사금액 98% 금액의 낙찰율:</t>
    <phoneticPr fontId="372" type="noConversion"/>
  </si>
  <si>
    <t>부 가 가 치 세</t>
    <phoneticPr fontId="23" type="noConversion"/>
  </si>
  <si>
    <t>총   계</t>
    <phoneticPr fontId="23" type="noConversion"/>
  </si>
  <si>
    <t>판단 :</t>
    <phoneticPr fontId="372" type="noConversion"/>
  </si>
  <si>
    <t>판단 :</t>
    <phoneticPr fontId="372" type="noConversion"/>
  </si>
  <si>
    <t>도 급 금 액</t>
    <phoneticPr fontId="23" type="noConversion"/>
  </si>
  <si>
    <t>※ 참조:낙찰률 자동계산(10억이하 89.745%, 10억~50억 88.745%, 50억이상: 87.495%)/25년 개정</t>
    <phoneticPr fontId="372" type="noConversion"/>
  </si>
  <si>
    <t>관급자재비(부가세 포함)</t>
    <phoneticPr fontId="3" type="noConversion"/>
  </si>
  <si>
    <t>심사 제외</t>
    <phoneticPr fontId="3" type="noConversion"/>
  </si>
  <si>
    <t>※ 지방계약법 제13조4항 순공사 원가의 98%미만으로 낙찰할수없음</t>
    <phoneticPr fontId="372" type="noConversion"/>
  </si>
  <si>
    <t>총 공 사 비</t>
    <phoneticPr fontId="23" type="noConversion"/>
  </si>
  <si>
    <t>식</t>
    <phoneticPr fontId="3" type="noConversion"/>
  </si>
  <si>
    <t>임금체권분담금</t>
    <phoneticPr fontId="3" type="noConversion"/>
  </si>
  <si>
    <t>석면분담금</t>
    <phoneticPr fontId="3" type="noConversion"/>
  </si>
  <si>
    <t>석면분담금</t>
    <phoneticPr fontId="11" type="noConversion"/>
  </si>
  <si>
    <t>임금채권부담금</t>
    <phoneticPr fontId="3" type="noConversion"/>
  </si>
  <si>
    <t>이전비</t>
    <phoneticPr fontId="3" type="noConversion"/>
  </si>
  <si>
    <t>공사명 : 한가람로 및 잠실동 일대 가로등 시설물 개선 공사</t>
    <phoneticPr fontId="3" type="noConversion"/>
  </si>
  <si>
    <t>6회로</t>
    <phoneticPr fontId="3" type="noConversion"/>
  </si>
  <si>
    <t>전 기 공 사 손 해 배 상 공 제 료</t>
    <phoneticPr fontId="3" type="noConversion"/>
  </si>
  <si>
    <t>&lt;{순공사원가+일반관리비+이윤+고재처리비+고용개선지원비+(관급자재비/1.1)}
 x 0.26477%</t>
    <phoneticPr fontId="3" type="noConversion"/>
  </si>
  <si>
    <t>건설재해예방 기술지도 용역</t>
    <phoneticPr fontId="3" type="noConversion"/>
  </si>
  <si>
    <t>CDM 250W</t>
    <phoneticPr fontId="3" type="noConversion"/>
  </si>
  <si>
    <t>MH 250W철거</t>
    <phoneticPr fontId="3" type="noConversion"/>
  </si>
  <si>
    <t>F-GV 10㎟</t>
    <phoneticPr fontId="3" type="noConversion"/>
  </si>
  <si>
    <t>가로등주 기계 재사용 철거후 설치</t>
    <phoneticPr fontId="17" type="noConversion"/>
  </si>
  <si>
    <t>노후등기구 철거</t>
    <phoneticPr fontId="3" type="noConversion"/>
  </si>
  <si>
    <t>F-CV 6㎟/1C/4L</t>
    <phoneticPr fontId="3" type="noConversion"/>
  </si>
  <si>
    <t>F-CV 10㎟/1C/4L</t>
    <phoneticPr fontId="3" type="noConversion"/>
  </si>
  <si>
    <t>F-CV 10㎟/1C</t>
    <phoneticPr fontId="3" type="noConversion"/>
  </si>
  <si>
    <t>F-CV 6㎟/2C</t>
    <phoneticPr fontId="3" type="noConversion"/>
  </si>
  <si>
    <t>가공/F-CV 6㎟/4C</t>
    <phoneticPr fontId="3" type="noConversion"/>
  </si>
  <si>
    <t>F-CV 6㎟/4C</t>
    <phoneticPr fontId="3" type="noConversion"/>
  </si>
  <si>
    <t>철선,6mm</t>
  </si>
  <si>
    <t>42x114mm</t>
  </si>
  <si>
    <t>가공/F-CV 10㎟/4C</t>
    <phoneticPr fontId="3" type="noConversion"/>
  </si>
  <si>
    <t>F-CV 10㎟/4C</t>
    <phoneticPr fontId="3" type="noConversion"/>
  </si>
  <si>
    <t>조가선 설치</t>
    <phoneticPr fontId="17" type="noConversion"/>
  </si>
  <si>
    <t>m</t>
    <phoneticPr fontId="17" type="noConversion"/>
  </si>
  <si>
    <t>전4-28</t>
    <phoneticPr fontId="17" type="noConversion"/>
  </si>
  <si>
    <t>조가선 설치</t>
  </si>
  <si>
    <t>저압케이블전공</t>
    <phoneticPr fontId="17" type="noConversion"/>
  </si>
  <si>
    <t>4.83/1000</t>
    <phoneticPr fontId="3" type="noConversion"/>
  </si>
  <si>
    <t>3.22/1000</t>
    <phoneticPr fontId="3" type="noConversion"/>
  </si>
  <si>
    <t>PVC 인류 애자 설치</t>
    <phoneticPr fontId="17" type="noConversion"/>
  </si>
  <si>
    <t>개</t>
    <phoneticPr fontId="17" type="noConversion"/>
  </si>
  <si>
    <t>전4-7</t>
    <phoneticPr fontId="3" type="noConversion"/>
  </si>
  <si>
    <t>PVC 인류 애자 설치</t>
  </si>
  <si>
    <t>배전전공</t>
    <phoneticPr fontId="17" type="noConversion"/>
  </si>
  <si>
    <t>12M, 고철</t>
    <phoneticPr fontId="3" type="noConversion"/>
  </si>
  <si>
    <t>알루미늄</t>
    <phoneticPr fontId="3" type="noConversion"/>
  </si>
  <si>
    <t>고재처리(등기구)</t>
    <phoneticPr fontId="3" type="noConversion"/>
  </si>
  <si>
    <t>LED 차도등기구</t>
    <phoneticPr fontId="3" type="noConversion"/>
  </si>
  <si>
    <t>LED 보행등기구</t>
    <phoneticPr fontId="3" type="noConversion"/>
  </si>
  <si>
    <t>MH70W 보행등기구</t>
    <phoneticPr fontId="3" type="noConversion"/>
  </si>
  <si>
    <t>16.7-&gt;19.1</t>
    <phoneticPr fontId="3" type="noConversion"/>
  </si>
  <si>
    <t>전5-27 (나)</t>
    <phoneticPr fontId="3" type="noConversion"/>
  </si>
  <si>
    <t>2026년 건설공사 설계지침 제31호표</t>
    <phoneticPr fontId="3" type="noConversion"/>
  </si>
  <si>
    <t>현장교통관리</t>
    <phoneticPr fontId="3" type="noConversion"/>
  </si>
  <si>
    <t>경비로반영</t>
    <phoneticPr fontId="3" type="noConversion"/>
  </si>
  <si>
    <t>안전관리비에 반영함</t>
    <phoneticPr fontId="3" type="noConversion"/>
  </si>
  <si>
    <t>13.4-&gt;12.4%, 6개월이하 요율로 반영</t>
    <phoneticPr fontId="3" type="noConversion"/>
  </si>
  <si>
    <t>15-&gt;8%</t>
    <phoneticPr fontId="3" type="noConversion"/>
  </si>
  <si>
    <t>01-001</t>
  </si>
  <si>
    <t>01-002</t>
  </si>
  <si>
    <t>01-003</t>
  </si>
  <si>
    <t>02-001</t>
  </si>
  <si>
    <t>02-002</t>
  </si>
  <si>
    <t>02-003</t>
  </si>
  <si>
    <t>02-004</t>
  </si>
  <si>
    <t>02-005</t>
  </si>
  <si>
    <t>02-006</t>
  </si>
  <si>
    <t>02-007</t>
  </si>
  <si>
    <t>02-008</t>
  </si>
  <si>
    <t>03-001</t>
  </si>
  <si>
    <t>03-002</t>
  </si>
  <si>
    <t>04-001</t>
  </si>
  <si>
    <t>04-002</t>
  </si>
  <si>
    <t>04-003</t>
  </si>
  <si>
    <t>04-004</t>
  </si>
  <si>
    <t>05-003</t>
  </si>
  <si>
    <t>05-004</t>
  </si>
  <si>
    <t>05-005</t>
  </si>
  <si>
    <t>05-006</t>
  </si>
  <si>
    <t>05-007</t>
  </si>
  <si>
    <t>05-008</t>
  </si>
  <si>
    <t>06-001</t>
  </si>
  <si>
    <t>06-002</t>
  </si>
  <si>
    <t>07-001</t>
  </si>
  <si>
    <t>07-002</t>
  </si>
  <si>
    <t>07-003</t>
  </si>
  <si>
    <t>07-004</t>
  </si>
  <si>
    <t>07-005</t>
  </si>
  <si>
    <t>07-006</t>
  </si>
  <si>
    <t>07-007</t>
  </si>
  <si>
    <t>07-008</t>
  </si>
  <si>
    <t>07-009</t>
  </si>
  <si>
    <t>07-010</t>
  </si>
  <si>
    <t>07-011</t>
  </si>
  <si>
    <t>07-013</t>
  </si>
  <si>
    <t>07-014</t>
  </si>
  <si>
    <t>07-015</t>
  </si>
  <si>
    <t>07-016</t>
  </si>
  <si>
    <t>07-017</t>
  </si>
  <si>
    <t>08-001</t>
  </si>
  <si>
    <t>08-002</t>
  </si>
  <si>
    <t>08-003</t>
  </si>
  <si>
    <t>08-004</t>
  </si>
  <si>
    <t>08-005</t>
  </si>
  <si>
    <t>08-006</t>
  </si>
  <si>
    <t>08-007</t>
  </si>
  <si>
    <t>08-008</t>
  </si>
  <si>
    <t>08-009</t>
  </si>
  <si>
    <t>08-010</t>
  </si>
  <si>
    <t>08-011</t>
  </si>
  <si>
    <t>09-001</t>
  </si>
  <si>
    <t>09-002</t>
  </si>
  <si>
    <t>09-004</t>
  </si>
  <si>
    <t>09-005</t>
  </si>
  <si>
    <t>09-006</t>
  </si>
  <si>
    <t>09-007</t>
  </si>
  <si>
    <t>09-008</t>
  </si>
  <si>
    <t>09-009</t>
  </si>
  <si>
    <t>09-010</t>
  </si>
  <si>
    <t>09-011</t>
  </si>
  <si>
    <t>09-012</t>
  </si>
  <si>
    <t>10-001</t>
  </si>
  <si>
    <t>10-002</t>
  </si>
  <si>
    <t>11-001</t>
  </si>
  <si>
    <t>가로등주 기계 설치(관급)</t>
  </si>
  <si>
    <t>10-12M, 트럭탑재형크레인</t>
  </si>
  <si>
    <t>가로등주 기계 철거(관급)</t>
  </si>
  <si>
    <t>가로등주 기계 재사용 철거후 설치</t>
  </si>
  <si>
    <t>LED 보안등기구 설치</t>
  </si>
  <si>
    <t>50W이하, 절연버킷트럭</t>
  </si>
  <si>
    <t>LED 가로등기구 설치</t>
  </si>
  <si>
    <t>100W이하, 절연버킷트럭</t>
  </si>
  <si>
    <t>노후 보안등기구 철거</t>
  </si>
  <si>
    <t>CDM 70W</t>
  </si>
  <si>
    <t>LED 가로등기구 철거</t>
  </si>
  <si>
    <t>100W이하</t>
  </si>
  <si>
    <t>LED 보안등기구 철거</t>
  </si>
  <si>
    <t>50W이하</t>
  </si>
  <si>
    <t>SMPS 설치</t>
  </si>
  <si>
    <t>관급, 각종, 등기구 병행</t>
  </si>
  <si>
    <t>LED 투광등기구 철거</t>
  </si>
  <si>
    <t>100W 이하, 절연버킷트럭</t>
  </si>
  <si>
    <t>노후등기구 철거</t>
  </si>
  <si>
    <t>CDM 250W</t>
  </si>
  <si>
    <t>가로등 분전반 설치</t>
  </si>
  <si>
    <t>6회로</t>
  </si>
  <si>
    <t>가로등 분전반 철거</t>
  </si>
  <si>
    <t>공통</t>
  </si>
  <si>
    <t>가로등주 기초(기성품) 설치</t>
  </si>
  <si>
    <t>500*500*1050*1050*1100</t>
  </si>
  <si>
    <t>가로등주 기초(기성품) 철거</t>
  </si>
  <si>
    <t>분전반 기초(기성품) 설치</t>
  </si>
  <si>
    <t>500*500*800</t>
  </si>
  <si>
    <t>분전반 기초(기성품) 철거</t>
  </si>
  <si>
    <t>잔토처리</t>
  </si>
  <si>
    <t>터파기</t>
  </si>
  <si>
    <t>보통토사 / TypeⅠ(지반 및 현장조건이 일반적인 경우) / 기계9+인력1</t>
  </si>
  <si>
    <t>기계 되매우기 및 다짐</t>
  </si>
  <si>
    <t>B.H 0.4㎥</t>
  </si>
  <si>
    <t>보도용 블록 걷기</t>
  </si>
  <si>
    <t>B-tybe(인력, 재사용)</t>
  </si>
  <si>
    <t>아스팔트 포장 절단</t>
  </si>
  <si>
    <t>전선관 설치</t>
  </si>
  <si>
    <t>ELP 30Φ</t>
  </si>
  <si>
    <t>전선관 철거</t>
  </si>
  <si>
    <t>케이블 설치</t>
  </si>
  <si>
    <t>F-CV 6㎟/1C/2L</t>
  </si>
  <si>
    <t>F-CV 6㎟/1C/4L</t>
  </si>
  <si>
    <t>F-CV 10㎟/1C/4L</t>
  </si>
  <si>
    <t>접지케이블 설치</t>
  </si>
  <si>
    <t>F-GV 6㎟</t>
  </si>
  <si>
    <t>F-GV 10㎟</t>
  </si>
  <si>
    <t>케이블 철거</t>
  </si>
  <si>
    <t>접지케이블 철거</t>
  </si>
  <si>
    <t>가공/F-CV 6㎟/2C</t>
  </si>
  <si>
    <t>가공/F-CV 6㎟/4C</t>
  </si>
  <si>
    <t>가공/F-CV 10㎟/4C</t>
  </si>
  <si>
    <t>교통통제원</t>
  </si>
  <si>
    <t>현장교통관리</t>
  </si>
  <si>
    <t>국기꽂이 설치</t>
  </si>
  <si>
    <t>STS, 트럭탑재형크레인, 관급</t>
  </si>
  <si>
    <t>베이스 커버 설치</t>
  </si>
  <si>
    <t>370x270mm, 관급</t>
  </si>
  <si>
    <t>동영상 편집</t>
  </si>
  <si>
    <t>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</si>
</sst>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9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7" formatCode="_ * #,##0_ ;_ * \-#,##0_ ;_ * &quot;-&quot;_ ;_ @_ "/>
    <numFmt numFmtId="178" formatCode="#,##0_ "/>
    <numFmt numFmtId="179" formatCode="_-* #,##0_-;\!\-* #,##0_-;_-* &quot;-&quot;_-;_-@_-"/>
    <numFmt numFmtId="180" formatCode="_-* #,##0.000_-;\-* #,##0.000_-;_-* &quot;-&quot;_-;_-@_-"/>
    <numFmt numFmtId="181" formatCode="0.0_);[Red]\(0.0\)"/>
    <numFmt numFmtId="182" formatCode="0.0_ "/>
    <numFmt numFmtId="183" formatCode="0.000_);[Red]\(0.000\)"/>
    <numFmt numFmtId="184" formatCode="_-* #,##0.00_-;\-* #,##0.00_-;_-* &quot;-&quot;_-;_-@_-"/>
    <numFmt numFmtId="185" formatCode="0_ "/>
    <numFmt numFmtId="186" formatCode="_ * #,##0_)&quot;W&quot;_ ;_ * \(#,##0\)&quot;W&quot;_ ;_ * &quot;-&quot;_)&quot;W&quot;_ ;_ @_ "/>
    <numFmt numFmtId="187" formatCode="mm&quot;월&quot;\ dd&quot;일&quot;"/>
    <numFmt numFmtId="188" formatCode="0.0"/>
    <numFmt numFmtId="189" formatCode="0.00_);[Red]\(0.00\)"/>
    <numFmt numFmtId="190" formatCode="0.0000000_);[Red]\(0.0000000\)"/>
    <numFmt numFmtId="191" formatCode="0.000_ "/>
    <numFmt numFmtId="192" formatCode="#,##0_);[Red]\(#,##0\)"/>
    <numFmt numFmtId="193" formatCode="#,##0.00_ "/>
    <numFmt numFmtId="194" formatCode="#,##0.00_);[Red]\(#,##0.00\)"/>
    <numFmt numFmtId="195" formatCode="#,##0.0_ "/>
    <numFmt numFmtId="196" formatCode="#,##0.000_ "/>
    <numFmt numFmtId="197" formatCode="#,##0.000_);[Red]\(#,##0.000\)"/>
    <numFmt numFmtId="198" formatCode="0.00000_);[Red]\(0.00000\)"/>
    <numFmt numFmtId="199" formatCode="0.00_ "/>
    <numFmt numFmtId="200" formatCode="#,##0.0_);[Red]\(#,##0.0\)"/>
    <numFmt numFmtId="201" formatCode="000,000&quot;원/본&quot;"/>
    <numFmt numFmtId="202" formatCode="0.00&quot;㎥/hr&quot;"/>
    <numFmt numFmtId="203" formatCode="00,000&quot;원/본&quot;"/>
    <numFmt numFmtId="204" formatCode="&quot;$&quot;#,##0.00_);\(&quot;$&quot;#,##0.00\)"/>
    <numFmt numFmtId="205" formatCode="&quot;$&quot;#,##0_);[Red]\(&quot;$&quot;#,##0\)"/>
    <numFmt numFmtId="206" formatCode="0.0000000000000000000000000"/>
    <numFmt numFmtId="207" formatCode="&quot;(&quot;0.000\ "/>
    <numFmt numFmtId="208" formatCode="0.00000000000000000000000000"/>
    <numFmt numFmtId="209" formatCode="#,##0.00000000;[Red]\-#,##0.00000000"/>
    <numFmt numFmtId="210" formatCode="0.000000000000000000000000"/>
    <numFmt numFmtId="211" formatCode="_ * #,##0.000000000000000000000_ ;_ * \-#,##0.000000000000000000000_ ;_ * &quot;-&quot;_ ;_ @_ "/>
    <numFmt numFmtId="212" formatCode="0.000000000000000000000000000"/>
    <numFmt numFmtId="213" formatCode="_ * #,##0.00_ ;_ * \-#,##0.00_ ;_ * &quot;-&quot;??_ ;_ @_ "/>
    <numFmt numFmtId="214" formatCode="_ &quot;₩&quot;* #,##0_ ;_ &quot;₩&quot;* \-#,##0_ ;_ &quot;₩&quot;* &quot;-&quot;_ ;_ @_ "/>
    <numFmt numFmtId="215" formatCode="_ &quot;₩&quot;* #,##0.00_ ;_ &quot;₩&quot;* \-#,##0.00_ ;_ &quot;₩&quot;* &quot;-&quot;??_ ;_ @_ "/>
    <numFmt numFmtId="216" formatCode="_ * #,##0.0000_ ;_ * \-#,##0.0000_ ;_ * &quot;-&quot;_ ;_ @_ "/>
    <numFmt numFmtId="217" formatCode="#,##0.0000000"/>
    <numFmt numFmtId="218" formatCode="#,##0.00000000000"/>
    <numFmt numFmtId="219" formatCode="_-* #,##0.00000_-;\-* #,##0.00000_-;_-* &quot;-&quot;_-;_-@_-"/>
    <numFmt numFmtId="220" formatCode="0_);[Red]\(0\)"/>
    <numFmt numFmtId="221" formatCode="&quot;₩&quot;#,##0;&quot;₩&quot;\-#,##0"/>
    <numFmt numFmtId="222" formatCode="&quot;₩&quot;#,##0.00;&quot;₩&quot;\-#,##0.00"/>
    <numFmt numFmtId="223" formatCode="_-[$€-2]* #,##0.00_-;\-[$€-2]* #,##0.00_-;_-[$€-2]* &quot;-&quot;??_-"/>
    <numFmt numFmtId="224" formatCode="_-* #,##0_-;\-* #,##0_-;_-* &quot;-&quot;??_-;_-@_-"/>
    <numFmt numFmtId="225" formatCode="_(&quot;$&quot;* #,##0_);_(&quot;$&quot;* \(#,##0\);_(&quot;$&quot;* &quot;-&quot;_);_(@_)"/>
    <numFmt numFmtId="226" formatCode="0.000"/>
    <numFmt numFmtId="227" formatCode="_(&quot;$&quot;* #,##0.00_);_(&quot;$&quot;* \(#,##0.00\);_(&quot;$&quot;* &quot;-&quot;??_);_(@_)"/>
    <numFmt numFmtId="228" formatCode="&quot;SFr.&quot;#,##0.00;[Red]&quot;SFr.&quot;\-#,##0.00"/>
    <numFmt numFmtId="229" formatCode="d/m/yy\ h:mm"/>
    <numFmt numFmtId="230" formatCode="#,##0&quot; F&quot;_);[Red]\(#,##0&quot; F&quot;\)"/>
    <numFmt numFmtId="231" formatCode="#,##0.00&quot; F&quot;_);\(#,##0.00&quot; F&quot;\)"/>
    <numFmt numFmtId="232" formatCode="#,##0.00&quot; F&quot;_);[Red]\(#,##0.00&quot; F&quot;\)"/>
    <numFmt numFmtId="233" formatCode="0_ ;[Red]\-0\ "/>
    <numFmt numFmtId="234" formatCode="* #,##0.0"/>
    <numFmt numFmtId="235" formatCode="#.##"/>
    <numFmt numFmtId="236" formatCode="_(* #,##0.00_);_(* \(#,##0.00\);_(* &quot;-&quot;_);_(@_)"/>
    <numFmt numFmtId="237" formatCode="0.0000%"/>
    <numFmt numFmtId="238" formatCode="0.0%"/>
    <numFmt numFmtId="239" formatCode="0.0000"/>
    <numFmt numFmtId="240" formatCode="#,##0.000"/>
    <numFmt numFmtId="241" formatCode="#,##0.0000"/>
    <numFmt numFmtId="242" formatCode="_ * #,##0_ ;_ * &quot;₩&quot;\!\-#,##0_ ;_ * &quot;-&quot;_ ;_ @_ "/>
    <numFmt numFmtId="243" formatCode="&quot;₩&quot;#,##0.00\ ;\(&quot;₩&quot;#,##0.00\)"/>
    <numFmt numFmtId="244" formatCode="_(* #,##0.00_);_(* \(#,##0.00\);_(* &quot;-&quot;??_);_(@_)"/>
    <numFmt numFmtId="245" formatCode="&quot;₩&quot;#,##0;[Red]&quot;₩&quot;\-#,##0"/>
    <numFmt numFmtId="246" formatCode="&quot;?#,##0.00;\-&quot;&quot;?&quot;#,##0.00"/>
    <numFmt numFmtId="247" formatCode="&quot;₩&quot;#,##0;[Red]&quot;₩&quot;&quot;₩&quot;\-#,##0"/>
    <numFmt numFmtId="248" formatCode="&quot;₩&quot;#,##0.00;[Red]&quot;₩&quot;\-#,##0.00"/>
    <numFmt numFmtId="249" formatCode="_-* #,##0.0000_-;\-* #,##0.0000_-;_-* &quot;-&quot;??_-;_-@_-"/>
    <numFmt numFmtId="250" formatCode="0.000000000E+00;\ᯜ"/>
    <numFmt numFmtId="251" formatCode="0.0000000000E+00;\ᯜ"/>
    <numFmt numFmtId="252" formatCode="0.00000000000E+00;\ᯜ"/>
    <numFmt numFmtId="253" formatCode="0.000000000000E+00;\ᯜ"/>
    <numFmt numFmtId="254" formatCode="0.0000000000000E+00;\ᯜ"/>
    <numFmt numFmtId="255" formatCode="#."/>
    <numFmt numFmtId="256" formatCode="&quot;?#,##0;\-&quot;&quot;?&quot;#,##0"/>
    <numFmt numFmtId="257" formatCode="&quot;S&quot;\ #,##0.00;\-&quot;S&quot;\ #,##0.00"/>
    <numFmt numFmtId="258" formatCode="#,##0.000\ &quot;㎥ &quot;"/>
    <numFmt numFmtId="259" formatCode="&quot;  &quot;@"/>
    <numFmt numFmtId="260" formatCode="#,##0.000\ &quot;㎡ &quot;"/>
    <numFmt numFmtId="261" formatCode="#,##0.000\ &quot;m  &quot;"/>
    <numFmt numFmtId="262" formatCode="#,##0.000\ &quot;㎏ &quot;"/>
    <numFmt numFmtId="263" formatCode="General_)"/>
    <numFmt numFmtId="264" formatCode="0.0_)"/>
    <numFmt numFmtId="265" formatCode="_ * #,##0_ ;_ * &quot;₩&quot;&quot;₩&quot;&quot;₩&quot;&quot;₩&quot;\-#,##0_ ;_ * &quot;-&quot;_ ;_ @_ "/>
    <numFmt numFmtId="266" formatCode=";;"/>
    <numFmt numFmtId="267" formatCode="&quot;Fr.&quot;\ #,##0;[Red]&quot;Fr.&quot;\ \-#,##0"/>
    <numFmt numFmtId="268" formatCode="&quot;Fr.&quot;\ #,##0.00;[Red]&quot;Fr.&quot;\ \-#,##0.00"/>
    <numFmt numFmtId="269" formatCode="_ * #,##0.00_ ;_ * &quot;₩&quot;\!\-#,##0.00_ ;_ * &quot;-&quot;??_ ;_ @_ "/>
    <numFmt numFmtId="270" formatCode="_ &quot;₩&quot;* #,##0.00_ ;_ &quot;₩&quot;* &quot;₩&quot;\!\-#,##0.00_ ;_ &quot;₩&quot;* &quot;-&quot;??_ ;_ @_ "/>
    <numFmt numFmtId="271" formatCode="[Red]#,##0"/>
    <numFmt numFmtId="272" formatCode="#000"/>
    <numFmt numFmtId="273" formatCode="#00&quot;-&quot;0000"/>
    <numFmt numFmtId="274" formatCode="##00"/>
    <numFmt numFmtId="275" formatCode="000&quot;-&quot;0000"/>
    <numFmt numFmtId="276" formatCode="00##"/>
    <numFmt numFmtId="277" formatCode="_-* #,##0;\-* #,##0;_-* &quot;-&quot;;_-@"/>
    <numFmt numFmtId="278" formatCode="#,##0.00;[Red]#,##0.00;&quot; &quot;"/>
    <numFmt numFmtId="279" formatCode="#,##0.0;[Red]#,##0.0;&quot; &quot;"/>
    <numFmt numFmtId="280" formatCode="#,##0&quot; &quot;;[Red]&quot;△&quot;#,##0&quot; &quot;"/>
    <numFmt numFmtId="281" formatCode="* #,##0&quot; &quot;;[Red]* &quot;△&quot;#,##0&quot; &quot;;* @"/>
    <numFmt numFmtId="282" formatCode="#,##0.####;[Red]&quot;△&quot;#,##0.####"/>
    <numFmt numFmtId="283" formatCode="&quot;₩&quot;\ #,##0.00;[Red]&quot;₩&quot;\ \-#,##0.00"/>
    <numFmt numFmtId="284" formatCode="&quot;$&quot;#,##0;\-&quot;$&quot;#,##0"/>
    <numFmt numFmtId="285" formatCode="_-&quot;$&quot;* #,##0_-;\-&quot;$&quot;* #,##0_-;_-&quot;$&quot;* &quot;-&quot;_-;_-@_-"/>
    <numFmt numFmtId="286" formatCode="_-&quot;$&quot;* #,##0.00_-;\-&quot;$&quot;* #,##0.00_-;_-&quot;$&quot;* &quot;-&quot;??_-;_-@_-"/>
    <numFmt numFmtId="287" formatCode="#,##0.0_);\(#,##0.0\)"/>
    <numFmt numFmtId="288" formatCode="\$#,##0.00"/>
    <numFmt numFmtId="289" formatCode="#,##0&quot;  &quot;"/>
    <numFmt numFmtId="290" formatCode="\-\2\2\4&quot; &quot;"/>
    <numFmt numFmtId="291" formatCode="\-\1&quot; &quot;"/>
    <numFmt numFmtId="292" formatCode="\-\1\4\4&quot; &quot;"/>
    <numFmt numFmtId="293" formatCode="\-\2\2\5&quot; &quot;"/>
    <numFmt numFmtId="294" formatCode="\1\4\4&quot; &quot;"/>
    <numFmt numFmtId="295" formatCode="#,##0.0&quot;     &quot;"/>
    <numFmt numFmtId="296" formatCode="&quot; &quot;@"/>
    <numFmt numFmtId="297" formatCode="_-* #,##0.00_-;&quot;₩&quot;&quot;₩&quot;&quot;₩&quot;\-* #,##0.00_-;_-* &quot;-&quot;??_-;_-@_-"/>
    <numFmt numFmtId="298" formatCode="&quot;₩&quot;#,##0;&quot;₩&quot;&quot;₩&quot;&quot;₩&quot;&quot;₩&quot;&quot;₩&quot;&quot;₩&quot;&quot;₩&quot;&quot;₩&quot;&quot;₩&quot;&quot;₩&quot;\-&quot;₩&quot;#,##0"/>
    <numFmt numFmtId="299" formatCode="&quot;×&quot;#,##0.00"/>
    <numFmt numFmtId="300" formatCode="&quot;(&quot;\ #,##0&quot;)&quot;"/>
    <numFmt numFmtId="301" formatCode="_(* #,##0_);_(* \(#,##0\);_(* &quot;-&quot;_);_(@_)"/>
    <numFmt numFmtId="302" formatCode="#,##0,"/>
    <numFmt numFmtId="303" formatCode="#,##0.0"/>
    <numFmt numFmtId="304" formatCode="#,##0;&quot;-&quot;#,##0"/>
    <numFmt numFmtId="305" formatCode="\$#.00"/>
    <numFmt numFmtId="306" formatCode="m\o\n\th\ d\,\ yyyy"/>
    <numFmt numFmtId="307" formatCode="#.00"/>
    <numFmt numFmtId="308" formatCode="&quot;₩&quot;#,##0.00;&quot;₩&quot;&quot;₩&quot;\-#,##0.00"/>
    <numFmt numFmtId="309" formatCode="%#.00"/>
    <numFmt numFmtId="310" formatCode="_-* #,##0.0_-;\-* #,##0.0_-;_-* &quot;-&quot;??_-;_-@_-"/>
    <numFmt numFmtId="311" formatCode="#,##0.000\ &quot;ton &quot;"/>
    <numFmt numFmtId="312" formatCode="#,##0.000\ &quot;EA &quot;"/>
    <numFmt numFmtId="313" formatCode="#,###\ &quot;개&quot;"/>
    <numFmt numFmtId="314" formatCode=";;;"/>
    <numFmt numFmtId="315" formatCode="&quot;     &quot;@"/>
    <numFmt numFmtId="316" formatCode="#,##0.000\ &quot;10공/㎥ &quot;"/>
    <numFmt numFmtId="317" formatCode="#,##0.0\ &quot;개소 &quot;"/>
    <numFmt numFmtId="318" formatCode="#,##0.00\ &quot;개 &quot;"/>
    <numFmt numFmtId="319" formatCode="#,###.00\ &quot;매 &quot;"/>
    <numFmt numFmtId="320" formatCode="#,##0.00\ &quot;a &quot;"/>
    <numFmt numFmtId="321" formatCode="#,##0.00\ &quot;ℓ &quot;"/>
    <numFmt numFmtId="322" formatCode="&quot;₩&quot;\$#,##0.00_);[Red]&quot;₩&quot;\(&quot;₩&quot;\$#,##0.00&quot;₩&quot;\)"/>
    <numFmt numFmtId="323" formatCode="_(&quot;RM&quot;* #,##0.00_);_(&quot;RM&quot;* \(#,##0.00\);_(&quot;RM&quot;* &quot;-&quot;??_);_(@_)"/>
    <numFmt numFmtId="324" formatCode="&quot;US$&quot;#,##0_);\(&quot;US$&quot;#,##0\)"/>
    <numFmt numFmtId="325" formatCode="&quot;US$&quot;#,##0_);[Red]\(&quot;US$&quot;#,##0\)"/>
    <numFmt numFmtId="326" formatCode="\$#."/>
    <numFmt numFmtId="327" formatCode="_ &quot;₩&quot;* #,##0.00_ ;_ &quot;₩&quot;* &quot;₩&quot;&quot;₩&quot;&quot;₩&quot;&quot;₩&quot;\-#,##0.00_ ;_ &quot;₩&quot;* &quot;-&quot;??_ ;_ @_ "/>
    <numFmt numFmtId="328" formatCode="#,##0.00##;[Red]&quot;△&quot;#,##0.00##"/>
    <numFmt numFmtId="329" formatCode="#,##0;[Red]&quot;-&quot;#,##0"/>
    <numFmt numFmtId="330" formatCode="_-* #,##0.00_-;&quot;₩&quot;\!\-* #,##0.00_-;_-* &quot;-&quot;??_-;_-@_-"/>
    <numFmt numFmtId="331" formatCode="_-* #,##0_-;&quot;₩&quot;\!\-* #,##0_-;_-* &quot;-&quot;_-;_-@_-"/>
    <numFmt numFmtId="332" formatCode="_-* #,##0.0_-;&quot;₩&quot;\!\-* #,##0.0_-;_-* &quot;-&quot;_-;_-@_-"/>
    <numFmt numFmtId="333" formatCode="yyyy&quot;年&quot;m&quot;月&quot;d&quot;日&quot;"/>
    <numFmt numFmtId="334" formatCode="_-* #,##0.0;\-* #,##0.0;_-* &quot;-&quot;.0;_-@"/>
    <numFmt numFmtId="335" formatCode="#,##0&quot; 원&quot;"/>
    <numFmt numFmtId="336" formatCode="0.0%;[Red]\(0.0%\)"/>
    <numFmt numFmtId="337" formatCode="#,##0.00000"/>
    <numFmt numFmtId="338" formatCode="&quot;직&quot;&quot;원&quot;\ ##\ &quot;인&quot;"/>
    <numFmt numFmtId="339" formatCode="#,##0\ ;\-#,##0\ ;"/>
    <numFmt numFmtId="340" formatCode="#,##0;\-#,##0;"/>
    <numFmt numFmtId="341" formatCode="#,##0.0#####"/>
    <numFmt numFmtId="342" formatCode="@\ &quot;주임&quot;"/>
    <numFmt numFmtId="343" formatCode="0.0_);[Red]&quot;₩&quot;\!\(0.0&quot;₩&quot;\!\)"/>
    <numFmt numFmtId="344" formatCode="0.00\ &quot;)&quot;"/>
    <numFmt numFmtId="345" formatCode="0.00\ &quot;)]&quot;"/>
    <numFmt numFmtId="346" formatCode="&quot;제 &quot;####&quot; 호표&quot;"/>
    <numFmt numFmtId="347" formatCode="0.000\ &quot;²&quot;"/>
    <numFmt numFmtId="348" formatCode="&quot;(&quot;\ 0.00"/>
    <numFmt numFmtId="349" formatCode="&quot;[(&quot;\ 0.00"/>
    <numFmt numFmtId="350" formatCode="&quot;$&quot;#,##0.00_);[Red]\(&quot;$&quot;#,##0.00\)"/>
    <numFmt numFmtId="351" formatCode="#,##0."/>
    <numFmt numFmtId="352" formatCode="yyyy&quot;年&quot;&quot;₩&quot;&quot;₩&quot;\ mm&quot;月&quot;&quot;₩&quot;&quot;₩&quot;\ dd&quot;日&quot;"/>
    <numFmt numFmtId="353" formatCode="&quot;₩&quot;#,##0;&quot;₩&quot;&quot;₩&quot;\-#,##0"/>
    <numFmt numFmtId="354" formatCode="#,##0\ &quot;DM&quot;;[Red]\-#,##0\ &quot;DM&quot;"/>
    <numFmt numFmtId="355" formatCode="#,##0.00\ &quot;DM&quot;;[Red]\-#,##0.00\ &quot;DM&quot;"/>
    <numFmt numFmtId="356" formatCode="0.000000%"/>
    <numFmt numFmtId="357" formatCode="&quot;₩&quot;\!\$#\!\,##0_);[Red]&quot;₩&quot;\!\(&quot;₩&quot;\!\$#\!\,##0&quot;₩&quot;\!\)"/>
    <numFmt numFmtId="358" formatCode="0\!.0000000000000000"/>
    <numFmt numFmtId="359" formatCode="_(&quot;$&quot;* #,##0_);_(&quot;$&quot;* \(#,##0\);_(&quot;$&quot;* &quot;-&quot;??_);_(@_)"/>
    <numFmt numFmtId="360" formatCode="0\ &quot;EA&quot;"/>
    <numFmt numFmtId="361" formatCode="&quot;₩&quot;#,##0;&quot;₩&quot;&quot;₩&quot;&quot;₩&quot;\-&quot;₩&quot;#,##0"/>
    <numFmt numFmtId="362" formatCode="0\ &quot;t&quot;"/>
    <numFmt numFmtId="363" formatCode="&quot;₩&quot;#,##0;&quot;₩&quot;&quot;₩&quot;&quot;₩&quot;&quot;₩&quot;\-#,##0"/>
    <numFmt numFmtId="364" formatCode="mmm&quot;-&quot;yy"/>
    <numFmt numFmtId="365" formatCode="0.0%;[Red]\-0.0%"/>
    <numFmt numFmtId="366" formatCode="0.00%;[Red]\-0.00%"/>
    <numFmt numFmtId="367" formatCode="?/?#"/>
    <numFmt numFmtId="368" formatCode="&quot;S&quot;\ #,##0.00;[Red]\-&quot;S&quot;\ #,##0.00"/>
    <numFmt numFmtId="369" formatCode="_-* #,##0.0000_-;\-* #,##0.0000_-;_-* &quot;-&quot;_-;_-@_-"/>
    <numFmt numFmtId="370" formatCode="&quot; &lt;직접 노무비&gt; x &quot;General&quot;%&quot;"/>
    <numFmt numFmtId="371" formatCode="&quot; &lt;노무비&gt; x &quot;General&quot;%&quot;"/>
    <numFmt numFmtId="372" formatCode="&quot; &lt;건강보험료&gt; x &quot;General&quot;%&quot;"/>
    <numFmt numFmtId="373" formatCode="&quot; &lt;재료비+노무비&gt; x &quot;General&quot;%&quot;"/>
    <numFmt numFmtId="374" formatCode="&quot; &lt;재료비+노무비+경비&gt; x &quot;General&quot;%&quot;"/>
    <numFmt numFmtId="375" formatCode="&quot; &lt;노무비+경비+일반관리비&gt; x &quot;General&quot;%&quot;"/>
    <numFmt numFmtId="376" formatCode="_(* #,##0_);_(* \-#,##0_);_(* &quot;-&quot;_);_(@_)"/>
    <numFmt numFmtId="377" formatCode="_-* #,##0.0_-;\-* #,##0.0_-;_-* &quot;-&quot;_-;_-@_-"/>
    <numFmt numFmtId="378" formatCode="@&quot; :&quot;"/>
    <numFmt numFmtId="379" formatCode="0.0000_ "/>
    <numFmt numFmtId="380" formatCode="000\-000"/>
  </numFmts>
  <fonts count="390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2"/>
      <name val="Arial"/>
      <family val="2"/>
    </font>
    <font>
      <sz val="12"/>
      <name val="돋움"/>
      <family val="3"/>
      <charset val="129"/>
    </font>
    <font>
      <sz val="11"/>
      <name val="굴림체"/>
      <family val="3"/>
      <charset val="129"/>
    </font>
    <font>
      <b/>
      <sz val="16"/>
      <name val="굴림체"/>
      <family val="3"/>
      <charset val="129"/>
    </font>
    <font>
      <b/>
      <sz val="13"/>
      <name val="굴림체"/>
      <family val="3"/>
      <charset val="129"/>
    </font>
    <font>
      <sz val="12"/>
      <name val="바탕체"/>
      <family val="1"/>
      <charset val="129"/>
    </font>
    <font>
      <b/>
      <u/>
      <sz val="16"/>
      <name val="굴림체"/>
      <family val="3"/>
      <charset val="129"/>
    </font>
    <font>
      <sz val="8"/>
      <name val="바탕체"/>
      <family val="1"/>
      <charset val="129"/>
    </font>
    <font>
      <sz val="9"/>
      <name val="굴림체"/>
      <family val="3"/>
      <charset val="129"/>
    </font>
    <font>
      <sz val="11"/>
      <color indexed="10"/>
      <name val="굴림체"/>
      <family val="3"/>
      <charset val="129"/>
    </font>
    <font>
      <sz val="9"/>
      <name val="돋움체"/>
      <family val="3"/>
      <charset val="129"/>
    </font>
    <font>
      <sz val="10"/>
      <name val="굴림체"/>
      <family val="3"/>
      <charset val="129"/>
    </font>
    <font>
      <b/>
      <sz val="10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돋움체"/>
      <family val="3"/>
      <charset val="129"/>
    </font>
    <font>
      <sz val="10"/>
      <name val="Arial"/>
      <family val="2"/>
    </font>
    <font>
      <sz val="10"/>
      <name val="돋움체"/>
      <family val="3"/>
      <charset val="129"/>
    </font>
    <font>
      <sz val="12"/>
      <name val="돋움체"/>
      <family val="3"/>
      <charset val="129"/>
    </font>
    <font>
      <sz val="10"/>
      <color indexed="9"/>
      <name val="굴림체"/>
      <family val="3"/>
      <charset val="129"/>
    </font>
    <font>
      <sz val="8"/>
      <name val="바탕"/>
      <family val="1"/>
      <charset val="129"/>
    </font>
    <font>
      <sz val="10"/>
      <color indexed="10"/>
      <name val="굴림체"/>
      <family val="3"/>
      <charset val="129"/>
    </font>
    <font>
      <sz val="8"/>
      <name val="굴림체"/>
      <family val="3"/>
      <charset val="129"/>
    </font>
    <font>
      <sz val="12"/>
      <name val="굴림체"/>
      <family val="3"/>
      <charset val="129"/>
    </font>
    <font>
      <sz val="8"/>
      <name val="Arial"/>
      <family val="2"/>
    </font>
    <font>
      <sz val="10"/>
      <name val="Helv"/>
      <family val="2"/>
    </font>
    <font>
      <sz val="100"/>
      <name val="굴림체"/>
      <family val="3"/>
      <charset val="129"/>
    </font>
    <font>
      <b/>
      <sz val="12"/>
      <name val="굴림체"/>
      <family val="3"/>
      <charset val="129"/>
    </font>
    <font>
      <sz val="10"/>
      <name val="바탕체"/>
      <family val="1"/>
      <charset val="129"/>
    </font>
    <font>
      <sz val="10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9"/>
      <color indexed="10"/>
      <name val="굴림체"/>
      <family val="3"/>
      <charset val="129"/>
    </font>
    <font>
      <b/>
      <sz val="10"/>
      <color indexed="8"/>
      <name val="굴림체"/>
      <family val="3"/>
      <charset val="129"/>
    </font>
    <font>
      <b/>
      <u/>
      <sz val="20"/>
      <name val="바탕체"/>
      <family val="1"/>
      <charset val="129"/>
    </font>
    <font>
      <sz val="9"/>
      <name val="바탕체"/>
      <family val="1"/>
      <charset val="129"/>
    </font>
    <font>
      <b/>
      <u/>
      <sz val="10"/>
      <name val="바탕체"/>
      <family val="1"/>
      <charset val="129"/>
    </font>
    <font>
      <b/>
      <sz val="10"/>
      <name val="바탕체"/>
      <family val="1"/>
      <charset val="129"/>
    </font>
    <font>
      <b/>
      <u/>
      <sz val="20"/>
      <color indexed="8"/>
      <name val="한양신명조,한컴돋움"/>
      <family val="3"/>
      <charset val="129"/>
    </font>
    <font>
      <b/>
      <sz val="13"/>
      <color indexed="8"/>
      <name val="한양신명조,한컴돋움"/>
      <family val="3"/>
      <charset val="129"/>
    </font>
    <font>
      <sz val="12"/>
      <color indexed="8"/>
      <name val="한양신명조,한컴돋움"/>
      <family val="3"/>
      <charset val="129"/>
    </font>
    <font>
      <sz val="8"/>
      <name val="맑은 고딕"/>
      <family val="3"/>
      <charset val="129"/>
    </font>
    <font>
      <sz val="28"/>
      <name val="돋움"/>
      <family val="3"/>
      <charset val="129"/>
    </font>
    <font>
      <sz val="11"/>
      <color indexed="8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11"/>
      <name val="굴림체"/>
      <family val="3"/>
      <charset val="129"/>
    </font>
    <font>
      <b/>
      <sz val="10"/>
      <color indexed="10"/>
      <name val="굴림체"/>
      <family val="3"/>
      <charset val="129"/>
    </font>
    <font>
      <sz val="10"/>
      <color indexed="9"/>
      <name val="굴림체"/>
      <family val="3"/>
      <charset val="129"/>
    </font>
    <font>
      <sz val="10"/>
      <name val="Courier New"/>
      <family val="3"/>
    </font>
    <font>
      <sz val="12"/>
      <name val="견명조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MS Sans Serif"/>
      <family val="2"/>
    </font>
    <font>
      <u/>
      <sz val="11"/>
      <color indexed="20"/>
      <name val="돋움"/>
      <family val="3"/>
      <charset val="129"/>
    </font>
    <font>
      <sz val="10"/>
      <name val="명조"/>
      <family val="3"/>
      <charset val="129"/>
    </font>
    <font>
      <sz val="12"/>
      <name val="ⓒoUAAA¨u"/>
      <family val="1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u/>
      <sz val="7.5"/>
      <color indexed="12"/>
      <name val="±¼¸²A¼"/>
      <family val="3"/>
      <charset val="129"/>
    </font>
    <font>
      <sz val="10"/>
      <name val="MS Serif"/>
      <family val="1"/>
    </font>
    <font>
      <sz val="10"/>
      <color indexed="16"/>
      <name val="MS Serif"/>
      <family val="1"/>
    </font>
    <font>
      <b/>
      <sz val="12"/>
      <name val="Helv"/>
      <family val="2"/>
    </font>
    <font>
      <u/>
      <sz val="10"/>
      <color indexed="12"/>
      <name val="MS Sans Serif"/>
      <family val="2"/>
    </font>
    <font>
      <b/>
      <sz val="11"/>
      <name val="Helv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12"/>
      <name val="굴림"/>
      <family val="3"/>
      <charset val="129"/>
    </font>
    <font>
      <sz val="11"/>
      <color theme="1"/>
      <name val="굴림체"/>
      <family val="3"/>
      <charset val="129"/>
    </font>
    <font>
      <sz val="10"/>
      <color rgb="FFFF0000"/>
      <name val="굴림체"/>
      <family val="3"/>
      <charset val="129"/>
    </font>
    <font>
      <b/>
      <sz val="9"/>
      <name val="굴림체"/>
      <family val="3"/>
      <charset val="129"/>
    </font>
    <font>
      <b/>
      <sz val="8"/>
      <name val="굴림체"/>
      <family val="3"/>
      <charset val="129"/>
    </font>
    <font>
      <sz val="12"/>
      <color theme="1"/>
      <name val="08서울남산체 M"/>
      <family val="1"/>
      <charset val="129"/>
    </font>
    <font>
      <u/>
      <sz val="11"/>
      <color indexed="36"/>
      <name val="돋움"/>
      <family val="3"/>
      <charset val="129"/>
    </font>
    <font>
      <u/>
      <sz val="10"/>
      <color indexed="14"/>
      <name val="MS Sans Serif"/>
      <family val="2"/>
    </font>
    <font>
      <sz val="10"/>
      <color indexed="24"/>
      <name val="MS Sans Serif"/>
      <family val="2"/>
    </font>
    <font>
      <sz val="8"/>
      <name val="Times New Roman"/>
      <family val="1"/>
    </font>
    <font>
      <b/>
      <sz val="12"/>
      <name val="Arial MT"/>
      <family val="2"/>
    </font>
    <font>
      <sz val="9"/>
      <name val="Times New Roman"/>
      <family val="1"/>
    </font>
    <font>
      <sz val="12"/>
      <name val="Arial MT"/>
      <family val="2"/>
    </font>
    <font>
      <sz val="10"/>
      <color indexed="8"/>
      <name val="Arial"/>
      <family val="2"/>
    </font>
    <font>
      <i/>
      <sz val="1"/>
      <color indexed="8"/>
      <name val="Courier"/>
      <family val="3"/>
    </font>
    <font>
      <sz val="10"/>
      <name val="Geneva"/>
      <family val="2"/>
    </font>
    <font>
      <b/>
      <sz val="8"/>
      <name val="MS Sans Serif"/>
      <family val="2"/>
    </font>
    <font>
      <u/>
      <sz val="8"/>
      <color indexed="12"/>
      <name val="Times New Roman"/>
      <family val="1"/>
    </font>
    <font>
      <sz val="7"/>
      <name val="Small Fonts"/>
      <family val="2"/>
    </font>
    <font>
      <sz val="9"/>
      <name val="돋움"/>
      <family val="3"/>
      <charset val="129"/>
    </font>
    <font>
      <b/>
      <sz val="11"/>
      <name val="돋움"/>
      <family val="3"/>
      <charset val="129"/>
    </font>
    <font>
      <sz val="10"/>
      <name val="돋움"/>
      <family val="3"/>
      <charset val="129"/>
    </font>
    <font>
      <sz val="10"/>
      <name val="Arial Narrow"/>
      <family val="2"/>
    </font>
    <font>
      <sz val="10"/>
      <name val="굴림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b/>
      <sz val="11"/>
      <name val="바탕"/>
      <family val="1"/>
      <charset val="129"/>
    </font>
    <font>
      <sz val="12"/>
      <name val="견고딕"/>
      <family val="1"/>
      <charset val="129"/>
    </font>
    <font>
      <sz val="12"/>
      <name val="¹UAAA¼"/>
      <family val="1"/>
      <charset val="129"/>
    </font>
    <font>
      <b/>
      <sz val="22"/>
      <name val="바탕체"/>
      <family val="1"/>
      <charset val="129"/>
    </font>
    <font>
      <i/>
      <sz val="12"/>
      <name val="굴림체"/>
      <family val="3"/>
      <charset val="129"/>
    </font>
    <font>
      <sz val="12"/>
      <name val="COUR"/>
      <family val="3"/>
    </font>
    <font>
      <sz val="12"/>
      <name val="Times New Roman"/>
      <family val="1"/>
    </font>
    <font>
      <sz val="11"/>
      <name val="바탕체"/>
      <family val="1"/>
      <charset val="129"/>
    </font>
    <font>
      <sz val="10"/>
      <color indexed="12"/>
      <name val="굴림체"/>
      <family val="3"/>
      <charset val="129"/>
    </font>
    <font>
      <sz val="12"/>
      <name val="¹ÙÅÁÃ¼"/>
      <family val="1"/>
      <charset val="129"/>
    </font>
    <font>
      <sz val="12"/>
      <name val="명조"/>
      <family val="3"/>
      <charset val="129"/>
    </font>
    <font>
      <sz val="14"/>
      <name val="뼥?ⓒ"/>
      <family val="3"/>
      <charset val="129"/>
    </font>
    <font>
      <sz val="1"/>
      <color indexed="0"/>
      <name val="Courier"/>
      <family val="3"/>
    </font>
    <font>
      <sz val="12"/>
      <name val="뼻뮝"/>
      <family val="3"/>
      <charset val="129"/>
    </font>
    <font>
      <sz val="10"/>
      <color indexed="10"/>
      <name val="돋움체"/>
      <family val="3"/>
      <charset val="129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sz val="12"/>
      <name val="明朝"/>
      <family val="3"/>
      <charset val="129"/>
    </font>
    <font>
      <sz val="17"/>
      <name val="바탕체"/>
      <family val="1"/>
      <charset val="129"/>
    </font>
    <font>
      <sz val="11"/>
      <name val="明朝"/>
      <family val="3"/>
      <charset val="129"/>
    </font>
    <font>
      <u/>
      <sz val="9"/>
      <color indexed="36"/>
      <name val="Helv"/>
      <family val="2"/>
    </font>
    <font>
      <sz val="12"/>
      <name val="ＭＳ ゴシック"/>
      <family val="3"/>
      <charset val="129"/>
    </font>
    <font>
      <sz val="12"/>
      <name val="??UAAA¨?"/>
      <family val="3"/>
      <charset val="129"/>
    </font>
    <font>
      <sz val="12"/>
      <name val="©öUAAA¨ù"/>
      <family val="1"/>
      <charset val="129"/>
    </font>
    <font>
      <sz val="11"/>
      <name val="￥i￠￢￠?o"/>
      <family val="1"/>
      <charset val="129"/>
    </font>
    <font>
      <sz val="11"/>
      <name val="¡¾¨u￠￢ⓒ÷A¨u"/>
      <family val="3"/>
      <charset val="129"/>
    </font>
    <font>
      <sz val="12"/>
      <name val="¡¾¨ù¢¬©÷A¨ù"/>
      <family val="3"/>
      <charset val="129"/>
    </font>
    <font>
      <sz val="11"/>
      <name val="±¼¸²Ã¼"/>
      <family val="3"/>
      <charset val="129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2"/>
      <name val="±¼¸²A¼"/>
      <family val="1"/>
      <charset val="129"/>
    </font>
    <font>
      <sz val="12"/>
      <name val="Tms Rmn"/>
      <family val="1"/>
    </font>
    <font>
      <sz val="12"/>
      <name val="System"/>
      <family val="2"/>
      <charset val="129"/>
    </font>
    <font>
      <sz val="8"/>
      <name val="©öUAAA¨ù"/>
      <family val="1"/>
      <charset val="129"/>
    </font>
    <font>
      <sz val="12"/>
      <name val="¥ì¢¬¢¯oA¨ù"/>
      <family val="3"/>
      <charset val="129"/>
    </font>
    <font>
      <sz val="10"/>
      <name val="¡¾¨ù¢¬©÷A¨ù"/>
      <family val="3"/>
      <charset val="129"/>
    </font>
    <font>
      <sz val="10"/>
      <name val="©öUAAA¨ù"/>
      <family val="1"/>
      <charset val="129"/>
    </font>
    <font>
      <sz val="12"/>
      <name val="μ¸¿oA¼"/>
      <family val="3"/>
      <charset val="129"/>
    </font>
    <font>
      <sz val="14"/>
      <name val="¹UAAA¼"/>
      <family val="1"/>
      <charset val="129"/>
    </font>
    <font>
      <u/>
      <sz val="10"/>
      <color indexed="12"/>
      <name val="Arial"/>
      <family val="2"/>
    </font>
    <font>
      <sz val="10"/>
      <name val="Courier"/>
      <family val="3"/>
    </font>
    <font>
      <b/>
      <sz val="9"/>
      <name val="Helv"/>
      <family val="2"/>
    </font>
    <font>
      <sz val="10"/>
      <color indexed="24"/>
      <name val="Arial"/>
      <family val="2"/>
    </font>
    <font>
      <sz val="10"/>
      <name val="Univers (WN)"/>
      <family val="2"/>
    </font>
    <font>
      <sz val="12"/>
      <name val="Helv"/>
      <family val="2"/>
    </font>
    <font>
      <sz val="12"/>
      <color indexed="9"/>
      <name val="Helv"/>
      <family val="2"/>
    </font>
    <font>
      <b/>
      <i/>
      <sz val="12"/>
      <name val="Times New Roman"/>
      <family val="1"/>
    </font>
    <font>
      <sz val="14"/>
      <name val="Helv"/>
      <family val="2"/>
    </font>
    <font>
      <sz val="24"/>
      <name val="Helv"/>
      <family val="2"/>
    </font>
    <font>
      <sz val="12"/>
      <name val="宋体"/>
      <family val="3"/>
      <charset val="129"/>
    </font>
    <font>
      <b/>
      <sz val="12"/>
      <name val="Book Antiqua"/>
      <family val="1"/>
    </font>
    <font>
      <sz val="10"/>
      <name val="Tms Rmn"/>
      <family val="1"/>
    </font>
    <font>
      <sz val="8"/>
      <name val="Wingdings"/>
      <charset val="2"/>
    </font>
    <font>
      <sz val="8"/>
      <name val="MS Sans Serif"/>
      <family val="2"/>
    </font>
    <font>
      <b/>
      <sz val="8"/>
      <name val="Times New Roman"/>
      <family val="1"/>
    </font>
    <font>
      <b/>
      <i/>
      <sz val="14"/>
      <name val="Arial"/>
      <family val="2"/>
    </font>
    <font>
      <b/>
      <i/>
      <sz val="9"/>
      <name val="Times New Roman"/>
      <family val="1"/>
    </font>
    <font>
      <sz val="18"/>
      <color indexed="12"/>
      <name val="MS Sans Serif"/>
      <family val="2"/>
    </font>
    <font>
      <b/>
      <sz val="14"/>
      <name val="Arial"/>
      <family val="2"/>
    </font>
    <font>
      <u/>
      <sz val="10"/>
      <color indexed="36"/>
      <name val="Arial"/>
      <family val="2"/>
    </font>
    <font>
      <u/>
      <sz val="9"/>
      <color indexed="12"/>
      <name val="Helv"/>
      <family val="2"/>
    </font>
    <font>
      <sz val="10"/>
      <name val="Times New Roman"/>
      <family val="1"/>
    </font>
    <font>
      <sz val="12"/>
      <color indexed="24"/>
      <name val="Helv"/>
      <family val="2"/>
    </font>
    <font>
      <sz val="10"/>
      <color indexed="10"/>
      <name val="돋움"/>
      <family val="3"/>
      <charset val="129"/>
    </font>
    <font>
      <sz val="10"/>
      <name val="¸iA¶"/>
      <family val="3"/>
      <charset val="129"/>
    </font>
    <font>
      <u/>
      <sz val="9"/>
      <color indexed="36"/>
      <name val="바탕체"/>
      <family val="1"/>
      <charset val="129"/>
    </font>
    <font>
      <b/>
      <sz val="12"/>
      <color indexed="16"/>
      <name val="굴림체"/>
      <family val="3"/>
      <charset val="129"/>
    </font>
    <font>
      <sz val="9"/>
      <color indexed="10"/>
      <name val="바탕체"/>
      <family val="1"/>
      <charset val="129"/>
    </font>
    <font>
      <sz val="9.5"/>
      <name val="굴림"/>
      <family val="3"/>
      <charset val="129"/>
    </font>
    <font>
      <sz val="12"/>
      <color indexed="24"/>
      <name val="Arial"/>
      <family val="2"/>
    </font>
    <font>
      <u/>
      <sz val="8.5"/>
      <color indexed="36"/>
      <name val="바탕체"/>
      <family val="1"/>
      <charset val="129"/>
    </font>
    <font>
      <u/>
      <sz val="8.5"/>
      <color indexed="12"/>
      <name val="바탕체"/>
      <family val="1"/>
      <charset val="129"/>
    </font>
    <font>
      <b/>
      <i/>
      <sz val="18"/>
      <color indexed="39"/>
      <name val="돋움체"/>
      <family val="3"/>
      <charset val="129"/>
    </font>
    <font>
      <sz val="8"/>
      <color indexed="8"/>
      <name val="Arial"/>
      <family val="2"/>
    </font>
    <font>
      <sz val="9"/>
      <name val="Arial"/>
      <family val="2"/>
    </font>
    <font>
      <sz val="1"/>
      <color indexed="16"/>
      <name val="Courier"/>
      <family val="3"/>
    </font>
    <font>
      <sz val="10"/>
      <name val="옛체"/>
      <family val="1"/>
      <charset val="129"/>
    </font>
    <font>
      <sz val="16"/>
      <name val="굴림체"/>
      <family val="3"/>
      <charset val="129"/>
    </font>
    <font>
      <b/>
      <sz val="18"/>
      <name val="바탕체"/>
      <family val="1"/>
      <charset val="129"/>
    </font>
    <font>
      <b/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u/>
      <sz val="10"/>
      <color indexed="36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Gulim"/>
      <family val="3"/>
      <charset val="129"/>
    </font>
    <font>
      <sz val="10"/>
      <color indexed="8"/>
      <name val="Gulim"/>
      <family val="3"/>
    </font>
    <font>
      <sz val="9"/>
      <color indexed="8"/>
      <name val="Arial"/>
      <family val="2"/>
    </font>
    <font>
      <i/>
      <outline/>
      <shadow/>
      <u/>
      <sz val="1"/>
      <color indexed="24"/>
      <name val="Courier"/>
      <family val="3"/>
    </font>
    <font>
      <u/>
      <sz val="12"/>
      <color indexed="36"/>
      <name val="바탕체"/>
      <family val="1"/>
      <charset val="129"/>
    </font>
    <font>
      <b/>
      <sz val="10"/>
      <color indexed="9"/>
      <name val="맑은 고딕"/>
      <family val="3"/>
      <charset val="129"/>
    </font>
    <font>
      <sz val="12"/>
      <name val="¹UAAA¼"/>
      <family val="1"/>
    </font>
    <font>
      <sz val="10"/>
      <color indexed="17"/>
      <name val="맑은 고딕"/>
      <family val="3"/>
      <charset val="129"/>
    </font>
    <font>
      <sz val="10"/>
      <color indexed="12"/>
      <name val="Arial"/>
      <family val="2"/>
    </font>
    <font>
      <sz val="8"/>
      <color indexed="12"/>
      <name val="Arial"/>
      <family val="2"/>
    </font>
    <font>
      <sz val="11"/>
      <color theme="1"/>
      <name val="08서울남산체 M"/>
      <family val="1"/>
      <charset val="129"/>
    </font>
    <font>
      <sz val="10"/>
      <color theme="1"/>
      <name val="굴림체"/>
      <family val="3"/>
      <charset val="129"/>
    </font>
    <font>
      <sz val="10"/>
      <color theme="1"/>
      <name val="08서울남산체 M"/>
      <family val="1"/>
      <charset val="129"/>
    </font>
    <font>
      <b/>
      <sz val="11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9"/>
      <color theme="1"/>
      <name val="굴림체"/>
      <family val="3"/>
      <charset val="129"/>
    </font>
    <font>
      <sz val="10"/>
      <color rgb="FF000000"/>
      <name val="돋움"/>
      <family val="3"/>
      <charset val="129"/>
    </font>
    <font>
      <sz val="10"/>
      <color rgb="FFFF0000"/>
      <name val="돋움체"/>
      <family val="3"/>
      <charset val="129"/>
    </font>
    <font>
      <b/>
      <sz val="10"/>
      <color rgb="FFFF0000"/>
      <name val="굴림체"/>
      <family val="3"/>
      <charset val="129"/>
    </font>
    <font>
      <b/>
      <sz val="9"/>
      <color rgb="FFFF0000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10"/>
      <color rgb="FF000000"/>
      <name val="바탕체"/>
      <family val="1"/>
      <charset val="129"/>
    </font>
    <font>
      <sz val="10"/>
      <color rgb="FF000000"/>
      <name val="한컴바탕"/>
      <family val="1"/>
      <charset val="129"/>
    </font>
    <font>
      <sz val="12"/>
      <color rgb="FF000000"/>
      <name val="돋움체"/>
      <family val="3"/>
      <charset val="129"/>
    </font>
    <font>
      <sz val="12"/>
      <color rgb="FF000000"/>
      <name val="바탕체"/>
      <family val="1"/>
      <charset val="129"/>
    </font>
    <font>
      <sz val="11"/>
      <color rgb="FF000000"/>
      <name val="돋움"/>
      <family val="3"/>
      <charset val="129"/>
    </font>
    <font>
      <sz val="12"/>
      <color rgb="FF000000"/>
      <name val="굴림체"/>
      <family val="3"/>
      <charset val="129"/>
    </font>
    <font>
      <i/>
      <sz val="12"/>
      <color rgb="FF000000"/>
      <name val="굴림체"/>
      <family val="3"/>
      <charset val="129"/>
    </font>
    <font>
      <sz val="10"/>
      <color rgb="FF000000"/>
      <name val="Arial"/>
      <family val="2"/>
    </font>
    <font>
      <sz val="12"/>
      <color rgb="FF000000"/>
      <name val="한컴바탕"/>
      <family val="1"/>
      <charset val="129"/>
    </font>
    <font>
      <sz val="11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10"/>
      <color rgb="FF000000"/>
      <name val="Times New Roman"/>
      <family val="1"/>
    </font>
    <font>
      <sz val="8"/>
      <color rgb="FF000000"/>
      <name val="한컴바탕"/>
      <family val="1"/>
      <charset val="129"/>
    </font>
    <font>
      <sz val="8"/>
      <color indexed="8"/>
      <name val="Gulim"/>
      <family val="3"/>
    </font>
    <font>
      <sz val="1"/>
      <color rgb="FF000000"/>
      <name val="한컴바탕"/>
      <family val="1"/>
      <charset val="129"/>
    </font>
    <font>
      <sz val="11"/>
      <color rgb="FF000000"/>
      <name val="바탕체"/>
      <family val="1"/>
      <charset val="129"/>
    </font>
    <font>
      <sz val="10"/>
      <color rgb="FF0000FF"/>
      <name val="굴림체"/>
      <family val="3"/>
      <charset val="129"/>
    </font>
    <font>
      <sz val="12"/>
      <color rgb="FF000000"/>
      <name val="돋움"/>
      <family val="3"/>
      <charset val="129"/>
    </font>
    <font>
      <sz val="10"/>
      <color rgb="FF000000"/>
      <name val="Courier New"/>
      <family val="3"/>
    </font>
    <font>
      <sz val="10"/>
      <color rgb="FF000000"/>
      <name val="돋움체"/>
      <family val="3"/>
      <charset val="129"/>
    </font>
    <font>
      <sz val="7"/>
      <color rgb="FF000000"/>
      <name val="바탕체"/>
      <family val="1"/>
      <charset val="129"/>
    </font>
    <font>
      <sz val="7"/>
      <name val="바탕체"/>
      <family val="1"/>
      <charset val="129"/>
    </font>
    <font>
      <sz val="1"/>
      <color rgb="FF000080"/>
      <name val="한컴바탕"/>
      <family val="1"/>
      <charset val="129"/>
    </font>
    <font>
      <sz val="11"/>
      <color rgb="FFFFFFFF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color rgb="FF000000"/>
      <name val="Arial"/>
      <family val="2"/>
    </font>
    <font>
      <sz val="12"/>
      <name val="Arial"/>
      <family val="2"/>
    </font>
    <font>
      <sz val="9"/>
      <color rgb="FF000000"/>
      <name val="바탕체"/>
      <family val="1"/>
      <charset val="129"/>
    </font>
    <font>
      <sz val="11"/>
      <color rgb="FF000000"/>
      <name val="한컴바탕"/>
      <family val="1"/>
      <charset val="129"/>
    </font>
    <font>
      <sz val="9"/>
      <color rgb="FF000000"/>
      <name val="Arial"/>
      <family val="2"/>
    </font>
    <font>
      <b/>
      <sz val="10"/>
      <color rgb="FF000000"/>
      <name val="한컴바탕"/>
      <family val="1"/>
      <charset val="129"/>
    </font>
    <font>
      <u/>
      <sz val="10"/>
      <color rgb="FF0000FF"/>
      <name val="Arial"/>
      <family val="2"/>
    </font>
    <font>
      <b/>
      <sz val="12"/>
      <color rgb="FF000000"/>
      <name val="바탕체"/>
      <family val="1"/>
      <charset val="129"/>
    </font>
    <font>
      <sz val="10"/>
      <color rgb="FF9999FF"/>
      <name val="Arial"/>
      <family val="2"/>
    </font>
    <font>
      <sz val="10"/>
      <color rgb="FF800000"/>
      <name val="한컴바탕"/>
      <family val="1"/>
      <charset val="129"/>
    </font>
    <font>
      <b/>
      <sz val="1"/>
      <color indexed="16"/>
      <name val="Courier"/>
      <family val="3"/>
    </font>
    <font>
      <b/>
      <sz val="1"/>
      <color rgb="FF800000"/>
      <name val="한컴바탕"/>
      <family val="1"/>
      <charset val="129"/>
    </font>
    <font>
      <i/>
      <sz val="1"/>
      <color rgb="FF000000"/>
      <name val="한컴바탕"/>
      <family val="1"/>
      <charset val="129"/>
    </font>
    <font>
      <b/>
      <sz val="1"/>
      <color indexed="18"/>
      <name val="Courier"/>
      <family val="3"/>
    </font>
    <font>
      <b/>
      <sz val="1"/>
      <color rgb="FF000080"/>
      <name val="한컴바탕"/>
      <family val="1"/>
      <charset val="129"/>
    </font>
    <font>
      <u/>
      <sz val="8"/>
      <color rgb="FF800080"/>
      <name val="바탕체"/>
      <family val="1"/>
      <charset val="129"/>
    </font>
    <font>
      <sz val="8"/>
      <color rgb="FF000000"/>
      <name val="Arial"/>
      <family val="2"/>
    </font>
    <font>
      <b/>
      <i/>
      <sz val="11"/>
      <color rgb="FF000000"/>
      <name val="Times New Roman"/>
      <family val="1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i/>
      <sz val="10"/>
      <color rgb="FF000000"/>
      <name val="Times New Roman"/>
      <family val="1"/>
    </font>
    <font>
      <b/>
      <i/>
      <sz val="10"/>
      <name val="Times New Roman"/>
      <family val="1"/>
    </font>
    <font>
      <b/>
      <i/>
      <sz val="11"/>
      <name val="Times New Roman"/>
      <family val="1"/>
    </font>
    <font>
      <b/>
      <sz val="12"/>
      <color rgb="FF000000"/>
      <name val="Arial"/>
      <family val="2"/>
    </font>
    <font>
      <b/>
      <sz val="18"/>
      <color indexed="24"/>
      <name val="Arial"/>
      <family val="2"/>
    </font>
    <font>
      <b/>
      <sz val="18"/>
      <color rgb="FF9999FF"/>
      <name val="Arial"/>
      <family val="2"/>
    </font>
    <font>
      <b/>
      <sz val="12"/>
      <color indexed="24"/>
      <name val="Arial"/>
      <family val="2"/>
    </font>
    <font>
      <b/>
      <sz val="12"/>
      <color rgb="FF9999FF"/>
      <name val="Arial"/>
      <family val="2"/>
    </font>
    <font>
      <sz val="10"/>
      <color rgb="FF0000FF"/>
      <name val="Arial"/>
      <family val="2"/>
    </font>
    <font>
      <u/>
      <sz val="8"/>
      <color rgb="FF0000FF"/>
      <name val="바탕체"/>
      <family val="1"/>
      <charset val="129"/>
    </font>
    <font>
      <b/>
      <i/>
      <sz val="12"/>
      <color rgb="FF000000"/>
      <name val="Times New Roman"/>
      <family val="1"/>
    </font>
    <font>
      <b/>
      <sz val="11"/>
      <color rgb="FF000000"/>
      <name val="한컴바탕"/>
      <family val="1"/>
      <charset val="129"/>
    </font>
    <font>
      <sz val="7"/>
      <color rgb="FF000000"/>
      <name val="한컴바탕"/>
      <family val="1"/>
      <charset val="129"/>
    </font>
    <font>
      <b/>
      <sz val="8"/>
      <color rgb="FF000000"/>
      <name val="한컴바탕"/>
      <family val="1"/>
      <charset val="129"/>
    </font>
    <font>
      <b/>
      <i/>
      <sz val="9"/>
      <color rgb="FF000000"/>
      <name val="Times New Roman"/>
      <family val="1"/>
    </font>
    <font>
      <b/>
      <u/>
      <sz val="13"/>
      <color rgb="FF000000"/>
      <name val="굴림체"/>
      <family val="3"/>
      <charset val="129"/>
    </font>
    <font>
      <sz val="18"/>
      <color rgb="FF0000FF"/>
      <name val="한컴바탕"/>
      <family val="1"/>
      <charset val="129"/>
    </font>
    <font>
      <sz val="8"/>
      <color rgb="FF000000"/>
      <name val="바탕체"/>
      <family val="1"/>
      <charset val="129"/>
    </font>
    <font>
      <sz val="8"/>
      <color rgb="FF0000FF"/>
      <name val="Arial"/>
      <family val="2"/>
    </font>
    <font>
      <u/>
      <sz val="10"/>
      <color rgb="FF800080"/>
      <name val="Arial"/>
      <family val="2"/>
    </font>
    <font>
      <sz val="11"/>
      <color rgb="FFFF0000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rgb="FFFF990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8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11"/>
      <color rgb="FF800080"/>
      <name val="맑은 고딕"/>
      <family val="3"/>
      <charset val="129"/>
    </font>
    <font>
      <sz val="11"/>
      <color indexed="20"/>
      <name val="맑은 고딕"/>
      <family val="3"/>
      <charset val="129"/>
    </font>
    <font>
      <u/>
      <sz val="11"/>
      <color rgb="FF800080"/>
      <name val="돋움"/>
      <family val="3"/>
      <charset val="129"/>
    </font>
    <font>
      <sz val="11"/>
      <color rgb="FF99330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9"/>
      <color rgb="FF000000"/>
      <name val="한컴바탕"/>
      <family val="1"/>
      <charset val="129"/>
    </font>
    <font>
      <sz val="9"/>
      <name val="MS Sans Serif"/>
      <family val="2"/>
    </font>
    <font>
      <sz val="10"/>
      <color rgb="FF000000"/>
      <name val="바탕"/>
      <family val="1"/>
      <charset val="129"/>
    </font>
    <font>
      <sz val="10"/>
      <name val="바탕"/>
      <family val="1"/>
      <charset val="129"/>
    </font>
    <font>
      <b/>
      <sz val="10"/>
      <color rgb="FF000000"/>
      <name val="바탕체"/>
      <family val="1"/>
      <charset val="129"/>
    </font>
    <font>
      <b/>
      <sz val="18"/>
      <color rgb="FF000000"/>
      <name val="바탕체"/>
      <family val="1"/>
      <charset val="129"/>
    </font>
    <font>
      <i/>
      <sz val="11"/>
      <color rgb="FF80808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2"/>
      <color rgb="FF000000"/>
      <name val="궁서체"/>
      <family val="1"/>
      <charset val="129"/>
    </font>
    <font>
      <sz val="18"/>
      <color rgb="FF000000"/>
      <name val="궁서체"/>
      <family val="1"/>
      <charset val="129"/>
    </font>
    <font>
      <sz val="8"/>
      <color rgb="FF000000"/>
      <name val="돋움체"/>
      <family val="3"/>
      <charset val="129"/>
    </font>
    <font>
      <sz val="8"/>
      <name val="돋움체"/>
      <family val="3"/>
      <charset val="129"/>
    </font>
    <font>
      <sz val="9"/>
      <color rgb="FF000000"/>
      <name val="돋움체"/>
      <family val="3"/>
      <charset val="129"/>
    </font>
    <font>
      <sz val="8"/>
      <name val="#중고딕"/>
      <family val="3"/>
      <charset val="129"/>
    </font>
    <font>
      <sz val="11"/>
      <color indexed="8"/>
      <name val="돋움"/>
      <family val="3"/>
      <charset val="129"/>
    </font>
    <font>
      <sz val="11"/>
      <color rgb="FFFF9900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9"/>
      <color rgb="FF000000"/>
      <name val="돋움"/>
      <family val="3"/>
      <charset val="129"/>
    </font>
    <font>
      <sz val="10"/>
      <name val="궁서(English)"/>
      <family val="3"/>
      <charset val="129"/>
    </font>
    <font>
      <sz val="11"/>
      <color rgb="FF333399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2"/>
      <color rgb="FF9999FF"/>
      <name val="바탕체"/>
      <family val="1"/>
      <charset val="129"/>
    </font>
    <font>
      <b/>
      <sz val="15"/>
      <color rgb="FF00336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rgb="FF00336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rgb="FF00336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rgb="FF00336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6"/>
      <name val="돋움체"/>
      <family val="3"/>
      <charset val="129"/>
    </font>
    <font>
      <b/>
      <sz val="16"/>
      <color rgb="FF000000"/>
      <name val="돋움체"/>
      <family val="3"/>
      <charset val="129"/>
    </font>
    <font>
      <sz val="11"/>
      <color rgb="FF008000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2"/>
      <color indexed="8"/>
      <name val="돋움체"/>
      <family val="3"/>
      <charset val="129"/>
    </font>
    <font>
      <b/>
      <sz val="12"/>
      <color rgb="FF000000"/>
      <name val="돋움체"/>
      <family val="3"/>
      <charset val="129"/>
    </font>
    <font>
      <b/>
      <sz val="11"/>
      <color rgb="FF333333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rgb="FF000000"/>
      <name val="굴림"/>
      <family val="3"/>
      <charset val="129"/>
    </font>
    <font>
      <sz val="11"/>
      <color theme="1"/>
      <name val="돋움"/>
      <family val="3"/>
      <charset val="129"/>
    </font>
    <font>
      <sz val="20"/>
      <color theme="1"/>
      <name val="08서울남산체 B"/>
      <family val="1"/>
      <charset val="129"/>
    </font>
    <font>
      <sz val="12"/>
      <color theme="1"/>
      <name val="08서울남산체 B"/>
      <family val="1"/>
      <charset val="129"/>
    </font>
    <font>
      <sz val="14"/>
      <color theme="1"/>
      <name val="08서울남산체 B"/>
      <family val="1"/>
      <charset val="129"/>
    </font>
    <font>
      <sz val="14"/>
      <color theme="1"/>
      <name val="08서울남산체 M"/>
      <family val="1"/>
      <charset val="129"/>
    </font>
    <font>
      <b/>
      <sz val="12"/>
      <color theme="1"/>
      <name val="08서울남산체 M"/>
      <family val="1"/>
      <charset val="129"/>
    </font>
    <font>
      <b/>
      <sz val="11"/>
      <color theme="1"/>
      <name val="08서울남산체 M"/>
      <family val="1"/>
      <charset val="129"/>
    </font>
    <font>
      <sz val="9"/>
      <color theme="1"/>
      <name val="08서울남산체 M"/>
      <family val="1"/>
      <charset val="129"/>
    </font>
    <font>
      <sz val="11"/>
      <color rgb="FFFF0000"/>
      <name val="굴림체"/>
      <family val="3"/>
      <charset val="129"/>
    </font>
    <font>
      <sz val="10"/>
      <color theme="0"/>
      <name val="굴림체"/>
      <family val="3"/>
      <charset val="129"/>
    </font>
    <font>
      <b/>
      <sz val="20"/>
      <name val="굴림체"/>
      <family val="3"/>
      <charset val="129"/>
    </font>
    <font>
      <b/>
      <sz val="20"/>
      <color rgb="FF000000"/>
      <name val="굴림체"/>
      <family val="3"/>
      <charset val="129"/>
    </font>
    <font>
      <b/>
      <u/>
      <sz val="20"/>
      <name val="굴림체"/>
      <family val="3"/>
      <charset val="129"/>
    </font>
    <font>
      <sz val="20"/>
      <color theme="1"/>
      <name val="08서울남산체 M"/>
      <family val="1"/>
      <charset val="129"/>
    </font>
    <font>
      <sz val="6"/>
      <color theme="1"/>
      <name val="08서울남산체 M"/>
      <family val="1"/>
      <charset val="129"/>
    </font>
    <font>
      <sz val="8"/>
      <color theme="1"/>
      <name val="08서울남산체 M"/>
      <family val="1"/>
      <charset val="129"/>
    </font>
    <font>
      <sz val="7"/>
      <color theme="1"/>
      <name val="굴림"/>
      <family val="3"/>
      <charset val="129"/>
    </font>
    <font>
      <b/>
      <sz val="9"/>
      <color theme="1"/>
      <name val="08서울남산체 M"/>
      <family val="1"/>
      <charset val="129"/>
    </font>
    <font>
      <b/>
      <sz val="8"/>
      <color theme="1"/>
      <name val="08서울남산체 M"/>
      <family val="1"/>
      <charset val="129"/>
    </font>
    <font>
      <sz val="8"/>
      <color indexed="8"/>
      <name val="08서울남산체 M"/>
      <family val="1"/>
      <charset val="129"/>
    </font>
    <font>
      <sz val="8"/>
      <name val="08서울남산체 M"/>
      <family val="1"/>
      <charset val="129"/>
    </font>
    <font>
      <sz val="8"/>
      <color theme="1"/>
      <name val="맑은 고딕"/>
      <family val="3"/>
      <charset val="129"/>
    </font>
    <font>
      <sz val="7"/>
      <color theme="1"/>
      <name val="08서울남산체 M"/>
      <family val="1"/>
      <charset val="129"/>
    </font>
    <font>
      <sz val="11"/>
      <color indexed="8"/>
      <name val="08서울남산체 M"/>
      <family val="1"/>
      <charset val="129"/>
    </font>
    <font>
      <sz val="8"/>
      <color rgb="FFFF0000"/>
      <name val="08서울남산체 M"/>
      <family val="1"/>
      <charset val="129"/>
    </font>
    <font>
      <sz val="10"/>
      <color rgb="FFFF0000"/>
      <name val="08서울남산체 M"/>
      <family val="1"/>
      <charset val="129"/>
    </font>
    <font>
      <sz val="11"/>
      <name val="08서울남산체 M"/>
      <family val="1"/>
      <charset val="129"/>
    </font>
    <font>
      <sz val="22"/>
      <color theme="1"/>
      <name val="08서울남산체 EB"/>
      <family val="1"/>
      <charset val="129"/>
    </font>
    <font>
      <sz val="14"/>
      <color theme="1"/>
      <name val="돋움"/>
      <family val="3"/>
      <charset val="129"/>
    </font>
    <font>
      <sz val="11"/>
      <color rgb="FFFF0000"/>
      <name val="08서울남산체 M"/>
      <family val="1"/>
      <charset val="129"/>
    </font>
    <font>
      <vertAlign val="superscript"/>
      <sz val="11"/>
      <color theme="1"/>
      <name val="08서울남산체 M"/>
      <family val="1"/>
      <charset val="129"/>
    </font>
    <font>
      <sz val="22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13"/>
      <color theme="1"/>
      <name val="굴림"/>
      <family val="3"/>
      <charset val="129"/>
    </font>
    <font>
      <sz val="14"/>
      <color theme="1"/>
      <name val="굴림"/>
      <family val="3"/>
      <charset val="129"/>
    </font>
    <font>
      <sz val="12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8"/>
      <color theme="1"/>
      <name val="굴림"/>
      <family val="3"/>
      <charset val="129"/>
    </font>
    <font>
      <sz val="8"/>
      <color rgb="FFFF0000"/>
      <name val="굴림"/>
      <family val="3"/>
      <charset val="129"/>
    </font>
    <font>
      <sz val="8"/>
      <color theme="1"/>
      <name val="굴림체"/>
      <family val="3"/>
      <charset val="129"/>
    </font>
    <font>
      <b/>
      <i/>
      <sz val="10"/>
      <color theme="1"/>
      <name val="굴림체"/>
      <family val="3"/>
      <charset val="129"/>
    </font>
    <font>
      <sz val="6"/>
      <color theme="1"/>
      <name val="굴림"/>
      <family val="3"/>
      <charset val="129"/>
    </font>
    <font>
      <sz val="9"/>
      <color rgb="FFFF0000"/>
      <name val="굴림"/>
      <family val="3"/>
      <charset val="129"/>
    </font>
    <font>
      <b/>
      <sz val="9"/>
      <name val="굴림"/>
      <family val="3"/>
      <charset val="129"/>
    </font>
    <font>
      <b/>
      <sz val="9"/>
      <color rgb="FFFF0000"/>
      <name val="굴림"/>
      <family val="3"/>
      <charset val="129"/>
    </font>
    <font>
      <sz val="8"/>
      <name val="굴림"/>
      <family val="3"/>
      <charset val="129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u/>
      <sz val="24"/>
      <color indexed="8"/>
      <name val="HY헤드라인M"/>
      <family val="1"/>
      <charset val="129"/>
    </font>
    <font>
      <u/>
      <sz val="24"/>
      <name val="HY헤드라인M"/>
      <family val="1"/>
      <charset val="129"/>
    </font>
    <font>
      <u/>
      <sz val="26"/>
      <color indexed="8"/>
      <name val="HY헤드라인M"/>
      <family val="1"/>
      <charset val="129"/>
    </font>
    <font>
      <u/>
      <sz val="26"/>
      <name val="HY헤드라인M"/>
      <family val="1"/>
      <charset val="129"/>
    </font>
    <font>
      <sz val="13"/>
      <color indexed="8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14"/>
      <color indexed="8"/>
      <name val="맑은 고딕"/>
      <family val="3"/>
      <charset val="129"/>
      <scheme val="minor"/>
    </font>
    <font>
      <sz val="10"/>
      <color indexed="8"/>
      <name val="HY헤드라인M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color indexed="8"/>
      <name val="맑은 고딕"/>
      <family val="2"/>
      <scheme val="minor"/>
    </font>
    <font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6"/>
      <color theme="1"/>
      <name val="굴림체"/>
      <family val="3"/>
      <charset val="129"/>
    </font>
  </fonts>
  <fills count="6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darkVertical"/>
    </fill>
    <fill>
      <patternFill patternType="solid">
        <fgColor indexed="6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indexed="31"/>
      </patternFill>
    </fill>
    <fill>
      <patternFill patternType="solid">
        <fgColor rgb="FFFF99CC"/>
        <bgColor indexed="64"/>
      </patternFill>
    </fill>
    <fill>
      <patternFill patternType="solid">
        <fgColor indexed="45"/>
      </patternFill>
    </fill>
    <fill>
      <patternFill patternType="solid">
        <fgColor rgb="FFCCFFCC"/>
        <bgColor indexed="64"/>
      </patternFill>
    </fill>
    <fill>
      <patternFill patternType="solid">
        <fgColor indexed="42"/>
      </patternFill>
    </fill>
    <fill>
      <patternFill patternType="solid">
        <fgColor rgb="FFCC99FF"/>
        <bgColor indexed="64"/>
      </patternFill>
    </fill>
    <fill>
      <patternFill patternType="solid">
        <fgColor indexed="46"/>
      </patternFill>
    </fill>
    <fill>
      <patternFill patternType="solid">
        <fgColor rgb="FFCCFFFF"/>
        <bgColor indexed="64"/>
      </patternFill>
    </fill>
    <fill>
      <patternFill patternType="solid">
        <fgColor indexed="27"/>
      </patternFill>
    </fill>
    <fill>
      <patternFill patternType="solid">
        <fgColor rgb="FFFFCC99"/>
        <bgColor indexed="64"/>
      </patternFill>
    </fill>
    <fill>
      <patternFill patternType="solid">
        <fgColor indexed="47"/>
      </patternFill>
    </fill>
    <fill>
      <patternFill patternType="solid">
        <fgColor rgb="FF99CCFF"/>
        <bgColor indexed="64"/>
      </patternFill>
    </fill>
    <fill>
      <patternFill patternType="solid">
        <fgColor indexed="44"/>
      </patternFill>
    </fill>
    <fill>
      <patternFill patternType="solid">
        <fgColor rgb="FFFF8080"/>
        <bgColor indexed="64"/>
      </patternFill>
    </fill>
    <fill>
      <patternFill patternType="solid">
        <fgColor indexed="29"/>
      </patternFill>
    </fill>
    <fill>
      <patternFill patternType="solid">
        <fgColor rgb="FF00FF00"/>
        <bgColor indexed="64"/>
      </patternFill>
    </fill>
    <fill>
      <patternFill patternType="solid">
        <fgColor indexed="11"/>
      </patternFill>
    </fill>
    <fill>
      <patternFill patternType="solid">
        <fgColor rgb="FFFFCC00"/>
        <bgColor indexed="64"/>
      </patternFill>
    </fill>
    <fill>
      <patternFill patternType="solid">
        <fgColor indexed="51"/>
      </patternFill>
    </fill>
    <fill>
      <patternFill patternType="solid">
        <fgColor rgb="FF0066CC"/>
        <bgColor indexed="64"/>
      </patternFill>
    </fill>
    <fill>
      <patternFill patternType="solid">
        <fgColor indexed="30"/>
      </patternFill>
    </fill>
    <fill>
      <patternFill patternType="solid">
        <fgColor rgb="FF800080"/>
        <bgColor indexed="64"/>
      </patternFill>
    </fill>
    <fill>
      <patternFill patternType="solid">
        <fgColor indexed="36"/>
      </patternFill>
    </fill>
    <fill>
      <patternFill patternType="solid">
        <fgColor rgb="FF33CCCC"/>
        <bgColor indexed="64"/>
      </patternFill>
    </fill>
    <fill>
      <patternFill patternType="solid">
        <fgColor indexed="49"/>
      </patternFill>
    </fill>
    <fill>
      <patternFill patternType="solid">
        <fgColor rgb="FFFF9900"/>
        <bgColor indexed="64"/>
      </patternFill>
    </fill>
    <fill>
      <patternFill patternType="solid">
        <fgColor indexed="52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rgb="FF339966"/>
        <bgColor indexed="64"/>
      </patternFill>
    </fill>
    <fill>
      <patternFill patternType="solid">
        <fgColor indexed="57"/>
      </patternFill>
    </fill>
    <fill>
      <patternFill patternType="solid">
        <fgColor rgb="FFFF6600"/>
        <bgColor indexed="6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969696"/>
        <bgColor indexed="64"/>
      </patternFill>
    </fill>
    <fill>
      <patternFill patternType="solid">
        <fgColor indexed="55"/>
      </patternFill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DDE8"/>
        <bgColor indexed="64"/>
      </patternFill>
    </fill>
  </fills>
  <borders count="2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medium">
        <color indexed="3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auto="1"/>
      </left>
      <right/>
      <top style="medium">
        <color indexed="8"/>
      </top>
      <bottom/>
      <diagonal/>
    </border>
    <border>
      <left/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/>
      <top style="medium">
        <color indexed="8"/>
      </top>
      <bottom style="hair">
        <color indexed="8"/>
      </bottom>
      <diagonal/>
    </border>
    <border>
      <left/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/>
      <top/>
      <bottom style="double">
        <color indexed="8"/>
      </bottom>
      <diagonal/>
    </border>
    <border>
      <left/>
      <right style="hair">
        <color indexed="8"/>
      </right>
      <top/>
      <bottom style="double">
        <color indexed="8"/>
      </bottom>
      <diagonal/>
    </border>
    <border>
      <left style="hair">
        <color indexed="8"/>
      </left>
      <right style="hair">
        <color indexed="8"/>
      </right>
      <top/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double">
        <color indexed="8"/>
      </bottom>
      <diagonal/>
    </border>
    <border>
      <left style="hair">
        <color indexed="8"/>
      </left>
      <right style="medium">
        <color auto="1"/>
      </right>
      <top/>
      <bottom style="double">
        <color indexed="8"/>
      </bottom>
      <diagonal/>
    </border>
    <border>
      <left style="medium">
        <color auto="1"/>
      </left>
      <right style="hair">
        <color indexed="8"/>
      </right>
      <top style="double">
        <color indexed="8"/>
      </top>
      <bottom/>
      <diagonal/>
    </border>
    <border>
      <left style="hair">
        <color indexed="8"/>
      </left>
      <right style="hair">
        <color indexed="8"/>
      </right>
      <top style="double">
        <color indexed="8"/>
      </top>
      <bottom/>
      <diagonal/>
    </border>
    <border>
      <left style="hair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medium">
        <color auto="1"/>
      </right>
      <top style="double">
        <color indexed="8"/>
      </top>
      <bottom style="hair">
        <color indexed="8"/>
      </bottom>
      <diagonal/>
    </border>
    <border>
      <left style="medium">
        <color auto="1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auto="1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medium">
        <color auto="1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auto="1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medium">
        <color auto="1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medium">
        <color auto="1"/>
      </right>
      <top style="hair">
        <color indexed="8"/>
      </top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 style="hair">
        <color indexed="8"/>
      </right>
      <top style="thin">
        <color indexed="8"/>
      </top>
      <bottom style="thin">
        <color auto="1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auto="1"/>
      </bottom>
      <diagonal/>
    </border>
    <border>
      <left style="hair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auto="1"/>
      </bottom>
      <diagonal/>
    </border>
    <border>
      <left style="hair">
        <color indexed="8"/>
      </left>
      <right style="medium">
        <color auto="1"/>
      </right>
      <top style="hair">
        <color indexed="8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hair">
        <color indexed="8"/>
      </right>
      <top style="thin">
        <color auto="1"/>
      </top>
      <bottom style="medium">
        <color auto="1"/>
      </bottom>
      <diagonal/>
    </border>
    <border>
      <left style="hair">
        <color indexed="8"/>
      </left>
      <right style="hair">
        <color indexed="8"/>
      </right>
      <top style="thin">
        <color auto="1"/>
      </top>
      <bottom style="medium">
        <color auto="1"/>
      </bottom>
      <diagonal/>
    </border>
    <border>
      <left style="hair">
        <color indexed="8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medium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indexed="8"/>
      </right>
      <top/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indexed="8"/>
      </right>
      <top style="thin">
        <color auto="1"/>
      </top>
      <bottom style="hair">
        <color auto="1"/>
      </bottom>
      <diagonal/>
    </border>
  </borders>
  <cellStyleXfs count="10754">
    <xf numFmtId="0" fontId="0" fillId="0" borderId="0">
      <alignment vertical="center"/>
    </xf>
    <xf numFmtId="0" fontId="2" fillId="0" borderId="0"/>
    <xf numFmtId="41" fontId="2" fillId="0" borderId="0" applyFont="0" applyFill="0" applyBorder="0" applyAlignment="0" applyProtection="0"/>
    <xf numFmtId="0" fontId="9" fillId="0" borderId="0"/>
    <xf numFmtId="0" fontId="19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3" fontId="50" fillId="0" borderId="13">
      <alignment horizontal="right" vertical="center"/>
    </xf>
    <xf numFmtId="3" fontId="50" fillId="0" borderId="13">
      <alignment horizontal="right" vertical="center"/>
    </xf>
    <xf numFmtId="204" fontId="2" fillId="0" borderId="0">
      <alignment vertical="center"/>
    </xf>
    <xf numFmtId="204" fontId="2" fillId="0" borderId="0">
      <alignment vertical="center"/>
    </xf>
    <xf numFmtId="204" fontId="2" fillId="0" borderId="0">
      <alignment vertical="center"/>
    </xf>
    <xf numFmtId="204" fontId="2" fillId="0" borderId="0">
      <alignment vertical="center"/>
    </xf>
    <xf numFmtId="204" fontId="2" fillId="0" borderId="0">
      <alignment vertical="center"/>
    </xf>
    <xf numFmtId="204" fontId="2" fillId="0" borderId="0">
      <alignment vertical="center"/>
    </xf>
    <xf numFmtId="204" fontId="2" fillId="0" borderId="0">
      <alignment vertical="center"/>
    </xf>
    <xf numFmtId="204" fontId="2" fillId="0" borderId="0">
      <alignment vertical="center"/>
    </xf>
    <xf numFmtId="204" fontId="2" fillId="0" borderId="0">
      <alignment vertical="center"/>
    </xf>
    <xf numFmtId="204" fontId="2" fillId="0" borderId="0">
      <alignment vertical="center"/>
    </xf>
    <xf numFmtId="205" fontId="2" fillId="0" borderId="0">
      <alignment vertical="center"/>
    </xf>
    <xf numFmtId="0" fontId="51" fillId="0" borderId="0">
      <alignment horizontal="centerContinuous"/>
    </xf>
    <xf numFmtId="2" fontId="50" fillId="0" borderId="13">
      <alignment horizontal="right" vertical="center"/>
    </xf>
    <xf numFmtId="205" fontId="2" fillId="0" borderId="112">
      <alignment vertical="center"/>
    </xf>
    <xf numFmtId="206" fontId="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3" fontId="54" fillId="0" borderId="19">
      <alignment horizontal="center"/>
    </xf>
    <xf numFmtId="0" fontId="53" fillId="0" borderId="0"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207" fontId="2" fillId="0" borderId="0">
      <alignment vertical="center"/>
    </xf>
    <xf numFmtId="0" fontId="19" fillId="0" borderId="0"/>
    <xf numFmtId="0" fontId="56" fillId="0" borderId="113"/>
    <xf numFmtId="4" fontId="53" fillId="0" borderId="0">
      <protection locked="0"/>
    </xf>
    <xf numFmtId="208" fontId="2" fillId="0" borderId="0">
      <protection locked="0"/>
    </xf>
    <xf numFmtId="0" fontId="9" fillId="0" borderId="0"/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209" fontId="2" fillId="0" borderId="0" applyFont="0" applyFill="0" applyBorder="0" applyAlignment="0" applyProtection="0"/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21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53" fillId="0" borderId="114">
      <protection locked="0"/>
    </xf>
    <xf numFmtId="211" fontId="2" fillId="0" borderId="0">
      <protection locked="0"/>
    </xf>
    <xf numFmtId="212" fontId="2" fillId="0" borderId="0">
      <protection locked="0"/>
    </xf>
    <xf numFmtId="177" fontId="57" fillId="0" borderId="0" applyFont="0" applyFill="0" applyBorder="0" applyAlignment="0" applyProtection="0"/>
    <xf numFmtId="213" fontId="57" fillId="0" borderId="0" applyFont="0" applyFill="0" applyBorder="0" applyAlignment="0" applyProtection="0"/>
    <xf numFmtId="0" fontId="54" fillId="0" borderId="0"/>
    <xf numFmtId="0" fontId="58" fillId="0" borderId="0"/>
    <xf numFmtId="0" fontId="2" fillId="0" borderId="0" applyFill="0" applyBorder="0" applyAlignment="0"/>
    <xf numFmtId="0" fontId="59" fillId="0" borderId="0"/>
    <xf numFmtId="0" fontId="60" fillId="0" borderId="0" applyNumberFormat="0" applyFill="0" applyBorder="0" applyAlignment="0" applyProtection="0">
      <alignment vertical="top"/>
      <protection locked="0"/>
    </xf>
    <xf numFmtId="177" fontId="19" fillId="0" borderId="0" applyFont="0" applyFill="0" applyBorder="0" applyAlignment="0" applyProtection="0"/>
    <xf numFmtId="213" fontId="19" fillId="0" borderId="0" applyFont="0" applyFill="0" applyBorder="0" applyAlignment="0" applyProtection="0"/>
    <xf numFmtId="0" fontId="61" fillId="0" borderId="0" applyNumberFormat="0" applyAlignment="0">
      <alignment horizontal="left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62" fillId="0" borderId="0" applyNumberFormat="0" applyAlignment="0">
      <alignment horizontal="left"/>
    </xf>
    <xf numFmtId="38" fontId="27" fillId="3" borderId="0" applyNumberFormat="0" applyBorder="0" applyAlignment="0" applyProtection="0"/>
    <xf numFmtId="3" fontId="31" fillId="0" borderId="115">
      <alignment horizontal="right" vertical="center"/>
    </xf>
    <xf numFmtId="4" fontId="31" fillId="0" borderId="115">
      <alignment horizontal="right" vertical="center"/>
    </xf>
    <xf numFmtId="0" fontId="63" fillId="0" borderId="0">
      <alignment horizontal="left"/>
    </xf>
    <xf numFmtId="0" fontId="4" fillId="0" borderId="116" applyNumberFormat="0" applyAlignment="0" applyProtection="0">
      <alignment horizontal="left" vertical="center"/>
    </xf>
    <xf numFmtId="0" fontId="4" fillId="0" borderId="25">
      <alignment horizontal="left" vertical="center"/>
    </xf>
    <xf numFmtId="0" fontId="64" fillId="0" borderId="0" applyNumberFormat="0" applyFill="0" applyBorder="0" applyAlignment="0" applyProtection="0"/>
    <xf numFmtId="10" fontId="27" fillId="5" borderId="1" applyNumberFormat="0" applyBorder="0" applyAlignment="0" applyProtection="0"/>
    <xf numFmtId="0" fontId="65" fillId="0" borderId="2"/>
    <xf numFmtId="216" fontId="2" fillId="0" borderId="0"/>
    <xf numFmtId="0" fontId="19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30" fontId="66" fillId="0" borderId="0" applyNumberFormat="0" applyFill="0" applyBorder="0" applyAlignment="0" applyProtection="0">
      <alignment horizontal="left"/>
    </xf>
    <xf numFmtId="0" fontId="65" fillId="0" borderId="0"/>
    <xf numFmtId="40" fontId="67" fillId="0" borderId="0" applyBorder="0">
      <alignment horizontal="right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9" fillId="0" borderId="0">
      <protection locked="0"/>
    </xf>
    <xf numFmtId="0" fontId="31" fillId="0" borderId="0"/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54" fillId="0" borderId="4">
      <alignment horizontal="center"/>
    </xf>
    <xf numFmtId="0" fontId="98" fillId="0" borderId="0">
      <alignment vertical="center"/>
    </xf>
    <xf numFmtId="3" fontId="21" fillId="0" borderId="1"/>
    <xf numFmtId="0" fontId="31" fillId="0" borderId="24">
      <alignment horizontal="centerContinuous" vertical="center"/>
    </xf>
    <xf numFmtId="0" fontId="26" fillId="0" borderId="0">
      <alignment vertical="center"/>
    </xf>
    <xf numFmtId="0" fontId="99" fillId="0" borderId="0">
      <alignment vertical="center"/>
    </xf>
    <xf numFmtId="0" fontId="26" fillId="0" borderId="0">
      <alignment vertical="center"/>
    </xf>
    <xf numFmtId="0" fontId="9" fillId="0" borderId="0"/>
    <xf numFmtId="0" fontId="19" fillId="0" borderId="0" applyNumberFormat="0" applyFill="0" applyBorder="0" applyAlignment="0" applyProtection="0"/>
    <xf numFmtId="0" fontId="100" fillId="6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4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5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54" fillId="0" borderId="0"/>
    <xf numFmtId="0" fontId="54" fillId="0" borderId="0"/>
    <xf numFmtId="0" fontId="2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Font="0" applyFill="0" applyBorder="0" applyAlignment="0" applyProtection="0"/>
    <xf numFmtId="0" fontId="19" fillId="0" borderId="0"/>
    <xf numFmtId="0" fontId="19" fillId="0" borderId="0"/>
    <xf numFmtId="0" fontId="54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5" fillId="0" borderId="0" applyFont="0" applyFill="0" applyBorder="0" applyAlignment="0" applyProtection="0"/>
    <xf numFmtId="0" fontId="19" fillId="0" borderId="0"/>
    <xf numFmtId="0" fontId="19" fillId="0" borderId="0"/>
    <xf numFmtId="0" fontId="15" fillId="0" borderId="0" applyFont="0" applyFill="0" applyBorder="0" applyAlignment="0" applyProtection="0"/>
    <xf numFmtId="0" fontId="19" fillId="0" borderId="0"/>
    <xf numFmtId="0" fontId="15" fillId="0" borderId="0" applyFont="0" applyFill="0" applyBorder="0" applyAlignment="0" applyProtection="0"/>
    <xf numFmtId="0" fontId="15" fillId="0" borderId="0"/>
    <xf numFmtId="0" fontId="19" fillId="0" borderId="0"/>
    <xf numFmtId="0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8" fillId="0" borderId="0"/>
    <xf numFmtId="0" fontId="9" fillId="0" borderId="0"/>
    <xf numFmtId="0" fontId="19" fillId="0" borderId="0"/>
    <xf numFmtId="0" fontId="19" fillId="0" borderId="0"/>
    <xf numFmtId="0" fontId="2" fillId="0" borderId="0"/>
    <xf numFmtId="0" fontId="15" fillId="0" borderId="0"/>
    <xf numFmtId="0" fontId="15" fillId="0" borderId="0" applyFont="0" applyFill="0" applyBorder="0" applyAlignment="0" applyProtection="0"/>
    <xf numFmtId="0" fontId="28" fillId="0" borderId="0"/>
    <xf numFmtId="0" fontId="15" fillId="0" borderId="0" applyFont="0" applyFill="0" applyBorder="0" applyAlignment="0" applyProtection="0"/>
    <xf numFmtId="0" fontId="19" fillId="0" borderId="0"/>
    <xf numFmtId="0" fontId="15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15" fillId="0" borderId="0" applyFont="0" applyFill="0" applyBorder="0" applyAlignment="0" applyProtection="0"/>
    <xf numFmtId="0" fontId="19" fillId="0" borderId="0"/>
    <xf numFmtId="0" fontId="19" fillId="0" borderId="0"/>
    <xf numFmtId="0" fontId="9" fillId="0" borderId="0"/>
    <xf numFmtId="0" fontId="15" fillId="0" borderId="0"/>
    <xf numFmtId="0" fontId="19" fillId="0" borderId="0"/>
    <xf numFmtId="0" fontId="9" fillId="0" borderId="0"/>
    <xf numFmtId="297" fontId="2" fillId="0" borderId="0" applyFont="0" applyFill="0" applyBorder="0" applyAlignment="0" applyProtection="0"/>
    <xf numFmtId="297" fontId="2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9" fillId="0" borderId="0"/>
    <xf numFmtId="0" fontId="15" fillId="0" borderId="0"/>
    <xf numFmtId="0" fontId="15" fillId="0" borderId="0"/>
    <xf numFmtId="0" fontId="54" fillId="0" borderId="0"/>
    <xf numFmtId="0" fontId="19" fillId="0" borderId="0"/>
    <xf numFmtId="0" fontId="54" fillId="0" borderId="0"/>
    <xf numFmtId="0" fontId="15" fillId="0" borderId="0"/>
    <xf numFmtId="0" fontId="54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/>
    <xf numFmtId="0" fontId="53" fillId="0" borderId="0">
      <protection locked="0"/>
    </xf>
    <xf numFmtId="0" fontId="26" fillId="0" borderId="0">
      <alignment vertical="center"/>
    </xf>
    <xf numFmtId="0" fontId="26" fillId="0" borderId="0">
      <alignment vertical="center"/>
    </xf>
    <xf numFmtId="0" fontId="101" fillId="0" borderId="0"/>
    <xf numFmtId="272" fontId="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177" fontId="102" fillId="0" borderId="1">
      <alignment vertical="center"/>
    </xf>
    <xf numFmtId="3" fontId="21" fillId="0" borderId="1"/>
    <xf numFmtId="3" fontId="21" fillId="0" borderId="1"/>
    <xf numFmtId="177" fontId="14" fillId="0" borderId="117" applyBorder="0">
      <alignment vertical="center"/>
    </xf>
    <xf numFmtId="279" fontId="5" fillId="0" borderId="0">
      <alignment vertical="center"/>
    </xf>
    <xf numFmtId="0" fontId="15" fillId="0" borderId="1">
      <alignment horizontal="left" vertical="center" indent="1"/>
    </xf>
    <xf numFmtId="38" fontId="103" fillId="0" borderId="23" applyNumberFormat="0">
      <alignment horizontal="left" vertical="center"/>
    </xf>
    <xf numFmtId="279" fontId="5" fillId="0" borderId="0">
      <alignment vertical="center"/>
    </xf>
    <xf numFmtId="3" fontId="50" fillId="0" borderId="13">
      <alignment horizontal="right" vertical="center"/>
    </xf>
    <xf numFmtId="0" fontId="6" fillId="0" borderId="0">
      <alignment horizontal="center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279" fontId="5" fillId="0" borderId="0">
      <alignment vertical="center"/>
    </xf>
    <xf numFmtId="279" fontId="5" fillId="0" borderId="0">
      <alignment vertical="center"/>
    </xf>
    <xf numFmtId="3" fontId="50" fillId="0" borderId="13">
      <alignment horizontal="right" vertical="center"/>
    </xf>
    <xf numFmtId="0" fontId="26" fillId="0" borderId="0"/>
    <xf numFmtId="279" fontId="5" fillId="0" borderId="0">
      <alignment vertical="center"/>
    </xf>
    <xf numFmtId="301" fontId="9" fillId="0" borderId="0">
      <alignment horizontal="center" vertical="center"/>
    </xf>
    <xf numFmtId="239" fontId="9" fillId="0" borderId="0">
      <alignment horizontal="center" vertical="center"/>
    </xf>
    <xf numFmtId="302" fontId="2" fillId="0" borderId="0">
      <alignment horizontal="center" vertical="center"/>
    </xf>
    <xf numFmtId="302" fontId="2" fillId="0" borderId="0">
      <alignment horizontal="center" vertical="center"/>
    </xf>
    <xf numFmtId="302" fontId="2" fillId="0" borderId="0">
      <alignment horizontal="center" vertical="center"/>
    </xf>
    <xf numFmtId="302" fontId="2" fillId="0" borderId="0">
      <alignment horizontal="center" vertical="center"/>
    </xf>
    <xf numFmtId="239" fontId="9" fillId="0" borderId="0">
      <alignment horizontal="center" vertical="center"/>
    </xf>
    <xf numFmtId="239" fontId="9" fillId="0" borderId="0">
      <alignment horizontal="center" vertical="center"/>
    </xf>
    <xf numFmtId="301" fontId="9" fillId="0" borderId="0">
      <alignment horizontal="center" vertical="center"/>
    </xf>
    <xf numFmtId="301" fontId="9" fillId="0" borderId="0">
      <alignment horizontal="center" vertical="center"/>
    </xf>
    <xf numFmtId="301" fontId="9" fillId="0" borderId="0">
      <alignment horizontal="center" vertical="center"/>
    </xf>
    <xf numFmtId="302" fontId="2" fillId="0" borderId="0">
      <alignment horizontal="center" vertical="center"/>
    </xf>
    <xf numFmtId="302" fontId="2" fillId="0" borderId="0">
      <alignment horizontal="center" vertical="center"/>
    </xf>
    <xf numFmtId="301" fontId="9" fillId="0" borderId="0">
      <alignment horizontal="center" vertical="center"/>
    </xf>
    <xf numFmtId="301" fontId="9" fillId="0" borderId="0">
      <alignment horizontal="center" vertical="center"/>
    </xf>
    <xf numFmtId="301" fontId="9" fillId="0" borderId="0">
      <alignment horizontal="center" vertical="center"/>
    </xf>
    <xf numFmtId="302" fontId="2" fillId="0" borderId="0">
      <alignment horizontal="center" vertical="center"/>
    </xf>
    <xf numFmtId="302" fontId="2" fillId="0" borderId="0">
      <alignment horizontal="center" vertical="center"/>
    </xf>
    <xf numFmtId="301" fontId="9" fillId="0" borderId="0">
      <alignment horizontal="center" vertical="center"/>
    </xf>
    <xf numFmtId="226" fontId="51" fillId="0" borderId="0">
      <alignment horizontal="center" vertical="center"/>
    </xf>
    <xf numFmtId="302" fontId="2" fillId="0" borderId="0">
      <alignment horizontal="center" vertical="center"/>
    </xf>
    <xf numFmtId="302" fontId="2" fillId="0" borderId="0">
      <alignment horizontal="center" vertical="center"/>
    </xf>
    <xf numFmtId="301" fontId="9" fillId="0" borderId="0">
      <alignment horizontal="center" vertical="center"/>
    </xf>
    <xf numFmtId="279" fontId="5" fillId="0" borderId="0">
      <alignment vertical="center"/>
    </xf>
    <xf numFmtId="0" fontId="26" fillId="0" borderId="0"/>
    <xf numFmtId="3" fontId="50" fillId="0" borderId="13">
      <alignment horizontal="right" vertical="center"/>
    </xf>
    <xf numFmtId="279" fontId="5" fillId="0" borderId="0">
      <alignment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78" fontId="20" fillId="0" borderId="0">
      <alignment vertical="center"/>
    </xf>
    <xf numFmtId="0" fontId="2" fillId="0" borderId="0"/>
    <xf numFmtId="9" fontId="104" fillId="0" borderId="0" applyFont="0" applyFill="0" applyBorder="0" applyAlignment="0" applyProtection="0"/>
    <xf numFmtId="0" fontId="9" fillId="0" borderId="43">
      <alignment horizont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278" fontId="20" fillId="0" borderId="0">
      <alignment vertical="center"/>
    </xf>
    <xf numFmtId="0" fontId="53" fillId="0" borderId="0">
      <protection locked="0"/>
    </xf>
    <xf numFmtId="0" fontId="15" fillId="0" borderId="1">
      <alignment horizontal="left" vertical="center" indent="2"/>
    </xf>
    <xf numFmtId="2" fontId="92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105" fillId="0" borderId="0"/>
    <xf numFmtId="0" fontId="20" fillId="0" borderId="0">
      <alignment vertical="center"/>
    </xf>
    <xf numFmtId="0" fontId="25" fillId="0" borderId="0"/>
    <xf numFmtId="0" fontId="92" fillId="0" borderId="0" applyFont="0" applyFill="0" applyBorder="0" applyAlignment="0" applyProtection="0"/>
    <xf numFmtId="0" fontId="95" fillId="0" borderId="118">
      <alignment vertical="center"/>
    </xf>
    <xf numFmtId="0" fontId="88" fillId="0" borderId="9">
      <alignment vertical="center"/>
    </xf>
    <xf numFmtId="0" fontId="92" fillId="0" borderId="0" applyFon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40" fontId="106" fillId="0" borderId="0" applyFont="0" applyFill="0" applyBorder="0" applyAlignment="0" applyProtection="0"/>
    <xf numFmtId="38" fontId="106" fillId="0" borderId="0" applyFont="0" applyFill="0" applyBorder="0" applyAlignment="0" applyProtection="0"/>
    <xf numFmtId="177" fontId="15" fillId="0" borderId="115">
      <alignment vertical="center"/>
    </xf>
    <xf numFmtId="0" fontId="106" fillId="0" borderId="0" applyFont="0" applyFill="0" applyBorder="0" applyAlignment="0" applyProtection="0"/>
    <xf numFmtId="0" fontId="106" fillId="0" borderId="0" applyFont="0" applyFill="0" applyBorder="0" applyAlignment="0" applyProtection="0"/>
    <xf numFmtId="255" fontId="107" fillId="0" borderId="0">
      <protection locked="0"/>
    </xf>
    <xf numFmtId="10" fontId="14" fillId="0" borderId="0">
      <alignment vertical="center"/>
    </xf>
    <xf numFmtId="10" fontId="14" fillId="0" borderId="0">
      <alignment vertical="center"/>
    </xf>
    <xf numFmtId="10" fontId="14" fillId="0" borderId="0">
      <alignment vertical="center"/>
    </xf>
    <xf numFmtId="10" fontId="14" fillId="0" borderId="0">
      <alignment vertical="center"/>
    </xf>
    <xf numFmtId="10" fontId="14" fillId="0" borderId="0">
      <alignment vertical="center"/>
    </xf>
    <xf numFmtId="9" fontId="6" fillId="2" borderId="0" applyFill="0" applyBorder="0" applyProtection="0">
      <alignment horizontal="right"/>
    </xf>
    <xf numFmtId="10" fontId="6" fillId="0" borderId="0" applyFill="0" applyBorder="0" applyProtection="0">
      <alignment horizontal="right"/>
    </xf>
    <xf numFmtId="0" fontId="18" fillId="0" borderId="0" applyFont="0" applyFill="0" applyBorder="0" applyProtection="0">
      <alignment horizontal="center" vertical="center"/>
    </xf>
    <xf numFmtId="0" fontId="18" fillId="0" borderId="0" applyFont="0" applyFill="0" applyBorder="0" applyProtection="0">
      <alignment horizontal="center" vertical="center"/>
    </xf>
    <xf numFmtId="248" fontId="2" fillId="0" borderId="22" applyFont="0" applyFill="0" applyAlignment="0" applyProtection="0">
      <alignment horizontal="center" vertical="center"/>
    </xf>
    <xf numFmtId="0" fontId="108" fillId="0" borderId="0"/>
    <xf numFmtId="177" fontId="109" fillId="0" borderId="32">
      <alignment vertical="center"/>
    </xf>
    <xf numFmtId="271" fontId="105" fillId="0" borderId="23" applyBorder="0"/>
    <xf numFmtId="3" fontId="110" fillId="0" borderId="0">
      <alignment vertical="center" wrapText="1"/>
    </xf>
    <xf numFmtId="3" fontId="111" fillId="0" borderId="0">
      <alignment vertical="center" wrapText="1"/>
    </xf>
    <xf numFmtId="277" fontId="14" fillId="0" borderId="0">
      <alignment vertical="center"/>
    </xf>
    <xf numFmtId="177" fontId="89" fillId="0" borderId="32">
      <alignment vertical="center"/>
    </xf>
    <xf numFmtId="247" fontId="19" fillId="0" borderId="0">
      <alignment vertical="center"/>
    </xf>
    <xf numFmtId="41" fontId="2" fillId="0" borderId="0" applyFont="0" applyFill="0" applyBorder="0" applyAlignment="0" applyProtection="0"/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8" fillId="0" borderId="0"/>
    <xf numFmtId="0" fontId="28" fillId="0" borderId="0"/>
    <xf numFmtId="0" fontId="2" fillId="0" borderId="0" applyFont="0" applyFill="0" applyBorder="0" applyAlignment="0" applyProtection="0"/>
    <xf numFmtId="0" fontId="9" fillId="0" borderId="0"/>
    <xf numFmtId="259" fontId="31" fillId="0" borderId="1" applyBorder="0">
      <alignment vertical="center"/>
    </xf>
    <xf numFmtId="204" fontId="2" fillId="0" borderId="0" applyFont="0" applyFill="0" applyBorder="0" applyAlignment="0" applyProtection="0"/>
    <xf numFmtId="0" fontId="103" fillId="0" borderId="0">
      <alignment vertical="center"/>
    </xf>
    <xf numFmtId="0" fontId="96" fillId="0" borderId="0">
      <alignment horizontal="center" vertical="center"/>
    </xf>
    <xf numFmtId="4" fontId="76" fillId="0" borderId="0" applyFont="0" applyFill="0" applyBorder="0" applyAlignment="0" applyProtection="0"/>
    <xf numFmtId="0" fontId="105" fillId="0" borderId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3" fontId="76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0" fontId="112" fillId="0" borderId="17" applyFill="0" applyBorder="0" applyProtection="0">
      <alignment horizontal="left" vertical="center"/>
    </xf>
    <xf numFmtId="0" fontId="9" fillId="0" borderId="0"/>
    <xf numFmtId="0" fontId="113" fillId="0" borderId="0"/>
    <xf numFmtId="255" fontId="107" fillId="0" borderId="0">
      <protection locked="0"/>
    </xf>
    <xf numFmtId="255" fontId="107" fillId="0" borderId="0">
      <protection locked="0"/>
    </xf>
    <xf numFmtId="177" fontId="9" fillId="0" borderId="1">
      <alignment horizontal="center" vertical="center"/>
    </xf>
    <xf numFmtId="177" fontId="9" fillId="0" borderId="4">
      <alignment horizontal="center" vertical="center"/>
    </xf>
    <xf numFmtId="177" fontId="9" fillId="0" borderId="0" applyFont="0" applyFill="0" applyBorder="0" applyAlignment="0" applyProtection="0"/>
    <xf numFmtId="177" fontId="9" fillId="0" borderId="0" applyNumberFormat="0" applyFont="0" applyFill="0" applyBorder="0" applyProtection="0">
      <alignment vertical="center"/>
    </xf>
    <xf numFmtId="265" fontId="19" fillId="0" borderId="1"/>
    <xf numFmtId="0" fontId="6" fillId="2" borderId="0" applyFill="0" applyBorder="0" applyProtection="0">
      <alignment horizontal="right"/>
    </xf>
    <xf numFmtId="277" fontId="18" fillId="0" borderId="0" applyFont="0" applyFill="0" applyBorder="0" applyAlignment="0" applyProtection="0"/>
    <xf numFmtId="280" fontId="54" fillId="0" borderId="0" applyFont="0" applyFill="0" applyBorder="0" applyAlignment="0" applyProtection="0"/>
    <xf numFmtId="281" fontId="54" fillId="0" borderId="0" applyFont="0" applyFill="0" applyBorder="0" applyAlignment="0" applyProtection="0"/>
    <xf numFmtId="282" fontId="54" fillId="0" borderId="0" applyFont="0" applyFill="0" applyBorder="0" applyAlignment="0" applyProtection="0"/>
    <xf numFmtId="0" fontId="26" fillId="0" borderId="0"/>
    <xf numFmtId="0" fontId="9" fillId="0" borderId="0" applyFont="0" applyFill="0" applyBorder="0" applyAlignment="0" applyProtection="0"/>
    <xf numFmtId="0" fontId="10" fillId="0" borderId="0">
      <alignment horizontal="center" vertical="center"/>
    </xf>
    <xf numFmtId="255" fontId="107" fillId="0" borderId="0">
      <protection locked="0"/>
    </xf>
    <xf numFmtId="255" fontId="107" fillId="0" borderId="0">
      <protection locked="0"/>
    </xf>
    <xf numFmtId="0" fontId="9" fillId="0" borderId="0" applyFont="0" applyFill="0" applyBorder="0" applyAlignment="0" applyProtection="0"/>
    <xf numFmtId="248" fontId="114" fillId="0" borderId="0" applyFont="0" applyFill="0" applyBorder="0" applyAlignment="0" applyProtection="0"/>
    <xf numFmtId="245" fontId="114" fillId="0" borderId="0" applyFont="0" applyFill="0" applyBorder="0" applyAlignment="0" applyProtection="0"/>
    <xf numFmtId="9" fontId="76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0" fontId="2" fillId="0" borderId="0"/>
    <xf numFmtId="0" fontId="11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" fillId="0" borderId="0"/>
    <xf numFmtId="0" fontId="2" fillId="0" borderId="0"/>
    <xf numFmtId="0" fontId="116" fillId="0" borderId="0"/>
    <xf numFmtId="0" fontId="15" fillId="0" borderId="0"/>
    <xf numFmtId="0" fontId="2" fillId="0" borderId="1" applyNumberFormat="0" applyFill="0" applyProtection="0">
      <alignment vertical="center"/>
    </xf>
    <xf numFmtId="0" fontId="92" fillId="0" borderId="114" applyNumberFormat="0" applyFont="0" applyFill="0" applyAlignment="0" applyProtection="0"/>
    <xf numFmtId="213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221" fontId="76" fillId="0" borderId="0" applyFont="0" applyFill="0" applyBorder="0" applyAlignment="0" applyProtection="0"/>
    <xf numFmtId="243" fontId="92" fillId="0" borderId="0" applyFont="0" applyFill="0" applyBorder="0" applyAlignment="0" applyProtection="0"/>
    <xf numFmtId="243" fontId="92" fillId="0" borderId="0" applyFont="0" applyFill="0" applyBorder="0" applyAlignment="0" applyProtection="0"/>
    <xf numFmtId="221" fontId="76" fillId="0" borderId="0" applyFont="0" applyFill="0" applyBorder="0" applyAlignment="0" applyProtection="0"/>
    <xf numFmtId="221" fontId="92" fillId="0" borderId="0" applyFont="0" applyFill="0" applyBorder="0" applyAlignment="0" applyProtection="0"/>
    <xf numFmtId="221" fontId="92" fillId="0" borderId="0" applyFont="0" applyFill="0" applyBorder="0" applyAlignment="0" applyProtection="0"/>
    <xf numFmtId="242" fontId="19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17" fillId="0" borderId="0" applyFont="0" applyFill="0" applyBorder="0" applyAlignment="0" applyProtection="0"/>
    <xf numFmtId="0" fontId="11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118" fillId="0" borderId="0" applyFont="0" applyFill="0" applyBorder="0" applyAlignment="0" applyProtection="0"/>
    <xf numFmtId="0" fontId="1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18" fillId="0" borderId="0" applyFont="0" applyFill="0" applyBorder="0" applyAlignment="0" applyProtection="0"/>
    <xf numFmtId="41" fontId="120" fillId="0" borderId="0" applyFont="0" applyFill="0" applyBorder="0" applyAlignment="0" applyProtection="0"/>
    <xf numFmtId="0" fontId="118" fillId="0" borderId="0" applyFont="0" applyFill="0" applyBorder="0" applyAlignment="0" applyProtection="0"/>
    <xf numFmtId="0" fontId="119" fillId="0" borderId="0" applyFont="0" applyFill="0" applyBorder="0" applyAlignment="0" applyProtection="0"/>
    <xf numFmtId="0" fontId="118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18" fillId="0" borderId="0" applyFont="0" applyFill="0" applyBorder="0" applyAlignment="0" applyProtection="0"/>
    <xf numFmtId="43" fontId="120" fillId="0" borderId="0" applyFont="0" applyFill="0" applyBorder="0" applyAlignment="0" applyProtection="0"/>
    <xf numFmtId="0" fontId="118" fillId="0" borderId="0" applyFont="0" applyFill="0" applyBorder="0" applyAlignment="0" applyProtection="0"/>
    <xf numFmtId="0" fontId="9" fillId="0" borderId="0" applyFont="0" applyFill="0" applyBorder="0" applyAlignment="0" applyProtection="0"/>
    <xf numFmtId="214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97" fillId="0" borderId="0" applyFont="0" applyFill="0" applyBorder="0" applyAlignment="0" applyProtection="0"/>
    <xf numFmtId="42" fontId="122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97" fillId="0" borderId="0" applyFont="0" applyFill="0" applyBorder="0" applyAlignment="0" applyProtection="0"/>
    <xf numFmtId="299" fontId="2" fillId="0" borderId="0" applyFont="0" applyFill="0" applyBorder="0" applyAlignment="0" applyProtection="0"/>
    <xf numFmtId="225" fontId="19" fillId="0" borderId="0" applyFont="0" applyFill="0" applyBorder="0" applyAlignment="0" applyProtection="0"/>
    <xf numFmtId="270" fontId="97" fillId="0" borderId="0" applyFont="0" applyFill="0" applyBorder="0" applyAlignment="0" applyProtection="0"/>
    <xf numFmtId="215" fontId="104" fillId="0" borderId="0" applyFont="0" applyFill="0" applyBorder="0" applyAlignment="0" applyProtection="0"/>
    <xf numFmtId="0" fontId="123" fillId="0" borderId="0" applyFont="0" applyFill="0" applyBorder="0" applyAlignment="0" applyProtection="0"/>
    <xf numFmtId="0" fontId="97" fillId="0" borderId="0" applyFont="0" applyFill="0" applyBorder="0" applyAlignment="0" applyProtection="0"/>
    <xf numFmtId="44" fontId="122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104" fillId="0" borderId="0" applyFont="0" applyFill="0" applyBorder="0" applyAlignment="0" applyProtection="0"/>
    <xf numFmtId="245" fontId="97" fillId="0" borderId="0" applyFont="0" applyFill="0" applyBorder="0" applyAlignment="0" applyProtection="0"/>
    <xf numFmtId="215" fontId="123" fillId="0" borderId="0" applyFont="0" applyFill="0" applyBorder="0" applyAlignment="0" applyProtection="0"/>
    <xf numFmtId="227" fontId="19" fillId="0" borderId="0" applyFont="0" applyFill="0" applyBorder="0" applyAlignment="0" applyProtection="0"/>
    <xf numFmtId="0" fontId="117" fillId="0" borderId="0" applyFont="0" applyFill="0" applyBorder="0" applyAlignment="0" applyProtection="0"/>
    <xf numFmtId="0" fontId="117" fillId="0" borderId="0" applyFont="0" applyFill="0" applyBorder="0" applyAlignment="0" applyProtection="0"/>
    <xf numFmtId="0" fontId="118" fillId="0" borderId="0" applyFont="0" applyFill="0" applyBorder="0" applyAlignment="0" applyProtection="0"/>
    <xf numFmtId="0" fontId="118" fillId="0" borderId="0" applyFont="0" applyFill="0" applyBorder="0" applyAlignment="0" applyProtection="0"/>
    <xf numFmtId="0" fontId="119" fillId="0" borderId="0" applyFont="0" applyFill="0" applyBorder="0" applyAlignment="0" applyProtection="0"/>
    <xf numFmtId="0" fontId="119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273" fontId="2" fillId="0" borderId="0">
      <protection locked="0"/>
    </xf>
    <xf numFmtId="0" fontId="77" fillId="0" borderId="0">
      <alignment horizontal="center" wrapText="1"/>
      <protection locked="0"/>
    </xf>
    <xf numFmtId="177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124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97" fillId="0" borderId="0" applyFont="0" applyFill="0" applyBorder="0" applyAlignment="0" applyProtection="0"/>
    <xf numFmtId="41" fontId="122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177" fontId="97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97" fillId="0" borderId="0" applyFont="0" applyFill="0" applyBorder="0" applyAlignment="0" applyProtection="0"/>
    <xf numFmtId="188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300" fontId="26" fillId="0" borderId="0" applyFont="0" applyFill="0" applyBorder="0" applyAlignment="0" applyProtection="0"/>
    <xf numFmtId="0" fontId="123" fillId="0" borderId="0" applyFont="0" applyFill="0" applyBorder="0" applyAlignment="0" applyProtection="0"/>
    <xf numFmtId="249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269" fontId="97" fillId="0" borderId="0" applyFont="0" applyFill="0" applyBorder="0" applyAlignment="0" applyProtection="0"/>
    <xf numFmtId="213" fontId="104" fillId="0" borderId="0" applyFont="0" applyFill="0" applyBorder="0" applyAlignment="0" applyProtection="0"/>
    <xf numFmtId="0" fontId="123" fillId="0" borderId="0" applyFont="0" applyFill="0" applyBorder="0" applyAlignment="0" applyProtection="0"/>
    <xf numFmtId="0" fontId="124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97" fillId="0" borderId="0" applyFont="0" applyFill="0" applyBorder="0" applyAlignment="0" applyProtection="0"/>
    <xf numFmtId="43" fontId="122" fillId="0" borderId="0" applyFont="0" applyFill="0" applyBorder="0" applyAlignment="0" applyProtection="0"/>
    <xf numFmtId="0" fontId="12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213" fontId="97" fillId="0" borderId="0" applyFont="0" applyFill="0" applyBorder="0" applyAlignment="0" applyProtection="0"/>
    <xf numFmtId="0" fontId="104" fillId="0" borderId="0" applyFont="0" applyFill="0" applyBorder="0" applyAlignment="0" applyProtection="0"/>
    <xf numFmtId="244" fontId="9" fillId="0" borderId="0" applyFont="0" applyFill="0" applyBorder="0" applyAlignment="0" applyProtection="0"/>
    <xf numFmtId="213" fontId="123" fillId="0" borderId="0" applyFont="0" applyFill="0" applyBorder="0" applyAlignment="0" applyProtection="0"/>
    <xf numFmtId="4" fontId="53" fillId="0" borderId="0">
      <protection locked="0"/>
    </xf>
    <xf numFmtId="274" fontId="2" fillId="0" borderId="0">
      <protection locked="0"/>
    </xf>
    <xf numFmtId="0" fontId="2" fillId="0" borderId="0" applyFont="0" applyFill="0" applyBorder="0" applyAlignment="0" applyProtection="0"/>
    <xf numFmtId="235" fontId="2" fillId="0" borderId="0" applyFont="0" applyFill="0" applyBorder="0" applyAlignment="0" applyProtection="0">
      <alignment horizontal="right"/>
    </xf>
    <xf numFmtId="0" fontId="78" fillId="0" borderId="0"/>
    <xf numFmtId="296" fontId="91" fillId="0" borderId="0" applyFont="0" applyFill="0" applyBorder="0" applyAlignment="0" applyProtection="0">
      <alignment horizontal="right"/>
    </xf>
    <xf numFmtId="296" fontId="91" fillId="0" borderId="0" applyFont="0" applyFill="0" applyBorder="0" applyAlignment="0" applyProtection="0">
      <alignment horizontal="right"/>
    </xf>
    <xf numFmtId="235" fontId="2" fillId="0" borderId="0" applyFont="0" applyFill="0" applyBorder="0" applyAlignment="0" applyProtection="0">
      <alignment horizontal="right"/>
    </xf>
    <xf numFmtId="0" fontId="126" fillId="0" borderId="0" applyNumberFormat="0" applyFill="0" applyBorder="0" applyAlignment="0" applyProtection="0"/>
    <xf numFmtId="0" fontId="127" fillId="0" borderId="0"/>
    <xf numFmtId="0" fontId="128" fillId="0" borderId="0"/>
    <xf numFmtId="0" fontId="2" fillId="0" borderId="0"/>
    <xf numFmtId="0" fontId="129" fillId="0" borderId="0"/>
    <xf numFmtId="0" fontId="57" fillId="0" borderId="0"/>
    <xf numFmtId="0" fontId="127" fillId="0" borderId="0"/>
    <xf numFmtId="0" fontId="57" fillId="0" borderId="0"/>
    <xf numFmtId="0" fontId="118" fillId="0" borderId="0"/>
    <xf numFmtId="0" fontId="2" fillId="0" borderId="0"/>
    <xf numFmtId="0" fontId="130" fillId="0" borderId="0"/>
    <xf numFmtId="0" fontId="119" fillId="0" borderId="0"/>
    <xf numFmtId="0" fontId="118" fillId="0" borderId="0"/>
    <xf numFmtId="0" fontId="57" fillId="0" borderId="0"/>
    <xf numFmtId="0" fontId="131" fillId="0" borderId="0"/>
    <xf numFmtId="0" fontId="2" fillId="0" borderId="0"/>
    <xf numFmtId="0" fontId="104" fillId="0" borderId="0"/>
    <xf numFmtId="0" fontId="127" fillId="0" borderId="0"/>
    <xf numFmtId="0" fontId="127" fillId="0" borderId="0"/>
    <xf numFmtId="0" fontId="104" fillId="0" borderId="0"/>
    <xf numFmtId="0" fontId="132" fillId="0" borderId="0"/>
    <xf numFmtId="0" fontId="104" fillId="0" borderId="0"/>
    <xf numFmtId="0" fontId="97" fillId="0" borderId="0"/>
    <xf numFmtId="0" fontId="104" fillId="0" borderId="0"/>
    <xf numFmtId="0" fontId="127" fillId="0" borderId="0" applyNumberFormat="0"/>
    <xf numFmtId="0" fontId="122" fillId="0" borderId="0"/>
    <xf numFmtId="0" fontId="97" fillId="0" borderId="0"/>
    <xf numFmtId="0" fontId="104" fillId="0" borderId="0"/>
    <xf numFmtId="0" fontId="97" fillId="0" borderId="0"/>
    <xf numFmtId="0" fontId="97" fillId="0" borderId="0"/>
    <xf numFmtId="0" fontId="104" fillId="0" borderId="0"/>
    <xf numFmtId="0" fontId="97" fillId="0" borderId="0"/>
    <xf numFmtId="0" fontId="104" fillId="0" borderId="0"/>
    <xf numFmtId="0" fontId="97" fillId="0" borderId="0"/>
    <xf numFmtId="0" fontId="104" fillId="0" borderId="0"/>
    <xf numFmtId="0" fontId="97" fillId="0" borderId="0"/>
    <xf numFmtId="0" fontId="104" fillId="0" borderId="0"/>
    <xf numFmtId="0" fontId="97" fillId="0" borderId="0"/>
    <xf numFmtId="0" fontId="104" fillId="0" borderId="0"/>
    <xf numFmtId="0" fontId="97" fillId="0" borderId="0"/>
    <xf numFmtId="0" fontId="104" fillId="0" borderId="0"/>
    <xf numFmtId="0" fontId="97" fillId="0" borderId="0"/>
    <xf numFmtId="0" fontId="104" fillId="0" borderId="0"/>
    <xf numFmtId="0" fontId="97" fillId="0" borderId="0"/>
    <xf numFmtId="0" fontId="104" fillId="0" borderId="0"/>
    <xf numFmtId="0" fontId="133" fillId="0" borderId="0"/>
    <xf numFmtId="0" fontId="19" fillId="0" borderId="0"/>
    <xf numFmtId="233" fontId="2" fillId="0" borderId="0" applyFill="0" applyBorder="0" applyAlignment="0"/>
    <xf numFmtId="178" fontId="9" fillId="0" borderId="0" applyFill="0" applyBorder="0" applyAlignment="0"/>
    <xf numFmtId="178" fontId="9" fillId="0" borderId="0" applyFill="0" applyBorder="0" applyAlignment="0"/>
    <xf numFmtId="226" fontId="79" fillId="0" borderId="0" applyFill="0" applyBorder="0" applyAlignment="0"/>
    <xf numFmtId="230" fontId="2" fillId="0" borderId="0" applyFill="0" applyBorder="0" applyAlignment="0"/>
    <xf numFmtId="290" fontId="91" fillId="0" borderId="0" applyFill="0" applyBorder="0" applyAlignment="0"/>
    <xf numFmtId="290" fontId="91" fillId="0" borderId="0" applyFill="0" applyBorder="0" applyAlignment="0"/>
    <xf numFmtId="231" fontId="2" fillId="0" borderId="0" applyFill="0" applyBorder="0" applyAlignment="0"/>
    <xf numFmtId="291" fontId="91" fillId="0" borderId="0" applyFill="0" applyBorder="0" applyAlignment="0"/>
    <xf numFmtId="291" fontId="91" fillId="0" borderId="0" applyFill="0" applyBorder="0" applyAlignment="0"/>
    <xf numFmtId="229" fontId="2" fillId="0" borderId="0" applyFill="0" applyBorder="0" applyAlignment="0"/>
    <xf numFmtId="289" fontId="91" fillId="0" borderId="0" applyFill="0" applyBorder="0" applyAlignment="0"/>
    <xf numFmtId="289" fontId="91" fillId="0" borderId="0" applyFill="0" applyBorder="0" applyAlignment="0"/>
    <xf numFmtId="232" fontId="2" fillId="0" borderId="0" applyFill="0" applyBorder="0" applyAlignment="0"/>
    <xf numFmtId="292" fontId="91" fillId="0" borderId="0" applyFill="0" applyBorder="0" applyAlignment="0"/>
    <xf numFmtId="292" fontId="91" fillId="0" borderId="0" applyFill="0" applyBorder="0" applyAlignment="0"/>
    <xf numFmtId="233" fontId="2" fillId="0" borderId="0" applyFill="0" applyBorder="0" applyAlignment="0"/>
    <xf numFmtId="178" fontId="9" fillId="0" borderId="0" applyFill="0" applyBorder="0" applyAlignment="0"/>
    <xf numFmtId="178" fontId="9" fillId="0" borderId="0" applyFill="0" applyBorder="0" applyAlignment="0"/>
    <xf numFmtId="0" fontId="134" fillId="0" borderId="0" applyNumberFormat="0" applyFill="0" applyBorder="0" applyAlignment="0" applyProtection="0">
      <alignment vertical="top"/>
      <protection locked="0"/>
    </xf>
    <xf numFmtId="298" fontId="9" fillId="0" borderId="0" applyFont="0" applyFill="0" applyBorder="0" applyAlignment="0" applyProtection="0"/>
    <xf numFmtId="0" fontId="53" fillId="0" borderId="114">
      <protection locked="0"/>
    </xf>
    <xf numFmtId="4" fontId="53" fillId="0" borderId="0">
      <protection locked="0"/>
    </xf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38" fontId="19" fillId="0" borderId="0" applyFont="0" applyFill="0" applyBorder="0" applyAlignment="0" applyProtection="0"/>
    <xf numFmtId="229" fontId="2" fillId="0" borderId="0" applyFont="0" applyFill="0" applyBorder="0" applyAlignment="0" applyProtection="0"/>
    <xf numFmtId="289" fontId="91" fillId="0" borderId="0" applyFont="0" applyFill="0" applyBorder="0" applyAlignment="0" applyProtection="0"/>
    <xf numFmtId="289" fontId="91" fillId="0" borderId="0" applyFont="0" applyFill="0" applyBorder="0" applyAlignment="0" applyProtection="0"/>
    <xf numFmtId="236" fontId="9" fillId="0" borderId="0"/>
    <xf numFmtId="256" fontId="2" fillId="0" borderId="0"/>
    <xf numFmtId="256" fontId="2" fillId="0" borderId="0"/>
    <xf numFmtId="253" fontId="2" fillId="0" borderId="0">
      <protection locked="0"/>
    </xf>
    <xf numFmtId="0" fontId="135" fillId="0" borderId="0" applyNumberFormat="0" applyAlignment="0"/>
    <xf numFmtId="283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50" fontId="2" fillId="0" borderId="0">
      <protection locked="0"/>
    </xf>
    <xf numFmtId="205" fontId="19" fillId="0" borderId="0" applyFont="0" applyFill="0" applyBorder="0" applyAlignment="0" applyProtection="0"/>
    <xf numFmtId="233" fontId="2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2" fillId="0" borderId="0" applyFont="0" applyFill="0" applyBorder="0" applyAlignment="0" applyProtection="0"/>
    <xf numFmtId="288" fontId="136" fillId="0" borderId="1" applyFill="0" applyBorder="0" applyAlignment="0"/>
    <xf numFmtId="254" fontId="2" fillId="0" borderId="0">
      <protection locked="0"/>
    </xf>
    <xf numFmtId="0" fontId="2" fillId="0" borderId="0"/>
    <xf numFmtId="0" fontId="53" fillId="0" borderId="0">
      <protection locked="0"/>
    </xf>
    <xf numFmtId="14" fontId="81" fillId="0" borderId="0" applyFill="0" applyBorder="0" applyAlignment="0"/>
    <xf numFmtId="0" fontId="137" fillId="0" borderId="0" applyFont="0" applyFill="0" applyBorder="0" applyAlignment="0" applyProtection="0"/>
    <xf numFmtId="234" fontId="2" fillId="0" borderId="119">
      <alignment vertical="center"/>
    </xf>
    <xf numFmtId="185" fontId="19" fillId="0" borderId="119">
      <alignment vertical="center"/>
    </xf>
    <xf numFmtId="185" fontId="19" fillId="0" borderId="119">
      <alignment vertical="center"/>
    </xf>
    <xf numFmtId="220" fontId="9" fillId="0" borderId="0"/>
    <xf numFmtId="257" fontId="2" fillId="0" borderId="0"/>
    <xf numFmtId="257" fontId="2" fillId="0" borderId="0"/>
    <xf numFmtId="275" fontId="2" fillId="0" borderId="0">
      <protection locked="0"/>
    </xf>
    <xf numFmtId="276" fontId="2" fillId="0" borderId="0">
      <protection locked="0"/>
    </xf>
    <xf numFmtId="229" fontId="2" fillId="0" borderId="0" applyFill="0" applyBorder="0" applyAlignment="0"/>
    <xf numFmtId="289" fontId="91" fillId="0" borderId="0" applyFill="0" applyBorder="0" applyAlignment="0"/>
    <xf numFmtId="289" fontId="91" fillId="0" borderId="0" applyFill="0" applyBorder="0" applyAlignment="0"/>
    <xf numFmtId="233" fontId="2" fillId="0" borderId="0" applyFill="0" applyBorder="0" applyAlignment="0"/>
    <xf numFmtId="178" fontId="9" fillId="0" borderId="0" applyFill="0" applyBorder="0" applyAlignment="0"/>
    <xf numFmtId="178" fontId="9" fillId="0" borderId="0" applyFill="0" applyBorder="0" applyAlignment="0"/>
    <xf numFmtId="229" fontId="2" fillId="0" borderId="0" applyFill="0" applyBorder="0" applyAlignment="0"/>
    <xf numFmtId="289" fontId="91" fillId="0" borderId="0" applyFill="0" applyBorder="0" applyAlignment="0"/>
    <xf numFmtId="289" fontId="91" fillId="0" borderId="0" applyFill="0" applyBorder="0" applyAlignment="0"/>
    <xf numFmtId="232" fontId="2" fillId="0" borderId="0" applyFill="0" applyBorder="0" applyAlignment="0"/>
    <xf numFmtId="292" fontId="91" fillId="0" borderId="0" applyFill="0" applyBorder="0" applyAlignment="0"/>
    <xf numFmtId="292" fontId="91" fillId="0" borderId="0" applyFill="0" applyBorder="0" applyAlignment="0"/>
    <xf numFmtId="233" fontId="2" fillId="0" borderId="0" applyFill="0" applyBorder="0" applyAlignment="0"/>
    <xf numFmtId="178" fontId="9" fillId="0" borderId="0" applyFill="0" applyBorder="0" applyAlignment="0"/>
    <xf numFmtId="178" fontId="9" fillId="0" borderId="0" applyFill="0" applyBorder="0" applyAlignment="0"/>
    <xf numFmtId="223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86" fontId="19" fillId="0" borderId="0" applyFont="0" applyFill="0" applyBorder="0" applyAlignment="0" applyProtection="0"/>
    <xf numFmtId="285" fontId="19" fillId="0" borderId="0" applyFont="0" applyFill="0" applyBorder="0" applyAlignment="0" applyProtection="0"/>
    <xf numFmtId="0" fontId="53" fillId="0" borderId="0">
      <protection locked="0"/>
    </xf>
    <xf numFmtId="266" fontId="53" fillId="0" borderId="0">
      <protection locked="0"/>
    </xf>
    <xf numFmtId="266" fontId="53" fillId="0" borderId="0">
      <protection locked="0"/>
    </xf>
    <xf numFmtId="0" fontId="53" fillId="0" borderId="0">
      <protection locked="0"/>
    </xf>
    <xf numFmtId="266" fontId="53" fillId="0" borderId="0">
      <protection locked="0"/>
    </xf>
    <xf numFmtId="266" fontId="53" fillId="0" borderId="0">
      <protection locked="0"/>
    </xf>
    <xf numFmtId="0" fontId="82" fillId="0" borderId="0">
      <protection locked="0"/>
    </xf>
    <xf numFmtId="266" fontId="53" fillId="0" borderId="0">
      <protection locked="0"/>
    </xf>
    <xf numFmtId="266" fontId="53" fillId="0" borderId="0">
      <protection locked="0"/>
    </xf>
    <xf numFmtId="0" fontId="53" fillId="0" borderId="0">
      <protection locked="0"/>
    </xf>
    <xf numFmtId="266" fontId="53" fillId="0" borderId="0">
      <protection locked="0"/>
    </xf>
    <xf numFmtId="266" fontId="53" fillId="0" borderId="0">
      <protection locked="0"/>
    </xf>
    <xf numFmtId="0" fontId="53" fillId="0" borderId="0">
      <protection locked="0"/>
    </xf>
    <xf numFmtId="266" fontId="53" fillId="0" borderId="0">
      <protection locked="0"/>
    </xf>
    <xf numFmtId="266" fontId="53" fillId="0" borderId="0">
      <protection locked="0"/>
    </xf>
    <xf numFmtId="0" fontId="53" fillId="0" borderId="0">
      <protection locked="0"/>
    </xf>
    <xf numFmtId="266" fontId="53" fillId="0" borderId="0">
      <protection locked="0"/>
    </xf>
    <xf numFmtId="266" fontId="53" fillId="0" borderId="0">
      <protection locked="0"/>
    </xf>
    <xf numFmtId="0" fontId="82" fillId="0" borderId="0">
      <protection locked="0"/>
    </xf>
    <xf numFmtId="266" fontId="53" fillId="0" borderId="0">
      <protection locked="0"/>
    </xf>
    <xf numFmtId="266" fontId="53" fillId="0" borderId="0">
      <protection locked="0"/>
    </xf>
    <xf numFmtId="252" fontId="2" fillId="0" borderId="0">
      <protection locked="0"/>
    </xf>
    <xf numFmtId="0" fontId="75" fillId="0" borderId="0" applyNumberFormat="0" applyFill="0" applyBorder="0" applyAlignment="0" applyProtection="0"/>
    <xf numFmtId="2" fontId="83" fillId="0" borderId="0">
      <alignment horizontal="left"/>
    </xf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228" fontId="2" fillId="0" borderId="0" applyNumberFormat="0" applyFill="0" applyBorder="0" applyProtection="0">
      <alignment horizontal="right"/>
    </xf>
    <xf numFmtId="0" fontId="63" fillId="0" borderId="0">
      <alignment horizontal="left"/>
    </xf>
    <xf numFmtId="0" fontId="63" fillId="0" borderId="0">
      <alignment horizontal="left"/>
    </xf>
    <xf numFmtId="0" fontId="52" fillId="0" borderId="0">
      <protection locked="0"/>
    </xf>
    <xf numFmtId="0" fontId="52" fillId="0" borderId="0">
      <protection locked="0"/>
    </xf>
    <xf numFmtId="255" fontId="52" fillId="0" borderId="0">
      <protection locked="0"/>
    </xf>
    <xf numFmtId="255" fontId="52" fillId="0" borderId="0">
      <protection locked="0"/>
    </xf>
    <xf numFmtId="0" fontId="84" fillId="0" borderId="2">
      <alignment horizontal="center"/>
    </xf>
    <xf numFmtId="0" fontId="84" fillId="0" borderId="0">
      <alignment horizontal="center"/>
    </xf>
    <xf numFmtId="0" fontId="138" fillId="0" borderId="0" applyNumberFormat="0" applyFill="0" applyBorder="0" applyAlignment="0" applyProtection="0"/>
    <xf numFmtId="0" fontId="85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0" fontId="27" fillId="2" borderId="1" applyNumberFormat="0" applyBorder="0" applyAlignment="0" applyProtection="0"/>
    <xf numFmtId="10" fontId="27" fillId="2" borderId="1" applyNumberFormat="0" applyBorder="0" applyAlignment="0" applyProtection="0"/>
    <xf numFmtId="287" fontId="139" fillId="7" borderId="0"/>
    <xf numFmtId="262" fontId="31" fillId="0" borderId="1">
      <alignment vertical="center"/>
    </xf>
    <xf numFmtId="229" fontId="2" fillId="0" borderId="0" applyFill="0" applyBorder="0" applyAlignment="0"/>
    <xf numFmtId="289" fontId="91" fillId="0" borderId="0" applyFill="0" applyBorder="0" applyAlignment="0"/>
    <xf numFmtId="289" fontId="91" fillId="0" borderId="0" applyFill="0" applyBorder="0" applyAlignment="0"/>
    <xf numFmtId="233" fontId="2" fillId="0" borderId="0" applyFill="0" applyBorder="0" applyAlignment="0"/>
    <xf numFmtId="178" fontId="9" fillId="0" borderId="0" applyFill="0" applyBorder="0" applyAlignment="0"/>
    <xf numFmtId="178" fontId="9" fillId="0" borderId="0" applyFill="0" applyBorder="0" applyAlignment="0"/>
    <xf numFmtId="229" fontId="2" fillId="0" borderId="0" applyFill="0" applyBorder="0" applyAlignment="0"/>
    <xf numFmtId="289" fontId="91" fillId="0" borderId="0" applyFill="0" applyBorder="0" applyAlignment="0"/>
    <xf numFmtId="289" fontId="91" fillId="0" borderId="0" applyFill="0" applyBorder="0" applyAlignment="0"/>
    <xf numFmtId="232" fontId="2" fillId="0" borderId="0" applyFill="0" applyBorder="0" applyAlignment="0"/>
    <xf numFmtId="292" fontId="91" fillId="0" borderId="0" applyFill="0" applyBorder="0" applyAlignment="0"/>
    <xf numFmtId="292" fontId="91" fillId="0" borderId="0" applyFill="0" applyBorder="0" applyAlignment="0"/>
    <xf numFmtId="233" fontId="2" fillId="0" borderId="0" applyFill="0" applyBorder="0" applyAlignment="0"/>
    <xf numFmtId="178" fontId="9" fillId="0" borderId="0" applyFill="0" applyBorder="0" applyAlignment="0"/>
    <xf numFmtId="178" fontId="9" fillId="0" borderId="0" applyFill="0" applyBorder="0" applyAlignment="0"/>
    <xf numFmtId="287" fontId="140" fillId="8" borderId="0"/>
    <xf numFmtId="261" fontId="31" fillId="0" borderId="1">
      <alignment horizontal="right" vertical="center"/>
    </xf>
    <xf numFmtId="260" fontId="31" fillId="0" borderId="1">
      <alignment vertical="center"/>
    </xf>
    <xf numFmtId="258" fontId="31" fillId="0" borderId="1">
      <alignment vertical="center"/>
    </xf>
    <xf numFmtId="263" fontId="141" fillId="0" borderId="0">
      <alignment horizontal="left"/>
    </xf>
    <xf numFmtId="0" fontId="142" fillId="0" borderId="0"/>
    <xf numFmtId="0" fontId="139" fillId="0" borderId="0"/>
    <xf numFmtId="0" fontId="142" fillId="0" borderId="0"/>
    <xf numFmtId="0" fontId="139" fillId="0" borderId="0"/>
    <xf numFmtId="0" fontId="143" fillId="0" borderId="0"/>
    <xf numFmtId="38" fontId="54" fillId="0" borderId="0" applyFont="0" applyFill="0" applyBorder="0" applyAlignment="0" applyProtection="0"/>
    <xf numFmtId="40" fontId="54" fillId="0" borderId="0" applyFont="0" applyFill="0" applyBorder="0" applyAlignment="0" applyProtection="0"/>
    <xf numFmtId="267" fontId="54" fillId="0" borderId="0" applyFont="0" applyFill="0" applyBorder="0" applyAlignment="0" applyProtection="0"/>
    <xf numFmtId="268" fontId="5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44" fillId="0" borderId="0" applyFont="0" applyFill="0" applyBorder="0" applyAlignment="0" applyProtection="0"/>
    <xf numFmtId="37" fontId="86" fillId="0" borderId="0"/>
    <xf numFmtId="0" fontId="9" fillId="0" borderId="0"/>
    <xf numFmtId="0" fontId="142" fillId="0" borderId="0"/>
    <xf numFmtId="0" fontId="139" fillId="0" borderId="0"/>
    <xf numFmtId="0" fontId="139" fillId="0" borderId="0"/>
    <xf numFmtId="222" fontId="19" fillId="0" borderId="0"/>
    <xf numFmtId="246" fontId="2" fillId="0" borderId="0"/>
    <xf numFmtId="246" fontId="2" fillId="0" borderId="0"/>
    <xf numFmtId="213" fontId="20" fillId="0" borderId="0">
      <alignment vertical="center"/>
    </xf>
    <xf numFmtId="14" fontId="77" fillId="0" borderId="0">
      <alignment horizontal="center" wrapText="1"/>
      <protection locked="0"/>
    </xf>
    <xf numFmtId="251" fontId="2" fillId="0" borderId="0">
      <protection locked="0"/>
    </xf>
    <xf numFmtId="238" fontId="19" fillId="0" borderId="0" applyFont="0" applyFill="0" applyBorder="0" applyAlignment="0" applyProtection="0"/>
    <xf numFmtId="291" fontId="91" fillId="0" borderId="0" applyFont="0" applyFill="0" applyBorder="0" applyAlignment="0" applyProtection="0"/>
    <xf numFmtId="295" fontId="91" fillId="0" borderId="0" applyFont="0" applyFill="0" applyBorder="0" applyAlignment="0" applyProtection="0"/>
    <xf numFmtId="293" fontId="91" fillId="0" borderId="0" applyFont="0" applyFill="0" applyBorder="0" applyAlignment="0" applyProtection="0"/>
    <xf numFmtId="289" fontId="91" fillId="0" borderId="0" applyFill="0" applyBorder="0" applyAlignment="0"/>
    <xf numFmtId="178" fontId="9" fillId="0" borderId="0" applyFill="0" applyBorder="0" applyAlignment="0"/>
    <xf numFmtId="289" fontId="91" fillId="0" borderId="0" applyFill="0" applyBorder="0" applyAlignment="0"/>
    <xf numFmtId="292" fontId="91" fillId="0" borderId="0" applyFill="0" applyBorder="0" applyAlignment="0"/>
    <xf numFmtId="178" fontId="9" fillId="0" borderId="0" applyFill="0" applyBorder="0" applyAlignment="0"/>
    <xf numFmtId="0" fontId="145" fillId="3" borderId="0" applyNumberFormat="0">
      <alignment vertical="center"/>
    </xf>
    <xf numFmtId="284" fontId="146" fillId="0" borderId="0"/>
    <xf numFmtId="0" fontId="54" fillId="0" borderId="0" applyNumberFormat="0" applyFont="0" applyFill="0" applyBorder="0" applyAlignment="0" applyProtection="0">
      <alignment horizontal="left"/>
    </xf>
    <xf numFmtId="0" fontId="147" fillId="9" borderId="0" applyNumberFormat="0" applyFont="0" applyBorder="0" applyAlignment="0">
      <alignment horizontal="center"/>
    </xf>
    <xf numFmtId="0" fontId="9" fillId="0" borderId="0"/>
    <xf numFmtId="189" fontId="20" fillId="0" borderId="0">
      <alignment vertical="center"/>
    </xf>
    <xf numFmtId="0" fontId="147" fillId="1" borderId="25" applyNumberFormat="0" applyFont="0" applyAlignment="0">
      <alignment horizontal="center"/>
    </xf>
    <xf numFmtId="0" fontId="148" fillId="0" borderId="0" applyNumberFormat="0" applyFill="0" applyBorder="0" applyAlignment="0">
      <alignment horizontal="center"/>
    </xf>
    <xf numFmtId="189" fontId="20" fillId="0" borderId="0">
      <alignment vertical="distributed"/>
    </xf>
    <xf numFmtId="0" fontId="54" fillId="0" borderId="0"/>
    <xf numFmtId="0" fontId="149" fillId="0" borderId="0">
      <alignment horizontal="center" vertical="center"/>
    </xf>
    <xf numFmtId="0" fontId="150" fillId="0" borderId="0"/>
    <xf numFmtId="264" fontId="151" fillId="0" borderId="0">
      <alignment horizontal="center"/>
    </xf>
    <xf numFmtId="49" fontId="81" fillId="0" borderId="0" applyFill="0" applyBorder="0" applyAlignment="0"/>
    <xf numFmtId="293" fontId="91" fillId="0" borderId="0" applyFill="0" applyBorder="0" applyAlignment="0"/>
    <xf numFmtId="294" fontId="91" fillId="0" borderId="0" applyFill="0" applyBorder="0" applyAlignment="0"/>
    <xf numFmtId="0" fontId="152" fillId="3" borderId="0">
      <alignment horizontal="centerContinuous"/>
    </xf>
    <xf numFmtId="0" fontId="17" fillId="0" borderId="0" applyFill="0" applyBorder="0" applyProtection="0">
      <alignment horizontal="centerContinuous" vertical="center"/>
    </xf>
    <xf numFmtId="0" fontId="26" fillId="2" borderId="0" applyFill="0" applyBorder="0" applyProtection="0">
      <alignment horizontal="center" vertical="center"/>
    </xf>
    <xf numFmtId="0" fontId="153" fillId="0" borderId="0"/>
    <xf numFmtId="0" fontId="53" fillId="0" borderId="114">
      <protection locked="0"/>
    </xf>
    <xf numFmtId="0" fontId="11" fillId="0" borderId="43">
      <alignment horizontal="left"/>
    </xf>
    <xf numFmtId="0" fontId="54" fillId="0" borderId="0"/>
    <xf numFmtId="0" fontId="154" fillId="0" borderId="0" applyNumberFormat="0" applyFill="0" applyBorder="0" applyAlignment="0" applyProtection="0">
      <alignment vertical="top"/>
      <protection locked="0"/>
    </xf>
    <xf numFmtId="297" fontId="2" fillId="0" borderId="0" applyFont="0" applyFill="0" applyBorder="0" applyAlignment="0" applyProtection="0"/>
    <xf numFmtId="0" fontId="155" fillId="0" borderId="0" applyNumberFormat="0" applyFill="0" applyBorder="0" applyAlignment="0" applyProtection="0">
      <alignment vertical="top"/>
      <protection locked="0"/>
    </xf>
    <xf numFmtId="188" fontId="2" fillId="0" borderId="0" applyFont="0" applyFill="0" applyBorder="0" applyAlignment="0" applyProtection="0">
      <alignment vertical="center"/>
    </xf>
    <xf numFmtId="314" fontId="31" fillId="0" borderId="1">
      <alignment vertical="center"/>
    </xf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5" fillId="0" borderId="0" applyFont="0" applyFill="0" applyBorder="0" applyAlignment="0" applyProtection="0"/>
    <xf numFmtId="0" fontId="19" fillId="0" borderId="0"/>
    <xf numFmtId="0" fontId="19" fillId="0" borderId="0"/>
    <xf numFmtId="0" fontId="15" fillId="0" borderId="0" applyFont="0" applyFill="0" applyBorder="0" applyAlignment="0" applyProtection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5" fillId="0" borderId="0" applyFont="0" applyFill="0" applyBorder="0" applyAlignment="0" applyProtection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87" fontId="2" fillId="0" borderId="0" applyFont="0" applyFill="0" applyBorder="0" applyProtection="0">
      <alignment vertical="center"/>
    </xf>
    <xf numFmtId="310" fontId="2" fillId="0" borderId="0">
      <alignment vertical="center"/>
    </xf>
    <xf numFmtId="224" fontId="2" fillId="0" borderId="0" applyFont="0" applyFill="0" applyBorder="0" applyAlignment="0" applyProtection="0">
      <alignment vertical="center"/>
    </xf>
    <xf numFmtId="304" fontId="9" fillId="0" borderId="0">
      <alignment vertical="center"/>
    </xf>
    <xf numFmtId="0" fontId="159" fillId="0" borderId="113"/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279" fontId="5" fillId="0" borderId="0">
      <alignment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279" fontId="5" fillId="0" borderId="0">
      <alignment vertical="center"/>
    </xf>
    <xf numFmtId="3" fontId="50" fillId="0" borderId="13">
      <alignment horizontal="right" vertical="center"/>
    </xf>
    <xf numFmtId="3" fontId="50" fillId="0" borderId="13">
      <alignment horizontal="right" vertical="center"/>
    </xf>
    <xf numFmtId="279" fontId="5" fillId="0" borderId="0">
      <alignment vertical="center"/>
    </xf>
    <xf numFmtId="279" fontId="5" fillId="0" borderId="0">
      <alignment vertical="center"/>
    </xf>
    <xf numFmtId="279" fontId="5" fillId="0" borderId="0">
      <alignment vertical="center"/>
    </xf>
    <xf numFmtId="279" fontId="5" fillId="0" borderId="0">
      <alignment vertical="center"/>
    </xf>
    <xf numFmtId="3" fontId="50" fillId="0" borderId="13">
      <alignment horizontal="right"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316" fontId="31" fillId="0" borderId="21" applyBorder="0">
      <alignment vertical="center" wrapText="1"/>
    </xf>
    <xf numFmtId="2" fontId="50" fillId="0" borderId="13">
      <alignment horizontal="right" vertical="center"/>
    </xf>
    <xf numFmtId="2" fontId="50" fillId="0" borderId="13">
      <alignment horizontal="right" vertical="center"/>
    </xf>
    <xf numFmtId="9" fontId="9" fillId="0" borderId="0">
      <protection locked="0"/>
    </xf>
    <xf numFmtId="49" fontId="31" fillId="0" borderId="1">
      <alignment horizontal="center" vertical="center"/>
    </xf>
    <xf numFmtId="318" fontId="31" fillId="0" borderId="1">
      <alignment vertical="center"/>
    </xf>
    <xf numFmtId="313" fontId="31" fillId="0" borderId="1">
      <alignment vertical="center"/>
    </xf>
    <xf numFmtId="313" fontId="31" fillId="0" borderId="1">
      <alignment vertical="center"/>
    </xf>
    <xf numFmtId="317" fontId="31" fillId="0" borderId="1">
      <alignment vertical="center"/>
    </xf>
    <xf numFmtId="307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110" fillId="0" borderId="17">
      <alignment horizontal="center" vertical="center"/>
    </xf>
    <xf numFmtId="220" fontId="2" fillId="0" borderId="0" applyNumberFormat="0" applyFill="0" applyBorder="0" applyAlignment="0">
      <alignment horizontal="left"/>
    </xf>
    <xf numFmtId="9" fontId="68" fillId="0" borderId="0" applyNumberFormat="0" applyFill="0" applyBorder="0" applyAlignment="0" applyProtection="0"/>
    <xf numFmtId="0" fontId="2" fillId="0" borderId="0"/>
    <xf numFmtId="0" fontId="53" fillId="0" borderId="0">
      <protection locked="0"/>
    </xf>
    <xf numFmtId="3" fontId="54" fillId="0" borderId="19">
      <alignment horizontal="center"/>
    </xf>
    <xf numFmtId="0" fontId="53" fillId="0" borderId="0">
      <protection locked="0"/>
    </xf>
    <xf numFmtId="0" fontId="160" fillId="0" borderId="0" applyNumberFormat="0" applyFill="0" applyBorder="0" applyAlignment="0" applyProtection="0">
      <alignment vertical="top"/>
      <protection locked="0"/>
    </xf>
    <xf numFmtId="319" fontId="31" fillId="0" borderId="0">
      <alignment vertical="center"/>
    </xf>
    <xf numFmtId="319" fontId="31" fillId="0" borderId="0">
      <alignment vertical="center"/>
    </xf>
    <xf numFmtId="0" fontId="20" fillId="0" borderId="0" applyNumberFormat="0" applyFont="0" applyFill="0" applyBorder="0" applyProtection="0">
      <alignment horizontal="distributed" vertical="center" justifyLastLine="1"/>
    </xf>
    <xf numFmtId="10" fontId="14" fillId="0" borderId="0">
      <alignment vertical="center"/>
    </xf>
    <xf numFmtId="323" fontId="9" fillId="0" borderId="0" applyFont="0" applyFill="0" applyBorder="0" applyProtection="0">
      <alignment horizontal="center" vertical="center"/>
    </xf>
    <xf numFmtId="324" fontId="9" fillId="0" borderId="0" applyFont="0" applyFill="0" applyBorder="0" applyProtection="0">
      <alignment horizontal="center" vertical="center"/>
    </xf>
    <xf numFmtId="322" fontId="9" fillId="0" borderId="0" applyFont="0" applyFill="0" applyBorder="0" applyAlignment="0" applyProtection="0"/>
    <xf numFmtId="238" fontId="20" fillId="0" borderId="0" applyFont="0" applyFill="0" applyBorder="0" applyAlignment="0" applyProtection="0"/>
    <xf numFmtId="0" fontId="12" fillId="0" borderId="0" applyNumberFormat="0" applyFont="0" applyFill="0" applyBorder="0" applyProtection="0">
      <alignment horizontal="centerContinuous" vertical="center"/>
    </xf>
    <xf numFmtId="0" fontId="37" fillId="0" borderId="0" applyNumberFormat="0" applyFont="0" applyFill="0" applyBorder="0" applyProtection="0">
      <alignment horizontal="centerContinuous" vertical="center"/>
    </xf>
    <xf numFmtId="0" fontId="20" fillId="0" borderId="0" applyNumberFormat="0" applyFont="0" applyFill="0" applyBorder="0" applyProtection="0">
      <alignment horizontal="centerContinuous" vertical="center"/>
    </xf>
    <xf numFmtId="185" fontId="37" fillId="0" borderId="0" applyNumberFormat="0" applyFont="0" applyFill="0" applyBorder="0" applyProtection="0">
      <alignment horizontal="centerContinuous" vertical="center"/>
    </xf>
    <xf numFmtId="329" fontId="161" fillId="0" borderId="0">
      <alignment vertical="center"/>
    </xf>
    <xf numFmtId="0" fontId="37" fillId="0" borderId="0" applyFont="0" applyFill="0" applyBorder="0" applyProtection="0">
      <alignment horizontal="centerContinuous" vertical="center"/>
    </xf>
    <xf numFmtId="226" fontId="162" fillId="0" borderId="0" applyFont="0" applyFill="0" applyBorder="0" applyProtection="0">
      <alignment horizontal="centerContinuous" vertical="center"/>
    </xf>
    <xf numFmtId="0" fontId="31" fillId="0" borderId="9">
      <alignment vertical="center"/>
    </xf>
    <xf numFmtId="315" fontId="31" fillId="0" borderId="1" applyBorder="0">
      <alignment horizontal="left" vertical="center"/>
    </xf>
    <xf numFmtId="184" fontId="158" fillId="0" borderId="17" applyNumberFormat="0" applyFont="0" applyFill="0" applyAlignment="0" applyProtection="0">
      <alignment horizontal="center" vertical="center"/>
    </xf>
    <xf numFmtId="0" fontId="37" fillId="0" borderId="0" applyNumberFormat="0" applyFont="0" applyFill="0" applyBorder="0" applyProtection="0">
      <alignment vertical="center"/>
    </xf>
    <xf numFmtId="0" fontId="102" fillId="0" borderId="0" applyNumberFormat="0" applyBorder="0" applyAlignment="0">
      <alignment horizontal="centerContinuous" vertical="center"/>
    </xf>
    <xf numFmtId="4" fontId="53" fillId="0" borderId="0">
      <protection locked="0"/>
    </xf>
    <xf numFmtId="3" fontId="157" fillId="0" borderId="0" applyFont="0" applyFill="0" applyBorder="0" applyAlignment="0" applyProtection="0"/>
    <xf numFmtId="325" fontId="9" fillId="0" borderId="0" applyFont="0" applyFill="0" applyBorder="0" applyProtection="0">
      <alignment vertical="center"/>
    </xf>
    <xf numFmtId="38" fontId="20" fillId="0" borderId="0" applyFont="0" applyFill="0" applyBorder="0" applyProtection="0">
      <alignment vertical="center"/>
    </xf>
    <xf numFmtId="193" fontId="6" fillId="2" borderId="0" applyFill="0" applyBorder="0" applyProtection="0">
      <alignment horizontal="right"/>
    </xf>
    <xf numFmtId="38" fontId="20" fillId="0" borderId="0" applyFont="0" applyFill="0" applyBorder="0" applyAlignment="0" applyProtection="0">
      <alignment vertical="center"/>
    </xf>
    <xf numFmtId="178" fontId="20" fillId="0" borderId="0" applyFont="0" applyFill="0" applyBorder="0" applyAlignment="0" applyProtection="0">
      <alignment vertical="center"/>
    </xf>
    <xf numFmtId="38" fontId="20" fillId="0" borderId="0" applyFill="0" applyBorder="0" applyAlignment="0" applyProtection="0">
      <alignment vertical="center"/>
    </xf>
    <xf numFmtId="180" fontId="18" fillId="0" borderId="1">
      <alignment vertical="center"/>
    </xf>
    <xf numFmtId="328" fontId="54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" fontId="163" fillId="0" borderId="17" applyNumberFormat="0" applyFont="0" applyFill="0" applyAlignment="0" applyProtection="0">
      <alignment vertical="center"/>
    </xf>
    <xf numFmtId="309" fontId="53" fillId="0" borderId="0">
      <protection locked="0"/>
    </xf>
    <xf numFmtId="0" fontId="89" fillId="0" borderId="17">
      <alignment horizontal="center" vertical="center"/>
    </xf>
    <xf numFmtId="0" fontId="89" fillId="0" borderId="17">
      <alignment horizontal="left" vertical="center"/>
    </xf>
    <xf numFmtId="0" fontId="89" fillId="0" borderId="17">
      <alignment vertical="center" textRotation="255"/>
    </xf>
    <xf numFmtId="0" fontId="15" fillId="0" borderId="0" applyProtection="0"/>
    <xf numFmtId="0" fontId="53" fillId="0" borderId="114">
      <protection locked="0"/>
    </xf>
    <xf numFmtId="305" fontId="53" fillId="0" borderId="0">
      <protection locked="0"/>
    </xf>
    <xf numFmtId="326" fontId="53" fillId="0" borderId="0">
      <protection locked="0"/>
    </xf>
    <xf numFmtId="320" fontId="31" fillId="0" borderId="1">
      <alignment vertical="center"/>
    </xf>
    <xf numFmtId="0" fontId="2" fillId="0" borderId="0">
      <protection locked="0"/>
    </xf>
    <xf numFmtId="0" fontId="9" fillId="0" borderId="0" applyFill="0" applyBorder="0" applyAlignment="0"/>
    <xf numFmtId="0" fontId="54" fillId="0" borderId="0" applyFont="0" applyFill="0" applyBorder="0" applyAlignment="0" applyProtection="0"/>
    <xf numFmtId="256" fontId="2" fillId="0" borderId="0"/>
    <xf numFmtId="3" fontId="19" fillId="0" borderId="0" applyFill="0" applyBorder="0" applyAlignment="0" applyProtection="0"/>
    <xf numFmtId="0" fontId="19" fillId="0" borderId="0" applyFont="0" applyFill="0" applyBorder="0" applyAlignment="0" applyProtection="0"/>
    <xf numFmtId="305" fontId="53" fillId="0" borderId="0">
      <protection locked="0"/>
    </xf>
    <xf numFmtId="0" fontId="54" fillId="0" borderId="0" applyFont="0" applyFill="0" applyBorder="0" applyAlignment="0" applyProtection="0"/>
    <xf numFmtId="327" fontId="2" fillId="0" borderId="0"/>
    <xf numFmtId="0" fontId="156" fillId="0" borderId="0"/>
    <xf numFmtId="306" fontId="53" fillId="0" borderId="0">
      <protection locked="0"/>
    </xf>
    <xf numFmtId="257" fontId="2" fillId="0" borderId="0"/>
    <xf numFmtId="312" fontId="31" fillId="0" borderId="1">
      <alignment vertical="center"/>
    </xf>
    <xf numFmtId="223" fontId="2" fillId="0" borderId="0" applyFont="0" applyFill="0" applyBorder="0" applyAlignment="0" applyProtection="0">
      <alignment vertical="center"/>
    </xf>
    <xf numFmtId="0" fontId="164" fillId="0" borderId="0" applyNumberFormat="0" applyFont="0" applyFill="0" applyBorder="0" applyAlignment="0" applyProtection="0"/>
    <xf numFmtId="0" fontId="164" fillId="0" borderId="0" applyNumberFormat="0" applyFont="0" applyFill="0" applyBorder="0" applyAlignment="0" applyProtection="0"/>
    <xf numFmtId="0" fontId="164" fillId="0" borderId="0" applyNumberFormat="0" applyFont="0" applyFill="0" applyBorder="0" applyAlignment="0" applyProtection="0"/>
    <xf numFmtId="0" fontId="164" fillId="0" borderId="0" applyNumberFormat="0" applyFont="0" applyFill="0" applyBorder="0" applyAlignment="0" applyProtection="0"/>
    <xf numFmtId="0" fontId="164" fillId="0" borderId="0" applyNumberFormat="0" applyFont="0" applyFill="0" applyBorder="0" applyAlignment="0" applyProtection="0"/>
    <xf numFmtId="0" fontId="164" fillId="0" borderId="0" applyNumberFormat="0" applyFont="0" applyFill="0" applyBorder="0" applyAlignment="0" applyProtection="0"/>
    <xf numFmtId="0" fontId="164" fillId="0" borderId="0" applyNumberFormat="0" applyFont="0" applyFill="0" applyBorder="0" applyAlignment="0" applyProtection="0"/>
    <xf numFmtId="307" fontId="53" fillId="0" borderId="0">
      <protection locked="0"/>
    </xf>
    <xf numFmtId="0" fontId="165" fillId="0" borderId="0" applyNumberFormat="0" applyFill="0" applyBorder="0" applyAlignment="0" applyProtection="0">
      <alignment vertical="top"/>
      <protection locked="0"/>
    </xf>
    <xf numFmtId="38" fontId="27" fillId="2" borderId="0" applyNumberFormat="0" applyBorder="0" applyAlignment="0" applyProtection="0"/>
    <xf numFmtId="0" fontId="63" fillId="0" borderId="0">
      <alignment horizontal="left"/>
    </xf>
    <xf numFmtId="0" fontId="166" fillId="0" borderId="0" applyNumberFormat="0" applyFill="0" applyBorder="0" applyAlignment="0" applyProtection="0">
      <alignment vertical="top"/>
      <protection locked="0"/>
    </xf>
    <xf numFmtId="10" fontId="27" fillId="2" borderId="1" applyNumberFormat="0" applyBorder="0" applyAlignment="0" applyProtection="0"/>
    <xf numFmtId="321" fontId="31" fillId="0" borderId="1">
      <alignment vertical="center"/>
    </xf>
    <xf numFmtId="261" fontId="31" fillId="0" borderId="1">
      <alignment horizontal="right" vertical="center"/>
    </xf>
    <xf numFmtId="0" fontId="31" fillId="0" borderId="1">
      <alignment horizontal="right" vertical="center"/>
    </xf>
    <xf numFmtId="261" fontId="31" fillId="0" borderId="1">
      <alignment horizontal="right" vertical="center"/>
    </xf>
    <xf numFmtId="0" fontId="19" fillId="0" borderId="0" applyNumberFormat="0" applyFill="0" applyBorder="0" applyAlignment="0" applyProtection="0"/>
    <xf numFmtId="308" fontId="15" fillId="0" borderId="0"/>
    <xf numFmtId="309" fontId="53" fillId="0" borderId="0">
      <protection locked="0"/>
    </xf>
    <xf numFmtId="49" fontId="37" fillId="0" borderId="0" applyBorder="0">
      <alignment horizontal="right"/>
    </xf>
    <xf numFmtId="49" fontId="167" fillId="0" borderId="0" applyFill="0" applyBorder="0" applyProtection="0">
      <alignment horizontal="centerContinuous" vertical="center"/>
    </xf>
    <xf numFmtId="311" fontId="31" fillId="0" borderId="1">
      <alignment vertical="center"/>
    </xf>
    <xf numFmtId="255" fontId="53" fillId="0" borderId="105">
      <protection locked="0"/>
    </xf>
    <xf numFmtId="41" fontId="2" fillId="0" borderId="0" applyFont="0" applyFill="0" applyBorder="0" applyAlignment="0" applyProtection="0">
      <alignment vertical="center"/>
    </xf>
    <xf numFmtId="255" fontId="53" fillId="0" borderId="0">
      <protection locked="0"/>
    </xf>
    <xf numFmtId="213" fontId="156" fillId="0" borderId="0" applyFont="0" applyFill="0" applyBorder="0" applyAlignment="0" applyProtection="0"/>
    <xf numFmtId="0" fontId="31" fillId="0" borderId="24">
      <alignment horizontal="centerContinuous" vertical="center"/>
    </xf>
    <xf numFmtId="303" fontId="9" fillId="0" borderId="0">
      <alignment vertical="center"/>
    </xf>
    <xf numFmtId="4" fontId="9" fillId="0" borderId="0">
      <alignment vertical="center"/>
    </xf>
    <xf numFmtId="240" fontId="9" fillId="0" borderId="0">
      <alignment vertical="center"/>
    </xf>
    <xf numFmtId="40" fontId="54" fillId="0" borderId="0" applyFont="0" applyFill="0" applyBorder="0" applyAlignment="0" applyProtection="0"/>
    <xf numFmtId="40" fontId="5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8" fillId="0" borderId="0"/>
    <xf numFmtId="0" fontId="19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56" fillId="0" borderId="0"/>
    <xf numFmtId="0" fontId="2" fillId="0" borderId="0"/>
    <xf numFmtId="0" fontId="19" fillId="0" borderId="0"/>
    <xf numFmtId="0" fontId="168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28" fillId="0" borderId="0"/>
    <xf numFmtId="0" fontId="19" fillId="0" borderId="0"/>
    <xf numFmtId="0" fontId="156" fillId="0" borderId="0"/>
    <xf numFmtId="0" fontId="19" fillId="0" borderId="0"/>
    <xf numFmtId="0" fontId="54" fillId="0" borderId="0"/>
    <xf numFmtId="0" fontId="54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68" fillId="0" borderId="0"/>
    <xf numFmtId="0" fontId="168" fillId="0" borderId="0"/>
    <xf numFmtId="0" fontId="156" fillId="0" borderId="0"/>
    <xf numFmtId="0" fontId="168" fillId="0" borderId="0"/>
    <xf numFmtId="9" fontId="90" fillId="0" borderId="0" applyFont="0" applyFill="0" applyBorder="0" applyAlignment="0" applyProtection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6" fillId="0" borderId="0"/>
    <xf numFmtId="0" fontId="19" fillId="0" borderId="0"/>
    <xf numFmtId="0" fontId="54" fillId="0" borderId="0"/>
    <xf numFmtId="0" fontId="54" fillId="0" borderId="0"/>
    <xf numFmtId="0" fontId="19" fillId="0" borderId="0"/>
    <xf numFmtId="0" fontId="2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9" fillId="0" borderId="0"/>
    <xf numFmtId="0" fontId="19" fillId="0" borderId="0"/>
    <xf numFmtId="0" fontId="28" fillId="0" borderId="0"/>
    <xf numFmtId="0" fontId="168" fillId="0" borderId="0"/>
    <xf numFmtId="0" fontId="168" fillId="0" borderId="0"/>
    <xf numFmtId="0" fontId="168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168" fillId="0" borderId="0"/>
    <xf numFmtId="0" fontId="168" fillId="0" borderId="0"/>
    <xf numFmtId="0" fontId="2" fillId="0" borderId="0"/>
    <xf numFmtId="0" fontId="2" fillId="0" borderId="0"/>
    <xf numFmtId="0" fontId="1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54" fillId="0" borderId="0"/>
    <xf numFmtId="0" fontId="19" fillId="0" borderId="0"/>
    <xf numFmtId="0" fontId="19" fillId="0" borderId="0"/>
    <xf numFmtId="0" fontId="19" fillId="0" borderId="0"/>
    <xf numFmtId="9" fontId="90" fillId="0" borderId="0" applyFont="0" applyFill="0" applyBorder="0" applyAlignment="0" applyProtection="0"/>
    <xf numFmtId="0" fontId="19" fillId="0" borderId="0"/>
    <xf numFmtId="0" fontId="19" fillId="0" borderId="0"/>
    <xf numFmtId="0" fontId="168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0" fillId="0" borderId="0" applyFont="0" applyFill="0" applyBorder="0" applyAlignment="0" applyProtection="0"/>
    <xf numFmtId="0" fontId="19" fillId="0" borderId="0"/>
    <xf numFmtId="0" fontId="156" fillId="0" borderId="0"/>
    <xf numFmtId="0" fontId="156" fillId="0" borderId="0"/>
    <xf numFmtId="0" fontId="156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2" fillId="0" borderId="0"/>
    <xf numFmtId="0" fontId="2" fillId="0" borderId="0"/>
    <xf numFmtId="43" fontId="90" fillId="0" borderId="0" applyFont="0" applyFill="0" applyBorder="0" applyAlignment="0" applyProtection="0"/>
    <xf numFmtId="330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330" fontId="90" fillId="0" borderId="0" applyFont="0" applyFill="0" applyBorder="0" applyAlignment="0" applyProtection="0"/>
    <xf numFmtId="330" fontId="90" fillId="0" borderId="0" applyFont="0" applyFill="0" applyBorder="0" applyAlignment="0" applyProtection="0"/>
    <xf numFmtId="0" fontId="9" fillId="0" borderId="0" applyFont="0" applyFill="0" applyBorder="0" applyAlignment="0" applyProtection="0"/>
    <xf numFmtId="41" fontId="90" fillId="0" borderId="0" applyFont="0" applyFill="0" applyBorder="0" applyAlignment="0" applyProtection="0"/>
    <xf numFmtId="330" fontId="90" fillId="0" borderId="0" applyFont="0" applyFill="0" applyBorder="0" applyAlignment="0" applyProtection="0"/>
    <xf numFmtId="331" fontId="90" fillId="0" borderId="0" applyFont="0" applyFill="0" applyBorder="0" applyAlignment="0" applyProtection="0"/>
    <xf numFmtId="41" fontId="90" fillId="0" borderId="0" applyFont="0" applyFill="0" applyBorder="0" applyAlignment="0" applyProtection="0"/>
    <xf numFmtId="331" fontId="90" fillId="0" borderId="0" applyFont="0" applyFill="0" applyBorder="0" applyAlignment="0" applyProtection="0"/>
    <xf numFmtId="331" fontId="90" fillId="0" borderId="0" applyFont="0" applyFill="0" applyBorder="0" applyAlignment="0" applyProtection="0"/>
    <xf numFmtId="331" fontId="90" fillId="0" borderId="0" applyFont="0" applyFill="0" applyBorder="0" applyAlignment="0" applyProtection="0"/>
    <xf numFmtId="41" fontId="90" fillId="0" borderId="0" applyFont="0" applyFill="0" applyBorder="0" applyAlignment="0" applyProtection="0"/>
    <xf numFmtId="41" fontId="90" fillId="0" borderId="0" applyFont="0" applyFill="0" applyBorder="0" applyAlignment="0" applyProtection="0"/>
    <xf numFmtId="41" fontId="90" fillId="0" borderId="0" applyFont="0" applyFill="0" applyBorder="0" applyAlignment="0" applyProtection="0"/>
    <xf numFmtId="41" fontId="90" fillId="0" borderId="0" applyFont="0" applyFill="0" applyBorder="0" applyAlignment="0" applyProtection="0"/>
    <xf numFmtId="331" fontId="90" fillId="0" borderId="0" applyFont="0" applyFill="0" applyBorder="0" applyAlignment="0" applyProtection="0"/>
    <xf numFmtId="331" fontId="90" fillId="0" borderId="0" applyFont="0" applyFill="0" applyBorder="0" applyAlignment="0" applyProtection="0"/>
    <xf numFmtId="331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330" fontId="90" fillId="0" borderId="0" applyFont="0" applyFill="0" applyBorder="0" applyAlignment="0" applyProtection="0"/>
    <xf numFmtId="330" fontId="90" fillId="0" borderId="0" applyFont="0" applyFill="0" applyBorder="0" applyAlignment="0" applyProtection="0"/>
    <xf numFmtId="330" fontId="90" fillId="0" borderId="0" applyFont="0" applyFill="0" applyBorder="0" applyAlignment="0" applyProtection="0"/>
    <xf numFmtId="0" fontId="19" fillId="0" borderId="0"/>
    <xf numFmtId="0" fontId="54" fillId="0" borderId="0"/>
    <xf numFmtId="0" fontId="156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9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9" fillId="0" borderId="0"/>
    <xf numFmtId="0" fontId="5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8" fillId="0" borderId="0"/>
    <xf numFmtId="0" fontId="168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28" fillId="0" borderId="0"/>
    <xf numFmtId="0" fontId="168" fillId="0" borderId="0"/>
    <xf numFmtId="0" fontId="156" fillId="0" borderId="0"/>
    <xf numFmtId="0" fontId="19" fillId="0" borderId="0"/>
    <xf numFmtId="0" fontId="54" fillId="0" borderId="0"/>
    <xf numFmtId="0" fontId="19" fillId="0" borderId="0"/>
    <xf numFmtId="0" fontId="19" fillId="0" borderId="0"/>
    <xf numFmtId="0" fontId="54" fillId="0" borderId="0"/>
    <xf numFmtId="0" fontId="54" fillId="0" borderId="0"/>
    <xf numFmtId="0" fontId="19" fillId="0" borderId="0"/>
    <xf numFmtId="0" fontId="54" fillId="0" borderId="0"/>
    <xf numFmtId="0" fontId="19" fillId="0" borderId="0"/>
    <xf numFmtId="0" fontId="54" fillId="0" borderId="0"/>
    <xf numFmtId="0" fontId="19" fillId="0" borderId="0"/>
    <xf numFmtId="0" fontId="54" fillId="0" borderId="0"/>
    <xf numFmtId="0" fontId="156" fillId="0" borderId="0"/>
    <xf numFmtId="0" fontId="54" fillId="0" borderId="0"/>
    <xf numFmtId="0" fontId="19" fillId="0" borderId="0"/>
    <xf numFmtId="0" fontId="156" fillId="0" borderId="0"/>
    <xf numFmtId="0" fontId="19" fillId="0" borderId="0"/>
    <xf numFmtId="0" fontId="19" fillId="0" borderId="0"/>
    <xf numFmtId="0" fontId="5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68" fillId="0" borderId="0"/>
    <xf numFmtId="0" fontId="1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255" fontId="53" fillId="0" borderId="0">
      <protection locked="0"/>
    </xf>
    <xf numFmtId="0" fontId="168" fillId="0" borderId="0"/>
    <xf numFmtId="0" fontId="19" fillId="0" borderId="0"/>
    <xf numFmtId="0" fontId="19" fillId="0" borderId="0"/>
    <xf numFmtId="0" fontId="168" fillId="0" borderId="0"/>
    <xf numFmtId="0" fontId="168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6" fillId="0" borderId="0"/>
    <xf numFmtId="0" fontId="1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56" fillId="0" borderId="0"/>
    <xf numFmtId="0" fontId="19" fillId="0" borderId="0"/>
    <xf numFmtId="0" fontId="19" fillId="0" borderId="0"/>
    <xf numFmtId="0" fontId="19" fillId="0" borderId="0"/>
    <xf numFmtId="0" fontId="9" fillId="0" borderId="0"/>
    <xf numFmtId="0" fontId="101" fillId="0" borderId="0"/>
    <xf numFmtId="0" fontId="156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8" fillId="0" borderId="0"/>
    <xf numFmtId="0" fontId="15" fillId="0" borderId="0"/>
    <xf numFmtId="0" fontId="168" fillId="0" borderId="0" applyFont="0" applyFill="0" applyBorder="0" applyAlignment="0" applyProtection="0"/>
    <xf numFmtId="0" fontId="168" fillId="0" borderId="0" applyFont="0" applyFill="0" applyBorder="0" applyAlignment="0" applyProtection="0"/>
    <xf numFmtId="0" fontId="168" fillId="0" borderId="0" applyFont="0" applyFill="0" applyBorder="0" applyAlignment="0" applyProtection="0"/>
    <xf numFmtId="0" fontId="53" fillId="0" borderId="0">
      <protection locked="0"/>
    </xf>
    <xf numFmtId="0" fontId="169" fillId="0" borderId="0"/>
    <xf numFmtId="0" fontId="170" fillId="0" borderId="0">
      <protection locked="0"/>
    </xf>
    <xf numFmtId="307" fontId="53" fillId="0" borderId="0">
      <protection locked="0"/>
    </xf>
    <xf numFmtId="0" fontId="170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9" fontId="31" fillId="0" borderId="0">
      <alignment vertical="center"/>
    </xf>
    <xf numFmtId="0" fontId="31" fillId="0" borderId="0">
      <alignment vertical="center"/>
    </xf>
    <xf numFmtId="3" fontId="168" fillId="0" borderId="1"/>
    <xf numFmtId="10" fontId="31" fillId="0" borderId="0">
      <alignment vertical="center"/>
    </xf>
    <xf numFmtId="3" fontId="168" fillId="0" borderId="1"/>
    <xf numFmtId="0" fontId="31" fillId="0" borderId="0">
      <alignment vertical="center"/>
    </xf>
    <xf numFmtId="332" fontId="2" fillId="0" borderId="0">
      <alignment vertical="center"/>
    </xf>
    <xf numFmtId="0" fontId="14" fillId="0" borderId="0">
      <alignment vertical="center"/>
    </xf>
    <xf numFmtId="0" fontId="6" fillId="0" borderId="0">
      <alignment horizontal="center" vertical="center"/>
    </xf>
    <xf numFmtId="279" fontId="5" fillId="0" borderId="0">
      <alignment vertical="center"/>
    </xf>
    <xf numFmtId="279" fontId="5" fillId="0" borderId="0">
      <alignment vertical="center"/>
    </xf>
    <xf numFmtId="301" fontId="168" fillId="0" borderId="0">
      <alignment horizontal="center" vertical="center"/>
    </xf>
    <xf numFmtId="301" fontId="168" fillId="0" borderId="0">
      <alignment horizontal="center" vertical="center"/>
    </xf>
    <xf numFmtId="279" fontId="5" fillId="0" borderId="0">
      <alignment vertical="center"/>
    </xf>
    <xf numFmtId="279" fontId="5" fillId="0" borderId="0">
      <alignment vertical="center"/>
    </xf>
    <xf numFmtId="279" fontId="5" fillId="0" borderId="0">
      <alignment vertical="center"/>
    </xf>
    <xf numFmtId="279" fontId="168" fillId="0" borderId="0">
      <alignment vertical="center"/>
    </xf>
    <xf numFmtId="3" fontId="50" fillId="0" borderId="13">
      <alignment horizontal="right" vertical="center"/>
    </xf>
    <xf numFmtId="3" fontId="168" fillId="0" borderId="13">
      <alignment horizontal="right" vertical="center"/>
    </xf>
    <xf numFmtId="279" fontId="5" fillId="0" borderId="0">
      <alignment vertical="center"/>
    </xf>
    <xf numFmtId="279" fontId="5" fillId="0" borderId="0">
      <alignment vertical="center"/>
    </xf>
    <xf numFmtId="279" fontId="5" fillId="0" borderId="0">
      <alignment vertical="center"/>
    </xf>
    <xf numFmtId="204" fontId="2" fillId="0" borderId="0">
      <alignment vertical="center"/>
    </xf>
    <xf numFmtId="204" fontId="2" fillId="0" borderId="0">
      <alignment vertical="center"/>
    </xf>
    <xf numFmtId="3" fontId="50" fillId="0" borderId="13">
      <alignment horizontal="right" vertical="center"/>
    </xf>
    <xf numFmtId="41" fontId="9" fillId="0" borderId="0">
      <alignment horizontal="center" vertical="center"/>
    </xf>
    <xf numFmtId="204" fontId="2" fillId="0" borderId="0">
      <alignment vertical="center"/>
    </xf>
    <xf numFmtId="204" fontId="2" fillId="0" borderId="0">
      <alignment vertical="center"/>
    </xf>
    <xf numFmtId="279" fontId="5" fillId="0" borderId="0">
      <alignment vertical="center"/>
    </xf>
    <xf numFmtId="204" fontId="2" fillId="0" borderId="0">
      <alignment vertical="center"/>
    </xf>
    <xf numFmtId="204" fontId="2" fillId="0" borderId="0">
      <alignment vertical="center"/>
    </xf>
    <xf numFmtId="204" fontId="2" fillId="0" borderId="0">
      <alignment vertical="center"/>
    </xf>
    <xf numFmtId="204" fontId="2" fillId="0" borderId="0">
      <alignment vertical="center"/>
    </xf>
    <xf numFmtId="279" fontId="5" fillId="0" borderId="0">
      <alignment vertical="center"/>
    </xf>
    <xf numFmtId="3" fontId="168" fillId="0" borderId="13">
      <alignment horizontal="right" vertical="center"/>
    </xf>
    <xf numFmtId="279" fontId="5" fillId="0" borderId="0">
      <alignment vertical="center"/>
    </xf>
    <xf numFmtId="333" fontId="2" fillId="0" borderId="0">
      <alignment vertical="center"/>
    </xf>
    <xf numFmtId="333" fontId="2" fillId="0" borderId="0">
      <alignment vertical="center"/>
    </xf>
    <xf numFmtId="279" fontId="5" fillId="0" borderId="0">
      <alignment vertical="center"/>
    </xf>
    <xf numFmtId="3" fontId="50" fillId="0" borderId="13">
      <alignment horizontal="right" vertical="center"/>
    </xf>
    <xf numFmtId="334" fontId="2" fillId="0" borderId="0">
      <alignment vertical="center"/>
    </xf>
    <xf numFmtId="334" fontId="2" fillId="0" borderId="0">
      <alignment vertical="center"/>
    </xf>
    <xf numFmtId="334" fontId="2" fillId="0" borderId="0">
      <alignment vertical="center"/>
    </xf>
    <xf numFmtId="334" fontId="2" fillId="0" borderId="0">
      <alignment vertical="center"/>
    </xf>
    <xf numFmtId="334" fontId="2" fillId="0" borderId="0">
      <alignment vertical="center"/>
    </xf>
    <xf numFmtId="279" fontId="5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168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237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5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241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335" fontId="2" fillId="0" borderId="0">
      <alignment vertical="center"/>
    </xf>
    <xf numFmtId="241" fontId="168" fillId="0" borderId="0">
      <alignment vertical="center"/>
    </xf>
    <xf numFmtId="336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204" fontId="2" fillId="0" borderId="0">
      <alignment vertical="center"/>
    </xf>
    <xf numFmtId="204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204" fontId="2" fillId="0" borderId="0">
      <alignment vertical="center"/>
    </xf>
    <xf numFmtId="204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204" fontId="2" fillId="0" borderId="0">
      <alignment vertical="center"/>
    </xf>
    <xf numFmtId="204" fontId="2" fillId="0" borderId="0">
      <alignment vertical="center"/>
    </xf>
    <xf numFmtId="204" fontId="2" fillId="0" borderId="0">
      <alignment vertical="center"/>
    </xf>
    <xf numFmtId="204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0" fontId="6" fillId="0" borderId="0">
      <alignment vertical="center"/>
    </xf>
    <xf numFmtId="337" fontId="6" fillId="0" borderId="0">
      <alignment vertical="center"/>
    </xf>
    <xf numFmtId="337" fontId="6" fillId="0" borderId="0">
      <alignment vertical="center"/>
    </xf>
    <xf numFmtId="337" fontId="6" fillId="0" borderId="0">
      <alignment vertical="center"/>
    </xf>
    <xf numFmtId="335" fontId="2" fillId="0" borderId="0">
      <alignment vertical="center"/>
    </xf>
    <xf numFmtId="0" fontId="6" fillId="0" borderId="0">
      <alignment vertical="center"/>
    </xf>
    <xf numFmtId="337" fontId="6" fillId="0" borderId="0">
      <alignment vertical="center"/>
    </xf>
    <xf numFmtId="0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7" fontId="6" fillId="0" borderId="0">
      <alignment vertical="center"/>
    </xf>
    <xf numFmtId="337" fontId="6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8" fontId="2" fillId="0" borderId="0">
      <alignment vertical="center"/>
    </xf>
    <xf numFmtId="338" fontId="2" fillId="0" borderId="0">
      <alignment vertical="center"/>
    </xf>
    <xf numFmtId="338" fontId="2" fillId="0" borderId="0">
      <alignment vertical="center"/>
    </xf>
    <xf numFmtId="338" fontId="2" fillId="0" borderId="0">
      <alignment vertical="center"/>
    </xf>
    <xf numFmtId="338" fontId="2" fillId="0" borderId="0">
      <alignment vertical="center"/>
    </xf>
    <xf numFmtId="0" fontId="6" fillId="0" borderId="0">
      <alignment vertical="center"/>
    </xf>
    <xf numFmtId="337" fontId="6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8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7" fontId="6" fillId="0" borderId="0">
      <alignment vertical="center"/>
    </xf>
    <xf numFmtId="337" fontId="6" fillId="0" borderId="0">
      <alignment vertical="center"/>
    </xf>
    <xf numFmtId="338" fontId="2" fillId="0" borderId="0">
      <alignment vertical="center"/>
    </xf>
    <xf numFmtId="338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8" fontId="2" fillId="0" borderId="0">
      <alignment vertical="center"/>
    </xf>
    <xf numFmtId="337" fontId="6" fillId="0" borderId="0">
      <alignment vertical="center"/>
    </xf>
    <xf numFmtId="0" fontId="6" fillId="0" borderId="0">
      <alignment vertical="center"/>
    </xf>
    <xf numFmtId="337" fontId="6" fillId="0" borderId="0">
      <alignment vertical="center"/>
    </xf>
    <xf numFmtId="0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7" fontId="6" fillId="0" borderId="0">
      <alignment vertical="center"/>
    </xf>
    <xf numFmtId="337" fontId="6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241" fontId="2" fillId="0" borderId="0">
      <alignment vertical="center"/>
    </xf>
    <xf numFmtId="336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5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336" fontId="2" fillId="0" borderId="0">
      <alignment vertical="center"/>
    </xf>
    <xf numFmtId="0" fontId="171" fillId="0" borderId="0"/>
    <xf numFmtId="38" fontId="89" fillId="0" borderId="17">
      <alignment horizontal="right" vertical="center"/>
      <protection locked="0"/>
    </xf>
    <xf numFmtId="2" fontId="168" fillId="0" borderId="13">
      <alignment horizontal="right" vertical="center"/>
    </xf>
    <xf numFmtId="0" fontId="20" fillId="0" borderId="27">
      <alignment vertical="center"/>
    </xf>
    <xf numFmtId="213" fontId="169" fillId="0" borderId="0" applyFont="0" applyFill="0" applyBorder="0" applyAlignment="0" applyProtection="0"/>
    <xf numFmtId="0" fontId="53" fillId="0" borderId="0">
      <protection locked="0"/>
    </xf>
    <xf numFmtId="40" fontId="54" fillId="0" borderId="0" applyFont="0" applyFill="0" applyBorder="0" applyAlignment="0" applyProtection="0"/>
    <xf numFmtId="0" fontId="14" fillId="0" borderId="27">
      <alignment vertical="center"/>
    </xf>
    <xf numFmtId="278" fontId="14" fillId="0" borderId="27">
      <alignment vertical="center"/>
    </xf>
    <xf numFmtId="278" fontId="14" fillId="0" borderId="27">
      <alignment vertical="center"/>
    </xf>
    <xf numFmtId="278" fontId="14" fillId="0" borderId="27">
      <alignment vertical="center"/>
    </xf>
    <xf numFmtId="213" fontId="156" fillId="0" borderId="0" applyFont="0" applyFill="0" applyBorder="0" applyAlignment="0" applyProtection="0"/>
    <xf numFmtId="37" fontId="21" fillId="0" borderId="12">
      <alignment horizontal="center" vertical="center"/>
    </xf>
    <xf numFmtId="37" fontId="21" fillId="0" borderId="13" applyAlignment="0"/>
    <xf numFmtId="215" fontId="2" fillId="0" borderId="0"/>
    <xf numFmtId="215" fontId="2" fillId="0" borderId="0"/>
    <xf numFmtId="215" fontId="2" fillId="0" borderId="0"/>
    <xf numFmtId="215" fontId="2" fillId="0" borderId="0"/>
    <xf numFmtId="215" fontId="2" fillId="0" borderId="0"/>
    <xf numFmtId="215" fontId="2" fillId="0" borderId="0"/>
    <xf numFmtId="215" fontId="2" fillId="0" borderId="0"/>
    <xf numFmtId="215" fontId="2" fillId="0" borderId="0"/>
    <xf numFmtId="215" fontId="2" fillId="0" borderId="0"/>
    <xf numFmtId="215" fontId="2" fillId="0" borderId="0"/>
    <xf numFmtId="215" fontId="2" fillId="0" borderId="0"/>
    <xf numFmtId="0" fontId="33" fillId="0" borderId="0" applyFont="0" applyBorder="0" applyAlignment="0">
      <alignment horizontal="left" vertical="center"/>
    </xf>
    <xf numFmtId="0" fontId="2" fillId="0" borderId="0">
      <protection locked="0"/>
    </xf>
    <xf numFmtId="339" fontId="18" fillId="0" borderId="17" applyFill="0" applyBorder="0" applyProtection="0">
      <alignment horizontal="center" vertical="center" shrinkToFit="1"/>
    </xf>
    <xf numFmtId="340" fontId="14" fillId="0" borderId="17" applyFill="0" applyAlignment="0" applyProtection="0">
      <alignment vertical="center"/>
    </xf>
    <xf numFmtId="341" fontId="14" fillId="0" borderId="17" applyFill="0" applyBorder="0" applyProtection="0">
      <alignment vertical="center" shrinkToFit="1"/>
    </xf>
    <xf numFmtId="3" fontId="3" fillId="0" borderId="22" applyNumberFormat="0" applyFill="0" applyBorder="0" applyProtection="0">
      <alignment horizontal="center" vertical="center"/>
    </xf>
    <xf numFmtId="0" fontId="9" fillId="10" borderId="0">
      <alignment horizontal="left"/>
    </xf>
    <xf numFmtId="0" fontId="107" fillId="0" borderId="0">
      <protection locked="0"/>
    </xf>
    <xf numFmtId="0" fontId="107" fillId="0" borderId="0">
      <protection locked="0"/>
    </xf>
    <xf numFmtId="10" fontId="172" fillId="0" borderId="0">
      <alignment vertical="center"/>
    </xf>
    <xf numFmtId="255" fontId="107" fillId="0" borderId="0">
      <protection locked="0"/>
    </xf>
    <xf numFmtId="255" fontId="107" fillId="0" borderId="0">
      <protection locked="0"/>
    </xf>
    <xf numFmtId="255" fontId="107" fillId="0" borderId="0">
      <protection locked="0"/>
    </xf>
    <xf numFmtId="9" fontId="7" fillId="0" borderId="0" applyFont="0" applyFill="0" applyBorder="0" applyAlignment="0" applyProtection="0"/>
    <xf numFmtId="342" fontId="2" fillId="0" borderId="23" applyBorder="0"/>
    <xf numFmtId="0" fontId="37" fillId="0" borderId="0" applyNumberFormat="0" applyFont="0" applyFill="0" applyBorder="0" applyProtection="0">
      <alignment horizontal="centerContinuous" vertical="center"/>
    </xf>
    <xf numFmtId="3" fontId="20" fillId="0" borderId="1"/>
    <xf numFmtId="0" fontId="20" fillId="0" borderId="1"/>
    <xf numFmtId="3" fontId="20" fillId="0" borderId="69"/>
    <xf numFmtId="3" fontId="20" fillId="0" borderId="70"/>
    <xf numFmtId="0" fontId="39" fillId="0" borderId="1"/>
    <xf numFmtId="0" fontId="173" fillId="0" borderId="0">
      <alignment horizontal="center"/>
    </xf>
    <xf numFmtId="0" fontId="174" fillId="0" borderId="120">
      <alignment horizontal="center"/>
    </xf>
    <xf numFmtId="343" fontId="15" fillId="0" borderId="0">
      <alignment horizontal="center" vertical="center"/>
      <protection locked="0"/>
    </xf>
    <xf numFmtId="185" fontId="12" fillId="0" borderId="42" applyFont="0" applyFill="0" applyBorder="0" applyAlignment="0" applyProtection="0">
      <alignment vertical="center"/>
    </xf>
    <xf numFmtId="191" fontId="12" fillId="0" borderId="42" applyFont="0" applyFill="0" applyBorder="0" applyAlignment="0" applyProtection="0">
      <alignment vertical="center"/>
    </xf>
    <xf numFmtId="0" fontId="162" fillId="0" borderId="1" applyFont="0" applyFill="0" applyBorder="0" applyAlignment="0" applyProtection="0">
      <alignment horizontal="centerContinuous" vertical="center"/>
    </xf>
    <xf numFmtId="41" fontId="175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175" fillId="0" borderId="0" applyFont="0" applyFill="0" applyBorder="0" applyAlignment="0" applyProtection="0">
      <alignment vertical="center"/>
    </xf>
    <xf numFmtId="41" fontId="17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17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7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6" fillId="0" borderId="0"/>
    <xf numFmtId="0" fontId="28" fillId="0" borderId="0"/>
    <xf numFmtId="0" fontId="168" fillId="0" borderId="0"/>
    <xf numFmtId="0" fontId="28" fillId="0" borderId="0"/>
    <xf numFmtId="0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344" fontId="87" fillId="0" borderId="0" applyFill="0" applyBorder="0">
      <alignment horizontal="centerContinuous"/>
    </xf>
    <xf numFmtId="345" fontId="87" fillId="0" borderId="0" applyFill="0" applyBorder="0">
      <alignment horizontal="centerContinuous"/>
    </xf>
    <xf numFmtId="0" fontId="176" fillId="0" borderId="0">
      <alignment horizontal="center" vertical="center"/>
    </xf>
    <xf numFmtId="340" fontId="20" fillId="0" borderId="0" applyFill="0" applyBorder="0" applyProtection="0">
      <alignment vertical="center"/>
    </xf>
    <xf numFmtId="346" fontId="20" fillId="0" borderId="17" applyFont="0" applyFill="0" applyBorder="0" applyProtection="0">
      <alignment horizontal="center" vertical="center"/>
    </xf>
    <xf numFmtId="0" fontId="169" fillId="0" borderId="0"/>
    <xf numFmtId="347" fontId="169" fillId="0" borderId="0" applyFill="0" applyBorder="0">
      <alignment horizontal="centerContinuous"/>
    </xf>
    <xf numFmtId="0" fontId="9" fillId="0" borderId="1">
      <alignment horizontal="distributed" vertical="center"/>
    </xf>
    <xf numFmtId="0" fontId="9" fillId="0" borderId="23">
      <alignment horizontal="distributed" vertical="top"/>
    </xf>
    <xf numFmtId="0" fontId="9" fillId="0" borderId="30">
      <alignment horizontal="distributed"/>
    </xf>
    <xf numFmtId="348" fontId="87" fillId="0" borderId="0" applyFill="0" applyBorder="0">
      <alignment horizontal="centerContinuous"/>
    </xf>
    <xf numFmtId="349" fontId="87" fillId="0" borderId="0" applyFill="0" applyBorder="0">
      <alignment horizontal="centerContinuous"/>
    </xf>
    <xf numFmtId="0" fontId="169" fillId="0" borderId="0"/>
    <xf numFmtId="1" fontId="177" fillId="2" borderId="0" applyNumberFormat="0" applyFont="0" applyFill="0" applyBorder="0" applyAlignment="0">
      <alignment vertical="center"/>
    </xf>
    <xf numFmtId="0" fontId="107" fillId="0" borderId="0">
      <protection locked="0"/>
    </xf>
    <xf numFmtId="177" fontId="15" fillId="0" borderId="18">
      <alignment vertical="center"/>
    </xf>
    <xf numFmtId="0" fontId="2" fillId="0" borderId="0" applyNumberFormat="0" applyProtection="0">
      <alignment horizontal="center"/>
    </xf>
    <xf numFmtId="177" fontId="168" fillId="0" borderId="0" applyFont="0" applyFill="0" applyBorder="0" applyAlignment="0" applyProtection="0"/>
    <xf numFmtId="0" fontId="107" fillId="0" borderId="0">
      <protection locked="0"/>
    </xf>
    <xf numFmtId="42" fontId="7" fillId="0" borderId="0" applyFont="0" applyFill="0" applyBorder="0" applyAlignment="0" applyProtection="0"/>
    <xf numFmtId="0" fontId="107" fillId="0" borderId="0">
      <protection locked="0"/>
    </xf>
    <xf numFmtId="0" fontId="2" fillId="0" borderId="0"/>
    <xf numFmtId="0" fontId="19" fillId="0" borderId="0">
      <alignment vertical="center"/>
    </xf>
    <xf numFmtId="0" fontId="2" fillId="0" borderId="0">
      <alignment vertical="center"/>
    </xf>
    <xf numFmtId="0" fontId="178" fillId="0" borderId="0">
      <alignment vertical="center"/>
    </xf>
    <xf numFmtId="0" fontId="2" fillId="0" borderId="0">
      <alignment vertical="center"/>
    </xf>
    <xf numFmtId="0" fontId="179" fillId="0" borderId="0"/>
    <xf numFmtId="0" fontId="14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178" fillId="0" borderId="0">
      <alignment vertical="center"/>
    </xf>
    <xf numFmtId="0" fontId="2" fillId="0" borderId="0">
      <alignment vertical="center"/>
    </xf>
    <xf numFmtId="0" fontId="19" fillId="0" borderId="0"/>
    <xf numFmtId="0" fontId="175" fillId="0" borderId="0">
      <alignment vertical="center"/>
    </xf>
    <xf numFmtId="0" fontId="180" fillId="0" borderId="0"/>
    <xf numFmtId="0" fontId="181" fillId="0" borderId="0"/>
    <xf numFmtId="0" fontId="19" fillId="0" borderId="0"/>
    <xf numFmtId="0" fontId="181" fillId="0" borderId="0"/>
    <xf numFmtId="0" fontId="20" fillId="0" borderId="0">
      <alignment vertical="center"/>
    </xf>
    <xf numFmtId="0" fontId="9" fillId="0" borderId="0"/>
    <xf numFmtId="0" fontId="182" fillId="0" borderId="0">
      <protection locked="0"/>
    </xf>
    <xf numFmtId="0" fontId="19" fillId="0" borderId="0" applyFont="0" applyFill="0" applyBorder="0" applyAlignment="0" applyProtection="0"/>
    <xf numFmtId="204" fontId="26" fillId="11" borderId="121">
      <alignment horizontal="center" vertical="center"/>
    </xf>
    <xf numFmtId="0" fontId="183" fillId="0" borderId="0" applyFont="0" applyFill="0" applyBorder="0" applyAlignment="0" applyProtection="0"/>
    <xf numFmtId="0" fontId="58" fillId="0" borderId="0" applyFont="0" applyFill="0" applyBorder="0" applyAlignment="0" applyProtection="0"/>
    <xf numFmtId="225" fontId="184" fillId="0" borderId="0" applyFont="0" applyFill="0" applyBorder="0" applyAlignment="0" applyProtection="0"/>
    <xf numFmtId="225" fontId="184" fillId="0" borderId="0" applyFont="0" applyFill="0" applyBorder="0" applyAlignment="0" applyProtection="0"/>
    <xf numFmtId="205" fontId="184" fillId="0" borderId="0" applyFont="0" applyFill="0" applyBorder="0" applyAlignment="0" applyProtection="0"/>
    <xf numFmtId="205" fontId="184" fillId="0" borderId="0" applyFont="0" applyFill="0" applyBorder="0" applyAlignment="0" applyProtection="0"/>
    <xf numFmtId="37" fontId="185" fillId="0" borderId="0" applyFont="0" applyFill="0" applyBorder="0" applyAlignment="0" applyProtection="0"/>
    <xf numFmtId="0" fontId="183" fillId="0" borderId="0" applyFont="0" applyFill="0" applyBorder="0" applyAlignment="0" applyProtection="0"/>
    <xf numFmtId="0" fontId="58" fillId="0" borderId="0" applyFont="0" applyFill="0" applyBorder="0" applyAlignment="0" applyProtection="0"/>
    <xf numFmtId="227" fontId="184" fillId="0" borderId="0" applyFont="0" applyFill="0" applyBorder="0" applyAlignment="0" applyProtection="0"/>
    <xf numFmtId="227" fontId="184" fillId="0" borderId="0" applyFont="0" applyFill="0" applyBorder="0" applyAlignment="0" applyProtection="0"/>
    <xf numFmtId="350" fontId="184" fillId="0" borderId="0" applyFont="0" applyFill="0" applyBorder="0" applyAlignment="0" applyProtection="0"/>
    <xf numFmtId="350" fontId="184" fillId="0" borderId="0" applyFont="0" applyFill="0" applyBorder="0" applyAlignment="0" applyProtection="0"/>
    <xf numFmtId="37" fontId="185" fillId="0" borderId="0" applyFont="0" applyFill="0" applyBorder="0" applyAlignment="0" applyProtection="0"/>
    <xf numFmtId="0" fontId="170" fillId="0" borderId="0">
      <protection locked="0"/>
    </xf>
    <xf numFmtId="309" fontId="53" fillId="0" borderId="0">
      <protection locked="0"/>
    </xf>
    <xf numFmtId="0" fontId="183" fillId="0" borderId="0" applyFont="0" applyFill="0" applyBorder="0" applyAlignment="0" applyProtection="0"/>
    <xf numFmtId="0" fontId="58" fillId="0" borderId="0" applyFont="0" applyFill="0" applyBorder="0" applyAlignment="0" applyProtection="0"/>
    <xf numFmtId="177" fontId="184" fillId="0" borderId="0" applyFont="0" applyFill="0" applyBorder="0" applyAlignment="0" applyProtection="0"/>
    <xf numFmtId="177" fontId="184" fillId="0" borderId="0" applyFont="0" applyFill="0" applyBorder="0" applyAlignment="0" applyProtection="0"/>
    <xf numFmtId="38" fontId="184" fillId="0" borderId="0" applyFont="0" applyFill="0" applyBorder="0" applyAlignment="0" applyProtection="0"/>
    <xf numFmtId="38" fontId="184" fillId="0" borderId="0" applyFont="0" applyFill="0" applyBorder="0" applyAlignment="0" applyProtection="0"/>
    <xf numFmtId="37" fontId="185" fillId="0" borderId="0" applyFont="0" applyFill="0" applyBorder="0" applyAlignment="0" applyProtection="0"/>
    <xf numFmtId="0" fontId="58" fillId="0" borderId="0" applyFont="0" applyFill="0" applyBorder="0" applyAlignment="0" applyProtection="0"/>
    <xf numFmtId="213" fontId="184" fillId="0" borderId="0" applyFont="0" applyFill="0" applyBorder="0" applyAlignment="0" applyProtection="0"/>
    <xf numFmtId="213" fontId="184" fillId="0" borderId="0" applyFont="0" applyFill="0" applyBorder="0" applyAlignment="0" applyProtection="0"/>
    <xf numFmtId="40" fontId="184" fillId="0" borderId="0" applyFont="0" applyFill="0" applyBorder="0" applyAlignment="0" applyProtection="0"/>
    <xf numFmtId="40" fontId="184" fillId="0" borderId="0" applyFont="0" applyFill="0" applyBorder="0" applyAlignment="0" applyProtection="0"/>
    <xf numFmtId="37" fontId="185" fillId="0" borderId="0" applyFont="0" applyFill="0" applyBorder="0" applyAlignment="0" applyProtection="0"/>
    <xf numFmtId="0" fontId="170" fillId="0" borderId="0">
      <protection locked="0"/>
    </xf>
    <xf numFmtId="4" fontId="53" fillId="0" borderId="0">
      <protection locked="0"/>
    </xf>
    <xf numFmtId="351" fontId="53" fillId="0" borderId="0">
      <protection locked="0"/>
    </xf>
    <xf numFmtId="58" fontId="2" fillId="0" borderId="0" applyFont="0" applyFill="0" applyBorder="0" applyAlignment="0" applyProtection="0"/>
    <xf numFmtId="213" fontId="19" fillId="0" borderId="0" applyFont="0" applyFill="0" applyBorder="0" applyAlignment="0" applyProtection="0"/>
    <xf numFmtId="37" fontId="183" fillId="0" borderId="0"/>
    <xf numFmtId="0" fontId="83" fillId="0" borderId="0"/>
    <xf numFmtId="0" fontId="184" fillId="0" borderId="0"/>
    <xf numFmtId="0" fontId="184" fillId="0" borderId="0"/>
    <xf numFmtId="0" fontId="168" fillId="0" borderId="0"/>
    <xf numFmtId="0" fontId="53" fillId="0" borderId="114">
      <protection locked="0"/>
    </xf>
    <xf numFmtId="0" fontId="9" fillId="0" borderId="0" applyFont="0" applyFill="0" applyBorder="0" applyAlignment="0" applyProtection="0"/>
    <xf numFmtId="352" fontId="168" fillId="0" borderId="0" applyFont="0" applyFill="0" applyBorder="0" applyAlignment="0" applyProtection="0"/>
    <xf numFmtId="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40" fontId="54" fillId="0" borderId="0" applyFont="0" applyFill="0" applyBorder="0" applyAlignment="0" applyProtection="0"/>
    <xf numFmtId="305" fontId="53" fillId="0" borderId="0">
      <protection locked="0"/>
    </xf>
    <xf numFmtId="326" fontId="53" fillId="0" borderId="0">
      <protection locked="0"/>
    </xf>
    <xf numFmtId="0" fontId="54" fillId="0" borderId="0" applyFont="0" applyFill="0" applyBorder="0" applyAlignment="0" applyProtection="0"/>
    <xf numFmtId="0" fontId="186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187" fillId="0" borderId="122" applyNumberFormat="0" applyFill="0" applyAlignment="0" applyProtection="0"/>
    <xf numFmtId="0" fontId="37" fillId="0" borderId="26" applyNumberFormat="0" applyBorder="0" applyAlignment="0"/>
    <xf numFmtId="0" fontId="2" fillId="0" borderId="2">
      <protection locked="0"/>
    </xf>
    <xf numFmtId="0" fontId="31" fillId="0" borderId="1">
      <alignment horizontal="right" vertical="center"/>
    </xf>
    <xf numFmtId="261" fontId="31" fillId="0" borderId="1">
      <alignment horizontal="right" vertical="center"/>
    </xf>
    <xf numFmtId="261" fontId="31" fillId="0" borderId="1">
      <alignment horizontal="right" vertical="center"/>
    </xf>
    <xf numFmtId="0" fontId="168" fillId="0" borderId="0" applyFont="0" applyFill="0" applyBorder="0" applyAlignment="0" applyProtection="0"/>
    <xf numFmtId="213" fontId="19" fillId="0" borderId="0" applyFont="0" applyFill="0" applyBorder="0" applyAlignment="0" applyProtection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9" fillId="0" borderId="0" applyFont="0" applyFill="0" applyBorder="0" applyAlignment="0" applyProtection="0"/>
    <xf numFmtId="40" fontId="54" fillId="0" borderId="0" applyFont="0" applyFill="0" applyBorder="0" applyAlignment="0" applyProtection="0"/>
    <xf numFmtId="0" fontId="169" fillId="0" borderId="0"/>
    <xf numFmtId="213" fontId="169" fillId="0" borderId="0" applyFont="0" applyFill="0" applyBorder="0" applyAlignment="0" applyProtection="0"/>
    <xf numFmtId="213" fontId="169" fillId="0" borderId="0" applyFont="0" applyFill="0" applyBorder="0" applyAlignment="0" applyProtection="0"/>
    <xf numFmtId="353" fontId="2" fillId="0" borderId="0" applyFont="0" applyFill="0" applyBorder="0" applyAlignment="0" applyProtection="0"/>
    <xf numFmtId="213" fontId="19" fillId="0" borderId="0" applyFont="0" applyFill="0" applyBorder="0" applyAlignment="0" applyProtection="0"/>
    <xf numFmtId="40" fontId="54" fillId="0" borderId="0" applyFont="0" applyFill="0" applyBorder="0" applyAlignment="0" applyProtection="0"/>
    <xf numFmtId="37" fontId="27" fillId="12" borderId="0" applyNumberFormat="0" applyBorder="0" applyAlignment="0" applyProtection="0"/>
    <xf numFmtId="37" fontId="27" fillId="0" borderId="0"/>
    <xf numFmtId="3" fontId="188" fillId="0" borderId="122" applyProtection="0"/>
    <xf numFmtId="354" fontId="54" fillId="0" borderId="0" applyFont="0" applyFill="0" applyBorder="0" applyAlignment="0" applyProtection="0"/>
    <xf numFmtId="355" fontId="54" fillId="0" borderId="0" applyFont="0" applyFill="0" applyBorder="0" applyAlignment="0" applyProtection="0"/>
    <xf numFmtId="0" fontId="91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0" fontId="19" fillId="0" borderId="0"/>
    <xf numFmtId="9" fontId="178" fillId="0" borderId="0" applyFont="0" applyFill="0" applyBorder="0" applyAlignment="0" applyProtection="0">
      <alignment vertical="center"/>
    </xf>
    <xf numFmtId="0" fontId="178" fillId="0" borderId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81" fillId="0" borderId="0"/>
    <xf numFmtId="0" fontId="199" fillId="0" borderId="0">
      <alignment vertical="center"/>
    </xf>
    <xf numFmtId="41" fontId="199" fillId="0" borderId="0">
      <alignment vertical="center"/>
    </xf>
    <xf numFmtId="0" fontId="200" fillId="0" borderId="0"/>
    <xf numFmtId="0" fontId="54" fillId="0" borderId="4">
      <alignment horizontal="center"/>
    </xf>
    <xf numFmtId="0" fontId="201" fillId="0" borderId="4">
      <alignment horizontal="center"/>
    </xf>
    <xf numFmtId="0" fontId="31" fillId="0" borderId="24">
      <alignment horizontal="centerContinuous" vertical="center"/>
    </xf>
    <xf numFmtId="0" fontId="200" fillId="0" borderId="24">
      <alignment horizontal="centerContinuous" vertical="center"/>
    </xf>
    <xf numFmtId="3" fontId="202" fillId="0" borderId="1"/>
    <xf numFmtId="3" fontId="21" fillId="0" borderId="1"/>
    <xf numFmtId="3" fontId="202" fillId="0" borderId="1"/>
    <xf numFmtId="3" fontId="21" fillId="0" borderId="1"/>
    <xf numFmtId="3" fontId="202" fillId="0" borderId="1"/>
    <xf numFmtId="303" fontId="9" fillId="0" borderId="0">
      <alignment vertical="center"/>
    </xf>
    <xf numFmtId="303" fontId="203" fillId="0" borderId="0">
      <alignment vertical="center"/>
    </xf>
    <xf numFmtId="4" fontId="9" fillId="0" borderId="0">
      <alignment vertical="center"/>
    </xf>
    <xf numFmtId="4" fontId="203" fillId="0" borderId="0">
      <alignment vertical="center"/>
    </xf>
    <xf numFmtId="240" fontId="9" fillId="0" borderId="0">
      <alignment vertical="center"/>
    </xf>
    <xf numFmtId="240" fontId="203" fillId="0" borderId="0">
      <alignment vertical="center"/>
    </xf>
    <xf numFmtId="3" fontId="203" fillId="0" borderId="0">
      <alignment vertical="center"/>
    </xf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358" fontId="204" fillId="0" borderId="0"/>
    <xf numFmtId="358" fontId="2" fillId="0" borderId="0" applyNumberFormat="0" applyFont="0" applyFill="0" applyBorder="0" applyAlignment="0" applyProtection="0"/>
    <xf numFmtId="358" fontId="204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0" fontId="204" fillId="0" borderId="0"/>
    <xf numFmtId="0" fontId="2" fillId="0" borderId="0" applyNumberFormat="0" applyFont="0" applyFill="0" applyBorder="0" applyAlignment="0" applyProtection="0"/>
    <xf numFmtId="0" fontId="204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358" fontId="204" fillId="0" borderId="0"/>
    <xf numFmtId="358" fontId="2" fillId="0" borderId="0" applyNumberFormat="0" applyFont="0" applyFill="0" applyBorder="0" applyAlignment="0" applyProtection="0"/>
    <xf numFmtId="358" fontId="204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0" fontId="204" fillId="0" borderId="0"/>
    <xf numFmtId="0" fontId="2" fillId="0" borderId="0" applyNumberFormat="0" applyFont="0" applyFill="0" applyBorder="0" applyAlignment="0" applyProtection="0"/>
    <xf numFmtId="0" fontId="204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24" fontId="201" fillId="0" borderId="0"/>
    <xf numFmtId="24" fontId="54" fillId="0" borderId="0" applyFont="0" applyFill="0" applyBorder="0" applyAlignment="0" applyProtection="0"/>
    <xf numFmtId="24" fontId="201" fillId="0" borderId="0"/>
    <xf numFmtId="357" fontId="201" fillId="0" borderId="0"/>
    <xf numFmtId="357" fontId="54" fillId="0" borderId="0" applyFont="0" applyFill="0" applyBorder="0" applyAlignment="0" applyProtection="0"/>
    <xf numFmtId="357" fontId="201" fillId="0" borderId="0"/>
    <xf numFmtId="188" fontId="2" fillId="0" borderId="0" applyFont="0" applyFill="0" applyBorder="0" applyAlignment="0" applyProtection="0">
      <alignment vertical="center"/>
    </xf>
    <xf numFmtId="188" fontId="204" fillId="0" borderId="0">
      <alignment vertical="center"/>
    </xf>
    <xf numFmtId="0" fontId="26" fillId="0" borderId="0">
      <alignment vertical="center"/>
    </xf>
    <xf numFmtId="0" fontId="205" fillId="0" borderId="0">
      <alignment vertical="center"/>
    </xf>
    <xf numFmtId="0" fontId="99" fillId="0" borderId="0">
      <alignment vertical="center"/>
    </xf>
    <xf numFmtId="0" fontId="206" fillId="0" borderId="0">
      <alignment vertical="center"/>
    </xf>
    <xf numFmtId="0" fontId="26" fillId="0" borderId="0">
      <alignment vertical="center"/>
    </xf>
    <xf numFmtId="0" fontId="205" fillId="0" borderId="0">
      <alignment vertical="center"/>
    </xf>
    <xf numFmtId="0" fontId="9" fillId="0" borderId="0"/>
    <xf numFmtId="0" fontId="203" fillId="0" borderId="0"/>
    <xf numFmtId="0" fontId="9" fillId="0" borderId="0"/>
    <xf numFmtId="0" fontId="203" fillId="0" borderId="0"/>
    <xf numFmtId="0" fontId="19" fillId="0" borderId="0" applyFont="0" applyFill="0" applyBorder="0" applyAlignment="0" applyProtection="0"/>
    <xf numFmtId="0" fontId="207" fillId="0" borderId="0"/>
    <xf numFmtId="0" fontId="207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7" fillId="0" borderId="0"/>
    <xf numFmtId="0" fontId="207" fillId="0" borderId="0"/>
    <xf numFmtId="0" fontId="209" fillId="0" borderId="26">
      <alignment vertical="center"/>
    </xf>
    <xf numFmtId="0" fontId="6" fillId="0" borderId="26">
      <alignment vertical="center"/>
    </xf>
    <xf numFmtId="0" fontId="209" fillId="0" borderId="26">
      <alignment vertical="center"/>
    </xf>
    <xf numFmtId="0" fontId="209" fillId="0" borderId="26">
      <alignment vertical="center"/>
    </xf>
    <xf numFmtId="0" fontId="6" fillId="0" borderId="26">
      <alignment vertical="center"/>
    </xf>
    <xf numFmtId="0" fontId="209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04" fillId="0" borderId="26">
      <alignment vertical="center"/>
    </xf>
    <xf numFmtId="0" fontId="2" fillId="0" borderId="26">
      <alignment vertical="center"/>
    </xf>
    <xf numFmtId="0" fontId="204" fillId="0" borderId="26">
      <alignment vertical="center"/>
    </xf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10" fillId="0" borderId="0"/>
    <xf numFmtId="0" fontId="15" fillId="0" borderId="0" applyFont="0" applyFill="0" applyBorder="0" applyAlignment="0" applyProtection="0"/>
    <xf numFmtId="0" fontId="210" fillId="0" borderId="0"/>
    <xf numFmtId="0" fontId="210" fillId="0" borderId="0"/>
    <xf numFmtId="0" fontId="15" fillId="0" borderId="0" applyFont="0" applyFill="0" applyBorder="0" applyAlignment="0" applyProtection="0"/>
    <xf numFmtId="0" fontId="210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01" fillId="0" borderId="0"/>
    <xf numFmtId="0" fontId="19" fillId="0" borderId="0"/>
    <xf numFmtId="0" fontId="207" fillId="0" borderId="0"/>
    <xf numFmtId="0" fontId="207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03" fillId="0" borderId="0"/>
    <xf numFmtId="0" fontId="9" fillId="0" borderId="0"/>
    <xf numFmtId="0" fontId="203" fillId="0" borderId="0"/>
    <xf numFmtId="0" fontId="203" fillId="0" borderId="0"/>
    <xf numFmtId="0" fontId="9" fillId="0" borderId="0"/>
    <xf numFmtId="0" fontId="203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01" fillId="0" borderId="0"/>
    <xf numFmtId="0" fontId="28" fillId="0" borderId="0"/>
    <xf numFmtId="0" fontId="201" fillId="0" borderId="0"/>
    <xf numFmtId="0" fontId="19" fillId="0" borderId="0"/>
    <xf numFmtId="0" fontId="207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04" fillId="0" borderId="0"/>
    <xf numFmtId="0" fontId="2" fillId="0" borderId="0"/>
    <xf numFmtId="0" fontId="204" fillId="0" borderId="0"/>
    <xf numFmtId="0" fontId="204" fillId="0" borderId="0"/>
    <xf numFmtId="0" fontId="2" fillId="0" borderId="0"/>
    <xf numFmtId="0" fontId="204" fillId="0" borderId="0"/>
    <xf numFmtId="0" fontId="204" fillId="0" borderId="0"/>
    <xf numFmtId="0" fontId="2" fillId="0" borderId="0"/>
    <xf numFmtId="0" fontId="204" fillId="0" borderId="0"/>
    <xf numFmtId="0" fontId="204" fillId="0" borderId="0"/>
    <xf numFmtId="0" fontId="2" fillId="0" borderId="0"/>
    <xf numFmtId="0" fontId="204" fillId="0" borderId="0"/>
    <xf numFmtId="0" fontId="204" fillId="0" borderId="0"/>
    <xf numFmtId="0" fontId="2" fillId="0" borderId="0"/>
    <xf numFmtId="0" fontId="204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03" fillId="0" borderId="0"/>
    <xf numFmtId="0" fontId="9" fillId="0" borderId="0"/>
    <xf numFmtId="0" fontId="203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01" fillId="0" borderId="0"/>
    <xf numFmtId="0" fontId="28" fillId="0" borderId="0"/>
    <xf numFmtId="0" fontId="201" fillId="0" borderId="0"/>
    <xf numFmtId="0" fontId="201" fillId="0" borderId="0"/>
    <xf numFmtId="0" fontId="28" fillId="0" borderId="0"/>
    <xf numFmtId="0" fontId="201" fillId="0" borderId="0"/>
    <xf numFmtId="0" fontId="201" fillId="0" borderId="0"/>
    <xf numFmtId="0" fontId="28" fillId="0" borderId="0"/>
    <xf numFmtId="0" fontId="201" fillId="0" borderId="0"/>
    <xf numFmtId="0" fontId="156" fillId="0" borderId="0"/>
    <xf numFmtId="0" fontId="211" fillId="0" borderId="0"/>
    <xf numFmtId="0" fontId="211" fillId="0" borderId="0"/>
    <xf numFmtId="0" fontId="15" fillId="0" borderId="0" applyFont="0" applyFill="0" applyBorder="0" applyAlignment="0" applyProtection="0"/>
    <xf numFmtId="0" fontId="210" fillId="0" borderId="0"/>
    <xf numFmtId="0" fontId="15" fillId="0" borderId="0" applyFont="0" applyFill="0" applyBorder="0" applyAlignment="0" applyProtection="0"/>
    <xf numFmtId="0" fontId="210" fillId="0" borderId="0"/>
    <xf numFmtId="0" fontId="15" fillId="0" borderId="0" applyFont="0" applyFill="0" applyBorder="0" applyAlignment="0" applyProtection="0"/>
    <xf numFmtId="0" fontId="210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01" fillId="0" borderId="0"/>
    <xf numFmtId="0" fontId="54" fillId="0" borderId="0"/>
    <xf numFmtId="0" fontId="201" fillId="0" borderId="0"/>
    <xf numFmtId="0" fontId="54" fillId="0" borderId="0"/>
    <xf numFmtId="0" fontId="201" fillId="0" borderId="0"/>
    <xf numFmtId="0" fontId="19" fillId="0" borderId="0"/>
    <xf numFmtId="0" fontId="207" fillId="0" borderId="0"/>
    <xf numFmtId="0" fontId="207" fillId="0" borderId="0"/>
    <xf numFmtId="0" fontId="204" fillId="0" borderId="0"/>
    <xf numFmtId="0" fontId="2" fillId="0" borderId="0"/>
    <xf numFmtId="0" fontId="204" fillId="0" borderId="0"/>
    <xf numFmtId="0" fontId="204" fillId="0" borderId="0"/>
    <xf numFmtId="0" fontId="2" fillId="0" borderId="0"/>
    <xf numFmtId="0" fontId="204" fillId="0" borderId="0"/>
    <xf numFmtId="0" fontId="204" fillId="0" borderId="0"/>
    <xf numFmtId="0" fontId="2" fillId="0" borderId="0"/>
    <xf numFmtId="0" fontId="204" fillId="0" borderId="0"/>
    <xf numFmtId="0" fontId="204" fillId="0" borderId="0"/>
    <xf numFmtId="0" fontId="2" fillId="0" borderId="0"/>
    <xf numFmtId="0" fontId="204" fillId="0" borderId="0"/>
    <xf numFmtId="0" fontId="204" fillId="0" borderId="0"/>
    <xf numFmtId="0" fontId="2" fillId="0" borderId="0"/>
    <xf numFmtId="0" fontId="204" fillId="0" borderId="0"/>
    <xf numFmtId="0" fontId="204" fillId="0" borderId="0"/>
    <xf numFmtId="0" fontId="2" fillId="0" borderId="0"/>
    <xf numFmtId="0" fontId="204" fillId="0" borderId="0"/>
    <xf numFmtId="0" fontId="204" fillId="0" borderId="0"/>
    <xf numFmtId="0" fontId="2" fillId="0" borderId="0"/>
    <xf numFmtId="0" fontId="204" fillId="0" borderId="0"/>
    <xf numFmtId="0" fontId="204" fillId="0" borderId="0"/>
    <xf numFmtId="0" fontId="2" fillId="0" borderId="0"/>
    <xf numFmtId="0" fontId="204" fillId="0" borderId="0"/>
    <xf numFmtId="0" fontId="204" fillId="0" borderId="0"/>
    <xf numFmtId="0" fontId="2" fillId="0" borderId="0"/>
    <xf numFmtId="0" fontId="204" fillId="0" borderId="0"/>
    <xf numFmtId="0" fontId="204" fillId="0" borderId="0"/>
    <xf numFmtId="0" fontId="2" fillId="0" borderId="0"/>
    <xf numFmtId="0" fontId="204" fillId="0" borderId="0"/>
    <xf numFmtId="0" fontId="204" fillId="0" borderId="0"/>
    <xf numFmtId="0" fontId="2" fillId="0" borderId="0"/>
    <xf numFmtId="0" fontId="204" fillId="0" borderId="0"/>
    <xf numFmtId="0" fontId="204" fillId="0" borderId="0"/>
    <xf numFmtId="0" fontId="2" fillId="0" borderId="0"/>
    <xf numFmtId="0" fontId="204" fillId="0" borderId="0"/>
    <xf numFmtId="0" fontId="204" fillId="0" borderId="0"/>
    <xf numFmtId="0" fontId="2" fillId="0" borderId="0"/>
    <xf numFmtId="0" fontId="204" fillId="0" borderId="0"/>
    <xf numFmtId="0" fontId="204" fillId="0" borderId="0"/>
    <xf numFmtId="0" fontId="2" fillId="0" borderId="0"/>
    <xf numFmtId="0" fontId="204" fillId="0" borderId="0"/>
    <xf numFmtId="0" fontId="204" fillId="0" borderId="0"/>
    <xf numFmtId="0" fontId="2" fillId="0" borderId="0"/>
    <xf numFmtId="0" fontId="204" fillId="0" borderId="0"/>
    <xf numFmtId="0" fontId="204" fillId="0" borderId="0"/>
    <xf numFmtId="0" fontId="2" fillId="0" borderId="0"/>
    <xf numFmtId="0" fontId="204" fillId="0" borderId="0"/>
    <xf numFmtId="0" fontId="204" fillId="0" borderId="0"/>
    <xf numFmtId="0" fontId="2" fillId="0" borderId="0"/>
    <xf numFmtId="0" fontId="204" fillId="0" borderId="0"/>
    <xf numFmtId="0" fontId="204" fillId="0" borderId="0"/>
    <xf numFmtId="0" fontId="2" fillId="0" borderId="0"/>
    <xf numFmtId="0" fontId="204" fillId="0" borderId="0"/>
    <xf numFmtId="0" fontId="204" fillId="0" borderId="0"/>
    <xf numFmtId="0" fontId="2" fillId="0" borderId="0"/>
    <xf numFmtId="0" fontId="204" fillId="0" borderId="0"/>
    <xf numFmtId="0" fontId="204" fillId="0" borderId="0"/>
    <xf numFmtId="0" fontId="2" fillId="0" borderId="0"/>
    <xf numFmtId="0" fontId="204" fillId="0" borderId="0"/>
    <xf numFmtId="0" fontId="204" fillId="0" borderId="0"/>
    <xf numFmtId="0" fontId="2" fillId="0" borderId="0"/>
    <xf numFmtId="0" fontId="204" fillId="0" borderId="0"/>
    <xf numFmtId="0" fontId="204" fillId="0" borderId="0"/>
    <xf numFmtId="0" fontId="2" fillId="0" borderId="0"/>
    <xf numFmtId="0" fontId="204" fillId="0" borderId="0"/>
    <xf numFmtId="0" fontId="204" fillId="0" borderId="0"/>
    <xf numFmtId="0" fontId="2" fillId="0" borderId="0"/>
    <xf numFmtId="0" fontId="204" fillId="0" borderId="0"/>
    <xf numFmtId="0" fontId="204" fillId="0" borderId="0"/>
    <xf numFmtId="0" fontId="2" fillId="0" borderId="0"/>
    <xf numFmtId="0" fontId="204" fillId="0" borderId="0"/>
    <xf numFmtId="0" fontId="204" fillId="0" borderId="0"/>
    <xf numFmtId="0" fontId="2" fillId="0" borderId="0"/>
    <xf numFmtId="0" fontId="204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54" fillId="0" borderId="0"/>
    <xf numFmtId="0" fontId="201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10" fillId="0" borderId="0"/>
    <xf numFmtId="0" fontId="15" fillId="0" borderId="0" applyFont="0" applyFill="0" applyBorder="0" applyAlignment="0" applyProtection="0"/>
    <xf numFmtId="0" fontId="210" fillId="0" borderId="0"/>
    <xf numFmtId="0" fontId="210" fillId="0" borderId="0"/>
    <xf numFmtId="0" fontId="15" fillId="0" borderId="0" applyFont="0" applyFill="0" applyBorder="0" applyAlignment="0" applyProtection="0"/>
    <xf numFmtId="0" fontId="210" fillId="0" borderId="0"/>
    <xf numFmtId="0" fontId="210" fillId="0" borderId="0"/>
    <xf numFmtId="0" fontId="15" fillId="0" borderId="0" applyFont="0" applyFill="0" applyBorder="0" applyAlignment="0" applyProtection="0"/>
    <xf numFmtId="0" fontId="210" fillId="0" borderId="0"/>
    <xf numFmtId="0" fontId="201" fillId="0" borderId="0"/>
    <xf numFmtId="0" fontId="28" fillId="0" borderId="0"/>
    <xf numFmtId="0" fontId="201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01" fillId="0" borderId="0"/>
    <xf numFmtId="0" fontId="28" fillId="0" borderId="0"/>
    <xf numFmtId="0" fontId="201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03" fillId="0" borderId="0"/>
    <xf numFmtId="0" fontId="9" fillId="0" borderId="0"/>
    <xf numFmtId="0" fontId="203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01" fillId="0" borderId="0"/>
    <xf numFmtId="0" fontId="28" fillId="0" borderId="0"/>
    <xf numFmtId="0" fontId="201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54" fillId="0" borderId="0"/>
    <xf numFmtId="0" fontId="201" fillId="0" borderId="0"/>
    <xf numFmtId="0" fontId="201" fillId="0" borderId="0"/>
    <xf numFmtId="0" fontId="28" fillId="0" borderId="0"/>
    <xf numFmtId="0" fontId="201" fillId="0" borderId="0"/>
    <xf numFmtId="0" fontId="210" fillId="0" borderId="0"/>
    <xf numFmtId="0" fontId="15" fillId="0" borderId="0" applyFont="0" applyFill="0" applyBorder="0" applyAlignment="0" applyProtection="0"/>
    <xf numFmtId="0" fontId="210" fillId="0" borderId="0"/>
    <xf numFmtId="0" fontId="210" fillId="0" borderId="0"/>
    <xf numFmtId="0" fontId="15" fillId="0" borderId="0" applyFont="0" applyFill="0" applyBorder="0" applyAlignment="0" applyProtection="0"/>
    <xf numFmtId="0" fontId="210" fillId="0" borderId="0"/>
    <xf numFmtId="0" fontId="210" fillId="0" borderId="0"/>
    <xf numFmtId="0" fontId="15" fillId="0" borderId="0" applyFont="0" applyFill="0" applyBorder="0" applyAlignment="0" applyProtection="0"/>
    <xf numFmtId="0" fontId="210" fillId="0" borderId="0"/>
    <xf numFmtId="0" fontId="54" fillId="0" borderId="0"/>
    <xf numFmtId="0" fontId="201" fillId="0" borderId="0"/>
    <xf numFmtId="0" fontId="15" fillId="0" borderId="0" applyFont="0" applyFill="0" applyBorder="0" applyAlignment="0" applyProtection="0"/>
    <xf numFmtId="0" fontId="210" fillId="0" borderId="0"/>
    <xf numFmtId="0" fontId="203" fillId="0" borderId="0"/>
    <xf numFmtId="0" fontId="9" fillId="0" borderId="0"/>
    <xf numFmtId="0" fontId="203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12" fillId="0" borderId="0"/>
    <xf numFmtId="0" fontId="213" fillId="0" borderId="0"/>
    <xf numFmtId="0" fontId="212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01" fillId="0" borderId="0"/>
    <xf numFmtId="0" fontId="54" fillId="0" borderId="0"/>
    <xf numFmtId="0" fontId="201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03" fillId="0" borderId="0"/>
    <xf numFmtId="0" fontId="9" fillId="0" borderId="0"/>
    <xf numFmtId="0" fontId="203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10" fillId="0" borderId="0"/>
    <xf numFmtId="0" fontId="15" fillId="0" borderId="0" applyFont="0" applyFill="0" applyBorder="0" applyAlignment="0" applyProtection="0"/>
    <xf numFmtId="0" fontId="210" fillId="0" borderId="0"/>
    <xf numFmtId="0" fontId="201" fillId="0" borderId="0"/>
    <xf numFmtId="0" fontId="54" fillId="0" borderId="0"/>
    <xf numFmtId="0" fontId="201" fillId="0" borderId="0"/>
    <xf numFmtId="0" fontId="54" fillId="0" borderId="0"/>
    <xf numFmtId="0" fontId="201" fillId="0" borderId="0"/>
    <xf numFmtId="0" fontId="201" fillId="0" borderId="0"/>
    <xf numFmtId="0" fontId="28" fillId="0" borderId="0"/>
    <xf numFmtId="0" fontId="201" fillId="0" borderId="0"/>
    <xf numFmtId="0" fontId="19" fillId="0" borderId="0"/>
    <xf numFmtId="0" fontId="207" fillId="0" borderId="0"/>
    <xf numFmtId="0" fontId="207" fillId="0" borderId="0"/>
    <xf numFmtId="0" fontId="201" fillId="0" borderId="0"/>
    <xf numFmtId="0" fontId="54" fillId="0" borderId="0"/>
    <xf numFmtId="0" fontId="201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04" fillId="0" borderId="0"/>
    <xf numFmtId="0" fontId="2" fillId="0" borderId="0"/>
    <xf numFmtId="0" fontId="204" fillId="0" borderId="0"/>
    <xf numFmtId="0" fontId="210" fillId="0" borderId="0"/>
    <xf numFmtId="0" fontId="15" fillId="0" borderId="0" applyFont="0" applyFill="0" applyBorder="0" applyAlignment="0" applyProtection="0"/>
    <xf numFmtId="0" fontId="210" fillId="0" borderId="0"/>
    <xf numFmtId="0" fontId="210" fillId="0" borderId="0"/>
    <xf numFmtId="0" fontId="15" fillId="0" borderId="0" applyFont="0" applyFill="0" applyBorder="0" applyAlignment="0" applyProtection="0"/>
    <xf numFmtId="0" fontId="210" fillId="0" borderId="0"/>
    <xf numFmtId="0" fontId="203" fillId="0" borderId="0"/>
    <xf numFmtId="0" fontId="9" fillId="0" borderId="0"/>
    <xf numFmtId="0" fontId="203" fillId="0" borderId="0"/>
    <xf numFmtId="0" fontId="203" fillId="0" borderId="0"/>
    <xf numFmtId="0" fontId="9" fillId="0" borderId="0"/>
    <xf numFmtId="0" fontId="203" fillId="0" borderId="0"/>
    <xf numFmtId="0" fontId="19" fillId="0" borderId="0"/>
    <xf numFmtId="0" fontId="207" fillId="0" borderId="0"/>
    <xf numFmtId="0" fontId="207" fillId="0" borderId="0"/>
    <xf numFmtId="0" fontId="204" fillId="0" borderId="0"/>
    <xf numFmtId="0" fontId="2" fillId="0" borderId="0"/>
    <xf numFmtId="0" fontId="204" fillId="0" borderId="0"/>
    <xf numFmtId="0" fontId="19" fillId="0" borderId="0"/>
    <xf numFmtId="0" fontId="207" fillId="0" borderId="0"/>
    <xf numFmtId="0" fontId="207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10" fillId="0" borderId="0"/>
    <xf numFmtId="0" fontId="15" fillId="0" borderId="0" applyFont="0" applyFill="0" applyBorder="0" applyAlignment="0" applyProtection="0"/>
    <xf numFmtId="0" fontId="210" fillId="0" borderId="0"/>
    <xf numFmtId="0" fontId="203" fillId="0" borderId="0"/>
    <xf numFmtId="0" fontId="9" fillId="0" borderId="0"/>
    <xf numFmtId="0" fontId="203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10" fillId="0" borderId="0"/>
    <xf numFmtId="0" fontId="15" fillId="0" borderId="0" applyFont="0" applyFill="0" applyBorder="0" applyAlignment="0" applyProtection="0"/>
    <xf numFmtId="0" fontId="210" fillId="0" borderId="0"/>
    <xf numFmtId="0" fontId="19" fillId="0" borderId="0"/>
    <xf numFmtId="0" fontId="207" fillId="0" borderId="0"/>
    <xf numFmtId="0" fontId="207" fillId="0" borderId="0"/>
    <xf numFmtId="0" fontId="54" fillId="0" borderId="0"/>
    <xf numFmtId="0" fontId="201" fillId="0" borderId="0"/>
    <xf numFmtId="0" fontId="212" fillId="0" borderId="0"/>
    <xf numFmtId="0" fontId="213" fillId="0" borderId="0"/>
    <xf numFmtId="0" fontId="212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03" fillId="0" borderId="0"/>
    <xf numFmtId="0" fontId="9" fillId="0" borderId="0"/>
    <xf numFmtId="0" fontId="203" fillId="0" borderId="0"/>
    <xf numFmtId="0" fontId="19" fillId="0" borderId="0"/>
    <xf numFmtId="0" fontId="207" fillId="0" borderId="0"/>
    <xf numFmtId="0" fontId="207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19" fillId="0" borderId="0"/>
    <xf numFmtId="0" fontId="207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03" fillId="0" borderId="0"/>
    <xf numFmtId="0" fontId="9" fillId="0" borderId="0"/>
    <xf numFmtId="0" fontId="203" fillId="0" borderId="0"/>
    <xf numFmtId="0" fontId="207" fillId="0" borderId="0"/>
    <xf numFmtId="0" fontId="203" fillId="0" borderId="0"/>
    <xf numFmtId="0" fontId="9" fillId="0" borderId="0"/>
    <xf numFmtId="0" fontId="203" fillId="0" borderId="0"/>
    <xf numFmtId="0" fontId="19" fillId="0" borderId="0"/>
    <xf numFmtId="0" fontId="207" fillId="0" borderId="0"/>
    <xf numFmtId="0" fontId="207" fillId="0" borderId="0"/>
    <xf numFmtId="0" fontId="201" fillId="0" borderId="0"/>
    <xf numFmtId="0" fontId="28" fillId="0" borderId="0"/>
    <xf numFmtId="0" fontId="201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03" fillId="0" borderId="0"/>
    <xf numFmtId="0" fontId="9" fillId="0" borderId="0"/>
    <xf numFmtId="0" fontId="203" fillId="0" borderId="0"/>
    <xf numFmtId="0" fontId="19" fillId="0" borderId="0"/>
    <xf numFmtId="0" fontId="207" fillId="0" borderId="0"/>
    <xf numFmtId="0" fontId="207" fillId="0" borderId="0"/>
    <xf numFmtId="0" fontId="201" fillId="0" borderId="0"/>
    <xf numFmtId="0" fontId="28" fillId="0" borderId="0"/>
    <xf numFmtId="0" fontId="201" fillId="0" borderId="0"/>
    <xf numFmtId="0" fontId="201" fillId="0" borderId="0"/>
    <xf numFmtId="0" fontId="28" fillId="0" borderId="0"/>
    <xf numFmtId="0" fontId="201" fillId="0" borderId="0"/>
    <xf numFmtId="0" fontId="201" fillId="0" borderId="0"/>
    <xf numFmtId="0" fontId="28" fillId="0" borderId="0"/>
    <xf numFmtId="0" fontId="201" fillId="0" borderId="0"/>
    <xf numFmtId="0" fontId="201" fillId="0" borderId="0"/>
    <xf numFmtId="0" fontId="28" fillId="0" borderId="0"/>
    <xf numFmtId="0" fontId="201" fillId="0" borderId="0"/>
    <xf numFmtId="0" fontId="15" fillId="0" borderId="0" applyFont="0" applyFill="0" applyBorder="0" applyAlignment="0" applyProtection="0"/>
    <xf numFmtId="0" fontId="210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01" fillId="0" borderId="0"/>
    <xf numFmtId="0" fontId="28" fillId="0" borderId="0"/>
    <xf numFmtId="0" fontId="201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54" fillId="0" borderId="0"/>
    <xf numFmtId="0" fontId="201" fillId="0" borderId="0"/>
    <xf numFmtId="0" fontId="210" fillId="0" borderId="0"/>
    <xf numFmtId="0" fontId="15" fillId="0" borderId="0" applyFont="0" applyFill="0" applyBorder="0" applyAlignment="0" applyProtection="0"/>
    <xf numFmtId="0" fontId="210" fillId="0" borderId="0"/>
    <xf numFmtId="0" fontId="210" fillId="0" borderId="0"/>
    <xf numFmtId="0" fontId="15" fillId="0" borderId="0" applyFont="0" applyFill="0" applyBorder="0" applyAlignment="0" applyProtection="0"/>
    <xf numFmtId="0" fontId="210" fillId="0" borderId="0"/>
    <xf numFmtId="0" fontId="19" fillId="0" borderId="0"/>
    <xf numFmtId="0" fontId="207" fillId="0" borderId="0"/>
    <xf numFmtId="0" fontId="207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" fillId="0" borderId="0"/>
    <xf numFmtId="0" fontId="204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04" fillId="0" borderId="0"/>
    <xf numFmtId="0" fontId="2" fillId="0" borderId="0"/>
    <xf numFmtId="0" fontId="204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01" fillId="0" borderId="0"/>
    <xf numFmtId="0" fontId="54" fillId="0" borderId="0"/>
    <xf numFmtId="0" fontId="201" fillId="0" borderId="0"/>
    <xf numFmtId="0" fontId="19" fillId="0" borderId="0"/>
    <xf numFmtId="0" fontId="207" fillId="0" borderId="0"/>
    <xf numFmtId="0" fontId="207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53" fillId="0" borderId="0">
      <protection locked="0"/>
    </xf>
    <xf numFmtId="0" fontId="214" fillId="0" borderId="0">
      <protection locked="0"/>
    </xf>
    <xf numFmtId="187" fontId="2" fillId="0" borderId="0" applyFont="0" applyFill="0" applyBorder="0" applyProtection="0">
      <alignment vertical="center"/>
    </xf>
    <xf numFmtId="187" fontId="204" fillId="0" borderId="0">
      <alignment vertical="center"/>
    </xf>
    <xf numFmtId="310" fontId="2" fillId="0" borderId="0">
      <alignment vertical="center"/>
    </xf>
    <xf numFmtId="310" fontId="204" fillId="0" borderId="0">
      <alignment vertical="center"/>
    </xf>
    <xf numFmtId="224" fontId="2" fillId="0" borderId="0" applyFont="0" applyFill="0" applyBorder="0" applyAlignment="0" applyProtection="0">
      <alignment vertical="center"/>
    </xf>
    <xf numFmtId="224" fontId="204" fillId="0" borderId="0">
      <alignment vertical="center"/>
    </xf>
    <xf numFmtId="0" fontId="26" fillId="0" borderId="0">
      <alignment vertical="center"/>
    </xf>
    <xf numFmtId="0" fontId="205" fillId="0" borderId="0">
      <alignment vertical="center"/>
    </xf>
    <xf numFmtId="0" fontId="26" fillId="0" borderId="0">
      <alignment vertical="center"/>
    </xf>
    <xf numFmtId="0" fontId="205" fillId="0" borderId="0">
      <alignment vertical="center"/>
    </xf>
    <xf numFmtId="307" fontId="53" fillId="0" borderId="0">
      <protection locked="0"/>
    </xf>
    <xf numFmtId="307" fontId="214" fillId="0" borderId="0">
      <protection locked="0"/>
    </xf>
    <xf numFmtId="0" fontId="53" fillId="0" borderId="0">
      <protection locked="0"/>
    </xf>
    <xf numFmtId="0" fontId="214" fillId="0" borderId="0">
      <protection locked="0"/>
    </xf>
    <xf numFmtId="0" fontId="53" fillId="0" borderId="0">
      <protection locked="0"/>
    </xf>
    <xf numFmtId="0" fontId="214" fillId="0" borderId="0">
      <protection locked="0"/>
    </xf>
    <xf numFmtId="255" fontId="53" fillId="0" borderId="0">
      <protection locked="0"/>
    </xf>
    <xf numFmtId="255" fontId="214" fillId="0" borderId="0">
      <protection locked="0"/>
    </xf>
    <xf numFmtId="255" fontId="214" fillId="0" borderId="0">
      <protection locked="0"/>
    </xf>
    <xf numFmtId="255" fontId="53" fillId="0" borderId="0">
      <protection locked="0"/>
    </xf>
    <xf numFmtId="255" fontId="214" fillId="0" borderId="0">
      <protection locked="0"/>
    </xf>
    <xf numFmtId="255" fontId="214" fillId="0" borderId="0">
      <protection locked="0"/>
    </xf>
    <xf numFmtId="255" fontId="53" fillId="0" borderId="0">
      <protection locked="0"/>
    </xf>
    <xf numFmtId="255" fontId="214" fillId="0" borderId="0">
      <protection locked="0"/>
    </xf>
    <xf numFmtId="255" fontId="214" fillId="0" borderId="0">
      <protection locked="0"/>
    </xf>
    <xf numFmtId="255" fontId="53" fillId="0" borderId="0">
      <protection locked="0"/>
    </xf>
    <xf numFmtId="255" fontId="214" fillId="0" borderId="0">
      <protection locked="0"/>
    </xf>
    <xf numFmtId="255" fontId="214" fillId="0" borderId="0">
      <protection locked="0"/>
    </xf>
    <xf numFmtId="255" fontId="53" fillId="0" borderId="0">
      <protection locked="0"/>
    </xf>
    <xf numFmtId="255" fontId="214" fillId="0" borderId="0">
      <protection locked="0"/>
    </xf>
    <xf numFmtId="177" fontId="102" fillId="0" borderId="1">
      <alignment vertical="center"/>
    </xf>
    <xf numFmtId="177" fontId="215" fillId="0" borderId="1">
      <alignment vertical="center"/>
    </xf>
    <xf numFmtId="9" fontId="31" fillId="0" borderId="0">
      <alignment vertical="center"/>
    </xf>
    <xf numFmtId="9" fontId="200" fillId="0" borderId="0">
      <alignment vertical="center"/>
    </xf>
    <xf numFmtId="225" fontId="207" fillId="0" borderId="0"/>
    <xf numFmtId="225" fontId="207" fillId="0" borderId="0"/>
    <xf numFmtId="225" fontId="19" fillId="0" borderId="0" applyFont="0" applyFill="0" applyBorder="0" applyAlignment="0" applyProtection="0"/>
    <xf numFmtId="3" fontId="21" fillId="0" borderId="1"/>
    <xf numFmtId="3" fontId="202" fillId="0" borderId="1"/>
    <xf numFmtId="0" fontId="31" fillId="0" borderId="0">
      <alignment vertical="center"/>
    </xf>
    <xf numFmtId="0" fontId="200" fillId="0" borderId="0">
      <alignment vertical="center"/>
    </xf>
    <xf numFmtId="3" fontId="21" fillId="0" borderId="1"/>
    <xf numFmtId="3" fontId="202" fillId="0" borderId="1"/>
    <xf numFmtId="10" fontId="31" fillId="0" borderId="0">
      <alignment vertical="center"/>
    </xf>
    <xf numFmtId="10" fontId="200" fillId="0" borderId="0">
      <alignment vertical="center"/>
    </xf>
    <xf numFmtId="0" fontId="31" fillId="0" borderId="0">
      <alignment vertical="center"/>
    </xf>
    <xf numFmtId="0" fontId="200" fillId="0" borderId="0">
      <alignment vertical="center"/>
    </xf>
    <xf numFmtId="332" fontId="2" fillId="0" borderId="0">
      <alignment vertical="center"/>
    </xf>
    <xf numFmtId="332" fontId="204" fillId="0" borderId="0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15" fillId="0" borderId="1">
      <alignment vertical="center"/>
    </xf>
    <xf numFmtId="177" fontId="102" fillId="0" borderId="1">
      <alignment vertical="center"/>
    </xf>
    <xf numFmtId="177" fontId="215" fillId="0" borderId="1">
      <alignment vertical="center"/>
    </xf>
    <xf numFmtId="177" fontId="215" fillId="0" borderId="1">
      <alignment vertical="center"/>
    </xf>
    <xf numFmtId="177" fontId="102" fillId="0" borderId="1">
      <alignment vertical="center"/>
    </xf>
    <xf numFmtId="177" fontId="215" fillId="0" borderId="1">
      <alignment vertical="center"/>
    </xf>
    <xf numFmtId="177" fontId="215" fillId="0" borderId="1">
      <alignment vertical="center"/>
    </xf>
    <xf numFmtId="177" fontId="102" fillId="0" borderId="1">
      <alignment vertical="center"/>
    </xf>
    <xf numFmtId="177" fontId="215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7" fillId="0" borderId="1">
      <alignment vertical="center"/>
    </xf>
    <xf numFmtId="177" fontId="19" fillId="0" borderId="1">
      <alignment vertical="center"/>
    </xf>
    <xf numFmtId="177" fontId="207" fillId="0" borderId="1">
      <alignment vertical="center"/>
    </xf>
    <xf numFmtId="177" fontId="207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177" fontId="204" fillId="0" borderId="1">
      <alignment vertical="center"/>
    </xf>
    <xf numFmtId="177" fontId="2" fillId="0" borderId="1">
      <alignment vertical="center"/>
    </xf>
    <xf numFmtId="177" fontId="204" fillId="0" borderId="1">
      <alignment vertical="center"/>
    </xf>
    <xf numFmtId="304" fontId="203" fillId="0" borderId="0">
      <alignment vertical="center"/>
    </xf>
    <xf numFmtId="301" fontId="9" fillId="0" borderId="0">
      <alignment horizontal="center" vertical="center"/>
    </xf>
    <xf numFmtId="41" fontId="203" fillId="0" borderId="0">
      <alignment horizontal="center" vertical="center"/>
    </xf>
    <xf numFmtId="41" fontId="9" fillId="0" borderId="0">
      <alignment horizontal="center" vertical="center"/>
    </xf>
    <xf numFmtId="41" fontId="203" fillId="0" borderId="0">
      <alignment horizontal="center" vertical="center"/>
    </xf>
    <xf numFmtId="301" fontId="9" fillId="0" borderId="0">
      <alignment horizontal="center" vertical="center"/>
    </xf>
    <xf numFmtId="41" fontId="203" fillId="0" borderId="0">
      <alignment horizontal="center" vertical="center"/>
    </xf>
    <xf numFmtId="41" fontId="9" fillId="0" borderId="0">
      <alignment horizontal="center" vertical="center"/>
    </xf>
    <xf numFmtId="41" fontId="203" fillId="0" borderId="0">
      <alignment horizontal="center" vertical="center"/>
    </xf>
    <xf numFmtId="0" fontId="15" fillId="0" borderId="1">
      <alignment horizontal="left" vertical="center" indent="1"/>
    </xf>
    <xf numFmtId="0" fontId="210" fillId="0" borderId="1">
      <alignment horizontal="left" vertical="center" indent="1"/>
    </xf>
    <xf numFmtId="38" fontId="216" fillId="0" borderId="23">
      <alignment horizontal="left" vertical="center"/>
    </xf>
    <xf numFmtId="38" fontId="216" fillId="0" borderId="23">
      <alignment horizontal="left" vertical="center"/>
    </xf>
    <xf numFmtId="38" fontId="216" fillId="0" borderId="23">
      <alignment horizontal="left" vertical="center"/>
    </xf>
    <xf numFmtId="38" fontId="216" fillId="0" borderId="23">
      <alignment horizontal="left" vertical="center"/>
    </xf>
    <xf numFmtId="38" fontId="216" fillId="0" borderId="23">
      <alignment horizontal="left" vertical="center"/>
    </xf>
    <xf numFmtId="38" fontId="216" fillId="0" borderId="23">
      <alignment horizontal="left" vertical="center"/>
    </xf>
    <xf numFmtId="38" fontId="216" fillId="0" borderId="23">
      <alignment horizontal="left" vertical="center"/>
    </xf>
    <xf numFmtId="38" fontId="216" fillId="0" borderId="23">
      <alignment horizontal="left" vertical="center"/>
    </xf>
    <xf numFmtId="38" fontId="216" fillId="0" borderId="23">
      <alignment horizontal="left" vertical="center"/>
    </xf>
    <xf numFmtId="38" fontId="216" fillId="0" borderId="23">
      <alignment horizontal="left" vertical="center"/>
    </xf>
    <xf numFmtId="38" fontId="216" fillId="0" borderId="23">
      <alignment horizontal="left" vertical="center"/>
    </xf>
    <xf numFmtId="38" fontId="216" fillId="0" borderId="23">
      <alignment horizontal="left" vertical="center"/>
    </xf>
    <xf numFmtId="38" fontId="216" fillId="0" borderId="23">
      <alignment horizontal="left" vertical="center"/>
    </xf>
    <xf numFmtId="38" fontId="216" fillId="0" borderId="23">
      <alignment horizontal="left" vertical="center"/>
    </xf>
    <xf numFmtId="38" fontId="103" fillId="0" borderId="23" applyNumberFormat="0">
      <alignment horizontal="left" vertical="center"/>
    </xf>
    <xf numFmtId="38" fontId="216" fillId="0" borderId="23">
      <alignment horizontal="left" vertical="center"/>
    </xf>
    <xf numFmtId="279" fontId="217" fillId="0" borderId="0">
      <alignment vertical="center"/>
    </xf>
    <xf numFmtId="279" fontId="5" fillId="0" borderId="0">
      <alignment vertical="center"/>
    </xf>
    <xf numFmtId="279" fontId="217" fillId="0" borderId="0">
      <alignment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237" fontId="2" fillId="0" borderId="0">
      <alignment vertical="center"/>
    </xf>
    <xf numFmtId="237" fontId="204" fillId="0" borderId="0">
      <alignment vertical="center"/>
    </xf>
    <xf numFmtId="237" fontId="2" fillId="0" borderId="0">
      <alignment vertical="center"/>
    </xf>
    <xf numFmtId="237" fontId="204" fillId="0" borderId="0">
      <alignment vertical="center"/>
    </xf>
    <xf numFmtId="237" fontId="2" fillId="0" borderId="0">
      <alignment vertical="center"/>
    </xf>
    <xf numFmtId="237" fontId="204" fillId="0" borderId="0">
      <alignment vertical="center"/>
    </xf>
    <xf numFmtId="237" fontId="204" fillId="0" borderId="0">
      <alignment vertical="center"/>
    </xf>
    <xf numFmtId="237" fontId="2" fillId="0" borderId="0">
      <alignment vertical="center"/>
    </xf>
    <xf numFmtId="237" fontId="204" fillId="0" borderId="0">
      <alignment vertical="center"/>
    </xf>
    <xf numFmtId="237" fontId="2" fillId="0" borderId="0">
      <alignment vertical="center"/>
    </xf>
    <xf numFmtId="237" fontId="204" fillId="0" borderId="0">
      <alignment vertical="center"/>
    </xf>
    <xf numFmtId="237" fontId="2" fillId="0" borderId="0">
      <alignment vertical="center"/>
    </xf>
    <xf numFmtId="237" fontId="204" fillId="0" borderId="0">
      <alignment vertical="center"/>
    </xf>
    <xf numFmtId="237" fontId="2" fillId="0" borderId="0">
      <alignment vertical="center"/>
    </xf>
    <xf numFmtId="237" fontId="204" fillId="0" borderId="0">
      <alignment vertical="center"/>
    </xf>
    <xf numFmtId="237" fontId="2" fillId="0" borderId="0">
      <alignment vertical="center"/>
    </xf>
    <xf numFmtId="237" fontId="204" fillId="0" borderId="0">
      <alignment vertical="center"/>
    </xf>
    <xf numFmtId="237" fontId="204" fillId="0" borderId="0">
      <alignment vertical="center"/>
    </xf>
    <xf numFmtId="237" fontId="2" fillId="0" borderId="0">
      <alignment vertical="center"/>
    </xf>
    <xf numFmtId="237" fontId="204" fillId="0" borderId="0">
      <alignment vertical="center"/>
    </xf>
    <xf numFmtId="237" fontId="2" fillId="0" borderId="0">
      <alignment vertical="center"/>
    </xf>
    <xf numFmtId="237" fontId="204" fillId="0" borderId="0">
      <alignment vertical="center"/>
    </xf>
    <xf numFmtId="237" fontId="2" fillId="0" borderId="0">
      <alignment vertical="center"/>
    </xf>
    <xf numFmtId="237" fontId="204" fillId="0" borderId="0">
      <alignment vertical="center"/>
    </xf>
    <xf numFmtId="336" fontId="204" fillId="0" borderId="0">
      <alignment vertical="center"/>
    </xf>
    <xf numFmtId="336" fontId="2" fillId="0" borderId="0">
      <alignment vertical="center"/>
    </xf>
    <xf numFmtId="336" fontId="204" fillId="0" borderId="0">
      <alignment vertical="center"/>
    </xf>
    <xf numFmtId="336" fontId="2" fillId="0" borderId="0">
      <alignment vertical="center"/>
    </xf>
    <xf numFmtId="336" fontId="204" fillId="0" borderId="0">
      <alignment vertical="center"/>
    </xf>
    <xf numFmtId="336" fontId="204" fillId="0" borderId="0">
      <alignment vertical="center"/>
    </xf>
    <xf numFmtId="336" fontId="2" fillId="0" borderId="0">
      <alignment vertical="center"/>
    </xf>
    <xf numFmtId="336" fontId="204" fillId="0" borderId="0">
      <alignment vertical="center"/>
    </xf>
    <xf numFmtId="336" fontId="2" fillId="0" borderId="0">
      <alignment vertical="center"/>
    </xf>
    <xf numFmtId="336" fontId="204" fillId="0" borderId="0">
      <alignment vertical="center"/>
    </xf>
    <xf numFmtId="336" fontId="2" fillId="0" borderId="0">
      <alignment vertical="center"/>
    </xf>
    <xf numFmtId="336" fontId="204" fillId="0" borderId="0">
      <alignment vertical="center"/>
    </xf>
    <xf numFmtId="336" fontId="2" fillId="0" borderId="0">
      <alignment vertical="center"/>
    </xf>
    <xf numFmtId="336" fontId="204" fillId="0" borderId="0">
      <alignment vertical="center"/>
    </xf>
    <xf numFmtId="336" fontId="2" fillId="0" borderId="0">
      <alignment vertical="center"/>
    </xf>
    <xf numFmtId="336" fontId="204" fillId="0" borderId="0">
      <alignment vertical="center"/>
    </xf>
    <xf numFmtId="336" fontId="204" fillId="0" borderId="0">
      <alignment vertical="center"/>
    </xf>
    <xf numFmtId="336" fontId="2" fillId="0" borderId="0">
      <alignment vertical="center"/>
    </xf>
    <xf numFmtId="336" fontId="204" fillId="0" borderId="0">
      <alignment vertical="center"/>
    </xf>
    <xf numFmtId="336" fontId="2" fillId="0" borderId="0">
      <alignment vertical="center"/>
    </xf>
    <xf numFmtId="336" fontId="204" fillId="0" borderId="0">
      <alignment vertical="center"/>
    </xf>
    <xf numFmtId="336" fontId="2" fillId="0" borderId="0">
      <alignment vertical="center"/>
    </xf>
    <xf numFmtId="336" fontId="204" fillId="0" borderId="0">
      <alignment vertical="center"/>
    </xf>
    <xf numFmtId="336" fontId="2" fillId="0" borderId="0">
      <alignment vertical="center"/>
    </xf>
    <xf numFmtId="336" fontId="204" fillId="0" borderId="0">
      <alignment vertical="center"/>
    </xf>
    <xf numFmtId="336" fontId="2" fillId="0" borderId="0">
      <alignment vertical="center"/>
    </xf>
    <xf numFmtId="336" fontId="204" fillId="0" borderId="0">
      <alignment vertical="center"/>
    </xf>
    <xf numFmtId="336" fontId="2" fillId="0" borderId="0">
      <alignment vertical="center"/>
    </xf>
    <xf numFmtId="336" fontId="204" fillId="0" borderId="0">
      <alignment vertical="center"/>
    </xf>
    <xf numFmtId="336" fontId="204" fillId="0" borderId="0">
      <alignment vertical="center"/>
    </xf>
    <xf numFmtId="336" fontId="2" fillId="0" borderId="0">
      <alignment vertical="center"/>
    </xf>
    <xf numFmtId="336" fontId="204" fillId="0" borderId="0">
      <alignment vertical="center"/>
    </xf>
    <xf numFmtId="336" fontId="2" fillId="0" borderId="0">
      <alignment vertical="center"/>
    </xf>
    <xf numFmtId="336" fontId="204" fillId="0" borderId="0">
      <alignment vertical="center"/>
    </xf>
    <xf numFmtId="336" fontId="2" fillId="0" borderId="0">
      <alignment vertical="center"/>
    </xf>
    <xf numFmtId="336" fontId="204" fillId="0" borderId="0">
      <alignment vertical="center"/>
    </xf>
    <xf numFmtId="204" fontId="2" fillId="0" borderId="0">
      <alignment vertical="center"/>
    </xf>
    <xf numFmtId="204" fontId="204" fillId="0" borderId="0">
      <alignment vertical="center"/>
    </xf>
    <xf numFmtId="204" fontId="2" fillId="0" borderId="0">
      <alignment vertical="center"/>
    </xf>
    <xf numFmtId="204" fontId="204" fillId="0" borderId="0">
      <alignment vertical="center"/>
    </xf>
    <xf numFmtId="204" fontId="204" fillId="0" borderId="0">
      <alignment vertical="center"/>
    </xf>
    <xf numFmtId="204" fontId="2" fillId="0" borderId="0">
      <alignment vertical="center"/>
    </xf>
    <xf numFmtId="204" fontId="204" fillId="0" borderId="0">
      <alignment vertical="center"/>
    </xf>
    <xf numFmtId="204" fontId="2" fillId="0" borderId="0">
      <alignment vertical="center"/>
    </xf>
    <xf numFmtId="204" fontId="204" fillId="0" borderId="0">
      <alignment vertical="center"/>
    </xf>
    <xf numFmtId="204" fontId="2" fillId="0" borderId="0">
      <alignment vertical="center"/>
    </xf>
    <xf numFmtId="204" fontId="204" fillId="0" borderId="0">
      <alignment vertical="center"/>
    </xf>
    <xf numFmtId="336" fontId="2" fillId="0" borderId="0">
      <alignment vertical="center"/>
    </xf>
    <xf numFmtId="336" fontId="204" fillId="0" borderId="0">
      <alignment vertical="center"/>
    </xf>
    <xf numFmtId="336" fontId="2" fillId="0" borderId="0">
      <alignment vertical="center"/>
    </xf>
    <xf numFmtId="336" fontId="204" fillId="0" borderId="0">
      <alignment vertical="center"/>
    </xf>
    <xf numFmtId="336" fontId="2" fillId="0" borderId="0">
      <alignment vertical="center"/>
    </xf>
    <xf numFmtId="336" fontId="204" fillId="0" borderId="0">
      <alignment vertical="center"/>
    </xf>
    <xf numFmtId="336" fontId="204" fillId="0" borderId="0">
      <alignment vertical="center"/>
    </xf>
    <xf numFmtId="336" fontId="2" fillId="0" borderId="0">
      <alignment vertical="center"/>
    </xf>
    <xf numFmtId="336" fontId="204" fillId="0" borderId="0">
      <alignment vertical="center"/>
    </xf>
    <xf numFmtId="336" fontId="2" fillId="0" borderId="0">
      <alignment vertical="center"/>
    </xf>
    <xf numFmtId="336" fontId="204" fillId="0" borderId="0">
      <alignment vertical="center"/>
    </xf>
    <xf numFmtId="336" fontId="2" fillId="0" borderId="0">
      <alignment vertical="center"/>
    </xf>
    <xf numFmtId="336" fontId="204" fillId="0" borderId="0">
      <alignment vertical="center"/>
    </xf>
    <xf numFmtId="336" fontId="2" fillId="0" borderId="0">
      <alignment vertical="center"/>
    </xf>
    <xf numFmtId="336" fontId="204" fillId="0" borderId="0">
      <alignment vertical="center"/>
    </xf>
    <xf numFmtId="336" fontId="2" fillId="0" borderId="0">
      <alignment vertical="center"/>
    </xf>
    <xf numFmtId="336" fontId="204" fillId="0" borderId="0">
      <alignment vertical="center"/>
    </xf>
    <xf numFmtId="336" fontId="204" fillId="0" borderId="0">
      <alignment vertical="center"/>
    </xf>
    <xf numFmtId="336" fontId="2" fillId="0" borderId="0">
      <alignment vertical="center"/>
    </xf>
    <xf numFmtId="336" fontId="204" fillId="0" borderId="0">
      <alignment vertical="center"/>
    </xf>
    <xf numFmtId="336" fontId="2" fillId="0" borderId="0">
      <alignment vertical="center"/>
    </xf>
    <xf numFmtId="336" fontId="204" fillId="0" borderId="0">
      <alignment vertical="center"/>
    </xf>
    <xf numFmtId="336" fontId="2" fillId="0" borderId="0">
      <alignment vertical="center"/>
    </xf>
    <xf numFmtId="336" fontId="204" fillId="0" borderId="0">
      <alignment vertical="center"/>
    </xf>
    <xf numFmtId="301" fontId="203" fillId="0" borderId="0">
      <alignment horizontal="center" vertical="center"/>
    </xf>
    <xf numFmtId="301" fontId="9" fillId="0" borderId="0">
      <alignment horizontal="center" vertical="center"/>
    </xf>
    <xf numFmtId="41" fontId="203" fillId="0" borderId="0">
      <alignment horizontal="center" vertical="center"/>
    </xf>
    <xf numFmtId="41" fontId="9" fillId="0" borderId="0">
      <alignment horizontal="center" vertical="center"/>
    </xf>
    <xf numFmtId="41" fontId="203" fillId="0" borderId="0">
      <alignment horizontal="center" vertical="center"/>
    </xf>
    <xf numFmtId="0" fontId="209" fillId="0" borderId="0">
      <alignment horizontal="center" vertical="center"/>
    </xf>
    <xf numFmtId="0" fontId="6" fillId="0" borderId="0">
      <alignment horizontal="center" vertical="center"/>
    </xf>
    <xf numFmtId="0" fontId="209" fillId="0" borderId="0">
      <alignment horizontal="center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0" fontId="209" fillId="0" borderId="0">
      <alignment horizontal="center" vertical="center"/>
    </xf>
    <xf numFmtId="0" fontId="6" fillId="0" borderId="0">
      <alignment horizontal="center" vertical="center"/>
    </xf>
    <xf numFmtId="0" fontId="209" fillId="0" borderId="0">
      <alignment horizontal="center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301" fontId="203" fillId="0" borderId="0">
      <alignment horizontal="center" vertical="center"/>
    </xf>
    <xf numFmtId="301" fontId="9" fillId="0" borderId="0">
      <alignment horizontal="center" vertical="center"/>
    </xf>
    <xf numFmtId="41" fontId="203" fillId="0" borderId="0">
      <alignment horizontal="center" vertical="center"/>
    </xf>
    <xf numFmtId="41" fontId="9" fillId="0" borderId="0">
      <alignment horizontal="center" vertical="center"/>
    </xf>
    <xf numFmtId="41" fontId="203" fillId="0" borderId="0">
      <alignment horizontal="center" vertical="center"/>
    </xf>
    <xf numFmtId="301" fontId="203" fillId="0" borderId="0">
      <alignment horizontal="center" vertical="center"/>
    </xf>
    <xf numFmtId="301" fontId="9" fillId="0" borderId="0">
      <alignment horizontal="center" vertical="center"/>
    </xf>
    <xf numFmtId="41" fontId="203" fillId="0" borderId="0">
      <alignment horizontal="center" vertical="center"/>
    </xf>
    <xf numFmtId="41" fontId="9" fillId="0" borderId="0">
      <alignment horizontal="center" vertical="center"/>
    </xf>
    <xf numFmtId="41" fontId="203" fillId="0" borderId="0">
      <alignment horizontal="center" vertical="center"/>
    </xf>
    <xf numFmtId="3" fontId="218" fillId="0" borderId="13">
      <alignment horizontal="right" vertical="center"/>
    </xf>
    <xf numFmtId="3" fontId="50" fillId="0" borderId="13">
      <alignment horizontal="right" vertical="center"/>
    </xf>
    <xf numFmtId="3" fontId="218" fillId="0" borderId="13">
      <alignment horizontal="right" vertical="center"/>
    </xf>
    <xf numFmtId="3" fontId="218" fillId="0" borderId="13">
      <alignment horizontal="right" vertical="center"/>
    </xf>
    <xf numFmtId="204" fontId="2" fillId="0" borderId="0">
      <alignment vertical="center"/>
    </xf>
    <xf numFmtId="204" fontId="204" fillId="0" borderId="0">
      <alignment vertical="center"/>
    </xf>
    <xf numFmtId="204" fontId="2" fillId="0" borderId="0">
      <alignment vertical="center"/>
    </xf>
    <xf numFmtId="204" fontId="204" fillId="0" borderId="0">
      <alignment vertical="center"/>
    </xf>
    <xf numFmtId="204" fontId="204" fillId="0" borderId="0">
      <alignment vertical="center"/>
    </xf>
    <xf numFmtId="204" fontId="2" fillId="0" borderId="0">
      <alignment vertical="center"/>
    </xf>
    <xf numFmtId="204" fontId="204" fillId="0" borderId="0">
      <alignment vertical="center"/>
    </xf>
    <xf numFmtId="204" fontId="2" fillId="0" borderId="0">
      <alignment vertical="center"/>
    </xf>
    <xf numFmtId="204" fontId="204" fillId="0" borderId="0">
      <alignment vertical="center"/>
    </xf>
    <xf numFmtId="204" fontId="2" fillId="0" borderId="0">
      <alignment vertical="center"/>
    </xf>
    <xf numFmtId="204" fontId="204" fillId="0" borderId="0">
      <alignment vertical="center"/>
    </xf>
    <xf numFmtId="0" fontId="201" fillId="0" borderId="33"/>
    <xf numFmtId="0" fontId="201" fillId="0" borderId="33"/>
    <xf numFmtId="0" fontId="201" fillId="0" borderId="33"/>
    <xf numFmtId="0" fontId="201" fillId="0" borderId="33"/>
    <xf numFmtId="0" fontId="201" fillId="0" borderId="33"/>
    <xf numFmtId="0" fontId="201" fillId="0" borderId="33"/>
    <xf numFmtId="0" fontId="201" fillId="0" borderId="33"/>
    <xf numFmtId="0" fontId="201" fillId="0" borderId="33"/>
    <xf numFmtId="0" fontId="201" fillId="0" borderId="33"/>
    <xf numFmtId="0" fontId="201" fillId="0" borderId="33"/>
    <xf numFmtId="0" fontId="201" fillId="0" borderId="33"/>
    <xf numFmtId="0" fontId="201" fillId="0" borderId="33"/>
    <xf numFmtId="0" fontId="201" fillId="0" borderId="33"/>
    <xf numFmtId="0" fontId="201" fillId="0" borderId="33"/>
    <xf numFmtId="0" fontId="54" fillId="0" borderId="33"/>
    <xf numFmtId="0" fontId="201" fillId="0" borderId="33"/>
    <xf numFmtId="278" fontId="219" fillId="0" borderId="0">
      <alignment vertical="center"/>
    </xf>
    <xf numFmtId="0" fontId="2" fillId="0" borderId="0"/>
    <xf numFmtId="0" fontId="204" fillId="0" borderId="0"/>
    <xf numFmtId="4" fontId="220" fillId="0" borderId="123">
      <alignment vertical="center"/>
    </xf>
    <xf numFmtId="4" fontId="221" fillId="0" borderId="123">
      <alignment vertical="center"/>
    </xf>
    <xf numFmtId="4" fontId="220" fillId="0" borderId="123">
      <alignment vertical="center"/>
    </xf>
    <xf numFmtId="0" fontId="207" fillId="0" borderId="0"/>
    <xf numFmtId="0" fontId="19" fillId="0" borderId="0" applyNumberFormat="0" applyFill="0" applyBorder="0" applyAlignment="0" applyProtection="0"/>
    <xf numFmtId="0" fontId="207" fillId="0" borderId="0"/>
    <xf numFmtId="0" fontId="207" fillId="0" borderId="0"/>
    <xf numFmtId="255" fontId="222" fillId="0" borderId="0">
      <protection locked="0"/>
    </xf>
    <xf numFmtId="0" fontId="203" fillId="0" borderId="0"/>
    <xf numFmtId="0" fontId="9" fillId="0" borderId="0"/>
    <xf numFmtId="0" fontId="203" fillId="0" borderId="0"/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0" fontId="9" fillId="0" borderId="43">
      <alignment horizontal="center"/>
    </xf>
    <xf numFmtId="0" fontId="203" fillId="0" borderId="43">
      <alignment horizont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2" fontId="50" fillId="0" borderId="13">
      <alignment horizontal="right" vertical="center"/>
    </xf>
    <xf numFmtId="2" fontId="218" fillId="0" borderId="13">
      <alignment horizontal="right" vertical="center"/>
    </xf>
    <xf numFmtId="2" fontId="218" fillId="0" borderId="13">
      <alignment horizontal="right" vertical="center"/>
    </xf>
    <xf numFmtId="0" fontId="199" fillId="16" borderId="0">
      <alignment vertical="center"/>
    </xf>
    <xf numFmtId="0" fontId="199" fillId="16" borderId="0">
      <alignment vertical="center"/>
    </xf>
    <xf numFmtId="0" fontId="175" fillId="17" borderId="0" applyNumberFormat="0" applyBorder="0" applyAlignment="0" applyProtection="0">
      <alignment vertical="center"/>
    </xf>
    <xf numFmtId="0" fontId="199" fillId="16" borderId="0">
      <alignment vertical="center"/>
    </xf>
    <xf numFmtId="0" fontId="175" fillId="17" borderId="0" applyNumberFormat="0" applyBorder="0" applyAlignment="0" applyProtection="0">
      <alignment vertical="center"/>
    </xf>
    <xf numFmtId="0" fontId="199" fillId="16" borderId="0">
      <alignment vertical="center"/>
    </xf>
    <xf numFmtId="0" fontId="199" fillId="16" borderId="0">
      <alignment vertical="center"/>
    </xf>
    <xf numFmtId="0" fontId="199" fillId="16" borderId="0">
      <alignment vertical="center"/>
    </xf>
    <xf numFmtId="0" fontId="175" fillId="17" borderId="0" applyNumberFormat="0" applyBorder="0" applyAlignment="0" applyProtection="0">
      <alignment vertical="center"/>
    </xf>
    <xf numFmtId="0" fontId="199" fillId="16" borderId="0">
      <alignment vertical="center"/>
    </xf>
    <xf numFmtId="0" fontId="175" fillId="17" borderId="0" applyNumberFormat="0" applyBorder="0" applyAlignment="0" applyProtection="0">
      <alignment vertical="center"/>
    </xf>
    <xf numFmtId="0" fontId="199" fillId="16" borderId="0">
      <alignment vertical="center"/>
    </xf>
    <xf numFmtId="0" fontId="199" fillId="16" borderId="0">
      <alignment vertical="center"/>
    </xf>
    <xf numFmtId="0" fontId="199" fillId="16" borderId="0">
      <alignment vertical="center"/>
    </xf>
    <xf numFmtId="0" fontId="175" fillId="17" borderId="0" applyNumberFormat="0" applyBorder="0" applyAlignment="0" applyProtection="0">
      <alignment vertical="center"/>
    </xf>
    <xf numFmtId="0" fontId="199" fillId="16" borderId="0">
      <alignment vertical="center"/>
    </xf>
    <xf numFmtId="0" fontId="175" fillId="17" borderId="0" applyNumberFormat="0" applyBorder="0" applyAlignment="0" applyProtection="0">
      <alignment vertical="center"/>
    </xf>
    <xf numFmtId="0" fontId="199" fillId="16" borderId="0">
      <alignment vertical="center"/>
    </xf>
    <xf numFmtId="0" fontId="199" fillId="16" borderId="0">
      <alignment vertical="center"/>
    </xf>
    <xf numFmtId="0" fontId="199" fillId="18" borderId="0">
      <alignment vertical="center"/>
    </xf>
    <xf numFmtId="0" fontId="199" fillId="18" borderId="0">
      <alignment vertical="center"/>
    </xf>
    <xf numFmtId="0" fontId="175" fillId="19" borderId="0" applyNumberFormat="0" applyBorder="0" applyAlignment="0" applyProtection="0">
      <alignment vertical="center"/>
    </xf>
    <xf numFmtId="0" fontId="199" fillId="18" borderId="0">
      <alignment vertical="center"/>
    </xf>
    <xf numFmtId="0" fontId="175" fillId="19" borderId="0" applyNumberFormat="0" applyBorder="0" applyAlignment="0" applyProtection="0">
      <alignment vertical="center"/>
    </xf>
    <xf numFmtId="0" fontId="199" fillId="18" borderId="0">
      <alignment vertical="center"/>
    </xf>
    <xf numFmtId="0" fontId="199" fillId="18" borderId="0">
      <alignment vertical="center"/>
    </xf>
    <xf numFmtId="0" fontId="199" fillId="18" borderId="0">
      <alignment vertical="center"/>
    </xf>
    <xf numFmtId="0" fontId="175" fillId="19" borderId="0" applyNumberFormat="0" applyBorder="0" applyAlignment="0" applyProtection="0">
      <alignment vertical="center"/>
    </xf>
    <xf numFmtId="0" fontId="199" fillId="18" borderId="0">
      <alignment vertical="center"/>
    </xf>
    <xf numFmtId="0" fontId="175" fillId="19" borderId="0" applyNumberFormat="0" applyBorder="0" applyAlignment="0" applyProtection="0">
      <alignment vertical="center"/>
    </xf>
    <xf numFmtId="0" fontId="199" fillId="18" borderId="0">
      <alignment vertical="center"/>
    </xf>
    <xf numFmtId="0" fontId="199" fillId="18" borderId="0">
      <alignment vertical="center"/>
    </xf>
    <xf numFmtId="0" fontId="199" fillId="18" borderId="0">
      <alignment vertical="center"/>
    </xf>
    <xf numFmtId="0" fontId="175" fillId="19" borderId="0" applyNumberFormat="0" applyBorder="0" applyAlignment="0" applyProtection="0">
      <alignment vertical="center"/>
    </xf>
    <xf numFmtId="0" fontId="199" fillId="18" borderId="0">
      <alignment vertical="center"/>
    </xf>
    <xf numFmtId="0" fontId="175" fillId="19" borderId="0" applyNumberFormat="0" applyBorder="0" applyAlignment="0" applyProtection="0">
      <alignment vertical="center"/>
    </xf>
    <xf numFmtId="0" fontId="199" fillId="18" borderId="0">
      <alignment vertical="center"/>
    </xf>
    <xf numFmtId="0" fontId="199" fillId="18" borderId="0">
      <alignment vertical="center"/>
    </xf>
    <xf numFmtId="0" fontId="199" fillId="20" borderId="0">
      <alignment vertical="center"/>
    </xf>
    <xf numFmtId="0" fontId="199" fillId="20" borderId="0">
      <alignment vertical="center"/>
    </xf>
    <xf numFmtId="0" fontId="175" fillId="21" borderId="0" applyNumberFormat="0" applyBorder="0" applyAlignment="0" applyProtection="0">
      <alignment vertical="center"/>
    </xf>
    <xf numFmtId="0" fontId="199" fillId="20" borderId="0">
      <alignment vertical="center"/>
    </xf>
    <xf numFmtId="0" fontId="175" fillId="21" borderId="0" applyNumberFormat="0" applyBorder="0" applyAlignment="0" applyProtection="0">
      <alignment vertical="center"/>
    </xf>
    <xf numFmtId="0" fontId="199" fillId="20" borderId="0">
      <alignment vertical="center"/>
    </xf>
    <xf numFmtId="0" fontId="199" fillId="20" borderId="0">
      <alignment vertical="center"/>
    </xf>
    <xf numFmtId="0" fontId="199" fillId="20" borderId="0">
      <alignment vertical="center"/>
    </xf>
    <xf numFmtId="0" fontId="175" fillId="21" borderId="0" applyNumberFormat="0" applyBorder="0" applyAlignment="0" applyProtection="0">
      <alignment vertical="center"/>
    </xf>
    <xf numFmtId="0" fontId="199" fillId="20" borderId="0">
      <alignment vertical="center"/>
    </xf>
    <xf numFmtId="0" fontId="175" fillId="21" borderId="0" applyNumberFormat="0" applyBorder="0" applyAlignment="0" applyProtection="0">
      <alignment vertical="center"/>
    </xf>
    <xf numFmtId="0" fontId="199" fillId="20" borderId="0">
      <alignment vertical="center"/>
    </xf>
    <xf numFmtId="0" fontId="199" fillId="20" borderId="0">
      <alignment vertical="center"/>
    </xf>
    <xf numFmtId="0" fontId="199" fillId="20" borderId="0">
      <alignment vertical="center"/>
    </xf>
    <xf numFmtId="0" fontId="175" fillId="21" borderId="0" applyNumberFormat="0" applyBorder="0" applyAlignment="0" applyProtection="0">
      <alignment vertical="center"/>
    </xf>
    <xf numFmtId="0" fontId="199" fillId="20" borderId="0">
      <alignment vertical="center"/>
    </xf>
    <xf numFmtId="0" fontId="175" fillId="21" borderId="0" applyNumberFormat="0" applyBorder="0" applyAlignment="0" applyProtection="0">
      <alignment vertical="center"/>
    </xf>
    <xf numFmtId="0" fontId="199" fillId="20" borderId="0">
      <alignment vertical="center"/>
    </xf>
    <xf numFmtId="0" fontId="199" fillId="20" borderId="0">
      <alignment vertical="center"/>
    </xf>
    <xf numFmtId="0" fontId="199" fillId="22" borderId="0">
      <alignment vertical="center"/>
    </xf>
    <xf numFmtId="0" fontId="199" fillId="22" borderId="0">
      <alignment vertical="center"/>
    </xf>
    <xf numFmtId="0" fontId="175" fillId="23" borderId="0" applyNumberFormat="0" applyBorder="0" applyAlignment="0" applyProtection="0">
      <alignment vertical="center"/>
    </xf>
    <xf numFmtId="0" fontId="199" fillId="22" borderId="0">
      <alignment vertical="center"/>
    </xf>
    <xf numFmtId="0" fontId="175" fillId="23" borderId="0" applyNumberFormat="0" applyBorder="0" applyAlignment="0" applyProtection="0">
      <alignment vertical="center"/>
    </xf>
    <xf numFmtId="0" fontId="199" fillId="22" borderId="0">
      <alignment vertical="center"/>
    </xf>
    <xf numFmtId="0" fontId="199" fillId="22" borderId="0">
      <alignment vertical="center"/>
    </xf>
    <xf numFmtId="0" fontId="199" fillId="22" borderId="0">
      <alignment vertical="center"/>
    </xf>
    <xf numFmtId="0" fontId="175" fillId="23" borderId="0" applyNumberFormat="0" applyBorder="0" applyAlignment="0" applyProtection="0">
      <alignment vertical="center"/>
    </xf>
    <xf numFmtId="0" fontId="199" fillId="22" borderId="0">
      <alignment vertical="center"/>
    </xf>
    <xf numFmtId="0" fontId="175" fillId="23" borderId="0" applyNumberFormat="0" applyBorder="0" applyAlignment="0" applyProtection="0">
      <alignment vertical="center"/>
    </xf>
    <xf numFmtId="0" fontId="199" fillId="22" borderId="0">
      <alignment vertical="center"/>
    </xf>
    <xf numFmtId="0" fontId="199" fillId="22" borderId="0">
      <alignment vertical="center"/>
    </xf>
    <xf numFmtId="0" fontId="199" fillId="22" borderId="0">
      <alignment vertical="center"/>
    </xf>
    <xf numFmtId="0" fontId="175" fillId="23" borderId="0" applyNumberFormat="0" applyBorder="0" applyAlignment="0" applyProtection="0">
      <alignment vertical="center"/>
    </xf>
    <xf numFmtId="0" fontId="199" fillId="22" borderId="0">
      <alignment vertical="center"/>
    </xf>
    <xf numFmtId="0" fontId="175" fillId="23" borderId="0" applyNumberFormat="0" applyBorder="0" applyAlignment="0" applyProtection="0">
      <alignment vertical="center"/>
    </xf>
    <xf numFmtId="0" fontId="199" fillId="22" borderId="0">
      <alignment vertical="center"/>
    </xf>
    <xf numFmtId="0" fontId="199" fillId="22" borderId="0">
      <alignment vertical="center"/>
    </xf>
    <xf numFmtId="0" fontId="199" fillId="24" borderId="0">
      <alignment vertical="center"/>
    </xf>
    <xf numFmtId="0" fontId="199" fillId="24" borderId="0">
      <alignment vertical="center"/>
    </xf>
    <xf numFmtId="0" fontId="175" fillId="25" borderId="0" applyNumberFormat="0" applyBorder="0" applyAlignment="0" applyProtection="0">
      <alignment vertical="center"/>
    </xf>
    <xf numFmtId="0" fontId="199" fillId="24" borderId="0">
      <alignment vertical="center"/>
    </xf>
    <xf numFmtId="0" fontId="175" fillId="25" borderId="0" applyNumberFormat="0" applyBorder="0" applyAlignment="0" applyProtection="0">
      <alignment vertical="center"/>
    </xf>
    <xf numFmtId="0" fontId="199" fillId="24" borderId="0">
      <alignment vertical="center"/>
    </xf>
    <xf numFmtId="0" fontId="199" fillId="24" borderId="0">
      <alignment vertical="center"/>
    </xf>
    <xf numFmtId="0" fontId="199" fillId="24" borderId="0">
      <alignment vertical="center"/>
    </xf>
    <xf numFmtId="0" fontId="175" fillId="25" borderId="0" applyNumberFormat="0" applyBorder="0" applyAlignment="0" applyProtection="0">
      <alignment vertical="center"/>
    </xf>
    <xf numFmtId="0" fontId="199" fillId="24" borderId="0">
      <alignment vertical="center"/>
    </xf>
    <xf numFmtId="0" fontId="175" fillId="25" borderId="0" applyNumberFormat="0" applyBorder="0" applyAlignment="0" applyProtection="0">
      <alignment vertical="center"/>
    </xf>
    <xf numFmtId="0" fontId="199" fillId="24" borderId="0">
      <alignment vertical="center"/>
    </xf>
    <xf numFmtId="0" fontId="199" fillId="24" borderId="0">
      <alignment vertical="center"/>
    </xf>
    <xf numFmtId="0" fontId="199" fillId="24" borderId="0">
      <alignment vertical="center"/>
    </xf>
    <xf numFmtId="0" fontId="175" fillId="25" borderId="0" applyNumberFormat="0" applyBorder="0" applyAlignment="0" applyProtection="0">
      <alignment vertical="center"/>
    </xf>
    <xf numFmtId="0" fontId="199" fillId="24" borderId="0">
      <alignment vertical="center"/>
    </xf>
    <xf numFmtId="0" fontId="175" fillId="25" borderId="0" applyNumberFormat="0" applyBorder="0" applyAlignment="0" applyProtection="0">
      <alignment vertical="center"/>
    </xf>
    <xf numFmtId="0" fontId="199" fillId="24" borderId="0">
      <alignment vertical="center"/>
    </xf>
    <xf numFmtId="0" fontId="199" fillId="24" borderId="0">
      <alignment vertical="center"/>
    </xf>
    <xf numFmtId="0" fontId="199" fillId="26" borderId="0">
      <alignment vertical="center"/>
    </xf>
    <xf numFmtId="0" fontId="199" fillId="26" borderId="0">
      <alignment vertical="center"/>
    </xf>
    <xf numFmtId="0" fontId="175" fillId="27" borderId="0" applyNumberFormat="0" applyBorder="0" applyAlignment="0" applyProtection="0">
      <alignment vertical="center"/>
    </xf>
    <xf numFmtId="0" fontId="199" fillId="26" borderId="0">
      <alignment vertical="center"/>
    </xf>
    <xf numFmtId="0" fontId="175" fillId="27" borderId="0" applyNumberFormat="0" applyBorder="0" applyAlignment="0" applyProtection="0">
      <alignment vertical="center"/>
    </xf>
    <xf numFmtId="0" fontId="199" fillId="26" borderId="0">
      <alignment vertical="center"/>
    </xf>
    <xf numFmtId="0" fontId="199" fillId="26" borderId="0">
      <alignment vertical="center"/>
    </xf>
    <xf numFmtId="0" fontId="199" fillId="26" borderId="0">
      <alignment vertical="center"/>
    </xf>
    <xf numFmtId="0" fontId="175" fillId="27" borderId="0" applyNumberFormat="0" applyBorder="0" applyAlignment="0" applyProtection="0">
      <alignment vertical="center"/>
    </xf>
    <xf numFmtId="0" fontId="199" fillId="26" borderId="0">
      <alignment vertical="center"/>
    </xf>
    <xf numFmtId="0" fontId="175" fillId="27" borderId="0" applyNumberFormat="0" applyBorder="0" applyAlignment="0" applyProtection="0">
      <alignment vertical="center"/>
    </xf>
    <xf numFmtId="0" fontId="199" fillId="26" borderId="0">
      <alignment vertical="center"/>
    </xf>
    <xf numFmtId="0" fontId="199" fillId="26" borderId="0">
      <alignment vertical="center"/>
    </xf>
    <xf numFmtId="0" fontId="199" fillId="26" borderId="0">
      <alignment vertical="center"/>
    </xf>
    <xf numFmtId="0" fontId="175" fillId="27" borderId="0" applyNumberFormat="0" applyBorder="0" applyAlignment="0" applyProtection="0">
      <alignment vertical="center"/>
    </xf>
    <xf numFmtId="0" fontId="199" fillId="26" borderId="0">
      <alignment vertical="center"/>
    </xf>
    <xf numFmtId="0" fontId="175" fillId="27" borderId="0" applyNumberFormat="0" applyBorder="0" applyAlignment="0" applyProtection="0">
      <alignment vertical="center"/>
    </xf>
    <xf numFmtId="0" fontId="199" fillId="26" borderId="0">
      <alignment vertical="center"/>
    </xf>
    <xf numFmtId="0" fontId="199" fillId="26" borderId="0">
      <alignment vertical="center"/>
    </xf>
    <xf numFmtId="278" fontId="219" fillId="0" borderId="112">
      <alignment vertical="center"/>
    </xf>
    <xf numFmtId="0" fontId="53" fillId="0" borderId="0">
      <protection locked="0"/>
    </xf>
    <xf numFmtId="0" fontId="214" fillId="0" borderId="0">
      <protection locked="0"/>
    </xf>
    <xf numFmtId="0" fontId="199" fillId="28" borderId="0">
      <alignment vertical="center"/>
    </xf>
    <xf numFmtId="0" fontId="199" fillId="28" borderId="0">
      <alignment vertical="center"/>
    </xf>
    <xf numFmtId="0" fontId="175" fillId="29" borderId="0" applyNumberFormat="0" applyBorder="0" applyAlignment="0" applyProtection="0">
      <alignment vertical="center"/>
    </xf>
    <xf numFmtId="0" fontId="199" fillId="28" borderId="0">
      <alignment vertical="center"/>
    </xf>
    <xf numFmtId="0" fontId="175" fillId="29" borderId="0" applyNumberFormat="0" applyBorder="0" applyAlignment="0" applyProtection="0">
      <alignment vertical="center"/>
    </xf>
    <xf numFmtId="0" fontId="199" fillId="28" borderId="0">
      <alignment vertical="center"/>
    </xf>
    <xf numFmtId="0" fontId="199" fillId="28" borderId="0">
      <alignment vertical="center"/>
    </xf>
    <xf numFmtId="0" fontId="199" fillId="28" borderId="0">
      <alignment vertical="center"/>
    </xf>
    <xf numFmtId="0" fontId="175" fillId="29" borderId="0" applyNumberFormat="0" applyBorder="0" applyAlignment="0" applyProtection="0">
      <alignment vertical="center"/>
    </xf>
    <xf numFmtId="0" fontId="199" fillId="28" borderId="0">
      <alignment vertical="center"/>
    </xf>
    <xf numFmtId="0" fontId="175" fillId="29" borderId="0" applyNumberFormat="0" applyBorder="0" applyAlignment="0" applyProtection="0">
      <alignment vertical="center"/>
    </xf>
    <xf numFmtId="0" fontId="199" fillId="28" borderId="0">
      <alignment vertical="center"/>
    </xf>
    <xf numFmtId="0" fontId="199" fillId="28" borderId="0">
      <alignment vertical="center"/>
    </xf>
    <xf numFmtId="0" fontId="199" fillId="28" borderId="0">
      <alignment vertical="center"/>
    </xf>
    <xf numFmtId="0" fontId="175" fillId="29" borderId="0" applyNumberFormat="0" applyBorder="0" applyAlignment="0" applyProtection="0">
      <alignment vertical="center"/>
    </xf>
    <xf numFmtId="0" fontId="199" fillId="28" borderId="0">
      <alignment vertical="center"/>
    </xf>
    <xf numFmtId="0" fontId="175" fillId="29" borderId="0" applyNumberFormat="0" applyBorder="0" applyAlignment="0" applyProtection="0">
      <alignment vertical="center"/>
    </xf>
    <xf numFmtId="0" fontId="199" fillId="28" borderId="0">
      <alignment vertical="center"/>
    </xf>
    <xf numFmtId="0" fontId="199" fillId="28" borderId="0">
      <alignment vertical="center"/>
    </xf>
    <xf numFmtId="0" fontId="199" fillId="30" borderId="0">
      <alignment vertical="center"/>
    </xf>
    <xf numFmtId="0" fontId="199" fillId="30" borderId="0">
      <alignment vertical="center"/>
    </xf>
    <xf numFmtId="0" fontId="175" fillId="31" borderId="0" applyNumberFormat="0" applyBorder="0" applyAlignment="0" applyProtection="0">
      <alignment vertical="center"/>
    </xf>
    <xf numFmtId="0" fontId="199" fillId="30" borderId="0">
      <alignment vertical="center"/>
    </xf>
    <xf numFmtId="0" fontId="175" fillId="31" borderId="0" applyNumberFormat="0" applyBorder="0" applyAlignment="0" applyProtection="0">
      <alignment vertical="center"/>
    </xf>
    <xf numFmtId="0" fontId="199" fillId="30" borderId="0">
      <alignment vertical="center"/>
    </xf>
    <xf numFmtId="0" fontId="199" fillId="30" borderId="0">
      <alignment vertical="center"/>
    </xf>
    <xf numFmtId="0" fontId="199" fillId="30" borderId="0">
      <alignment vertical="center"/>
    </xf>
    <xf numFmtId="0" fontId="175" fillId="31" borderId="0" applyNumberFormat="0" applyBorder="0" applyAlignment="0" applyProtection="0">
      <alignment vertical="center"/>
    </xf>
    <xf numFmtId="0" fontId="199" fillId="30" borderId="0">
      <alignment vertical="center"/>
    </xf>
    <xf numFmtId="0" fontId="175" fillId="31" borderId="0" applyNumberFormat="0" applyBorder="0" applyAlignment="0" applyProtection="0">
      <alignment vertical="center"/>
    </xf>
    <xf numFmtId="0" fontId="199" fillId="30" borderId="0">
      <alignment vertical="center"/>
    </xf>
    <xf numFmtId="0" fontId="199" fillId="30" borderId="0">
      <alignment vertical="center"/>
    </xf>
    <xf numFmtId="0" fontId="199" fillId="30" borderId="0">
      <alignment vertical="center"/>
    </xf>
    <xf numFmtId="0" fontId="175" fillId="31" borderId="0" applyNumberFormat="0" applyBorder="0" applyAlignment="0" applyProtection="0">
      <alignment vertical="center"/>
    </xf>
    <xf numFmtId="0" fontId="199" fillId="30" borderId="0">
      <alignment vertical="center"/>
    </xf>
    <xf numFmtId="0" fontId="175" fillId="31" borderId="0" applyNumberFormat="0" applyBorder="0" applyAlignment="0" applyProtection="0">
      <alignment vertical="center"/>
    </xf>
    <xf numFmtId="0" fontId="199" fillId="30" borderId="0">
      <alignment vertical="center"/>
    </xf>
    <xf numFmtId="0" fontId="199" fillId="30" borderId="0">
      <alignment vertical="center"/>
    </xf>
    <xf numFmtId="0" fontId="199" fillId="32" borderId="0">
      <alignment vertical="center"/>
    </xf>
    <xf numFmtId="0" fontId="199" fillId="32" borderId="0">
      <alignment vertical="center"/>
    </xf>
    <xf numFmtId="0" fontId="175" fillId="33" borderId="0" applyNumberFormat="0" applyBorder="0" applyAlignment="0" applyProtection="0">
      <alignment vertical="center"/>
    </xf>
    <xf numFmtId="0" fontId="199" fillId="32" borderId="0">
      <alignment vertical="center"/>
    </xf>
    <xf numFmtId="0" fontId="175" fillId="33" borderId="0" applyNumberFormat="0" applyBorder="0" applyAlignment="0" applyProtection="0">
      <alignment vertical="center"/>
    </xf>
    <xf numFmtId="0" fontId="199" fillId="32" borderId="0">
      <alignment vertical="center"/>
    </xf>
    <xf numFmtId="0" fontId="199" fillId="32" borderId="0">
      <alignment vertical="center"/>
    </xf>
    <xf numFmtId="0" fontId="199" fillId="32" borderId="0">
      <alignment vertical="center"/>
    </xf>
    <xf numFmtId="0" fontId="175" fillId="33" borderId="0" applyNumberFormat="0" applyBorder="0" applyAlignment="0" applyProtection="0">
      <alignment vertical="center"/>
    </xf>
    <xf numFmtId="0" fontId="199" fillId="32" borderId="0">
      <alignment vertical="center"/>
    </xf>
    <xf numFmtId="0" fontId="175" fillId="33" borderId="0" applyNumberFormat="0" applyBorder="0" applyAlignment="0" applyProtection="0">
      <alignment vertical="center"/>
    </xf>
    <xf numFmtId="0" fontId="199" fillId="32" borderId="0">
      <alignment vertical="center"/>
    </xf>
    <xf numFmtId="0" fontId="199" fillId="32" borderId="0">
      <alignment vertical="center"/>
    </xf>
    <xf numFmtId="0" fontId="199" fillId="32" borderId="0">
      <alignment vertical="center"/>
    </xf>
    <xf numFmtId="0" fontId="175" fillId="33" borderId="0" applyNumberFormat="0" applyBorder="0" applyAlignment="0" applyProtection="0">
      <alignment vertical="center"/>
    </xf>
    <xf numFmtId="0" fontId="199" fillId="32" borderId="0">
      <alignment vertical="center"/>
    </xf>
    <xf numFmtId="0" fontId="175" fillId="33" borderId="0" applyNumberFormat="0" applyBorder="0" applyAlignment="0" applyProtection="0">
      <alignment vertical="center"/>
    </xf>
    <xf numFmtId="0" fontId="199" fillId="32" borderId="0">
      <alignment vertical="center"/>
    </xf>
    <xf numFmtId="0" fontId="199" fillId="32" borderId="0">
      <alignment vertical="center"/>
    </xf>
    <xf numFmtId="0" fontId="199" fillId="22" borderId="0">
      <alignment vertical="center"/>
    </xf>
    <xf numFmtId="0" fontId="199" fillId="22" borderId="0">
      <alignment vertical="center"/>
    </xf>
    <xf numFmtId="0" fontId="175" fillId="23" borderId="0" applyNumberFormat="0" applyBorder="0" applyAlignment="0" applyProtection="0">
      <alignment vertical="center"/>
    </xf>
    <xf numFmtId="0" fontId="199" fillId="22" borderId="0">
      <alignment vertical="center"/>
    </xf>
    <xf numFmtId="0" fontId="175" fillId="23" borderId="0" applyNumberFormat="0" applyBorder="0" applyAlignment="0" applyProtection="0">
      <alignment vertical="center"/>
    </xf>
    <xf numFmtId="0" fontId="199" fillId="22" borderId="0">
      <alignment vertical="center"/>
    </xf>
    <xf numFmtId="0" fontId="199" fillId="22" borderId="0">
      <alignment vertical="center"/>
    </xf>
    <xf numFmtId="0" fontId="199" fillId="22" borderId="0">
      <alignment vertical="center"/>
    </xf>
    <xf numFmtId="0" fontId="175" fillId="23" borderId="0" applyNumberFormat="0" applyBorder="0" applyAlignment="0" applyProtection="0">
      <alignment vertical="center"/>
    </xf>
    <xf numFmtId="0" fontId="199" fillId="22" borderId="0">
      <alignment vertical="center"/>
    </xf>
    <xf numFmtId="0" fontId="175" fillId="23" borderId="0" applyNumberFormat="0" applyBorder="0" applyAlignment="0" applyProtection="0">
      <alignment vertical="center"/>
    </xf>
    <xf numFmtId="0" fontId="199" fillId="22" borderId="0">
      <alignment vertical="center"/>
    </xf>
    <xf numFmtId="0" fontId="199" fillId="22" borderId="0">
      <alignment vertical="center"/>
    </xf>
    <xf numFmtId="0" fontId="199" fillId="22" borderId="0">
      <alignment vertical="center"/>
    </xf>
    <xf numFmtId="0" fontId="175" fillId="23" borderId="0" applyNumberFormat="0" applyBorder="0" applyAlignment="0" applyProtection="0">
      <alignment vertical="center"/>
    </xf>
    <xf numFmtId="0" fontId="199" fillId="22" borderId="0">
      <alignment vertical="center"/>
    </xf>
    <xf numFmtId="0" fontId="175" fillId="23" borderId="0" applyNumberFormat="0" applyBorder="0" applyAlignment="0" applyProtection="0">
      <alignment vertical="center"/>
    </xf>
    <xf numFmtId="0" fontId="199" fillId="22" borderId="0">
      <alignment vertical="center"/>
    </xf>
    <xf numFmtId="0" fontId="199" fillId="22" borderId="0">
      <alignment vertical="center"/>
    </xf>
    <xf numFmtId="0" fontId="199" fillId="28" borderId="0">
      <alignment vertical="center"/>
    </xf>
    <xf numFmtId="0" fontId="199" fillId="28" borderId="0">
      <alignment vertical="center"/>
    </xf>
    <xf numFmtId="0" fontId="175" fillId="29" borderId="0" applyNumberFormat="0" applyBorder="0" applyAlignment="0" applyProtection="0">
      <alignment vertical="center"/>
    </xf>
    <xf numFmtId="0" fontId="199" fillId="28" borderId="0">
      <alignment vertical="center"/>
    </xf>
    <xf numFmtId="0" fontId="175" fillId="29" borderId="0" applyNumberFormat="0" applyBorder="0" applyAlignment="0" applyProtection="0">
      <alignment vertical="center"/>
    </xf>
    <xf numFmtId="0" fontId="199" fillId="28" borderId="0">
      <alignment vertical="center"/>
    </xf>
    <xf numFmtId="0" fontId="199" fillId="28" borderId="0">
      <alignment vertical="center"/>
    </xf>
    <xf numFmtId="0" fontId="199" fillId="28" borderId="0">
      <alignment vertical="center"/>
    </xf>
    <xf numFmtId="0" fontId="175" fillId="29" borderId="0" applyNumberFormat="0" applyBorder="0" applyAlignment="0" applyProtection="0">
      <alignment vertical="center"/>
    </xf>
    <xf numFmtId="0" fontId="199" fillId="28" borderId="0">
      <alignment vertical="center"/>
    </xf>
    <xf numFmtId="0" fontId="175" fillId="29" borderId="0" applyNumberFormat="0" applyBorder="0" applyAlignment="0" applyProtection="0">
      <alignment vertical="center"/>
    </xf>
    <xf numFmtId="0" fontId="199" fillId="28" borderId="0">
      <alignment vertical="center"/>
    </xf>
    <xf numFmtId="0" fontId="199" fillId="28" borderId="0">
      <alignment vertical="center"/>
    </xf>
    <xf numFmtId="0" fontId="199" fillId="28" borderId="0">
      <alignment vertical="center"/>
    </xf>
    <xf numFmtId="0" fontId="175" fillId="29" borderId="0" applyNumberFormat="0" applyBorder="0" applyAlignment="0" applyProtection="0">
      <alignment vertical="center"/>
    </xf>
    <xf numFmtId="0" fontId="199" fillId="28" borderId="0">
      <alignment vertical="center"/>
    </xf>
    <xf numFmtId="0" fontId="175" fillId="29" borderId="0" applyNumberFormat="0" applyBorder="0" applyAlignment="0" applyProtection="0">
      <alignment vertical="center"/>
    </xf>
    <xf numFmtId="0" fontId="199" fillId="28" borderId="0">
      <alignment vertical="center"/>
    </xf>
    <xf numFmtId="0" fontId="199" fillId="28" borderId="0">
      <alignment vertical="center"/>
    </xf>
    <xf numFmtId="0" fontId="199" fillId="34" borderId="0">
      <alignment vertical="center"/>
    </xf>
    <xf numFmtId="0" fontId="199" fillId="34" borderId="0">
      <alignment vertical="center"/>
    </xf>
    <xf numFmtId="0" fontId="175" fillId="35" borderId="0" applyNumberFormat="0" applyBorder="0" applyAlignment="0" applyProtection="0">
      <alignment vertical="center"/>
    </xf>
    <xf numFmtId="0" fontId="199" fillId="34" borderId="0">
      <alignment vertical="center"/>
    </xf>
    <xf numFmtId="0" fontId="175" fillId="35" borderId="0" applyNumberFormat="0" applyBorder="0" applyAlignment="0" applyProtection="0">
      <alignment vertical="center"/>
    </xf>
    <xf numFmtId="0" fontId="199" fillId="34" borderId="0">
      <alignment vertical="center"/>
    </xf>
    <xf numFmtId="0" fontId="199" fillId="34" borderId="0">
      <alignment vertical="center"/>
    </xf>
    <xf numFmtId="0" fontId="199" fillId="34" borderId="0">
      <alignment vertical="center"/>
    </xf>
    <xf numFmtId="0" fontId="175" fillId="35" borderId="0" applyNumberFormat="0" applyBorder="0" applyAlignment="0" applyProtection="0">
      <alignment vertical="center"/>
    </xf>
    <xf numFmtId="0" fontId="199" fillId="34" borderId="0">
      <alignment vertical="center"/>
    </xf>
    <xf numFmtId="0" fontId="175" fillId="35" borderId="0" applyNumberFormat="0" applyBorder="0" applyAlignment="0" applyProtection="0">
      <alignment vertical="center"/>
    </xf>
    <xf numFmtId="0" fontId="199" fillId="34" borderId="0">
      <alignment vertical="center"/>
    </xf>
    <xf numFmtId="0" fontId="199" fillId="34" borderId="0">
      <alignment vertical="center"/>
    </xf>
    <xf numFmtId="0" fontId="199" fillId="34" borderId="0">
      <alignment vertical="center"/>
    </xf>
    <xf numFmtId="0" fontId="175" fillId="35" borderId="0" applyNumberFormat="0" applyBorder="0" applyAlignment="0" applyProtection="0">
      <alignment vertical="center"/>
    </xf>
    <xf numFmtId="0" fontId="199" fillId="34" borderId="0">
      <alignment vertical="center"/>
    </xf>
    <xf numFmtId="0" fontId="175" fillId="35" borderId="0" applyNumberFormat="0" applyBorder="0" applyAlignment="0" applyProtection="0">
      <alignment vertical="center"/>
    </xf>
    <xf numFmtId="0" fontId="199" fillId="34" borderId="0">
      <alignment vertical="center"/>
    </xf>
    <xf numFmtId="0" fontId="199" fillId="34" borderId="0">
      <alignment vertical="center"/>
    </xf>
    <xf numFmtId="9" fontId="9" fillId="0" borderId="0">
      <protection locked="0"/>
    </xf>
    <xf numFmtId="9" fontId="203" fillId="0" borderId="0">
      <protection locked="0"/>
    </xf>
    <xf numFmtId="0" fontId="223" fillId="36" borderId="0">
      <alignment vertical="center"/>
    </xf>
    <xf numFmtId="0" fontId="223" fillId="36" borderId="0">
      <alignment vertical="center"/>
    </xf>
    <xf numFmtId="0" fontId="224" fillId="37" borderId="0" applyNumberFormat="0" applyBorder="0" applyAlignment="0" applyProtection="0">
      <alignment vertical="center"/>
    </xf>
    <xf numFmtId="0" fontId="223" fillId="36" borderId="0">
      <alignment vertical="center"/>
    </xf>
    <xf numFmtId="0" fontId="224" fillId="37" borderId="0" applyNumberFormat="0" applyBorder="0" applyAlignment="0" applyProtection="0">
      <alignment vertical="center"/>
    </xf>
    <xf numFmtId="0" fontId="223" fillId="36" borderId="0">
      <alignment vertical="center"/>
    </xf>
    <xf numFmtId="0" fontId="223" fillId="36" borderId="0">
      <alignment vertical="center"/>
    </xf>
    <xf numFmtId="0" fontId="223" fillId="36" borderId="0">
      <alignment vertical="center"/>
    </xf>
    <xf numFmtId="0" fontId="224" fillId="37" borderId="0" applyNumberFormat="0" applyBorder="0" applyAlignment="0" applyProtection="0">
      <alignment vertical="center"/>
    </xf>
    <xf numFmtId="0" fontId="223" fillId="36" borderId="0">
      <alignment vertical="center"/>
    </xf>
    <xf numFmtId="0" fontId="224" fillId="37" borderId="0" applyNumberFormat="0" applyBorder="0" applyAlignment="0" applyProtection="0">
      <alignment vertical="center"/>
    </xf>
    <xf numFmtId="0" fontId="223" fillId="36" borderId="0">
      <alignment vertical="center"/>
    </xf>
    <xf numFmtId="0" fontId="223" fillId="36" borderId="0">
      <alignment vertical="center"/>
    </xf>
    <xf numFmtId="0" fontId="223" fillId="36" borderId="0">
      <alignment vertical="center"/>
    </xf>
    <xf numFmtId="0" fontId="224" fillId="37" borderId="0" applyNumberFormat="0" applyBorder="0" applyAlignment="0" applyProtection="0">
      <alignment vertical="center"/>
    </xf>
    <xf numFmtId="0" fontId="223" fillId="36" borderId="0">
      <alignment vertical="center"/>
    </xf>
    <xf numFmtId="0" fontId="224" fillId="37" borderId="0" applyNumberFormat="0" applyBorder="0" applyAlignment="0" applyProtection="0">
      <alignment vertical="center"/>
    </xf>
    <xf numFmtId="0" fontId="223" fillId="36" borderId="0">
      <alignment vertical="center"/>
    </xf>
    <xf numFmtId="0" fontId="223" fillId="36" borderId="0">
      <alignment vertical="center"/>
    </xf>
    <xf numFmtId="0" fontId="223" fillId="30" borderId="0">
      <alignment vertical="center"/>
    </xf>
    <xf numFmtId="0" fontId="223" fillId="30" borderId="0">
      <alignment vertical="center"/>
    </xf>
    <xf numFmtId="0" fontId="224" fillId="31" borderId="0" applyNumberFormat="0" applyBorder="0" applyAlignment="0" applyProtection="0">
      <alignment vertical="center"/>
    </xf>
    <xf numFmtId="0" fontId="223" fillId="30" borderId="0">
      <alignment vertical="center"/>
    </xf>
    <xf numFmtId="0" fontId="224" fillId="31" borderId="0" applyNumberFormat="0" applyBorder="0" applyAlignment="0" applyProtection="0">
      <alignment vertical="center"/>
    </xf>
    <xf numFmtId="0" fontId="223" fillId="30" borderId="0">
      <alignment vertical="center"/>
    </xf>
    <xf numFmtId="0" fontId="223" fillId="30" borderId="0">
      <alignment vertical="center"/>
    </xf>
    <xf numFmtId="0" fontId="223" fillId="30" borderId="0">
      <alignment vertical="center"/>
    </xf>
    <xf numFmtId="0" fontId="224" fillId="31" borderId="0" applyNumberFormat="0" applyBorder="0" applyAlignment="0" applyProtection="0">
      <alignment vertical="center"/>
    </xf>
    <xf numFmtId="0" fontId="223" fillId="30" borderId="0">
      <alignment vertical="center"/>
    </xf>
    <xf numFmtId="0" fontId="224" fillId="31" borderId="0" applyNumberFormat="0" applyBorder="0" applyAlignment="0" applyProtection="0">
      <alignment vertical="center"/>
    </xf>
    <xf numFmtId="0" fontId="223" fillId="30" borderId="0">
      <alignment vertical="center"/>
    </xf>
    <xf numFmtId="0" fontId="223" fillId="30" borderId="0">
      <alignment vertical="center"/>
    </xf>
    <xf numFmtId="0" fontId="223" fillId="30" borderId="0">
      <alignment vertical="center"/>
    </xf>
    <xf numFmtId="0" fontId="224" fillId="31" borderId="0" applyNumberFormat="0" applyBorder="0" applyAlignment="0" applyProtection="0">
      <alignment vertical="center"/>
    </xf>
    <xf numFmtId="0" fontId="223" fillId="30" borderId="0">
      <alignment vertical="center"/>
    </xf>
    <xf numFmtId="0" fontId="224" fillId="31" borderId="0" applyNumberFormat="0" applyBorder="0" applyAlignment="0" applyProtection="0">
      <alignment vertical="center"/>
    </xf>
    <xf numFmtId="0" fontId="223" fillId="30" borderId="0">
      <alignment vertical="center"/>
    </xf>
    <xf numFmtId="0" fontId="223" fillId="30" borderId="0">
      <alignment vertical="center"/>
    </xf>
    <xf numFmtId="0" fontId="223" fillId="32" borderId="0">
      <alignment vertical="center"/>
    </xf>
    <xf numFmtId="0" fontId="223" fillId="32" borderId="0">
      <alignment vertical="center"/>
    </xf>
    <xf numFmtId="0" fontId="224" fillId="33" borderId="0" applyNumberFormat="0" applyBorder="0" applyAlignment="0" applyProtection="0">
      <alignment vertical="center"/>
    </xf>
    <xf numFmtId="0" fontId="223" fillId="32" borderId="0">
      <alignment vertical="center"/>
    </xf>
    <xf numFmtId="0" fontId="224" fillId="33" borderId="0" applyNumberFormat="0" applyBorder="0" applyAlignment="0" applyProtection="0">
      <alignment vertical="center"/>
    </xf>
    <xf numFmtId="0" fontId="223" fillId="32" borderId="0">
      <alignment vertical="center"/>
    </xf>
    <xf numFmtId="0" fontId="223" fillId="32" borderId="0">
      <alignment vertical="center"/>
    </xf>
    <xf numFmtId="0" fontId="223" fillId="32" borderId="0">
      <alignment vertical="center"/>
    </xf>
    <xf numFmtId="0" fontId="224" fillId="33" borderId="0" applyNumberFormat="0" applyBorder="0" applyAlignment="0" applyProtection="0">
      <alignment vertical="center"/>
    </xf>
    <xf numFmtId="0" fontId="223" fillId="32" borderId="0">
      <alignment vertical="center"/>
    </xf>
    <xf numFmtId="0" fontId="224" fillId="33" borderId="0" applyNumberFormat="0" applyBorder="0" applyAlignment="0" applyProtection="0">
      <alignment vertical="center"/>
    </xf>
    <xf numFmtId="0" fontId="223" fillId="32" borderId="0">
      <alignment vertical="center"/>
    </xf>
    <xf numFmtId="0" fontId="223" fillId="32" borderId="0">
      <alignment vertical="center"/>
    </xf>
    <xf numFmtId="0" fontId="223" fillId="32" borderId="0">
      <alignment vertical="center"/>
    </xf>
    <xf numFmtId="0" fontId="224" fillId="33" borderId="0" applyNumberFormat="0" applyBorder="0" applyAlignment="0" applyProtection="0">
      <alignment vertical="center"/>
    </xf>
    <xf numFmtId="0" fontId="223" fillId="32" borderId="0">
      <alignment vertical="center"/>
    </xf>
    <xf numFmtId="0" fontId="224" fillId="33" borderId="0" applyNumberFormat="0" applyBorder="0" applyAlignment="0" applyProtection="0">
      <alignment vertical="center"/>
    </xf>
    <xf numFmtId="0" fontId="223" fillId="32" borderId="0">
      <alignment vertical="center"/>
    </xf>
    <xf numFmtId="0" fontId="223" fillId="32" borderId="0">
      <alignment vertical="center"/>
    </xf>
    <xf numFmtId="0" fontId="223" fillId="38" borderId="0">
      <alignment vertical="center"/>
    </xf>
    <xf numFmtId="0" fontId="223" fillId="38" borderId="0">
      <alignment vertical="center"/>
    </xf>
    <xf numFmtId="0" fontId="224" fillId="39" borderId="0" applyNumberFormat="0" applyBorder="0" applyAlignment="0" applyProtection="0">
      <alignment vertical="center"/>
    </xf>
    <xf numFmtId="0" fontId="223" fillId="38" borderId="0">
      <alignment vertical="center"/>
    </xf>
    <xf numFmtId="0" fontId="224" fillId="39" borderId="0" applyNumberFormat="0" applyBorder="0" applyAlignment="0" applyProtection="0">
      <alignment vertical="center"/>
    </xf>
    <xf numFmtId="0" fontId="223" fillId="38" borderId="0">
      <alignment vertical="center"/>
    </xf>
    <xf numFmtId="0" fontId="223" fillId="38" borderId="0">
      <alignment vertical="center"/>
    </xf>
    <xf numFmtId="0" fontId="223" fillId="38" borderId="0">
      <alignment vertical="center"/>
    </xf>
    <xf numFmtId="0" fontId="224" fillId="39" borderId="0" applyNumberFormat="0" applyBorder="0" applyAlignment="0" applyProtection="0">
      <alignment vertical="center"/>
    </xf>
    <xf numFmtId="0" fontId="223" fillId="38" borderId="0">
      <alignment vertical="center"/>
    </xf>
    <xf numFmtId="0" fontId="224" fillId="39" borderId="0" applyNumberFormat="0" applyBorder="0" applyAlignment="0" applyProtection="0">
      <alignment vertical="center"/>
    </xf>
    <xf numFmtId="0" fontId="223" fillId="38" borderId="0">
      <alignment vertical="center"/>
    </xf>
    <xf numFmtId="0" fontId="223" fillId="38" borderId="0">
      <alignment vertical="center"/>
    </xf>
    <xf numFmtId="0" fontId="223" fillId="38" borderId="0">
      <alignment vertical="center"/>
    </xf>
    <xf numFmtId="0" fontId="224" fillId="39" borderId="0" applyNumberFormat="0" applyBorder="0" applyAlignment="0" applyProtection="0">
      <alignment vertical="center"/>
    </xf>
    <xf numFmtId="0" fontId="223" fillId="38" borderId="0">
      <alignment vertical="center"/>
    </xf>
    <xf numFmtId="0" fontId="224" fillId="39" borderId="0" applyNumberFormat="0" applyBorder="0" applyAlignment="0" applyProtection="0">
      <alignment vertical="center"/>
    </xf>
    <xf numFmtId="0" fontId="223" fillId="38" borderId="0">
      <alignment vertical="center"/>
    </xf>
    <xf numFmtId="0" fontId="223" fillId="38" borderId="0">
      <alignment vertical="center"/>
    </xf>
    <xf numFmtId="0" fontId="223" fillId="40" borderId="0">
      <alignment vertical="center"/>
    </xf>
    <xf numFmtId="0" fontId="223" fillId="40" borderId="0">
      <alignment vertical="center"/>
    </xf>
    <xf numFmtId="0" fontId="224" fillId="41" borderId="0" applyNumberFormat="0" applyBorder="0" applyAlignment="0" applyProtection="0">
      <alignment vertical="center"/>
    </xf>
    <xf numFmtId="0" fontId="223" fillId="40" borderId="0">
      <alignment vertical="center"/>
    </xf>
    <xf numFmtId="0" fontId="224" fillId="41" borderId="0" applyNumberFormat="0" applyBorder="0" applyAlignment="0" applyProtection="0">
      <alignment vertical="center"/>
    </xf>
    <xf numFmtId="0" fontId="223" fillId="40" borderId="0">
      <alignment vertical="center"/>
    </xf>
    <xf numFmtId="0" fontId="223" fillId="40" borderId="0">
      <alignment vertical="center"/>
    </xf>
    <xf numFmtId="0" fontId="223" fillId="40" borderId="0">
      <alignment vertical="center"/>
    </xf>
    <xf numFmtId="0" fontId="224" fillId="41" borderId="0" applyNumberFormat="0" applyBorder="0" applyAlignment="0" applyProtection="0">
      <alignment vertical="center"/>
    </xf>
    <xf numFmtId="0" fontId="223" fillId="40" borderId="0">
      <alignment vertical="center"/>
    </xf>
    <xf numFmtId="0" fontId="224" fillId="41" borderId="0" applyNumberFormat="0" applyBorder="0" applyAlignment="0" applyProtection="0">
      <alignment vertical="center"/>
    </xf>
    <xf numFmtId="0" fontId="223" fillId="40" borderId="0">
      <alignment vertical="center"/>
    </xf>
    <xf numFmtId="0" fontId="223" fillId="40" borderId="0">
      <alignment vertical="center"/>
    </xf>
    <xf numFmtId="0" fontId="223" fillId="40" borderId="0">
      <alignment vertical="center"/>
    </xf>
    <xf numFmtId="0" fontId="224" fillId="41" borderId="0" applyNumberFormat="0" applyBorder="0" applyAlignment="0" applyProtection="0">
      <alignment vertical="center"/>
    </xf>
    <xf numFmtId="0" fontId="223" fillId="40" borderId="0">
      <alignment vertical="center"/>
    </xf>
    <xf numFmtId="0" fontId="224" fillId="41" borderId="0" applyNumberFormat="0" applyBorder="0" applyAlignment="0" applyProtection="0">
      <alignment vertical="center"/>
    </xf>
    <xf numFmtId="0" fontId="223" fillId="40" borderId="0">
      <alignment vertical="center"/>
    </xf>
    <xf numFmtId="0" fontId="223" fillId="40" borderId="0">
      <alignment vertical="center"/>
    </xf>
    <xf numFmtId="0" fontId="223" fillId="42" borderId="0">
      <alignment vertical="center"/>
    </xf>
    <xf numFmtId="0" fontId="223" fillId="42" borderId="0">
      <alignment vertical="center"/>
    </xf>
    <xf numFmtId="0" fontId="224" fillId="43" borderId="0" applyNumberFormat="0" applyBorder="0" applyAlignment="0" applyProtection="0">
      <alignment vertical="center"/>
    </xf>
    <xf numFmtId="0" fontId="223" fillId="42" borderId="0">
      <alignment vertical="center"/>
    </xf>
    <xf numFmtId="0" fontId="224" fillId="43" borderId="0" applyNumberFormat="0" applyBorder="0" applyAlignment="0" applyProtection="0">
      <alignment vertical="center"/>
    </xf>
    <xf numFmtId="0" fontId="223" fillId="42" borderId="0">
      <alignment vertical="center"/>
    </xf>
    <xf numFmtId="0" fontId="223" fillId="42" borderId="0">
      <alignment vertical="center"/>
    </xf>
    <xf numFmtId="0" fontId="223" fillId="42" borderId="0">
      <alignment vertical="center"/>
    </xf>
    <xf numFmtId="0" fontId="224" fillId="43" borderId="0" applyNumberFormat="0" applyBorder="0" applyAlignment="0" applyProtection="0">
      <alignment vertical="center"/>
    </xf>
    <xf numFmtId="0" fontId="223" fillId="42" borderId="0">
      <alignment vertical="center"/>
    </xf>
    <xf numFmtId="0" fontId="224" fillId="43" borderId="0" applyNumberFormat="0" applyBorder="0" applyAlignment="0" applyProtection="0">
      <alignment vertical="center"/>
    </xf>
    <xf numFmtId="0" fontId="223" fillId="42" borderId="0">
      <alignment vertical="center"/>
    </xf>
    <xf numFmtId="0" fontId="223" fillId="42" borderId="0">
      <alignment vertical="center"/>
    </xf>
    <xf numFmtId="0" fontId="223" fillId="42" borderId="0">
      <alignment vertical="center"/>
    </xf>
    <xf numFmtId="0" fontId="224" fillId="43" borderId="0" applyNumberFormat="0" applyBorder="0" applyAlignment="0" applyProtection="0">
      <alignment vertical="center"/>
    </xf>
    <xf numFmtId="0" fontId="223" fillId="42" borderId="0">
      <alignment vertical="center"/>
    </xf>
    <xf numFmtId="0" fontId="224" fillId="43" borderId="0" applyNumberFormat="0" applyBorder="0" applyAlignment="0" applyProtection="0">
      <alignment vertical="center"/>
    </xf>
    <xf numFmtId="0" fontId="223" fillId="42" borderId="0">
      <alignment vertical="center"/>
    </xf>
    <xf numFmtId="0" fontId="223" fillId="42" borderId="0">
      <alignment vertical="center"/>
    </xf>
    <xf numFmtId="0" fontId="203" fillId="0" borderId="0"/>
    <xf numFmtId="0" fontId="9" fillId="0" borderId="0"/>
    <xf numFmtId="0" fontId="203" fillId="0" borderId="0"/>
    <xf numFmtId="0" fontId="225" fillId="0" borderId="0"/>
    <xf numFmtId="0" fontId="226" fillId="0" borderId="0"/>
    <xf numFmtId="0" fontId="225" fillId="0" borderId="0"/>
    <xf numFmtId="0" fontId="225" fillId="0" borderId="0"/>
    <xf numFmtId="0" fontId="227" fillId="0" borderId="127">
      <alignment horizontal="center" vertical="center"/>
    </xf>
    <xf numFmtId="0" fontId="37" fillId="0" borderId="127">
      <alignment horizontal="center" vertical="center"/>
    </xf>
    <xf numFmtId="0" fontId="227" fillId="0" borderId="127">
      <alignment horizontal="center" vertical="center"/>
    </xf>
    <xf numFmtId="3" fontId="200" fillId="0" borderId="0"/>
    <xf numFmtId="3" fontId="31" fillId="0" borderId="0"/>
    <xf numFmtId="3" fontId="200" fillId="0" borderId="0"/>
    <xf numFmtId="204" fontId="26" fillId="11" borderId="121">
      <alignment horizontal="center" vertical="center"/>
    </xf>
    <xf numFmtId="204" fontId="205" fillId="28" borderId="121">
      <alignment horizontal="center" vertical="center"/>
    </xf>
    <xf numFmtId="255" fontId="222" fillId="0" borderId="0">
      <protection locked="0"/>
    </xf>
    <xf numFmtId="0" fontId="2" fillId="0" borderId="0">
      <protection locked="0"/>
    </xf>
    <xf numFmtId="0" fontId="204" fillId="0" borderId="0">
      <protection locked="0"/>
    </xf>
    <xf numFmtId="255" fontId="222" fillId="0" borderId="0">
      <protection locked="0"/>
    </xf>
    <xf numFmtId="0" fontId="228" fillId="0" borderId="0"/>
    <xf numFmtId="225" fontId="83" fillId="0" borderId="0" applyFont="0" applyFill="0" applyBorder="0" applyAlignment="0" applyProtection="0"/>
    <xf numFmtId="225" fontId="83" fillId="0" borderId="0" applyFont="0" applyFill="0" applyBorder="0" applyAlignment="0" applyProtection="0"/>
    <xf numFmtId="225" fontId="201" fillId="0" borderId="0"/>
    <xf numFmtId="225" fontId="201" fillId="0" borderId="0"/>
    <xf numFmtId="225" fontId="201" fillId="0" borderId="0"/>
    <xf numFmtId="225" fontId="201" fillId="0" borderId="0"/>
    <xf numFmtId="225" fontId="201" fillId="0" borderId="0"/>
    <xf numFmtId="225" fontId="201" fillId="0" borderId="0"/>
    <xf numFmtId="225" fontId="201" fillId="0" borderId="0"/>
    <xf numFmtId="225" fontId="201" fillId="0" borderId="0"/>
    <xf numFmtId="225" fontId="201" fillId="0" borderId="0"/>
    <xf numFmtId="225" fontId="201" fillId="0" borderId="0"/>
    <xf numFmtId="205" fontId="83" fillId="0" borderId="0" applyFont="0" applyFill="0" applyBorder="0" applyAlignment="0" applyProtection="0"/>
    <xf numFmtId="205" fontId="83" fillId="0" borderId="0" applyFont="0" applyFill="0" applyBorder="0" applyAlignment="0" applyProtection="0"/>
    <xf numFmtId="205" fontId="201" fillId="0" borderId="0"/>
    <xf numFmtId="205" fontId="201" fillId="0" borderId="0"/>
    <xf numFmtId="205" fontId="201" fillId="0" borderId="0"/>
    <xf numFmtId="205" fontId="201" fillId="0" borderId="0"/>
    <xf numFmtId="205" fontId="201" fillId="0" borderId="0"/>
    <xf numFmtId="205" fontId="201" fillId="0" borderId="0"/>
    <xf numFmtId="205" fontId="201" fillId="0" borderId="0"/>
    <xf numFmtId="205" fontId="201" fillId="0" borderId="0"/>
    <xf numFmtId="205" fontId="201" fillId="0" borderId="0"/>
    <xf numFmtId="205" fontId="201" fillId="0" borderId="0"/>
    <xf numFmtId="0" fontId="204" fillId="0" borderId="0">
      <protection locked="0"/>
    </xf>
    <xf numFmtId="0" fontId="228" fillId="0" borderId="0"/>
    <xf numFmtId="227" fontId="83" fillId="0" borderId="0" applyFont="0" applyFill="0" applyBorder="0" applyAlignment="0" applyProtection="0"/>
    <xf numFmtId="227" fontId="83" fillId="0" borderId="0" applyFont="0" applyFill="0" applyBorder="0" applyAlignment="0" applyProtection="0"/>
    <xf numFmtId="227" fontId="201" fillId="0" borderId="0"/>
    <xf numFmtId="227" fontId="201" fillId="0" borderId="0"/>
    <xf numFmtId="227" fontId="201" fillId="0" borderId="0"/>
    <xf numFmtId="227" fontId="201" fillId="0" borderId="0"/>
    <xf numFmtId="227" fontId="201" fillId="0" borderId="0"/>
    <xf numFmtId="227" fontId="201" fillId="0" borderId="0"/>
    <xf numFmtId="227" fontId="201" fillId="0" borderId="0"/>
    <xf numFmtId="227" fontId="201" fillId="0" borderId="0"/>
    <xf numFmtId="227" fontId="201" fillId="0" borderId="0"/>
    <xf numFmtId="227" fontId="201" fillId="0" borderId="0"/>
    <xf numFmtId="350" fontId="83" fillId="0" borderId="0" applyFont="0" applyFill="0" applyBorder="0" applyAlignment="0" applyProtection="0"/>
    <xf numFmtId="350" fontId="83" fillId="0" borderId="0" applyFont="0" applyFill="0" applyBorder="0" applyAlignment="0" applyProtection="0"/>
    <xf numFmtId="350" fontId="201" fillId="0" borderId="0"/>
    <xf numFmtId="350" fontId="201" fillId="0" borderId="0"/>
    <xf numFmtId="350" fontId="201" fillId="0" borderId="0"/>
    <xf numFmtId="350" fontId="201" fillId="0" borderId="0"/>
    <xf numFmtId="350" fontId="201" fillId="0" borderId="0"/>
    <xf numFmtId="350" fontId="201" fillId="0" borderId="0"/>
    <xf numFmtId="350" fontId="201" fillId="0" borderId="0"/>
    <xf numFmtId="350" fontId="201" fillId="0" borderId="0"/>
    <xf numFmtId="350" fontId="201" fillId="0" borderId="0"/>
    <xf numFmtId="350" fontId="201" fillId="0" borderId="0"/>
    <xf numFmtId="309" fontId="53" fillId="0" borderId="0">
      <protection locked="0"/>
    </xf>
    <xf numFmtId="309" fontId="214" fillId="0" borderId="0">
      <protection locked="0"/>
    </xf>
    <xf numFmtId="0" fontId="54" fillId="0" borderId="0"/>
    <xf numFmtId="0" fontId="201" fillId="0" borderId="0"/>
    <xf numFmtId="255" fontId="222" fillId="0" borderId="0">
      <protection locked="0"/>
    </xf>
    <xf numFmtId="255" fontId="222" fillId="0" borderId="0">
      <protection locked="0"/>
    </xf>
    <xf numFmtId="0" fontId="228" fillId="0" borderId="0"/>
    <xf numFmtId="177" fontId="83" fillId="0" borderId="0" applyFont="0" applyFill="0" applyBorder="0" applyAlignment="0" applyProtection="0"/>
    <xf numFmtId="177" fontId="83" fillId="0" borderId="0" applyFont="0" applyFill="0" applyBorder="0" applyAlignment="0" applyProtection="0"/>
    <xf numFmtId="177" fontId="201" fillId="0" borderId="0"/>
    <xf numFmtId="177" fontId="201" fillId="0" borderId="0"/>
    <xf numFmtId="177" fontId="201" fillId="0" borderId="0"/>
    <xf numFmtId="177" fontId="201" fillId="0" borderId="0"/>
    <xf numFmtId="177" fontId="201" fillId="0" borderId="0"/>
    <xf numFmtId="177" fontId="201" fillId="0" borderId="0"/>
    <xf numFmtId="177" fontId="201" fillId="0" borderId="0"/>
    <xf numFmtId="177" fontId="201" fillId="0" borderId="0"/>
    <xf numFmtId="177" fontId="201" fillId="0" borderId="0"/>
    <xf numFmtId="177" fontId="201" fillId="0" borderId="0"/>
    <xf numFmtId="38" fontId="83" fillId="0" borderId="0" applyFont="0" applyFill="0" applyBorder="0" applyAlignment="0" applyProtection="0"/>
    <xf numFmtId="38" fontId="83" fillId="0" borderId="0" applyFont="0" applyFill="0" applyBorder="0" applyAlignment="0" applyProtection="0"/>
    <xf numFmtId="38" fontId="201" fillId="0" borderId="0"/>
    <xf numFmtId="38" fontId="201" fillId="0" borderId="0"/>
    <xf numFmtId="38" fontId="201" fillId="0" borderId="0"/>
    <xf numFmtId="38" fontId="201" fillId="0" borderId="0"/>
    <xf numFmtId="38" fontId="201" fillId="0" borderId="0"/>
    <xf numFmtId="38" fontId="201" fillId="0" borderId="0"/>
    <xf numFmtId="38" fontId="201" fillId="0" borderId="0"/>
    <xf numFmtId="38" fontId="201" fillId="0" borderId="0"/>
    <xf numFmtId="38" fontId="201" fillId="0" borderId="0"/>
    <xf numFmtId="38" fontId="201" fillId="0" borderId="0"/>
    <xf numFmtId="249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249" fontId="204" fillId="0" borderId="0"/>
    <xf numFmtId="188" fontId="204" fillId="0" borderId="0"/>
    <xf numFmtId="249" fontId="204" fillId="0" borderId="0"/>
    <xf numFmtId="188" fontId="204" fillId="0" borderId="0"/>
    <xf numFmtId="249" fontId="204" fillId="0" borderId="0"/>
    <xf numFmtId="188" fontId="204" fillId="0" borderId="0"/>
    <xf numFmtId="249" fontId="204" fillId="0" borderId="0"/>
    <xf numFmtId="188" fontId="204" fillId="0" borderId="0"/>
    <xf numFmtId="249" fontId="204" fillId="0" borderId="0"/>
    <xf numFmtId="188" fontId="204" fillId="0" borderId="0"/>
    <xf numFmtId="300" fontId="26" fillId="0" borderId="0" applyFont="0" applyFill="0" applyBorder="0" applyAlignment="0" applyProtection="0"/>
    <xf numFmtId="0" fontId="123" fillId="0" borderId="0" applyFont="0" applyFill="0" applyBorder="0" applyAlignment="0" applyProtection="0"/>
    <xf numFmtId="300" fontId="205" fillId="0" borderId="0"/>
    <xf numFmtId="0" fontId="228" fillId="0" borderId="0"/>
    <xf numFmtId="300" fontId="205" fillId="0" borderId="0"/>
    <xf numFmtId="0" fontId="228" fillId="0" borderId="0"/>
    <xf numFmtId="300" fontId="205" fillId="0" borderId="0"/>
    <xf numFmtId="0" fontId="228" fillId="0" borderId="0"/>
    <xf numFmtId="300" fontId="205" fillId="0" borderId="0"/>
    <xf numFmtId="0" fontId="228" fillId="0" borderId="0"/>
    <xf numFmtId="300" fontId="205" fillId="0" borderId="0"/>
    <xf numFmtId="0" fontId="228" fillId="0" borderId="0"/>
    <xf numFmtId="0" fontId="228" fillId="0" borderId="0"/>
    <xf numFmtId="213" fontId="83" fillId="0" borderId="0" applyFont="0" applyFill="0" applyBorder="0" applyAlignment="0" applyProtection="0"/>
    <xf numFmtId="213" fontId="83" fillId="0" borderId="0" applyFont="0" applyFill="0" applyBorder="0" applyAlignment="0" applyProtection="0"/>
    <xf numFmtId="213" fontId="201" fillId="0" borderId="0"/>
    <xf numFmtId="213" fontId="201" fillId="0" borderId="0"/>
    <xf numFmtId="213" fontId="201" fillId="0" borderId="0"/>
    <xf numFmtId="213" fontId="201" fillId="0" borderId="0"/>
    <xf numFmtId="213" fontId="201" fillId="0" borderId="0"/>
    <xf numFmtId="213" fontId="201" fillId="0" borderId="0"/>
    <xf numFmtId="213" fontId="201" fillId="0" borderId="0"/>
    <xf numFmtId="213" fontId="201" fillId="0" borderId="0"/>
    <xf numFmtId="213" fontId="201" fillId="0" borderId="0"/>
    <xf numFmtId="213" fontId="201" fillId="0" borderId="0"/>
    <xf numFmtId="40" fontId="83" fillId="0" borderId="0" applyFont="0" applyFill="0" applyBorder="0" applyAlignment="0" applyProtection="0"/>
    <xf numFmtId="40" fontId="83" fillId="0" borderId="0" applyFont="0" applyFill="0" applyBorder="0" applyAlignment="0" applyProtection="0"/>
    <xf numFmtId="40" fontId="201" fillId="0" borderId="0"/>
    <xf numFmtId="40" fontId="201" fillId="0" borderId="0"/>
    <xf numFmtId="40" fontId="201" fillId="0" borderId="0"/>
    <xf numFmtId="40" fontId="201" fillId="0" borderId="0"/>
    <xf numFmtId="40" fontId="201" fillId="0" borderId="0"/>
    <xf numFmtId="40" fontId="201" fillId="0" borderId="0"/>
    <xf numFmtId="40" fontId="201" fillId="0" borderId="0"/>
    <xf numFmtId="40" fontId="201" fillId="0" borderId="0"/>
    <xf numFmtId="40" fontId="201" fillId="0" borderId="0"/>
    <xf numFmtId="40" fontId="201" fillId="0" borderId="0"/>
    <xf numFmtId="4" fontId="53" fillId="0" borderId="0">
      <protection locked="0"/>
    </xf>
    <xf numFmtId="4" fontId="214" fillId="0" borderId="0">
      <protection locked="0"/>
    </xf>
    <xf numFmtId="351" fontId="53" fillId="0" borderId="0">
      <protection locked="0"/>
    </xf>
    <xf numFmtId="351" fontId="214" fillId="0" borderId="0">
      <protection locked="0"/>
    </xf>
    <xf numFmtId="0" fontId="208" fillId="0" borderId="0"/>
    <xf numFmtId="0" fontId="127" fillId="0" borderId="0"/>
    <xf numFmtId="0" fontId="208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169" fillId="0" borderId="0"/>
    <xf numFmtId="0" fontId="229" fillId="0" borderId="0"/>
    <xf numFmtId="0" fontId="229" fillId="0" borderId="0"/>
    <xf numFmtId="0" fontId="208" fillId="0" borderId="0"/>
    <xf numFmtId="0" fontId="127" fillId="0" borderId="0"/>
    <xf numFmtId="0" fontId="208" fillId="0" borderId="0"/>
    <xf numFmtId="255" fontId="222" fillId="0" borderId="0">
      <protection locked="0"/>
    </xf>
    <xf numFmtId="0" fontId="208" fillId="0" borderId="0"/>
    <xf numFmtId="0" fontId="208" fillId="0" borderId="0"/>
    <xf numFmtId="37" fontId="58" fillId="0" borderId="0"/>
    <xf numFmtId="37" fontId="104" fillId="0" borderId="0"/>
    <xf numFmtId="37" fontId="208" fillId="0" borderId="0"/>
    <xf numFmtId="37" fontId="208" fillId="0" borderId="0"/>
    <xf numFmtId="37" fontId="208" fillId="0" borderId="0"/>
    <xf numFmtId="37" fontId="208" fillId="0" borderId="0"/>
    <xf numFmtId="37" fontId="208" fillId="0" borderId="0"/>
    <xf numFmtId="37" fontId="208" fillId="0" borderId="0"/>
    <xf numFmtId="37" fontId="208" fillId="0" borderId="0"/>
    <xf numFmtId="37" fontId="208" fillId="0" borderId="0"/>
    <xf numFmtId="37" fontId="208" fillId="0" borderId="0"/>
    <xf numFmtId="37" fontId="208" fillId="0" borderId="0"/>
    <xf numFmtId="0" fontId="83" fillId="0" borderId="0"/>
    <xf numFmtId="0" fontId="83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83" fillId="0" borderId="0"/>
    <xf numFmtId="0" fontId="83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204" fillId="0" borderId="0"/>
    <xf numFmtId="0" fontId="59" fillId="0" borderId="0"/>
    <xf numFmtId="0" fontId="230" fillId="0" borderId="0"/>
    <xf numFmtId="0" fontId="231" fillId="0" borderId="0">
      <alignment vertical="top"/>
      <protection locked="0"/>
    </xf>
    <xf numFmtId="0" fontId="231" fillId="0" borderId="0">
      <alignment vertical="top"/>
      <protection locked="0"/>
    </xf>
    <xf numFmtId="0" fontId="53" fillId="0" borderId="114">
      <protection locked="0"/>
    </xf>
    <xf numFmtId="0" fontId="214" fillId="0" borderId="114">
      <protection locked="0"/>
    </xf>
    <xf numFmtId="177" fontId="232" fillId="0" borderId="0"/>
    <xf numFmtId="38" fontId="19" fillId="0" borderId="0" applyFont="0" applyFill="0" applyBorder="0" applyAlignment="0" applyProtection="0"/>
    <xf numFmtId="38" fontId="207" fillId="0" borderId="0"/>
    <xf numFmtId="38" fontId="207" fillId="0" borderId="0"/>
    <xf numFmtId="38" fontId="19" fillId="0" borderId="0" applyFont="0" applyFill="0" applyBorder="0" applyAlignment="0" applyProtection="0"/>
    <xf numFmtId="38" fontId="207" fillId="0" borderId="0"/>
    <xf numFmtId="38" fontId="207" fillId="0" borderId="0"/>
    <xf numFmtId="4" fontId="53" fillId="0" borderId="0">
      <protection locked="0"/>
    </xf>
    <xf numFmtId="4" fontId="214" fillId="0" borderId="0">
      <protection locked="0"/>
    </xf>
    <xf numFmtId="310" fontId="2" fillId="0" borderId="0"/>
    <xf numFmtId="310" fontId="204" fillId="0" borderId="0"/>
    <xf numFmtId="310" fontId="204" fillId="0" borderId="0"/>
    <xf numFmtId="3" fontId="137" fillId="0" borderId="0" applyFont="0" applyFill="0" applyBorder="0" applyAlignment="0" applyProtection="0"/>
    <xf numFmtId="3" fontId="233" fillId="0" borderId="0"/>
    <xf numFmtId="3" fontId="233" fillId="0" borderId="0"/>
    <xf numFmtId="3" fontId="137" fillId="0" borderId="0" applyFont="0" applyFill="0" applyBorder="0" applyAlignment="0" applyProtection="0"/>
    <xf numFmtId="3" fontId="233" fillId="0" borderId="0"/>
    <xf numFmtId="3" fontId="233" fillId="0" borderId="0"/>
    <xf numFmtId="0" fontId="61" fillId="0" borderId="0" applyNumberFormat="0" applyAlignment="0">
      <alignment horizontal="left"/>
    </xf>
    <xf numFmtId="0" fontId="201" fillId="0" borderId="0">
      <alignment horizontal="left"/>
    </xf>
    <xf numFmtId="0" fontId="15" fillId="0" borderId="0" applyFont="0" applyFill="0" applyBorder="0" applyAlignment="0" applyProtection="0"/>
    <xf numFmtId="0" fontId="210" fillId="0" borderId="0"/>
    <xf numFmtId="205" fontId="19" fillId="0" borderId="0" applyFont="0" applyFill="0" applyBorder="0" applyAlignment="0" applyProtection="0"/>
    <xf numFmtId="205" fontId="207" fillId="0" borderId="0"/>
    <xf numFmtId="205" fontId="207" fillId="0" borderId="0"/>
    <xf numFmtId="205" fontId="19" fillId="0" borderId="0" applyFont="0" applyFill="0" applyBorder="0" applyAlignment="0" applyProtection="0"/>
    <xf numFmtId="205" fontId="207" fillId="0" borderId="0"/>
    <xf numFmtId="205" fontId="207" fillId="0" borderId="0"/>
    <xf numFmtId="0" fontId="53" fillId="0" borderId="0">
      <protection locked="0"/>
    </xf>
    <xf numFmtId="0" fontId="214" fillId="0" borderId="0">
      <protection locked="0"/>
    </xf>
    <xf numFmtId="0" fontId="214" fillId="0" borderId="0">
      <protection locked="0"/>
    </xf>
    <xf numFmtId="0" fontId="53" fillId="0" borderId="0">
      <protection locked="0"/>
    </xf>
    <xf numFmtId="0" fontId="214" fillId="0" borderId="0">
      <protection locked="0"/>
    </xf>
    <xf numFmtId="0" fontId="53" fillId="0" borderId="0">
      <protection locked="0"/>
    </xf>
    <xf numFmtId="0" fontId="214" fillId="0" borderId="0">
      <protection locked="0"/>
    </xf>
    <xf numFmtId="352" fontId="2" fillId="0" borderId="0" applyFont="0" applyFill="0" applyBorder="0" applyAlignment="0" applyProtection="0"/>
    <xf numFmtId="0" fontId="204" fillId="0" borderId="0"/>
    <xf numFmtId="352" fontId="2" fillId="0" borderId="0" applyFont="0" applyFill="0" applyBorder="0" applyAlignment="0" applyProtection="0"/>
    <xf numFmtId="0" fontId="204" fillId="0" borderId="0"/>
    <xf numFmtId="0" fontId="9" fillId="0" borderId="0"/>
    <xf numFmtId="0" fontId="203" fillId="0" borderId="0"/>
    <xf numFmtId="0" fontId="9" fillId="0" borderId="0"/>
    <xf numFmtId="0" fontId="203" fillId="0" borderId="0"/>
    <xf numFmtId="0" fontId="137" fillId="0" borderId="0" applyFont="0" applyFill="0" applyBorder="0" applyAlignment="0" applyProtection="0"/>
    <xf numFmtId="0" fontId="233" fillId="0" borderId="0"/>
    <xf numFmtId="0" fontId="233" fillId="0" borderId="0"/>
    <xf numFmtId="0" fontId="137" fillId="0" borderId="0" applyFont="0" applyFill="0" applyBorder="0" applyAlignment="0" applyProtection="0"/>
    <xf numFmtId="0" fontId="233" fillId="0" borderId="0"/>
    <xf numFmtId="0" fontId="233" fillId="0" borderId="0"/>
    <xf numFmtId="359" fontId="2" fillId="0" borderId="0"/>
    <xf numFmtId="359" fontId="204" fillId="0" borderId="0"/>
    <xf numFmtId="359" fontId="204" fillId="0" borderId="0"/>
    <xf numFmtId="360" fontId="169" fillId="0" borderId="0" applyFill="0" applyBorder="0">
      <alignment horizontal="centerContinuous"/>
    </xf>
    <xf numFmtId="360" fontId="229" fillId="0" borderId="0">
      <alignment horizontal="centerContinuous"/>
    </xf>
    <xf numFmtId="360" fontId="229" fillId="0" borderId="0">
      <alignment horizontal="centerContinuous"/>
    </xf>
    <xf numFmtId="305" fontId="53" fillId="0" borderId="0">
      <protection locked="0"/>
    </xf>
    <xf numFmtId="305" fontId="214" fillId="0" borderId="0">
      <protection locked="0"/>
    </xf>
    <xf numFmtId="326" fontId="53" fillId="0" borderId="0">
      <protection locked="0"/>
    </xf>
    <xf numFmtId="326" fontId="214" fillId="0" borderId="0">
      <protection locked="0"/>
    </xf>
    <xf numFmtId="0" fontId="62" fillId="0" borderId="0" applyNumberFormat="0" applyAlignment="0">
      <alignment horizontal="left"/>
    </xf>
    <xf numFmtId="0" fontId="234" fillId="0" borderId="0">
      <alignment horizontal="left"/>
    </xf>
    <xf numFmtId="0" fontId="209" fillId="0" borderId="0"/>
    <xf numFmtId="0" fontId="235" fillId="0" borderId="0">
      <protection locked="0"/>
    </xf>
    <xf numFmtId="0" fontId="236" fillId="0" borderId="0">
      <protection locked="0"/>
    </xf>
    <xf numFmtId="0" fontId="236" fillId="0" borderId="0">
      <protection locked="0"/>
    </xf>
    <xf numFmtId="0" fontId="53" fillId="0" borderId="0">
      <protection locked="0"/>
    </xf>
    <xf numFmtId="0" fontId="214" fillId="0" borderId="0">
      <protection locked="0"/>
    </xf>
    <xf numFmtId="0" fontId="214" fillId="0" borderId="0">
      <protection locked="0"/>
    </xf>
    <xf numFmtId="0" fontId="82" fillId="0" borderId="0">
      <protection locked="0"/>
    </xf>
    <xf numFmtId="0" fontId="237" fillId="0" borderId="0">
      <protection locked="0"/>
    </xf>
    <xf numFmtId="0" fontId="237" fillId="0" borderId="0">
      <protection locked="0"/>
    </xf>
    <xf numFmtId="0" fontId="53" fillId="0" borderId="0">
      <protection locked="0"/>
    </xf>
    <xf numFmtId="0" fontId="214" fillId="0" borderId="0">
      <protection locked="0"/>
    </xf>
    <xf numFmtId="0" fontId="214" fillId="0" borderId="0">
      <protection locked="0"/>
    </xf>
    <xf numFmtId="0" fontId="53" fillId="0" borderId="0">
      <protection locked="0"/>
    </xf>
    <xf numFmtId="0" fontId="214" fillId="0" borderId="0">
      <protection locked="0"/>
    </xf>
    <xf numFmtId="0" fontId="214" fillId="0" borderId="0">
      <protection locked="0"/>
    </xf>
    <xf numFmtId="0" fontId="53" fillId="0" borderId="0">
      <protection locked="0"/>
    </xf>
    <xf numFmtId="0" fontId="214" fillId="0" borderId="0">
      <protection locked="0"/>
    </xf>
    <xf numFmtId="0" fontId="214" fillId="0" borderId="0">
      <protection locked="0"/>
    </xf>
    <xf numFmtId="0" fontId="238" fillId="0" borderId="0">
      <protection locked="0"/>
    </xf>
    <xf numFmtId="0" fontId="239" fillId="0" borderId="0">
      <protection locked="0"/>
    </xf>
    <xf numFmtId="0" fontId="239" fillId="0" borderId="0">
      <protection locked="0"/>
    </xf>
    <xf numFmtId="2" fontId="137" fillId="0" borderId="0" applyFont="0" applyFill="0" applyBorder="0" applyAlignment="0" applyProtection="0"/>
    <xf numFmtId="2" fontId="233" fillId="0" borderId="0"/>
    <xf numFmtId="2" fontId="233" fillId="0" borderId="0"/>
    <xf numFmtId="2" fontId="137" fillId="0" borderId="0" applyFont="0" applyFill="0" applyBorder="0" applyAlignment="0" applyProtection="0"/>
    <xf numFmtId="2" fontId="233" fillId="0" borderId="0"/>
    <xf numFmtId="2" fontId="233" fillId="0" borderId="0"/>
    <xf numFmtId="0" fontId="240" fillId="0" borderId="0">
      <alignment vertical="top"/>
      <protection locked="0"/>
    </xf>
    <xf numFmtId="0" fontId="203" fillId="0" borderId="0"/>
    <xf numFmtId="0" fontId="9" fillId="0" borderId="0"/>
    <xf numFmtId="0" fontId="203" fillId="0" borderId="0"/>
    <xf numFmtId="38" fontId="27" fillId="3" borderId="0" applyNumberFormat="0" applyBorder="0" applyAlignment="0" applyProtection="0"/>
    <xf numFmtId="38" fontId="241" fillId="44" borderId="0"/>
    <xf numFmtId="38" fontId="241" fillId="44" borderId="0"/>
    <xf numFmtId="38" fontId="241" fillId="44" borderId="0"/>
    <xf numFmtId="3" fontId="31" fillId="0" borderId="115">
      <alignment horizontal="right" vertical="center"/>
    </xf>
    <xf numFmtId="3" fontId="200" fillId="0" borderId="115">
      <alignment horizontal="right" vertical="center"/>
    </xf>
    <xf numFmtId="4" fontId="31" fillId="0" borderId="115">
      <alignment horizontal="right" vertical="center"/>
    </xf>
    <xf numFmtId="4" fontId="200" fillId="0" borderId="115">
      <alignment horizontal="right" vertical="center"/>
    </xf>
    <xf numFmtId="0" fontId="242" fillId="0" borderId="0">
      <alignment horizontal="right"/>
    </xf>
    <xf numFmtId="0" fontId="243" fillId="0" borderId="0"/>
    <xf numFmtId="0" fontId="244" fillId="0" borderId="0"/>
    <xf numFmtId="0" fontId="243" fillId="0" borderId="0"/>
    <xf numFmtId="0" fontId="243" fillId="0" borderId="0"/>
    <xf numFmtId="0" fontId="245" fillId="0" borderId="0"/>
    <xf numFmtId="0" fontId="246" fillId="0" borderId="0"/>
    <xf numFmtId="0" fontId="245" fillId="0" borderId="0"/>
    <xf numFmtId="0" fontId="245" fillId="0" borderId="0"/>
    <xf numFmtId="0" fontId="247" fillId="0" borderId="0" applyAlignment="0">
      <alignment horizontal="right"/>
    </xf>
    <xf numFmtId="0" fontId="242" fillId="0" borderId="0">
      <alignment horizontal="right"/>
    </xf>
    <xf numFmtId="0" fontId="242" fillId="0" borderId="0">
      <alignment horizontal="right"/>
    </xf>
    <xf numFmtId="0" fontId="242" fillId="0" borderId="0">
      <alignment horizontal="right"/>
    </xf>
    <xf numFmtId="0" fontId="242" fillId="0" borderId="0">
      <alignment horizontal="right"/>
    </xf>
    <xf numFmtId="0" fontId="242" fillId="0" borderId="0">
      <alignment horizontal="right"/>
    </xf>
    <xf numFmtId="0" fontId="242" fillId="0" borderId="0">
      <alignment horizontal="right"/>
    </xf>
    <xf numFmtId="0" fontId="242" fillId="0" borderId="0">
      <alignment horizontal="right"/>
    </xf>
    <xf numFmtId="0" fontId="242" fillId="0" borderId="0">
      <alignment horizontal="right"/>
    </xf>
    <xf numFmtId="0" fontId="4" fillId="0" borderId="116" applyNumberFormat="0" applyAlignment="0" applyProtection="0">
      <alignment horizontal="left" vertical="center"/>
    </xf>
    <xf numFmtId="0" fontId="248" fillId="0" borderId="116">
      <alignment horizontal="left" vertical="center"/>
    </xf>
    <xf numFmtId="0" fontId="248" fillId="0" borderId="116">
      <alignment horizontal="left" vertical="center"/>
    </xf>
    <xf numFmtId="0" fontId="4" fillId="0" borderId="25">
      <alignment horizontal="left" vertical="center"/>
    </xf>
    <xf numFmtId="0" fontId="248" fillId="0" borderId="25">
      <alignment horizontal="left" vertical="center"/>
    </xf>
    <xf numFmtId="0" fontId="248" fillId="0" borderId="25">
      <alignment horizontal="left" vertical="center"/>
    </xf>
    <xf numFmtId="0" fontId="249" fillId="0" borderId="0" applyNumberFormat="0" applyFill="0" applyBorder="0" applyAlignment="0" applyProtection="0"/>
    <xf numFmtId="0" fontId="250" fillId="0" borderId="0"/>
    <xf numFmtId="0" fontId="250" fillId="0" borderId="0"/>
    <xf numFmtId="0" fontId="249" fillId="0" borderId="0" applyNumberFormat="0" applyFill="0" applyBorder="0" applyAlignment="0" applyProtection="0"/>
    <xf numFmtId="0" fontId="250" fillId="0" borderId="0"/>
    <xf numFmtId="0" fontId="250" fillId="0" borderId="0"/>
    <xf numFmtId="0" fontId="251" fillId="0" borderId="0" applyNumberFormat="0" applyFill="0" applyBorder="0" applyAlignment="0" applyProtection="0"/>
    <xf numFmtId="0" fontId="252" fillId="0" borderId="0"/>
    <xf numFmtId="0" fontId="252" fillId="0" borderId="0"/>
    <xf numFmtId="0" fontId="251" fillId="0" borderId="0" applyNumberFormat="0" applyFill="0" applyBorder="0" applyAlignment="0" applyProtection="0"/>
    <xf numFmtId="0" fontId="252" fillId="0" borderId="0"/>
    <xf numFmtId="0" fontId="252" fillId="0" borderId="0"/>
    <xf numFmtId="255" fontId="236" fillId="0" borderId="0">
      <protection locked="0"/>
    </xf>
    <xf numFmtId="255" fontId="235" fillId="0" borderId="0">
      <protection locked="0"/>
    </xf>
    <xf numFmtId="255" fontId="236" fillId="0" borderId="0">
      <protection locked="0"/>
    </xf>
    <xf numFmtId="255" fontId="235" fillId="0" borderId="0">
      <protection locked="0"/>
    </xf>
    <xf numFmtId="255" fontId="236" fillId="0" borderId="0">
      <protection locked="0"/>
    </xf>
    <xf numFmtId="255" fontId="236" fillId="0" borderId="0">
      <protection locked="0"/>
    </xf>
    <xf numFmtId="255" fontId="235" fillId="0" borderId="0">
      <protection locked="0"/>
    </xf>
    <xf numFmtId="255" fontId="236" fillId="0" borderId="0">
      <protection locked="0"/>
    </xf>
    <xf numFmtId="255" fontId="235" fillId="0" borderId="0">
      <protection locked="0"/>
    </xf>
    <xf numFmtId="255" fontId="236" fillId="0" borderId="0">
      <protection locked="0"/>
    </xf>
    <xf numFmtId="0" fontId="187" fillId="0" borderId="122" applyNumberFormat="0" applyFill="0" applyAlignment="0" applyProtection="0"/>
    <xf numFmtId="0" fontId="253" fillId="0" borderId="122"/>
    <xf numFmtId="0" fontId="253" fillId="0" borderId="122"/>
    <xf numFmtId="0" fontId="254" fillId="0" borderId="0">
      <alignment vertical="top"/>
      <protection locked="0"/>
    </xf>
    <xf numFmtId="10" fontId="27" fillId="5" borderId="1" applyNumberFormat="0" applyBorder="0" applyAlignment="0" applyProtection="0"/>
    <xf numFmtId="10" fontId="241" fillId="45" borderId="1"/>
    <xf numFmtId="10" fontId="241" fillId="45" borderId="1"/>
    <xf numFmtId="10" fontId="241" fillId="45" borderId="1"/>
    <xf numFmtId="262" fontId="31" fillId="0" borderId="1">
      <alignment vertical="center"/>
    </xf>
    <xf numFmtId="262" fontId="200" fillId="0" borderId="1">
      <alignment vertical="center"/>
    </xf>
    <xf numFmtId="261" fontId="31" fillId="0" borderId="1">
      <alignment horizontal="right" vertical="center"/>
    </xf>
    <xf numFmtId="261" fontId="200" fillId="0" borderId="1">
      <alignment horizontal="right" vertical="center"/>
    </xf>
    <xf numFmtId="260" fontId="31" fillId="0" borderId="1">
      <alignment vertical="center"/>
    </xf>
    <xf numFmtId="260" fontId="200" fillId="0" borderId="1">
      <alignment vertical="center"/>
    </xf>
    <xf numFmtId="258" fontId="31" fillId="0" borderId="1">
      <alignment vertical="center"/>
    </xf>
    <xf numFmtId="258" fontId="200" fillId="0" borderId="1">
      <alignment vertical="center"/>
    </xf>
    <xf numFmtId="263" fontId="141" fillId="0" borderId="0">
      <alignment horizontal="left"/>
    </xf>
    <xf numFmtId="263" fontId="255" fillId="0" borderId="0">
      <alignment horizontal="left"/>
    </xf>
    <xf numFmtId="263" fontId="255" fillId="0" borderId="0">
      <alignment horizontal="left"/>
    </xf>
    <xf numFmtId="0" fontId="65" fillId="0" borderId="2"/>
    <xf numFmtId="0" fontId="256" fillId="0" borderId="2"/>
    <xf numFmtId="177" fontId="232" fillId="0" borderId="0"/>
    <xf numFmtId="177" fontId="174" fillId="0" borderId="0" applyFont="0" applyFill="0" applyBorder="0" applyAlignment="0" applyProtection="0"/>
    <xf numFmtId="177" fontId="232" fillId="0" borderId="0"/>
    <xf numFmtId="37" fontId="86" fillId="0" borderId="0"/>
    <xf numFmtId="37" fontId="257" fillId="0" borderId="0"/>
    <xf numFmtId="361" fontId="205" fillId="0" borderId="0"/>
    <xf numFmtId="361" fontId="205" fillId="0" borderId="0"/>
    <xf numFmtId="0" fontId="139" fillId="0" borderId="0"/>
    <xf numFmtId="0" fontId="208" fillId="0" borderId="0"/>
    <xf numFmtId="0" fontId="139" fillId="0" borderId="0"/>
    <xf numFmtId="0" fontId="208" fillId="0" borderId="0"/>
    <xf numFmtId="0" fontId="139" fillId="0" borderId="0"/>
    <xf numFmtId="0" fontId="208" fillId="0" borderId="0"/>
    <xf numFmtId="0" fontId="139" fillId="0" borderId="0"/>
    <xf numFmtId="0" fontId="208" fillId="0" borderId="0"/>
    <xf numFmtId="0" fontId="139" fillId="0" borderId="0"/>
    <xf numFmtId="0" fontId="208" fillId="0" borderId="0"/>
    <xf numFmtId="0" fontId="139" fillId="0" borderId="0"/>
    <xf numFmtId="0" fontId="208" fillId="0" borderId="0"/>
    <xf numFmtId="0" fontId="139" fillId="0" borderId="0"/>
    <xf numFmtId="0" fontId="208" fillId="0" borderId="0"/>
    <xf numFmtId="0" fontId="9" fillId="0" borderId="0"/>
    <xf numFmtId="0" fontId="203" fillId="0" borderId="0"/>
    <xf numFmtId="0" fontId="207" fillId="0" borderId="0"/>
    <xf numFmtId="0" fontId="207" fillId="0" borderId="0"/>
    <xf numFmtId="0" fontId="19" fillId="0" borderId="0"/>
    <xf numFmtId="213" fontId="20" fillId="0" borderId="0">
      <alignment vertical="center"/>
    </xf>
    <xf numFmtId="213" fontId="219" fillId="0" borderId="0">
      <alignment vertical="center"/>
    </xf>
    <xf numFmtId="10" fontId="19" fillId="0" borderId="0" applyFont="0" applyFill="0" applyBorder="0" applyAlignment="0" applyProtection="0"/>
    <xf numFmtId="10" fontId="207" fillId="0" borderId="0"/>
    <xf numFmtId="10" fontId="207" fillId="0" borderId="0"/>
    <xf numFmtId="0" fontId="53" fillId="0" borderId="0">
      <protection locked="0"/>
    </xf>
    <xf numFmtId="0" fontId="214" fillId="0" borderId="0">
      <protection locked="0"/>
    </xf>
    <xf numFmtId="0" fontId="214" fillId="0" borderId="0">
      <protection locked="0"/>
    </xf>
    <xf numFmtId="0" fontId="53" fillId="0" borderId="0">
      <protection locked="0"/>
    </xf>
    <xf numFmtId="0" fontId="214" fillId="0" borderId="0">
      <protection locked="0"/>
    </xf>
    <xf numFmtId="0" fontId="53" fillId="0" borderId="0">
      <protection locked="0"/>
    </xf>
    <xf numFmtId="0" fontId="214" fillId="0" borderId="0">
      <protection locked="0"/>
    </xf>
    <xf numFmtId="30" fontId="66" fillId="0" borderId="0" applyNumberFormat="0" applyFill="0" applyBorder="0" applyAlignment="0" applyProtection="0">
      <alignment horizontal="left"/>
    </xf>
    <xf numFmtId="30" fontId="212" fillId="0" borderId="0">
      <alignment horizontal="left"/>
    </xf>
    <xf numFmtId="189" fontId="20" fillId="0" borderId="0">
      <alignment horizontal="right" vertical="center"/>
    </xf>
    <xf numFmtId="189" fontId="219" fillId="0" borderId="0">
      <alignment horizontal="right" vertical="center"/>
    </xf>
    <xf numFmtId="189" fontId="20" fillId="0" borderId="0">
      <alignment vertical="distributed"/>
    </xf>
    <xf numFmtId="189" fontId="219" fillId="0" borderId="0">
      <alignment vertical="center"/>
    </xf>
    <xf numFmtId="0" fontId="65" fillId="0" borderId="0"/>
    <xf numFmtId="0" fontId="256" fillId="0" borderId="0"/>
    <xf numFmtId="40" fontId="67" fillId="0" borderId="0" applyBorder="0">
      <alignment horizontal="right"/>
    </xf>
    <xf numFmtId="40" fontId="258" fillId="0" borderId="0">
      <alignment horizontal="right"/>
    </xf>
    <xf numFmtId="264" fontId="151" fillId="0" borderId="0">
      <alignment horizontal="center"/>
    </xf>
    <xf numFmtId="264" fontId="259" fillId="0" borderId="0">
      <alignment horizontal="center"/>
    </xf>
    <xf numFmtId="264" fontId="259" fillId="0" borderId="0">
      <alignment horizontal="center"/>
    </xf>
    <xf numFmtId="0" fontId="207" fillId="0" borderId="0"/>
    <xf numFmtId="0" fontId="19" fillId="0" borderId="0"/>
    <xf numFmtId="0" fontId="207" fillId="0" borderId="0"/>
    <xf numFmtId="0" fontId="207" fillId="0" borderId="0"/>
    <xf numFmtId="0" fontId="207" fillId="0" borderId="0"/>
    <xf numFmtId="0" fontId="19" fillId="0" borderId="0"/>
    <xf numFmtId="0" fontId="207" fillId="0" borderId="0"/>
    <xf numFmtId="0" fontId="207" fillId="0" borderId="0"/>
    <xf numFmtId="0" fontId="17" fillId="0" borderId="0" applyFill="0" applyBorder="0" applyProtection="0">
      <alignment horizontal="centerContinuous" vertical="center"/>
    </xf>
    <xf numFmtId="0" fontId="260" fillId="0" borderId="0">
      <alignment horizontal="centerContinuous" vertical="center"/>
    </xf>
    <xf numFmtId="0" fontId="26" fillId="2" borderId="0" applyFill="0" applyBorder="0" applyProtection="0">
      <alignment horizontal="center" vertical="center"/>
    </xf>
    <xf numFmtId="0" fontId="205" fillId="46" borderId="0">
      <alignment horizontal="center" vertical="center"/>
    </xf>
    <xf numFmtId="0" fontId="261" fillId="44" borderId="0">
      <alignment horizontal="centerContinuous"/>
    </xf>
    <xf numFmtId="362" fontId="169" fillId="0" borderId="0" applyFill="0" applyBorder="0">
      <alignment horizontal="centerContinuous"/>
    </xf>
    <xf numFmtId="362" fontId="229" fillId="0" borderId="0">
      <alignment horizontal="centerContinuous"/>
    </xf>
    <xf numFmtId="362" fontId="229" fillId="0" borderId="0">
      <alignment horizontal="centerContinuous"/>
    </xf>
    <xf numFmtId="0" fontId="137" fillId="0" borderId="114" applyNumberFormat="0" applyFont="0" applyFill="0" applyAlignment="0" applyProtection="0"/>
    <xf numFmtId="0" fontId="233" fillId="0" borderId="114"/>
    <xf numFmtId="0" fontId="233" fillId="0" borderId="114"/>
    <xf numFmtId="0" fontId="137" fillId="0" borderId="114" applyNumberFormat="0" applyFont="0" applyFill="0" applyAlignment="0" applyProtection="0"/>
    <xf numFmtId="0" fontId="233" fillId="0" borderId="114"/>
    <xf numFmtId="0" fontId="233" fillId="0" borderId="114"/>
    <xf numFmtId="0" fontId="11" fillId="0" borderId="43">
      <alignment horizontal="left"/>
    </xf>
    <xf numFmtId="0" fontId="262" fillId="0" borderId="43">
      <alignment horizontal="left"/>
    </xf>
    <xf numFmtId="37" fontId="27" fillId="12" borderId="0" applyNumberFormat="0" applyBorder="0" applyAlignment="0" applyProtection="0"/>
    <xf numFmtId="37" fontId="241" fillId="47" borderId="0"/>
    <xf numFmtId="37" fontId="241" fillId="47" borderId="0"/>
    <xf numFmtId="37" fontId="27" fillId="0" borderId="0"/>
    <xf numFmtId="37" fontId="241" fillId="0" borderId="0"/>
    <xf numFmtId="37" fontId="241" fillId="0" borderId="0"/>
    <xf numFmtId="3" fontId="188" fillId="0" borderId="122" applyProtection="0"/>
    <xf numFmtId="3" fontId="263" fillId="0" borderId="122"/>
    <xf numFmtId="3" fontId="263" fillId="0" borderId="122"/>
    <xf numFmtId="0" fontId="154" fillId="0" borderId="0" applyNumberFormat="0" applyFill="0" applyBorder="0" applyAlignment="0" applyProtection="0">
      <alignment vertical="top"/>
      <protection locked="0"/>
    </xf>
    <xf numFmtId="0" fontId="264" fillId="0" borderId="0">
      <alignment vertical="top"/>
      <protection locked="0"/>
    </xf>
    <xf numFmtId="0" fontId="264" fillId="0" borderId="0">
      <alignment vertical="top"/>
      <protection locked="0"/>
    </xf>
    <xf numFmtId="0" fontId="15" fillId="0" borderId="1">
      <alignment horizontal="left" vertical="center" indent="2"/>
    </xf>
    <xf numFmtId="0" fontId="210" fillId="0" borderId="1">
      <alignment horizontal="left" vertical="center" indent="2"/>
    </xf>
    <xf numFmtId="0" fontId="223" fillId="48" borderId="0">
      <alignment vertical="center"/>
    </xf>
    <xf numFmtId="0" fontId="223" fillId="48" borderId="0">
      <alignment vertical="center"/>
    </xf>
    <xf numFmtId="0" fontId="224" fillId="49" borderId="0" applyNumberFormat="0" applyBorder="0" applyAlignment="0" applyProtection="0">
      <alignment vertical="center"/>
    </xf>
    <xf numFmtId="0" fontId="223" fillId="48" borderId="0">
      <alignment vertical="center"/>
    </xf>
    <xf numFmtId="0" fontId="224" fillId="49" borderId="0" applyNumberFormat="0" applyBorder="0" applyAlignment="0" applyProtection="0">
      <alignment vertical="center"/>
    </xf>
    <xf numFmtId="0" fontId="223" fillId="48" borderId="0">
      <alignment vertical="center"/>
    </xf>
    <xf numFmtId="0" fontId="223" fillId="48" borderId="0">
      <alignment vertical="center"/>
    </xf>
    <xf numFmtId="0" fontId="223" fillId="48" borderId="0">
      <alignment vertical="center"/>
    </xf>
    <xf numFmtId="0" fontId="224" fillId="49" borderId="0" applyNumberFormat="0" applyBorder="0" applyAlignment="0" applyProtection="0">
      <alignment vertical="center"/>
    </xf>
    <xf numFmtId="0" fontId="223" fillId="48" borderId="0">
      <alignment vertical="center"/>
    </xf>
    <xf numFmtId="0" fontId="224" fillId="49" borderId="0" applyNumberFormat="0" applyBorder="0" applyAlignment="0" applyProtection="0">
      <alignment vertical="center"/>
    </xf>
    <xf numFmtId="0" fontId="223" fillId="48" borderId="0">
      <alignment vertical="center"/>
    </xf>
    <xf numFmtId="0" fontId="223" fillId="48" borderId="0">
      <alignment vertical="center"/>
    </xf>
    <xf numFmtId="0" fontId="223" fillId="48" borderId="0">
      <alignment vertical="center"/>
    </xf>
    <xf numFmtId="0" fontId="224" fillId="49" borderId="0" applyNumberFormat="0" applyBorder="0" applyAlignment="0" applyProtection="0">
      <alignment vertical="center"/>
    </xf>
    <xf numFmtId="0" fontId="223" fillId="48" borderId="0">
      <alignment vertical="center"/>
    </xf>
    <xf numFmtId="0" fontId="224" fillId="49" borderId="0" applyNumberFormat="0" applyBorder="0" applyAlignment="0" applyProtection="0">
      <alignment vertical="center"/>
    </xf>
    <xf numFmtId="0" fontId="223" fillId="48" borderId="0">
      <alignment vertical="center"/>
    </xf>
    <xf numFmtId="0" fontId="223" fillId="48" borderId="0">
      <alignment vertical="center"/>
    </xf>
    <xf numFmtId="0" fontId="223" fillId="14" borderId="0">
      <alignment vertical="center"/>
    </xf>
    <xf numFmtId="0" fontId="223" fillId="14" borderId="0">
      <alignment vertical="center"/>
    </xf>
    <xf numFmtId="0" fontId="224" fillId="50" borderId="0" applyNumberFormat="0" applyBorder="0" applyAlignment="0" applyProtection="0">
      <alignment vertical="center"/>
    </xf>
    <xf numFmtId="0" fontId="223" fillId="14" borderId="0">
      <alignment vertical="center"/>
    </xf>
    <xf numFmtId="0" fontId="224" fillId="50" borderId="0" applyNumberFormat="0" applyBorder="0" applyAlignment="0" applyProtection="0">
      <alignment vertical="center"/>
    </xf>
    <xf numFmtId="0" fontId="223" fillId="14" borderId="0">
      <alignment vertical="center"/>
    </xf>
    <xf numFmtId="0" fontId="223" fillId="14" borderId="0">
      <alignment vertical="center"/>
    </xf>
    <xf numFmtId="0" fontId="223" fillId="14" borderId="0">
      <alignment vertical="center"/>
    </xf>
    <xf numFmtId="0" fontId="224" fillId="50" borderId="0" applyNumberFormat="0" applyBorder="0" applyAlignment="0" applyProtection="0">
      <alignment vertical="center"/>
    </xf>
    <xf numFmtId="0" fontId="223" fillId="14" borderId="0">
      <alignment vertical="center"/>
    </xf>
    <xf numFmtId="0" fontId="224" fillId="50" borderId="0" applyNumberFormat="0" applyBorder="0" applyAlignment="0" applyProtection="0">
      <alignment vertical="center"/>
    </xf>
    <xf numFmtId="0" fontId="223" fillId="14" borderId="0">
      <alignment vertical="center"/>
    </xf>
    <xf numFmtId="0" fontId="223" fillId="14" borderId="0">
      <alignment vertical="center"/>
    </xf>
    <xf numFmtId="0" fontId="223" fillId="14" borderId="0">
      <alignment vertical="center"/>
    </xf>
    <xf numFmtId="0" fontId="224" fillId="50" borderId="0" applyNumberFormat="0" applyBorder="0" applyAlignment="0" applyProtection="0">
      <alignment vertical="center"/>
    </xf>
    <xf numFmtId="0" fontId="223" fillId="14" borderId="0">
      <alignment vertical="center"/>
    </xf>
    <xf numFmtId="0" fontId="224" fillId="50" borderId="0" applyNumberFormat="0" applyBorder="0" applyAlignment="0" applyProtection="0">
      <alignment vertical="center"/>
    </xf>
    <xf numFmtId="0" fontId="223" fillId="14" borderId="0">
      <alignment vertical="center"/>
    </xf>
    <xf numFmtId="0" fontId="223" fillId="14" borderId="0">
      <alignment vertical="center"/>
    </xf>
    <xf numFmtId="0" fontId="223" fillId="51" borderId="0">
      <alignment vertical="center"/>
    </xf>
    <xf numFmtId="0" fontId="223" fillId="51" borderId="0">
      <alignment vertical="center"/>
    </xf>
    <xf numFmtId="0" fontId="224" fillId="52" borderId="0" applyNumberFormat="0" applyBorder="0" applyAlignment="0" applyProtection="0">
      <alignment vertical="center"/>
    </xf>
    <xf numFmtId="0" fontId="223" fillId="51" borderId="0">
      <alignment vertical="center"/>
    </xf>
    <xf numFmtId="0" fontId="224" fillId="52" borderId="0" applyNumberFormat="0" applyBorder="0" applyAlignment="0" applyProtection="0">
      <alignment vertical="center"/>
    </xf>
    <xf numFmtId="0" fontId="223" fillId="51" borderId="0">
      <alignment vertical="center"/>
    </xf>
    <xf numFmtId="0" fontId="223" fillId="51" borderId="0">
      <alignment vertical="center"/>
    </xf>
    <xf numFmtId="0" fontId="223" fillId="51" borderId="0">
      <alignment vertical="center"/>
    </xf>
    <xf numFmtId="0" fontId="224" fillId="52" borderId="0" applyNumberFormat="0" applyBorder="0" applyAlignment="0" applyProtection="0">
      <alignment vertical="center"/>
    </xf>
    <xf numFmtId="0" fontId="223" fillId="51" borderId="0">
      <alignment vertical="center"/>
    </xf>
    <xf numFmtId="0" fontId="224" fillId="52" borderId="0" applyNumberFormat="0" applyBorder="0" applyAlignment="0" applyProtection="0">
      <alignment vertical="center"/>
    </xf>
    <xf numFmtId="0" fontId="223" fillId="51" borderId="0">
      <alignment vertical="center"/>
    </xf>
    <xf numFmtId="0" fontId="223" fillId="51" borderId="0">
      <alignment vertical="center"/>
    </xf>
    <xf numFmtId="0" fontId="223" fillId="51" borderId="0">
      <alignment vertical="center"/>
    </xf>
    <xf numFmtId="0" fontId="224" fillId="52" borderId="0" applyNumberFormat="0" applyBorder="0" applyAlignment="0" applyProtection="0">
      <alignment vertical="center"/>
    </xf>
    <xf numFmtId="0" fontId="223" fillId="51" borderId="0">
      <alignment vertical="center"/>
    </xf>
    <xf numFmtId="0" fontId="224" fillId="52" borderId="0" applyNumberFormat="0" applyBorder="0" applyAlignment="0" applyProtection="0">
      <alignment vertical="center"/>
    </xf>
    <xf numFmtId="0" fontId="223" fillId="51" borderId="0">
      <alignment vertical="center"/>
    </xf>
    <xf numFmtId="0" fontId="223" fillId="51" borderId="0">
      <alignment vertical="center"/>
    </xf>
    <xf numFmtId="0" fontId="223" fillId="38" borderId="0">
      <alignment vertical="center"/>
    </xf>
    <xf numFmtId="0" fontId="223" fillId="38" borderId="0">
      <alignment vertical="center"/>
    </xf>
    <xf numFmtId="0" fontId="224" fillId="39" borderId="0" applyNumberFormat="0" applyBorder="0" applyAlignment="0" applyProtection="0">
      <alignment vertical="center"/>
    </xf>
    <xf numFmtId="0" fontId="223" fillId="38" borderId="0">
      <alignment vertical="center"/>
    </xf>
    <xf numFmtId="0" fontId="224" fillId="39" borderId="0" applyNumberFormat="0" applyBorder="0" applyAlignment="0" applyProtection="0">
      <alignment vertical="center"/>
    </xf>
    <xf numFmtId="0" fontId="223" fillId="38" borderId="0">
      <alignment vertical="center"/>
    </xf>
    <xf numFmtId="0" fontId="223" fillId="38" borderId="0">
      <alignment vertical="center"/>
    </xf>
    <xf numFmtId="0" fontId="223" fillId="38" borderId="0">
      <alignment vertical="center"/>
    </xf>
    <xf numFmtId="0" fontId="224" fillId="39" borderId="0" applyNumberFormat="0" applyBorder="0" applyAlignment="0" applyProtection="0">
      <alignment vertical="center"/>
    </xf>
    <xf numFmtId="0" fontId="223" fillId="38" borderId="0">
      <alignment vertical="center"/>
    </xf>
    <xf numFmtId="0" fontId="224" fillId="39" borderId="0" applyNumberFormat="0" applyBorder="0" applyAlignment="0" applyProtection="0">
      <alignment vertical="center"/>
    </xf>
    <xf numFmtId="0" fontId="223" fillId="38" borderId="0">
      <alignment vertical="center"/>
    </xf>
    <xf numFmtId="0" fontId="223" fillId="38" borderId="0">
      <alignment vertical="center"/>
    </xf>
    <xf numFmtId="0" fontId="223" fillId="38" borderId="0">
      <alignment vertical="center"/>
    </xf>
    <xf numFmtId="0" fontId="224" fillId="39" borderId="0" applyNumberFormat="0" applyBorder="0" applyAlignment="0" applyProtection="0">
      <alignment vertical="center"/>
    </xf>
    <xf numFmtId="0" fontId="223" fillId="38" borderId="0">
      <alignment vertical="center"/>
    </xf>
    <xf numFmtId="0" fontId="224" fillId="39" borderId="0" applyNumberFormat="0" applyBorder="0" applyAlignment="0" applyProtection="0">
      <alignment vertical="center"/>
    </xf>
    <xf numFmtId="0" fontId="223" fillId="38" borderId="0">
      <alignment vertical="center"/>
    </xf>
    <xf numFmtId="0" fontId="223" fillId="38" borderId="0">
      <alignment vertical="center"/>
    </xf>
    <xf numFmtId="0" fontId="223" fillId="40" borderId="0">
      <alignment vertical="center"/>
    </xf>
    <xf numFmtId="0" fontId="223" fillId="40" borderId="0">
      <alignment vertical="center"/>
    </xf>
    <xf numFmtId="0" fontId="224" fillId="41" borderId="0" applyNumberFormat="0" applyBorder="0" applyAlignment="0" applyProtection="0">
      <alignment vertical="center"/>
    </xf>
    <xf numFmtId="0" fontId="223" fillId="40" borderId="0">
      <alignment vertical="center"/>
    </xf>
    <xf numFmtId="0" fontId="224" fillId="41" borderId="0" applyNumberFormat="0" applyBorder="0" applyAlignment="0" applyProtection="0">
      <alignment vertical="center"/>
    </xf>
    <xf numFmtId="0" fontId="223" fillId="40" borderId="0">
      <alignment vertical="center"/>
    </xf>
    <xf numFmtId="0" fontId="223" fillId="40" borderId="0">
      <alignment vertical="center"/>
    </xf>
    <xf numFmtId="0" fontId="223" fillId="40" borderId="0">
      <alignment vertical="center"/>
    </xf>
    <xf numFmtId="0" fontId="224" fillId="41" borderId="0" applyNumberFormat="0" applyBorder="0" applyAlignment="0" applyProtection="0">
      <alignment vertical="center"/>
    </xf>
    <xf numFmtId="0" fontId="223" fillId="40" borderId="0">
      <alignment vertical="center"/>
    </xf>
    <xf numFmtId="0" fontId="224" fillId="41" borderId="0" applyNumberFormat="0" applyBorder="0" applyAlignment="0" applyProtection="0">
      <alignment vertical="center"/>
    </xf>
    <xf numFmtId="0" fontId="223" fillId="40" borderId="0">
      <alignment vertical="center"/>
    </xf>
    <xf numFmtId="0" fontId="223" fillId="40" borderId="0">
      <alignment vertical="center"/>
    </xf>
    <xf numFmtId="0" fontId="223" fillId="40" borderId="0">
      <alignment vertical="center"/>
    </xf>
    <xf numFmtId="0" fontId="224" fillId="41" borderId="0" applyNumberFormat="0" applyBorder="0" applyAlignment="0" applyProtection="0">
      <alignment vertical="center"/>
    </xf>
    <xf numFmtId="0" fontId="223" fillId="40" borderId="0">
      <alignment vertical="center"/>
    </xf>
    <xf numFmtId="0" fontId="224" fillId="41" borderId="0" applyNumberFormat="0" applyBorder="0" applyAlignment="0" applyProtection="0">
      <alignment vertical="center"/>
    </xf>
    <xf numFmtId="0" fontId="223" fillId="40" borderId="0">
      <alignment vertical="center"/>
    </xf>
    <xf numFmtId="0" fontId="223" fillId="40" borderId="0">
      <alignment vertical="center"/>
    </xf>
    <xf numFmtId="0" fontId="223" fillId="53" borderId="0">
      <alignment vertical="center"/>
    </xf>
    <xf numFmtId="0" fontId="223" fillId="53" borderId="0">
      <alignment vertical="center"/>
    </xf>
    <xf numFmtId="0" fontId="224" fillId="54" borderId="0" applyNumberFormat="0" applyBorder="0" applyAlignment="0" applyProtection="0">
      <alignment vertical="center"/>
    </xf>
    <xf numFmtId="0" fontId="223" fillId="53" borderId="0">
      <alignment vertical="center"/>
    </xf>
    <xf numFmtId="0" fontId="224" fillId="54" borderId="0" applyNumberFormat="0" applyBorder="0" applyAlignment="0" applyProtection="0">
      <alignment vertical="center"/>
    </xf>
    <xf numFmtId="0" fontId="223" fillId="53" borderId="0">
      <alignment vertical="center"/>
    </xf>
    <xf numFmtId="0" fontId="223" fillId="53" borderId="0">
      <alignment vertical="center"/>
    </xf>
    <xf numFmtId="0" fontId="223" fillId="53" borderId="0">
      <alignment vertical="center"/>
    </xf>
    <xf numFmtId="0" fontId="224" fillId="54" borderId="0" applyNumberFormat="0" applyBorder="0" applyAlignment="0" applyProtection="0">
      <alignment vertical="center"/>
    </xf>
    <xf numFmtId="0" fontId="223" fillId="53" borderId="0">
      <alignment vertical="center"/>
    </xf>
    <xf numFmtId="0" fontId="224" fillId="54" borderId="0" applyNumberFormat="0" applyBorder="0" applyAlignment="0" applyProtection="0">
      <alignment vertical="center"/>
    </xf>
    <xf numFmtId="0" fontId="223" fillId="53" borderId="0">
      <alignment vertical="center"/>
    </xf>
    <xf numFmtId="0" fontId="223" fillId="53" borderId="0">
      <alignment vertical="center"/>
    </xf>
    <xf numFmtId="0" fontId="223" fillId="53" borderId="0">
      <alignment vertical="center"/>
    </xf>
    <xf numFmtId="0" fontId="224" fillId="54" borderId="0" applyNumberFormat="0" applyBorder="0" applyAlignment="0" applyProtection="0">
      <alignment vertical="center"/>
    </xf>
    <xf numFmtId="0" fontId="223" fillId="53" borderId="0">
      <alignment vertical="center"/>
    </xf>
    <xf numFmtId="0" fontId="224" fillId="54" borderId="0" applyNumberFormat="0" applyBorder="0" applyAlignment="0" applyProtection="0">
      <alignment vertical="center"/>
    </xf>
    <xf numFmtId="0" fontId="223" fillId="53" borderId="0">
      <alignment vertical="center"/>
    </xf>
    <xf numFmtId="0" fontId="223" fillId="53" borderId="0">
      <alignment vertical="center"/>
    </xf>
    <xf numFmtId="0" fontId="265" fillId="0" borderId="0">
      <alignment vertical="center"/>
    </xf>
    <xf numFmtId="0" fontId="265" fillId="0" borderId="0">
      <alignment vertical="center"/>
    </xf>
    <xf numFmtId="0" fontId="266" fillId="0" borderId="0" applyNumberFormat="0" applyFill="0" applyBorder="0" applyAlignment="0" applyProtection="0">
      <alignment vertical="center"/>
    </xf>
    <xf numFmtId="0" fontId="265" fillId="0" borderId="0">
      <alignment vertical="center"/>
    </xf>
    <xf numFmtId="0" fontId="266" fillId="0" borderId="0" applyNumberFormat="0" applyFill="0" applyBorder="0" applyAlignment="0" applyProtection="0">
      <alignment vertical="center"/>
    </xf>
    <xf numFmtId="0" fontId="265" fillId="0" borderId="0">
      <alignment vertical="center"/>
    </xf>
    <xf numFmtId="0" fontId="265" fillId="0" borderId="0">
      <alignment vertical="center"/>
    </xf>
    <xf numFmtId="0" fontId="265" fillId="0" borderId="0">
      <alignment vertical="center"/>
    </xf>
    <xf numFmtId="0" fontId="266" fillId="0" borderId="0" applyNumberFormat="0" applyFill="0" applyBorder="0" applyAlignment="0" applyProtection="0">
      <alignment vertical="center"/>
    </xf>
    <xf numFmtId="0" fontId="265" fillId="0" borderId="0">
      <alignment vertical="center"/>
    </xf>
    <xf numFmtId="0" fontId="266" fillId="0" borderId="0" applyNumberFormat="0" applyFill="0" applyBorder="0" applyAlignment="0" applyProtection="0">
      <alignment vertical="center"/>
    </xf>
    <xf numFmtId="0" fontId="265" fillId="0" borderId="0">
      <alignment vertical="center"/>
    </xf>
    <xf numFmtId="0" fontId="265" fillId="0" borderId="0">
      <alignment vertical="center"/>
    </xf>
    <xf numFmtId="0" fontId="265" fillId="0" borderId="0">
      <alignment vertical="center"/>
    </xf>
    <xf numFmtId="0" fontId="266" fillId="0" borderId="0" applyNumberFormat="0" applyFill="0" applyBorder="0" applyAlignment="0" applyProtection="0">
      <alignment vertical="center"/>
    </xf>
    <xf numFmtId="0" fontId="265" fillId="0" borderId="0">
      <alignment vertical="center"/>
    </xf>
    <xf numFmtId="0" fontId="266" fillId="0" borderId="0" applyNumberFormat="0" applyFill="0" applyBorder="0" applyAlignment="0" applyProtection="0">
      <alignment vertical="center"/>
    </xf>
    <xf numFmtId="0" fontId="265" fillId="0" borderId="0">
      <alignment vertical="center"/>
    </xf>
    <xf numFmtId="0" fontId="267" fillId="44" borderId="136">
      <alignment vertical="center"/>
    </xf>
    <xf numFmtId="0" fontId="267" fillId="44" borderId="136">
      <alignment vertical="center"/>
    </xf>
    <xf numFmtId="0" fontId="268" fillId="55" borderId="137" applyNumberFormat="0" applyAlignment="0" applyProtection="0">
      <alignment vertical="center"/>
    </xf>
    <xf numFmtId="0" fontId="267" fillId="44" borderId="136">
      <alignment vertical="center"/>
    </xf>
    <xf numFmtId="0" fontId="268" fillId="55" borderId="137" applyNumberFormat="0" applyAlignment="0" applyProtection="0">
      <alignment vertical="center"/>
    </xf>
    <xf numFmtId="0" fontId="267" fillId="44" borderId="136">
      <alignment vertical="center"/>
    </xf>
    <xf numFmtId="0" fontId="267" fillId="44" borderId="136">
      <alignment vertical="center"/>
    </xf>
    <xf numFmtId="0" fontId="267" fillId="44" borderId="136">
      <alignment vertical="center"/>
    </xf>
    <xf numFmtId="0" fontId="268" fillId="55" borderId="137" applyNumberFormat="0" applyAlignment="0" applyProtection="0">
      <alignment vertical="center"/>
    </xf>
    <xf numFmtId="0" fontId="267" fillId="44" borderId="136">
      <alignment vertical="center"/>
    </xf>
    <xf numFmtId="0" fontId="268" fillId="55" borderId="137" applyNumberFormat="0" applyAlignment="0" applyProtection="0">
      <alignment vertical="center"/>
    </xf>
    <xf numFmtId="0" fontId="267" fillId="44" borderId="136">
      <alignment vertical="center"/>
    </xf>
    <xf numFmtId="0" fontId="267" fillId="44" borderId="136">
      <alignment vertical="center"/>
    </xf>
    <xf numFmtId="0" fontId="267" fillId="44" borderId="136">
      <alignment vertical="center"/>
    </xf>
    <xf numFmtId="0" fontId="268" fillId="55" borderId="137" applyNumberFormat="0" applyAlignment="0" applyProtection="0">
      <alignment vertical="center"/>
    </xf>
    <xf numFmtId="0" fontId="267" fillId="44" borderId="136">
      <alignment vertical="center"/>
    </xf>
    <xf numFmtId="0" fontId="268" fillId="55" borderId="137" applyNumberFormat="0" applyAlignment="0" applyProtection="0">
      <alignment vertical="center"/>
    </xf>
    <xf numFmtId="0" fontId="267" fillId="44" borderId="136">
      <alignment vertical="center"/>
    </xf>
    <xf numFmtId="0" fontId="267" fillId="44" borderId="136">
      <alignment vertical="center"/>
    </xf>
    <xf numFmtId="363" fontId="203" fillId="0" borderId="0">
      <protection locked="0"/>
    </xf>
    <xf numFmtId="363" fontId="9" fillId="0" borderId="0">
      <protection locked="0"/>
    </xf>
    <xf numFmtId="363" fontId="203" fillId="0" borderId="0">
      <protection locked="0"/>
    </xf>
    <xf numFmtId="0" fontId="105" fillId="0" borderId="0"/>
    <xf numFmtId="0" fontId="208" fillId="0" borderId="0"/>
    <xf numFmtId="364" fontId="209" fillId="0" borderId="0"/>
    <xf numFmtId="364" fontId="6" fillId="0" borderId="0"/>
    <xf numFmtId="364" fontId="209" fillId="0" borderId="0"/>
    <xf numFmtId="364" fontId="6" fillId="0" borderId="0"/>
    <xf numFmtId="364" fontId="209" fillId="0" borderId="0"/>
    <xf numFmtId="364" fontId="209" fillId="0" borderId="0"/>
    <xf numFmtId="364" fontId="6" fillId="0" borderId="0"/>
    <xf numFmtId="364" fontId="209" fillId="0" borderId="0"/>
    <xf numFmtId="364" fontId="6" fillId="0" borderId="0"/>
    <xf numFmtId="364" fontId="209" fillId="0" borderId="0"/>
    <xf numFmtId="364" fontId="209" fillId="0" borderId="0"/>
    <xf numFmtId="364" fontId="6" fillId="0" borderId="0"/>
    <xf numFmtId="364" fontId="209" fillId="0" borderId="0"/>
    <xf numFmtId="364" fontId="6" fillId="0" borderId="0"/>
    <xf numFmtId="364" fontId="209" fillId="0" borderId="0"/>
    <xf numFmtId="364" fontId="209" fillId="0" borderId="0"/>
    <xf numFmtId="364" fontId="6" fillId="0" borderId="0"/>
    <xf numFmtId="364" fontId="209" fillId="0" borderId="0"/>
    <xf numFmtId="364" fontId="6" fillId="0" borderId="0"/>
    <xf numFmtId="364" fontId="209" fillId="0" borderId="0"/>
    <xf numFmtId="364" fontId="209" fillId="0" borderId="0"/>
    <xf numFmtId="364" fontId="6" fillId="0" borderId="0"/>
    <xf numFmtId="364" fontId="209" fillId="0" borderId="0"/>
    <xf numFmtId="364" fontId="6" fillId="0" borderId="0"/>
    <xf numFmtId="364" fontId="209" fillId="0" borderId="0"/>
    <xf numFmtId="364" fontId="209" fillId="0" borderId="0"/>
    <xf numFmtId="364" fontId="6" fillId="0" borderId="0"/>
    <xf numFmtId="364" fontId="209" fillId="0" borderId="0"/>
    <xf numFmtId="364" fontId="6" fillId="0" borderId="0"/>
    <xf numFmtId="364" fontId="209" fillId="0" borderId="0"/>
    <xf numFmtId="364" fontId="209" fillId="0" borderId="0"/>
    <xf numFmtId="364" fontId="6" fillId="0" borderId="0"/>
    <xf numFmtId="364" fontId="209" fillId="0" borderId="0"/>
    <xf numFmtId="364" fontId="6" fillId="0" borderId="0"/>
    <xf numFmtId="364" fontId="209" fillId="0" borderId="0"/>
    <xf numFmtId="364" fontId="209" fillId="0" borderId="0"/>
    <xf numFmtId="364" fontId="6" fillId="0" borderId="0"/>
    <xf numFmtId="364" fontId="209" fillId="0" borderId="0"/>
    <xf numFmtId="364" fontId="6" fillId="0" borderId="0"/>
    <xf numFmtId="364" fontId="209" fillId="0" borderId="0"/>
    <xf numFmtId="364" fontId="209" fillId="0" borderId="0"/>
    <xf numFmtId="364" fontId="6" fillId="0" borderId="0"/>
    <xf numFmtId="364" fontId="209" fillId="0" borderId="0"/>
    <xf numFmtId="364" fontId="6" fillId="0" borderId="0"/>
    <xf numFmtId="364" fontId="209" fillId="0" borderId="0"/>
    <xf numFmtId="364" fontId="209" fillId="0" borderId="0"/>
    <xf numFmtId="364" fontId="6" fillId="0" borderId="0"/>
    <xf numFmtId="364" fontId="209" fillId="0" borderId="0"/>
    <xf numFmtId="364" fontId="6" fillId="0" borderId="0"/>
    <xf numFmtId="364" fontId="209" fillId="0" borderId="0"/>
    <xf numFmtId="364" fontId="209" fillId="0" borderId="0"/>
    <xf numFmtId="364" fontId="6" fillId="0" borderId="0"/>
    <xf numFmtId="364" fontId="209" fillId="0" borderId="0"/>
    <xf numFmtId="364" fontId="6" fillId="0" borderId="0"/>
    <xf numFmtId="364" fontId="209" fillId="0" borderId="0"/>
    <xf numFmtId="0" fontId="25" fillId="0" borderId="0"/>
    <xf numFmtId="0" fontId="269" fillId="0" borderId="0"/>
    <xf numFmtId="220" fontId="2" fillId="0" borderId="0" applyNumberFormat="0" applyFill="0" applyBorder="0" applyAlignment="0">
      <alignment horizontal="left"/>
    </xf>
    <xf numFmtId="220" fontId="204" fillId="0" borderId="0">
      <alignment horizontal="left"/>
    </xf>
    <xf numFmtId="0" fontId="204" fillId="0" borderId="1">
      <alignment horizontal="right" vertical="center"/>
    </xf>
    <xf numFmtId="0" fontId="204" fillId="0" borderId="1">
      <alignment horizontal="right" vertical="center"/>
    </xf>
    <xf numFmtId="0" fontId="2" fillId="0" borderId="1">
      <alignment horizontal="right" vertical="center"/>
    </xf>
    <xf numFmtId="0" fontId="204" fillId="0" borderId="1">
      <alignment horizontal="right" vertical="center"/>
    </xf>
    <xf numFmtId="0" fontId="2" fillId="0" borderId="1">
      <alignment horizontal="right" vertical="center"/>
    </xf>
    <xf numFmtId="0" fontId="204" fillId="0" borderId="1">
      <alignment horizontal="right" vertical="center"/>
    </xf>
    <xf numFmtId="0" fontId="33" fillId="0" borderId="0" applyFont="0" applyBorder="0" applyAlignment="0">
      <alignment horizontal="left" vertical="center"/>
    </xf>
    <xf numFmtId="0" fontId="270" fillId="0" borderId="0">
      <alignment horizontal="left" vertical="center"/>
    </xf>
    <xf numFmtId="0" fontId="271" fillId="18" borderId="0">
      <alignment vertical="center"/>
    </xf>
    <xf numFmtId="0" fontId="271" fillId="18" borderId="0">
      <alignment vertical="center"/>
    </xf>
    <xf numFmtId="0" fontId="272" fillId="19" borderId="0" applyNumberFormat="0" applyBorder="0" applyAlignment="0" applyProtection="0">
      <alignment vertical="center"/>
    </xf>
    <xf numFmtId="0" fontId="271" fillId="18" borderId="0">
      <alignment vertical="center"/>
    </xf>
    <xf numFmtId="0" fontId="272" fillId="19" borderId="0" applyNumberFormat="0" applyBorder="0" applyAlignment="0" applyProtection="0">
      <alignment vertical="center"/>
    </xf>
    <xf numFmtId="0" fontId="271" fillId="18" borderId="0">
      <alignment vertical="center"/>
    </xf>
    <xf numFmtId="0" fontId="271" fillId="18" borderId="0">
      <alignment vertical="center"/>
    </xf>
    <xf numFmtId="0" fontId="271" fillId="18" borderId="0">
      <alignment vertical="center"/>
    </xf>
    <xf numFmtId="0" fontId="272" fillId="19" borderId="0" applyNumberFormat="0" applyBorder="0" applyAlignment="0" applyProtection="0">
      <alignment vertical="center"/>
    </xf>
    <xf numFmtId="0" fontId="271" fillId="18" borderId="0">
      <alignment vertical="center"/>
    </xf>
    <xf numFmtId="0" fontId="272" fillId="19" borderId="0" applyNumberFormat="0" applyBorder="0" applyAlignment="0" applyProtection="0">
      <alignment vertical="center"/>
    </xf>
    <xf numFmtId="0" fontId="271" fillId="18" borderId="0">
      <alignment vertical="center"/>
    </xf>
    <xf numFmtId="0" fontId="271" fillId="18" borderId="0">
      <alignment vertical="center"/>
    </xf>
    <xf numFmtId="0" fontId="271" fillId="18" borderId="0">
      <alignment vertical="center"/>
    </xf>
    <xf numFmtId="0" fontId="272" fillId="19" borderId="0" applyNumberFormat="0" applyBorder="0" applyAlignment="0" applyProtection="0">
      <alignment vertical="center"/>
    </xf>
    <xf numFmtId="0" fontId="271" fillId="18" borderId="0">
      <alignment vertical="center"/>
    </xf>
    <xf numFmtId="0" fontId="272" fillId="19" borderId="0" applyNumberFormat="0" applyBorder="0" applyAlignment="0" applyProtection="0">
      <alignment vertical="center"/>
    </xf>
    <xf numFmtId="0" fontId="271" fillId="18" borderId="0">
      <alignment vertical="center"/>
    </xf>
    <xf numFmtId="0" fontId="271" fillId="18" borderId="0">
      <alignment vertical="center"/>
    </xf>
    <xf numFmtId="0" fontId="9" fillId="10" borderId="0">
      <alignment horizontal="left"/>
    </xf>
    <xf numFmtId="0" fontId="203" fillId="10" borderId="0">
      <alignment horizontal="left"/>
    </xf>
    <xf numFmtId="0" fontId="273" fillId="0" borderId="0">
      <alignment vertical="top"/>
      <protection locked="0"/>
    </xf>
    <xf numFmtId="177" fontId="15" fillId="0" borderId="115">
      <alignment vertical="center"/>
    </xf>
    <xf numFmtId="177" fontId="210" fillId="0" borderId="115">
      <alignment vertical="center"/>
    </xf>
    <xf numFmtId="0" fontId="204" fillId="45" borderId="138">
      <alignment vertical="center"/>
    </xf>
    <xf numFmtId="0" fontId="204" fillId="45" borderId="138">
      <alignment vertical="center"/>
    </xf>
    <xf numFmtId="0" fontId="2" fillId="56" borderId="139" applyNumberFormat="0" applyFont="0" applyAlignment="0" applyProtection="0">
      <alignment vertical="center"/>
    </xf>
    <xf numFmtId="0" fontId="204" fillId="45" borderId="138">
      <alignment vertical="center"/>
    </xf>
    <xf numFmtId="0" fontId="2" fillId="56" borderId="139" applyNumberFormat="0" applyFont="0" applyAlignment="0" applyProtection="0">
      <alignment vertical="center"/>
    </xf>
    <xf numFmtId="0" fontId="204" fillId="45" borderId="138">
      <alignment vertical="center"/>
    </xf>
    <xf numFmtId="0" fontId="204" fillId="45" borderId="138">
      <alignment vertical="center"/>
    </xf>
    <xf numFmtId="0" fontId="204" fillId="45" borderId="138">
      <alignment vertical="center"/>
    </xf>
    <xf numFmtId="0" fontId="2" fillId="56" borderId="139" applyNumberFormat="0" applyFont="0" applyAlignment="0" applyProtection="0">
      <alignment vertical="center"/>
    </xf>
    <xf numFmtId="0" fontId="204" fillId="45" borderId="138">
      <alignment vertical="center"/>
    </xf>
    <xf numFmtId="0" fontId="2" fillId="56" borderId="139" applyNumberFormat="0" applyFont="0" applyAlignment="0" applyProtection="0">
      <alignment vertical="center"/>
    </xf>
    <xf numFmtId="0" fontId="204" fillId="45" borderId="138">
      <alignment vertical="center"/>
    </xf>
    <xf numFmtId="0" fontId="204" fillId="45" borderId="138">
      <alignment vertical="center"/>
    </xf>
    <xf numFmtId="0" fontId="204" fillId="45" borderId="138">
      <alignment vertical="center"/>
    </xf>
    <xf numFmtId="0" fontId="2" fillId="56" borderId="139" applyNumberFormat="0" applyFont="0" applyAlignment="0" applyProtection="0">
      <alignment vertical="center"/>
    </xf>
    <xf numFmtId="0" fontId="204" fillId="45" borderId="138">
      <alignment vertical="center"/>
    </xf>
    <xf numFmtId="0" fontId="2" fillId="56" borderId="139" applyNumberFormat="0" applyFont="0" applyAlignment="0" applyProtection="0">
      <alignment vertical="center"/>
    </xf>
    <xf numFmtId="0" fontId="204" fillId="45" borderId="138">
      <alignment vertical="center"/>
    </xf>
    <xf numFmtId="0" fontId="204" fillId="45" borderId="138">
      <alignment vertical="center"/>
    </xf>
    <xf numFmtId="0" fontId="219" fillId="0" borderId="0">
      <alignment horizontal="distributed" vertical="center"/>
    </xf>
    <xf numFmtId="0" fontId="20" fillId="0" borderId="0" applyNumberFormat="0" applyFont="0" applyFill="0" applyBorder="0" applyProtection="0">
      <alignment horizontal="distributed" vertical="center"/>
    </xf>
    <xf numFmtId="0" fontId="219" fillId="0" borderId="0">
      <alignment horizontal="distributed" vertical="center"/>
    </xf>
    <xf numFmtId="0" fontId="20" fillId="0" borderId="0" applyNumberFormat="0" applyFont="0" applyFill="0" applyBorder="0" applyProtection="0">
      <alignment horizontal="distributed" vertical="center"/>
    </xf>
    <xf numFmtId="0" fontId="219" fillId="0" borderId="0">
      <alignment horizontal="distributed" vertical="center"/>
    </xf>
    <xf numFmtId="323" fontId="9" fillId="0" borderId="0" applyFont="0" applyFill="0" applyBorder="0" applyProtection="0">
      <alignment horizontal="center" vertical="center"/>
    </xf>
    <xf numFmtId="323" fontId="203" fillId="0" borderId="0">
      <alignment horizontal="center" vertical="center"/>
    </xf>
    <xf numFmtId="324" fontId="9" fillId="0" borderId="0" applyFont="0" applyFill="0" applyBorder="0" applyProtection="0">
      <alignment horizontal="center" vertical="center"/>
    </xf>
    <xf numFmtId="324" fontId="203" fillId="0" borderId="0">
      <alignment horizontal="center" vertical="center"/>
    </xf>
    <xf numFmtId="9" fontId="6" fillId="2" borderId="0" applyFill="0" applyBorder="0" applyProtection="0">
      <alignment horizontal="right"/>
    </xf>
    <xf numFmtId="9" fontId="209" fillId="46" borderId="0">
      <alignment horizontal="right"/>
    </xf>
    <xf numFmtId="10" fontId="6" fillId="0" borderId="0" applyFill="0" applyBorder="0" applyProtection="0">
      <alignment horizontal="right"/>
    </xf>
    <xf numFmtId="10" fontId="209" fillId="0" borderId="0">
      <alignment horizontal="right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20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04" fillId="0" borderId="0">
      <alignment vertical="center"/>
    </xf>
    <xf numFmtId="9" fontId="20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04" fillId="0" borderId="0">
      <alignment vertical="center"/>
    </xf>
    <xf numFmtId="9" fontId="20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04" fillId="0" borderId="0">
      <alignment vertical="center"/>
    </xf>
    <xf numFmtId="9" fontId="20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04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20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04" fillId="0" borderId="0">
      <alignment vertical="center"/>
    </xf>
    <xf numFmtId="9" fontId="20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04" fillId="0" borderId="0">
      <alignment vertical="center"/>
    </xf>
    <xf numFmtId="9" fontId="20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04" fillId="0" borderId="0">
      <alignment vertical="center"/>
    </xf>
    <xf numFmtId="9" fontId="20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04" fillId="0" borderId="0">
      <alignment vertical="center"/>
    </xf>
    <xf numFmtId="9" fontId="20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04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2" fillId="0" borderId="0" applyFont="0" applyFill="0" applyBorder="0" applyAlignment="0" applyProtection="0"/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20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04" fillId="0" borderId="0">
      <alignment vertical="center"/>
    </xf>
    <xf numFmtId="9" fontId="20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04" fillId="0" borderId="0">
      <alignment vertical="center"/>
    </xf>
    <xf numFmtId="9" fontId="20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04" fillId="0" borderId="0">
      <alignment vertical="center"/>
    </xf>
    <xf numFmtId="9" fontId="20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04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9" fontId="199" fillId="0" borderId="0">
      <alignment vertical="center"/>
    </xf>
    <xf numFmtId="9" fontId="175" fillId="0" borderId="0" applyFont="0" applyFill="0" applyBorder="0" applyAlignment="0" applyProtection="0">
      <alignment vertical="center"/>
    </xf>
    <xf numFmtId="9" fontId="199" fillId="0" borderId="0">
      <alignment vertical="center"/>
    </xf>
    <xf numFmtId="365" fontId="219" fillId="0" borderId="0"/>
    <xf numFmtId="365" fontId="20" fillId="0" borderId="0" applyFont="0" applyFill="0" applyBorder="0" applyAlignment="0" applyProtection="0"/>
    <xf numFmtId="365" fontId="219" fillId="0" borderId="0"/>
    <xf numFmtId="365" fontId="20" fillId="0" borderId="0" applyFont="0" applyFill="0" applyBorder="0" applyAlignment="0" applyProtection="0"/>
    <xf numFmtId="365" fontId="219" fillId="0" borderId="0"/>
    <xf numFmtId="366" fontId="219" fillId="0" borderId="0"/>
    <xf numFmtId="366" fontId="20" fillId="0" borderId="0" applyFont="0" applyFill="0" applyBorder="0" applyAlignment="0" applyProtection="0"/>
    <xf numFmtId="366" fontId="219" fillId="0" borderId="0"/>
    <xf numFmtId="366" fontId="20" fillId="0" borderId="0" applyFont="0" applyFill="0" applyBorder="0" applyAlignment="0" applyProtection="0"/>
    <xf numFmtId="366" fontId="219" fillId="0" borderId="0"/>
    <xf numFmtId="0" fontId="274" fillId="47" borderId="0">
      <alignment vertical="center"/>
    </xf>
    <xf numFmtId="0" fontId="274" fillId="47" borderId="0">
      <alignment vertical="center"/>
    </xf>
    <xf numFmtId="0" fontId="275" fillId="57" borderId="0" applyNumberFormat="0" applyBorder="0" applyAlignment="0" applyProtection="0">
      <alignment vertical="center"/>
    </xf>
    <xf numFmtId="0" fontId="274" fillId="47" borderId="0">
      <alignment vertical="center"/>
    </xf>
    <xf numFmtId="0" fontId="275" fillId="57" borderId="0" applyNumberFormat="0" applyBorder="0" applyAlignment="0" applyProtection="0">
      <alignment vertical="center"/>
    </xf>
    <xf numFmtId="0" fontId="274" fillId="47" borderId="0">
      <alignment vertical="center"/>
    </xf>
    <xf numFmtId="0" fontId="274" fillId="47" borderId="0">
      <alignment vertical="center"/>
    </xf>
    <xf numFmtId="0" fontId="274" fillId="47" borderId="0">
      <alignment vertical="center"/>
    </xf>
    <xf numFmtId="0" fontId="275" fillId="57" borderId="0" applyNumberFormat="0" applyBorder="0" applyAlignment="0" applyProtection="0">
      <alignment vertical="center"/>
    </xf>
    <xf numFmtId="0" fontId="274" fillId="47" borderId="0">
      <alignment vertical="center"/>
    </xf>
    <xf numFmtId="0" fontId="275" fillId="57" borderId="0" applyNumberFormat="0" applyBorder="0" applyAlignment="0" applyProtection="0">
      <alignment vertical="center"/>
    </xf>
    <xf numFmtId="0" fontId="274" fillId="47" borderId="0">
      <alignment vertical="center"/>
    </xf>
    <xf numFmtId="0" fontId="274" fillId="47" borderId="0">
      <alignment vertical="center"/>
    </xf>
    <xf numFmtId="0" fontId="274" fillId="47" borderId="0">
      <alignment vertical="center"/>
    </xf>
    <xf numFmtId="0" fontId="275" fillId="57" borderId="0" applyNumberFormat="0" applyBorder="0" applyAlignment="0" applyProtection="0">
      <alignment vertical="center"/>
    </xf>
    <xf numFmtId="0" fontId="274" fillId="47" borderId="0">
      <alignment vertical="center"/>
    </xf>
    <xf numFmtId="0" fontId="275" fillId="57" borderId="0" applyNumberFormat="0" applyBorder="0" applyAlignment="0" applyProtection="0">
      <alignment vertical="center"/>
    </xf>
    <xf numFmtId="0" fontId="274" fillId="47" borderId="0">
      <alignment vertical="center"/>
    </xf>
    <xf numFmtId="0" fontId="274" fillId="47" borderId="0">
      <alignment vertical="center"/>
    </xf>
    <xf numFmtId="0" fontId="276" fillId="0" borderId="22">
      <alignment horizontal="center" vertical="center"/>
    </xf>
    <xf numFmtId="0" fontId="276" fillId="0" borderId="22">
      <alignment horizontal="center" vertical="center"/>
    </xf>
    <xf numFmtId="0" fontId="276" fillId="0" borderId="22">
      <alignment horizontal="center" vertical="center"/>
    </xf>
    <xf numFmtId="0" fontId="276" fillId="0" borderId="22">
      <alignment horizontal="center" vertical="center"/>
    </xf>
    <xf numFmtId="0" fontId="276" fillId="0" borderId="22">
      <alignment horizontal="center" vertical="center"/>
    </xf>
    <xf numFmtId="0" fontId="276" fillId="0" borderId="22">
      <alignment horizontal="center" vertical="center"/>
    </xf>
    <xf numFmtId="0" fontId="276" fillId="0" borderId="22">
      <alignment horizontal="center" vertical="center"/>
    </xf>
    <xf numFmtId="0" fontId="276" fillId="0" borderId="22">
      <alignment horizontal="center" vertical="center"/>
    </xf>
    <xf numFmtId="0" fontId="276" fillId="0" borderId="22">
      <alignment horizontal="center" vertical="center"/>
    </xf>
    <xf numFmtId="0" fontId="276" fillId="0" borderId="22">
      <alignment horizontal="center" vertical="center"/>
    </xf>
    <xf numFmtId="0" fontId="276" fillId="0" borderId="22">
      <alignment horizontal="center" vertical="center"/>
    </xf>
    <xf numFmtId="0" fontId="276" fillId="0" borderId="22">
      <alignment horizontal="center" vertical="center"/>
    </xf>
    <xf numFmtId="0" fontId="276" fillId="0" borderId="22">
      <alignment horizontal="center" vertical="center"/>
    </xf>
    <xf numFmtId="0" fontId="276" fillId="0" borderId="22">
      <alignment horizontal="center" vertical="center"/>
    </xf>
    <xf numFmtId="367" fontId="277" fillId="0" borderId="22" applyFont="0" applyFill="0" applyAlignment="0" applyProtection="0">
      <alignment horizontal="center" vertical="center"/>
    </xf>
    <xf numFmtId="0" fontId="276" fillId="0" borderId="22">
      <alignment horizontal="center" vertical="center"/>
    </xf>
    <xf numFmtId="0" fontId="9" fillId="0" borderId="0"/>
    <xf numFmtId="0" fontId="203" fillId="0" borderId="0"/>
    <xf numFmtId="177" fontId="109" fillId="0" borderId="32">
      <alignment vertical="center"/>
    </xf>
    <xf numFmtId="177" fontId="196" fillId="0" borderId="32">
      <alignment vertical="center"/>
    </xf>
    <xf numFmtId="365" fontId="219" fillId="0" borderId="0">
      <alignment horizontal="centerContinuous" vertical="center"/>
    </xf>
    <xf numFmtId="365" fontId="20" fillId="0" borderId="0" applyNumberFormat="0" applyFont="0" applyFill="0" applyBorder="0" applyProtection="0">
      <alignment horizontal="centerContinuous" vertical="center"/>
    </xf>
    <xf numFmtId="365" fontId="219" fillId="0" borderId="0">
      <alignment horizontal="centerContinuous" vertical="center"/>
    </xf>
    <xf numFmtId="365" fontId="20" fillId="0" borderId="0" applyNumberFormat="0" applyFont="0" applyFill="0" applyBorder="0" applyProtection="0">
      <alignment horizontal="centerContinuous" vertical="center"/>
    </xf>
    <xf numFmtId="365" fontId="219" fillId="0" borderId="0">
      <alignment horizontal="centerContinuous" vertical="center"/>
    </xf>
    <xf numFmtId="178" fontId="278" fillId="0" borderId="17">
      <alignment vertical="center"/>
    </xf>
    <xf numFmtId="178" fontId="278" fillId="0" borderId="17">
      <alignment vertical="center"/>
    </xf>
    <xf numFmtId="178" fontId="279" fillId="0" borderId="17">
      <alignment vertical="center"/>
    </xf>
    <xf numFmtId="178" fontId="278" fillId="0" borderId="17">
      <alignment vertical="center"/>
    </xf>
    <xf numFmtId="3" fontId="20" fillId="0" borderId="1"/>
    <xf numFmtId="3" fontId="219" fillId="0" borderId="1"/>
    <xf numFmtId="0" fontId="20" fillId="0" borderId="1"/>
    <xf numFmtId="0" fontId="219" fillId="0" borderId="1"/>
    <xf numFmtId="3" fontId="20" fillId="0" borderId="69"/>
    <xf numFmtId="3" fontId="219" fillId="0" borderId="69"/>
    <xf numFmtId="3" fontId="20" fillId="0" borderId="70"/>
    <xf numFmtId="3" fontId="219" fillId="0" borderId="70"/>
    <xf numFmtId="0" fontId="39" fillId="0" borderId="1"/>
    <xf numFmtId="0" fontId="280" fillId="0" borderId="1"/>
    <xf numFmtId="0" fontId="173" fillId="0" borderId="0">
      <alignment horizontal="center"/>
    </xf>
    <xf numFmtId="0" fontId="281" fillId="0" borderId="0">
      <alignment horizontal="center"/>
    </xf>
    <xf numFmtId="0" fontId="174" fillId="0" borderId="120">
      <alignment horizontal="center"/>
    </xf>
    <xf numFmtId="0" fontId="232" fillId="0" borderId="120">
      <alignment horizontal="center"/>
    </xf>
    <xf numFmtId="0" fontId="282" fillId="0" borderId="0">
      <alignment vertical="center"/>
    </xf>
    <xf numFmtId="0" fontId="282" fillId="0" borderId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2" fillId="0" borderId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2" fillId="0" borderId="0">
      <alignment vertical="center"/>
    </xf>
    <xf numFmtId="0" fontId="282" fillId="0" borderId="0">
      <alignment vertical="center"/>
    </xf>
    <xf numFmtId="0" fontId="282" fillId="0" borderId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2" fillId="0" borderId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2" fillId="0" borderId="0">
      <alignment vertical="center"/>
    </xf>
    <xf numFmtId="0" fontId="282" fillId="0" borderId="0">
      <alignment vertical="center"/>
    </xf>
    <xf numFmtId="0" fontId="282" fillId="0" borderId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2" fillId="0" borderId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2" fillId="0" borderId="0">
      <alignment vertical="center"/>
    </xf>
    <xf numFmtId="0" fontId="284" fillId="58" borderId="140">
      <alignment vertical="center"/>
    </xf>
    <xf numFmtId="0" fontId="284" fillId="58" borderId="140">
      <alignment vertical="center"/>
    </xf>
    <xf numFmtId="0" fontId="285" fillId="59" borderId="141" applyNumberFormat="0" applyAlignment="0" applyProtection="0">
      <alignment vertical="center"/>
    </xf>
    <xf numFmtId="0" fontId="284" fillId="58" borderId="140">
      <alignment vertical="center"/>
    </xf>
    <xf numFmtId="0" fontId="285" fillId="59" borderId="141" applyNumberFormat="0" applyAlignment="0" applyProtection="0">
      <alignment vertical="center"/>
    </xf>
    <xf numFmtId="0" fontId="284" fillId="58" borderId="140">
      <alignment vertical="center"/>
    </xf>
    <xf numFmtId="0" fontId="284" fillId="58" borderId="140">
      <alignment vertical="center"/>
    </xf>
    <xf numFmtId="0" fontId="284" fillId="58" borderId="140">
      <alignment vertical="center"/>
    </xf>
    <xf numFmtId="0" fontId="285" fillId="59" borderId="141" applyNumberFormat="0" applyAlignment="0" applyProtection="0">
      <alignment vertical="center"/>
    </xf>
    <xf numFmtId="0" fontId="284" fillId="58" borderId="140">
      <alignment vertical="center"/>
    </xf>
    <xf numFmtId="0" fontId="285" fillId="59" borderId="141" applyNumberFormat="0" applyAlignment="0" applyProtection="0">
      <alignment vertical="center"/>
    </xf>
    <xf numFmtId="0" fontId="284" fillId="58" borderId="140">
      <alignment vertical="center"/>
    </xf>
    <xf numFmtId="0" fontId="284" fillId="58" borderId="140">
      <alignment vertical="center"/>
    </xf>
    <xf numFmtId="0" fontId="284" fillId="58" borderId="140">
      <alignment vertical="center"/>
    </xf>
    <xf numFmtId="0" fontId="285" fillId="59" borderId="141" applyNumberFormat="0" applyAlignment="0" applyProtection="0">
      <alignment vertical="center"/>
    </xf>
    <xf numFmtId="0" fontId="284" fillId="58" borderId="140">
      <alignment vertical="center"/>
    </xf>
    <xf numFmtId="0" fontId="285" fillId="59" borderId="141" applyNumberFormat="0" applyAlignment="0" applyProtection="0">
      <alignment vertical="center"/>
    </xf>
    <xf numFmtId="0" fontId="284" fillId="58" borderId="140">
      <alignment vertical="center"/>
    </xf>
    <xf numFmtId="0" fontId="284" fillId="58" borderId="140">
      <alignment vertical="center"/>
    </xf>
    <xf numFmtId="3" fontId="110" fillId="0" borderId="0">
      <alignment vertical="center" wrapText="1"/>
    </xf>
    <xf numFmtId="3" fontId="286" fillId="0" borderId="0">
      <alignment vertical="center" wrapText="1"/>
    </xf>
    <xf numFmtId="3" fontId="111" fillId="0" borderId="0">
      <alignment vertical="center" wrapText="1"/>
    </xf>
    <xf numFmtId="3" fontId="287" fillId="0" borderId="0">
      <alignment vertical="center" wrapText="1"/>
    </xf>
    <xf numFmtId="0" fontId="288" fillId="0" borderId="0">
      <alignment vertical="center"/>
    </xf>
    <xf numFmtId="0" fontId="289" fillId="0" borderId="0">
      <alignment vertical="center"/>
    </xf>
    <xf numFmtId="0" fontId="288" fillId="0" borderId="0">
      <alignment vertical="center"/>
    </xf>
    <xf numFmtId="277" fontId="14" fillId="0" borderId="0">
      <alignment vertical="center"/>
    </xf>
    <xf numFmtId="277" fontId="290" fillId="0" borderId="0">
      <alignment vertical="center"/>
    </xf>
    <xf numFmtId="177" fontId="89" fillId="0" borderId="32">
      <alignment vertical="center"/>
    </xf>
    <xf numFmtId="177" fontId="195" fillId="0" borderId="32">
      <alignment vertical="center"/>
    </xf>
    <xf numFmtId="4" fontId="212" fillId="0" borderId="0">
      <alignment horizontal="centerContinuous" vertical="center"/>
    </xf>
    <xf numFmtId="4" fontId="291" fillId="0" borderId="0" applyNumberFormat="0" applyFill="0" applyBorder="0" applyAlignment="0">
      <alignment horizontal="centerContinuous" vertical="center"/>
    </xf>
    <xf numFmtId="4" fontId="212" fillId="0" borderId="0">
      <alignment horizontal="centerContinuous" vertical="center"/>
    </xf>
    <xf numFmtId="368" fontId="203" fillId="0" borderId="0">
      <alignment vertical="center"/>
    </xf>
    <xf numFmtId="368" fontId="9" fillId="0" borderId="0">
      <alignment vertical="center"/>
    </xf>
    <xf numFmtId="368" fontId="203" fillId="0" borderId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204" fillId="0" borderId="0"/>
    <xf numFmtId="41" fontId="2" fillId="0" borderId="0" applyFont="0" applyFill="0" applyBorder="0" applyAlignment="0" applyProtection="0"/>
    <xf numFmtId="41" fontId="204" fillId="0" borderId="0"/>
    <xf numFmtId="41" fontId="2" fillId="0" borderId="0" applyFont="0" applyFill="0" applyBorder="0" applyAlignment="0" applyProtection="0"/>
    <xf numFmtId="41" fontId="204" fillId="0" borderId="0"/>
    <xf numFmtId="41" fontId="204" fillId="0" borderId="0"/>
    <xf numFmtId="41" fontId="2" fillId="0" borderId="0" applyFont="0" applyFill="0" applyBorder="0" applyAlignment="0" applyProtection="0"/>
    <xf numFmtId="41" fontId="204" fillId="0" borderId="0"/>
    <xf numFmtId="41" fontId="2" fillId="0" borderId="0" applyFont="0" applyFill="0" applyBorder="0" applyAlignment="0" applyProtection="0"/>
    <xf numFmtId="41" fontId="204" fillId="0" borderId="0"/>
    <xf numFmtId="41" fontId="204" fillId="0" borderId="0"/>
    <xf numFmtId="41" fontId="2" fillId="0" borderId="0" applyFont="0" applyFill="0" applyBorder="0" applyAlignment="0" applyProtection="0"/>
    <xf numFmtId="41" fontId="204" fillId="0" borderId="0"/>
    <xf numFmtId="41" fontId="2" fillId="0" borderId="0" applyFont="0" applyFill="0" applyBorder="0" applyAlignment="0" applyProtection="0"/>
    <xf numFmtId="41" fontId="204" fillId="0" borderId="0"/>
    <xf numFmtId="41" fontId="204" fillId="0" borderId="0"/>
    <xf numFmtId="41" fontId="2" fillId="0" borderId="0" applyFont="0" applyFill="0" applyBorder="0" applyAlignment="0" applyProtection="0"/>
    <xf numFmtId="41" fontId="204" fillId="0" borderId="0"/>
    <xf numFmtId="41" fontId="2" fillId="0" borderId="0" applyFont="0" applyFill="0" applyBorder="0" applyAlignment="0" applyProtection="0"/>
    <xf numFmtId="41" fontId="204" fillId="0" borderId="0"/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20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0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04" fillId="0" borderId="0">
      <alignment vertical="center"/>
    </xf>
    <xf numFmtId="41" fontId="20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0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04" fillId="0" borderId="0">
      <alignment vertical="center"/>
    </xf>
    <xf numFmtId="41" fontId="20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0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04" fillId="0" borderId="0">
      <alignment vertical="center"/>
    </xf>
    <xf numFmtId="41" fontId="20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0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04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2" fillId="0" borderId="0" applyFont="0" applyFill="0" applyBorder="0" applyAlignment="0" applyProtection="0"/>
    <xf numFmtId="41" fontId="20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04" fillId="0" borderId="0">
      <alignment vertical="center"/>
    </xf>
    <xf numFmtId="301" fontId="2" fillId="0" borderId="0" applyFont="0" applyFill="0" applyBorder="0" applyAlignment="0" applyProtection="0">
      <alignment vertical="center"/>
    </xf>
    <xf numFmtId="41" fontId="20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04" fillId="0" borderId="0">
      <alignment vertical="center"/>
    </xf>
    <xf numFmtId="301" fontId="204" fillId="0" borderId="0">
      <alignment vertical="center"/>
    </xf>
    <xf numFmtId="301" fontId="2" fillId="0" borderId="0" applyFont="0" applyFill="0" applyBorder="0" applyAlignment="0" applyProtection="0">
      <alignment vertical="center"/>
    </xf>
    <xf numFmtId="41" fontId="20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04" fillId="0" borderId="0">
      <alignment vertical="center"/>
    </xf>
    <xf numFmtId="301" fontId="204" fillId="0" borderId="0">
      <alignment vertical="center"/>
    </xf>
    <xf numFmtId="301" fontId="2" fillId="0" borderId="0" applyFont="0" applyFill="0" applyBorder="0" applyAlignment="0" applyProtection="0">
      <alignment vertical="center"/>
    </xf>
    <xf numFmtId="41" fontId="20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04" fillId="0" borderId="0">
      <alignment vertical="center"/>
    </xf>
    <xf numFmtId="301" fontId="204" fillId="0" borderId="0">
      <alignment vertical="center"/>
    </xf>
    <xf numFmtId="301" fontId="2" fillId="0" borderId="0" applyFont="0" applyFill="0" applyBorder="0" applyAlignment="0" applyProtection="0">
      <alignment vertical="center"/>
    </xf>
    <xf numFmtId="41" fontId="20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04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301" fontId="2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20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0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04" fillId="0" borderId="0">
      <alignment vertical="center"/>
    </xf>
    <xf numFmtId="41" fontId="20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0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04" fillId="0" borderId="0">
      <alignment vertical="center"/>
    </xf>
    <xf numFmtId="41" fontId="20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0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04" fillId="0" borderId="0">
      <alignment vertical="center"/>
    </xf>
    <xf numFmtId="41" fontId="20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0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04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178" fontId="2" fillId="0" borderId="0" applyFont="0" applyFill="0" applyBorder="0" applyAlignment="0" applyProtection="0"/>
    <xf numFmtId="178" fontId="204" fillId="0" borderId="0"/>
    <xf numFmtId="178" fontId="204" fillId="0" borderId="0"/>
    <xf numFmtId="178" fontId="2" fillId="0" borderId="0" applyFont="0" applyFill="0" applyBorder="0" applyAlignment="0" applyProtection="0"/>
    <xf numFmtId="178" fontId="204" fillId="0" borderId="0"/>
    <xf numFmtId="178" fontId="204" fillId="0" borderId="0"/>
    <xf numFmtId="178" fontId="2" fillId="0" borderId="0" applyFont="0" applyFill="0" applyBorder="0" applyAlignment="0" applyProtection="0"/>
    <xf numFmtId="178" fontId="204" fillId="0" borderId="0"/>
    <xf numFmtId="178" fontId="204" fillId="0" borderId="0"/>
    <xf numFmtId="178" fontId="2" fillId="0" borderId="0" applyFont="0" applyFill="0" applyBorder="0" applyAlignment="0" applyProtection="0"/>
    <xf numFmtId="178" fontId="204" fillId="0" borderId="0"/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301" fontId="2" fillId="0" borderId="0" applyFont="0" applyFill="0" applyBorder="0" applyAlignment="0" applyProtection="0"/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8" fillId="0" borderId="0" applyFont="0" applyFill="0" applyBorder="0" applyAlignment="0" applyProtection="0">
      <alignment vertical="center"/>
    </xf>
    <xf numFmtId="41" fontId="292" fillId="0" borderId="0" applyFont="0" applyFill="0" applyBorder="0" applyAlignment="0" applyProtection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178" fontId="199" fillId="0" borderId="0">
      <alignment vertical="center"/>
    </xf>
    <xf numFmtId="178" fontId="175" fillId="0" borderId="0" applyFont="0" applyFill="0" applyBorder="0" applyAlignment="0" applyProtection="0">
      <alignment vertical="center"/>
    </xf>
    <xf numFmtId="178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0" fontId="243" fillId="0" borderId="0"/>
    <xf numFmtId="0" fontId="244" fillId="0" borderId="0" applyFont="0" applyFill="0" applyBorder="0" applyAlignment="0" applyProtection="0"/>
    <xf numFmtId="0" fontId="243" fillId="0" borderId="0"/>
    <xf numFmtId="0" fontId="243" fillId="0" borderId="0"/>
    <xf numFmtId="41" fontId="199" fillId="0" borderId="0">
      <alignment vertical="center"/>
    </xf>
    <xf numFmtId="41" fontId="204" fillId="0" borderId="0"/>
    <xf numFmtId="41" fontId="2" fillId="0" borderId="0" applyFont="0" applyFill="0" applyBorder="0" applyAlignment="0" applyProtection="0"/>
    <xf numFmtId="41" fontId="204" fillId="0" borderId="0"/>
    <xf numFmtId="41" fontId="2" fillId="0" borderId="0" applyFont="0" applyFill="0" applyBorder="0" applyAlignment="0" applyProtection="0"/>
    <xf numFmtId="41" fontId="204" fillId="0" borderId="0"/>
    <xf numFmtId="41" fontId="204" fillId="0" borderId="0"/>
    <xf numFmtId="41" fontId="2" fillId="0" borderId="0" applyFont="0" applyFill="0" applyBorder="0" applyAlignment="0" applyProtection="0"/>
    <xf numFmtId="41" fontId="204" fillId="0" borderId="0"/>
    <xf numFmtId="41" fontId="2" fillId="0" borderId="0" applyFont="0" applyFill="0" applyBorder="0" applyAlignment="0" applyProtection="0"/>
    <xf numFmtId="41" fontId="204" fillId="0" borderId="0"/>
    <xf numFmtId="41" fontId="204" fillId="0" borderId="0"/>
    <xf numFmtId="41" fontId="2" fillId="0" borderId="0" applyFont="0" applyFill="0" applyBorder="0" applyAlignment="0" applyProtection="0"/>
    <xf numFmtId="41" fontId="204" fillId="0" borderId="0"/>
    <xf numFmtId="41" fontId="2" fillId="0" borderId="0" applyFont="0" applyFill="0" applyBorder="0" applyAlignment="0" applyProtection="0"/>
    <xf numFmtId="41" fontId="204" fillId="0" borderId="0"/>
    <xf numFmtId="41" fontId="204" fillId="0" borderId="0"/>
    <xf numFmtId="41" fontId="2" fillId="0" borderId="0" applyFont="0" applyFill="0" applyBorder="0" applyAlignment="0" applyProtection="0"/>
    <xf numFmtId="41" fontId="204" fillId="0" borderId="0"/>
    <xf numFmtId="41" fontId="2" fillId="0" borderId="0" applyFont="0" applyFill="0" applyBorder="0" applyAlignment="0" applyProtection="0"/>
    <xf numFmtId="41" fontId="204" fillId="0" borderId="0"/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204" fillId="0" borderId="0"/>
    <xf numFmtId="41" fontId="2" fillId="0" borderId="0" applyFont="0" applyFill="0" applyBorder="0" applyAlignment="0" applyProtection="0"/>
    <xf numFmtId="41" fontId="204" fillId="0" borderId="0"/>
    <xf numFmtId="41" fontId="2" fillId="0" borderId="0" applyFont="0" applyFill="0" applyBorder="0" applyAlignment="0" applyProtection="0"/>
    <xf numFmtId="41" fontId="204" fillId="0" borderId="0"/>
    <xf numFmtId="41" fontId="204" fillId="0" borderId="0"/>
    <xf numFmtId="41" fontId="2" fillId="0" borderId="0" applyFont="0" applyFill="0" applyBorder="0" applyAlignment="0" applyProtection="0"/>
    <xf numFmtId="41" fontId="204" fillId="0" borderId="0"/>
    <xf numFmtId="41" fontId="2" fillId="0" borderId="0" applyFont="0" applyFill="0" applyBorder="0" applyAlignment="0" applyProtection="0"/>
    <xf numFmtId="41" fontId="204" fillId="0" borderId="0"/>
    <xf numFmtId="41" fontId="204" fillId="0" borderId="0"/>
    <xf numFmtId="41" fontId="2" fillId="0" borderId="0" applyFont="0" applyFill="0" applyBorder="0" applyAlignment="0" applyProtection="0"/>
    <xf numFmtId="41" fontId="204" fillId="0" borderId="0"/>
    <xf numFmtId="41" fontId="2" fillId="0" borderId="0" applyFont="0" applyFill="0" applyBorder="0" applyAlignment="0" applyProtection="0"/>
    <xf numFmtId="41" fontId="204" fillId="0" borderId="0"/>
    <xf numFmtId="41" fontId="204" fillId="0" borderId="0"/>
    <xf numFmtId="41" fontId="2" fillId="0" borderId="0" applyFont="0" applyFill="0" applyBorder="0" applyAlignment="0" applyProtection="0"/>
    <xf numFmtId="41" fontId="204" fillId="0" borderId="0"/>
    <xf numFmtId="41" fontId="2" fillId="0" borderId="0" applyFont="0" applyFill="0" applyBorder="0" applyAlignment="0" applyProtection="0"/>
    <xf numFmtId="41" fontId="204" fillId="0" borderId="0"/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2" fillId="0" borderId="0" applyFont="0" applyFill="0" applyBorder="0" applyAlignment="0" applyProtection="0"/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301" fontId="204" fillId="0" borderId="0"/>
    <xf numFmtId="301" fontId="2" fillId="0" borderId="0" applyFont="0" applyFill="0" applyBorder="0" applyAlignment="0" applyProtection="0"/>
    <xf numFmtId="41" fontId="204" fillId="0" borderId="0"/>
    <xf numFmtId="41" fontId="2" fillId="0" borderId="0" applyFont="0" applyFill="0" applyBorder="0" applyAlignment="0" applyProtection="0"/>
    <xf numFmtId="41" fontId="204" fillId="0" borderId="0"/>
    <xf numFmtId="301" fontId="204" fillId="0" borderId="0"/>
    <xf numFmtId="301" fontId="2" fillId="0" borderId="0" applyFont="0" applyFill="0" applyBorder="0" applyAlignment="0" applyProtection="0"/>
    <xf numFmtId="41" fontId="204" fillId="0" borderId="0"/>
    <xf numFmtId="41" fontId="2" fillId="0" borderId="0" applyFont="0" applyFill="0" applyBorder="0" applyAlignment="0" applyProtection="0"/>
    <xf numFmtId="41" fontId="204" fillId="0" borderId="0"/>
    <xf numFmtId="301" fontId="204" fillId="0" borderId="0"/>
    <xf numFmtId="301" fontId="2" fillId="0" borderId="0" applyFont="0" applyFill="0" applyBorder="0" applyAlignment="0" applyProtection="0"/>
    <xf numFmtId="41" fontId="204" fillId="0" borderId="0"/>
    <xf numFmtId="41" fontId="2" fillId="0" borderId="0" applyFont="0" applyFill="0" applyBorder="0" applyAlignment="0" applyProtection="0"/>
    <xf numFmtId="41" fontId="204" fillId="0" borderId="0"/>
    <xf numFmtId="301" fontId="204" fillId="0" borderId="0"/>
    <xf numFmtId="301" fontId="2" fillId="0" borderId="0" applyFont="0" applyFill="0" applyBorder="0" applyAlignment="0" applyProtection="0"/>
    <xf numFmtId="41" fontId="204" fillId="0" borderId="0"/>
    <xf numFmtId="41" fontId="2" fillId="0" borderId="0" applyFont="0" applyFill="0" applyBorder="0" applyAlignment="0" applyProtection="0"/>
    <xf numFmtId="41" fontId="204" fillId="0" borderId="0"/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41" fontId="175" fillId="0" borderId="0" applyFont="0" applyFill="0" applyBorder="0" applyAlignment="0" applyProtection="0">
      <alignment vertical="center"/>
    </xf>
    <xf numFmtId="41" fontId="199" fillId="0" borderId="0">
      <alignment vertical="center"/>
    </xf>
    <xf numFmtId="0" fontId="54" fillId="0" borderId="0"/>
    <xf numFmtId="0" fontId="201" fillId="0" borderId="0"/>
    <xf numFmtId="0" fontId="201" fillId="0" borderId="0"/>
    <xf numFmtId="0" fontId="9" fillId="0" borderId="0"/>
    <xf numFmtId="0" fontId="203" fillId="0" borderId="0"/>
    <xf numFmtId="0" fontId="9" fillId="0" borderId="0"/>
    <xf numFmtId="0" fontId="203" fillId="0" borderId="0"/>
    <xf numFmtId="0" fontId="201" fillId="0" borderId="0"/>
    <xf numFmtId="0" fontId="28" fillId="0" borderId="0"/>
    <xf numFmtId="0" fontId="201" fillId="0" borderId="0"/>
    <xf numFmtId="0" fontId="56" fillId="0" borderId="113"/>
    <xf numFmtId="0" fontId="201" fillId="0" borderId="113"/>
    <xf numFmtId="0" fontId="293" fillId="0" borderId="142">
      <alignment vertical="center"/>
    </xf>
    <xf numFmtId="0" fontId="293" fillId="0" borderId="142">
      <alignment vertical="center"/>
    </xf>
    <xf numFmtId="0" fontId="294" fillId="0" borderId="143" applyNumberFormat="0" applyFill="0" applyAlignment="0" applyProtection="0">
      <alignment vertical="center"/>
    </xf>
    <xf numFmtId="0" fontId="293" fillId="0" borderId="142">
      <alignment vertical="center"/>
    </xf>
    <xf numFmtId="0" fontId="294" fillId="0" borderId="143" applyNumberFormat="0" applyFill="0" applyAlignment="0" applyProtection="0">
      <alignment vertical="center"/>
    </xf>
    <xf numFmtId="0" fontId="293" fillId="0" borderId="142">
      <alignment vertical="center"/>
    </xf>
    <xf numFmtId="0" fontId="293" fillId="0" borderId="142">
      <alignment vertical="center"/>
    </xf>
    <xf numFmtId="0" fontId="293" fillId="0" borderId="142">
      <alignment vertical="center"/>
    </xf>
    <xf numFmtId="0" fontId="294" fillId="0" borderId="143" applyNumberFormat="0" applyFill="0" applyAlignment="0" applyProtection="0">
      <alignment vertical="center"/>
    </xf>
    <xf numFmtId="0" fontId="293" fillId="0" borderId="142">
      <alignment vertical="center"/>
    </xf>
    <xf numFmtId="0" fontId="294" fillId="0" borderId="143" applyNumberFormat="0" applyFill="0" applyAlignment="0" applyProtection="0">
      <alignment vertical="center"/>
    </xf>
    <xf numFmtId="0" fontId="293" fillId="0" borderId="142">
      <alignment vertical="center"/>
    </xf>
    <xf numFmtId="0" fontId="293" fillId="0" borderId="142">
      <alignment vertical="center"/>
    </xf>
    <xf numFmtId="0" fontId="293" fillId="0" borderId="142">
      <alignment vertical="center"/>
    </xf>
    <xf numFmtId="0" fontId="294" fillId="0" borderId="143" applyNumberFormat="0" applyFill="0" applyAlignment="0" applyProtection="0">
      <alignment vertical="center"/>
    </xf>
    <xf numFmtId="0" fontId="293" fillId="0" borderId="142">
      <alignment vertical="center"/>
    </xf>
    <xf numFmtId="0" fontId="294" fillId="0" borderId="143" applyNumberFormat="0" applyFill="0" applyAlignment="0" applyProtection="0">
      <alignment vertical="center"/>
    </xf>
    <xf numFmtId="0" fontId="293" fillId="0" borderId="142">
      <alignment vertical="center"/>
    </xf>
    <xf numFmtId="259" fontId="31" fillId="0" borderId="1" applyBorder="0">
      <alignment vertical="center"/>
    </xf>
    <xf numFmtId="259" fontId="200" fillId="0" borderId="1">
      <alignment vertical="center"/>
    </xf>
    <xf numFmtId="0" fontId="295" fillId="0" borderId="144">
      <alignment vertical="center"/>
    </xf>
    <xf numFmtId="0" fontId="295" fillId="0" borderId="144">
      <alignment vertical="center"/>
    </xf>
    <xf numFmtId="0" fontId="296" fillId="0" borderId="145" applyNumberFormat="0" applyFill="0" applyAlignment="0" applyProtection="0">
      <alignment vertical="center"/>
    </xf>
    <xf numFmtId="0" fontId="295" fillId="0" borderId="144">
      <alignment vertical="center"/>
    </xf>
    <xf numFmtId="0" fontId="296" fillId="0" borderId="145" applyNumberFormat="0" applyFill="0" applyAlignment="0" applyProtection="0">
      <alignment vertical="center"/>
    </xf>
    <xf numFmtId="0" fontId="295" fillId="0" borderId="144">
      <alignment vertical="center"/>
    </xf>
    <xf numFmtId="0" fontId="295" fillId="0" borderId="144">
      <alignment vertical="center"/>
    </xf>
    <xf numFmtId="0" fontId="295" fillId="0" borderId="144">
      <alignment vertical="center"/>
    </xf>
    <xf numFmtId="0" fontId="296" fillId="0" borderId="145" applyNumberFormat="0" applyFill="0" applyAlignment="0" applyProtection="0">
      <alignment vertical="center"/>
    </xf>
    <xf numFmtId="0" fontId="295" fillId="0" borderId="144">
      <alignment vertical="center"/>
    </xf>
    <xf numFmtId="0" fontId="296" fillId="0" borderId="145" applyNumberFormat="0" applyFill="0" applyAlignment="0" applyProtection="0">
      <alignment vertical="center"/>
    </xf>
    <xf numFmtId="0" fontId="295" fillId="0" borderId="144">
      <alignment vertical="center"/>
    </xf>
    <xf numFmtId="0" fontId="295" fillId="0" borderId="144">
      <alignment vertical="center"/>
    </xf>
    <xf numFmtId="0" fontId="295" fillId="0" borderId="144">
      <alignment vertical="center"/>
    </xf>
    <xf numFmtId="0" fontId="296" fillId="0" borderId="145" applyNumberFormat="0" applyFill="0" applyAlignment="0" applyProtection="0">
      <alignment vertical="center"/>
    </xf>
    <xf numFmtId="0" fontId="295" fillId="0" borderId="144">
      <alignment vertical="center"/>
    </xf>
    <xf numFmtId="0" fontId="296" fillId="0" borderId="145" applyNumberFormat="0" applyFill="0" applyAlignment="0" applyProtection="0">
      <alignment vertical="center"/>
    </xf>
    <xf numFmtId="0" fontId="295" fillId="0" borderId="144">
      <alignment vertical="center"/>
    </xf>
    <xf numFmtId="345" fontId="87" fillId="0" borderId="0" applyFill="0" applyBorder="0">
      <alignment horizontal="centerContinuous"/>
    </xf>
    <xf numFmtId="345" fontId="297" fillId="0" borderId="0">
      <alignment horizontal="centerContinuous"/>
    </xf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1" fillId="0" borderId="0"/>
    <xf numFmtId="0" fontId="298" fillId="0" borderId="0" applyFont="0" applyFill="0" applyBorder="0" applyAlignment="0" applyProtection="0"/>
    <xf numFmtId="0" fontId="201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304" fontId="201" fillId="0" borderId="0"/>
    <xf numFmtId="304" fontId="298" fillId="0" borderId="0" applyFont="0" applyFill="0" applyBorder="0" applyAlignment="0" applyProtection="0"/>
    <xf numFmtId="304" fontId="201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304" fontId="201" fillId="0" borderId="0"/>
    <xf numFmtId="304" fontId="298" fillId="0" borderId="0" applyFont="0" applyFill="0" applyBorder="0" applyAlignment="0" applyProtection="0"/>
    <xf numFmtId="304" fontId="201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304" fontId="201" fillId="0" borderId="0"/>
    <xf numFmtId="304" fontId="298" fillId="0" borderId="0" applyFont="0" applyFill="0" applyBorder="0" applyAlignment="0" applyProtection="0"/>
    <xf numFmtId="304" fontId="201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204" fillId="0" borderId="0"/>
    <xf numFmtId="0" fontId="2" fillId="0" borderId="0" applyFont="0" applyFill="0" applyBorder="0" applyAlignment="0" applyProtection="0"/>
    <xf numFmtId="0" fontId="204" fillId="0" borderId="0"/>
    <xf numFmtId="0" fontId="103" fillId="0" borderId="0">
      <alignment vertical="center"/>
    </xf>
    <xf numFmtId="0" fontId="216" fillId="0" borderId="0">
      <alignment vertical="center"/>
    </xf>
    <xf numFmtId="0" fontId="208" fillId="0" borderId="0">
      <alignment horizontal="center" vertical="center"/>
    </xf>
    <xf numFmtId="2" fontId="87" fillId="0" borderId="0" applyFill="0" applyBorder="0" applyProtection="0">
      <alignment horizontal="centerContinuous"/>
    </xf>
    <xf numFmtId="2" fontId="297" fillId="0" borderId="0">
      <alignment horizontal="centerContinuous"/>
    </xf>
    <xf numFmtId="0" fontId="215" fillId="0" borderId="0">
      <alignment horizontal="centerContinuous" vertical="center"/>
    </xf>
    <xf numFmtId="0" fontId="102" fillId="0" borderId="0" applyNumberFormat="0" applyBorder="0" applyAlignment="0">
      <alignment horizontal="centerContinuous" vertical="center"/>
    </xf>
    <xf numFmtId="0" fontId="215" fillId="0" borderId="0">
      <alignment horizontal="centerContinuous" vertical="center"/>
    </xf>
    <xf numFmtId="0" fontId="102" fillId="0" borderId="0" applyNumberFormat="0" applyBorder="0" applyAlignment="0">
      <alignment horizontal="centerContinuous" vertical="center"/>
    </xf>
    <xf numFmtId="0" fontId="215" fillId="0" borderId="0">
      <alignment horizontal="centerContinuous" vertical="center"/>
    </xf>
    <xf numFmtId="0" fontId="299" fillId="26" borderId="136">
      <alignment vertical="center"/>
    </xf>
    <xf numFmtId="0" fontId="299" fillId="26" borderId="136">
      <alignment vertical="center"/>
    </xf>
    <xf numFmtId="0" fontId="300" fillId="27" borderId="137" applyNumberFormat="0" applyAlignment="0" applyProtection="0">
      <alignment vertical="center"/>
    </xf>
    <xf numFmtId="0" fontId="299" fillId="26" borderId="136">
      <alignment vertical="center"/>
    </xf>
    <xf numFmtId="0" fontId="300" fillId="27" borderId="137" applyNumberFormat="0" applyAlignment="0" applyProtection="0">
      <alignment vertical="center"/>
    </xf>
    <xf numFmtId="0" fontId="299" fillId="26" borderId="136">
      <alignment vertical="center"/>
    </xf>
    <xf numFmtId="0" fontId="299" fillId="26" borderId="136">
      <alignment vertical="center"/>
    </xf>
    <xf numFmtId="0" fontId="299" fillId="26" borderId="136">
      <alignment vertical="center"/>
    </xf>
    <xf numFmtId="0" fontId="300" fillId="27" borderId="137" applyNumberFormat="0" applyAlignment="0" applyProtection="0">
      <alignment vertical="center"/>
    </xf>
    <xf numFmtId="0" fontId="299" fillId="26" borderId="136">
      <alignment vertical="center"/>
    </xf>
    <xf numFmtId="0" fontId="300" fillId="27" borderId="137" applyNumberFormat="0" applyAlignment="0" applyProtection="0">
      <alignment vertical="center"/>
    </xf>
    <xf numFmtId="0" fontId="299" fillId="26" borderId="136">
      <alignment vertical="center"/>
    </xf>
    <xf numFmtId="0" fontId="299" fillId="26" borderId="136">
      <alignment vertical="center"/>
    </xf>
    <xf numFmtId="0" fontId="299" fillId="26" borderId="136">
      <alignment vertical="center"/>
    </xf>
    <xf numFmtId="0" fontId="300" fillId="27" borderId="137" applyNumberFormat="0" applyAlignment="0" applyProtection="0">
      <alignment vertical="center"/>
    </xf>
    <xf numFmtId="0" fontId="299" fillId="26" borderId="136">
      <alignment vertical="center"/>
    </xf>
    <xf numFmtId="0" fontId="300" fillId="27" borderId="137" applyNumberFormat="0" applyAlignment="0" applyProtection="0">
      <alignment vertical="center"/>
    </xf>
    <xf numFmtId="0" fontId="299" fillId="26" borderId="136">
      <alignment vertical="center"/>
    </xf>
    <xf numFmtId="0" fontId="299" fillId="26" borderId="136">
      <alignment vertical="center"/>
    </xf>
    <xf numFmtId="0" fontId="105" fillId="0" borderId="0"/>
    <xf numFmtId="0" fontId="208" fillId="0" borderId="0"/>
    <xf numFmtId="4" fontId="214" fillId="0" borderId="0">
      <protection locked="0"/>
    </xf>
    <xf numFmtId="3" fontId="301" fillId="0" borderId="0"/>
    <xf numFmtId="3" fontId="301" fillId="0" borderId="0"/>
    <xf numFmtId="0" fontId="203" fillId="0" borderId="146"/>
    <xf numFmtId="0" fontId="9" fillId="0" borderId="146" applyNumberFormat="0"/>
    <xf numFmtId="0" fontId="203" fillId="0" borderId="146"/>
    <xf numFmtId="347" fontId="169" fillId="0" borderId="0" applyFill="0" applyBorder="0">
      <alignment horizontal="centerContinuous"/>
    </xf>
    <xf numFmtId="347" fontId="229" fillId="0" borderId="0">
      <alignment horizontal="centerContinuous"/>
    </xf>
    <xf numFmtId="347" fontId="229" fillId="0" borderId="0">
      <alignment horizontal="centerContinuous"/>
    </xf>
    <xf numFmtId="0" fontId="302" fillId="0" borderId="147">
      <alignment vertical="center"/>
    </xf>
    <xf numFmtId="0" fontId="302" fillId="0" borderId="147">
      <alignment vertical="center"/>
    </xf>
    <xf numFmtId="0" fontId="303" fillId="0" borderId="148" applyNumberFormat="0" applyFill="0" applyAlignment="0" applyProtection="0">
      <alignment vertical="center"/>
    </xf>
    <xf numFmtId="0" fontId="302" fillId="0" borderId="147">
      <alignment vertical="center"/>
    </xf>
    <xf numFmtId="0" fontId="303" fillId="0" borderId="148" applyNumberFormat="0" applyFill="0" applyAlignment="0" applyProtection="0">
      <alignment vertical="center"/>
    </xf>
    <xf numFmtId="0" fontId="302" fillId="0" borderId="147">
      <alignment vertical="center"/>
    </xf>
    <xf numFmtId="0" fontId="302" fillId="0" borderId="147">
      <alignment vertical="center"/>
    </xf>
    <xf numFmtId="0" fontId="302" fillId="0" borderId="147">
      <alignment vertical="center"/>
    </xf>
    <xf numFmtId="0" fontId="303" fillId="0" borderId="148" applyNumberFormat="0" applyFill="0" applyAlignment="0" applyProtection="0">
      <alignment vertical="center"/>
    </xf>
    <xf numFmtId="0" fontId="302" fillId="0" borderId="147">
      <alignment vertical="center"/>
    </xf>
    <xf numFmtId="0" fontId="303" fillId="0" borderId="148" applyNumberFormat="0" applyFill="0" applyAlignment="0" applyProtection="0">
      <alignment vertical="center"/>
    </xf>
    <xf numFmtId="0" fontId="302" fillId="0" borderId="147">
      <alignment vertical="center"/>
    </xf>
    <xf numFmtId="0" fontId="302" fillId="0" borderId="147">
      <alignment vertical="center"/>
    </xf>
    <xf numFmtId="0" fontId="302" fillId="0" borderId="147">
      <alignment vertical="center"/>
    </xf>
    <xf numFmtId="0" fontId="303" fillId="0" borderId="148" applyNumberFormat="0" applyFill="0" applyAlignment="0" applyProtection="0">
      <alignment vertical="center"/>
    </xf>
    <xf numFmtId="0" fontId="302" fillId="0" borderId="147">
      <alignment vertical="center"/>
    </xf>
    <xf numFmtId="0" fontId="303" fillId="0" borderId="148" applyNumberFormat="0" applyFill="0" applyAlignment="0" applyProtection="0">
      <alignment vertical="center"/>
    </xf>
    <xf numFmtId="0" fontId="302" fillId="0" borderId="147">
      <alignment vertical="center"/>
    </xf>
    <xf numFmtId="0" fontId="304" fillId="0" borderId="149">
      <alignment vertical="center"/>
    </xf>
    <xf numFmtId="0" fontId="304" fillId="0" borderId="149">
      <alignment vertical="center"/>
    </xf>
    <xf numFmtId="0" fontId="305" fillId="0" borderId="150" applyNumberFormat="0" applyFill="0" applyAlignment="0" applyProtection="0">
      <alignment vertical="center"/>
    </xf>
    <xf numFmtId="0" fontId="304" fillId="0" borderId="149">
      <alignment vertical="center"/>
    </xf>
    <xf numFmtId="0" fontId="305" fillId="0" borderId="150" applyNumberFormat="0" applyFill="0" applyAlignment="0" applyProtection="0">
      <alignment vertical="center"/>
    </xf>
    <xf numFmtId="0" fontId="304" fillId="0" borderId="149">
      <alignment vertical="center"/>
    </xf>
    <xf numFmtId="0" fontId="304" fillId="0" borderId="149">
      <alignment vertical="center"/>
    </xf>
    <xf numFmtId="0" fontId="304" fillId="0" borderId="149">
      <alignment vertical="center"/>
    </xf>
    <xf numFmtId="0" fontId="305" fillId="0" borderId="150" applyNumberFormat="0" applyFill="0" applyAlignment="0" applyProtection="0">
      <alignment vertical="center"/>
    </xf>
    <xf numFmtId="0" fontId="304" fillId="0" borderId="149">
      <alignment vertical="center"/>
    </xf>
    <xf numFmtId="0" fontId="305" fillId="0" borderId="150" applyNumberFormat="0" applyFill="0" applyAlignment="0" applyProtection="0">
      <alignment vertical="center"/>
    </xf>
    <xf numFmtId="0" fontId="304" fillId="0" borderId="149">
      <alignment vertical="center"/>
    </xf>
    <xf numFmtId="0" fontId="304" fillId="0" borderId="149">
      <alignment vertical="center"/>
    </xf>
    <xf numFmtId="0" fontId="304" fillId="0" borderId="149">
      <alignment vertical="center"/>
    </xf>
    <xf numFmtId="0" fontId="305" fillId="0" borderId="150" applyNumberFormat="0" applyFill="0" applyAlignment="0" applyProtection="0">
      <alignment vertical="center"/>
    </xf>
    <xf numFmtId="0" fontId="304" fillId="0" borderId="149">
      <alignment vertical="center"/>
    </xf>
    <xf numFmtId="0" fontId="305" fillId="0" borderId="150" applyNumberFormat="0" applyFill="0" applyAlignment="0" applyProtection="0">
      <alignment vertical="center"/>
    </xf>
    <xf numFmtId="0" fontId="304" fillId="0" borderId="149">
      <alignment vertical="center"/>
    </xf>
    <xf numFmtId="0" fontId="306" fillId="0" borderId="151">
      <alignment vertical="center"/>
    </xf>
    <xf numFmtId="0" fontId="306" fillId="0" borderId="151">
      <alignment vertical="center"/>
    </xf>
    <xf numFmtId="0" fontId="307" fillId="0" borderId="152" applyNumberFormat="0" applyFill="0" applyAlignment="0" applyProtection="0">
      <alignment vertical="center"/>
    </xf>
    <xf numFmtId="0" fontId="306" fillId="0" borderId="151">
      <alignment vertical="center"/>
    </xf>
    <xf numFmtId="0" fontId="307" fillId="0" borderId="152" applyNumberFormat="0" applyFill="0" applyAlignment="0" applyProtection="0">
      <alignment vertical="center"/>
    </xf>
    <xf numFmtId="0" fontId="306" fillId="0" borderId="151">
      <alignment vertical="center"/>
    </xf>
    <xf numFmtId="0" fontId="306" fillId="0" borderId="151">
      <alignment vertical="center"/>
    </xf>
    <xf numFmtId="0" fontId="306" fillId="0" borderId="151">
      <alignment vertical="center"/>
    </xf>
    <xf numFmtId="0" fontId="307" fillId="0" borderId="152" applyNumberFormat="0" applyFill="0" applyAlignment="0" applyProtection="0">
      <alignment vertical="center"/>
    </xf>
    <xf numFmtId="0" fontId="306" fillId="0" borderId="151">
      <alignment vertical="center"/>
    </xf>
    <xf numFmtId="0" fontId="307" fillId="0" borderId="152" applyNumberFormat="0" applyFill="0" applyAlignment="0" applyProtection="0">
      <alignment vertical="center"/>
    </xf>
    <xf numFmtId="0" fontId="306" fillId="0" borderId="151">
      <alignment vertical="center"/>
    </xf>
    <xf numFmtId="0" fontId="306" fillId="0" borderId="151">
      <alignment vertical="center"/>
    </xf>
    <xf numFmtId="0" fontId="306" fillId="0" borderId="151">
      <alignment vertical="center"/>
    </xf>
    <xf numFmtId="0" fontId="307" fillId="0" borderId="152" applyNumberFormat="0" applyFill="0" applyAlignment="0" applyProtection="0">
      <alignment vertical="center"/>
    </xf>
    <xf numFmtId="0" fontId="306" fillId="0" borderId="151">
      <alignment vertical="center"/>
    </xf>
    <xf numFmtId="0" fontId="307" fillId="0" borderId="152" applyNumberFormat="0" applyFill="0" applyAlignment="0" applyProtection="0">
      <alignment vertical="center"/>
    </xf>
    <xf numFmtId="0" fontId="306" fillId="0" borderId="151">
      <alignment vertical="center"/>
    </xf>
    <xf numFmtId="0" fontId="306" fillId="0" borderId="0">
      <alignment vertical="center"/>
    </xf>
    <xf numFmtId="0" fontId="306" fillId="0" borderId="0">
      <alignment vertical="center"/>
    </xf>
    <xf numFmtId="0" fontId="307" fillId="0" borderId="0" applyNumberFormat="0" applyFill="0" applyBorder="0" applyAlignment="0" applyProtection="0">
      <alignment vertical="center"/>
    </xf>
    <xf numFmtId="0" fontId="306" fillId="0" borderId="0">
      <alignment vertical="center"/>
    </xf>
    <xf numFmtId="0" fontId="307" fillId="0" borderId="0" applyNumberFormat="0" applyFill="0" applyBorder="0" applyAlignment="0" applyProtection="0">
      <alignment vertical="center"/>
    </xf>
    <xf numFmtId="0" fontId="306" fillId="0" borderId="0">
      <alignment vertical="center"/>
    </xf>
    <xf numFmtId="0" fontId="306" fillId="0" borderId="0">
      <alignment vertical="center"/>
    </xf>
    <xf numFmtId="0" fontId="306" fillId="0" borderId="0">
      <alignment vertical="center"/>
    </xf>
    <xf numFmtId="0" fontId="307" fillId="0" borderId="0" applyNumberFormat="0" applyFill="0" applyBorder="0" applyAlignment="0" applyProtection="0">
      <alignment vertical="center"/>
    </xf>
    <xf numFmtId="0" fontId="306" fillId="0" borderId="0">
      <alignment vertical="center"/>
    </xf>
    <xf numFmtId="0" fontId="307" fillId="0" borderId="0" applyNumberFormat="0" applyFill="0" applyBorder="0" applyAlignment="0" applyProtection="0">
      <alignment vertical="center"/>
    </xf>
    <xf numFmtId="0" fontId="306" fillId="0" borderId="0">
      <alignment vertical="center"/>
    </xf>
    <xf numFmtId="0" fontId="306" fillId="0" borderId="0">
      <alignment vertical="center"/>
    </xf>
    <xf numFmtId="0" fontId="306" fillId="0" borderId="0">
      <alignment vertical="center"/>
    </xf>
    <xf numFmtId="0" fontId="307" fillId="0" borderId="0" applyNumberFormat="0" applyFill="0" applyBorder="0" applyAlignment="0" applyProtection="0">
      <alignment vertical="center"/>
    </xf>
    <xf numFmtId="0" fontId="306" fillId="0" borderId="0">
      <alignment vertical="center"/>
    </xf>
    <xf numFmtId="0" fontId="307" fillId="0" borderId="0" applyNumberFormat="0" applyFill="0" applyBorder="0" applyAlignment="0" applyProtection="0">
      <alignment vertical="center"/>
    </xf>
    <xf numFmtId="0" fontId="306" fillId="0" borderId="0">
      <alignment vertical="center"/>
    </xf>
    <xf numFmtId="0" fontId="308" fillId="0" borderId="0">
      <alignment vertical="center"/>
    </xf>
    <xf numFmtId="0" fontId="308" fillId="0" borderId="0">
      <alignment vertical="center"/>
    </xf>
    <xf numFmtId="0" fontId="309" fillId="0" borderId="0" applyNumberFormat="0" applyFill="0" applyBorder="0" applyAlignment="0" applyProtection="0">
      <alignment vertical="center"/>
    </xf>
    <xf numFmtId="0" fontId="308" fillId="0" borderId="0">
      <alignment vertical="center"/>
    </xf>
    <xf numFmtId="0" fontId="309" fillId="0" borderId="0" applyNumberFormat="0" applyFill="0" applyBorder="0" applyAlignment="0" applyProtection="0">
      <alignment vertical="center"/>
    </xf>
    <xf numFmtId="0" fontId="308" fillId="0" borderId="0">
      <alignment vertical="center"/>
    </xf>
    <xf numFmtId="0" fontId="308" fillId="0" borderId="0">
      <alignment vertical="center"/>
    </xf>
    <xf numFmtId="0" fontId="308" fillId="0" borderId="0">
      <alignment vertical="center"/>
    </xf>
    <xf numFmtId="0" fontId="309" fillId="0" borderId="0" applyNumberFormat="0" applyFill="0" applyBorder="0" applyAlignment="0" applyProtection="0">
      <alignment vertical="center"/>
    </xf>
    <xf numFmtId="0" fontId="308" fillId="0" borderId="0">
      <alignment vertical="center"/>
    </xf>
    <xf numFmtId="0" fontId="309" fillId="0" borderId="0" applyNumberFormat="0" applyFill="0" applyBorder="0" applyAlignment="0" applyProtection="0">
      <alignment vertical="center"/>
    </xf>
    <xf numFmtId="0" fontId="308" fillId="0" borderId="0">
      <alignment vertical="center"/>
    </xf>
    <xf numFmtId="0" fontId="308" fillId="0" borderId="0">
      <alignment vertical="center"/>
    </xf>
    <xf numFmtId="0" fontId="308" fillId="0" borderId="0">
      <alignment vertical="center"/>
    </xf>
    <xf numFmtId="0" fontId="309" fillId="0" borderId="0" applyNumberFormat="0" applyFill="0" applyBorder="0" applyAlignment="0" applyProtection="0">
      <alignment vertical="center"/>
    </xf>
    <xf numFmtId="0" fontId="308" fillId="0" borderId="0">
      <alignment vertical="center"/>
    </xf>
    <xf numFmtId="0" fontId="309" fillId="0" borderId="0" applyNumberFormat="0" applyFill="0" applyBorder="0" applyAlignment="0" applyProtection="0">
      <alignment vertical="center"/>
    </xf>
    <xf numFmtId="0" fontId="308" fillId="0" borderId="0">
      <alignment vertical="center"/>
    </xf>
    <xf numFmtId="0" fontId="9" fillId="0" borderId="1">
      <alignment horizontal="distributed" vertical="center"/>
    </xf>
    <xf numFmtId="0" fontId="203" fillId="0" borderId="1">
      <alignment horizontal="distributed" vertical="center"/>
    </xf>
    <xf numFmtId="0" fontId="203" fillId="0" borderId="23">
      <alignment horizontal="distributed" vertical="top"/>
    </xf>
    <xf numFmtId="0" fontId="203" fillId="0" borderId="23">
      <alignment horizontal="distributed" vertical="top"/>
    </xf>
    <xf numFmtId="0" fontId="203" fillId="0" borderId="23">
      <alignment horizontal="distributed" vertical="top"/>
    </xf>
    <xf numFmtId="0" fontId="203" fillId="0" borderId="23">
      <alignment horizontal="distributed" vertical="top"/>
    </xf>
    <xf numFmtId="0" fontId="203" fillId="0" borderId="23">
      <alignment horizontal="distributed" vertical="top"/>
    </xf>
    <xf numFmtId="0" fontId="203" fillId="0" borderId="23">
      <alignment horizontal="distributed" vertical="top"/>
    </xf>
    <xf numFmtId="0" fontId="203" fillId="0" borderId="23">
      <alignment horizontal="distributed" vertical="top"/>
    </xf>
    <xf numFmtId="0" fontId="203" fillId="0" borderId="23">
      <alignment horizontal="distributed" vertical="top"/>
    </xf>
    <xf numFmtId="0" fontId="203" fillId="0" borderId="23">
      <alignment horizontal="distributed" vertical="top"/>
    </xf>
    <xf numFmtId="0" fontId="203" fillId="0" borderId="23">
      <alignment horizontal="distributed" vertical="top"/>
    </xf>
    <xf numFmtId="0" fontId="203" fillId="0" borderId="23">
      <alignment horizontal="distributed" vertical="top"/>
    </xf>
    <xf numFmtId="0" fontId="203" fillId="0" borderId="23">
      <alignment horizontal="distributed" vertical="top"/>
    </xf>
    <xf numFmtId="0" fontId="203" fillId="0" borderId="23">
      <alignment horizontal="distributed" vertical="top"/>
    </xf>
    <xf numFmtId="0" fontId="203" fillId="0" borderId="23">
      <alignment horizontal="distributed" vertical="top"/>
    </xf>
    <xf numFmtId="0" fontId="9" fillId="0" borderId="23">
      <alignment horizontal="distributed" vertical="top"/>
    </xf>
    <xf numFmtId="0" fontId="203" fillId="0" borderId="23">
      <alignment horizontal="distributed" vertical="top"/>
    </xf>
    <xf numFmtId="0" fontId="9" fillId="0" borderId="30">
      <alignment horizontal="distributed"/>
    </xf>
    <xf numFmtId="0" fontId="203" fillId="0" borderId="30">
      <alignment horizontal="distributed"/>
    </xf>
    <xf numFmtId="177" fontId="310" fillId="0" borderId="0">
      <alignment vertical="center"/>
    </xf>
    <xf numFmtId="177" fontId="311" fillId="0" borderId="0">
      <alignment vertical="center"/>
    </xf>
    <xf numFmtId="0" fontId="312" fillId="20" borderId="0">
      <alignment vertical="center"/>
    </xf>
    <xf numFmtId="0" fontId="312" fillId="20" borderId="0">
      <alignment vertical="center"/>
    </xf>
    <xf numFmtId="0" fontId="313" fillId="21" borderId="0" applyNumberFormat="0" applyBorder="0" applyAlignment="0" applyProtection="0">
      <alignment vertical="center"/>
    </xf>
    <xf numFmtId="0" fontId="312" fillId="20" borderId="0">
      <alignment vertical="center"/>
    </xf>
    <xf numFmtId="0" fontId="313" fillId="21" borderId="0" applyNumberFormat="0" applyBorder="0" applyAlignment="0" applyProtection="0">
      <alignment vertical="center"/>
    </xf>
    <xf numFmtId="0" fontId="312" fillId="20" borderId="0">
      <alignment vertical="center"/>
    </xf>
    <xf numFmtId="0" fontId="312" fillId="20" borderId="0">
      <alignment vertical="center"/>
    </xf>
    <xf numFmtId="0" fontId="312" fillId="20" borderId="0">
      <alignment vertical="center"/>
    </xf>
    <xf numFmtId="0" fontId="313" fillId="21" borderId="0" applyNumberFormat="0" applyBorder="0" applyAlignment="0" applyProtection="0">
      <alignment vertical="center"/>
    </xf>
    <xf numFmtId="0" fontId="312" fillId="20" borderId="0">
      <alignment vertical="center"/>
    </xf>
    <xf numFmtId="0" fontId="313" fillId="21" borderId="0" applyNumberFormat="0" applyBorder="0" applyAlignment="0" applyProtection="0">
      <alignment vertical="center"/>
    </xf>
    <xf numFmtId="0" fontId="312" fillId="20" borderId="0">
      <alignment vertical="center"/>
    </xf>
    <xf numFmtId="0" fontId="312" fillId="20" borderId="0">
      <alignment vertical="center"/>
    </xf>
    <xf numFmtId="0" fontId="312" fillId="20" borderId="0">
      <alignment vertical="center"/>
    </xf>
    <xf numFmtId="0" fontId="313" fillId="21" borderId="0" applyNumberFormat="0" applyBorder="0" applyAlignment="0" applyProtection="0">
      <alignment vertical="center"/>
    </xf>
    <xf numFmtId="0" fontId="312" fillId="20" borderId="0">
      <alignment vertical="center"/>
    </xf>
    <xf numFmtId="0" fontId="313" fillId="21" borderId="0" applyNumberFormat="0" applyBorder="0" applyAlignment="0" applyProtection="0">
      <alignment vertical="center"/>
    </xf>
    <xf numFmtId="0" fontId="312" fillId="20" borderId="0">
      <alignment vertical="center"/>
    </xf>
    <xf numFmtId="0" fontId="312" fillId="20" borderId="0">
      <alignment vertical="center"/>
    </xf>
    <xf numFmtId="349" fontId="87" fillId="0" borderId="0" applyFill="0" applyBorder="0">
      <alignment horizontal="centerContinuous"/>
    </xf>
    <xf numFmtId="349" fontId="297" fillId="0" borderId="0">
      <alignment horizontal="centerContinuous"/>
    </xf>
    <xf numFmtId="0" fontId="9" fillId="0" borderId="0"/>
    <xf numFmtId="0" fontId="203" fillId="0" borderId="0"/>
    <xf numFmtId="1" fontId="314" fillId="2" borderId="0" applyNumberFormat="0" applyFont="0" applyFill="0" applyBorder="0" applyAlignment="0">
      <alignment vertical="center"/>
    </xf>
    <xf numFmtId="1" fontId="315" fillId="46" borderId="0">
      <alignment vertical="center"/>
    </xf>
    <xf numFmtId="0" fontId="316" fillId="44" borderId="153">
      <alignment vertical="center"/>
    </xf>
    <xf numFmtId="0" fontId="316" fillId="44" borderId="153">
      <alignment vertical="center"/>
    </xf>
    <xf numFmtId="0" fontId="317" fillId="55" borderId="154" applyNumberFormat="0" applyAlignment="0" applyProtection="0">
      <alignment vertical="center"/>
    </xf>
    <xf numFmtId="0" fontId="316" fillId="44" borderId="153">
      <alignment vertical="center"/>
    </xf>
    <xf numFmtId="0" fontId="317" fillId="55" borderId="154" applyNumberFormat="0" applyAlignment="0" applyProtection="0">
      <alignment vertical="center"/>
    </xf>
    <xf numFmtId="0" fontId="316" fillId="44" borderId="153">
      <alignment vertical="center"/>
    </xf>
    <xf numFmtId="0" fontId="316" fillId="44" borderId="153">
      <alignment vertical="center"/>
    </xf>
    <xf numFmtId="0" fontId="316" fillId="44" borderId="153">
      <alignment vertical="center"/>
    </xf>
    <xf numFmtId="0" fontId="317" fillId="55" borderId="154" applyNumberFormat="0" applyAlignment="0" applyProtection="0">
      <alignment vertical="center"/>
    </xf>
    <xf numFmtId="0" fontId="316" fillId="44" borderId="153">
      <alignment vertical="center"/>
    </xf>
    <xf numFmtId="0" fontId="317" fillId="55" borderId="154" applyNumberFormat="0" applyAlignment="0" applyProtection="0">
      <alignment vertical="center"/>
    </xf>
    <xf numFmtId="0" fontId="316" fillId="44" borderId="153">
      <alignment vertical="center"/>
    </xf>
    <xf numFmtId="0" fontId="316" fillId="44" borderId="153">
      <alignment vertical="center"/>
    </xf>
    <xf numFmtId="0" fontId="316" fillId="44" borderId="153">
      <alignment vertical="center"/>
    </xf>
    <xf numFmtId="0" fontId="317" fillId="55" borderId="154" applyNumberFormat="0" applyAlignment="0" applyProtection="0">
      <alignment vertical="center"/>
    </xf>
    <xf numFmtId="0" fontId="316" fillId="44" borderId="153">
      <alignment vertical="center"/>
    </xf>
    <xf numFmtId="0" fontId="317" fillId="55" borderId="154" applyNumberFormat="0" applyAlignment="0" applyProtection="0">
      <alignment vertical="center"/>
    </xf>
    <xf numFmtId="0" fontId="316" fillId="44" borderId="153">
      <alignment vertical="center"/>
    </xf>
    <xf numFmtId="0" fontId="316" fillId="44" borderId="153">
      <alignment vertical="center"/>
    </xf>
    <xf numFmtId="329" fontId="318" fillId="0" borderId="0">
      <alignment vertical="center"/>
    </xf>
    <xf numFmtId="215" fontId="2" fillId="0" borderId="0" applyFont="0" applyFill="0" applyBorder="0" applyProtection="0">
      <alignment vertical="center"/>
    </xf>
    <xf numFmtId="215" fontId="204" fillId="0" borderId="0">
      <alignment vertical="center"/>
    </xf>
    <xf numFmtId="38" fontId="219" fillId="0" borderId="0">
      <alignment vertical="center"/>
    </xf>
    <xf numFmtId="41" fontId="2" fillId="0" borderId="0" applyFont="0" applyFill="0" applyBorder="0" applyAlignment="0" applyProtection="0"/>
    <xf numFmtId="41" fontId="204" fillId="0" borderId="0"/>
    <xf numFmtId="41" fontId="2" fillId="0" borderId="0" applyFont="0" applyFill="0" applyBorder="0" applyAlignment="0" applyProtection="0"/>
    <xf numFmtId="41" fontId="204" fillId="0" borderId="0"/>
    <xf numFmtId="177" fontId="9" fillId="0" borderId="0" applyNumberFormat="0" applyFont="0" applyFill="0" applyBorder="0" applyProtection="0">
      <alignment vertical="center"/>
    </xf>
    <xf numFmtId="177" fontId="203" fillId="0" borderId="0">
      <alignment vertical="center"/>
    </xf>
    <xf numFmtId="265" fontId="19" fillId="0" borderId="1"/>
    <xf numFmtId="265" fontId="207" fillId="0" borderId="1"/>
    <xf numFmtId="265" fontId="207" fillId="0" borderId="1"/>
    <xf numFmtId="0" fontId="2" fillId="2" borderId="0" applyFill="0" applyBorder="0" applyProtection="0">
      <alignment horizontal="right"/>
    </xf>
    <xf numFmtId="0" fontId="204" fillId="46" borderId="0">
      <alignment horizontal="right"/>
    </xf>
    <xf numFmtId="0" fontId="2" fillId="2" borderId="0" applyFill="0" applyBorder="0" applyProtection="0">
      <alignment horizontal="right"/>
    </xf>
    <xf numFmtId="0" fontId="204" fillId="46" borderId="0">
      <alignment horizontal="right"/>
    </xf>
    <xf numFmtId="38" fontId="20" fillId="0" borderId="0" applyFont="0" applyFill="0" applyBorder="0" applyAlignment="0" applyProtection="0">
      <alignment vertical="center"/>
    </xf>
    <xf numFmtId="38" fontId="219" fillId="0" borderId="0">
      <alignment vertical="center"/>
    </xf>
    <xf numFmtId="0" fontId="219" fillId="0" borderId="0">
      <alignment vertical="center"/>
    </xf>
    <xf numFmtId="0" fontId="20" fillId="0" borderId="0" applyFont="0" applyFill="0" applyBorder="0" applyAlignment="0" applyProtection="0">
      <alignment vertical="center"/>
    </xf>
    <xf numFmtId="0" fontId="219" fillId="0" borderId="0">
      <alignment vertical="center"/>
    </xf>
    <xf numFmtId="0" fontId="20" fillId="0" borderId="0" applyFont="0" applyFill="0" applyBorder="0" applyAlignment="0" applyProtection="0">
      <alignment vertical="center"/>
    </xf>
    <xf numFmtId="0" fontId="219" fillId="0" borderId="0">
      <alignment vertical="center"/>
    </xf>
    <xf numFmtId="0" fontId="33" fillId="0" borderId="0"/>
    <xf numFmtId="0" fontId="9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4" fillId="0" borderId="0">
      <alignment vertical="center"/>
    </xf>
    <xf numFmtId="301" fontId="199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380" fillId="0" borderId="0" applyFont="0" applyFill="0" applyBorder="0" applyAlignment="0" applyProtection="0">
      <alignment vertical="center"/>
    </xf>
  </cellStyleXfs>
  <cellXfs count="2056">
    <xf numFmtId="0" fontId="0" fillId="0" borderId="0" xfId="0">
      <alignment vertical="center"/>
    </xf>
    <xf numFmtId="0" fontId="6" fillId="0" borderId="0" xfId="0" applyFont="1">
      <alignment vertical="center"/>
    </xf>
    <xf numFmtId="3" fontId="12" fillId="0" borderId="1" xfId="0" applyNumberFormat="1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25" xfId="0" applyFont="1" applyBorder="1">
      <alignment vertical="center"/>
    </xf>
    <xf numFmtId="0" fontId="26" fillId="0" borderId="21" xfId="0" applyFont="1" applyBorder="1" applyAlignment="1">
      <alignment horizontal="center" vertical="center"/>
    </xf>
    <xf numFmtId="0" fontId="26" fillId="0" borderId="0" xfId="0" applyFont="1" applyAlignment="1"/>
    <xf numFmtId="0" fontId="26" fillId="0" borderId="24" xfId="0" applyFont="1" applyBorder="1" applyAlignment="1"/>
    <xf numFmtId="0" fontId="26" fillId="0" borderId="25" xfId="0" applyFont="1" applyBorder="1" applyAlignment="1"/>
    <xf numFmtId="0" fontId="26" fillId="0" borderId="21" xfId="0" applyFont="1" applyBorder="1" applyAlignment="1"/>
    <xf numFmtId="0" fontId="6" fillId="0" borderId="24" xfId="0" applyFont="1" applyBorder="1" applyAlignment="1"/>
    <xf numFmtId="0" fontId="6" fillId="0" borderId="25" xfId="0" applyFont="1" applyBorder="1" applyAlignment="1">
      <alignment horizontal="center" vertical="center"/>
    </xf>
    <xf numFmtId="0" fontId="6" fillId="0" borderId="25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26" fillId="0" borderId="26" xfId="0" applyFont="1" applyBorder="1" applyAlignment="1"/>
    <xf numFmtId="0" fontId="26" fillId="0" borderId="27" xfId="0" applyFont="1" applyBorder="1" applyAlignment="1"/>
    <xf numFmtId="0" fontId="15" fillId="0" borderId="26" xfId="0" applyFont="1" applyBorder="1" applyAlignment="1">
      <alignment horizontal="left"/>
    </xf>
    <xf numFmtId="0" fontId="15" fillId="0" borderId="0" xfId="0" applyFont="1" applyAlignment="1"/>
    <xf numFmtId="0" fontId="15" fillId="0" borderId="28" xfId="0" applyFont="1" applyBorder="1" applyAlignment="1"/>
    <xf numFmtId="0" fontId="15" fillId="0" borderId="29" xfId="0" applyFont="1" applyBorder="1" applyAlignment="1"/>
    <xf numFmtId="0" fontId="15" fillId="0" borderId="30" xfId="0" applyFont="1" applyBorder="1" applyAlignment="1"/>
    <xf numFmtId="0" fontId="15" fillId="0" borderId="31" xfId="0" applyFont="1" applyBorder="1" applyAlignment="1"/>
    <xf numFmtId="0" fontId="15" fillId="0" borderId="26" xfId="0" applyFont="1" applyBorder="1" applyAlignment="1"/>
    <xf numFmtId="0" fontId="15" fillId="0" borderId="27" xfId="0" applyFont="1" applyBorder="1" applyAlignment="1"/>
    <xf numFmtId="2" fontId="15" fillId="0" borderId="0" xfId="0" applyNumberFormat="1" applyFont="1" applyAlignment="1"/>
    <xf numFmtId="0" fontId="15" fillId="0" borderId="32" xfId="0" applyFont="1" applyBorder="1" applyAlignment="1"/>
    <xf numFmtId="0" fontId="15" fillId="0" borderId="33" xfId="0" applyFont="1" applyBorder="1" applyAlignment="1"/>
    <xf numFmtId="3" fontId="15" fillId="0" borderId="0" xfId="0" applyNumberFormat="1" applyFont="1" applyAlignment="1">
      <alignment horizontal="center"/>
    </xf>
    <xf numFmtId="0" fontId="15" fillId="0" borderId="24" xfId="0" applyFont="1" applyBorder="1" applyAlignment="1"/>
    <xf numFmtId="0" fontId="15" fillId="0" borderId="25" xfId="0" applyFont="1" applyBorder="1" applyAlignment="1">
      <alignment horizontal="center"/>
    </xf>
    <xf numFmtId="0" fontId="15" fillId="0" borderId="25" xfId="0" applyFont="1" applyBorder="1" applyAlignment="1"/>
    <xf numFmtId="0" fontId="15" fillId="0" borderId="21" xfId="0" applyFont="1" applyBorder="1" applyAlignment="1"/>
    <xf numFmtId="177" fontId="26" fillId="0" borderId="32" xfId="0" applyNumberFormat="1" applyFont="1" applyBorder="1" applyAlignment="1"/>
    <xf numFmtId="177" fontId="26" fillId="0" borderId="27" xfId="0" applyNumberFormat="1" applyFont="1" applyBorder="1" applyAlignment="1"/>
    <xf numFmtId="0" fontId="15" fillId="0" borderId="33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22" xfId="0" applyFont="1" applyBorder="1" applyAlignment="1"/>
    <xf numFmtId="0" fontId="15" fillId="0" borderId="22" xfId="0" applyFont="1" applyBorder="1" applyAlignment="1">
      <alignment horizontal="center"/>
    </xf>
    <xf numFmtId="187" fontId="26" fillId="0" borderId="0" xfId="0" applyNumberFormat="1" applyFont="1" applyAlignment="1"/>
    <xf numFmtId="3" fontId="15" fillId="0" borderId="25" xfId="0" applyNumberFormat="1" applyFont="1" applyBorder="1" applyAlignment="1">
      <alignment horizontal="center"/>
    </xf>
    <xf numFmtId="0" fontId="15" fillId="0" borderId="0" xfId="0" applyFont="1" applyAlignment="1">
      <alignment horizontal="right"/>
    </xf>
    <xf numFmtId="0" fontId="26" fillId="0" borderId="33" xfId="0" applyFont="1" applyBorder="1" applyAlignment="1"/>
    <xf numFmtId="0" fontId="26" fillId="0" borderId="9" xfId="0" applyFont="1" applyBorder="1" applyAlignment="1"/>
    <xf numFmtId="0" fontId="26" fillId="0" borderId="22" xfId="0" applyFont="1" applyBorder="1" applyAlignment="1"/>
    <xf numFmtId="0" fontId="15" fillId="0" borderId="9" xfId="0" applyFont="1" applyBorder="1" applyAlignment="1"/>
    <xf numFmtId="0" fontId="15" fillId="0" borderId="9" xfId="0" applyFont="1" applyBorder="1" applyAlignment="1">
      <alignment horizontal="right"/>
    </xf>
    <xf numFmtId="0" fontId="15" fillId="0" borderId="23" xfId="0" applyFont="1" applyBorder="1" applyAlignment="1"/>
    <xf numFmtId="43" fontId="15" fillId="0" borderId="0" xfId="0" applyNumberFormat="1" applyFont="1" applyAlignment="1"/>
    <xf numFmtId="0" fontId="31" fillId="0" borderId="0" xfId="0" applyFont="1" applyAlignment="1"/>
    <xf numFmtId="186" fontId="15" fillId="0" borderId="0" xfId="0" applyNumberFormat="1" applyFont="1" applyAlignment="1"/>
    <xf numFmtId="0" fontId="37" fillId="0" borderId="0" xfId="0" applyFont="1">
      <alignment vertical="center"/>
    </xf>
    <xf numFmtId="0" fontId="38" fillId="0" borderId="0" xfId="0" applyFont="1" applyAlignment="1">
      <alignment horizontal="center" vertical="center"/>
    </xf>
    <xf numFmtId="0" fontId="31" fillId="0" borderId="0" xfId="0" applyFont="1">
      <alignment vertical="center"/>
    </xf>
    <xf numFmtId="0" fontId="31" fillId="0" borderId="1" xfId="0" applyFont="1" applyBorder="1" applyAlignment="1">
      <alignment horizontal="center" vertical="center"/>
    </xf>
    <xf numFmtId="0" fontId="31" fillId="0" borderId="34" xfId="0" applyFont="1" applyBorder="1">
      <alignment vertical="center"/>
    </xf>
    <xf numFmtId="0" fontId="31" fillId="0" borderId="34" xfId="0" applyFont="1" applyBorder="1" applyAlignment="1">
      <alignment horizontal="center" vertical="center"/>
    </xf>
    <xf numFmtId="41" fontId="31" fillId="0" borderId="34" xfId="0" applyNumberFormat="1" applyFont="1" applyBorder="1">
      <alignment vertical="center"/>
    </xf>
    <xf numFmtId="184" fontId="31" fillId="0" borderId="34" xfId="0" applyNumberFormat="1" applyFont="1" applyBorder="1">
      <alignment vertical="center"/>
    </xf>
    <xf numFmtId="41" fontId="31" fillId="0" borderId="35" xfId="0" applyNumberFormat="1" applyFont="1" applyBorder="1">
      <alignment vertical="center"/>
    </xf>
    <xf numFmtId="41" fontId="31" fillId="0" borderId="0" xfId="0" applyNumberFormat="1" applyFont="1">
      <alignment vertical="center"/>
    </xf>
    <xf numFmtId="0" fontId="31" fillId="0" borderId="17" xfId="0" applyFont="1" applyBorder="1">
      <alignment vertical="center"/>
    </xf>
    <xf numFmtId="0" fontId="31" fillId="0" borderId="17" xfId="0" applyFont="1" applyBorder="1" applyAlignment="1">
      <alignment horizontal="center" vertical="center"/>
    </xf>
    <xf numFmtId="41" fontId="31" fillId="0" borderId="17" xfId="0" applyNumberFormat="1" applyFont="1" applyBorder="1">
      <alignment vertical="center"/>
    </xf>
    <xf numFmtId="184" fontId="31" fillId="0" borderId="17" xfId="0" applyNumberFormat="1" applyFont="1" applyBorder="1">
      <alignment vertical="center"/>
    </xf>
    <xf numFmtId="41" fontId="31" fillId="0" borderId="18" xfId="0" applyNumberFormat="1" applyFont="1" applyBorder="1">
      <alignment vertical="center"/>
    </xf>
    <xf numFmtId="41" fontId="31" fillId="0" borderId="17" xfId="0" applyNumberFormat="1" applyFont="1" applyBorder="1" applyAlignment="1">
      <alignment horizontal="right" vertical="center"/>
    </xf>
    <xf numFmtId="0" fontId="31" fillId="0" borderId="18" xfId="0" applyFont="1" applyBorder="1">
      <alignment vertical="center"/>
    </xf>
    <xf numFmtId="0" fontId="39" fillId="3" borderId="17" xfId="0" applyFont="1" applyFill="1" applyBorder="1">
      <alignment vertical="center"/>
    </xf>
    <xf numFmtId="41" fontId="39" fillId="3" borderId="17" xfId="0" applyNumberFormat="1" applyFont="1" applyFill="1" applyBorder="1" applyAlignment="1">
      <alignment horizontal="center" vertical="center"/>
    </xf>
    <xf numFmtId="41" fontId="39" fillId="3" borderId="17" xfId="0" applyNumberFormat="1" applyFont="1" applyFill="1" applyBorder="1">
      <alignment vertical="center"/>
    </xf>
    <xf numFmtId="184" fontId="39" fillId="3" borderId="17" xfId="0" applyNumberFormat="1" applyFont="1" applyFill="1" applyBorder="1">
      <alignment vertical="center"/>
    </xf>
    <xf numFmtId="0" fontId="39" fillId="3" borderId="18" xfId="0" applyFont="1" applyFill="1" applyBorder="1">
      <alignment vertical="center"/>
    </xf>
    <xf numFmtId="41" fontId="31" fillId="0" borderId="17" xfId="0" applyNumberFormat="1" applyFont="1" applyBorder="1" applyAlignment="1">
      <alignment horizontal="center" vertical="center"/>
    </xf>
    <xf numFmtId="180" fontId="31" fillId="0" borderId="17" xfId="0" applyNumberFormat="1" applyFont="1" applyBorder="1">
      <alignment vertical="center"/>
    </xf>
    <xf numFmtId="180" fontId="31" fillId="0" borderId="17" xfId="0" applyNumberFormat="1" applyFont="1" applyBorder="1" applyAlignment="1">
      <alignment horizontal="center" vertical="center"/>
    </xf>
    <xf numFmtId="0" fontId="39" fillId="3" borderId="19" xfId="0" applyFont="1" applyFill="1" applyBorder="1">
      <alignment vertical="center"/>
    </xf>
    <xf numFmtId="43" fontId="39" fillId="3" borderId="19" xfId="0" applyNumberFormat="1" applyFont="1" applyFill="1" applyBorder="1">
      <alignment vertical="center"/>
    </xf>
    <xf numFmtId="0" fontId="39" fillId="3" borderId="20" xfId="0" applyFont="1" applyFill="1" applyBorder="1">
      <alignment vertical="center"/>
    </xf>
    <xf numFmtId="180" fontId="31" fillId="0" borderId="17" xfId="0" applyNumberFormat="1" applyFont="1" applyBorder="1" applyAlignment="1">
      <alignment horizontal="right" vertical="center"/>
    </xf>
    <xf numFmtId="43" fontId="31" fillId="0" borderId="17" xfId="0" applyNumberFormat="1" applyFont="1" applyBorder="1">
      <alignment vertical="center"/>
    </xf>
    <xf numFmtId="184" fontId="31" fillId="0" borderId="17" xfId="0" applyNumberFormat="1" applyFont="1" applyBorder="1" applyAlignment="1">
      <alignment horizontal="right" vertical="center"/>
    </xf>
    <xf numFmtId="0" fontId="31" fillId="0" borderId="11" xfId="0" applyFont="1" applyBorder="1">
      <alignment vertical="center"/>
    </xf>
    <xf numFmtId="0" fontId="31" fillId="0" borderId="36" xfId="0" applyFont="1" applyBorder="1">
      <alignment vertical="center"/>
    </xf>
    <xf numFmtId="0" fontId="40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1" fillId="0" borderId="37" xfId="0" applyFont="1" applyBorder="1" applyAlignment="1">
      <alignment horizontal="center" vertical="center" wrapText="1"/>
    </xf>
    <xf numFmtId="0" fontId="41" fillId="0" borderId="38" xfId="0" applyFont="1" applyBorder="1" applyAlignment="1">
      <alignment horizontal="center" vertical="center" wrapText="1"/>
    </xf>
    <xf numFmtId="0" fontId="41" fillId="0" borderId="39" xfId="0" applyFont="1" applyBorder="1" applyAlignment="1">
      <alignment horizontal="center" vertical="center" wrapText="1"/>
    </xf>
    <xf numFmtId="0" fontId="42" fillId="0" borderId="40" xfId="0" applyFont="1" applyBorder="1" applyAlignment="1">
      <alignment horizontal="center" vertical="center" wrapText="1"/>
    </xf>
    <xf numFmtId="0" fontId="42" fillId="0" borderId="41" xfId="0" applyFont="1" applyBorder="1" applyAlignment="1">
      <alignment horizontal="center" vertical="center" wrapText="1"/>
    </xf>
    <xf numFmtId="180" fontId="31" fillId="0" borderId="35" xfId="0" applyNumberFormat="1" applyFont="1" applyBorder="1">
      <alignment vertical="center"/>
    </xf>
    <xf numFmtId="180" fontId="31" fillId="0" borderId="18" xfId="0" applyNumberFormat="1" applyFont="1" applyBorder="1">
      <alignment vertical="center"/>
    </xf>
    <xf numFmtId="180" fontId="31" fillId="0" borderId="0" xfId="0" applyNumberFormat="1" applyFont="1">
      <alignment vertical="center"/>
    </xf>
    <xf numFmtId="199" fontId="31" fillId="0" borderId="0" xfId="0" applyNumberFormat="1" applyFont="1">
      <alignment vertical="center"/>
    </xf>
    <xf numFmtId="199" fontId="37" fillId="0" borderId="0" xfId="0" applyNumberFormat="1" applyFont="1">
      <alignment vertical="center"/>
    </xf>
    <xf numFmtId="0" fontId="0" fillId="0" borderId="0" xfId="0" applyAlignment="1"/>
    <xf numFmtId="0" fontId="0" fillId="0" borderId="9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41" fontId="5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0" xfId="0" applyNumberFormat="1" applyAlignment="1"/>
    <xf numFmtId="0" fontId="15" fillId="0" borderId="1" xfId="0" applyFont="1" applyBorder="1" applyAlignment="1">
      <alignment horizontal="center" vertical="center" shrinkToFit="1"/>
    </xf>
    <xf numFmtId="0" fontId="15" fillId="0" borderId="33" xfId="0" applyFont="1" applyBorder="1">
      <alignment vertical="center"/>
    </xf>
    <xf numFmtId="0" fontId="15" fillId="0" borderId="0" xfId="0" applyFont="1" applyAlignment="1">
      <alignment horizontal="centerContinuous" vertical="center"/>
    </xf>
    <xf numFmtId="179" fontId="15" fillId="0" borderId="0" xfId="0" applyNumberFormat="1" applyFont="1" applyAlignment="1">
      <alignment horizontal="right" vertical="center"/>
    </xf>
    <xf numFmtId="3" fontId="15" fillId="0" borderId="9" xfId="0" applyNumberFormat="1" applyFont="1" applyBorder="1">
      <alignment vertical="center"/>
    </xf>
    <xf numFmtId="188" fontId="15" fillId="0" borderId="9" xfId="0" applyNumberFormat="1" applyFont="1" applyBorder="1" applyAlignment="1">
      <alignment horizontal="centerContinuous" vertical="center"/>
    </xf>
    <xf numFmtId="0" fontId="15" fillId="0" borderId="9" xfId="0" applyFont="1" applyBorder="1" applyAlignment="1">
      <alignment horizontal="left" vertical="center"/>
    </xf>
    <xf numFmtId="0" fontId="15" fillId="0" borderId="9" xfId="0" applyFont="1" applyBorder="1" applyAlignment="1">
      <alignment horizontal="centerContinuous" vertical="center"/>
    </xf>
    <xf numFmtId="3" fontId="15" fillId="0" borderId="9" xfId="0" applyNumberFormat="1" applyFont="1" applyBorder="1" applyAlignment="1">
      <alignment horizontal="centerContinuous" vertical="center"/>
    </xf>
    <xf numFmtId="0" fontId="15" fillId="0" borderId="33" xfId="0" applyFont="1" applyBorder="1" applyAlignment="1">
      <alignment horizontal="left" vertical="center"/>
    </xf>
    <xf numFmtId="0" fontId="15" fillId="0" borderId="22" xfId="0" applyFont="1" applyBorder="1">
      <alignment vertical="center"/>
    </xf>
    <xf numFmtId="0" fontId="15" fillId="0" borderId="9" xfId="0" applyFont="1" applyBorder="1">
      <alignment vertical="center"/>
    </xf>
    <xf numFmtId="198" fontId="24" fillId="0" borderId="0" xfId="0" applyNumberFormat="1" applyFont="1" applyAlignment="1">
      <alignment horizontal="centerContinuous" vertical="center"/>
    </xf>
    <xf numFmtId="0" fontId="15" fillId="0" borderId="0" xfId="0" quotePrefix="1" applyFont="1" applyAlignment="1">
      <alignment horizontal="centerContinuous" vertical="center"/>
    </xf>
    <xf numFmtId="194" fontId="15" fillId="0" borderId="0" xfId="0" quotePrefix="1" applyNumberFormat="1" applyFont="1" applyAlignment="1">
      <alignment horizontal="centerContinuous" vertical="center"/>
    </xf>
    <xf numFmtId="194" fontId="15" fillId="0" borderId="0" xfId="0" applyNumberFormat="1" applyFont="1" applyAlignment="1">
      <alignment horizontal="centerContinuous" vertical="center"/>
    </xf>
    <xf numFmtId="192" fontId="15" fillId="0" borderId="0" xfId="0" applyNumberFormat="1" applyFont="1" applyAlignment="1">
      <alignment horizontal="centerContinuous" vertical="center"/>
    </xf>
    <xf numFmtId="188" fontId="15" fillId="0" borderId="0" xfId="0" applyNumberFormat="1" applyFont="1" applyAlignment="1">
      <alignment horizontal="centerContinuous" vertical="center"/>
    </xf>
    <xf numFmtId="0" fontId="15" fillId="0" borderId="26" xfId="0" quotePrefix="1" applyFont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3" fontId="15" fillId="0" borderId="0" xfId="0" applyNumberFormat="1" applyFont="1" applyAlignment="1">
      <alignment horizontal="centerContinuous" vertical="center"/>
    </xf>
    <xf numFmtId="0" fontId="15" fillId="0" borderId="0" xfId="0" applyFont="1" applyAlignment="1">
      <alignment vertical="top"/>
    </xf>
    <xf numFmtId="0" fontId="15" fillId="0" borderId="0" xfId="0" applyFont="1" applyAlignment="1">
      <alignment horizontal="centerContinuous" vertical="top"/>
    </xf>
    <xf numFmtId="2" fontId="15" fillId="0" borderId="0" xfId="0" applyNumberFormat="1" applyFont="1" applyAlignment="1">
      <alignment horizontal="centerContinuous" vertical="center"/>
    </xf>
    <xf numFmtId="0" fontId="15" fillId="0" borderId="0" xfId="0" quotePrefix="1" applyFont="1">
      <alignment vertical="center"/>
    </xf>
    <xf numFmtId="0" fontId="26" fillId="0" borderId="0" xfId="0" applyFont="1" applyAlignment="1">
      <alignment horizontal="centerContinuous"/>
    </xf>
    <xf numFmtId="0" fontId="15" fillId="0" borderId="0" xfId="0" applyFont="1" applyAlignment="1">
      <alignment horizontal="centerContinuous" wrapText="1"/>
    </xf>
    <xf numFmtId="0" fontId="15" fillId="0" borderId="26" xfId="0" quotePrefix="1" applyFont="1" applyBorder="1">
      <alignment vertical="center"/>
    </xf>
    <xf numFmtId="0" fontId="15" fillId="0" borderId="27" xfId="0" applyFont="1" applyBorder="1">
      <alignment vertical="center"/>
    </xf>
    <xf numFmtId="0" fontId="15" fillId="0" borderId="26" xfId="0" applyFont="1" applyBorder="1">
      <alignment vertical="center"/>
    </xf>
    <xf numFmtId="0" fontId="15" fillId="0" borderId="26" xfId="0" applyFont="1" applyBorder="1" applyAlignment="1">
      <alignment horizontal="left"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3" fontId="15" fillId="0" borderId="1" xfId="0" applyNumberFormat="1" applyFont="1" applyBorder="1">
      <alignment vertical="center"/>
    </xf>
    <xf numFmtId="3" fontId="15" fillId="0" borderId="0" xfId="0" applyNumberFormat="1" applyFont="1" applyAlignment="1">
      <alignment horizontal="right" vertical="center"/>
    </xf>
    <xf numFmtId="191" fontId="15" fillId="0" borderId="0" xfId="0" applyNumberFormat="1" applyFont="1">
      <alignment vertical="center"/>
    </xf>
    <xf numFmtId="3" fontId="15" fillId="0" borderId="0" xfId="0" applyNumberFormat="1" applyFont="1">
      <alignment vertical="center"/>
    </xf>
    <xf numFmtId="9" fontId="15" fillId="0" borderId="0" xfId="0" applyNumberFormat="1" applyFont="1" applyAlignment="1">
      <alignment horizontal="center" vertical="center"/>
    </xf>
    <xf numFmtId="41" fontId="15" fillId="0" borderId="0" xfId="973" applyFont="1" applyFill="1" applyBorder="1" applyAlignment="1">
      <alignment horizontal="centerContinuous" vertical="center"/>
    </xf>
    <xf numFmtId="41" fontId="15" fillId="0" borderId="0" xfId="973" applyFont="1" applyFill="1" applyAlignment="1">
      <alignment vertical="center"/>
    </xf>
    <xf numFmtId="0" fontId="15" fillId="0" borderId="0" xfId="0" applyFont="1" applyAlignment="1">
      <alignment horizontal="center" vertical="center" shrinkToFit="1"/>
    </xf>
    <xf numFmtId="41" fontId="15" fillId="0" borderId="0" xfId="973" applyFont="1" applyFill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 shrinkToFit="1"/>
    </xf>
    <xf numFmtId="3" fontId="15" fillId="0" borderId="1" xfId="0" quotePrefix="1" applyNumberFormat="1" applyFont="1" applyBorder="1" applyAlignment="1">
      <alignment horizontal="right" vertical="center" shrinkToFit="1"/>
    </xf>
    <xf numFmtId="178" fontId="15" fillId="0" borderId="1" xfId="0" applyNumberFormat="1" applyFont="1" applyBorder="1" applyAlignment="1">
      <alignment horizontal="right" vertical="center" shrinkToFit="1"/>
    </xf>
    <xf numFmtId="3" fontId="15" fillId="0" borderId="1" xfId="0" applyNumberFormat="1" applyFont="1" applyBorder="1" applyAlignment="1">
      <alignment vertical="center" shrinkToFit="1"/>
    </xf>
    <xf numFmtId="0" fontId="15" fillId="0" borderId="1" xfId="0" applyFont="1" applyBorder="1" applyAlignment="1">
      <alignment vertical="center" shrinkToFit="1"/>
    </xf>
    <xf numFmtId="3" fontId="24" fillId="0" borderId="0" xfId="0" applyNumberFormat="1" applyFont="1" applyAlignment="1">
      <alignment horizontal="centerContinuous" vertical="center"/>
    </xf>
    <xf numFmtId="192" fontId="6" fillId="0" borderId="0" xfId="0" applyNumberFormat="1" applyFont="1">
      <alignment vertical="center"/>
    </xf>
    <xf numFmtId="192" fontId="6" fillId="0" borderId="0" xfId="0" applyNumberFormat="1" applyFont="1" applyAlignment="1">
      <alignment horizontal="right" vertical="center"/>
    </xf>
    <xf numFmtId="183" fontId="6" fillId="0" borderId="0" xfId="0" applyNumberFormat="1" applyFont="1">
      <alignment vertical="center"/>
    </xf>
    <xf numFmtId="190" fontId="6" fillId="0" borderId="0" xfId="0" applyNumberFormat="1" applyFont="1">
      <alignment vertical="center"/>
    </xf>
    <xf numFmtId="0" fontId="6" fillId="0" borderId="0" xfId="0" applyFont="1" applyAlignment="1"/>
    <xf numFmtId="9" fontId="6" fillId="0" borderId="0" xfId="0" applyNumberFormat="1" applyFont="1">
      <alignment vertical="center"/>
    </xf>
    <xf numFmtId="194" fontId="70" fillId="0" borderId="0" xfId="0" applyNumberFormat="1" applyFont="1" applyAlignment="1">
      <alignment horizontal="centerContinuous" vertical="center"/>
    </xf>
    <xf numFmtId="194" fontId="70" fillId="0" borderId="0" xfId="0" quotePrefix="1" applyNumberFormat="1" applyFont="1" applyAlignment="1">
      <alignment horizontal="centerContinuous" vertical="center"/>
    </xf>
    <xf numFmtId="197" fontId="70" fillId="0" borderId="0" xfId="0" applyNumberFormat="1" applyFont="1" applyAlignment="1">
      <alignment horizontal="centerContinuous" vertical="center"/>
    </xf>
    <xf numFmtId="0" fontId="26" fillId="0" borderId="24" xfId="0" applyFont="1" applyBorder="1">
      <alignment vertical="center"/>
    </xf>
    <xf numFmtId="0" fontId="26" fillId="0" borderId="25" xfId="0" quotePrefix="1" applyFont="1" applyBorder="1">
      <alignment vertical="center"/>
    </xf>
    <xf numFmtId="43" fontId="26" fillId="0" borderId="25" xfId="0" applyNumberFormat="1" applyFont="1" applyBorder="1">
      <alignment vertical="center"/>
    </xf>
    <xf numFmtId="43" fontId="6" fillId="0" borderId="1" xfId="0" applyNumberFormat="1" applyFont="1" applyBorder="1" applyAlignment="1">
      <alignment horizontal="center" vertical="center"/>
    </xf>
    <xf numFmtId="186" fontId="15" fillId="0" borderId="31" xfId="0" applyNumberFormat="1" applyFont="1" applyBorder="1" applyAlignment="1"/>
    <xf numFmtId="3" fontId="15" fillId="0" borderId="0" xfId="0" applyNumberFormat="1" applyFont="1" applyAlignment="1"/>
    <xf numFmtId="0" fontId="29" fillId="0" borderId="26" xfId="0" applyFont="1" applyBorder="1" applyAlignment="1"/>
    <xf numFmtId="43" fontId="15" fillId="0" borderId="32" xfId="0" applyNumberFormat="1" applyFont="1" applyBorder="1" applyAlignment="1"/>
    <xf numFmtId="177" fontId="15" fillId="0" borderId="32" xfId="0" applyNumberFormat="1" applyFont="1" applyBorder="1" applyAlignment="1"/>
    <xf numFmtId="0" fontId="15" fillId="0" borderId="26" xfId="0" quotePrefix="1" applyFont="1" applyBorder="1" applyAlignment="1">
      <alignment horizontal="left"/>
    </xf>
    <xf numFmtId="3" fontId="15" fillId="0" borderId="25" xfId="0" applyNumberFormat="1" applyFont="1" applyBorder="1" applyAlignment="1"/>
    <xf numFmtId="0" fontId="15" fillId="0" borderId="0" xfId="0" quotePrefix="1" applyFont="1" applyAlignment="1">
      <alignment horizontal="left"/>
    </xf>
    <xf numFmtId="0" fontId="15" fillId="0" borderId="9" xfId="0" quotePrefix="1" applyFont="1" applyBorder="1" applyAlignment="1">
      <alignment horizontal="left"/>
    </xf>
    <xf numFmtId="43" fontId="15" fillId="0" borderId="9" xfId="0" applyNumberFormat="1" applyFont="1" applyBorder="1" applyAlignment="1"/>
    <xf numFmtId="43" fontId="26" fillId="0" borderId="0" xfId="0" applyNumberFormat="1" applyFont="1" applyAlignment="1"/>
    <xf numFmtId="3" fontId="15" fillId="13" borderId="1" xfId="0" applyNumberFormat="1" applyFont="1" applyFill="1" applyBorder="1" applyAlignment="1">
      <alignment horizontal="centerContinuous" vertical="center"/>
    </xf>
    <xf numFmtId="179" fontId="15" fillId="13" borderId="1" xfId="0" applyNumberFormat="1" applyFont="1" applyFill="1" applyBorder="1" applyAlignment="1">
      <alignment horizontal="centerContinuous" vertical="center"/>
    </xf>
    <xf numFmtId="3" fontId="15" fillId="13" borderId="1" xfId="0" applyNumberFormat="1" applyFont="1" applyFill="1" applyBorder="1" applyAlignment="1">
      <alignment horizontal="center" vertical="center"/>
    </xf>
    <xf numFmtId="179" fontId="15" fillId="13" borderId="1" xfId="0" applyNumberFormat="1" applyFont="1" applyFill="1" applyBorder="1" applyAlignment="1">
      <alignment horizontal="center" vertical="center"/>
    </xf>
    <xf numFmtId="356" fontId="15" fillId="0" borderId="0" xfId="5109" applyNumberFormat="1" applyFont="1" applyFill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 shrinkToFit="1"/>
    </xf>
    <xf numFmtId="356" fontId="15" fillId="4" borderId="0" xfId="5109" applyNumberFormat="1" applyFont="1" applyFill="1" applyAlignment="1">
      <alignment horizontal="center" vertical="center"/>
    </xf>
    <xf numFmtId="3" fontId="15" fillId="4" borderId="0" xfId="0" applyNumberFormat="1" applyFont="1" applyFill="1" applyAlignment="1">
      <alignment horizontal="left" vertical="center"/>
    </xf>
    <xf numFmtId="178" fontId="15" fillId="4" borderId="1" xfId="0" applyNumberFormat="1" applyFont="1" applyFill="1" applyBorder="1" applyAlignment="1">
      <alignment horizontal="right" vertical="center" shrinkToFit="1"/>
    </xf>
    <xf numFmtId="3" fontId="15" fillId="4" borderId="1" xfId="0" quotePrefix="1" applyNumberFormat="1" applyFont="1" applyFill="1" applyBorder="1" applyAlignment="1">
      <alignment horizontal="right" vertical="center" shrinkToFit="1"/>
    </xf>
    <xf numFmtId="3" fontId="15" fillId="4" borderId="1" xfId="0" applyNumberFormat="1" applyFont="1" applyFill="1" applyBorder="1" applyAlignment="1">
      <alignment horizontal="right" vertical="center" shrinkToFit="1"/>
    </xf>
    <xf numFmtId="3" fontId="15" fillId="4" borderId="1" xfId="0" applyNumberFormat="1" applyFont="1" applyFill="1" applyBorder="1" applyAlignment="1">
      <alignment horizontal="left" vertical="center"/>
    </xf>
    <xf numFmtId="0" fontId="15" fillId="4" borderId="0" xfId="0" applyFont="1" applyFill="1" applyAlignment="1">
      <alignment horizontal="center" vertical="center"/>
    </xf>
    <xf numFmtId="0" fontId="15" fillId="4" borderId="1" xfId="0" applyFont="1" applyFill="1" applyBorder="1" applyAlignment="1">
      <alignment horizontal="center" vertical="center" shrinkToFit="1"/>
    </xf>
    <xf numFmtId="0" fontId="15" fillId="4" borderId="0" xfId="0" applyFont="1" applyFill="1" applyAlignment="1">
      <alignment horizontal="left" vertical="center"/>
    </xf>
    <xf numFmtId="3" fontId="15" fillId="0" borderId="23" xfId="0" quotePrefix="1" applyNumberFormat="1" applyFont="1" applyBorder="1">
      <alignment vertical="center"/>
    </xf>
    <xf numFmtId="3" fontId="15" fillId="4" borderId="23" xfId="0" quotePrefix="1" applyNumberFormat="1" applyFont="1" applyFill="1" applyBorder="1">
      <alignment vertical="center"/>
    </xf>
    <xf numFmtId="0" fontId="70" fillId="0" borderId="0" xfId="0" applyFont="1" applyAlignment="1">
      <alignment horizontal="center" vertical="center"/>
    </xf>
    <xf numFmtId="0" fontId="197" fillId="0" borderId="0" xfId="0" applyFont="1" applyAlignment="1">
      <alignment horizontal="left" vertical="center"/>
    </xf>
    <xf numFmtId="3" fontId="197" fillId="0" borderId="1" xfId="0" applyNumberFormat="1" applyFont="1" applyBorder="1" applyAlignment="1">
      <alignment horizontal="left" vertical="center"/>
    </xf>
    <xf numFmtId="0" fontId="197" fillId="0" borderId="1" xfId="0" applyFont="1" applyBorder="1" applyAlignment="1">
      <alignment horizontal="center" vertical="center" shrinkToFit="1"/>
    </xf>
    <xf numFmtId="3" fontId="197" fillId="0" borderId="1" xfId="0" applyNumberFormat="1" applyFont="1" applyBorder="1" applyAlignment="1">
      <alignment horizontal="right" vertical="center" shrinkToFit="1"/>
    </xf>
    <xf numFmtId="3" fontId="197" fillId="0" borderId="1" xfId="0" quotePrefix="1" applyNumberFormat="1" applyFont="1" applyBorder="1" applyAlignment="1">
      <alignment horizontal="right" vertical="center" shrinkToFit="1"/>
    </xf>
    <xf numFmtId="3" fontId="198" fillId="0" borderId="1" xfId="0" applyNumberFormat="1" applyFont="1" applyBorder="1" applyAlignment="1">
      <alignment horizontal="center" vertical="center"/>
    </xf>
    <xf numFmtId="0" fontId="197" fillId="0" borderId="0" xfId="0" applyFont="1" applyAlignment="1">
      <alignment horizontal="center" vertical="center"/>
    </xf>
    <xf numFmtId="3" fontId="190" fillId="0" borderId="1" xfId="0" applyNumberFormat="1" applyFont="1" applyBorder="1">
      <alignment vertical="center"/>
    </xf>
    <xf numFmtId="0" fontId="190" fillId="0" borderId="1" xfId="0" applyFont="1" applyBorder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41" fontId="6" fillId="0" borderId="0" xfId="0" applyNumberFormat="1" applyFont="1">
      <alignment vertical="center"/>
    </xf>
    <xf numFmtId="41" fontId="6" fillId="0" borderId="0" xfId="0" applyNumberFormat="1" applyFont="1" applyAlignment="1">
      <alignment horizontal="center" vertical="center"/>
    </xf>
    <xf numFmtId="41" fontId="6" fillId="0" borderId="9" xfId="0" applyNumberFormat="1" applyFont="1" applyBorder="1">
      <alignment vertical="center"/>
    </xf>
    <xf numFmtId="41" fontId="47" fillId="0" borderId="0" xfId="0" applyNumberFormat="1" applyFont="1">
      <alignment vertical="center"/>
    </xf>
    <xf numFmtId="0" fontId="16" fillId="0" borderId="1" xfId="0" applyFont="1" applyBorder="1">
      <alignment vertical="center"/>
    </xf>
    <xf numFmtId="3" fontId="16" fillId="0" borderId="1" xfId="0" applyNumberFormat="1" applyFont="1" applyBorder="1" applyAlignment="1">
      <alignment vertical="center" shrinkToFit="1"/>
    </xf>
    <xf numFmtId="3" fontId="16" fillId="0" borderId="1" xfId="0" applyNumberFormat="1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219" fontId="6" fillId="0" borderId="0" xfId="0" applyNumberFormat="1" applyFont="1">
      <alignment vertical="center"/>
    </xf>
    <xf numFmtId="0" fontId="16" fillId="0" borderId="0" xfId="0" applyFont="1">
      <alignment vertical="center"/>
    </xf>
    <xf numFmtId="3" fontId="32" fillId="0" borderId="1" xfId="0" applyNumberFormat="1" applyFont="1" applyBorder="1">
      <alignment vertical="center"/>
    </xf>
    <xf numFmtId="0" fontId="32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vertical="center" shrinkToFit="1"/>
    </xf>
    <xf numFmtId="3" fontId="32" fillId="0" borderId="1" xfId="0" applyNumberFormat="1" applyFont="1" applyBorder="1" applyAlignment="1">
      <alignment vertical="center" shrinkToFit="1"/>
    </xf>
    <xf numFmtId="0" fontId="48" fillId="0" borderId="1" xfId="0" applyFont="1" applyBorder="1" applyAlignment="1">
      <alignment horizontal="center" vertical="center" shrinkToFit="1"/>
    </xf>
    <xf numFmtId="38" fontId="32" fillId="0" borderId="1" xfId="0" applyNumberFormat="1" applyFont="1" applyBorder="1">
      <alignment vertical="center"/>
    </xf>
    <xf numFmtId="41" fontId="16" fillId="0" borderId="1" xfId="0" applyNumberFormat="1" applyFont="1" applyBorder="1" applyAlignment="1">
      <alignment horizontal="center" vertical="center" shrinkToFit="1"/>
    </xf>
    <xf numFmtId="41" fontId="15" fillId="0" borderId="1" xfId="0" applyNumberFormat="1" applyFont="1" applyBorder="1" applyAlignment="1">
      <alignment horizontal="center" vertical="center" shrinkToFit="1"/>
    </xf>
    <xf numFmtId="3" fontId="35" fillId="0" borderId="1" xfId="0" applyNumberFormat="1" applyFont="1" applyBorder="1" applyAlignment="1">
      <alignment vertical="center" shrinkToFit="1"/>
    </xf>
    <xf numFmtId="3" fontId="35" fillId="0" borderId="1" xfId="0" applyNumberFormat="1" applyFont="1" applyBorder="1">
      <alignment vertical="center"/>
    </xf>
    <xf numFmtId="0" fontId="16" fillId="0" borderId="1" xfId="0" applyFont="1" applyBorder="1" applyAlignment="1">
      <alignment vertical="center" shrinkToFit="1"/>
    </xf>
    <xf numFmtId="0" fontId="15" fillId="0" borderId="1" xfId="0" applyFont="1" applyBorder="1">
      <alignment vertical="center"/>
    </xf>
    <xf numFmtId="0" fontId="71" fillId="0" borderId="1" xfId="0" applyFont="1" applyBorder="1" applyAlignment="1">
      <alignment horizontal="center" vertical="center"/>
    </xf>
    <xf numFmtId="0" fontId="72" fillId="0" borderId="1" xfId="0" applyFont="1" applyBorder="1" applyAlignment="1">
      <alignment horizontal="center" vertical="center"/>
    </xf>
    <xf numFmtId="41" fontId="192" fillId="0" borderId="0" xfId="0" applyNumberFormat="1" applyFont="1">
      <alignment vertical="center"/>
    </xf>
    <xf numFmtId="3" fontId="193" fillId="0" borderId="1" xfId="0" applyNumberFormat="1" applyFont="1" applyBorder="1" applyAlignment="1">
      <alignment vertical="center" shrinkToFit="1"/>
    </xf>
    <xf numFmtId="3" fontId="193" fillId="0" borderId="1" xfId="0" applyNumberFormat="1" applyFont="1" applyBorder="1">
      <alignment vertical="center"/>
    </xf>
    <xf numFmtId="0" fontId="194" fillId="0" borderId="1" xfId="0" applyFont="1" applyBorder="1" applyAlignment="1">
      <alignment horizontal="center" vertical="center"/>
    </xf>
    <xf numFmtId="9" fontId="192" fillId="0" borderId="0" xfId="5109" applyFont="1" applyFill="1" applyBorder="1" applyAlignment="1">
      <alignment vertical="center"/>
    </xf>
    <xf numFmtId="41" fontId="69" fillId="0" borderId="0" xfId="0" applyNumberFormat="1" applyFont="1">
      <alignment vertical="center"/>
    </xf>
    <xf numFmtId="3" fontId="190" fillId="0" borderId="1" xfId="0" applyNumberFormat="1" applyFont="1" applyBorder="1" applyAlignment="1">
      <alignment vertical="center" shrinkToFit="1"/>
    </xf>
    <xf numFmtId="3" fontId="46" fillId="0" borderId="1" xfId="0" applyNumberFormat="1" applyFont="1" applyBorder="1" applyAlignment="1">
      <alignment vertical="center" shrinkToFit="1"/>
    </xf>
    <xf numFmtId="3" fontId="46" fillId="0" borderId="1" xfId="0" applyNumberFormat="1" applyFont="1" applyBorder="1">
      <alignment vertical="center"/>
    </xf>
    <xf numFmtId="41" fontId="45" fillId="0" borderId="0" xfId="0" applyNumberFormat="1" applyFont="1">
      <alignment vertical="center"/>
    </xf>
    <xf numFmtId="41" fontId="16" fillId="0" borderId="1" xfId="0" applyNumberFormat="1" applyFont="1" applyBorder="1" applyAlignment="1">
      <alignment vertical="center" shrinkToFit="1"/>
    </xf>
    <xf numFmtId="3" fontId="48" fillId="0" borderId="1" xfId="0" applyNumberFormat="1" applyFont="1" applyBorder="1" applyAlignment="1">
      <alignment horizontal="center" vertical="center" shrinkToFit="1"/>
    </xf>
    <xf numFmtId="41" fontId="32" fillId="0" borderId="1" xfId="973" applyFont="1" applyFill="1" applyBorder="1" applyAlignment="1">
      <alignment vertical="center"/>
    </xf>
    <xf numFmtId="0" fontId="181" fillId="0" borderId="0" xfId="5111"/>
    <xf numFmtId="0" fontId="15" fillId="0" borderId="0" xfId="0" applyFont="1" applyAlignment="1">
      <alignment vertical="center" shrinkToFit="1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84" fontId="6" fillId="0" borderId="0" xfId="0" applyNumberFormat="1" applyFont="1">
      <alignment vertical="center"/>
    </xf>
    <xf numFmtId="180" fontId="6" fillId="0" borderId="0" xfId="0" applyNumberFormat="1" applyFont="1">
      <alignment vertical="center"/>
    </xf>
    <xf numFmtId="369" fontId="6" fillId="0" borderId="0" xfId="0" applyNumberFormat="1" applyFont="1">
      <alignment vertical="center"/>
    </xf>
    <xf numFmtId="3" fontId="15" fillId="4" borderId="1" xfId="0" quotePrefix="1" applyNumberFormat="1" applyFont="1" applyFill="1" applyBorder="1">
      <alignment vertical="center"/>
    </xf>
    <xf numFmtId="3" fontId="16" fillId="0" borderId="1" xfId="0" applyNumberFormat="1" applyFont="1" applyBorder="1" applyAlignment="1">
      <alignment horizontal="left" vertical="center"/>
    </xf>
    <xf numFmtId="0" fontId="15" fillId="4" borderId="0" xfId="0" applyFont="1" applyFill="1" applyAlignment="1">
      <alignment horizontal="centerContinuous" vertical="center"/>
    </xf>
    <xf numFmtId="0" fontId="15" fillId="0" borderId="21" xfId="0" applyFont="1" applyBorder="1" applyAlignment="1">
      <alignment horizontal="center" vertical="center"/>
    </xf>
    <xf numFmtId="3" fontId="15" fillId="4" borderId="1" xfId="0" applyNumberFormat="1" applyFont="1" applyFill="1" applyBorder="1" applyAlignment="1">
      <alignment vertical="center" shrinkToFit="1"/>
    </xf>
    <xf numFmtId="3" fontId="15" fillId="4" borderId="1" xfId="0" applyNumberFormat="1" applyFont="1" applyFill="1" applyBorder="1">
      <alignment vertical="center"/>
    </xf>
    <xf numFmtId="0" fontId="15" fillId="0" borderId="1" xfId="0" quotePrefix="1" applyFont="1" applyBorder="1" applyAlignment="1">
      <alignment horizontal="center" vertical="center"/>
    </xf>
    <xf numFmtId="3" fontId="15" fillId="0" borderId="25" xfId="0" applyNumberFormat="1" applyFont="1" applyBorder="1">
      <alignment vertical="center"/>
    </xf>
    <xf numFmtId="3" fontId="15" fillId="4" borderId="25" xfId="0" applyNumberFormat="1" applyFont="1" applyFill="1" applyBorder="1">
      <alignment vertical="center"/>
    </xf>
    <xf numFmtId="0" fontId="193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shrinkToFit="1"/>
    </xf>
    <xf numFmtId="0" fontId="32" fillId="0" borderId="1" xfId="0" applyFont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/>
    </xf>
    <xf numFmtId="41" fontId="6" fillId="0" borderId="1" xfId="0" applyNumberFormat="1" applyFont="1" applyBorder="1">
      <alignment vertical="center"/>
    </xf>
    <xf numFmtId="41" fontId="47" fillId="0" borderId="1" xfId="0" applyNumberFormat="1" applyFont="1" applyBorder="1">
      <alignment vertical="center"/>
    </xf>
    <xf numFmtId="41" fontId="192" fillId="0" borderId="1" xfId="0" applyNumberFormat="1" applyFont="1" applyBorder="1">
      <alignment vertical="center"/>
    </xf>
    <xf numFmtId="41" fontId="69" fillId="0" borderId="1" xfId="0" applyNumberFormat="1" applyFont="1" applyBorder="1">
      <alignment vertical="center"/>
    </xf>
    <xf numFmtId="0" fontId="49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6" fillId="0" borderId="1" xfId="0" quotePrefix="1" applyFont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49" fillId="0" borderId="1" xfId="0" quotePrefix="1" applyFont="1" applyBorder="1" applyAlignment="1">
      <alignment horizontal="center" vertical="center"/>
    </xf>
    <xf numFmtId="0" fontId="328" fillId="0" borderId="1" xfId="0" applyFont="1" applyBorder="1" applyAlignment="1">
      <alignment horizontal="center" vertical="center"/>
    </xf>
    <xf numFmtId="0" fontId="190" fillId="4" borderId="1" xfId="10741" applyFont="1" applyFill="1" applyBorder="1" applyAlignment="1">
      <alignment horizontal="center" vertical="center" shrinkToFit="1"/>
    </xf>
    <xf numFmtId="0" fontId="22" fillId="0" borderId="1" xfId="0" quotePrefix="1" applyFont="1" applyBorder="1" applyAlignment="1">
      <alignment horizontal="center" vertical="center"/>
    </xf>
    <xf numFmtId="41" fontId="16" fillId="0" borderId="1" xfId="0" applyNumberFormat="1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 wrapText="1" shrinkToFit="1"/>
    </xf>
    <xf numFmtId="0" fontId="16" fillId="0" borderId="2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  <xf numFmtId="0" fontId="16" fillId="4" borderId="21" xfId="0" applyFont="1" applyFill="1" applyBorder="1" applyAlignment="1">
      <alignment horizontal="center" vertical="center" shrinkToFit="1"/>
    </xf>
    <xf numFmtId="0" fontId="16" fillId="4" borderId="21" xfId="0" applyFont="1" applyFill="1" applyBorder="1" applyAlignment="1">
      <alignment horizontal="center" vertical="center" wrapText="1" shrinkToFit="1"/>
    </xf>
    <xf numFmtId="0" fontId="32" fillId="0" borderId="21" xfId="0" applyFont="1" applyBorder="1" applyAlignment="1">
      <alignment horizontal="center" vertical="center" wrapText="1" shrinkToFit="1"/>
    </xf>
    <xf numFmtId="0" fontId="35" fillId="0" borderId="21" xfId="0" applyFont="1" applyBorder="1" applyAlignment="1">
      <alignment horizontal="center" vertical="center" wrapText="1" shrinkToFit="1"/>
    </xf>
    <xf numFmtId="0" fontId="35" fillId="4" borderId="21" xfId="0" applyFont="1" applyFill="1" applyBorder="1" applyAlignment="1">
      <alignment horizontal="center" vertical="center" wrapText="1" shrinkToFit="1"/>
    </xf>
    <xf numFmtId="0" fontId="193" fillId="0" borderId="21" xfId="0" applyFont="1" applyBorder="1" applyAlignment="1">
      <alignment horizontal="center" vertical="center" wrapText="1" shrinkToFit="1"/>
    </xf>
    <xf numFmtId="0" fontId="190" fillId="0" borderId="21" xfId="0" applyFont="1" applyBorder="1" applyAlignment="1">
      <alignment horizontal="center" vertical="center" wrapText="1" shrinkToFit="1"/>
    </xf>
    <xf numFmtId="0" fontId="46" fillId="0" borderId="21" xfId="0" applyFont="1" applyBorder="1" applyAlignment="1">
      <alignment horizontal="center" vertical="center" wrapText="1" shrinkToFit="1"/>
    </xf>
    <xf numFmtId="3" fontId="15" fillId="0" borderId="21" xfId="0" applyNumberFormat="1" applyFont="1" applyBorder="1" applyAlignment="1">
      <alignment horizontal="center" vertical="center" wrapText="1" shrinkToFit="1"/>
    </xf>
    <xf numFmtId="219" fontId="47" fillId="0" borderId="0" xfId="0" applyNumberFormat="1" applyFont="1">
      <alignment vertical="center"/>
    </xf>
    <xf numFmtId="187" fontId="47" fillId="4" borderId="1" xfId="0" applyNumberFormat="1" applyFont="1" applyFill="1" applyBorder="1" applyAlignment="1">
      <alignment horizontal="center" vertical="center"/>
    </xf>
    <xf numFmtId="0" fontId="193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3" fontId="16" fillId="4" borderId="1" xfId="0" applyNumberFormat="1" applyFont="1" applyFill="1" applyBorder="1" applyAlignment="1">
      <alignment vertical="center" shrinkToFit="1"/>
    </xf>
    <xf numFmtId="3" fontId="16" fillId="4" borderId="1" xfId="0" applyNumberFormat="1" applyFont="1" applyFill="1" applyBorder="1">
      <alignment vertical="center"/>
    </xf>
    <xf numFmtId="41" fontId="6" fillId="4" borderId="1" xfId="0" applyNumberFormat="1" applyFont="1" applyFill="1" applyBorder="1">
      <alignment vertical="center"/>
    </xf>
    <xf numFmtId="0" fontId="15" fillId="4" borderId="21" xfId="0" applyFont="1" applyFill="1" applyBorder="1" applyAlignment="1">
      <alignment horizontal="center" vertical="center" wrapText="1" shrinkToFit="1"/>
    </xf>
    <xf numFmtId="0" fontId="15" fillId="4" borderId="13" xfId="0" applyFont="1" applyFill="1" applyBorder="1" applyAlignment="1">
      <alignment horizontal="center" vertical="center"/>
    </xf>
    <xf numFmtId="0" fontId="32" fillId="4" borderId="1" xfId="0" applyFont="1" applyFill="1" applyBorder="1" applyAlignment="1">
      <alignment horizontal="center" vertical="center"/>
    </xf>
    <xf numFmtId="187" fontId="15" fillId="4" borderId="1" xfId="0" quotePrefix="1" applyNumberFormat="1" applyFont="1" applyFill="1" applyBorder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 shrinkToFit="1"/>
    </xf>
    <xf numFmtId="3" fontId="16" fillId="0" borderId="1" xfId="0" applyNumberFormat="1" applyFont="1" applyBorder="1" applyAlignment="1">
      <alignment horizontal="center" vertical="center"/>
    </xf>
    <xf numFmtId="41" fontId="193" fillId="4" borderId="1" xfId="973" applyFont="1" applyFill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wrapText="1"/>
    </xf>
    <xf numFmtId="0" fontId="72" fillId="15" borderId="1" xfId="0" applyFont="1" applyFill="1" applyBorder="1" applyAlignment="1">
      <alignment horizontal="center" vertical="center" wrapText="1"/>
    </xf>
    <xf numFmtId="3" fontId="35" fillId="0" borderId="1" xfId="0" applyNumberFormat="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/>
    </xf>
    <xf numFmtId="187" fontId="16" fillId="4" borderId="1" xfId="0" quotePrefix="1" applyNumberFormat="1" applyFont="1" applyFill="1" applyBorder="1" applyAlignment="1">
      <alignment horizontal="center" vertical="center"/>
    </xf>
    <xf numFmtId="0" fontId="15" fillId="4" borderId="1" xfId="973" applyNumberFormat="1" applyFont="1" applyFill="1" applyBorder="1" applyAlignment="1">
      <alignment horizontal="center" vertical="center"/>
    </xf>
    <xf numFmtId="0" fontId="190" fillId="4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192" fillId="4" borderId="1" xfId="0" applyFont="1" applyFill="1" applyBorder="1" applyAlignment="1">
      <alignment horizontal="center" vertical="center"/>
    </xf>
    <xf numFmtId="0" fontId="69" fillId="4" borderId="1" xfId="0" applyFont="1" applyFill="1" applyBorder="1" applyAlignment="1">
      <alignment horizontal="center" vertical="center"/>
    </xf>
    <xf numFmtId="187" fontId="49" fillId="4" borderId="1" xfId="0" applyNumberFormat="1" applyFont="1" applyFill="1" applyBorder="1" applyAlignment="1">
      <alignment horizontal="center" vertical="center"/>
    </xf>
    <xf numFmtId="0" fontId="16" fillId="4" borderId="1" xfId="0" quotePrefix="1" applyFont="1" applyFill="1" applyBorder="1" applyAlignment="1">
      <alignment horizontal="center" vertical="center"/>
    </xf>
    <xf numFmtId="187" fontId="6" fillId="4" borderId="1" xfId="0" applyNumberFormat="1" applyFont="1" applyFill="1" applyBorder="1" applyAlignment="1">
      <alignment horizontal="center" vertical="center"/>
    </xf>
    <xf numFmtId="41" fontId="15" fillId="4" borderId="1" xfId="973" applyFont="1" applyFill="1" applyBorder="1" applyAlignment="1">
      <alignment horizontal="center" vertical="center" wrapText="1"/>
    </xf>
    <xf numFmtId="41" fontId="192" fillId="4" borderId="1" xfId="0" applyNumberFormat="1" applyFont="1" applyFill="1" applyBorder="1" applyAlignment="1">
      <alignment horizontal="center" vertical="center"/>
    </xf>
    <xf numFmtId="43" fontId="15" fillId="0" borderId="1" xfId="0" applyNumberFormat="1" applyFont="1" applyBorder="1" applyAlignment="1">
      <alignment horizontal="center" vertical="center"/>
    </xf>
    <xf numFmtId="9" fontId="15" fillId="0" borderId="1" xfId="0" applyNumberFormat="1" applyFont="1" applyBorder="1" applyAlignment="1">
      <alignment horizontal="center" vertical="center"/>
    </xf>
    <xf numFmtId="239" fontId="15" fillId="0" borderId="1" xfId="0" applyNumberFormat="1" applyFont="1" applyBorder="1" applyAlignment="1">
      <alignment horizontal="center" vertical="center"/>
    </xf>
    <xf numFmtId="191" fontId="6" fillId="0" borderId="1" xfId="0" applyNumberFormat="1" applyFont="1" applyBorder="1" applyAlignment="1">
      <alignment horizontal="center" vertical="center"/>
    </xf>
    <xf numFmtId="191" fontId="6" fillId="0" borderId="0" xfId="0" applyNumberFormat="1" applyFont="1" applyAlignment="1">
      <alignment horizontal="center" vertical="center"/>
    </xf>
    <xf numFmtId="192" fontId="193" fillId="4" borderId="1" xfId="9340" applyNumberFormat="1" applyFont="1" applyFill="1" applyBorder="1" applyAlignment="1">
      <alignment horizontal="center" vertical="center" shrinkToFit="1"/>
    </xf>
    <xf numFmtId="0" fontId="193" fillId="4" borderId="1" xfId="9340" applyNumberFormat="1" applyFont="1" applyFill="1" applyBorder="1" applyAlignment="1">
      <alignment horizontal="center" vertical="center" shrinkToFit="1"/>
    </xf>
    <xf numFmtId="3" fontId="190" fillId="4" borderId="1" xfId="0" applyNumberFormat="1" applyFont="1" applyFill="1" applyBorder="1">
      <alignment vertical="center"/>
    </xf>
    <xf numFmtId="0" fontId="190" fillId="4" borderId="1" xfId="9340" applyNumberFormat="1" applyFont="1" applyFill="1" applyBorder="1" applyAlignment="1">
      <alignment horizontal="center" vertical="center" shrinkToFit="1"/>
    </xf>
    <xf numFmtId="187" fontId="328" fillId="4" borderId="1" xfId="0" quotePrefix="1" applyNumberFormat="1" applyFont="1" applyFill="1" applyBorder="1" applyAlignment="1">
      <alignment horizontal="center" vertical="center"/>
    </xf>
    <xf numFmtId="187" fontId="47" fillId="4" borderId="25" xfId="0" applyNumberFormat="1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 vertical="center" wrapText="1" shrinkToFit="1"/>
    </xf>
    <xf numFmtId="0" fontId="15" fillId="4" borderId="25" xfId="0" applyFont="1" applyFill="1" applyBorder="1" applyAlignment="1">
      <alignment horizontal="center" vertical="center"/>
    </xf>
    <xf numFmtId="3" fontId="15" fillId="4" borderId="25" xfId="0" applyNumberFormat="1" applyFont="1" applyFill="1" applyBorder="1" applyAlignment="1">
      <alignment vertical="center" shrinkToFit="1"/>
    </xf>
    <xf numFmtId="0" fontId="16" fillId="4" borderId="25" xfId="0" applyFont="1" applyFill="1" applyBorder="1" applyAlignment="1">
      <alignment horizontal="center" vertical="center"/>
    </xf>
    <xf numFmtId="3" fontId="15" fillId="0" borderId="30" xfId="0" quotePrefix="1" applyNumberFormat="1" applyFont="1" applyBorder="1" applyAlignment="1">
      <alignment horizontal="center" vertical="center"/>
    </xf>
    <xf numFmtId="41" fontId="192" fillId="4" borderId="25" xfId="0" applyNumberFormat="1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 vertical="center" shrinkToFit="1"/>
    </xf>
    <xf numFmtId="0" fontId="22" fillId="4" borderId="25" xfId="0" applyFont="1" applyFill="1" applyBorder="1" applyAlignment="1">
      <alignment horizontal="center" vertical="center"/>
    </xf>
    <xf numFmtId="41" fontId="6" fillId="4" borderId="25" xfId="0" applyNumberFormat="1" applyFont="1" applyFill="1" applyBorder="1">
      <alignment vertical="center"/>
    </xf>
    <xf numFmtId="0" fontId="49" fillId="4" borderId="25" xfId="0" applyFont="1" applyFill="1" applyBorder="1" applyAlignment="1">
      <alignment horizontal="center" vertical="center"/>
    </xf>
    <xf numFmtId="187" fontId="15" fillId="4" borderId="25" xfId="0" quotePrefix="1" applyNumberFormat="1" applyFont="1" applyFill="1" applyBorder="1" applyAlignment="1">
      <alignment horizontal="center" vertical="center"/>
    </xf>
    <xf numFmtId="3" fontId="15" fillId="0" borderId="1" xfId="0" quotePrefix="1" applyNumberFormat="1" applyFont="1" applyBorder="1" applyAlignment="1">
      <alignment horizontal="center" vertical="center" shrinkToFit="1"/>
    </xf>
    <xf numFmtId="3" fontId="16" fillId="0" borderId="30" xfId="0" quotePrefix="1" applyNumberFormat="1" applyFont="1" applyBorder="1" applyAlignment="1">
      <alignment horizontal="center" vertical="center"/>
    </xf>
    <xf numFmtId="3" fontId="16" fillId="0" borderId="1" xfId="0" quotePrefix="1" applyNumberFormat="1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26" xfId="0" applyFont="1" applyBorder="1">
      <alignment vertical="center"/>
    </xf>
    <xf numFmtId="0" fontId="6" fillId="0" borderId="27" xfId="0" applyFont="1" applyBorder="1" applyAlignment="1">
      <alignment horizontal="center" vertical="center" shrinkToFit="1"/>
    </xf>
    <xf numFmtId="0" fontId="6" fillId="0" borderId="32" xfId="0" applyFont="1" applyBorder="1">
      <alignment vertical="center"/>
    </xf>
    <xf numFmtId="0" fontId="6" fillId="0" borderId="125" xfId="0" applyFont="1" applyBorder="1" applyAlignment="1">
      <alignment horizontal="center" vertical="center"/>
    </xf>
    <xf numFmtId="0" fontId="6" fillId="0" borderId="127" xfId="0" applyFont="1" applyBorder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>
      <alignment vertical="center"/>
    </xf>
    <xf numFmtId="0" fontId="6" fillId="0" borderId="29" xfId="0" applyFont="1" applyBorder="1" applyAlignment="1">
      <alignment horizontal="center" vertical="center" shrinkToFit="1"/>
    </xf>
    <xf numFmtId="0" fontId="6" fillId="0" borderId="30" xfId="0" applyFont="1" applyBorder="1">
      <alignment vertical="center"/>
    </xf>
    <xf numFmtId="0" fontId="6" fillId="0" borderId="125" xfId="0" applyFont="1" applyBorder="1" applyAlignment="1">
      <alignment horizontal="center" vertical="center" shrinkToFit="1"/>
    </xf>
    <xf numFmtId="0" fontId="69" fillId="0" borderId="23" xfId="0" applyFont="1" applyBorder="1" applyAlignment="1">
      <alignment horizontal="left" vertical="center"/>
    </xf>
    <xf numFmtId="0" fontId="6" fillId="0" borderId="118" xfId="0" applyFont="1" applyBorder="1" applyAlignment="1">
      <alignment horizontal="center" vertical="center" shrinkToFit="1"/>
    </xf>
    <xf numFmtId="0" fontId="69" fillId="0" borderId="127" xfId="0" applyFont="1" applyBorder="1">
      <alignment vertical="center"/>
    </xf>
    <xf numFmtId="0" fontId="69" fillId="0" borderId="133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8" xfId="0" applyFont="1" applyBorder="1">
      <alignment vertical="center"/>
    </xf>
    <xf numFmtId="0" fontId="47" fillId="0" borderId="128" xfId="0" applyFont="1" applyBorder="1">
      <alignment vertical="center"/>
    </xf>
    <xf numFmtId="370" fontId="69" fillId="0" borderId="127" xfId="0" applyNumberFormat="1" applyFont="1" applyBorder="1" applyAlignment="1">
      <alignment horizontal="left" vertical="center"/>
    </xf>
    <xf numFmtId="371" fontId="69" fillId="0" borderId="32" xfId="0" applyNumberFormat="1" applyFont="1" applyBorder="1" applyAlignment="1">
      <alignment horizontal="left" vertical="center"/>
    </xf>
    <xf numFmtId="372" fontId="69" fillId="0" borderId="127" xfId="0" applyNumberFormat="1" applyFont="1" applyBorder="1" applyAlignment="1">
      <alignment horizontal="left" vertical="center"/>
    </xf>
    <xf numFmtId="0" fontId="69" fillId="4" borderId="127" xfId="0" applyFont="1" applyFill="1" applyBorder="1">
      <alignment vertical="center"/>
    </xf>
    <xf numFmtId="0" fontId="6" fillId="0" borderId="13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18" xfId="0" applyFont="1" applyBorder="1" applyAlignment="1">
      <alignment horizontal="center" vertical="center"/>
    </xf>
    <xf numFmtId="0" fontId="6" fillId="4" borderId="125" xfId="0" applyFont="1" applyFill="1" applyBorder="1" applyAlignment="1">
      <alignment horizontal="center" vertical="center"/>
    </xf>
    <xf numFmtId="0" fontId="6" fillId="0" borderId="134" xfId="0" applyFont="1" applyBorder="1" applyAlignment="1">
      <alignment horizontal="center" vertical="center"/>
    </xf>
    <xf numFmtId="0" fontId="6" fillId="0" borderId="132" xfId="0" applyFont="1" applyBorder="1" applyAlignment="1">
      <alignment horizontal="center" vertical="center"/>
    </xf>
    <xf numFmtId="0" fontId="47" fillId="0" borderId="13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9" fillId="0" borderId="0" xfId="0" applyFont="1">
      <alignment vertical="center"/>
    </xf>
    <xf numFmtId="187" fontId="328" fillId="4" borderId="25" xfId="0" quotePrefix="1" applyNumberFormat="1" applyFont="1" applyFill="1" applyBorder="1" applyAlignment="1">
      <alignment horizontal="center" vertical="center"/>
    </xf>
    <xf numFmtId="41" fontId="6" fillId="4" borderId="24" xfId="0" applyNumberFormat="1" applyFont="1" applyFill="1" applyBorder="1">
      <alignment vertical="center"/>
    </xf>
    <xf numFmtId="0" fontId="16" fillId="4" borderId="21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 wrapText="1" shrinkToFit="1"/>
    </xf>
    <xf numFmtId="3" fontId="16" fillId="4" borderId="25" xfId="0" applyNumberFormat="1" applyFont="1" applyFill="1" applyBorder="1" applyAlignment="1">
      <alignment vertical="center" shrinkToFit="1"/>
    </xf>
    <xf numFmtId="3" fontId="16" fillId="4" borderId="25" xfId="0" applyNumberFormat="1" applyFont="1" applyFill="1" applyBorder="1">
      <alignment vertical="center"/>
    </xf>
    <xf numFmtId="371" fontId="69" fillId="4" borderId="127" xfId="0" applyNumberFormat="1" applyFont="1" applyFill="1" applyBorder="1" applyAlignment="1">
      <alignment horizontal="left" vertical="center"/>
    </xf>
    <xf numFmtId="370" fontId="69" fillId="4" borderId="127" xfId="0" applyNumberFormat="1" applyFont="1" applyFill="1" applyBorder="1" applyAlignment="1">
      <alignment horizontal="left" vertical="center"/>
    </xf>
    <xf numFmtId="0" fontId="69" fillId="4" borderId="131" xfId="0" applyFont="1" applyFill="1" applyBorder="1" applyAlignment="1">
      <alignment horizontal="left" vertical="center"/>
    </xf>
    <xf numFmtId="0" fontId="69" fillId="4" borderId="23" xfId="0" applyFont="1" applyFill="1" applyBorder="1">
      <alignment vertical="center"/>
    </xf>
    <xf numFmtId="0" fontId="69" fillId="4" borderId="131" xfId="0" applyFont="1" applyFill="1" applyBorder="1">
      <alignment vertical="center"/>
    </xf>
    <xf numFmtId="374" fontId="69" fillId="4" borderId="127" xfId="0" applyNumberFormat="1" applyFont="1" applyFill="1" applyBorder="1" applyAlignment="1">
      <alignment horizontal="left" vertical="center"/>
    </xf>
    <xf numFmtId="373" fontId="69" fillId="4" borderId="127" xfId="0" applyNumberFormat="1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center" vertical="center" wrapText="1" shrinkToFit="1"/>
    </xf>
    <xf numFmtId="0" fontId="16" fillId="4" borderId="1" xfId="0" applyFont="1" applyFill="1" applyBorder="1" applyAlignment="1">
      <alignment horizontal="center" vertical="center" wrapText="1" shrinkToFit="1"/>
    </xf>
    <xf numFmtId="187" fontId="193" fillId="4" borderId="1" xfId="0" quotePrefix="1" applyNumberFormat="1" applyFont="1" applyFill="1" applyBorder="1" applyAlignment="1">
      <alignment horizontal="center" vertical="center"/>
    </xf>
    <xf numFmtId="187" fontId="190" fillId="4" borderId="1" xfId="0" quotePrefix="1" applyNumberFormat="1" applyFont="1" applyFill="1" applyBorder="1" applyAlignment="1">
      <alignment horizontal="center" vertical="center"/>
    </xf>
    <xf numFmtId="41" fontId="47" fillId="4" borderId="1" xfId="0" applyNumberFormat="1" applyFont="1" applyFill="1" applyBorder="1" applyAlignment="1">
      <alignment horizontal="center" vertical="center"/>
    </xf>
    <xf numFmtId="43" fontId="15" fillId="4" borderId="1" xfId="0" applyNumberFormat="1" applyFont="1" applyFill="1" applyBorder="1" applyAlignment="1">
      <alignment horizontal="center" vertical="center"/>
    </xf>
    <xf numFmtId="0" fontId="189" fillId="4" borderId="0" xfId="10742" applyFont="1" applyFill="1"/>
    <xf numFmtId="0" fontId="73" fillId="4" borderId="0" xfId="10742" applyFont="1" applyFill="1"/>
    <xf numFmtId="0" fontId="73" fillId="4" borderId="0" xfId="10742" applyFont="1" applyFill="1" applyAlignment="1">
      <alignment vertical="center"/>
    </xf>
    <xf numFmtId="192" fontId="73" fillId="4" borderId="0" xfId="10742" applyNumberFormat="1" applyFont="1" applyFill="1" applyAlignment="1">
      <alignment vertical="center"/>
    </xf>
    <xf numFmtId="0" fontId="189" fillId="4" borderId="0" xfId="10742" applyFont="1" applyFill="1" applyAlignment="1">
      <alignment vertical="center"/>
    </xf>
    <xf numFmtId="0" fontId="73" fillId="4" borderId="0" xfId="10742" quotePrefix="1" applyFont="1" applyFill="1" applyAlignment="1">
      <alignment vertical="center"/>
    </xf>
    <xf numFmtId="178" fontId="73" fillId="4" borderId="0" xfId="10742" applyNumberFormat="1" applyFont="1" applyFill="1" applyAlignment="1">
      <alignment vertical="center"/>
    </xf>
    <xf numFmtId="0" fontId="189" fillId="4" borderId="0" xfId="9340" applyNumberFormat="1" applyFont="1" applyFill="1" applyBorder="1" applyAlignment="1">
      <alignment horizontal="left" vertical="center"/>
    </xf>
    <xf numFmtId="0" fontId="73" fillId="4" borderId="71" xfId="10742" applyFont="1" applyFill="1" applyBorder="1" applyAlignment="1">
      <alignment vertical="center"/>
    </xf>
    <xf numFmtId="0" fontId="189" fillId="4" borderId="71" xfId="10742" applyFont="1" applyFill="1" applyBorder="1" applyAlignment="1">
      <alignment vertical="center"/>
    </xf>
    <xf numFmtId="199" fontId="73" fillId="4" borderId="0" xfId="10742" applyNumberFormat="1" applyFont="1" applyFill="1" applyAlignment="1">
      <alignment vertical="center"/>
    </xf>
    <xf numFmtId="0" fontId="73" fillId="4" borderId="2" xfId="10742" applyFont="1" applyFill="1" applyBorder="1" applyAlignment="1">
      <alignment vertical="center"/>
    </xf>
    <xf numFmtId="0" fontId="324" fillId="4" borderId="0" xfId="9340" applyNumberFormat="1" applyFont="1" applyFill="1" applyBorder="1" applyAlignment="1">
      <alignment vertical="center"/>
    </xf>
    <xf numFmtId="0" fontId="73" fillId="4" borderId="9" xfId="10742" applyFont="1" applyFill="1" applyBorder="1" applyAlignment="1">
      <alignment vertical="center"/>
    </xf>
    <xf numFmtId="0" fontId="332" fillId="4" borderId="0" xfId="10742" applyFont="1" applyFill="1" applyAlignment="1">
      <alignment vertical="center"/>
    </xf>
    <xf numFmtId="0" fontId="320" fillId="4" borderId="0" xfId="10742" applyFont="1" applyFill="1" applyAlignment="1">
      <alignment horizontal="left" vertical="center"/>
    </xf>
    <xf numFmtId="0" fontId="73" fillId="4" borderId="0" xfId="9340" applyNumberFormat="1" applyFont="1" applyFill="1" applyBorder="1" applyAlignment="1">
      <alignment vertical="center"/>
    </xf>
    <xf numFmtId="193" fontId="73" fillId="4" borderId="0" xfId="10742" applyNumberFormat="1" applyFont="1" applyFill="1" applyAlignment="1">
      <alignment vertical="center"/>
    </xf>
    <xf numFmtId="192" fontId="73" fillId="4" borderId="0" xfId="10742" applyNumberFormat="1" applyFont="1" applyFill="1" applyAlignment="1">
      <alignment vertical="center" shrinkToFit="1"/>
    </xf>
    <xf numFmtId="194" fontId="73" fillId="4" borderId="0" xfId="10742" applyNumberFormat="1" applyFont="1" applyFill="1" applyAlignment="1">
      <alignment vertical="center"/>
    </xf>
    <xf numFmtId="0" fontId="189" fillId="4" borderId="0" xfId="10742" applyFont="1" applyFill="1" applyAlignment="1">
      <alignment horizontal="right" vertical="center"/>
    </xf>
    <xf numFmtId="0" fontId="323" fillId="4" borderId="0" xfId="10742" applyFont="1" applyFill="1" applyAlignment="1">
      <alignment vertical="center"/>
    </xf>
    <xf numFmtId="0" fontId="321" fillId="4" borderId="0" xfId="10742" applyFont="1" applyFill="1" applyAlignment="1">
      <alignment vertical="center"/>
    </xf>
    <xf numFmtId="0" fontId="322" fillId="4" borderId="0" xfId="10742" applyFont="1" applyFill="1" applyAlignment="1">
      <alignment vertical="center"/>
    </xf>
    <xf numFmtId="0" fontId="189" fillId="4" borderId="0" xfId="9340" applyNumberFormat="1" applyFont="1" applyFill="1" applyBorder="1" applyAlignment="1">
      <alignment vertical="center"/>
    </xf>
    <xf numFmtId="0" fontId="189" fillId="4" borderId="0" xfId="10742" quotePrefix="1" applyFont="1" applyFill="1" applyAlignment="1">
      <alignment vertical="center"/>
    </xf>
    <xf numFmtId="0" fontId="325" fillId="4" borderId="0" xfId="9340" applyNumberFormat="1" applyFont="1" applyFill="1" applyBorder="1" applyAlignment="1">
      <alignment vertical="center"/>
    </xf>
    <xf numFmtId="41" fontId="189" fillId="4" borderId="0" xfId="10742" applyNumberFormat="1" applyFont="1" applyFill="1" applyAlignment="1">
      <alignment vertical="center"/>
    </xf>
    <xf numFmtId="0" fontId="324" fillId="4" borderId="71" xfId="9340" applyNumberFormat="1" applyFont="1" applyFill="1" applyBorder="1" applyAlignment="1">
      <alignment vertical="center"/>
    </xf>
    <xf numFmtId="0" fontId="332" fillId="0" borderId="0" xfId="10742" applyFont="1" applyAlignment="1">
      <alignment vertical="center"/>
    </xf>
    <xf numFmtId="0" fontId="73" fillId="0" borderId="0" xfId="10742" applyFont="1" applyAlignment="1">
      <alignment vertical="center"/>
    </xf>
    <xf numFmtId="0" fontId="73" fillId="4" borderId="0" xfId="10742" applyFont="1" applyFill="1" applyAlignment="1">
      <alignment horizontal="center" vertical="center"/>
    </xf>
    <xf numFmtId="178" fontId="73" fillId="4" borderId="0" xfId="9340" applyNumberFormat="1" applyFont="1" applyFill="1" applyBorder="1" applyAlignment="1">
      <alignment vertical="center"/>
    </xf>
    <xf numFmtId="202" fontId="73" fillId="4" borderId="0" xfId="10742" applyNumberFormat="1" applyFont="1" applyFill="1" applyAlignment="1">
      <alignment vertical="center"/>
    </xf>
    <xf numFmtId="0" fontId="323" fillId="0" borderId="0" xfId="10742" applyFont="1" applyAlignment="1">
      <alignment vertical="center"/>
    </xf>
    <xf numFmtId="0" fontId="321" fillId="0" borderId="0" xfId="10742" applyFont="1" applyAlignment="1">
      <alignment vertical="center"/>
    </xf>
    <xf numFmtId="0" fontId="322" fillId="0" borderId="0" xfId="10742" applyFont="1" applyAlignment="1">
      <alignment vertical="center"/>
    </xf>
    <xf numFmtId="0" fontId="73" fillId="4" borderId="28" xfId="10742" applyFont="1" applyFill="1" applyBorder="1" applyAlignment="1">
      <alignment vertical="center"/>
    </xf>
    <xf numFmtId="187" fontId="73" fillId="4" borderId="0" xfId="10742" applyNumberFormat="1" applyFont="1" applyFill="1" applyAlignment="1">
      <alignment vertical="center"/>
    </xf>
    <xf numFmtId="193" fontId="73" fillId="4" borderId="71" xfId="10742" applyNumberFormat="1" applyFont="1" applyFill="1" applyBorder="1" applyAlignment="1">
      <alignment vertical="center"/>
    </xf>
    <xf numFmtId="192" fontId="73" fillId="4" borderId="71" xfId="10742" applyNumberFormat="1" applyFont="1" applyFill="1" applyBorder="1" applyAlignment="1">
      <alignment vertical="center" shrinkToFit="1"/>
    </xf>
    <xf numFmtId="194" fontId="73" fillId="4" borderId="71" xfId="10742" applyNumberFormat="1" applyFont="1" applyFill="1" applyBorder="1" applyAlignment="1">
      <alignment vertical="center"/>
    </xf>
    <xf numFmtId="0" fontId="189" fillId="4" borderId="0" xfId="9340" quotePrefix="1" applyNumberFormat="1" applyFont="1" applyFill="1" applyBorder="1" applyAlignment="1">
      <alignment vertical="center"/>
    </xf>
    <xf numFmtId="41" fontId="334" fillId="0" borderId="1" xfId="10743" applyNumberFormat="1" applyFont="1" applyBorder="1" applyAlignment="1">
      <alignment horizontal="center" vertical="center" shrinkToFit="1"/>
    </xf>
    <xf numFmtId="0" fontId="190" fillId="4" borderId="0" xfId="10743" applyFont="1" applyFill="1">
      <alignment vertical="center"/>
    </xf>
    <xf numFmtId="0" fontId="15" fillId="4" borderId="0" xfId="10743" applyFont="1" applyFill="1">
      <alignment vertical="center"/>
    </xf>
    <xf numFmtId="0" fontId="326" fillId="0" borderId="1" xfId="10743" applyFont="1" applyBorder="1" applyAlignment="1">
      <alignment horizontal="center" vertical="center" shrinkToFit="1"/>
    </xf>
    <xf numFmtId="41" fontId="326" fillId="0" borderId="1" xfId="9340" applyFont="1" applyFill="1" applyBorder="1" applyAlignment="1">
      <alignment horizontal="center" vertical="center" shrinkToFit="1"/>
    </xf>
    <xf numFmtId="0" fontId="335" fillId="4" borderId="30" xfId="9591" applyNumberFormat="1" applyFont="1" applyFill="1" applyBorder="1" applyAlignment="1">
      <alignment vertical="center" shrinkToFit="1"/>
    </xf>
    <xf numFmtId="0" fontId="326" fillId="4" borderId="21" xfId="10743" applyFont="1" applyFill="1" applyBorder="1" applyAlignment="1">
      <alignment horizontal="center" vertical="center" shrinkToFit="1"/>
    </xf>
    <xf numFmtId="0" fontId="326" fillId="0" borderId="23" xfId="10743" applyFont="1" applyBorder="1" applyAlignment="1">
      <alignment horizontal="center" vertical="center" shrinkToFit="1"/>
    </xf>
    <xf numFmtId="41" fontId="326" fillId="0" borderId="23" xfId="9340" applyFont="1" applyFill="1" applyBorder="1" applyAlignment="1">
      <alignment horizontal="center" vertical="center" shrinkToFit="1"/>
    </xf>
    <xf numFmtId="0" fontId="336" fillId="0" borderId="23" xfId="10743" applyFont="1" applyBorder="1" applyAlignment="1">
      <alignment horizontal="center" vertical="center" shrinkToFit="1"/>
    </xf>
    <xf numFmtId="41" fontId="334" fillId="0" borderId="23" xfId="10743" applyNumberFormat="1" applyFont="1" applyBorder="1" applyAlignment="1">
      <alignment horizontal="center" vertical="center" shrinkToFit="1"/>
    </xf>
    <xf numFmtId="41" fontId="326" fillId="0" borderId="23" xfId="10743" applyNumberFormat="1" applyFont="1" applyBorder="1" applyAlignment="1">
      <alignment horizontal="center" vertical="center" shrinkToFit="1"/>
    </xf>
    <xf numFmtId="0" fontId="335" fillId="4" borderId="30" xfId="9591" applyNumberFormat="1" applyFont="1" applyFill="1" applyBorder="1" applyAlignment="1">
      <alignment vertical="center" wrapText="1" shrinkToFit="1"/>
    </xf>
    <xf numFmtId="0" fontId="334" fillId="4" borderId="21" xfId="9585" applyNumberFormat="1" applyFont="1" applyFill="1" applyBorder="1" applyAlignment="1">
      <alignment horizontal="center" vertical="center" shrinkToFit="1"/>
    </xf>
    <xf numFmtId="0" fontId="334" fillId="0" borderId="23" xfId="9585" applyNumberFormat="1" applyFont="1" applyFill="1" applyBorder="1" applyAlignment="1">
      <alignment horizontal="center" vertical="center" shrinkToFit="1"/>
    </xf>
    <xf numFmtId="41" fontId="334" fillId="0" borderId="23" xfId="9340" applyFont="1" applyFill="1" applyBorder="1" applyAlignment="1">
      <alignment horizontal="right" vertical="center" shrinkToFit="1"/>
    </xf>
    <xf numFmtId="41" fontId="337" fillId="0" borderId="23" xfId="9585" applyFont="1" applyFill="1" applyBorder="1" applyAlignment="1">
      <alignment horizontal="center" vertical="center" shrinkToFit="1"/>
    </xf>
    <xf numFmtId="41" fontId="337" fillId="0" borderId="23" xfId="9585" applyFont="1" applyFill="1" applyBorder="1" applyAlignment="1">
      <alignment horizontal="right" vertical="center" shrinkToFit="1"/>
    </xf>
    <xf numFmtId="41" fontId="334" fillId="0" borderId="23" xfId="9585" applyFont="1" applyFill="1" applyBorder="1" applyAlignment="1">
      <alignment horizontal="right" vertical="center" shrinkToFit="1"/>
    </xf>
    <xf numFmtId="41" fontId="334" fillId="0" borderId="23" xfId="9585" applyFont="1" applyFill="1" applyBorder="1" applyAlignment="1">
      <alignment vertical="center" shrinkToFit="1"/>
    </xf>
    <xf numFmtId="0" fontId="334" fillId="4" borderId="0" xfId="10743" applyFont="1" applyFill="1">
      <alignment vertical="center"/>
    </xf>
    <xf numFmtId="0" fontId="338" fillId="4" borderId="0" xfId="10743" applyFont="1" applyFill="1">
      <alignment vertical="center"/>
    </xf>
    <xf numFmtId="41" fontId="338" fillId="4" borderId="0" xfId="10743" applyNumberFormat="1" applyFont="1" applyFill="1">
      <alignment vertical="center"/>
    </xf>
    <xf numFmtId="0" fontId="334" fillId="0" borderId="1" xfId="9585" applyNumberFormat="1" applyFont="1" applyFill="1" applyBorder="1" applyAlignment="1">
      <alignment horizontal="left" vertical="center" shrinkToFit="1"/>
    </xf>
    <xf numFmtId="0" fontId="334" fillId="0" borderId="21" xfId="9585" applyNumberFormat="1" applyFont="1" applyFill="1" applyBorder="1" applyAlignment="1">
      <alignment horizontal="center" vertical="center" shrinkToFit="1"/>
    </xf>
    <xf numFmtId="0" fontId="334" fillId="0" borderId="1" xfId="9585" applyNumberFormat="1" applyFont="1" applyFill="1" applyBorder="1" applyAlignment="1">
      <alignment horizontal="center" vertical="center" shrinkToFit="1"/>
    </xf>
    <xf numFmtId="41" fontId="334" fillId="0" borderId="1" xfId="9585" applyFont="1" applyFill="1" applyBorder="1" applyAlignment="1">
      <alignment horizontal="right" vertical="center" shrinkToFit="1"/>
    </xf>
    <xf numFmtId="41" fontId="334" fillId="0" borderId="22" xfId="9585" applyFont="1" applyFill="1" applyBorder="1" applyAlignment="1">
      <alignment horizontal="right" vertical="center" shrinkToFit="1"/>
    </xf>
    <xf numFmtId="0" fontId="334" fillId="0" borderId="0" xfId="10743" applyFont="1">
      <alignment vertical="center"/>
    </xf>
    <xf numFmtId="0" fontId="338" fillId="0" borderId="0" xfId="10743" applyFont="1">
      <alignment vertical="center"/>
    </xf>
    <xf numFmtId="0" fontId="334" fillId="4" borderId="1" xfId="9585" applyNumberFormat="1" applyFont="1" applyFill="1" applyBorder="1" applyAlignment="1">
      <alignment horizontal="left" vertical="center" shrinkToFit="1"/>
    </xf>
    <xf numFmtId="41" fontId="339" fillId="0" borderId="22" xfId="9585" applyFont="1" applyFill="1" applyBorder="1" applyAlignment="1">
      <alignment horizontal="right" vertical="center" shrinkToFit="1"/>
    </xf>
    <xf numFmtId="41" fontId="334" fillId="0" borderId="33" xfId="9585" applyFont="1" applyFill="1" applyBorder="1" applyAlignment="1">
      <alignment horizontal="right" vertical="center" shrinkToFit="1"/>
    </xf>
    <xf numFmtId="41" fontId="334" fillId="4" borderId="0" xfId="9340" applyFont="1" applyFill="1" applyAlignment="1">
      <alignment vertical="center"/>
    </xf>
    <xf numFmtId="184" fontId="334" fillId="0" borderId="22" xfId="9585" applyNumberFormat="1" applyFont="1" applyFill="1" applyBorder="1" applyAlignment="1">
      <alignment horizontal="right" vertical="center" shrinkToFit="1"/>
    </xf>
    <xf numFmtId="0" fontId="334" fillId="15" borderId="0" xfId="10743" applyFont="1" applyFill="1">
      <alignment vertical="center"/>
    </xf>
    <xf numFmtId="0" fontId="338" fillId="15" borderId="0" xfId="10743" applyFont="1" applyFill="1">
      <alignment vertical="center"/>
    </xf>
    <xf numFmtId="41" fontId="339" fillId="0" borderId="23" xfId="9585" applyFont="1" applyFill="1" applyBorder="1" applyAlignment="1">
      <alignment horizontal="right" vertical="center" shrinkToFit="1"/>
    </xf>
    <xf numFmtId="0" fontId="339" fillId="0" borderId="23" xfId="9585" applyNumberFormat="1" applyFont="1" applyFill="1" applyBorder="1" applyAlignment="1">
      <alignment horizontal="center" vertical="center" shrinkToFit="1"/>
    </xf>
    <xf numFmtId="224" fontId="334" fillId="0" borderId="1" xfId="9585" applyNumberFormat="1" applyFont="1" applyFill="1" applyBorder="1" applyAlignment="1">
      <alignment horizontal="right" vertical="center" shrinkToFit="1"/>
    </xf>
    <xf numFmtId="0" fontId="340" fillId="4" borderId="1" xfId="9585" applyNumberFormat="1" applyFont="1" applyFill="1" applyBorder="1" applyAlignment="1">
      <alignment horizontal="left" vertical="center" shrinkToFit="1"/>
    </xf>
    <xf numFmtId="0" fontId="338" fillId="60" borderId="0" xfId="10743" applyFont="1" applyFill="1">
      <alignment vertical="center"/>
    </xf>
    <xf numFmtId="0" fontId="337" fillId="0" borderId="23" xfId="9585" applyNumberFormat="1" applyFont="1" applyFill="1" applyBorder="1" applyAlignment="1">
      <alignment horizontal="center" vertical="center" shrinkToFit="1"/>
    </xf>
    <xf numFmtId="41" fontId="334" fillId="0" borderId="23" xfId="9585" applyFont="1" applyFill="1" applyBorder="1" applyAlignment="1">
      <alignment horizontal="center" vertical="center" shrinkToFit="1"/>
    </xf>
    <xf numFmtId="41" fontId="334" fillId="0" borderId="24" xfId="9585" applyFont="1" applyFill="1" applyBorder="1" applyAlignment="1">
      <alignment vertical="center"/>
    </xf>
    <xf numFmtId="0" fontId="338" fillId="14" borderId="0" xfId="10743" applyFont="1" applyFill="1">
      <alignment vertical="center"/>
    </xf>
    <xf numFmtId="41" fontId="334" fillId="0" borderId="1" xfId="9585" applyFont="1" applyFill="1" applyBorder="1" applyAlignment="1">
      <alignment horizontal="center" vertical="center" shrinkToFit="1"/>
    </xf>
    <xf numFmtId="377" fontId="334" fillId="0" borderId="23" xfId="9585" applyNumberFormat="1" applyFont="1" applyFill="1" applyBorder="1" applyAlignment="1">
      <alignment horizontal="right" vertical="center" shrinkToFit="1"/>
    </xf>
    <xf numFmtId="377" fontId="334" fillId="0" borderId="23" xfId="9340" applyNumberFormat="1" applyFont="1" applyFill="1" applyBorder="1" applyAlignment="1">
      <alignment horizontal="right" vertical="center" shrinkToFit="1"/>
    </xf>
    <xf numFmtId="0" fontId="334" fillId="4" borderId="24" xfId="9585" applyNumberFormat="1" applyFont="1" applyFill="1" applyBorder="1" applyAlignment="1">
      <alignment horizontal="left" vertical="center" shrinkToFit="1"/>
    </xf>
    <xf numFmtId="0" fontId="334" fillId="4" borderId="25" xfId="9585" applyNumberFormat="1" applyFont="1" applyFill="1" applyBorder="1" applyAlignment="1">
      <alignment horizontal="left" vertical="center" shrinkToFit="1"/>
    </xf>
    <xf numFmtId="3" fontId="334" fillId="0" borderId="23" xfId="9585" applyNumberFormat="1" applyFont="1" applyFill="1" applyBorder="1" applyAlignment="1">
      <alignment horizontal="center" vertical="center" shrinkToFit="1"/>
    </xf>
    <xf numFmtId="0" fontId="334" fillId="0" borderId="22" xfId="10743" applyFont="1" applyBorder="1">
      <alignment vertical="center"/>
    </xf>
    <xf numFmtId="0" fontId="339" fillId="4" borderId="0" xfId="10743" applyFont="1" applyFill="1">
      <alignment vertical="center"/>
    </xf>
    <xf numFmtId="9" fontId="334" fillId="4" borderId="1" xfId="9585" applyNumberFormat="1" applyFont="1" applyFill="1" applyBorder="1" applyAlignment="1">
      <alignment horizontal="left" vertical="center" shrinkToFit="1"/>
    </xf>
    <xf numFmtId="41" fontId="334" fillId="0" borderId="1" xfId="9340" applyFont="1" applyFill="1" applyBorder="1" applyAlignment="1">
      <alignment horizontal="right" vertical="center" shrinkToFit="1"/>
    </xf>
    <xf numFmtId="41" fontId="338" fillId="4" borderId="0" xfId="9340" applyFont="1" applyFill="1" applyAlignment="1">
      <alignment vertical="center"/>
    </xf>
    <xf numFmtId="43" fontId="338" fillId="4" borderId="0" xfId="10743" applyNumberFormat="1" applyFont="1" applyFill="1">
      <alignment vertical="center"/>
    </xf>
    <xf numFmtId="184" fontId="334" fillId="0" borderId="23" xfId="9585" applyNumberFormat="1" applyFont="1" applyFill="1" applyBorder="1" applyAlignment="1">
      <alignment vertical="center" shrinkToFit="1"/>
    </xf>
    <xf numFmtId="0" fontId="334" fillId="4" borderId="1" xfId="10056" applyNumberFormat="1" applyFont="1" applyFill="1" applyBorder="1" applyAlignment="1">
      <alignment horizontal="center" vertical="center" shrinkToFit="1"/>
    </xf>
    <xf numFmtId="41" fontId="334" fillId="0" borderId="21" xfId="9585" applyFont="1" applyFill="1" applyBorder="1" applyAlignment="1">
      <alignment horizontal="right" vertical="center" shrinkToFit="1"/>
    </xf>
    <xf numFmtId="41" fontId="334" fillId="0" borderId="1" xfId="9585" applyFont="1" applyFill="1" applyBorder="1" applyAlignment="1">
      <alignment vertical="center" shrinkToFit="1"/>
    </xf>
    <xf numFmtId="0" fontId="335" fillId="4" borderId="24" xfId="10056" applyNumberFormat="1" applyFont="1" applyFill="1" applyBorder="1" applyAlignment="1">
      <alignment vertical="center" shrinkToFit="1"/>
    </xf>
    <xf numFmtId="0" fontId="334" fillId="4" borderId="21" xfId="10056" applyNumberFormat="1" applyFont="1" applyFill="1" applyBorder="1" applyAlignment="1">
      <alignment horizontal="left" vertical="center" shrinkToFit="1"/>
    </xf>
    <xf numFmtId="0" fontId="335" fillId="4" borderId="30" xfId="10056" applyNumberFormat="1" applyFont="1" applyFill="1" applyBorder="1" applyAlignment="1">
      <alignment vertical="center" shrinkToFit="1"/>
    </xf>
    <xf numFmtId="0" fontId="334" fillId="4" borderId="21" xfId="10056" applyNumberFormat="1" applyFont="1" applyFill="1" applyBorder="1" applyAlignment="1">
      <alignment horizontal="center" vertical="center" shrinkToFit="1"/>
    </xf>
    <xf numFmtId="0" fontId="341" fillId="0" borderId="1" xfId="9585" applyNumberFormat="1" applyFont="1" applyFill="1" applyBorder="1" applyAlignment="1">
      <alignment horizontal="center" vertical="center" shrinkToFit="1"/>
    </xf>
    <xf numFmtId="41" fontId="341" fillId="0" borderId="24" xfId="9585" applyFont="1" applyFill="1" applyBorder="1" applyAlignment="1">
      <alignment horizontal="right" vertical="center" shrinkToFit="1"/>
    </xf>
    <xf numFmtId="41" fontId="335" fillId="0" borderId="1" xfId="9585" applyFont="1" applyFill="1" applyBorder="1" applyAlignment="1">
      <alignment vertical="center" shrinkToFit="1"/>
    </xf>
    <xf numFmtId="0" fontId="334" fillId="4" borderId="22" xfId="9585" applyNumberFormat="1" applyFont="1" applyFill="1" applyBorder="1" applyAlignment="1">
      <alignment horizontal="center" vertical="center" shrinkToFit="1"/>
    </xf>
    <xf numFmtId="41" fontId="339" fillId="0" borderId="23" xfId="9340" applyFont="1" applyFill="1" applyBorder="1" applyAlignment="1">
      <alignment horizontal="right" vertical="center" shrinkToFit="1"/>
    </xf>
    <xf numFmtId="0" fontId="45" fillId="4" borderId="0" xfId="10743" applyFont="1" applyFill="1">
      <alignment vertical="center"/>
    </xf>
    <xf numFmtId="0" fontId="45" fillId="4" borderId="27" xfId="10743" applyFont="1" applyFill="1" applyBorder="1">
      <alignment vertical="center"/>
    </xf>
    <xf numFmtId="0" fontId="6" fillId="4" borderId="0" xfId="10743" applyFont="1" applyFill="1">
      <alignment vertical="center"/>
    </xf>
    <xf numFmtId="0" fontId="342" fillId="0" borderId="0" xfId="10743" applyFont="1">
      <alignment vertical="center"/>
    </xf>
    <xf numFmtId="41" fontId="342" fillId="0" borderId="0" xfId="10743" applyNumberFormat="1" applyFont="1">
      <alignment vertical="center"/>
    </xf>
    <xf numFmtId="41" fontId="338" fillId="0" borderId="28" xfId="9585" applyFont="1" applyFill="1" applyBorder="1" applyAlignment="1">
      <alignment horizontal="center" vertical="center" shrinkToFit="1"/>
    </xf>
    <xf numFmtId="0" fontId="338" fillId="15" borderId="1" xfId="9585" applyNumberFormat="1" applyFont="1" applyFill="1" applyBorder="1" applyAlignment="1">
      <alignment horizontal="left" vertical="center" shrinkToFit="1"/>
    </xf>
    <xf numFmtId="0" fontId="339" fillId="15" borderId="1" xfId="9340" applyNumberFormat="1" applyFont="1" applyFill="1" applyBorder="1" applyAlignment="1">
      <alignment horizontal="center" vertical="center" shrinkToFit="1"/>
    </xf>
    <xf numFmtId="0" fontId="343" fillId="61" borderId="1" xfId="10743" applyFont="1" applyFill="1" applyBorder="1" applyAlignment="1">
      <alignment vertical="center" shrinkToFit="1"/>
    </xf>
    <xf numFmtId="3" fontId="334" fillId="61" borderId="1" xfId="10743" applyNumberFormat="1" applyFont="1" applyFill="1" applyBorder="1">
      <alignment vertical="center"/>
    </xf>
    <xf numFmtId="0" fontId="343" fillId="0" borderId="1" xfId="10743" applyFont="1" applyBorder="1">
      <alignment vertical="center"/>
    </xf>
    <xf numFmtId="3" fontId="334" fillId="0" borderId="1" xfId="10743" applyNumberFormat="1" applyFont="1" applyBorder="1">
      <alignment vertical="center"/>
    </xf>
    <xf numFmtId="0" fontId="343" fillId="61" borderId="1" xfId="9585" applyNumberFormat="1" applyFont="1" applyFill="1" applyBorder="1" applyAlignment="1">
      <alignment horizontal="center" vertical="center" shrinkToFit="1"/>
    </xf>
    <xf numFmtId="192" fontId="334" fillId="61" borderId="1" xfId="10743" applyNumberFormat="1" applyFont="1" applyFill="1" applyBorder="1">
      <alignment vertical="center"/>
    </xf>
    <xf numFmtId="192" fontId="344" fillId="15" borderId="1" xfId="10743" applyNumberFormat="1" applyFont="1" applyFill="1" applyBorder="1">
      <alignment vertical="center"/>
    </xf>
    <xf numFmtId="192" fontId="191" fillId="15" borderId="24" xfId="10743" applyNumberFormat="1" applyFont="1" applyFill="1" applyBorder="1">
      <alignment vertical="center"/>
    </xf>
    <xf numFmtId="192" fontId="338" fillId="15" borderId="162" xfId="9585" applyNumberFormat="1" applyFont="1" applyFill="1" applyBorder="1" applyAlignment="1">
      <alignment horizontal="center" vertical="center" shrinkToFit="1"/>
    </xf>
    <xf numFmtId="192" fontId="338" fillId="15" borderId="163" xfId="9585" applyNumberFormat="1" applyFont="1" applyFill="1" applyBorder="1" applyAlignment="1">
      <alignment horizontal="center" vertical="center" shrinkToFit="1"/>
    </xf>
    <xf numFmtId="3" fontId="334" fillId="61" borderId="1" xfId="10743" applyNumberFormat="1" applyFont="1" applyFill="1" applyBorder="1" applyAlignment="1">
      <alignment horizontal="right" vertical="center"/>
    </xf>
    <xf numFmtId="0" fontId="345" fillId="0" borderId="0" xfId="10743" applyFont="1">
      <alignment vertical="center"/>
    </xf>
    <xf numFmtId="41" fontId="338" fillId="0" borderId="0" xfId="9585" applyFont="1" applyFill="1" applyBorder="1" applyAlignment="1">
      <alignment horizontal="center" vertical="center" shrinkToFit="1"/>
    </xf>
    <xf numFmtId="0" fontId="45" fillId="0" borderId="0" xfId="10743" applyFont="1">
      <alignment vertical="center"/>
    </xf>
    <xf numFmtId="0" fontId="332" fillId="4" borderId="0" xfId="10744" applyFont="1" applyFill="1" applyAlignment="1">
      <alignment vertical="center"/>
    </xf>
    <xf numFmtId="0" fontId="73" fillId="4" borderId="0" xfId="10744" applyFont="1" applyFill="1" applyAlignment="1">
      <alignment vertical="center"/>
    </xf>
    <xf numFmtId="0" fontId="320" fillId="4" borderId="0" xfId="10744" applyFont="1" applyFill="1" applyAlignment="1">
      <alignment horizontal="left" vertical="center"/>
    </xf>
    <xf numFmtId="0" fontId="321" fillId="4" borderId="0" xfId="10744" applyFont="1" applyFill="1" applyAlignment="1">
      <alignment vertical="center"/>
    </xf>
    <xf numFmtId="0" fontId="322" fillId="4" borderId="0" xfId="10744" applyFont="1" applyFill="1" applyAlignment="1">
      <alignment vertical="center"/>
    </xf>
    <xf numFmtId="0" fontId="323" fillId="4" borderId="0" xfId="10744" applyFont="1" applyFill="1" applyAlignment="1">
      <alignment vertical="center"/>
    </xf>
    <xf numFmtId="0" fontId="189" fillId="4" borderId="0" xfId="10744" applyFont="1" applyFill="1" applyAlignment="1">
      <alignment vertical="center"/>
    </xf>
    <xf numFmtId="0" fontId="189" fillId="4" borderId="0" xfId="10744" applyFont="1" applyFill="1" applyAlignment="1">
      <alignment horizontal="right" vertical="center"/>
    </xf>
    <xf numFmtId="0" fontId="73" fillId="4" borderId="0" xfId="10744" quotePrefix="1" applyFont="1" applyFill="1" applyAlignment="1">
      <alignment vertical="center"/>
    </xf>
    <xf numFmtId="0" fontId="73" fillId="4" borderId="9" xfId="10744" applyFont="1" applyFill="1" applyBorder="1" applyAlignment="1">
      <alignment vertical="center"/>
    </xf>
    <xf numFmtId="199" fontId="73" fillId="4" borderId="0" xfId="10744" applyNumberFormat="1" applyFont="1" applyFill="1" applyAlignment="1">
      <alignment vertical="center"/>
    </xf>
    <xf numFmtId="178" fontId="73" fillId="4" borderId="0" xfId="10744" applyNumberFormat="1" applyFont="1" applyFill="1" applyAlignment="1">
      <alignment vertical="center"/>
    </xf>
    <xf numFmtId="0" fontId="73" fillId="4" borderId="2" xfId="10744" applyFont="1" applyFill="1" applyBorder="1" applyAlignment="1">
      <alignment vertical="center"/>
    </xf>
    <xf numFmtId="0" fontId="73" fillId="4" borderId="71" xfId="10744" applyFont="1" applyFill="1" applyBorder="1" applyAlignment="1">
      <alignment vertical="center"/>
    </xf>
    <xf numFmtId="192" fontId="73" fillId="4" borderId="71" xfId="10744" applyNumberFormat="1" applyFont="1" applyFill="1" applyBorder="1" applyAlignment="1">
      <alignment vertical="center" shrinkToFit="1"/>
    </xf>
    <xf numFmtId="194" fontId="73" fillId="4" borderId="71" xfId="10744" applyNumberFormat="1" applyFont="1" applyFill="1" applyBorder="1" applyAlignment="1">
      <alignment vertical="center"/>
    </xf>
    <xf numFmtId="193" fontId="73" fillId="4" borderId="71" xfId="10744" applyNumberFormat="1" applyFont="1" applyFill="1" applyBorder="1" applyAlignment="1">
      <alignment vertical="center"/>
    </xf>
    <xf numFmtId="192" fontId="73" fillId="4" borderId="0" xfId="10744" applyNumberFormat="1" applyFont="1" applyFill="1" applyAlignment="1">
      <alignment vertical="center" shrinkToFit="1"/>
    </xf>
    <xf numFmtId="194" fontId="73" fillId="4" borderId="0" xfId="10744" applyNumberFormat="1" applyFont="1" applyFill="1" applyAlignment="1">
      <alignment vertical="center"/>
    </xf>
    <xf numFmtId="187" fontId="73" fillId="4" borderId="0" xfId="10744" applyNumberFormat="1" applyFont="1" applyFill="1" applyAlignment="1">
      <alignment vertical="center"/>
    </xf>
    <xf numFmtId="0" fontId="73" fillId="4" borderId="0" xfId="10744" applyFont="1" applyFill="1" applyAlignment="1">
      <alignment horizontal="center" vertical="center"/>
    </xf>
    <xf numFmtId="0" fontId="73" fillId="4" borderId="28" xfId="10744" applyFont="1" applyFill="1" applyBorder="1" applyAlignment="1">
      <alignment vertical="center"/>
    </xf>
    <xf numFmtId="0" fontId="321" fillId="0" borderId="0" xfId="10744" applyFont="1" applyAlignment="1">
      <alignment vertical="center"/>
    </xf>
    <xf numFmtId="0" fontId="322" fillId="0" borderId="0" xfId="10744" applyFont="1" applyAlignment="1">
      <alignment vertical="center"/>
    </xf>
    <xf numFmtId="0" fontId="323" fillId="0" borderId="0" xfId="10744" applyFont="1" applyAlignment="1">
      <alignment vertical="center"/>
    </xf>
    <xf numFmtId="0" fontId="73" fillId="0" borderId="0" xfId="10744" applyFont="1" applyAlignment="1">
      <alignment vertical="center"/>
    </xf>
    <xf numFmtId="0" fontId="189" fillId="4" borderId="71" xfId="10744" applyFont="1" applyFill="1" applyBorder="1" applyAlignment="1">
      <alignment vertical="center"/>
    </xf>
    <xf numFmtId="41" fontId="189" fillId="4" borderId="0" xfId="10744" applyNumberFormat="1" applyFont="1" applyFill="1" applyAlignment="1">
      <alignment vertical="center"/>
    </xf>
    <xf numFmtId="193" fontId="73" fillId="4" borderId="0" xfId="10744" applyNumberFormat="1" applyFont="1" applyFill="1" applyAlignment="1">
      <alignment vertical="center"/>
    </xf>
    <xf numFmtId="202" fontId="73" fillId="4" borderId="0" xfId="10744" applyNumberFormat="1" applyFont="1" applyFill="1" applyAlignment="1">
      <alignment vertical="center"/>
    </xf>
    <xf numFmtId="0" fontId="332" fillId="0" borderId="0" xfId="10744" applyFont="1" applyAlignment="1">
      <alignment vertical="center"/>
    </xf>
    <xf numFmtId="0" fontId="189" fillId="4" borderId="0" xfId="10744" quotePrefix="1" applyFont="1" applyFill="1" applyAlignment="1">
      <alignment vertical="center"/>
    </xf>
    <xf numFmtId="192" fontId="73" fillId="4" borderId="0" xfId="10744" applyNumberFormat="1" applyFont="1" applyFill="1" applyAlignment="1">
      <alignment vertical="center"/>
    </xf>
    <xf numFmtId="0" fontId="73" fillId="4" borderId="0" xfId="10744" applyFont="1" applyFill="1"/>
    <xf numFmtId="0" fontId="189" fillId="4" borderId="0" xfId="10744" applyFont="1" applyFill="1"/>
    <xf numFmtId="0" fontId="319" fillId="4" borderId="0" xfId="10745" applyFont="1" applyFill="1"/>
    <xf numFmtId="0" fontId="319" fillId="4" borderId="30" xfId="10745" applyFont="1" applyFill="1" applyBorder="1" applyAlignment="1">
      <alignment horizontal="center"/>
    </xf>
    <xf numFmtId="0" fontId="319" fillId="4" borderId="32" xfId="10745" applyFont="1" applyFill="1" applyBorder="1" applyAlignment="1">
      <alignment horizontal="center"/>
    </xf>
    <xf numFmtId="0" fontId="189" fillId="4" borderId="0" xfId="10745" applyFont="1" applyFill="1"/>
    <xf numFmtId="0" fontId="319" fillId="4" borderId="23" xfId="10745" applyFont="1" applyFill="1" applyBorder="1" applyAlignment="1">
      <alignment horizontal="center"/>
    </xf>
    <xf numFmtId="0" fontId="73" fillId="4" borderId="0" xfId="10745" applyFont="1" applyFill="1" applyAlignment="1">
      <alignment vertical="center"/>
    </xf>
    <xf numFmtId="0" fontId="73" fillId="4" borderId="2" xfId="10745" applyFont="1" applyFill="1" applyBorder="1" applyAlignment="1">
      <alignment vertical="center"/>
    </xf>
    <xf numFmtId="0" fontId="347" fillId="4" borderId="0" xfId="10745" applyFont="1" applyFill="1" applyAlignment="1">
      <alignment vertical="center"/>
    </xf>
    <xf numFmtId="41" fontId="319" fillId="4" borderId="23" xfId="9340" applyFont="1" applyFill="1" applyBorder="1" applyAlignment="1">
      <alignment vertical="center"/>
    </xf>
    <xf numFmtId="41" fontId="319" fillId="4" borderId="23" xfId="9340" applyFont="1" applyFill="1" applyBorder="1" applyAlignment="1">
      <alignment horizontal="center" vertical="center"/>
    </xf>
    <xf numFmtId="41" fontId="319" fillId="4" borderId="30" xfId="9340" applyFont="1" applyFill="1" applyBorder="1" applyAlignment="1">
      <alignment horizontal="center" vertical="center"/>
    </xf>
    <xf numFmtId="178" fontId="319" fillId="4" borderId="32" xfId="10745" applyNumberFormat="1" applyFont="1" applyFill="1" applyBorder="1" applyAlignment="1">
      <alignment vertical="center"/>
    </xf>
    <xf numFmtId="0" fontId="73" fillId="4" borderId="116" xfId="10745" applyFont="1" applyFill="1" applyBorder="1" applyAlignment="1">
      <alignment vertical="center"/>
    </xf>
    <xf numFmtId="0" fontId="73" fillId="4" borderId="164" xfId="10745" applyFont="1" applyFill="1" applyBorder="1" applyAlignment="1">
      <alignment vertical="center"/>
    </xf>
    <xf numFmtId="0" fontId="321" fillId="4" borderId="0" xfId="10745" applyFont="1" applyFill="1" applyAlignment="1">
      <alignment vertical="center"/>
    </xf>
    <xf numFmtId="0" fontId="189" fillId="4" borderId="6" xfId="10745" applyFont="1" applyFill="1" applyBorder="1" applyAlignment="1">
      <alignment vertical="center"/>
    </xf>
    <xf numFmtId="0" fontId="189" fillId="4" borderId="0" xfId="10745" applyFont="1" applyFill="1" applyAlignment="1">
      <alignment vertical="center"/>
    </xf>
    <xf numFmtId="0" fontId="189" fillId="4" borderId="7" xfId="10745" applyFont="1" applyFill="1" applyBorder="1" applyAlignment="1">
      <alignment vertical="center"/>
    </xf>
    <xf numFmtId="0" fontId="73" fillId="4" borderId="6" xfId="10745" applyFont="1" applyFill="1" applyBorder="1" applyAlignment="1">
      <alignment vertical="center"/>
    </xf>
    <xf numFmtId="178" fontId="189" fillId="4" borderId="0" xfId="9340" applyNumberFormat="1" applyFont="1" applyFill="1" applyBorder="1" applyAlignment="1">
      <alignment vertical="center"/>
    </xf>
    <xf numFmtId="0" fontId="73" fillId="4" borderId="7" xfId="10745" applyFont="1" applyFill="1" applyBorder="1" applyAlignment="1">
      <alignment vertical="center"/>
    </xf>
    <xf numFmtId="0" fontId="189" fillId="4" borderId="9" xfId="10745" applyFont="1" applyFill="1" applyBorder="1" applyAlignment="1">
      <alignment vertical="center"/>
    </xf>
    <xf numFmtId="0" fontId="189" fillId="4" borderId="0" xfId="10745" quotePrefix="1" applyFont="1" applyFill="1" applyAlignment="1">
      <alignment vertical="center"/>
    </xf>
    <xf numFmtId="0" fontId="189" fillId="4" borderId="109" xfId="10745" applyFont="1" applyFill="1" applyBorder="1" applyAlignment="1">
      <alignment vertical="center"/>
    </xf>
    <xf numFmtId="0" fontId="189" fillId="4" borderId="28" xfId="10745" applyFont="1" applyFill="1" applyBorder="1" applyAlignment="1">
      <alignment vertical="center"/>
    </xf>
    <xf numFmtId="0" fontId="189" fillId="4" borderId="28" xfId="10745" applyFont="1" applyFill="1" applyBorder="1" applyAlignment="1">
      <alignment horizontal="right" vertical="center"/>
    </xf>
    <xf numFmtId="0" fontId="189" fillId="4" borderId="108" xfId="10745" applyFont="1" applyFill="1" applyBorder="1" applyAlignment="1">
      <alignment vertical="center"/>
    </xf>
    <xf numFmtId="378" fontId="189" fillId="4" borderId="0" xfId="10745" applyNumberFormat="1" applyFont="1" applyFill="1" applyAlignment="1">
      <alignment vertical="center"/>
    </xf>
    <xf numFmtId="0" fontId="189" fillId="4" borderId="156" xfId="10745" applyFont="1" applyFill="1" applyBorder="1" applyAlignment="1">
      <alignment vertical="center"/>
    </xf>
    <xf numFmtId="0" fontId="189" fillId="4" borderId="116" xfId="10745" applyFont="1" applyFill="1" applyBorder="1" applyAlignment="1">
      <alignment vertical="center"/>
    </xf>
    <xf numFmtId="0" fontId="189" fillId="4" borderId="164" xfId="10745" applyFont="1" applyFill="1" applyBorder="1" applyAlignment="1">
      <alignment vertical="center"/>
    </xf>
    <xf numFmtId="195" fontId="189" fillId="4" borderId="0" xfId="9340" applyNumberFormat="1" applyFont="1" applyFill="1" applyBorder="1" applyAlignment="1">
      <alignment vertical="center"/>
    </xf>
    <xf numFmtId="0" fontId="73" fillId="0" borderId="116" xfId="10745" applyFont="1" applyBorder="1" applyAlignment="1">
      <alignment vertical="center"/>
    </xf>
    <xf numFmtId="0" fontId="73" fillId="0" borderId="164" xfId="10745" applyFont="1" applyBorder="1" applyAlignment="1">
      <alignment vertical="center"/>
    </xf>
    <xf numFmtId="0" fontId="321" fillId="0" borderId="0" xfId="10745" applyFont="1" applyAlignment="1">
      <alignment vertical="center"/>
    </xf>
    <xf numFmtId="41" fontId="189" fillId="4" borderId="0" xfId="9340" applyFont="1" applyFill="1" applyBorder="1" applyAlignment="1">
      <alignment vertical="center"/>
    </xf>
    <xf numFmtId="0" fontId="73" fillId="4" borderId="2" xfId="10745" applyFont="1" applyFill="1" applyBorder="1" applyAlignment="1">
      <alignment horizontal="left" vertical="center"/>
    </xf>
    <xf numFmtId="0" fontId="189" fillId="0" borderId="0" xfId="10745" applyFont="1" applyAlignment="1">
      <alignment vertical="center"/>
    </xf>
    <xf numFmtId="0" fontId="189" fillId="0" borderId="116" xfId="10745" applyFont="1" applyBorder="1" applyAlignment="1">
      <alignment vertical="center"/>
    </xf>
    <xf numFmtId="0" fontId="189" fillId="0" borderId="28" xfId="10745" applyFont="1" applyBorder="1" applyAlignment="1">
      <alignment vertical="center"/>
    </xf>
    <xf numFmtId="0" fontId="189" fillId="4" borderId="6" xfId="10746" applyFont="1" applyFill="1" applyBorder="1" applyAlignment="1">
      <alignment vertical="center"/>
    </xf>
    <xf numFmtId="0" fontId="189" fillId="4" borderId="0" xfId="10746" applyFont="1" applyFill="1" applyAlignment="1">
      <alignment vertical="center"/>
    </xf>
    <xf numFmtId="378" fontId="189" fillId="4" borderId="0" xfId="10746" applyNumberFormat="1" applyFont="1" applyFill="1" applyAlignment="1">
      <alignment vertical="center"/>
    </xf>
    <xf numFmtId="0" fontId="73" fillId="4" borderId="0" xfId="10746" applyFont="1" applyFill="1" applyAlignment="1">
      <alignment vertical="center"/>
    </xf>
    <xf numFmtId="0" fontId="189" fillId="4" borderId="0" xfId="9725" applyNumberFormat="1" applyFont="1" applyFill="1" applyBorder="1" applyAlignment="1">
      <alignment vertical="center"/>
    </xf>
    <xf numFmtId="0" fontId="189" fillId="4" borderId="0" xfId="9725" quotePrefix="1" applyNumberFormat="1" applyFont="1" applyFill="1" applyBorder="1" applyAlignment="1">
      <alignment vertical="center"/>
    </xf>
    <xf numFmtId="0" fontId="189" fillId="4" borderId="7" xfId="10746" applyFont="1" applyFill="1" applyBorder="1" applyAlignment="1">
      <alignment vertical="center"/>
    </xf>
    <xf numFmtId="0" fontId="321" fillId="4" borderId="0" xfId="10746" applyFont="1" applyFill="1" applyAlignment="1">
      <alignment vertical="center"/>
    </xf>
    <xf numFmtId="0" fontId="73" fillId="0" borderId="0" xfId="10745" applyFont="1" applyAlignment="1">
      <alignment vertical="center"/>
    </xf>
    <xf numFmtId="0" fontId="73" fillId="62" borderId="116" xfId="10745" applyFont="1" applyFill="1" applyBorder="1" applyAlignment="1">
      <alignment vertical="center"/>
    </xf>
    <xf numFmtId="0" fontId="73" fillId="62" borderId="164" xfId="10745" applyFont="1" applyFill="1" applyBorder="1" applyAlignment="1">
      <alignment vertical="center"/>
    </xf>
    <xf numFmtId="0" fontId="321" fillId="62" borderId="0" xfId="10745" applyFont="1" applyFill="1" applyAlignment="1">
      <alignment vertical="center"/>
    </xf>
    <xf numFmtId="41" fontId="189" fillId="4" borderId="9" xfId="10745" applyNumberFormat="1" applyFont="1" applyFill="1" applyBorder="1" applyAlignment="1">
      <alignment vertical="center"/>
    </xf>
    <xf numFmtId="0" fontId="189" fillId="4" borderId="28" xfId="10745" applyFont="1" applyFill="1" applyBorder="1" applyAlignment="1">
      <alignment horizontal="right" vertical="center" shrinkToFit="1"/>
    </xf>
    <xf numFmtId="41" fontId="321" fillId="4" borderId="0" xfId="10745" applyNumberFormat="1" applyFont="1" applyFill="1" applyAlignment="1">
      <alignment vertical="center"/>
    </xf>
    <xf numFmtId="0" fontId="189" fillId="4" borderId="0" xfId="9585" applyNumberFormat="1" applyFont="1" applyFill="1" applyBorder="1" applyAlignment="1">
      <alignment horizontal="left" vertical="center"/>
    </xf>
    <xf numFmtId="0" fontId="189" fillId="4" borderId="0" xfId="9585" applyNumberFormat="1" applyFont="1" applyFill="1" applyBorder="1" applyAlignment="1">
      <alignment vertical="center"/>
    </xf>
    <xf numFmtId="178" fontId="189" fillId="4" borderId="0" xfId="9585" applyNumberFormat="1" applyFont="1" applyFill="1" applyBorder="1" applyAlignment="1">
      <alignment vertical="center"/>
    </xf>
    <xf numFmtId="195" fontId="189" fillId="4" borderId="0" xfId="9585" applyNumberFormat="1" applyFont="1" applyFill="1" applyBorder="1" applyAlignment="1">
      <alignment vertical="center"/>
    </xf>
    <xf numFmtId="178" fontId="73" fillId="4" borderId="0" xfId="9585" applyNumberFormat="1" applyFont="1" applyFill="1" applyBorder="1" applyAlignment="1">
      <alignment vertical="center"/>
    </xf>
    <xf numFmtId="0" fontId="189" fillId="4" borderId="0" xfId="9585" quotePrefix="1" applyNumberFormat="1" applyFont="1" applyFill="1" applyBorder="1" applyAlignment="1">
      <alignment vertical="center"/>
    </xf>
    <xf numFmtId="0" fontId="73" fillId="0" borderId="116" xfId="10746" applyFont="1" applyBorder="1" applyAlignment="1">
      <alignment vertical="center"/>
    </xf>
    <xf numFmtId="0" fontId="73" fillId="0" borderId="164" xfId="10746" applyFont="1" applyBorder="1" applyAlignment="1">
      <alignment vertical="center"/>
    </xf>
    <xf numFmtId="0" fontId="321" fillId="0" borderId="0" xfId="10746" applyFont="1" applyAlignment="1">
      <alignment vertical="center"/>
    </xf>
    <xf numFmtId="0" fontId="73" fillId="4" borderId="6" xfId="10746" applyFont="1" applyFill="1" applyBorder="1" applyAlignment="1">
      <alignment vertical="center"/>
    </xf>
    <xf numFmtId="0" fontId="189" fillId="4" borderId="0" xfId="9725" applyNumberFormat="1" applyFont="1" applyFill="1" applyBorder="1" applyAlignment="1">
      <alignment horizontal="left" vertical="center"/>
    </xf>
    <xf numFmtId="178" fontId="189" fillId="4" borderId="0" xfId="9725" applyNumberFormat="1" applyFont="1" applyFill="1" applyBorder="1" applyAlignment="1">
      <alignment vertical="center"/>
    </xf>
    <xf numFmtId="195" fontId="189" fillId="4" borderId="0" xfId="9725" applyNumberFormat="1" applyFont="1" applyFill="1" applyBorder="1" applyAlignment="1">
      <alignment vertical="center"/>
    </xf>
    <xf numFmtId="178" fontId="73" fillId="4" borderId="0" xfId="9725" applyNumberFormat="1" applyFont="1" applyFill="1" applyBorder="1" applyAlignment="1">
      <alignment vertical="center"/>
    </xf>
    <xf numFmtId="0" fontId="73" fillId="4" borderId="7" xfId="10746" applyFont="1" applyFill="1" applyBorder="1" applyAlignment="1">
      <alignment vertical="center"/>
    </xf>
    <xf numFmtId="0" fontId="189" fillId="4" borderId="9" xfId="10746" applyFont="1" applyFill="1" applyBorder="1" applyAlignment="1">
      <alignment vertical="center"/>
    </xf>
    <xf numFmtId="0" fontId="189" fillId="4" borderId="0" xfId="10746" quotePrefix="1" applyFont="1" applyFill="1" applyAlignment="1">
      <alignment vertical="center"/>
    </xf>
    <xf numFmtId="0" fontId="189" fillId="4" borderId="109" xfId="10746" applyFont="1" applyFill="1" applyBorder="1" applyAlignment="1">
      <alignment vertical="center"/>
    </xf>
    <xf numFmtId="0" fontId="189" fillId="4" borderId="28" xfId="10746" applyFont="1" applyFill="1" applyBorder="1" applyAlignment="1">
      <alignment vertical="center"/>
    </xf>
    <xf numFmtId="0" fontId="189" fillId="4" borderId="28" xfId="10746" applyFont="1" applyFill="1" applyBorder="1" applyAlignment="1">
      <alignment horizontal="right" vertical="center"/>
    </xf>
    <xf numFmtId="0" fontId="189" fillId="4" borderId="108" xfId="10746" applyFont="1" applyFill="1" applyBorder="1" applyAlignment="1">
      <alignment vertical="center"/>
    </xf>
    <xf numFmtId="0" fontId="189" fillId="4" borderId="156" xfId="10746" applyFont="1" applyFill="1" applyBorder="1" applyAlignment="1">
      <alignment vertical="center"/>
    </xf>
    <xf numFmtId="0" fontId="189" fillId="4" borderId="116" xfId="10746" applyFont="1" applyFill="1" applyBorder="1" applyAlignment="1">
      <alignment vertical="center"/>
    </xf>
    <xf numFmtId="0" fontId="189" fillId="4" borderId="164" xfId="10746" applyFont="1" applyFill="1" applyBorder="1" applyAlignment="1">
      <alignment vertical="center"/>
    </xf>
    <xf numFmtId="178" fontId="189" fillId="4" borderId="9" xfId="9725" applyNumberFormat="1" applyFont="1" applyFill="1" applyBorder="1" applyAlignment="1">
      <alignment horizontal="center" vertical="center"/>
    </xf>
    <xf numFmtId="0" fontId="189" fillId="4" borderId="0" xfId="10746" applyFont="1" applyFill="1" applyAlignment="1">
      <alignment horizontal="right" vertical="center"/>
    </xf>
    <xf numFmtId="0" fontId="189" fillId="4" borderId="0" xfId="9725" quotePrefix="1" applyNumberFormat="1" applyFont="1" applyFill="1" applyBorder="1" applyAlignment="1">
      <alignment horizontal="center" vertical="center"/>
    </xf>
    <xf numFmtId="0" fontId="319" fillId="4" borderId="0" xfId="10745" applyFont="1" applyFill="1" applyAlignment="1">
      <alignment vertical="center"/>
    </xf>
    <xf numFmtId="0" fontId="335" fillId="4" borderId="0" xfId="9585" applyNumberFormat="1" applyFont="1" applyFill="1" applyBorder="1" applyAlignment="1">
      <alignment horizontal="left" vertical="center" shrinkToFit="1"/>
    </xf>
    <xf numFmtId="41" fontId="189" fillId="4" borderId="9" xfId="10746" applyNumberFormat="1" applyFont="1" applyFill="1" applyBorder="1" applyAlignment="1">
      <alignment horizontal="center" vertical="center"/>
    </xf>
    <xf numFmtId="0" fontId="189" fillId="4" borderId="0" xfId="10746" applyFont="1" applyFill="1" applyAlignment="1">
      <alignment horizontal="center" vertical="center"/>
    </xf>
    <xf numFmtId="0" fontId="319" fillId="0" borderId="0" xfId="10745" applyFont="1" applyAlignment="1">
      <alignment vertical="center"/>
    </xf>
    <xf numFmtId="41" fontId="189" fillId="4" borderId="0" xfId="10746" applyNumberFormat="1" applyFont="1" applyFill="1" applyAlignment="1">
      <alignment horizontal="center" vertical="center"/>
    </xf>
    <xf numFmtId="0" fontId="350" fillId="4" borderId="0" xfId="10747" applyFont="1" applyFill="1" applyAlignment="1">
      <alignment horizontal="center"/>
    </xf>
    <xf numFmtId="0" fontId="351" fillId="4" borderId="0" xfId="10747" applyFont="1" applyFill="1"/>
    <xf numFmtId="0" fontId="352" fillId="4" borderId="0" xfId="9340" applyNumberFormat="1" applyFont="1" applyFill="1" applyBorder="1" applyAlignment="1">
      <alignment horizontal="center" vertical="center"/>
    </xf>
    <xf numFmtId="0" fontId="353" fillId="4" borderId="0" xfId="10747" applyFont="1" applyFill="1" applyAlignment="1">
      <alignment vertical="center"/>
    </xf>
    <xf numFmtId="41" fontId="354" fillId="4" borderId="0" xfId="9340" applyFont="1" applyFill="1" applyBorder="1" applyAlignment="1">
      <alignment horizontal="center" vertical="center"/>
    </xf>
    <xf numFmtId="0" fontId="353" fillId="4" borderId="0" xfId="10747" applyFont="1" applyFill="1"/>
    <xf numFmtId="41" fontId="353" fillId="4" borderId="0" xfId="10747" applyNumberFormat="1" applyFont="1" applyFill="1"/>
    <xf numFmtId="41" fontId="354" fillId="4" borderId="0" xfId="9340" applyFont="1" applyFill="1" applyBorder="1" applyAlignment="1">
      <alignment horizontal="center" vertical="center" shrinkToFit="1"/>
    </xf>
    <xf numFmtId="0" fontId="190" fillId="0" borderId="0" xfId="10743" applyFont="1">
      <alignment vertical="center"/>
    </xf>
    <xf numFmtId="0" fontId="355" fillId="0" borderId="1" xfId="10743" applyFont="1" applyBorder="1" applyAlignment="1">
      <alignment horizontal="center" vertical="center" shrinkToFit="1"/>
    </xf>
    <xf numFmtId="41" fontId="355" fillId="0" borderId="1" xfId="9340" applyFont="1" applyFill="1" applyBorder="1" applyAlignment="1">
      <alignment horizontal="center" vertical="center" shrinkToFit="1"/>
    </xf>
    <xf numFmtId="0" fontId="356" fillId="0" borderId="24" xfId="9340" applyNumberFormat="1" applyFont="1" applyFill="1" applyBorder="1" applyAlignment="1">
      <alignment horizontal="center" vertical="center" shrinkToFit="1"/>
    </xf>
    <xf numFmtId="0" fontId="356" fillId="0" borderId="21" xfId="9340" applyNumberFormat="1" applyFont="1" applyFill="1" applyBorder="1" applyAlignment="1">
      <alignment horizontal="left" vertical="center" shrinkToFit="1"/>
    </xf>
    <xf numFmtId="192" fontId="356" fillId="0" borderId="1" xfId="9340" applyNumberFormat="1" applyFont="1" applyFill="1" applyBorder="1" applyAlignment="1">
      <alignment horizontal="right" vertical="center" shrinkToFit="1"/>
    </xf>
    <xf numFmtId="0" fontId="356" fillId="0" borderId="1" xfId="9340" applyNumberFormat="1" applyFont="1" applyFill="1" applyBorder="1" applyAlignment="1">
      <alignment horizontal="center" vertical="center" shrinkToFit="1"/>
    </xf>
    <xf numFmtId="0" fontId="356" fillId="0" borderId="0" xfId="9340" applyNumberFormat="1" applyFont="1" applyFill="1" applyBorder="1" applyAlignment="1">
      <alignment horizontal="center" vertical="center" shrinkToFit="1"/>
    </xf>
    <xf numFmtId="0" fontId="70" fillId="0" borderId="0" xfId="10743" applyFont="1">
      <alignment vertical="center"/>
    </xf>
    <xf numFmtId="49" fontId="190" fillId="0" borderId="0" xfId="10743" applyNumberFormat="1" applyFont="1">
      <alignment vertical="center"/>
    </xf>
    <xf numFmtId="184" fontId="356" fillId="0" borderId="1" xfId="9340" applyNumberFormat="1" applyFont="1" applyFill="1" applyBorder="1" applyAlignment="1">
      <alignment horizontal="right" vertical="center" shrinkToFit="1"/>
    </xf>
    <xf numFmtId="0" fontId="356" fillId="0" borderId="1" xfId="9340" applyNumberFormat="1" applyFont="1" applyFill="1" applyBorder="1" applyAlignment="1">
      <alignment horizontal="left" vertical="center" shrinkToFit="1"/>
    </xf>
    <xf numFmtId="41" fontId="356" fillId="0" borderId="1" xfId="9340" applyFont="1" applyFill="1" applyBorder="1" applyAlignment="1">
      <alignment horizontal="right" vertical="center" shrinkToFit="1"/>
    </xf>
    <xf numFmtId="0" fontId="357" fillId="0" borderId="0" xfId="9340" applyNumberFormat="1" applyFont="1" applyFill="1" applyBorder="1" applyAlignment="1">
      <alignment horizontal="center" vertical="center" shrinkToFit="1"/>
    </xf>
    <xf numFmtId="377" fontId="356" fillId="0" borderId="1" xfId="9340" applyNumberFormat="1" applyFont="1" applyFill="1" applyBorder="1" applyAlignment="1">
      <alignment horizontal="right" vertical="center" shrinkToFit="1"/>
    </xf>
    <xf numFmtId="0" fontId="190" fillId="0" borderId="0" xfId="10743" applyFont="1" applyAlignment="1">
      <alignment vertical="center" shrinkToFit="1"/>
    </xf>
    <xf numFmtId="0" fontId="190" fillId="0" borderId="1" xfId="10743" applyFont="1" applyBorder="1">
      <alignment vertical="center"/>
    </xf>
    <xf numFmtId="0" fontId="190" fillId="0" borderId="1" xfId="10743" applyFont="1" applyBorder="1" applyAlignment="1">
      <alignment vertical="center" shrinkToFit="1"/>
    </xf>
    <xf numFmtId="369" fontId="356" fillId="0" borderId="1" xfId="9340" applyNumberFormat="1" applyFont="1" applyFill="1" applyBorder="1" applyAlignment="1">
      <alignment horizontal="right" vertical="center" shrinkToFit="1"/>
    </xf>
    <xf numFmtId="49" fontId="70" fillId="0" borderId="0" xfId="10743" applyNumberFormat="1" applyFont="1">
      <alignment vertical="center"/>
    </xf>
    <xf numFmtId="49" fontId="190" fillId="0" borderId="1" xfId="10743" applyNumberFormat="1" applyFont="1" applyBorder="1">
      <alignment vertical="center"/>
    </xf>
    <xf numFmtId="0" fontId="356" fillId="0" borderId="1" xfId="9340" applyNumberFormat="1" applyFont="1" applyFill="1" applyBorder="1" applyAlignment="1">
      <alignment horizontal="right" vertical="center" shrinkToFit="1"/>
    </xf>
    <xf numFmtId="0" fontId="69" fillId="0" borderId="0" xfId="10743" applyFont="1" applyAlignment="1">
      <alignment vertical="center" wrapText="1" shrinkToFit="1"/>
    </xf>
    <xf numFmtId="0" fontId="69" fillId="0" borderId="0" xfId="10743" applyFont="1" applyAlignment="1">
      <alignment vertical="center" shrinkToFit="1"/>
    </xf>
    <xf numFmtId="0" fontId="190" fillId="0" borderId="28" xfId="10743" applyFont="1" applyBorder="1">
      <alignment vertical="center"/>
    </xf>
    <xf numFmtId="239" fontId="69" fillId="0" borderId="0" xfId="10743" applyNumberFormat="1" applyFont="1" applyAlignment="1">
      <alignment vertical="center" shrinkToFit="1"/>
    </xf>
    <xf numFmtId="0" fontId="190" fillId="0" borderId="9" xfId="10743" applyFont="1" applyBorder="1">
      <alignment vertical="center"/>
    </xf>
    <xf numFmtId="0" fontId="356" fillId="0" borderId="165" xfId="9340" applyNumberFormat="1" applyFont="1" applyFill="1" applyBorder="1" applyAlignment="1">
      <alignment horizontal="center" vertical="center" shrinkToFit="1"/>
    </xf>
    <xf numFmtId="0" fontId="356" fillId="0" borderId="166" xfId="9340" applyNumberFormat="1" applyFont="1" applyFill="1" applyBorder="1" applyAlignment="1">
      <alignment horizontal="center" vertical="center" shrinkToFit="1"/>
    </xf>
    <xf numFmtId="0" fontId="356" fillId="0" borderId="24" xfId="9340" applyNumberFormat="1" applyFont="1" applyFill="1" applyBorder="1" applyAlignment="1">
      <alignment horizontal="left" vertical="center" shrinkToFit="1"/>
    </xf>
    <xf numFmtId="0" fontId="356" fillId="0" borderId="167" xfId="9340" applyNumberFormat="1" applyFont="1" applyFill="1" applyBorder="1" applyAlignment="1">
      <alignment horizontal="center" vertical="center" shrinkToFit="1"/>
    </xf>
    <xf numFmtId="0" fontId="356" fillId="0" borderId="33" xfId="9340" applyNumberFormat="1" applyFont="1" applyFill="1" applyBorder="1" applyAlignment="1">
      <alignment horizontal="center" vertical="center" shrinkToFit="1"/>
    </xf>
    <xf numFmtId="0" fontId="356" fillId="0" borderId="22" xfId="9340" applyNumberFormat="1" applyFont="1" applyFill="1" applyBorder="1" applyAlignment="1">
      <alignment horizontal="left" vertical="center" shrinkToFit="1"/>
    </xf>
    <xf numFmtId="192" fontId="356" fillId="0" borderId="23" xfId="9340" applyNumberFormat="1" applyFont="1" applyFill="1" applyBorder="1" applyAlignment="1">
      <alignment horizontal="right" vertical="center" shrinkToFit="1"/>
    </xf>
    <xf numFmtId="0" fontId="356" fillId="0" borderId="23" xfId="9340" applyNumberFormat="1" applyFont="1" applyFill="1" applyBorder="1" applyAlignment="1">
      <alignment horizontal="center" vertical="center" shrinkToFit="1"/>
    </xf>
    <xf numFmtId="0" fontId="356" fillId="0" borderId="0" xfId="9340" applyNumberFormat="1" applyFont="1" applyFill="1" applyBorder="1" applyAlignment="1">
      <alignment horizontal="left" vertical="center" shrinkToFit="1"/>
    </xf>
    <xf numFmtId="180" fontId="356" fillId="0" borderId="1" xfId="9340" applyNumberFormat="1" applyFont="1" applyFill="1" applyBorder="1" applyAlignment="1">
      <alignment horizontal="right" vertical="center" shrinkToFit="1"/>
    </xf>
    <xf numFmtId="43" fontId="356" fillId="0" borderId="1" xfId="9340" applyNumberFormat="1" applyFont="1" applyFill="1" applyBorder="1" applyAlignment="1">
      <alignment horizontal="right" vertical="center" shrinkToFit="1"/>
    </xf>
    <xf numFmtId="193" fontId="356" fillId="0" borderId="1" xfId="9340" applyNumberFormat="1" applyFont="1" applyFill="1" applyBorder="1" applyAlignment="1">
      <alignment horizontal="right" vertical="center" shrinkToFit="1"/>
    </xf>
    <xf numFmtId="200" fontId="356" fillId="0" borderId="1" xfId="9340" applyNumberFormat="1" applyFont="1" applyFill="1" applyBorder="1" applyAlignment="1">
      <alignment horizontal="right" vertical="center" shrinkToFit="1"/>
    </xf>
    <xf numFmtId="0" fontId="356" fillId="0" borderId="0" xfId="9340" applyNumberFormat="1" applyFont="1" applyFill="1" applyBorder="1" applyAlignment="1">
      <alignment horizontal="center" vertical="center"/>
    </xf>
    <xf numFmtId="194" fontId="356" fillId="0" borderId="1" xfId="9340" applyNumberFormat="1" applyFont="1" applyFill="1" applyBorder="1" applyAlignment="1">
      <alignment horizontal="right" vertical="center" shrinkToFit="1"/>
    </xf>
    <xf numFmtId="0" fontId="356" fillId="0" borderId="1" xfId="9340" applyNumberFormat="1" applyFont="1" applyFill="1" applyBorder="1" applyAlignment="1">
      <alignment horizontal="center" vertical="center"/>
    </xf>
    <xf numFmtId="310" fontId="356" fillId="0" borderId="1" xfId="9340" applyNumberFormat="1" applyFont="1" applyFill="1" applyBorder="1" applyAlignment="1">
      <alignment horizontal="right" vertical="center" shrinkToFit="1"/>
    </xf>
    <xf numFmtId="43" fontId="190" fillId="0" borderId="0" xfId="10743" applyNumberFormat="1" applyFont="1">
      <alignment vertical="center"/>
    </xf>
    <xf numFmtId="0" fontId="356" fillId="15" borderId="0" xfId="9340" applyNumberFormat="1" applyFont="1" applyFill="1" applyBorder="1" applyAlignment="1">
      <alignment horizontal="center" vertical="center" shrinkToFit="1"/>
    </xf>
    <xf numFmtId="0" fontId="190" fillId="15" borderId="0" xfId="10743" applyFont="1" applyFill="1">
      <alignment vertical="center"/>
    </xf>
    <xf numFmtId="0" fontId="69" fillId="15" borderId="0" xfId="10743" applyFont="1" applyFill="1" applyAlignment="1">
      <alignment vertical="center" wrapText="1" shrinkToFit="1"/>
    </xf>
    <xf numFmtId="0" fontId="69" fillId="15" borderId="0" xfId="10743" applyFont="1" applyFill="1" applyAlignment="1">
      <alignment vertical="center" shrinkToFit="1"/>
    </xf>
    <xf numFmtId="0" fontId="356" fillId="15" borderId="0" xfId="9340" applyNumberFormat="1" applyFont="1" applyFill="1" applyBorder="1" applyAlignment="1">
      <alignment horizontal="center" vertical="center"/>
    </xf>
    <xf numFmtId="0" fontId="358" fillId="15" borderId="0" xfId="10743" applyFont="1" applyFill="1" applyAlignment="1">
      <alignment horizontal="center" vertical="center" wrapText="1" shrinkToFit="1"/>
    </xf>
    <xf numFmtId="0" fontId="190" fillId="15" borderId="0" xfId="10743" applyFont="1" applyFill="1" applyAlignment="1">
      <alignment horizontal="center" vertical="center"/>
    </xf>
    <xf numFmtId="0" fontId="69" fillId="15" borderId="0" xfId="10743" applyFont="1" applyFill="1" applyAlignment="1">
      <alignment horizontal="center" vertical="center" shrinkToFit="1"/>
    </xf>
    <xf numFmtId="239" fontId="69" fillId="15" borderId="0" xfId="10743" applyNumberFormat="1" applyFont="1" applyFill="1" applyAlignment="1">
      <alignment vertical="center" shrinkToFit="1"/>
    </xf>
    <xf numFmtId="226" fontId="69" fillId="15" borderId="0" xfId="10743" applyNumberFormat="1" applyFont="1" applyFill="1" applyAlignment="1">
      <alignment horizontal="center" vertical="center" shrinkToFit="1"/>
    </xf>
    <xf numFmtId="0" fontId="356" fillId="62" borderId="0" xfId="9340" applyNumberFormat="1" applyFont="1" applyFill="1" applyBorder="1" applyAlignment="1">
      <alignment horizontal="center" vertical="center"/>
    </xf>
    <xf numFmtId="0" fontId="190" fillId="62" borderId="0" xfId="10743" applyFont="1" applyFill="1" applyAlignment="1">
      <alignment horizontal="center" vertical="center"/>
    </xf>
    <xf numFmtId="226" fontId="69" fillId="62" borderId="0" xfId="10743" applyNumberFormat="1" applyFont="1" applyFill="1" applyAlignment="1">
      <alignment horizontal="center" vertical="center" shrinkToFit="1"/>
    </xf>
    <xf numFmtId="0" fontId="69" fillId="62" borderId="0" xfId="10743" applyFont="1" applyFill="1" applyAlignment="1">
      <alignment vertical="center" shrinkToFit="1"/>
    </xf>
    <xf numFmtId="239" fontId="69" fillId="62" borderId="0" xfId="10743" applyNumberFormat="1" applyFont="1" applyFill="1" applyAlignment="1">
      <alignment vertical="center" shrinkToFit="1"/>
    </xf>
    <xf numFmtId="0" fontId="190" fillId="62" borderId="0" xfId="10743" applyFont="1" applyFill="1">
      <alignment vertical="center"/>
    </xf>
    <xf numFmtId="226" fontId="190" fillId="15" borderId="0" xfId="10743" applyNumberFormat="1" applyFont="1" applyFill="1">
      <alignment vertical="center"/>
    </xf>
    <xf numFmtId="2" fontId="69" fillId="15" borderId="0" xfId="10743" applyNumberFormat="1" applyFont="1" applyFill="1" applyAlignment="1">
      <alignment horizontal="center" vertical="center" shrinkToFit="1"/>
    </xf>
    <xf numFmtId="0" fontId="356" fillId="0" borderId="0" xfId="10743" applyFont="1" applyAlignment="1">
      <alignment vertical="center" shrinkToFit="1"/>
    </xf>
    <xf numFmtId="9" fontId="356" fillId="0" borderId="24" xfId="9340" applyNumberFormat="1" applyFont="1" applyFill="1" applyBorder="1" applyAlignment="1">
      <alignment horizontal="left" vertical="center" shrinkToFit="1"/>
    </xf>
    <xf numFmtId="0" fontId="190" fillId="0" borderId="0" xfId="10743" applyFont="1" applyAlignment="1">
      <alignment horizontal="center" vertical="center"/>
    </xf>
    <xf numFmtId="2" fontId="190" fillId="0" borderId="0" xfId="10743" applyNumberFormat="1" applyFont="1" applyAlignment="1">
      <alignment horizontal="center" vertical="center"/>
    </xf>
    <xf numFmtId="0" fontId="359" fillId="0" borderId="0" xfId="10743" applyFont="1">
      <alignment vertical="center"/>
    </xf>
    <xf numFmtId="0" fontId="359" fillId="0" borderId="0" xfId="10743" applyFont="1" applyAlignment="1">
      <alignment horizontal="center" vertical="center"/>
    </xf>
    <xf numFmtId="0" fontId="70" fillId="0" borderId="0" xfId="10743" applyFont="1" applyAlignment="1">
      <alignment horizontal="center" vertical="center"/>
    </xf>
    <xf numFmtId="49" fontId="357" fillId="0" borderId="0" xfId="9340" applyNumberFormat="1" applyFont="1" applyFill="1" applyBorder="1" applyAlignment="1">
      <alignment horizontal="center" vertical="center" shrinkToFit="1"/>
    </xf>
    <xf numFmtId="0" fontId="357" fillId="0" borderId="0" xfId="9340" applyNumberFormat="1" applyFont="1" applyFill="1" applyBorder="1" applyAlignment="1">
      <alignment horizontal="center" vertical="center"/>
    </xf>
    <xf numFmtId="0" fontId="357" fillId="0" borderId="24" xfId="9340" applyNumberFormat="1" applyFont="1" applyFill="1" applyBorder="1" applyAlignment="1">
      <alignment horizontal="center" vertical="center" shrinkToFit="1"/>
    </xf>
    <xf numFmtId="0" fontId="357" fillId="0" borderId="21" xfId="9340" applyNumberFormat="1" applyFont="1" applyFill="1" applyBorder="1" applyAlignment="1">
      <alignment horizontal="left" vertical="center" shrinkToFit="1"/>
    </xf>
    <xf numFmtId="192" fontId="357" fillId="0" borderId="1" xfId="9340" applyNumberFormat="1" applyFont="1" applyFill="1" applyBorder="1" applyAlignment="1">
      <alignment horizontal="right" vertical="center" shrinkToFit="1"/>
    </xf>
    <xf numFmtId="0" fontId="357" fillId="0" borderId="1" xfId="9340" applyNumberFormat="1" applyFont="1" applyFill="1" applyBorder="1" applyAlignment="1">
      <alignment horizontal="center" vertical="center" shrinkToFit="1"/>
    </xf>
    <xf numFmtId="180" fontId="357" fillId="0" borderId="1" xfId="9340" applyNumberFormat="1" applyFont="1" applyFill="1" applyBorder="1" applyAlignment="1">
      <alignment horizontal="right" vertical="center" shrinkToFit="1"/>
    </xf>
    <xf numFmtId="0" fontId="357" fillId="0" borderId="1" xfId="9340" applyNumberFormat="1" applyFont="1" applyFill="1" applyBorder="1" applyAlignment="1">
      <alignment horizontal="left" vertical="center" shrinkToFit="1"/>
    </xf>
    <xf numFmtId="0" fontId="357" fillId="0" borderId="1" xfId="9340" applyNumberFormat="1" applyFont="1" applyFill="1" applyBorder="1" applyAlignment="1">
      <alignment horizontal="center" vertical="center"/>
    </xf>
    <xf numFmtId="184" fontId="357" fillId="0" borderId="1" xfId="9340" applyNumberFormat="1" applyFont="1" applyFill="1" applyBorder="1" applyAlignment="1">
      <alignment horizontal="right" vertical="center" shrinkToFit="1"/>
    </xf>
    <xf numFmtId="0" fontId="357" fillId="0" borderId="1" xfId="9340" applyNumberFormat="1" applyFont="1" applyFill="1" applyBorder="1" applyAlignment="1">
      <alignment horizontal="right" vertical="center" shrinkToFit="1"/>
    </xf>
    <xf numFmtId="43" fontId="357" fillId="0" borderId="1" xfId="9340" applyNumberFormat="1" applyFont="1" applyFill="1" applyBorder="1" applyAlignment="1">
      <alignment horizontal="right" vertical="center" shrinkToFit="1"/>
    </xf>
    <xf numFmtId="41" fontId="357" fillId="0" borderId="1" xfId="9340" applyFont="1" applyFill="1" applyBorder="1" applyAlignment="1">
      <alignment horizontal="right" vertical="center" shrinkToFit="1"/>
    </xf>
    <xf numFmtId="239" fontId="356" fillId="0" borderId="1" xfId="9585" applyNumberFormat="1" applyFont="1" applyFill="1" applyBorder="1" applyAlignment="1">
      <alignment horizontal="right" vertical="center" shrinkToFit="1"/>
    </xf>
    <xf numFmtId="0" fontId="356" fillId="0" borderId="1" xfId="9585" applyNumberFormat="1" applyFont="1" applyFill="1" applyBorder="1" applyAlignment="1">
      <alignment horizontal="left" vertical="center" shrinkToFit="1"/>
    </xf>
    <xf numFmtId="192" fontId="356" fillId="0" borderId="1" xfId="9585" applyNumberFormat="1" applyFont="1" applyFill="1" applyBorder="1" applyAlignment="1">
      <alignment horizontal="right" vertical="center" shrinkToFit="1"/>
    </xf>
    <xf numFmtId="0" fontId="356" fillId="0" borderId="1" xfId="9585" applyNumberFormat="1" applyFont="1" applyFill="1" applyBorder="1" applyAlignment="1">
      <alignment horizontal="center" vertical="center" shrinkToFit="1"/>
    </xf>
    <xf numFmtId="0" fontId="70" fillId="0" borderId="1" xfId="10743" applyFont="1" applyBorder="1">
      <alignment vertical="center"/>
    </xf>
    <xf numFmtId="369" fontId="357" fillId="0" borderId="1" xfId="9340" applyNumberFormat="1" applyFont="1" applyFill="1" applyBorder="1" applyAlignment="1">
      <alignment horizontal="right" vertical="center" shrinkToFit="1"/>
    </xf>
    <xf numFmtId="180" fontId="357" fillId="15" borderId="1" xfId="9340" applyNumberFormat="1" applyFont="1" applyFill="1" applyBorder="1" applyAlignment="1">
      <alignment horizontal="right" vertical="center" shrinkToFit="1"/>
    </xf>
    <xf numFmtId="0" fontId="357" fillId="15" borderId="1" xfId="9340" applyNumberFormat="1" applyFont="1" applyFill="1" applyBorder="1" applyAlignment="1">
      <alignment horizontal="left" vertical="center" shrinkToFit="1"/>
    </xf>
    <xf numFmtId="192" fontId="357" fillId="15" borderId="1" xfId="9340" applyNumberFormat="1" applyFont="1" applyFill="1" applyBorder="1" applyAlignment="1">
      <alignment horizontal="right" vertical="center" shrinkToFit="1"/>
    </xf>
    <xf numFmtId="0" fontId="357" fillId="15" borderId="1" xfId="9340" applyNumberFormat="1" applyFont="1" applyFill="1" applyBorder="1" applyAlignment="1">
      <alignment horizontal="center" vertical="center" shrinkToFit="1"/>
    </xf>
    <xf numFmtId="0" fontId="357" fillId="15" borderId="0" xfId="9340" applyNumberFormat="1" applyFont="1" applyFill="1" applyBorder="1" applyAlignment="1">
      <alignment horizontal="center" vertical="center" shrinkToFit="1"/>
    </xf>
    <xf numFmtId="0" fontId="70" fillId="15" borderId="1" xfId="10743" applyFont="1" applyFill="1" applyBorder="1">
      <alignment vertical="center"/>
    </xf>
    <xf numFmtId="0" fontId="70" fillId="15" borderId="0" xfId="10743" applyFont="1" applyFill="1">
      <alignment vertical="center"/>
    </xf>
    <xf numFmtId="184" fontId="357" fillId="15" borderId="1" xfId="9340" applyNumberFormat="1" applyFont="1" applyFill="1" applyBorder="1" applyAlignment="1">
      <alignment horizontal="right" vertical="center" shrinkToFit="1"/>
    </xf>
    <xf numFmtId="226" fontId="190" fillId="0" borderId="0" xfId="10743" applyNumberFormat="1" applyFont="1">
      <alignment vertical="center"/>
    </xf>
    <xf numFmtId="192" fontId="190" fillId="0" borderId="0" xfId="10743" applyNumberFormat="1" applyFont="1">
      <alignment vertical="center"/>
    </xf>
    <xf numFmtId="180" fontId="356" fillId="0" borderId="1" xfId="9340" applyNumberFormat="1" applyFont="1" applyFill="1" applyBorder="1" applyAlignment="1">
      <alignment horizontal="left" vertical="center" shrinkToFit="1"/>
    </xf>
    <xf numFmtId="379" fontId="190" fillId="0" borderId="0" xfId="10743" applyNumberFormat="1" applyFont="1">
      <alignment vertical="center"/>
    </xf>
    <xf numFmtId="2" fontId="190" fillId="0" borderId="1" xfId="10743" applyNumberFormat="1" applyFont="1" applyBorder="1">
      <alignment vertical="center"/>
    </xf>
    <xf numFmtId="49" fontId="70" fillId="0" borderId="1" xfId="10743" applyNumberFormat="1" applyFont="1" applyBorder="1">
      <alignment vertical="center"/>
    </xf>
    <xf numFmtId="379" fontId="190" fillId="0" borderId="1" xfId="10743" applyNumberFormat="1" applyFont="1" applyBorder="1">
      <alignment vertical="center"/>
    </xf>
    <xf numFmtId="2" fontId="190" fillId="0" borderId="0" xfId="10743" applyNumberFormat="1" applyFont="1">
      <alignment vertical="center"/>
    </xf>
    <xf numFmtId="0" fontId="15" fillId="0" borderId="1" xfId="10743" applyFont="1" applyBorder="1">
      <alignment vertical="center"/>
    </xf>
    <xf numFmtId="192" fontId="357" fillId="0" borderId="23" xfId="9340" applyNumberFormat="1" applyFont="1" applyFill="1" applyBorder="1" applyAlignment="1">
      <alignment horizontal="right" vertical="center" shrinkToFit="1"/>
    </xf>
    <xf numFmtId="0" fontId="357" fillId="0" borderId="23" xfId="9340" applyNumberFormat="1" applyFont="1" applyFill="1" applyBorder="1" applyAlignment="1">
      <alignment horizontal="center" vertical="center" shrinkToFit="1"/>
    </xf>
    <xf numFmtId="41" fontId="357" fillId="0" borderId="1" xfId="9585" applyFont="1" applyFill="1" applyBorder="1" applyAlignment="1">
      <alignment horizontal="right" vertical="center" shrinkToFit="1"/>
    </xf>
    <xf numFmtId="0" fontId="357" fillId="0" borderId="1" xfId="9585" applyNumberFormat="1" applyFont="1" applyFill="1" applyBorder="1" applyAlignment="1">
      <alignment horizontal="left" vertical="center" shrinkToFit="1"/>
    </xf>
    <xf numFmtId="0" fontId="357" fillId="0" borderId="24" xfId="9340" applyNumberFormat="1" applyFont="1" applyFill="1" applyBorder="1" applyAlignment="1">
      <alignment horizontal="left" vertical="center" shrinkToFit="1"/>
    </xf>
    <xf numFmtId="184" fontId="357" fillId="15" borderId="24" xfId="9340" applyNumberFormat="1" applyFont="1" applyFill="1" applyBorder="1" applyAlignment="1">
      <alignment horizontal="left" vertical="center" shrinkToFit="1"/>
    </xf>
    <xf numFmtId="184" fontId="357" fillId="15" borderId="21" xfId="9340" applyNumberFormat="1" applyFont="1" applyFill="1" applyBorder="1" applyAlignment="1">
      <alignment horizontal="left" vertical="center" shrinkToFit="1"/>
    </xf>
    <xf numFmtId="178" fontId="356" fillId="0" borderId="1" xfId="9340" applyNumberFormat="1" applyFont="1" applyFill="1" applyBorder="1" applyAlignment="1">
      <alignment horizontal="right" vertical="center" shrinkToFit="1"/>
    </xf>
    <xf numFmtId="0" fontId="357" fillId="15" borderId="24" xfId="9340" applyNumberFormat="1" applyFont="1" applyFill="1" applyBorder="1" applyAlignment="1">
      <alignment horizontal="center" vertical="center" shrinkToFit="1"/>
    </xf>
    <xf numFmtId="0" fontId="357" fillId="15" borderId="21" xfId="9340" applyNumberFormat="1" applyFont="1" applyFill="1" applyBorder="1" applyAlignment="1">
      <alignment horizontal="left" vertical="center" shrinkToFit="1"/>
    </xf>
    <xf numFmtId="0" fontId="357" fillId="15" borderId="23" xfId="9340" applyNumberFormat="1" applyFont="1" applyFill="1" applyBorder="1" applyAlignment="1">
      <alignment horizontal="center" vertical="center" shrinkToFit="1"/>
    </xf>
    <xf numFmtId="178" fontId="357" fillId="15" borderId="1" xfId="9340" applyNumberFormat="1" applyFont="1" applyFill="1" applyBorder="1" applyAlignment="1">
      <alignment horizontal="right" vertical="center" shrinkToFit="1"/>
    </xf>
    <xf numFmtId="0" fontId="70" fillId="15" borderId="0" xfId="10743" applyFont="1" applyFill="1" applyAlignment="1">
      <alignment horizontal="center" vertical="center"/>
    </xf>
    <xf numFmtId="41" fontId="357" fillId="15" borderId="1" xfId="9340" applyFont="1" applyFill="1" applyBorder="1" applyAlignment="1">
      <alignment horizontal="right" vertical="center" shrinkToFit="1"/>
    </xf>
    <xf numFmtId="0" fontId="357" fillId="15" borderId="24" xfId="9340" applyNumberFormat="1" applyFont="1" applyFill="1" applyBorder="1" applyAlignment="1">
      <alignment horizontal="left" vertical="center" shrinkToFit="1"/>
    </xf>
    <xf numFmtId="20" fontId="356" fillId="0" borderId="24" xfId="9340" quotePrefix="1" applyNumberFormat="1" applyFont="1" applyFill="1" applyBorder="1" applyAlignment="1">
      <alignment horizontal="left" vertical="center" shrinkToFit="1"/>
    </xf>
    <xf numFmtId="9" fontId="69" fillId="15" borderId="0" xfId="10743" applyNumberFormat="1" applyFont="1" applyFill="1" applyAlignment="1">
      <alignment vertical="center" shrinkToFit="1"/>
    </xf>
    <xf numFmtId="249" fontId="69" fillId="15" borderId="0" xfId="10743" applyNumberFormat="1" applyFont="1" applyFill="1" applyAlignment="1">
      <alignment vertical="center" shrinkToFit="1"/>
    </xf>
    <xf numFmtId="249" fontId="69" fillId="15" borderId="0" xfId="10743" applyNumberFormat="1" applyFont="1" applyFill="1" applyAlignment="1">
      <alignment horizontal="center" vertical="center" shrinkToFit="1"/>
    </xf>
    <xf numFmtId="189" fontId="356" fillId="0" borderId="1" xfId="9340" applyNumberFormat="1" applyFont="1" applyFill="1" applyBorder="1" applyAlignment="1">
      <alignment horizontal="right" vertical="center" shrinkToFit="1"/>
    </xf>
    <xf numFmtId="0" fontId="69" fillId="0" borderId="1" xfId="10743" applyFont="1" applyBorder="1" applyAlignment="1">
      <alignment vertical="center" shrinkToFit="1"/>
    </xf>
    <xf numFmtId="0" fontId="356" fillId="0" borderId="23" xfId="9340" applyNumberFormat="1" applyFont="1" applyFill="1" applyBorder="1" applyAlignment="1">
      <alignment horizontal="right" vertical="center" shrinkToFit="1"/>
    </xf>
    <xf numFmtId="226" fontId="69" fillId="0" borderId="0" xfId="10743" applyNumberFormat="1" applyFont="1" applyAlignment="1">
      <alignment vertical="center" shrinkToFit="1"/>
    </xf>
    <xf numFmtId="0" fontId="356" fillId="0" borderId="0" xfId="9585" applyNumberFormat="1" applyFont="1" applyFill="1" applyBorder="1" applyAlignment="1">
      <alignment horizontal="center" vertical="center" shrinkToFit="1"/>
    </xf>
    <xf numFmtId="197" fontId="356" fillId="0" borderId="1" xfId="9340" applyNumberFormat="1" applyFont="1" applyFill="1" applyBorder="1" applyAlignment="1">
      <alignment horizontal="right" vertical="center" shrinkToFit="1"/>
    </xf>
    <xf numFmtId="377" fontId="356" fillId="0" borderId="1" xfId="9585" applyNumberFormat="1" applyFont="1" applyFill="1" applyBorder="1" applyAlignment="1">
      <alignment horizontal="right" vertical="center" shrinkToFit="1"/>
    </xf>
    <xf numFmtId="0" fontId="356" fillId="0" borderId="24" xfId="9585" applyNumberFormat="1" applyFont="1" applyFill="1" applyBorder="1" applyAlignment="1">
      <alignment horizontal="center" vertical="center" shrinkToFit="1"/>
    </xf>
    <xf numFmtId="0" fontId="356" fillId="0" borderId="21" xfId="9585" applyNumberFormat="1" applyFont="1" applyFill="1" applyBorder="1" applyAlignment="1">
      <alignment horizontal="left" vertical="center" shrinkToFit="1"/>
    </xf>
    <xf numFmtId="192" fontId="356" fillId="0" borderId="23" xfId="9585" applyNumberFormat="1" applyFont="1" applyFill="1" applyBorder="1" applyAlignment="1">
      <alignment horizontal="right" vertical="center" shrinkToFit="1"/>
    </xf>
    <xf numFmtId="0" fontId="356" fillId="0" borderId="23" xfId="9585" applyNumberFormat="1" applyFont="1" applyFill="1" applyBorder="1" applyAlignment="1">
      <alignment horizontal="center" vertical="center" shrinkToFit="1"/>
    </xf>
    <xf numFmtId="0" fontId="356" fillId="0" borderId="1" xfId="9585" applyNumberFormat="1" applyFont="1" applyFill="1" applyBorder="1" applyAlignment="1">
      <alignment horizontal="right" vertical="center" shrinkToFit="1"/>
    </xf>
    <xf numFmtId="369" fontId="356" fillId="0" borderId="1" xfId="9585" applyNumberFormat="1" applyFont="1" applyFill="1" applyBorder="1" applyAlignment="1">
      <alignment horizontal="right" vertical="center" shrinkToFit="1"/>
    </xf>
    <xf numFmtId="41" fontId="356" fillId="0" borderId="1" xfId="9585" applyFont="1" applyFill="1" applyBorder="1" applyAlignment="1">
      <alignment horizontal="right" vertical="center" shrinkToFit="1"/>
    </xf>
    <xf numFmtId="41" fontId="69" fillId="0" borderId="0" xfId="9340" applyFont="1" applyFill="1" applyAlignment="1">
      <alignment vertical="center" shrinkToFit="1"/>
    </xf>
    <xf numFmtId="192" fontId="356" fillId="0" borderId="23" xfId="9585" applyNumberFormat="1" applyFont="1" applyFill="1" applyBorder="1" applyAlignment="1">
      <alignment horizontal="right" vertical="center" wrapText="1"/>
    </xf>
    <xf numFmtId="0" fontId="358" fillId="0" borderId="0" xfId="10743" applyFont="1" applyAlignment="1">
      <alignment vertical="center" wrapText="1" shrinkToFit="1"/>
    </xf>
    <xf numFmtId="0" fontId="356" fillId="0" borderId="0" xfId="9340" quotePrefix="1" applyNumberFormat="1" applyFont="1" applyFill="1" applyBorder="1" applyAlignment="1">
      <alignment horizontal="center" vertical="center" shrinkToFit="1"/>
    </xf>
    <xf numFmtId="0" fontId="69" fillId="0" borderId="0" xfId="10743" applyFont="1" applyAlignment="1">
      <alignment horizontal="center" vertical="center" shrinkToFit="1"/>
    </xf>
    <xf numFmtId="239" fontId="69" fillId="0" borderId="0" xfId="10743" applyNumberFormat="1" applyFont="1" applyAlignment="1">
      <alignment horizontal="center" vertical="center" shrinkToFit="1"/>
    </xf>
    <xf numFmtId="192" fontId="356" fillId="0" borderId="1" xfId="9340" applyNumberFormat="1" applyFont="1" applyFill="1" applyBorder="1" applyAlignment="1">
      <alignment horizontal="right" vertical="center" wrapText="1" shrinkToFit="1"/>
    </xf>
    <xf numFmtId="1" fontId="69" fillId="0" borderId="0" xfId="10743" applyNumberFormat="1" applyFont="1" applyAlignment="1">
      <alignment vertical="center" shrinkToFit="1"/>
    </xf>
    <xf numFmtId="0" fontId="356" fillId="0" borderId="0" xfId="9340" applyNumberFormat="1" applyFont="1" applyFill="1" applyBorder="1" applyAlignment="1">
      <alignment horizontal="center" vertical="center" wrapText="1" shrinkToFit="1"/>
    </xf>
    <xf numFmtId="0" fontId="356" fillId="0" borderId="0" xfId="10028" applyNumberFormat="1" applyFont="1" applyFill="1" applyBorder="1" applyAlignment="1">
      <alignment horizontal="center" vertical="center" shrinkToFit="1"/>
    </xf>
    <xf numFmtId="41" fontId="356" fillId="0" borderId="1" xfId="10028" applyFont="1" applyFill="1" applyBorder="1" applyAlignment="1">
      <alignment horizontal="right" vertical="center" shrinkToFit="1"/>
    </xf>
    <xf numFmtId="0" fontId="356" fillId="0" borderId="1" xfId="10028" applyNumberFormat="1" applyFont="1" applyFill="1" applyBorder="1" applyAlignment="1">
      <alignment horizontal="left" vertical="center" shrinkToFit="1"/>
    </xf>
    <xf numFmtId="192" fontId="356" fillId="0" borderId="1" xfId="10028" applyNumberFormat="1" applyFont="1" applyFill="1" applyBorder="1" applyAlignment="1">
      <alignment horizontal="right" vertical="center" shrinkToFit="1"/>
    </xf>
    <xf numFmtId="0" fontId="356" fillId="0" borderId="1" xfId="10028" applyNumberFormat="1" applyFont="1" applyFill="1" applyBorder="1" applyAlignment="1">
      <alignment horizontal="center" vertical="center" shrinkToFit="1"/>
    </xf>
    <xf numFmtId="0" fontId="356" fillId="0" borderId="1" xfId="9340" applyNumberFormat="1" applyFont="1" applyFill="1" applyBorder="1" applyAlignment="1">
      <alignment horizontal="center" vertical="center" wrapText="1" shrinkToFit="1"/>
    </xf>
    <xf numFmtId="41" fontId="356" fillId="0" borderId="1" xfId="10056" applyFont="1" applyFill="1" applyBorder="1" applyAlignment="1">
      <alignment horizontal="right" vertical="center" shrinkToFit="1"/>
    </xf>
    <xf numFmtId="377" fontId="356" fillId="0" borderId="1" xfId="10056" applyNumberFormat="1" applyFont="1" applyFill="1" applyBorder="1" applyAlignment="1">
      <alignment horizontal="right" vertical="center" shrinkToFit="1"/>
    </xf>
    <xf numFmtId="184" fontId="356" fillId="0" borderId="1" xfId="10028" applyNumberFormat="1" applyFont="1" applyFill="1" applyBorder="1" applyAlignment="1">
      <alignment horizontal="right" vertical="center" shrinkToFit="1"/>
    </xf>
    <xf numFmtId="0" fontId="327" fillId="0" borderId="0" xfId="10743" applyFont="1" applyAlignment="1">
      <alignment vertical="center" shrinkToFit="1"/>
    </xf>
    <xf numFmtId="239" fontId="327" fillId="0" borderId="0" xfId="10743" applyNumberFormat="1" applyFont="1" applyAlignment="1">
      <alignment vertical="center" shrinkToFit="1"/>
    </xf>
    <xf numFmtId="0" fontId="327" fillId="15" borderId="0" xfId="10743" applyFont="1" applyFill="1" applyAlignment="1">
      <alignment vertical="center" shrinkToFit="1"/>
    </xf>
    <xf numFmtId="239" fontId="327" fillId="15" borderId="0" xfId="10743" applyNumberFormat="1" applyFont="1" applyFill="1" applyAlignment="1">
      <alignment vertical="center" shrinkToFit="1"/>
    </xf>
    <xf numFmtId="0" fontId="357" fillId="15" borderId="1" xfId="9340" applyNumberFormat="1" applyFont="1" applyFill="1" applyBorder="1" applyAlignment="1">
      <alignment horizontal="right" vertical="center" shrinkToFit="1"/>
    </xf>
    <xf numFmtId="0" fontId="357" fillId="15" borderId="1" xfId="9340" applyNumberFormat="1" applyFont="1" applyFill="1" applyBorder="1" applyAlignment="1">
      <alignment horizontal="center" vertical="center"/>
    </xf>
    <xf numFmtId="0" fontId="69" fillId="0" borderId="0" xfId="10743" applyFont="1">
      <alignment vertical="center"/>
    </xf>
    <xf numFmtId="180" fontId="356" fillId="0" borderId="1" xfId="10056" applyNumberFormat="1" applyFont="1" applyFill="1" applyBorder="1" applyAlignment="1">
      <alignment horizontal="right" vertical="center" shrinkToFit="1"/>
    </xf>
    <xf numFmtId="184" fontId="356" fillId="0" borderId="1" xfId="10056" applyNumberFormat="1" applyFont="1" applyFill="1" applyBorder="1" applyAlignment="1">
      <alignment horizontal="right" vertical="center" shrinkToFit="1"/>
    </xf>
    <xf numFmtId="192" fontId="356" fillId="0" borderId="1" xfId="10743" applyNumberFormat="1" applyFont="1" applyBorder="1" applyAlignment="1">
      <alignment vertical="center" shrinkToFit="1"/>
    </xf>
    <xf numFmtId="369" fontId="356" fillId="0" borderId="1" xfId="10056" applyNumberFormat="1" applyFont="1" applyFill="1" applyBorder="1" applyAlignment="1">
      <alignment horizontal="right" vertical="center" shrinkToFit="1"/>
    </xf>
    <xf numFmtId="219" fontId="356" fillId="0" borderId="1" xfId="9340" applyNumberFormat="1" applyFont="1" applyFill="1" applyBorder="1" applyAlignment="1">
      <alignment horizontal="right" vertical="center" shrinkToFit="1"/>
    </xf>
    <xf numFmtId="0" fontId="356" fillId="63" borderId="24" xfId="9340" applyNumberFormat="1" applyFont="1" applyFill="1" applyBorder="1" applyAlignment="1">
      <alignment horizontal="center" vertical="center" shrinkToFit="1"/>
    </xf>
    <xf numFmtId="0" fontId="356" fillId="63" borderId="21" xfId="9340" applyNumberFormat="1" applyFont="1" applyFill="1" applyBorder="1" applyAlignment="1">
      <alignment horizontal="left" vertical="center" shrinkToFit="1"/>
    </xf>
    <xf numFmtId="192" fontId="356" fillId="63" borderId="23" xfId="9340" applyNumberFormat="1" applyFont="1" applyFill="1" applyBorder="1" applyAlignment="1">
      <alignment horizontal="right" vertical="center" shrinkToFit="1"/>
    </xf>
    <xf numFmtId="192" fontId="356" fillId="63" borderId="1" xfId="9340" applyNumberFormat="1" applyFont="1" applyFill="1" applyBorder="1" applyAlignment="1">
      <alignment horizontal="right" vertical="center" shrinkToFit="1"/>
    </xf>
    <xf numFmtId="0" fontId="356" fillId="63" borderId="23" xfId="9340" applyNumberFormat="1" applyFont="1" applyFill="1" applyBorder="1" applyAlignment="1">
      <alignment horizontal="center" vertical="center" shrinkToFit="1"/>
    </xf>
    <xf numFmtId="0" fontId="356" fillId="63" borderId="0" xfId="9340" applyNumberFormat="1" applyFont="1" applyFill="1" applyBorder="1" applyAlignment="1">
      <alignment horizontal="center" vertical="center" shrinkToFit="1"/>
    </xf>
    <xf numFmtId="0" fontId="69" fillId="63" borderId="0" xfId="10743" applyFont="1" applyFill="1">
      <alignment vertical="center"/>
    </xf>
    <xf numFmtId="0" fontId="69" fillId="63" borderId="0" xfId="10743" applyFont="1" applyFill="1" applyAlignment="1">
      <alignment vertical="center" shrinkToFit="1"/>
    </xf>
    <xf numFmtId="239" fontId="73" fillId="0" borderId="0" xfId="10745" applyNumberFormat="1" applyFont="1" applyAlignment="1">
      <alignment vertical="center"/>
    </xf>
    <xf numFmtId="43" fontId="69" fillId="0" borderId="0" xfId="10743" applyNumberFormat="1" applyFont="1">
      <alignment vertical="center"/>
    </xf>
    <xf numFmtId="239" fontId="69" fillId="0" borderId="0" xfId="10743" applyNumberFormat="1" applyFont="1">
      <alignment vertical="center"/>
    </xf>
    <xf numFmtId="0" fontId="362" fillId="0" borderId="0" xfId="10748" applyFont="1" applyAlignment="1">
      <alignment vertical="center"/>
    </xf>
    <xf numFmtId="0" fontId="362" fillId="0" borderId="0" xfId="10748" applyFont="1" applyAlignment="1">
      <alignment horizontal="left" vertical="center"/>
    </xf>
    <xf numFmtId="0" fontId="362" fillId="0" borderId="0" xfId="10748" applyFont="1" applyAlignment="1">
      <alignment horizontal="right" vertical="center"/>
    </xf>
    <xf numFmtId="0" fontId="6" fillId="0" borderId="0" xfId="10743" applyFont="1" applyAlignment="1">
      <alignment vertical="center" shrinkToFit="1"/>
    </xf>
    <xf numFmtId="0" fontId="192" fillId="0" borderId="0" xfId="10743" applyFont="1">
      <alignment vertical="center"/>
    </xf>
    <xf numFmtId="0" fontId="47" fillId="0" borderId="0" xfId="10743" applyFont="1" applyAlignment="1">
      <alignment vertical="center" shrinkToFit="1"/>
    </xf>
    <xf numFmtId="0" fontId="363" fillId="0" borderId="0" xfId="10748" applyFont="1" applyAlignment="1">
      <alignment horizontal="left" vertical="center"/>
    </xf>
    <xf numFmtId="0" fontId="364" fillId="0" borderId="0" xfId="9340" applyNumberFormat="1" applyFont="1" applyFill="1" applyBorder="1" applyAlignment="1">
      <alignment horizontal="center" vertical="center" shrinkToFit="1"/>
    </xf>
    <xf numFmtId="49" fontId="363" fillId="0" borderId="0" xfId="10748" applyNumberFormat="1" applyFont="1" applyAlignment="1">
      <alignment horizontal="left" vertical="center"/>
    </xf>
    <xf numFmtId="0" fontId="192" fillId="0" borderId="0" xfId="10743" applyFont="1" applyAlignment="1">
      <alignment vertical="center" shrinkToFit="1"/>
    </xf>
    <xf numFmtId="192" fontId="358" fillId="0" borderId="1" xfId="10743" applyNumberFormat="1" applyFont="1" applyBorder="1" applyAlignment="1">
      <alignment vertical="center" shrinkToFit="1"/>
    </xf>
    <xf numFmtId="192" fontId="358" fillId="0" borderId="21" xfId="10743" applyNumberFormat="1" applyFont="1" applyBorder="1" applyAlignment="1">
      <alignment vertical="center" shrinkToFit="1"/>
    </xf>
    <xf numFmtId="0" fontId="356" fillId="0" borderId="168" xfId="9340" applyNumberFormat="1" applyFont="1" applyFill="1" applyBorder="1" applyAlignment="1">
      <alignment horizontal="center" vertical="center" shrinkToFit="1"/>
    </xf>
    <xf numFmtId="192" fontId="358" fillId="0" borderId="25" xfId="10743" applyNumberFormat="1" applyFont="1" applyBorder="1" applyAlignment="1">
      <alignment vertical="center" shrinkToFit="1"/>
    </xf>
    <xf numFmtId="14" fontId="69" fillId="0" borderId="0" xfId="10743" applyNumberFormat="1" applyFont="1">
      <alignment vertical="center"/>
    </xf>
    <xf numFmtId="180" fontId="356" fillId="0" borderId="30" xfId="9340" applyNumberFormat="1" applyFont="1" applyFill="1" applyBorder="1" applyAlignment="1">
      <alignment horizontal="right" vertical="center" shrinkToFit="1"/>
    </xf>
    <xf numFmtId="0" fontId="356" fillId="0" borderId="29" xfId="9340" applyNumberFormat="1" applyFont="1" applyFill="1" applyBorder="1" applyAlignment="1">
      <alignment horizontal="left" vertical="center" shrinkToFit="1"/>
    </xf>
    <xf numFmtId="192" fontId="356" fillId="0" borderId="30" xfId="9340" applyNumberFormat="1" applyFont="1" applyFill="1" applyBorder="1" applyAlignment="1">
      <alignment horizontal="right" vertical="center" shrinkToFit="1"/>
    </xf>
    <xf numFmtId="192" fontId="358" fillId="0" borderId="0" xfId="10743" applyNumberFormat="1" applyFont="1" applyAlignment="1">
      <alignment vertical="center" shrinkToFit="1"/>
    </xf>
    <xf numFmtId="0" fontId="356" fillId="0" borderId="30" xfId="9340" applyNumberFormat="1" applyFont="1" applyFill="1" applyBorder="1" applyAlignment="1">
      <alignment horizontal="center" vertical="center" shrinkToFit="1"/>
    </xf>
    <xf numFmtId="0" fontId="356" fillId="0" borderId="30" xfId="9340" applyNumberFormat="1" applyFont="1" applyFill="1" applyBorder="1" applyAlignment="1">
      <alignment horizontal="right" vertical="center" shrinkToFit="1"/>
    </xf>
    <xf numFmtId="0" fontId="356" fillId="0" borderId="30" xfId="9340" applyNumberFormat="1" applyFont="1" applyFill="1" applyBorder="1" applyAlignment="1">
      <alignment horizontal="left" vertical="center" shrinkToFit="1"/>
    </xf>
    <xf numFmtId="0" fontId="356" fillId="0" borderId="170" xfId="9340" applyNumberFormat="1" applyFont="1" applyFill="1" applyBorder="1" applyAlignment="1">
      <alignment horizontal="center" vertical="center" shrinkToFit="1"/>
    </xf>
    <xf numFmtId="0" fontId="327" fillId="0" borderId="1" xfId="10743" applyFont="1" applyBorder="1" applyAlignment="1">
      <alignment horizontal="center" vertical="center" shrinkToFit="1"/>
    </xf>
    <xf numFmtId="0" fontId="327" fillId="0" borderId="0" xfId="10743" applyFont="1" applyAlignment="1">
      <alignment horizontal="center" vertical="center" shrinkToFit="1"/>
    </xf>
    <xf numFmtId="0" fontId="327" fillId="0" borderId="0" xfId="10743" applyFont="1">
      <alignment vertical="center"/>
    </xf>
    <xf numFmtId="49" fontId="327" fillId="0" borderId="0" xfId="10743" applyNumberFormat="1" applyFont="1" applyAlignment="1">
      <alignment horizontal="center" vertical="center" shrinkToFit="1"/>
    </xf>
    <xf numFmtId="0" fontId="327" fillId="15" borderId="1" xfId="10743" applyFont="1" applyFill="1" applyBorder="1" applyAlignment="1">
      <alignment horizontal="center" vertical="center" shrinkToFit="1"/>
    </xf>
    <xf numFmtId="0" fontId="327" fillId="15" borderId="0" xfId="10743" applyFont="1" applyFill="1" applyAlignment="1">
      <alignment horizontal="center" vertical="center" shrinkToFit="1"/>
    </xf>
    <xf numFmtId="0" fontId="327" fillId="15" borderId="0" xfId="10743" applyFont="1" applyFill="1">
      <alignment vertical="center"/>
    </xf>
    <xf numFmtId="2" fontId="327" fillId="15" borderId="0" xfId="10743" applyNumberFormat="1" applyFont="1" applyFill="1" applyAlignment="1">
      <alignment vertical="center" shrinkToFit="1"/>
    </xf>
    <xf numFmtId="0" fontId="69" fillId="0" borderId="1" xfId="10743" applyFont="1" applyBorder="1" applyAlignment="1">
      <alignment horizontal="center" vertical="center" shrinkToFit="1"/>
    </xf>
    <xf numFmtId="0" fontId="69" fillId="15" borderId="0" xfId="10743" applyFont="1" applyFill="1">
      <alignment vertical="center"/>
    </xf>
    <xf numFmtId="2" fontId="327" fillId="0" borderId="0" xfId="10743" applyNumberFormat="1" applyFont="1" applyAlignment="1">
      <alignment vertical="center" shrinkToFit="1"/>
    </xf>
    <xf numFmtId="0" fontId="327" fillId="0" borderId="1" xfId="10743" applyFont="1" applyBorder="1" applyAlignment="1">
      <alignment vertical="center" shrinkToFit="1"/>
    </xf>
    <xf numFmtId="377" fontId="357" fillId="0" borderId="1" xfId="9340" applyNumberFormat="1" applyFont="1" applyFill="1" applyBorder="1" applyAlignment="1">
      <alignment horizontal="right" vertical="center" shrinkToFit="1"/>
    </xf>
    <xf numFmtId="49" fontId="69" fillId="0" borderId="0" xfId="10743" applyNumberFormat="1" applyFont="1">
      <alignment vertical="center"/>
    </xf>
    <xf numFmtId="0" fontId="356" fillId="0" borderId="23" xfId="9340" quotePrefix="1" applyNumberFormat="1" applyFont="1" applyFill="1" applyBorder="1" applyAlignment="1">
      <alignment horizontal="center" vertical="center" shrinkToFit="1"/>
    </xf>
    <xf numFmtId="369" fontId="335" fillId="0" borderId="1" xfId="9585" applyNumberFormat="1" applyFont="1" applyFill="1" applyBorder="1" applyAlignment="1">
      <alignment horizontal="right" vertical="center" shrinkToFit="1"/>
    </xf>
    <xf numFmtId="0" fontId="335" fillId="0" borderId="1" xfId="9585" applyNumberFormat="1" applyFont="1" applyFill="1" applyBorder="1" applyAlignment="1">
      <alignment horizontal="left" vertical="center" shrinkToFit="1"/>
    </xf>
    <xf numFmtId="41" fontId="356" fillId="0" borderId="21" xfId="10056" applyFont="1" applyFill="1" applyBorder="1" applyAlignment="1">
      <alignment horizontal="left" vertical="center" shrinkToFit="1"/>
    </xf>
    <xf numFmtId="41" fontId="356" fillId="0" borderId="1" xfId="10056" applyFont="1" applyFill="1" applyBorder="1" applyAlignment="1">
      <alignment horizontal="left" vertical="center"/>
    </xf>
    <xf numFmtId="377" fontId="356" fillId="0" borderId="1" xfId="10056" applyNumberFormat="1" applyFont="1" applyFill="1" applyBorder="1" applyAlignment="1">
      <alignment vertical="center" shrinkToFit="1"/>
    </xf>
    <xf numFmtId="369" fontId="356" fillId="0" borderId="1" xfId="10056" applyNumberFormat="1" applyFont="1" applyFill="1" applyBorder="1" applyAlignment="1">
      <alignment vertical="center" shrinkToFit="1"/>
    </xf>
    <xf numFmtId="41" fontId="69" fillId="0" borderId="0" xfId="10743" applyNumberFormat="1" applyFont="1" applyAlignment="1">
      <alignment vertical="center" shrinkToFit="1"/>
    </xf>
    <xf numFmtId="41" fontId="69" fillId="0" borderId="0" xfId="10743" applyNumberFormat="1" applyFont="1">
      <alignment vertical="center"/>
    </xf>
    <xf numFmtId="184" fontId="356" fillId="0" borderId="1" xfId="9585" applyNumberFormat="1" applyFont="1" applyFill="1" applyBorder="1" applyAlignment="1">
      <alignment horizontal="right" vertical="center" shrinkToFit="1"/>
    </xf>
    <xf numFmtId="41" fontId="69" fillId="0" borderId="0" xfId="9340" applyFont="1" applyFill="1" applyAlignment="1">
      <alignment vertical="center"/>
    </xf>
    <xf numFmtId="0" fontId="69" fillId="0" borderId="1" xfId="10743" applyFont="1" applyBorder="1">
      <alignment vertical="center"/>
    </xf>
    <xf numFmtId="0" fontId="69" fillId="0" borderId="0" xfId="10743" applyFont="1" applyAlignment="1">
      <alignment horizontal="center" vertical="center"/>
    </xf>
    <xf numFmtId="0" fontId="356" fillId="0" borderId="0" xfId="10743" applyFont="1">
      <alignment vertical="center"/>
    </xf>
    <xf numFmtId="0" fontId="356" fillId="0" borderId="0" xfId="10743" applyFont="1" applyAlignment="1">
      <alignment horizontal="right" vertical="center"/>
    </xf>
    <xf numFmtId="0" fontId="356" fillId="0" borderId="0" xfId="9340" applyNumberFormat="1" applyFont="1" applyFill="1" applyAlignment="1">
      <alignment horizontal="right" vertical="center"/>
    </xf>
    <xf numFmtId="0" fontId="356" fillId="0" borderId="0" xfId="10743" applyFont="1" applyAlignment="1">
      <alignment horizontal="center" vertical="center"/>
    </xf>
    <xf numFmtId="0" fontId="356" fillId="0" borderId="0" xfId="9340" applyNumberFormat="1" applyFont="1" applyFill="1" applyAlignment="1">
      <alignment vertical="center"/>
    </xf>
    <xf numFmtId="0" fontId="356" fillId="0" borderId="0" xfId="9340" applyNumberFormat="1" applyFont="1" applyFill="1" applyBorder="1" applyAlignment="1">
      <alignment horizontal="left" vertical="center"/>
    </xf>
    <xf numFmtId="0" fontId="355" fillId="0" borderId="0" xfId="10743" applyFont="1">
      <alignment vertical="center"/>
    </xf>
    <xf numFmtId="0" fontId="16" fillId="4" borderId="25" xfId="0" applyFont="1" applyFill="1" applyBorder="1" applyAlignment="1">
      <alignment horizontal="center" vertical="center" shrinkToFit="1"/>
    </xf>
    <xf numFmtId="0" fontId="190" fillId="4" borderId="25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Continuous" vertical="center" shrinkToFit="1"/>
    </xf>
    <xf numFmtId="3" fontId="15" fillId="4" borderId="1" xfId="0" applyNumberFormat="1" applyFont="1" applyFill="1" applyBorder="1" applyAlignment="1">
      <alignment horizontal="centerContinuous" vertical="center"/>
    </xf>
    <xf numFmtId="3" fontId="15" fillId="4" borderId="1" xfId="0" applyNumberFormat="1" applyFont="1" applyFill="1" applyBorder="1" applyAlignment="1">
      <alignment horizontal="center" vertical="center"/>
    </xf>
    <xf numFmtId="1" fontId="15" fillId="4" borderId="1" xfId="0" applyNumberFormat="1" applyFont="1" applyFill="1" applyBorder="1" applyAlignment="1">
      <alignment horizontal="center" vertical="center"/>
    </xf>
    <xf numFmtId="187" fontId="47" fillId="4" borderId="24" xfId="0" applyNumberFormat="1" applyFont="1" applyFill="1" applyBorder="1" applyAlignment="1">
      <alignment horizontal="center" vertical="center"/>
    </xf>
    <xf numFmtId="0" fontId="193" fillId="4" borderId="21" xfId="0" applyFont="1" applyFill="1" applyBorder="1" applyAlignment="1">
      <alignment horizontal="center" vertical="center" wrapText="1" shrinkToFit="1"/>
    </xf>
    <xf numFmtId="41" fontId="6" fillId="4" borderId="0" xfId="0" applyNumberFormat="1" applyFont="1" applyFill="1">
      <alignment vertical="center"/>
    </xf>
    <xf numFmtId="187" fontId="193" fillId="4" borderId="1" xfId="0" applyNumberFormat="1" applyFont="1" applyFill="1" applyBorder="1" applyAlignment="1">
      <alignment horizontal="center" vertical="center"/>
    </xf>
    <xf numFmtId="187" fontId="49" fillId="4" borderId="25" xfId="0" applyNumberFormat="1" applyFont="1" applyFill="1" applyBorder="1" applyAlignment="1">
      <alignment horizontal="center" vertical="center"/>
    </xf>
    <xf numFmtId="0" fontId="16" fillId="4" borderId="25" xfId="0" quotePrefix="1" applyFont="1" applyFill="1" applyBorder="1" applyAlignment="1">
      <alignment horizontal="center" vertical="center"/>
    </xf>
    <xf numFmtId="0" fontId="192" fillId="4" borderId="23" xfId="0" applyFont="1" applyFill="1" applyBorder="1" applyAlignment="1">
      <alignment horizontal="center" vertical="center"/>
    </xf>
    <xf numFmtId="0" fontId="69" fillId="4" borderId="23" xfId="0" applyFont="1" applyFill="1" applyBorder="1" applyAlignment="1">
      <alignment horizontal="center" vertical="center"/>
    </xf>
    <xf numFmtId="0" fontId="16" fillId="4" borderId="1" xfId="973" applyNumberFormat="1" applyFont="1" applyFill="1" applyBorder="1" applyAlignment="1">
      <alignment horizontal="center" vertical="center"/>
    </xf>
    <xf numFmtId="187" fontId="47" fillId="4" borderId="0" xfId="0" applyNumberFormat="1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 wrapText="1" shrinkToFit="1"/>
    </xf>
    <xf numFmtId="187" fontId="328" fillId="4" borderId="0" xfId="0" quotePrefix="1" applyNumberFormat="1" applyFont="1" applyFill="1" applyAlignment="1">
      <alignment horizontal="center" vertical="center"/>
    </xf>
    <xf numFmtId="3" fontId="15" fillId="4" borderId="0" xfId="0" applyNumberFormat="1" applyFont="1" applyFill="1" applyAlignment="1">
      <alignment vertical="center" shrinkToFit="1"/>
    </xf>
    <xf numFmtId="3" fontId="15" fillId="4" borderId="0" xfId="0" applyNumberFormat="1" applyFont="1" applyFill="1">
      <alignment vertical="center"/>
    </xf>
    <xf numFmtId="0" fontId="16" fillId="4" borderId="0" xfId="0" applyFont="1" applyFill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3" fontId="16" fillId="4" borderId="1" xfId="0" applyNumberFormat="1" applyFont="1" applyFill="1" applyBorder="1" applyAlignment="1">
      <alignment horizontal="center" vertical="center"/>
    </xf>
    <xf numFmtId="3" fontId="16" fillId="4" borderId="1" xfId="0" applyNumberFormat="1" applyFont="1" applyFill="1" applyBorder="1" applyAlignment="1">
      <alignment horizontal="center" vertical="center" shrinkToFit="1"/>
    </xf>
    <xf numFmtId="41" fontId="69" fillId="4" borderId="1" xfId="0" applyNumberFormat="1" applyFont="1" applyFill="1" applyBorder="1">
      <alignment vertical="center"/>
    </xf>
    <xf numFmtId="0" fontId="190" fillId="4" borderId="21" xfId="0" applyFont="1" applyFill="1" applyBorder="1" applyAlignment="1">
      <alignment horizontal="center" vertical="center" wrapText="1" shrinkToFit="1"/>
    </xf>
    <xf numFmtId="0" fontId="193" fillId="4" borderId="1" xfId="0" applyFont="1" applyFill="1" applyBorder="1" applyAlignment="1">
      <alignment horizontal="center" vertical="center" shrinkToFit="1"/>
    </xf>
    <xf numFmtId="3" fontId="193" fillId="4" borderId="1" xfId="0" applyNumberFormat="1" applyFont="1" applyFill="1" applyBorder="1" applyAlignment="1">
      <alignment horizontal="center" vertical="center" shrinkToFit="1"/>
    </xf>
    <xf numFmtId="3" fontId="193" fillId="4" borderId="1" xfId="0" applyNumberFormat="1" applyFont="1" applyFill="1" applyBorder="1" applyAlignment="1">
      <alignment horizontal="center" vertical="center"/>
    </xf>
    <xf numFmtId="3" fontId="15" fillId="4" borderId="1" xfId="0" applyNumberFormat="1" applyFont="1" applyFill="1" applyBorder="1" applyAlignment="1">
      <alignment horizontal="center" vertical="center" wrapText="1" shrinkToFit="1"/>
    </xf>
    <xf numFmtId="41" fontId="47" fillId="4" borderId="25" xfId="0" applyNumberFormat="1" applyFont="1" applyFill="1" applyBorder="1">
      <alignment vertical="center"/>
    </xf>
    <xf numFmtId="0" fontId="16" fillId="4" borderId="1" xfId="0" applyFont="1" applyFill="1" applyBorder="1" applyAlignment="1">
      <alignment horizontal="center" vertical="center" shrinkToFit="1"/>
    </xf>
    <xf numFmtId="0" fontId="297" fillId="0" borderId="0" xfId="10742" applyFont="1" applyAlignment="1">
      <alignment horizontal="left" vertical="center"/>
    </xf>
    <xf numFmtId="0" fontId="297" fillId="0" borderId="0" xfId="10742" applyFont="1"/>
    <xf numFmtId="0" fontId="297" fillId="0" borderId="0" xfId="10742" applyFont="1" applyAlignment="1">
      <alignment horizontal="center"/>
    </xf>
    <xf numFmtId="0" fontId="297" fillId="0" borderId="0" xfId="10742" applyFont="1" applyAlignment="1">
      <alignment horizontal="right" vertical="center"/>
    </xf>
    <xf numFmtId="0" fontId="297" fillId="0" borderId="173" xfId="10749" applyFont="1" applyBorder="1" applyAlignment="1">
      <alignment horizontal="center" vertical="center"/>
    </xf>
    <xf numFmtId="3" fontId="12" fillId="0" borderId="70" xfId="10742" applyNumberFormat="1" applyFont="1" applyBorder="1" applyAlignment="1">
      <alignment horizontal="center" vertical="center"/>
    </xf>
    <xf numFmtId="301" fontId="12" fillId="0" borderId="173" xfId="10750" applyFont="1" applyBorder="1">
      <alignment vertical="center"/>
    </xf>
    <xf numFmtId="301" fontId="12" fillId="0" borderId="175" xfId="10750" applyFont="1" applyBorder="1">
      <alignment vertical="center"/>
    </xf>
    <xf numFmtId="377" fontId="12" fillId="0" borderId="173" xfId="10750" applyNumberFormat="1" applyFont="1" applyBorder="1">
      <alignment vertical="center"/>
    </xf>
    <xf numFmtId="3" fontId="12" fillId="0" borderId="69" xfId="10742" applyNumberFormat="1" applyFont="1" applyBorder="1" applyAlignment="1">
      <alignment horizontal="left" vertical="center"/>
    </xf>
    <xf numFmtId="0" fontId="194" fillId="0" borderId="45" xfId="10749" applyFont="1" applyBorder="1" applyAlignment="1">
      <alignment horizontal="center" vertical="center"/>
    </xf>
    <xf numFmtId="0" fontId="194" fillId="0" borderId="4" xfId="10749" applyFont="1" applyBorder="1" applyAlignment="1">
      <alignment horizontal="center" vertical="center"/>
    </xf>
    <xf numFmtId="0" fontId="194" fillId="0" borderId="78" xfId="10749" applyFont="1" applyBorder="1" applyAlignment="1">
      <alignment horizontal="center" vertical="center"/>
    </xf>
    <xf numFmtId="301" fontId="194" fillId="0" borderId="176" xfId="10750" applyFont="1" applyBorder="1">
      <alignment vertical="center"/>
    </xf>
    <xf numFmtId="301" fontId="194" fillId="0" borderId="177" xfId="10750" applyFont="1" applyBorder="1">
      <alignment vertical="center"/>
    </xf>
    <xf numFmtId="0" fontId="15" fillId="4" borderId="30" xfId="0" applyFont="1" applyFill="1" applyBorder="1" applyAlignment="1">
      <alignment horizontal="center" vertical="center"/>
    </xf>
    <xf numFmtId="0" fontId="15" fillId="4" borderId="23" xfId="0" applyFont="1" applyFill="1" applyBorder="1" applyAlignment="1">
      <alignment horizontal="center" vertical="center"/>
    </xf>
    <xf numFmtId="1" fontId="15" fillId="0" borderId="9" xfId="0" applyNumberFormat="1" applyFont="1" applyBorder="1" applyAlignment="1"/>
    <xf numFmtId="181" fontId="15" fillId="0" borderId="0" xfId="0" applyNumberFormat="1" applyFont="1" applyAlignment="1"/>
    <xf numFmtId="189" fontId="15" fillId="0" borderId="0" xfId="0" applyNumberFormat="1" applyFont="1" applyAlignment="1"/>
    <xf numFmtId="183" fontId="15" fillId="0" borderId="0" xfId="0" applyNumberFormat="1" applyFont="1" applyAlignment="1"/>
    <xf numFmtId="193" fontId="15" fillId="0" borderId="0" xfId="0" applyNumberFormat="1" applyFont="1" applyAlignment="1"/>
    <xf numFmtId="41" fontId="6" fillId="4" borderId="23" xfId="0" applyNumberFormat="1" applyFont="1" applyFill="1" applyBorder="1">
      <alignment vertical="center"/>
    </xf>
    <xf numFmtId="3" fontId="15" fillId="4" borderId="23" xfId="0" applyNumberFormat="1" applyFont="1" applyFill="1" applyBorder="1" applyAlignment="1">
      <alignment vertical="center" shrinkToFit="1"/>
    </xf>
    <xf numFmtId="3" fontId="15" fillId="4" borderId="23" xfId="0" applyNumberFormat="1" applyFont="1" applyFill="1" applyBorder="1">
      <alignment vertical="center"/>
    </xf>
    <xf numFmtId="0" fontId="16" fillId="4" borderId="23" xfId="0" applyFont="1" applyFill="1" applyBorder="1" applyAlignment="1">
      <alignment horizontal="center" vertical="center"/>
    </xf>
    <xf numFmtId="41" fontId="47" fillId="4" borderId="0" xfId="0" applyNumberFormat="1" applyFont="1" applyFill="1">
      <alignment vertical="center"/>
    </xf>
    <xf numFmtId="0" fontId="16" fillId="4" borderId="0" xfId="0" applyFont="1" applyFill="1" applyAlignment="1">
      <alignment horizontal="center" vertical="center" wrapText="1" shrinkToFit="1"/>
    </xf>
    <xf numFmtId="3" fontId="16" fillId="4" borderId="0" xfId="0" applyNumberFormat="1" applyFont="1" applyFill="1" applyAlignment="1">
      <alignment vertical="center" shrinkToFit="1"/>
    </xf>
    <xf numFmtId="3" fontId="16" fillId="4" borderId="0" xfId="0" applyNumberFormat="1" applyFont="1" applyFill="1">
      <alignment vertical="center"/>
    </xf>
    <xf numFmtId="376" fontId="190" fillId="4" borderId="1" xfId="0" applyNumberFormat="1" applyFont="1" applyFill="1" applyBorder="1" applyAlignment="1">
      <alignment horizontal="center" vertical="center"/>
    </xf>
    <xf numFmtId="41" fontId="192" fillId="0" borderId="1" xfId="0" applyNumberFormat="1" applyFont="1" applyBorder="1" applyAlignment="1">
      <alignment horizontal="center" vertical="center"/>
    </xf>
    <xf numFmtId="187" fontId="328" fillId="0" borderId="1" xfId="0" quotePrefix="1" applyNumberFormat="1" applyFont="1" applyBorder="1" applyAlignment="1">
      <alignment horizontal="center" vertical="center"/>
    </xf>
    <xf numFmtId="187" fontId="47" fillId="0" borderId="25" xfId="0" applyNumberFormat="1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 wrapText="1" shrinkToFit="1"/>
    </xf>
    <xf numFmtId="0" fontId="15" fillId="0" borderId="25" xfId="0" applyFont="1" applyBorder="1" applyAlignment="1">
      <alignment horizontal="center" vertical="center"/>
    </xf>
    <xf numFmtId="3" fontId="15" fillId="0" borderId="25" xfId="0" applyNumberFormat="1" applyFont="1" applyBorder="1" applyAlignment="1">
      <alignment vertical="center" shrinkToFit="1"/>
    </xf>
    <xf numFmtId="0" fontId="16" fillId="0" borderId="2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 shrinkToFit="1"/>
    </xf>
    <xf numFmtId="41" fontId="6" fillId="4" borderId="30" xfId="0" applyNumberFormat="1" applyFont="1" applyFill="1" applyBorder="1">
      <alignment vertical="center"/>
    </xf>
    <xf numFmtId="0" fontId="15" fillId="4" borderId="30" xfId="0" applyFont="1" applyFill="1" applyBorder="1" applyAlignment="1">
      <alignment horizontal="center" vertical="center" shrinkToFit="1"/>
    </xf>
    <xf numFmtId="0" fontId="16" fillId="4" borderId="30" xfId="0" applyFont="1" applyFill="1" applyBorder="1" applyAlignment="1">
      <alignment horizontal="center" vertical="center" shrinkToFit="1"/>
    </xf>
    <xf numFmtId="0" fontId="15" fillId="4" borderId="23" xfId="0" applyFont="1" applyFill="1" applyBorder="1" applyAlignment="1">
      <alignment horizontal="center" vertical="center" wrapText="1" shrinkToFit="1"/>
    </xf>
    <xf numFmtId="0" fontId="22" fillId="4" borderId="23" xfId="0" applyFont="1" applyFill="1" applyBorder="1" applyAlignment="1">
      <alignment horizontal="center" vertical="center"/>
    </xf>
    <xf numFmtId="3" fontId="12" fillId="0" borderId="93" xfId="10742" applyNumberFormat="1" applyFont="1" applyBorder="1" applyAlignment="1">
      <alignment horizontal="center" vertical="center"/>
    </xf>
    <xf numFmtId="301" fontId="12" fillId="0" borderId="30" xfId="10750" applyFont="1" applyBorder="1">
      <alignment vertical="center"/>
    </xf>
    <xf numFmtId="301" fontId="12" fillId="0" borderId="29" xfId="10750" applyFont="1" applyBorder="1">
      <alignment vertical="center"/>
    </xf>
    <xf numFmtId="301" fontId="12" fillId="0" borderId="178" xfId="10750" applyFont="1" applyBorder="1">
      <alignment vertical="center"/>
    </xf>
    <xf numFmtId="3" fontId="12" fillId="0" borderId="94" xfId="10742" applyNumberFormat="1" applyFont="1" applyBorder="1" applyAlignment="1">
      <alignment horizontal="left" vertical="center"/>
    </xf>
    <xf numFmtId="3" fontId="190" fillId="0" borderId="30" xfId="0" quotePrefix="1" applyNumberFormat="1" applyFont="1" applyBorder="1" applyAlignment="1">
      <alignment horizontal="center" vertical="center"/>
    </xf>
    <xf numFmtId="0" fontId="2" fillId="0" borderId="0" xfId="1"/>
    <xf numFmtId="0" fontId="369" fillId="0" borderId="0" xfId="10751" applyFont="1" applyAlignment="1">
      <alignment horizontal="center" vertical="center"/>
    </xf>
    <xf numFmtId="0" fontId="370" fillId="0" borderId="0" xfId="10751" applyFont="1" applyAlignment="1" applyProtection="1">
      <alignment horizontal="center" vertical="center"/>
      <protection locked="0"/>
    </xf>
    <xf numFmtId="1" fontId="371" fillId="0" borderId="179" xfId="10751" applyNumberFormat="1" applyFont="1" applyBorder="1">
      <alignment vertical="center"/>
    </xf>
    <xf numFmtId="0" fontId="373" fillId="0" borderId="179" xfId="10751" applyFont="1" applyBorder="1">
      <alignment vertical="center"/>
    </xf>
    <xf numFmtId="41" fontId="2" fillId="15" borderId="0" xfId="1" applyNumberFormat="1" applyFill="1"/>
    <xf numFmtId="0" fontId="374" fillId="64" borderId="189" xfId="10751" applyFont="1" applyFill="1" applyBorder="1" applyAlignment="1">
      <alignment horizontal="center" vertical="center"/>
    </xf>
    <xf numFmtId="3" fontId="374" fillId="64" borderId="189" xfId="10751" applyNumberFormat="1" applyFont="1" applyFill="1" applyBorder="1" applyAlignment="1">
      <alignment horizontal="center" vertical="center"/>
    </xf>
    <xf numFmtId="3" fontId="375" fillId="0" borderId="193" xfId="10751" applyNumberFormat="1" applyFont="1" applyBorder="1" applyAlignment="1">
      <alignment horizontal="distributed" vertical="center" indent="1" shrinkToFit="1"/>
    </xf>
    <xf numFmtId="178" fontId="375" fillId="0" borderId="193" xfId="10752" applyNumberFormat="1" applyFont="1" applyBorder="1" applyAlignment="1">
      <alignment horizontal="right" vertical="center"/>
    </xf>
    <xf numFmtId="178" fontId="375" fillId="0" borderId="193" xfId="10752" applyNumberFormat="1" applyFont="1" applyFill="1" applyBorder="1" applyAlignment="1">
      <alignment horizontal="right" vertical="center"/>
    </xf>
    <xf numFmtId="303" fontId="377" fillId="0" borderId="194" xfId="10751" applyNumberFormat="1" applyFont="1" applyBorder="1" applyAlignment="1" applyProtection="1">
      <alignment horizontal="center" vertical="center"/>
      <protection locked="0"/>
    </xf>
    <xf numFmtId="3" fontId="378" fillId="0" borderId="197" xfId="10751" applyNumberFormat="1" applyFont="1" applyBorder="1" applyAlignment="1">
      <alignment horizontal="distributed" vertical="center" indent="1" shrinkToFit="1"/>
    </xf>
    <xf numFmtId="178" fontId="378" fillId="0" borderId="197" xfId="10752" applyNumberFormat="1" applyFont="1" applyBorder="1" applyAlignment="1">
      <alignment horizontal="right" vertical="center"/>
    </xf>
    <xf numFmtId="178" fontId="378" fillId="0" borderId="197" xfId="10752" applyNumberFormat="1" applyFont="1" applyFill="1" applyBorder="1" applyAlignment="1">
      <alignment horizontal="right" vertical="center"/>
    </xf>
    <xf numFmtId="178" fontId="375" fillId="0" borderId="197" xfId="10752" applyNumberFormat="1" applyFont="1" applyBorder="1" applyAlignment="1">
      <alignment horizontal="right" vertical="center"/>
    </xf>
    <xf numFmtId="303" fontId="377" fillId="0" borderId="198" xfId="10751" applyNumberFormat="1" applyFont="1" applyBorder="1" applyAlignment="1" applyProtection="1">
      <alignment horizontal="center" vertical="center"/>
      <protection locked="0"/>
    </xf>
    <xf numFmtId="3" fontId="375" fillId="0" borderId="197" xfId="10751" applyNumberFormat="1" applyFont="1" applyBorder="1" applyAlignment="1">
      <alignment horizontal="distributed" vertical="center" indent="1" shrinkToFit="1"/>
    </xf>
    <xf numFmtId="41" fontId="375" fillId="0" borderId="197" xfId="10752" applyFont="1" applyFill="1" applyBorder="1" applyAlignment="1">
      <alignment horizontal="center" vertical="center"/>
    </xf>
    <xf numFmtId="41" fontId="375" fillId="0" borderId="197" xfId="10752" applyFont="1" applyBorder="1" applyAlignment="1">
      <alignment horizontal="center" vertical="center"/>
    </xf>
    <xf numFmtId="303" fontId="379" fillId="0" borderId="197" xfId="10751" applyNumberFormat="1" applyFont="1" applyBorder="1" applyAlignment="1">
      <alignment horizontal="center" vertical="center"/>
    </xf>
    <xf numFmtId="3" fontId="378" fillId="0" borderId="197" xfId="10751" applyNumberFormat="1" applyFont="1" applyBorder="1" applyAlignment="1">
      <alignment horizontal="center" vertical="center"/>
    </xf>
    <xf numFmtId="41" fontId="378" fillId="0" borderId="197" xfId="10752" applyFont="1" applyFill="1" applyBorder="1" applyAlignment="1">
      <alignment horizontal="center" vertical="center"/>
    </xf>
    <xf numFmtId="303" fontId="375" fillId="0" borderId="197" xfId="10751" applyNumberFormat="1" applyFont="1" applyBorder="1" applyAlignment="1">
      <alignment horizontal="center" vertical="center"/>
    </xf>
    <xf numFmtId="41" fontId="375" fillId="0" borderId="197" xfId="10753" applyFont="1" applyFill="1" applyBorder="1" applyAlignment="1">
      <alignment horizontal="center" vertical="center"/>
    </xf>
    <xf numFmtId="0" fontId="2" fillId="0" borderId="0" xfId="5108"/>
    <xf numFmtId="0" fontId="0" fillId="0" borderId="0" xfId="5108" applyFont="1"/>
    <xf numFmtId="0" fontId="2" fillId="15" borderId="0" xfId="5108" applyFill="1"/>
    <xf numFmtId="4" fontId="381" fillId="0" borderId="197" xfId="10751" applyNumberFormat="1" applyFont="1" applyBorder="1" applyAlignment="1">
      <alignment horizontal="center" vertical="center"/>
    </xf>
    <xf numFmtId="41" fontId="381" fillId="0" borderId="197" xfId="10753" applyFont="1" applyFill="1" applyBorder="1" applyAlignment="1">
      <alignment horizontal="center" vertical="center"/>
    </xf>
    <xf numFmtId="4" fontId="377" fillId="0" borderId="198" xfId="10751" applyNumberFormat="1" applyFont="1" applyBorder="1" applyAlignment="1" applyProtection="1">
      <alignment horizontal="center" vertical="center"/>
      <protection locked="0"/>
    </xf>
    <xf numFmtId="0" fontId="2" fillId="0" borderId="31" xfId="5108" applyBorder="1"/>
    <xf numFmtId="0" fontId="2" fillId="0" borderId="28" xfId="5108" applyBorder="1" applyAlignment="1">
      <alignment horizontal="center"/>
    </xf>
    <xf numFmtId="43" fontId="2" fillId="0" borderId="29" xfId="5108" applyNumberFormat="1" applyBorder="1" applyAlignment="1">
      <alignment horizontal="center"/>
    </xf>
    <xf numFmtId="224" fontId="2" fillId="0" borderId="26" xfId="5108" applyNumberFormat="1" applyBorder="1" applyAlignment="1">
      <alignment horizontal="right"/>
    </xf>
    <xf numFmtId="41" fontId="2" fillId="0" borderId="0" xfId="5108" applyNumberFormat="1"/>
    <xf numFmtId="10" fontId="2" fillId="65" borderId="0" xfId="5108" quotePrefix="1" applyNumberFormat="1" applyFill="1"/>
    <xf numFmtId="41" fontId="2" fillId="65" borderId="0" xfId="973" quotePrefix="1" applyFont="1" applyFill="1" applyBorder="1" applyAlignment="1"/>
    <xf numFmtId="43" fontId="2" fillId="0" borderId="27" xfId="5108" applyNumberFormat="1" applyBorder="1"/>
    <xf numFmtId="240" fontId="381" fillId="0" borderId="197" xfId="10751" applyNumberFormat="1" applyFont="1" applyBorder="1" applyAlignment="1">
      <alignment horizontal="center" vertical="center"/>
    </xf>
    <xf numFmtId="224" fontId="2" fillId="0" borderId="27" xfId="5108" applyNumberFormat="1" applyBorder="1"/>
    <xf numFmtId="224" fontId="2" fillId="0" borderId="33" xfId="5108" applyNumberFormat="1" applyBorder="1" applyAlignment="1">
      <alignment horizontal="right"/>
    </xf>
    <xf numFmtId="41" fontId="2" fillId="0" borderId="9" xfId="5108" applyNumberFormat="1" applyBorder="1"/>
    <xf numFmtId="10" fontId="2" fillId="65" borderId="9" xfId="5108" quotePrefix="1" applyNumberFormat="1" applyFill="1" applyBorder="1"/>
    <xf numFmtId="41" fontId="2" fillId="65" borderId="9" xfId="973" quotePrefix="1" applyFont="1" applyFill="1" applyBorder="1" applyAlignment="1"/>
    <xf numFmtId="224" fontId="2" fillId="0" borderId="22" xfId="5108" applyNumberFormat="1" applyBorder="1"/>
    <xf numFmtId="41" fontId="2" fillId="0" borderId="0" xfId="5108" quotePrefix="1" applyNumberFormat="1"/>
    <xf numFmtId="224" fontId="2" fillId="0" borderId="0" xfId="5108" applyNumberFormat="1"/>
    <xf numFmtId="224" fontId="2" fillId="0" borderId="29" xfId="5108" applyNumberFormat="1" applyBorder="1" applyAlignment="1">
      <alignment horizontal="center"/>
    </xf>
    <xf numFmtId="303" fontId="381" fillId="0" borderId="197" xfId="10751" applyNumberFormat="1" applyFont="1" applyBorder="1" applyAlignment="1">
      <alignment horizontal="center" vertical="center"/>
    </xf>
    <xf numFmtId="4" fontId="381" fillId="0" borderId="198" xfId="10751" applyNumberFormat="1" applyFont="1" applyBorder="1" applyAlignment="1" applyProtection="1">
      <alignment horizontal="center" vertical="center"/>
      <protection locked="0"/>
    </xf>
    <xf numFmtId="3" fontId="365" fillId="0" borderId="197" xfId="10751" applyNumberFormat="1" applyFont="1" applyBorder="1" applyAlignment="1">
      <alignment horizontal="center" vertical="center"/>
    </xf>
    <xf numFmtId="41" fontId="365" fillId="0" borderId="197" xfId="10752" applyFont="1" applyFill="1" applyBorder="1" applyAlignment="1">
      <alignment horizontal="center" vertical="center"/>
    </xf>
    <xf numFmtId="0" fontId="365" fillId="0" borderId="197" xfId="10751" applyFont="1" applyBorder="1" applyAlignment="1">
      <alignment horizontal="center" vertical="center"/>
    </xf>
    <xf numFmtId="41" fontId="365" fillId="0" borderId="197" xfId="10753" applyFont="1" applyFill="1" applyBorder="1" applyAlignment="1">
      <alignment horizontal="center" vertical="center"/>
    </xf>
    <xf numFmtId="0" fontId="365" fillId="0" borderId="203" xfId="10751" applyFont="1" applyBorder="1" applyAlignment="1">
      <alignment horizontal="center" vertical="center"/>
    </xf>
    <xf numFmtId="303" fontId="381" fillId="0" borderId="198" xfId="10751" applyNumberFormat="1" applyFont="1" applyBorder="1" applyAlignment="1" applyProtection="1">
      <alignment horizontal="center" vertical="center"/>
      <protection locked="0"/>
    </xf>
    <xf numFmtId="0" fontId="382" fillId="0" borderId="0" xfId="0" applyFont="1">
      <alignment vertical="center"/>
    </xf>
    <xf numFmtId="0" fontId="89" fillId="0" borderId="0" xfId="1" applyFont="1"/>
    <xf numFmtId="0" fontId="381" fillId="0" borderId="1" xfId="1" applyFont="1" applyBorder="1" applyAlignment="1">
      <alignment horizontal="center" vertical="center"/>
    </xf>
    <xf numFmtId="0" fontId="0" fillId="0" borderId="0" xfId="5108" applyFont="1" applyAlignment="1">
      <alignment horizontal="right"/>
    </xf>
    <xf numFmtId="178" fontId="381" fillId="0" borderId="197" xfId="10753" applyNumberFormat="1" applyFont="1" applyFill="1" applyBorder="1" applyAlignment="1">
      <alignment horizontal="right" vertical="center"/>
    </xf>
    <xf numFmtId="303" fontId="365" fillId="0" borderId="198" xfId="10751" applyNumberFormat="1" applyFont="1" applyBorder="1" applyAlignment="1" applyProtection="1">
      <alignment horizontal="center" vertical="center"/>
      <protection locked="0"/>
    </xf>
    <xf numFmtId="41" fontId="89" fillId="0" borderId="1" xfId="1" applyNumberFormat="1" applyFont="1" applyBorder="1" applyAlignment="1" applyProtection="1">
      <alignment vertical="center"/>
      <protection locked="0"/>
    </xf>
    <xf numFmtId="0" fontId="89" fillId="65" borderId="1" xfId="1" applyFont="1" applyFill="1" applyBorder="1" applyAlignment="1">
      <alignment vertical="center"/>
    </xf>
    <xf numFmtId="43" fontId="89" fillId="0" borderId="1" xfId="1" applyNumberFormat="1" applyFont="1" applyBorder="1" applyAlignment="1">
      <alignment vertical="center"/>
    </xf>
    <xf numFmtId="240" fontId="375" fillId="0" borderId="197" xfId="10751" applyNumberFormat="1" applyFont="1" applyBorder="1" applyAlignment="1">
      <alignment horizontal="center" vertical="center"/>
    </xf>
    <xf numFmtId="178" fontId="375" fillId="0" borderId="197" xfId="10753" applyNumberFormat="1" applyFont="1" applyFill="1" applyBorder="1" applyAlignment="1">
      <alignment horizontal="right" vertical="center"/>
    </xf>
    <xf numFmtId="3" fontId="375" fillId="0" borderId="197" xfId="10751" applyNumberFormat="1" applyFont="1" applyBorder="1" applyAlignment="1">
      <alignment horizontal="center" vertical="center"/>
    </xf>
    <xf numFmtId="0" fontId="381" fillId="0" borderId="1" xfId="1" applyFont="1" applyBorder="1" applyAlignment="1">
      <alignment horizontal="center" vertical="center" wrapText="1"/>
    </xf>
    <xf numFmtId="9" fontId="89" fillId="65" borderId="1" xfId="1" applyNumberFormat="1" applyFont="1" applyFill="1" applyBorder="1" applyAlignment="1">
      <alignment vertical="center"/>
    </xf>
    <xf numFmtId="4" fontId="378" fillId="0" borderId="197" xfId="10751" applyNumberFormat="1" applyFont="1" applyBorder="1" applyAlignment="1">
      <alignment horizontal="center" vertical="center"/>
    </xf>
    <xf numFmtId="0" fontId="89" fillId="0" borderId="1" xfId="1" applyFont="1" applyBorder="1"/>
    <xf numFmtId="10" fontId="89" fillId="0" borderId="1" xfId="5109" applyNumberFormat="1" applyFont="1" applyBorder="1" applyAlignment="1"/>
    <xf numFmtId="0" fontId="89" fillId="0" borderId="1" xfId="1" applyFont="1" applyBorder="1" applyAlignment="1">
      <alignment horizontal="center"/>
    </xf>
    <xf numFmtId="0" fontId="89" fillId="0" borderId="1" xfId="9017" applyNumberFormat="1" applyFont="1" applyBorder="1" applyAlignment="1"/>
    <xf numFmtId="0" fontId="365" fillId="0" borderId="209" xfId="10751" applyFont="1" applyBorder="1" applyAlignment="1">
      <alignment horizontal="center" vertical="center"/>
    </xf>
    <xf numFmtId="41" fontId="378" fillId="0" borderId="209" xfId="10752" applyFont="1" applyBorder="1" applyAlignment="1">
      <alignment horizontal="center" vertical="center"/>
    </xf>
    <xf numFmtId="303" fontId="365" fillId="0" borderId="210" xfId="10751" applyNumberFormat="1" applyFont="1" applyBorder="1" applyAlignment="1" applyProtection="1">
      <alignment horizontal="center" vertical="center"/>
      <protection locked="0"/>
    </xf>
    <xf numFmtId="0" fontId="383" fillId="62" borderId="156" xfId="0" applyFont="1" applyFill="1" applyBorder="1" applyAlignment="1">
      <alignment horizontal="center" vertical="center"/>
    </xf>
    <xf numFmtId="0" fontId="384" fillId="62" borderId="164" xfId="0" applyFont="1" applyFill="1" applyBorder="1">
      <alignment vertical="center"/>
    </xf>
    <xf numFmtId="0" fontId="365" fillId="66" borderId="214" xfId="10751" applyFont="1" applyFill="1" applyBorder="1">
      <alignment vertical="center"/>
    </xf>
    <xf numFmtId="41" fontId="378" fillId="66" borderId="214" xfId="10752" applyFont="1" applyFill="1" applyBorder="1" applyAlignment="1">
      <alignment horizontal="center" vertical="center"/>
    </xf>
    <xf numFmtId="178" fontId="378" fillId="66" borderId="214" xfId="10752" applyNumberFormat="1" applyFont="1" applyFill="1" applyBorder="1" applyAlignment="1">
      <alignment horizontal="right" vertical="center"/>
    </xf>
    <xf numFmtId="10" fontId="365" fillId="66" borderId="215" xfId="5109" applyNumberFormat="1" applyFont="1" applyFill="1" applyBorder="1" applyAlignment="1" applyProtection="1">
      <alignment horizontal="center" vertical="center"/>
      <protection locked="0"/>
    </xf>
    <xf numFmtId="0" fontId="366" fillId="0" borderId="0" xfId="0" applyFont="1">
      <alignment vertical="center"/>
    </xf>
    <xf numFmtId="4" fontId="365" fillId="0" borderId="216" xfId="10751" applyNumberFormat="1" applyFont="1" applyBorder="1" applyAlignment="1">
      <alignment horizontal="center" vertical="center"/>
    </xf>
    <xf numFmtId="41" fontId="365" fillId="0" borderId="216" xfId="10752" applyFont="1" applyBorder="1" applyAlignment="1">
      <alignment horizontal="center" vertical="center"/>
    </xf>
    <xf numFmtId="178" fontId="365" fillId="0" borderId="216" xfId="10752" applyNumberFormat="1" applyFont="1" applyBorder="1" applyAlignment="1">
      <alignment horizontal="right" vertical="center"/>
    </xf>
    <xf numFmtId="303" fontId="365" fillId="0" borderId="217" xfId="10751" applyNumberFormat="1" applyFont="1" applyBorder="1" applyAlignment="1" applyProtection="1">
      <alignment horizontal="center" vertical="center" shrinkToFit="1"/>
      <protection locked="0"/>
    </xf>
    <xf numFmtId="0" fontId="365" fillId="0" borderId="221" xfId="10751" applyFont="1" applyBorder="1" applyAlignment="1">
      <alignment horizontal="center" vertical="center"/>
    </xf>
    <xf numFmtId="41" fontId="378" fillId="0" borderId="221" xfId="10752" applyFont="1" applyBorder="1" applyAlignment="1">
      <alignment horizontal="center" vertical="center"/>
    </xf>
    <xf numFmtId="303" fontId="365" fillId="0" borderId="222" xfId="10751" applyNumberFormat="1" applyFont="1" applyBorder="1" applyAlignment="1" applyProtection="1">
      <alignment horizontal="center" vertical="center" shrinkToFit="1"/>
      <protection locked="0"/>
    </xf>
    <xf numFmtId="41" fontId="2" fillId="0" borderId="0" xfId="1" applyNumberFormat="1"/>
    <xf numFmtId="10" fontId="0" fillId="0" borderId="0" xfId="9017" applyNumberFormat="1" applyFont="1"/>
    <xf numFmtId="10" fontId="6" fillId="0" borderId="0" xfId="0" applyNumberFormat="1" applyFont="1">
      <alignment vertical="center"/>
    </xf>
    <xf numFmtId="3" fontId="15" fillId="4" borderId="223" xfId="0" applyNumberFormat="1" applyFont="1" applyFill="1" applyBorder="1">
      <alignment vertical="center"/>
    </xf>
    <xf numFmtId="187" fontId="15" fillId="15" borderId="223" xfId="0" quotePrefix="1" applyNumberFormat="1" applyFont="1" applyFill="1" applyBorder="1" applyAlignment="1">
      <alignment horizontal="center" vertical="center"/>
    </xf>
    <xf numFmtId="41" fontId="2" fillId="0" borderId="0" xfId="973" applyAlignment="1"/>
    <xf numFmtId="178" fontId="379" fillId="0" borderId="197" xfId="10753" applyNumberFormat="1" applyFont="1" applyFill="1" applyBorder="1" applyAlignment="1">
      <alignment horizontal="right" vertical="center"/>
    </xf>
    <xf numFmtId="41" fontId="379" fillId="0" borderId="197" xfId="10753" applyFont="1" applyFill="1" applyBorder="1" applyAlignment="1">
      <alignment horizontal="center" vertical="center"/>
    </xf>
    <xf numFmtId="4" fontId="365" fillId="0" borderId="200" xfId="10751" applyNumberFormat="1" applyFont="1" applyBorder="1" applyAlignment="1">
      <alignment horizontal="center" vertical="center"/>
    </xf>
    <xf numFmtId="41" fontId="365" fillId="0" borderId="200" xfId="10752" applyFont="1" applyBorder="1" applyAlignment="1">
      <alignment horizontal="center" vertical="center"/>
    </xf>
    <xf numFmtId="178" fontId="365" fillId="0" borderId="200" xfId="10752" applyNumberFormat="1" applyFont="1" applyBorder="1" applyAlignment="1">
      <alignment horizontal="right" vertical="center"/>
    </xf>
    <xf numFmtId="303" fontId="365" fillId="0" borderId="225" xfId="10751" applyNumberFormat="1" applyFont="1" applyBorder="1" applyAlignment="1" applyProtection="1">
      <alignment horizontal="center" vertical="center" shrinkToFit="1"/>
      <protection locked="0"/>
    </xf>
    <xf numFmtId="0" fontId="389" fillId="0" borderId="133" xfId="0" applyFont="1" applyBorder="1" applyAlignment="1">
      <alignment vertical="center" wrapText="1"/>
    </xf>
    <xf numFmtId="377" fontId="12" fillId="0" borderId="30" xfId="10750" applyNumberFormat="1" applyFont="1" applyBorder="1">
      <alignment vertical="center"/>
    </xf>
    <xf numFmtId="0" fontId="15" fillId="4" borderId="223" xfId="0" applyFont="1" applyFill="1" applyBorder="1" applyAlignment="1">
      <alignment horizontal="center" vertical="center"/>
    </xf>
    <xf numFmtId="187" fontId="328" fillId="4" borderId="223" xfId="0" quotePrefix="1" applyNumberFormat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3" fontId="190" fillId="0" borderId="1" xfId="0" quotePrefix="1" applyNumberFormat="1" applyFont="1" applyBorder="1" applyAlignment="1">
      <alignment horizontal="center" vertical="center" shrinkToFit="1"/>
    </xf>
    <xf numFmtId="3" fontId="16" fillId="4" borderId="25" xfId="0" applyNumberFormat="1" applyFont="1" applyFill="1" applyBorder="1" applyAlignment="1">
      <alignment horizontal="center" vertical="center"/>
    </xf>
    <xf numFmtId="41" fontId="328" fillId="4" borderId="30" xfId="0" applyNumberFormat="1" applyFont="1" applyFill="1" applyBorder="1" applyAlignment="1">
      <alignment horizontal="center" vertical="center" shrinkToFit="1"/>
    </xf>
    <xf numFmtId="41" fontId="16" fillId="4" borderId="1" xfId="0" applyNumberFormat="1" applyFont="1" applyFill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 shrinkToFit="1"/>
    </xf>
    <xf numFmtId="41" fontId="15" fillId="4" borderId="1" xfId="0" applyNumberFormat="1" applyFont="1" applyFill="1" applyBorder="1" applyAlignment="1">
      <alignment horizontal="center" vertical="center"/>
    </xf>
    <xf numFmtId="41" fontId="6" fillId="15" borderId="0" xfId="0" applyNumberFormat="1" applyFont="1" applyFill="1">
      <alignment vertical="center"/>
    </xf>
    <xf numFmtId="41" fontId="47" fillId="15" borderId="0" xfId="0" applyNumberFormat="1" applyFont="1" applyFill="1">
      <alignment vertical="center"/>
    </xf>
    <xf numFmtId="187" fontId="47" fillId="0" borderId="1" xfId="0" applyNumberFormat="1" applyFont="1" applyBorder="1" applyAlignment="1">
      <alignment horizontal="center" vertical="center"/>
    </xf>
    <xf numFmtId="369" fontId="15" fillId="0" borderId="21" xfId="0" applyNumberFormat="1" applyFont="1" applyBorder="1" applyAlignment="1">
      <alignment horizontal="center" vertical="center" wrapText="1" shrinkToFit="1"/>
    </xf>
    <xf numFmtId="41" fontId="15" fillId="0" borderId="21" xfId="0" applyNumberFormat="1" applyFont="1" applyBorder="1" applyAlignment="1">
      <alignment horizontal="center" vertical="center" wrapText="1" shrinkToFit="1"/>
    </xf>
    <xf numFmtId="187" fontId="22" fillId="0" borderId="1" xfId="0" applyNumberFormat="1" applyFont="1" applyBorder="1" applyAlignment="1">
      <alignment horizontal="center" vertical="center"/>
    </xf>
    <xf numFmtId="187" fontId="47" fillId="0" borderId="24" xfId="0" applyNumberFormat="1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shrinkToFit="1"/>
    </xf>
    <xf numFmtId="0" fontId="15" fillId="0" borderId="21" xfId="0" applyFont="1" applyBorder="1" applyAlignment="1">
      <alignment horizontal="center" vertical="center" shrinkToFit="1"/>
    </xf>
    <xf numFmtId="41" fontId="15" fillId="0" borderId="1" xfId="0" applyNumberFormat="1" applyFont="1" applyBorder="1" applyAlignment="1">
      <alignment horizontal="center" vertical="center"/>
    </xf>
    <xf numFmtId="219" fontId="6" fillId="15" borderId="0" xfId="0" applyNumberFormat="1" applyFont="1" applyFill="1">
      <alignment vertical="center"/>
    </xf>
    <xf numFmtId="0" fontId="6" fillId="4" borderId="125" xfId="0" applyFont="1" applyFill="1" applyBorder="1" applyAlignment="1">
      <alignment horizontal="center" vertical="center" shrinkToFit="1"/>
    </xf>
    <xf numFmtId="0" fontId="6" fillId="4" borderId="118" xfId="0" applyFont="1" applyFill="1" applyBorder="1" applyAlignment="1">
      <alignment horizontal="center" vertical="center" shrinkToFit="1"/>
    </xf>
    <xf numFmtId="0" fontId="6" fillId="15" borderId="125" xfId="0" applyFont="1" applyFill="1" applyBorder="1" applyAlignment="1">
      <alignment horizontal="center" vertical="center" shrinkToFit="1"/>
    </xf>
    <xf numFmtId="370" fontId="69" fillId="15" borderId="127" xfId="0" applyNumberFormat="1" applyFont="1" applyFill="1" applyBorder="1" applyAlignment="1">
      <alignment horizontal="left" vertical="center"/>
    </xf>
    <xf numFmtId="0" fontId="6" fillId="15" borderId="125" xfId="0" applyFont="1" applyFill="1" applyBorder="1" applyAlignment="1">
      <alignment horizontal="center" vertical="center"/>
    </xf>
    <xf numFmtId="0" fontId="15" fillId="15" borderId="1" xfId="0" applyFont="1" applyFill="1" applyBorder="1" applyAlignment="1">
      <alignment horizontal="center" vertical="center"/>
    </xf>
    <xf numFmtId="0" fontId="15" fillId="15" borderId="223" xfId="0" applyFont="1" applyFill="1" applyBorder="1" applyAlignment="1">
      <alignment horizontal="center" vertical="center"/>
    </xf>
    <xf numFmtId="0" fontId="15" fillId="15" borderId="21" xfId="0" applyFont="1" applyFill="1" applyBorder="1" applyAlignment="1">
      <alignment horizontal="center" vertical="center" wrapText="1" shrinkToFit="1"/>
    </xf>
    <xf numFmtId="3" fontId="15" fillId="15" borderId="1" xfId="0" applyNumberFormat="1" applyFont="1" applyFill="1" applyBorder="1" applyAlignment="1">
      <alignment vertical="center" shrinkToFit="1"/>
    </xf>
    <xf numFmtId="3" fontId="190" fillId="15" borderId="1" xfId="0" applyNumberFormat="1" applyFont="1" applyFill="1" applyBorder="1">
      <alignment vertical="center"/>
    </xf>
    <xf numFmtId="3" fontId="15" fillId="15" borderId="1" xfId="0" applyNumberFormat="1" applyFont="1" applyFill="1" applyBorder="1">
      <alignment vertical="center"/>
    </xf>
    <xf numFmtId="0" fontId="16" fillId="15" borderId="1" xfId="0" applyFont="1" applyFill="1" applyBorder="1" applyAlignment="1">
      <alignment horizontal="center" vertical="center"/>
    </xf>
    <xf numFmtId="0" fontId="15" fillId="15" borderId="1" xfId="0" applyFont="1" applyFill="1" applyBorder="1" applyAlignment="1">
      <alignment horizontal="center" vertical="center" shrinkToFit="1"/>
    </xf>
    <xf numFmtId="187" fontId="190" fillId="15" borderId="1" xfId="0" applyNumberFormat="1" applyFont="1" applyFill="1" applyBorder="1" applyAlignment="1">
      <alignment horizontal="center" vertical="center"/>
    </xf>
    <xf numFmtId="188" fontId="15" fillId="15" borderId="1" xfId="0" applyNumberFormat="1" applyFont="1" applyFill="1" applyBorder="1" applyAlignment="1">
      <alignment horizontal="center" vertical="center"/>
    </xf>
    <xf numFmtId="184" fontId="15" fillId="15" borderId="224" xfId="0" applyNumberFormat="1" applyFont="1" applyFill="1" applyBorder="1" applyAlignment="1">
      <alignment horizontal="center" vertical="center" wrapText="1" shrinkToFit="1"/>
    </xf>
    <xf numFmtId="41" fontId="15" fillId="15" borderId="21" xfId="0" applyNumberFormat="1" applyFont="1" applyFill="1" applyBorder="1" applyAlignment="1">
      <alignment horizontal="center" vertical="center" wrapText="1" shrinkToFit="1"/>
    </xf>
    <xf numFmtId="184" fontId="15" fillId="15" borderId="21" xfId="0" applyNumberFormat="1" applyFont="1" applyFill="1" applyBorder="1" applyAlignment="1">
      <alignment horizontal="center" vertical="center" wrapText="1" shrinkToFit="1"/>
    </xf>
    <xf numFmtId="0" fontId="6" fillId="0" borderId="130" xfId="0" applyFont="1" applyFill="1" applyBorder="1" applyAlignment="1">
      <alignment horizontal="center" vertical="center" shrinkToFit="1"/>
    </xf>
    <xf numFmtId="0" fontId="69" fillId="0" borderId="126" xfId="0" applyFont="1" applyFill="1" applyBorder="1" applyAlignment="1">
      <alignment horizontal="left" vertical="center"/>
    </xf>
    <xf numFmtId="0" fontId="6" fillId="0" borderId="130" xfId="0" applyFont="1" applyFill="1" applyBorder="1" applyAlignment="1">
      <alignment horizontal="center" vertical="center"/>
    </xf>
    <xf numFmtId="3" fontId="15" fillId="15" borderId="30" xfId="0" quotePrefix="1" applyNumberFormat="1" applyFont="1" applyFill="1" applyBorder="1" applyAlignment="1">
      <alignment horizontal="center" vertical="center"/>
    </xf>
    <xf numFmtId="3" fontId="190" fillId="15" borderId="30" xfId="0" quotePrefix="1" applyNumberFormat="1" applyFont="1" applyFill="1" applyBorder="1" applyAlignment="1">
      <alignment horizontal="center" vertical="center"/>
    </xf>
    <xf numFmtId="3" fontId="15" fillId="15" borderId="1" xfId="0" quotePrefix="1" applyNumberFormat="1" applyFont="1" applyFill="1" applyBorder="1" applyAlignment="1">
      <alignment horizontal="center" vertical="center" shrinkToFit="1"/>
    </xf>
    <xf numFmtId="3" fontId="12" fillId="15" borderId="1" xfId="0" applyNumberFormat="1" applyFont="1" applyFill="1" applyBorder="1" applyAlignment="1">
      <alignment horizontal="center" vertical="center"/>
    </xf>
    <xf numFmtId="41" fontId="6" fillId="0" borderId="1" xfId="0" applyNumberFormat="1" applyFont="1" applyBorder="1" applyAlignment="1">
      <alignment horizontal="center" vertical="center"/>
    </xf>
    <xf numFmtId="41" fontId="6" fillId="0" borderId="126" xfId="973" applyNumberFormat="1" applyFont="1" applyBorder="1">
      <alignment vertical="center"/>
    </xf>
    <xf numFmtId="41" fontId="6" fillId="0" borderId="32" xfId="973" applyNumberFormat="1" applyFont="1" applyBorder="1">
      <alignment vertical="center"/>
    </xf>
    <xf numFmtId="41" fontId="6" fillId="0" borderId="127" xfId="973" applyNumberFormat="1" applyFont="1" applyBorder="1">
      <alignment vertical="center"/>
    </xf>
    <xf numFmtId="41" fontId="6" fillId="0" borderId="23" xfId="973" applyNumberFormat="1" applyFont="1" applyBorder="1">
      <alignment vertical="center"/>
    </xf>
    <xf numFmtId="41" fontId="6" fillId="0" borderId="30" xfId="973" applyNumberFormat="1" applyFont="1" applyBorder="1">
      <alignment vertical="center"/>
    </xf>
    <xf numFmtId="41" fontId="69" fillId="15" borderId="127" xfId="973" applyNumberFormat="1" applyFont="1" applyFill="1" applyBorder="1">
      <alignment vertical="center"/>
    </xf>
    <xf numFmtId="41" fontId="6" fillId="0" borderId="126" xfId="973" applyNumberFormat="1" applyFont="1" applyFill="1" applyBorder="1">
      <alignment vertical="center"/>
    </xf>
    <xf numFmtId="41" fontId="6" fillId="0" borderId="158" xfId="973" applyNumberFormat="1" applyFont="1" applyBorder="1">
      <alignment vertical="center"/>
    </xf>
    <xf numFmtId="41" fontId="69" fillId="4" borderId="158" xfId="973" applyNumberFormat="1" applyFont="1" applyFill="1" applyBorder="1">
      <alignment vertical="center"/>
    </xf>
    <xf numFmtId="41" fontId="6" fillId="4" borderId="158" xfId="973" applyNumberFormat="1" applyFont="1" applyFill="1" applyBorder="1">
      <alignment vertical="center"/>
    </xf>
    <xf numFmtId="41" fontId="69" fillId="0" borderId="159" xfId="973" applyNumberFormat="1" applyFont="1" applyFill="1" applyBorder="1">
      <alignment vertical="center"/>
    </xf>
    <xf numFmtId="41" fontId="69" fillId="4" borderId="159" xfId="973" applyNumberFormat="1" applyFont="1" applyFill="1" applyBorder="1">
      <alignment vertical="center"/>
    </xf>
    <xf numFmtId="41" fontId="6" fillId="4" borderId="159" xfId="973" applyNumberFormat="1" applyFont="1" applyFill="1" applyBorder="1">
      <alignment vertical="center"/>
    </xf>
    <xf numFmtId="41" fontId="6" fillId="4" borderId="33" xfId="973" applyNumberFormat="1" applyFont="1" applyFill="1" applyBorder="1">
      <alignment vertical="center"/>
    </xf>
    <xf numFmtId="41" fontId="6" fillId="4" borderId="131" xfId="973" applyNumberFormat="1" applyFont="1" applyFill="1" applyBorder="1">
      <alignment vertical="center"/>
    </xf>
    <xf numFmtId="41" fontId="6" fillId="4" borderId="127" xfId="973" applyNumberFormat="1" applyFont="1" applyFill="1" applyBorder="1">
      <alignment vertical="center"/>
    </xf>
    <xf numFmtId="41" fontId="6" fillId="0" borderId="133" xfId="973" applyNumberFormat="1" applyFont="1" applyBorder="1">
      <alignment vertical="center"/>
    </xf>
    <xf numFmtId="41" fontId="47" fillId="0" borderId="1" xfId="973" applyNumberFormat="1" applyFont="1" applyBorder="1">
      <alignment vertical="center"/>
    </xf>
    <xf numFmtId="41" fontId="47" fillId="0" borderId="128" xfId="973" applyNumberFormat="1" applyFont="1" applyBorder="1">
      <alignment vertical="center"/>
    </xf>
    <xf numFmtId="41" fontId="6" fillId="15" borderId="127" xfId="973" applyNumberFormat="1" applyFont="1" applyFill="1" applyBorder="1">
      <alignment vertical="center"/>
    </xf>
    <xf numFmtId="375" fontId="69" fillId="15" borderId="127" xfId="0" applyNumberFormat="1" applyFont="1" applyFill="1" applyBorder="1" applyAlignment="1">
      <alignment horizontal="left" vertical="center"/>
    </xf>
    <xf numFmtId="0" fontId="69" fillId="15" borderId="127" xfId="0" applyFont="1" applyFill="1" applyBorder="1">
      <alignment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367" fillId="0" borderId="0" xfId="10751" applyFont="1" applyAlignment="1">
      <alignment horizontal="center" vertical="center"/>
    </xf>
    <xf numFmtId="0" fontId="368" fillId="0" borderId="0" xfId="10751" applyFont="1" applyAlignment="1" applyProtection="1">
      <alignment horizontal="center" vertical="center"/>
      <protection locked="0"/>
    </xf>
    <xf numFmtId="0" fontId="374" fillId="64" borderId="180" xfId="10751" applyFont="1" applyFill="1" applyBorder="1" applyAlignment="1">
      <alignment horizontal="center" vertical="center"/>
    </xf>
    <xf numFmtId="0" fontId="374" fillId="64" borderId="181" xfId="10751" applyFont="1" applyFill="1" applyBorder="1" applyAlignment="1">
      <alignment horizontal="center" vertical="center"/>
    </xf>
    <xf numFmtId="0" fontId="374" fillId="64" borderId="186" xfId="10751" applyFont="1" applyFill="1" applyBorder="1" applyAlignment="1">
      <alignment horizontal="center" vertical="center"/>
    </xf>
    <xf numFmtId="0" fontId="374" fillId="64" borderId="187" xfId="10751" applyFont="1" applyFill="1" applyBorder="1" applyAlignment="1">
      <alignment horizontal="center" vertical="center"/>
    </xf>
    <xf numFmtId="0" fontId="374" fillId="64" borderId="182" xfId="10751" applyFont="1" applyFill="1" applyBorder="1" applyAlignment="1">
      <alignment horizontal="center" vertical="center"/>
    </xf>
    <xf numFmtId="0" fontId="374" fillId="64" borderId="188" xfId="10751" applyFont="1" applyFill="1" applyBorder="1" applyAlignment="1">
      <alignment horizontal="center" vertical="center"/>
    </xf>
    <xf numFmtId="0" fontId="374" fillId="64" borderId="183" xfId="10751" applyFont="1" applyFill="1" applyBorder="1" applyAlignment="1">
      <alignment horizontal="center" vertical="center"/>
    </xf>
    <xf numFmtId="0" fontId="374" fillId="64" borderId="184" xfId="10751" applyFont="1" applyFill="1" applyBorder="1" applyAlignment="1">
      <alignment horizontal="center" vertical="center"/>
    </xf>
    <xf numFmtId="3" fontId="374" fillId="64" borderId="183" xfId="10751" applyNumberFormat="1" applyFont="1" applyFill="1" applyBorder="1" applyAlignment="1">
      <alignment horizontal="center" vertical="center"/>
    </xf>
    <xf numFmtId="3" fontId="374" fillId="64" borderId="184" xfId="10751" applyNumberFormat="1" applyFont="1" applyFill="1" applyBorder="1" applyAlignment="1">
      <alignment horizontal="center" vertical="center"/>
    </xf>
    <xf numFmtId="0" fontId="374" fillId="64" borderId="182" xfId="10751" applyFont="1" applyFill="1" applyBorder="1" applyAlignment="1">
      <alignment horizontal="center" vertical="center" wrapText="1"/>
    </xf>
    <xf numFmtId="0" fontId="374" fillId="64" borderId="188" xfId="10751" applyFont="1" applyFill="1" applyBorder="1" applyAlignment="1">
      <alignment horizontal="center" vertical="center" wrapText="1"/>
    </xf>
    <xf numFmtId="0" fontId="374" fillId="64" borderId="185" xfId="10751" applyFont="1" applyFill="1" applyBorder="1" applyAlignment="1">
      <alignment horizontal="center" vertical="center"/>
    </xf>
    <xf numFmtId="0" fontId="374" fillId="64" borderId="190" xfId="10751" applyFont="1" applyFill="1" applyBorder="1" applyAlignment="1">
      <alignment horizontal="center" vertical="center"/>
    </xf>
    <xf numFmtId="0" fontId="375" fillId="0" borderId="204" xfId="10751" applyFont="1" applyBorder="1" applyAlignment="1">
      <alignment horizontal="distributed" vertical="center" indent="1"/>
    </xf>
    <xf numFmtId="0" fontId="375" fillId="0" borderId="205" xfId="10751" applyFont="1" applyBorder="1" applyAlignment="1">
      <alignment horizontal="distributed" vertical="center" indent="1"/>
    </xf>
    <xf numFmtId="0" fontId="375" fillId="0" borderId="203" xfId="10751" applyFont="1" applyBorder="1" applyAlignment="1">
      <alignment horizontal="distributed" vertical="center" indent="1"/>
    </xf>
    <xf numFmtId="0" fontId="378" fillId="0" borderId="204" xfId="10751" applyFont="1" applyBorder="1" applyAlignment="1">
      <alignment horizontal="distributed" vertical="center" indent="1"/>
    </xf>
    <xf numFmtId="0" fontId="378" fillId="0" borderId="205" xfId="10751" applyFont="1" applyBorder="1" applyAlignment="1">
      <alignment horizontal="distributed" vertical="center" indent="1"/>
    </xf>
    <xf numFmtId="0" fontId="378" fillId="0" borderId="203" xfId="10751" applyFont="1" applyBorder="1" applyAlignment="1">
      <alignment horizontal="distributed" vertical="center" indent="1"/>
    </xf>
    <xf numFmtId="1" fontId="375" fillId="0" borderId="191" xfId="10751" applyNumberFormat="1" applyFont="1" applyBorder="1" applyAlignment="1">
      <alignment horizontal="center" vertical="center" wrapText="1"/>
    </xf>
    <xf numFmtId="1" fontId="375" fillId="0" borderId="195" xfId="10751" applyNumberFormat="1" applyFont="1" applyBorder="1" applyAlignment="1">
      <alignment horizontal="center" vertical="center" wrapText="1"/>
    </xf>
    <xf numFmtId="1" fontId="375" fillId="0" borderId="201" xfId="10751" applyNumberFormat="1" applyFont="1" applyBorder="1" applyAlignment="1">
      <alignment horizontal="center" vertical="center" wrapText="1"/>
    </xf>
    <xf numFmtId="0" fontId="376" fillId="0" borderId="192" xfId="10751" applyFont="1" applyBorder="1" applyAlignment="1">
      <alignment horizontal="center" vertical="center" textRotation="255"/>
    </xf>
    <xf numFmtId="0" fontId="376" fillId="0" borderId="196" xfId="10751" applyFont="1" applyBorder="1" applyAlignment="1">
      <alignment horizontal="center" vertical="center" textRotation="255"/>
    </xf>
    <xf numFmtId="0" fontId="376" fillId="0" borderId="199" xfId="10751" applyFont="1" applyBorder="1" applyAlignment="1">
      <alignment horizontal="center" vertical="center" textRotation="255"/>
    </xf>
    <xf numFmtId="0" fontId="376" fillId="0" borderId="200" xfId="10751" applyFont="1" applyBorder="1" applyAlignment="1">
      <alignment horizontal="center" vertical="center" textRotation="255"/>
    </xf>
    <xf numFmtId="0" fontId="365" fillId="0" borderId="202" xfId="10751" applyFont="1" applyBorder="1" applyAlignment="1">
      <alignment horizontal="distributed" vertical="center" indent="1"/>
    </xf>
    <xf numFmtId="0" fontId="365" fillId="0" borderId="203" xfId="10751" applyFont="1" applyBorder="1" applyAlignment="1">
      <alignment horizontal="distributed" vertical="center" indent="1"/>
    </xf>
    <xf numFmtId="0" fontId="89" fillId="0" borderId="1" xfId="1" applyFont="1" applyBorder="1" applyAlignment="1">
      <alignment horizontal="center"/>
    </xf>
    <xf numFmtId="0" fontId="378" fillId="6" borderId="206" xfId="10751" applyFont="1" applyFill="1" applyBorder="1" applyAlignment="1">
      <alignment horizontal="distributed" vertical="center" indent="1"/>
    </xf>
    <xf numFmtId="0" fontId="378" fillId="6" borderId="207" xfId="10751" applyFont="1" applyFill="1" applyBorder="1" applyAlignment="1">
      <alignment horizontal="distributed" vertical="center" indent="1"/>
    </xf>
    <xf numFmtId="0" fontId="378" fillId="6" borderId="208" xfId="10751" applyFont="1" applyFill="1" applyBorder="1" applyAlignment="1">
      <alignment horizontal="distributed" vertical="center" indent="1"/>
    </xf>
    <xf numFmtId="0" fontId="378" fillId="66" borderId="211" xfId="10751" applyFont="1" applyFill="1" applyBorder="1" applyAlignment="1">
      <alignment horizontal="distributed" vertical="center" indent="1"/>
    </xf>
    <xf numFmtId="0" fontId="378" fillId="66" borderId="212" xfId="10751" applyFont="1" applyFill="1" applyBorder="1" applyAlignment="1">
      <alignment horizontal="distributed" vertical="center" indent="1"/>
    </xf>
    <xf numFmtId="0" fontId="378" fillId="66" borderId="213" xfId="10751" applyFont="1" applyFill="1" applyBorder="1" applyAlignment="1">
      <alignment horizontal="distributed" vertical="center" indent="1"/>
    </xf>
    <xf numFmtId="0" fontId="365" fillId="6" borderId="228" xfId="10751" applyFont="1" applyFill="1" applyBorder="1" applyAlignment="1">
      <alignment horizontal="distributed" vertical="center" indent="1"/>
    </xf>
    <xf numFmtId="0" fontId="365" fillId="6" borderId="129" xfId="10751" applyFont="1" applyFill="1" applyBorder="1" applyAlignment="1">
      <alignment horizontal="distributed" vertical="center" indent="1"/>
    </xf>
    <xf numFmtId="0" fontId="365" fillId="6" borderId="229" xfId="10751" applyFont="1" applyFill="1" applyBorder="1" applyAlignment="1">
      <alignment horizontal="distributed" vertical="center" indent="1"/>
    </xf>
    <xf numFmtId="0" fontId="378" fillId="6" borderId="218" xfId="10751" applyFont="1" applyFill="1" applyBorder="1" applyAlignment="1">
      <alignment horizontal="distributed" vertical="center" indent="1"/>
    </xf>
    <xf numFmtId="0" fontId="378" fillId="6" borderId="219" xfId="10751" applyFont="1" applyFill="1" applyBorder="1" applyAlignment="1">
      <alignment horizontal="distributed" vertical="center" indent="1"/>
    </xf>
    <xf numFmtId="0" fontId="378" fillId="6" borderId="220" xfId="10751" applyFont="1" applyFill="1" applyBorder="1" applyAlignment="1">
      <alignment horizontal="distributed" vertical="center" indent="1"/>
    </xf>
    <xf numFmtId="0" fontId="365" fillId="6" borderId="157" xfId="10751" applyFont="1" applyFill="1" applyBorder="1" applyAlignment="1">
      <alignment horizontal="distributed" vertical="center" indent="1"/>
    </xf>
    <xf numFmtId="0" fontId="365" fillId="6" borderId="226" xfId="10751" applyFont="1" applyFill="1" applyBorder="1" applyAlignment="1">
      <alignment horizontal="distributed" vertical="center" indent="1"/>
    </xf>
    <xf numFmtId="0" fontId="365" fillId="6" borderId="227" xfId="10751" applyFont="1" applyFill="1" applyBorder="1" applyAlignment="1">
      <alignment horizontal="distributed" vertical="center" indent="1"/>
    </xf>
    <xf numFmtId="0" fontId="47" fillId="0" borderId="47" xfId="0" applyFont="1" applyBorder="1" applyAlignment="1">
      <alignment horizontal="center" vertical="center" shrinkToFit="1"/>
    </xf>
    <xf numFmtId="0" fontId="47" fillId="0" borderId="19" xfId="0" applyFont="1" applyBorder="1" applyAlignment="1">
      <alignment horizontal="center" vertical="center" shrinkToFit="1"/>
    </xf>
    <xf numFmtId="0" fontId="47" fillId="0" borderId="20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15" borderId="43" xfId="0" applyFont="1" applyFill="1" applyBorder="1" applyAlignment="1">
      <alignment horizontal="center" vertical="center"/>
    </xf>
    <xf numFmtId="0" fontId="6" fillId="15" borderId="17" xfId="0" applyFont="1" applyFill="1" applyBorder="1" applyAlignment="1">
      <alignment horizontal="center" vertical="center"/>
    </xf>
    <xf numFmtId="0" fontId="6" fillId="15" borderId="18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0" borderId="158" xfId="0" applyFont="1" applyBorder="1" applyAlignment="1">
      <alignment horizontal="center" vertical="center"/>
    </xf>
    <xf numFmtId="0" fontId="6" fillId="0" borderId="155" xfId="0" applyFont="1" applyBorder="1" applyAlignment="1">
      <alignment horizontal="center" vertical="center"/>
    </xf>
    <xf numFmtId="0" fontId="6" fillId="0" borderId="125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0" fontId="331" fillId="0" borderId="0" xfId="0" applyFont="1" applyAlignment="1">
      <alignment horizontal="center" vertical="center"/>
    </xf>
    <xf numFmtId="0" fontId="30" fillId="0" borderId="9" xfId="0" applyFont="1" applyBorder="1" applyAlignment="1">
      <alignment horizontal="left" vertical="center"/>
    </xf>
    <xf numFmtId="0" fontId="6" fillId="0" borderId="4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255"/>
    </xf>
    <xf numFmtId="0" fontId="6" fillId="0" borderId="223" xfId="0" applyFont="1" applyBorder="1" applyAlignment="1">
      <alignment horizontal="center" vertical="center" textRotation="255"/>
    </xf>
    <xf numFmtId="0" fontId="15" fillId="0" borderId="1" xfId="0" applyFont="1" applyBorder="1" applyAlignment="1">
      <alignment horizontal="center" vertical="center" textRotation="255"/>
    </xf>
    <xf numFmtId="0" fontId="6" fillId="0" borderId="133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3" fontId="16" fillId="0" borderId="24" xfId="0" quotePrefix="1" applyNumberFormat="1" applyFont="1" applyBorder="1" applyAlignment="1">
      <alignment horizontal="center" vertical="center"/>
    </xf>
    <xf numFmtId="3" fontId="16" fillId="0" borderId="25" xfId="0" quotePrefix="1" applyNumberFormat="1" applyFont="1" applyBorder="1" applyAlignment="1">
      <alignment horizontal="center" vertical="center"/>
    </xf>
    <xf numFmtId="3" fontId="16" fillId="0" borderId="21" xfId="0" quotePrefix="1" applyNumberFormat="1" applyFont="1" applyBorder="1" applyAlignment="1">
      <alignment horizontal="center" vertical="center"/>
    </xf>
    <xf numFmtId="0" fontId="329" fillId="0" borderId="9" xfId="0" applyFont="1" applyBorder="1" applyAlignment="1">
      <alignment horizontal="center" vertical="center"/>
    </xf>
    <xf numFmtId="49" fontId="15" fillId="13" borderId="30" xfId="0" applyNumberFormat="1" applyFont="1" applyFill="1" applyBorder="1" applyAlignment="1">
      <alignment horizontal="center" vertical="center"/>
    </xf>
    <xf numFmtId="49" fontId="15" fillId="13" borderId="23" xfId="0" applyNumberFormat="1" applyFont="1" applyFill="1" applyBorder="1" applyAlignment="1">
      <alignment horizontal="center" vertical="center"/>
    </xf>
    <xf numFmtId="0" fontId="15" fillId="13" borderId="30" xfId="0" applyFont="1" applyFill="1" applyBorder="1" applyAlignment="1">
      <alignment horizontal="center" vertical="center"/>
    </xf>
    <xf numFmtId="0" fontId="15" fillId="13" borderId="23" xfId="0" applyFont="1" applyFill="1" applyBorder="1" applyAlignment="1">
      <alignment horizontal="center" vertical="center"/>
    </xf>
    <xf numFmtId="179" fontId="15" fillId="13" borderId="1" xfId="0" applyNumberFormat="1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horizontal="center" vertical="center"/>
    </xf>
    <xf numFmtId="0" fontId="329" fillId="4" borderId="33" xfId="0" applyFont="1" applyFill="1" applyBorder="1" applyAlignment="1">
      <alignment horizontal="center" vertical="center"/>
    </xf>
    <xf numFmtId="0" fontId="329" fillId="4" borderId="9" xfId="0" applyFont="1" applyFill="1" applyBorder="1" applyAlignment="1">
      <alignment horizontal="center" vertical="center"/>
    </xf>
    <xf numFmtId="41" fontId="6" fillId="4" borderId="1" xfId="0" applyNumberFormat="1" applyFont="1" applyFill="1" applyBorder="1" applyAlignment="1">
      <alignment horizontal="center" vertical="center"/>
    </xf>
    <xf numFmtId="0" fontId="15" fillId="4" borderId="24" xfId="0" applyFont="1" applyFill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49" fontId="15" fillId="4" borderId="21" xfId="0" applyNumberFormat="1" applyFont="1" applyFill="1" applyBorder="1" applyAlignment="1">
      <alignment horizontal="center" vertical="center"/>
    </xf>
    <xf numFmtId="0" fontId="15" fillId="4" borderId="30" xfId="0" applyFont="1" applyFill="1" applyBorder="1" applyAlignment="1">
      <alignment horizontal="center" vertical="center"/>
    </xf>
    <xf numFmtId="0" fontId="15" fillId="4" borderId="23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1" xfId="0" quotePrefix="1" applyFont="1" applyFill="1" applyBorder="1" applyAlignment="1">
      <alignment horizontal="center" vertical="center"/>
    </xf>
    <xf numFmtId="0" fontId="330" fillId="0" borderId="0" xfId="10749" applyFont="1" applyAlignment="1">
      <alignment horizontal="center" vertical="center" shrinkToFit="1"/>
    </xf>
    <xf numFmtId="3" fontId="297" fillId="0" borderId="44" xfId="10742" applyNumberFormat="1" applyFont="1" applyBorder="1" applyAlignment="1">
      <alignment horizontal="center" vertical="center"/>
    </xf>
    <xf numFmtId="3" fontId="297" fillId="0" borderId="70" xfId="10742" applyNumberFormat="1" applyFont="1" applyBorder="1" applyAlignment="1">
      <alignment horizontal="center" vertical="center"/>
    </xf>
    <xf numFmtId="3" fontId="297" fillId="0" borderId="3" xfId="10742" applyNumberFormat="1" applyFont="1" applyBorder="1" applyAlignment="1">
      <alignment horizontal="center" vertical="center"/>
    </xf>
    <xf numFmtId="3" fontId="297" fillId="0" borderId="1" xfId="10742" applyNumberFormat="1" applyFont="1" applyBorder="1" applyAlignment="1">
      <alignment horizontal="center" vertical="center"/>
    </xf>
    <xf numFmtId="0" fontId="297" fillId="0" borderId="171" xfId="10749" applyFont="1" applyBorder="1" applyAlignment="1">
      <alignment horizontal="center" vertical="center" wrapText="1"/>
    </xf>
    <xf numFmtId="0" fontId="297" fillId="0" borderId="173" xfId="10749" applyFont="1" applyBorder="1" applyAlignment="1">
      <alignment horizontal="center" vertical="center" wrapText="1"/>
    </xf>
    <xf numFmtId="0" fontId="297" fillId="0" borderId="171" xfId="10749" applyFont="1" applyBorder="1" applyAlignment="1">
      <alignment horizontal="center" vertical="center"/>
    </xf>
    <xf numFmtId="0" fontId="297" fillId="0" borderId="172" xfId="10749" applyFont="1" applyBorder="1" applyAlignment="1">
      <alignment horizontal="center" vertical="center"/>
    </xf>
    <xf numFmtId="0" fontId="297" fillId="0" borderId="174" xfId="10749" applyFont="1" applyBorder="1" applyAlignment="1">
      <alignment horizontal="center" vertical="center"/>
    </xf>
    <xf numFmtId="192" fontId="24" fillId="0" borderId="0" xfId="0" applyNumberFormat="1" applyFont="1" applyAlignment="1">
      <alignment horizontal="center" vertical="center"/>
    </xf>
    <xf numFmtId="0" fontId="13" fillId="0" borderId="0" xfId="0" applyFont="1">
      <alignment vertical="center"/>
    </xf>
    <xf numFmtId="194" fontId="15" fillId="0" borderId="0" xfId="0" applyNumberFormat="1" applyFont="1" applyAlignment="1">
      <alignment horizontal="center" vertical="center"/>
    </xf>
    <xf numFmtId="192" fontId="15" fillId="0" borderId="0" xfId="0" applyNumberFormat="1" applyFont="1" applyAlignment="1">
      <alignment horizontal="right" vertical="center"/>
    </xf>
    <xf numFmtId="192" fontId="6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24" fillId="0" borderId="0" xfId="0" applyNumberFormat="1" applyFont="1" applyAlignment="1">
      <alignment horizontal="center" vertical="center"/>
    </xf>
    <xf numFmtId="217" fontId="1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97" fontId="24" fillId="0" borderId="0" xfId="0" applyNumberFormat="1" applyFont="1" applyAlignment="1">
      <alignment horizontal="center" vertical="center"/>
    </xf>
    <xf numFmtId="197" fontId="13" fillId="0" borderId="0" xfId="0" applyNumberFormat="1" applyFont="1">
      <alignment vertical="center"/>
    </xf>
    <xf numFmtId="3" fontId="15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178" fontId="15" fillId="0" borderId="0" xfId="0" applyNumberFormat="1" applyFont="1" applyAlignment="1">
      <alignment horizontal="right" vertical="center"/>
    </xf>
    <xf numFmtId="197" fontId="34" fillId="0" borderId="0" xfId="0" applyNumberFormat="1" applyFont="1" applyAlignment="1">
      <alignment horizontal="right" vertical="center"/>
    </xf>
    <xf numFmtId="178" fontId="6" fillId="0" borderId="0" xfId="0" applyNumberFormat="1" applyFont="1">
      <alignment vertical="center"/>
    </xf>
    <xf numFmtId="191" fontId="15" fillId="0" borderId="0" xfId="0" applyNumberFormat="1" applyFont="1" applyAlignment="1">
      <alignment horizontal="center" vertical="center"/>
    </xf>
    <xf numFmtId="188" fontId="15" fillId="0" borderId="0" xfId="0" applyNumberFormat="1" applyFont="1" applyAlignment="1">
      <alignment horizontal="center" vertical="center"/>
    </xf>
    <xf numFmtId="2" fontId="15" fillId="0" borderId="0" xfId="0" applyNumberFormat="1" applyFont="1">
      <alignment vertical="center"/>
    </xf>
    <xf numFmtId="196" fontId="32" fillId="0" borderId="0" xfId="0" applyNumberFormat="1" applyFont="1">
      <alignment vertical="center"/>
    </xf>
    <xf numFmtId="0" fontId="26" fillId="0" borderId="0" xfId="0" applyFont="1" applyAlignment="1"/>
    <xf numFmtId="0" fontId="6" fillId="0" borderId="0" xfId="0" applyFont="1" applyAlignment="1"/>
    <xf numFmtId="192" fontId="6" fillId="0" borderId="0" xfId="0" applyNumberFormat="1" applyFont="1">
      <alignment vertical="center"/>
    </xf>
    <xf numFmtId="194" fontId="24" fillId="0" borderId="0" xfId="0" applyNumberFormat="1" applyFont="1" applyAlignment="1">
      <alignment horizontal="center" vertical="center"/>
    </xf>
    <xf numFmtId="194" fontId="13" fillId="0" borderId="0" xfId="0" applyNumberFormat="1" applyFont="1">
      <alignment vertical="center"/>
    </xf>
    <xf numFmtId="183" fontId="15" fillId="0" borderId="0" xfId="0" applyNumberFormat="1" applyFont="1">
      <alignment vertical="center"/>
    </xf>
    <xf numFmtId="194" fontId="24" fillId="0" borderId="0" xfId="0" applyNumberFormat="1" applyFont="1" applyAlignment="1">
      <alignment horizontal="right" vertical="center"/>
    </xf>
    <xf numFmtId="194" fontId="13" fillId="0" borderId="0" xfId="0" applyNumberFormat="1" applyFont="1" applyAlignment="1">
      <alignment horizontal="right" vertical="center"/>
    </xf>
    <xf numFmtId="183" fontId="24" fillId="0" borderId="0" xfId="0" applyNumberFormat="1" applyFont="1" applyAlignment="1">
      <alignment horizontal="center" vertical="center"/>
    </xf>
    <xf numFmtId="183" fontId="13" fillId="0" borderId="0" xfId="0" applyNumberFormat="1" applyFont="1">
      <alignment vertical="center"/>
    </xf>
    <xf numFmtId="178" fontId="15" fillId="0" borderId="0" xfId="0" applyNumberFormat="1" applyFont="1">
      <alignment vertical="center"/>
    </xf>
    <xf numFmtId="183" fontId="6" fillId="0" borderId="0" xfId="0" applyNumberFormat="1" applyFont="1">
      <alignment vertical="center"/>
    </xf>
    <xf numFmtId="193" fontId="32" fillId="0" borderId="0" xfId="0" applyNumberFormat="1" applyFont="1">
      <alignment vertical="center"/>
    </xf>
    <xf numFmtId="190" fontId="15" fillId="0" borderId="0" xfId="0" applyNumberFormat="1" applyFont="1" applyAlignment="1">
      <alignment horizontal="center" vertical="center"/>
    </xf>
    <xf numFmtId="3" fontId="15" fillId="0" borderId="0" xfId="0" applyNumberFormat="1" applyFont="1">
      <alignment vertical="center"/>
    </xf>
    <xf numFmtId="3" fontId="24" fillId="0" borderId="0" xfId="0" applyNumberFormat="1" applyFont="1">
      <alignment vertical="center"/>
    </xf>
    <xf numFmtId="181" fontId="15" fillId="0" borderId="0" xfId="0" applyNumberFormat="1" applyFont="1" applyAlignment="1">
      <alignment horizontal="center" vertical="center"/>
    </xf>
    <xf numFmtId="181" fontId="6" fillId="0" borderId="0" xfId="0" applyNumberFormat="1" applyFont="1">
      <alignment vertical="center"/>
    </xf>
    <xf numFmtId="195" fontId="15" fillId="0" borderId="0" xfId="0" applyNumberFormat="1" applyFont="1">
      <alignment vertical="center"/>
    </xf>
    <xf numFmtId="0" fontId="15" fillId="0" borderId="0" xfId="0" applyFont="1">
      <alignment vertical="center"/>
    </xf>
    <xf numFmtId="218" fontId="15" fillId="0" borderId="0" xfId="0" applyNumberFormat="1" applyFont="1" applyAlignment="1">
      <alignment horizontal="center" vertical="center"/>
    </xf>
    <xf numFmtId="9" fontId="15" fillId="0" borderId="0" xfId="0" applyNumberFormat="1" applyFont="1" applyAlignment="1">
      <alignment horizontal="center" vertical="center"/>
    </xf>
    <xf numFmtId="9" fontId="6" fillId="0" borderId="0" xfId="0" applyNumberFormat="1" applyFont="1">
      <alignment vertical="center"/>
    </xf>
    <xf numFmtId="0" fontId="356" fillId="0" borderId="24" xfId="9340" applyNumberFormat="1" applyFont="1" applyFill="1" applyBorder="1" applyAlignment="1">
      <alignment horizontal="left" vertical="center" shrinkToFit="1"/>
    </xf>
    <xf numFmtId="0" fontId="356" fillId="0" borderId="21" xfId="9340" applyNumberFormat="1" applyFont="1" applyFill="1" applyBorder="1" applyAlignment="1">
      <alignment horizontal="left" vertical="center" shrinkToFit="1"/>
    </xf>
    <xf numFmtId="41" fontId="355" fillId="0" borderId="24" xfId="9340" applyFont="1" applyFill="1" applyBorder="1" applyAlignment="1">
      <alignment horizontal="center" vertical="center" shrinkToFit="1"/>
    </xf>
    <xf numFmtId="41" fontId="355" fillId="0" borderId="21" xfId="9340" applyFont="1" applyFill="1" applyBorder="1" applyAlignment="1">
      <alignment horizontal="center" vertical="center" shrinkToFit="1"/>
    </xf>
    <xf numFmtId="0" fontId="356" fillId="0" borderId="25" xfId="9340" applyNumberFormat="1" applyFont="1" applyFill="1" applyBorder="1" applyAlignment="1">
      <alignment horizontal="left" vertical="center" shrinkToFit="1"/>
    </xf>
    <xf numFmtId="20" fontId="356" fillId="0" borderId="24" xfId="9340" applyNumberFormat="1" applyFont="1" applyFill="1" applyBorder="1" applyAlignment="1">
      <alignment horizontal="left" vertical="center" shrinkToFit="1"/>
    </xf>
    <xf numFmtId="0" fontId="356" fillId="0" borderId="24" xfId="9340" applyNumberFormat="1" applyFont="1" applyFill="1" applyBorder="1" applyAlignment="1">
      <alignment horizontal="center" vertical="center" shrinkToFit="1"/>
    </xf>
    <xf numFmtId="0" fontId="356" fillId="0" borderId="21" xfId="9340" applyNumberFormat="1" applyFont="1" applyFill="1" applyBorder="1" applyAlignment="1">
      <alignment horizontal="center" vertical="center" shrinkToFit="1"/>
    </xf>
    <xf numFmtId="180" fontId="356" fillId="0" borderId="24" xfId="9340" applyNumberFormat="1" applyFont="1" applyFill="1" applyBorder="1" applyAlignment="1">
      <alignment horizontal="left" vertical="center" shrinkToFit="1"/>
    </xf>
    <xf numFmtId="180" fontId="356" fillId="0" borderId="21" xfId="9340" applyNumberFormat="1" applyFont="1" applyFill="1" applyBorder="1" applyAlignment="1">
      <alignment horizontal="left" vertical="center" shrinkToFit="1"/>
    </xf>
    <xf numFmtId="20" fontId="356" fillId="0" borderId="24" xfId="9585" applyNumberFormat="1" applyFont="1" applyFill="1" applyBorder="1" applyAlignment="1">
      <alignment horizontal="left" vertical="center" shrinkToFit="1"/>
    </xf>
    <xf numFmtId="0" fontId="356" fillId="0" borderId="21" xfId="9585" applyNumberFormat="1" applyFont="1" applyFill="1" applyBorder="1" applyAlignment="1">
      <alignment horizontal="left" vertical="center" shrinkToFit="1"/>
    </xf>
    <xf numFmtId="0" fontId="356" fillId="0" borderId="25" xfId="9585" applyNumberFormat="1" applyFont="1" applyFill="1" applyBorder="1" applyAlignment="1">
      <alignment horizontal="left" vertical="center" shrinkToFit="1"/>
    </xf>
    <xf numFmtId="41" fontId="356" fillId="0" borderId="24" xfId="10056" applyFont="1" applyFill="1" applyBorder="1" applyAlignment="1">
      <alignment horizontal="left" vertical="center"/>
    </xf>
    <xf numFmtId="41" fontId="356" fillId="0" borderId="21" xfId="10056" applyFont="1" applyFill="1" applyBorder="1" applyAlignment="1">
      <alignment horizontal="left" vertical="center"/>
    </xf>
    <xf numFmtId="41" fontId="356" fillId="0" borderId="1" xfId="10056" applyFont="1" applyFill="1" applyBorder="1" applyAlignment="1">
      <alignment horizontal="left" vertical="center" shrinkToFit="1"/>
    </xf>
    <xf numFmtId="41" fontId="356" fillId="0" borderId="24" xfId="10056" applyFont="1" applyFill="1" applyBorder="1" applyAlignment="1">
      <alignment horizontal="left" vertical="center" wrapText="1"/>
    </xf>
    <xf numFmtId="41" fontId="356" fillId="0" borderId="21" xfId="10056" applyFont="1" applyFill="1" applyBorder="1" applyAlignment="1">
      <alignment horizontal="left" vertical="center" wrapText="1"/>
    </xf>
    <xf numFmtId="41" fontId="356" fillId="0" borderId="1" xfId="10056" applyFont="1" applyFill="1" applyBorder="1" applyAlignment="1">
      <alignment horizontal="left" vertical="center"/>
    </xf>
    <xf numFmtId="41" fontId="356" fillId="0" borderId="25" xfId="10056" applyFont="1" applyFill="1" applyBorder="1" applyAlignment="1">
      <alignment horizontal="left" vertical="center" shrinkToFit="1"/>
    </xf>
    <xf numFmtId="0" fontId="335" fillId="0" borderId="24" xfId="9585" applyNumberFormat="1" applyFont="1" applyFill="1" applyBorder="1" applyAlignment="1">
      <alignment horizontal="left" vertical="center" shrinkToFit="1"/>
    </xf>
    <xf numFmtId="0" fontId="335" fillId="0" borderId="21" xfId="9585" applyNumberFormat="1" applyFont="1" applyFill="1" applyBorder="1" applyAlignment="1">
      <alignment horizontal="left" vertical="center" shrinkToFit="1"/>
    </xf>
    <xf numFmtId="9" fontId="356" fillId="0" borderId="24" xfId="9340" applyNumberFormat="1" applyFont="1" applyFill="1" applyBorder="1" applyAlignment="1">
      <alignment horizontal="left" vertical="center" shrinkToFit="1"/>
    </xf>
    <xf numFmtId="0" fontId="357" fillId="15" borderId="24" xfId="9340" applyNumberFormat="1" applyFont="1" applyFill="1" applyBorder="1" applyAlignment="1">
      <alignment horizontal="left" vertical="center" shrinkToFit="1"/>
    </xf>
    <xf numFmtId="0" fontId="357" fillId="15" borderId="21" xfId="9340" applyNumberFormat="1" applyFont="1" applyFill="1" applyBorder="1" applyAlignment="1">
      <alignment horizontal="left" vertical="center" shrinkToFit="1"/>
    </xf>
    <xf numFmtId="0" fontId="357" fillId="0" borderId="24" xfId="9340" applyNumberFormat="1" applyFont="1" applyFill="1" applyBorder="1" applyAlignment="1">
      <alignment horizontal="left" vertical="center" shrinkToFit="1"/>
    </xf>
    <xf numFmtId="0" fontId="357" fillId="0" borderId="21" xfId="9340" applyNumberFormat="1" applyFont="1" applyFill="1" applyBorder="1" applyAlignment="1">
      <alignment horizontal="left" vertical="center" shrinkToFit="1"/>
    </xf>
    <xf numFmtId="41" fontId="361" fillId="0" borderId="24" xfId="9340" applyFont="1" applyFill="1" applyBorder="1" applyAlignment="1">
      <alignment horizontal="center" vertical="center" shrinkToFit="1"/>
    </xf>
    <xf numFmtId="41" fontId="361" fillId="0" borderId="21" xfId="9340" applyFont="1" applyFill="1" applyBorder="1" applyAlignment="1">
      <alignment horizontal="center" vertical="center" shrinkToFit="1"/>
    </xf>
    <xf numFmtId="0" fontId="357" fillId="0" borderId="25" xfId="9340" applyNumberFormat="1" applyFont="1" applyFill="1" applyBorder="1" applyAlignment="1">
      <alignment horizontal="left" vertical="center" shrinkToFit="1"/>
    </xf>
    <xf numFmtId="0" fontId="356" fillId="0" borderId="165" xfId="9340" applyNumberFormat="1" applyFont="1" applyFill="1" applyBorder="1" applyAlignment="1">
      <alignment horizontal="left" vertical="center" shrinkToFit="1"/>
    </xf>
    <xf numFmtId="41" fontId="355" fillId="0" borderId="169" xfId="9340" applyFont="1" applyFill="1" applyBorder="1" applyAlignment="1">
      <alignment horizontal="center" vertical="center" shrinkToFit="1"/>
    </xf>
    <xf numFmtId="41" fontId="355" fillId="0" borderId="29" xfId="9340" applyFont="1" applyFill="1" applyBorder="1" applyAlignment="1">
      <alignment horizontal="center" vertical="center" shrinkToFit="1"/>
    </xf>
    <xf numFmtId="0" fontId="356" fillId="0" borderId="31" xfId="9340" applyNumberFormat="1" applyFont="1" applyFill="1" applyBorder="1" applyAlignment="1">
      <alignment horizontal="left" vertical="center" shrinkToFit="1"/>
    </xf>
    <xf numFmtId="0" fontId="356" fillId="0" borderId="29" xfId="9340" applyNumberFormat="1" applyFont="1" applyFill="1" applyBorder="1" applyAlignment="1">
      <alignment horizontal="left" vertical="center" shrinkToFit="1"/>
    </xf>
    <xf numFmtId="41" fontId="355" fillId="0" borderId="30" xfId="9340" applyFont="1" applyFill="1" applyBorder="1" applyAlignment="1">
      <alignment horizontal="center" vertical="center" shrinkToFit="1"/>
    </xf>
    <xf numFmtId="0" fontId="356" fillId="0" borderId="30" xfId="9340" applyNumberFormat="1" applyFont="1" applyFill="1" applyBorder="1" applyAlignment="1">
      <alignment horizontal="left" vertical="center" shrinkToFit="1"/>
    </xf>
    <xf numFmtId="0" fontId="319" fillId="0" borderId="30" xfId="10745" applyFont="1" applyBorder="1" applyAlignment="1">
      <alignment horizontal="left" vertical="center" shrinkToFit="1"/>
    </xf>
    <xf numFmtId="41" fontId="355" fillId="0" borderId="1" xfId="9340" applyFont="1" applyFill="1" applyBorder="1" applyAlignment="1">
      <alignment horizontal="center" vertical="center" shrinkToFit="1"/>
    </xf>
    <xf numFmtId="0" fontId="356" fillId="0" borderId="1" xfId="9340" applyNumberFormat="1" applyFont="1" applyFill="1" applyBorder="1" applyAlignment="1">
      <alignment horizontal="left" vertical="center" shrinkToFit="1"/>
    </xf>
    <xf numFmtId="0" fontId="319" fillId="0" borderId="1" xfId="10745" applyFont="1" applyBorder="1" applyAlignment="1">
      <alignment horizontal="left" vertical="center" shrinkToFit="1"/>
    </xf>
    <xf numFmtId="0" fontId="356" fillId="0" borderId="9" xfId="9340" applyNumberFormat="1" applyFont="1" applyFill="1" applyBorder="1" applyAlignment="1">
      <alignment horizontal="left" vertical="center" shrinkToFit="1"/>
    </xf>
    <xf numFmtId="41" fontId="355" fillId="0" borderId="168" xfId="9340" applyFont="1" applyFill="1" applyBorder="1" applyAlignment="1">
      <alignment horizontal="center" vertical="center" shrinkToFit="1"/>
    </xf>
    <xf numFmtId="184" fontId="356" fillId="0" borderId="24" xfId="9340" applyNumberFormat="1" applyFont="1" applyFill="1" applyBorder="1" applyAlignment="1">
      <alignment horizontal="left" vertical="center" shrinkToFit="1"/>
    </xf>
    <xf numFmtId="184" fontId="356" fillId="0" borderId="21" xfId="9340" applyNumberFormat="1" applyFont="1" applyFill="1" applyBorder="1" applyAlignment="1">
      <alignment horizontal="left" vertical="center" shrinkToFit="1"/>
    </xf>
    <xf numFmtId="0" fontId="356" fillId="63" borderId="25" xfId="9340" applyNumberFormat="1" applyFont="1" applyFill="1" applyBorder="1" applyAlignment="1">
      <alignment horizontal="left" vertical="center" shrinkToFit="1"/>
    </xf>
    <xf numFmtId="0" fontId="356" fillId="0" borderId="24" xfId="10056" applyNumberFormat="1" applyFont="1" applyFill="1" applyBorder="1" applyAlignment="1">
      <alignment horizontal="left" vertical="center" shrinkToFit="1"/>
    </xf>
    <xf numFmtId="0" fontId="356" fillId="0" borderId="21" xfId="10056" applyNumberFormat="1" applyFont="1" applyFill="1" applyBorder="1" applyAlignment="1">
      <alignment horizontal="left" vertical="center" shrinkToFit="1"/>
    </xf>
    <xf numFmtId="20" fontId="356" fillId="0" borderId="24" xfId="10028" applyNumberFormat="1" applyFont="1" applyFill="1" applyBorder="1" applyAlignment="1">
      <alignment horizontal="left" vertical="center" shrinkToFit="1"/>
    </xf>
    <xf numFmtId="0" fontId="356" fillId="0" borderId="21" xfId="10028" applyNumberFormat="1" applyFont="1" applyFill="1" applyBorder="1" applyAlignment="1">
      <alignment horizontal="left" vertical="center" shrinkToFit="1"/>
    </xf>
    <xf numFmtId="20" fontId="356" fillId="0" borderId="24" xfId="10056" applyNumberFormat="1" applyFont="1" applyFill="1" applyBorder="1" applyAlignment="1">
      <alignment horizontal="left" vertical="center" shrinkToFit="1"/>
    </xf>
    <xf numFmtId="0" fontId="356" fillId="0" borderId="24" xfId="9585" applyNumberFormat="1" applyFont="1" applyFill="1" applyBorder="1" applyAlignment="1">
      <alignment horizontal="left" vertical="center" shrinkToFit="1"/>
    </xf>
    <xf numFmtId="9" fontId="357" fillId="15" borderId="24" xfId="9340" applyNumberFormat="1" applyFont="1" applyFill="1" applyBorder="1" applyAlignment="1">
      <alignment horizontal="left" vertical="center" shrinkToFit="1"/>
    </xf>
    <xf numFmtId="0" fontId="356" fillId="0" borderId="24" xfId="10028" applyNumberFormat="1" applyFont="1" applyFill="1" applyBorder="1" applyAlignment="1">
      <alignment horizontal="left" vertical="center" shrinkToFit="1"/>
    </xf>
    <xf numFmtId="0" fontId="356" fillId="0" borderId="24" xfId="9340" quotePrefix="1" applyNumberFormat="1" applyFont="1" applyFill="1" applyBorder="1" applyAlignment="1">
      <alignment horizontal="left" vertical="center" shrinkToFit="1"/>
    </xf>
    <xf numFmtId="41" fontId="356" fillId="0" borderId="24" xfId="9340" applyFont="1" applyFill="1" applyBorder="1" applyAlignment="1">
      <alignment horizontal="center" vertical="center" shrinkToFit="1"/>
    </xf>
    <xf numFmtId="41" fontId="356" fillId="0" borderId="21" xfId="9340" applyFont="1" applyFill="1" applyBorder="1" applyAlignment="1">
      <alignment horizontal="center" vertical="center" shrinkToFit="1"/>
    </xf>
    <xf numFmtId="41" fontId="356" fillId="0" borderId="24" xfId="9585" applyFont="1" applyFill="1" applyBorder="1" applyAlignment="1">
      <alignment horizontal="center" vertical="center" shrinkToFit="1"/>
    </xf>
    <xf numFmtId="41" fontId="356" fillId="0" borderId="21" xfId="9585" applyFont="1" applyFill="1" applyBorder="1" applyAlignment="1">
      <alignment horizontal="center" vertical="center" shrinkToFit="1"/>
    </xf>
    <xf numFmtId="41" fontId="356" fillId="0" borderId="24" xfId="9585" applyFont="1" applyFill="1" applyBorder="1" applyAlignment="1">
      <alignment horizontal="left" vertical="center" shrinkToFit="1"/>
    </xf>
    <xf numFmtId="41" fontId="356" fillId="0" borderId="21" xfId="9585" applyFont="1" applyFill="1" applyBorder="1" applyAlignment="1">
      <alignment horizontal="left" vertical="center" shrinkToFit="1"/>
    </xf>
    <xf numFmtId="0" fontId="356" fillId="0" borderId="25" xfId="10056" applyNumberFormat="1" applyFont="1" applyFill="1" applyBorder="1" applyAlignment="1">
      <alignment horizontal="left" vertical="center" shrinkToFit="1"/>
    </xf>
    <xf numFmtId="9" fontId="356" fillId="0" borderId="21" xfId="9340" applyNumberFormat="1" applyFont="1" applyFill="1" applyBorder="1" applyAlignment="1">
      <alignment horizontal="left" vertical="center" shrinkToFit="1"/>
    </xf>
    <xf numFmtId="0" fontId="356" fillId="15" borderId="26" xfId="9340" applyNumberFormat="1" applyFont="1" applyFill="1" applyBorder="1" applyAlignment="1">
      <alignment horizontal="center" vertical="center" shrinkToFit="1"/>
    </xf>
    <xf numFmtId="0" fontId="356" fillId="15" borderId="0" xfId="9340" applyNumberFormat="1" applyFont="1" applyFill="1" applyBorder="1" applyAlignment="1">
      <alignment horizontal="center" vertical="center" shrinkToFit="1"/>
    </xf>
    <xf numFmtId="20" fontId="356" fillId="0" borderId="24" xfId="9340" quotePrefix="1" applyNumberFormat="1" applyFont="1" applyFill="1" applyBorder="1" applyAlignment="1">
      <alignment horizontal="left" vertical="center" shrinkToFit="1"/>
    </xf>
    <xf numFmtId="20" fontId="356" fillId="0" borderId="21" xfId="9340" quotePrefix="1" applyNumberFormat="1" applyFont="1" applyFill="1" applyBorder="1" applyAlignment="1">
      <alignment horizontal="left" vertical="center" shrinkToFit="1"/>
    </xf>
    <xf numFmtId="0" fontId="355" fillId="0" borderId="24" xfId="9340" applyNumberFormat="1" applyFont="1" applyFill="1" applyBorder="1" applyAlignment="1">
      <alignment horizontal="center" vertical="center" shrinkToFit="1"/>
    </xf>
    <xf numFmtId="0" fontId="355" fillId="0" borderId="21" xfId="9340" applyNumberFormat="1" applyFont="1" applyFill="1" applyBorder="1" applyAlignment="1">
      <alignment horizontal="center" vertical="center" shrinkToFit="1"/>
    </xf>
    <xf numFmtId="41" fontId="361" fillId="15" borderId="24" xfId="9340" applyFont="1" applyFill="1" applyBorder="1" applyAlignment="1">
      <alignment horizontal="center" vertical="center" shrinkToFit="1"/>
    </xf>
    <xf numFmtId="41" fontId="361" fillId="15" borderId="21" xfId="9340" applyFont="1" applyFill="1" applyBorder="1" applyAlignment="1">
      <alignment horizontal="center" vertical="center" shrinkToFit="1"/>
    </xf>
    <xf numFmtId="41" fontId="357" fillId="15" borderId="24" xfId="9340" applyFont="1" applyFill="1" applyBorder="1" applyAlignment="1">
      <alignment horizontal="center" vertical="center" shrinkToFit="1"/>
    </xf>
    <xf numFmtId="41" fontId="357" fillId="15" borderId="21" xfId="9340" applyFont="1" applyFill="1" applyBorder="1" applyAlignment="1">
      <alignment horizontal="center" vertical="center" shrinkToFit="1"/>
    </xf>
    <xf numFmtId="0" fontId="357" fillId="15" borderId="25" xfId="9340" applyNumberFormat="1" applyFont="1" applyFill="1" applyBorder="1" applyAlignment="1">
      <alignment horizontal="left" vertical="center" shrinkToFit="1"/>
    </xf>
    <xf numFmtId="9" fontId="357" fillId="15" borderId="21" xfId="9340" applyNumberFormat="1" applyFont="1" applyFill="1" applyBorder="1" applyAlignment="1">
      <alignment horizontal="left" vertical="center" shrinkToFit="1"/>
    </xf>
    <xf numFmtId="184" fontId="357" fillId="0" borderId="24" xfId="9340" applyNumberFormat="1" applyFont="1" applyFill="1" applyBorder="1" applyAlignment="1">
      <alignment horizontal="left" vertical="center" shrinkToFit="1"/>
    </xf>
    <xf numFmtId="184" fontId="357" fillId="0" borderId="21" xfId="9340" applyNumberFormat="1" applyFont="1" applyFill="1" applyBorder="1" applyAlignment="1">
      <alignment horizontal="left" vertical="center" shrinkToFit="1"/>
    </xf>
    <xf numFmtId="0" fontId="357" fillId="0" borderId="24" xfId="9585" applyNumberFormat="1" applyFont="1" applyFill="1" applyBorder="1" applyAlignment="1">
      <alignment horizontal="left" vertical="center" shrinkToFit="1"/>
    </xf>
    <xf numFmtId="0" fontId="357" fillId="0" borderId="21" xfId="9585" applyNumberFormat="1" applyFont="1" applyFill="1" applyBorder="1" applyAlignment="1">
      <alignment horizontal="left" vertical="center" shrinkToFit="1"/>
    </xf>
    <xf numFmtId="41" fontId="357" fillId="0" borderId="24" xfId="9340" applyFont="1" applyFill="1" applyBorder="1" applyAlignment="1">
      <alignment horizontal="center" vertical="center" shrinkToFit="1"/>
    </xf>
    <xf numFmtId="41" fontId="357" fillId="0" borderId="21" xfId="9340" applyFont="1" applyFill="1" applyBorder="1" applyAlignment="1">
      <alignment horizontal="center" vertical="center" shrinkToFit="1"/>
    </xf>
    <xf numFmtId="20" fontId="356" fillId="0" borderId="25" xfId="9340" applyNumberFormat="1" applyFont="1" applyFill="1" applyBorder="1" applyAlignment="1">
      <alignment horizontal="left" vertical="center" shrinkToFit="1"/>
    </xf>
    <xf numFmtId="9" fontId="357" fillId="0" borderId="24" xfId="9340" applyNumberFormat="1" applyFont="1" applyFill="1" applyBorder="1" applyAlignment="1">
      <alignment horizontal="left" vertical="center" shrinkToFit="1"/>
    </xf>
    <xf numFmtId="20" fontId="357" fillId="0" borderId="25" xfId="9340" applyNumberFormat="1" applyFont="1" applyFill="1" applyBorder="1" applyAlignment="1">
      <alignment horizontal="left" vertical="center" shrinkToFit="1"/>
    </xf>
    <xf numFmtId="0" fontId="190" fillId="0" borderId="0" xfId="10743" applyFont="1" applyAlignment="1">
      <alignment horizontal="center" vertical="center"/>
    </xf>
    <xf numFmtId="0" fontId="359" fillId="0" borderId="0" xfId="10743" applyFont="1" applyAlignment="1">
      <alignment horizontal="center" vertical="center"/>
    </xf>
    <xf numFmtId="20" fontId="356" fillId="0" borderId="25" xfId="9340" quotePrefix="1" applyNumberFormat="1" applyFont="1" applyFill="1" applyBorder="1" applyAlignment="1">
      <alignment horizontal="left" vertical="center" shrinkToFit="1"/>
    </xf>
    <xf numFmtId="0" fontId="356" fillId="0" borderId="25" xfId="9340" applyNumberFormat="1" applyFont="1" applyFill="1" applyBorder="1" applyAlignment="1" applyProtection="1">
      <alignment horizontal="left" vertical="center" shrinkToFit="1"/>
    </xf>
    <xf numFmtId="41" fontId="355" fillId="0" borderId="165" xfId="9340" applyFont="1" applyFill="1" applyBorder="1" applyAlignment="1">
      <alignment horizontal="center" vertical="center" shrinkToFit="1"/>
    </xf>
    <xf numFmtId="0" fontId="355" fillId="0" borderId="1" xfId="10743" applyFont="1" applyBorder="1" applyAlignment="1">
      <alignment horizontal="center" vertical="center" shrinkToFit="1"/>
    </xf>
    <xf numFmtId="0" fontId="355" fillId="0" borderId="31" xfId="10743" applyFont="1" applyBorder="1" applyAlignment="1">
      <alignment horizontal="center" vertical="center" shrinkToFit="1"/>
    </xf>
    <xf numFmtId="0" fontId="355" fillId="0" borderId="29" xfId="10743" applyFont="1" applyBorder="1" applyAlignment="1">
      <alignment horizontal="center" vertical="center" shrinkToFit="1"/>
    </xf>
    <xf numFmtId="0" fontId="355" fillId="0" borderId="33" xfId="10743" applyFont="1" applyBorder="1" applyAlignment="1">
      <alignment horizontal="center" vertical="center" shrinkToFit="1"/>
    </xf>
    <xf numFmtId="0" fontId="355" fillId="0" borderId="22" xfId="10743" applyFont="1" applyBorder="1" applyAlignment="1">
      <alignment horizontal="center" vertical="center" shrinkToFit="1"/>
    </xf>
    <xf numFmtId="380" fontId="355" fillId="0" borderId="1" xfId="10743" applyNumberFormat="1" applyFont="1" applyBorder="1" applyAlignment="1">
      <alignment horizontal="center" vertical="center" shrinkToFit="1" readingOrder="2"/>
    </xf>
    <xf numFmtId="41" fontId="354" fillId="4" borderId="24" xfId="9340" applyFont="1" applyFill="1" applyBorder="1" applyAlignment="1">
      <alignment horizontal="center" vertical="center" shrinkToFit="1"/>
    </xf>
    <xf numFmtId="41" fontId="354" fillId="4" borderId="25" xfId="9340" applyFont="1" applyFill="1" applyBorder="1" applyAlignment="1">
      <alignment horizontal="center" vertical="center" shrinkToFit="1"/>
    </xf>
    <xf numFmtId="41" fontId="354" fillId="4" borderId="21" xfId="9340" applyFont="1" applyFill="1" applyBorder="1" applyAlignment="1">
      <alignment horizontal="center" vertical="center" shrinkToFit="1"/>
    </xf>
    <xf numFmtId="0" fontId="354" fillId="4" borderId="23" xfId="10747" applyFont="1" applyFill="1" applyBorder="1" applyAlignment="1">
      <alignment horizontal="center" vertical="center"/>
    </xf>
    <xf numFmtId="0" fontId="354" fillId="4" borderId="1" xfId="10747" applyFont="1" applyFill="1" applyBorder="1" applyAlignment="1">
      <alignment horizontal="left" vertical="center"/>
    </xf>
    <xf numFmtId="0" fontId="354" fillId="4" borderId="1" xfId="10747" applyFont="1" applyFill="1" applyBorder="1" applyAlignment="1">
      <alignment horizontal="left" vertical="center" shrinkToFit="1"/>
    </xf>
    <xf numFmtId="41" fontId="354" fillId="4" borderId="1" xfId="9340" applyFont="1" applyFill="1" applyBorder="1" applyAlignment="1">
      <alignment horizontal="center" vertical="center"/>
    </xf>
    <xf numFmtId="0" fontId="354" fillId="4" borderId="24" xfId="10747" applyFont="1" applyFill="1" applyBorder="1" applyAlignment="1">
      <alignment horizontal="left" vertical="center" shrinkToFit="1"/>
    </xf>
    <xf numFmtId="0" fontId="354" fillId="4" borderId="25" xfId="10747" applyFont="1" applyFill="1" applyBorder="1" applyAlignment="1">
      <alignment horizontal="left" vertical="center" shrinkToFit="1"/>
    </xf>
    <xf numFmtId="0" fontId="354" fillId="4" borderId="21" xfId="10747" applyFont="1" applyFill="1" applyBorder="1" applyAlignment="1">
      <alignment horizontal="left" vertical="center" shrinkToFit="1"/>
    </xf>
    <xf numFmtId="0" fontId="354" fillId="4" borderId="24" xfId="10747" applyFont="1" applyFill="1" applyBorder="1" applyAlignment="1">
      <alignment horizontal="center" vertical="center" shrinkToFit="1"/>
    </xf>
    <xf numFmtId="0" fontId="354" fillId="4" borderId="25" xfId="10747" applyFont="1" applyFill="1" applyBorder="1" applyAlignment="1">
      <alignment horizontal="center" vertical="center" shrinkToFit="1"/>
    </xf>
    <xf numFmtId="0" fontId="354" fillId="4" borderId="21" xfId="10747" applyFont="1" applyFill="1" applyBorder="1" applyAlignment="1">
      <alignment horizontal="center" vertical="center" shrinkToFit="1"/>
    </xf>
    <xf numFmtId="0" fontId="354" fillId="4" borderId="23" xfId="10747" applyFont="1" applyFill="1" applyBorder="1" applyAlignment="1">
      <alignment horizontal="left" vertical="center"/>
    </xf>
    <xf numFmtId="41" fontId="354" fillId="4" borderId="23" xfId="9340" applyFont="1" applyFill="1" applyBorder="1" applyAlignment="1">
      <alignment horizontal="center" vertical="center"/>
    </xf>
    <xf numFmtId="0" fontId="350" fillId="4" borderId="0" xfId="10747" applyFont="1" applyFill="1" applyAlignment="1">
      <alignment horizontal="center"/>
    </xf>
    <xf numFmtId="0" fontId="352" fillId="4" borderId="1" xfId="10747" applyFont="1" applyFill="1" applyBorder="1" applyAlignment="1">
      <alignment horizontal="center" vertical="center"/>
    </xf>
    <xf numFmtId="0" fontId="352" fillId="4" borderId="1" xfId="9340" applyNumberFormat="1" applyFont="1" applyFill="1" applyBorder="1" applyAlignment="1">
      <alignment horizontal="center" vertical="center"/>
    </xf>
    <xf numFmtId="41" fontId="325" fillId="4" borderId="116" xfId="9340" applyFont="1" applyFill="1" applyBorder="1" applyAlignment="1">
      <alignment horizontal="center" vertical="center"/>
    </xf>
    <xf numFmtId="178" fontId="189" fillId="4" borderId="0" xfId="9340" applyNumberFormat="1" applyFont="1" applyFill="1" applyBorder="1" applyAlignment="1">
      <alignment horizontal="right" vertical="center"/>
    </xf>
    <xf numFmtId="0" fontId="189" fillId="4" borderId="0" xfId="10745" applyFont="1" applyFill="1" applyAlignment="1">
      <alignment horizontal="center" vertical="center"/>
    </xf>
    <xf numFmtId="41" fontId="189" fillId="4" borderId="0" xfId="9340" applyFont="1" applyFill="1" applyBorder="1" applyAlignment="1">
      <alignment horizontal="right" vertical="center"/>
    </xf>
    <xf numFmtId="41" fontId="325" fillId="4" borderId="28" xfId="9340" applyFont="1" applyFill="1" applyBorder="1" applyAlignment="1">
      <alignment horizontal="center" vertical="center"/>
    </xf>
    <xf numFmtId="41" fontId="325" fillId="4" borderId="25" xfId="9340" applyFont="1" applyFill="1" applyBorder="1" applyAlignment="1">
      <alignment horizontal="center" vertical="center"/>
    </xf>
    <xf numFmtId="178" fontId="189" fillId="0" borderId="0" xfId="9340" applyNumberFormat="1" applyFont="1" applyFill="1" applyBorder="1" applyAlignment="1">
      <alignment horizontal="right" vertical="center"/>
    </xf>
    <xf numFmtId="0" fontId="189" fillId="4" borderId="0" xfId="9340" quotePrefix="1" applyNumberFormat="1" applyFont="1" applyFill="1" applyBorder="1" applyAlignment="1">
      <alignment horizontal="center" vertical="center"/>
    </xf>
    <xf numFmtId="41" fontId="325" fillId="4" borderId="9" xfId="9340" applyFont="1" applyFill="1" applyBorder="1" applyAlignment="1">
      <alignment horizontal="right" vertical="center"/>
    </xf>
    <xf numFmtId="0" fontId="73" fillId="0" borderId="156" xfId="10745" applyFont="1" applyBorder="1" applyAlignment="1">
      <alignment horizontal="center" vertical="center"/>
    </xf>
    <xf numFmtId="0" fontId="73" fillId="0" borderId="116" xfId="10745" applyFont="1" applyBorder="1" applyAlignment="1">
      <alignment horizontal="center" vertical="center"/>
    </xf>
    <xf numFmtId="41" fontId="348" fillId="0" borderId="9" xfId="10745" applyNumberFormat="1" applyFont="1" applyBorder="1" applyAlignment="1">
      <alignment horizontal="center" vertical="center"/>
    </xf>
    <xf numFmtId="0" fontId="189" fillId="4" borderId="0" xfId="10745" applyFont="1" applyFill="1" applyAlignment="1">
      <alignment horizontal="right" vertical="center"/>
    </xf>
    <xf numFmtId="178" fontId="189" fillId="4" borderId="9" xfId="9340" applyNumberFormat="1" applyFont="1" applyFill="1" applyBorder="1" applyAlignment="1">
      <alignment horizontal="center" vertical="center"/>
    </xf>
    <xf numFmtId="0" fontId="189" fillId="4" borderId="0" xfId="10746" applyFont="1" applyFill="1" applyAlignment="1">
      <alignment horizontal="center" vertical="center"/>
    </xf>
    <xf numFmtId="41" fontId="325" fillId="4" borderId="25" xfId="9725" applyFont="1" applyFill="1" applyBorder="1" applyAlignment="1">
      <alignment horizontal="center" vertical="center"/>
    </xf>
    <xf numFmtId="41" fontId="325" fillId="4" borderId="116" xfId="9725" applyFont="1" applyFill="1" applyBorder="1" applyAlignment="1">
      <alignment horizontal="center" vertical="center"/>
    </xf>
    <xf numFmtId="0" fontId="73" fillId="4" borderId="2" xfId="10745" applyFont="1" applyFill="1" applyBorder="1" applyAlignment="1">
      <alignment horizontal="right" vertical="center"/>
    </xf>
    <xf numFmtId="0" fontId="73" fillId="4" borderId="2" xfId="10745" applyFont="1" applyFill="1" applyBorder="1" applyAlignment="1">
      <alignment horizontal="center" vertical="center"/>
    </xf>
    <xf numFmtId="0" fontId="73" fillId="4" borderId="2" xfId="10745" applyFont="1" applyFill="1" applyBorder="1" applyAlignment="1">
      <alignment horizontal="left" vertical="center"/>
    </xf>
    <xf numFmtId="178" fontId="189" fillId="4" borderId="0" xfId="9725" applyNumberFormat="1" applyFont="1" applyFill="1" applyBorder="1" applyAlignment="1">
      <alignment horizontal="right" vertical="center"/>
    </xf>
    <xf numFmtId="41" fontId="189" fillId="4" borderId="0" xfId="9725" applyFont="1" applyFill="1" applyBorder="1" applyAlignment="1">
      <alignment horizontal="right" vertical="center"/>
    </xf>
    <xf numFmtId="0" fontId="189" fillId="4" borderId="0" xfId="9725" quotePrefix="1" applyNumberFormat="1" applyFont="1" applyFill="1" applyBorder="1" applyAlignment="1">
      <alignment horizontal="center" vertical="center"/>
    </xf>
    <xf numFmtId="41" fontId="189" fillId="0" borderId="0" xfId="10746" applyNumberFormat="1" applyFont="1" applyAlignment="1">
      <alignment horizontal="center" vertical="center"/>
    </xf>
    <xf numFmtId="0" fontId="319" fillId="0" borderId="0" xfId="10745" applyFont="1" applyAlignment="1">
      <alignment vertical="center"/>
    </xf>
    <xf numFmtId="0" fontId="189" fillId="4" borderId="0" xfId="10746" applyFont="1" applyFill="1" applyAlignment="1">
      <alignment vertical="center"/>
    </xf>
    <xf numFmtId="0" fontId="319" fillId="4" borderId="0" xfId="10745" applyFont="1" applyFill="1" applyAlignment="1">
      <alignment vertical="center"/>
    </xf>
    <xf numFmtId="41" fontId="189" fillId="4" borderId="9" xfId="9725" applyFont="1" applyFill="1" applyBorder="1" applyAlignment="1">
      <alignment horizontal="right" vertical="center" shrinkToFit="1"/>
    </xf>
    <xf numFmtId="0" fontId="73" fillId="0" borderId="156" xfId="10746" applyFont="1" applyBorder="1" applyAlignment="1">
      <alignment horizontal="center" vertical="center"/>
    </xf>
    <xf numFmtId="0" fontId="73" fillId="0" borderId="116" xfId="10746" applyFont="1" applyBorder="1" applyAlignment="1">
      <alignment horizontal="center" vertical="center"/>
    </xf>
    <xf numFmtId="41" fontId="325" fillId="4" borderId="28" xfId="9725" applyFont="1" applyFill="1" applyBorder="1" applyAlignment="1">
      <alignment horizontal="center" vertical="center"/>
    </xf>
    <xf numFmtId="41" fontId="325" fillId="4" borderId="9" xfId="9725" applyFont="1" applyFill="1" applyBorder="1" applyAlignment="1">
      <alignment horizontal="right" vertical="center" shrinkToFit="1"/>
    </xf>
    <xf numFmtId="0" fontId="189" fillId="4" borderId="0" xfId="9725" quotePrefix="1" applyNumberFormat="1" applyFont="1" applyFill="1" applyBorder="1" applyAlignment="1">
      <alignment horizontal="right" vertical="center"/>
    </xf>
    <xf numFmtId="0" fontId="319" fillId="4" borderId="0" xfId="10745" applyFont="1" applyFill="1" applyAlignment="1">
      <alignment horizontal="right" vertical="center"/>
    </xf>
    <xf numFmtId="379" fontId="189" fillId="4" borderId="0" xfId="10746" applyNumberFormat="1" applyFont="1" applyFill="1" applyAlignment="1">
      <alignment horizontal="center" vertical="center" shrinkToFit="1"/>
    </xf>
    <xf numFmtId="0" fontId="319" fillId="4" borderId="0" xfId="10745" applyFont="1" applyFill="1" applyAlignment="1">
      <alignment vertical="center" shrinkToFit="1"/>
    </xf>
    <xf numFmtId="41" fontId="189" fillId="0" borderId="9" xfId="10746" applyNumberFormat="1" applyFont="1" applyBorder="1" applyAlignment="1">
      <alignment horizontal="center" vertical="center"/>
    </xf>
    <xf numFmtId="0" fontId="319" fillId="0" borderId="9" xfId="10745" applyFont="1" applyBorder="1" applyAlignment="1">
      <alignment vertical="center"/>
    </xf>
    <xf numFmtId="0" fontId="189" fillId="4" borderId="9" xfId="10746" applyFont="1" applyFill="1" applyBorder="1" applyAlignment="1">
      <alignment vertical="center"/>
    </xf>
    <xf numFmtId="0" fontId="319" fillId="4" borderId="9" xfId="10745" applyFont="1" applyFill="1" applyBorder="1" applyAlignment="1">
      <alignment vertical="center"/>
    </xf>
    <xf numFmtId="41" fontId="325" fillId="4" borderId="9" xfId="9725" applyFont="1" applyFill="1" applyBorder="1" applyAlignment="1">
      <alignment horizontal="right" vertical="center"/>
    </xf>
    <xf numFmtId="41" fontId="189" fillId="4" borderId="9" xfId="10746" applyNumberFormat="1" applyFont="1" applyFill="1" applyBorder="1" applyAlignment="1">
      <alignment horizontal="center" vertical="center"/>
    </xf>
    <xf numFmtId="178" fontId="189" fillId="4" borderId="9" xfId="9725" applyNumberFormat="1" applyFont="1" applyFill="1" applyBorder="1" applyAlignment="1">
      <alignment vertical="center"/>
    </xf>
    <xf numFmtId="0" fontId="189" fillId="4" borderId="0" xfId="10746" applyFont="1" applyFill="1" applyAlignment="1">
      <alignment horizontal="right" vertical="center"/>
    </xf>
    <xf numFmtId="178" fontId="189" fillId="4" borderId="9" xfId="9725" applyNumberFormat="1" applyFont="1" applyFill="1" applyBorder="1" applyAlignment="1">
      <alignment horizontal="center" vertical="center"/>
    </xf>
    <xf numFmtId="41" fontId="325" fillId="4" borderId="28" xfId="9585" applyFont="1" applyFill="1" applyBorder="1" applyAlignment="1">
      <alignment horizontal="center" vertical="center"/>
    </xf>
    <xf numFmtId="41" fontId="325" fillId="4" borderId="116" xfId="9585" applyFont="1" applyFill="1" applyBorder="1" applyAlignment="1">
      <alignment horizontal="center" vertical="center"/>
    </xf>
    <xf numFmtId="178" fontId="189" fillId="0" borderId="0" xfId="9585" applyNumberFormat="1" applyFont="1" applyFill="1" applyBorder="1" applyAlignment="1">
      <alignment horizontal="right" vertical="center"/>
    </xf>
    <xf numFmtId="41" fontId="189" fillId="4" borderId="0" xfId="9585" applyFont="1" applyFill="1" applyBorder="1" applyAlignment="1">
      <alignment horizontal="right" vertical="center"/>
    </xf>
    <xf numFmtId="178" fontId="189" fillId="4" borderId="0" xfId="9585" applyNumberFormat="1" applyFont="1" applyFill="1" applyBorder="1" applyAlignment="1">
      <alignment horizontal="right" vertical="center"/>
    </xf>
    <xf numFmtId="41" fontId="325" fillId="4" borderId="25" xfId="9585" applyFont="1" applyFill="1" applyBorder="1" applyAlignment="1">
      <alignment horizontal="center" vertical="center"/>
    </xf>
    <xf numFmtId="41" fontId="325" fillId="4" borderId="9" xfId="9585" applyFont="1" applyFill="1" applyBorder="1" applyAlignment="1">
      <alignment horizontal="right" vertical="center"/>
    </xf>
    <xf numFmtId="0" fontId="189" fillId="4" borderId="0" xfId="9585" quotePrefix="1" applyNumberFormat="1" applyFont="1" applyFill="1" applyBorder="1" applyAlignment="1">
      <alignment horizontal="center" vertical="center"/>
    </xf>
    <xf numFmtId="178" fontId="189" fillId="4" borderId="9" xfId="9585" applyNumberFormat="1" applyFont="1" applyFill="1" applyBorder="1" applyAlignment="1">
      <alignment horizontal="center" vertical="center"/>
    </xf>
    <xf numFmtId="0" fontId="73" fillId="4" borderId="156" xfId="10745" applyFont="1" applyFill="1" applyBorder="1" applyAlignment="1">
      <alignment horizontal="center" vertical="center"/>
    </xf>
    <xf numFmtId="0" fontId="73" fillId="4" borderId="116" xfId="10745" applyFont="1" applyFill="1" applyBorder="1" applyAlignment="1">
      <alignment horizontal="center" vertical="center"/>
    </xf>
    <xf numFmtId="178" fontId="189" fillId="4" borderId="0" xfId="9340" applyNumberFormat="1" applyFont="1" applyFill="1" applyBorder="1" applyAlignment="1">
      <alignment horizontal="center" vertical="center"/>
    </xf>
    <xf numFmtId="178" fontId="189" fillId="4" borderId="0" xfId="9340" applyNumberFormat="1" applyFont="1" applyFill="1" applyBorder="1" applyAlignment="1">
      <alignment horizontal="left" vertical="center"/>
    </xf>
    <xf numFmtId="41" fontId="189" fillId="4" borderId="9" xfId="9340" applyFont="1" applyFill="1" applyBorder="1" applyAlignment="1">
      <alignment horizontal="right" vertical="center"/>
    </xf>
    <xf numFmtId="0" fontId="189" fillId="4" borderId="2" xfId="10745" applyFont="1" applyFill="1" applyBorder="1" applyAlignment="1">
      <alignment horizontal="center" vertical="center"/>
    </xf>
    <xf numFmtId="41" fontId="325" fillId="4" borderId="77" xfId="9340" applyFont="1" applyFill="1" applyBorder="1" applyAlignment="1">
      <alignment horizontal="center" vertical="center"/>
    </xf>
    <xf numFmtId="41" fontId="189" fillId="4" borderId="9" xfId="9340" applyFont="1" applyFill="1" applyBorder="1" applyAlignment="1">
      <alignment horizontal="right" vertical="center" shrinkToFit="1"/>
    </xf>
    <xf numFmtId="0" fontId="189" fillId="4" borderId="9" xfId="10745" applyFont="1" applyFill="1" applyBorder="1" applyAlignment="1">
      <alignment horizontal="center" vertical="center"/>
    </xf>
    <xf numFmtId="41" fontId="325" fillId="4" borderId="25" xfId="9340" applyFont="1" applyFill="1" applyBorder="1" applyAlignment="1">
      <alignment horizontal="center" vertical="center" shrinkToFit="1"/>
    </xf>
    <xf numFmtId="41" fontId="189" fillId="4" borderId="0" xfId="9340" applyFont="1" applyFill="1" applyBorder="1" applyAlignment="1">
      <alignment horizontal="right" vertical="center" shrinkToFit="1"/>
    </xf>
    <xf numFmtId="178" fontId="189" fillId="62" borderId="9" xfId="9340" applyNumberFormat="1" applyFont="1" applyFill="1" applyBorder="1" applyAlignment="1">
      <alignment horizontal="right" vertical="center" shrinkToFit="1"/>
    </xf>
    <xf numFmtId="41" fontId="325" fillId="4" borderId="9" xfId="9340" applyFont="1" applyFill="1" applyBorder="1" applyAlignment="1">
      <alignment horizontal="right" vertical="center" shrinkToFit="1"/>
    </xf>
    <xf numFmtId="0" fontId="73" fillId="62" borderId="156" xfId="10745" applyFont="1" applyFill="1" applyBorder="1" applyAlignment="1">
      <alignment horizontal="center" vertical="center"/>
    </xf>
    <xf numFmtId="0" fontId="73" fillId="62" borderId="116" xfId="10745" applyFont="1" applyFill="1" applyBorder="1" applyAlignment="1">
      <alignment horizontal="center" vertical="center"/>
    </xf>
    <xf numFmtId="195" fontId="189" fillId="4" borderId="0" xfId="9340" applyNumberFormat="1" applyFont="1" applyFill="1" applyBorder="1" applyAlignment="1">
      <alignment horizontal="center" vertical="center"/>
    </xf>
    <xf numFmtId="0" fontId="73" fillId="0" borderId="116" xfId="10745" applyFont="1" applyBorder="1" applyAlignment="1">
      <alignment horizontal="center" vertical="center" wrapText="1"/>
    </xf>
    <xf numFmtId="0" fontId="189" fillId="4" borderId="9" xfId="10745" applyFont="1" applyFill="1" applyBorder="1" applyAlignment="1">
      <alignment horizontal="right" vertical="center"/>
    </xf>
    <xf numFmtId="178" fontId="189" fillId="0" borderId="0" xfId="9725" applyNumberFormat="1" applyFont="1" applyFill="1" applyBorder="1" applyAlignment="1">
      <alignment horizontal="right" vertical="center"/>
    </xf>
    <xf numFmtId="41" fontId="189" fillId="0" borderId="9" xfId="10745" applyNumberFormat="1" applyFont="1" applyBorder="1" applyAlignment="1">
      <alignment horizontal="center" vertical="center"/>
    </xf>
    <xf numFmtId="0" fontId="321" fillId="4" borderId="9" xfId="10745" applyFont="1" applyFill="1" applyBorder="1" applyAlignment="1">
      <alignment horizontal="center" vertical="center"/>
    </xf>
    <xf numFmtId="182" fontId="189" fillId="4" borderId="9" xfId="10745" applyNumberFormat="1" applyFont="1" applyFill="1" applyBorder="1" applyAlignment="1">
      <alignment horizontal="center" vertical="center"/>
    </xf>
    <xf numFmtId="199" fontId="189" fillId="4" borderId="9" xfId="10745" applyNumberFormat="1" applyFont="1" applyFill="1" applyBorder="1" applyAlignment="1">
      <alignment horizontal="center" vertical="center"/>
    </xf>
    <xf numFmtId="0" fontId="346" fillId="4" borderId="0" xfId="10745" applyFont="1" applyFill="1" applyAlignment="1">
      <alignment horizontal="center"/>
    </xf>
    <xf numFmtId="192" fontId="73" fillId="4" borderId="4" xfId="10744" applyNumberFormat="1" applyFont="1" applyFill="1" applyBorder="1" applyAlignment="1">
      <alignment horizontal="right" vertical="center" shrinkToFit="1"/>
    </xf>
    <xf numFmtId="192" fontId="73" fillId="4" borderId="5" xfId="10744" applyNumberFormat="1" applyFont="1" applyFill="1" applyBorder="1" applyAlignment="1">
      <alignment horizontal="right" vertical="center" shrinkToFit="1"/>
    </xf>
    <xf numFmtId="0" fontId="73" fillId="4" borderId="45" xfId="10744" applyFont="1" applyFill="1" applyBorder="1" applyAlignment="1">
      <alignment horizontal="left" vertical="center"/>
    </xf>
    <xf numFmtId="0" fontId="73" fillId="4" borderId="4" xfId="10744" applyFont="1" applyFill="1" applyBorder="1" applyAlignment="1">
      <alignment horizontal="left" vertical="center"/>
    </xf>
    <xf numFmtId="194" fontId="73" fillId="4" borderId="4" xfId="10744" applyNumberFormat="1" applyFont="1" applyFill="1" applyBorder="1" applyAlignment="1">
      <alignment horizontal="center" vertical="center"/>
    </xf>
    <xf numFmtId="192" fontId="73" fillId="4" borderId="23" xfId="10744" applyNumberFormat="1" applyFont="1" applyFill="1" applyBorder="1" applyAlignment="1">
      <alignment horizontal="right" vertical="center" shrinkToFit="1"/>
    </xf>
    <xf numFmtId="192" fontId="73" fillId="4" borderId="67" xfId="10744" applyNumberFormat="1" applyFont="1" applyFill="1" applyBorder="1" applyAlignment="1">
      <alignment horizontal="right" vertical="center" shrinkToFit="1"/>
    </xf>
    <xf numFmtId="0" fontId="73" fillId="4" borderId="93" xfId="10744" applyFont="1" applyFill="1" applyBorder="1" applyAlignment="1">
      <alignment horizontal="left" vertical="center"/>
    </xf>
    <xf numFmtId="0" fontId="73" fillId="4" borderId="30" xfId="10744" applyFont="1" applyFill="1" applyBorder="1" applyAlignment="1">
      <alignment horizontal="left" vertical="center"/>
    </xf>
    <xf numFmtId="192" fontId="73" fillId="4" borderId="30" xfId="10744" applyNumberFormat="1" applyFont="1" applyFill="1" applyBorder="1" applyAlignment="1">
      <alignment horizontal="right" vertical="center" shrinkToFit="1"/>
    </xf>
    <xf numFmtId="194" fontId="73" fillId="4" borderId="30" xfId="10744" applyNumberFormat="1" applyFont="1" applyFill="1" applyBorder="1" applyAlignment="1">
      <alignment horizontal="center" vertical="center"/>
    </xf>
    <xf numFmtId="192" fontId="73" fillId="4" borderId="32" xfId="10744" applyNumberFormat="1" applyFont="1" applyFill="1" applyBorder="1" applyAlignment="1">
      <alignment horizontal="right" vertical="center" shrinkToFit="1"/>
    </xf>
    <xf numFmtId="192" fontId="73" fillId="4" borderId="111" xfId="10744" applyNumberFormat="1" applyFont="1" applyFill="1" applyBorder="1" applyAlignment="1">
      <alignment horizontal="right" vertical="center" shrinkToFit="1"/>
    </xf>
    <xf numFmtId="0" fontId="73" fillId="4" borderId="70" xfId="10744" applyFont="1" applyFill="1" applyBorder="1" applyAlignment="1">
      <alignment horizontal="left" vertical="center"/>
    </xf>
    <xf numFmtId="0" fontId="73" fillId="4" borderId="1" xfId="10744" applyFont="1" applyFill="1" applyBorder="1" applyAlignment="1">
      <alignment horizontal="left" vertical="center"/>
    </xf>
    <xf numFmtId="192" fontId="73" fillId="4" borderId="24" xfId="10744" applyNumberFormat="1" applyFont="1" applyFill="1" applyBorder="1" applyAlignment="1">
      <alignment horizontal="right" vertical="center" shrinkToFit="1"/>
    </xf>
    <xf numFmtId="192" fontId="73" fillId="4" borderId="25" xfId="10744" applyNumberFormat="1" applyFont="1" applyFill="1" applyBorder="1" applyAlignment="1">
      <alignment horizontal="right" vertical="center" shrinkToFit="1"/>
    </xf>
    <xf numFmtId="192" fontId="73" fillId="4" borderId="21" xfId="10744" applyNumberFormat="1" applyFont="1" applyFill="1" applyBorder="1" applyAlignment="1">
      <alignment horizontal="right" vertical="center" shrinkToFit="1"/>
    </xf>
    <xf numFmtId="194" fontId="73" fillId="4" borderId="1" xfId="10744" applyNumberFormat="1" applyFont="1" applyFill="1" applyBorder="1" applyAlignment="1">
      <alignment horizontal="center" vertical="center"/>
    </xf>
    <xf numFmtId="192" fontId="73" fillId="4" borderId="1" xfId="10744" applyNumberFormat="1" applyFont="1" applyFill="1" applyBorder="1" applyAlignment="1">
      <alignment horizontal="right" vertical="center" shrinkToFit="1"/>
    </xf>
    <xf numFmtId="0" fontId="73" fillId="4" borderId="72" xfId="10744" applyFont="1" applyFill="1" applyBorder="1" applyAlignment="1">
      <alignment horizontal="center" vertical="center"/>
    </xf>
    <xf numFmtId="0" fontId="73" fillId="4" borderId="73" xfId="10744" applyFont="1" applyFill="1" applyBorder="1" applyAlignment="1">
      <alignment horizontal="center" vertical="center"/>
    </xf>
    <xf numFmtId="0" fontId="73" fillId="4" borderId="66" xfId="10744" applyFont="1" applyFill="1" applyBorder="1" applyAlignment="1">
      <alignment horizontal="left" vertical="center"/>
    </xf>
    <xf numFmtId="0" fontId="73" fillId="4" borderId="23" xfId="10744" applyFont="1" applyFill="1" applyBorder="1" applyAlignment="1">
      <alignment horizontal="left" vertical="center"/>
    </xf>
    <xf numFmtId="194" fontId="73" fillId="4" borderId="23" xfId="10744" applyNumberFormat="1" applyFont="1" applyFill="1" applyBorder="1" applyAlignment="1">
      <alignment horizontal="center" vertical="center"/>
    </xf>
    <xf numFmtId="192" fontId="73" fillId="4" borderId="84" xfId="10744" applyNumberFormat="1" applyFont="1" applyFill="1" applyBorder="1" applyAlignment="1">
      <alignment horizontal="right" vertical="center" shrinkToFit="1"/>
    </xf>
    <xf numFmtId="192" fontId="73" fillId="4" borderId="85" xfId="10744" applyNumberFormat="1" applyFont="1" applyFill="1" applyBorder="1" applyAlignment="1">
      <alignment horizontal="right" vertical="center" shrinkToFit="1"/>
    </xf>
    <xf numFmtId="0" fontId="73" fillId="4" borderId="44" xfId="10744" applyFont="1" applyFill="1" applyBorder="1" applyAlignment="1">
      <alignment horizontal="center" vertical="center"/>
    </xf>
    <xf numFmtId="0" fontId="73" fillId="4" borderId="3" xfId="10744" applyFont="1" applyFill="1" applyBorder="1" applyAlignment="1">
      <alignment horizontal="center" vertical="center"/>
    </xf>
    <xf numFmtId="0" fontId="73" fillId="4" borderId="79" xfId="10744" applyFont="1" applyFill="1" applyBorder="1" applyAlignment="1">
      <alignment horizontal="center" vertical="center"/>
    </xf>
    <xf numFmtId="0" fontId="73" fillId="4" borderId="3" xfId="10744" applyFont="1" applyFill="1" applyBorder="1" applyAlignment="1">
      <alignment horizontal="center" vertical="center" wrapText="1"/>
    </xf>
    <xf numFmtId="0" fontId="73" fillId="4" borderId="135" xfId="10744" applyFont="1" applyFill="1" applyBorder="1" applyAlignment="1">
      <alignment horizontal="center" vertical="center"/>
    </xf>
    <xf numFmtId="193" fontId="73" fillId="4" borderId="30" xfId="10744" applyNumberFormat="1" applyFont="1" applyFill="1" applyBorder="1" applyAlignment="1">
      <alignment horizontal="center" vertical="center"/>
    </xf>
    <xf numFmtId="193" fontId="73" fillId="4" borderId="94" xfId="10744" applyNumberFormat="1" applyFont="1" applyFill="1" applyBorder="1" applyAlignment="1">
      <alignment horizontal="center" vertical="center"/>
    </xf>
    <xf numFmtId="0" fontId="73" fillId="4" borderId="76" xfId="10744" applyFont="1" applyFill="1" applyBorder="1" applyAlignment="1">
      <alignment horizontal="center" vertical="center"/>
    </xf>
    <xf numFmtId="0" fontId="73" fillId="4" borderId="77" xfId="10744" applyFont="1" applyFill="1" applyBorder="1" applyAlignment="1">
      <alignment horizontal="center" vertical="center"/>
    </xf>
    <xf numFmtId="0" fontId="73" fillId="4" borderId="78" xfId="10744" applyFont="1" applyFill="1" applyBorder="1" applyAlignment="1">
      <alignment horizontal="center" vertical="center"/>
    </xf>
    <xf numFmtId="0" fontId="73" fillId="4" borderId="4" xfId="10744" applyFont="1" applyFill="1" applyBorder="1" applyAlignment="1">
      <alignment horizontal="left" vertical="center" indent="1"/>
    </xf>
    <xf numFmtId="199" fontId="73" fillId="4" borderId="4" xfId="10744" applyNumberFormat="1" applyFont="1" applyFill="1" applyBorder="1" applyAlignment="1">
      <alignment horizontal="center" vertical="center"/>
    </xf>
    <xf numFmtId="0" fontId="73" fillId="4" borderId="4" xfId="10744" applyFont="1" applyFill="1" applyBorder="1" applyAlignment="1">
      <alignment horizontal="center" vertical="center"/>
    </xf>
    <xf numFmtId="0" fontId="73" fillId="4" borderId="82" xfId="10744" applyFont="1" applyFill="1" applyBorder="1" applyAlignment="1">
      <alignment horizontal="center" vertical="center"/>
    </xf>
    <xf numFmtId="0" fontId="73" fillId="4" borderId="83" xfId="10744" applyFont="1" applyFill="1" applyBorder="1" applyAlignment="1">
      <alignment horizontal="center" vertical="center"/>
    </xf>
    <xf numFmtId="193" fontId="73" fillId="4" borderId="4" xfId="10744" applyNumberFormat="1" applyFont="1" applyFill="1" applyBorder="1" applyAlignment="1">
      <alignment horizontal="center" vertical="center"/>
    </xf>
    <xf numFmtId="193" fontId="73" fillId="4" borderId="5" xfId="10744" applyNumberFormat="1" applyFont="1" applyFill="1" applyBorder="1" applyAlignment="1">
      <alignment horizontal="center" vertical="center"/>
    </xf>
    <xf numFmtId="0" fontId="73" fillId="4" borderId="81" xfId="10744" applyFont="1" applyFill="1" applyBorder="1" applyAlignment="1">
      <alignment horizontal="center" vertical="center"/>
    </xf>
    <xf numFmtId="0" fontId="73" fillId="4" borderId="25" xfId="10744" applyFont="1" applyFill="1" applyBorder="1" applyAlignment="1">
      <alignment horizontal="center" vertical="center"/>
    </xf>
    <xf numFmtId="0" fontId="73" fillId="4" borderId="21" xfId="10744" applyFont="1" applyFill="1" applyBorder="1" applyAlignment="1">
      <alignment horizontal="center" vertical="center"/>
    </xf>
    <xf numFmtId="193" fontId="73" fillId="4" borderId="23" xfId="10744" applyNumberFormat="1" applyFont="1" applyFill="1" applyBorder="1" applyAlignment="1">
      <alignment horizontal="center" vertical="center"/>
    </xf>
    <xf numFmtId="193" fontId="73" fillId="4" borderId="67" xfId="10744" applyNumberFormat="1" applyFont="1" applyFill="1" applyBorder="1" applyAlignment="1">
      <alignment horizontal="center" vertical="center"/>
    </xf>
    <xf numFmtId="0" fontId="73" fillId="4" borderId="109" xfId="10744" applyFont="1" applyFill="1" applyBorder="1" applyAlignment="1">
      <alignment horizontal="center" vertical="center"/>
    </xf>
    <xf numFmtId="0" fontId="73" fillId="4" borderId="28" xfId="10744" applyFont="1" applyFill="1" applyBorder="1" applyAlignment="1">
      <alignment horizontal="center" vertical="center"/>
    </xf>
    <xf numFmtId="0" fontId="73" fillId="4" borderId="29" xfId="10744" applyFont="1" applyFill="1" applyBorder="1" applyAlignment="1">
      <alignment horizontal="center" vertical="center"/>
    </xf>
    <xf numFmtId="0" fontId="73" fillId="4" borderId="30" xfId="10744" applyFont="1" applyFill="1" applyBorder="1" applyAlignment="1">
      <alignment horizontal="left" vertical="center" indent="1"/>
    </xf>
    <xf numFmtId="182" fontId="73" fillId="4" borderId="30" xfId="10744" applyNumberFormat="1" applyFont="1" applyFill="1" applyBorder="1" applyAlignment="1">
      <alignment horizontal="center" vertical="center"/>
    </xf>
    <xf numFmtId="0" fontId="73" fillId="4" borderId="30" xfId="10744" applyFont="1" applyFill="1" applyBorder="1" applyAlignment="1">
      <alignment horizontal="center" vertical="center"/>
    </xf>
    <xf numFmtId="0" fontId="73" fillId="4" borderId="31" xfId="10744" applyFont="1" applyFill="1" applyBorder="1" applyAlignment="1">
      <alignment horizontal="center" vertical="center"/>
    </xf>
    <xf numFmtId="0" fontId="73" fillId="4" borderId="110" xfId="10744" applyFont="1" applyFill="1" applyBorder="1" applyAlignment="1">
      <alignment horizontal="center" vertical="center"/>
    </xf>
    <xf numFmtId="0" fontId="73" fillId="4" borderId="24" xfId="10744" applyFont="1" applyFill="1" applyBorder="1" applyAlignment="1">
      <alignment horizontal="center" vertical="center"/>
    </xf>
    <xf numFmtId="0" fontId="73" fillId="4" borderId="70" xfId="10744" applyFont="1" applyFill="1" applyBorder="1" applyAlignment="1">
      <alignment horizontal="center" vertical="center"/>
    </xf>
    <xf numFmtId="0" fontId="73" fillId="4" borderId="1" xfId="10744" applyFont="1" applyFill="1" applyBorder="1" applyAlignment="1">
      <alignment horizontal="center" vertical="center"/>
    </xf>
    <xf numFmtId="0" fontId="73" fillId="4" borderId="1" xfId="10744" applyFont="1" applyFill="1" applyBorder="1" applyAlignment="1">
      <alignment horizontal="left" vertical="center" indent="1"/>
    </xf>
    <xf numFmtId="182" fontId="73" fillId="4" borderId="1" xfId="10744" applyNumberFormat="1" applyFont="1" applyFill="1" applyBorder="1" applyAlignment="1">
      <alignment horizontal="center" vertical="center"/>
    </xf>
    <xf numFmtId="199" fontId="73" fillId="4" borderId="1" xfId="10744" applyNumberFormat="1" applyFont="1" applyFill="1" applyBorder="1" applyAlignment="1">
      <alignment horizontal="center" vertical="center"/>
    </xf>
    <xf numFmtId="178" fontId="73" fillId="4" borderId="64" xfId="10744" applyNumberFormat="1" applyFont="1" applyFill="1" applyBorder="1" applyAlignment="1">
      <alignment horizontal="center" vertical="center"/>
    </xf>
    <xf numFmtId="178" fontId="73" fillId="4" borderId="65" xfId="10744" applyNumberFormat="1" applyFont="1" applyFill="1" applyBorder="1" applyAlignment="1">
      <alignment horizontal="center" vertical="center"/>
    </xf>
    <xf numFmtId="0" fontId="73" fillId="4" borderId="66" xfId="10744" applyFont="1" applyFill="1" applyBorder="1" applyAlignment="1">
      <alignment horizontal="center" vertical="center"/>
    </xf>
    <xf numFmtId="0" fontId="73" fillId="4" borderId="23" xfId="10744" applyFont="1" applyFill="1" applyBorder="1" applyAlignment="1">
      <alignment horizontal="center" vertical="center"/>
    </xf>
    <xf numFmtId="0" fontId="73" fillId="4" borderId="23" xfId="10744" applyFont="1" applyFill="1" applyBorder="1" applyAlignment="1">
      <alignment horizontal="left" vertical="center" indent="1"/>
    </xf>
    <xf numFmtId="199" fontId="73" fillId="4" borderId="23" xfId="10744" applyNumberFormat="1" applyFont="1" applyFill="1" applyBorder="1" applyAlignment="1">
      <alignment horizontal="center" vertical="center"/>
    </xf>
    <xf numFmtId="0" fontId="73" fillId="4" borderId="80" xfId="10744" applyFont="1" applyFill="1" applyBorder="1" applyAlignment="1">
      <alignment horizontal="center" vertical="center"/>
    </xf>
    <xf numFmtId="0" fontId="73" fillId="4" borderId="74" xfId="10744" applyFont="1" applyFill="1" applyBorder="1" applyAlignment="1">
      <alignment horizontal="center" vertical="center"/>
    </xf>
    <xf numFmtId="0" fontId="73" fillId="4" borderId="75" xfId="10744" applyFont="1" applyFill="1" applyBorder="1" applyAlignment="1">
      <alignment horizontal="center" vertical="center"/>
    </xf>
    <xf numFmtId="0" fontId="320" fillId="4" borderId="0" xfId="10744" applyFont="1" applyFill="1" applyAlignment="1">
      <alignment horizontal="left" vertical="center"/>
    </xf>
    <xf numFmtId="0" fontId="73" fillId="4" borderId="0" xfId="10744" applyFont="1" applyFill="1" applyAlignment="1">
      <alignment horizontal="center" vertical="center"/>
    </xf>
    <xf numFmtId="0" fontId="73" fillId="4" borderId="63" xfId="10744" applyFont="1" applyFill="1" applyBorder="1" applyAlignment="1">
      <alignment horizontal="center" vertical="center"/>
    </xf>
    <xf numFmtId="0" fontId="73" fillId="4" borderId="64" xfId="10744" applyFont="1" applyFill="1" applyBorder="1" applyAlignment="1">
      <alignment horizontal="center" vertical="center"/>
    </xf>
    <xf numFmtId="182" fontId="73" fillId="4" borderId="4" xfId="10744" applyNumberFormat="1" applyFont="1" applyFill="1" applyBorder="1" applyAlignment="1">
      <alignment horizontal="center" vertical="center"/>
    </xf>
    <xf numFmtId="0" fontId="333" fillId="4" borderId="4" xfId="10744" applyFont="1" applyFill="1" applyBorder="1" applyAlignment="1">
      <alignment horizontal="left" vertical="center" wrapText="1"/>
    </xf>
    <xf numFmtId="0" fontId="333" fillId="4" borderId="4" xfId="10744" applyFont="1" applyFill="1" applyBorder="1" applyAlignment="1">
      <alignment horizontal="left" vertical="center"/>
    </xf>
    <xf numFmtId="192" fontId="73" fillId="4" borderId="69" xfId="10744" applyNumberFormat="1" applyFont="1" applyFill="1" applyBorder="1" applyAlignment="1">
      <alignment horizontal="right" vertical="center" shrinkToFit="1"/>
    </xf>
    <xf numFmtId="0" fontId="333" fillId="4" borderId="1" xfId="10744" applyFont="1" applyFill="1" applyBorder="1" applyAlignment="1">
      <alignment horizontal="left" vertical="center" wrapText="1"/>
    </xf>
    <xf numFmtId="0" fontId="333" fillId="4" borderId="1" xfId="10744" applyFont="1" applyFill="1" applyBorder="1" applyAlignment="1">
      <alignment horizontal="left" vertical="center"/>
    </xf>
    <xf numFmtId="193" fontId="73" fillId="4" borderId="1" xfId="10744" applyNumberFormat="1" applyFont="1" applyFill="1" applyBorder="1" applyAlignment="1">
      <alignment horizontal="center" vertical="center"/>
    </xf>
    <xf numFmtId="193" fontId="73" fillId="4" borderId="69" xfId="10744" applyNumberFormat="1" applyFont="1" applyFill="1" applyBorder="1" applyAlignment="1">
      <alignment horizontal="center" vertical="center"/>
    </xf>
    <xf numFmtId="0" fontId="326" fillId="4" borderId="4" xfId="10744" applyFont="1" applyFill="1" applyBorder="1" applyAlignment="1">
      <alignment horizontal="center" vertical="center" wrapText="1"/>
    </xf>
    <xf numFmtId="0" fontId="326" fillId="4" borderId="4" xfId="10744" applyFont="1" applyFill="1" applyBorder="1" applyAlignment="1">
      <alignment horizontal="center" vertical="center"/>
    </xf>
    <xf numFmtId="0" fontId="326" fillId="4" borderId="1" xfId="10744" applyFont="1" applyFill="1" applyBorder="1" applyAlignment="1">
      <alignment horizontal="center" vertical="center" wrapText="1"/>
    </xf>
    <xf numFmtId="0" fontId="326" fillId="4" borderId="1" xfId="10744" applyFont="1" applyFill="1" applyBorder="1" applyAlignment="1">
      <alignment horizontal="center" vertical="center"/>
    </xf>
    <xf numFmtId="0" fontId="73" fillId="4" borderId="68" xfId="10744" applyFont="1" applyFill="1" applyBorder="1" applyAlignment="1">
      <alignment horizontal="center" vertical="center"/>
    </xf>
    <xf numFmtId="192" fontId="73" fillId="4" borderId="1" xfId="10744" applyNumberFormat="1" applyFont="1" applyFill="1" applyBorder="1" applyAlignment="1">
      <alignment vertical="center" shrinkToFit="1"/>
    </xf>
    <xf numFmtId="192" fontId="73" fillId="4" borderId="1" xfId="10744" applyNumberFormat="1" applyFont="1" applyFill="1" applyBorder="1" applyAlignment="1">
      <alignment vertical="center"/>
    </xf>
    <xf numFmtId="192" fontId="73" fillId="4" borderId="69" xfId="10744" applyNumberFormat="1" applyFont="1" applyFill="1" applyBorder="1" applyAlignment="1">
      <alignment vertical="center"/>
    </xf>
    <xf numFmtId="0" fontId="73" fillId="4" borderId="4" xfId="10744" applyFont="1" applyFill="1" applyBorder="1" applyAlignment="1">
      <alignment horizontal="distributed" vertical="center" indent="1"/>
    </xf>
    <xf numFmtId="192" fontId="73" fillId="4" borderId="4" xfId="10744" applyNumberFormat="1" applyFont="1" applyFill="1" applyBorder="1" applyAlignment="1">
      <alignment vertical="center" shrinkToFit="1"/>
    </xf>
    <xf numFmtId="192" fontId="73" fillId="4" borderId="30" xfId="10744" applyNumberFormat="1" applyFont="1" applyFill="1" applyBorder="1" applyAlignment="1">
      <alignment vertical="center" shrinkToFit="1"/>
    </xf>
    <xf numFmtId="192" fontId="73" fillId="4" borderId="30" xfId="10744" applyNumberFormat="1" applyFont="1" applyFill="1" applyBorder="1" applyAlignment="1">
      <alignment vertical="center"/>
    </xf>
    <xf numFmtId="192" fontId="73" fillId="4" borderId="94" xfId="10744" applyNumberFormat="1" applyFont="1" applyFill="1" applyBorder="1" applyAlignment="1">
      <alignment vertical="center"/>
    </xf>
    <xf numFmtId="0" fontId="326" fillId="4" borderId="70" xfId="10744" applyFont="1" applyFill="1" applyBorder="1" applyAlignment="1">
      <alignment horizontal="center" vertical="center" wrapText="1"/>
    </xf>
    <xf numFmtId="0" fontId="326" fillId="4" borderId="45" xfId="10744" applyFont="1" applyFill="1" applyBorder="1" applyAlignment="1">
      <alignment horizontal="center" vertical="center"/>
    </xf>
    <xf numFmtId="0" fontId="73" fillId="4" borderId="1" xfId="10744" applyFont="1" applyFill="1" applyBorder="1" applyAlignment="1">
      <alignment horizontal="distributed" vertical="center" indent="1"/>
    </xf>
    <xf numFmtId="0" fontId="73" fillId="4" borderId="30" xfId="10744" applyFont="1" applyFill="1" applyBorder="1" applyAlignment="1">
      <alignment horizontal="distributed" vertical="center" indent="1"/>
    </xf>
    <xf numFmtId="0" fontId="326" fillId="4" borderId="70" xfId="10744" applyFont="1" applyFill="1" applyBorder="1" applyAlignment="1">
      <alignment horizontal="center" vertical="center"/>
    </xf>
    <xf numFmtId="192" fontId="73" fillId="4" borderId="4" xfId="10744" applyNumberFormat="1" applyFont="1" applyFill="1" applyBorder="1" applyAlignment="1">
      <alignment vertical="center"/>
    </xf>
    <xf numFmtId="192" fontId="73" fillId="4" borderId="5" xfId="10744" applyNumberFormat="1" applyFont="1" applyFill="1" applyBorder="1" applyAlignment="1">
      <alignment vertical="center"/>
    </xf>
    <xf numFmtId="41" fontId="189" fillId="4" borderId="0" xfId="10744" applyNumberFormat="1" applyFont="1" applyFill="1" applyAlignment="1">
      <alignment horizontal="center" vertical="center"/>
    </xf>
    <xf numFmtId="0" fontId="189" fillId="4" borderId="0" xfId="10744" applyFont="1" applyFill="1" applyAlignment="1">
      <alignment horizontal="center" vertical="center"/>
    </xf>
    <xf numFmtId="0" fontId="326" fillId="4" borderId="93" xfId="10744" applyFont="1" applyFill="1" applyBorder="1" applyAlignment="1">
      <alignment horizontal="center" vertical="center"/>
    </xf>
    <xf numFmtId="0" fontId="326" fillId="4" borderId="30" xfId="10744" applyFont="1" applyFill="1" applyBorder="1" applyAlignment="1">
      <alignment horizontal="center" vertical="center"/>
    </xf>
    <xf numFmtId="41" fontId="73" fillId="4" borderId="1" xfId="10744" applyNumberFormat="1" applyFont="1" applyFill="1" applyBorder="1" applyAlignment="1">
      <alignment horizontal="center" vertical="center" shrinkToFit="1"/>
    </xf>
    <xf numFmtId="0" fontId="73" fillId="4" borderId="1" xfId="10744" applyFont="1" applyFill="1" applyBorder="1" applyAlignment="1">
      <alignment horizontal="center" vertical="center" shrinkToFit="1"/>
    </xf>
    <xf numFmtId="178" fontId="73" fillId="4" borderId="1" xfId="9340" applyNumberFormat="1" applyFont="1" applyFill="1" applyBorder="1" applyAlignment="1">
      <alignment horizontal="right" vertical="center" shrinkToFit="1"/>
    </xf>
    <xf numFmtId="0" fontId="326" fillId="4" borderId="91" xfId="10744" applyFont="1" applyFill="1" applyBorder="1" applyAlignment="1">
      <alignment horizontal="center" vertical="center" wrapText="1"/>
    </xf>
    <xf numFmtId="0" fontId="326" fillId="4" borderId="84" xfId="10744" applyFont="1" applyFill="1" applyBorder="1" applyAlignment="1">
      <alignment horizontal="center" vertical="center"/>
    </xf>
    <xf numFmtId="0" fontId="73" fillId="4" borderId="84" xfId="10744" applyFont="1" applyFill="1" applyBorder="1" applyAlignment="1">
      <alignment horizontal="distributed" vertical="center" indent="1"/>
    </xf>
    <xf numFmtId="194" fontId="73" fillId="4" borderId="84" xfId="10744" applyNumberFormat="1" applyFont="1" applyFill="1" applyBorder="1" applyAlignment="1">
      <alignment horizontal="center" vertical="center"/>
    </xf>
    <xf numFmtId="192" fontId="73" fillId="4" borderId="84" xfId="10744" applyNumberFormat="1" applyFont="1" applyFill="1" applyBorder="1" applyAlignment="1">
      <alignment vertical="center" shrinkToFit="1"/>
    </xf>
    <xf numFmtId="178" fontId="73" fillId="4" borderId="1" xfId="10744" applyNumberFormat="1" applyFont="1" applyFill="1" applyBorder="1" applyAlignment="1">
      <alignment horizontal="right" vertical="center"/>
    </xf>
    <xf numFmtId="178" fontId="73" fillId="4" borderId="69" xfId="10744" applyNumberFormat="1" applyFont="1" applyFill="1" applyBorder="1" applyAlignment="1">
      <alignment horizontal="right" vertical="center"/>
    </xf>
    <xf numFmtId="0" fontId="73" fillId="4" borderId="45" xfId="10744" applyFont="1" applyFill="1" applyBorder="1" applyAlignment="1">
      <alignment horizontal="center" vertical="center"/>
    </xf>
    <xf numFmtId="178" fontId="73" fillId="4" borderId="69" xfId="9340" applyNumberFormat="1" applyFont="1" applyFill="1" applyBorder="1" applyAlignment="1">
      <alignment horizontal="right" vertical="center" shrinkToFit="1"/>
    </xf>
    <xf numFmtId="192" fontId="73" fillId="4" borderId="84" xfId="10744" applyNumberFormat="1" applyFont="1" applyFill="1" applyBorder="1" applyAlignment="1">
      <alignment vertical="center"/>
    </xf>
    <xf numFmtId="192" fontId="73" fillId="4" borderId="85" xfId="10744" applyNumberFormat="1" applyFont="1" applyFill="1" applyBorder="1" applyAlignment="1">
      <alignment vertical="center"/>
    </xf>
    <xf numFmtId="0" fontId="73" fillId="4" borderId="4" xfId="10744" applyFont="1" applyFill="1" applyBorder="1" applyAlignment="1">
      <alignment horizontal="center" vertical="center" shrinkToFit="1"/>
    </xf>
    <xf numFmtId="41" fontId="73" fillId="4" borderId="4" xfId="10744" applyNumberFormat="1" applyFont="1" applyFill="1" applyBorder="1" applyAlignment="1">
      <alignment horizontal="center" vertical="center" shrinkToFit="1"/>
    </xf>
    <xf numFmtId="178" fontId="73" fillId="4" borderId="4" xfId="10744" applyNumberFormat="1" applyFont="1" applyFill="1" applyBorder="1" applyAlignment="1">
      <alignment horizontal="right" vertical="center"/>
    </xf>
    <xf numFmtId="178" fontId="73" fillId="4" borderId="5" xfId="10744" applyNumberFormat="1" applyFont="1" applyFill="1" applyBorder="1" applyAlignment="1">
      <alignment horizontal="right" vertical="center"/>
    </xf>
    <xf numFmtId="0" fontId="73" fillId="4" borderId="24" xfId="10744" applyFont="1" applyFill="1" applyBorder="1" applyAlignment="1">
      <alignment horizontal="center" vertical="center" shrinkToFit="1"/>
    </xf>
    <xf numFmtId="0" fontId="73" fillId="4" borderId="25" xfId="10744" applyFont="1" applyFill="1" applyBorder="1" applyAlignment="1">
      <alignment horizontal="center" vertical="center" shrinkToFit="1"/>
    </xf>
    <xf numFmtId="0" fontId="73" fillId="4" borderId="21" xfId="10744" applyFont="1" applyFill="1" applyBorder="1" applyAlignment="1">
      <alignment horizontal="center" vertical="center" shrinkToFit="1"/>
    </xf>
    <xf numFmtId="0" fontId="73" fillId="4" borderId="70" xfId="10744" applyFont="1" applyFill="1" applyBorder="1" applyAlignment="1">
      <alignment horizontal="center" vertical="center" wrapText="1"/>
    </xf>
    <xf numFmtId="194" fontId="73" fillId="4" borderId="84" xfId="10744" applyNumberFormat="1" applyFont="1" applyFill="1" applyBorder="1" applyAlignment="1">
      <alignment horizontal="center" vertical="center" shrinkToFit="1"/>
    </xf>
    <xf numFmtId="178" fontId="73" fillId="4" borderId="84" xfId="9340" applyNumberFormat="1" applyFont="1" applyFill="1" applyBorder="1" applyAlignment="1">
      <alignment horizontal="right" vertical="center" shrinkToFit="1"/>
    </xf>
    <xf numFmtId="178" fontId="73" fillId="4" borderId="85" xfId="9340" applyNumberFormat="1" applyFont="1" applyFill="1" applyBorder="1" applyAlignment="1">
      <alignment horizontal="right" vertical="center" shrinkToFit="1"/>
    </xf>
    <xf numFmtId="0" fontId="73" fillId="4" borderId="66" xfId="10744" applyFont="1" applyFill="1" applyBorder="1" applyAlignment="1">
      <alignment horizontal="center" vertical="center" wrapText="1"/>
    </xf>
    <xf numFmtId="0" fontId="73" fillId="4" borderId="23" xfId="10744" applyFont="1" applyFill="1" applyBorder="1" applyAlignment="1">
      <alignment horizontal="center" vertical="center" wrapText="1"/>
    </xf>
    <xf numFmtId="0" fontId="73" fillId="4" borderId="1" xfId="10744" applyFont="1" applyFill="1" applyBorder="1" applyAlignment="1">
      <alignment horizontal="center" vertical="center" wrapText="1"/>
    </xf>
    <xf numFmtId="0" fontId="73" fillId="4" borderId="23" xfId="10744" applyFont="1" applyFill="1" applyBorder="1" applyAlignment="1">
      <alignment horizontal="center" vertical="center" shrinkToFit="1"/>
    </xf>
    <xf numFmtId="41" fontId="73" fillId="4" borderId="23" xfId="10744" applyNumberFormat="1" applyFont="1" applyFill="1" applyBorder="1" applyAlignment="1">
      <alignment horizontal="center" vertical="center" shrinkToFit="1"/>
    </xf>
    <xf numFmtId="0" fontId="73" fillId="4" borderId="2" xfId="9340" applyNumberFormat="1" applyFont="1" applyFill="1" applyBorder="1" applyAlignment="1">
      <alignment horizontal="right" vertical="center"/>
    </xf>
    <xf numFmtId="0" fontId="73" fillId="4" borderId="100" xfId="10744" applyFont="1" applyFill="1" applyBorder="1" applyAlignment="1">
      <alignment horizontal="distributed" vertical="center" indent="2"/>
    </xf>
    <xf numFmtId="0" fontId="73" fillId="4" borderId="101" xfId="10744" applyFont="1" applyFill="1" applyBorder="1" applyAlignment="1">
      <alignment horizontal="distributed" vertical="center" indent="2"/>
    </xf>
    <xf numFmtId="0" fontId="73" fillId="4" borderId="102" xfId="10744" applyFont="1" applyFill="1" applyBorder="1" applyAlignment="1">
      <alignment horizontal="distributed" vertical="center" indent="2"/>
    </xf>
    <xf numFmtId="0" fontId="73" fillId="4" borderId="103" xfId="10744" applyFont="1" applyFill="1" applyBorder="1" applyAlignment="1">
      <alignment horizontal="distributed" vertical="center" indent="2"/>
    </xf>
    <xf numFmtId="0" fontId="73" fillId="4" borderId="104" xfId="10744" applyFont="1" applyFill="1" applyBorder="1" applyAlignment="1">
      <alignment horizontal="center" vertical="center"/>
    </xf>
    <xf numFmtId="0" fontId="73" fillId="4" borderId="105" xfId="10744" applyFont="1" applyFill="1" applyBorder="1" applyAlignment="1">
      <alignment horizontal="center" vertical="center"/>
    </xf>
    <xf numFmtId="0" fontId="73" fillId="4" borderId="106" xfId="10744" applyFont="1" applyFill="1" applyBorder="1" applyAlignment="1">
      <alignment horizontal="center" vertical="center"/>
    </xf>
    <xf numFmtId="0" fontId="73" fillId="4" borderId="107" xfId="10744" applyFont="1" applyFill="1" applyBorder="1" applyAlignment="1">
      <alignment horizontal="center" vertical="center"/>
    </xf>
    <xf numFmtId="0" fontId="73" fillId="4" borderId="66" xfId="10744" applyFont="1" applyFill="1" applyBorder="1" applyAlignment="1">
      <alignment horizontal="distributed" vertical="center" indent="2"/>
    </xf>
    <xf numFmtId="0" fontId="73" fillId="4" borderId="23" xfId="10744" applyFont="1" applyFill="1" applyBorder="1" applyAlignment="1">
      <alignment horizontal="distributed" vertical="center" indent="2"/>
    </xf>
    <xf numFmtId="182" fontId="73" fillId="4" borderId="23" xfId="10744" applyNumberFormat="1" applyFont="1" applyFill="1" applyBorder="1" applyAlignment="1">
      <alignment horizontal="center" vertical="center"/>
    </xf>
    <xf numFmtId="178" fontId="73" fillId="4" borderId="23" xfId="10744" applyNumberFormat="1" applyFont="1" applyFill="1" applyBorder="1" applyAlignment="1">
      <alignment horizontal="right" vertical="center"/>
    </xf>
    <xf numFmtId="178" fontId="73" fillId="4" borderId="67" xfId="10744" applyNumberFormat="1" applyFont="1" applyFill="1" applyBorder="1" applyAlignment="1">
      <alignment horizontal="right" vertical="center"/>
    </xf>
    <xf numFmtId="0" fontId="73" fillId="4" borderId="45" xfId="10744" applyFont="1" applyFill="1" applyBorder="1" applyAlignment="1">
      <alignment horizontal="distributed" vertical="center" indent="2"/>
    </xf>
    <xf numFmtId="0" fontId="73" fillId="4" borderId="4" xfId="10744" applyFont="1" applyFill="1" applyBorder="1" applyAlignment="1">
      <alignment horizontal="distributed" vertical="center" indent="2"/>
    </xf>
    <xf numFmtId="192" fontId="73" fillId="4" borderId="98" xfId="10744" applyNumberFormat="1" applyFont="1" applyFill="1" applyBorder="1" applyAlignment="1">
      <alignment horizontal="right" vertical="center" shrinkToFit="1"/>
    </xf>
    <xf numFmtId="192" fontId="73" fillId="4" borderId="99" xfId="10744" applyNumberFormat="1" applyFont="1" applyFill="1" applyBorder="1" applyAlignment="1">
      <alignment horizontal="right" vertical="center" shrinkToFit="1"/>
    </xf>
    <xf numFmtId="0" fontId="320" fillId="0" borderId="0" xfId="10744" applyFont="1" applyAlignment="1">
      <alignment horizontal="left" vertical="center"/>
    </xf>
    <xf numFmtId="0" fontId="73" fillId="4" borderId="65" xfId="10744" applyFont="1" applyFill="1" applyBorder="1" applyAlignment="1">
      <alignment horizontal="center" vertical="center"/>
    </xf>
    <xf numFmtId="0" fontId="73" fillId="4" borderId="95" xfId="10744" applyFont="1" applyFill="1" applyBorder="1" applyAlignment="1">
      <alignment horizontal="center" vertical="center"/>
    </xf>
    <xf numFmtId="0" fontId="73" fillId="4" borderId="96" xfId="10744" applyFont="1" applyFill="1" applyBorder="1" applyAlignment="1">
      <alignment horizontal="center" vertical="center"/>
    </xf>
    <xf numFmtId="0" fontId="73" fillId="4" borderId="97" xfId="10744" applyFont="1" applyFill="1" applyBorder="1" applyAlignment="1">
      <alignment horizontal="center" vertical="center"/>
    </xf>
    <xf numFmtId="0" fontId="73" fillId="4" borderId="98" xfId="10744" applyFont="1" applyFill="1" applyBorder="1" applyAlignment="1">
      <alignment horizontal="center" vertical="center"/>
    </xf>
    <xf numFmtId="194" fontId="73" fillId="4" borderId="98" xfId="10744" applyNumberFormat="1" applyFont="1" applyFill="1" applyBorder="1" applyAlignment="1">
      <alignment horizontal="center" vertical="center"/>
    </xf>
    <xf numFmtId="189" fontId="73" fillId="4" borderId="0" xfId="10744" applyNumberFormat="1" applyFont="1" applyFill="1" applyAlignment="1">
      <alignment horizontal="center" vertical="center"/>
    </xf>
    <xf numFmtId="182" fontId="73" fillId="4" borderId="0" xfId="10744" applyNumberFormat="1" applyFont="1" applyFill="1" applyAlignment="1">
      <alignment horizontal="center" vertical="center"/>
    </xf>
    <xf numFmtId="185" fontId="73" fillId="4" borderId="0" xfId="10744" applyNumberFormat="1" applyFont="1" applyFill="1" applyAlignment="1">
      <alignment horizontal="center" vertical="center"/>
    </xf>
    <xf numFmtId="0" fontId="319" fillId="4" borderId="96" xfId="10744" applyFont="1" applyFill="1" applyBorder="1"/>
    <xf numFmtId="0" fontId="319" fillId="4" borderId="97" xfId="10744" applyFont="1" applyFill="1" applyBorder="1"/>
    <xf numFmtId="192" fontId="73" fillId="4" borderId="1" xfId="10744" applyNumberFormat="1" applyFont="1" applyFill="1" applyBorder="1" applyAlignment="1">
      <alignment horizontal="center" vertical="center" shrinkToFit="1"/>
    </xf>
    <xf numFmtId="192" fontId="73" fillId="4" borderId="69" xfId="10744" applyNumberFormat="1" applyFont="1" applyFill="1" applyBorder="1" applyAlignment="1">
      <alignment horizontal="center" vertical="center" shrinkToFit="1"/>
    </xf>
    <xf numFmtId="192" fontId="73" fillId="4" borderId="4" xfId="10744" applyNumberFormat="1" applyFont="1" applyFill="1" applyBorder="1" applyAlignment="1">
      <alignment horizontal="center" vertical="center" shrinkToFit="1"/>
    </xf>
    <xf numFmtId="192" fontId="73" fillId="4" borderId="5" xfId="10744" applyNumberFormat="1" applyFont="1" applyFill="1" applyBorder="1" applyAlignment="1">
      <alignment horizontal="center" vertical="center" shrinkToFit="1"/>
    </xf>
    <xf numFmtId="192" fontId="73" fillId="4" borderId="84" xfId="10744" applyNumberFormat="1" applyFont="1" applyFill="1" applyBorder="1" applyAlignment="1">
      <alignment horizontal="center" vertical="center" shrinkToFit="1"/>
    </xf>
    <xf numFmtId="192" fontId="73" fillId="4" borderId="85" xfId="10744" applyNumberFormat="1" applyFont="1" applyFill="1" applyBorder="1" applyAlignment="1">
      <alignment horizontal="center" vertical="center" shrinkToFit="1"/>
    </xf>
    <xf numFmtId="0" fontId="73" fillId="4" borderId="91" xfId="10744" applyFont="1" applyFill="1" applyBorder="1" applyAlignment="1">
      <alignment horizontal="center" vertical="center" wrapText="1"/>
    </xf>
    <xf numFmtId="0" fontId="73" fillId="4" borderId="84" xfId="10744" applyFont="1" applyFill="1" applyBorder="1" applyAlignment="1">
      <alignment horizontal="center" vertical="center" wrapText="1"/>
    </xf>
    <xf numFmtId="0" fontId="73" fillId="4" borderId="45" xfId="10744" applyFont="1" applyFill="1" applyBorder="1" applyAlignment="1">
      <alignment horizontal="center" vertical="center" wrapText="1"/>
    </xf>
    <xf numFmtId="0" fontId="73" fillId="4" borderId="4" xfId="10744" applyFont="1" applyFill="1" applyBorder="1" applyAlignment="1">
      <alignment horizontal="center" vertical="center" wrapText="1"/>
    </xf>
    <xf numFmtId="0" fontId="73" fillId="4" borderId="84" xfId="10744" applyFont="1" applyFill="1" applyBorder="1" applyAlignment="1">
      <alignment horizontal="center" vertical="center" shrinkToFit="1"/>
    </xf>
    <xf numFmtId="203" fontId="73" fillId="4" borderId="31" xfId="10744" applyNumberFormat="1" applyFont="1" applyFill="1" applyBorder="1" applyAlignment="1">
      <alignment horizontal="center" vertical="center" shrinkToFit="1"/>
    </xf>
    <xf numFmtId="203" fontId="73" fillId="4" borderId="28" xfId="10744" applyNumberFormat="1" applyFont="1" applyFill="1" applyBorder="1" applyAlignment="1">
      <alignment horizontal="center" vertical="center" shrinkToFit="1"/>
    </xf>
    <xf numFmtId="203" fontId="73" fillId="4" borderId="108" xfId="10744" applyNumberFormat="1" applyFont="1" applyFill="1" applyBorder="1" applyAlignment="1">
      <alignment horizontal="center" vertical="center" shrinkToFit="1"/>
    </xf>
    <xf numFmtId="0" fontId="73" fillId="4" borderId="30" xfId="10744" applyFont="1" applyFill="1" applyBorder="1" applyAlignment="1">
      <alignment horizontal="center" vertical="center" shrinkToFit="1"/>
    </xf>
    <xf numFmtId="0" fontId="73" fillId="4" borderId="93" xfId="10744" applyFont="1" applyFill="1" applyBorder="1" applyAlignment="1">
      <alignment horizontal="center" vertical="center" wrapText="1"/>
    </xf>
    <xf numFmtId="0" fontId="73" fillId="4" borderId="30" xfId="10744" applyFont="1" applyFill="1" applyBorder="1" applyAlignment="1">
      <alignment horizontal="center" vertical="center" wrapText="1"/>
    </xf>
    <xf numFmtId="201" fontId="73" fillId="4" borderId="1" xfId="10744" applyNumberFormat="1" applyFont="1" applyFill="1" applyBorder="1" applyAlignment="1">
      <alignment horizontal="center" vertical="center" shrinkToFit="1"/>
    </xf>
    <xf numFmtId="201" fontId="73" fillId="4" borderId="69" xfId="10744" applyNumberFormat="1" applyFont="1" applyFill="1" applyBorder="1" applyAlignment="1">
      <alignment horizontal="center" vertical="center" shrinkToFit="1"/>
    </xf>
    <xf numFmtId="201" fontId="73" fillId="4" borderId="30" xfId="10744" applyNumberFormat="1" applyFont="1" applyFill="1" applyBorder="1" applyAlignment="1">
      <alignment horizontal="center" vertical="center" shrinkToFit="1"/>
    </xf>
    <xf numFmtId="201" fontId="73" fillId="4" borderId="94" xfId="10744" applyNumberFormat="1" applyFont="1" applyFill="1" applyBorder="1" applyAlignment="1">
      <alignment horizontal="center" vertical="center" shrinkToFit="1"/>
    </xf>
    <xf numFmtId="192" fontId="73" fillId="4" borderId="64" xfId="10744" applyNumberFormat="1" applyFont="1" applyFill="1" applyBorder="1" applyAlignment="1">
      <alignment horizontal="center" vertical="center" shrinkToFit="1"/>
    </xf>
    <xf numFmtId="192" fontId="73" fillId="4" borderId="65" xfId="10744" applyNumberFormat="1" applyFont="1" applyFill="1" applyBorder="1" applyAlignment="1">
      <alignment horizontal="center" vertical="center" shrinkToFit="1"/>
    </xf>
    <xf numFmtId="0" fontId="191" fillId="4" borderId="70" xfId="10744" applyFont="1" applyFill="1" applyBorder="1" applyAlignment="1">
      <alignment horizontal="center" vertical="center" wrapText="1"/>
    </xf>
    <xf numFmtId="0" fontId="191" fillId="4" borderId="1" xfId="10744" applyFont="1" applyFill="1" applyBorder="1" applyAlignment="1">
      <alignment horizontal="center" vertical="center" wrapText="1"/>
    </xf>
    <xf numFmtId="0" fontId="191" fillId="4" borderId="93" xfId="10744" applyFont="1" applyFill="1" applyBorder="1" applyAlignment="1">
      <alignment horizontal="center" vertical="center" wrapText="1"/>
    </xf>
    <xf numFmtId="0" fontId="191" fillId="4" borderId="30" xfId="10744" applyFont="1" applyFill="1" applyBorder="1" applyAlignment="1">
      <alignment horizontal="center" vertical="center" wrapText="1"/>
    </xf>
    <xf numFmtId="0" fontId="73" fillId="4" borderId="93" xfId="10744" applyFont="1" applyFill="1" applyBorder="1" applyAlignment="1">
      <alignment horizontal="center" vertical="center"/>
    </xf>
    <xf numFmtId="192" fontId="73" fillId="4" borderId="1" xfId="10744" applyNumberFormat="1" applyFont="1" applyFill="1" applyBorder="1" applyAlignment="1">
      <alignment horizontal="center" vertical="center"/>
    </xf>
    <xf numFmtId="200" fontId="73" fillId="4" borderId="1" xfId="10744" applyNumberFormat="1" applyFont="1" applyFill="1" applyBorder="1" applyAlignment="1">
      <alignment horizontal="center" vertical="center"/>
    </xf>
    <xf numFmtId="194" fontId="73" fillId="0" borderId="30" xfId="10744" applyNumberFormat="1" applyFont="1" applyBorder="1" applyAlignment="1">
      <alignment horizontal="center" vertical="center"/>
    </xf>
    <xf numFmtId="0" fontId="73" fillId="4" borderId="84" xfId="10744" applyFont="1" applyFill="1" applyBorder="1" applyAlignment="1">
      <alignment horizontal="center" vertical="center"/>
    </xf>
    <xf numFmtId="200" fontId="73" fillId="4" borderId="84" xfId="10744" applyNumberFormat="1" applyFont="1" applyFill="1" applyBorder="1" applyAlignment="1">
      <alignment horizontal="center" vertical="center"/>
    </xf>
    <xf numFmtId="0" fontId="73" fillId="4" borderId="98" xfId="10744" applyFont="1" applyFill="1" applyBorder="1" applyAlignment="1">
      <alignment horizontal="left" vertical="center"/>
    </xf>
    <xf numFmtId="185" fontId="73" fillId="4" borderId="28" xfId="10744" applyNumberFormat="1" applyFont="1" applyFill="1" applyBorder="1" applyAlignment="1">
      <alignment horizontal="center" vertical="center"/>
    </xf>
    <xf numFmtId="182" fontId="73" fillId="4" borderId="0" xfId="10744" applyNumberFormat="1" applyFont="1" applyFill="1" applyAlignment="1">
      <alignment horizontal="left" vertical="center"/>
    </xf>
    <xf numFmtId="3" fontId="73" fillId="4" borderId="0" xfId="10744" quotePrefix="1" applyNumberFormat="1" applyFont="1" applyFill="1" applyAlignment="1">
      <alignment horizontal="left" vertical="center"/>
    </xf>
    <xf numFmtId="202" fontId="73" fillId="4" borderId="0" xfId="10744" applyNumberFormat="1" applyFont="1" applyFill="1" applyAlignment="1">
      <alignment horizontal="left" vertical="center"/>
    </xf>
    <xf numFmtId="3" fontId="73" fillId="4" borderId="0" xfId="10744" applyNumberFormat="1" applyFont="1" applyFill="1" applyAlignment="1">
      <alignment horizontal="center" vertical="center"/>
    </xf>
    <xf numFmtId="192" fontId="73" fillId="4" borderId="98" xfId="10744" applyNumberFormat="1" applyFont="1" applyFill="1" applyBorder="1" applyAlignment="1">
      <alignment horizontal="center" vertical="center" shrinkToFit="1"/>
    </xf>
    <xf numFmtId="192" fontId="73" fillId="4" borderId="99" xfId="10744" applyNumberFormat="1" applyFont="1" applyFill="1" applyBorder="1" applyAlignment="1">
      <alignment horizontal="center" vertical="center" shrinkToFit="1"/>
    </xf>
    <xf numFmtId="178" fontId="73" fillId="4" borderId="0" xfId="9340" applyNumberFormat="1" applyFont="1" applyFill="1" applyBorder="1" applyAlignment="1">
      <alignment horizontal="center" vertical="center"/>
    </xf>
    <xf numFmtId="192" fontId="73" fillId="4" borderId="86" xfId="10744" applyNumberFormat="1" applyFont="1" applyFill="1" applyBorder="1" applyAlignment="1">
      <alignment horizontal="right" vertical="center" shrinkToFit="1"/>
    </xf>
    <xf numFmtId="192" fontId="73" fillId="4" borderId="87" xfId="10744" applyNumberFormat="1" applyFont="1" applyFill="1" applyBorder="1" applyAlignment="1">
      <alignment horizontal="right" vertical="center" shrinkToFit="1"/>
    </xf>
    <xf numFmtId="192" fontId="73" fillId="4" borderId="23" xfId="10744" applyNumberFormat="1" applyFont="1" applyFill="1" applyBorder="1" applyAlignment="1">
      <alignment horizontal="center" vertical="center" shrinkToFit="1"/>
    </xf>
    <xf numFmtId="192" fontId="73" fillId="4" borderId="67" xfId="10744" applyNumberFormat="1" applyFont="1" applyFill="1" applyBorder="1" applyAlignment="1">
      <alignment horizontal="center" vertical="center" shrinkToFit="1"/>
    </xf>
    <xf numFmtId="0" fontId="73" fillId="4" borderId="68" xfId="10744" applyFont="1" applyFill="1" applyBorder="1" applyAlignment="1">
      <alignment horizontal="left" vertical="center"/>
    </xf>
    <xf numFmtId="0" fontId="73" fillId="4" borderId="25" xfId="10744" applyFont="1" applyFill="1" applyBorder="1" applyAlignment="1">
      <alignment horizontal="left" vertical="center"/>
    </xf>
    <xf numFmtId="0" fontId="73" fillId="4" borderId="21" xfId="10744" applyFont="1" applyFill="1" applyBorder="1" applyAlignment="1">
      <alignment horizontal="left" vertical="center"/>
    </xf>
    <xf numFmtId="0" fontId="73" fillId="4" borderId="92" xfId="10744" applyFont="1" applyFill="1" applyBorder="1" applyAlignment="1">
      <alignment horizontal="left" vertical="center"/>
    </xf>
    <xf numFmtId="0" fontId="73" fillId="4" borderId="9" xfId="10744" applyFont="1" applyFill="1" applyBorder="1" applyAlignment="1">
      <alignment horizontal="left" vertical="center"/>
    </xf>
    <xf numFmtId="0" fontId="73" fillId="4" borderId="22" xfId="10744" applyFont="1" applyFill="1" applyBorder="1" applyAlignment="1">
      <alignment horizontal="left" vertical="center"/>
    </xf>
    <xf numFmtId="200" fontId="73" fillId="4" borderId="4" xfId="10744" applyNumberFormat="1" applyFont="1" applyFill="1" applyBorder="1" applyAlignment="1">
      <alignment horizontal="center" vertical="center"/>
    </xf>
    <xf numFmtId="0" fontId="73" fillId="4" borderId="24" xfId="10744" applyFont="1" applyFill="1" applyBorder="1" applyAlignment="1">
      <alignment horizontal="left" vertical="center" indent="1"/>
    </xf>
    <xf numFmtId="0" fontId="73" fillId="4" borderId="25" xfId="10744" applyFont="1" applyFill="1" applyBorder="1" applyAlignment="1">
      <alignment horizontal="left" vertical="center" indent="1"/>
    </xf>
    <xf numFmtId="0" fontId="73" fillId="4" borderId="21" xfId="10744" applyFont="1" applyFill="1" applyBorder="1" applyAlignment="1">
      <alignment horizontal="left" vertical="center" indent="1"/>
    </xf>
    <xf numFmtId="0" fontId="73" fillId="4" borderId="71" xfId="10744" applyFont="1" applyFill="1" applyBorder="1" applyAlignment="1">
      <alignment horizontal="left" vertical="center" wrapText="1"/>
    </xf>
    <xf numFmtId="0" fontId="73" fillId="4" borderId="71" xfId="10744" applyFont="1" applyFill="1" applyBorder="1" applyAlignment="1">
      <alignment horizontal="left" vertical="center"/>
    </xf>
    <xf numFmtId="0" fontId="73" fillId="4" borderId="124" xfId="10744" applyFont="1" applyFill="1" applyBorder="1" applyAlignment="1">
      <alignment horizontal="center" vertical="center"/>
    </xf>
    <xf numFmtId="0" fontId="73" fillId="4" borderId="86" xfId="10744" applyFont="1" applyFill="1" applyBorder="1" applyAlignment="1">
      <alignment horizontal="center" vertical="center"/>
    </xf>
    <xf numFmtId="0" fontId="73" fillId="4" borderId="160" xfId="10744" applyFont="1" applyFill="1" applyBorder="1" applyAlignment="1">
      <alignment horizontal="center" vertical="center"/>
    </xf>
    <xf numFmtId="0" fontId="73" fillId="4" borderId="88" xfId="10744" applyFont="1" applyFill="1" applyBorder="1" applyAlignment="1">
      <alignment horizontal="center" vertical="center"/>
    </xf>
    <xf numFmtId="0" fontId="73" fillId="4" borderId="161" xfId="10744" applyFont="1" applyFill="1" applyBorder="1" applyAlignment="1">
      <alignment horizontal="center" vertical="center"/>
    </xf>
    <xf numFmtId="178" fontId="73" fillId="4" borderId="24" xfId="9340" applyNumberFormat="1" applyFont="1" applyFill="1" applyBorder="1" applyAlignment="1">
      <alignment horizontal="right" vertical="center" shrinkToFit="1"/>
    </xf>
    <xf numFmtId="178" fontId="73" fillId="4" borderId="25" xfId="9340" applyNumberFormat="1" applyFont="1" applyFill="1" applyBorder="1" applyAlignment="1">
      <alignment horizontal="right" vertical="center" shrinkToFit="1"/>
    </xf>
    <xf numFmtId="178" fontId="73" fillId="4" borderId="21" xfId="9340" applyNumberFormat="1" applyFont="1" applyFill="1" applyBorder="1" applyAlignment="1">
      <alignment horizontal="right" vertical="center" shrinkToFit="1"/>
    </xf>
    <xf numFmtId="199" fontId="73" fillId="4" borderId="1" xfId="10744" applyNumberFormat="1" applyFont="1" applyFill="1" applyBorder="1" applyAlignment="1">
      <alignment horizontal="center" vertical="center" shrinkToFit="1"/>
    </xf>
    <xf numFmtId="199" fontId="73" fillId="4" borderId="1" xfId="10744" applyNumberFormat="1" applyFont="1" applyFill="1" applyBorder="1" applyAlignment="1">
      <alignment horizontal="right" vertical="center" shrinkToFit="1"/>
    </xf>
    <xf numFmtId="0" fontId="319" fillId="4" borderId="25" xfId="10744" applyFont="1" applyFill="1" applyBorder="1"/>
    <xf numFmtId="0" fontId="319" fillId="4" borderId="90" xfId="10744" applyFont="1" applyFill="1" applyBorder="1"/>
    <xf numFmtId="178" fontId="73" fillId="4" borderId="90" xfId="9340" applyNumberFormat="1" applyFont="1" applyFill="1" applyBorder="1" applyAlignment="1">
      <alignment horizontal="right" vertical="center" shrinkToFit="1"/>
    </xf>
    <xf numFmtId="0" fontId="319" fillId="4" borderId="21" xfId="10744" applyFont="1" applyFill="1" applyBorder="1"/>
    <xf numFmtId="178" fontId="73" fillId="4" borderId="88" xfId="9340" applyNumberFormat="1" applyFont="1" applyFill="1" applyBorder="1" applyAlignment="1">
      <alignment horizontal="right" vertical="center" shrinkToFit="1"/>
    </xf>
    <xf numFmtId="178" fontId="73" fillId="4" borderId="74" xfId="9340" applyNumberFormat="1" applyFont="1" applyFill="1" applyBorder="1" applyAlignment="1">
      <alignment horizontal="right" vertical="center" shrinkToFit="1"/>
    </xf>
    <xf numFmtId="178" fontId="73" fillId="4" borderId="75" xfId="9340" applyNumberFormat="1" applyFont="1" applyFill="1" applyBorder="1" applyAlignment="1">
      <alignment horizontal="right" vertical="center" shrinkToFit="1"/>
    </xf>
    <xf numFmtId="178" fontId="73" fillId="4" borderId="89" xfId="9340" applyNumberFormat="1" applyFont="1" applyFill="1" applyBorder="1" applyAlignment="1">
      <alignment horizontal="right" vertical="center" shrinkToFit="1"/>
    </xf>
    <xf numFmtId="192" fontId="73" fillId="4" borderId="24" xfId="10744" applyNumberFormat="1" applyFont="1" applyFill="1" applyBorder="1" applyAlignment="1">
      <alignment horizontal="center"/>
    </xf>
    <xf numFmtId="192" fontId="73" fillId="4" borderId="25" xfId="10744" applyNumberFormat="1" applyFont="1" applyFill="1" applyBorder="1" applyAlignment="1">
      <alignment horizontal="center"/>
    </xf>
    <xf numFmtId="0" fontId="73" fillId="4" borderId="3" xfId="10744" applyFont="1" applyFill="1" applyBorder="1" applyAlignment="1">
      <alignment horizontal="distributed" vertical="center" indent="1"/>
    </xf>
    <xf numFmtId="0" fontId="73" fillId="4" borderId="135" xfId="10744" applyFont="1" applyFill="1" applyBorder="1" applyAlignment="1">
      <alignment horizontal="distributed" vertical="center" indent="1"/>
    </xf>
    <xf numFmtId="0" fontId="73" fillId="4" borderId="45" xfId="10744" applyFont="1" applyFill="1" applyBorder="1" applyAlignment="1">
      <alignment horizontal="distributed" vertical="center" indent="1"/>
    </xf>
    <xf numFmtId="0" fontId="73" fillId="4" borderId="66" xfId="10744" applyFont="1" applyFill="1" applyBorder="1" applyAlignment="1">
      <alignment horizontal="distributed" vertical="center" indent="1"/>
    </xf>
    <xf numFmtId="0" fontId="73" fillId="4" borderId="23" xfId="10744" applyFont="1" applyFill="1" applyBorder="1" applyAlignment="1">
      <alignment horizontal="distributed" vertical="center" indent="1"/>
    </xf>
    <xf numFmtId="0" fontId="338" fillId="15" borderId="1" xfId="9585" applyNumberFormat="1" applyFont="1" applyFill="1" applyBorder="1" applyAlignment="1">
      <alignment horizontal="left" vertical="center" shrinkToFit="1"/>
    </xf>
    <xf numFmtId="0" fontId="334" fillId="0" borderId="24" xfId="9585" applyNumberFormat="1" applyFont="1" applyFill="1" applyBorder="1" applyAlignment="1">
      <alignment horizontal="left" vertical="center" shrinkToFit="1"/>
    </xf>
    <xf numFmtId="0" fontId="334" fillId="0" borderId="25" xfId="9585" applyNumberFormat="1" applyFont="1" applyFill="1" applyBorder="1" applyAlignment="1">
      <alignment horizontal="left" vertical="center" shrinkToFit="1"/>
    </xf>
    <xf numFmtId="0" fontId="334" fillId="4" borderId="24" xfId="10056" applyNumberFormat="1" applyFont="1" applyFill="1" applyBorder="1" applyAlignment="1">
      <alignment horizontal="left" vertical="center" shrinkToFit="1"/>
    </xf>
    <xf numFmtId="0" fontId="334" fillId="4" borderId="21" xfId="10056" applyNumberFormat="1" applyFont="1" applyFill="1" applyBorder="1" applyAlignment="1">
      <alignment horizontal="left" vertical="center" shrinkToFit="1"/>
    </xf>
    <xf numFmtId="0" fontId="334" fillId="4" borderId="24" xfId="9585" applyNumberFormat="1" applyFont="1" applyFill="1" applyBorder="1" applyAlignment="1">
      <alignment horizontal="left" vertical="center" shrinkToFit="1"/>
    </xf>
    <xf numFmtId="0" fontId="334" fillId="4" borderId="21" xfId="9585" applyNumberFormat="1" applyFont="1" applyFill="1" applyBorder="1" applyAlignment="1">
      <alignment horizontal="left" vertical="center" shrinkToFit="1"/>
    </xf>
    <xf numFmtId="0" fontId="334" fillId="4" borderId="25" xfId="9585" applyNumberFormat="1" applyFont="1" applyFill="1" applyBorder="1" applyAlignment="1">
      <alignment horizontal="left" vertical="center" shrinkToFit="1"/>
    </xf>
    <xf numFmtId="0" fontId="334" fillId="0" borderId="24" xfId="9585" applyNumberFormat="1" applyFont="1" applyFill="1" applyBorder="1" applyAlignment="1">
      <alignment horizontal="center" vertical="center" wrapText="1" shrinkToFit="1"/>
    </xf>
    <xf numFmtId="0" fontId="334" fillId="0" borderId="25" xfId="9585" applyNumberFormat="1" applyFont="1" applyFill="1" applyBorder="1" applyAlignment="1">
      <alignment horizontal="center" vertical="center" wrapText="1" shrinkToFit="1"/>
    </xf>
    <xf numFmtId="0" fontId="334" fillId="0" borderId="9" xfId="9585" applyNumberFormat="1" applyFont="1" applyFill="1" applyBorder="1" applyAlignment="1">
      <alignment horizontal="center" vertical="center" wrapText="1" shrinkToFit="1"/>
    </xf>
    <xf numFmtId="0" fontId="334" fillId="0" borderId="21" xfId="9585" applyNumberFormat="1" applyFont="1" applyFill="1" applyBorder="1" applyAlignment="1">
      <alignment horizontal="center" vertical="center" wrapText="1" shrinkToFit="1"/>
    </xf>
    <xf numFmtId="0" fontId="334" fillId="0" borderId="21" xfId="9585" applyNumberFormat="1" applyFont="1" applyFill="1" applyBorder="1" applyAlignment="1">
      <alignment horizontal="left" vertical="center" shrinkToFit="1"/>
    </xf>
    <xf numFmtId="0" fontId="326" fillId="0" borderId="1" xfId="10743" applyFont="1" applyBorder="1" applyAlignment="1">
      <alignment horizontal="center" vertical="center" shrinkToFit="1"/>
    </xf>
    <xf numFmtId="41" fontId="326" fillId="0" borderId="30" xfId="10743" applyNumberFormat="1" applyFont="1" applyBorder="1" applyAlignment="1">
      <alignment horizontal="center" vertical="center" shrinkToFit="1"/>
    </xf>
    <xf numFmtId="41" fontId="326" fillId="0" borderId="23" xfId="10743" applyNumberFormat="1" applyFont="1" applyBorder="1" applyAlignment="1">
      <alignment horizontal="center" vertical="center" shrinkToFit="1"/>
    </xf>
    <xf numFmtId="0" fontId="326" fillId="4" borderId="31" xfId="10743" applyFont="1" applyFill="1" applyBorder="1" applyAlignment="1">
      <alignment horizontal="center" vertical="center" shrinkToFit="1"/>
    </xf>
    <xf numFmtId="0" fontId="326" fillId="4" borderId="29" xfId="10743" applyFont="1" applyFill="1" applyBorder="1" applyAlignment="1">
      <alignment horizontal="center" vertical="center" shrinkToFit="1"/>
    </xf>
    <xf numFmtId="0" fontId="326" fillId="4" borderId="33" xfId="10743" applyFont="1" applyFill="1" applyBorder="1" applyAlignment="1">
      <alignment horizontal="center" vertical="center" shrinkToFit="1"/>
    </xf>
    <xf numFmtId="0" fontId="326" fillId="4" borderId="22" xfId="10743" applyFont="1" applyFill="1" applyBorder="1" applyAlignment="1">
      <alignment horizontal="center" vertical="center" shrinkToFit="1"/>
    </xf>
    <xf numFmtId="0" fontId="326" fillId="4" borderId="30" xfId="10743" applyFont="1" applyFill="1" applyBorder="1" applyAlignment="1">
      <alignment horizontal="center" vertical="center" shrinkToFit="1"/>
    </xf>
    <xf numFmtId="0" fontId="326" fillId="4" borderId="23" xfId="10743" applyFont="1" applyFill="1" applyBorder="1" applyAlignment="1">
      <alignment horizontal="center" vertical="center" shrinkToFit="1"/>
    </xf>
    <xf numFmtId="0" fontId="326" fillId="4" borderId="21" xfId="10743" applyFont="1" applyFill="1" applyBorder="1" applyAlignment="1">
      <alignment horizontal="center" vertical="center" shrinkToFit="1"/>
    </xf>
    <xf numFmtId="0" fontId="326" fillId="0" borderId="24" xfId="10743" applyFont="1" applyBorder="1" applyAlignment="1">
      <alignment horizontal="center" vertical="center" shrinkToFit="1"/>
    </xf>
    <xf numFmtId="0" fontId="326" fillId="0" borderId="21" xfId="10743" applyFont="1" applyBorder="1" applyAlignment="1">
      <alignment horizontal="center" vertical="center" shrinkToFit="1"/>
    </xf>
    <xf numFmtId="194" fontId="73" fillId="4" borderId="4" xfId="10742" applyNumberFormat="1" applyFont="1" applyFill="1" applyBorder="1" applyAlignment="1">
      <alignment horizontal="center" vertical="center"/>
    </xf>
    <xf numFmtId="192" fontId="73" fillId="4" borderId="86" xfId="10742" applyNumberFormat="1" applyFont="1" applyFill="1" applyBorder="1" applyAlignment="1">
      <alignment horizontal="right" vertical="center" shrinkToFit="1"/>
    </xf>
    <xf numFmtId="192" fontId="73" fillId="4" borderId="23" xfId="10742" applyNumberFormat="1" applyFont="1" applyFill="1" applyBorder="1" applyAlignment="1">
      <alignment horizontal="right" vertical="center" shrinkToFit="1"/>
    </xf>
    <xf numFmtId="0" fontId="73" fillId="4" borderId="72" xfId="10742" applyFont="1" applyFill="1" applyBorder="1" applyAlignment="1">
      <alignment horizontal="center" vertical="center"/>
    </xf>
    <xf numFmtId="0" fontId="73" fillId="4" borderId="73" xfId="10742" applyFont="1" applyFill="1" applyBorder="1" applyAlignment="1">
      <alignment horizontal="center" vertical="center"/>
    </xf>
    <xf numFmtId="0" fontId="73" fillId="4" borderId="0" xfId="10742" applyFont="1" applyFill="1" applyAlignment="1">
      <alignment horizontal="center" vertical="center"/>
    </xf>
    <xf numFmtId="0" fontId="73" fillId="4" borderId="95" xfId="10742" applyFont="1" applyFill="1" applyBorder="1" applyAlignment="1">
      <alignment horizontal="center" vertical="center"/>
    </xf>
    <xf numFmtId="0" fontId="73" fillId="4" borderId="96" xfId="10742" applyFont="1" applyFill="1" applyBorder="1" applyAlignment="1">
      <alignment horizontal="center" vertical="center"/>
    </xf>
    <xf numFmtId="0" fontId="73" fillId="4" borderId="97" xfId="10742" applyFont="1" applyFill="1" applyBorder="1" applyAlignment="1">
      <alignment horizontal="center" vertical="center"/>
    </xf>
    <xf numFmtId="192" fontId="73" fillId="4" borderId="87" xfId="10742" applyNumberFormat="1" applyFont="1" applyFill="1" applyBorder="1" applyAlignment="1">
      <alignment horizontal="right" vertical="center" shrinkToFit="1"/>
    </xf>
    <xf numFmtId="192" fontId="73" fillId="4" borderId="67" xfId="10742" applyNumberFormat="1" applyFont="1" applyFill="1" applyBorder="1" applyAlignment="1">
      <alignment horizontal="right" vertical="center" shrinkToFit="1"/>
    </xf>
    <xf numFmtId="0" fontId="73" fillId="4" borderId="45" xfId="10742" applyFont="1" applyFill="1" applyBorder="1" applyAlignment="1">
      <alignment horizontal="left" vertical="center"/>
    </xf>
    <xf numFmtId="0" fontId="73" fillId="4" borderId="4" xfId="10742" applyFont="1" applyFill="1" applyBorder="1" applyAlignment="1">
      <alignment horizontal="left" vertical="center"/>
    </xf>
    <xf numFmtId="192" fontId="73" fillId="4" borderId="4" xfId="10742" applyNumberFormat="1" applyFont="1" applyFill="1" applyBorder="1" applyAlignment="1">
      <alignment horizontal="right" vertical="center" shrinkToFit="1"/>
    </xf>
    <xf numFmtId="194" fontId="73" fillId="4" borderId="1" xfId="10742" applyNumberFormat="1" applyFont="1" applyFill="1" applyBorder="1" applyAlignment="1">
      <alignment horizontal="center" vertical="center"/>
    </xf>
    <xf numFmtId="0" fontId="73" fillId="4" borderId="98" xfId="10742" applyFont="1" applyFill="1" applyBorder="1" applyAlignment="1">
      <alignment horizontal="left" vertical="center"/>
    </xf>
    <xf numFmtId="192" fontId="73" fillId="4" borderId="98" xfId="10742" applyNumberFormat="1" applyFont="1" applyFill="1" applyBorder="1" applyAlignment="1">
      <alignment horizontal="right" vertical="center" shrinkToFit="1"/>
    </xf>
    <xf numFmtId="0" fontId="73" fillId="4" borderId="3" xfId="10742" applyFont="1" applyFill="1" applyBorder="1" applyAlignment="1">
      <alignment horizontal="center" vertical="center"/>
    </xf>
    <xf numFmtId="0" fontId="73" fillId="4" borderId="135" xfId="10742" applyFont="1" applyFill="1" applyBorder="1" applyAlignment="1">
      <alignment horizontal="center" vertical="center"/>
    </xf>
    <xf numFmtId="192" fontId="73" fillId="4" borderId="99" xfId="10742" applyNumberFormat="1" applyFont="1" applyFill="1" applyBorder="1" applyAlignment="1">
      <alignment horizontal="right" vertical="center" shrinkToFit="1"/>
    </xf>
    <xf numFmtId="192" fontId="73" fillId="4" borderId="24" xfId="10742" applyNumberFormat="1" applyFont="1" applyFill="1" applyBorder="1" applyAlignment="1">
      <alignment horizontal="right" vertical="center" shrinkToFit="1"/>
    </xf>
    <xf numFmtId="192" fontId="73" fillId="4" borderId="25" xfId="10742" applyNumberFormat="1" applyFont="1" applyFill="1" applyBorder="1" applyAlignment="1">
      <alignment horizontal="right" vertical="center" shrinkToFit="1"/>
    </xf>
    <xf numFmtId="192" fontId="73" fillId="4" borderId="21" xfId="10742" applyNumberFormat="1" applyFont="1" applyFill="1" applyBorder="1" applyAlignment="1">
      <alignment horizontal="right" vertical="center" shrinkToFit="1"/>
    </xf>
    <xf numFmtId="0" fontId="73" fillId="4" borderId="70" xfId="10742" applyFont="1" applyFill="1" applyBorder="1" applyAlignment="1">
      <alignment horizontal="left" vertical="center"/>
    </xf>
    <xf numFmtId="0" fontId="73" fillId="4" borderId="1" xfId="10742" applyFont="1" applyFill="1" applyBorder="1" applyAlignment="1">
      <alignment horizontal="left" vertical="center"/>
    </xf>
    <xf numFmtId="185" fontId="73" fillId="4" borderId="28" xfId="10742" applyNumberFormat="1" applyFont="1" applyFill="1" applyBorder="1" applyAlignment="1">
      <alignment horizontal="center" vertical="center"/>
    </xf>
    <xf numFmtId="0" fontId="73" fillId="4" borderId="28" xfId="10742" applyFont="1" applyFill="1" applyBorder="1" applyAlignment="1">
      <alignment horizontal="center" vertical="center"/>
    </xf>
    <xf numFmtId="192" fontId="73" fillId="4" borderId="98" xfId="10742" applyNumberFormat="1" applyFont="1" applyFill="1" applyBorder="1" applyAlignment="1">
      <alignment horizontal="center" vertical="center" shrinkToFit="1"/>
    </xf>
    <xf numFmtId="192" fontId="73" fillId="4" borderId="99" xfId="10742" applyNumberFormat="1" applyFont="1" applyFill="1" applyBorder="1" applyAlignment="1">
      <alignment horizontal="center" vertical="center" shrinkToFit="1"/>
    </xf>
    <xf numFmtId="192" fontId="73" fillId="4" borderId="84" xfId="10742" applyNumberFormat="1" applyFont="1" applyFill="1" applyBorder="1" applyAlignment="1">
      <alignment horizontal="right" vertical="center" shrinkToFit="1"/>
    </xf>
    <xf numFmtId="192" fontId="73" fillId="4" borderId="85" xfId="10742" applyNumberFormat="1" applyFont="1" applyFill="1" applyBorder="1" applyAlignment="1">
      <alignment horizontal="right" vertical="center" shrinkToFit="1"/>
    </xf>
    <xf numFmtId="192" fontId="73" fillId="4" borderId="1" xfId="10742" applyNumberFormat="1" applyFont="1" applyFill="1" applyBorder="1" applyAlignment="1">
      <alignment horizontal="right" vertical="center" shrinkToFit="1"/>
    </xf>
    <xf numFmtId="0" fontId="73" fillId="4" borderId="82" xfId="10742" applyFont="1" applyFill="1" applyBorder="1" applyAlignment="1">
      <alignment horizontal="center" vertical="center"/>
    </xf>
    <xf numFmtId="0" fontId="73" fillId="4" borderId="77" xfId="10742" applyFont="1" applyFill="1" applyBorder="1" applyAlignment="1">
      <alignment horizontal="center" vertical="center"/>
    </xf>
    <xf numFmtId="0" fontId="73" fillId="4" borderId="160" xfId="10742" applyFont="1" applyFill="1" applyBorder="1" applyAlignment="1">
      <alignment horizontal="center" vertical="center"/>
    </xf>
    <xf numFmtId="0" fontId="73" fillId="4" borderId="83" xfId="10742" applyFont="1" applyFill="1" applyBorder="1" applyAlignment="1">
      <alignment horizontal="center" vertical="center"/>
    </xf>
    <xf numFmtId="0" fontId="73" fillId="4" borderId="78" xfId="10742" applyFont="1" applyFill="1" applyBorder="1" applyAlignment="1">
      <alignment horizontal="center" vertical="center"/>
    </xf>
    <xf numFmtId="0" fontId="73" fillId="4" borderId="66" xfId="10742" applyFont="1" applyFill="1" applyBorder="1" applyAlignment="1">
      <alignment horizontal="left" vertical="center"/>
    </xf>
    <xf numFmtId="0" fontId="73" fillId="4" borderId="23" xfId="10742" applyFont="1" applyFill="1" applyBorder="1" applyAlignment="1">
      <alignment horizontal="left" vertical="center"/>
    </xf>
    <xf numFmtId="0" fontId="73" fillId="4" borderId="76" xfId="10742" applyFont="1" applyFill="1" applyBorder="1" applyAlignment="1">
      <alignment horizontal="center" vertical="center"/>
    </xf>
    <xf numFmtId="0" fontId="73" fillId="4" borderId="4" xfId="10742" applyFont="1" applyFill="1" applyBorder="1" applyAlignment="1">
      <alignment horizontal="left" vertical="center" indent="1"/>
    </xf>
    <xf numFmtId="0" fontId="73" fillId="4" borderId="86" xfId="10742" applyFont="1" applyFill="1" applyBorder="1" applyAlignment="1">
      <alignment horizontal="center" vertical="center"/>
    </xf>
    <xf numFmtId="193" fontId="73" fillId="4" borderId="4" xfId="10742" applyNumberFormat="1" applyFont="1" applyFill="1" applyBorder="1" applyAlignment="1">
      <alignment horizontal="center" vertical="center"/>
    </xf>
    <xf numFmtId="193" fontId="73" fillId="4" borderId="5" xfId="10742" applyNumberFormat="1" applyFont="1" applyFill="1" applyBorder="1" applyAlignment="1">
      <alignment horizontal="center" vertical="center"/>
    </xf>
    <xf numFmtId="192" fontId="73" fillId="4" borderId="5" xfId="10742" applyNumberFormat="1" applyFont="1" applyFill="1" applyBorder="1" applyAlignment="1">
      <alignment horizontal="right" vertical="center" shrinkToFit="1"/>
    </xf>
    <xf numFmtId="0" fontId="73" fillId="4" borderId="70" xfId="10742" applyFont="1" applyFill="1" applyBorder="1" applyAlignment="1">
      <alignment horizontal="center" vertical="center"/>
    </xf>
    <xf numFmtId="0" fontId="73" fillId="4" borderId="1" xfId="10742" applyFont="1" applyFill="1" applyBorder="1" applyAlignment="1">
      <alignment horizontal="center" vertical="center"/>
    </xf>
    <xf numFmtId="0" fontId="73" fillId="4" borderId="1" xfId="10742" applyFont="1" applyFill="1" applyBorder="1" applyAlignment="1">
      <alignment horizontal="left" vertical="center" indent="1"/>
    </xf>
    <xf numFmtId="0" fontId="73" fillId="4" borderId="44" xfId="10742" applyFont="1" applyFill="1" applyBorder="1" applyAlignment="1">
      <alignment horizontal="center" vertical="center"/>
    </xf>
    <xf numFmtId="0" fontId="73" fillId="4" borderId="79" xfId="10742" applyFont="1" applyFill="1" applyBorder="1" applyAlignment="1">
      <alignment horizontal="center" vertical="center"/>
    </xf>
    <xf numFmtId="0" fontId="73" fillId="4" borderId="3" xfId="10742" applyFont="1" applyFill="1" applyBorder="1" applyAlignment="1">
      <alignment horizontal="center" vertical="center" wrapText="1"/>
    </xf>
    <xf numFmtId="0" fontId="73" fillId="4" borderId="23" xfId="10742" applyFont="1" applyFill="1" applyBorder="1" applyAlignment="1">
      <alignment horizontal="center" vertical="center"/>
    </xf>
    <xf numFmtId="0" fontId="73" fillId="4" borderId="63" xfId="10742" applyFont="1" applyFill="1" applyBorder="1" applyAlignment="1">
      <alignment horizontal="center" vertical="center"/>
    </xf>
    <xf numFmtId="0" fontId="73" fillId="4" borderId="64" xfId="10742" applyFont="1" applyFill="1" applyBorder="1" applyAlignment="1">
      <alignment horizontal="center" vertical="center"/>
    </xf>
    <xf numFmtId="0" fontId="73" fillId="4" borderId="100" xfId="10742" applyFont="1" applyFill="1" applyBorder="1" applyAlignment="1">
      <alignment horizontal="distributed" vertical="center" indent="2"/>
    </xf>
    <xf numFmtId="0" fontId="73" fillId="4" borderId="101" xfId="10742" applyFont="1" applyFill="1" applyBorder="1" applyAlignment="1">
      <alignment horizontal="distributed" vertical="center" indent="2"/>
    </xf>
    <xf numFmtId="0" fontId="73" fillId="4" borderId="102" xfId="10742" applyFont="1" applyFill="1" applyBorder="1" applyAlignment="1">
      <alignment horizontal="distributed" vertical="center" indent="2"/>
    </xf>
    <xf numFmtId="0" fontId="73" fillId="4" borderId="103" xfId="10742" applyFont="1" applyFill="1" applyBorder="1" applyAlignment="1">
      <alignment horizontal="distributed" vertical="center" indent="2"/>
    </xf>
    <xf numFmtId="0" fontId="73" fillId="4" borderId="104" xfId="10742" applyFont="1" applyFill="1" applyBorder="1" applyAlignment="1">
      <alignment horizontal="center" vertical="center"/>
    </xf>
    <xf numFmtId="0" fontId="73" fillId="4" borderId="105" xfId="10742" applyFont="1" applyFill="1" applyBorder="1" applyAlignment="1">
      <alignment horizontal="center" vertical="center"/>
    </xf>
    <xf numFmtId="0" fontId="73" fillId="4" borderId="106" xfId="10742" applyFont="1" applyFill="1" applyBorder="1" applyAlignment="1">
      <alignment horizontal="center" vertical="center"/>
    </xf>
    <xf numFmtId="0" fontId="73" fillId="4" borderId="107" xfId="10742" applyFont="1" applyFill="1" applyBorder="1" applyAlignment="1">
      <alignment horizontal="center" vertical="center"/>
    </xf>
    <xf numFmtId="178" fontId="73" fillId="4" borderId="4" xfId="10742" applyNumberFormat="1" applyFont="1" applyFill="1" applyBorder="1" applyAlignment="1">
      <alignment horizontal="right" vertical="center"/>
    </xf>
    <xf numFmtId="178" fontId="73" fillId="4" borderId="5" xfId="10742" applyNumberFormat="1" applyFont="1" applyFill="1" applyBorder="1" applyAlignment="1">
      <alignment horizontal="right" vertical="center"/>
    </xf>
    <xf numFmtId="0" fontId="73" fillId="4" borderId="66" xfId="10742" applyFont="1" applyFill="1" applyBorder="1" applyAlignment="1">
      <alignment horizontal="distributed" vertical="center" indent="2"/>
    </xf>
    <xf numFmtId="0" fontId="73" fillId="4" borderId="23" xfId="10742" applyFont="1" applyFill="1" applyBorder="1" applyAlignment="1">
      <alignment horizontal="distributed" vertical="center" indent="2"/>
    </xf>
    <xf numFmtId="182" fontId="73" fillId="4" borderId="23" xfId="10742" applyNumberFormat="1" applyFont="1" applyFill="1" applyBorder="1" applyAlignment="1">
      <alignment horizontal="center" vertical="center"/>
    </xf>
    <xf numFmtId="178" fontId="73" fillId="4" borderId="23" xfId="10742" applyNumberFormat="1" applyFont="1" applyFill="1" applyBorder="1" applyAlignment="1">
      <alignment horizontal="right" vertical="center"/>
    </xf>
    <xf numFmtId="0" fontId="73" fillId="4" borderId="98" xfId="10742" applyFont="1" applyFill="1" applyBorder="1" applyAlignment="1">
      <alignment horizontal="center" vertical="center"/>
    </xf>
    <xf numFmtId="178" fontId="73" fillId="4" borderId="67" xfId="10742" applyNumberFormat="1" applyFont="1" applyFill="1" applyBorder="1" applyAlignment="1">
      <alignment horizontal="right" vertical="center"/>
    </xf>
    <xf numFmtId="0" fontId="73" fillId="4" borderId="45" xfId="10742" applyFont="1" applyFill="1" applyBorder="1" applyAlignment="1">
      <alignment horizontal="distributed" vertical="center" indent="2"/>
    </xf>
    <xf numFmtId="0" fontId="73" fillId="4" borderId="4" xfId="10742" applyFont="1" applyFill="1" applyBorder="1" applyAlignment="1">
      <alignment horizontal="distributed" vertical="center" indent="2"/>
    </xf>
    <xf numFmtId="0" fontId="73" fillId="4" borderId="4" xfId="10742" applyFont="1" applyFill="1" applyBorder="1" applyAlignment="1">
      <alignment horizontal="center" vertical="center"/>
    </xf>
    <xf numFmtId="182" fontId="73" fillId="4" borderId="4" xfId="10742" applyNumberFormat="1" applyFont="1" applyFill="1" applyBorder="1" applyAlignment="1">
      <alignment horizontal="center" vertical="center"/>
    </xf>
    <xf numFmtId="194" fontId="73" fillId="4" borderId="98" xfId="10742" applyNumberFormat="1" applyFont="1" applyFill="1" applyBorder="1" applyAlignment="1">
      <alignment horizontal="center" vertical="center"/>
    </xf>
    <xf numFmtId="0" fontId="73" fillId="4" borderId="65" xfId="10742" applyFont="1" applyFill="1" applyBorder="1" applyAlignment="1">
      <alignment horizontal="center" vertical="center"/>
    </xf>
    <xf numFmtId="185" fontId="73" fillId="4" borderId="0" xfId="10742" applyNumberFormat="1" applyFont="1" applyFill="1" applyAlignment="1">
      <alignment horizontal="center" vertical="center"/>
    </xf>
    <xf numFmtId="182" fontId="73" fillId="4" borderId="0" xfId="10742" applyNumberFormat="1" applyFont="1" applyFill="1" applyAlignment="1">
      <alignment horizontal="left" vertical="center"/>
    </xf>
    <xf numFmtId="0" fontId="73" fillId="4" borderId="4" xfId="10742" applyFont="1" applyFill="1" applyBorder="1" applyAlignment="1">
      <alignment horizontal="center" vertical="center" shrinkToFit="1"/>
    </xf>
    <xf numFmtId="202" fontId="73" fillId="4" borderId="0" xfId="10742" applyNumberFormat="1" applyFont="1" applyFill="1" applyAlignment="1">
      <alignment horizontal="left" vertical="center"/>
    </xf>
    <xf numFmtId="182" fontId="73" fillId="4" borderId="0" xfId="10742" applyNumberFormat="1" applyFont="1" applyFill="1" applyAlignment="1">
      <alignment horizontal="center" vertical="center"/>
    </xf>
    <xf numFmtId="3" fontId="73" fillId="4" borderId="0" xfId="10742" quotePrefix="1" applyNumberFormat="1" applyFont="1" applyFill="1" applyAlignment="1">
      <alignment horizontal="left" vertical="center"/>
    </xf>
    <xf numFmtId="0" fontId="73" fillId="4" borderId="81" xfId="10742" applyFont="1" applyFill="1" applyBorder="1" applyAlignment="1">
      <alignment horizontal="center" vertical="center"/>
    </xf>
    <xf numFmtId="0" fontId="73" fillId="4" borderId="25" xfId="10742" applyFont="1" applyFill="1" applyBorder="1" applyAlignment="1">
      <alignment horizontal="center" vertical="center"/>
    </xf>
    <xf numFmtId="0" fontId="73" fillId="4" borderId="21" xfId="10742" applyFont="1" applyFill="1" applyBorder="1" applyAlignment="1">
      <alignment horizontal="center" vertical="center"/>
    </xf>
    <xf numFmtId="3" fontId="73" fillId="4" borderId="0" xfId="10742" applyNumberFormat="1" applyFont="1" applyFill="1" applyAlignment="1">
      <alignment horizontal="center" vertical="center"/>
    </xf>
    <xf numFmtId="0" fontId="320" fillId="0" borderId="0" xfId="10742" applyFont="1" applyAlignment="1">
      <alignment horizontal="left" vertical="center"/>
    </xf>
    <xf numFmtId="0" fontId="73" fillId="4" borderId="70" xfId="10742" applyFont="1" applyFill="1" applyBorder="1" applyAlignment="1">
      <alignment horizontal="center" vertical="center" wrapText="1"/>
    </xf>
    <xf numFmtId="0" fontId="73" fillId="4" borderId="1" xfId="10742" applyFont="1" applyFill="1" applyBorder="1" applyAlignment="1">
      <alignment horizontal="center" vertical="center" wrapText="1"/>
    </xf>
    <xf numFmtId="192" fontId="73" fillId="4" borderId="30" xfId="10742" applyNumberFormat="1" applyFont="1" applyFill="1" applyBorder="1" applyAlignment="1">
      <alignment horizontal="right" vertical="center" shrinkToFit="1"/>
    </xf>
    <xf numFmtId="0" fontId="73" fillId="4" borderId="1" xfId="10742" applyFont="1" applyFill="1" applyBorder="1" applyAlignment="1">
      <alignment horizontal="center" vertical="center" shrinkToFit="1"/>
    </xf>
    <xf numFmtId="0" fontId="73" fillId="4" borderId="1" xfId="10742" applyFont="1" applyFill="1" applyBorder="1" applyAlignment="1">
      <alignment horizontal="distributed" vertical="center" indent="1"/>
    </xf>
    <xf numFmtId="0" fontId="73" fillId="4" borderId="30" xfId="10742" applyFont="1" applyFill="1" applyBorder="1" applyAlignment="1">
      <alignment horizontal="center" vertical="center" shrinkToFit="1"/>
    </xf>
    <xf numFmtId="200" fontId="73" fillId="4" borderId="1" xfId="10742" applyNumberFormat="1" applyFont="1" applyFill="1" applyBorder="1" applyAlignment="1">
      <alignment horizontal="center" vertical="center"/>
    </xf>
    <xf numFmtId="0" fontId="320" fillId="4" borderId="0" xfId="10742" applyFont="1" applyFill="1" applyAlignment="1">
      <alignment horizontal="left" vertical="center"/>
    </xf>
    <xf numFmtId="199" fontId="73" fillId="4" borderId="1" xfId="10742" applyNumberFormat="1" applyFont="1" applyFill="1" applyBorder="1" applyAlignment="1">
      <alignment horizontal="center" vertical="center"/>
    </xf>
    <xf numFmtId="178" fontId="73" fillId="4" borderId="1" xfId="10742" applyNumberFormat="1" applyFont="1" applyFill="1" applyBorder="1" applyAlignment="1">
      <alignment horizontal="right" vertical="center"/>
    </xf>
    <xf numFmtId="178" fontId="73" fillId="4" borderId="69" xfId="10742" applyNumberFormat="1" applyFont="1" applyFill="1" applyBorder="1" applyAlignment="1">
      <alignment horizontal="right" vertical="center"/>
    </xf>
    <xf numFmtId="0" fontId="73" fillId="4" borderId="23" xfId="10742" applyFont="1" applyFill="1" applyBorder="1" applyAlignment="1">
      <alignment horizontal="center" vertical="center" shrinkToFit="1"/>
    </xf>
    <xf numFmtId="0" fontId="73" fillId="4" borderId="84" xfId="10742" applyFont="1" applyFill="1" applyBorder="1" applyAlignment="1">
      <alignment horizontal="center" vertical="center" shrinkToFit="1"/>
    </xf>
    <xf numFmtId="192" fontId="73" fillId="4" borderId="84" xfId="10742" applyNumberFormat="1" applyFont="1" applyFill="1" applyBorder="1" applyAlignment="1">
      <alignment horizontal="center" vertical="center" shrinkToFit="1"/>
    </xf>
    <xf numFmtId="192" fontId="73" fillId="4" borderId="85" xfId="10742" applyNumberFormat="1" applyFont="1" applyFill="1" applyBorder="1" applyAlignment="1">
      <alignment horizontal="center" vertical="center" shrinkToFit="1"/>
    </xf>
    <xf numFmtId="201" fontId="73" fillId="4" borderId="1" xfId="10742" applyNumberFormat="1" applyFont="1" applyFill="1" applyBorder="1" applyAlignment="1">
      <alignment horizontal="center" vertical="center" shrinkToFit="1"/>
    </xf>
    <xf numFmtId="201" fontId="73" fillId="4" borderId="69" xfId="10742" applyNumberFormat="1" applyFont="1" applyFill="1" applyBorder="1" applyAlignment="1">
      <alignment horizontal="center" vertical="center" shrinkToFit="1"/>
    </xf>
    <xf numFmtId="201" fontId="73" fillId="4" borderId="30" xfId="10742" applyNumberFormat="1" applyFont="1" applyFill="1" applyBorder="1" applyAlignment="1">
      <alignment horizontal="center" vertical="center" shrinkToFit="1"/>
    </xf>
    <xf numFmtId="201" fontId="73" fillId="4" borderId="94" xfId="10742" applyNumberFormat="1" applyFont="1" applyFill="1" applyBorder="1" applyAlignment="1">
      <alignment horizontal="center" vertical="center" shrinkToFit="1"/>
    </xf>
    <xf numFmtId="192" fontId="73" fillId="4" borderId="4" xfId="10742" applyNumberFormat="1" applyFont="1" applyFill="1" applyBorder="1" applyAlignment="1">
      <alignment horizontal="center" vertical="center" shrinkToFit="1"/>
    </xf>
    <xf numFmtId="192" fontId="73" fillId="4" borderId="5" xfId="10742" applyNumberFormat="1" applyFont="1" applyFill="1" applyBorder="1" applyAlignment="1">
      <alignment horizontal="center" vertical="center" shrinkToFit="1"/>
    </xf>
    <xf numFmtId="0" fontId="73" fillId="4" borderId="4" xfId="10742" applyFont="1" applyFill="1" applyBorder="1" applyAlignment="1">
      <alignment horizontal="distributed" vertical="center" indent="1"/>
    </xf>
    <xf numFmtId="192" fontId="73" fillId="4" borderId="84" xfId="10742" applyNumberFormat="1" applyFont="1" applyFill="1" applyBorder="1" applyAlignment="1">
      <alignment vertical="center"/>
    </xf>
    <xf numFmtId="192" fontId="73" fillId="4" borderId="85" xfId="10742" applyNumberFormat="1" applyFont="1" applyFill="1" applyBorder="1" applyAlignment="1">
      <alignment vertical="center"/>
    </xf>
    <xf numFmtId="192" fontId="73" fillId="4" borderId="1" xfId="10742" applyNumberFormat="1" applyFont="1" applyFill="1" applyBorder="1" applyAlignment="1">
      <alignment vertical="center"/>
    </xf>
    <xf numFmtId="192" fontId="73" fillId="4" borderId="69" xfId="10742" applyNumberFormat="1" applyFont="1" applyFill="1" applyBorder="1" applyAlignment="1">
      <alignment vertical="center"/>
    </xf>
    <xf numFmtId="192" fontId="73" fillId="4" borderId="4" xfId="10742" applyNumberFormat="1" applyFont="1" applyFill="1" applyBorder="1" applyAlignment="1">
      <alignment vertical="center"/>
    </xf>
    <xf numFmtId="192" fontId="73" fillId="4" borderId="5" xfId="10742" applyNumberFormat="1" applyFont="1" applyFill="1" applyBorder="1" applyAlignment="1">
      <alignment vertical="center"/>
    </xf>
    <xf numFmtId="192" fontId="73" fillId="4" borderId="1" xfId="10742" applyNumberFormat="1" applyFont="1" applyFill="1" applyBorder="1" applyAlignment="1">
      <alignment vertical="center" shrinkToFit="1"/>
    </xf>
    <xf numFmtId="192" fontId="73" fillId="4" borderId="64" xfId="10742" applyNumberFormat="1" applyFont="1" applyFill="1" applyBorder="1" applyAlignment="1">
      <alignment horizontal="center" vertical="center" shrinkToFit="1"/>
    </xf>
    <xf numFmtId="0" fontId="73" fillId="4" borderId="92" xfId="10742" applyFont="1" applyFill="1" applyBorder="1" applyAlignment="1">
      <alignment horizontal="left" vertical="center"/>
    </xf>
    <xf numFmtId="0" fontId="73" fillId="4" borderId="9" xfId="10742" applyFont="1" applyFill="1" applyBorder="1" applyAlignment="1">
      <alignment horizontal="left" vertical="center"/>
    </xf>
    <xf numFmtId="0" fontId="73" fillId="4" borderId="22" xfId="10742" applyFont="1" applyFill="1" applyBorder="1" applyAlignment="1">
      <alignment horizontal="left" vertical="center"/>
    </xf>
    <xf numFmtId="0" fontId="73" fillId="4" borderId="93" xfId="10742" applyFont="1" applyFill="1" applyBorder="1" applyAlignment="1">
      <alignment horizontal="center" vertical="center" wrapText="1"/>
    </xf>
    <xf numFmtId="0" fontId="73" fillId="4" borderId="30" xfId="10742" applyFont="1" applyFill="1" applyBorder="1" applyAlignment="1">
      <alignment horizontal="center" vertical="center" wrapText="1"/>
    </xf>
    <xf numFmtId="192" fontId="73" fillId="4" borderId="65" xfId="10742" applyNumberFormat="1" applyFont="1" applyFill="1" applyBorder="1" applyAlignment="1">
      <alignment horizontal="center" vertical="center" shrinkToFit="1"/>
    </xf>
    <xf numFmtId="192" fontId="73" fillId="4" borderId="1" xfId="10742" applyNumberFormat="1" applyFont="1" applyFill="1" applyBorder="1" applyAlignment="1">
      <alignment horizontal="center" vertical="center" shrinkToFit="1"/>
    </xf>
    <xf numFmtId="192" fontId="73" fillId="4" borderId="69" xfId="10742" applyNumberFormat="1" applyFont="1" applyFill="1" applyBorder="1" applyAlignment="1">
      <alignment horizontal="center" vertical="center" shrinkToFit="1"/>
    </xf>
    <xf numFmtId="192" fontId="73" fillId="4" borderId="23" xfId="10742" applyNumberFormat="1" applyFont="1" applyFill="1" applyBorder="1" applyAlignment="1">
      <alignment horizontal="center" vertical="center" shrinkToFit="1"/>
    </xf>
    <xf numFmtId="192" fontId="73" fillId="4" borderId="67" xfId="10742" applyNumberFormat="1" applyFont="1" applyFill="1" applyBorder="1" applyAlignment="1">
      <alignment horizontal="center" vertical="center" shrinkToFit="1"/>
    </xf>
    <xf numFmtId="192" fontId="73" fillId="4" borderId="4" xfId="10742" applyNumberFormat="1" applyFont="1" applyFill="1" applyBorder="1" applyAlignment="1">
      <alignment vertical="center" shrinkToFit="1"/>
    </xf>
    <xf numFmtId="192" fontId="73" fillId="4" borderId="84" xfId="10742" applyNumberFormat="1" applyFont="1" applyFill="1" applyBorder="1" applyAlignment="1">
      <alignment vertical="center" shrinkToFit="1"/>
    </xf>
    <xf numFmtId="200" fontId="73" fillId="4" borderId="84" xfId="10742" applyNumberFormat="1" applyFont="1" applyFill="1" applyBorder="1" applyAlignment="1">
      <alignment horizontal="center" vertical="center"/>
    </xf>
    <xf numFmtId="0" fontId="73" fillId="4" borderId="91" xfId="10742" applyFont="1" applyFill="1" applyBorder="1" applyAlignment="1">
      <alignment horizontal="center" vertical="center" wrapText="1"/>
    </xf>
    <xf numFmtId="0" fontId="73" fillId="4" borderId="84" xfId="10742" applyFont="1" applyFill="1" applyBorder="1" applyAlignment="1">
      <alignment horizontal="center" vertical="center" wrapText="1"/>
    </xf>
    <xf numFmtId="0" fontId="73" fillId="4" borderId="45" xfId="10742" applyFont="1" applyFill="1" applyBorder="1" applyAlignment="1">
      <alignment horizontal="center" vertical="center" wrapText="1"/>
    </xf>
    <xf numFmtId="0" fontId="73" fillId="4" borderId="4" xfId="10742" applyFont="1" applyFill="1" applyBorder="1" applyAlignment="1">
      <alignment horizontal="center" vertical="center" wrapText="1"/>
    </xf>
    <xf numFmtId="0" fontId="73" fillId="4" borderId="84" xfId="10742" applyFont="1" applyFill="1" applyBorder="1" applyAlignment="1">
      <alignment horizontal="distributed" vertical="center" indent="1"/>
    </xf>
    <xf numFmtId="182" fontId="73" fillId="4" borderId="1" xfId="10742" applyNumberFormat="1" applyFont="1" applyFill="1" applyBorder="1" applyAlignment="1">
      <alignment horizontal="center" vertical="center"/>
    </xf>
    <xf numFmtId="0" fontId="73" fillId="4" borderId="45" xfId="10742" applyFont="1" applyFill="1" applyBorder="1" applyAlignment="1">
      <alignment horizontal="center" vertical="center"/>
    </xf>
    <xf numFmtId="0" fontId="73" fillId="4" borderId="68" xfId="10742" applyFont="1" applyFill="1" applyBorder="1" applyAlignment="1">
      <alignment horizontal="left" vertical="center"/>
    </xf>
    <xf numFmtId="0" fontId="73" fillId="4" borderId="25" xfId="10742" applyFont="1" applyFill="1" applyBorder="1" applyAlignment="1">
      <alignment horizontal="left" vertical="center"/>
    </xf>
    <xf numFmtId="0" fontId="73" fillId="4" borderId="21" xfId="10742" applyFont="1" applyFill="1" applyBorder="1" applyAlignment="1">
      <alignment horizontal="left" vertical="center"/>
    </xf>
    <xf numFmtId="0" fontId="73" fillId="4" borderId="84" xfId="10742" applyFont="1" applyFill="1" applyBorder="1" applyAlignment="1">
      <alignment horizontal="center" vertical="center"/>
    </xf>
    <xf numFmtId="193" fontId="73" fillId="4" borderId="23" xfId="10742" applyNumberFormat="1" applyFont="1" applyFill="1" applyBorder="1" applyAlignment="1">
      <alignment horizontal="center" vertical="center"/>
    </xf>
    <xf numFmtId="193" fontId="73" fillId="4" borderId="67" xfId="10742" applyNumberFormat="1" applyFont="1" applyFill="1" applyBorder="1" applyAlignment="1">
      <alignment horizontal="center" vertical="center"/>
    </xf>
    <xf numFmtId="0" fontId="73" fillId="4" borderId="30" xfId="10742" applyFont="1" applyFill="1" applyBorder="1" applyAlignment="1">
      <alignment horizontal="distributed" vertical="center" indent="1"/>
    </xf>
    <xf numFmtId="200" fontId="73" fillId="4" borderId="4" xfId="10742" applyNumberFormat="1" applyFont="1" applyFill="1" applyBorder="1" applyAlignment="1">
      <alignment horizontal="center" vertical="center"/>
    </xf>
    <xf numFmtId="192" fontId="73" fillId="4" borderId="69" xfId="10742" applyNumberFormat="1" applyFont="1" applyFill="1" applyBorder="1" applyAlignment="1">
      <alignment horizontal="right" vertical="center" shrinkToFit="1"/>
    </xf>
    <xf numFmtId="0" fontId="73" fillId="4" borderId="24" xfId="10742" applyFont="1" applyFill="1" applyBorder="1" applyAlignment="1">
      <alignment horizontal="center" vertical="center"/>
    </xf>
    <xf numFmtId="0" fontId="73" fillId="4" borderId="80" xfId="10742" applyFont="1" applyFill="1" applyBorder="1" applyAlignment="1">
      <alignment horizontal="center" vertical="center"/>
    </xf>
    <xf numFmtId="0" fontId="73" fillId="4" borderId="74" xfId="10742" applyFont="1" applyFill="1" applyBorder="1" applyAlignment="1">
      <alignment horizontal="center" vertical="center"/>
    </xf>
    <xf numFmtId="0" fontId="73" fillId="4" borderId="75" xfId="10742" applyFont="1" applyFill="1" applyBorder="1" applyAlignment="1">
      <alignment horizontal="center" vertical="center"/>
    </xf>
    <xf numFmtId="178" fontId="73" fillId="4" borderId="64" xfId="10742" applyNumberFormat="1" applyFont="1" applyFill="1" applyBorder="1" applyAlignment="1">
      <alignment horizontal="center" vertical="center"/>
    </xf>
    <xf numFmtId="178" fontId="73" fillId="4" borderId="65" xfId="10742" applyNumberFormat="1" applyFont="1" applyFill="1" applyBorder="1" applyAlignment="1">
      <alignment horizontal="center" vertical="center"/>
    </xf>
    <xf numFmtId="0" fontId="73" fillId="4" borderId="66" xfId="10742" applyFont="1" applyFill="1" applyBorder="1" applyAlignment="1">
      <alignment horizontal="center" vertical="center"/>
    </xf>
    <xf numFmtId="0" fontId="73" fillId="4" borderId="23" xfId="10742" applyFont="1" applyFill="1" applyBorder="1" applyAlignment="1">
      <alignment horizontal="left" vertical="center" indent="1"/>
    </xf>
    <xf numFmtId="41" fontId="73" fillId="4" borderId="4" xfId="10742" applyNumberFormat="1" applyFont="1" applyFill="1" applyBorder="1" applyAlignment="1">
      <alignment horizontal="center" vertical="center" shrinkToFit="1"/>
    </xf>
    <xf numFmtId="0" fontId="73" fillId="4" borderId="124" xfId="10742" applyFont="1" applyFill="1" applyBorder="1" applyAlignment="1">
      <alignment horizontal="center" vertical="center"/>
    </xf>
    <xf numFmtId="0" fontId="73" fillId="4" borderId="66" xfId="10742" applyFont="1" applyFill="1" applyBorder="1" applyAlignment="1">
      <alignment horizontal="distributed" vertical="center" indent="1"/>
    </xf>
    <xf numFmtId="0" fontId="73" fillId="4" borderId="23" xfId="10742" applyFont="1" applyFill="1" applyBorder="1" applyAlignment="1">
      <alignment horizontal="distributed" vertical="center" indent="1"/>
    </xf>
    <xf numFmtId="0" fontId="73" fillId="4" borderId="45" xfId="10742" applyFont="1" applyFill="1" applyBorder="1" applyAlignment="1">
      <alignment horizontal="distributed" vertical="center" indent="1"/>
    </xf>
    <xf numFmtId="0" fontId="73" fillId="4" borderId="24" xfId="10742" applyFont="1" applyFill="1" applyBorder="1" applyAlignment="1">
      <alignment horizontal="center" vertical="center" shrinkToFit="1"/>
    </xf>
    <xf numFmtId="0" fontId="73" fillId="4" borderId="25" xfId="10742" applyFont="1" applyFill="1" applyBorder="1" applyAlignment="1">
      <alignment horizontal="center" vertical="center" shrinkToFit="1"/>
    </xf>
    <xf numFmtId="0" fontId="73" fillId="4" borderId="21" xfId="10742" applyFont="1" applyFill="1" applyBorder="1" applyAlignment="1">
      <alignment horizontal="center" vertical="center" shrinkToFit="1"/>
    </xf>
    <xf numFmtId="0" fontId="319" fillId="4" borderId="25" xfId="10742" applyFont="1" applyFill="1" applyBorder="1"/>
    <xf numFmtId="0" fontId="319" fillId="4" borderId="21" xfId="10742" applyFont="1" applyFill="1" applyBorder="1"/>
    <xf numFmtId="199" fontId="73" fillId="4" borderId="1" xfId="10742" applyNumberFormat="1" applyFont="1" applyFill="1" applyBorder="1" applyAlignment="1">
      <alignment horizontal="center" vertical="center" shrinkToFit="1"/>
    </xf>
    <xf numFmtId="0" fontId="73" fillId="4" borderId="24" xfId="10742" applyFont="1" applyFill="1" applyBorder="1" applyAlignment="1">
      <alignment horizontal="left" vertical="center" indent="1"/>
    </xf>
    <xf numFmtId="0" fontId="73" fillId="4" borderId="25" xfId="10742" applyFont="1" applyFill="1" applyBorder="1" applyAlignment="1">
      <alignment horizontal="left" vertical="center" indent="1"/>
    </xf>
    <xf numFmtId="0" fontId="73" fillId="4" borderId="21" xfId="10742" applyFont="1" applyFill="1" applyBorder="1" applyAlignment="1">
      <alignment horizontal="left" vertical="center" indent="1"/>
    </xf>
    <xf numFmtId="199" fontId="73" fillId="4" borderId="1" xfId="10742" applyNumberFormat="1" applyFont="1" applyFill="1" applyBorder="1" applyAlignment="1">
      <alignment horizontal="right" vertical="center" shrinkToFit="1"/>
    </xf>
    <xf numFmtId="0" fontId="73" fillId="4" borderId="66" xfId="10742" applyFont="1" applyFill="1" applyBorder="1" applyAlignment="1">
      <alignment horizontal="center" vertical="center" wrapText="1"/>
    </xf>
    <xf numFmtId="0" fontId="73" fillId="4" borderId="23" xfId="10742" applyFont="1" applyFill="1" applyBorder="1" applyAlignment="1">
      <alignment horizontal="center" vertical="center" wrapText="1"/>
    </xf>
    <xf numFmtId="41" fontId="73" fillId="4" borderId="1" xfId="10742" applyNumberFormat="1" applyFont="1" applyFill="1" applyBorder="1" applyAlignment="1">
      <alignment horizontal="center" vertical="center" shrinkToFit="1"/>
    </xf>
    <xf numFmtId="0" fontId="73" fillId="4" borderId="3" xfId="10742" applyFont="1" applyFill="1" applyBorder="1" applyAlignment="1">
      <alignment horizontal="distributed" vertical="center" indent="1"/>
    </xf>
    <xf numFmtId="0" fontId="73" fillId="4" borderId="135" xfId="10742" applyFont="1" applyFill="1" applyBorder="1" applyAlignment="1">
      <alignment horizontal="distributed" vertical="center" indent="1"/>
    </xf>
    <xf numFmtId="0" fontId="319" fillId="4" borderId="90" xfId="10742" applyFont="1" applyFill="1" applyBorder="1"/>
    <xf numFmtId="192" fontId="73" fillId="4" borderId="24" xfId="10742" applyNumberFormat="1" applyFont="1" applyFill="1" applyBorder="1" applyAlignment="1">
      <alignment horizontal="center"/>
    </xf>
    <xf numFmtId="192" fontId="73" fillId="4" borderId="25" xfId="10742" applyNumberFormat="1" applyFont="1" applyFill="1" applyBorder="1" applyAlignment="1">
      <alignment horizontal="center"/>
    </xf>
    <xf numFmtId="0" fontId="73" fillId="4" borderId="88" xfId="10742" applyFont="1" applyFill="1" applyBorder="1" applyAlignment="1">
      <alignment horizontal="center" vertical="center"/>
    </xf>
    <xf numFmtId="0" fontId="73" fillId="4" borderId="161" xfId="10742" applyFont="1" applyFill="1" applyBorder="1" applyAlignment="1">
      <alignment horizontal="center" vertical="center"/>
    </xf>
    <xf numFmtId="41" fontId="73" fillId="4" borderId="23" xfId="10742" applyNumberFormat="1" applyFont="1" applyFill="1" applyBorder="1" applyAlignment="1">
      <alignment horizontal="center" vertical="center" shrinkToFit="1"/>
    </xf>
    <xf numFmtId="194" fontId="73" fillId="4" borderId="23" xfId="10742" applyNumberFormat="1" applyFont="1" applyFill="1" applyBorder="1" applyAlignment="1">
      <alignment horizontal="center" vertical="center"/>
    </xf>
    <xf numFmtId="199" fontId="73" fillId="4" borderId="23" xfId="10742" applyNumberFormat="1" applyFont="1" applyFill="1" applyBorder="1" applyAlignment="1">
      <alignment horizontal="center" vertical="center"/>
    </xf>
    <xf numFmtId="0" fontId="73" fillId="4" borderId="71" xfId="10742" applyFont="1" applyFill="1" applyBorder="1" applyAlignment="1">
      <alignment horizontal="left" vertical="center" wrapText="1"/>
    </xf>
    <xf numFmtId="0" fontId="73" fillId="4" borderId="71" xfId="10742" applyFont="1" applyFill="1" applyBorder="1" applyAlignment="1">
      <alignment horizontal="left" vertical="center"/>
    </xf>
    <xf numFmtId="0" fontId="73" fillId="4" borderId="68" xfId="10742" applyFont="1" applyFill="1" applyBorder="1" applyAlignment="1">
      <alignment horizontal="center" vertical="center"/>
    </xf>
    <xf numFmtId="199" fontId="73" fillId="4" borderId="4" xfId="10742" applyNumberFormat="1" applyFont="1" applyFill="1" applyBorder="1" applyAlignment="1">
      <alignment horizontal="center" vertical="center"/>
    </xf>
    <xf numFmtId="192" fontId="73" fillId="4" borderId="30" xfId="10742" applyNumberFormat="1" applyFont="1" applyFill="1" applyBorder="1" applyAlignment="1">
      <alignment vertical="center" shrinkToFit="1"/>
    </xf>
    <xf numFmtId="194" fontId="73" fillId="4" borderId="84" xfId="10742" applyNumberFormat="1" applyFont="1" applyFill="1" applyBorder="1" applyAlignment="1">
      <alignment horizontal="center" vertical="center" shrinkToFit="1"/>
    </xf>
    <xf numFmtId="192" fontId="73" fillId="4" borderId="30" xfId="10742" applyNumberFormat="1" applyFont="1" applyFill="1" applyBorder="1" applyAlignment="1">
      <alignment vertical="center"/>
    </xf>
    <xf numFmtId="192" fontId="73" fillId="4" borderId="94" xfId="10742" applyNumberFormat="1" applyFont="1" applyFill="1" applyBorder="1" applyAlignment="1">
      <alignment vertical="center"/>
    </xf>
    <xf numFmtId="194" fontId="73" fillId="0" borderId="30" xfId="10742" applyNumberFormat="1" applyFont="1" applyBorder="1" applyAlignment="1">
      <alignment horizontal="center" vertical="center"/>
    </xf>
    <xf numFmtId="203" fontId="73" fillId="4" borderId="31" xfId="10742" applyNumberFormat="1" applyFont="1" applyFill="1" applyBorder="1" applyAlignment="1">
      <alignment horizontal="center" vertical="center" shrinkToFit="1"/>
    </xf>
    <xf numFmtId="203" fontId="73" fillId="4" borderId="28" xfId="10742" applyNumberFormat="1" applyFont="1" applyFill="1" applyBorder="1" applyAlignment="1">
      <alignment horizontal="center" vertical="center" shrinkToFit="1"/>
    </xf>
    <xf numFmtId="203" fontId="73" fillId="4" borderId="108" xfId="10742" applyNumberFormat="1" applyFont="1" applyFill="1" applyBorder="1" applyAlignment="1">
      <alignment horizontal="center" vertical="center" shrinkToFit="1"/>
    </xf>
    <xf numFmtId="192" fontId="73" fillId="4" borderId="1" xfId="10742" applyNumberFormat="1" applyFont="1" applyFill="1" applyBorder="1" applyAlignment="1">
      <alignment horizontal="center" vertical="center"/>
    </xf>
    <xf numFmtId="0" fontId="73" fillId="4" borderId="93" xfId="10742" applyFont="1" applyFill="1" applyBorder="1" applyAlignment="1">
      <alignment horizontal="center" vertical="center"/>
    </xf>
    <xf numFmtId="0" fontId="73" fillId="4" borderId="30" xfId="10742" applyFont="1" applyFill="1" applyBorder="1" applyAlignment="1">
      <alignment horizontal="center" vertical="center"/>
    </xf>
    <xf numFmtId="0" fontId="191" fillId="4" borderId="70" xfId="10742" applyFont="1" applyFill="1" applyBorder="1" applyAlignment="1">
      <alignment horizontal="center" vertical="center" wrapText="1"/>
    </xf>
    <xf numFmtId="0" fontId="191" fillId="4" borderId="1" xfId="10742" applyFont="1" applyFill="1" applyBorder="1" applyAlignment="1">
      <alignment horizontal="center" vertical="center" wrapText="1"/>
    </xf>
    <xf numFmtId="0" fontId="191" fillId="4" borderId="93" xfId="10742" applyFont="1" applyFill="1" applyBorder="1" applyAlignment="1">
      <alignment horizontal="center" vertical="center" wrapText="1"/>
    </xf>
    <xf numFmtId="0" fontId="191" fillId="4" borderId="30" xfId="10742" applyFont="1" applyFill="1" applyBorder="1" applyAlignment="1">
      <alignment horizontal="center" vertical="center" wrapText="1"/>
    </xf>
    <xf numFmtId="189" fontId="73" fillId="4" borderId="0" xfId="10742" applyNumberFormat="1" applyFont="1" applyFill="1" applyAlignment="1">
      <alignment horizontal="center" vertical="center"/>
    </xf>
    <xf numFmtId="0" fontId="319" fillId="4" borderId="96" xfId="10742" applyFont="1" applyFill="1" applyBorder="1"/>
    <xf numFmtId="0" fontId="319" fillId="4" borderId="97" xfId="10742" applyFont="1" applyFill="1" applyBorder="1"/>
    <xf numFmtId="194" fontId="73" fillId="4" borderId="84" xfId="10742" applyNumberFormat="1" applyFont="1" applyFill="1" applyBorder="1" applyAlignment="1">
      <alignment horizontal="center" vertical="center"/>
    </xf>
    <xf numFmtId="194" fontId="73" fillId="4" borderId="30" xfId="10742" applyNumberFormat="1" applyFont="1" applyFill="1" applyBorder="1" applyAlignment="1">
      <alignment horizontal="center" vertical="center"/>
    </xf>
    <xf numFmtId="0" fontId="326" fillId="4" borderId="70" xfId="10742" applyFont="1" applyFill="1" applyBorder="1" applyAlignment="1">
      <alignment horizontal="center" vertical="center" wrapText="1"/>
    </xf>
    <xf numFmtId="0" fontId="326" fillId="4" borderId="1" xfId="10742" applyFont="1" applyFill="1" applyBorder="1" applyAlignment="1">
      <alignment horizontal="center" vertical="center"/>
    </xf>
    <xf numFmtId="0" fontId="326" fillId="4" borderId="45" xfId="10742" applyFont="1" applyFill="1" applyBorder="1" applyAlignment="1">
      <alignment horizontal="center" vertical="center"/>
    </xf>
    <xf numFmtId="0" fontId="326" fillId="4" borderId="4" xfId="10742" applyFont="1" applyFill="1" applyBorder="1" applyAlignment="1">
      <alignment horizontal="center" vertical="center"/>
    </xf>
    <xf numFmtId="41" fontId="189" fillId="4" borderId="0" xfId="10742" applyNumberFormat="1" applyFont="1" applyFill="1" applyAlignment="1">
      <alignment horizontal="center" vertical="center"/>
    </xf>
    <xf numFmtId="0" fontId="189" fillId="4" borderId="0" xfId="10742" applyFont="1" applyFill="1" applyAlignment="1">
      <alignment horizontal="center" vertical="center"/>
    </xf>
    <xf numFmtId="0" fontId="326" fillId="4" borderId="70" xfId="10742" applyFont="1" applyFill="1" applyBorder="1" applyAlignment="1">
      <alignment horizontal="center" vertical="center"/>
    </xf>
    <xf numFmtId="0" fontId="326" fillId="4" borderId="91" xfId="10742" applyFont="1" applyFill="1" applyBorder="1" applyAlignment="1">
      <alignment horizontal="center" vertical="center" wrapText="1"/>
    </xf>
    <xf numFmtId="0" fontId="326" fillId="4" borderId="84" xfId="10742" applyFont="1" applyFill="1" applyBorder="1" applyAlignment="1">
      <alignment horizontal="center" vertical="center"/>
    </xf>
    <xf numFmtId="0" fontId="326" fillId="4" borderId="93" xfId="10742" applyFont="1" applyFill="1" applyBorder="1" applyAlignment="1">
      <alignment horizontal="center" vertical="center"/>
    </xf>
    <xf numFmtId="0" fontId="326" fillId="4" borderId="30" xfId="10742" applyFont="1" applyFill="1" applyBorder="1" applyAlignment="1">
      <alignment horizontal="center" vertical="center"/>
    </xf>
    <xf numFmtId="0" fontId="73" fillId="4" borderId="109" xfId="10742" applyFont="1" applyFill="1" applyBorder="1" applyAlignment="1">
      <alignment horizontal="center" vertical="center"/>
    </xf>
    <xf numFmtId="0" fontId="73" fillId="4" borderId="29" xfId="10742" applyFont="1" applyFill="1" applyBorder="1" applyAlignment="1">
      <alignment horizontal="center" vertical="center"/>
    </xf>
    <xf numFmtId="0" fontId="73" fillId="4" borderId="30" xfId="10742" applyFont="1" applyFill="1" applyBorder="1" applyAlignment="1">
      <alignment horizontal="left" vertical="center" indent="1"/>
    </xf>
    <xf numFmtId="182" fontId="73" fillId="4" borderId="30" xfId="10742" applyNumberFormat="1" applyFont="1" applyFill="1" applyBorder="1" applyAlignment="1">
      <alignment horizontal="center" vertical="center"/>
    </xf>
    <xf numFmtId="0" fontId="73" fillId="4" borderId="31" xfId="10742" applyFont="1" applyFill="1" applyBorder="1" applyAlignment="1">
      <alignment horizontal="center" vertical="center"/>
    </xf>
    <xf numFmtId="0" fontId="73" fillId="4" borderId="110" xfId="10742" applyFont="1" applyFill="1" applyBorder="1" applyAlignment="1">
      <alignment horizontal="center" vertical="center"/>
    </xf>
    <xf numFmtId="193" fontId="73" fillId="4" borderId="30" xfId="10742" applyNumberFormat="1" applyFont="1" applyFill="1" applyBorder="1" applyAlignment="1">
      <alignment horizontal="center" vertical="center"/>
    </xf>
    <xf numFmtId="193" fontId="73" fillId="4" borderId="94" xfId="10742" applyNumberFormat="1" applyFont="1" applyFill="1" applyBorder="1" applyAlignment="1">
      <alignment horizontal="center" vertical="center"/>
    </xf>
    <xf numFmtId="192" fontId="73" fillId="4" borderId="32" xfId="10742" applyNumberFormat="1" applyFont="1" applyFill="1" applyBorder="1" applyAlignment="1">
      <alignment horizontal="right" vertical="center" shrinkToFit="1"/>
    </xf>
    <xf numFmtId="192" fontId="73" fillId="4" borderId="111" xfId="10742" applyNumberFormat="1" applyFont="1" applyFill="1" applyBorder="1" applyAlignment="1">
      <alignment horizontal="right" vertical="center" shrinkToFit="1"/>
    </xf>
    <xf numFmtId="0" fontId="73" fillId="4" borderId="93" xfId="10742" applyFont="1" applyFill="1" applyBorder="1" applyAlignment="1">
      <alignment horizontal="left" vertical="center"/>
    </xf>
    <xf numFmtId="0" fontId="73" fillId="4" borderId="30" xfId="10742" applyFont="1" applyFill="1" applyBorder="1" applyAlignment="1">
      <alignment horizontal="left" vertical="center"/>
    </xf>
    <xf numFmtId="0" fontId="333" fillId="4" borderId="1" xfId="10742" applyFont="1" applyFill="1" applyBorder="1" applyAlignment="1">
      <alignment horizontal="left" vertical="center" wrapText="1"/>
    </xf>
    <xf numFmtId="0" fontId="333" fillId="4" borderId="1" xfId="10742" applyFont="1" applyFill="1" applyBorder="1" applyAlignment="1">
      <alignment horizontal="left" vertical="center"/>
    </xf>
    <xf numFmtId="0" fontId="333" fillId="4" borderId="4" xfId="10742" applyFont="1" applyFill="1" applyBorder="1" applyAlignment="1">
      <alignment horizontal="left" vertical="center" wrapText="1"/>
    </xf>
    <xf numFmtId="0" fontId="333" fillId="4" borderId="4" xfId="10742" applyFont="1" applyFill="1" applyBorder="1" applyAlignment="1">
      <alignment horizontal="left" vertical="center"/>
    </xf>
    <xf numFmtId="0" fontId="326" fillId="4" borderId="4" xfId="10742" applyFont="1" applyFill="1" applyBorder="1" applyAlignment="1">
      <alignment horizontal="center" vertical="center" wrapText="1"/>
    </xf>
    <xf numFmtId="193" fontId="73" fillId="4" borderId="1" xfId="10742" applyNumberFormat="1" applyFont="1" applyFill="1" applyBorder="1" applyAlignment="1">
      <alignment horizontal="center" vertical="center"/>
    </xf>
    <xf numFmtId="193" fontId="73" fillId="4" borderId="69" xfId="10742" applyNumberFormat="1" applyFont="1" applyFill="1" applyBorder="1" applyAlignment="1">
      <alignment horizontal="center" vertical="center"/>
    </xf>
    <xf numFmtId="0" fontId="326" fillId="4" borderId="1" xfId="10742" applyFont="1" applyFill="1" applyBorder="1" applyAlignment="1">
      <alignment horizontal="center" vertical="center" wrapText="1"/>
    </xf>
    <xf numFmtId="0" fontId="39" fillId="3" borderId="47" xfId="0" applyFont="1" applyFill="1" applyBorder="1" applyAlignment="1">
      <alignment horizontal="center" vertical="center"/>
    </xf>
    <xf numFmtId="0" fontId="39" fillId="3" borderId="19" xfId="0" applyFont="1" applyFill="1" applyBorder="1" applyAlignment="1">
      <alignment horizontal="center" vertical="center"/>
    </xf>
    <xf numFmtId="0" fontId="31" fillId="0" borderId="31" xfId="0" applyFont="1" applyBorder="1" applyAlignment="1">
      <alignment horizontal="center" vertical="center"/>
    </xf>
    <xf numFmtId="0" fontId="31" fillId="0" borderId="28" xfId="0" applyFont="1" applyBorder="1" applyAlignment="1">
      <alignment horizontal="center" vertical="center"/>
    </xf>
    <xf numFmtId="0" fontId="31" fillId="0" borderId="43" xfId="0" applyFont="1" applyBorder="1" applyAlignment="1">
      <alignment horizontal="center" vertical="center"/>
    </xf>
    <xf numFmtId="0" fontId="39" fillId="3" borderId="43" xfId="0" applyFont="1" applyFill="1" applyBorder="1" applyAlignment="1">
      <alignment horizontal="center" vertical="center"/>
    </xf>
    <xf numFmtId="0" fontId="39" fillId="3" borderId="17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1" fillId="0" borderId="48" xfId="0" applyFont="1" applyBorder="1" applyAlignment="1">
      <alignment horizontal="left" vertical="center" wrapText="1"/>
    </xf>
    <xf numFmtId="0" fontId="31" fillId="0" borderId="49" xfId="0" applyFont="1" applyBorder="1" applyAlignment="1">
      <alignment horizontal="center" vertical="center"/>
    </xf>
    <xf numFmtId="0" fontId="31" fillId="0" borderId="29" xfId="0" applyFont="1" applyBorder="1" applyAlignment="1">
      <alignment horizontal="center" vertical="center"/>
    </xf>
    <xf numFmtId="0" fontId="31" fillId="0" borderId="26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27" xfId="0" applyFont="1" applyBorder="1" applyAlignment="1">
      <alignment horizontal="center" vertical="center"/>
    </xf>
    <xf numFmtId="0" fontId="31" fillId="0" borderId="33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1" fillId="0" borderId="51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6" xfId="0" applyFont="1" applyBorder="1" applyAlignment="1">
      <alignment horizontal="center" vertical="center"/>
    </xf>
    <xf numFmtId="0" fontId="31" fillId="0" borderId="50" xfId="0" applyFont="1" applyBorder="1" applyAlignment="1">
      <alignment horizontal="center" vertical="center"/>
    </xf>
    <xf numFmtId="0" fontId="42" fillId="0" borderId="52" xfId="0" applyFont="1" applyBorder="1" applyAlignment="1">
      <alignment horizontal="center" vertical="center" wrapText="1"/>
    </xf>
    <xf numFmtId="0" fontId="42" fillId="0" borderId="53" xfId="0" applyFont="1" applyBorder="1" applyAlignment="1">
      <alignment horizontal="center" vertical="center" wrapText="1"/>
    </xf>
    <xf numFmtId="0" fontId="42" fillId="0" borderId="54" xfId="0" applyFont="1" applyBorder="1" applyAlignment="1">
      <alignment horizontal="center" vertical="center" wrapText="1"/>
    </xf>
    <xf numFmtId="0" fontId="42" fillId="0" borderId="55" xfId="0" applyFont="1" applyBorder="1" applyAlignment="1">
      <alignment horizontal="center" vertical="center" wrapText="1"/>
    </xf>
    <xf numFmtId="0" fontId="42" fillId="0" borderId="56" xfId="0" applyFont="1" applyBorder="1" applyAlignment="1">
      <alignment horizontal="center" vertical="center" wrapText="1"/>
    </xf>
    <xf numFmtId="0" fontId="42" fillId="0" borderId="57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41" fillId="0" borderId="58" xfId="0" applyFont="1" applyBorder="1" applyAlignment="1">
      <alignment horizontal="center" vertical="center" wrapText="1"/>
    </xf>
    <xf numFmtId="0" fontId="41" fillId="0" borderId="59" xfId="0" applyFont="1" applyBorder="1" applyAlignment="1">
      <alignment horizontal="center" vertical="center" wrapText="1"/>
    </xf>
    <xf numFmtId="0" fontId="42" fillId="0" borderId="60" xfId="0" applyFont="1" applyBorder="1" applyAlignment="1">
      <alignment horizontal="center" vertical="center" wrapText="1"/>
    </xf>
    <xf numFmtId="0" fontId="42" fillId="0" borderId="61" xfId="0" applyFont="1" applyBorder="1" applyAlignment="1">
      <alignment horizontal="center" vertical="center" wrapText="1"/>
    </xf>
    <xf numFmtId="0" fontId="42" fillId="0" borderId="62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5" fillId="0" borderId="1" xfId="0" applyNumberFormat="1" applyFont="1" applyBorder="1" applyAlignment="1">
      <alignment horizontal="center" vertical="center"/>
    </xf>
  </cellXfs>
  <cellStyles count="10754">
    <cellStyle name=" " xfId="977" xr:uid="{00000000-0005-0000-0000-000000000000}"/>
    <cellStyle name="            386grabber=vga.3gr  " xfId="5114" xr:uid="{00000000-0005-0000-0000-000001000000}"/>
    <cellStyle name="          _x000d__x000a_386grabber=vga.3gr_x000d__x000a_" xfId="978" xr:uid="{00000000-0005-0000-0000-000002000000}"/>
    <cellStyle name="  2" xfId="2396" xr:uid="{00000000-0005-0000-0000-000003000000}"/>
    <cellStyle name=" _97연말" xfId="979" xr:uid="{00000000-0005-0000-0000-000004000000}"/>
    <cellStyle name=" _97연말1" xfId="980" xr:uid="{00000000-0005-0000-0000-000005000000}"/>
    <cellStyle name=" _Book1" xfId="981" xr:uid="{00000000-0005-0000-0000-000006000000}"/>
    <cellStyle name="&quot;" xfId="982" xr:uid="{00000000-0005-0000-0000-000007000000}"/>
    <cellStyle name="&quot; 2" xfId="5115" xr:uid="{00000000-0005-0000-0000-000008000000}"/>
    <cellStyle name="&quot; 2 2" xfId="5116" xr:uid="{00000000-0005-0000-0000-000009000000}"/>
    <cellStyle name="&quot;큰제목&quot;" xfId="983" xr:uid="{00000000-0005-0000-0000-00000A000000}"/>
    <cellStyle name="#" xfId="2397" xr:uid="{00000000-0005-0000-0000-00000B000000}"/>
    <cellStyle name="# 2" xfId="5117" xr:uid="{00000000-0005-0000-0000-00000C000000}"/>
    <cellStyle name="# 2 2" xfId="5118" xr:uid="{00000000-0005-0000-0000-00000D000000}"/>
    <cellStyle name="#,##0" xfId="984" xr:uid="{00000000-0005-0000-0000-00000E000000}"/>
    <cellStyle name="#,##0 2" xfId="5119" xr:uid="{00000000-0005-0000-0000-00000F000000}"/>
    <cellStyle name="#,##0 2 2" xfId="5120" xr:uid="{00000000-0005-0000-0000-000010000000}"/>
    <cellStyle name="#,##0 2 2 2" xfId="5121" xr:uid="{00000000-0005-0000-0000-000011000000}"/>
    <cellStyle name="#,##0 3" xfId="5122" xr:uid="{00000000-0005-0000-0000-000012000000}"/>
    <cellStyle name="#,##0 3 2" xfId="5123" xr:uid="{00000000-0005-0000-0000-000013000000}"/>
    <cellStyle name="#,##0.0" xfId="2398" xr:uid="{00000000-0005-0000-0000-000014000000}"/>
    <cellStyle name="#,##0.0 2" xfId="5124" xr:uid="{00000000-0005-0000-0000-000015000000}"/>
    <cellStyle name="#,##0.0 2 2" xfId="5125" xr:uid="{00000000-0005-0000-0000-000016000000}"/>
    <cellStyle name="#,##0.00" xfId="2399" xr:uid="{00000000-0005-0000-0000-000017000000}"/>
    <cellStyle name="#,##0.00 2" xfId="5126" xr:uid="{00000000-0005-0000-0000-000018000000}"/>
    <cellStyle name="#,##0.00 2 2" xfId="5127" xr:uid="{00000000-0005-0000-0000-000019000000}"/>
    <cellStyle name="#,##0.000" xfId="2400" xr:uid="{00000000-0005-0000-0000-00001A000000}"/>
    <cellStyle name="#,##0.000 2" xfId="5128" xr:uid="{00000000-0005-0000-0000-00001B000000}"/>
    <cellStyle name="#,##0.000 2 2" xfId="5129" xr:uid="{00000000-0005-0000-0000-00001C000000}"/>
    <cellStyle name="#,##0_교통안전표지신설및교체공사" xfId="5130" xr:uid="{00000000-0005-0000-0000-00001D000000}"/>
    <cellStyle name="#_품셈 " xfId="985" xr:uid="{00000000-0005-0000-0000-00001E000000}"/>
    <cellStyle name="$" xfId="5131" xr:uid="{00000000-0005-0000-0000-00001F000000}"/>
    <cellStyle name="$ 2" xfId="5132" xr:uid="{00000000-0005-0000-0000-000020000000}"/>
    <cellStyle name="$ 2 2" xfId="5133" xr:uid="{00000000-0005-0000-0000-000021000000}"/>
    <cellStyle name="$_0008금감원통합감독검사정보시스템" xfId="5134" xr:uid="{00000000-0005-0000-0000-000022000000}"/>
    <cellStyle name="$_0008금감원통합감독검사정보시스템 2" xfId="5135" xr:uid="{00000000-0005-0000-0000-000023000000}"/>
    <cellStyle name="$_0008금감원통합감독검사정보시스템 2 2" xfId="5136" xr:uid="{00000000-0005-0000-0000-000024000000}"/>
    <cellStyle name="$_0009김포공항LED교체공사(광일)" xfId="5137" xr:uid="{00000000-0005-0000-0000-000025000000}"/>
    <cellStyle name="$_0009김포공항LED교체공사(광일) 2" xfId="5138" xr:uid="{00000000-0005-0000-0000-000026000000}"/>
    <cellStyle name="$_0009김포공항LED교체공사(광일) 2 2" xfId="5139" xr:uid="{00000000-0005-0000-0000-000027000000}"/>
    <cellStyle name="$_0011KIST소각설비제작설치" xfId="5140" xr:uid="{00000000-0005-0000-0000-000028000000}"/>
    <cellStyle name="$_0011KIST소각설비제작설치 2" xfId="5141" xr:uid="{00000000-0005-0000-0000-000029000000}"/>
    <cellStyle name="$_0011KIST소각설비제작설치 2 2" xfId="5142" xr:uid="{00000000-0005-0000-0000-00002A000000}"/>
    <cellStyle name="$_0011긴급전화기정산(99년형광일)" xfId="5143" xr:uid="{00000000-0005-0000-0000-00002B000000}"/>
    <cellStyle name="$_0011긴급전화기정산(99년형광일) 2" xfId="5144" xr:uid="{00000000-0005-0000-0000-00002C000000}"/>
    <cellStyle name="$_0011긴급전화기정산(99년형광일) 2 2" xfId="5145" xr:uid="{00000000-0005-0000-0000-00002D000000}"/>
    <cellStyle name="$_0011부산종합경기장전광판" xfId="5146" xr:uid="{00000000-0005-0000-0000-00002E000000}"/>
    <cellStyle name="$_0011부산종합경기장전광판 2" xfId="5147" xr:uid="{00000000-0005-0000-0000-00002F000000}"/>
    <cellStyle name="$_0011부산종합경기장전광판 2 2" xfId="5148" xr:uid="{00000000-0005-0000-0000-000030000000}"/>
    <cellStyle name="$_0012문화유적지표석제작설치" xfId="5149" xr:uid="{00000000-0005-0000-0000-000031000000}"/>
    <cellStyle name="$_0012문화유적지표석제작설치 2" xfId="5150" xr:uid="{00000000-0005-0000-0000-000032000000}"/>
    <cellStyle name="$_0012문화유적지표석제작설치 2 2" xfId="5151" xr:uid="{00000000-0005-0000-0000-000033000000}"/>
    <cellStyle name="$_0102국제조명신공항분수조명" xfId="5152" xr:uid="{00000000-0005-0000-0000-000034000000}"/>
    <cellStyle name="$_0102국제조명신공항분수조명 2" xfId="5153" xr:uid="{00000000-0005-0000-0000-000035000000}"/>
    <cellStyle name="$_0102국제조명신공항분수조명 2 2" xfId="5154" xr:uid="{00000000-0005-0000-0000-000036000000}"/>
    <cellStyle name="$_0103회전식현수막게시대제작설치" xfId="5155" xr:uid="{00000000-0005-0000-0000-000037000000}"/>
    <cellStyle name="$_0103회전식현수막게시대제작설치 2" xfId="5156" xr:uid="{00000000-0005-0000-0000-000038000000}"/>
    <cellStyle name="$_0103회전식현수막게시대제작설치 2 2" xfId="5157" xr:uid="{00000000-0005-0000-0000-000039000000}"/>
    <cellStyle name="$_0104포항시침출수처리시스템" xfId="5158" xr:uid="{00000000-0005-0000-0000-00003A000000}"/>
    <cellStyle name="$_0104포항시침출수처리시스템 2" xfId="5159" xr:uid="{00000000-0005-0000-0000-00003B000000}"/>
    <cellStyle name="$_0104포항시침출수처리시스템 2 2" xfId="5160" xr:uid="{00000000-0005-0000-0000-00003C000000}"/>
    <cellStyle name="$_0105담배자판기개조원가" xfId="5161" xr:uid="{00000000-0005-0000-0000-00003D000000}"/>
    <cellStyle name="$_0105담배자판기개조원가 2" xfId="5162" xr:uid="{00000000-0005-0000-0000-00003E000000}"/>
    <cellStyle name="$_0105담배자판기개조원가 2 2" xfId="5163" xr:uid="{00000000-0005-0000-0000-00003F000000}"/>
    <cellStyle name="$_0106LG인버터냉난방기제작-1" xfId="5164" xr:uid="{00000000-0005-0000-0000-000040000000}"/>
    <cellStyle name="$_0106LG인버터냉난방기제작-1 2" xfId="5165" xr:uid="{00000000-0005-0000-0000-000041000000}"/>
    <cellStyle name="$_0106LG인버터냉난방기제작-1 2 2" xfId="5166" xr:uid="{00000000-0005-0000-0000-000042000000}"/>
    <cellStyle name="$_0107광전송장비구매설치" xfId="5167" xr:uid="{00000000-0005-0000-0000-000043000000}"/>
    <cellStyle name="$_0107광전송장비구매설치 2" xfId="5168" xr:uid="{00000000-0005-0000-0000-000044000000}"/>
    <cellStyle name="$_0107광전송장비구매설치 2 2" xfId="5169" xr:uid="{00000000-0005-0000-0000-000045000000}"/>
    <cellStyle name="$_0107도공IBS설비SW부문(참조)" xfId="5170" xr:uid="{00000000-0005-0000-0000-000046000000}"/>
    <cellStyle name="$_0107도공IBS설비SW부문(참조) 2" xfId="5171" xr:uid="{00000000-0005-0000-0000-000047000000}"/>
    <cellStyle name="$_0107도공IBS설비SW부문(참조) 2 2" xfId="5172" xr:uid="{00000000-0005-0000-0000-000048000000}"/>
    <cellStyle name="$_0107문화재복원용목재-8월6일" xfId="5173" xr:uid="{00000000-0005-0000-0000-000049000000}"/>
    <cellStyle name="$_0107문화재복원용목재-8월6일 2" xfId="5174" xr:uid="{00000000-0005-0000-0000-00004A000000}"/>
    <cellStyle name="$_0107문화재복원용목재-8월6일 2 2" xfId="5175" xr:uid="{00000000-0005-0000-0000-00004B000000}"/>
    <cellStyle name="$_0107포천영중수배전반(제조,설치)" xfId="5176" xr:uid="{00000000-0005-0000-0000-00004C000000}"/>
    <cellStyle name="$_0107포천영중수배전반(제조,설치) 2" xfId="5177" xr:uid="{00000000-0005-0000-0000-00004D000000}"/>
    <cellStyle name="$_0107포천영중수배전반(제조,설치) 2 2" xfId="5178" xr:uid="{00000000-0005-0000-0000-00004E000000}"/>
    <cellStyle name="$_0108농기반미곡건조기제작설치" xfId="5179" xr:uid="{00000000-0005-0000-0000-00004F000000}"/>
    <cellStyle name="$_0108농기반미곡건조기제작설치 2" xfId="5180" xr:uid="{00000000-0005-0000-0000-000050000000}"/>
    <cellStyle name="$_0108농기반미곡건조기제작설치 2 2" xfId="5181" xr:uid="{00000000-0005-0000-0000-000051000000}"/>
    <cellStyle name="$_0108담배인삼공사영업춘추복" xfId="5182" xr:uid="{00000000-0005-0000-0000-000052000000}"/>
    <cellStyle name="$_0108담배인삼공사영업춘추복 2" xfId="5183" xr:uid="{00000000-0005-0000-0000-000053000000}"/>
    <cellStyle name="$_0108담배인삼공사영업춘추복 2 2" xfId="5184" xr:uid="{00000000-0005-0000-0000-000054000000}"/>
    <cellStyle name="$_0108한국전기교통-LED교통신호등((원본))" xfId="5185" xr:uid="{00000000-0005-0000-0000-000055000000}"/>
    <cellStyle name="$_0108한국전기교통-LED교통신호등((원본)) 2" xfId="5186" xr:uid="{00000000-0005-0000-0000-000056000000}"/>
    <cellStyle name="$_0108한국전기교통-LED교통신호등((원본)) 2 2" xfId="5187" xr:uid="{00000000-0005-0000-0000-000057000000}"/>
    <cellStyle name="$_0111해양수산부등명기제작" xfId="5188" xr:uid="{00000000-0005-0000-0000-000058000000}"/>
    <cellStyle name="$_0111해양수산부등명기제작 2" xfId="5189" xr:uid="{00000000-0005-0000-0000-000059000000}"/>
    <cellStyle name="$_0111해양수산부등명기제작 2 2" xfId="5190" xr:uid="{00000000-0005-0000-0000-00005A000000}"/>
    <cellStyle name="$_0111핸디소프트-전자표준문서시스템" xfId="5191" xr:uid="{00000000-0005-0000-0000-00005B000000}"/>
    <cellStyle name="$_0111핸디소프트-전자표준문서시스템 2" xfId="5192" xr:uid="{00000000-0005-0000-0000-00005C000000}"/>
    <cellStyle name="$_0111핸디소프트-전자표준문서시스템 2 2" xfId="5193" xr:uid="{00000000-0005-0000-0000-00005D000000}"/>
    <cellStyle name="$_0112금감원사무자동화시스템" xfId="5194" xr:uid="{00000000-0005-0000-0000-00005E000000}"/>
    <cellStyle name="$_0112금감원사무자동화시스템 2" xfId="5195" xr:uid="{00000000-0005-0000-0000-00005F000000}"/>
    <cellStyle name="$_0112금감원사무자동화시스템 2 2" xfId="5196" xr:uid="{00000000-0005-0000-0000-000060000000}"/>
    <cellStyle name="$_0112수도권매립지SW원가" xfId="5197" xr:uid="{00000000-0005-0000-0000-000061000000}"/>
    <cellStyle name="$_0112수도권매립지SW원가 2" xfId="5198" xr:uid="{00000000-0005-0000-0000-000062000000}"/>
    <cellStyle name="$_0112수도권매립지SW원가 2 2" xfId="5199" xr:uid="{00000000-0005-0000-0000-000063000000}"/>
    <cellStyle name="$_0112중고원-HRD종합정보망구축(完)" xfId="5200" xr:uid="{00000000-0005-0000-0000-000064000000}"/>
    <cellStyle name="$_0112중고원-HRD종합정보망구축(完) 2" xfId="5201" xr:uid="{00000000-0005-0000-0000-000065000000}"/>
    <cellStyle name="$_0112중고원-HRD종합정보망구축(完) 2 2" xfId="5202" xr:uid="{00000000-0005-0000-0000-000066000000}"/>
    <cellStyle name="$_0201종합예술회관의자제작설치-1" xfId="5203" xr:uid="{00000000-0005-0000-0000-000067000000}"/>
    <cellStyle name="$_0201종합예술회관의자제작설치-1 2" xfId="5204" xr:uid="{00000000-0005-0000-0000-000068000000}"/>
    <cellStyle name="$_0201종합예술회관의자제작설치-1 2 2" xfId="5205" xr:uid="{00000000-0005-0000-0000-000069000000}"/>
    <cellStyle name="$_0202마사회근무복" xfId="5206" xr:uid="{00000000-0005-0000-0000-00006A000000}"/>
    <cellStyle name="$_0202마사회근무복 2" xfId="5207" xr:uid="{00000000-0005-0000-0000-00006B000000}"/>
    <cellStyle name="$_0202마사회근무복 2 2" xfId="5208" xr:uid="{00000000-0005-0000-0000-00006C000000}"/>
    <cellStyle name="$_0202부경교재-승강칠판" xfId="5209" xr:uid="{00000000-0005-0000-0000-00006D000000}"/>
    <cellStyle name="$_0202부경교재-승강칠판 2" xfId="5210" xr:uid="{00000000-0005-0000-0000-00006E000000}"/>
    <cellStyle name="$_0202부경교재-승강칠판 2 2" xfId="5211" xr:uid="{00000000-0005-0000-0000-00006F000000}"/>
    <cellStyle name="$_0204한국석묘납골함-1규격" xfId="5212" xr:uid="{00000000-0005-0000-0000-000070000000}"/>
    <cellStyle name="$_0204한국석묘납골함-1규격 2" xfId="5213" xr:uid="{00000000-0005-0000-0000-000071000000}"/>
    <cellStyle name="$_0204한국석묘납골함-1규격 2 2" xfId="5214" xr:uid="{00000000-0005-0000-0000-000072000000}"/>
    <cellStyle name="$_0206금감원금융정보교환망재구축" xfId="5215" xr:uid="{00000000-0005-0000-0000-000073000000}"/>
    <cellStyle name="$_0206금감원금융정보교환망재구축 2" xfId="5216" xr:uid="{00000000-0005-0000-0000-000074000000}"/>
    <cellStyle name="$_0206금감원금융정보교환망재구축 2 2" xfId="5217" xr:uid="{00000000-0005-0000-0000-000075000000}"/>
    <cellStyle name="$_0206정통부수납장표기기제작설치" xfId="5218" xr:uid="{00000000-0005-0000-0000-000076000000}"/>
    <cellStyle name="$_0206정통부수납장표기기제작설치 2" xfId="5219" xr:uid="{00000000-0005-0000-0000-000077000000}"/>
    <cellStyle name="$_0206정통부수납장표기기제작설치 2 2" xfId="5220" xr:uid="{00000000-0005-0000-0000-000078000000}"/>
    <cellStyle name="$_0207담배인삼공사-담요" xfId="5221" xr:uid="{00000000-0005-0000-0000-000079000000}"/>
    <cellStyle name="$_0207담배인삼공사-담요 2" xfId="5222" xr:uid="{00000000-0005-0000-0000-00007A000000}"/>
    <cellStyle name="$_0207담배인삼공사-담요 2 2" xfId="5223" xr:uid="{00000000-0005-0000-0000-00007B000000}"/>
    <cellStyle name="$_0208레비텍-다층여과기설계변경" xfId="5224" xr:uid="{00000000-0005-0000-0000-00007C000000}"/>
    <cellStyle name="$_0208레비텍-다층여과기설계변경 2" xfId="5225" xr:uid="{00000000-0005-0000-0000-00007D000000}"/>
    <cellStyle name="$_0208레비텍-다층여과기설계변경 2 2" xfId="5226" xr:uid="{00000000-0005-0000-0000-00007E000000}"/>
    <cellStyle name="$_0209이산화염소발생기-설치(50K)" xfId="5227" xr:uid="{00000000-0005-0000-0000-00007F000000}"/>
    <cellStyle name="$_0209이산화염소발생기-설치(50K) 2" xfId="5228" xr:uid="{00000000-0005-0000-0000-000080000000}"/>
    <cellStyle name="$_0209이산화염소발생기-설치(50K) 2 2" xfId="5229" xr:uid="{00000000-0005-0000-0000-000081000000}"/>
    <cellStyle name="$_0210현대정보기술-TD이중계" xfId="5230" xr:uid="{00000000-0005-0000-0000-000082000000}"/>
    <cellStyle name="$_0210현대정보기술-TD이중계 2" xfId="5231" xr:uid="{00000000-0005-0000-0000-000083000000}"/>
    <cellStyle name="$_0210현대정보기술-TD이중계 2 2" xfId="5232" xr:uid="{00000000-0005-0000-0000-000084000000}"/>
    <cellStyle name="$_0211조달청-#1대북지원사업정산(1월7일)" xfId="5233" xr:uid="{00000000-0005-0000-0000-000085000000}"/>
    <cellStyle name="$_0211조달청-#1대북지원사업정산(1월7일) 2" xfId="5234" xr:uid="{00000000-0005-0000-0000-000086000000}"/>
    <cellStyle name="$_0211조달청-#1대북지원사업정산(1월7일) 2 2" xfId="5235" xr:uid="{00000000-0005-0000-0000-000087000000}"/>
    <cellStyle name="$_0212금감원-법규정보시스템(完)" xfId="5236" xr:uid="{00000000-0005-0000-0000-000088000000}"/>
    <cellStyle name="$_0212금감원-법규정보시스템(完) 2" xfId="5237" xr:uid="{00000000-0005-0000-0000-000089000000}"/>
    <cellStyle name="$_0212금감원-법규정보시스템(完) 2 2" xfId="5238" xr:uid="{00000000-0005-0000-0000-00008A000000}"/>
    <cellStyle name="$_0301교통방송-CCTV유지보수" xfId="5239" xr:uid="{00000000-0005-0000-0000-00008B000000}"/>
    <cellStyle name="$_0301교통방송-CCTV유지보수 2" xfId="5240" xr:uid="{00000000-0005-0000-0000-00008C000000}"/>
    <cellStyle name="$_0301교통방송-CCTV유지보수 2 2" xfId="5241" xr:uid="{00000000-0005-0000-0000-00008D000000}"/>
    <cellStyle name="$_0302인천경찰청-무인단속기위탁관리" xfId="5242" xr:uid="{00000000-0005-0000-0000-00008E000000}"/>
    <cellStyle name="$_0302인천경찰청-무인단속기위탁관리 2" xfId="5243" xr:uid="{00000000-0005-0000-0000-00008F000000}"/>
    <cellStyle name="$_0302인천경찰청-무인단속기위탁관리 2 2" xfId="5244" xr:uid="{00000000-0005-0000-0000-000090000000}"/>
    <cellStyle name="$_0302조달청-대북지원2차(안성연)" xfId="5245" xr:uid="{00000000-0005-0000-0000-000091000000}"/>
    <cellStyle name="$_0302조달청-대북지원2차(안성연) 2" xfId="5246" xr:uid="{00000000-0005-0000-0000-000092000000}"/>
    <cellStyle name="$_0302조달청-대북지원2차(안성연) 2 2" xfId="5247" xr:uid="{00000000-0005-0000-0000-000093000000}"/>
    <cellStyle name="$_0302조달청-대북지원2차(최수현)" xfId="5248" xr:uid="{00000000-0005-0000-0000-000094000000}"/>
    <cellStyle name="$_0302조달청-대북지원2차(최수현) 2" xfId="5249" xr:uid="{00000000-0005-0000-0000-000095000000}"/>
    <cellStyle name="$_0302조달청-대북지원2차(최수현) 2 2" xfId="5250" xr:uid="{00000000-0005-0000-0000-000096000000}"/>
    <cellStyle name="$_0302표준문서-쌍용정보통신(신)" xfId="5251" xr:uid="{00000000-0005-0000-0000-000097000000}"/>
    <cellStyle name="$_0302표준문서-쌍용정보통신(신) 2" xfId="5252" xr:uid="{00000000-0005-0000-0000-000098000000}"/>
    <cellStyle name="$_0302표준문서-쌍용정보통신(신) 2 2" xfId="5253" xr:uid="{00000000-0005-0000-0000-000099000000}"/>
    <cellStyle name="$_0304소프트파워-정부표준전자문서시스템" xfId="5254" xr:uid="{00000000-0005-0000-0000-00009A000000}"/>
    <cellStyle name="$_0304소프트파워-정부표준전자문서시스템 2" xfId="5255" xr:uid="{00000000-0005-0000-0000-00009B000000}"/>
    <cellStyle name="$_0304소프트파워-정부표준전자문서시스템 2 2" xfId="5256" xr:uid="{00000000-0005-0000-0000-00009C000000}"/>
    <cellStyle name="$_0304소프트파워-정부표준전자문서시스템(完)" xfId="5257" xr:uid="{00000000-0005-0000-0000-00009D000000}"/>
    <cellStyle name="$_0304소프트파워-정부표준전자문서시스템(完) 2" xfId="5258" xr:uid="{00000000-0005-0000-0000-00009E000000}"/>
    <cellStyle name="$_0304소프트파워-정부표준전자문서시스템(完) 2 2" xfId="5259" xr:uid="{00000000-0005-0000-0000-00009F000000}"/>
    <cellStyle name="$_0304철도청-주변환장치-1" xfId="5260" xr:uid="{00000000-0005-0000-0000-0000A0000000}"/>
    <cellStyle name="$_0304철도청-주변환장치-1 2" xfId="5261" xr:uid="{00000000-0005-0000-0000-0000A1000000}"/>
    <cellStyle name="$_0304철도청-주변환장치-1 2 2" xfId="5262" xr:uid="{00000000-0005-0000-0000-0000A2000000}"/>
    <cellStyle name="$_0305금감원-금융통계정보시스템구축(完)" xfId="5263" xr:uid="{00000000-0005-0000-0000-0000A3000000}"/>
    <cellStyle name="$_0305금감원-금융통계정보시스템구축(完) 2" xfId="5264" xr:uid="{00000000-0005-0000-0000-0000A4000000}"/>
    <cellStyle name="$_0305금감원-금융통계정보시스템구축(完) 2 2" xfId="5265" xr:uid="{00000000-0005-0000-0000-0000A5000000}"/>
    <cellStyle name="$_0305제낭조합-면범포지" xfId="5266" xr:uid="{00000000-0005-0000-0000-0000A6000000}"/>
    <cellStyle name="$_0305제낭조합-면범포지 2" xfId="5267" xr:uid="{00000000-0005-0000-0000-0000A7000000}"/>
    <cellStyle name="$_0305제낭조합-면범포지 2 2" xfId="5268" xr:uid="{00000000-0005-0000-0000-0000A8000000}"/>
    <cellStyle name="$_0306제낭공업협동조합-면범포지원단(경비까지)" xfId="5269" xr:uid="{00000000-0005-0000-0000-0000A9000000}"/>
    <cellStyle name="$_0306제낭공업협동조합-면범포지원단(경비까지) 2" xfId="5270" xr:uid="{00000000-0005-0000-0000-0000AA000000}"/>
    <cellStyle name="$_0306제낭공업협동조합-면범포지원단(경비까지) 2 2" xfId="5271" xr:uid="{00000000-0005-0000-0000-0000AB000000}"/>
    <cellStyle name="$_0307경찰청-무인교통단속표준SW개발용역(完)" xfId="5272" xr:uid="{00000000-0005-0000-0000-0000AC000000}"/>
    <cellStyle name="$_0307경찰청-무인교통단속표준SW개발용역(完) 2" xfId="5273" xr:uid="{00000000-0005-0000-0000-0000AD000000}"/>
    <cellStyle name="$_0307경찰청-무인교통단속표준SW개발용역(完) 2 2" xfId="5274" xr:uid="{00000000-0005-0000-0000-0000AE000000}"/>
    <cellStyle name="$_0308조달청-#8대북지원사업정산" xfId="5275" xr:uid="{00000000-0005-0000-0000-0000AF000000}"/>
    <cellStyle name="$_0308조달청-#8대북지원사업정산 2" xfId="5276" xr:uid="{00000000-0005-0000-0000-0000B0000000}"/>
    <cellStyle name="$_0308조달청-#8대북지원사업정산 2 2" xfId="5277" xr:uid="{00000000-0005-0000-0000-0000B1000000}"/>
    <cellStyle name="$_0309두합크린텍-설치원가" xfId="5278" xr:uid="{00000000-0005-0000-0000-0000B2000000}"/>
    <cellStyle name="$_0309두합크린텍-설치원가 2" xfId="5279" xr:uid="{00000000-0005-0000-0000-0000B3000000}"/>
    <cellStyle name="$_0309두합크린텍-설치원가 2 2" xfId="5280" xr:uid="{00000000-0005-0000-0000-0000B4000000}"/>
    <cellStyle name="$_0309조달청-#9대북지원사업정산" xfId="5281" xr:uid="{00000000-0005-0000-0000-0000B5000000}"/>
    <cellStyle name="$_0309조달청-#9대북지원사업정산 2" xfId="5282" xr:uid="{00000000-0005-0000-0000-0000B6000000}"/>
    <cellStyle name="$_0309조달청-#9대북지원사업정산 2 2" xfId="5283" xr:uid="{00000000-0005-0000-0000-0000B7000000}"/>
    <cellStyle name="$_0310여주상수도-탈수기(유천ENG)" xfId="5284" xr:uid="{00000000-0005-0000-0000-0000B8000000}"/>
    <cellStyle name="$_0310여주상수도-탈수기(유천ENG) 2" xfId="5285" xr:uid="{00000000-0005-0000-0000-0000B9000000}"/>
    <cellStyle name="$_0310여주상수도-탈수기(유천ENG) 2 2" xfId="5286" xr:uid="{00000000-0005-0000-0000-0000BA000000}"/>
    <cellStyle name="$_0311대기해양작업시간" xfId="5287" xr:uid="{00000000-0005-0000-0000-0000BB000000}"/>
    <cellStyle name="$_0311대기해양작업시간 2" xfId="5288" xr:uid="{00000000-0005-0000-0000-0000BC000000}"/>
    <cellStyle name="$_0311대기해양작업시간 2 2" xfId="5289" xr:uid="{00000000-0005-0000-0000-0000BD000000}"/>
    <cellStyle name="$_0311대기해양중형등명기" xfId="5290" xr:uid="{00000000-0005-0000-0000-0000BE000000}"/>
    <cellStyle name="$_0311대기해양중형등명기 2" xfId="5291" xr:uid="{00000000-0005-0000-0000-0000BF000000}"/>
    <cellStyle name="$_0311대기해양중형등명기 2 2" xfId="5292" xr:uid="{00000000-0005-0000-0000-0000C0000000}"/>
    <cellStyle name="$_0312국민체육진흥공단-전기부문" xfId="5293" xr:uid="{00000000-0005-0000-0000-0000C1000000}"/>
    <cellStyle name="$_0312국민체육진흥공단-전기부문 2" xfId="5294" xr:uid="{00000000-0005-0000-0000-0000C2000000}"/>
    <cellStyle name="$_0312국민체육진흥공단-전기부문 2 2" xfId="5295" xr:uid="{00000000-0005-0000-0000-0000C3000000}"/>
    <cellStyle name="$_0312대기해양-중형등명기제작설치" xfId="5296" xr:uid="{00000000-0005-0000-0000-0000C4000000}"/>
    <cellStyle name="$_0312대기해양-중형등명기제작설치 2" xfId="5297" xr:uid="{00000000-0005-0000-0000-0000C5000000}"/>
    <cellStyle name="$_0312대기해양-중형등명기제작설치 2 2" xfId="5298" xr:uid="{00000000-0005-0000-0000-0000C6000000}"/>
    <cellStyle name="$_0312라이준-칼라아스콘4규격" xfId="5299" xr:uid="{00000000-0005-0000-0000-0000C7000000}"/>
    <cellStyle name="$_0312라이준-칼라아스콘4규격 2" xfId="5300" xr:uid="{00000000-0005-0000-0000-0000C8000000}"/>
    <cellStyle name="$_0312라이준-칼라아스콘4규격 2 2" xfId="5301" xr:uid="{00000000-0005-0000-0000-0000C9000000}"/>
    <cellStyle name="$_0401집진기프로그램SW개발비산정" xfId="5302" xr:uid="{00000000-0005-0000-0000-0000CA000000}"/>
    <cellStyle name="$_0401집진기프로그램SW개발비산정 2" xfId="5303" xr:uid="{00000000-0005-0000-0000-0000CB000000}"/>
    <cellStyle name="$_0401집진기프로그램SW개발비산정 2 2" xfId="5304" xr:uid="{00000000-0005-0000-0000-0000CC000000}"/>
    <cellStyle name="$_2001-06조달청신성-한냉지형" xfId="5305" xr:uid="{00000000-0005-0000-0000-0000CD000000}"/>
    <cellStyle name="$_2001-06조달청신성-한냉지형 2" xfId="5306" xr:uid="{00000000-0005-0000-0000-0000CE000000}"/>
    <cellStyle name="$_2001-06조달청신성-한냉지형 2 2" xfId="5307" xr:uid="{00000000-0005-0000-0000-0000CF000000}"/>
    <cellStyle name="$_2002-03경찰대학-졸업식" xfId="5308" xr:uid="{00000000-0005-0000-0000-0000D0000000}"/>
    <cellStyle name="$_2002-03경찰대학-졸업식 2" xfId="5309" xr:uid="{00000000-0005-0000-0000-0000D1000000}"/>
    <cellStyle name="$_2002-03경찰대학-졸업식 2 2" xfId="5310" xr:uid="{00000000-0005-0000-0000-0000D2000000}"/>
    <cellStyle name="$_2002-03경찰청-경찰표지장" xfId="5311" xr:uid="{00000000-0005-0000-0000-0000D3000000}"/>
    <cellStyle name="$_2002-03경찰청-경찰표지장 2" xfId="5312" xr:uid="{00000000-0005-0000-0000-0000D4000000}"/>
    <cellStyle name="$_2002-03경찰청-경찰표지장 2 2" xfId="5313" xr:uid="{00000000-0005-0000-0000-0000D5000000}"/>
    <cellStyle name="$_2002-03반디-가로등(열주형)" xfId="5314" xr:uid="{00000000-0005-0000-0000-0000D6000000}"/>
    <cellStyle name="$_2002-03반디-가로등(열주형) 2" xfId="5315" xr:uid="{00000000-0005-0000-0000-0000D7000000}"/>
    <cellStyle name="$_2002-03반디-가로등(열주형) 2 2" xfId="5316" xr:uid="{00000000-0005-0000-0000-0000D8000000}"/>
    <cellStyle name="$_2002-03신화전자-감지기" xfId="5317" xr:uid="{00000000-0005-0000-0000-0000D9000000}"/>
    <cellStyle name="$_2002-03신화전자-감지기 2" xfId="5318" xr:uid="{00000000-0005-0000-0000-0000DA000000}"/>
    <cellStyle name="$_2002-03신화전자-감지기 2 2" xfId="5319" xr:uid="{00000000-0005-0000-0000-0000DB000000}"/>
    <cellStyle name="$_2002-04강원랜드-슬러트머신" xfId="5320" xr:uid="{00000000-0005-0000-0000-0000DC000000}"/>
    <cellStyle name="$_2002-04강원랜드-슬러트머신 2" xfId="5321" xr:uid="{00000000-0005-0000-0000-0000DD000000}"/>
    <cellStyle name="$_2002-04강원랜드-슬러트머신 2 2" xfId="5322" xr:uid="{00000000-0005-0000-0000-0000DE000000}"/>
    <cellStyle name="$_2002-04메가컴-외주무대" xfId="5323" xr:uid="{00000000-0005-0000-0000-0000DF000000}"/>
    <cellStyle name="$_2002-04메가컴-외주무대 2" xfId="5324" xr:uid="{00000000-0005-0000-0000-0000E0000000}"/>
    <cellStyle name="$_2002-04메가컴-외주무대 2 2" xfId="5325" xr:uid="{00000000-0005-0000-0000-0000E1000000}"/>
    <cellStyle name="$_2002-04엘지애드-무대" xfId="5326" xr:uid="{00000000-0005-0000-0000-0000E2000000}"/>
    <cellStyle name="$_2002-04엘지애드-무대 2" xfId="5327" xr:uid="{00000000-0005-0000-0000-0000E3000000}"/>
    <cellStyle name="$_2002-04엘지애드-무대 2 2" xfId="5328" xr:uid="{00000000-0005-0000-0000-0000E4000000}"/>
    <cellStyle name="$_2002-05강원랜드-슬러트머신(넥스터)" xfId="5329" xr:uid="{00000000-0005-0000-0000-0000E5000000}"/>
    <cellStyle name="$_2002-05강원랜드-슬러트머신(넥스터) 2" xfId="5330" xr:uid="{00000000-0005-0000-0000-0000E6000000}"/>
    <cellStyle name="$_2002-05강원랜드-슬러트머신(넥스터) 2 2" xfId="5331" xr:uid="{00000000-0005-0000-0000-0000E7000000}"/>
    <cellStyle name="$_2002-05경기경찰청-냉온수기공사" xfId="5332" xr:uid="{00000000-0005-0000-0000-0000E8000000}"/>
    <cellStyle name="$_2002-05경기경찰청-냉온수기공사 2" xfId="5333" xr:uid="{00000000-0005-0000-0000-0000E9000000}"/>
    <cellStyle name="$_2002-05경기경찰청-냉온수기공사 2 2" xfId="5334" xr:uid="{00000000-0005-0000-0000-0000EA000000}"/>
    <cellStyle name="$_2002-05대통령비서실-카페트" xfId="5335" xr:uid="{00000000-0005-0000-0000-0000EB000000}"/>
    <cellStyle name="$_2002-05대통령비서실-카페트 2" xfId="5336" xr:uid="{00000000-0005-0000-0000-0000EC000000}"/>
    <cellStyle name="$_2002-05대통령비서실-카페트 2 2" xfId="5337" xr:uid="{00000000-0005-0000-0000-0000ED000000}"/>
    <cellStyle name="$_2002결과표" xfId="5338" xr:uid="{00000000-0005-0000-0000-0000EE000000}"/>
    <cellStyle name="$_2002결과표 2" xfId="5339" xr:uid="{00000000-0005-0000-0000-0000EF000000}"/>
    <cellStyle name="$_2002결과표 2 2" xfId="5340" xr:uid="{00000000-0005-0000-0000-0000F0000000}"/>
    <cellStyle name="$_2002결과표1" xfId="5341" xr:uid="{00000000-0005-0000-0000-0000F1000000}"/>
    <cellStyle name="$_2002결과표1 2" xfId="5342" xr:uid="{00000000-0005-0000-0000-0000F2000000}"/>
    <cellStyle name="$_2002결과표1 2 2" xfId="5343" xr:uid="{00000000-0005-0000-0000-0000F3000000}"/>
    <cellStyle name="$_2003-01정일사-표창5종" xfId="5344" xr:uid="{00000000-0005-0000-0000-0000F4000000}"/>
    <cellStyle name="$_2003-01정일사-표창5종 2" xfId="5345" xr:uid="{00000000-0005-0000-0000-0000F5000000}"/>
    <cellStyle name="$_2003-01정일사-표창5종 2 2" xfId="5346" xr:uid="{00000000-0005-0000-0000-0000F6000000}"/>
    <cellStyle name="$_2004년완성공사원가경비율(변경최종))" xfId="5347" xr:uid="{00000000-0005-0000-0000-0000F7000000}"/>
    <cellStyle name="$_2004년완성공사원가경비율(변경최종)) 2" xfId="5348" xr:uid="{00000000-0005-0000-0000-0000F8000000}"/>
    <cellStyle name="$_2004년완성공사원가경비율(변경최종)) 2 2" xfId="5349" xr:uid="{00000000-0005-0000-0000-0000F9000000}"/>
    <cellStyle name="$_2004년완성공사원가경비율(조달청미적용)1" xfId="5350" xr:uid="{00000000-0005-0000-0000-0000FA000000}"/>
    <cellStyle name="$_2004년완성공사원가경비율(조달청미적용)1 2" xfId="5351" xr:uid="{00000000-0005-0000-0000-0000FB000000}"/>
    <cellStyle name="$_2004년완성공사원가경비율(조달청미적용)1 2 2" xfId="5352" xr:uid="{00000000-0005-0000-0000-0000FC000000}"/>
    <cellStyle name="$_5월부산마사회발주기제작1" xfId="5353" xr:uid="{00000000-0005-0000-0000-0000FD000000}"/>
    <cellStyle name="$_5월부산마사회발주기제작1 2" xfId="5354" xr:uid="{00000000-0005-0000-0000-0000FE000000}"/>
    <cellStyle name="$_5월부산마사회발주기제작1 2 2" xfId="5355" xr:uid="{00000000-0005-0000-0000-0000FF000000}"/>
    <cellStyle name="$_db진흥" xfId="5356" xr:uid="{00000000-0005-0000-0000-000000010000}"/>
    <cellStyle name="$_db진흥 2" xfId="5357" xr:uid="{00000000-0005-0000-0000-000001010000}"/>
    <cellStyle name="$_db진흥 2 2" xfId="5358" xr:uid="{00000000-0005-0000-0000-000002010000}"/>
    <cellStyle name="$_Pilot플랜트-계변경" xfId="5359" xr:uid="{00000000-0005-0000-0000-000003010000}"/>
    <cellStyle name="$_Pilot플랜트-계변경 2" xfId="5360" xr:uid="{00000000-0005-0000-0000-000004010000}"/>
    <cellStyle name="$_Pilot플랜트-계변경 2 2" xfId="5361" xr:uid="{00000000-0005-0000-0000-000005010000}"/>
    <cellStyle name="$_Pilot플랜트이전설치-변경최종" xfId="5362" xr:uid="{00000000-0005-0000-0000-000006010000}"/>
    <cellStyle name="$_Pilot플랜트이전설치-변경최종 2" xfId="5363" xr:uid="{00000000-0005-0000-0000-000007010000}"/>
    <cellStyle name="$_Pilot플랜트이전설치-변경최종 2 2" xfId="5364" xr:uid="{00000000-0005-0000-0000-000008010000}"/>
    <cellStyle name="$_SE40" xfId="5365" xr:uid="{00000000-0005-0000-0000-000009010000}"/>
    <cellStyle name="$_SE40 2" xfId="5366" xr:uid="{00000000-0005-0000-0000-00000A010000}"/>
    <cellStyle name="$_SE40 2 2" xfId="5367" xr:uid="{00000000-0005-0000-0000-00000B010000}"/>
    <cellStyle name="$_SW(케이비)" xfId="5368" xr:uid="{00000000-0005-0000-0000-00000C010000}"/>
    <cellStyle name="$_SW(케이비) 2" xfId="5369" xr:uid="{00000000-0005-0000-0000-00000D010000}"/>
    <cellStyle name="$_SW(케이비) 2 2" xfId="5370" xr:uid="{00000000-0005-0000-0000-00000E010000}"/>
    <cellStyle name="$_간지,목차,페이지,표지" xfId="5371" xr:uid="{00000000-0005-0000-0000-00000F010000}"/>
    <cellStyle name="$_간지,목차,페이지,표지 2" xfId="5372" xr:uid="{00000000-0005-0000-0000-000010010000}"/>
    <cellStyle name="$_간지,목차,페이지,표지 2 2" xfId="5373" xr:uid="{00000000-0005-0000-0000-000011010000}"/>
    <cellStyle name="$_간지,목차,페이지,표지(원가별)" xfId="5374" xr:uid="{00000000-0005-0000-0000-000012010000}"/>
    <cellStyle name="$_간지,목차,페이지,표지(원가별) 2" xfId="5375" xr:uid="{00000000-0005-0000-0000-000013010000}"/>
    <cellStyle name="$_간지,목차,페이지,표지(원가별) 2 2" xfId="5376" xr:uid="{00000000-0005-0000-0000-000014010000}"/>
    <cellStyle name="$_견적2" xfId="5377" xr:uid="{00000000-0005-0000-0000-000015010000}"/>
    <cellStyle name="$_견적2 2" xfId="5378" xr:uid="{00000000-0005-0000-0000-000016010000}"/>
    <cellStyle name="$_견적2 2 2" xfId="5379" xr:uid="{00000000-0005-0000-0000-000017010000}"/>
    <cellStyle name="$_경찰청-근무,기동복" xfId="5380" xr:uid="{00000000-0005-0000-0000-000018010000}"/>
    <cellStyle name="$_경찰청-근무,기동복 2" xfId="5381" xr:uid="{00000000-0005-0000-0000-000019010000}"/>
    <cellStyle name="$_경찰청-근무,기동복 2 2" xfId="5382" xr:uid="{00000000-0005-0000-0000-00001A010000}"/>
    <cellStyle name="$_공사일반관리비양식" xfId="5383" xr:uid="{00000000-0005-0000-0000-00001B010000}"/>
    <cellStyle name="$_공사일반관리비양식 2" xfId="5384" xr:uid="{00000000-0005-0000-0000-00001C010000}"/>
    <cellStyle name="$_공사일반관리비양식 2 2" xfId="5385" xr:uid="{00000000-0005-0000-0000-00001D010000}"/>
    <cellStyle name="$_기아" xfId="5386" xr:uid="{00000000-0005-0000-0000-00001E010000}"/>
    <cellStyle name="$_기아 2" xfId="5387" xr:uid="{00000000-0005-0000-0000-00001F010000}"/>
    <cellStyle name="$_기아 2 2" xfId="5388" xr:uid="{00000000-0005-0000-0000-000020010000}"/>
    <cellStyle name="$_기초공사" xfId="5389" xr:uid="{00000000-0005-0000-0000-000021010000}"/>
    <cellStyle name="$_기초공사 2" xfId="5390" xr:uid="{00000000-0005-0000-0000-000022010000}"/>
    <cellStyle name="$_기초공사 2 2" xfId="5391" xr:uid="{00000000-0005-0000-0000-000023010000}"/>
    <cellStyle name="$_네인텍정보기술-회로카드(수현)" xfId="5392" xr:uid="{00000000-0005-0000-0000-000024010000}"/>
    <cellStyle name="$_네인텍정보기술-회로카드(수현) 2" xfId="5393" xr:uid="{00000000-0005-0000-0000-000025010000}"/>
    <cellStyle name="$_네인텍정보기술-회로카드(수현) 2 2" xfId="5394" xr:uid="{00000000-0005-0000-0000-000026010000}"/>
    <cellStyle name="$_대기해양노무비" xfId="5395" xr:uid="{00000000-0005-0000-0000-000027010000}"/>
    <cellStyle name="$_대기해양노무비 2" xfId="5396" xr:uid="{00000000-0005-0000-0000-000028010000}"/>
    <cellStyle name="$_대기해양노무비 2 2" xfId="5397" xr:uid="{00000000-0005-0000-0000-000029010000}"/>
    <cellStyle name="$_대북자재8월분" xfId="5398" xr:uid="{00000000-0005-0000-0000-00002A010000}"/>
    <cellStyle name="$_대북자재8월분 2" xfId="5399" xr:uid="{00000000-0005-0000-0000-00002B010000}"/>
    <cellStyle name="$_대북자재8월분 2 2" xfId="5400" xr:uid="{00000000-0005-0000-0000-00002C010000}"/>
    <cellStyle name="$_대북자재8월분-1" xfId="5401" xr:uid="{00000000-0005-0000-0000-00002D010000}"/>
    <cellStyle name="$_대북자재8월분-1 2" xfId="5402" xr:uid="{00000000-0005-0000-0000-00002E010000}"/>
    <cellStyle name="$_대북자재8월분-1 2 2" xfId="5403" xr:uid="{00000000-0005-0000-0000-00002F010000}"/>
    <cellStyle name="$_동산용사촌수현(원본)" xfId="5404" xr:uid="{00000000-0005-0000-0000-000030010000}"/>
    <cellStyle name="$_동산용사촌수현(원본) 2" xfId="5405" xr:uid="{00000000-0005-0000-0000-000031010000}"/>
    <cellStyle name="$_동산용사촌수현(원본) 2 2" xfId="5406" xr:uid="{00000000-0005-0000-0000-000032010000}"/>
    <cellStyle name="$_백제군사전시1" xfId="5407" xr:uid="{00000000-0005-0000-0000-000033010000}"/>
    <cellStyle name="$_백제군사전시1 2" xfId="5408" xr:uid="{00000000-0005-0000-0000-000034010000}"/>
    <cellStyle name="$_백제군사전시1 2 2" xfId="5409" xr:uid="{00000000-0005-0000-0000-000035010000}"/>
    <cellStyle name="$_수초제거기(대양기계)" xfId="5410" xr:uid="{00000000-0005-0000-0000-000036010000}"/>
    <cellStyle name="$_수초제거기(대양기계) 2" xfId="5411" xr:uid="{00000000-0005-0000-0000-000037010000}"/>
    <cellStyle name="$_수초제거기(대양기계) 2 2" xfId="5412" xr:uid="{00000000-0005-0000-0000-000038010000}"/>
    <cellStyle name="$_시설용역" xfId="5413" xr:uid="{00000000-0005-0000-0000-000039010000}"/>
    <cellStyle name="$_시설용역 2" xfId="5414" xr:uid="{00000000-0005-0000-0000-00003A010000}"/>
    <cellStyle name="$_시설용역 2 2" xfId="5415" xr:uid="{00000000-0005-0000-0000-00003B010000}"/>
    <cellStyle name="$_신화BS" xfId="5416" xr:uid="{00000000-0005-0000-0000-00003C010000}"/>
    <cellStyle name="$_신화BS 2" xfId="5417" xr:uid="{00000000-0005-0000-0000-00003D010000}"/>
    <cellStyle name="$_신화BS 2 2" xfId="5418" xr:uid="{00000000-0005-0000-0000-00003E010000}"/>
    <cellStyle name="$_암전정밀실체현미경(수현)" xfId="5419" xr:uid="{00000000-0005-0000-0000-00003F010000}"/>
    <cellStyle name="$_암전정밀실체현미경(수현) 2" xfId="5420" xr:uid="{00000000-0005-0000-0000-000040010000}"/>
    <cellStyle name="$_암전정밀실체현미경(수현) 2 2" xfId="5421" xr:uid="{00000000-0005-0000-0000-000041010000}"/>
    <cellStyle name="$_영산천 하수처리장 시설공사" xfId="5422" xr:uid="{00000000-0005-0000-0000-000042010000}"/>
    <cellStyle name="$_영산천 하수처리장 시설공사 2" xfId="5423" xr:uid="{00000000-0005-0000-0000-000043010000}"/>
    <cellStyle name="$_영산천 하수처리장 시설공사 2 2" xfId="5424" xr:uid="{00000000-0005-0000-0000-000044010000}"/>
    <cellStyle name="$_오리엔탈" xfId="5425" xr:uid="{00000000-0005-0000-0000-000045010000}"/>
    <cellStyle name="$_오리엔탈 2" xfId="5426" xr:uid="{00000000-0005-0000-0000-000046010000}"/>
    <cellStyle name="$_오리엔탈 2 2" xfId="5427" xr:uid="{00000000-0005-0000-0000-000047010000}"/>
    <cellStyle name="$_원본 - 한국전기교통-개선형신호등 4종" xfId="5428" xr:uid="{00000000-0005-0000-0000-000048010000}"/>
    <cellStyle name="$_원본 - 한국전기교통-개선형신호등 4종 2" xfId="5429" xr:uid="{00000000-0005-0000-0000-000049010000}"/>
    <cellStyle name="$_원본 - 한국전기교통-개선형신호등 4종 2 2" xfId="5430" xr:uid="{00000000-0005-0000-0000-00004A010000}"/>
    <cellStyle name="$_재료비" xfId="5431" xr:uid="{00000000-0005-0000-0000-00004B010000}"/>
    <cellStyle name="$_재료비 2" xfId="5432" xr:uid="{00000000-0005-0000-0000-00004C010000}"/>
    <cellStyle name="$_재료비 2 2" xfId="5433" xr:uid="{00000000-0005-0000-0000-00004D010000}"/>
    <cellStyle name="$_제경비율모음" xfId="5434" xr:uid="{00000000-0005-0000-0000-00004E010000}"/>
    <cellStyle name="$_제경비율모음 2" xfId="5435" xr:uid="{00000000-0005-0000-0000-00004F010000}"/>
    <cellStyle name="$_제경비율모음 2 2" xfId="5436" xr:uid="{00000000-0005-0000-0000-000050010000}"/>
    <cellStyle name="$_제조원가" xfId="5437" xr:uid="{00000000-0005-0000-0000-000051010000}"/>
    <cellStyle name="$_제조원가 2" xfId="5438" xr:uid="{00000000-0005-0000-0000-000052010000}"/>
    <cellStyle name="$_제조원가 2 2" xfId="5439" xr:uid="{00000000-0005-0000-0000-000053010000}"/>
    <cellStyle name="$_조달청-B판사천강교제작(최종본)" xfId="5440" xr:uid="{00000000-0005-0000-0000-000054010000}"/>
    <cellStyle name="$_조달청-B판사천강교제작(최종본) 2" xfId="5441" xr:uid="{00000000-0005-0000-0000-000055010000}"/>
    <cellStyle name="$_조달청-B판사천강교제작(최종본) 2 2" xfId="5442" xr:uid="{00000000-0005-0000-0000-000056010000}"/>
    <cellStyle name="$_조달청-대북지원3차(최수현)" xfId="5443" xr:uid="{00000000-0005-0000-0000-000057010000}"/>
    <cellStyle name="$_조달청-대북지원3차(최수현) 2" xfId="5444" xr:uid="{00000000-0005-0000-0000-000058010000}"/>
    <cellStyle name="$_조달청-대북지원3차(최수현) 2 2" xfId="5445" xr:uid="{00000000-0005-0000-0000-000059010000}"/>
    <cellStyle name="$_조달청-대북지원4차(최수현)" xfId="5446" xr:uid="{00000000-0005-0000-0000-00005A010000}"/>
    <cellStyle name="$_조달청-대북지원4차(최수현) 2" xfId="5447" xr:uid="{00000000-0005-0000-0000-00005B010000}"/>
    <cellStyle name="$_조달청-대북지원4차(최수현) 2 2" xfId="5448" xr:uid="{00000000-0005-0000-0000-00005C010000}"/>
    <cellStyle name="$_조달청-대북지원5차(최수현)" xfId="5449" xr:uid="{00000000-0005-0000-0000-00005D010000}"/>
    <cellStyle name="$_조달청-대북지원5차(최수현) 2" xfId="5450" xr:uid="{00000000-0005-0000-0000-00005E010000}"/>
    <cellStyle name="$_조달청-대북지원5차(최수현) 2 2" xfId="5451" xr:uid="{00000000-0005-0000-0000-00005F010000}"/>
    <cellStyle name="$_조달청-대북지원6차(번호)" xfId="5452" xr:uid="{00000000-0005-0000-0000-000060010000}"/>
    <cellStyle name="$_조달청-대북지원6차(번호) 2" xfId="5453" xr:uid="{00000000-0005-0000-0000-000061010000}"/>
    <cellStyle name="$_조달청-대북지원6차(번호) 2 2" xfId="5454" xr:uid="{00000000-0005-0000-0000-000062010000}"/>
    <cellStyle name="$_조달청-대북지원6차(최수현)" xfId="5455" xr:uid="{00000000-0005-0000-0000-000063010000}"/>
    <cellStyle name="$_조달청-대북지원6차(최수현) 2" xfId="5456" xr:uid="{00000000-0005-0000-0000-000064010000}"/>
    <cellStyle name="$_조달청-대북지원6차(최수현) 2 2" xfId="5457" xr:uid="{00000000-0005-0000-0000-000065010000}"/>
    <cellStyle name="$_조달청-대북지원7차(최수현)" xfId="5458" xr:uid="{00000000-0005-0000-0000-000066010000}"/>
    <cellStyle name="$_조달청-대북지원7차(최수현) 2" xfId="5459" xr:uid="{00000000-0005-0000-0000-000067010000}"/>
    <cellStyle name="$_조달청-대북지원7차(최수현) 2 2" xfId="5460" xr:uid="{00000000-0005-0000-0000-000068010000}"/>
    <cellStyle name="$_조달청-대북지원8차(최수현)" xfId="5461" xr:uid="{00000000-0005-0000-0000-000069010000}"/>
    <cellStyle name="$_조달청-대북지원8차(최수현) 2" xfId="5462" xr:uid="{00000000-0005-0000-0000-00006A010000}"/>
    <cellStyle name="$_조달청-대북지원8차(최수현) 2 2" xfId="5463" xr:uid="{00000000-0005-0000-0000-00006B010000}"/>
    <cellStyle name="$_조달청-대북지원9차(최수현)" xfId="5464" xr:uid="{00000000-0005-0000-0000-00006C010000}"/>
    <cellStyle name="$_조달청-대북지원9차(최수현) 2" xfId="5465" xr:uid="{00000000-0005-0000-0000-00006D010000}"/>
    <cellStyle name="$_조달청-대북지원9차(최수현) 2 2" xfId="5466" xr:uid="{00000000-0005-0000-0000-00006E010000}"/>
    <cellStyle name="$_중앙선관위(투표,개표)" xfId="5467" xr:uid="{00000000-0005-0000-0000-00006F010000}"/>
    <cellStyle name="$_중앙선관위(투표,개표) 2" xfId="5468" xr:uid="{00000000-0005-0000-0000-000070010000}"/>
    <cellStyle name="$_중앙선관위(투표,개표) 2 2" xfId="5469" xr:uid="{00000000-0005-0000-0000-000071010000}"/>
    <cellStyle name="$_중앙선관위(투표,개표)-사본" xfId="5470" xr:uid="{00000000-0005-0000-0000-000072010000}"/>
    <cellStyle name="$_중앙선관위(투표,개표)-사본 2" xfId="5471" xr:uid="{00000000-0005-0000-0000-000073010000}"/>
    <cellStyle name="$_중앙선관위(투표,개표)-사본 2 2" xfId="5472" xr:uid="{00000000-0005-0000-0000-000074010000}"/>
    <cellStyle name="$_철공가공조립" xfId="5473" xr:uid="{00000000-0005-0000-0000-000075010000}"/>
    <cellStyle name="$_철공가공조립 2" xfId="5474" xr:uid="{00000000-0005-0000-0000-000076010000}"/>
    <cellStyle name="$_철공가공조립 2 2" xfId="5475" xr:uid="{00000000-0005-0000-0000-000077010000}"/>
    <cellStyle name="$_철도청-조명기구" xfId="5476" xr:uid="{00000000-0005-0000-0000-000078010000}"/>
    <cellStyle name="$_철도청-조명기구 2" xfId="5477" xr:uid="{00000000-0005-0000-0000-000079010000}"/>
    <cellStyle name="$_철도청-조명기구 2 2" xfId="5478" xr:uid="{00000000-0005-0000-0000-00007A010000}"/>
    <cellStyle name="$_최종-한국전기교통-개선형신호등 4종(공수조정)" xfId="5479" xr:uid="{00000000-0005-0000-0000-00007B010000}"/>
    <cellStyle name="$_최종-한국전기교통-개선형신호등 4종(공수조정) 2" xfId="5480" xr:uid="{00000000-0005-0000-0000-00007C010000}"/>
    <cellStyle name="$_최종-한국전기교통-개선형신호등 4종(공수조정) 2 2" xfId="5481" xr:uid="{00000000-0005-0000-0000-00007D010000}"/>
    <cellStyle name="$_코솔라-제조원가" xfId="5482" xr:uid="{00000000-0005-0000-0000-00007E010000}"/>
    <cellStyle name="$_코솔라-제조원가 2" xfId="5483" xr:uid="{00000000-0005-0000-0000-00007F010000}"/>
    <cellStyle name="$_코솔라-제조원가 2 2" xfId="5484" xr:uid="{00000000-0005-0000-0000-000080010000}"/>
    <cellStyle name="$_테마공사새로03" xfId="5485" xr:uid="{00000000-0005-0000-0000-000081010000}"/>
    <cellStyle name="$_테마공사새로03 2" xfId="5486" xr:uid="{00000000-0005-0000-0000-000082010000}"/>
    <cellStyle name="$_테마공사새로03 2 2" xfId="5487" xr:uid="{00000000-0005-0000-0000-000083010000}"/>
    <cellStyle name="$_토지공사-간접비" xfId="5488" xr:uid="{00000000-0005-0000-0000-000084010000}"/>
    <cellStyle name="$_토지공사-간접비 2" xfId="5489" xr:uid="{00000000-0005-0000-0000-000085010000}"/>
    <cellStyle name="$_토지공사-간접비 2 2" xfId="5490" xr:uid="{00000000-0005-0000-0000-000086010000}"/>
    <cellStyle name="$_평창증설매립장-설치" xfId="5491" xr:uid="{00000000-0005-0000-0000-000087010000}"/>
    <cellStyle name="$_평창증설매립장-설치 2" xfId="5492" xr:uid="{00000000-0005-0000-0000-000088010000}"/>
    <cellStyle name="$_평창증설매립장-설치 2 2" xfId="5493" xr:uid="{00000000-0005-0000-0000-000089010000}"/>
    <cellStyle name="$_한국가스공사필터제조부문" xfId="5494" xr:uid="{00000000-0005-0000-0000-00008A010000}"/>
    <cellStyle name="$_한국가스공사필터제조부문 2" xfId="5495" xr:uid="{00000000-0005-0000-0000-00008B010000}"/>
    <cellStyle name="$_한국가스공사필터제조부문 2 2" xfId="5496" xr:uid="{00000000-0005-0000-0000-00008C010000}"/>
    <cellStyle name="$_한국도로공사" xfId="5497" xr:uid="{00000000-0005-0000-0000-00008D010000}"/>
    <cellStyle name="$_한국도로공사 2" xfId="5498" xr:uid="{00000000-0005-0000-0000-00008E010000}"/>
    <cellStyle name="$_한국도로공사 2 2" xfId="5499" xr:uid="{00000000-0005-0000-0000-00008F010000}"/>
    <cellStyle name="$_한전내역서-최종" xfId="5500" xr:uid="{00000000-0005-0000-0000-000090010000}"/>
    <cellStyle name="$_한전내역서-최종 2" xfId="5501" xr:uid="{00000000-0005-0000-0000-000091010000}"/>
    <cellStyle name="$_한전내역서-최종 2 2" xfId="5502" xr:uid="{00000000-0005-0000-0000-000092010000}"/>
    <cellStyle name="&amp;A" xfId="2401" xr:uid="{00000000-0005-0000-0000-000093010000}"/>
    <cellStyle name="(##.00)" xfId="1831" xr:uid="{00000000-0005-0000-0000-000094010000}"/>
    <cellStyle name="(##.00) 2" xfId="5503" xr:uid="{00000000-0005-0000-0000-000095010000}"/>
    <cellStyle name="(##.00) 2 2" xfId="5504" xr:uid="{00000000-0005-0000-0000-000096010000}"/>
    <cellStyle name="(△콤마)" xfId="986" xr:uid="{00000000-0005-0000-0000-000097010000}"/>
    <cellStyle name="(△콤마) 2" xfId="5505" xr:uid="{00000000-0005-0000-0000-000098010000}"/>
    <cellStyle name="(△콤마) 2 2" xfId="5506" xr:uid="{00000000-0005-0000-0000-000099010000}"/>
    <cellStyle name="(백분율)" xfId="987" xr:uid="{00000000-0005-0000-0000-00009A010000}"/>
    <cellStyle name="(백분율) 2" xfId="5507" xr:uid="{00000000-0005-0000-0000-00009B010000}"/>
    <cellStyle name="(백분율) 2 2" xfId="5508" xr:uid="{00000000-0005-0000-0000-00009C010000}"/>
    <cellStyle name="(콤마)" xfId="988" xr:uid="{00000000-0005-0000-0000-00009D010000}"/>
    <cellStyle name="(콤마) 2" xfId="5509" xr:uid="{00000000-0005-0000-0000-00009E010000}"/>
    <cellStyle name="(콤마) 2 2" xfId="5510" xr:uid="{00000000-0005-0000-0000-00009F010000}"/>
    <cellStyle name=")" xfId="2402" xr:uid="{00000000-0005-0000-0000-0000A0010000}"/>
    <cellStyle name=";;;" xfId="1832" xr:uid="{00000000-0005-0000-0000-0000A1010000}"/>
    <cellStyle name="??&amp;O?&amp;H?_x0008__x000f__x0007_?_x0007__x0001__x0001_" xfId="989" xr:uid="{00000000-0005-0000-0000-0000A2010000}"/>
    <cellStyle name="??&amp;O?&amp;H?_x0008__x000f__x0007_?_x0007__x0001__x0001_ 2" xfId="5511" xr:uid="{00000000-0005-0000-0000-0000A3010000}"/>
    <cellStyle name="??&amp;O?&amp;H?_x0008__x000f__x0007_?_x0007__x0001__x0001_ 2 2" xfId="5512" xr:uid="{00000000-0005-0000-0000-0000A4010000}"/>
    <cellStyle name="??&amp;O?&amp;H?_x0008_??_x0007__x0001__x0001_" xfId="3" xr:uid="{00000000-0005-0000-0000-0000A5010000}"/>
    <cellStyle name="??&amp;O?&amp;H?_x0008_??_x0007__x0001__x0001_ 2" xfId="5513" xr:uid="{00000000-0005-0000-0000-0000A6010000}"/>
    <cellStyle name="??&amp;O?&amp;H?_x0008_??_x0007__x0001__x0001_ 2 2" xfId="5514" xr:uid="{00000000-0005-0000-0000-0000A7010000}"/>
    <cellStyle name="??&amp;O?&amp;H?_x0008__x000f__x0007_?_x0007__x0001__x0001__가산2빗물-발주용-시설물토목화" xfId="2404" xr:uid="{00000000-0005-0000-0000-0000A8010000}"/>
    <cellStyle name="??&amp;쏗?뷐9_x0008__x0011__x0007_?_x0007__x0001__x0001_" xfId="2403" xr:uid="{00000000-0005-0000-0000-0000A9010000}"/>
    <cellStyle name="??&amp;쏗?뷐9_x0008__x0011__x0007_?_x0007__x0001__x0001_ 2" xfId="5515" xr:uid="{00000000-0005-0000-0000-0000AA010000}"/>
    <cellStyle name="??&amp;쏗?뷐9_x0008__x0011__x0007_?_x0007__x0001__x0001_ 2 2" xfId="5516" xr:uid="{00000000-0005-0000-0000-0000AB010000}"/>
    <cellStyle name="??&amp;쏗?뷐9_x0008__x0011__x0007_?_x0007__x0001__x0001_ 3" xfId="5517" xr:uid="{00000000-0005-0000-0000-0000AC010000}"/>
    <cellStyle name="???­ [0]_¸ð??¸·" xfId="5518" xr:uid="{00000000-0005-0000-0000-0000AD010000}"/>
    <cellStyle name="???­_¸ð??¸·" xfId="5519" xr:uid="{00000000-0005-0000-0000-0000AE010000}"/>
    <cellStyle name="???Ø_¸ð??¸·" xfId="5520" xr:uid="{00000000-0005-0000-0000-0000AF010000}"/>
    <cellStyle name="?Þ¸¶ [0]_¸ð??¸·" xfId="5521" xr:uid="{00000000-0005-0000-0000-0000B0010000}"/>
    <cellStyle name="?Þ¸¶_¸ð??¸·" xfId="5522" xr:uid="{00000000-0005-0000-0000-0000B1010000}"/>
    <cellStyle name="?W?_laroux" xfId="4" xr:uid="{00000000-0005-0000-0000-0000B2010000}"/>
    <cellStyle name="?曹%U?&amp;H?_x0008_?s _x0007__x0001__x0001_" xfId="5523" xr:uid="{00000000-0005-0000-0000-0000B3010000}"/>
    <cellStyle name="?曹%U?&amp;H?_x0008_?s _x0007__x0001__x0001_ 2" xfId="5524" xr:uid="{00000000-0005-0000-0000-0000B4010000}"/>
    <cellStyle name="?曹%U?&amp;H?_x0008_?s_x000a__x0007__x0001__x0001_" xfId="990" xr:uid="{00000000-0005-0000-0000-0000B5010000}"/>
    <cellStyle name="?珠??? " xfId="991" xr:uid="{00000000-0005-0000-0000-0000B6010000}"/>
    <cellStyle name="@_laroux" xfId="5525" xr:uid="{00000000-0005-0000-0000-0000B7010000}"/>
    <cellStyle name="@_laroux 2" xfId="5526" xr:uid="{00000000-0005-0000-0000-0000B8010000}"/>
    <cellStyle name="@_laroux 2 2" xfId="5527" xr:uid="{00000000-0005-0000-0000-0000B9010000}"/>
    <cellStyle name="@_laroux_제트베인" xfId="5528" xr:uid="{00000000-0005-0000-0000-0000BA010000}"/>
    <cellStyle name="@_laroux_제트베인 2" xfId="5529" xr:uid="{00000000-0005-0000-0000-0000BB010000}"/>
    <cellStyle name="@_laroux_제트베인 2 2" xfId="5530" xr:uid="{00000000-0005-0000-0000-0000BC010000}"/>
    <cellStyle name="@_laroux_제트베인_1" xfId="5531" xr:uid="{00000000-0005-0000-0000-0000BD010000}"/>
    <cellStyle name="@_laroux_제트베인_1 2" xfId="5532" xr:uid="{00000000-0005-0000-0000-0000BE010000}"/>
    <cellStyle name="@_laroux_제트베인_1 2 2" xfId="5533" xr:uid="{00000000-0005-0000-0000-0000BF010000}"/>
    <cellStyle name="@_laroux_제트베인_1_100%-2006신호-" xfId="5534" xr:uid="{00000000-0005-0000-0000-0000C0010000}"/>
    <cellStyle name="@_laroux_제트베인_1_100%-2006신호- 2" xfId="5535" xr:uid="{00000000-0005-0000-0000-0000C1010000}"/>
    <cellStyle name="@_laroux_제트베인_1_100%-2006신호- 2 2" xfId="5536" xr:uid="{00000000-0005-0000-0000-0000C2010000}"/>
    <cellStyle name="@_laroux_제트베인_1_2007 교통신호기 설치공사 설계내역서(제1지역)" xfId="5537" xr:uid="{00000000-0005-0000-0000-0000C3010000}"/>
    <cellStyle name="@_laroux_제트베인_1_2007 교통신호기 설치공사 설계내역서(제1지역) 2" xfId="5538" xr:uid="{00000000-0005-0000-0000-0000C4010000}"/>
    <cellStyle name="@_laroux_제트베인_1_2007 교통신호기 설치공사 설계내역서(제1지역) 2 2" xfId="5539" xr:uid="{00000000-0005-0000-0000-0000C5010000}"/>
    <cellStyle name="@_laroux_제트베인_1_2007 교통신호기 설치공사 설계내역서(제1지역)_2007 교통신호기 설치공사 설계내역서(제1지역)" xfId="5540" xr:uid="{00000000-0005-0000-0000-0000C6010000}"/>
    <cellStyle name="@_laroux_제트베인_1_2007 교통신호기 설치공사 설계내역서(제1지역)_2007 교통신호기 설치공사 설계내역서(제1지역) 2" xfId="5541" xr:uid="{00000000-0005-0000-0000-0000C7010000}"/>
    <cellStyle name="@_laroux_제트베인_1_2007 교통신호기 설치공사 설계내역서(제1지역)_2007 교통신호기 설치공사 설계내역서(제1지역) 2 2" xfId="5542" xr:uid="{00000000-0005-0000-0000-0000C8010000}"/>
    <cellStyle name="@_laroux_제트베인_1_2007 교통신호기 설치공사 설계내역서(제1지역)_2007 교통신호기 설치공사 설계내역서(제1지역)_1" xfId="5543" xr:uid="{00000000-0005-0000-0000-0000C9010000}"/>
    <cellStyle name="@_laroux_제트베인_1_2007 교통신호기 설치공사 설계내역서(제1지역)_2007 교통신호기 설치공사 설계내역서(제1지역)_1 2" xfId="5544" xr:uid="{00000000-0005-0000-0000-0000CA010000}"/>
    <cellStyle name="@_laroux_제트베인_1_2007 교통신호기 설치공사 설계내역서(제1지역)_2007 교통신호기 설치공사 설계내역서(제1지역)_1 2 2" xfId="5545" xr:uid="{00000000-0005-0000-0000-0000CB010000}"/>
    <cellStyle name="@_laroux_제트베인_1_2007 교통신호기 설치공사 설계내역서(제1지역)_2007 교통신호기 설치공사 설계내역서(제1지역)_1_2009북부100%단가" xfId="5546" xr:uid="{00000000-0005-0000-0000-0000CC010000}"/>
    <cellStyle name="@_laroux_제트베인_1_2007 교통신호기 설치공사 설계내역서(제1지역)_2007 교통신호기 설치공사 설계내역서(제1지역)_1_2009북부100%단가 2" xfId="5547" xr:uid="{00000000-0005-0000-0000-0000CD010000}"/>
    <cellStyle name="@_laroux_제트베인_1_2007 교통신호기 설치공사 설계내역서(제1지역)_2007 교통신호기 설치공사 설계내역서(제1지역)_1_2009북부100%단가 2 2" xfId="5548" xr:uid="{00000000-0005-0000-0000-0000CE010000}"/>
    <cellStyle name="@_laroux_제트베인_1_2007 교통신호기 설치공사 설계내역서(제1지역)_2007 교통신호기 설치공사 설계내역서(제1지역)_1_단가" xfId="5549" xr:uid="{00000000-0005-0000-0000-0000CF010000}"/>
    <cellStyle name="@_laroux_제트베인_1_2007 교통신호기 설치공사 설계내역서(제1지역)_2007 교통신호기 설치공사 설계내역서(제1지역)_1_단가 2" xfId="5550" xr:uid="{00000000-0005-0000-0000-0000D0010000}"/>
    <cellStyle name="@_laroux_제트베인_1_2007 교통신호기 설치공사 설계내역서(제1지역)_2007 교통신호기 설치공사 설계내역서(제1지역)_1_단가 2 2" xfId="5551" xr:uid="{00000000-0005-0000-0000-0000D1010000}"/>
    <cellStyle name="@_laroux_제트베인_1_2007 교통신호기 설치공사 설계내역서(제1지역)_2007 교통신호기 설치공사 설계내역서(제1지역)_1_북부-1지역" xfId="5552" xr:uid="{00000000-0005-0000-0000-0000D2010000}"/>
    <cellStyle name="@_laroux_제트베인_1_2007 교통신호기 설치공사 설계내역서(제1지역)_2007 교통신호기 설치공사 설계내역서(제1지역)_1_북부-1지역 2" xfId="5553" xr:uid="{00000000-0005-0000-0000-0000D3010000}"/>
    <cellStyle name="@_laroux_제트베인_1_2007 교통신호기 설치공사 설계내역서(제1지역)_2007 교통신호기 설치공사 설계내역서(제1지역)_1_북부-1지역 2 2" xfId="5554" xr:uid="{00000000-0005-0000-0000-0000D4010000}"/>
    <cellStyle name="@_laroux_제트베인_1_2007 교통신호기 설치공사 설계내역서(제1지역)_2007 교통신호기 설치공사 설계내역서(제1지역)_1_북부-1지역_관급자재" xfId="5555" xr:uid="{00000000-0005-0000-0000-0000D5010000}"/>
    <cellStyle name="@_laroux_제트베인_1_2007 교통신호기 설치공사 설계내역서(제1지역)_2007 교통신호기 설치공사 설계내역서(제1지역)_1_북부-1지역_관급자재 2" xfId="5556" xr:uid="{00000000-0005-0000-0000-0000D6010000}"/>
    <cellStyle name="@_laroux_제트베인_1_2007 교통신호기 설치공사 설계내역서(제1지역)_2007 교통신호기 설치공사 설계내역서(제1지역)_1_북부-1지역_관급자재 2 2" xfId="5557" xr:uid="{00000000-0005-0000-0000-0000D7010000}"/>
    <cellStyle name="@_laroux_제트베인_1_2007 교통신호기 설치공사 설계내역서(제1지역)_2007 교통신호기 설치공사 설계내역서(제1지역)_1_북부-1지역_북부1" xfId="5558" xr:uid="{00000000-0005-0000-0000-0000D8010000}"/>
    <cellStyle name="@_laroux_제트베인_1_2007 교통신호기 설치공사 설계내역서(제1지역)_2007 교통신호기 설치공사 설계내역서(제1지역)_1_북부-1지역_북부1 2" xfId="5559" xr:uid="{00000000-0005-0000-0000-0000D9010000}"/>
    <cellStyle name="@_laroux_제트베인_1_2007 교통신호기 설치공사 설계내역서(제1지역)_2007 교통신호기 설치공사 설계내역서(제1지역)_1_북부-1지역_북부1 2 2" xfId="5560" xr:uid="{00000000-0005-0000-0000-0000DA010000}"/>
    <cellStyle name="@_laroux_제트베인_1_2007 교통신호기 설치공사 설계내역서(제1지역)_2007 교통신호기 설치공사 설계내역서(제1지역)_1_설계서-교통신호기유지보수공사 연간단가(서부2구역)(심사결과)" xfId="5561" xr:uid="{00000000-0005-0000-0000-0000DB010000}"/>
    <cellStyle name="@_laroux_제트베인_1_2007 교통신호기 설치공사 설계내역서(제1지역)_2007 교통신호기 설치공사 설계내역서(제1지역)_1_설계서-교통신호기유지보수공사 연간단가(서부2구역)(심사결과) 2" xfId="5562" xr:uid="{00000000-0005-0000-0000-0000DC010000}"/>
    <cellStyle name="@_laroux_제트베인_1_2007 교통신호기 설치공사 설계내역서(제1지역)_2007 교통신호기 설치공사 설계내역서(제1지역)_1_설계서-교통신호기유지보수공사 연간단가(서부2구역)(심사결과) 2 2" xfId="5563" xr:uid="{00000000-0005-0000-0000-0000DD010000}"/>
    <cellStyle name="@_laroux_제트베인_1_2007 교통신호기 설치공사 설계내역서(제1지역)_2007 교통신호기 설치공사 설계내역서(제1지역)_2" xfId="5564" xr:uid="{00000000-0005-0000-0000-0000DE010000}"/>
    <cellStyle name="@_laroux_제트베인_1_2007 교통신호기 설치공사 설계내역서(제1지역)_2007 교통신호기 설치공사 설계내역서(제1지역)_2 2" xfId="5565" xr:uid="{00000000-0005-0000-0000-0000DF010000}"/>
    <cellStyle name="@_laroux_제트베인_1_2007 교통신호기 설치공사 설계내역서(제1지역)_2007 교통신호기 설치공사 설계내역서(제1지역)_2 2 2" xfId="5566" xr:uid="{00000000-0005-0000-0000-0000E0010000}"/>
    <cellStyle name="@_laroux_제트베인_1_2007 교통신호기 설치공사 설계내역서(제1지역)_2007 교통신호기 설치공사 설계내역서(제1지역)_2_2009북부100%단가" xfId="5567" xr:uid="{00000000-0005-0000-0000-0000E1010000}"/>
    <cellStyle name="@_laroux_제트베인_1_2007 교통신호기 설치공사 설계내역서(제1지역)_2007 교통신호기 설치공사 설계내역서(제1지역)_2_2009북부100%단가 2" xfId="5568" xr:uid="{00000000-0005-0000-0000-0000E2010000}"/>
    <cellStyle name="@_laroux_제트베인_1_2007 교통신호기 설치공사 설계내역서(제1지역)_2007 교통신호기 설치공사 설계내역서(제1지역)_2_2009북부100%단가 2 2" xfId="5569" xr:uid="{00000000-0005-0000-0000-0000E3010000}"/>
    <cellStyle name="@_laroux_제트베인_1_2007 교통신호기 설치공사 설계내역서(제1지역)_2007 교통신호기 설치공사 설계내역서(제1지역)_2_단가" xfId="5570" xr:uid="{00000000-0005-0000-0000-0000E4010000}"/>
    <cellStyle name="@_laroux_제트베인_1_2007 교통신호기 설치공사 설계내역서(제1지역)_2007 교통신호기 설치공사 설계내역서(제1지역)_2_단가 2" xfId="5571" xr:uid="{00000000-0005-0000-0000-0000E5010000}"/>
    <cellStyle name="@_laroux_제트베인_1_2007 교통신호기 설치공사 설계내역서(제1지역)_2007 교통신호기 설치공사 설계내역서(제1지역)_2_단가 2 2" xfId="5572" xr:uid="{00000000-0005-0000-0000-0000E6010000}"/>
    <cellStyle name="@_laroux_제트베인_1_2007 교통신호기 설치공사 설계내역서(제1지역)_2007 교통신호기 설치공사 설계내역서(제1지역)_2_북부-1지역" xfId="5573" xr:uid="{00000000-0005-0000-0000-0000E7010000}"/>
    <cellStyle name="@_laroux_제트베인_1_2007 교통신호기 설치공사 설계내역서(제1지역)_2007 교통신호기 설치공사 설계내역서(제1지역)_2_북부-1지역 2" xfId="5574" xr:uid="{00000000-0005-0000-0000-0000E8010000}"/>
    <cellStyle name="@_laroux_제트베인_1_2007 교통신호기 설치공사 설계내역서(제1지역)_2007 교통신호기 설치공사 설계내역서(제1지역)_2_북부-1지역 2 2" xfId="5575" xr:uid="{00000000-0005-0000-0000-0000E9010000}"/>
    <cellStyle name="@_laroux_제트베인_1_2007 교통신호기 설치공사 설계내역서(제1지역)_2007 교통신호기 설치공사 설계내역서(제1지역)_2_북부-1지역_관급자재" xfId="5576" xr:uid="{00000000-0005-0000-0000-0000EA010000}"/>
    <cellStyle name="@_laroux_제트베인_1_2007 교통신호기 설치공사 설계내역서(제1지역)_2007 교통신호기 설치공사 설계내역서(제1지역)_2_북부-1지역_관급자재 2" xfId="5577" xr:uid="{00000000-0005-0000-0000-0000EB010000}"/>
    <cellStyle name="@_laroux_제트베인_1_2007 교통신호기 설치공사 설계내역서(제1지역)_2007 교통신호기 설치공사 설계내역서(제1지역)_2_북부-1지역_관급자재 2 2" xfId="5578" xr:uid="{00000000-0005-0000-0000-0000EC010000}"/>
    <cellStyle name="@_laroux_제트베인_1_2007 교통신호기 설치공사 설계내역서(제1지역)_2007 교통신호기 설치공사 설계내역서(제1지역)_2_북부-1지역_북부1" xfId="5579" xr:uid="{00000000-0005-0000-0000-0000ED010000}"/>
    <cellStyle name="@_laroux_제트베인_1_2007 교통신호기 설치공사 설계내역서(제1지역)_2007 교통신호기 설치공사 설계내역서(제1지역)_2_북부-1지역_북부1 2" xfId="5580" xr:uid="{00000000-0005-0000-0000-0000EE010000}"/>
    <cellStyle name="@_laroux_제트베인_1_2007 교통신호기 설치공사 설계내역서(제1지역)_2007 교통신호기 설치공사 설계내역서(제1지역)_2_북부-1지역_북부1 2 2" xfId="5581" xr:uid="{00000000-0005-0000-0000-0000EF010000}"/>
    <cellStyle name="@_laroux_제트베인_1_2007 교통신호기 설치공사 설계내역서(제1지역)_2007 교통신호기 설치공사 설계내역서(제1지역)_2_설계서-교통신호기유지보수공사 연간단가(서부2구역)(심사결과)" xfId="5582" xr:uid="{00000000-0005-0000-0000-0000F0010000}"/>
    <cellStyle name="@_laroux_제트베인_1_2007 교통신호기 설치공사 설계내역서(제1지역)_2007 교통신호기 설치공사 설계내역서(제1지역)_2_설계서-교통신호기유지보수공사 연간단가(서부2구역)(심사결과) 2" xfId="5583" xr:uid="{00000000-0005-0000-0000-0000F1010000}"/>
    <cellStyle name="@_laroux_제트베인_1_2007 교통신호기 설치공사 설계내역서(제1지역)_2007 교통신호기 설치공사 설계내역서(제1지역)_2_설계서-교통신호기유지보수공사 연간단가(서부2구역)(심사결과) 2 2" xfId="5584" xr:uid="{00000000-0005-0000-0000-0000F2010000}"/>
    <cellStyle name="@_laroux_제트베인_1_2007 교통신호기 설치공사 설계내역서(제1지역)_2007 교통신호기 설치공사 설계내역서(제1지역)_2009북부100%단가" xfId="5585" xr:uid="{00000000-0005-0000-0000-0000F3010000}"/>
    <cellStyle name="@_laroux_제트베인_1_2007 교통신호기 설치공사 설계내역서(제1지역)_2007 교통신호기 설치공사 설계내역서(제1지역)_2009북부100%단가 2" xfId="5586" xr:uid="{00000000-0005-0000-0000-0000F4010000}"/>
    <cellStyle name="@_laroux_제트베인_1_2007 교통신호기 설치공사 설계내역서(제1지역)_2007 교통신호기 설치공사 설계내역서(제1지역)_2009북부100%단가 2 2" xfId="5587" xr:uid="{00000000-0005-0000-0000-0000F5010000}"/>
    <cellStyle name="@_laroux_제트베인_1_2007 교통신호기 설치공사 설계내역서(제1지역)_2007 교통신호기 설치공사 설계내역서(제1지역)_단가" xfId="5588" xr:uid="{00000000-0005-0000-0000-0000F6010000}"/>
    <cellStyle name="@_laroux_제트베인_1_2007 교통신호기 설치공사 설계내역서(제1지역)_2007 교통신호기 설치공사 설계내역서(제1지역)_단가 2" xfId="5589" xr:uid="{00000000-0005-0000-0000-0000F7010000}"/>
    <cellStyle name="@_laroux_제트베인_1_2007 교통신호기 설치공사 설계내역서(제1지역)_2007 교통신호기 설치공사 설계내역서(제1지역)_단가 2 2" xfId="5590" xr:uid="{00000000-0005-0000-0000-0000F8010000}"/>
    <cellStyle name="@_laroux_제트베인_1_2007 교통신호기 설치공사 설계내역서(제1지역)_2007 교통신호기 설치공사 설계내역서(제1지역)_북부-1지역" xfId="5591" xr:uid="{00000000-0005-0000-0000-0000F9010000}"/>
    <cellStyle name="@_laroux_제트베인_1_2007 교통신호기 설치공사 설계내역서(제1지역)_2007 교통신호기 설치공사 설계내역서(제1지역)_북부-1지역 2" xfId="5592" xr:uid="{00000000-0005-0000-0000-0000FA010000}"/>
    <cellStyle name="@_laroux_제트베인_1_2007 교통신호기 설치공사 설계내역서(제1지역)_2007 교통신호기 설치공사 설계내역서(제1지역)_북부-1지역 2 2" xfId="5593" xr:uid="{00000000-0005-0000-0000-0000FB010000}"/>
    <cellStyle name="@_laroux_제트베인_1_2007 교통신호기 설치공사 설계내역서(제1지역)_2007 교통신호기 설치공사 설계내역서(제1지역)_북부-1지역_관급자재" xfId="5594" xr:uid="{00000000-0005-0000-0000-0000FC010000}"/>
    <cellStyle name="@_laroux_제트베인_1_2007 교통신호기 설치공사 설계내역서(제1지역)_2007 교통신호기 설치공사 설계내역서(제1지역)_북부-1지역_관급자재 2" xfId="5595" xr:uid="{00000000-0005-0000-0000-0000FD010000}"/>
    <cellStyle name="@_laroux_제트베인_1_2007 교통신호기 설치공사 설계내역서(제1지역)_2007 교통신호기 설치공사 설계내역서(제1지역)_북부-1지역_관급자재 2 2" xfId="5596" xr:uid="{00000000-0005-0000-0000-0000FE010000}"/>
    <cellStyle name="@_laroux_제트베인_1_2007 교통신호기 설치공사 설계내역서(제1지역)_2007 교통신호기 설치공사 설계내역서(제1지역)_북부-1지역_북부1" xfId="5597" xr:uid="{00000000-0005-0000-0000-0000FF010000}"/>
    <cellStyle name="@_laroux_제트베인_1_2007 교통신호기 설치공사 설계내역서(제1지역)_2007 교통신호기 설치공사 설계내역서(제1지역)_북부-1지역_북부1 2" xfId="5598" xr:uid="{00000000-0005-0000-0000-000000020000}"/>
    <cellStyle name="@_laroux_제트베인_1_2007 교통신호기 설치공사 설계내역서(제1지역)_2007 교통신호기 설치공사 설계내역서(제1지역)_북부-1지역_북부1 2 2" xfId="5599" xr:uid="{00000000-0005-0000-0000-000001020000}"/>
    <cellStyle name="@_laroux_제트베인_1_2007 교통신호기 설치공사 설계내역서(제1지역)_2007 교통신호기 설치공사 설계내역서(제1지역)_설계서-교통신호기유지보수공사 연간단가(서부2구역)(심사결과)" xfId="5600" xr:uid="{00000000-0005-0000-0000-000002020000}"/>
    <cellStyle name="@_laroux_제트베인_1_2007 교통신호기 설치공사 설계내역서(제1지역)_2007 교통신호기 설치공사 설계내역서(제1지역)_설계서-교통신호기유지보수공사 연간단가(서부2구역)(심사결과) 2" xfId="5601" xr:uid="{00000000-0005-0000-0000-000003020000}"/>
    <cellStyle name="@_laroux_제트베인_1_2007 교통신호기 설치공사 설계내역서(제1지역)_2007 교통신호기 설치공사 설계내역서(제1지역)_설계서-교통신호기유지보수공사 연간단가(서부2구역)(심사결과) 2 2" xfId="5602" xr:uid="{00000000-0005-0000-0000-000004020000}"/>
    <cellStyle name="@_laroux_제트베인_1_2007 교통신호기 설치공사 설계내역서(제1지역)_2007기획공사내역서(1.5)" xfId="5603" xr:uid="{00000000-0005-0000-0000-000005020000}"/>
    <cellStyle name="@_laroux_제트베인_1_2007 교통신호기 설치공사 설계내역서(제1지역)_2007기획공사내역서(1.5) 2" xfId="5604" xr:uid="{00000000-0005-0000-0000-000006020000}"/>
    <cellStyle name="@_laroux_제트베인_1_2007 교통신호기 설치공사 설계내역서(제1지역)_2007기획공사내역서(1.5) 2 2" xfId="5605" xr:uid="{00000000-0005-0000-0000-000007020000}"/>
    <cellStyle name="@_laroux_제트베인_1_2007 교통신호기 설치공사 설계내역서(제1지역)_2009북부100%단가" xfId="5606" xr:uid="{00000000-0005-0000-0000-000008020000}"/>
    <cellStyle name="@_laroux_제트베인_1_2007 교통신호기 설치공사 설계내역서(제1지역)_2009북부100%단가 2" xfId="5607" xr:uid="{00000000-0005-0000-0000-000009020000}"/>
    <cellStyle name="@_laroux_제트베인_1_2007 교통신호기 설치공사 설계내역서(제1지역)_2009북부100%단가 2 2" xfId="5608" xr:uid="{00000000-0005-0000-0000-00000A020000}"/>
    <cellStyle name="@_laroux_제트베인_1_2007 교통신호기 설치공사 설계내역서(제1지역)_계약내역서-동남전공-전체" xfId="5609" xr:uid="{00000000-0005-0000-0000-00000B020000}"/>
    <cellStyle name="@_laroux_제트베인_1_2007 교통신호기 설치공사 설계내역서(제1지역)_계약내역서-동남전공-전체 2" xfId="5610" xr:uid="{00000000-0005-0000-0000-00000C020000}"/>
    <cellStyle name="@_laroux_제트베인_1_2007 교통신호기 설치공사 설계내역서(제1지역)_계약내역서-동남전공-전체 2 2" xfId="5611" xr:uid="{00000000-0005-0000-0000-00000D020000}"/>
    <cellStyle name="@_laroux_제트베인_1_2007 교통신호기 설치공사 설계내역서(제1지역)_계약내역서-동남전공-통신" xfId="5612" xr:uid="{00000000-0005-0000-0000-00000E020000}"/>
    <cellStyle name="@_laroux_제트베인_1_2007 교통신호기 설치공사 설계내역서(제1지역)_계약내역서-동남전공-통신 2" xfId="5613" xr:uid="{00000000-0005-0000-0000-00000F020000}"/>
    <cellStyle name="@_laroux_제트베인_1_2007 교통신호기 설치공사 설계내역서(제1지역)_계약내역서-동남전공-통신 2 2" xfId="5614" xr:uid="{00000000-0005-0000-0000-000010020000}"/>
    <cellStyle name="@_laroux_제트베인_1_2007 교통신호기 설치공사 설계내역서(제1지역)_관급" xfId="5615" xr:uid="{00000000-0005-0000-0000-000011020000}"/>
    <cellStyle name="@_laroux_제트베인_1_2007 교통신호기 설치공사 설계내역서(제1지역)_관급 2" xfId="5616" xr:uid="{00000000-0005-0000-0000-000012020000}"/>
    <cellStyle name="@_laroux_제트베인_1_2007 교통신호기 설치공사 설계내역서(제1지역)_관급 2 2" xfId="5617" xr:uid="{00000000-0005-0000-0000-000013020000}"/>
    <cellStyle name="@_laroux_제트베인_1_2007 교통신호기 설치공사 설계내역서(제1지역)_관급자재" xfId="5618" xr:uid="{00000000-0005-0000-0000-000014020000}"/>
    <cellStyle name="@_laroux_제트베인_1_2007 교통신호기 설치공사 설계내역서(제1지역)_관급자재 2" xfId="5619" xr:uid="{00000000-0005-0000-0000-000015020000}"/>
    <cellStyle name="@_laroux_제트베인_1_2007 교통신호기 설치공사 설계내역서(제1지역)_관급자재 2 2" xfId="5620" xr:uid="{00000000-0005-0000-0000-000016020000}"/>
    <cellStyle name="@_laroux_제트베인_1_2007 교통신호기 설치공사 설계내역서(제1지역)_내역서" xfId="5621" xr:uid="{00000000-0005-0000-0000-000017020000}"/>
    <cellStyle name="@_laroux_제트베인_1_2007 교통신호기 설치공사 설계내역서(제1지역)_내역서 2" xfId="5622" xr:uid="{00000000-0005-0000-0000-000018020000}"/>
    <cellStyle name="@_laroux_제트베인_1_2007 교통신호기 설치공사 설계내역서(제1지역)_내역서 2 2" xfId="5623" xr:uid="{00000000-0005-0000-0000-000019020000}"/>
    <cellStyle name="@_laroux_제트베인_1_2007 교통신호기 설치공사 설계내역서(제1지역)_단가" xfId="5624" xr:uid="{00000000-0005-0000-0000-00001A020000}"/>
    <cellStyle name="@_laroux_제트베인_1_2007 교통신호기 설치공사 설계내역서(제1지역)_단가 2" xfId="5625" xr:uid="{00000000-0005-0000-0000-00001B020000}"/>
    <cellStyle name="@_laroux_제트베인_1_2007 교통신호기 설치공사 설계내역서(제1지역)_단가 2 2" xfId="5626" xr:uid="{00000000-0005-0000-0000-00001C020000}"/>
    <cellStyle name="@_laroux_제트베인_1_2007 교통신호기 설치공사 설계내역서(제1지역)_북부1" xfId="5627" xr:uid="{00000000-0005-0000-0000-00001D020000}"/>
    <cellStyle name="@_laroux_제트베인_1_2007 교통신호기 설치공사 설계내역서(제1지역)_북부1 2" xfId="5628" xr:uid="{00000000-0005-0000-0000-00001E020000}"/>
    <cellStyle name="@_laroux_제트베인_1_2007 교통신호기 설치공사 설계내역서(제1지역)_북부1 2 2" xfId="5629" xr:uid="{00000000-0005-0000-0000-00001F020000}"/>
    <cellStyle name="@_laroux_제트베인_1_2007 교통신호기 설치공사 설계내역서(제1지역)_북부-1지역" xfId="5630" xr:uid="{00000000-0005-0000-0000-000020020000}"/>
    <cellStyle name="@_laroux_제트베인_1_2007 교통신호기 설치공사 설계내역서(제1지역)_북부-1지역 2" xfId="5631" xr:uid="{00000000-0005-0000-0000-000021020000}"/>
    <cellStyle name="@_laroux_제트베인_1_2007 교통신호기 설치공사 설계내역서(제1지역)_북부-1지역 2 2" xfId="5632" xr:uid="{00000000-0005-0000-0000-000022020000}"/>
    <cellStyle name="@_laroux_제트베인_1_2007 교통신호기 설치공사 설계내역서(제1지역)_북부-1지역(지점별)" xfId="5633" xr:uid="{00000000-0005-0000-0000-000023020000}"/>
    <cellStyle name="@_laroux_제트베인_1_2007 교통신호기 설치공사 설계내역서(제1지역)_북부-1지역(지점별) 2" xfId="5634" xr:uid="{00000000-0005-0000-0000-000024020000}"/>
    <cellStyle name="@_laroux_제트베인_1_2007 교통신호기 설치공사 설계내역서(제1지역)_북부-1지역(지점별) 2 2" xfId="5635" xr:uid="{00000000-0005-0000-0000-000025020000}"/>
    <cellStyle name="@_laroux_제트베인_1_2007 교통신호기 설치공사 설계내역서(제1지역)_북부-1지역_북부-1지역" xfId="5636" xr:uid="{00000000-0005-0000-0000-000026020000}"/>
    <cellStyle name="@_laroux_제트베인_1_2007 교통신호기 설치공사 설계내역서(제1지역)_북부-1지역_북부-1지역 2" xfId="5637" xr:uid="{00000000-0005-0000-0000-000027020000}"/>
    <cellStyle name="@_laroux_제트베인_1_2007 교통신호기 설치공사 설계내역서(제1지역)_북부-1지역_북부-1지역 2 2" xfId="5638" xr:uid="{00000000-0005-0000-0000-000028020000}"/>
    <cellStyle name="@_laroux_제트베인_1_2007 교통신호기 설치공사 설계내역서(제1지역)_북부-1지역_북부-1지역_관급자재" xfId="5639" xr:uid="{00000000-0005-0000-0000-000029020000}"/>
    <cellStyle name="@_laroux_제트베인_1_2007 교통신호기 설치공사 설계내역서(제1지역)_북부-1지역_북부-1지역_관급자재 2" xfId="5640" xr:uid="{00000000-0005-0000-0000-00002A020000}"/>
    <cellStyle name="@_laroux_제트베인_1_2007 교통신호기 설치공사 설계내역서(제1지역)_북부-1지역_북부-1지역_관급자재 2 2" xfId="5641" xr:uid="{00000000-0005-0000-0000-00002B020000}"/>
    <cellStyle name="@_laroux_제트베인_1_2007 교통신호기 설치공사 설계내역서(제1지역)_북부-1지역_북부-1지역_북부1" xfId="5642" xr:uid="{00000000-0005-0000-0000-00002C020000}"/>
    <cellStyle name="@_laroux_제트베인_1_2007 교통신호기 설치공사 설계내역서(제1지역)_북부-1지역_북부-1지역_북부1 2" xfId="5643" xr:uid="{00000000-0005-0000-0000-00002D020000}"/>
    <cellStyle name="@_laroux_제트베인_1_2007 교통신호기 설치공사 설계내역서(제1지역)_북부-1지역_북부-1지역_북부1 2 2" xfId="5644" xr:uid="{00000000-0005-0000-0000-00002E020000}"/>
    <cellStyle name="@_laroux_제트베인_1_2007 교통신호기 설치공사 설계내역서(제1지역)_서부-1지역(중구,용산,마포일부)" xfId="5645" xr:uid="{00000000-0005-0000-0000-00002F020000}"/>
    <cellStyle name="@_laroux_제트베인_1_2007 교통신호기 설치공사 설계내역서(제1지역)_서부-1지역(중구,용산,마포일부) 2" xfId="5646" xr:uid="{00000000-0005-0000-0000-000030020000}"/>
    <cellStyle name="@_laroux_제트베인_1_2007 교통신호기 설치공사 설계내역서(제1지역)_서부-1지역(중구,용산,마포일부) 2 2" xfId="5647" xr:uid="{00000000-0005-0000-0000-000031020000}"/>
    <cellStyle name="@_laroux_제트베인_1_2007 교통신호기 설치공사 설계내역서(제1지역)_설계서" xfId="5648" xr:uid="{00000000-0005-0000-0000-000032020000}"/>
    <cellStyle name="@_laroux_제트베인_1_2007 교통신호기 설치공사 설계내역서(제1지역)_설계서 2" xfId="5649" xr:uid="{00000000-0005-0000-0000-000033020000}"/>
    <cellStyle name="@_laroux_제트베인_1_2007 교통신호기 설치공사 설계내역서(제1지역)_설계서 2 2" xfId="5650" xr:uid="{00000000-0005-0000-0000-000034020000}"/>
    <cellStyle name="@_laroux_제트베인_1_2007 교통신호기 설치공사 설계내역서(제1지역)_설계서_북부-1지역" xfId="5651" xr:uid="{00000000-0005-0000-0000-000035020000}"/>
    <cellStyle name="@_laroux_제트베인_1_2007 교통신호기 설치공사 설계내역서(제1지역)_설계서_북부-1지역 2" xfId="5652" xr:uid="{00000000-0005-0000-0000-000036020000}"/>
    <cellStyle name="@_laroux_제트베인_1_2007 교통신호기 설치공사 설계내역서(제1지역)_설계서_북부-1지역 2 2" xfId="5653" xr:uid="{00000000-0005-0000-0000-000037020000}"/>
    <cellStyle name="@_laroux_제트베인_1_2007 교통신호기 설치공사 설계내역서(제1지역)_설계서_북부-1지역_관급자재" xfId="5654" xr:uid="{00000000-0005-0000-0000-000038020000}"/>
    <cellStyle name="@_laroux_제트베인_1_2007 교통신호기 설치공사 설계내역서(제1지역)_설계서_북부-1지역_관급자재 2" xfId="5655" xr:uid="{00000000-0005-0000-0000-000039020000}"/>
    <cellStyle name="@_laroux_제트베인_1_2007 교통신호기 설치공사 설계내역서(제1지역)_설계서_북부-1지역_관급자재 2 2" xfId="5656" xr:uid="{00000000-0005-0000-0000-00003A020000}"/>
    <cellStyle name="@_laroux_제트베인_1_2007 교통신호기 설치공사 설계내역서(제1지역)_설계서_북부-1지역_북부1" xfId="5657" xr:uid="{00000000-0005-0000-0000-00003B020000}"/>
    <cellStyle name="@_laroux_제트베인_1_2007 교통신호기 설치공사 설계내역서(제1지역)_설계서_북부-1지역_북부1 2" xfId="5658" xr:uid="{00000000-0005-0000-0000-00003C020000}"/>
    <cellStyle name="@_laroux_제트베인_1_2007 교통신호기 설치공사 설계내역서(제1지역)_설계서_북부-1지역_북부1 2 2" xfId="5659" xr:uid="{00000000-0005-0000-0000-00003D020000}"/>
    <cellStyle name="@_laroux_제트베인_1_2007 교통신호기 설치공사 설계내역서(제1지역)_설계서-교통신호기유지보수공사 연간단가(서부2구역)(심사결과)" xfId="5660" xr:uid="{00000000-0005-0000-0000-00003E020000}"/>
    <cellStyle name="@_laroux_제트베인_1_2007 교통신호기 설치공사 설계내역서(제1지역)_설계서-교통신호기유지보수공사 연간단가(서부2구역)(심사결과) 2" xfId="5661" xr:uid="{00000000-0005-0000-0000-00003F020000}"/>
    <cellStyle name="@_laroux_제트베인_1_2007 교통신호기 설치공사 설계내역서(제1지역)_설계서-교통신호기유지보수공사 연간단가(서부2구역)(심사결과) 2 2" xfId="5662" xr:uid="{00000000-0005-0000-0000-000040020000}"/>
    <cellStyle name="@_laroux_제트베인_1_2009북부100%단가" xfId="5663" xr:uid="{00000000-0005-0000-0000-000041020000}"/>
    <cellStyle name="@_laroux_제트베인_1_2009북부100%단가 2" xfId="5664" xr:uid="{00000000-0005-0000-0000-000042020000}"/>
    <cellStyle name="@_laroux_제트베인_1_2009북부100%단가 2 2" xfId="5665" xr:uid="{00000000-0005-0000-0000-000043020000}"/>
    <cellStyle name="@_laroux_제트베인_1_광명_주정차시스템 견적서(한일에스티엠_4억9천)" xfId="5666" xr:uid="{00000000-0005-0000-0000-000044020000}"/>
    <cellStyle name="@_laroux_제트베인_1_광명_주정차시스템 견적서(한일에스티엠_4억9천) 2" xfId="5667" xr:uid="{00000000-0005-0000-0000-000045020000}"/>
    <cellStyle name="@_laroux_제트베인_1_광명_주정차시스템 견적서(한일에스티엠_4억9천) 2 2" xfId="5668" xr:uid="{00000000-0005-0000-0000-000046020000}"/>
    <cellStyle name="@_laroux_제트베인_1_광명_주정차시스템 견적서(한일에스티엠_4억9천)_성남시 불법주정차자동_견적서" xfId="5669" xr:uid="{00000000-0005-0000-0000-000047020000}"/>
    <cellStyle name="@_laroux_제트베인_1_광명_주정차시스템 견적서(한일에스티엠_4억9천)_성남시 불법주정차자동_견적서 2" xfId="5670" xr:uid="{00000000-0005-0000-0000-000048020000}"/>
    <cellStyle name="@_laroux_제트베인_1_광명_주정차시스템 견적서(한일에스티엠_4억9천)_성남시 불법주정차자동_견적서 2 2" xfId="5671" xr:uid="{00000000-0005-0000-0000-000049020000}"/>
    <cellStyle name="@_laroux_제트베인_1_광명_주정차시스템 견적서(한일에스티엠_4억9천)_성남시 불법주정차자동_견적서_견적서_ 한일에스티엠" xfId="5672" xr:uid="{00000000-0005-0000-0000-00004A020000}"/>
    <cellStyle name="@_laroux_제트베인_1_광명_주정차시스템 견적서(한일에스티엠_4억9천)_성남시 불법주정차자동_견적서_견적서_ 한일에스티엠 2" xfId="5673" xr:uid="{00000000-0005-0000-0000-00004B020000}"/>
    <cellStyle name="@_laroux_제트베인_1_광명_주정차시스템 견적서(한일에스티엠_4억9천)_성남시 불법주정차자동_견적서_견적서_ 한일에스티엠 2 2" xfId="5674" xr:uid="{00000000-0005-0000-0000-00004C020000}"/>
    <cellStyle name="@_laroux_제트베인_1_광명_주정차시스템 견적서(한일에스티엠_수정본)" xfId="5675" xr:uid="{00000000-0005-0000-0000-00004D020000}"/>
    <cellStyle name="@_laroux_제트베인_1_광명_주정차시스템 견적서(한일에스티엠_수정본) 2" xfId="5676" xr:uid="{00000000-0005-0000-0000-00004E020000}"/>
    <cellStyle name="@_laroux_제트베인_1_광명_주정차시스템 견적서(한일에스티엠_수정본) 2 2" xfId="5677" xr:uid="{00000000-0005-0000-0000-00004F020000}"/>
    <cellStyle name="@_laroux_제트베인_1_광명_주정차시스템 견적서(한일에스티엠_수정본)_성남시 불법주정차자동_견적서" xfId="5678" xr:uid="{00000000-0005-0000-0000-000050020000}"/>
    <cellStyle name="@_laroux_제트베인_1_광명_주정차시스템 견적서(한일에스티엠_수정본)_성남시 불법주정차자동_견적서 2" xfId="5679" xr:uid="{00000000-0005-0000-0000-000051020000}"/>
    <cellStyle name="@_laroux_제트베인_1_광명_주정차시스템 견적서(한일에스티엠_수정본)_성남시 불법주정차자동_견적서 2 2" xfId="5680" xr:uid="{00000000-0005-0000-0000-000052020000}"/>
    <cellStyle name="@_laroux_제트베인_1_광명_주정차시스템 견적서(한일에스티엠_수정본)_성남시 불법주정차자동_견적서_견적서_ 한일에스티엠" xfId="5681" xr:uid="{00000000-0005-0000-0000-000053020000}"/>
    <cellStyle name="@_laroux_제트베인_1_광명_주정차시스템 견적서(한일에스티엠_수정본)_성남시 불법주정차자동_견적서_견적서_ 한일에스티엠 2" xfId="5682" xr:uid="{00000000-0005-0000-0000-000054020000}"/>
    <cellStyle name="@_laroux_제트베인_1_광명_주정차시스템 견적서(한일에스티엠_수정본)_성남시 불법주정차자동_견적서_견적서_ 한일에스티엠 2 2" xfId="5683" xr:uid="{00000000-0005-0000-0000-000055020000}"/>
    <cellStyle name="@_laroux_제트베인_1_농협퇴비-음성한우리영농(보통,그린)" xfId="5684" xr:uid="{00000000-0005-0000-0000-000056020000}"/>
    <cellStyle name="@_laroux_제트베인_1_농협퇴비-음성한우리영농(보통,그린) 2" xfId="5685" xr:uid="{00000000-0005-0000-0000-000057020000}"/>
    <cellStyle name="@_laroux_제트베인_1_농협퇴비-음성한우리영농(보통,그린) 2 2" xfId="5686" xr:uid="{00000000-0005-0000-0000-000058020000}"/>
    <cellStyle name="@_laroux_제트베인_1_농협퇴비-음성한우리영농(보통,그린)_100%-2006신호-" xfId="5687" xr:uid="{00000000-0005-0000-0000-000059020000}"/>
    <cellStyle name="@_laroux_제트베인_1_농협퇴비-음성한우리영농(보통,그린)_100%-2006신호- 2" xfId="5688" xr:uid="{00000000-0005-0000-0000-00005A020000}"/>
    <cellStyle name="@_laroux_제트베인_1_농협퇴비-음성한우리영농(보통,그린)_100%-2006신호- 2 2" xfId="5689" xr:uid="{00000000-0005-0000-0000-00005B020000}"/>
    <cellStyle name="@_laroux_제트베인_1_농협퇴비-음성한우리영농(보통,그린)_2007 교통신호기 설치공사 설계내역서(제1지역)" xfId="5690" xr:uid="{00000000-0005-0000-0000-00005C020000}"/>
    <cellStyle name="@_laroux_제트베인_1_농협퇴비-음성한우리영농(보통,그린)_2007 교통신호기 설치공사 설계내역서(제1지역) 2" xfId="5691" xr:uid="{00000000-0005-0000-0000-00005D020000}"/>
    <cellStyle name="@_laroux_제트베인_1_농협퇴비-음성한우리영농(보통,그린)_2007 교통신호기 설치공사 설계내역서(제1지역) 2 2" xfId="5692" xr:uid="{00000000-0005-0000-0000-00005E020000}"/>
    <cellStyle name="@_laroux_제트베인_1_농협퇴비-음성한우리영농(보통,그린)_2007 교통신호기 설치공사 설계내역서(제1지역)_2007 교통신호기 설치공사 설계내역서(제1지역)" xfId="5693" xr:uid="{00000000-0005-0000-0000-00005F020000}"/>
    <cellStyle name="@_laroux_제트베인_1_농협퇴비-음성한우리영농(보통,그린)_2007 교통신호기 설치공사 설계내역서(제1지역)_2007 교통신호기 설치공사 설계내역서(제1지역) 2" xfId="5694" xr:uid="{00000000-0005-0000-0000-000060020000}"/>
    <cellStyle name="@_laroux_제트베인_1_농협퇴비-음성한우리영농(보통,그린)_2007 교통신호기 설치공사 설계내역서(제1지역)_2007 교통신호기 설치공사 설계내역서(제1지역) 2 2" xfId="5695" xr:uid="{00000000-0005-0000-0000-000061020000}"/>
    <cellStyle name="@_laroux_제트베인_1_농협퇴비-음성한우리영농(보통,그린)_2007 교통신호기 설치공사 설계내역서(제1지역)_2007 교통신호기 설치공사 설계내역서(제1지역)_1" xfId="5696" xr:uid="{00000000-0005-0000-0000-000062020000}"/>
    <cellStyle name="@_laroux_제트베인_1_농협퇴비-음성한우리영농(보통,그린)_2007 교통신호기 설치공사 설계내역서(제1지역)_2007 교통신호기 설치공사 설계내역서(제1지역)_1 2" xfId="5697" xr:uid="{00000000-0005-0000-0000-000063020000}"/>
    <cellStyle name="@_laroux_제트베인_1_농협퇴비-음성한우리영농(보통,그린)_2007 교통신호기 설치공사 설계내역서(제1지역)_2007 교통신호기 설치공사 설계내역서(제1지역)_1 2 2" xfId="5698" xr:uid="{00000000-0005-0000-0000-000064020000}"/>
    <cellStyle name="@_laroux_제트베인_1_농협퇴비-음성한우리영농(보통,그린)_2007 교통신호기 설치공사 설계내역서(제1지역)_2007 교통신호기 설치공사 설계내역서(제1지역)_1_2009북부100%단가" xfId="5699" xr:uid="{00000000-0005-0000-0000-000065020000}"/>
    <cellStyle name="@_laroux_제트베인_1_농협퇴비-음성한우리영농(보통,그린)_2007 교통신호기 설치공사 설계내역서(제1지역)_2007 교통신호기 설치공사 설계내역서(제1지역)_1_2009북부100%단가 2" xfId="5700" xr:uid="{00000000-0005-0000-0000-000066020000}"/>
    <cellStyle name="@_laroux_제트베인_1_농협퇴비-음성한우리영농(보통,그린)_2007 교통신호기 설치공사 설계내역서(제1지역)_2007 교통신호기 설치공사 설계내역서(제1지역)_1_2009북부100%단가 2 2" xfId="5701" xr:uid="{00000000-0005-0000-0000-000067020000}"/>
    <cellStyle name="@_laroux_제트베인_1_농협퇴비-음성한우리영농(보통,그린)_2007 교통신호기 설치공사 설계내역서(제1지역)_2007 교통신호기 설치공사 설계내역서(제1지역)_1_단가" xfId="5702" xr:uid="{00000000-0005-0000-0000-000068020000}"/>
    <cellStyle name="@_laroux_제트베인_1_농협퇴비-음성한우리영농(보통,그린)_2007 교통신호기 설치공사 설계내역서(제1지역)_2007 교통신호기 설치공사 설계내역서(제1지역)_1_단가 2" xfId="5703" xr:uid="{00000000-0005-0000-0000-000069020000}"/>
    <cellStyle name="@_laroux_제트베인_1_농협퇴비-음성한우리영농(보통,그린)_2007 교통신호기 설치공사 설계내역서(제1지역)_2007 교통신호기 설치공사 설계내역서(제1지역)_1_단가 2 2" xfId="5704" xr:uid="{00000000-0005-0000-0000-00006A020000}"/>
    <cellStyle name="@_laroux_제트베인_1_농협퇴비-음성한우리영농(보통,그린)_2007 교통신호기 설치공사 설계내역서(제1지역)_2007 교통신호기 설치공사 설계내역서(제1지역)_1_북부-1지역" xfId="5705" xr:uid="{00000000-0005-0000-0000-00006B020000}"/>
    <cellStyle name="@_laroux_제트베인_1_농협퇴비-음성한우리영농(보통,그린)_2007 교통신호기 설치공사 설계내역서(제1지역)_2007 교통신호기 설치공사 설계내역서(제1지역)_1_북부-1지역 2" xfId="5706" xr:uid="{00000000-0005-0000-0000-00006C020000}"/>
    <cellStyle name="@_laroux_제트베인_1_농협퇴비-음성한우리영농(보통,그린)_2007 교통신호기 설치공사 설계내역서(제1지역)_2007 교통신호기 설치공사 설계내역서(제1지역)_1_북부-1지역 2 2" xfId="5707" xr:uid="{00000000-0005-0000-0000-00006D020000}"/>
    <cellStyle name="@_laroux_제트베인_1_농협퇴비-음성한우리영농(보통,그린)_2007 교통신호기 설치공사 설계내역서(제1지역)_2007 교통신호기 설치공사 설계내역서(제1지역)_1_북부-1지역_관급자재" xfId="5708" xr:uid="{00000000-0005-0000-0000-00006E020000}"/>
    <cellStyle name="@_laroux_제트베인_1_농협퇴비-음성한우리영농(보통,그린)_2007 교통신호기 설치공사 설계내역서(제1지역)_2007 교통신호기 설치공사 설계내역서(제1지역)_1_북부-1지역_관급자재 2" xfId="5709" xr:uid="{00000000-0005-0000-0000-00006F020000}"/>
    <cellStyle name="@_laroux_제트베인_1_농협퇴비-음성한우리영농(보통,그린)_2007 교통신호기 설치공사 설계내역서(제1지역)_2007 교통신호기 설치공사 설계내역서(제1지역)_1_북부-1지역_관급자재 2 2" xfId="5710" xr:uid="{00000000-0005-0000-0000-000070020000}"/>
    <cellStyle name="@_laroux_제트베인_1_농협퇴비-음성한우리영농(보통,그린)_2007 교통신호기 설치공사 설계내역서(제1지역)_2007 교통신호기 설치공사 설계내역서(제1지역)_1_북부-1지역_북부1" xfId="5711" xr:uid="{00000000-0005-0000-0000-000071020000}"/>
    <cellStyle name="@_laroux_제트베인_1_농협퇴비-음성한우리영농(보통,그린)_2007 교통신호기 설치공사 설계내역서(제1지역)_2007 교통신호기 설치공사 설계내역서(제1지역)_1_북부-1지역_북부1 2" xfId="5712" xr:uid="{00000000-0005-0000-0000-000072020000}"/>
    <cellStyle name="@_laroux_제트베인_1_농협퇴비-음성한우리영농(보통,그린)_2007 교통신호기 설치공사 설계내역서(제1지역)_2007 교통신호기 설치공사 설계내역서(제1지역)_1_북부-1지역_북부1 2 2" xfId="5713" xr:uid="{00000000-0005-0000-0000-000073020000}"/>
    <cellStyle name="@_laroux_제트베인_1_농협퇴비-음성한우리영농(보통,그린)_2007 교통신호기 설치공사 설계내역서(제1지역)_2007 교통신호기 설치공사 설계내역서(제1지역)_1_설계서-교통신호기유지보수공사 연간단가(서부2구역)(심사결과)" xfId="5714" xr:uid="{00000000-0005-0000-0000-000074020000}"/>
    <cellStyle name="@_laroux_제트베인_1_농협퇴비-음성한우리영농(보통,그린)_2007 교통신호기 설치공사 설계내역서(제1지역)_2007 교통신호기 설치공사 설계내역서(제1지역)_1_설계서-교통신호기유지보수공사 연간단가(서부2구역)(심사결과) 2" xfId="5715" xr:uid="{00000000-0005-0000-0000-000075020000}"/>
    <cellStyle name="@_laroux_제트베인_1_농협퇴비-음성한우리영농(보통,그린)_2007 교통신호기 설치공사 설계내역서(제1지역)_2007 교통신호기 설치공사 설계내역서(제1지역)_1_설계서-교통신호기유지보수공사 연간단가(서부2구역)(심사결과) 2 2" xfId="5716" xr:uid="{00000000-0005-0000-0000-000076020000}"/>
    <cellStyle name="@_laroux_제트베인_1_농협퇴비-음성한우리영농(보통,그린)_2007 교통신호기 설치공사 설계내역서(제1지역)_2007 교통신호기 설치공사 설계내역서(제1지역)_2" xfId="5717" xr:uid="{00000000-0005-0000-0000-000077020000}"/>
    <cellStyle name="@_laroux_제트베인_1_농협퇴비-음성한우리영농(보통,그린)_2007 교통신호기 설치공사 설계내역서(제1지역)_2007 교통신호기 설치공사 설계내역서(제1지역)_2 2" xfId="5718" xr:uid="{00000000-0005-0000-0000-000078020000}"/>
    <cellStyle name="@_laroux_제트베인_1_농협퇴비-음성한우리영농(보통,그린)_2007 교통신호기 설치공사 설계내역서(제1지역)_2007 교통신호기 설치공사 설계내역서(제1지역)_2 2 2" xfId="5719" xr:uid="{00000000-0005-0000-0000-000079020000}"/>
    <cellStyle name="@_laroux_제트베인_1_농협퇴비-음성한우리영농(보통,그린)_2007 교통신호기 설치공사 설계내역서(제1지역)_2007 교통신호기 설치공사 설계내역서(제1지역)_2_2009북부100%단가" xfId="5720" xr:uid="{00000000-0005-0000-0000-00007A020000}"/>
    <cellStyle name="@_laroux_제트베인_1_농협퇴비-음성한우리영농(보통,그린)_2007 교통신호기 설치공사 설계내역서(제1지역)_2007 교통신호기 설치공사 설계내역서(제1지역)_2_2009북부100%단가 2" xfId="5721" xr:uid="{00000000-0005-0000-0000-00007B020000}"/>
    <cellStyle name="@_laroux_제트베인_1_농협퇴비-음성한우리영농(보통,그린)_2007 교통신호기 설치공사 설계내역서(제1지역)_2007 교통신호기 설치공사 설계내역서(제1지역)_2_2009북부100%단가 2 2" xfId="5722" xr:uid="{00000000-0005-0000-0000-00007C020000}"/>
    <cellStyle name="@_laroux_제트베인_1_농협퇴비-음성한우리영농(보통,그린)_2007 교통신호기 설치공사 설계내역서(제1지역)_2007 교통신호기 설치공사 설계내역서(제1지역)_2_단가" xfId="5723" xr:uid="{00000000-0005-0000-0000-00007D020000}"/>
    <cellStyle name="@_laroux_제트베인_1_농협퇴비-음성한우리영농(보통,그린)_2007 교통신호기 설치공사 설계내역서(제1지역)_2007 교통신호기 설치공사 설계내역서(제1지역)_2_단가 2" xfId="5724" xr:uid="{00000000-0005-0000-0000-00007E020000}"/>
    <cellStyle name="@_laroux_제트베인_1_농협퇴비-음성한우리영농(보통,그린)_2007 교통신호기 설치공사 설계내역서(제1지역)_2007 교통신호기 설치공사 설계내역서(제1지역)_2_단가 2 2" xfId="5725" xr:uid="{00000000-0005-0000-0000-00007F020000}"/>
    <cellStyle name="@_laroux_제트베인_1_농협퇴비-음성한우리영농(보통,그린)_2007 교통신호기 설치공사 설계내역서(제1지역)_2007 교통신호기 설치공사 설계내역서(제1지역)_2_북부-1지역" xfId="5726" xr:uid="{00000000-0005-0000-0000-000080020000}"/>
    <cellStyle name="@_laroux_제트베인_1_농협퇴비-음성한우리영농(보통,그린)_2007 교통신호기 설치공사 설계내역서(제1지역)_2007 교통신호기 설치공사 설계내역서(제1지역)_2_북부-1지역 2" xfId="5727" xr:uid="{00000000-0005-0000-0000-000081020000}"/>
    <cellStyle name="@_laroux_제트베인_1_농협퇴비-음성한우리영농(보통,그린)_2007 교통신호기 설치공사 설계내역서(제1지역)_2007 교통신호기 설치공사 설계내역서(제1지역)_2_북부-1지역 2 2" xfId="5728" xr:uid="{00000000-0005-0000-0000-000082020000}"/>
    <cellStyle name="@_laroux_제트베인_1_농협퇴비-음성한우리영농(보통,그린)_2007 교통신호기 설치공사 설계내역서(제1지역)_2007 교통신호기 설치공사 설계내역서(제1지역)_2_북부-1지역_관급자재" xfId="5729" xr:uid="{00000000-0005-0000-0000-000083020000}"/>
    <cellStyle name="@_laroux_제트베인_1_농협퇴비-음성한우리영농(보통,그린)_2007 교통신호기 설치공사 설계내역서(제1지역)_2007 교통신호기 설치공사 설계내역서(제1지역)_2_북부-1지역_관급자재 2" xfId="5730" xr:uid="{00000000-0005-0000-0000-000084020000}"/>
    <cellStyle name="@_laroux_제트베인_1_농협퇴비-음성한우리영농(보통,그린)_2007 교통신호기 설치공사 설계내역서(제1지역)_2007 교통신호기 설치공사 설계내역서(제1지역)_2_북부-1지역_관급자재 2 2" xfId="5731" xr:uid="{00000000-0005-0000-0000-000085020000}"/>
    <cellStyle name="@_laroux_제트베인_1_농협퇴비-음성한우리영농(보통,그린)_2007 교통신호기 설치공사 설계내역서(제1지역)_2007 교통신호기 설치공사 설계내역서(제1지역)_2_북부-1지역_북부1" xfId="5732" xr:uid="{00000000-0005-0000-0000-000086020000}"/>
    <cellStyle name="@_laroux_제트베인_1_농협퇴비-음성한우리영농(보통,그린)_2007 교통신호기 설치공사 설계내역서(제1지역)_2007 교통신호기 설치공사 설계내역서(제1지역)_2_북부-1지역_북부1 2" xfId="5733" xr:uid="{00000000-0005-0000-0000-000087020000}"/>
    <cellStyle name="@_laroux_제트베인_1_농협퇴비-음성한우리영농(보통,그린)_2007 교통신호기 설치공사 설계내역서(제1지역)_2007 교통신호기 설치공사 설계내역서(제1지역)_2_북부-1지역_북부1 2 2" xfId="5734" xr:uid="{00000000-0005-0000-0000-000088020000}"/>
    <cellStyle name="@_laroux_제트베인_1_농협퇴비-음성한우리영농(보통,그린)_2007 교통신호기 설치공사 설계내역서(제1지역)_2007 교통신호기 설치공사 설계내역서(제1지역)_2_설계서-교통신호기유지보수공사 연간단가(서부2구역)(심사결과)" xfId="5735" xr:uid="{00000000-0005-0000-0000-000089020000}"/>
    <cellStyle name="@_laroux_제트베인_1_농협퇴비-음성한우리영농(보통,그린)_2007 교통신호기 설치공사 설계내역서(제1지역)_2007 교통신호기 설치공사 설계내역서(제1지역)_2_설계서-교통신호기유지보수공사 연간단가(서부2구역)(심사결과) 2" xfId="5736" xr:uid="{00000000-0005-0000-0000-00008A020000}"/>
    <cellStyle name="@_laroux_제트베인_1_농협퇴비-음성한우리영농(보통,그린)_2007 교통신호기 설치공사 설계내역서(제1지역)_2007 교통신호기 설치공사 설계내역서(제1지역)_2_설계서-교통신호기유지보수공사 연간단가(서부2구역)(심사결과) 2 2" xfId="5737" xr:uid="{00000000-0005-0000-0000-00008B020000}"/>
    <cellStyle name="@_laroux_제트베인_1_농협퇴비-음성한우리영농(보통,그린)_2007 교통신호기 설치공사 설계내역서(제1지역)_2007 교통신호기 설치공사 설계내역서(제1지역)_2009북부100%단가" xfId="5738" xr:uid="{00000000-0005-0000-0000-00008C020000}"/>
    <cellStyle name="@_laroux_제트베인_1_농협퇴비-음성한우리영농(보통,그린)_2007 교통신호기 설치공사 설계내역서(제1지역)_2007 교통신호기 설치공사 설계내역서(제1지역)_2009북부100%단가 2" xfId="5739" xr:uid="{00000000-0005-0000-0000-00008D020000}"/>
    <cellStyle name="@_laroux_제트베인_1_농협퇴비-음성한우리영농(보통,그린)_2007 교통신호기 설치공사 설계내역서(제1지역)_2007 교통신호기 설치공사 설계내역서(제1지역)_2009북부100%단가 2 2" xfId="5740" xr:uid="{00000000-0005-0000-0000-00008E020000}"/>
    <cellStyle name="@_laroux_제트베인_1_농협퇴비-음성한우리영농(보통,그린)_2007 교통신호기 설치공사 설계내역서(제1지역)_2007 교통신호기 설치공사 설계내역서(제1지역)_단가" xfId="5741" xr:uid="{00000000-0005-0000-0000-00008F020000}"/>
    <cellStyle name="@_laroux_제트베인_1_농협퇴비-음성한우리영농(보통,그린)_2007 교통신호기 설치공사 설계내역서(제1지역)_2007 교통신호기 설치공사 설계내역서(제1지역)_단가 2" xfId="5742" xr:uid="{00000000-0005-0000-0000-000090020000}"/>
    <cellStyle name="@_laroux_제트베인_1_농협퇴비-음성한우리영농(보통,그린)_2007 교통신호기 설치공사 설계내역서(제1지역)_2007 교통신호기 설치공사 설계내역서(제1지역)_단가 2 2" xfId="5743" xr:uid="{00000000-0005-0000-0000-000091020000}"/>
    <cellStyle name="@_laroux_제트베인_1_농협퇴비-음성한우리영농(보통,그린)_2007 교통신호기 설치공사 설계내역서(제1지역)_2007 교통신호기 설치공사 설계내역서(제1지역)_북부-1지역" xfId="5744" xr:uid="{00000000-0005-0000-0000-000092020000}"/>
    <cellStyle name="@_laroux_제트베인_1_농협퇴비-음성한우리영농(보통,그린)_2007 교통신호기 설치공사 설계내역서(제1지역)_2007 교통신호기 설치공사 설계내역서(제1지역)_북부-1지역 2" xfId="5745" xr:uid="{00000000-0005-0000-0000-000093020000}"/>
    <cellStyle name="@_laroux_제트베인_1_농협퇴비-음성한우리영농(보통,그린)_2007 교통신호기 설치공사 설계내역서(제1지역)_2007 교통신호기 설치공사 설계내역서(제1지역)_북부-1지역 2 2" xfId="5746" xr:uid="{00000000-0005-0000-0000-000094020000}"/>
    <cellStyle name="@_laroux_제트베인_1_농협퇴비-음성한우리영농(보통,그린)_2007 교통신호기 설치공사 설계내역서(제1지역)_2007 교통신호기 설치공사 설계내역서(제1지역)_북부-1지역_관급자재" xfId="5747" xr:uid="{00000000-0005-0000-0000-000095020000}"/>
    <cellStyle name="@_laroux_제트베인_1_농협퇴비-음성한우리영농(보통,그린)_2007 교통신호기 설치공사 설계내역서(제1지역)_2007 교통신호기 설치공사 설계내역서(제1지역)_북부-1지역_관급자재 2" xfId="5748" xr:uid="{00000000-0005-0000-0000-000096020000}"/>
    <cellStyle name="@_laroux_제트베인_1_농협퇴비-음성한우리영농(보통,그린)_2007 교통신호기 설치공사 설계내역서(제1지역)_2007 교통신호기 설치공사 설계내역서(제1지역)_북부-1지역_관급자재 2 2" xfId="5749" xr:uid="{00000000-0005-0000-0000-000097020000}"/>
    <cellStyle name="@_laroux_제트베인_1_농협퇴비-음성한우리영농(보통,그린)_2007 교통신호기 설치공사 설계내역서(제1지역)_2007 교통신호기 설치공사 설계내역서(제1지역)_북부-1지역_북부1" xfId="5750" xr:uid="{00000000-0005-0000-0000-000098020000}"/>
    <cellStyle name="@_laroux_제트베인_1_농협퇴비-음성한우리영농(보통,그린)_2007 교통신호기 설치공사 설계내역서(제1지역)_2007 교통신호기 설치공사 설계내역서(제1지역)_북부-1지역_북부1 2" xfId="5751" xr:uid="{00000000-0005-0000-0000-000099020000}"/>
    <cellStyle name="@_laroux_제트베인_1_농협퇴비-음성한우리영농(보통,그린)_2007 교통신호기 설치공사 설계내역서(제1지역)_2007 교통신호기 설치공사 설계내역서(제1지역)_북부-1지역_북부1 2 2" xfId="5752" xr:uid="{00000000-0005-0000-0000-00009A020000}"/>
    <cellStyle name="@_laroux_제트베인_1_농협퇴비-음성한우리영농(보통,그린)_2007 교통신호기 설치공사 설계내역서(제1지역)_2007 교통신호기 설치공사 설계내역서(제1지역)_설계서-교통신호기유지보수공사 연간단가(서부2구역)(심사결과)" xfId="5753" xr:uid="{00000000-0005-0000-0000-00009B020000}"/>
    <cellStyle name="@_laroux_제트베인_1_농협퇴비-음성한우리영농(보통,그린)_2007 교통신호기 설치공사 설계내역서(제1지역)_2007 교통신호기 설치공사 설계내역서(제1지역)_설계서-교통신호기유지보수공사 연간단가(서부2구역)(심사결과) 2" xfId="5754" xr:uid="{00000000-0005-0000-0000-00009C020000}"/>
    <cellStyle name="@_laroux_제트베인_1_농협퇴비-음성한우리영농(보통,그린)_2007 교통신호기 설치공사 설계내역서(제1지역)_2007 교통신호기 설치공사 설계내역서(제1지역)_설계서-교통신호기유지보수공사 연간단가(서부2구역)(심사결과) 2 2" xfId="5755" xr:uid="{00000000-0005-0000-0000-00009D020000}"/>
    <cellStyle name="@_laroux_제트베인_1_농협퇴비-음성한우리영농(보통,그린)_2007 교통신호기 설치공사 설계내역서(제1지역)_2007기획공사내역서(1.5)" xfId="5756" xr:uid="{00000000-0005-0000-0000-00009E020000}"/>
    <cellStyle name="@_laroux_제트베인_1_농협퇴비-음성한우리영농(보통,그린)_2007 교통신호기 설치공사 설계내역서(제1지역)_2007기획공사내역서(1.5) 2" xfId="5757" xr:uid="{00000000-0005-0000-0000-00009F020000}"/>
    <cellStyle name="@_laroux_제트베인_1_농협퇴비-음성한우리영농(보통,그린)_2007 교통신호기 설치공사 설계내역서(제1지역)_2007기획공사내역서(1.5) 2 2" xfId="5758" xr:uid="{00000000-0005-0000-0000-0000A0020000}"/>
    <cellStyle name="@_laroux_제트베인_1_농협퇴비-음성한우리영농(보통,그린)_2007 교통신호기 설치공사 설계내역서(제1지역)_2009북부100%단가" xfId="5759" xr:uid="{00000000-0005-0000-0000-0000A1020000}"/>
    <cellStyle name="@_laroux_제트베인_1_농협퇴비-음성한우리영농(보통,그린)_2007 교통신호기 설치공사 설계내역서(제1지역)_2009북부100%단가 2" xfId="5760" xr:uid="{00000000-0005-0000-0000-0000A2020000}"/>
    <cellStyle name="@_laroux_제트베인_1_농협퇴비-음성한우리영농(보통,그린)_2007 교통신호기 설치공사 설계내역서(제1지역)_2009북부100%단가 2 2" xfId="5761" xr:uid="{00000000-0005-0000-0000-0000A3020000}"/>
    <cellStyle name="@_laroux_제트베인_1_농협퇴비-음성한우리영농(보통,그린)_2007 교통신호기 설치공사 설계내역서(제1지역)_계약내역서-동남전공-전체" xfId="5762" xr:uid="{00000000-0005-0000-0000-0000A4020000}"/>
    <cellStyle name="@_laroux_제트베인_1_농협퇴비-음성한우리영농(보통,그린)_2007 교통신호기 설치공사 설계내역서(제1지역)_계약내역서-동남전공-전체 2" xfId="5763" xr:uid="{00000000-0005-0000-0000-0000A5020000}"/>
    <cellStyle name="@_laroux_제트베인_1_농협퇴비-음성한우리영농(보통,그린)_2007 교통신호기 설치공사 설계내역서(제1지역)_계약내역서-동남전공-전체 2 2" xfId="5764" xr:uid="{00000000-0005-0000-0000-0000A6020000}"/>
    <cellStyle name="@_laroux_제트베인_1_농협퇴비-음성한우리영농(보통,그린)_2007 교통신호기 설치공사 설계내역서(제1지역)_계약내역서-동남전공-통신" xfId="5765" xr:uid="{00000000-0005-0000-0000-0000A7020000}"/>
    <cellStyle name="@_laroux_제트베인_1_농협퇴비-음성한우리영농(보통,그린)_2007 교통신호기 설치공사 설계내역서(제1지역)_계약내역서-동남전공-통신 2" xfId="5766" xr:uid="{00000000-0005-0000-0000-0000A8020000}"/>
    <cellStyle name="@_laroux_제트베인_1_농협퇴비-음성한우리영농(보통,그린)_2007 교통신호기 설치공사 설계내역서(제1지역)_계약내역서-동남전공-통신 2 2" xfId="5767" xr:uid="{00000000-0005-0000-0000-0000A9020000}"/>
    <cellStyle name="@_laroux_제트베인_1_농협퇴비-음성한우리영농(보통,그린)_2007 교통신호기 설치공사 설계내역서(제1지역)_관급" xfId="5768" xr:uid="{00000000-0005-0000-0000-0000AA020000}"/>
    <cellStyle name="@_laroux_제트베인_1_농협퇴비-음성한우리영농(보통,그린)_2007 교통신호기 설치공사 설계내역서(제1지역)_관급 2" xfId="5769" xr:uid="{00000000-0005-0000-0000-0000AB020000}"/>
    <cellStyle name="@_laroux_제트베인_1_농협퇴비-음성한우리영농(보통,그린)_2007 교통신호기 설치공사 설계내역서(제1지역)_관급 2 2" xfId="5770" xr:uid="{00000000-0005-0000-0000-0000AC020000}"/>
    <cellStyle name="@_laroux_제트베인_1_농협퇴비-음성한우리영농(보통,그린)_2007 교통신호기 설치공사 설계내역서(제1지역)_관급자재" xfId="5771" xr:uid="{00000000-0005-0000-0000-0000AD020000}"/>
    <cellStyle name="@_laroux_제트베인_1_농협퇴비-음성한우리영농(보통,그린)_2007 교통신호기 설치공사 설계내역서(제1지역)_관급자재 2" xfId="5772" xr:uid="{00000000-0005-0000-0000-0000AE020000}"/>
    <cellStyle name="@_laroux_제트베인_1_농협퇴비-음성한우리영농(보통,그린)_2007 교통신호기 설치공사 설계내역서(제1지역)_관급자재 2 2" xfId="5773" xr:uid="{00000000-0005-0000-0000-0000AF020000}"/>
    <cellStyle name="@_laroux_제트베인_1_농협퇴비-음성한우리영농(보통,그린)_2007 교통신호기 설치공사 설계내역서(제1지역)_내역서" xfId="5774" xr:uid="{00000000-0005-0000-0000-0000B0020000}"/>
    <cellStyle name="@_laroux_제트베인_1_농협퇴비-음성한우리영농(보통,그린)_2007 교통신호기 설치공사 설계내역서(제1지역)_내역서 2" xfId="5775" xr:uid="{00000000-0005-0000-0000-0000B1020000}"/>
    <cellStyle name="@_laroux_제트베인_1_농협퇴비-음성한우리영농(보통,그린)_2007 교통신호기 설치공사 설계내역서(제1지역)_내역서 2 2" xfId="5776" xr:uid="{00000000-0005-0000-0000-0000B2020000}"/>
    <cellStyle name="@_laroux_제트베인_1_농협퇴비-음성한우리영농(보통,그린)_2007 교통신호기 설치공사 설계내역서(제1지역)_단가" xfId="5777" xr:uid="{00000000-0005-0000-0000-0000B3020000}"/>
    <cellStyle name="@_laroux_제트베인_1_농협퇴비-음성한우리영농(보통,그린)_2007 교통신호기 설치공사 설계내역서(제1지역)_단가 2" xfId="5778" xr:uid="{00000000-0005-0000-0000-0000B4020000}"/>
    <cellStyle name="@_laroux_제트베인_1_농협퇴비-음성한우리영농(보통,그린)_2007 교통신호기 설치공사 설계내역서(제1지역)_단가 2 2" xfId="5779" xr:uid="{00000000-0005-0000-0000-0000B5020000}"/>
    <cellStyle name="@_laroux_제트베인_1_농협퇴비-음성한우리영농(보통,그린)_2007 교통신호기 설치공사 설계내역서(제1지역)_북부1" xfId="5780" xr:uid="{00000000-0005-0000-0000-0000B6020000}"/>
    <cellStyle name="@_laroux_제트베인_1_농협퇴비-음성한우리영농(보통,그린)_2007 교통신호기 설치공사 설계내역서(제1지역)_북부1 2" xfId="5781" xr:uid="{00000000-0005-0000-0000-0000B7020000}"/>
    <cellStyle name="@_laroux_제트베인_1_농협퇴비-음성한우리영농(보통,그린)_2007 교통신호기 설치공사 설계내역서(제1지역)_북부1 2 2" xfId="5782" xr:uid="{00000000-0005-0000-0000-0000B8020000}"/>
    <cellStyle name="@_laroux_제트베인_1_농협퇴비-음성한우리영농(보통,그린)_2007 교통신호기 설치공사 설계내역서(제1지역)_북부-1지역" xfId="5783" xr:uid="{00000000-0005-0000-0000-0000B9020000}"/>
    <cellStyle name="@_laroux_제트베인_1_농협퇴비-음성한우리영농(보통,그린)_2007 교통신호기 설치공사 설계내역서(제1지역)_북부-1지역 2" xfId="5784" xr:uid="{00000000-0005-0000-0000-0000BA020000}"/>
    <cellStyle name="@_laroux_제트베인_1_농협퇴비-음성한우리영농(보통,그린)_2007 교통신호기 설치공사 설계내역서(제1지역)_북부-1지역 2 2" xfId="5785" xr:uid="{00000000-0005-0000-0000-0000BB020000}"/>
    <cellStyle name="@_laroux_제트베인_1_농협퇴비-음성한우리영농(보통,그린)_2007 교통신호기 설치공사 설계내역서(제1지역)_북부-1지역(지점별)" xfId="5786" xr:uid="{00000000-0005-0000-0000-0000BC020000}"/>
    <cellStyle name="@_laroux_제트베인_1_농협퇴비-음성한우리영농(보통,그린)_2007 교통신호기 설치공사 설계내역서(제1지역)_북부-1지역(지점별) 2" xfId="5787" xr:uid="{00000000-0005-0000-0000-0000BD020000}"/>
    <cellStyle name="@_laroux_제트베인_1_농협퇴비-음성한우리영농(보통,그린)_2007 교통신호기 설치공사 설계내역서(제1지역)_북부-1지역(지점별) 2 2" xfId="5788" xr:uid="{00000000-0005-0000-0000-0000BE020000}"/>
    <cellStyle name="@_laroux_제트베인_1_농협퇴비-음성한우리영농(보통,그린)_2007 교통신호기 설치공사 설계내역서(제1지역)_북부-1지역_북부-1지역" xfId="5789" xr:uid="{00000000-0005-0000-0000-0000BF020000}"/>
    <cellStyle name="@_laroux_제트베인_1_농협퇴비-음성한우리영농(보통,그린)_2007 교통신호기 설치공사 설계내역서(제1지역)_북부-1지역_북부-1지역 2" xfId="5790" xr:uid="{00000000-0005-0000-0000-0000C0020000}"/>
    <cellStyle name="@_laroux_제트베인_1_농협퇴비-음성한우리영농(보통,그린)_2007 교통신호기 설치공사 설계내역서(제1지역)_북부-1지역_북부-1지역 2 2" xfId="5791" xr:uid="{00000000-0005-0000-0000-0000C1020000}"/>
    <cellStyle name="@_laroux_제트베인_1_농협퇴비-음성한우리영농(보통,그린)_2007 교통신호기 설치공사 설계내역서(제1지역)_북부-1지역_북부-1지역_관급자재" xfId="5792" xr:uid="{00000000-0005-0000-0000-0000C2020000}"/>
    <cellStyle name="@_laroux_제트베인_1_농협퇴비-음성한우리영농(보통,그린)_2007 교통신호기 설치공사 설계내역서(제1지역)_북부-1지역_북부-1지역_관급자재 2" xfId="5793" xr:uid="{00000000-0005-0000-0000-0000C3020000}"/>
    <cellStyle name="@_laroux_제트베인_1_농협퇴비-음성한우리영농(보통,그린)_2007 교통신호기 설치공사 설계내역서(제1지역)_북부-1지역_북부-1지역_관급자재 2 2" xfId="5794" xr:uid="{00000000-0005-0000-0000-0000C4020000}"/>
    <cellStyle name="@_laroux_제트베인_1_농협퇴비-음성한우리영농(보통,그린)_2007 교통신호기 설치공사 설계내역서(제1지역)_북부-1지역_북부-1지역_북부1" xfId="5795" xr:uid="{00000000-0005-0000-0000-0000C5020000}"/>
    <cellStyle name="@_laroux_제트베인_1_농협퇴비-음성한우리영농(보통,그린)_2007 교통신호기 설치공사 설계내역서(제1지역)_북부-1지역_북부-1지역_북부1 2" xfId="5796" xr:uid="{00000000-0005-0000-0000-0000C6020000}"/>
    <cellStyle name="@_laroux_제트베인_1_농협퇴비-음성한우리영농(보통,그린)_2007 교통신호기 설치공사 설계내역서(제1지역)_북부-1지역_북부-1지역_북부1 2 2" xfId="5797" xr:uid="{00000000-0005-0000-0000-0000C7020000}"/>
    <cellStyle name="@_laroux_제트베인_1_농협퇴비-음성한우리영농(보통,그린)_2007 교통신호기 설치공사 설계내역서(제1지역)_서부-1지역(중구,용산,마포일부)" xfId="5798" xr:uid="{00000000-0005-0000-0000-0000C8020000}"/>
    <cellStyle name="@_laroux_제트베인_1_농협퇴비-음성한우리영농(보통,그린)_2007 교통신호기 설치공사 설계내역서(제1지역)_서부-1지역(중구,용산,마포일부) 2" xfId="5799" xr:uid="{00000000-0005-0000-0000-0000C9020000}"/>
    <cellStyle name="@_laroux_제트베인_1_농협퇴비-음성한우리영농(보통,그린)_2007 교통신호기 설치공사 설계내역서(제1지역)_서부-1지역(중구,용산,마포일부) 2 2" xfId="5800" xr:uid="{00000000-0005-0000-0000-0000CA020000}"/>
    <cellStyle name="@_laroux_제트베인_1_농협퇴비-음성한우리영농(보통,그린)_2007 교통신호기 설치공사 설계내역서(제1지역)_설계서" xfId="5801" xr:uid="{00000000-0005-0000-0000-0000CB020000}"/>
    <cellStyle name="@_laroux_제트베인_1_농협퇴비-음성한우리영농(보통,그린)_2007 교통신호기 설치공사 설계내역서(제1지역)_설계서 2" xfId="5802" xr:uid="{00000000-0005-0000-0000-0000CC020000}"/>
    <cellStyle name="@_laroux_제트베인_1_농협퇴비-음성한우리영농(보통,그린)_2007 교통신호기 설치공사 설계내역서(제1지역)_설계서 2 2" xfId="5803" xr:uid="{00000000-0005-0000-0000-0000CD020000}"/>
    <cellStyle name="@_laroux_제트베인_1_농협퇴비-음성한우리영농(보통,그린)_2007 교통신호기 설치공사 설계내역서(제1지역)_설계서_북부-1지역" xfId="5804" xr:uid="{00000000-0005-0000-0000-0000CE020000}"/>
    <cellStyle name="@_laroux_제트베인_1_농협퇴비-음성한우리영농(보통,그린)_2007 교통신호기 설치공사 설계내역서(제1지역)_설계서_북부-1지역 2" xfId="5805" xr:uid="{00000000-0005-0000-0000-0000CF020000}"/>
    <cellStyle name="@_laroux_제트베인_1_농협퇴비-음성한우리영농(보통,그린)_2007 교통신호기 설치공사 설계내역서(제1지역)_설계서_북부-1지역 2 2" xfId="5806" xr:uid="{00000000-0005-0000-0000-0000D0020000}"/>
    <cellStyle name="@_laroux_제트베인_1_농협퇴비-음성한우리영농(보통,그린)_2007 교통신호기 설치공사 설계내역서(제1지역)_설계서_북부-1지역_관급자재" xfId="5807" xr:uid="{00000000-0005-0000-0000-0000D1020000}"/>
    <cellStyle name="@_laroux_제트베인_1_농협퇴비-음성한우리영농(보통,그린)_2007 교통신호기 설치공사 설계내역서(제1지역)_설계서_북부-1지역_관급자재 2" xfId="5808" xr:uid="{00000000-0005-0000-0000-0000D2020000}"/>
    <cellStyle name="@_laroux_제트베인_1_농협퇴비-음성한우리영농(보통,그린)_2007 교통신호기 설치공사 설계내역서(제1지역)_설계서_북부-1지역_관급자재 2 2" xfId="5809" xr:uid="{00000000-0005-0000-0000-0000D3020000}"/>
    <cellStyle name="@_laroux_제트베인_1_농협퇴비-음성한우리영농(보통,그린)_2007 교통신호기 설치공사 설계내역서(제1지역)_설계서_북부-1지역_북부1" xfId="5810" xr:uid="{00000000-0005-0000-0000-0000D4020000}"/>
    <cellStyle name="@_laroux_제트베인_1_농협퇴비-음성한우리영농(보통,그린)_2007 교통신호기 설치공사 설계내역서(제1지역)_설계서_북부-1지역_북부1 2" xfId="5811" xr:uid="{00000000-0005-0000-0000-0000D5020000}"/>
    <cellStyle name="@_laroux_제트베인_1_농협퇴비-음성한우리영농(보통,그린)_2007 교통신호기 설치공사 설계내역서(제1지역)_설계서_북부-1지역_북부1 2 2" xfId="5812" xr:uid="{00000000-0005-0000-0000-0000D6020000}"/>
    <cellStyle name="@_laroux_제트베인_1_농협퇴비-음성한우리영농(보통,그린)_2007 교통신호기 설치공사 설계내역서(제1지역)_설계서-교통신호기유지보수공사 연간단가(서부2구역)(심사결과)" xfId="5813" xr:uid="{00000000-0005-0000-0000-0000D7020000}"/>
    <cellStyle name="@_laroux_제트베인_1_농협퇴비-음성한우리영농(보통,그린)_2007 교통신호기 설치공사 설계내역서(제1지역)_설계서-교통신호기유지보수공사 연간단가(서부2구역)(심사결과) 2" xfId="5814" xr:uid="{00000000-0005-0000-0000-0000D8020000}"/>
    <cellStyle name="@_laroux_제트베인_1_농협퇴비-음성한우리영농(보통,그린)_2007 교통신호기 설치공사 설계내역서(제1지역)_설계서-교통신호기유지보수공사 연간단가(서부2구역)(심사결과) 2 2" xfId="5815" xr:uid="{00000000-0005-0000-0000-0000D9020000}"/>
    <cellStyle name="@_laroux_제트베인_1_농협퇴비-음성한우리영농(보통,그린)_2009북부100%단가" xfId="5816" xr:uid="{00000000-0005-0000-0000-0000DA020000}"/>
    <cellStyle name="@_laroux_제트베인_1_농협퇴비-음성한우리영농(보통,그린)_2009북부100%단가 2" xfId="5817" xr:uid="{00000000-0005-0000-0000-0000DB020000}"/>
    <cellStyle name="@_laroux_제트베인_1_농협퇴비-음성한우리영농(보통,그린)_2009북부100%단가 2 2" xfId="5818" xr:uid="{00000000-0005-0000-0000-0000DC020000}"/>
    <cellStyle name="@_laroux_제트베인_1_농협퇴비-음성한우리영농(보통,그린)_단가" xfId="5819" xr:uid="{00000000-0005-0000-0000-0000DD020000}"/>
    <cellStyle name="@_laroux_제트베인_1_농협퇴비-음성한우리영농(보통,그린)_단가 2" xfId="5820" xr:uid="{00000000-0005-0000-0000-0000DE020000}"/>
    <cellStyle name="@_laroux_제트베인_1_농협퇴비-음성한우리영농(보통,그린)_단가 2 2" xfId="5821" xr:uid="{00000000-0005-0000-0000-0000DF020000}"/>
    <cellStyle name="@_laroux_제트베인_1_농협퇴비-음성한우리영농(보통,그린)_북부-1지역" xfId="5822" xr:uid="{00000000-0005-0000-0000-0000E0020000}"/>
    <cellStyle name="@_laroux_제트베인_1_농협퇴비-음성한우리영농(보통,그린)_북부-1지역 2" xfId="5823" xr:uid="{00000000-0005-0000-0000-0000E1020000}"/>
    <cellStyle name="@_laroux_제트베인_1_농협퇴비-음성한우리영농(보통,그린)_북부-1지역 2 2" xfId="5824" xr:uid="{00000000-0005-0000-0000-0000E2020000}"/>
    <cellStyle name="@_laroux_제트베인_1_농협퇴비-음성한우리영농(보통,그린)_북부-1지역_관급자재" xfId="5825" xr:uid="{00000000-0005-0000-0000-0000E3020000}"/>
    <cellStyle name="@_laroux_제트베인_1_농협퇴비-음성한우리영농(보통,그린)_북부-1지역_관급자재 2" xfId="5826" xr:uid="{00000000-0005-0000-0000-0000E4020000}"/>
    <cellStyle name="@_laroux_제트베인_1_농협퇴비-음성한우리영농(보통,그린)_북부-1지역_관급자재 2 2" xfId="5827" xr:uid="{00000000-0005-0000-0000-0000E5020000}"/>
    <cellStyle name="@_laroux_제트베인_1_농협퇴비-음성한우리영농(보통,그린)_북부-1지역_북부1" xfId="5828" xr:uid="{00000000-0005-0000-0000-0000E6020000}"/>
    <cellStyle name="@_laroux_제트베인_1_농협퇴비-음성한우리영농(보통,그린)_북부-1지역_북부1 2" xfId="5829" xr:uid="{00000000-0005-0000-0000-0000E7020000}"/>
    <cellStyle name="@_laroux_제트베인_1_농협퇴비-음성한우리영농(보통,그린)_북부-1지역_북부1 2 2" xfId="5830" xr:uid="{00000000-0005-0000-0000-0000E8020000}"/>
    <cellStyle name="@_laroux_제트베인_1_농협퇴비-음성한우리영농(보통,그린)_설계서-교통신호기유지보수공사 연간단가(서부2구역)(심사결과)" xfId="5831" xr:uid="{00000000-0005-0000-0000-0000E9020000}"/>
    <cellStyle name="@_laroux_제트베인_1_농협퇴비-음성한우리영농(보통,그린)_설계서-교통신호기유지보수공사 연간단가(서부2구역)(심사결과) 2" xfId="5832" xr:uid="{00000000-0005-0000-0000-0000EA020000}"/>
    <cellStyle name="@_laroux_제트베인_1_농협퇴비-음성한우리영농(보통,그린)_설계서-교통신호기유지보수공사 연간단가(서부2구역)(심사결과) 2 2" xfId="5833" xr:uid="{00000000-0005-0000-0000-0000EB020000}"/>
    <cellStyle name="@_laroux_제트베인_1_농협퇴비-함양(보통)" xfId="5834" xr:uid="{00000000-0005-0000-0000-0000EC020000}"/>
    <cellStyle name="@_laroux_제트베인_1_농협퇴비-함양(보통) 2" xfId="5835" xr:uid="{00000000-0005-0000-0000-0000ED020000}"/>
    <cellStyle name="@_laroux_제트베인_1_농협퇴비-함양(보통) 2 2" xfId="5836" xr:uid="{00000000-0005-0000-0000-0000EE020000}"/>
    <cellStyle name="@_laroux_제트베인_1_농협퇴비-함양(보통)_100%-2006신호-" xfId="5837" xr:uid="{00000000-0005-0000-0000-0000EF020000}"/>
    <cellStyle name="@_laroux_제트베인_1_농협퇴비-함양(보통)_100%-2006신호- 2" xfId="5838" xr:uid="{00000000-0005-0000-0000-0000F0020000}"/>
    <cellStyle name="@_laroux_제트베인_1_농협퇴비-함양(보통)_100%-2006신호- 2 2" xfId="5839" xr:uid="{00000000-0005-0000-0000-0000F1020000}"/>
    <cellStyle name="@_laroux_제트베인_1_농협퇴비-함양(보통)_2007 교통신호기 설치공사 설계내역서(제1지역)" xfId="5840" xr:uid="{00000000-0005-0000-0000-0000F2020000}"/>
    <cellStyle name="@_laroux_제트베인_1_농협퇴비-함양(보통)_2007 교통신호기 설치공사 설계내역서(제1지역) 2" xfId="5841" xr:uid="{00000000-0005-0000-0000-0000F3020000}"/>
    <cellStyle name="@_laroux_제트베인_1_농협퇴비-함양(보통)_2007 교통신호기 설치공사 설계내역서(제1지역) 2 2" xfId="5842" xr:uid="{00000000-0005-0000-0000-0000F4020000}"/>
    <cellStyle name="@_laroux_제트베인_1_농협퇴비-함양(보통)_2007 교통신호기 설치공사 설계내역서(제1지역)_2007 교통신호기 설치공사 설계내역서(제1지역)" xfId="5843" xr:uid="{00000000-0005-0000-0000-0000F5020000}"/>
    <cellStyle name="@_laroux_제트베인_1_농협퇴비-함양(보통)_2007 교통신호기 설치공사 설계내역서(제1지역)_2007 교통신호기 설치공사 설계내역서(제1지역) 2" xfId="5844" xr:uid="{00000000-0005-0000-0000-0000F6020000}"/>
    <cellStyle name="@_laroux_제트베인_1_농협퇴비-함양(보통)_2007 교통신호기 설치공사 설계내역서(제1지역)_2007 교통신호기 설치공사 설계내역서(제1지역) 2 2" xfId="5845" xr:uid="{00000000-0005-0000-0000-0000F7020000}"/>
    <cellStyle name="@_laroux_제트베인_1_농협퇴비-함양(보통)_2007 교통신호기 설치공사 설계내역서(제1지역)_2007 교통신호기 설치공사 설계내역서(제1지역)_1" xfId="5846" xr:uid="{00000000-0005-0000-0000-0000F8020000}"/>
    <cellStyle name="@_laroux_제트베인_1_농협퇴비-함양(보통)_2007 교통신호기 설치공사 설계내역서(제1지역)_2007 교통신호기 설치공사 설계내역서(제1지역)_1 2" xfId="5847" xr:uid="{00000000-0005-0000-0000-0000F9020000}"/>
    <cellStyle name="@_laroux_제트베인_1_농협퇴비-함양(보통)_2007 교통신호기 설치공사 설계내역서(제1지역)_2007 교통신호기 설치공사 설계내역서(제1지역)_1 2 2" xfId="5848" xr:uid="{00000000-0005-0000-0000-0000FA020000}"/>
    <cellStyle name="@_laroux_제트베인_1_농협퇴비-함양(보통)_2007 교통신호기 설치공사 설계내역서(제1지역)_2007 교통신호기 설치공사 설계내역서(제1지역)_1_2009북부100%단가" xfId="5849" xr:uid="{00000000-0005-0000-0000-0000FB020000}"/>
    <cellStyle name="@_laroux_제트베인_1_농협퇴비-함양(보통)_2007 교통신호기 설치공사 설계내역서(제1지역)_2007 교통신호기 설치공사 설계내역서(제1지역)_1_2009북부100%단가 2" xfId="5850" xr:uid="{00000000-0005-0000-0000-0000FC020000}"/>
    <cellStyle name="@_laroux_제트베인_1_농협퇴비-함양(보통)_2007 교통신호기 설치공사 설계내역서(제1지역)_2007 교통신호기 설치공사 설계내역서(제1지역)_1_2009북부100%단가 2 2" xfId="5851" xr:uid="{00000000-0005-0000-0000-0000FD020000}"/>
    <cellStyle name="@_laroux_제트베인_1_농협퇴비-함양(보통)_2007 교통신호기 설치공사 설계내역서(제1지역)_2007 교통신호기 설치공사 설계내역서(제1지역)_1_단가" xfId="5852" xr:uid="{00000000-0005-0000-0000-0000FE020000}"/>
    <cellStyle name="@_laroux_제트베인_1_농협퇴비-함양(보통)_2007 교통신호기 설치공사 설계내역서(제1지역)_2007 교통신호기 설치공사 설계내역서(제1지역)_1_단가 2" xfId="5853" xr:uid="{00000000-0005-0000-0000-0000FF020000}"/>
    <cellStyle name="@_laroux_제트베인_1_농협퇴비-함양(보통)_2007 교통신호기 설치공사 설계내역서(제1지역)_2007 교통신호기 설치공사 설계내역서(제1지역)_1_단가 2 2" xfId="5854" xr:uid="{00000000-0005-0000-0000-000000030000}"/>
    <cellStyle name="@_laroux_제트베인_1_농협퇴비-함양(보통)_2007 교통신호기 설치공사 설계내역서(제1지역)_2007 교통신호기 설치공사 설계내역서(제1지역)_1_북부-1지역" xfId="5855" xr:uid="{00000000-0005-0000-0000-000001030000}"/>
    <cellStyle name="@_laroux_제트베인_1_농협퇴비-함양(보통)_2007 교통신호기 설치공사 설계내역서(제1지역)_2007 교통신호기 설치공사 설계내역서(제1지역)_1_북부-1지역 2" xfId="5856" xr:uid="{00000000-0005-0000-0000-000002030000}"/>
    <cellStyle name="@_laroux_제트베인_1_농협퇴비-함양(보통)_2007 교통신호기 설치공사 설계내역서(제1지역)_2007 교통신호기 설치공사 설계내역서(제1지역)_1_북부-1지역 2 2" xfId="5857" xr:uid="{00000000-0005-0000-0000-000003030000}"/>
    <cellStyle name="@_laroux_제트베인_1_농협퇴비-함양(보통)_2007 교통신호기 설치공사 설계내역서(제1지역)_2007 교통신호기 설치공사 설계내역서(제1지역)_1_북부-1지역_관급자재" xfId="5858" xr:uid="{00000000-0005-0000-0000-000004030000}"/>
    <cellStyle name="@_laroux_제트베인_1_농협퇴비-함양(보통)_2007 교통신호기 설치공사 설계내역서(제1지역)_2007 교통신호기 설치공사 설계내역서(제1지역)_1_북부-1지역_관급자재 2" xfId="5859" xr:uid="{00000000-0005-0000-0000-000005030000}"/>
    <cellStyle name="@_laroux_제트베인_1_농협퇴비-함양(보통)_2007 교통신호기 설치공사 설계내역서(제1지역)_2007 교통신호기 설치공사 설계내역서(제1지역)_1_북부-1지역_관급자재 2 2" xfId="5860" xr:uid="{00000000-0005-0000-0000-000006030000}"/>
    <cellStyle name="@_laroux_제트베인_1_농협퇴비-함양(보통)_2007 교통신호기 설치공사 설계내역서(제1지역)_2007 교통신호기 설치공사 설계내역서(제1지역)_1_북부-1지역_북부1" xfId="5861" xr:uid="{00000000-0005-0000-0000-000007030000}"/>
    <cellStyle name="@_laroux_제트베인_1_농협퇴비-함양(보통)_2007 교통신호기 설치공사 설계내역서(제1지역)_2007 교통신호기 설치공사 설계내역서(제1지역)_1_북부-1지역_북부1 2" xfId="5862" xr:uid="{00000000-0005-0000-0000-000008030000}"/>
    <cellStyle name="@_laroux_제트베인_1_농협퇴비-함양(보통)_2007 교통신호기 설치공사 설계내역서(제1지역)_2007 교통신호기 설치공사 설계내역서(제1지역)_1_북부-1지역_북부1 2 2" xfId="5863" xr:uid="{00000000-0005-0000-0000-000009030000}"/>
    <cellStyle name="@_laroux_제트베인_1_농협퇴비-함양(보통)_2007 교통신호기 설치공사 설계내역서(제1지역)_2007 교통신호기 설치공사 설계내역서(제1지역)_1_설계서-교통신호기유지보수공사 연간단가(서부2구역)(심사결과)" xfId="5864" xr:uid="{00000000-0005-0000-0000-00000A030000}"/>
    <cellStyle name="@_laroux_제트베인_1_농협퇴비-함양(보통)_2007 교통신호기 설치공사 설계내역서(제1지역)_2007 교통신호기 설치공사 설계내역서(제1지역)_1_설계서-교통신호기유지보수공사 연간단가(서부2구역)(심사결과) 2" xfId="5865" xr:uid="{00000000-0005-0000-0000-00000B030000}"/>
    <cellStyle name="@_laroux_제트베인_1_농협퇴비-함양(보통)_2007 교통신호기 설치공사 설계내역서(제1지역)_2007 교통신호기 설치공사 설계내역서(제1지역)_1_설계서-교통신호기유지보수공사 연간단가(서부2구역)(심사결과) 2 2" xfId="5866" xr:uid="{00000000-0005-0000-0000-00000C030000}"/>
    <cellStyle name="@_laroux_제트베인_1_농협퇴비-함양(보통)_2007 교통신호기 설치공사 설계내역서(제1지역)_2007 교통신호기 설치공사 설계내역서(제1지역)_2" xfId="5867" xr:uid="{00000000-0005-0000-0000-00000D030000}"/>
    <cellStyle name="@_laroux_제트베인_1_농협퇴비-함양(보통)_2007 교통신호기 설치공사 설계내역서(제1지역)_2007 교통신호기 설치공사 설계내역서(제1지역)_2 2" xfId="5868" xr:uid="{00000000-0005-0000-0000-00000E030000}"/>
    <cellStyle name="@_laroux_제트베인_1_농협퇴비-함양(보통)_2007 교통신호기 설치공사 설계내역서(제1지역)_2007 교통신호기 설치공사 설계내역서(제1지역)_2 2 2" xfId="5869" xr:uid="{00000000-0005-0000-0000-00000F030000}"/>
    <cellStyle name="@_laroux_제트베인_1_농협퇴비-함양(보통)_2007 교통신호기 설치공사 설계내역서(제1지역)_2007 교통신호기 설치공사 설계내역서(제1지역)_2_2009북부100%단가" xfId="5870" xr:uid="{00000000-0005-0000-0000-000010030000}"/>
    <cellStyle name="@_laroux_제트베인_1_농협퇴비-함양(보통)_2007 교통신호기 설치공사 설계내역서(제1지역)_2007 교통신호기 설치공사 설계내역서(제1지역)_2_2009북부100%단가 2" xfId="5871" xr:uid="{00000000-0005-0000-0000-000011030000}"/>
    <cellStyle name="@_laroux_제트베인_1_농협퇴비-함양(보통)_2007 교통신호기 설치공사 설계내역서(제1지역)_2007 교통신호기 설치공사 설계내역서(제1지역)_2_2009북부100%단가 2 2" xfId="5872" xr:uid="{00000000-0005-0000-0000-000012030000}"/>
    <cellStyle name="@_laroux_제트베인_1_농협퇴비-함양(보통)_2007 교통신호기 설치공사 설계내역서(제1지역)_2007 교통신호기 설치공사 설계내역서(제1지역)_2_단가" xfId="5873" xr:uid="{00000000-0005-0000-0000-000013030000}"/>
    <cellStyle name="@_laroux_제트베인_1_농협퇴비-함양(보통)_2007 교통신호기 설치공사 설계내역서(제1지역)_2007 교통신호기 설치공사 설계내역서(제1지역)_2_단가 2" xfId="5874" xr:uid="{00000000-0005-0000-0000-000014030000}"/>
    <cellStyle name="@_laroux_제트베인_1_농협퇴비-함양(보통)_2007 교통신호기 설치공사 설계내역서(제1지역)_2007 교통신호기 설치공사 설계내역서(제1지역)_2_단가 2 2" xfId="5875" xr:uid="{00000000-0005-0000-0000-000015030000}"/>
    <cellStyle name="@_laroux_제트베인_1_농협퇴비-함양(보통)_2007 교통신호기 설치공사 설계내역서(제1지역)_2007 교통신호기 설치공사 설계내역서(제1지역)_2_북부-1지역" xfId="5876" xr:uid="{00000000-0005-0000-0000-000016030000}"/>
    <cellStyle name="@_laroux_제트베인_1_농협퇴비-함양(보통)_2007 교통신호기 설치공사 설계내역서(제1지역)_2007 교통신호기 설치공사 설계내역서(제1지역)_2_북부-1지역 2" xfId="5877" xr:uid="{00000000-0005-0000-0000-000017030000}"/>
    <cellStyle name="@_laroux_제트베인_1_농협퇴비-함양(보통)_2007 교통신호기 설치공사 설계내역서(제1지역)_2007 교통신호기 설치공사 설계내역서(제1지역)_2_북부-1지역 2 2" xfId="5878" xr:uid="{00000000-0005-0000-0000-000018030000}"/>
    <cellStyle name="@_laroux_제트베인_1_농협퇴비-함양(보통)_2007 교통신호기 설치공사 설계내역서(제1지역)_2007 교통신호기 설치공사 설계내역서(제1지역)_2_북부-1지역_관급자재" xfId="5879" xr:uid="{00000000-0005-0000-0000-000019030000}"/>
    <cellStyle name="@_laroux_제트베인_1_농협퇴비-함양(보통)_2007 교통신호기 설치공사 설계내역서(제1지역)_2007 교통신호기 설치공사 설계내역서(제1지역)_2_북부-1지역_관급자재 2" xfId="5880" xr:uid="{00000000-0005-0000-0000-00001A030000}"/>
    <cellStyle name="@_laroux_제트베인_1_농협퇴비-함양(보통)_2007 교통신호기 설치공사 설계내역서(제1지역)_2007 교통신호기 설치공사 설계내역서(제1지역)_2_북부-1지역_관급자재 2 2" xfId="5881" xr:uid="{00000000-0005-0000-0000-00001B030000}"/>
    <cellStyle name="@_laroux_제트베인_1_농협퇴비-함양(보통)_2007 교통신호기 설치공사 설계내역서(제1지역)_2007 교통신호기 설치공사 설계내역서(제1지역)_2_북부-1지역_북부1" xfId="5882" xr:uid="{00000000-0005-0000-0000-00001C030000}"/>
    <cellStyle name="@_laroux_제트베인_1_농협퇴비-함양(보통)_2007 교통신호기 설치공사 설계내역서(제1지역)_2007 교통신호기 설치공사 설계내역서(제1지역)_2_북부-1지역_북부1 2" xfId="5883" xr:uid="{00000000-0005-0000-0000-00001D030000}"/>
    <cellStyle name="@_laroux_제트베인_1_농협퇴비-함양(보통)_2007 교통신호기 설치공사 설계내역서(제1지역)_2007 교통신호기 설치공사 설계내역서(제1지역)_2_북부-1지역_북부1 2 2" xfId="5884" xr:uid="{00000000-0005-0000-0000-00001E030000}"/>
    <cellStyle name="@_laroux_제트베인_1_농협퇴비-함양(보통)_2007 교통신호기 설치공사 설계내역서(제1지역)_2007 교통신호기 설치공사 설계내역서(제1지역)_2_설계서-교통신호기유지보수공사 연간단가(서부2구역)(심사결과)" xfId="5885" xr:uid="{00000000-0005-0000-0000-00001F030000}"/>
    <cellStyle name="@_laroux_제트베인_1_농협퇴비-함양(보통)_2007 교통신호기 설치공사 설계내역서(제1지역)_2007 교통신호기 설치공사 설계내역서(제1지역)_2_설계서-교통신호기유지보수공사 연간단가(서부2구역)(심사결과) 2" xfId="5886" xr:uid="{00000000-0005-0000-0000-000020030000}"/>
    <cellStyle name="@_laroux_제트베인_1_농협퇴비-함양(보통)_2007 교통신호기 설치공사 설계내역서(제1지역)_2007 교통신호기 설치공사 설계내역서(제1지역)_2_설계서-교통신호기유지보수공사 연간단가(서부2구역)(심사결과) 2 2" xfId="5887" xr:uid="{00000000-0005-0000-0000-000021030000}"/>
    <cellStyle name="@_laroux_제트베인_1_농협퇴비-함양(보통)_2007 교통신호기 설치공사 설계내역서(제1지역)_2007 교통신호기 설치공사 설계내역서(제1지역)_2009북부100%단가" xfId="5888" xr:uid="{00000000-0005-0000-0000-000022030000}"/>
    <cellStyle name="@_laroux_제트베인_1_농협퇴비-함양(보통)_2007 교통신호기 설치공사 설계내역서(제1지역)_2007 교통신호기 설치공사 설계내역서(제1지역)_2009북부100%단가 2" xfId="5889" xr:uid="{00000000-0005-0000-0000-000023030000}"/>
    <cellStyle name="@_laroux_제트베인_1_농협퇴비-함양(보통)_2007 교통신호기 설치공사 설계내역서(제1지역)_2007 교통신호기 설치공사 설계내역서(제1지역)_2009북부100%단가 2 2" xfId="5890" xr:uid="{00000000-0005-0000-0000-000024030000}"/>
    <cellStyle name="@_laroux_제트베인_1_농협퇴비-함양(보통)_2007 교통신호기 설치공사 설계내역서(제1지역)_2007 교통신호기 설치공사 설계내역서(제1지역)_단가" xfId="5891" xr:uid="{00000000-0005-0000-0000-000025030000}"/>
    <cellStyle name="@_laroux_제트베인_1_농협퇴비-함양(보통)_2007 교통신호기 설치공사 설계내역서(제1지역)_2007 교통신호기 설치공사 설계내역서(제1지역)_단가 2" xfId="5892" xr:uid="{00000000-0005-0000-0000-000026030000}"/>
    <cellStyle name="@_laroux_제트베인_1_농협퇴비-함양(보통)_2007 교통신호기 설치공사 설계내역서(제1지역)_2007 교통신호기 설치공사 설계내역서(제1지역)_단가 2 2" xfId="5893" xr:uid="{00000000-0005-0000-0000-000027030000}"/>
    <cellStyle name="@_laroux_제트베인_1_농협퇴비-함양(보통)_2007 교통신호기 설치공사 설계내역서(제1지역)_2007 교통신호기 설치공사 설계내역서(제1지역)_북부-1지역" xfId="5894" xr:uid="{00000000-0005-0000-0000-000028030000}"/>
    <cellStyle name="@_laroux_제트베인_1_농협퇴비-함양(보통)_2007 교통신호기 설치공사 설계내역서(제1지역)_2007 교통신호기 설치공사 설계내역서(제1지역)_북부-1지역 2" xfId="5895" xr:uid="{00000000-0005-0000-0000-000029030000}"/>
    <cellStyle name="@_laroux_제트베인_1_농협퇴비-함양(보통)_2007 교통신호기 설치공사 설계내역서(제1지역)_2007 교통신호기 설치공사 설계내역서(제1지역)_북부-1지역 2 2" xfId="5896" xr:uid="{00000000-0005-0000-0000-00002A030000}"/>
    <cellStyle name="@_laroux_제트베인_1_농협퇴비-함양(보통)_2007 교통신호기 설치공사 설계내역서(제1지역)_2007 교통신호기 설치공사 설계내역서(제1지역)_북부-1지역_관급자재" xfId="5897" xr:uid="{00000000-0005-0000-0000-00002B030000}"/>
    <cellStyle name="@_laroux_제트베인_1_농협퇴비-함양(보통)_2007 교통신호기 설치공사 설계내역서(제1지역)_2007 교통신호기 설치공사 설계내역서(제1지역)_북부-1지역_관급자재 2" xfId="5898" xr:uid="{00000000-0005-0000-0000-00002C030000}"/>
    <cellStyle name="@_laroux_제트베인_1_농협퇴비-함양(보통)_2007 교통신호기 설치공사 설계내역서(제1지역)_2007 교통신호기 설치공사 설계내역서(제1지역)_북부-1지역_관급자재 2 2" xfId="5899" xr:uid="{00000000-0005-0000-0000-00002D030000}"/>
    <cellStyle name="@_laroux_제트베인_1_농협퇴비-함양(보통)_2007 교통신호기 설치공사 설계내역서(제1지역)_2007 교통신호기 설치공사 설계내역서(제1지역)_북부-1지역_북부1" xfId="5900" xr:uid="{00000000-0005-0000-0000-00002E030000}"/>
    <cellStyle name="@_laroux_제트베인_1_농협퇴비-함양(보통)_2007 교통신호기 설치공사 설계내역서(제1지역)_2007 교통신호기 설치공사 설계내역서(제1지역)_북부-1지역_북부1 2" xfId="5901" xr:uid="{00000000-0005-0000-0000-00002F030000}"/>
    <cellStyle name="@_laroux_제트베인_1_농협퇴비-함양(보통)_2007 교통신호기 설치공사 설계내역서(제1지역)_2007 교통신호기 설치공사 설계내역서(제1지역)_북부-1지역_북부1 2 2" xfId="5902" xr:uid="{00000000-0005-0000-0000-000030030000}"/>
    <cellStyle name="@_laroux_제트베인_1_농협퇴비-함양(보통)_2007 교통신호기 설치공사 설계내역서(제1지역)_2007 교통신호기 설치공사 설계내역서(제1지역)_설계서-교통신호기유지보수공사 연간단가(서부2구역)(심사결과)" xfId="5903" xr:uid="{00000000-0005-0000-0000-000031030000}"/>
    <cellStyle name="@_laroux_제트베인_1_농협퇴비-함양(보통)_2007 교통신호기 설치공사 설계내역서(제1지역)_2007 교통신호기 설치공사 설계내역서(제1지역)_설계서-교통신호기유지보수공사 연간단가(서부2구역)(심사결과) 2" xfId="5904" xr:uid="{00000000-0005-0000-0000-000032030000}"/>
    <cellStyle name="@_laroux_제트베인_1_농협퇴비-함양(보통)_2007 교통신호기 설치공사 설계내역서(제1지역)_2007 교통신호기 설치공사 설계내역서(제1지역)_설계서-교통신호기유지보수공사 연간단가(서부2구역)(심사결과) 2 2" xfId="5905" xr:uid="{00000000-0005-0000-0000-000033030000}"/>
    <cellStyle name="@_laroux_제트베인_1_농협퇴비-함양(보통)_2007 교통신호기 설치공사 설계내역서(제1지역)_2007기획공사내역서(1.5)" xfId="5906" xr:uid="{00000000-0005-0000-0000-000034030000}"/>
    <cellStyle name="@_laroux_제트베인_1_농협퇴비-함양(보통)_2007 교통신호기 설치공사 설계내역서(제1지역)_2007기획공사내역서(1.5) 2" xfId="5907" xr:uid="{00000000-0005-0000-0000-000035030000}"/>
    <cellStyle name="@_laroux_제트베인_1_농협퇴비-함양(보통)_2007 교통신호기 설치공사 설계내역서(제1지역)_2007기획공사내역서(1.5) 2 2" xfId="5908" xr:uid="{00000000-0005-0000-0000-000036030000}"/>
    <cellStyle name="@_laroux_제트베인_1_농협퇴비-함양(보통)_2007 교통신호기 설치공사 설계내역서(제1지역)_2009북부100%단가" xfId="5909" xr:uid="{00000000-0005-0000-0000-000037030000}"/>
    <cellStyle name="@_laroux_제트베인_1_농협퇴비-함양(보통)_2007 교통신호기 설치공사 설계내역서(제1지역)_2009북부100%단가 2" xfId="5910" xr:uid="{00000000-0005-0000-0000-000038030000}"/>
    <cellStyle name="@_laroux_제트베인_1_농협퇴비-함양(보통)_2007 교통신호기 설치공사 설계내역서(제1지역)_2009북부100%단가 2 2" xfId="5911" xr:uid="{00000000-0005-0000-0000-000039030000}"/>
    <cellStyle name="@_laroux_제트베인_1_농협퇴비-함양(보통)_2007 교통신호기 설치공사 설계내역서(제1지역)_계약내역서-동남전공-전체" xfId="5912" xr:uid="{00000000-0005-0000-0000-00003A030000}"/>
    <cellStyle name="@_laroux_제트베인_1_농협퇴비-함양(보통)_2007 교통신호기 설치공사 설계내역서(제1지역)_계약내역서-동남전공-전체 2" xfId="5913" xr:uid="{00000000-0005-0000-0000-00003B030000}"/>
    <cellStyle name="@_laroux_제트베인_1_농협퇴비-함양(보통)_2007 교통신호기 설치공사 설계내역서(제1지역)_계약내역서-동남전공-전체 2 2" xfId="5914" xr:uid="{00000000-0005-0000-0000-00003C030000}"/>
    <cellStyle name="@_laroux_제트베인_1_농협퇴비-함양(보통)_2007 교통신호기 설치공사 설계내역서(제1지역)_계약내역서-동남전공-통신" xfId="5915" xr:uid="{00000000-0005-0000-0000-00003D030000}"/>
    <cellStyle name="@_laroux_제트베인_1_농협퇴비-함양(보통)_2007 교통신호기 설치공사 설계내역서(제1지역)_계약내역서-동남전공-통신 2" xfId="5916" xr:uid="{00000000-0005-0000-0000-00003E030000}"/>
    <cellStyle name="@_laroux_제트베인_1_농협퇴비-함양(보통)_2007 교통신호기 설치공사 설계내역서(제1지역)_계약내역서-동남전공-통신 2 2" xfId="5917" xr:uid="{00000000-0005-0000-0000-00003F030000}"/>
    <cellStyle name="@_laroux_제트베인_1_농협퇴비-함양(보통)_2007 교통신호기 설치공사 설계내역서(제1지역)_관급" xfId="5918" xr:uid="{00000000-0005-0000-0000-000040030000}"/>
    <cellStyle name="@_laroux_제트베인_1_농협퇴비-함양(보통)_2007 교통신호기 설치공사 설계내역서(제1지역)_관급 2" xfId="5919" xr:uid="{00000000-0005-0000-0000-000041030000}"/>
    <cellStyle name="@_laroux_제트베인_1_농협퇴비-함양(보통)_2007 교통신호기 설치공사 설계내역서(제1지역)_관급 2 2" xfId="5920" xr:uid="{00000000-0005-0000-0000-000042030000}"/>
    <cellStyle name="@_laroux_제트베인_1_농협퇴비-함양(보통)_2007 교통신호기 설치공사 설계내역서(제1지역)_관급자재" xfId="5921" xr:uid="{00000000-0005-0000-0000-000043030000}"/>
    <cellStyle name="@_laroux_제트베인_1_농협퇴비-함양(보통)_2007 교통신호기 설치공사 설계내역서(제1지역)_관급자재 2" xfId="5922" xr:uid="{00000000-0005-0000-0000-000044030000}"/>
    <cellStyle name="@_laroux_제트베인_1_농협퇴비-함양(보통)_2007 교통신호기 설치공사 설계내역서(제1지역)_관급자재 2 2" xfId="5923" xr:uid="{00000000-0005-0000-0000-000045030000}"/>
    <cellStyle name="@_laroux_제트베인_1_농협퇴비-함양(보통)_2007 교통신호기 설치공사 설계내역서(제1지역)_내역서" xfId="5924" xr:uid="{00000000-0005-0000-0000-000046030000}"/>
    <cellStyle name="@_laroux_제트베인_1_농협퇴비-함양(보통)_2007 교통신호기 설치공사 설계내역서(제1지역)_내역서 2" xfId="5925" xr:uid="{00000000-0005-0000-0000-000047030000}"/>
    <cellStyle name="@_laroux_제트베인_1_농협퇴비-함양(보통)_2007 교통신호기 설치공사 설계내역서(제1지역)_내역서 2 2" xfId="5926" xr:uid="{00000000-0005-0000-0000-000048030000}"/>
    <cellStyle name="@_laroux_제트베인_1_농협퇴비-함양(보통)_2007 교통신호기 설치공사 설계내역서(제1지역)_단가" xfId="5927" xr:uid="{00000000-0005-0000-0000-000049030000}"/>
    <cellStyle name="@_laroux_제트베인_1_농협퇴비-함양(보통)_2007 교통신호기 설치공사 설계내역서(제1지역)_단가 2" xfId="5928" xr:uid="{00000000-0005-0000-0000-00004A030000}"/>
    <cellStyle name="@_laroux_제트베인_1_농협퇴비-함양(보통)_2007 교통신호기 설치공사 설계내역서(제1지역)_단가 2 2" xfId="5929" xr:uid="{00000000-0005-0000-0000-00004B030000}"/>
    <cellStyle name="@_laroux_제트베인_1_농협퇴비-함양(보통)_2007 교통신호기 설치공사 설계내역서(제1지역)_북부1" xfId="5930" xr:uid="{00000000-0005-0000-0000-00004C030000}"/>
    <cellStyle name="@_laroux_제트베인_1_농협퇴비-함양(보통)_2007 교통신호기 설치공사 설계내역서(제1지역)_북부1 2" xfId="5931" xr:uid="{00000000-0005-0000-0000-00004D030000}"/>
    <cellStyle name="@_laroux_제트베인_1_농협퇴비-함양(보통)_2007 교통신호기 설치공사 설계내역서(제1지역)_북부1 2 2" xfId="5932" xr:uid="{00000000-0005-0000-0000-00004E030000}"/>
    <cellStyle name="@_laroux_제트베인_1_농협퇴비-함양(보통)_2007 교통신호기 설치공사 설계내역서(제1지역)_북부-1지역" xfId="5933" xr:uid="{00000000-0005-0000-0000-00004F030000}"/>
    <cellStyle name="@_laroux_제트베인_1_농협퇴비-함양(보통)_2007 교통신호기 설치공사 설계내역서(제1지역)_북부-1지역 2" xfId="5934" xr:uid="{00000000-0005-0000-0000-000050030000}"/>
    <cellStyle name="@_laroux_제트베인_1_농협퇴비-함양(보통)_2007 교통신호기 설치공사 설계내역서(제1지역)_북부-1지역 2 2" xfId="5935" xr:uid="{00000000-0005-0000-0000-000051030000}"/>
    <cellStyle name="@_laroux_제트베인_1_농협퇴비-함양(보통)_2007 교통신호기 설치공사 설계내역서(제1지역)_북부-1지역(지점별)" xfId="5936" xr:uid="{00000000-0005-0000-0000-000052030000}"/>
    <cellStyle name="@_laroux_제트베인_1_농협퇴비-함양(보통)_2007 교통신호기 설치공사 설계내역서(제1지역)_북부-1지역(지점별) 2" xfId="5937" xr:uid="{00000000-0005-0000-0000-000053030000}"/>
    <cellStyle name="@_laroux_제트베인_1_농협퇴비-함양(보통)_2007 교통신호기 설치공사 설계내역서(제1지역)_북부-1지역(지점별) 2 2" xfId="5938" xr:uid="{00000000-0005-0000-0000-000054030000}"/>
    <cellStyle name="@_laroux_제트베인_1_농협퇴비-함양(보통)_2007 교통신호기 설치공사 설계내역서(제1지역)_북부-1지역_북부-1지역" xfId="5939" xr:uid="{00000000-0005-0000-0000-000055030000}"/>
    <cellStyle name="@_laroux_제트베인_1_농협퇴비-함양(보통)_2007 교통신호기 설치공사 설계내역서(제1지역)_북부-1지역_북부-1지역 2" xfId="5940" xr:uid="{00000000-0005-0000-0000-000056030000}"/>
    <cellStyle name="@_laroux_제트베인_1_농협퇴비-함양(보통)_2007 교통신호기 설치공사 설계내역서(제1지역)_북부-1지역_북부-1지역 2 2" xfId="5941" xr:uid="{00000000-0005-0000-0000-000057030000}"/>
    <cellStyle name="@_laroux_제트베인_1_농협퇴비-함양(보통)_2007 교통신호기 설치공사 설계내역서(제1지역)_북부-1지역_북부-1지역_관급자재" xfId="5942" xr:uid="{00000000-0005-0000-0000-000058030000}"/>
    <cellStyle name="@_laroux_제트베인_1_농협퇴비-함양(보통)_2007 교통신호기 설치공사 설계내역서(제1지역)_북부-1지역_북부-1지역_관급자재 2" xfId="5943" xr:uid="{00000000-0005-0000-0000-000059030000}"/>
    <cellStyle name="@_laroux_제트베인_1_농협퇴비-함양(보통)_2007 교통신호기 설치공사 설계내역서(제1지역)_북부-1지역_북부-1지역_관급자재 2 2" xfId="5944" xr:uid="{00000000-0005-0000-0000-00005A030000}"/>
    <cellStyle name="@_laroux_제트베인_1_농협퇴비-함양(보통)_2007 교통신호기 설치공사 설계내역서(제1지역)_북부-1지역_북부-1지역_북부1" xfId="5945" xr:uid="{00000000-0005-0000-0000-00005B030000}"/>
    <cellStyle name="@_laroux_제트베인_1_농협퇴비-함양(보통)_2007 교통신호기 설치공사 설계내역서(제1지역)_북부-1지역_북부-1지역_북부1 2" xfId="5946" xr:uid="{00000000-0005-0000-0000-00005C030000}"/>
    <cellStyle name="@_laroux_제트베인_1_농협퇴비-함양(보통)_2007 교통신호기 설치공사 설계내역서(제1지역)_북부-1지역_북부-1지역_북부1 2 2" xfId="5947" xr:uid="{00000000-0005-0000-0000-00005D030000}"/>
    <cellStyle name="@_laroux_제트베인_1_농협퇴비-함양(보통)_2007 교통신호기 설치공사 설계내역서(제1지역)_서부-1지역(중구,용산,마포일부)" xfId="5948" xr:uid="{00000000-0005-0000-0000-00005E030000}"/>
    <cellStyle name="@_laroux_제트베인_1_농협퇴비-함양(보통)_2007 교통신호기 설치공사 설계내역서(제1지역)_서부-1지역(중구,용산,마포일부) 2" xfId="5949" xr:uid="{00000000-0005-0000-0000-00005F030000}"/>
    <cellStyle name="@_laroux_제트베인_1_농협퇴비-함양(보통)_2007 교통신호기 설치공사 설계내역서(제1지역)_서부-1지역(중구,용산,마포일부) 2 2" xfId="5950" xr:uid="{00000000-0005-0000-0000-000060030000}"/>
    <cellStyle name="@_laroux_제트베인_1_농협퇴비-함양(보통)_2007 교통신호기 설치공사 설계내역서(제1지역)_설계서" xfId="5951" xr:uid="{00000000-0005-0000-0000-000061030000}"/>
    <cellStyle name="@_laroux_제트베인_1_농협퇴비-함양(보통)_2007 교통신호기 설치공사 설계내역서(제1지역)_설계서 2" xfId="5952" xr:uid="{00000000-0005-0000-0000-000062030000}"/>
    <cellStyle name="@_laroux_제트베인_1_농협퇴비-함양(보통)_2007 교통신호기 설치공사 설계내역서(제1지역)_설계서 2 2" xfId="5953" xr:uid="{00000000-0005-0000-0000-000063030000}"/>
    <cellStyle name="@_laroux_제트베인_1_농협퇴비-함양(보통)_2007 교통신호기 설치공사 설계내역서(제1지역)_설계서_북부-1지역" xfId="5954" xr:uid="{00000000-0005-0000-0000-000064030000}"/>
    <cellStyle name="@_laroux_제트베인_1_농협퇴비-함양(보통)_2007 교통신호기 설치공사 설계내역서(제1지역)_설계서_북부-1지역 2" xfId="5955" xr:uid="{00000000-0005-0000-0000-000065030000}"/>
    <cellStyle name="@_laroux_제트베인_1_농협퇴비-함양(보통)_2007 교통신호기 설치공사 설계내역서(제1지역)_설계서_북부-1지역 2 2" xfId="5956" xr:uid="{00000000-0005-0000-0000-000066030000}"/>
    <cellStyle name="@_laroux_제트베인_1_농협퇴비-함양(보통)_2007 교통신호기 설치공사 설계내역서(제1지역)_설계서_북부-1지역_관급자재" xfId="5957" xr:uid="{00000000-0005-0000-0000-000067030000}"/>
    <cellStyle name="@_laroux_제트베인_1_농협퇴비-함양(보통)_2007 교통신호기 설치공사 설계내역서(제1지역)_설계서_북부-1지역_관급자재 2" xfId="5958" xr:uid="{00000000-0005-0000-0000-000068030000}"/>
    <cellStyle name="@_laroux_제트베인_1_농협퇴비-함양(보통)_2007 교통신호기 설치공사 설계내역서(제1지역)_설계서_북부-1지역_관급자재 2 2" xfId="5959" xr:uid="{00000000-0005-0000-0000-000069030000}"/>
    <cellStyle name="@_laroux_제트베인_1_농협퇴비-함양(보통)_2007 교통신호기 설치공사 설계내역서(제1지역)_설계서_북부-1지역_북부1" xfId="5960" xr:uid="{00000000-0005-0000-0000-00006A030000}"/>
    <cellStyle name="@_laroux_제트베인_1_농협퇴비-함양(보통)_2007 교통신호기 설치공사 설계내역서(제1지역)_설계서_북부-1지역_북부1 2" xfId="5961" xr:uid="{00000000-0005-0000-0000-00006B030000}"/>
    <cellStyle name="@_laroux_제트베인_1_농협퇴비-함양(보통)_2007 교통신호기 설치공사 설계내역서(제1지역)_설계서_북부-1지역_북부1 2 2" xfId="5962" xr:uid="{00000000-0005-0000-0000-00006C030000}"/>
    <cellStyle name="@_laroux_제트베인_1_농협퇴비-함양(보통)_2007 교통신호기 설치공사 설계내역서(제1지역)_설계서-교통신호기유지보수공사 연간단가(서부2구역)(심사결과)" xfId="5963" xr:uid="{00000000-0005-0000-0000-00006D030000}"/>
    <cellStyle name="@_laroux_제트베인_1_농협퇴비-함양(보통)_2007 교통신호기 설치공사 설계내역서(제1지역)_설계서-교통신호기유지보수공사 연간단가(서부2구역)(심사결과) 2" xfId="5964" xr:uid="{00000000-0005-0000-0000-00006E030000}"/>
    <cellStyle name="@_laroux_제트베인_1_농협퇴비-함양(보통)_2007 교통신호기 설치공사 설계내역서(제1지역)_설계서-교통신호기유지보수공사 연간단가(서부2구역)(심사결과) 2 2" xfId="5965" xr:uid="{00000000-0005-0000-0000-00006F030000}"/>
    <cellStyle name="@_laroux_제트베인_1_농협퇴비-함양(보통)_2009북부100%단가" xfId="5966" xr:uid="{00000000-0005-0000-0000-000070030000}"/>
    <cellStyle name="@_laroux_제트베인_1_농협퇴비-함양(보통)_2009북부100%단가 2" xfId="5967" xr:uid="{00000000-0005-0000-0000-000071030000}"/>
    <cellStyle name="@_laroux_제트베인_1_농협퇴비-함양(보통)_2009북부100%단가 2 2" xfId="5968" xr:uid="{00000000-0005-0000-0000-000072030000}"/>
    <cellStyle name="@_laroux_제트베인_1_농협퇴비-함양(보통)_단가" xfId="5969" xr:uid="{00000000-0005-0000-0000-000073030000}"/>
    <cellStyle name="@_laroux_제트베인_1_농협퇴비-함양(보통)_단가 2" xfId="5970" xr:uid="{00000000-0005-0000-0000-000074030000}"/>
    <cellStyle name="@_laroux_제트베인_1_농협퇴비-함양(보통)_단가 2 2" xfId="5971" xr:uid="{00000000-0005-0000-0000-000075030000}"/>
    <cellStyle name="@_laroux_제트베인_1_농협퇴비-함양(보통)_북부-1지역" xfId="5972" xr:uid="{00000000-0005-0000-0000-000076030000}"/>
    <cellStyle name="@_laroux_제트베인_1_농협퇴비-함양(보통)_북부-1지역 2" xfId="5973" xr:uid="{00000000-0005-0000-0000-000077030000}"/>
    <cellStyle name="@_laroux_제트베인_1_농협퇴비-함양(보통)_북부-1지역 2 2" xfId="5974" xr:uid="{00000000-0005-0000-0000-000078030000}"/>
    <cellStyle name="@_laroux_제트베인_1_농협퇴비-함양(보통)_북부-1지역_관급자재" xfId="5975" xr:uid="{00000000-0005-0000-0000-000079030000}"/>
    <cellStyle name="@_laroux_제트베인_1_농협퇴비-함양(보통)_북부-1지역_관급자재 2" xfId="5976" xr:uid="{00000000-0005-0000-0000-00007A030000}"/>
    <cellStyle name="@_laroux_제트베인_1_농협퇴비-함양(보통)_북부-1지역_관급자재 2 2" xfId="5977" xr:uid="{00000000-0005-0000-0000-00007B030000}"/>
    <cellStyle name="@_laroux_제트베인_1_농협퇴비-함양(보통)_북부-1지역_북부1" xfId="5978" xr:uid="{00000000-0005-0000-0000-00007C030000}"/>
    <cellStyle name="@_laroux_제트베인_1_농협퇴비-함양(보통)_북부-1지역_북부1 2" xfId="5979" xr:uid="{00000000-0005-0000-0000-00007D030000}"/>
    <cellStyle name="@_laroux_제트베인_1_농협퇴비-함양(보통)_북부-1지역_북부1 2 2" xfId="5980" xr:uid="{00000000-0005-0000-0000-00007E030000}"/>
    <cellStyle name="@_laroux_제트베인_1_농협퇴비-함양(보통)_설계서-교통신호기유지보수공사 연간단가(서부2구역)(심사결과)" xfId="5981" xr:uid="{00000000-0005-0000-0000-00007F030000}"/>
    <cellStyle name="@_laroux_제트베인_1_농협퇴비-함양(보통)_설계서-교통신호기유지보수공사 연간단가(서부2구역)(심사결과) 2" xfId="5982" xr:uid="{00000000-0005-0000-0000-000080030000}"/>
    <cellStyle name="@_laroux_제트베인_1_농협퇴비-함양(보통)_설계서-교통신호기유지보수공사 연간단가(서부2구역)(심사결과) 2 2" xfId="5983" xr:uid="{00000000-0005-0000-0000-000081030000}"/>
    <cellStyle name="@_laroux_제트베인_1_단가" xfId="5984" xr:uid="{00000000-0005-0000-0000-000082030000}"/>
    <cellStyle name="@_laroux_제트베인_1_단가 2" xfId="5985" xr:uid="{00000000-0005-0000-0000-000083030000}"/>
    <cellStyle name="@_laroux_제트베인_1_단가 2 2" xfId="5986" xr:uid="{00000000-0005-0000-0000-000084030000}"/>
    <cellStyle name="@_laroux_제트베인_1_마창VMS1EA" xfId="5987" xr:uid="{00000000-0005-0000-0000-000085030000}"/>
    <cellStyle name="@_laroux_제트베인_1_마창VMS1EA 2" xfId="5988" xr:uid="{00000000-0005-0000-0000-000086030000}"/>
    <cellStyle name="@_laroux_제트베인_1_마창VMS1EA 2 2" xfId="5989" xr:uid="{00000000-0005-0000-0000-000087030000}"/>
    <cellStyle name="@_laroux_제트베인_1_마창VMS1EA_광명_주정차시스템 견적서(한일에스티엠_4억9천)" xfId="5990" xr:uid="{00000000-0005-0000-0000-000088030000}"/>
    <cellStyle name="@_laroux_제트베인_1_마창VMS1EA_광명_주정차시스템 견적서(한일에스티엠_4억9천) 2" xfId="5991" xr:uid="{00000000-0005-0000-0000-000089030000}"/>
    <cellStyle name="@_laroux_제트베인_1_마창VMS1EA_광명_주정차시스템 견적서(한일에스티엠_4억9천) 2 2" xfId="5992" xr:uid="{00000000-0005-0000-0000-00008A030000}"/>
    <cellStyle name="@_laroux_제트베인_1_마창VMS1EA_광명_주정차시스템 견적서(한일에스티엠_4억9천)_성남시 불법주정차자동_견적서" xfId="5993" xr:uid="{00000000-0005-0000-0000-00008B030000}"/>
    <cellStyle name="@_laroux_제트베인_1_마창VMS1EA_광명_주정차시스템 견적서(한일에스티엠_4억9천)_성남시 불법주정차자동_견적서 2" xfId="5994" xr:uid="{00000000-0005-0000-0000-00008C030000}"/>
    <cellStyle name="@_laroux_제트베인_1_마창VMS1EA_광명_주정차시스템 견적서(한일에스티엠_4억9천)_성남시 불법주정차자동_견적서 2 2" xfId="5995" xr:uid="{00000000-0005-0000-0000-00008D030000}"/>
    <cellStyle name="@_laroux_제트베인_1_마창VMS1EA_광명_주정차시스템 견적서(한일에스티엠_4억9천)_성남시 불법주정차자동_견적서_견적서_ 한일에스티엠" xfId="5996" xr:uid="{00000000-0005-0000-0000-00008E030000}"/>
    <cellStyle name="@_laroux_제트베인_1_마창VMS1EA_광명_주정차시스템 견적서(한일에스티엠_4억9천)_성남시 불법주정차자동_견적서_견적서_ 한일에스티엠 2" xfId="5997" xr:uid="{00000000-0005-0000-0000-00008F030000}"/>
    <cellStyle name="@_laroux_제트베인_1_마창VMS1EA_광명_주정차시스템 견적서(한일에스티엠_4억9천)_성남시 불법주정차자동_견적서_견적서_ 한일에스티엠 2 2" xfId="5998" xr:uid="{00000000-0005-0000-0000-000090030000}"/>
    <cellStyle name="@_laroux_제트베인_1_마창VMS1EA_광명_주정차시스템 견적서(한일에스티엠_수정본)" xfId="5999" xr:uid="{00000000-0005-0000-0000-000091030000}"/>
    <cellStyle name="@_laroux_제트베인_1_마창VMS1EA_광명_주정차시스템 견적서(한일에스티엠_수정본) 2" xfId="6000" xr:uid="{00000000-0005-0000-0000-000092030000}"/>
    <cellStyle name="@_laroux_제트베인_1_마창VMS1EA_광명_주정차시스템 견적서(한일에스티엠_수정본) 2 2" xfId="6001" xr:uid="{00000000-0005-0000-0000-000093030000}"/>
    <cellStyle name="@_laroux_제트베인_1_마창VMS1EA_광명_주정차시스템 견적서(한일에스티엠_수정본)_성남시 불법주정차자동_견적서" xfId="6002" xr:uid="{00000000-0005-0000-0000-000094030000}"/>
    <cellStyle name="@_laroux_제트베인_1_마창VMS1EA_광명_주정차시스템 견적서(한일에스티엠_수정본)_성남시 불법주정차자동_견적서 2" xfId="6003" xr:uid="{00000000-0005-0000-0000-000095030000}"/>
    <cellStyle name="@_laroux_제트베인_1_마창VMS1EA_광명_주정차시스템 견적서(한일에스티엠_수정본)_성남시 불법주정차자동_견적서 2 2" xfId="6004" xr:uid="{00000000-0005-0000-0000-000096030000}"/>
    <cellStyle name="@_laroux_제트베인_1_마창VMS1EA_광명_주정차시스템 견적서(한일에스티엠_수정본)_성남시 불법주정차자동_견적서_견적서_ 한일에스티엠" xfId="6005" xr:uid="{00000000-0005-0000-0000-000097030000}"/>
    <cellStyle name="@_laroux_제트베인_1_마창VMS1EA_광명_주정차시스템 견적서(한일에스티엠_수정본)_성남시 불법주정차자동_견적서_견적서_ 한일에스티엠 2" xfId="6006" xr:uid="{00000000-0005-0000-0000-000098030000}"/>
    <cellStyle name="@_laroux_제트베인_1_마창VMS1EA_광명_주정차시스템 견적서(한일에스티엠_수정본)_성남시 불법주정차자동_견적서_견적서_ 한일에스티엠 2 2" xfId="6007" xr:uid="{00000000-0005-0000-0000-000099030000}"/>
    <cellStyle name="@_laroux_제트베인_1_마창VMS1EA_성남시 불법주정차자동_견적서" xfId="6008" xr:uid="{00000000-0005-0000-0000-00009A030000}"/>
    <cellStyle name="@_laroux_제트베인_1_마창VMS1EA_성남시 불법주정차자동_견적서 2" xfId="6009" xr:uid="{00000000-0005-0000-0000-00009B030000}"/>
    <cellStyle name="@_laroux_제트베인_1_마창VMS1EA_성남시 불법주정차자동_견적서 2 2" xfId="6010" xr:uid="{00000000-0005-0000-0000-00009C030000}"/>
    <cellStyle name="@_laroux_제트베인_1_마창VMS1EA_성남시 불법주정차자동_견적서_견적서_ 한일에스티엠" xfId="6011" xr:uid="{00000000-0005-0000-0000-00009D030000}"/>
    <cellStyle name="@_laroux_제트베인_1_마창VMS1EA_성남시 불법주정차자동_견적서_견적서_ 한일에스티엠 2" xfId="6012" xr:uid="{00000000-0005-0000-0000-00009E030000}"/>
    <cellStyle name="@_laroux_제트베인_1_마창VMS1EA_성남시 불법주정차자동_견적서_견적서_ 한일에스티엠 2 2" xfId="6013" xr:uid="{00000000-0005-0000-0000-00009F030000}"/>
    <cellStyle name="@_laroux_제트베인_1_마창VMS1EA-2" xfId="6014" xr:uid="{00000000-0005-0000-0000-0000A0030000}"/>
    <cellStyle name="@_laroux_제트베인_1_마창VMS1EA-2 2" xfId="6015" xr:uid="{00000000-0005-0000-0000-0000A1030000}"/>
    <cellStyle name="@_laroux_제트베인_1_마창VMS1EA-2 2 2" xfId="6016" xr:uid="{00000000-0005-0000-0000-0000A2030000}"/>
    <cellStyle name="@_laroux_제트베인_1_마창VMS1EA-2_광명_주정차시스템 견적서(한일에스티엠_4억9천)" xfId="6017" xr:uid="{00000000-0005-0000-0000-0000A3030000}"/>
    <cellStyle name="@_laroux_제트베인_1_마창VMS1EA-2_광명_주정차시스템 견적서(한일에스티엠_4억9천) 2" xfId="6018" xr:uid="{00000000-0005-0000-0000-0000A4030000}"/>
    <cellStyle name="@_laroux_제트베인_1_마창VMS1EA-2_광명_주정차시스템 견적서(한일에스티엠_4억9천) 2 2" xfId="6019" xr:uid="{00000000-0005-0000-0000-0000A5030000}"/>
    <cellStyle name="@_laroux_제트베인_1_마창VMS1EA-2_광명_주정차시스템 견적서(한일에스티엠_4억9천)_성남시 불법주정차자동_견적서" xfId="6020" xr:uid="{00000000-0005-0000-0000-0000A6030000}"/>
    <cellStyle name="@_laroux_제트베인_1_마창VMS1EA-2_광명_주정차시스템 견적서(한일에스티엠_4억9천)_성남시 불법주정차자동_견적서 2" xfId="6021" xr:uid="{00000000-0005-0000-0000-0000A7030000}"/>
    <cellStyle name="@_laroux_제트베인_1_마창VMS1EA-2_광명_주정차시스템 견적서(한일에스티엠_4억9천)_성남시 불법주정차자동_견적서 2 2" xfId="6022" xr:uid="{00000000-0005-0000-0000-0000A8030000}"/>
    <cellStyle name="@_laroux_제트베인_1_마창VMS1EA-2_광명_주정차시스템 견적서(한일에스티엠_4억9천)_성남시 불법주정차자동_견적서_견적서_ 한일에스티엠" xfId="6023" xr:uid="{00000000-0005-0000-0000-0000A9030000}"/>
    <cellStyle name="@_laroux_제트베인_1_마창VMS1EA-2_광명_주정차시스템 견적서(한일에스티엠_4억9천)_성남시 불법주정차자동_견적서_견적서_ 한일에스티엠 2" xfId="6024" xr:uid="{00000000-0005-0000-0000-0000AA030000}"/>
    <cellStyle name="@_laroux_제트베인_1_마창VMS1EA-2_광명_주정차시스템 견적서(한일에스티엠_4억9천)_성남시 불법주정차자동_견적서_견적서_ 한일에스티엠 2 2" xfId="6025" xr:uid="{00000000-0005-0000-0000-0000AB030000}"/>
    <cellStyle name="@_laroux_제트베인_1_마창VMS1EA-2_광명_주정차시스템 견적서(한일에스티엠_수정본)" xfId="6026" xr:uid="{00000000-0005-0000-0000-0000AC030000}"/>
    <cellStyle name="@_laroux_제트베인_1_마창VMS1EA-2_광명_주정차시스템 견적서(한일에스티엠_수정본) 2" xfId="6027" xr:uid="{00000000-0005-0000-0000-0000AD030000}"/>
    <cellStyle name="@_laroux_제트베인_1_마창VMS1EA-2_광명_주정차시스템 견적서(한일에스티엠_수정본) 2 2" xfId="6028" xr:uid="{00000000-0005-0000-0000-0000AE030000}"/>
    <cellStyle name="@_laroux_제트베인_1_마창VMS1EA-2_광명_주정차시스템 견적서(한일에스티엠_수정본)_성남시 불법주정차자동_견적서" xfId="6029" xr:uid="{00000000-0005-0000-0000-0000AF030000}"/>
    <cellStyle name="@_laroux_제트베인_1_마창VMS1EA-2_광명_주정차시스템 견적서(한일에스티엠_수정본)_성남시 불법주정차자동_견적서 2" xfId="6030" xr:uid="{00000000-0005-0000-0000-0000B0030000}"/>
    <cellStyle name="@_laroux_제트베인_1_마창VMS1EA-2_광명_주정차시스템 견적서(한일에스티엠_수정본)_성남시 불법주정차자동_견적서 2 2" xfId="6031" xr:uid="{00000000-0005-0000-0000-0000B1030000}"/>
    <cellStyle name="@_laroux_제트베인_1_마창VMS1EA-2_광명_주정차시스템 견적서(한일에스티엠_수정본)_성남시 불법주정차자동_견적서_견적서_ 한일에스티엠" xfId="6032" xr:uid="{00000000-0005-0000-0000-0000B2030000}"/>
    <cellStyle name="@_laroux_제트베인_1_마창VMS1EA-2_광명_주정차시스템 견적서(한일에스티엠_수정본)_성남시 불법주정차자동_견적서_견적서_ 한일에스티엠 2" xfId="6033" xr:uid="{00000000-0005-0000-0000-0000B3030000}"/>
    <cellStyle name="@_laroux_제트베인_1_마창VMS1EA-2_광명_주정차시스템 견적서(한일에스티엠_수정본)_성남시 불법주정차자동_견적서_견적서_ 한일에스티엠 2 2" xfId="6034" xr:uid="{00000000-0005-0000-0000-0000B4030000}"/>
    <cellStyle name="@_laroux_제트베인_1_마창VMS1EA-2_성남시 불법주정차자동_견적서" xfId="6035" xr:uid="{00000000-0005-0000-0000-0000B5030000}"/>
    <cellStyle name="@_laroux_제트베인_1_마창VMS1EA-2_성남시 불법주정차자동_견적서 2" xfId="6036" xr:uid="{00000000-0005-0000-0000-0000B6030000}"/>
    <cellStyle name="@_laroux_제트베인_1_마창VMS1EA-2_성남시 불법주정차자동_견적서 2 2" xfId="6037" xr:uid="{00000000-0005-0000-0000-0000B7030000}"/>
    <cellStyle name="@_laroux_제트베인_1_마창VMS1EA-2_성남시 불법주정차자동_견적서_견적서_ 한일에스티엠" xfId="6038" xr:uid="{00000000-0005-0000-0000-0000B8030000}"/>
    <cellStyle name="@_laroux_제트베인_1_마창VMS1EA-2_성남시 불법주정차자동_견적서_견적서_ 한일에스티엠 2" xfId="6039" xr:uid="{00000000-0005-0000-0000-0000B9030000}"/>
    <cellStyle name="@_laroux_제트베인_1_마창VMS1EA-2_성남시 불법주정차자동_견적서_견적서_ 한일에스티엠 2 2" xfId="6040" xr:uid="{00000000-0005-0000-0000-0000BA030000}"/>
    <cellStyle name="@_laroux_제트베인_1_북부-1지역" xfId="6041" xr:uid="{00000000-0005-0000-0000-0000BB030000}"/>
    <cellStyle name="@_laroux_제트베인_1_북부-1지역 2" xfId="6042" xr:uid="{00000000-0005-0000-0000-0000BC030000}"/>
    <cellStyle name="@_laroux_제트베인_1_북부-1지역 2 2" xfId="6043" xr:uid="{00000000-0005-0000-0000-0000BD030000}"/>
    <cellStyle name="@_laroux_제트베인_1_북부-1지역_관급자재" xfId="6044" xr:uid="{00000000-0005-0000-0000-0000BE030000}"/>
    <cellStyle name="@_laroux_제트베인_1_북부-1지역_관급자재 2" xfId="6045" xr:uid="{00000000-0005-0000-0000-0000BF030000}"/>
    <cellStyle name="@_laroux_제트베인_1_북부-1지역_관급자재 2 2" xfId="6046" xr:uid="{00000000-0005-0000-0000-0000C0030000}"/>
    <cellStyle name="@_laroux_제트베인_1_북부-1지역_북부1" xfId="6047" xr:uid="{00000000-0005-0000-0000-0000C1030000}"/>
    <cellStyle name="@_laroux_제트베인_1_북부-1지역_북부1 2" xfId="6048" xr:uid="{00000000-0005-0000-0000-0000C2030000}"/>
    <cellStyle name="@_laroux_제트베인_1_북부-1지역_북부1 2 2" xfId="6049" xr:uid="{00000000-0005-0000-0000-0000C3030000}"/>
    <cellStyle name="@_laroux_제트베인_1_설계서-교통신호기유지보수공사 연간단가(서부2구역)(심사결과)" xfId="6050" xr:uid="{00000000-0005-0000-0000-0000C4030000}"/>
    <cellStyle name="@_laroux_제트베인_1_설계서-교통신호기유지보수공사 연간단가(서부2구역)(심사결과) 2" xfId="6051" xr:uid="{00000000-0005-0000-0000-0000C5030000}"/>
    <cellStyle name="@_laroux_제트베인_1_설계서-교통신호기유지보수공사 연간단가(서부2구역)(심사결과) 2 2" xfId="6052" xr:uid="{00000000-0005-0000-0000-0000C6030000}"/>
    <cellStyle name="@_laroux_제트베인_1_성남시 불법주정차자동_견적서" xfId="6053" xr:uid="{00000000-0005-0000-0000-0000C7030000}"/>
    <cellStyle name="@_laroux_제트베인_1_성남시 불법주정차자동_견적서 2" xfId="6054" xr:uid="{00000000-0005-0000-0000-0000C8030000}"/>
    <cellStyle name="@_laroux_제트베인_1_성남시 불법주정차자동_견적서 2 2" xfId="6055" xr:uid="{00000000-0005-0000-0000-0000C9030000}"/>
    <cellStyle name="@_laroux_제트베인_1_성남시 불법주정차자동_견적서_견적서_ 한일에스티엠" xfId="6056" xr:uid="{00000000-0005-0000-0000-0000CA030000}"/>
    <cellStyle name="@_laroux_제트베인_1_성남시 불법주정차자동_견적서_견적서_ 한일에스티엠 2" xfId="6057" xr:uid="{00000000-0005-0000-0000-0000CB030000}"/>
    <cellStyle name="@_laroux_제트베인_1_성남시 불법주정차자동_견적서_견적서_ 한일에스티엠 2 2" xfId="6058" xr:uid="{00000000-0005-0000-0000-0000CC030000}"/>
    <cellStyle name="_(01-14)광양항인건비" xfId="992" xr:uid="{00000000-0005-0000-0000-0000CD030000}"/>
    <cellStyle name="_(견적FAX갑지)1" xfId="993" xr:uid="{00000000-0005-0000-0000-0000CE030000}"/>
    <cellStyle name="_▷기본자료기록" xfId="994" xr:uid="{00000000-0005-0000-0000-0000CF030000}"/>
    <cellStyle name="_▷기본자료기록_갤러리아팰리스자재견적" xfId="995" xr:uid="{00000000-0005-0000-0000-0000D0030000}"/>
    <cellStyle name="_▷기본자료기록_상도동I-PARK전기내역서" xfId="996" xr:uid="{00000000-0005-0000-0000-0000D1030000}"/>
    <cellStyle name="_▷기본자료기록_장미등품" xfId="997" xr:uid="{00000000-0005-0000-0000-0000D2030000}"/>
    <cellStyle name="_▷기본자료기록_장미아파트자재" xfId="998" xr:uid="{00000000-0005-0000-0000-0000D3030000}"/>
    <cellStyle name="_▷기본자료기록_장미아파트전기공사(작업)" xfId="999" xr:uid="{00000000-0005-0000-0000-0000D4030000}"/>
    <cellStyle name="_▷기본자료기록_청주교보복합빌딩견적" xfId="1000" xr:uid="{00000000-0005-0000-0000-0000D5030000}"/>
    <cellStyle name="_▷기본자료들" xfId="1001" xr:uid="{00000000-0005-0000-0000-0000D6030000}"/>
    <cellStyle name="_▷기본자료들_갤러리아팰리스자재견적" xfId="1002" xr:uid="{00000000-0005-0000-0000-0000D7030000}"/>
    <cellStyle name="_▷기본자료들_상도동I-PARK전기내역서" xfId="1003" xr:uid="{00000000-0005-0000-0000-0000D8030000}"/>
    <cellStyle name="_▷기본자료들_장미등품" xfId="1004" xr:uid="{00000000-0005-0000-0000-0000D9030000}"/>
    <cellStyle name="_▷기본자료들_장미아파트자재" xfId="1005" xr:uid="{00000000-0005-0000-0000-0000DA030000}"/>
    <cellStyle name="_▷기본자료들_장미아파트전기공사(작업)" xfId="1006" xr:uid="{00000000-0005-0000-0000-0000DB030000}"/>
    <cellStyle name="_▷기본자료들_청주교보복합빌딩견적" xfId="1007" xr:uid="{00000000-0005-0000-0000-0000DC030000}"/>
    <cellStyle name="_○가실행기본양식" xfId="1008" xr:uid="{00000000-0005-0000-0000-0000DD030000}"/>
    <cellStyle name="_○본실행기본양식" xfId="1009" xr:uid="{00000000-0005-0000-0000-0000DE030000}"/>
    <cellStyle name="_★실행예산편성안2001년" xfId="1010" xr:uid="{00000000-0005-0000-0000-0000DF030000}"/>
    <cellStyle name="_★천안AmiCd가설" xfId="1011" xr:uid="{00000000-0005-0000-0000-0000E0030000}"/>
    <cellStyle name="_00 단가산출서 9호선,공항,공용" xfId="1012" xr:uid="{00000000-0005-0000-0000-0000E1030000}"/>
    <cellStyle name="_00자재총괄표(마곡리)" xfId="2405" xr:uid="{00000000-0005-0000-0000-0000E2030000}"/>
    <cellStyle name="_01" xfId="2406" xr:uid="{00000000-0005-0000-0000-0000E3030000}"/>
    <cellStyle name="_01 2" xfId="6059" xr:uid="{00000000-0005-0000-0000-0000E4030000}"/>
    <cellStyle name="_01 2 2" xfId="6060" xr:uid="{00000000-0005-0000-0000-0000E5030000}"/>
    <cellStyle name="_01_강동내역(9.28" xfId="2407" xr:uid="{00000000-0005-0000-0000-0000E6030000}"/>
    <cellStyle name="_01_강동내역(9.28 2" xfId="6061" xr:uid="{00000000-0005-0000-0000-0000E7030000}"/>
    <cellStyle name="_01_강동내역(9.28 2 2" xfId="6062" xr:uid="{00000000-0005-0000-0000-0000E8030000}"/>
    <cellStyle name="_01_강동내역(9.28_T05-D03-004D(울산터널-조명제어-안소장님1003)" xfId="2409" xr:uid="{00000000-0005-0000-0000-0000E9030000}"/>
    <cellStyle name="_01_강동내역(9.28_T05-D03-004D(울산터널-조명제어-안소장님1003) 2" xfId="6063" xr:uid="{00000000-0005-0000-0000-0000EA030000}"/>
    <cellStyle name="_01_강동내역(9.28_T05-D03-004D(울산터널-조명제어-안소장님1003) 2 2" xfId="6064" xr:uid="{00000000-0005-0000-0000-0000EB030000}"/>
    <cellStyle name="_01_강동내역(9.28_T05-D03-004D(울산터널-환기-구성설비0930)" xfId="2410" xr:uid="{00000000-0005-0000-0000-0000EC030000}"/>
    <cellStyle name="_01_강동내역(9.28_T05-D03-004D(울산터널-환기-구성설비0930) 2" xfId="6065" xr:uid="{00000000-0005-0000-0000-0000ED030000}"/>
    <cellStyle name="_01_강동내역(9.28_T05-D03-004D(울산터널-환기-구성설비0930) 2 2" xfId="6066" xr:uid="{00000000-0005-0000-0000-0000EE030000}"/>
    <cellStyle name="_01_강동내역(9.28_울산강동내역최종(20051101)" xfId="2408" xr:uid="{00000000-0005-0000-0000-0000EF030000}"/>
    <cellStyle name="_01_강동내역(9.28_울산강동내역최종(20051101) 2" xfId="6067" xr:uid="{00000000-0005-0000-0000-0000F0030000}"/>
    <cellStyle name="_01_강동내역(9.28_울산강동내역최종(20051101) 2 2" xfId="6068" xr:uid="{00000000-0005-0000-0000-0000F1030000}"/>
    <cellStyle name="_01~02 1-1A,1B 구간 공사용 임시전력공사 내역서" xfId="1013" xr:uid="{00000000-0005-0000-0000-0000F2030000}"/>
    <cellStyle name="_01년하반기계획" xfId="2411" xr:uid="{00000000-0005-0000-0000-0000F3030000}"/>
    <cellStyle name="_01년하반기계획 2" xfId="6069" xr:uid="{00000000-0005-0000-0000-0000F4030000}"/>
    <cellStyle name="_01년하반기계획 2 2" xfId="6070" xr:uid="{00000000-0005-0000-0000-0000F5030000}"/>
    <cellStyle name="_01년하반기계획_강동내역(9.28" xfId="2412" xr:uid="{00000000-0005-0000-0000-0000F6030000}"/>
    <cellStyle name="_01년하반기계획_강동내역(9.28 2" xfId="6071" xr:uid="{00000000-0005-0000-0000-0000F7030000}"/>
    <cellStyle name="_01년하반기계획_강동내역(9.28 2 2" xfId="6072" xr:uid="{00000000-0005-0000-0000-0000F8030000}"/>
    <cellStyle name="_01년하반기계획_강동내역(9.28_T05-D03-004D(울산터널-조명제어-안소장님1003)" xfId="2414" xr:uid="{00000000-0005-0000-0000-0000F9030000}"/>
    <cellStyle name="_01년하반기계획_강동내역(9.28_T05-D03-004D(울산터널-조명제어-안소장님1003) 2" xfId="6073" xr:uid="{00000000-0005-0000-0000-0000FA030000}"/>
    <cellStyle name="_01년하반기계획_강동내역(9.28_T05-D03-004D(울산터널-조명제어-안소장님1003) 2 2" xfId="6074" xr:uid="{00000000-0005-0000-0000-0000FB030000}"/>
    <cellStyle name="_01년하반기계획_강동내역(9.28_T05-D03-004D(울산터널-환기-구성설비0930)" xfId="2415" xr:uid="{00000000-0005-0000-0000-0000FC030000}"/>
    <cellStyle name="_01년하반기계획_강동내역(9.28_T05-D03-004D(울산터널-환기-구성설비0930) 2" xfId="6075" xr:uid="{00000000-0005-0000-0000-0000FD030000}"/>
    <cellStyle name="_01년하반기계획_강동내역(9.28_T05-D03-004D(울산터널-환기-구성설비0930) 2 2" xfId="6076" xr:uid="{00000000-0005-0000-0000-0000FE030000}"/>
    <cellStyle name="_01년하반기계획_강동내역(9.28_울산강동내역최종(20051101)" xfId="2413" xr:uid="{00000000-0005-0000-0000-0000FF030000}"/>
    <cellStyle name="_01년하반기계획_강동내역(9.28_울산강동내역최종(20051101) 2" xfId="6077" xr:uid="{00000000-0005-0000-0000-000000040000}"/>
    <cellStyle name="_01년하반기계획_강동내역(9.28_울산강동내역최종(20051101) 2 2" xfId="6078" xr:uid="{00000000-0005-0000-0000-000001040000}"/>
    <cellStyle name="_01토공" xfId="2416" xr:uid="{00000000-0005-0000-0000-000002040000}"/>
    <cellStyle name="_01-토공" xfId="2417" xr:uid="{00000000-0005-0000-0000-000003040000}"/>
    <cellStyle name="_01토공_02. 깨기총괄표1" xfId="2418" xr:uid="{00000000-0005-0000-0000-000004040000}"/>
    <cellStyle name="_01토공_라멘교 토공" xfId="2419" xr:uid="{00000000-0005-0000-0000-000005040000}"/>
    <cellStyle name="_01토공_라멘교 토공_02. 깨기총괄표1" xfId="2420" xr:uid="{00000000-0005-0000-0000-000006040000}"/>
    <cellStyle name="_01토공_철거" xfId="2421" xr:uid="{00000000-0005-0000-0000-000007040000}"/>
    <cellStyle name="_01토공_철거_02. 깨기총괄표1" xfId="2422" xr:uid="{00000000-0005-0000-0000-000008040000}"/>
    <cellStyle name="_01토공_철거_라멘교 토공" xfId="2423" xr:uid="{00000000-0005-0000-0000-000009040000}"/>
    <cellStyle name="_01토공_철거_라멘교 토공_02. 깨기총괄표1" xfId="2424" xr:uid="{00000000-0005-0000-0000-00000A040000}"/>
    <cellStyle name="_02_배수공" xfId="2425" xr:uid="{00000000-0005-0000-0000-00000B040000}"/>
    <cellStyle name="_02-토공" xfId="2426" xr:uid="{00000000-0005-0000-0000-00000C040000}"/>
    <cellStyle name="_03. 횡배수관" xfId="2427" xr:uid="{00000000-0005-0000-0000-00000D040000}"/>
    <cellStyle name="_0402우포식생호안블럭(일부)" xfId="6079" xr:uid="{00000000-0005-0000-0000-00000E040000}"/>
    <cellStyle name="_0402우포식생호안블럭(일부) 2" xfId="6080" xr:uid="{00000000-0005-0000-0000-00000F040000}"/>
    <cellStyle name="_0402우포식생호안블럭(일부) 2 2" xfId="6081" xr:uid="{00000000-0005-0000-0000-000010040000}"/>
    <cellStyle name="_0402진흥콘크리트-호안블럭3종(일부)" xfId="6082" xr:uid="{00000000-0005-0000-0000-000011040000}"/>
    <cellStyle name="_0402진흥콘크리트-호안블럭3종(일부) 2" xfId="6083" xr:uid="{00000000-0005-0000-0000-000012040000}"/>
    <cellStyle name="_0402진흥콘크리트-호안블럭3종(일부) 2 2" xfId="6084" xr:uid="{00000000-0005-0000-0000-000013040000}"/>
    <cellStyle name="_0402피아산업-학생용책걸상10종" xfId="6085" xr:uid="{00000000-0005-0000-0000-000014040000}"/>
    <cellStyle name="_0402피아산업-학생용책걸상10종 2" xfId="6086" xr:uid="{00000000-0005-0000-0000-000015040000}"/>
    <cellStyle name="_0402피아산업-학생용책걸상10종 2 2" xfId="6087" xr:uid="{00000000-0005-0000-0000-000016040000}"/>
    <cellStyle name="_0402피아산업-학생용책걸상10종 3" xfId="6088" xr:uid="{00000000-0005-0000-0000-000017040000}"/>
    <cellStyle name="_04부대공" xfId="1833" xr:uid="{00000000-0005-0000-0000-000018040000}"/>
    <cellStyle name="_04수량산출서" xfId="2428" xr:uid="{00000000-0005-0000-0000-000019040000}"/>
    <cellStyle name="_05가로등연간단(서대문구)" xfId="6089" xr:uid="{00000000-0005-0000-0000-00001A040000}"/>
    <cellStyle name="_06월소장단회의" xfId="2429" xr:uid="{00000000-0005-0000-0000-00001B040000}"/>
    <cellStyle name="_06월소장단회의 2" xfId="6090" xr:uid="{00000000-0005-0000-0000-00001C040000}"/>
    <cellStyle name="_06월소장단회의 2 2" xfId="6091" xr:uid="{00000000-0005-0000-0000-00001D040000}"/>
    <cellStyle name="_06월소장단회의 3" xfId="6092" xr:uid="{00000000-0005-0000-0000-00001E040000}"/>
    <cellStyle name="_1.토공" xfId="2430" xr:uid="{00000000-0005-0000-0000-00001F040000}"/>
    <cellStyle name="_1.토공_02. 깨기총괄표1" xfId="2431" xr:uid="{00000000-0005-0000-0000-000020040000}"/>
    <cellStyle name="_1220-원가조사-전자지불" xfId="6093" xr:uid="{00000000-0005-0000-0000-000021040000}"/>
    <cellStyle name="_1220-원가조사-전자지불 2" xfId="6094" xr:uid="{00000000-0005-0000-0000-000022040000}"/>
    <cellStyle name="_1220-원가조사-전자지불 2 2" xfId="6095" xr:uid="{00000000-0005-0000-0000-000023040000}"/>
    <cellStyle name="_1220-원가조사-전자지불 3" xfId="6096" xr:uid="{00000000-0005-0000-0000-000024040000}"/>
    <cellStyle name="_19.2.1.3 깨기총괄" xfId="2432" xr:uid="{00000000-0005-0000-0000-000025040000}"/>
    <cellStyle name="_1원가계산,2총괄내역서xls" xfId="6097" xr:uid="{00000000-0005-0000-0000-000026040000}"/>
    <cellStyle name="_1원가계산,2총괄내역서xls 2" xfId="6098" xr:uid="{00000000-0005-0000-0000-000027040000}"/>
    <cellStyle name="_1원가계산,2총괄내역서xls 2 2" xfId="6099" xr:uid="{00000000-0005-0000-0000-000028040000}"/>
    <cellStyle name="_2.1.1.2.5 포장공" xfId="2433" xr:uid="{00000000-0005-0000-0000-000029040000}"/>
    <cellStyle name="_2.배 수 공" xfId="2434" xr:uid="{00000000-0005-0000-0000-00002A040000}"/>
    <cellStyle name="_2.배 수 공_02. 깨기총괄표1" xfId="2435" xr:uid="{00000000-0005-0000-0000-00002B040000}"/>
    <cellStyle name="_2.실시설계총괄내역서_vds(loop)_최종_이상훈" xfId="6100" xr:uid="{00000000-0005-0000-0000-00002C040000}"/>
    <cellStyle name="_2.실시설계총괄내역서_vds(loop)_최종_이상훈 2" xfId="6101" xr:uid="{00000000-0005-0000-0000-00002D040000}"/>
    <cellStyle name="_2.실시설계총괄내역서_vds(loop)_최종_이상훈 2 2" xfId="6102" xr:uid="{00000000-0005-0000-0000-00002E040000}"/>
    <cellStyle name="_2.실시설계총괄내역서_교통정보수집" xfId="6103" xr:uid="{00000000-0005-0000-0000-00002F040000}"/>
    <cellStyle name="_2.실시설계총괄내역서_교통정보수집 2" xfId="6104" xr:uid="{00000000-0005-0000-0000-000030040000}"/>
    <cellStyle name="_2.실시설계총괄내역서_교통정보수집 2 2" xfId="6105" xr:uid="{00000000-0005-0000-0000-000031040000}"/>
    <cellStyle name="_2.실시설계총괄내역서_교통정보수집 3" xfId="6106" xr:uid="{00000000-0005-0000-0000-000032040000}"/>
    <cellStyle name="_2.실시설계총괄내역서_신호제어" xfId="6107" xr:uid="{00000000-0005-0000-0000-000033040000}"/>
    <cellStyle name="_2.실시설계총괄내역서_신호제어 2" xfId="6108" xr:uid="{00000000-0005-0000-0000-000034040000}"/>
    <cellStyle name="_2.실시설계총괄내역서_신호제어 2 2" xfId="6109" xr:uid="{00000000-0005-0000-0000-000035040000}"/>
    <cellStyle name="_2.실시설계총괄내역서_신호제어 3" xfId="6110" xr:uid="{00000000-0005-0000-0000-000036040000}"/>
    <cellStyle name="_2.압입추진내역서" xfId="2436" xr:uid="{00000000-0005-0000-0000-000037040000}"/>
    <cellStyle name="_2.압입추진내역서_캐노피 견적서" xfId="2437" xr:uid="{00000000-0005-0000-0000-000038040000}"/>
    <cellStyle name="_2000-10회의" xfId="2438" xr:uid="{00000000-0005-0000-0000-000039040000}"/>
    <cellStyle name="_2000-10회의 2" xfId="6111" xr:uid="{00000000-0005-0000-0000-00003A040000}"/>
    <cellStyle name="_2000-10회의 2 2" xfId="6112" xr:uid="{00000000-0005-0000-0000-00003B040000}"/>
    <cellStyle name="_2000-10회의 3" xfId="6113" xr:uid="{00000000-0005-0000-0000-00003C040000}"/>
    <cellStyle name="_2001 1026 청주공내역(전기)" xfId="1014" xr:uid="{00000000-0005-0000-0000-00003D040000}"/>
    <cellStyle name="_2001 장애조치" xfId="6114" xr:uid="{00000000-0005-0000-0000-00003E040000}"/>
    <cellStyle name="_2001 장애조치 2" xfId="6115" xr:uid="{00000000-0005-0000-0000-00003F040000}"/>
    <cellStyle name="_2001 장애조치 2 2" xfId="6116" xr:uid="{00000000-0005-0000-0000-000040040000}"/>
    <cellStyle name="_2001년분 실행" xfId="2439" xr:uid="{00000000-0005-0000-0000-000041040000}"/>
    <cellStyle name="_2001년분 실행 2" xfId="6117" xr:uid="{00000000-0005-0000-0000-000042040000}"/>
    <cellStyle name="_2001년분 실행 2 2" xfId="6118" xr:uid="{00000000-0005-0000-0000-000043040000}"/>
    <cellStyle name="_2001년분 실행 3" xfId="6119" xr:uid="{00000000-0005-0000-0000-000044040000}"/>
    <cellStyle name="_2001년스케쥴" xfId="2440" xr:uid="{00000000-0005-0000-0000-000045040000}"/>
    <cellStyle name="_2001년스케쥴 2" xfId="6120" xr:uid="{00000000-0005-0000-0000-000046040000}"/>
    <cellStyle name="_2001년스케쥴 2 2" xfId="6121" xr:uid="{00000000-0005-0000-0000-000047040000}"/>
    <cellStyle name="_2001년스케쥴 3" xfId="6122" xr:uid="{00000000-0005-0000-0000-000048040000}"/>
    <cellStyle name="_2001년업무(재조정)" xfId="2441" xr:uid="{00000000-0005-0000-0000-000049040000}"/>
    <cellStyle name="_2001년업무(재조정) 2" xfId="6123" xr:uid="{00000000-0005-0000-0000-00004A040000}"/>
    <cellStyle name="_2001년업무(재조정) 2 2" xfId="6124" xr:uid="{00000000-0005-0000-0000-00004B040000}"/>
    <cellStyle name="_2001년업무(재조정) 3" xfId="6125" xr:uid="{00000000-0005-0000-0000-00004C040000}"/>
    <cellStyle name="_2002결과표1" xfId="6126" xr:uid="{00000000-0005-0000-0000-00004D040000}"/>
    <cellStyle name="_2002결과표1 2" xfId="6127" xr:uid="{00000000-0005-0000-0000-00004E040000}"/>
    <cellStyle name="_2002결과표1 2 2" xfId="6128" xr:uid="{00000000-0005-0000-0000-00004F040000}"/>
    <cellStyle name="_2002결과표1 3" xfId="6129" xr:uid="{00000000-0005-0000-0000-000050040000}"/>
    <cellStyle name="_2005년 가로등 시설물 복구공사(송파)" xfId="1015" xr:uid="{00000000-0005-0000-0000-000051040000}"/>
    <cellStyle name="_2005년 가로등(연간단가)원본" xfId="1016" xr:uid="{00000000-0005-0000-0000-000052040000}"/>
    <cellStyle name="_2005년 가로등공사(공통대가)" xfId="1017" xr:uid="{00000000-0005-0000-0000-000053040000}"/>
    <cellStyle name="_2006(1).봉화산근린공원(내역서)" xfId="1834" xr:uid="{00000000-0005-0000-0000-000054040000}"/>
    <cellStyle name="_2006년 가로등 시설물 복구공사(중공기초)" xfId="1018" xr:uid="{00000000-0005-0000-0000-000055040000}"/>
    <cellStyle name="_2006년 요철맨홀 정비공사(최종 발주용(수정))" xfId="2442" xr:uid="{00000000-0005-0000-0000-000056040000}"/>
    <cellStyle name="_2007.봉화산근린공원(수량산출서)" xfId="1835" xr:uid="{00000000-0005-0000-0000-000057040000}"/>
    <cellStyle name="_2007년 가로등 시설물 유지보수공사(연간단가)" xfId="1019" xr:uid="{00000000-0005-0000-0000-000058040000}"/>
    <cellStyle name="_2007불광천녹화사업 심사내역서(수정-관급)" xfId="2443" xr:uid="{00000000-0005-0000-0000-000059040000}"/>
    <cellStyle name="_2008 가로등정비공사(연간단가)-계약" xfId="1020" xr:uid="{00000000-0005-0000-0000-00005A040000}"/>
    <cellStyle name="_2-4.상반기실적부문별요약" xfId="2444" xr:uid="{00000000-0005-0000-0000-00005B040000}"/>
    <cellStyle name="_2-4.상반기실적부문별요약(표지및목차포함)" xfId="2445" xr:uid="{00000000-0005-0000-0000-00005C040000}"/>
    <cellStyle name="_2-4.상반기실적부문별요약(표지및목차포함)_1" xfId="2446" xr:uid="{00000000-0005-0000-0000-00005D040000}"/>
    <cellStyle name="_2-4.상반기실적부문별요약_1" xfId="2447" xr:uid="{00000000-0005-0000-0000-00005E040000}"/>
    <cellStyle name="_2공구수량" xfId="2448" xr:uid="{00000000-0005-0000-0000-00005F040000}"/>
    <cellStyle name="_3.구조물공" xfId="2449" xr:uid="{00000000-0005-0000-0000-000060040000}"/>
    <cellStyle name="_3.구조물공_02. 깨기총괄표1" xfId="2450" xr:uid="{00000000-0005-0000-0000-000061040000}"/>
    <cellStyle name="_3공구(U형측구)" xfId="2451" xr:uid="{00000000-0005-0000-0000-000062040000}"/>
    <cellStyle name="_4.옹 벽 공" xfId="2452" xr:uid="{00000000-0005-0000-0000-000063040000}"/>
    <cellStyle name="_4.옹 벽 공_02. 깨기총괄표1" xfId="2453" xr:uid="{00000000-0005-0000-0000-000064040000}"/>
    <cellStyle name="_4-포장공" xfId="2454" xr:uid="{00000000-0005-0000-0000-000065040000}"/>
    <cellStyle name="_5.포장공" xfId="2455" xr:uid="{00000000-0005-0000-0000-000066040000}"/>
    <cellStyle name="_5옹벽공" xfId="6130" xr:uid="{00000000-0005-0000-0000-000067040000}"/>
    <cellStyle name="_5옹벽공 2" xfId="6131" xr:uid="{00000000-0005-0000-0000-000068040000}"/>
    <cellStyle name="_5옹벽공 2 2" xfId="6132" xr:uid="{00000000-0005-0000-0000-000069040000}"/>
    <cellStyle name="_5옹벽공_수량산출서" xfId="6133" xr:uid="{00000000-0005-0000-0000-00006A040000}"/>
    <cellStyle name="_5옹벽공_수량산출서 2" xfId="6134" xr:uid="{00000000-0005-0000-0000-00006B040000}"/>
    <cellStyle name="_5옹벽공_수량산출서 2 2" xfId="6135" xr:uid="{00000000-0005-0000-0000-00006C040000}"/>
    <cellStyle name="_5옹벽공_수량산출서_수량산출서" xfId="6136" xr:uid="{00000000-0005-0000-0000-00006D040000}"/>
    <cellStyle name="_5옹벽공_수량산출서_수량산출서 2" xfId="6137" xr:uid="{00000000-0005-0000-0000-00006E040000}"/>
    <cellStyle name="_5옹벽공_수량산출서_수량산출서 2 2" xfId="6138" xr:uid="{00000000-0005-0000-0000-00006F040000}"/>
    <cellStyle name="_5옹벽공_수량산출서_수량산출서_수량산출서" xfId="6139" xr:uid="{00000000-0005-0000-0000-000070040000}"/>
    <cellStyle name="_5옹벽공_수량산출서_수량산출서_수량산출서 2" xfId="6140" xr:uid="{00000000-0005-0000-0000-000071040000}"/>
    <cellStyle name="_5옹벽공_수량산출서_수량산출서_수량산출서 2 2" xfId="6141" xr:uid="{00000000-0005-0000-0000-000072040000}"/>
    <cellStyle name="_5옹벽공_수량산출서_수량산출서2" xfId="6142" xr:uid="{00000000-0005-0000-0000-000073040000}"/>
    <cellStyle name="_5옹벽공_수량산출서_수량산출서2 2" xfId="6143" xr:uid="{00000000-0005-0000-0000-000074040000}"/>
    <cellStyle name="_5옹벽공_수량산출서_수량산출서2 2 2" xfId="6144" xr:uid="{00000000-0005-0000-0000-000075040000}"/>
    <cellStyle name="_6.계장공사" xfId="1021" xr:uid="{00000000-0005-0000-0000-000076040000}"/>
    <cellStyle name="_6-깨기1" xfId="2456" xr:uid="{00000000-0005-0000-0000-000077040000}"/>
    <cellStyle name="_7.배 수 공" xfId="2457" xr:uid="{00000000-0005-0000-0000-000078040000}"/>
    <cellStyle name="_7.배 수 공_02. 깨기총괄표1" xfId="2458" xr:uid="{00000000-0005-0000-0000-000079040000}"/>
    <cellStyle name="_7.수량산출서" xfId="6145" xr:uid="{00000000-0005-0000-0000-00007A040000}"/>
    <cellStyle name="_7.수량산출서 2" xfId="6146" xr:uid="{00000000-0005-0000-0000-00007B040000}"/>
    <cellStyle name="_7.수량산출서 2 2" xfId="6147" xr:uid="{00000000-0005-0000-0000-00007C040000}"/>
    <cellStyle name="_7.수량산출서 3" xfId="6148" xr:uid="{00000000-0005-0000-0000-00007D040000}"/>
    <cellStyle name="_7월예정공정표" xfId="2459" xr:uid="{00000000-0005-0000-0000-00007E040000}"/>
    <cellStyle name="_7월예정공정표 2" xfId="6149" xr:uid="{00000000-0005-0000-0000-00007F040000}"/>
    <cellStyle name="_7월예정공정표 2 2" xfId="6150" xr:uid="{00000000-0005-0000-0000-000080040000}"/>
    <cellStyle name="_7월예정공정표 3" xfId="6151" xr:uid="{00000000-0005-0000-0000-000081040000}"/>
    <cellStyle name="_8.계장공사" xfId="1022" xr:uid="{00000000-0005-0000-0000-000082040000}"/>
    <cellStyle name="_8월공무정산(서동조정)" xfId="2460" xr:uid="{00000000-0005-0000-0000-000083040000}"/>
    <cellStyle name="_8월공무정산(서동조정) 2" xfId="6152" xr:uid="{00000000-0005-0000-0000-000084040000}"/>
    <cellStyle name="_8월공무정산(서동조정) 2 2" xfId="6153" xr:uid="{00000000-0005-0000-0000-000085040000}"/>
    <cellStyle name="_8월공무정산(서동조정) 3" xfId="6154" xr:uid="{00000000-0005-0000-0000-000086040000}"/>
    <cellStyle name="_'99상반기경영개선활동결과(게시용)" xfId="2461" xr:uid="{00000000-0005-0000-0000-000087040000}"/>
    <cellStyle name="_9월소장단회의" xfId="2462" xr:uid="{00000000-0005-0000-0000-000088040000}"/>
    <cellStyle name="_9월소장단회의 2" xfId="6155" xr:uid="{00000000-0005-0000-0000-000089040000}"/>
    <cellStyle name="_9월소장단회의 2 2" xfId="6156" xr:uid="{00000000-0005-0000-0000-00008A040000}"/>
    <cellStyle name="_9월소장단회의 3" xfId="6157" xr:uid="{00000000-0005-0000-0000-00008B040000}"/>
    <cellStyle name="_A1-토공-유점1L-1" xfId="3047" xr:uid="{00000000-0005-0000-0000-00008C040000}"/>
    <cellStyle name="_BIS내역서 안형기 작성지원" xfId="6158" xr:uid="{00000000-0005-0000-0000-00008D040000}"/>
    <cellStyle name="_BIS내역서 안형기 작성지원 2" xfId="6159" xr:uid="{00000000-0005-0000-0000-00008E040000}"/>
    <cellStyle name="_BIS내역서 안형기 작성지원 2 2" xfId="6160" xr:uid="{00000000-0005-0000-0000-00008F040000}"/>
    <cellStyle name="_Book1" xfId="3048" xr:uid="{00000000-0005-0000-0000-000090040000}"/>
    <cellStyle name="_Book1_1" xfId="3049" xr:uid="{00000000-0005-0000-0000-000091040000}"/>
    <cellStyle name="_Book2" xfId="1172" xr:uid="{00000000-0005-0000-0000-000092040000}"/>
    <cellStyle name="_Book2 2" xfId="3050" xr:uid="{00000000-0005-0000-0000-000093040000}"/>
    <cellStyle name="_Book2_갤러리아팰리스자재견적" xfId="1173" xr:uid="{00000000-0005-0000-0000-000094040000}"/>
    <cellStyle name="_Book2_상도동I-PARK전기내역서" xfId="1174" xr:uid="{00000000-0005-0000-0000-000095040000}"/>
    <cellStyle name="_Book2_장미등품" xfId="1175" xr:uid="{00000000-0005-0000-0000-000096040000}"/>
    <cellStyle name="_Book2_장미아파트자재" xfId="1176" xr:uid="{00000000-0005-0000-0000-000097040000}"/>
    <cellStyle name="_Book2_장미아파트전기공사(작업)" xfId="1177" xr:uid="{00000000-0005-0000-0000-000098040000}"/>
    <cellStyle name="_Book2_청주교보복합빌딩견적" xfId="1178" xr:uid="{00000000-0005-0000-0000-000099040000}"/>
    <cellStyle name="_Book3" xfId="3051" xr:uid="{00000000-0005-0000-0000-00009A040000}"/>
    <cellStyle name="_Book3 2" xfId="6161" xr:uid="{00000000-0005-0000-0000-00009B040000}"/>
    <cellStyle name="_Book3 2 2" xfId="6162" xr:uid="{00000000-0005-0000-0000-00009C040000}"/>
    <cellStyle name="_Book3_강동내역(9.28" xfId="3052" xr:uid="{00000000-0005-0000-0000-00009D040000}"/>
    <cellStyle name="_Book3_강동내역(9.28 2" xfId="6163" xr:uid="{00000000-0005-0000-0000-00009E040000}"/>
    <cellStyle name="_Book3_강동내역(9.28 2 2" xfId="6164" xr:uid="{00000000-0005-0000-0000-00009F040000}"/>
    <cellStyle name="_Book3_강동내역(9.28_T05-D03-004D(울산터널-조명제어-안소장님1003)" xfId="3054" xr:uid="{00000000-0005-0000-0000-0000A0040000}"/>
    <cellStyle name="_Book3_강동내역(9.28_T05-D03-004D(울산터널-조명제어-안소장님1003) 2" xfId="6165" xr:uid="{00000000-0005-0000-0000-0000A1040000}"/>
    <cellStyle name="_Book3_강동내역(9.28_T05-D03-004D(울산터널-조명제어-안소장님1003) 2 2" xfId="6166" xr:uid="{00000000-0005-0000-0000-0000A2040000}"/>
    <cellStyle name="_Book3_강동내역(9.28_T05-D03-004D(울산터널-환기-구성설비0930)" xfId="3055" xr:uid="{00000000-0005-0000-0000-0000A3040000}"/>
    <cellStyle name="_Book3_강동내역(9.28_T05-D03-004D(울산터널-환기-구성설비0930) 2" xfId="6167" xr:uid="{00000000-0005-0000-0000-0000A4040000}"/>
    <cellStyle name="_Book3_강동내역(9.28_T05-D03-004D(울산터널-환기-구성설비0930) 2 2" xfId="6168" xr:uid="{00000000-0005-0000-0000-0000A5040000}"/>
    <cellStyle name="_Book3_강동내역(9.28_울산강동내역최종(20051101)" xfId="3053" xr:uid="{00000000-0005-0000-0000-0000A6040000}"/>
    <cellStyle name="_Book3_강동내역(9.28_울산강동내역최종(20051101) 2" xfId="6169" xr:uid="{00000000-0005-0000-0000-0000A7040000}"/>
    <cellStyle name="_Book3_강동내역(9.28_울산강동내역최종(20051101) 2 2" xfId="6170" xr:uid="{00000000-0005-0000-0000-0000A8040000}"/>
    <cellStyle name="_CCTV내역1" xfId="1179" xr:uid="{00000000-0005-0000-0000-0000A9040000}"/>
    <cellStyle name="_cover" xfId="1180" xr:uid="{00000000-0005-0000-0000-0000AA040000}"/>
    <cellStyle name="_C앤C" xfId="6171" xr:uid="{00000000-0005-0000-0000-0000AB040000}"/>
    <cellStyle name="_C앤C 2" xfId="6172" xr:uid="{00000000-0005-0000-0000-0000AC040000}"/>
    <cellStyle name="_C앤C 2 2" xfId="6173" xr:uid="{00000000-0005-0000-0000-0000AD040000}"/>
    <cellStyle name="_C앤C(네트웍)" xfId="6174" xr:uid="{00000000-0005-0000-0000-0000AE040000}"/>
    <cellStyle name="_C앤C(네트웍) 2" xfId="6175" xr:uid="{00000000-0005-0000-0000-0000AF040000}"/>
    <cellStyle name="_C앤C(네트웍) 2 2" xfId="6176" xr:uid="{00000000-0005-0000-0000-0000B0040000}"/>
    <cellStyle name="_C앤C원가계산" xfId="6177" xr:uid="{00000000-0005-0000-0000-0000B1040000}"/>
    <cellStyle name="_C앤C원가계산 2" xfId="6178" xr:uid="{00000000-0005-0000-0000-0000B2040000}"/>
    <cellStyle name="_C앤C원가계산 2 2" xfId="6179" xr:uid="{00000000-0005-0000-0000-0000B3040000}"/>
    <cellStyle name="_FAX1" xfId="3056" xr:uid="{00000000-0005-0000-0000-0000B4040000}"/>
    <cellStyle name="_FAX1_선정안(삼산)" xfId="3057" xr:uid="{00000000-0005-0000-0000-0000B5040000}"/>
    <cellStyle name="_FAX1_선정안(삼산)_캐노피 견적서" xfId="3058" xr:uid="{00000000-0005-0000-0000-0000B6040000}"/>
    <cellStyle name="_FAX1_추풍령" xfId="3059" xr:uid="{00000000-0005-0000-0000-0000B7040000}"/>
    <cellStyle name="_FAX1_추풍령_캐노피 견적서" xfId="3060" xr:uid="{00000000-0005-0000-0000-0000B8040000}"/>
    <cellStyle name="_FAX1_추풍령-1" xfId="3061" xr:uid="{00000000-0005-0000-0000-0000B9040000}"/>
    <cellStyle name="_FAX1_추풍령-1_캐노피 견적서" xfId="3062" xr:uid="{00000000-0005-0000-0000-0000BA040000}"/>
    <cellStyle name="_FAX1_캐노피 견적서" xfId="3063" xr:uid="{00000000-0005-0000-0000-0000BB040000}"/>
    <cellStyle name="_FAX2" xfId="3064" xr:uid="{00000000-0005-0000-0000-0000BC040000}"/>
    <cellStyle name="_FAX2_선정안(삼산)" xfId="3065" xr:uid="{00000000-0005-0000-0000-0000BD040000}"/>
    <cellStyle name="_FAX2_선정안(삼산)_캐노피 견적서" xfId="3066" xr:uid="{00000000-0005-0000-0000-0000BE040000}"/>
    <cellStyle name="_FAX2_추풍령" xfId="3067" xr:uid="{00000000-0005-0000-0000-0000BF040000}"/>
    <cellStyle name="_FAX2_추풍령_캐노피 견적서" xfId="3068" xr:uid="{00000000-0005-0000-0000-0000C0040000}"/>
    <cellStyle name="_FAX2_추풍령-1" xfId="3069" xr:uid="{00000000-0005-0000-0000-0000C1040000}"/>
    <cellStyle name="_FAX2_추풍령-1_캐노피 견적서" xfId="3070" xr:uid="{00000000-0005-0000-0000-0000C2040000}"/>
    <cellStyle name="_FAX2_캐노피 견적서" xfId="3071" xr:uid="{00000000-0005-0000-0000-0000C3040000}"/>
    <cellStyle name="_fax양식" xfId="1181" xr:uid="{00000000-0005-0000-0000-0000C4040000}"/>
    <cellStyle name="_FCST (2)" xfId="3072" xr:uid="{00000000-0005-0000-0000-0000C5040000}"/>
    <cellStyle name="_FCST (2) 2" xfId="6180" xr:uid="{00000000-0005-0000-0000-0000C6040000}"/>
    <cellStyle name="_FCST (2) 2 2" xfId="6181" xr:uid="{00000000-0005-0000-0000-0000C7040000}"/>
    <cellStyle name="_FCST (2) 3" xfId="6182" xr:uid="{00000000-0005-0000-0000-0000C8040000}"/>
    <cellStyle name="_LW그라우팅(울진금장5)" xfId="3073" xr:uid="{00000000-0005-0000-0000-0000C9040000}"/>
    <cellStyle name="_RESULTS" xfId="1922" xr:uid="{00000000-0005-0000-0000-0000CA040000}"/>
    <cellStyle name="_RTU프로그램산출근거(환기1003)" xfId="3074" xr:uid="{00000000-0005-0000-0000-0000CB040000}"/>
    <cellStyle name="_RTU프로그램산출근거(환기1003) 2" xfId="6183" xr:uid="{00000000-0005-0000-0000-0000CC040000}"/>
    <cellStyle name="_RTU프로그램산출근거(환기1003) 2 2" xfId="6184" xr:uid="{00000000-0005-0000-0000-0000CD040000}"/>
    <cellStyle name="_T05-D03-004D(울산터널-조명제어-안소장님1003)" xfId="3075" xr:uid="{00000000-0005-0000-0000-0000CE040000}"/>
    <cellStyle name="_T05-D03-004D(울산터널-조명제어-안소장님1003) 2" xfId="6185" xr:uid="{00000000-0005-0000-0000-0000CF040000}"/>
    <cellStyle name="_T05-D03-004D(울산터널-조명제어-안소장님1003) 2 2" xfId="6186" xr:uid="{00000000-0005-0000-0000-0000D0040000}"/>
    <cellStyle name="_T05-D03-004D(울산터널-환기-구성설비0930)" xfId="3076" xr:uid="{00000000-0005-0000-0000-0000D1040000}"/>
    <cellStyle name="_T05-D03-004D(울산터널-환기-구성설비0930) 2" xfId="6187" xr:uid="{00000000-0005-0000-0000-0000D2040000}"/>
    <cellStyle name="_T05-D03-004D(울산터널-환기-구성설비0930) 2 2" xfId="6188" xr:uid="{00000000-0005-0000-0000-0000D3040000}"/>
    <cellStyle name="_VMS내역서" xfId="6189" xr:uid="{00000000-0005-0000-0000-0000D4040000}"/>
    <cellStyle name="_VMS내역서 2" xfId="6190" xr:uid="{00000000-0005-0000-0000-0000D5040000}"/>
    <cellStyle name="_VMS내역서 2 2" xfId="6191" xr:uid="{00000000-0005-0000-0000-0000D6040000}"/>
    <cellStyle name="_VMS내역서 3" xfId="6192" xr:uid="{00000000-0005-0000-0000-0000D7040000}"/>
    <cellStyle name="_가고리" xfId="2463" xr:uid="{00000000-0005-0000-0000-0000D8040000}"/>
    <cellStyle name="_가로등 및 신호등 일위대가표" xfId="6193" xr:uid="{00000000-0005-0000-0000-0000D9040000}"/>
    <cellStyle name="_가로등 및 신호등 일위대가표 2" xfId="6194" xr:uid="{00000000-0005-0000-0000-0000DA040000}"/>
    <cellStyle name="_가로등 및 신호등 일위대가표 2 2" xfId="6195" xr:uid="{00000000-0005-0000-0000-0000DB040000}"/>
    <cellStyle name="_가로등+점검등산출" xfId="2464" xr:uid="{00000000-0005-0000-0000-0000DC040000}"/>
    <cellStyle name="_가로등+점검등산출 2" xfId="6196" xr:uid="{00000000-0005-0000-0000-0000DD040000}"/>
    <cellStyle name="_가로등+점검등산출 2 2" xfId="6197" xr:uid="{00000000-0005-0000-0000-0000DE040000}"/>
    <cellStyle name="_가로등+점검등산출_가산2빗물-발주용-시설물토목화" xfId="2465" xr:uid="{00000000-0005-0000-0000-0000DF040000}"/>
    <cellStyle name="_가로등3차공사전체분" xfId="1023" xr:uid="{00000000-0005-0000-0000-0000E0040000}"/>
    <cellStyle name="_가로등수량산출(REV1)" xfId="2466" xr:uid="{00000000-0005-0000-0000-0000E1040000}"/>
    <cellStyle name="_가로등수량산출(REV1) 2" xfId="6198" xr:uid="{00000000-0005-0000-0000-0000E2040000}"/>
    <cellStyle name="_가로등수량산출(REV1) 2 2" xfId="6199" xr:uid="{00000000-0005-0000-0000-0000E3040000}"/>
    <cellStyle name="_가로등수량산출(REV1) 3" xfId="6200" xr:uid="{00000000-0005-0000-0000-0000E4040000}"/>
    <cellStyle name="_가산2빗물-전기공사 심사결과내역서" xfId="2467" xr:uid="{00000000-0005-0000-0000-0000E5040000}"/>
    <cellStyle name="_가산2빗물-전기공사 심사결과내역서_가산2빗물-발주용-시설물토목화" xfId="2468" xr:uid="{00000000-0005-0000-0000-0000E6040000}"/>
    <cellStyle name="_가양-화곡내역(일위대가)" xfId="6201" xr:uid="{00000000-0005-0000-0000-0000E7040000}"/>
    <cellStyle name="_가양-화곡내역(일위대가) 2" xfId="6202" xr:uid="{00000000-0005-0000-0000-0000E8040000}"/>
    <cellStyle name="_가양-화곡내역(일위대가) 2 2" xfId="6203" xr:uid="{00000000-0005-0000-0000-0000E9040000}"/>
    <cellStyle name="_가양-화곡내역(일위대가)_5옹벽공" xfId="6204" xr:uid="{00000000-0005-0000-0000-0000EA040000}"/>
    <cellStyle name="_가양-화곡내역(일위대가)_5옹벽공 2" xfId="6205" xr:uid="{00000000-0005-0000-0000-0000EB040000}"/>
    <cellStyle name="_가양-화곡내역(일위대가)_5옹벽공 2 2" xfId="6206" xr:uid="{00000000-0005-0000-0000-0000EC040000}"/>
    <cellStyle name="_가양-화곡내역(일위대가)_5옹벽공_수량산출서" xfId="6207" xr:uid="{00000000-0005-0000-0000-0000ED040000}"/>
    <cellStyle name="_가양-화곡내역(일위대가)_5옹벽공_수량산출서 2" xfId="6208" xr:uid="{00000000-0005-0000-0000-0000EE040000}"/>
    <cellStyle name="_가양-화곡내역(일위대가)_5옹벽공_수량산출서 2 2" xfId="6209" xr:uid="{00000000-0005-0000-0000-0000EF040000}"/>
    <cellStyle name="_가양-화곡내역(일위대가)_5옹벽공_수량산출서_수량산출서" xfId="6210" xr:uid="{00000000-0005-0000-0000-0000F0040000}"/>
    <cellStyle name="_가양-화곡내역(일위대가)_5옹벽공_수량산출서_수량산출서 2" xfId="6211" xr:uid="{00000000-0005-0000-0000-0000F1040000}"/>
    <cellStyle name="_가양-화곡내역(일위대가)_5옹벽공_수량산출서_수량산출서 2 2" xfId="6212" xr:uid="{00000000-0005-0000-0000-0000F2040000}"/>
    <cellStyle name="_가양-화곡내역(일위대가)_5옹벽공_수량산출서_수량산출서_수량산출서" xfId="6213" xr:uid="{00000000-0005-0000-0000-0000F3040000}"/>
    <cellStyle name="_가양-화곡내역(일위대가)_5옹벽공_수량산출서_수량산출서_수량산출서 2" xfId="6214" xr:uid="{00000000-0005-0000-0000-0000F4040000}"/>
    <cellStyle name="_가양-화곡내역(일위대가)_5옹벽공_수량산출서_수량산출서_수량산출서 2 2" xfId="6215" xr:uid="{00000000-0005-0000-0000-0000F5040000}"/>
    <cellStyle name="_가양-화곡내역(일위대가)_5옹벽공_수량산출서_수량산출서2" xfId="6216" xr:uid="{00000000-0005-0000-0000-0000F6040000}"/>
    <cellStyle name="_가양-화곡내역(일위대가)_5옹벽공_수량산출서_수량산출서2 2" xfId="6217" xr:uid="{00000000-0005-0000-0000-0000F7040000}"/>
    <cellStyle name="_가양-화곡내역(일위대가)_5옹벽공_수량산출서_수량산출서2 2 2" xfId="6218" xr:uid="{00000000-0005-0000-0000-0000F8040000}"/>
    <cellStyle name="_가양-화곡내역(일위대가)_가양-화곡내역(토형100M)" xfId="6219" xr:uid="{00000000-0005-0000-0000-0000F9040000}"/>
    <cellStyle name="_가양-화곡내역(일위대가)_가양-화곡내역(토형100M) 2" xfId="6220" xr:uid="{00000000-0005-0000-0000-0000FA040000}"/>
    <cellStyle name="_가양-화곡내역(일위대가)_가양-화곡내역(토형100M) 2 2" xfId="6221" xr:uid="{00000000-0005-0000-0000-0000FB040000}"/>
    <cellStyle name="_가양-화곡내역(일위대가)_가양-화곡내역(토형100M)_5옹벽공" xfId="6222" xr:uid="{00000000-0005-0000-0000-0000FC040000}"/>
    <cellStyle name="_가양-화곡내역(일위대가)_가양-화곡내역(토형100M)_5옹벽공 2" xfId="6223" xr:uid="{00000000-0005-0000-0000-0000FD040000}"/>
    <cellStyle name="_가양-화곡내역(일위대가)_가양-화곡내역(토형100M)_5옹벽공 2 2" xfId="6224" xr:uid="{00000000-0005-0000-0000-0000FE040000}"/>
    <cellStyle name="_가양-화곡내역(일위대가)_가양-화곡내역(토형100M)_5옹벽공_수량산출서" xfId="6225" xr:uid="{00000000-0005-0000-0000-0000FF040000}"/>
    <cellStyle name="_가양-화곡내역(일위대가)_가양-화곡내역(토형100M)_5옹벽공_수량산출서 2" xfId="6226" xr:uid="{00000000-0005-0000-0000-000000050000}"/>
    <cellStyle name="_가양-화곡내역(일위대가)_가양-화곡내역(토형100M)_5옹벽공_수량산출서 2 2" xfId="6227" xr:uid="{00000000-0005-0000-0000-000001050000}"/>
    <cellStyle name="_가양-화곡내역(일위대가)_가양-화곡내역(토형100M)_5옹벽공_수량산출서_수량산출서" xfId="6228" xr:uid="{00000000-0005-0000-0000-000002050000}"/>
    <cellStyle name="_가양-화곡내역(일위대가)_가양-화곡내역(토형100M)_5옹벽공_수량산출서_수량산출서 2" xfId="6229" xr:uid="{00000000-0005-0000-0000-000003050000}"/>
    <cellStyle name="_가양-화곡내역(일위대가)_가양-화곡내역(토형100M)_5옹벽공_수량산출서_수량산출서 2 2" xfId="6230" xr:uid="{00000000-0005-0000-0000-000004050000}"/>
    <cellStyle name="_가양-화곡내역(일위대가)_가양-화곡내역(토형100M)_5옹벽공_수량산출서_수량산출서_수량산출서" xfId="6231" xr:uid="{00000000-0005-0000-0000-000005050000}"/>
    <cellStyle name="_가양-화곡내역(일위대가)_가양-화곡내역(토형100M)_5옹벽공_수량산출서_수량산출서_수량산출서 2" xfId="6232" xr:uid="{00000000-0005-0000-0000-000006050000}"/>
    <cellStyle name="_가양-화곡내역(일위대가)_가양-화곡내역(토형100M)_5옹벽공_수량산출서_수량산출서_수량산출서 2 2" xfId="6233" xr:uid="{00000000-0005-0000-0000-000007050000}"/>
    <cellStyle name="_가양-화곡내역(일위대가)_가양-화곡내역(토형100M)_5옹벽공_수량산출서_수량산출서2" xfId="6234" xr:uid="{00000000-0005-0000-0000-000008050000}"/>
    <cellStyle name="_가양-화곡내역(일위대가)_가양-화곡내역(토형100M)_5옹벽공_수량산출서_수량산출서2 2" xfId="6235" xr:uid="{00000000-0005-0000-0000-000009050000}"/>
    <cellStyle name="_가양-화곡내역(일위대가)_가양-화곡내역(토형100M)_5옹벽공_수량산출서_수량산출서2 2 2" xfId="6236" xr:uid="{00000000-0005-0000-0000-00000A050000}"/>
    <cellStyle name="_가양-화곡내역(일위대가)_가양-화곡내역(토형100M)_수량산출" xfId="6237" xr:uid="{00000000-0005-0000-0000-00000B050000}"/>
    <cellStyle name="_가양-화곡내역(일위대가)_가양-화곡내역(토형100M)_수량산출 2" xfId="6238" xr:uid="{00000000-0005-0000-0000-00000C050000}"/>
    <cellStyle name="_가양-화곡내역(일위대가)_가양-화곡내역(토형100M)_수량산출 2 2" xfId="6239" xr:uid="{00000000-0005-0000-0000-00000D050000}"/>
    <cellStyle name="_가양-화곡내역(일위대가)_가양-화곡내역(토형100M)_수량산출_5옹벽공" xfId="6240" xr:uid="{00000000-0005-0000-0000-00000E050000}"/>
    <cellStyle name="_가양-화곡내역(일위대가)_가양-화곡내역(토형100M)_수량산출_5옹벽공 2" xfId="6241" xr:uid="{00000000-0005-0000-0000-00000F050000}"/>
    <cellStyle name="_가양-화곡내역(일위대가)_가양-화곡내역(토형100M)_수량산출_5옹벽공 2 2" xfId="6242" xr:uid="{00000000-0005-0000-0000-000010050000}"/>
    <cellStyle name="_가양-화곡내역(일위대가)_가양-화곡내역(토형100M)_수량산출_5옹벽공_수량산출서" xfId="6243" xr:uid="{00000000-0005-0000-0000-000011050000}"/>
    <cellStyle name="_가양-화곡내역(일위대가)_가양-화곡내역(토형100M)_수량산출_5옹벽공_수량산출서 2" xfId="6244" xr:uid="{00000000-0005-0000-0000-000012050000}"/>
    <cellStyle name="_가양-화곡내역(일위대가)_가양-화곡내역(토형100M)_수량산출_5옹벽공_수량산출서 2 2" xfId="6245" xr:uid="{00000000-0005-0000-0000-000013050000}"/>
    <cellStyle name="_가양-화곡내역(일위대가)_가양-화곡내역(토형100M)_수량산출_5옹벽공_수량산출서_수량산출서" xfId="6246" xr:uid="{00000000-0005-0000-0000-000014050000}"/>
    <cellStyle name="_가양-화곡내역(일위대가)_가양-화곡내역(토형100M)_수량산출_5옹벽공_수량산출서_수량산출서 2" xfId="6247" xr:uid="{00000000-0005-0000-0000-000015050000}"/>
    <cellStyle name="_가양-화곡내역(일위대가)_가양-화곡내역(토형100M)_수량산출_5옹벽공_수량산출서_수량산출서 2 2" xfId="6248" xr:uid="{00000000-0005-0000-0000-000016050000}"/>
    <cellStyle name="_가양-화곡내역(일위대가)_가양-화곡내역(토형100M)_수량산출_5옹벽공_수량산출서_수량산출서_수량산출서" xfId="6249" xr:uid="{00000000-0005-0000-0000-000017050000}"/>
    <cellStyle name="_가양-화곡내역(일위대가)_가양-화곡내역(토형100M)_수량산출_5옹벽공_수량산출서_수량산출서_수량산출서 2" xfId="6250" xr:uid="{00000000-0005-0000-0000-000018050000}"/>
    <cellStyle name="_가양-화곡내역(일위대가)_가양-화곡내역(토형100M)_수량산출_5옹벽공_수량산출서_수량산출서_수량산출서 2 2" xfId="6251" xr:uid="{00000000-0005-0000-0000-000019050000}"/>
    <cellStyle name="_가양-화곡내역(일위대가)_가양-화곡내역(토형100M)_수량산출_5옹벽공_수량산출서_수량산출서2" xfId="6252" xr:uid="{00000000-0005-0000-0000-00001A050000}"/>
    <cellStyle name="_가양-화곡내역(일위대가)_가양-화곡내역(토형100M)_수량산출_5옹벽공_수량산출서_수량산출서2 2" xfId="6253" xr:uid="{00000000-0005-0000-0000-00001B050000}"/>
    <cellStyle name="_가양-화곡내역(일위대가)_가양-화곡내역(토형100M)_수량산출_5옹벽공_수량산출서_수량산출서2 2 2" xfId="6254" xr:uid="{00000000-0005-0000-0000-00001C050000}"/>
    <cellStyle name="_가양-화곡내역(일위대가)_가양-화곡내역(토형100M)_수량산출_수량산출서" xfId="6255" xr:uid="{00000000-0005-0000-0000-00001D050000}"/>
    <cellStyle name="_가양-화곡내역(일위대가)_가양-화곡내역(토형100M)_수량산출_수량산출서 2" xfId="6256" xr:uid="{00000000-0005-0000-0000-00001E050000}"/>
    <cellStyle name="_가양-화곡내역(일위대가)_가양-화곡내역(토형100M)_수량산출_수량산출서 2 2" xfId="6257" xr:uid="{00000000-0005-0000-0000-00001F050000}"/>
    <cellStyle name="_가양-화곡내역(일위대가)_가양-화곡내역(토형100M)_수량산출_수량산출서_수량산출서" xfId="6258" xr:uid="{00000000-0005-0000-0000-000020050000}"/>
    <cellStyle name="_가양-화곡내역(일위대가)_가양-화곡내역(토형100M)_수량산출_수량산출서_수량산출서 2" xfId="6259" xr:uid="{00000000-0005-0000-0000-000021050000}"/>
    <cellStyle name="_가양-화곡내역(일위대가)_가양-화곡내역(토형100M)_수량산출_수량산출서_수량산출서 2 2" xfId="6260" xr:uid="{00000000-0005-0000-0000-000022050000}"/>
    <cellStyle name="_가양-화곡내역(일위대가)_가양-화곡내역(토형100M)_수량산출_수량산출서_수량산출서_수량산출서" xfId="6261" xr:uid="{00000000-0005-0000-0000-000023050000}"/>
    <cellStyle name="_가양-화곡내역(일위대가)_가양-화곡내역(토형100M)_수량산출_수량산출서_수량산출서_수량산출서 2" xfId="6262" xr:uid="{00000000-0005-0000-0000-000024050000}"/>
    <cellStyle name="_가양-화곡내역(일위대가)_가양-화곡내역(토형100M)_수량산출_수량산출서_수량산출서_수량산출서 2 2" xfId="6263" xr:uid="{00000000-0005-0000-0000-000025050000}"/>
    <cellStyle name="_가양-화곡내역(일위대가)_가양-화곡내역(토형100M)_수량산출_수량산출서_수량산출서2" xfId="6264" xr:uid="{00000000-0005-0000-0000-000026050000}"/>
    <cellStyle name="_가양-화곡내역(일위대가)_가양-화곡내역(토형100M)_수량산출_수량산출서_수량산출서2 2" xfId="6265" xr:uid="{00000000-0005-0000-0000-000027050000}"/>
    <cellStyle name="_가양-화곡내역(일위대가)_가양-화곡내역(토형100M)_수량산출_수량산출서_수량산출서2 2 2" xfId="6266" xr:uid="{00000000-0005-0000-0000-000028050000}"/>
    <cellStyle name="_가양-화곡내역(일위대가)_가양-화곡내역(토형100M)_수량산출_옹벽공" xfId="6267" xr:uid="{00000000-0005-0000-0000-000029050000}"/>
    <cellStyle name="_가양-화곡내역(일위대가)_가양-화곡내역(토형100M)_수량산출_옹벽공 2" xfId="6268" xr:uid="{00000000-0005-0000-0000-00002A050000}"/>
    <cellStyle name="_가양-화곡내역(일위대가)_가양-화곡내역(토형100M)_수량산출_옹벽공 2 2" xfId="6269" xr:uid="{00000000-0005-0000-0000-00002B050000}"/>
    <cellStyle name="_가양-화곡내역(일위대가)_가양-화곡내역(토형100M)_수량산출_옹벽공_수량산출서" xfId="6270" xr:uid="{00000000-0005-0000-0000-00002C050000}"/>
    <cellStyle name="_가양-화곡내역(일위대가)_가양-화곡내역(토형100M)_수량산출_옹벽공_수량산출서 2" xfId="6271" xr:uid="{00000000-0005-0000-0000-00002D050000}"/>
    <cellStyle name="_가양-화곡내역(일위대가)_가양-화곡내역(토형100M)_수량산출_옹벽공_수량산출서 2 2" xfId="6272" xr:uid="{00000000-0005-0000-0000-00002E050000}"/>
    <cellStyle name="_가양-화곡내역(일위대가)_가양-화곡내역(토형100M)_수량산출_옹벽공_수량산출서_수량산출서" xfId="6273" xr:uid="{00000000-0005-0000-0000-00002F050000}"/>
    <cellStyle name="_가양-화곡내역(일위대가)_가양-화곡내역(토형100M)_수량산출_옹벽공_수량산출서_수량산출서 2" xfId="6274" xr:uid="{00000000-0005-0000-0000-000030050000}"/>
    <cellStyle name="_가양-화곡내역(일위대가)_가양-화곡내역(토형100M)_수량산출_옹벽공_수량산출서_수량산출서 2 2" xfId="6275" xr:uid="{00000000-0005-0000-0000-000031050000}"/>
    <cellStyle name="_간지,목차,페이지,표지" xfId="6276" xr:uid="{00000000-0005-0000-0000-000032050000}"/>
    <cellStyle name="_간지,목차,페이지,표지 2" xfId="6277" xr:uid="{00000000-0005-0000-0000-000033050000}"/>
    <cellStyle name="_간지,목차,페이지,표지 2 2" xfId="6278" xr:uid="{00000000-0005-0000-0000-000034050000}"/>
    <cellStyle name="_간지,목차,페이지,표지 3" xfId="6279" xr:uid="{00000000-0005-0000-0000-000035050000}"/>
    <cellStyle name="_감가상각(01년도) (2)" xfId="6280" xr:uid="{00000000-0005-0000-0000-000036050000}"/>
    <cellStyle name="_감가상각(01년도) (2) 2" xfId="6281" xr:uid="{00000000-0005-0000-0000-000037050000}"/>
    <cellStyle name="_감가상각(01년도) (2) 2 2" xfId="6282" xr:uid="{00000000-0005-0000-0000-000038050000}"/>
    <cellStyle name="_감가상각(01년도) (3)" xfId="6283" xr:uid="{00000000-0005-0000-0000-000039050000}"/>
    <cellStyle name="_감가상각(01년도) (3) 2" xfId="6284" xr:uid="{00000000-0005-0000-0000-00003A050000}"/>
    <cellStyle name="_감가상각(01년도) (3) 2 2" xfId="6285" xr:uid="{00000000-0005-0000-0000-00003B050000}"/>
    <cellStyle name="_갑지(1221)" xfId="1024" xr:uid="{00000000-0005-0000-0000-00003C050000}"/>
    <cellStyle name="_갑지(총)" xfId="1025" xr:uid="{00000000-0005-0000-0000-00003D050000}"/>
    <cellStyle name="_갑지양식" xfId="1026" xr:uid="{00000000-0005-0000-0000-00003E050000}"/>
    <cellStyle name="_갑지양식_갤러리아팰리스자재견적" xfId="1027" xr:uid="{00000000-0005-0000-0000-00003F050000}"/>
    <cellStyle name="_갑지양식_상도동I-PARK전기내역서" xfId="1028" xr:uid="{00000000-0005-0000-0000-000040050000}"/>
    <cellStyle name="_갑지양식_장미등품" xfId="1029" xr:uid="{00000000-0005-0000-0000-000041050000}"/>
    <cellStyle name="_갑지양식_장미아파트자재" xfId="1030" xr:uid="{00000000-0005-0000-0000-000042050000}"/>
    <cellStyle name="_갑지양식_장미아파트전기공사(작업)" xfId="1031" xr:uid="{00000000-0005-0000-0000-000043050000}"/>
    <cellStyle name="_갑지양식_창원점A공구" xfId="1032" xr:uid="{00000000-0005-0000-0000-000044050000}"/>
    <cellStyle name="_갑지양식_청주교보복합빌딩견적" xfId="1033" xr:uid="{00000000-0005-0000-0000-000045050000}"/>
    <cellStyle name="_강과장(Fronnix,설계가1126)" xfId="1034" xr:uid="{00000000-0005-0000-0000-000046050000}"/>
    <cellStyle name="_강동내역(9.28)" xfId="2469" xr:uid="{00000000-0005-0000-0000-000047050000}"/>
    <cellStyle name="_강동내역(9.28) 2" xfId="6286" xr:uid="{00000000-0005-0000-0000-000048050000}"/>
    <cellStyle name="_강동내역(9.28) 2 2" xfId="6287" xr:uid="{00000000-0005-0000-0000-000049050000}"/>
    <cellStyle name="_강동내역(9.28)_가산2빗물-발주용-시설물토목화" xfId="2470" xr:uid="{00000000-0005-0000-0000-00004A050000}"/>
    <cellStyle name="_강릉남산교-제출본" xfId="1035" xr:uid="{00000000-0005-0000-0000-00004B050000}"/>
    <cellStyle name="_강릉남산교-제출본_갤러리아팰리스자재견적" xfId="1036" xr:uid="{00000000-0005-0000-0000-00004C050000}"/>
    <cellStyle name="_강릉남산교-제출본_상도동I-PARK전기내역서" xfId="1037" xr:uid="{00000000-0005-0000-0000-00004D050000}"/>
    <cellStyle name="_강릉남산교-제출본_장미등품" xfId="1038" xr:uid="{00000000-0005-0000-0000-00004E050000}"/>
    <cellStyle name="_강릉남산교-제출본_장미아파트자재" xfId="1039" xr:uid="{00000000-0005-0000-0000-00004F050000}"/>
    <cellStyle name="_강릉남산교-제출본_장미아파트전기공사(작업)" xfId="1040" xr:uid="{00000000-0005-0000-0000-000050050000}"/>
    <cellStyle name="_강릉남산교-제출본_청주교보복합빌딩견적" xfId="1041" xr:uid="{00000000-0005-0000-0000-000051050000}"/>
    <cellStyle name="_강산FRP" xfId="6288" xr:uid="{00000000-0005-0000-0000-000052050000}"/>
    <cellStyle name="_강산FRP 2" xfId="6289" xr:uid="{00000000-0005-0000-0000-000053050000}"/>
    <cellStyle name="_강산FRP 2 2" xfId="6290" xr:uid="{00000000-0005-0000-0000-000054050000}"/>
    <cellStyle name="_강산FRP 3" xfId="6291" xr:uid="{00000000-0005-0000-0000-000055050000}"/>
    <cellStyle name="_강산-지압보도-1020" xfId="1836" xr:uid="{00000000-0005-0000-0000-000056050000}"/>
    <cellStyle name="_강산-지압보도-1023" xfId="1837" xr:uid="{00000000-0005-0000-0000-000057050000}"/>
    <cellStyle name="_개요" xfId="2471" xr:uid="{00000000-0005-0000-0000-000058050000}"/>
    <cellStyle name="_개요 2" xfId="6292" xr:uid="{00000000-0005-0000-0000-000059050000}"/>
    <cellStyle name="_개요 2 2" xfId="6293" xr:uid="{00000000-0005-0000-0000-00005A050000}"/>
    <cellStyle name="_개요 3" xfId="6294" xr:uid="{00000000-0005-0000-0000-00005B050000}"/>
    <cellStyle name="_개요(봉림)-참고용" xfId="6295" xr:uid="{00000000-0005-0000-0000-00005C050000}"/>
    <cellStyle name="_개요(봉림)-참고용 2" xfId="6296" xr:uid="{00000000-0005-0000-0000-00005D050000}"/>
    <cellStyle name="_개요(봉림)-참고용 2 2" xfId="6297" xr:uid="{00000000-0005-0000-0000-00005E050000}"/>
    <cellStyle name="_개요(봉림)-최종" xfId="6298" xr:uid="{00000000-0005-0000-0000-00005F050000}"/>
    <cellStyle name="_개요(봉림)-최종 2" xfId="6299" xr:uid="{00000000-0005-0000-0000-000060050000}"/>
    <cellStyle name="_개요(봉림)-최종 2 2" xfId="6300" xr:uid="{00000000-0005-0000-0000-000061050000}"/>
    <cellStyle name="_개요(주안-인천)" xfId="6301" xr:uid="{00000000-0005-0000-0000-000062050000}"/>
    <cellStyle name="_개요(주안-인천) 2" xfId="6302" xr:uid="{00000000-0005-0000-0000-000063050000}"/>
    <cellStyle name="_개요(주안-인천) 2 2" xfId="6303" xr:uid="{00000000-0005-0000-0000-000064050000}"/>
    <cellStyle name="_갤러리아팰리스자재견적" xfId="1042" xr:uid="{00000000-0005-0000-0000-000065050000}"/>
    <cellStyle name="_건축" xfId="2472" xr:uid="{00000000-0005-0000-0000-000066050000}"/>
    <cellStyle name="_견적결과" xfId="2473" xr:uid="{00000000-0005-0000-0000-000067050000}"/>
    <cellStyle name="_견적결과_선정안(삼산)" xfId="2474" xr:uid="{00000000-0005-0000-0000-000068050000}"/>
    <cellStyle name="_견적결과_선정안(삼산)_캐노피 견적서" xfId="2475" xr:uid="{00000000-0005-0000-0000-000069050000}"/>
    <cellStyle name="_견적결과_추풍령" xfId="2476" xr:uid="{00000000-0005-0000-0000-00006A050000}"/>
    <cellStyle name="_견적결과_추풍령_캐노피 견적서" xfId="2477" xr:uid="{00000000-0005-0000-0000-00006B050000}"/>
    <cellStyle name="_견적결과_추풍령-1" xfId="2478" xr:uid="{00000000-0005-0000-0000-00006C050000}"/>
    <cellStyle name="_견적결과_추풍령-1_캐노피 견적서" xfId="2479" xr:uid="{00000000-0005-0000-0000-00006D050000}"/>
    <cellStyle name="_견적결과_캐노피 견적서" xfId="2480" xr:uid="{00000000-0005-0000-0000-00006E050000}"/>
    <cellStyle name="_견적서 갑지양식" xfId="1043" xr:uid="{00000000-0005-0000-0000-00006F050000}"/>
    <cellStyle name="_견적서 갑지양식(값)" xfId="1044" xr:uid="{00000000-0005-0000-0000-000070050000}"/>
    <cellStyle name="_견적서(1014)" xfId="1045" xr:uid="{00000000-0005-0000-0000-000071050000}"/>
    <cellStyle name="_견적서-0213-CACC" xfId="1046" xr:uid="{00000000-0005-0000-0000-000072050000}"/>
    <cellStyle name="_견적서갑지양식" xfId="1047" xr:uid="{00000000-0005-0000-0000-000073050000}"/>
    <cellStyle name="_견적서갑지양식_갤러리아팰리스자재견적" xfId="1048" xr:uid="{00000000-0005-0000-0000-000074050000}"/>
    <cellStyle name="_견적서갑지양식_상도동I-PARK전기내역서" xfId="1049" xr:uid="{00000000-0005-0000-0000-000075050000}"/>
    <cellStyle name="_견적서갑지양식_장미등품" xfId="1050" xr:uid="{00000000-0005-0000-0000-000076050000}"/>
    <cellStyle name="_견적서갑지양식_장미아파트자재" xfId="1051" xr:uid="{00000000-0005-0000-0000-000077050000}"/>
    <cellStyle name="_견적서갑지양식_장미아파트전기공사(작업)" xfId="1052" xr:uid="{00000000-0005-0000-0000-000078050000}"/>
    <cellStyle name="_견적서갑지양식_창원점A공구" xfId="1053" xr:uid="{00000000-0005-0000-0000-000079050000}"/>
    <cellStyle name="_견적서갑지양식_청주교보복합빌딩견적" xfId="1054" xr:uid="{00000000-0005-0000-0000-00007A050000}"/>
    <cellStyle name="_견적서-제출용0325-서울시" xfId="1055" xr:uid="{00000000-0005-0000-0000-00007B050000}"/>
    <cellStyle name="_견적의뢰(FAX)내역" xfId="1056" xr:uid="{00000000-0005-0000-0000-00007C050000}"/>
    <cellStyle name="_견적조건" xfId="2481" xr:uid="{00000000-0005-0000-0000-00007D050000}"/>
    <cellStyle name="_견적조건_선정안(삼산)" xfId="2482" xr:uid="{00000000-0005-0000-0000-00007E050000}"/>
    <cellStyle name="_견적조건_선정안(삼산)_캐노피 견적서" xfId="2483" xr:uid="{00000000-0005-0000-0000-00007F050000}"/>
    <cellStyle name="_견적조건_추풍령" xfId="2484" xr:uid="{00000000-0005-0000-0000-000080050000}"/>
    <cellStyle name="_견적조건_추풍령_캐노피 견적서" xfId="2485" xr:uid="{00000000-0005-0000-0000-000081050000}"/>
    <cellStyle name="_견적조건_추풍령-1" xfId="2486" xr:uid="{00000000-0005-0000-0000-000082050000}"/>
    <cellStyle name="_견적조건_추풍령-1_캐노피 견적서" xfId="2487" xr:uid="{00000000-0005-0000-0000-000083050000}"/>
    <cellStyle name="_견적조건_캐노피 견적서" xfId="2488" xr:uid="{00000000-0005-0000-0000-000084050000}"/>
    <cellStyle name="_경늬선_일위대가" xfId="6304" xr:uid="{00000000-0005-0000-0000-000085050000}"/>
    <cellStyle name="_경늬선_일위대가 2" xfId="6305" xr:uid="{00000000-0005-0000-0000-000086050000}"/>
    <cellStyle name="_경늬선_일위대가 2 2" xfId="6306" xr:uid="{00000000-0005-0000-0000-000087050000}"/>
    <cellStyle name="_경북031002" xfId="6307" xr:uid="{00000000-0005-0000-0000-000088050000}"/>
    <cellStyle name="_경북031002 2" xfId="6308" xr:uid="{00000000-0005-0000-0000-000089050000}"/>
    <cellStyle name="_경북031002 2 2" xfId="6309" xr:uid="{00000000-0005-0000-0000-00008A050000}"/>
    <cellStyle name="_경북031002 3" xfId="6310" xr:uid="{00000000-0005-0000-0000-00008B050000}"/>
    <cellStyle name="_경영개선활동상반기실적(990708)" xfId="2489" xr:uid="{00000000-0005-0000-0000-00008C050000}"/>
    <cellStyle name="_경영개선활동상반기실적(990708)_1" xfId="2490" xr:uid="{00000000-0005-0000-0000-00008D050000}"/>
    <cellStyle name="_경영개선활동상반기실적(990708)_2" xfId="2491" xr:uid="{00000000-0005-0000-0000-00008E050000}"/>
    <cellStyle name="_경영개선활성화방안(990802)" xfId="2492" xr:uid="{00000000-0005-0000-0000-00008F050000}"/>
    <cellStyle name="_경영개선활성화방안(990802)_1" xfId="2493" xr:uid="{00000000-0005-0000-0000-000090050000}"/>
    <cellStyle name="_경의선_일위대가(060203)" xfId="6311" xr:uid="{00000000-0005-0000-0000-000091050000}"/>
    <cellStyle name="_경의선_일위대가(060203) 2" xfId="6312" xr:uid="{00000000-0005-0000-0000-000092050000}"/>
    <cellStyle name="_경의선_일위대가(060203) 2 2" xfId="6313" xr:uid="{00000000-0005-0000-0000-000093050000}"/>
    <cellStyle name="_계룡네거리원설계" xfId="1838" xr:uid="{00000000-0005-0000-0000-000094050000}"/>
    <cellStyle name="_계약내역서(중랑천)" xfId="1057" xr:uid="{00000000-0005-0000-0000-000095050000}"/>
    <cellStyle name="_고려-수원미네시티(작업)" xfId="1058" xr:uid="{00000000-0005-0000-0000-000096050000}"/>
    <cellStyle name="_고무방충재" xfId="2494" xr:uid="{00000000-0005-0000-0000-000097050000}"/>
    <cellStyle name="_공견적서(한풀우드텍)" xfId="1839" xr:uid="{00000000-0005-0000-0000-000098050000}"/>
    <cellStyle name="_공량내역서" xfId="1059" xr:uid="{00000000-0005-0000-0000-000099050000}"/>
    <cellStyle name="_공량산출서" xfId="1060" xr:uid="{00000000-0005-0000-0000-00009A050000}"/>
    <cellStyle name="_공무월간보고" xfId="2495" xr:uid="{00000000-0005-0000-0000-00009B050000}"/>
    <cellStyle name="_공무월간보고 2" xfId="6314" xr:uid="{00000000-0005-0000-0000-00009C050000}"/>
    <cellStyle name="_공무월간보고 2 2" xfId="6315" xr:uid="{00000000-0005-0000-0000-00009D050000}"/>
    <cellStyle name="_공무월간보고_강동내역(9.28" xfId="2496" xr:uid="{00000000-0005-0000-0000-00009E050000}"/>
    <cellStyle name="_공무월간보고_강동내역(9.28 2" xfId="6316" xr:uid="{00000000-0005-0000-0000-00009F050000}"/>
    <cellStyle name="_공무월간보고_강동내역(9.28 2 2" xfId="6317" xr:uid="{00000000-0005-0000-0000-0000A0050000}"/>
    <cellStyle name="_공무월간보고_강동내역(9.28_T05-D03-004D(울산터널-조명제어-안소장님1003)" xfId="2498" xr:uid="{00000000-0005-0000-0000-0000A1050000}"/>
    <cellStyle name="_공무월간보고_강동내역(9.28_T05-D03-004D(울산터널-조명제어-안소장님1003) 2" xfId="6318" xr:uid="{00000000-0005-0000-0000-0000A2050000}"/>
    <cellStyle name="_공무월간보고_강동내역(9.28_T05-D03-004D(울산터널-조명제어-안소장님1003) 2 2" xfId="6319" xr:uid="{00000000-0005-0000-0000-0000A3050000}"/>
    <cellStyle name="_공무월간보고_강동내역(9.28_T05-D03-004D(울산터널-환기-구성설비0930)" xfId="2499" xr:uid="{00000000-0005-0000-0000-0000A4050000}"/>
    <cellStyle name="_공무월간보고_강동내역(9.28_T05-D03-004D(울산터널-환기-구성설비0930) 2" xfId="6320" xr:uid="{00000000-0005-0000-0000-0000A5050000}"/>
    <cellStyle name="_공무월간보고_강동내역(9.28_T05-D03-004D(울산터널-환기-구성설비0930) 2 2" xfId="6321" xr:uid="{00000000-0005-0000-0000-0000A6050000}"/>
    <cellStyle name="_공무월간보고_강동내역(9.28_울산강동내역최종(20051101)" xfId="2497" xr:uid="{00000000-0005-0000-0000-0000A7050000}"/>
    <cellStyle name="_공무월간보고_강동내역(9.28_울산강동내역최종(20051101) 2" xfId="6322" xr:uid="{00000000-0005-0000-0000-0000A8050000}"/>
    <cellStyle name="_공무월간보고_강동내역(9.28_울산강동내역최종(20051101) 2 2" xfId="6323" xr:uid="{00000000-0005-0000-0000-0000A9050000}"/>
    <cellStyle name="_공무월간보고_공무정산양식(10월초)" xfId="2500" xr:uid="{00000000-0005-0000-0000-0000AA050000}"/>
    <cellStyle name="_공무월간보고_공무정산양식(10월초) 2" xfId="6324" xr:uid="{00000000-0005-0000-0000-0000AB050000}"/>
    <cellStyle name="_공무월간보고_공무정산양식(10월초) 2 2" xfId="6325" xr:uid="{00000000-0005-0000-0000-0000AC050000}"/>
    <cellStyle name="_공무월간보고_공무정산양식(10월초)_강동내역(9.28" xfId="2501" xr:uid="{00000000-0005-0000-0000-0000AD050000}"/>
    <cellStyle name="_공무월간보고_공무정산양식(10월초)_강동내역(9.28 2" xfId="6326" xr:uid="{00000000-0005-0000-0000-0000AE050000}"/>
    <cellStyle name="_공무월간보고_공무정산양식(10월초)_강동내역(9.28 2 2" xfId="6327" xr:uid="{00000000-0005-0000-0000-0000AF050000}"/>
    <cellStyle name="_공무월간보고_공무정산양식(10월초)_강동내역(9.28_T05-D03-004D(울산터널-조명제어-안소장님1003)" xfId="2503" xr:uid="{00000000-0005-0000-0000-0000B0050000}"/>
    <cellStyle name="_공무월간보고_공무정산양식(10월초)_강동내역(9.28_T05-D03-004D(울산터널-조명제어-안소장님1003) 2" xfId="6328" xr:uid="{00000000-0005-0000-0000-0000B1050000}"/>
    <cellStyle name="_공무월간보고_공무정산양식(10월초)_강동내역(9.28_T05-D03-004D(울산터널-조명제어-안소장님1003) 2 2" xfId="6329" xr:uid="{00000000-0005-0000-0000-0000B2050000}"/>
    <cellStyle name="_공무월간보고_공무정산양식(10월초)_강동내역(9.28_T05-D03-004D(울산터널-환기-구성설비0930)" xfId="2504" xr:uid="{00000000-0005-0000-0000-0000B3050000}"/>
    <cellStyle name="_공무월간보고_공무정산양식(10월초)_강동내역(9.28_T05-D03-004D(울산터널-환기-구성설비0930) 2" xfId="6330" xr:uid="{00000000-0005-0000-0000-0000B4050000}"/>
    <cellStyle name="_공무월간보고_공무정산양식(10월초)_강동내역(9.28_T05-D03-004D(울산터널-환기-구성설비0930) 2 2" xfId="6331" xr:uid="{00000000-0005-0000-0000-0000B5050000}"/>
    <cellStyle name="_공무월간보고_공무정산양식(10월초)_강동내역(9.28_울산강동내역최종(20051101)" xfId="2502" xr:uid="{00000000-0005-0000-0000-0000B6050000}"/>
    <cellStyle name="_공무월간보고_공무정산양식(10월초)_강동내역(9.28_울산강동내역최종(20051101) 2" xfId="6332" xr:uid="{00000000-0005-0000-0000-0000B7050000}"/>
    <cellStyle name="_공무월간보고_공무정산양식(10월초)_강동내역(9.28_울산강동내역최종(20051101) 2 2" xfId="6333" xr:uid="{00000000-0005-0000-0000-0000B8050000}"/>
    <cellStyle name="_공무월간보고_공무정산양식(10월초)_기성내역서" xfId="2505" xr:uid="{00000000-0005-0000-0000-0000B9050000}"/>
    <cellStyle name="_공무월간보고_공무정산양식(10월초)_기성내역서 2" xfId="6334" xr:uid="{00000000-0005-0000-0000-0000BA050000}"/>
    <cellStyle name="_공무월간보고_공무정산양식(10월초)_기성내역서 2 2" xfId="6335" xr:uid="{00000000-0005-0000-0000-0000BB050000}"/>
    <cellStyle name="_공무월간보고_공무정산양식(10월초)_기성내역서_강동내역(9.28" xfId="2506" xr:uid="{00000000-0005-0000-0000-0000BC050000}"/>
    <cellStyle name="_공무월간보고_공무정산양식(10월초)_기성내역서_강동내역(9.28 2" xfId="6336" xr:uid="{00000000-0005-0000-0000-0000BD050000}"/>
    <cellStyle name="_공무월간보고_공무정산양식(10월초)_기성내역서_강동내역(9.28 2 2" xfId="6337" xr:uid="{00000000-0005-0000-0000-0000BE050000}"/>
    <cellStyle name="_공무월간보고_공무정산양식(10월초)_기성내역서_강동내역(9.28_T05-D03-004D(울산터널-조명제어-안소장님1003)" xfId="2508" xr:uid="{00000000-0005-0000-0000-0000BF050000}"/>
    <cellStyle name="_공무월간보고_공무정산양식(10월초)_기성내역서_강동내역(9.28_T05-D03-004D(울산터널-조명제어-안소장님1003) 2" xfId="6338" xr:uid="{00000000-0005-0000-0000-0000C0050000}"/>
    <cellStyle name="_공무월간보고_공무정산양식(10월초)_기성내역서_강동내역(9.28_T05-D03-004D(울산터널-조명제어-안소장님1003) 2 2" xfId="6339" xr:uid="{00000000-0005-0000-0000-0000C1050000}"/>
    <cellStyle name="_공무월간보고_공무정산양식(10월초)_기성내역서_강동내역(9.28_T05-D03-004D(울산터널-환기-구성설비0930)" xfId="2509" xr:uid="{00000000-0005-0000-0000-0000C2050000}"/>
    <cellStyle name="_공무월간보고_공무정산양식(10월초)_기성내역서_강동내역(9.28_T05-D03-004D(울산터널-환기-구성설비0930) 2" xfId="6340" xr:uid="{00000000-0005-0000-0000-0000C3050000}"/>
    <cellStyle name="_공무월간보고_공무정산양식(10월초)_기성내역서_강동내역(9.28_T05-D03-004D(울산터널-환기-구성설비0930) 2 2" xfId="6341" xr:uid="{00000000-0005-0000-0000-0000C4050000}"/>
    <cellStyle name="_공무월간보고_공무정산양식(10월초)_기성내역서_강동내역(9.28_울산강동내역최종(20051101)" xfId="2507" xr:uid="{00000000-0005-0000-0000-0000C5050000}"/>
    <cellStyle name="_공무월간보고_공무정산양식(10월초)_기성내역서_강동내역(9.28_울산강동내역최종(20051101) 2" xfId="6342" xr:uid="{00000000-0005-0000-0000-0000C6050000}"/>
    <cellStyle name="_공무월간보고_공무정산양식(10월초)_기성내역서_강동내역(9.28_울산강동내역최종(20051101) 2 2" xfId="6343" xr:uid="{00000000-0005-0000-0000-0000C7050000}"/>
    <cellStyle name="_공무월간보고_공무정산양식(10월초)_기성내역서_전체계약변경(03)" xfId="2510" xr:uid="{00000000-0005-0000-0000-0000C8050000}"/>
    <cellStyle name="_공무월간보고_공무정산양식(10월초)_기성내역서_전체계약변경(03) 2" xfId="6344" xr:uid="{00000000-0005-0000-0000-0000C9050000}"/>
    <cellStyle name="_공무월간보고_공무정산양식(10월초)_기성내역서_전체계약변경(03) 2 2" xfId="6345" xr:uid="{00000000-0005-0000-0000-0000CA050000}"/>
    <cellStyle name="_공무월간보고_공무정산양식(10월초)_기성내역서_전체계약변경(03)_강동내역(9.28" xfId="2511" xr:uid="{00000000-0005-0000-0000-0000CB050000}"/>
    <cellStyle name="_공무월간보고_공무정산양식(10월초)_기성내역서_전체계약변경(03)_강동내역(9.28 2" xfId="6346" xr:uid="{00000000-0005-0000-0000-0000CC050000}"/>
    <cellStyle name="_공무월간보고_공무정산양식(10월초)_기성내역서_전체계약변경(03)_강동내역(9.28 2 2" xfId="6347" xr:uid="{00000000-0005-0000-0000-0000CD050000}"/>
    <cellStyle name="_공무월간보고_공무정산양식(10월초)_기성내역서_전체계약변경(03)_강동내역(9.28_T05-D03-004D(울산터널-조명제어-안소장님1003)" xfId="2513" xr:uid="{00000000-0005-0000-0000-0000CE050000}"/>
    <cellStyle name="_공무월간보고_공무정산양식(10월초)_기성내역서_전체계약변경(03)_강동내역(9.28_T05-D03-004D(울산터널-조명제어-안소장님1003) 2" xfId="6348" xr:uid="{00000000-0005-0000-0000-0000CF050000}"/>
    <cellStyle name="_공무월간보고_공무정산양식(10월초)_기성내역서_전체계약변경(03)_강동내역(9.28_T05-D03-004D(울산터널-조명제어-안소장님1003) 2 2" xfId="6349" xr:uid="{00000000-0005-0000-0000-0000D0050000}"/>
    <cellStyle name="_공무월간보고_공무정산양식(10월초)_기성내역서_전체계약변경(03)_강동내역(9.28_T05-D03-004D(울산터널-환기-구성설비0930)" xfId="2514" xr:uid="{00000000-0005-0000-0000-0000D1050000}"/>
    <cellStyle name="_공무월간보고_공무정산양식(10월초)_기성내역서_전체계약변경(03)_강동내역(9.28_T05-D03-004D(울산터널-환기-구성설비0930) 2" xfId="6350" xr:uid="{00000000-0005-0000-0000-0000D2050000}"/>
    <cellStyle name="_공무월간보고_공무정산양식(10월초)_기성내역서_전체계약변경(03)_강동내역(9.28_T05-D03-004D(울산터널-환기-구성설비0930) 2 2" xfId="6351" xr:uid="{00000000-0005-0000-0000-0000D3050000}"/>
    <cellStyle name="_공무월간보고_공무정산양식(10월초)_기성내역서_전체계약변경(03)_강동내역(9.28_울산강동내역최종(20051101)" xfId="2512" xr:uid="{00000000-0005-0000-0000-0000D4050000}"/>
    <cellStyle name="_공무월간보고_공무정산양식(10월초)_기성내역서_전체계약변경(03)_강동내역(9.28_울산강동내역최종(20051101) 2" xfId="6352" xr:uid="{00000000-0005-0000-0000-0000D5050000}"/>
    <cellStyle name="_공무월간보고_공무정산양식(10월초)_기성내역서_전체계약변경(03)_강동내역(9.28_울산강동내역최종(20051101) 2 2" xfId="6353" xr:uid="{00000000-0005-0000-0000-0000D6050000}"/>
    <cellStyle name="_공무월간보고_공무정산양식(10월초)_전체계약변경(03)" xfId="2515" xr:uid="{00000000-0005-0000-0000-0000D7050000}"/>
    <cellStyle name="_공무월간보고_공무정산양식(10월초)_전체계약변경(03) 2" xfId="6354" xr:uid="{00000000-0005-0000-0000-0000D8050000}"/>
    <cellStyle name="_공무월간보고_공무정산양식(10월초)_전체계약변경(03) 2 2" xfId="6355" xr:uid="{00000000-0005-0000-0000-0000D9050000}"/>
    <cellStyle name="_공무월간보고_공무정산양식(10월초)_전체계약변경(03)_강동내역(9.28" xfId="2516" xr:uid="{00000000-0005-0000-0000-0000DA050000}"/>
    <cellStyle name="_공무월간보고_공무정산양식(10월초)_전체계약변경(03)_강동내역(9.28 2" xfId="6356" xr:uid="{00000000-0005-0000-0000-0000DB050000}"/>
    <cellStyle name="_공무월간보고_공무정산양식(10월초)_전체계약변경(03)_강동내역(9.28 2 2" xfId="6357" xr:uid="{00000000-0005-0000-0000-0000DC050000}"/>
    <cellStyle name="_공무월간보고_공무정산양식(10월초)_전체계약변경(03)_강동내역(9.28_T05-D03-004D(울산터널-조명제어-안소장님1003)" xfId="2518" xr:uid="{00000000-0005-0000-0000-0000DD050000}"/>
    <cellStyle name="_공무월간보고_공무정산양식(10월초)_전체계약변경(03)_강동내역(9.28_T05-D03-004D(울산터널-조명제어-안소장님1003) 2" xfId="6358" xr:uid="{00000000-0005-0000-0000-0000DE050000}"/>
    <cellStyle name="_공무월간보고_공무정산양식(10월초)_전체계약변경(03)_강동내역(9.28_T05-D03-004D(울산터널-조명제어-안소장님1003) 2 2" xfId="6359" xr:uid="{00000000-0005-0000-0000-0000DF050000}"/>
    <cellStyle name="_공무월간보고_공무정산양식(10월초)_전체계약변경(03)_강동내역(9.28_T05-D03-004D(울산터널-환기-구성설비0930)" xfId="2519" xr:uid="{00000000-0005-0000-0000-0000E0050000}"/>
    <cellStyle name="_공무월간보고_공무정산양식(10월초)_전체계약변경(03)_강동내역(9.28_T05-D03-004D(울산터널-환기-구성설비0930) 2" xfId="6360" xr:uid="{00000000-0005-0000-0000-0000E1050000}"/>
    <cellStyle name="_공무월간보고_공무정산양식(10월초)_전체계약변경(03)_강동내역(9.28_T05-D03-004D(울산터널-환기-구성설비0930) 2 2" xfId="6361" xr:uid="{00000000-0005-0000-0000-0000E2050000}"/>
    <cellStyle name="_공무월간보고_공무정산양식(10월초)_전체계약변경(03)_강동내역(9.28_울산강동내역최종(20051101)" xfId="2517" xr:uid="{00000000-0005-0000-0000-0000E3050000}"/>
    <cellStyle name="_공무월간보고_공무정산양식(10월초)_전체계약변경(03)_강동내역(9.28_울산강동내역최종(20051101) 2" xfId="6362" xr:uid="{00000000-0005-0000-0000-0000E4050000}"/>
    <cellStyle name="_공무월간보고_공무정산양식(10월초)_전체계약변경(03)_강동내역(9.28_울산강동내역최종(20051101) 2 2" xfId="6363" xr:uid="{00000000-0005-0000-0000-0000E5050000}"/>
    <cellStyle name="_공무월간보고_공무정산양식(10월초)_포장외건(최종)" xfId="2520" xr:uid="{00000000-0005-0000-0000-0000E6050000}"/>
    <cellStyle name="_공무월간보고_공무정산양식(10월초)_포장외건(최종) 2" xfId="6364" xr:uid="{00000000-0005-0000-0000-0000E7050000}"/>
    <cellStyle name="_공무월간보고_공무정산양식(10월초)_포장외건(최종) 2 2" xfId="6365" xr:uid="{00000000-0005-0000-0000-0000E8050000}"/>
    <cellStyle name="_공무월간보고_공무정산양식(10월초)_포장외건(최종)_강동내역(9.28" xfId="2521" xr:uid="{00000000-0005-0000-0000-0000E9050000}"/>
    <cellStyle name="_공무월간보고_공무정산양식(10월초)_포장외건(최종)_강동내역(9.28 2" xfId="6366" xr:uid="{00000000-0005-0000-0000-0000EA050000}"/>
    <cellStyle name="_공무월간보고_공무정산양식(10월초)_포장외건(최종)_강동내역(9.28 2 2" xfId="6367" xr:uid="{00000000-0005-0000-0000-0000EB050000}"/>
    <cellStyle name="_공무월간보고_공무정산양식(10월초)_포장외건(최종)_강동내역(9.28_T05-D03-004D(울산터널-조명제어-안소장님1003)" xfId="2523" xr:uid="{00000000-0005-0000-0000-0000EC050000}"/>
    <cellStyle name="_공무월간보고_공무정산양식(10월초)_포장외건(최종)_강동내역(9.28_T05-D03-004D(울산터널-조명제어-안소장님1003) 2" xfId="6368" xr:uid="{00000000-0005-0000-0000-0000ED050000}"/>
    <cellStyle name="_공무월간보고_공무정산양식(10월초)_포장외건(최종)_강동내역(9.28_T05-D03-004D(울산터널-조명제어-안소장님1003) 2 2" xfId="6369" xr:uid="{00000000-0005-0000-0000-0000EE050000}"/>
    <cellStyle name="_공무월간보고_공무정산양식(10월초)_포장외건(최종)_강동내역(9.28_T05-D03-004D(울산터널-환기-구성설비0930)" xfId="2524" xr:uid="{00000000-0005-0000-0000-0000EF050000}"/>
    <cellStyle name="_공무월간보고_공무정산양식(10월초)_포장외건(최종)_강동내역(9.28_T05-D03-004D(울산터널-환기-구성설비0930) 2" xfId="6370" xr:uid="{00000000-0005-0000-0000-0000F0050000}"/>
    <cellStyle name="_공무월간보고_공무정산양식(10월초)_포장외건(최종)_강동내역(9.28_T05-D03-004D(울산터널-환기-구성설비0930) 2 2" xfId="6371" xr:uid="{00000000-0005-0000-0000-0000F1050000}"/>
    <cellStyle name="_공무월간보고_공무정산양식(10월초)_포장외건(최종)_강동내역(9.28_울산강동내역최종(20051101)" xfId="2522" xr:uid="{00000000-0005-0000-0000-0000F2050000}"/>
    <cellStyle name="_공무월간보고_공무정산양식(10월초)_포장외건(최종)_강동내역(9.28_울산강동내역최종(20051101) 2" xfId="6372" xr:uid="{00000000-0005-0000-0000-0000F3050000}"/>
    <cellStyle name="_공무월간보고_공무정산양식(10월초)_포장외건(최종)_강동내역(9.28_울산강동내역최종(20051101) 2 2" xfId="6373" xr:uid="{00000000-0005-0000-0000-0000F4050000}"/>
    <cellStyle name="_공무월간보고_기성내역서" xfId="2525" xr:uid="{00000000-0005-0000-0000-0000F5050000}"/>
    <cellStyle name="_공무월간보고_기성내역서 2" xfId="6374" xr:uid="{00000000-0005-0000-0000-0000F6050000}"/>
    <cellStyle name="_공무월간보고_기성내역서 2 2" xfId="6375" xr:uid="{00000000-0005-0000-0000-0000F7050000}"/>
    <cellStyle name="_공무월간보고_기성내역서_강동내역(9.28" xfId="2526" xr:uid="{00000000-0005-0000-0000-0000F8050000}"/>
    <cellStyle name="_공무월간보고_기성내역서_강동내역(9.28 2" xfId="6376" xr:uid="{00000000-0005-0000-0000-0000F9050000}"/>
    <cellStyle name="_공무월간보고_기성내역서_강동내역(9.28 2 2" xfId="6377" xr:uid="{00000000-0005-0000-0000-0000FA050000}"/>
    <cellStyle name="_공무월간보고_기성내역서_강동내역(9.28_T05-D03-004D(울산터널-조명제어-안소장님1003)" xfId="2528" xr:uid="{00000000-0005-0000-0000-0000FB050000}"/>
    <cellStyle name="_공무월간보고_기성내역서_강동내역(9.28_T05-D03-004D(울산터널-조명제어-안소장님1003) 2" xfId="6378" xr:uid="{00000000-0005-0000-0000-0000FC050000}"/>
    <cellStyle name="_공무월간보고_기성내역서_강동내역(9.28_T05-D03-004D(울산터널-조명제어-안소장님1003) 2 2" xfId="6379" xr:uid="{00000000-0005-0000-0000-0000FD050000}"/>
    <cellStyle name="_공무월간보고_기성내역서_강동내역(9.28_T05-D03-004D(울산터널-환기-구성설비0930)" xfId="2529" xr:uid="{00000000-0005-0000-0000-0000FE050000}"/>
    <cellStyle name="_공무월간보고_기성내역서_강동내역(9.28_T05-D03-004D(울산터널-환기-구성설비0930) 2" xfId="6380" xr:uid="{00000000-0005-0000-0000-0000FF050000}"/>
    <cellStyle name="_공무월간보고_기성내역서_강동내역(9.28_T05-D03-004D(울산터널-환기-구성설비0930) 2 2" xfId="6381" xr:uid="{00000000-0005-0000-0000-000000060000}"/>
    <cellStyle name="_공무월간보고_기성내역서_강동내역(9.28_울산강동내역최종(20051101)" xfId="2527" xr:uid="{00000000-0005-0000-0000-000001060000}"/>
    <cellStyle name="_공무월간보고_기성내역서_강동내역(9.28_울산강동내역최종(20051101) 2" xfId="6382" xr:uid="{00000000-0005-0000-0000-000002060000}"/>
    <cellStyle name="_공무월간보고_기성내역서_강동내역(9.28_울산강동내역최종(20051101) 2 2" xfId="6383" xr:uid="{00000000-0005-0000-0000-000003060000}"/>
    <cellStyle name="_공무월간보고_기성내역서_전체계약변경(03)" xfId="2530" xr:uid="{00000000-0005-0000-0000-000004060000}"/>
    <cellStyle name="_공무월간보고_기성내역서_전체계약변경(03) 2" xfId="6384" xr:uid="{00000000-0005-0000-0000-000005060000}"/>
    <cellStyle name="_공무월간보고_기성내역서_전체계약변경(03) 2 2" xfId="6385" xr:uid="{00000000-0005-0000-0000-000006060000}"/>
    <cellStyle name="_공무월간보고_기성내역서_전체계약변경(03)_강동내역(9.28" xfId="2531" xr:uid="{00000000-0005-0000-0000-000007060000}"/>
    <cellStyle name="_공무월간보고_기성내역서_전체계약변경(03)_강동내역(9.28 2" xfId="6386" xr:uid="{00000000-0005-0000-0000-000008060000}"/>
    <cellStyle name="_공무월간보고_기성내역서_전체계약변경(03)_강동내역(9.28 2 2" xfId="6387" xr:uid="{00000000-0005-0000-0000-000009060000}"/>
    <cellStyle name="_공무월간보고_기성내역서_전체계약변경(03)_강동내역(9.28_T05-D03-004D(울산터널-조명제어-안소장님1003)" xfId="2533" xr:uid="{00000000-0005-0000-0000-00000A060000}"/>
    <cellStyle name="_공무월간보고_기성내역서_전체계약변경(03)_강동내역(9.28_T05-D03-004D(울산터널-조명제어-안소장님1003) 2" xfId="6388" xr:uid="{00000000-0005-0000-0000-00000B060000}"/>
    <cellStyle name="_공무월간보고_기성내역서_전체계약변경(03)_강동내역(9.28_T05-D03-004D(울산터널-조명제어-안소장님1003) 2 2" xfId="6389" xr:uid="{00000000-0005-0000-0000-00000C060000}"/>
    <cellStyle name="_공무월간보고_기성내역서_전체계약변경(03)_강동내역(9.28_T05-D03-004D(울산터널-환기-구성설비0930)" xfId="2534" xr:uid="{00000000-0005-0000-0000-00000D060000}"/>
    <cellStyle name="_공무월간보고_기성내역서_전체계약변경(03)_강동내역(9.28_T05-D03-004D(울산터널-환기-구성설비0930) 2" xfId="6390" xr:uid="{00000000-0005-0000-0000-00000E060000}"/>
    <cellStyle name="_공무월간보고_기성내역서_전체계약변경(03)_강동내역(9.28_T05-D03-004D(울산터널-환기-구성설비0930) 2 2" xfId="6391" xr:uid="{00000000-0005-0000-0000-00000F060000}"/>
    <cellStyle name="_공무월간보고_기성내역서_전체계약변경(03)_강동내역(9.28_울산강동내역최종(20051101)" xfId="2532" xr:uid="{00000000-0005-0000-0000-000010060000}"/>
    <cellStyle name="_공무월간보고_기성내역서_전체계약변경(03)_강동내역(9.28_울산강동내역최종(20051101) 2" xfId="6392" xr:uid="{00000000-0005-0000-0000-000011060000}"/>
    <cellStyle name="_공무월간보고_기성내역서_전체계약변경(03)_강동내역(9.28_울산강동내역최종(20051101) 2 2" xfId="6393" xr:uid="{00000000-0005-0000-0000-000012060000}"/>
    <cellStyle name="_공무월간보고_전체계약변경(03)" xfId="2535" xr:uid="{00000000-0005-0000-0000-000013060000}"/>
    <cellStyle name="_공무월간보고_전체계약변경(03) 2" xfId="6394" xr:uid="{00000000-0005-0000-0000-000014060000}"/>
    <cellStyle name="_공무월간보고_전체계약변경(03) 2 2" xfId="6395" xr:uid="{00000000-0005-0000-0000-000015060000}"/>
    <cellStyle name="_공무월간보고_전체계약변경(03)_강동내역(9.28" xfId="2536" xr:uid="{00000000-0005-0000-0000-000016060000}"/>
    <cellStyle name="_공무월간보고_전체계약변경(03)_강동내역(9.28 2" xfId="6396" xr:uid="{00000000-0005-0000-0000-000017060000}"/>
    <cellStyle name="_공무월간보고_전체계약변경(03)_강동내역(9.28 2 2" xfId="6397" xr:uid="{00000000-0005-0000-0000-000018060000}"/>
    <cellStyle name="_공무월간보고_전체계약변경(03)_강동내역(9.28_T05-D03-004D(울산터널-조명제어-안소장님1003)" xfId="2538" xr:uid="{00000000-0005-0000-0000-000019060000}"/>
    <cellStyle name="_공무월간보고_전체계약변경(03)_강동내역(9.28_T05-D03-004D(울산터널-조명제어-안소장님1003) 2" xfId="6398" xr:uid="{00000000-0005-0000-0000-00001A060000}"/>
    <cellStyle name="_공무월간보고_전체계약변경(03)_강동내역(9.28_T05-D03-004D(울산터널-조명제어-안소장님1003) 2 2" xfId="6399" xr:uid="{00000000-0005-0000-0000-00001B060000}"/>
    <cellStyle name="_공무월간보고_전체계약변경(03)_강동내역(9.28_T05-D03-004D(울산터널-환기-구성설비0930)" xfId="2539" xr:uid="{00000000-0005-0000-0000-00001C060000}"/>
    <cellStyle name="_공무월간보고_전체계약변경(03)_강동내역(9.28_T05-D03-004D(울산터널-환기-구성설비0930) 2" xfId="6400" xr:uid="{00000000-0005-0000-0000-00001D060000}"/>
    <cellStyle name="_공무월간보고_전체계약변경(03)_강동내역(9.28_T05-D03-004D(울산터널-환기-구성설비0930) 2 2" xfId="6401" xr:uid="{00000000-0005-0000-0000-00001E060000}"/>
    <cellStyle name="_공무월간보고_전체계약변경(03)_강동내역(9.28_울산강동내역최종(20051101)" xfId="2537" xr:uid="{00000000-0005-0000-0000-00001F060000}"/>
    <cellStyle name="_공무월간보고_전체계약변경(03)_강동내역(9.28_울산강동내역최종(20051101) 2" xfId="6402" xr:uid="{00000000-0005-0000-0000-000020060000}"/>
    <cellStyle name="_공무월간보고_전체계약변경(03)_강동내역(9.28_울산강동내역최종(20051101) 2 2" xfId="6403" xr:uid="{00000000-0005-0000-0000-000021060000}"/>
    <cellStyle name="_공무월간보고_포장외건(최종)" xfId="2540" xr:uid="{00000000-0005-0000-0000-000022060000}"/>
    <cellStyle name="_공무월간보고_포장외건(최종) 2" xfId="6404" xr:uid="{00000000-0005-0000-0000-000023060000}"/>
    <cellStyle name="_공무월간보고_포장외건(최종) 2 2" xfId="6405" xr:uid="{00000000-0005-0000-0000-000024060000}"/>
    <cellStyle name="_공무월간보고_포장외건(최종)_강동내역(9.28" xfId="2541" xr:uid="{00000000-0005-0000-0000-000025060000}"/>
    <cellStyle name="_공무월간보고_포장외건(최종)_강동내역(9.28 2" xfId="6406" xr:uid="{00000000-0005-0000-0000-000026060000}"/>
    <cellStyle name="_공무월간보고_포장외건(최종)_강동내역(9.28 2 2" xfId="6407" xr:uid="{00000000-0005-0000-0000-000027060000}"/>
    <cellStyle name="_공무월간보고_포장외건(최종)_강동내역(9.28_T05-D03-004D(울산터널-조명제어-안소장님1003)" xfId="2543" xr:uid="{00000000-0005-0000-0000-000028060000}"/>
    <cellStyle name="_공무월간보고_포장외건(최종)_강동내역(9.28_T05-D03-004D(울산터널-조명제어-안소장님1003) 2" xfId="6408" xr:uid="{00000000-0005-0000-0000-000029060000}"/>
    <cellStyle name="_공무월간보고_포장외건(최종)_강동내역(9.28_T05-D03-004D(울산터널-조명제어-안소장님1003) 2 2" xfId="6409" xr:uid="{00000000-0005-0000-0000-00002A060000}"/>
    <cellStyle name="_공무월간보고_포장외건(최종)_강동내역(9.28_T05-D03-004D(울산터널-환기-구성설비0930)" xfId="2544" xr:uid="{00000000-0005-0000-0000-00002B060000}"/>
    <cellStyle name="_공무월간보고_포장외건(최종)_강동내역(9.28_T05-D03-004D(울산터널-환기-구성설비0930) 2" xfId="6410" xr:uid="{00000000-0005-0000-0000-00002C060000}"/>
    <cellStyle name="_공무월간보고_포장외건(최종)_강동내역(9.28_T05-D03-004D(울산터널-환기-구성설비0930) 2 2" xfId="6411" xr:uid="{00000000-0005-0000-0000-00002D060000}"/>
    <cellStyle name="_공무월간보고_포장외건(최종)_강동내역(9.28_울산강동내역최종(20051101)" xfId="2542" xr:uid="{00000000-0005-0000-0000-00002E060000}"/>
    <cellStyle name="_공무월간보고_포장외건(최종)_강동내역(9.28_울산강동내역최종(20051101) 2" xfId="6412" xr:uid="{00000000-0005-0000-0000-00002F060000}"/>
    <cellStyle name="_공무월간보고_포장외건(최종)_강동내역(9.28_울산강동내역최종(20051101) 2 2" xfId="6413" xr:uid="{00000000-0005-0000-0000-000030060000}"/>
    <cellStyle name="_공무정산0104" xfId="2545" xr:uid="{00000000-0005-0000-0000-000031060000}"/>
    <cellStyle name="_공무정산0104 2" xfId="6414" xr:uid="{00000000-0005-0000-0000-000032060000}"/>
    <cellStyle name="_공무정산0104 2 2" xfId="6415" xr:uid="{00000000-0005-0000-0000-000033060000}"/>
    <cellStyle name="_공무정산0104_강동내역(9.28" xfId="2546" xr:uid="{00000000-0005-0000-0000-000034060000}"/>
    <cellStyle name="_공무정산0104_강동내역(9.28 2" xfId="6416" xr:uid="{00000000-0005-0000-0000-000035060000}"/>
    <cellStyle name="_공무정산0104_강동내역(9.28 2 2" xfId="6417" xr:uid="{00000000-0005-0000-0000-000036060000}"/>
    <cellStyle name="_공무정산0104_강동내역(9.28_T05-D03-004D(울산터널-조명제어-안소장님1003)" xfId="2548" xr:uid="{00000000-0005-0000-0000-000037060000}"/>
    <cellStyle name="_공무정산0104_강동내역(9.28_T05-D03-004D(울산터널-조명제어-안소장님1003) 2" xfId="6418" xr:uid="{00000000-0005-0000-0000-000038060000}"/>
    <cellStyle name="_공무정산0104_강동내역(9.28_T05-D03-004D(울산터널-조명제어-안소장님1003) 2 2" xfId="6419" xr:uid="{00000000-0005-0000-0000-000039060000}"/>
    <cellStyle name="_공무정산0104_강동내역(9.28_T05-D03-004D(울산터널-환기-구성설비0930)" xfId="2549" xr:uid="{00000000-0005-0000-0000-00003A060000}"/>
    <cellStyle name="_공무정산0104_강동내역(9.28_T05-D03-004D(울산터널-환기-구성설비0930) 2" xfId="6420" xr:uid="{00000000-0005-0000-0000-00003B060000}"/>
    <cellStyle name="_공무정산0104_강동내역(9.28_T05-D03-004D(울산터널-환기-구성설비0930) 2 2" xfId="6421" xr:uid="{00000000-0005-0000-0000-00003C060000}"/>
    <cellStyle name="_공무정산0104_강동내역(9.28_울산강동내역최종(20051101)" xfId="2547" xr:uid="{00000000-0005-0000-0000-00003D060000}"/>
    <cellStyle name="_공무정산0104_강동내역(9.28_울산강동내역최종(20051101) 2" xfId="6422" xr:uid="{00000000-0005-0000-0000-00003E060000}"/>
    <cellStyle name="_공무정산0104_강동내역(9.28_울산강동내역최종(20051101) 2 2" xfId="6423" xr:uid="{00000000-0005-0000-0000-00003F060000}"/>
    <cellStyle name="_공무정산0104_공무정산양식(10월초)" xfId="2550" xr:uid="{00000000-0005-0000-0000-000040060000}"/>
    <cellStyle name="_공무정산0104_공무정산양식(10월초) 2" xfId="6424" xr:uid="{00000000-0005-0000-0000-000041060000}"/>
    <cellStyle name="_공무정산0104_공무정산양식(10월초) 2 2" xfId="6425" xr:uid="{00000000-0005-0000-0000-000042060000}"/>
    <cellStyle name="_공무정산0104_공무정산양식(10월초)_강동내역(9.28" xfId="2551" xr:uid="{00000000-0005-0000-0000-000043060000}"/>
    <cellStyle name="_공무정산0104_공무정산양식(10월초)_강동내역(9.28 2" xfId="6426" xr:uid="{00000000-0005-0000-0000-000044060000}"/>
    <cellStyle name="_공무정산0104_공무정산양식(10월초)_강동내역(9.28 2 2" xfId="6427" xr:uid="{00000000-0005-0000-0000-000045060000}"/>
    <cellStyle name="_공무정산0104_공무정산양식(10월초)_강동내역(9.28_T05-D03-004D(울산터널-조명제어-안소장님1003)" xfId="2553" xr:uid="{00000000-0005-0000-0000-000046060000}"/>
    <cellStyle name="_공무정산0104_공무정산양식(10월초)_강동내역(9.28_T05-D03-004D(울산터널-조명제어-안소장님1003) 2" xfId="6428" xr:uid="{00000000-0005-0000-0000-000047060000}"/>
    <cellStyle name="_공무정산0104_공무정산양식(10월초)_강동내역(9.28_T05-D03-004D(울산터널-조명제어-안소장님1003) 2 2" xfId="6429" xr:uid="{00000000-0005-0000-0000-000048060000}"/>
    <cellStyle name="_공무정산0104_공무정산양식(10월초)_강동내역(9.28_T05-D03-004D(울산터널-환기-구성설비0930)" xfId="2554" xr:uid="{00000000-0005-0000-0000-000049060000}"/>
    <cellStyle name="_공무정산0104_공무정산양식(10월초)_강동내역(9.28_T05-D03-004D(울산터널-환기-구성설비0930) 2" xfId="6430" xr:uid="{00000000-0005-0000-0000-00004A060000}"/>
    <cellStyle name="_공무정산0104_공무정산양식(10월초)_강동내역(9.28_T05-D03-004D(울산터널-환기-구성설비0930) 2 2" xfId="6431" xr:uid="{00000000-0005-0000-0000-00004B060000}"/>
    <cellStyle name="_공무정산0104_공무정산양식(10월초)_강동내역(9.28_울산강동내역최종(20051101)" xfId="2552" xr:uid="{00000000-0005-0000-0000-00004C060000}"/>
    <cellStyle name="_공무정산0104_공무정산양식(10월초)_강동내역(9.28_울산강동내역최종(20051101) 2" xfId="6432" xr:uid="{00000000-0005-0000-0000-00004D060000}"/>
    <cellStyle name="_공무정산0104_공무정산양식(10월초)_강동내역(9.28_울산강동내역최종(20051101) 2 2" xfId="6433" xr:uid="{00000000-0005-0000-0000-00004E060000}"/>
    <cellStyle name="_공무정산0104_공무정산양식(10월초)_기성내역서" xfId="2555" xr:uid="{00000000-0005-0000-0000-00004F060000}"/>
    <cellStyle name="_공무정산0104_공무정산양식(10월초)_기성내역서 2" xfId="6434" xr:uid="{00000000-0005-0000-0000-000050060000}"/>
    <cellStyle name="_공무정산0104_공무정산양식(10월초)_기성내역서 2 2" xfId="6435" xr:uid="{00000000-0005-0000-0000-000051060000}"/>
    <cellStyle name="_공무정산0104_공무정산양식(10월초)_기성내역서_강동내역(9.28" xfId="2556" xr:uid="{00000000-0005-0000-0000-000052060000}"/>
    <cellStyle name="_공무정산0104_공무정산양식(10월초)_기성내역서_강동내역(9.28 2" xfId="6436" xr:uid="{00000000-0005-0000-0000-000053060000}"/>
    <cellStyle name="_공무정산0104_공무정산양식(10월초)_기성내역서_강동내역(9.28 2 2" xfId="6437" xr:uid="{00000000-0005-0000-0000-000054060000}"/>
    <cellStyle name="_공무정산0104_공무정산양식(10월초)_기성내역서_강동내역(9.28_T05-D03-004D(울산터널-조명제어-안소장님1003)" xfId="2558" xr:uid="{00000000-0005-0000-0000-000055060000}"/>
    <cellStyle name="_공무정산0104_공무정산양식(10월초)_기성내역서_강동내역(9.28_T05-D03-004D(울산터널-조명제어-안소장님1003) 2" xfId="6438" xr:uid="{00000000-0005-0000-0000-000056060000}"/>
    <cellStyle name="_공무정산0104_공무정산양식(10월초)_기성내역서_강동내역(9.28_T05-D03-004D(울산터널-조명제어-안소장님1003) 2 2" xfId="6439" xr:uid="{00000000-0005-0000-0000-000057060000}"/>
    <cellStyle name="_공무정산0104_공무정산양식(10월초)_기성내역서_강동내역(9.28_T05-D03-004D(울산터널-환기-구성설비0930)" xfId="2559" xr:uid="{00000000-0005-0000-0000-000058060000}"/>
    <cellStyle name="_공무정산0104_공무정산양식(10월초)_기성내역서_강동내역(9.28_T05-D03-004D(울산터널-환기-구성설비0930) 2" xfId="6440" xr:uid="{00000000-0005-0000-0000-000059060000}"/>
    <cellStyle name="_공무정산0104_공무정산양식(10월초)_기성내역서_강동내역(9.28_T05-D03-004D(울산터널-환기-구성설비0930) 2 2" xfId="6441" xr:uid="{00000000-0005-0000-0000-00005A060000}"/>
    <cellStyle name="_공무정산0104_공무정산양식(10월초)_기성내역서_강동내역(9.28_울산강동내역최종(20051101)" xfId="2557" xr:uid="{00000000-0005-0000-0000-00005B060000}"/>
    <cellStyle name="_공무정산0104_공무정산양식(10월초)_기성내역서_강동내역(9.28_울산강동내역최종(20051101) 2" xfId="6442" xr:uid="{00000000-0005-0000-0000-00005C060000}"/>
    <cellStyle name="_공무정산0104_공무정산양식(10월초)_기성내역서_강동내역(9.28_울산강동내역최종(20051101) 2 2" xfId="6443" xr:uid="{00000000-0005-0000-0000-00005D060000}"/>
    <cellStyle name="_공무정산0104_공무정산양식(10월초)_기성내역서_전체계약변경(03)" xfId="2560" xr:uid="{00000000-0005-0000-0000-00005E060000}"/>
    <cellStyle name="_공무정산0104_공무정산양식(10월초)_기성내역서_전체계약변경(03) 2" xfId="6444" xr:uid="{00000000-0005-0000-0000-00005F060000}"/>
    <cellStyle name="_공무정산0104_공무정산양식(10월초)_기성내역서_전체계약변경(03) 2 2" xfId="6445" xr:uid="{00000000-0005-0000-0000-000060060000}"/>
    <cellStyle name="_공무정산0104_공무정산양식(10월초)_기성내역서_전체계약변경(03)_강동내역(9.28" xfId="2561" xr:uid="{00000000-0005-0000-0000-000061060000}"/>
    <cellStyle name="_공무정산0104_공무정산양식(10월초)_기성내역서_전체계약변경(03)_강동내역(9.28 2" xfId="6446" xr:uid="{00000000-0005-0000-0000-000062060000}"/>
    <cellStyle name="_공무정산0104_공무정산양식(10월초)_기성내역서_전체계약변경(03)_강동내역(9.28 2 2" xfId="6447" xr:uid="{00000000-0005-0000-0000-000063060000}"/>
    <cellStyle name="_공무정산0104_공무정산양식(10월초)_기성내역서_전체계약변경(03)_강동내역(9.28_T05-D03-004D(울산터널-조명제어-안소장님1003)" xfId="2563" xr:uid="{00000000-0005-0000-0000-000064060000}"/>
    <cellStyle name="_공무정산0104_공무정산양식(10월초)_기성내역서_전체계약변경(03)_강동내역(9.28_T05-D03-004D(울산터널-조명제어-안소장님1003) 2" xfId="6448" xr:uid="{00000000-0005-0000-0000-000065060000}"/>
    <cellStyle name="_공무정산0104_공무정산양식(10월초)_기성내역서_전체계약변경(03)_강동내역(9.28_T05-D03-004D(울산터널-조명제어-안소장님1003) 2 2" xfId="6449" xr:uid="{00000000-0005-0000-0000-000066060000}"/>
    <cellStyle name="_공무정산0104_공무정산양식(10월초)_기성내역서_전체계약변경(03)_강동내역(9.28_T05-D03-004D(울산터널-환기-구성설비0930)" xfId="2564" xr:uid="{00000000-0005-0000-0000-000067060000}"/>
    <cellStyle name="_공무정산0104_공무정산양식(10월초)_기성내역서_전체계약변경(03)_강동내역(9.28_T05-D03-004D(울산터널-환기-구성설비0930) 2" xfId="6450" xr:uid="{00000000-0005-0000-0000-000068060000}"/>
    <cellStyle name="_공무정산0104_공무정산양식(10월초)_기성내역서_전체계약변경(03)_강동내역(9.28_T05-D03-004D(울산터널-환기-구성설비0930) 2 2" xfId="6451" xr:uid="{00000000-0005-0000-0000-000069060000}"/>
    <cellStyle name="_공무정산0104_공무정산양식(10월초)_기성내역서_전체계약변경(03)_강동내역(9.28_울산강동내역최종(20051101)" xfId="2562" xr:uid="{00000000-0005-0000-0000-00006A060000}"/>
    <cellStyle name="_공무정산0104_공무정산양식(10월초)_기성내역서_전체계약변경(03)_강동내역(9.28_울산강동내역최종(20051101) 2" xfId="6452" xr:uid="{00000000-0005-0000-0000-00006B060000}"/>
    <cellStyle name="_공무정산0104_공무정산양식(10월초)_기성내역서_전체계약변경(03)_강동내역(9.28_울산강동내역최종(20051101) 2 2" xfId="6453" xr:uid="{00000000-0005-0000-0000-00006C060000}"/>
    <cellStyle name="_공무정산0104_공무정산양식(10월초)_전체계약변경(03)" xfId="2565" xr:uid="{00000000-0005-0000-0000-00006D060000}"/>
    <cellStyle name="_공무정산0104_공무정산양식(10월초)_전체계약변경(03) 2" xfId="6454" xr:uid="{00000000-0005-0000-0000-00006E060000}"/>
    <cellStyle name="_공무정산0104_공무정산양식(10월초)_전체계약변경(03) 2 2" xfId="6455" xr:uid="{00000000-0005-0000-0000-00006F060000}"/>
    <cellStyle name="_공무정산0104_공무정산양식(10월초)_전체계약변경(03)_강동내역(9.28" xfId="2566" xr:uid="{00000000-0005-0000-0000-000070060000}"/>
    <cellStyle name="_공무정산0104_공무정산양식(10월초)_전체계약변경(03)_강동내역(9.28 2" xfId="6456" xr:uid="{00000000-0005-0000-0000-000071060000}"/>
    <cellStyle name="_공무정산0104_공무정산양식(10월초)_전체계약변경(03)_강동내역(9.28 2 2" xfId="6457" xr:uid="{00000000-0005-0000-0000-000072060000}"/>
    <cellStyle name="_공무정산0104_공무정산양식(10월초)_전체계약변경(03)_강동내역(9.28_T05-D03-004D(울산터널-조명제어-안소장님1003)" xfId="2568" xr:uid="{00000000-0005-0000-0000-000073060000}"/>
    <cellStyle name="_공무정산0104_공무정산양식(10월초)_전체계약변경(03)_강동내역(9.28_T05-D03-004D(울산터널-조명제어-안소장님1003) 2" xfId="6458" xr:uid="{00000000-0005-0000-0000-000074060000}"/>
    <cellStyle name="_공무정산0104_공무정산양식(10월초)_전체계약변경(03)_강동내역(9.28_T05-D03-004D(울산터널-조명제어-안소장님1003) 2 2" xfId="6459" xr:uid="{00000000-0005-0000-0000-000075060000}"/>
    <cellStyle name="_공무정산0104_공무정산양식(10월초)_전체계약변경(03)_강동내역(9.28_T05-D03-004D(울산터널-환기-구성설비0930)" xfId="2569" xr:uid="{00000000-0005-0000-0000-000076060000}"/>
    <cellStyle name="_공무정산0104_공무정산양식(10월초)_전체계약변경(03)_강동내역(9.28_T05-D03-004D(울산터널-환기-구성설비0930) 2" xfId="6460" xr:uid="{00000000-0005-0000-0000-000077060000}"/>
    <cellStyle name="_공무정산0104_공무정산양식(10월초)_전체계약변경(03)_강동내역(9.28_T05-D03-004D(울산터널-환기-구성설비0930) 2 2" xfId="6461" xr:uid="{00000000-0005-0000-0000-000078060000}"/>
    <cellStyle name="_공무정산0104_공무정산양식(10월초)_전체계약변경(03)_강동내역(9.28_울산강동내역최종(20051101)" xfId="2567" xr:uid="{00000000-0005-0000-0000-000079060000}"/>
    <cellStyle name="_공무정산0104_공무정산양식(10월초)_전체계약변경(03)_강동내역(9.28_울산강동내역최종(20051101) 2" xfId="6462" xr:uid="{00000000-0005-0000-0000-00007A060000}"/>
    <cellStyle name="_공무정산0104_공무정산양식(10월초)_전체계약변경(03)_강동내역(9.28_울산강동내역최종(20051101) 2 2" xfId="6463" xr:uid="{00000000-0005-0000-0000-00007B060000}"/>
    <cellStyle name="_공무정산0104_공무정산양식(10월초)_포장외건(최종)" xfId="2570" xr:uid="{00000000-0005-0000-0000-00007C060000}"/>
    <cellStyle name="_공무정산0104_공무정산양식(10월초)_포장외건(최종) 2" xfId="6464" xr:uid="{00000000-0005-0000-0000-00007D060000}"/>
    <cellStyle name="_공무정산0104_공무정산양식(10월초)_포장외건(최종) 2 2" xfId="6465" xr:uid="{00000000-0005-0000-0000-00007E060000}"/>
    <cellStyle name="_공무정산0104_공무정산양식(10월초)_포장외건(최종)_강동내역(9.28" xfId="2571" xr:uid="{00000000-0005-0000-0000-00007F060000}"/>
    <cellStyle name="_공무정산0104_공무정산양식(10월초)_포장외건(최종)_강동내역(9.28 2" xfId="6466" xr:uid="{00000000-0005-0000-0000-000080060000}"/>
    <cellStyle name="_공무정산0104_공무정산양식(10월초)_포장외건(최종)_강동내역(9.28 2 2" xfId="6467" xr:uid="{00000000-0005-0000-0000-000081060000}"/>
    <cellStyle name="_공무정산0104_공무정산양식(10월초)_포장외건(최종)_강동내역(9.28_T05-D03-004D(울산터널-조명제어-안소장님1003)" xfId="2573" xr:uid="{00000000-0005-0000-0000-000082060000}"/>
    <cellStyle name="_공무정산0104_공무정산양식(10월초)_포장외건(최종)_강동내역(9.28_T05-D03-004D(울산터널-조명제어-안소장님1003) 2" xfId="6468" xr:uid="{00000000-0005-0000-0000-000083060000}"/>
    <cellStyle name="_공무정산0104_공무정산양식(10월초)_포장외건(최종)_강동내역(9.28_T05-D03-004D(울산터널-조명제어-안소장님1003) 2 2" xfId="6469" xr:uid="{00000000-0005-0000-0000-000084060000}"/>
    <cellStyle name="_공무정산0104_공무정산양식(10월초)_포장외건(최종)_강동내역(9.28_T05-D03-004D(울산터널-환기-구성설비0930)" xfId="2574" xr:uid="{00000000-0005-0000-0000-000085060000}"/>
    <cellStyle name="_공무정산0104_공무정산양식(10월초)_포장외건(최종)_강동내역(9.28_T05-D03-004D(울산터널-환기-구성설비0930) 2" xfId="6470" xr:uid="{00000000-0005-0000-0000-000086060000}"/>
    <cellStyle name="_공무정산0104_공무정산양식(10월초)_포장외건(최종)_강동내역(9.28_T05-D03-004D(울산터널-환기-구성설비0930) 2 2" xfId="6471" xr:uid="{00000000-0005-0000-0000-000087060000}"/>
    <cellStyle name="_공무정산0104_공무정산양식(10월초)_포장외건(최종)_강동내역(9.28_울산강동내역최종(20051101)" xfId="2572" xr:uid="{00000000-0005-0000-0000-000088060000}"/>
    <cellStyle name="_공무정산0104_공무정산양식(10월초)_포장외건(최종)_강동내역(9.28_울산강동내역최종(20051101) 2" xfId="6472" xr:uid="{00000000-0005-0000-0000-000089060000}"/>
    <cellStyle name="_공무정산0104_공무정산양식(10월초)_포장외건(최종)_강동내역(9.28_울산강동내역최종(20051101) 2 2" xfId="6473" xr:uid="{00000000-0005-0000-0000-00008A060000}"/>
    <cellStyle name="_공무정산0104_기성내역서" xfId="2575" xr:uid="{00000000-0005-0000-0000-00008B060000}"/>
    <cellStyle name="_공무정산0104_기성내역서 2" xfId="6474" xr:uid="{00000000-0005-0000-0000-00008C060000}"/>
    <cellStyle name="_공무정산0104_기성내역서 2 2" xfId="6475" xr:uid="{00000000-0005-0000-0000-00008D060000}"/>
    <cellStyle name="_공무정산0104_기성내역서_강동내역(9.28" xfId="2576" xr:uid="{00000000-0005-0000-0000-00008E060000}"/>
    <cellStyle name="_공무정산0104_기성내역서_강동내역(9.28 2" xfId="6476" xr:uid="{00000000-0005-0000-0000-00008F060000}"/>
    <cellStyle name="_공무정산0104_기성내역서_강동내역(9.28 2 2" xfId="6477" xr:uid="{00000000-0005-0000-0000-000090060000}"/>
    <cellStyle name="_공무정산0104_기성내역서_강동내역(9.28_T05-D03-004D(울산터널-조명제어-안소장님1003)" xfId="2578" xr:uid="{00000000-0005-0000-0000-000091060000}"/>
    <cellStyle name="_공무정산0104_기성내역서_강동내역(9.28_T05-D03-004D(울산터널-조명제어-안소장님1003) 2" xfId="6478" xr:uid="{00000000-0005-0000-0000-000092060000}"/>
    <cellStyle name="_공무정산0104_기성내역서_강동내역(9.28_T05-D03-004D(울산터널-조명제어-안소장님1003) 2 2" xfId="6479" xr:uid="{00000000-0005-0000-0000-000093060000}"/>
    <cellStyle name="_공무정산0104_기성내역서_강동내역(9.28_T05-D03-004D(울산터널-환기-구성설비0930)" xfId="2579" xr:uid="{00000000-0005-0000-0000-000094060000}"/>
    <cellStyle name="_공무정산0104_기성내역서_강동내역(9.28_T05-D03-004D(울산터널-환기-구성설비0930) 2" xfId="6480" xr:uid="{00000000-0005-0000-0000-000095060000}"/>
    <cellStyle name="_공무정산0104_기성내역서_강동내역(9.28_T05-D03-004D(울산터널-환기-구성설비0930) 2 2" xfId="6481" xr:uid="{00000000-0005-0000-0000-000096060000}"/>
    <cellStyle name="_공무정산0104_기성내역서_강동내역(9.28_울산강동내역최종(20051101)" xfId="2577" xr:uid="{00000000-0005-0000-0000-000097060000}"/>
    <cellStyle name="_공무정산0104_기성내역서_강동내역(9.28_울산강동내역최종(20051101) 2" xfId="6482" xr:uid="{00000000-0005-0000-0000-000098060000}"/>
    <cellStyle name="_공무정산0104_기성내역서_강동내역(9.28_울산강동내역최종(20051101) 2 2" xfId="6483" xr:uid="{00000000-0005-0000-0000-000099060000}"/>
    <cellStyle name="_공무정산0104_기성내역서_전체계약변경(03)" xfId="2580" xr:uid="{00000000-0005-0000-0000-00009A060000}"/>
    <cellStyle name="_공무정산0104_기성내역서_전체계약변경(03) 2" xfId="6484" xr:uid="{00000000-0005-0000-0000-00009B060000}"/>
    <cellStyle name="_공무정산0104_기성내역서_전체계약변경(03) 2 2" xfId="6485" xr:uid="{00000000-0005-0000-0000-00009C060000}"/>
    <cellStyle name="_공무정산0104_기성내역서_전체계약변경(03)_강동내역(9.28" xfId="2581" xr:uid="{00000000-0005-0000-0000-00009D060000}"/>
    <cellStyle name="_공무정산0104_기성내역서_전체계약변경(03)_강동내역(9.28 2" xfId="6486" xr:uid="{00000000-0005-0000-0000-00009E060000}"/>
    <cellStyle name="_공무정산0104_기성내역서_전체계약변경(03)_강동내역(9.28 2 2" xfId="6487" xr:uid="{00000000-0005-0000-0000-00009F060000}"/>
    <cellStyle name="_공무정산0104_기성내역서_전체계약변경(03)_강동내역(9.28_T05-D03-004D(울산터널-조명제어-안소장님1003)" xfId="2583" xr:uid="{00000000-0005-0000-0000-0000A0060000}"/>
    <cellStyle name="_공무정산0104_기성내역서_전체계약변경(03)_강동내역(9.28_T05-D03-004D(울산터널-조명제어-안소장님1003) 2" xfId="6488" xr:uid="{00000000-0005-0000-0000-0000A1060000}"/>
    <cellStyle name="_공무정산0104_기성내역서_전체계약변경(03)_강동내역(9.28_T05-D03-004D(울산터널-조명제어-안소장님1003) 2 2" xfId="6489" xr:uid="{00000000-0005-0000-0000-0000A2060000}"/>
    <cellStyle name="_공무정산0104_기성내역서_전체계약변경(03)_강동내역(9.28_T05-D03-004D(울산터널-환기-구성설비0930)" xfId="2584" xr:uid="{00000000-0005-0000-0000-0000A3060000}"/>
    <cellStyle name="_공무정산0104_기성내역서_전체계약변경(03)_강동내역(9.28_T05-D03-004D(울산터널-환기-구성설비0930) 2" xfId="6490" xr:uid="{00000000-0005-0000-0000-0000A4060000}"/>
    <cellStyle name="_공무정산0104_기성내역서_전체계약변경(03)_강동내역(9.28_T05-D03-004D(울산터널-환기-구성설비0930) 2 2" xfId="6491" xr:uid="{00000000-0005-0000-0000-0000A5060000}"/>
    <cellStyle name="_공무정산0104_기성내역서_전체계약변경(03)_강동내역(9.28_울산강동내역최종(20051101)" xfId="2582" xr:uid="{00000000-0005-0000-0000-0000A6060000}"/>
    <cellStyle name="_공무정산0104_기성내역서_전체계약변경(03)_강동내역(9.28_울산강동내역최종(20051101) 2" xfId="6492" xr:uid="{00000000-0005-0000-0000-0000A7060000}"/>
    <cellStyle name="_공무정산0104_기성내역서_전체계약변경(03)_강동내역(9.28_울산강동내역최종(20051101) 2 2" xfId="6493" xr:uid="{00000000-0005-0000-0000-0000A8060000}"/>
    <cellStyle name="_공무정산0104_전체계약변경(03)" xfId="2585" xr:uid="{00000000-0005-0000-0000-0000A9060000}"/>
    <cellStyle name="_공무정산0104_전체계약변경(03) 2" xfId="6494" xr:uid="{00000000-0005-0000-0000-0000AA060000}"/>
    <cellStyle name="_공무정산0104_전체계약변경(03) 2 2" xfId="6495" xr:uid="{00000000-0005-0000-0000-0000AB060000}"/>
    <cellStyle name="_공무정산0104_전체계약변경(03)_강동내역(9.28" xfId="2586" xr:uid="{00000000-0005-0000-0000-0000AC060000}"/>
    <cellStyle name="_공무정산0104_전체계약변경(03)_강동내역(9.28 2" xfId="6496" xr:uid="{00000000-0005-0000-0000-0000AD060000}"/>
    <cellStyle name="_공무정산0104_전체계약변경(03)_강동내역(9.28 2 2" xfId="6497" xr:uid="{00000000-0005-0000-0000-0000AE060000}"/>
    <cellStyle name="_공무정산0104_전체계약변경(03)_강동내역(9.28_T05-D03-004D(울산터널-조명제어-안소장님1003)" xfId="2588" xr:uid="{00000000-0005-0000-0000-0000AF060000}"/>
    <cellStyle name="_공무정산0104_전체계약변경(03)_강동내역(9.28_T05-D03-004D(울산터널-조명제어-안소장님1003) 2" xfId="6498" xr:uid="{00000000-0005-0000-0000-0000B0060000}"/>
    <cellStyle name="_공무정산0104_전체계약변경(03)_강동내역(9.28_T05-D03-004D(울산터널-조명제어-안소장님1003) 2 2" xfId="6499" xr:uid="{00000000-0005-0000-0000-0000B1060000}"/>
    <cellStyle name="_공무정산0104_전체계약변경(03)_강동내역(9.28_T05-D03-004D(울산터널-환기-구성설비0930)" xfId="2589" xr:uid="{00000000-0005-0000-0000-0000B2060000}"/>
    <cellStyle name="_공무정산0104_전체계약변경(03)_강동내역(9.28_T05-D03-004D(울산터널-환기-구성설비0930) 2" xfId="6500" xr:uid="{00000000-0005-0000-0000-0000B3060000}"/>
    <cellStyle name="_공무정산0104_전체계약변경(03)_강동내역(9.28_T05-D03-004D(울산터널-환기-구성설비0930) 2 2" xfId="6501" xr:uid="{00000000-0005-0000-0000-0000B4060000}"/>
    <cellStyle name="_공무정산0104_전체계약변경(03)_강동내역(9.28_울산강동내역최종(20051101)" xfId="2587" xr:uid="{00000000-0005-0000-0000-0000B5060000}"/>
    <cellStyle name="_공무정산0104_전체계약변경(03)_강동내역(9.28_울산강동내역최종(20051101) 2" xfId="6502" xr:uid="{00000000-0005-0000-0000-0000B6060000}"/>
    <cellStyle name="_공무정산0104_전체계약변경(03)_강동내역(9.28_울산강동내역최종(20051101) 2 2" xfId="6503" xr:uid="{00000000-0005-0000-0000-0000B7060000}"/>
    <cellStyle name="_공무정산0104_포장외건(최종)" xfId="2590" xr:uid="{00000000-0005-0000-0000-0000B8060000}"/>
    <cellStyle name="_공무정산0104_포장외건(최종) 2" xfId="6504" xr:uid="{00000000-0005-0000-0000-0000B9060000}"/>
    <cellStyle name="_공무정산0104_포장외건(최종) 2 2" xfId="6505" xr:uid="{00000000-0005-0000-0000-0000BA060000}"/>
    <cellStyle name="_공무정산0104_포장외건(최종)_강동내역(9.28" xfId="2591" xr:uid="{00000000-0005-0000-0000-0000BB060000}"/>
    <cellStyle name="_공무정산0104_포장외건(최종)_강동내역(9.28 2" xfId="6506" xr:uid="{00000000-0005-0000-0000-0000BC060000}"/>
    <cellStyle name="_공무정산0104_포장외건(최종)_강동내역(9.28 2 2" xfId="6507" xr:uid="{00000000-0005-0000-0000-0000BD060000}"/>
    <cellStyle name="_공무정산0104_포장외건(최종)_강동내역(9.28_T05-D03-004D(울산터널-조명제어-안소장님1003)" xfId="2593" xr:uid="{00000000-0005-0000-0000-0000BE060000}"/>
    <cellStyle name="_공무정산0104_포장외건(최종)_강동내역(9.28_T05-D03-004D(울산터널-조명제어-안소장님1003) 2" xfId="6508" xr:uid="{00000000-0005-0000-0000-0000BF060000}"/>
    <cellStyle name="_공무정산0104_포장외건(최종)_강동내역(9.28_T05-D03-004D(울산터널-조명제어-안소장님1003) 2 2" xfId="6509" xr:uid="{00000000-0005-0000-0000-0000C0060000}"/>
    <cellStyle name="_공무정산0104_포장외건(최종)_강동내역(9.28_T05-D03-004D(울산터널-환기-구성설비0930)" xfId="2594" xr:uid="{00000000-0005-0000-0000-0000C1060000}"/>
    <cellStyle name="_공무정산0104_포장외건(최종)_강동내역(9.28_T05-D03-004D(울산터널-환기-구성설비0930) 2" xfId="6510" xr:uid="{00000000-0005-0000-0000-0000C2060000}"/>
    <cellStyle name="_공무정산0104_포장외건(최종)_강동내역(9.28_T05-D03-004D(울산터널-환기-구성설비0930) 2 2" xfId="6511" xr:uid="{00000000-0005-0000-0000-0000C3060000}"/>
    <cellStyle name="_공무정산0104_포장외건(최종)_강동내역(9.28_울산강동내역최종(20051101)" xfId="2592" xr:uid="{00000000-0005-0000-0000-0000C4060000}"/>
    <cellStyle name="_공무정산0104_포장외건(최종)_강동내역(9.28_울산강동내역최종(20051101) 2" xfId="6512" xr:uid="{00000000-0005-0000-0000-0000C5060000}"/>
    <cellStyle name="_공무정산0104_포장외건(최종)_강동내역(9.28_울산강동내역최종(20051101) 2 2" xfId="6513" xr:uid="{00000000-0005-0000-0000-0000C6060000}"/>
    <cellStyle name="_공문 " xfId="1840" xr:uid="{00000000-0005-0000-0000-0000C7060000}"/>
    <cellStyle name="_공문 _내역서" xfId="1841" xr:uid="{00000000-0005-0000-0000-0000C8060000}"/>
    <cellStyle name="_공문양식" xfId="1842" xr:uid="{00000000-0005-0000-0000-0000C9060000}"/>
    <cellStyle name="_공사개요" xfId="1061" xr:uid="{00000000-0005-0000-0000-0000CA060000}"/>
    <cellStyle name="_공원시설물정비내역(0306납품)" xfId="1843" xr:uid="{00000000-0005-0000-0000-0000CB060000}"/>
    <cellStyle name="_공원시설정비공사" xfId="1844" xr:uid="{00000000-0005-0000-0000-0000CC060000}"/>
    <cellStyle name="_공통" xfId="2595" xr:uid="{00000000-0005-0000-0000-0000CD060000}"/>
    <cellStyle name="_공항정거장최종내역서(05(1).06.29)" xfId="1062" xr:uid="{00000000-0005-0000-0000-0000CE060000}"/>
    <cellStyle name="_광가입자전송장비(FLC)삼성" xfId="6514" xr:uid="{00000000-0005-0000-0000-0000CF060000}"/>
    <cellStyle name="_광가입자전송장비(FLC)삼성 2" xfId="6515" xr:uid="{00000000-0005-0000-0000-0000D0060000}"/>
    <cellStyle name="_광가입자전송장비(FLC)삼성 2 2" xfId="6516" xr:uid="{00000000-0005-0000-0000-0000D1060000}"/>
    <cellStyle name="_광나룻길변경내역(감독관용)" xfId="1063" xr:uid="{00000000-0005-0000-0000-0000D2060000}"/>
    <cellStyle name="_광안리내역서(구도)" xfId="6517" xr:uid="{00000000-0005-0000-0000-0000D3060000}"/>
    <cellStyle name="_광안리내역서(구도) 2" xfId="6518" xr:uid="{00000000-0005-0000-0000-0000D4060000}"/>
    <cellStyle name="_광안리내역서(구도) 2 2" xfId="6519" xr:uid="{00000000-0005-0000-0000-0000D5060000}"/>
    <cellStyle name="_광안리내역서(구도) 3" xfId="6520" xr:uid="{00000000-0005-0000-0000-0000D6060000}"/>
    <cellStyle name="_교천리" xfId="2596" xr:uid="{00000000-0005-0000-0000-0000D7060000}"/>
    <cellStyle name="_구즉내역서" xfId="1845" xr:uid="{00000000-0005-0000-0000-0000D8060000}"/>
    <cellStyle name="_국수교수량" xfId="1064" xr:uid="{00000000-0005-0000-0000-0000D9060000}"/>
    <cellStyle name="_국수교수량_무주골천수량" xfId="1065" xr:uid="{00000000-0005-0000-0000-0000DA060000}"/>
    <cellStyle name="_국수교수량_무주골천수량_제2 사토장 조경공사" xfId="1846" xr:uid="{00000000-0005-0000-0000-0000DB060000}"/>
    <cellStyle name="_국수교수량_무주골천수량_현석동 1-5번지 일대 마을마당조성" xfId="1847" xr:uid="{00000000-0005-0000-0000-0000DC060000}"/>
    <cellStyle name="_국수교수량_무주골천수량_휘경2동 마을마당 조성공사" xfId="1848" xr:uid="{00000000-0005-0000-0000-0000DD060000}"/>
    <cellStyle name="_국수교수량_제2 사토장 조경공사" xfId="1849" xr:uid="{00000000-0005-0000-0000-0000DE060000}"/>
    <cellStyle name="_국수교수량_현석동 1-5번지 일대 마을마당조성" xfId="1850" xr:uid="{00000000-0005-0000-0000-0000DF060000}"/>
    <cellStyle name="_국수교수량_호명12공구" xfId="1066" xr:uid="{00000000-0005-0000-0000-0000E0060000}"/>
    <cellStyle name="_국수교수량_호명12공구_제2 사토장 조경공사" xfId="1851" xr:uid="{00000000-0005-0000-0000-0000E1060000}"/>
    <cellStyle name="_국수교수량_호명12공구_현석동 1-5번지 일대 마을마당조성" xfId="1852" xr:uid="{00000000-0005-0000-0000-0000E2060000}"/>
    <cellStyle name="_국수교수량_호명12공구_휘경2동 마을마당 조성공사" xfId="1853" xr:uid="{00000000-0005-0000-0000-0000E3060000}"/>
    <cellStyle name="_국수교수량_휘경2동 마을마당 조성공사" xfId="1854" xr:uid="{00000000-0005-0000-0000-0000E4060000}"/>
    <cellStyle name="_군산ITS 설계 원가 조사20031224" xfId="6521" xr:uid="{00000000-0005-0000-0000-0000E5060000}"/>
    <cellStyle name="_군산ITS 설계 원가 조사20031224 2" xfId="6522" xr:uid="{00000000-0005-0000-0000-0000E6060000}"/>
    <cellStyle name="_군산ITS 설계 원가 조사20031224 2 2" xfId="6523" xr:uid="{00000000-0005-0000-0000-0000E7060000}"/>
    <cellStyle name="_군산ITS 설계 원가 조사20031224 3" xfId="6524" xr:uid="{00000000-0005-0000-0000-0000E8060000}"/>
    <cellStyle name="_기본형" xfId="2597" xr:uid="{00000000-0005-0000-0000-0000E9060000}"/>
    <cellStyle name="_기상부분_태민" xfId="6525" xr:uid="{00000000-0005-0000-0000-0000EA060000}"/>
    <cellStyle name="_기상부분_태민 2" xfId="6526" xr:uid="{00000000-0005-0000-0000-0000EB060000}"/>
    <cellStyle name="_기상부분_태민 2 2" xfId="6527" xr:uid="{00000000-0005-0000-0000-0000EC060000}"/>
    <cellStyle name="_기성검사원" xfId="1855" xr:uid="{00000000-0005-0000-0000-0000ED060000}"/>
    <cellStyle name="_기성검사원_내역서" xfId="1856" xr:uid="{00000000-0005-0000-0000-0000EE060000}"/>
    <cellStyle name="_기초공사" xfId="6528" xr:uid="{00000000-0005-0000-0000-0000EF060000}"/>
    <cellStyle name="_기초공사 2" xfId="6529" xr:uid="{00000000-0005-0000-0000-0000F0060000}"/>
    <cellStyle name="_기초공사 2 2" xfId="6530" xr:uid="{00000000-0005-0000-0000-0000F1060000}"/>
    <cellStyle name="_기초공사 3" xfId="6531" xr:uid="{00000000-0005-0000-0000-0000F2060000}"/>
    <cellStyle name="_기타경비" xfId="2598" xr:uid="{00000000-0005-0000-0000-0000F3060000}"/>
    <cellStyle name="_기타경비 2" xfId="6532" xr:uid="{00000000-0005-0000-0000-0000F4060000}"/>
    <cellStyle name="_기타경비 2 2" xfId="6533" xr:uid="{00000000-0005-0000-0000-0000F5060000}"/>
    <cellStyle name="_기타경비_가산2빗물-발주용-시설물토목화" xfId="2599" xr:uid="{00000000-0005-0000-0000-0000F6060000}"/>
    <cellStyle name="_기흥T2pjt부속동(작업)" xfId="1067" xr:uid="{00000000-0005-0000-0000-0000F7060000}"/>
    <cellStyle name="_김포ER(세종)" xfId="1068" xr:uid="{00000000-0005-0000-0000-0000F8060000}"/>
    <cellStyle name="_김해한솔솔파크전기공사(작업)" xfId="1069" xr:uid="{00000000-0005-0000-0000-0000F9060000}"/>
    <cellStyle name="_나노엔텍(임금)" xfId="6534" xr:uid="{00000000-0005-0000-0000-0000FA060000}"/>
    <cellStyle name="_나노엔텍(임금) 2" xfId="6535" xr:uid="{00000000-0005-0000-0000-0000FB060000}"/>
    <cellStyle name="_나노엔텍(임금) 2 2" xfId="6536" xr:uid="{00000000-0005-0000-0000-0000FC060000}"/>
    <cellStyle name="_내역(991895-7)" xfId="6537" xr:uid="{00000000-0005-0000-0000-0000FD060000}"/>
    <cellStyle name="_내역(991895-7) 2" xfId="6538" xr:uid="{00000000-0005-0000-0000-0000FE060000}"/>
    <cellStyle name="_내역(991895-7) 2 2" xfId="6539" xr:uid="{00000000-0005-0000-0000-0000FF060000}"/>
    <cellStyle name="_내역(991895-7)-01" xfId="6540" xr:uid="{00000000-0005-0000-0000-000000070000}"/>
    <cellStyle name="_내역(991895-7)-01 2" xfId="6541" xr:uid="{00000000-0005-0000-0000-000001070000}"/>
    <cellStyle name="_내역(991895-7)-01 2 2" xfId="6542" xr:uid="{00000000-0005-0000-0000-000002070000}"/>
    <cellStyle name="_내역(991895-7)-12-3일작업" xfId="6543" xr:uid="{00000000-0005-0000-0000-000003070000}"/>
    <cellStyle name="_내역(991895-7)-12-3일작업 2" xfId="6544" xr:uid="{00000000-0005-0000-0000-000004070000}"/>
    <cellStyle name="_내역(991895-7)-12-3일작업 2 2" xfId="6545" xr:uid="{00000000-0005-0000-0000-000005070000}"/>
    <cellStyle name="_내역서" xfId="1070" xr:uid="{00000000-0005-0000-0000-000006070000}"/>
    <cellStyle name="_내역서 2" xfId="6546" xr:uid="{00000000-0005-0000-0000-000007070000}"/>
    <cellStyle name="_내역서 2 2" xfId="6547" xr:uid="{00000000-0005-0000-0000-000008070000}"/>
    <cellStyle name="_내역서(밀양시)" xfId="2600" xr:uid="{00000000-0005-0000-0000-000009070000}"/>
    <cellStyle name="_내역서(밀양시) 2" xfId="6548" xr:uid="{00000000-0005-0000-0000-00000A070000}"/>
    <cellStyle name="_내역서(밀양시) 2 2" xfId="6549" xr:uid="{00000000-0005-0000-0000-00000B070000}"/>
    <cellStyle name="_내역서(센터_하드웨어_v1)" xfId="6550" xr:uid="{00000000-0005-0000-0000-00000C070000}"/>
    <cellStyle name="_내역서(센터_하드웨어_v1) 2" xfId="6551" xr:uid="{00000000-0005-0000-0000-00000D070000}"/>
    <cellStyle name="_내역서(센터_하드웨어_v1) 2 2" xfId="6552" xr:uid="{00000000-0005-0000-0000-00000E070000}"/>
    <cellStyle name="_내역서(센터_하드웨어_통합_V2)" xfId="6553" xr:uid="{00000000-0005-0000-0000-00000F070000}"/>
    <cellStyle name="_내역서(센터_하드웨어_통합_V2) 2" xfId="6554" xr:uid="{00000000-0005-0000-0000-000010070000}"/>
    <cellStyle name="_내역서(센터_하드웨어_통합_V2) 2 2" xfId="6555" xr:uid="{00000000-0005-0000-0000-000011070000}"/>
    <cellStyle name="_내역서(센터_하드웨어_통합_V2) 3" xfId="6556" xr:uid="{00000000-0005-0000-0000-000012070000}"/>
    <cellStyle name="_내역서(수서IC케이블개보수공사실시설계용역)-수정" xfId="1071" xr:uid="{00000000-0005-0000-0000-000013070000}"/>
    <cellStyle name="_내역서_1.설계내역서,2.일위대가표(전기)" xfId="6557" xr:uid="{00000000-0005-0000-0000-000014070000}"/>
    <cellStyle name="_내역서_1.설계내역서,2.일위대가표(전기) 2" xfId="6558" xr:uid="{00000000-0005-0000-0000-000015070000}"/>
    <cellStyle name="_내역서_1.설계내역서,2.일위대가표(전기) 2 2" xfId="6559" xr:uid="{00000000-0005-0000-0000-000016070000}"/>
    <cellStyle name="_내역서_VDS(최신11-07)" xfId="6560" xr:uid="{00000000-0005-0000-0000-000017070000}"/>
    <cellStyle name="_내역서_VDS(최신11-07) 2" xfId="6561" xr:uid="{00000000-0005-0000-0000-000018070000}"/>
    <cellStyle name="_내역서_VDS(최신11-07) 2 2" xfId="6562" xr:uid="{00000000-0005-0000-0000-000019070000}"/>
    <cellStyle name="_내역서_VDS(최신11-07) 3" xfId="6563" xr:uid="{00000000-0005-0000-0000-00001A070000}"/>
    <cellStyle name="_내역서_서부도로교통사업소 예산서(마포구신호등)" xfId="6564" xr:uid="{00000000-0005-0000-0000-00001B070000}"/>
    <cellStyle name="_내역서_서부도로교통사업소 예산서(마포구신호등) 2" xfId="6565" xr:uid="{00000000-0005-0000-0000-00001C070000}"/>
    <cellStyle name="_내역서_서부도로교통사업소 예산서(마포구신호등) 2 2" xfId="6566" xr:uid="{00000000-0005-0000-0000-00001D070000}"/>
    <cellStyle name="_내역서+개요(월배통신)" xfId="6567" xr:uid="{00000000-0005-0000-0000-00001E070000}"/>
    <cellStyle name="_내역서+개요(월배통신) 2" xfId="6568" xr:uid="{00000000-0005-0000-0000-00001F070000}"/>
    <cellStyle name="_내역서+개요(월배통신) 2 2" xfId="6569" xr:uid="{00000000-0005-0000-0000-000020070000}"/>
    <cellStyle name="_내역서+개요(월배통신) 3" xfId="6570" xr:uid="{00000000-0005-0000-0000-000021070000}"/>
    <cellStyle name="_내역서+개요(전기)-6.7(최종)" xfId="6571" xr:uid="{00000000-0005-0000-0000-000022070000}"/>
    <cellStyle name="_내역서+개요(전기)-6.7(최종) 2" xfId="6572" xr:uid="{00000000-0005-0000-0000-000023070000}"/>
    <cellStyle name="_내역서+개요(전기)-6.7(최종) 2 2" xfId="6573" xr:uid="{00000000-0005-0000-0000-000024070000}"/>
    <cellStyle name="_내역서+개요(전기)-6.7(최종) 3" xfId="6574" xr:uid="{00000000-0005-0000-0000-000025070000}"/>
    <cellStyle name="_내역서+개요(통신)" xfId="6575" xr:uid="{00000000-0005-0000-0000-000026070000}"/>
    <cellStyle name="_내역서+개요(통신) 2" xfId="6576" xr:uid="{00000000-0005-0000-0000-000027070000}"/>
    <cellStyle name="_내역서+개요(통신) 2 2" xfId="6577" xr:uid="{00000000-0005-0000-0000-000028070000}"/>
    <cellStyle name="_내역서+개요(통신) 3" xfId="6578" xr:uid="{00000000-0005-0000-0000-000029070000}"/>
    <cellStyle name="_내역서2" xfId="6579" xr:uid="{00000000-0005-0000-0000-00002A070000}"/>
    <cellStyle name="_내역서2 2" xfId="6580" xr:uid="{00000000-0005-0000-0000-00002B070000}"/>
    <cellStyle name="_내역서2 2 2" xfId="6581" xr:uid="{00000000-0005-0000-0000-00002C070000}"/>
    <cellStyle name="_내역서2 3" xfId="6582" xr:uid="{00000000-0005-0000-0000-00002D070000}"/>
    <cellStyle name="_내역서및설계서" xfId="1072" xr:uid="{00000000-0005-0000-0000-00002E070000}"/>
    <cellStyle name="_내역서피뢰및접지" xfId="6583" xr:uid="{00000000-0005-0000-0000-00002F070000}"/>
    <cellStyle name="_내역서피뢰및접지 2" xfId="6584" xr:uid="{00000000-0005-0000-0000-000030070000}"/>
    <cellStyle name="_내역서피뢰및접지 2 2" xfId="6585" xr:uid="{00000000-0005-0000-0000-000031070000}"/>
    <cellStyle name="_노고봉-내역" xfId="1857" xr:uid="{00000000-0005-0000-0000-000032070000}"/>
    <cellStyle name="_농수로3종외-최종" xfId="6586" xr:uid="{00000000-0005-0000-0000-000033070000}"/>
    <cellStyle name="_농수로3종외-최종 2" xfId="6587" xr:uid="{00000000-0005-0000-0000-000034070000}"/>
    <cellStyle name="_농수로3종외-최종 2 2" xfId="6588" xr:uid="{00000000-0005-0000-0000-000035070000}"/>
    <cellStyle name="_농수로3종외-최종 3" xfId="6589" xr:uid="{00000000-0005-0000-0000-000036070000}"/>
    <cellStyle name="_능말폐기물내역(2단계-총괄)" xfId="1858" xr:uid="{00000000-0005-0000-0000-000037070000}"/>
    <cellStyle name="_단가산출서" xfId="6590" xr:uid="{00000000-0005-0000-0000-000038070000}"/>
    <cellStyle name="_단가산출서 2" xfId="6591" xr:uid="{00000000-0005-0000-0000-000039070000}"/>
    <cellStyle name="_단가산출서 2 2" xfId="6592" xr:uid="{00000000-0005-0000-0000-00003A070000}"/>
    <cellStyle name="_단가산출서 3" xfId="6593" xr:uid="{00000000-0005-0000-0000-00003B070000}"/>
    <cellStyle name="_단가산출서(합)" xfId="1073" xr:uid="{00000000-0005-0000-0000-00003C070000}"/>
    <cellStyle name="_단가표" xfId="1074" xr:uid="{00000000-0005-0000-0000-00003D070000}"/>
    <cellStyle name="_대전둔산E-MART(A공구)" xfId="1075" xr:uid="{00000000-0005-0000-0000-00003E070000}"/>
    <cellStyle name="_대전망운용국 대수선 전기공사+개요" xfId="6594" xr:uid="{00000000-0005-0000-0000-00003F070000}"/>
    <cellStyle name="_대전망운용국 대수선 전기공사+개요 2" xfId="6595" xr:uid="{00000000-0005-0000-0000-000040070000}"/>
    <cellStyle name="_대전망운용국 대수선 전기공사+개요 2 2" xfId="6596" xr:uid="{00000000-0005-0000-0000-000041070000}"/>
    <cellStyle name="_동계지구(변경1)" xfId="2601" xr:uid="{00000000-0005-0000-0000-000042070000}"/>
    <cellStyle name="_동목포전화국제4회기성청구서" xfId="6597" xr:uid="{00000000-0005-0000-0000-000043070000}"/>
    <cellStyle name="_동목포전화국제4회기성청구서 2" xfId="6598" xr:uid="{00000000-0005-0000-0000-000044070000}"/>
    <cellStyle name="_동목포전화국제4회기성청구서 2 2" xfId="6599" xr:uid="{00000000-0005-0000-0000-000045070000}"/>
    <cellStyle name="_동원꽃농원" xfId="1859" xr:uid="{00000000-0005-0000-0000-000046070000}"/>
    <cellStyle name="_둔전~삼계리내역서(가로등)-수정" xfId="2602" xr:uid="{00000000-0005-0000-0000-000047070000}"/>
    <cellStyle name="_둔전~삼계리내역서(가로등)-수정 2" xfId="6600" xr:uid="{00000000-0005-0000-0000-000048070000}"/>
    <cellStyle name="_둔전~삼계리내역서(가로등)-수정 2 2" xfId="6601" xr:uid="{00000000-0005-0000-0000-000049070000}"/>
    <cellStyle name="_둔전~삼계리내역서(가로등)-수정_가산2빗물-발주용-시설물토목화" xfId="2603" xr:uid="{00000000-0005-0000-0000-00004A070000}"/>
    <cellStyle name="_등촌동 어린이집" xfId="1076" xr:uid="{00000000-0005-0000-0000-00004B070000}"/>
    <cellStyle name="_라멘교 토공" xfId="2604" xr:uid="{00000000-0005-0000-0000-00004C070000}"/>
    <cellStyle name="_라멘교 토공_02. 깨기총괄표1" xfId="2605" xr:uid="{00000000-0005-0000-0000-00004D070000}"/>
    <cellStyle name="_롯데골드로즈1일반전기(FINAL)" xfId="1077" xr:uid="{00000000-0005-0000-0000-00004E070000}"/>
    <cellStyle name="_롯데창원2공구본실행" xfId="1078" xr:uid="{00000000-0005-0000-0000-00004F070000}"/>
    <cellStyle name="_마그넷전력간선연간단가(2001년 BM)" xfId="1079" xr:uid="{00000000-0005-0000-0000-000050070000}"/>
    <cellStyle name="_마창VMS1EA-2_2" xfId="6602" xr:uid="{00000000-0005-0000-0000-000051070000}"/>
    <cellStyle name="_마창VMS1EA-2_2 2" xfId="6603" xr:uid="{00000000-0005-0000-0000-000052070000}"/>
    <cellStyle name="_마창VMS1EA-2_2 2 2" xfId="6604" xr:uid="{00000000-0005-0000-0000-000053070000}"/>
    <cellStyle name="_말띠고개(수정)" xfId="2606" xr:uid="{00000000-0005-0000-0000-000054070000}"/>
    <cellStyle name="_말띠고개(수정) 2" xfId="6605" xr:uid="{00000000-0005-0000-0000-000055070000}"/>
    <cellStyle name="_말띠고개(수정) 2 2" xfId="6606" xr:uid="{00000000-0005-0000-0000-000056070000}"/>
    <cellStyle name="_말띠고개(수정) 3" xfId="6607" xr:uid="{00000000-0005-0000-0000-000057070000}"/>
    <cellStyle name="_망향휴게소조경시설물설치공사" xfId="1860" xr:uid="{00000000-0005-0000-0000-000058070000}"/>
    <cellStyle name="_먼저열기-교통신호기내역" xfId="6608" xr:uid="{00000000-0005-0000-0000-000059070000}"/>
    <cellStyle name="_먼저열기-교통신호기내역 2" xfId="6609" xr:uid="{00000000-0005-0000-0000-00005A070000}"/>
    <cellStyle name="_먼저열기-교통신호기내역 2 2" xfId="6610" xr:uid="{00000000-0005-0000-0000-00005B070000}"/>
    <cellStyle name="_무정전전원장치 총괄표" xfId="1080" xr:uid="{00000000-0005-0000-0000-00005C070000}"/>
    <cellStyle name="_방동" xfId="1861" xr:uid="{00000000-0005-0000-0000-00005D070000}"/>
    <cellStyle name="_방동_02. 깨기총괄표1" xfId="2607" xr:uid="{00000000-0005-0000-0000-00005E070000}"/>
    <cellStyle name="_방동_03구조~1" xfId="2608" xr:uid="{00000000-0005-0000-0000-00005F070000}"/>
    <cellStyle name="_방동_03구조~1_02. 깨기총괄표1" xfId="2609" xr:uid="{00000000-0005-0000-0000-000060070000}"/>
    <cellStyle name="_방동_03구조~1_라멘교 토공" xfId="2610" xr:uid="{00000000-0005-0000-0000-000061070000}"/>
    <cellStyle name="_방동_03구조~1_라멘교 토공_02. 깨기총괄표1" xfId="2611" xr:uid="{00000000-0005-0000-0000-000062070000}"/>
    <cellStyle name="_방동_03구조~1_포장" xfId="2612" xr:uid="{00000000-0005-0000-0000-000063070000}"/>
    <cellStyle name="_방동_03구조~1_포장_02. 깨기총괄표1" xfId="2613" xr:uid="{00000000-0005-0000-0000-000064070000}"/>
    <cellStyle name="_방동_03구조~1_포장_라멘교 토공" xfId="2614" xr:uid="{00000000-0005-0000-0000-000065070000}"/>
    <cellStyle name="_방동_03구조~1_포장_라멘교 토공_02. 깨기총괄표1" xfId="2615" xr:uid="{00000000-0005-0000-0000-000066070000}"/>
    <cellStyle name="_방동_03구조물공" xfId="2616" xr:uid="{00000000-0005-0000-0000-000067070000}"/>
    <cellStyle name="_방동_03구조물공_02. 깨기총괄표1" xfId="2617" xr:uid="{00000000-0005-0000-0000-000068070000}"/>
    <cellStyle name="_방동_03구조물공_라멘교 토공" xfId="2618" xr:uid="{00000000-0005-0000-0000-000069070000}"/>
    <cellStyle name="_방동_03구조물공_라멘교 토공_02. 깨기총괄표1" xfId="2619" xr:uid="{00000000-0005-0000-0000-00006A070000}"/>
    <cellStyle name="_방동_03구조물공_포장" xfId="2620" xr:uid="{00000000-0005-0000-0000-00006B070000}"/>
    <cellStyle name="_방동_03구조물공_포장_02. 깨기총괄표1" xfId="2621" xr:uid="{00000000-0005-0000-0000-00006C070000}"/>
    <cellStyle name="_방동_03구조물공_포장_라멘교 토공" xfId="2622" xr:uid="{00000000-0005-0000-0000-00006D070000}"/>
    <cellStyle name="_방동_03구조물공_포장_라멘교 토공_02. 깨기총괄표1" xfId="2623" xr:uid="{00000000-0005-0000-0000-00006E070000}"/>
    <cellStyle name="_방동_동막리소교량" xfId="2624" xr:uid="{00000000-0005-0000-0000-00006F070000}"/>
    <cellStyle name="_방동_동막리소교량_02. 깨기총괄표1" xfId="2625" xr:uid="{00000000-0005-0000-0000-000070070000}"/>
    <cellStyle name="_방동_동막리소교량_라멘교 토공" xfId="2626" xr:uid="{00000000-0005-0000-0000-000071070000}"/>
    <cellStyle name="_방동_동막리소교량_라멘교 토공_02. 깨기총괄표1" xfId="2627" xr:uid="{00000000-0005-0000-0000-000072070000}"/>
    <cellStyle name="_방동_동막리소교량_포장" xfId="2628" xr:uid="{00000000-0005-0000-0000-000073070000}"/>
    <cellStyle name="_방동_동막리소교량_포장_02. 깨기총괄표1" xfId="2629" xr:uid="{00000000-0005-0000-0000-000074070000}"/>
    <cellStyle name="_방동_동막리소교량_포장_라멘교 토공" xfId="2630" xr:uid="{00000000-0005-0000-0000-000075070000}"/>
    <cellStyle name="_방동_동막리소교량_포장_라멘교 토공_02. 깨기총괄표1" xfId="2631" xr:uid="{00000000-0005-0000-0000-000076070000}"/>
    <cellStyle name="_방동_라멘교 토공" xfId="2632" xr:uid="{00000000-0005-0000-0000-000077070000}"/>
    <cellStyle name="_방동_라멘교 토공_02. 깨기총괄표1" xfId="2633" xr:uid="{00000000-0005-0000-0000-000078070000}"/>
    <cellStyle name="_방동_마현12~1" xfId="2634" xr:uid="{00000000-0005-0000-0000-000079070000}"/>
    <cellStyle name="_방동_마현12~1_02. 깨기총괄표1" xfId="2635" xr:uid="{00000000-0005-0000-0000-00007A070000}"/>
    <cellStyle name="_방동_마현12~1_라멘교 토공" xfId="2636" xr:uid="{00000000-0005-0000-0000-00007B070000}"/>
    <cellStyle name="_방동_마현12~1_라멘교 토공_02. 깨기총괄표1" xfId="2637" xr:uid="{00000000-0005-0000-0000-00007C070000}"/>
    <cellStyle name="_방동_마현12~1_포장" xfId="2638" xr:uid="{00000000-0005-0000-0000-00007D070000}"/>
    <cellStyle name="_방동_마현12~1_포장_02. 깨기총괄표1" xfId="2639" xr:uid="{00000000-0005-0000-0000-00007E070000}"/>
    <cellStyle name="_방동_마현12~1_포장_라멘교 토공" xfId="2640" xr:uid="{00000000-0005-0000-0000-00007F070000}"/>
    <cellStyle name="_방동_마현12~1_포장_라멘교 토공_02. 깨기총괄표1" xfId="2641" xr:uid="{00000000-0005-0000-0000-000080070000}"/>
    <cellStyle name="_방동_문혜3리" xfId="2642" xr:uid="{00000000-0005-0000-0000-000081070000}"/>
    <cellStyle name="_방동_문혜3리_02. 깨기총괄표1" xfId="2643" xr:uid="{00000000-0005-0000-0000-000082070000}"/>
    <cellStyle name="_방동_문혜3리_라멘교 토공" xfId="2644" xr:uid="{00000000-0005-0000-0000-000083070000}"/>
    <cellStyle name="_방동_문혜3리_라멘교 토공_02. 깨기총괄표1" xfId="2645" xr:uid="{00000000-0005-0000-0000-000084070000}"/>
    <cellStyle name="_방동_문혜3리_포장" xfId="2646" xr:uid="{00000000-0005-0000-0000-000085070000}"/>
    <cellStyle name="_방동_문혜3리_포장_02. 깨기총괄표1" xfId="2647" xr:uid="{00000000-0005-0000-0000-000086070000}"/>
    <cellStyle name="_방동_문혜3리_포장_라멘교 토공" xfId="2648" xr:uid="{00000000-0005-0000-0000-000087070000}"/>
    <cellStyle name="_방동_문혜3리_포장_라멘교 토공_02. 깨기총괄표1" xfId="2649" xr:uid="{00000000-0005-0000-0000-000088070000}"/>
    <cellStyle name="_방동_방동" xfId="1862" xr:uid="{00000000-0005-0000-0000-000089070000}"/>
    <cellStyle name="_방동_방동_02. 깨기총괄표1" xfId="2650" xr:uid="{00000000-0005-0000-0000-00008A070000}"/>
    <cellStyle name="_방동_방동_라멘교 토공" xfId="2651" xr:uid="{00000000-0005-0000-0000-00008B070000}"/>
    <cellStyle name="_방동_방동_라멘교 토공_02. 깨기총괄표1" xfId="2652" xr:uid="{00000000-0005-0000-0000-00008C070000}"/>
    <cellStyle name="_방동_방동_설계서" xfId="1863" xr:uid="{00000000-0005-0000-0000-00008D070000}"/>
    <cellStyle name="_방동_방동_성남보행자도로 설계서" xfId="1864" xr:uid="{00000000-0005-0000-0000-00008E070000}"/>
    <cellStyle name="_방동_방동_포장" xfId="2653" xr:uid="{00000000-0005-0000-0000-00008F070000}"/>
    <cellStyle name="_방동_방동_포장_02. 깨기총괄표1" xfId="2654" xr:uid="{00000000-0005-0000-0000-000090070000}"/>
    <cellStyle name="_방동_방동_포장_라멘교 토공" xfId="2655" xr:uid="{00000000-0005-0000-0000-000091070000}"/>
    <cellStyle name="_방동_방동_포장_라멘교 토공_02. 깨기총괄표1" xfId="2656" xr:uid="{00000000-0005-0000-0000-000092070000}"/>
    <cellStyle name="_방동_산양2리지구" xfId="2657" xr:uid="{00000000-0005-0000-0000-000093070000}"/>
    <cellStyle name="_방동_산양2리지구_02. 깨기총괄표1" xfId="2658" xr:uid="{00000000-0005-0000-0000-000094070000}"/>
    <cellStyle name="_방동_산양2리지구_라멘교 토공" xfId="2659" xr:uid="{00000000-0005-0000-0000-000095070000}"/>
    <cellStyle name="_방동_산양2리지구_라멘교 토공_02. 깨기총괄표1" xfId="2660" xr:uid="{00000000-0005-0000-0000-000096070000}"/>
    <cellStyle name="_방동_산양2리지구_포장" xfId="2661" xr:uid="{00000000-0005-0000-0000-000097070000}"/>
    <cellStyle name="_방동_산양2리지구_포장_02. 깨기총괄표1" xfId="2662" xr:uid="{00000000-0005-0000-0000-000098070000}"/>
    <cellStyle name="_방동_산양2리지구_포장_라멘교 토공" xfId="2663" xr:uid="{00000000-0005-0000-0000-000099070000}"/>
    <cellStyle name="_방동_산양2리지구_포장_라멘교 토공_02. 깨기총괄표1" xfId="2664" xr:uid="{00000000-0005-0000-0000-00009A070000}"/>
    <cellStyle name="_방동_산양리지구" xfId="1865" xr:uid="{00000000-0005-0000-0000-00009B070000}"/>
    <cellStyle name="_방동_산양리지구_02. 깨기총괄표1" xfId="2665" xr:uid="{00000000-0005-0000-0000-00009C070000}"/>
    <cellStyle name="_방동_산양리지구_라멘교 토공" xfId="2666" xr:uid="{00000000-0005-0000-0000-00009D070000}"/>
    <cellStyle name="_방동_산양리지구_라멘교 토공_02. 깨기총괄표1" xfId="2667" xr:uid="{00000000-0005-0000-0000-00009E070000}"/>
    <cellStyle name="_방동_산양리지구_설계서" xfId="1866" xr:uid="{00000000-0005-0000-0000-00009F070000}"/>
    <cellStyle name="_방동_산양리지구_성남보행자도로 설계서" xfId="1867" xr:uid="{00000000-0005-0000-0000-0000A0070000}"/>
    <cellStyle name="_방동_산양리지구_포장" xfId="2668" xr:uid="{00000000-0005-0000-0000-0000A1070000}"/>
    <cellStyle name="_방동_산양리지구_포장_02. 깨기총괄표1" xfId="2669" xr:uid="{00000000-0005-0000-0000-0000A2070000}"/>
    <cellStyle name="_방동_산양리지구_포장_라멘교 토공" xfId="2670" xr:uid="{00000000-0005-0000-0000-0000A3070000}"/>
    <cellStyle name="_방동_산양리지구_포장_라멘교 토공_02. 깨기총괄표1" xfId="2671" xr:uid="{00000000-0005-0000-0000-0000A4070000}"/>
    <cellStyle name="_방동_서상2리" xfId="1868" xr:uid="{00000000-0005-0000-0000-0000A5070000}"/>
    <cellStyle name="_방동_서상2리_02. 깨기총괄표1" xfId="2672" xr:uid="{00000000-0005-0000-0000-0000A6070000}"/>
    <cellStyle name="_방동_서상2리_라멘교 토공" xfId="2673" xr:uid="{00000000-0005-0000-0000-0000A7070000}"/>
    <cellStyle name="_방동_서상2리_라멘교 토공_02. 깨기총괄표1" xfId="2674" xr:uid="{00000000-0005-0000-0000-0000A8070000}"/>
    <cellStyle name="_방동_서상2리_설계서" xfId="1869" xr:uid="{00000000-0005-0000-0000-0000A9070000}"/>
    <cellStyle name="_방동_서상2리_성남보행자도로 설계서" xfId="1870" xr:uid="{00000000-0005-0000-0000-0000AA070000}"/>
    <cellStyle name="_방동_서상2리_포장" xfId="2675" xr:uid="{00000000-0005-0000-0000-0000AB070000}"/>
    <cellStyle name="_방동_서상2리_포장_02. 깨기총괄표1" xfId="2676" xr:uid="{00000000-0005-0000-0000-0000AC070000}"/>
    <cellStyle name="_방동_서상2리_포장_라멘교 토공" xfId="2677" xr:uid="{00000000-0005-0000-0000-0000AD070000}"/>
    <cellStyle name="_방동_서상2리_포장_라멘교 토공_02. 깨기총괄표1" xfId="2678" xr:uid="{00000000-0005-0000-0000-0000AE070000}"/>
    <cellStyle name="_방동_설계서" xfId="1871" xr:uid="{00000000-0005-0000-0000-0000AF070000}"/>
    <cellStyle name="_방동_성남보행자도로 설계서" xfId="1872" xr:uid="{00000000-0005-0000-0000-0000B0070000}"/>
    <cellStyle name="_방동_오항" xfId="2679" xr:uid="{00000000-0005-0000-0000-0000B1070000}"/>
    <cellStyle name="_방동_오항_02. 깨기총괄표1" xfId="2680" xr:uid="{00000000-0005-0000-0000-0000B2070000}"/>
    <cellStyle name="_방동_오항_라멘교 토공" xfId="2681" xr:uid="{00000000-0005-0000-0000-0000B3070000}"/>
    <cellStyle name="_방동_오항_라멘교 토공_02. 깨기총괄표1" xfId="2682" xr:uid="{00000000-0005-0000-0000-0000B4070000}"/>
    <cellStyle name="_방동_오항_포장" xfId="2683" xr:uid="{00000000-0005-0000-0000-0000B5070000}"/>
    <cellStyle name="_방동_오항_포장_02. 깨기총괄표1" xfId="2684" xr:uid="{00000000-0005-0000-0000-0000B6070000}"/>
    <cellStyle name="_방동_오항_포장_라멘교 토공" xfId="2685" xr:uid="{00000000-0005-0000-0000-0000B7070000}"/>
    <cellStyle name="_방동_오항_포장_라멘교 토공_02. 깨기총괄표1" xfId="2686" xr:uid="{00000000-0005-0000-0000-0000B8070000}"/>
    <cellStyle name="_방동_원평" xfId="1873" xr:uid="{00000000-0005-0000-0000-0000B9070000}"/>
    <cellStyle name="_방동_원평_02. 깨기총괄표1" xfId="2687" xr:uid="{00000000-0005-0000-0000-0000BA070000}"/>
    <cellStyle name="_방동_원평_라멘교 토공" xfId="2688" xr:uid="{00000000-0005-0000-0000-0000BB070000}"/>
    <cellStyle name="_방동_원평_라멘교 토공_02. 깨기총괄표1" xfId="2689" xr:uid="{00000000-0005-0000-0000-0000BC070000}"/>
    <cellStyle name="_방동_원평_설계서" xfId="1874" xr:uid="{00000000-0005-0000-0000-0000BD070000}"/>
    <cellStyle name="_방동_원평_성남보행자도로 설계서" xfId="1875" xr:uid="{00000000-0005-0000-0000-0000BE070000}"/>
    <cellStyle name="_방동_원평_포장" xfId="2690" xr:uid="{00000000-0005-0000-0000-0000BF070000}"/>
    <cellStyle name="_방동_원평_포장_02. 깨기총괄표1" xfId="2691" xr:uid="{00000000-0005-0000-0000-0000C0070000}"/>
    <cellStyle name="_방동_원평_포장_라멘교 토공" xfId="2692" xr:uid="{00000000-0005-0000-0000-0000C1070000}"/>
    <cellStyle name="_방동_원평_포장_라멘교 토공_02. 깨기총괄표1" xfId="2693" xr:uid="{00000000-0005-0000-0000-0000C2070000}"/>
    <cellStyle name="_방동_추곡" xfId="1876" xr:uid="{00000000-0005-0000-0000-0000C3070000}"/>
    <cellStyle name="_방동_추곡_02. 깨기총괄표1" xfId="2694" xr:uid="{00000000-0005-0000-0000-0000C4070000}"/>
    <cellStyle name="_방동_추곡_라멘교 토공" xfId="2695" xr:uid="{00000000-0005-0000-0000-0000C5070000}"/>
    <cellStyle name="_방동_추곡_라멘교 토공_02. 깨기총괄표1" xfId="2696" xr:uid="{00000000-0005-0000-0000-0000C6070000}"/>
    <cellStyle name="_방동_추곡_설계서" xfId="1877" xr:uid="{00000000-0005-0000-0000-0000C7070000}"/>
    <cellStyle name="_방동_추곡_성남보행자도로 설계서" xfId="1878" xr:uid="{00000000-0005-0000-0000-0000C8070000}"/>
    <cellStyle name="_방동_추곡_포장" xfId="2697" xr:uid="{00000000-0005-0000-0000-0000C9070000}"/>
    <cellStyle name="_방동_추곡_포장_02. 깨기총괄표1" xfId="2698" xr:uid="{00000000-0005-0000-0000-0000CA070000}"/>
    <cellStyle name="_방동_추곡_포장_라멘교 토공" xfId="2699" xr:uid="{00000000-0005-0000-0000-0000CB070000}"/>
    <cellStyle name="_방동_추곡_포장_라멘교 토공_02. 깨기총괄표1" xfId="2700" xr:uid="{00000000-0005-0000-0000-0000CC070000}"/>
    <cellStyle name="_방동_포장" xfId="2701" xr:uid="{00000000-0005-0000-0000-0000CD070000}"/>
    <cellStyle name="_방동_포장_02. 깨기총괄표1" xfId="2702" xr:uid="{00000000-0005-0000-0000-0000CE070000}"/>
    <cellStyle name="_방동_포장_라멘교 토공" xfId="2703" xr:uid="{00000000-0005-0000-0000-0000CF070000}"/>
    <cellStyle name="_방동_포장_라멘교 토공_02. 깨기총괄표1" xfId="2704" xr:uid="{00000000-0005-0000-0000-0000D0070000}"/>
    <cellStyle name="_변경계약분실행및2001년실행(견적비교포함)" xfId="2705" xr:uid="{00000000-0005-0000-0000-0000D1070000}"/>
    <cellStyle name="_변경계약분실행및2001년실행(견적비교포함) 2" xfId="6611" xr:uid="{00000000-0005-0000-0000-0000D2070000}"/>
    <cellStyle name="_변경계약분실행및2001년실행(견적비교포함) 2 2" xfId="6612" xr:uid="{00000000-0005-0000-0000-0000D3070000}"/>
    <cellStyle name="_변경계약분실행및2001년실행(견적비교포함)_강동내역(9.28" xfId="2706" xr:uid="{00000000-0005-0000-0000-0000D4070000}"/>
    <cellStyle name="_변경계약분실행및2001년실행(견적비교포함)_강동내역(9.28 2" xfId="6613" xr:uid="{00000000-0005-0000-0000-0000D5070000}"/>
    <cellStyle name="_변경계약분실행및2001년실행(견적비교포함)_강동내역(9.28 2 2" xfId="6614" xr:uid="{00000000-0005-0000-0000-0000D6070000}"/>
    <cellStyle name="_변경계약분실행및2001년실행(견적비교포함)_강동내역(9.28_T05-D03-004D(울산터널-조명제어-안소장님1003)" xfId="2708" xr:uid="{00000000-0005-0000-0000-0000D7070000}"/>
    <cellStyle name="_변경계약분실행및2001년실행(견적비교포함)_강동내역(9.28_T05-D03-004D(울산터널-조명제어-안소장님1003) 2" xfId="6615" xr:uid="{00000000-0005-0000-0000-0000D8070000}"/>
    <cellStyle name="_변경계약분실행및2001년실행(견적비교포함)_강동내역(9.28_T05-D03-004D(울산터널-조명제어-안소장님1003) 2 2" xfId="6616" xr:uid="{00000000-0005-0000-0000-0000D9070000}"/>
    <cellStyle name="_변경계약분실행및2001년실행(견적비교포함)_강동내역(9.28_T05-D03-004D(울산터널-환기-구성설비0930)" xfId="2709" xr:uid="{00000000-0005-0000-0000-0000DA070000}"/>
    <cellStyle name="_변경계약분실행및2001년실행(견적비교포함)_강동내역(9.28_T05-D03-004D(울산터널-환기-구성설비0930) 2" xfId="6617" xr:uid="{00000000-0005-0000-0000-0000DB070000}"/>
    <cellStyle name="_변경계약분실행및2001년실행(견적비교포함)_강동내역(9.28_T05-D03-004D(울산터널-환기-구성설비0930) 2 2" xfId="6618" xr:uid="{00000000-0005-0000-0000-0000DC070000}"/>
    <cellStyle name="_변경계약분실행및2001년실행(견적비교포함)_강동내역(9.28_울산강동내역최종(20051101)" xfId="2707" xr:uid="{00000000-0005-0000-0000-0000DD070000}"/>
    <cellStyle name="_변경계약분실행및2001년실행(견적비교포함)_강동내역(9.28_울산강동내역최종(20051101) 2" xfId="6619" xr:uid="{00000000-0005-0000-0000-0000DE070000}"/>
    <cellStyle name="_변경계약분실행및2001년실행(견적비교포함)_강동내역(9.28_울산강동내역최종(20051101) 2 2" xfId="6620" xr:uid="{00000000-0005-0000-0000-0000DF070000}"/>
    <cellStyle name="_변경계약분실행및2001년실행(견적비교포함)_공무정산양식(10월초)" xfId="2710" xr:uid="{00000000-0005-0000-0000-0000E0070000}"/>
    <cellStyle name="_변경계약분실행및2001년실행(견적비교포함)_공무정산양식(10월초) 2" xfId="6621" xr:uid="{00000000-0005-0000-0000-0000E1070000}"/>
    <cellStyle name="_변경계약분실행및2001년실행(견적비교포함)_공무정산양식(10월초) 2 2" xfId="6622" xr:uid="{00000000-0005-0000-0000-0000E2070000}"/>
    <cellStyle name="_변경계약분실행및2001년실행(견적비교포함)_공무정산양식(10월초)_강동내역(9.28" xfId="2711" xr:uid="{00000000-0005-0000-0000-0000E3070000}"/>
    <cellStyle name="_변경계약분실행및2001년실행(견적비교포함)_공무정산양식(10월초)_강동내역(9.28 2" xfId="6623" xr:uid="{00000000-0005-0000-0000-0000E4070000}"/>
    <cellStyle name="_변경계약분실행및2001년실행(견적비교포함)_공무정산양식(10월초)_강동내역(9.28 2 2" xfId="6624" xr:uid="{00000000-0005-0000-0000-0000E5070000}"/>
    <cellStyle name="_변경계약분실행및2001년실행(견적비교포함)_공무정산양식(10월초)_강동내역(9.28_T05-D03-004D(울산터널-조명제어-안소장님1003)" xfId="2713" xr:uid="{00000000-0005-0000-0000-0000E6070000}"/>
    <cellStyle name="_변경계약분실행및2001년실행(견적비교포함)_공무정산양식(10월초)_강동내역(9.28_T05-D03-004D(울산터널-조명제어-안소장님1003) 2" xfId="6625" xr:uid="{00000000-0005-0000-0000-0000E7070000}"/>
    <cellStyle name="_변경계약분실행및2001년실행(견적비교포함)_공무정산양식(10월초)_강동내역(9.28_T05-D03-004D(울산터널-조명제어-안소장님1003) 2 2" xfId="6626" xr:uid="{00000000-0005-0000-0000-0000E8070000}"/>
    <cellStyle name="_변경계약분실행및2001년실행(견적비교포함)_공무정산양식(10월초)_강동내역(9.28_T05-D03-004D(울산터널-환기-구성설비0930)" xfId="2714" xr:uid="{00000000-0005-0000-0000-0000E9070000}"/>
    <cellStyle name="_변경계약분실행및2001년실행(견적비교포함)_공무정산양식(10월초)_강동내역(9.28_T05-D03-004D(울산터널-환기-구성설비0930) 2" xfId="6627" xr:uid="{00000000-0005-0000-0000-0000EA070000}"/>
    <cellStyle name="_변경계약분실행및2001년실행(견적비교포함)_공무정산양식(10월초)_강동내역(9.28_T05-D03-004D(울산터널-환기-구성설비0930) 2 2" xfId="6628" xr:uid="{00000000-0005-0000-0000-0000EB070000}"/>
    <cellStyle name="_변경계약분실행및2001년실행(견적비교포함)_공무정산양식(10월초)_강동내역(9.28_울산강동내역최종(20051101)" xfId="2712" xr:uid="{00000000-0005-0000-0000-0000EC070000}"/>
    <cellStyle name="_변경계약분실행및2001년실행(견적비교포함)_공무정산양식(10월초)_강동내역(9.28_울산강동내역최종(20051101) 2" xfId="6629" xr:uid="{00000000-0005-0000-0000-0000ED070000}"/>
    <cellStyle name="_변경계약분실행및2001년실행(견적비교포함)_공무정산양식(10월초)_강동내역(9.28_울산강동내역최종(20051101) 2 2" xfId="6630" xr:uid="{00000000-0005-0000-0000-0000EE070000}"/>
    <cellStyle name="_변경계약분실행및2001년실행(견적비교포함)_공무정산양식(10월초)_기성내역서" xfId="2715" xr:uid="{00000000-0005-0000-0000-0000EF070000}"/>
    <cellStyle name="_변경계약분실행및2001년실행(견적비교포함)_공무정산양식(10월초)_기성내역서 2" xfId="6631" xr:uid="{00000000-0005-0000-0000-0000F0070000}"/>
    <cellStyle name="_변경계약분실행및2001년실행(견적비교포함)_공무정산양식(10월초)_기성내역서 2 2" xfId="6632" xr:uid="{00000000-0005-0000-0000-0000F1070000}"/>
    <cellStyle name="_변경계약분실행및2001년실행(견적비교포함)_공무정산양식(10월초)_기성내역서_강동내역(9.28" xfId="2716" xr:uid="{00000000-0005-0000-0000-0000F2070000}"/>
    <cellStyle name="_변경계약분실행및2001년실행(견적비교포함)_공무정산양식(10월초)_기성내역서_강동내역(9.28 2" xfId="6633" xr:uid="{00000000-0005-0000-0000-0000F3070000}"/>
    <cellStyle name="_변경계약분실행및2001년실행(견적비교포함)_공무정산양식(10월초)_기성내역서_강동내역(9.28 2 2" xfId="6634" xr:uid="{00000000-0005-0000-0000-0000F4070000}"/>
    <cellStyle name="_변경계약분실행및2001년실행(견적비교포함)_공무정산양식(10월초)_기성내역서_강동내역(9.28_T05-D03-004D(울산터널-조명제어-안소장님1003)" xfId="2718" xr:uid="{00000000-0005-0000-0000-0000F5070000}"/>
    <cellStyle name="_변경계약분실행및2001년실행(견적비교포함)_공무정산양식(10월초)_기성내역서_강동내역(9.28_T05-D03-004D(울산터널-조명제어-안소장님1003) 2" xfId="6635" xr:uid="{00000000-0005-0000-0000-0000F6070000}"/>
    <cellStyle name="_변경계약분실행및2001년실행(견적비교포함)_공무정산양식(10월초)_기성내역서_강동내역(9.28_T05-D03-004D(울산터널-조명제어-안소장님1003) 2 2" xfId="6636" xr:uid="{00000000-0005-0000-0000-0000F7070000}"/>
    <cellStyle name="_변경계약분실행및2001년실행(견적비교포함)_공무정산양식(10월초)_기성내역서_강동내역(9.28_T05-D03-004D(울산터널-환기-구성설비0930)" xfId="2719" xr:uid="{00000000-0005-0000-0000-0000F8070000}"/>
    <cellStyle name="_변경계약분실행및2001년실행(견적비교포함)_공무정산양식(10월초)_기성내역서_강동내역(9.28_T05-D03-004D(울산터널-환기-구성설비0930) 2" xfId="6637" xr:uid="{00000000-0005-0000-0000-0000F9070000}"/>
    <cellStyle name="_변경계약분실행및2001년실행(견적비교포함)_공무정산양식(10월초)_기성내역서_강동내역(9.28_T05-D03-004D(울산터널-환기-구성설비0930) 2 2" xfId="6638" xr:uid="{00000000-0005-0000-0000-0000FA070000}"/>
    <cellStyle name="_변경계약분실행및2001년실행(견적비교포함)_공무정산양식(10월초)_기성내역서_강동내역(9.28_울산강동내역최종(20051101)" xfId="2717" xr:uid="{00000000-0005-0000-0000-0000FB070000}"/>
    <cellStyle name="_변경계약분실행및2001년실행(견적비교포함)_공무정산양식(10월초)_기성내역서_강동내역(9.28_울산강동내역최종(20051101) 2" xfId="6639" xr:uid="{00000000-0005-0000-0000-0000FC070000}"/>
    <cellStyle name="_변경계약분실행및2001년실행(견적비교포함)_공무정산양식(10월초)_기성내역서_강동내역(9.28_울산강동내역최종(20051101) 2 2" xfId="6640" xr:uid="{00000000-0005-0000-0000-0000FD070000}"/>
    <cellStyle name="_변경계약분실행및2001년실행(견적비교포함)_공무정산양식(10월초)_기성내역서_전체계약변경(03)" xfId="2720" xr:uid="{00000000-0005-0000-0000-0000FE070000}"/>
    <cellStyle name="_변경계약분실행및2001년실행(견적비교포함)_공무정산양식(10월초)_기성내역서_전체계약변경(03) 2" xfId="6641" xr:uid="{00000000-0005-0000-0000-0000FF070000}"/>
    <cellStyle name="_변경계약분실행및2001년실행(견적비교포함)_공무정산양식(10월초)_기성내역서_전체계약변경(03) 2 2" xfId="6642" xr:uid="{00000000-0005-0000-0000-000000080000}"/>
    <cellStyle name="_변경계약분실행및2001년실행(견적비교포함)_공무정산양식(10월초)_기성내역서_전체계약변경(03)_강동내역(9.28" xfId="2721" xr:uid="{00000000-0005-0000-0000-000001080000}"/>
    <cellStyle name="_변경계약분실행및2001년실행(견적비교포함)_공무정산양식(10월초)_기성내역서_전체계약변경(03)_강동내역(9.28 2" xfId="6643" xr:uid="{00000000-0005-0000-0000-000002080000}"/>
    <cellStyle name="_변경계약분실행및2001년실행(견적비교포함)_공무정산양식(10월초)_기성내역서_전체계약변경(03)_강동내역(9.28 2 2" xfId="6644" xr:uid="{00000000-0005-0000-0000-000003080000}"/>
    <cellStyle name="_변경계약분실행및2001년실행(견적비교포함)_공무정산양식(10월초)_기성내역서_전체계약변경(03)_강동내역(9.28_T05-D03-004D(울산터널-조명제어-안소장님1003)" xfId="2723" xr:uid="{00000000-0005-0000-0000-000004080000}"/>
    <cellStyle name="_변경계약분실행및2001년실행(견적비교포함)_공무정산양식(10월초)_기성내역서_전체계약변경(03)_강동내역(9.28_T05-D03-004D(울산터널-조명제어-안소장님1003) 2" xfId="6645" xr:uid="{00000000-0005-0000-0000-000005080000}"/>
    <cellStyle name="_변경계약분실행및2001년실행(견적비교포함)_공무정산양식(10월초)_기성내역서_전체계약변경(03)_강동내역(9.28_T05-D03-004D(울산터널-조명제어-안소장님1003) 2 2" xfId="6646" xr:uid="{00000000-0005-0000-0000-000006080000}"/>
    <cellStyle name="_변경계약분실행및2001년실행(견적비교포함)_공무정산양식(10월초)_기성내역서_전체계약변경(03)_강동내역(9.28_T05-D03-004D(울산터널-환기-구성설비0930)" xfId="2724" xr:uid="{00000000-0005-0000-0000-000007080000}"/>
    <cellStyle name="_변경계약분실행및2001년실행(견적비교포함)_공무정산양식(10월초)_기성내역서_전체계약변경(03)_강동내역(9.28_T05-D03-004D(울산터널-환기-구성설비0930) 2" xfId="6647" xr:uid="{00000000-0005-0000-0000-000008080000}"/>
    <cellStyle name="_변경계약분실행및2001년실행(견적비교포함)_공무정산양식(10월초)_기성내역서_전체계약변경(03)_강동내역(9.28_T05-D03-004D(울산터널-환기-구성설비0930) 2 2" xfId="6648" xr:uid="{00000000-0005-0000-0000-000009080000}"/>
    <cellStyle name="_변경계약분실행및2001년실행(견적비교포함)_공무정산양식(10월초)_기성내역서_전체계약변경(03)_강동내역(9.28_울산강동내역최종(20051101)" xfId="2722" xr:uid="{00000000-0005-0000-0000-00000A080000}"/>
    <cellStyle name="_변경계약분실행및2001년실행(견적비교포함)_공무정산양식(10월초)_기성내역서_전체계약변경(03)_강동내역(9.28_울산강동내역최종(20051101) 2" xfId="6649" xr:uid="{00000000-0005-0000-0000-00000B080000}"/>
    <cellStyle name="_변경계약분실행및2001년실행(견적비교포함)_공무정산양식(10월초)_기성내역서_전체계약변경(03)_강동내역(9.28_울산강동내역최종(20051101) 2 2" xfId="6650" xr:uid="{00000000-0005-0000-0000-00000C080000}"/>
    <cellStyle name="_변경계약분실행및2001년실행(견적비교포함)_공무정산양식(10월초)_전체계약변경(03)" xfId="2725" xr:uid="{00000000-0005-0000-0000-00000D080000}"/>
    <cellStyle name="_변경계약분실행및2001년실행(견적비교포함)_공무정산양식(10월초)_전체계약변경(03) 2" xfId="6651" xr:uid="{00000000-0005-0000-0000-00000E080000}"/>
    <cellStyle name="_변경계약분실행및2001년실행(견적비교포함)_공무정산양식(10월초)_전체계약변경(03) 2 2" xfId="6652" xr:uid="{00000000-0005-0000-0000-00000F080000}"/>
    <cellStyle name="_변경계약분실행및2001년실행(견적비교포함)_공무정산양식(10월초)_전체계약변경(03)_강동내역(9.28" xfId="2726" xr:uid="{00000000-0005-0000-0000-000010080000}"/>
    <cellStyle name="_변경계약분실행및2001년실행(견적비교포함)_공무정산양식(10월초)_전체계약변경(03)_강동내역(9.28 2" xfId="6653" xr:uid="{00000000-0005-0000-0000-000011080000}"/>
    <cellStyle name="_변경계약분실행및2001년실행(견적비교포함)_공무정산양식(10월초)_전체계약변경(03)_강동내역(9.28 2 2" xfId="6654" xr:uid="{00000000-0005-0000-0000-000012080000}"/>
    <cellStyle name="_변경계약분실행및2001년실행(견적비교포함)_공무정산양식(10월초)_전체계약변경(03)_강동내역(9.28_T05-D03-004D(울산터널-조명제어-안소장님1003)" xfId="2728" xr:uid="{00000000-0005-0000-0000-000013080000}"/>
    <cellStyle name="_변경계약분실행및2001년실행(견적비교포함)_공무정산양식(10월초)_전체계약변경(03)_강동내역(9.28_T05-D03-004D(울산터널-조명제어-안소장님1003) 2" xfId="6655" xr:uid="{00000000-0005-0000-0000-000014080000}"/>
    <cellStyle name="_변경계약분실행및2001년실행(견적비교포함)_공무정산양식(10월초)_전체계약변경(03)_강동내역(9.28_T05-D03-004D(울산터널-조명제어-안소장님1003) 2 2" xfId="6656" xr:uid="{00000000-0005-0000-0000-000015080000}"/>
    <cellStyle name="_변경계약분실행및2001년실행(견적비교포함)_공무정산양식(10월초)_전체계약변경(03)_강동내역(9.28_T05-D03-004D(울산터널-환기-구성설비0930)" xfId="2729" xr:uid="{00000000-0005-0000-0000-000016080000}"/>
    <cellStyle name="_변경계약분실행및2001년실행(견적비교포함)_공무정산양식(10월초)_전체계약변경(03)_강동내역(9.28_T05-D03-004D(울산터널-환기-구성설비0930) 2" xfId="6657" xr:uid="{00000000-0005-0000-0000-000017080000}"/>
    <cellStyle name="_변경계약분실행및2001년실행(견적비교포함)_공무정산양식(10월초)_전체계약변경(03)_강동내역(9.28_T05-D03-004D(울산터널-환기-구성설비0930) 2 2" xfId="6658" xr:uid="{00000000-0005-0000-0000-000018080000}"/>
    <cellStyle name="_변경계약분실행및2001년실행(견적비교포함)_공무정산양식(10월초)_전체계약변경(03)_강동내역(9.28_울산강동내역최종(20051101)" xfId="2727" xr:uid="{00000000-0005-0000-0000-000019080000}"/>
    <cellStyle name="_변경계약분실행및2001년실행(견적비교포함)_공무정산양식(10월초)_전체계약변경(03)_강동내역(9.28_울산강동내역최종(20051101) 2" xfId="6659" xr:uid="{00000000-0005-0000-0000-00001A080000}"/>
    <cellStyle name="_변경계약분실행및2001년실행(견적비교포함)_공무정산양식(10월초)_전체계약변경(03)_강동내역(9.28_울산강동내역최종(20051101) 2 2" xfId="6660" xr:uid="{00000000-0005-0000-0000-00001B080000}"/>
    <cellStyle name="_변경계약분실행및2001년실행(견적비교포함)_공무정산양식(10월초)_포장외건(최종)" xfId="2730" xr:uid="{00000000-0005-0000-0000-00001C080000}"/>
    <cellStyle name="_변경계약분실행및2001년실행(견적비교포함)_공무정산양식(10월초)_포장외건(최종) 2" xfId="6661" xr:uid="{00000000-0005-0000-0000-00001D080000}"/>
    <cellStyle name="_변경계약분실행및2001년실행(견적비교포함)_공무정산양식(10월초)_포장외건(최종) 2 2" xfId="6662" xr:uid="{00000000-0005-0000-0000-00001E080000}"/>
    <cellStyle name="_변경계약분실행및2001년실행(견적비교포함)_공무정산양식(10월초)_포장외건(최종)_강동내역(9.28" xfId="2731" xr:uid="{00000000-0005-0000-0000-00001F080000}"/>
    <cellStyle name="_변경계약분실행및2001년실행(견적비교포함)_공무정산양식(10월초)_포장외건(최종)_강동내역(9.28 2" xfId="6663" xr:uid="{00000000-0005-0000-0000-000020080000}"/>
    <cellStyle name="_변경계약분실행및2001년실행(견적비교포함)_공무정산양식(10월초)_포장외건(최종)_강동내역(9.28 2 2" xfId="6664" xr:uid="{00000000-0005-0000-0000-000021080000}"/>
    <cellStyle name="_변경계약분실행및2001년실행(견적비교포함)_공무정산양식(10월초)_포장외건(최종)_강동내역(9.28_T05-D03-004D(울산터널-조명제어-안소장님1003)" xfId="2733" xr:uid="{00000000-0005-0000-0000-000022080000}"/>
    <cellStyle name="_변경계약분실행및2001년실행(견적비교포함)_공무정산양식(10월초)_포장외건(최종)_강동내역(9.28_T05-D03-004D(울산터널-조명제어-안소장님1003) 2" xfId="6665" xr:uid="{00000000-0005-0000-0000-000023080000}"/>
    <cellStyle name="_변경계약분실행및2001년실행(견적비교포함)_공무정산양식(10월초)_포장외건(최종)_강동내역(9.28_T05-D03-004D(울산터널-조명제어-안소장님1003) 2 2" xfId="6666" xr:uid="{00000000-0005-0000-0000-000024080000}"/>
    <cellStyle name="_변경계약분실행및2001년실행(견적비교포함)_공무정산양식(10월초)_포장외건(최종)_강동내역(9.28_T05-D03-004D(울산터널-환기-구성설비0930)" xfId="2734" xr:uid="{00000000-0005-0000-0000-000025080000}"/>
    <cellStyle name="_변경계약분실행및2001년실행(견적비교포함)_공무정산양식(10월초)_포장외건(최종)_강동내역(9.28_T05-D03-004D(울산터널-환기-구성설비0930) 2" xfId="6667" xr:uid="{00000000-0005-0000-0000-000026080000}"/>
    <cellStyle name="_변경계약분실행및2001년실행(견적비교포함)_공무정산양식(10월초)_포장외건(최종)_강동내역(9.28_T05-D03-004D(울산터널-환기-구성설비0930) 2 2" xfId="6668" xr:uid="{00000000-0005-0000-0000-000027080000}"/>
    <cellStyle name="_변경계약분실행및2001년실행(견적비교포함)_공무정산양식(10월초)_포장외건(최종)_강동내역(9.28_울산강동내역최종(20051101)" xfId="2732" xr:uid="{00000000-0005-0000-0000-000028080000}"/>
    <cellStyle name="_변경계약분실행및2001년실행(견적비교포함)_공무정산양식(10월초)_포장외건(최종)_강동내역(9.28_울산강동내역최종(20051101) 2" xfId="6669" xr:uid="{00000000-0005-0000-0000-000029080000}"/>
    <cellStyle name="_변경계약분실행및2001년실행(견적비교포함)_공무정산양식(10월초)_포장외건(최종)_강동내역(9.28_울산강동내역최종(20051101) 2 2" xfId="6670" xr:uid="{00000000-0005-0000-0000-00002A080000}"/>
    <cellStyle name="_변경계약분실행및2001년실행(견적비교포함)_기성내역서" xfId="2735" xr:uid="{00000000-0005-0000-0000-00002B080000}"/>
    <cellStyle name="_변경계약분실행및2001년실행(견적비교포함)_기성내역서 2" xfId="6671" xr:uid="{00000000-0005-0000-0000-00002C080000}"/>
    <cellStyle name="_변경계약분실행및2001년실행(견적비교포함)_기성내역서 2 2" xfId="6672" xr:uid="{00000000-0005-0000-0000-00002D080000}"/>
    <cellStyle name="_변경계약분실행및2001년실행(견적비교포함)_기성내역서_강동내역(9.28" xfId="2736" xr:uid="{00000000-0005-0000-0000-00002E080000}"/>
    <cellStyle name="_변경계약분실행및2001년실행(견적비교포함)_기성내역서_강동내역(9.28 2" xfId="6673" xr:uid="{00000000-0005-0000-0000-00002F080000}"/>
    <cellStyle name="_변경계약분실행및2001년실행(견적비교포함)_기성내역서_강동내역(9.28 2 2" xfId="6674" xr:uid="{00000000-0005-0000-0000-000030080000}"/>
    <cellStyle name="_변경계약분실행및2001년실행(견적비교포함)_기성내역서_강동내역(9.28_T05-D03-004D(울산터널-조명제어-안소장님1003)" xfId="2738" xr:uid="{00000000-0005-0000-0000-000031080000}"/>
    <cellStyle name="_변경계약분실행및2001년실행(견적비교포함)_기성내역서_강동내역(9.28_T05-D03-004D(울산터널-조명제어-안소장님1003) 2" xfId="6675" xr:uid="{00000000-0005-0000-0000-000032080000}"/>
    <cellStyle name="_변경계약분실행및2001년실행(견적비교포함)_기성내역서_강동내역(9.28_T05-D03-004D(울산터널-조명제어-안소장님1003) 2 2" xfId="6676" xr:uid="{00000000-0005-0000-0000-000033080000}"/>
    <cellStyle name="_변경계약분실행및2001년실행(견적비교포함)_기성내역서_강동내역(9.28_T05-D03-004D(울산터널-환기-구성설비0930)" xfId="2739" xr:uid="{00000000-0005-0000-0000-000034080000}"/>
    <cellStyle name="_변경계약분실행및2001년실행(견적비교포함)_기성내역서_강동내역(9.28_T05-D03-004D(울산터널-환기-구성설비0930) 2" xfId="6677" xr:uid="{00000000-0005-0000-0000-000035080000}"/>
    <cellStyle name="_변경계약분실행및2001년실행(견적비교포함)_기성내역서_강동내역(9.28_T05-D03-004D(울산터널-환기-구성설비0930) 2 2" xfId="6678" xr:uid="{00000000-0005-0000-0000-000036080000}"/>
    <cellStyle name="_변경계약분실행및2001년실행(견적비교포함)_기성내역서_강동내역(9.28_울산강동내역최종(20051101)" xfId="2737" xr:uid="{00000000-0005-0000-0000-000037080000}"/>
    <cellStyle name="_변경계약분실행및2001년실행(견적비교포함)_기성내역서_강동내역(9.28_울산강동내역최종(20051101) 2" xfId="6679" xr:uid="{00000000-0005-0000-0000-000038080000}"/>
    <cellStyle name="_변경계약분실행및2001년실행(견적비교포함)_기성내역서_강동내역(9.28_울산강동내역최종(20051101) 2 2" xfId="6680" xr:uid="{00000000-0005-0000-0000-000039080000}"/>
    <cellStyle name="_변경계약분실행및2001년실행(견적비교포함)_기성내역서_전체계약변경(03)" xfId="2740" xr:uid="{00000000-0005-0000-0000-00003A080000}"/>
    <cellStyle name="_변경계약분실행및2001년실행(견적비교포함)_기성내역서_전체계약변경(03) 2" xfId="6681" xr:uid="{00000000-0005-0000-0000-00003B080000}"/>
    <cellStyle name="_변경계약분실행및2001년실행(견적비교포함)_기성내역서_전체계약변경(03) 2 2" xfId="6682" xr:uid="{00000000-0005-0000-0000-00003C080000}"/>
    <cellStyle name="_변경계약분실행및2001년실행(견적비교포함)_기성내역서_전체계약변경(03)_강동내역(9.28" xfId="2741" xr:uid="{00000000-0005-0000-0000-00003D080000}"/>
    <cellStyle name="_변경계약분실행및2001년실행(견적비교포함)_기성내역서_전체계약변경(03)_강동내역(9.28 2" xfId="6683" xr:uid="{00000000-0005-0000-0000-00003E080000}"/>
    <cellStyle name="_변경계약분실행및2001년실행(견적비교포함)_기성내역서_전체계약변경(03)_강동내역(9.28 2 2" xfId="6684" xr:uid="{00000000-0005-0000-0000-00003F080000}"/>
    <cellStyle name="_변경계약분실행및2001년실행(견적비교포함)_기성내역서_전체계약변경(03)_강동내역(9.28_T05-D03-004D(울산터널-조명제어-안소장님1003)" xfId="2743" xr:uid="{00000000-0005-0000-0000-000040080000}"/>
    <cellStyle name="_변경계약분실행및2001년실행(견적비교포함)_기성내역서_전체계약변경(03)_강동내역(9.28_T05-D03-004D(울산터널-조명제어-안소장님1003) 2" xfId="6685" xr:uid="{00000000-0005-0000-0000-000041080000}"/>
    <cellStyle name="_변경계약분실행및2001년실행(견적비교포함)_기성내역서_전체계약변경(03)_강동내역(9.28_T05-D03-004D(울산터널-조명제어-안소장님1003) 2 2" xfId="6686" xr:uid="{00000000-0005-0000-0000-000042080000}"/>
    <cellStyle name="_변경계약분실행및2001년실행(견적비교포함)_기성내역서_전체계약변경(03)_강동내역(9.28_T05-D03-004D(울산터널-환기-구성설비0930)" xfId="2744" xr:uid="{00000000-0005-0000-0000-000043080000}"/>
    <cellStyle name="_변경계약분실행및2001년실행(견적비교포함)_기성내역서_전체계약변경(03)_강동내역(9.28_T05-D03-004D(울산터널-환기-구성설비0930) 2" xfId="6687" xr:uid="{00000000-0005-0000-0000-000044080000}"/>
    <cellStyle name="_변경계약분실행및2001년실행(견적비교포함)_기성내역서_전체계약변경(03)_강동내역(9.28_T05-D03-004D(울산터널-환기-구성설비0930) 2 2" xfId="6688" xr:uid="{00000000-0005-0000-0000-000045080000}"/>
    <cellStyle name="_변경계약분실행및2001년실행(견적비교포함)_기성내역서_전체계약변경(03)_강동내역(9.28_울산강동내역최종(20051101)" xfId="2742" xr:uid="{00000000-0005-0000-0000-000046080000}"/>
    <cellStyle name="_변경계약분실행및2001년실행(견적비교포함)_기성내역서_전체계약변경(03)_강동내역(9.28_울산강동내역최종(20051101) 2" xfId="6689" xr:uid="{00000000-0005-0000-0000-000047080000}"/>
    <cellStyle name="_변경계약분실행및2001년실행(견적비교포함)_기성내역서_전체계약변경(03)_강동내역(9.28_울산강동내역최종(20051101) 2 2" xfId="6690" xr:uid="{00000000-0005-0000-0000-000048080000}"/>
    <cellStyle name="_변경계약분실행및2001년실행(견적비교포함)_전체계약변경(03)" xfId="2745" xr:uid="{00000000-0005-0000-0000-000049080000}"/>
    <cellStyle name="_변경계약분실행및2001년실행(견적비교포함)_전체계약변경(03) 2" xfId="6691" xr:uid="{00000000-0005-0000-0000-00004A080000}"/>
    <cellStyle name="_변경계약분실행및2001년실행(견적비교포함)_전체계약변경(03) 2 2" xfId="6692" xr:uid="{00000000-0005-0000-0000-00004B080000}"/>
    <cellStyle name="_변경계약분실행및2001년실행(견적비교포함)_전체계약변경(03)_강동내역(9.28" xfId="2746" xr:uid="{00000000-0005-0000-0000-00004C080000}"/>
    <cellStyle name="_변경계약분실행및2001년실행(견적비교포함)_전체계약변경(03)_강동내역(9.28 2" xfId="6693" xr:uid="{00000000-0005-0000-0000-00004D080000}"/>
    <cellStyle name="_변경계약분실행및2001년실행(견적비교포함)_전체계약변경(03)_강동내역(9.28 2 2" xfId="6694" xr:uid="{00000000-0005-0000-0000-00004E080000}"/>
    <cellStyle name="_변경계약분실행및2001년실행(견적비교포함)_전체계약변경(03)_강동내역(9.28_T05-D03-004D(울산터널-조명제어-안소장님1003)" xfId="2748" xr:uid="{00000000-0005-0000-0000-00004F080000}"/>
    <cellStyle name="_변경계약분실행및2001년실행(견적비교포함)_전체계약변경(03)_강동내역(9.28_T05-D03-004D(울산터널-조명제어-안소장님1003) 2" xfId="6695" xr:uid="{00000000-0005-0000-0000-000050080000}"/>
    <cellStyle name="_변경계약분실행및2001년실행(견적비교포함)_전체계약변경(03)_강동내역(9.28_T05-D03-004D(울산터널-조명제어-안소장님1003) 2 2" xfId="6696" xr:uid="{00000000-0005-0000-0000-000051080000}"/>
    <cellStyle name="_변경계약분실행및2001년실행(견적비교포함)_전체계약변경(03)_강동내역(9.28_T05-D03-004D(울산터널-환기-구성설비0930)" xfId="2749" xr:uid="{00000000-0005-0000-0000-000052080000}"/>
    <cellStyle name="_변경계약분실행및2001년실행(견적비교포함)_전체계약변경(03)_강동내역(9.28_T05-D03-004D(울산터널-환기-구성설비0930) 2" xfId="6697" xr:uid="{00000000-0005-0000-0000-000053080000}"/>
    <cellStyle name="_변경계약분실행및2001년실행(견적비교포함)_전체계약변경(03)_강동내역(9.28_T05-D03-004D(울산터널-환기-구성설비0930) 2 2" xfId="6698" xr:uid="{00000000-0005-0000-0000-000054080000}"/>
    <cellStyle name="_변경계약분실행및2001년실행(견적비교포함)_전체계약변경(03)_강동내역(9.28_울산강동내역최종(20051101)" xfId="2747" xr:uid="{00000000-0005-0000-0000-000055080000}"/>
    <cellStyle name="_변경계약분실행및2001년실행(견적비교포함)_전체계약변경(03)_강동내역(9.28_울산강동내역최종(20051101) 2" xfId="6699" xr:uid="{00000000-0005-0000-0000-000056080000}"/>
    <cellStyle name="_변경계약분실행및2001년실행(견적비교포함)_전체계약변경(03)_강동내역(9.28_울산강동내역최종(20051101) 2 2" xfId="6700" xr:uid="{00000000-0005-0000-0000-000057080000}"/>
    <cellStyle name="_변경계약분실행및2001년실행(견적비교포함)_포장외건(최종)" xfId="2750" xr:uid="{00000000-0005-0000-0000-000058080000}"/>
    <cellStyle name="_변경계약분실행및2001년실행(견적비교포함)_포장외건(최종) 2" xfId="6701" xr:uid="{00000000-0005-0000-0000-000059080000}"/>
    <cellStyle name="_변경계약분실행및2001년실행(견적비교포함)_포장외건(최종) 2 2" xfId="6702" xr:uid="{00000000-0005-0000-0000-00005A080000}"/>
    <cellStyle name="_변경계약분실행및2001년실행(견적비교포함)_포장외건(최종)_강동내역(9.28" xfId="2751" xr:uid="{00000000-0005-0000-0000-00005B080000}"/>
    <cellStyle name="_변경계약분실행및2001년실행(견적비교포함)_포장외건(최종)_강동내역(9.28 2" xfId="6703" xr:uid="{00000000-0005-0000-0000-00005C080000}"/>
    <cellStyle name="_변경계약분실행및2001년실행(견적비교포함)_포장외건(최종)_강동내역(9.28 2 2" xfId="6704" xr:uid="{00000000-0005-0000-0000-00005D080000}"/>
    <cellStyle name="_변경계약분실행및2001년실행(견적비교포함)_포장외건(최종)_강동내역(9.28_T05-D03-004D(울산터널-조명제어-안소장님1003)" xfId="2753" xr:uid="{00000000-0005-0000-0000-00005E080000}"/>
    <cellStyle name="_변경계약분실행및2001년실행(견적비교포함)_포장외건(최종)_강동내역(9.28_T05-D03-004D(울산터널-조명제어-안소장님1003) 2" xfId="6705" xr:uid="{00000000-0005-0000-0000-00005F080000}"/>
    <cellStyle name="_변경계약분실행및2001년실행(견적비교포함)_포장외건(최종)_강동내역(9.28_T05-D03-004D(울산터널-조명제어-안소장님1003) 2 2" xfId="6706" xr:uid="{00000000-0005-0000-0000-000060080000}"/>
    <cellStyle name="_변경계약분실행및2001년실행(견적비교포함)_포장외건(최종)_강동내역(9.28_T05-D03-004D(울산터널-환기-구성설비0930)" xfId="2754" xr:uid="{00000000-0005-0000-0000-000061080000}"/>
    <cellStyle name="_변경계약분실행및2001년실행(견적비교포함)_포장외건(최종)_강동내역(9.28_T05-D03-004D(울산터널-환기-구성설비0930) 2" xfId="6707" xr:uid="{00000000-0005-0000-0000-000062080000}"/>
    <cellStyle name="_변경계약분실행및2001년실행(견적비교포함)_포장외건(최종)_강동내역(9.28_T05-D03-004D(울산터널-환기-구성설비0930) 2 2" xfId="6708" xr:uid="{00000000-0005-0000-0000-000063080000}"/>
    <cellStyle name="_변경계약분실행및2001년실행(견적비교포함)_포장외건(최종)_강동내역(9.28_울산강동내역최종(20051101)" xfId="2752" xr:uid="{00000000-0005-0000-0000-000064080000}"/>
    <cellStyle name="_변경계약분실행및2001년실행(견적비교포함)_포장외건(최종)_강동내역(9.28_울산강동내역최종(20051101) 2" xfId="6709" xr:uid="{00000000-0005-0000-0000-000065080000}"/>
    <cellStyle name="_변경계약분실행및2001년실행(견적비교포함)_포장외건(최종)_강동내역(9.28_울산강동내역최종(20051101) 2 2" xfId="6710" xr:uid="{00000000-0005-0000-0000-000066080000}"/>
    <cellStyle name="_변경내역서(봉천로-최종)" xfId="1081" xr:uid="{00000000-0005-0000-0000-000067080000}"/>
    <cellStyle name="_변경내역서(최종)" xfId="1082" xr:uid="{00000000-0005-0000-0000-000068080000}"/>
    <cellStyle name="_별첨(계획서및실적서양식)" xfId="2755" xr:uid="{00000000-0005-0000-0000-000069080000}"/>
    <cellStyle name="_별첨(계획서및실적서양식)_1" xfId="2756" xr:uid="{00000000-0005-0000-0000-00006A080000}"/>
    <cellStyle name="_보수공사" xfId="2757" xr:uid="{00000000-0005-0000-0000-00006B080000}"/>
    <cellStyle name="_복사본 성남중앙로변가로화단 수량산출서" xfId="1879" xr:uid="{00000000-0005-0000-0000-00006C080000}"/>
    <cellStyle name="_본선토공수량" xfId="6711" xr:uid="{00000000-0005-0000-0000-00006D080000}"/>
    <cellStyle name="_본선토공수량 2" xfId="6712" xr:uid="{00000000-0005-0000-0000-00006E080000}"/>
    <cellStyle name="_본선토공수량 2 2" xfId="6713" xr:uid="{00000000-0005-0000-0000-00006F080000}"/>
    <cellStyle name="_봉림고교 교사신축(최종)" xfId="6714" xr:uid="{00000000-0005-0000-0000-000070080000}"/>
    <cellStyle name="_봉림고교 교사신축(최종) 2" xfId="6715" xr:uid="{00000000-0005-0000-0000-000071080000}"/>
    <cellStyle name="_봉림고교 교사신축(최종) 2 2" xfId="6716" xr:uid="{00000000-0005-0000-0000-000072080000}"/>
    <cellStyle name="_봉림고교 교사신축(최종)-참고용" xfId="6717" xr:uid="{00000000-0005-0000-0000-000073080000}"/>
    <cellStyle name="_봉림고교 교사신축(최종)-참고용 2" xfId="6718" xr:uid="{00000000-0005-0000-0000-000074080000}"/>
    <cellStyle name="_봉림고교 교사신축(최종)-참고용 2 2" xfId="6719" xr:uid="{00000000-0005-0000-0000-000075080000}"/>
    <cellStyle name="_봉림리1공구" xfId="2758" xr:uid="{00000000-0005-0000-0000-000076080000}"/>
    <cellStyle name="_봉화산 공사비산출내역429" xfId="1880" xr:uid="{00000000-0005-0000-0000-000077080000}"/>
    <cellStyle name="_봉화산근린공원정비518" xfId="1881" xr:uid="{00000000-0005-0000-0000-000078080000}"/>
    <cellStyle name="_부대공" xfId="2759" xr:uid="{00000000-0005-0000-0000-000079080000}"/>
    <cellStyle name="_부산소방 제출용 200407" xfId="6720" xr:uid="{00000000-0005-0000-0000-00007A080000}"/>
    <cellStyle name="_부산소방 제출용 200407 2" xfId="6721" xr:uid="{00000000-0005-0000-0000-00007B080000}"/>
    <cellStyle name="_부산소방 제출용 200407 2 2" xfId="6722" xr:uid="{00000000-0005-0000-0000-00007C080000}"/>
    <cellStyle name="_부산원가1014_최종" xfId="6723" xr:uid="{00000000-0005-0000-0000-00007D080000}"/>
    <cellStyle name="_부산원가1014_최종 2" xfId="6724" xr:uid="{00000000-0005-0000-0000-00007E080000}"/>
    <cellStyle name="_부산원가1014_최종 2 2" xfId="6725" xr:uid="{00000000-0005-0000-0000-00007F080000}"/>
    <cellStyle name="_분당E마트bm" xfId="1083" xr:uid="{00000000-0005-0000-0000-000080080000}"/>
    <cellStyle name="_분당구-지압보도-1024" xfId="1882" xr:uid="{00000000-0005-0000-0000-000081080000}"/>
    <cellStyle name="_사각정자" xfId="2760" xr:uid="{00000000-0005-0000-0000-000082080000}"/>
    <cellStyle name="_사각파고라" xfId="1883" xr:uid="{00000000-0005-0000-0000-000083080000}"/>
    <cellStyle name="_사동초중" xfId="2761" xr:uid="{00000000-0005-0000-0000-000084080000}"/>
    <cellStyle name="_사유서" xfId="1884" xr:uid="{00000000-0005-0000-0000-000085080000}"/>
    <cellStyle name="_사유서_내역서" xfId="1885" xr:uid="{00000000-0005-0000-0000-000086080000}"/>
    <cellStyle name="_산출(신현터널 일운)" xfId="2762" xr:uid="{00000000-0005-0000-0000-000087080000}"/>
    <cellStyle name="_산출(신현터널 일운) 2" xfId="6726" xr:uid="{00000000-0005-0000-0000-000088080000}"/>
    <cellStyle name="_산출(신현터널 일운) 2 2" xfId="6727" xr:uid="{00000000-0005-0000-0000-000089080000}"/>
    <cellStyle name="_산출(신현터널 일운) 3" xfId="6728" xr:uid="{00000000-0005-0000-0000-00008A080000}"/>
    <cellStyle name="_산출내역서1" xfId="1084" xr:uid="{00000000-0005-0000-0000-00008B080000}"/>
    <cellStyle name="_상도동I-PARK전기내역서" xfId="1085" xr:uid="{00000000-0005-0000-0000-00008C080000}"/>
    <cellStyle name="_생태이동통로토공" xfId="6729" xr:uid="{00000000-0005-0000-0000-00008D080000}"/>
    <cellStyle name="_생태이동통로토공 2" xfId="6730" xr:uid="{00000000-0005-0000-0000-00008E080000}"/>
    <cellStyle name="_생태이동통로토공 2 2" xfId="6731" xr:uid="{00000000-0005-0000-0000-00008F080000}"/>
    <cellStyle name="_서울 지하철 7호선 연장 내역서" xfId="1086" xr:uid="{00000000-0005-0000-0000-000090080000}"/>
    <cellStyle name="_서울과학관의장" xfId="2763" xr:uid="{00000000-0005-0000-0000-000091080000}"/>
    <cellStyle name="_서울과학관의장 2" xfId="6732" xr:uid="{00000000-0005-0000-0000-000092080000}"/>
    <cellStyle name="_서울과학관의장 2 2" xfId="6733" xr:uid="{00000000-0005-0000-0000-000093080000}"/>
    <cellStyle name="_서울과학관의장 3" xfId="6734" xr:uid="{00000000-0005-0000-0000-000094080000}"/>
    <cellStyle name="_서울여대(20020516)" xfId="1087" xr:uid="{00000000-0005-0000-0000-000095080000}"/>
    <cellStyle name="_서창정거장최종내역서(05,06,29)" xfId="1088" xr:uid="{00000000-0005-0000-0000-000096080000}"/>
    <cellStyle name="_선도전기(실적기준)" xfId="6735" xr:uid="{00000000-0005-0000-0000-000097080000}"/>
    <cellStyle name="_선도전기(실적기준) 2" xfId="6736" xr:uid="{00000000-0005-0000-0000-000098080000}"/>
    <cellStyle name="_선도전기(실적기준) 2 2" xfId="6737" xr:uid="{00000000-0005-0000-0000-000099080000}"/>
    <cellStyle name="_선도전기(실적기준) 3" xfId="6738" xr:uid="{00000000-0005-0000-0000-00009A080000}"/>
    <cellStyle name="_선정(1)" xfId="2764" xr:uid="{00000000-0005-0000-0000-00009B080000}"/>
    <cellStyle name="_선정(1)_선정안(삼산)" xfId="2765" xr:uid="{00000000-0005-0000-0000-00009C080000}"/>
    <cellStyle name="_선정(1)_선정안(삼산)_캐노피 견적서" xfId="2766" xr:uid="{00000000-0005-0000-0000-00009D080000}"/>
    <cellStyle name="_선정(1)_추풍령" xfId="2767" xr:uid="{00000000-0005-0000-0000-00009E080000}"/>
    <cellStyle name="_선정(1)_추풍령_캐노피 견적서" xfId="2768" xr:uid="{00000000-0005-0000-0000-00009F080000}"/>
    <cellStyle name="_선정(1)_추풍령-1" xfId="2769" xr:uid="{00000000-0005-0000-0000-0000A0080000}"/>
    <cellStyle name="_선정(1)_추풍령-1_캐노피 견적서" xfId="2770" xr:uid="{00000000-0005-0000-0000-0000A1080000}"/>
    <cellStyle name="_선정(1)_캐노피 견적서" xfId="2771" xr:uid="{00000000-0005-0000-0000-0000A2080000}"/>
    <cellStyle name="_선정(2)" xfId="2772" xr:uid="{00000000-0005-0000-0000-0000A3080000}"/>
    <cellStyle name="_선정(2)_선정안(삼산)" xfId="2773" xr:uid="{00000000-0005-0000-0000-0000A4080000}"/>
    <cellStyle name="_선정(2)_선정안(삼산)_캐노피 견적서" xfId="2774" xr:uid="{00000000-0005-0000-0000-0000A5080000}"/>
    <cellStyle name="_선정(2)_추풍령" xfId="2775" xr:uid="{00000000-0005-0000-0000-0000A6080000}"/>
    <cellStyle name="_선정(2)_추풍령_캐노피 견적서" xfId="2776" xr:uid="{00000000-0005-0000-0000-0000A7080000}"/>
    <cellStyle name="_선정(2)_추풍령-1" xfId="2777" xr:uid="{00000000-0005-0000-0000-0000A8080000}"/>
    <cellStyle name="_선정(2)_추풍령-1_캐노피 견적서" xfId="2778" xr:uid="{00000000-0005-0000-0000-0000A9080000}"/>
    <cellStyle name="_선정(2)_캐노피 견적서" xfId="2779" xr:uid="{00000000-0005-0000-0000-0000AA080000}"/>
    <cellStyle name="_선정(3)" xfId="2780" xr:uid="{00000000-0005-0000-0000-0000AB080000}"/>
    <cellStyle name="_선정(3)_선정안(삼산)" xfId="2781" xr:uid="{00000000-0005-0000-0000-0000AC080000}"/>
    <cellStyle name="_선정(3)_선정안(삼산)_캐노피 견적서" xfId="2782" xr:uid="{00000000-0005-0000-0000-0000AD080000}"/>
    <cellStyle name="_선정(3)_추풍령" xfId="2783" xr:uid="{00000000-0005-0000-0000-0000AE080000}"/>
    <cellStyle name="_선정(3)_추풍령_캐노피 견적서" xfId="2784" xr:uid="{00000000-0005-0000-0000-0000AF080000}"/>
    <cellStyle name="_선정(3)_추풍령-1" xfId="2785" xr:uid="{00000000-0005-0000-0000-0000B0080000}"/>
    <cellStyle name="_선정(3)_추풍령-1_캐노피 견적서" xfId="2786" xr:uid="{00000000-0005-0000-0000-0000B1080000}"/>
    <cellStyle name="_선정(3)_캐노피 견적서" xfId="2787" xr:uid="{00000000-0005-0000-0000-0000B2080000}"/>
    <cellStyle name="_선정(4)" xfId="2788" xr:uid="{00000000-0005-0000-0000-0000B3080000}"/>
    <cellStyle name="_선정(4)_선정안(삼산)" xfId="2789" xr:uid="{00000000-0005-0000-0000-0000B4080000}"/>
    <cellStyle name="_선정(4)_선정안(삼산)_캐노피 견적서" xfId="2790" xr:uid="{00000000-0005-0000-0000-0000B5080000}"/>
    <cellStyle name="_선정(4)_추풍령" xfId="2791" xr:uid="{00000000-0005-0000-0000-0000B6080000}"/>
    <cellStyle name="_선정(4)_추풍령_캐노피 견적서" xfId="2792" xr:uid="{00000000-0005-0000-0000-0000B7080000}"/>
    <cellStyle name="_선정(4)_추풍령-1" xfId="2793" xr:uid="{00000000-0005-0000-0000-0000B8080000}"/>
    <cellStyle name="_선정(4)_추풍령-1_캐노피 견적서" xfId="2794" xr:uid="{00000000-0005-0000-0000-0000B9080000}"/>
    <cellStyle name="_선정(4)_캐노피 견적서" xfId="2795" xr:uid="{00000000-0005-0000-0000-0000BA080000}"/>
    <cellStyle name="_선정(5)" xfId="2796" xr:uid="{00000000-0005-0000-0000-0000BB080000}"/>
    <cellStyle name="_선정(5)_선정안(삼산)" xfId="2797" xr:uid="{00000000-0005-0000-0000-0000BC080000}"/>
    <cellStyle name="_선정(5)_선정안(삼산)_캐노피 견적서" xfId="2798" xr:uid="{00000000-0005-0000-0000-0000BD080000}"/>
    <cellStyle name="_선정(5)_추풍령" xfId="2799" xr:uid="{00000000-0005-0000-0000-0000BE080000}"/>
    <cellStyle name="_선정(5)_추풍령_캐노피 견적서" xfId="2800" xr:uid="{00000000-0005-0000-0000-0000BF080000}"/>
    <cellStyle name="_선정(5)_추풍령-1" xfId="2801" xr:uid="{00000000-0005-0000-0000-0000C0080000}"/>
    <cellStyle name="_선정(5)_추풍령-1_캐노피 견적서" xfId="2802" xr:uid="{00000000-0005-0000-0000-0000C1080000}"/>
    <cellStyle name="_선정(5)_캐노피 견적서" xfId="2803" xr:uid="{00000000-0005-0000-0000-0000C2080000}"/>
    <cellStyle name="_설계(정산)변경(공단통보)" xfId="1886" xr:uid="{00000000-0005-0000-0000-0000C3080000}"/>
    <cellStyle name="_설계내역서-1007" xfId="1887" xr:uid="{00000000-0005-0000-0000-0000C4080000}"/>
    <cellStyle name="_설계도서" xfId="6739" xr:uid="{00000000-0005-0000-0000-0000C5080000}"/>
    <cellStyle name="_설계도서 2" xfId="6740" xr:uid="{00000000-0005-0000-0000-0000C6080000}"/>
    <cellStyle name="_설계도서 2 2" xfId="6741" xr:uid="{00000000-0005-0000-0000-0000C7080000}"/>
    <cellStyle name="_설계변경내역" xfId="1888" xr:uid="{00000000-0005-0000-0000-0000C8080000}"/>
    <cellStyle name="_설계변경내역(감독용)" xfId="1089" xr:uid="{00000000-0005-0000-0000-0000C9080000}"/>
    <cellStyle name="_설계서" xfId="1889" xr:uid="{00000000-0005-0000-0000-0000CA080000}"/>
    <cellStyle name="_설계서(수전)5.12" xfId="1090" xr:uid="{00000000-0005-0000-0000-0000CB080000}"/>
    <cellStyle name="_설계서-신정공원" xfId="1890" xr:uid="{00000000-0005-0000-0000-0000CC080000}"/>
    <cellStyle name="_설계원가 및 손익계산서(극장)" xfId="1091" xr:uid="{00000000-0005-0000-0000-0000CD080000}"/>
    <cellStyle name="_설계원가 및 손익계산서(백화점)" xfId="1092" xr:uid="{00000000-0005-0000-0000-0000CE080000}"/>
    <cellStyle name="_설계원가 및 손익계산서(이광환)" xfId="1093" xr:uid="{00000000-0005-0000-0000-0000CF080000}"/>
    <cellStyle name="_설비(1218)" xfId="1094" xr:uid="{00000000-0005-0000-0000-0000D0080000}"/>
    <cellStyle name="_설치위치별세부내역(VMS)-0323" xfId="6742" xr:uid="{00000000-0005-0000-0000-0000D1080000}"/>
    <cellStyle name="_설치위치별세부내역(VMS)-0323 2" xfId="6743" xr:uid="{00000000-0005-0000-0000-0000D2080000}"/>
    <cellStyle name="_설치위치별세부내역(VMS)-0323 2 2" xfId="6744" xr:uid="{00000000-0005-0000-0000-0000D3080000}"/>
    <cellStyle name="_성남보행자도로 설계서" xfId="1891" xr:uid="{00000000-0005-0000-0000-0000D4080000}"/>
    <cellStyle name="_소프트웨어개발비_1106" xfId="6745" xr:uid="{00000000-0005-0000-0000-0000D5080000}"/>
    <cellStyle name="_소프트웨어개발비_1106 2" xfId="6746" xr:uid="{00000000-0005-0000-0000-0000D6080000}"/>
    <cellStyle name="_소프트웨어개발비_1106 2 2" xfId="6747" xr:uid="{00000000-0005-0000-0000-0000D7080000}"/>
    <cellStyle name="_소프트웨어개발비_1106 3" xfId="6748" xr:uid="{00000000-0005-0000-0000-0000D8080000}"/>
    <cellStyle name="_송정공원및송정리정거장최종내역서(05(1).06.29)" xfId="1095" xr:uid="{00000000-0005-0000-0000-0000D9080000}"/>
    <cellStyle name="_송현실행내역" xfId="1096" xr:uid="{00000000-0005-0000-0000-0000DA080000}"/>
    <cellStyle name="_송현실행내역_갤러리아팰리스자재견적" xfId="1097" xr:uid="{00000000-0005-0000-0000-0000DB080000}"/>
    <cellStyle name="_송현실행내역_상도동I-PARK전기내역서" xfId="1098" xr:uid="{00000000-0005-0000-0000-0000DC080000}"/>
    <cellStyle name="_송현실행내역_장미등품" xfId="1099" xr:uid="{00000000-0005-0000-0000-0000DD080000}"/>
    <cellStyle name="_송현실행내역_장미아파트자재" xfId="1100" xr:uid="{00000000-0005-0000-0000-0000DE080000}"/>
    <cellStyle name="_송현실행내역_장미아파트전기공사(작업)" xfId="1101" xr:uid="{00000000-0005-0000-0000-0000DF080000}"/>
    <cellStyle name="_송현실행내역_창원점A공구" xfId="1102" xr:uid="{00000000-0005-0000-0000-0000E0080000}"/>
    <cellStyle name="_송현실행내역_청주교보복합빌딩견적" xfId="1103" xr:uid="{00000000-0005-0000-0000-0000E1080000}"/>
    <cellStyle name="_수락산터널(05.06.10)-세종(최종)" xfId="1104" xr:uid="{00000000-0005-0000-0000-0000E2080000}"/>
    <cellStyle name="_수량" xfId="2804" xr:uid="{00000000-0005-0000-0000-0000E3080000}"/>
    <cellStyle name="_수량(남성하수도)" xfId="2805" xr:uid="{00000000-0005-0000-0000-0000E4080000}"/>
    <cellStyle name="_수량(삼가리도로부)" xfId="2806" xr:uid="{00000000-0005-0000-0000-0000E5080000}"/>
    <cellStyle name="_수량(어암리1공구)" xfId="2807" xr:uid="{00000000-0005-0000-0000-0000E6080000}"/>
    <cellStyle name="_수량(옥계)-금회분(0)" xfId="2808" xr:uid="{00000000-0005-0000-0000-0000E7080000}"/>
    <cellStyle name="_수량산출서" xfId="2809" xr:uid="{00000000-0005-0000-0000-0000E8080000}"/>
    <cellStyle name="_수량산출서 2" xfId="6749" xr:uid="{00000000-0005-0000-0000-0000E9080000}"/>
    <cellStyle name="_수량산출서 2 2" xfId="6750" xr:uid="{00000000-0005-0000-0000-0000EA080000}"/>
    <cellStyle name="_수량산출서 3" xfId="6751" xr:uid="{00000000-0005-0000-0000-0000EB080000}"/>
    <cellStyle name="_수량산출집계(옥외간선포함)" xfId="6752" xr:uid="{00000000-0005-0000-0000-0000EC080000}"/>
    <cellStyle name="_수량산출집계(옥외간선포함) 2" xfId="6753" xr:uid="{00000000-0005-0000-0000-0000ED080000}"/>
    <cellStyle name="_수량산출집계(옥외간선포함) 2 2" xfId="6754" xr:uid="{00000000-0005-0000-0000-0000EE080000}"/>
    <cellStyle name="_수량제목" xfId="1892" xr:uid="{00000000-0005-0000-0000-0000EF080000}"/>
    <cellStyle name="_수량제목_내역서" xfId="1893" xr:uid="{00000000-0005-0000-0000-0000F0080000}"/>
    <cellStyle name="_수량표(아주포함)" xfId="2810" xr:uid="{00000000-0005-0000-0000-0000F1080000}"/>
    <cellStyle name="_수량표(아주포함) 2" xfId="6755" xr:uid="{00000000-0005-0000-0000-0000F2080000}"/>
    <cellStyle name="_수량표(아주포함) 2 2" xfId="6756" xr:uid="{00000000-0005-0000-0000-0000F3080000}"/>
    <cellStyle name="_수량표(아주포함) 3" xfId="6757" xr:uid="{00000000-0005-0000-0000-0000F4080000}"/>
    <cellStyle name="_순창운암전기내역서" xfId="2811" xr:uid="{00000000-0005-0000-0000-0000F5080000}"/>
    <cellStyle name="_순창운암전기내역서 2" xfId="6758" xr:uid="{00000000-0005-0000-0000-0000F6080000}"/>
    <cellStyle name="_순창운암전기내역서 2 2" xfId="6759" xr:uid="{00000000-0005-0000-0000-0000F7080000}"/>
    <cellStyle name="_순창운암전기내역서_가산2빗물-발주용-시설물토목화" xfId="2812" xr:uid="{00000000-0005-0000-0000-0000F8080000}"/>
    <cellStyle name="_숭실대학교 걷고싶은 거리 녹화사업" xfId="6760" xr:uid="{00000000-0005-0000-0000-0000F9080000}"/>
    <cellStyle name="_숭실대학교 걷고싶은 거리 녹화사업 2" xfId="6761" xr:uid="{00000000-0005-0000-0000-0000FA080000}"/>
    <cellStyle name="_숭실대학교 걷고싶은 거리 녹화사업 2 2" xfId="6762" xr:uid="{00000000-0005-0000-0000-0000FB080000}"/>
    <cellStyle name="_시설 언더패스 견적-40202" xfId="1105" xr:uid="{00000000-0005-0000-0000-0000FC080000}"/>
    <cellStyle name="_시설 언더패스 견적-40204" xfId="1106" xr:uid="{00000000-0005-0000-0000-0000FD080000}"/>
    <cellStyle name="_신길4동 마을마당 전기공사" xfId="1107" xr:uid="{00000000-0005-0000-0000-0000FE080000}"/>
    <cellStyle name="_신길4동 마을마당 조성공사" xfId="1108" xr:uid="{00000000-0005-0000-0000-0000FF080000}"/>
    <cellStyle name="_신탄진선(태림)" xfId="1894" xr:uid="{00000000-0005-0000-0000-000000090000}"/>
    <cellStyle name="_신호일위내역서2008-07(300기초규격수정,복구추가)" xfId="6763" xr:uid="{00000000-0005-0000-0000-000001090000}"/>
    <cellStyle name="_신호일위내역서2008-07(300기초규격수정,복구추가) 2" xfId="6764" xr:uid="{00000000-0005-0000-0000-000002090000}"/>
    <cellStyle name="_신호일위내역서2008-07(300기초규격수정,복구추가) 2 2" xfId="6765" xr:uid="{00000000-0005-0000-0000-000003090000}"/>
    <cellStyle name="_신호일위내역서2008-07(300기초규격수정,복구추가) 3" xfId="6766" xr:uid="{00000000-0005-0000-0000-000004090000}"/>
    <cellStyle name="_신호제어_무선전송장치_내역서" xfId="6767" xr:uid="{00000000-0005-0000-0000-000005090000}"/>
    <cellStyle name="_신호제어_무선전송장치_내역서 2" xfId="6768" xr:uid="{00000000-0005-0000-0000-000006090000}"/>
    <cellStyle name="_신호제어_무선전송장치_내역서 2 2" xfId="6769" xr:uid="{00000000-0005-0000-0000-000007090000}"/>
    <cellStyle name="_실행내역" xfId="1109" xr:uid="{00000000-0005-0000-0000-000008090000}"/>
    <cellStyle name="_쑥고개길가로등개량공사(2차) 변경내역" xfId="1110" xr:uid="{00000000-0005-0000-0000-000009090000}"/>
    <cellStyle name="_아산탕정삼성기숙사실행내역" xfId="1111" xr:uid="{00000000-0005-0000-0000-00000A090000}"/>
    <cellStyle name="_안양점" xfId="1112" xr:uid="{00000000-0005-0000-0000-00000B090000}"/>
    <cellStyle name="_압입추진내역서" xfId="2813" xr:uid="{00000000-0005-0000-0000-00000C090000}"/>
    <cellStyle name="_압입추진내역서_캐노피 견적서" xfId="2814" xr:uid="{00000000-0005-0000-0000-00000D090000}"/>
    <cellStyle name="_앙성수량총괄(관수정)" xfId="2815" xr:uid="{00000000-0005-0000-0000-00000E090000}"/>
    <cellStyle name="_앙성수량총괄(관수정)_03. 횡배수관" xfId="2816" xr:uid="{00000000-0005-0000-0000-00000F090000}"/>
    <cellStyle name="_앙성수량총괄(관수정)_03_호안공" xfId="2817" xr:uid="{00000000-0005-0000-0000-000010090000}"/>
    <cellStyle name="_앙성수량총괄(관수정)_03-포장공" xfId="2818" xr:uid="{00000000-0005-0000-0000-000011090000}"/>
    <cellStyle name="_앙성수량총괄(관수정)_04-포장공-55통" xfId="2819" xr:uid="{00000000-0005-0000-0000-000012090000}"/>
    <cellStyle name="_앙성수량총괄(관수정)_1" xfId="2820" xr:uid="{00000000-0005-0000-0000-000013090000}"/>
    <cellStyle name="_앙성수량총괄(관수정)_2" xfId="2821" xr:uid="{00000000-0005-0000-0000-000014090000}"/>
    <cellStyle name="_앙성수량총괄(관수정)_2.배 수 공" xfId="2822" xr:uid="{00000000-0005-0000-0000-000015090000}"/>
    <cellStyle name="_앙성수량총괄(관수정)_2_03. 횡배수관" xfId="2823" xr:uid="{00000000-0005-0000-0000-000016090000}"/>
    <cellStyle name="_앙성수량총괄(관수정)_2_03_호안공" xfId="2824" xr:uid="{00000000-0005-0000-0000-000017090000}"/>
    <cellStyle name="_앙성수량총괄(관수정)_2_03-포장공" xfId="2825" xr:uid="{00000000-0005-0000-0000-000018090000}"/>
    <cellStyle name="_앙성수량총괄(관수정)_2_04-포장공-55통" xfId="2826" xr:uid="{00000000-0005-0000-0000-000019090000}"/>
    <cellStyle name="_앙성수량총괄(관수정)_2_2.배 수 공" xfId="2827" xr:uid="{00000000-0005-0000-0000-00001A090000}"/>
    <cellStyle name="_앙성수량총괄(관수정)_2_2-5 깨기-태성2" xfId="2828" xr:uid="{00000000-0005-0000-0000-00001B090000}"/>
    <cellStyle name="_앙성수량총괄(관수정)_2_4-포장공" xfId="2829" xr:uid="{00000000-0005-0000-0000-00001C090000}"/>
    <cellStyle name="_앙성수량총괄(관수정)_2_6-깨기1" xfId="2830" xr:uid="{00000000-0005-0000-0000-00001D090000}"/>
    <cellStyle name="_앙성수량총괄(관수정)_2_내오량천수량" xfId="2831" xr:uid="{00000000-0005-0000-0000-00001E090000}"/>
    <cellStyle name="_앙성수량총괄(관수정)_2_동계지구(변경1)" xfId="2832" xr:uid="{00000000-0005-0000-0000-00001F090000}"/>
    <cellStyle name="_앙성수량총괄(관수정)_2_토공1" xfId="2833" xr:uid="{00000000-0005-0000-0000-000020090000}"/>
    <cellStyle name="_앙성수량총괄(관수정)_2_표지" xfId="2834" xr:uid="{00000000-0005-0000-0000-000021090000}"/>
    <cellStyle name="_앙성수량총괄(관수정)_2-5 깨기-태성2" xfId="2835" xr:uid="{00000000-0005-0000-0000-000022090000}"/>
    <cellStyle name="_앙성수량총괄(관수정)_4-포장공" xfId="2836" xr:uid="{00000000-0005-0000-0000-000023090000}"/>
    <cellStyle name="_앙성수량총괄(관수정)_6-깨기1" xfId="2837" xr:uid="{00000000-0005-0000-0000-000024090000}"/>
    <cellStyle name="_앙성수량총괄(관수정)_내오량천수량" xfId="2838" xr:uid="{00000000-0005-0000-0000-000025090000}"/>
    <cellStyle name="_앙성수량총괄(관수정)_동계지구(변경1)" xfId="2839" xr:uid="{00000000-0005-0000-0000-000026090000}"/>
    <cellStyle name="_앙성수량총괄(관수정)_토공1" xfId="2840" xr:uid="{00000000-0005-0000-0000-000027090000}"/>
    <cellStyle name="_앙성수량총괄(관수정)_표지" xfId="2841" xr:uid="{00000000-0005-0000-0000-000028090000}"/>
    <cellStyle name="_양묘장설계서" xfId="1895" xr:uid="{00000000-0005-0000-0000-000029090000}"/>
    <cellStyle name="_양묘장수량산출서" xfId="1896" xr:uid="{00000000-0005-0000-0000-00002A090000}"/>
    <cellStyle name="_양식" xfId="2842" xr:uid="{00000000-0005-0000-0000-00002B090000}"/>
    <cellStyle name="_양식_1" xfId="2843" xr:uid="{00000000-0005-0000-0000-00002C090000}"/>
    <cellStyle name="_양식_2" xfId="2844" xr:uid="{00000000-0005-0000-0000-00002D090000}"/>
    <cellStyle name="_여수우회" xfId="2845" xr:uid="{00000000-0005-0000-0000-00002E090000}"/>
    <cellStyle name="_여수우회 2" xfId="6770" xr:uid="{00000000-0005-0000-0000-00002F090000}"/>
    <cellStyle name="_여수우회 2 2" xfId="6771" xr:uid="{00000000-0005-0000-0000-000030090000}"/>
    <cellStyle name="_여수우회 3" xfId="6772" xr:uid="{00000000-0005-0000-0000-000031090000}"/>
    <cellStyle name="_영등포잔여구간변경내역" xfId="1113" xr:uid="{00000000-0005-0000-0000-000032090000}"/>
    <cellStyle name="_영산강-금호(부대내역)" xfId="2846" xr:uid="{00000000-0005-0000-0000-000033090000}"/>
    <cellStyle name="_영산강-금호(부대내역) 2" xfId="6773" xr:uid="{00000000-0005-0000-0000-000034090000}"/>
    <cellStyle name="_영산강-금호(부대내역) 2 2" xfId="6774" xr:uid="{00000000-0005-0000-0000-000035090000}"/>
    <cellStyle name="_영산강-금호(부대내역)_강동내역(9.28" xfId="2847" xr:uid="{00000000-0005-0000-0000-000036090000}"/>
    <cellStyle name="_영산강-금호(부대내역)_강동내역(9.28 2" xfId="6775" xr:uid="{00000000-0005-0000-0000-000037090000}"/>
    <cellStyle name="_영산강-금호(부대내역)_강동내역(9.28 2 2" xfId="6776" xr:uid="{00000000-0005-0000-0000-000038090000}"/>
    <cellStyle name="_영산강-금호(부대내역)_강동내역(9.28_T05-D03-004D(울산터널-조명제어-안소장님1003)" xfId="2849" xr:uid="{00000000-0005-0000-0000-000039090000}"/>
    <cellStyle name="_영산강-금호(부대내역)_강동내역(9.28_T05-D03-004D(울산터널-조명제어-안소장님1003) 2" xfId="6777" xr:uid="{00000000-0005-0000-0000-00003A090000}"/>
    <cellStyle name="_영산강-금호(부대내역)_강동내역(9.28_T05-D03-004D(울산터널-조명제어-안소장님1003) 2 2" xfId="6778" xr:uid="{00000000-0005-0000-0000-00003B090000}"/>
    <cellStyle name="_영산강-금호(부대내역)_강동내역(9.28_T05-D03-004D(울산터널-환기-구성설비0930)" xfId="2850" xr:uid="{00000000-0005-0000-0000-00003C090000}"/>
    <cellStyle name="_영산강-금호(부대내역)_강동내역(9.28_T05-D03-004D(울산터널-환기-구성설비0930) 2" xfId="6779" xr:uid="{00000000-0005-0000-0000-00003D090000}"/>
    <cellStyle name="_영산강-금호(부대내역)_강동내역(9.28_T05-D03-004D(울산터널-환기-구성설비0930) 2 2" xfId="6780" xr:uid="{00000000-0005-0000-0000-00003E090000}"/>
    <cellStyle name="_영산강-금호(부대내역)_강동내역(9.28_울산강동내역최종(20051101)" xfId="2848" xr:uid="{00000000-0005-0000-0000-00003F090000}"/>
    <cellStyle name="_영산강-금호(부대내역)_강동내역(9.28_울산강동내역최종(20051101) 2" xfId="6781" xr:uid="{00000000-0005-0000-0000-000040090000}"/>
    <cellStyle name="_영산강-금호(부대내역)_강동내역(9.28_울산강동내역최종(20051101) 2 2" xfId="6782" xr:uid="{00000000-0005-0000-0000-000041090000}"/>
    <cellStyle name="_영산강-금호(부대내역)_공무정산양식(10월초)" xfId="2851" xr:uid="{00000000-0005-0000-0000-000042090000}"/>
    <cellStyle name="_영산강-금호(부대내역)_공무정산양식(10월초) 2" xfId="6783" xr:uid="{00000000-0005-0000-0000-000043090000}"/>
    <cellStyle name="_영산강-금호(부대내역)_공무정산양식(10월초) 2 2" xfId="6784" xr:uid="{00000000-0005-0000-0000-000044090000}"/>
    <cellStyle name="_영산강-금호(부대내역)_공무정산양식(10월초)_강동내역(9.28" xfId="2852" xr:uid="{00000000-0005-0000-0000-000045090000}"/>
    <cellStyle name="_영산강-금호(부대내역)_공무정산양식(10월초)_강동내역(9.28 2" xfId="6785" xr:uid="{00000000-0005-0000-0000-000046090000}"/>
    <cellStyle name="_영산강-금호(부대내역)_공무정산양식(10월초)_강동내역(9.28 2 2" xfId="6786" xr:uid="{00000000-0005-0000-0000-000047090000}"/>
    <cellStyle name="_영산강-금호(부대내역)_공무정산양식(10월초)_강동내역(9.28_T05-D03-004D(울산터널-조명제어-안소장님1003)" xfId="2854" xr:uid="{00000000-0005-0000-0000-000048090000}"/>
    <cellStyle name="_영산강-금호(부대내역)_공무정산양식(10월초)_강동내역(9.28_T05-D03-004D(울산터널-조명제어-안소장님1003) 2" xfId="6787" xr:uid="{00000000-0005-0000-0000-000049090000}"/>
    <cellStyle name="_영산강-금호(부대내역)_공무정산양식(10월초)_강동내역(9.28_T05-D03-004D(울산터널-조명제어-안소장님1003) 2 2" xfId="6788" xr:uid="{00000000-0005-0000-0000-00004A090000}"/>
    <cellStyle name="_영산강-금호(부대내역)_공무정산양식(10월초)_강동내역(9.28_T05-D03-004D(울산터널-환기-구성설비0930)" xfId="2855" xr:uid="{00000000-0005-0000-0000-00004B090000}"/>
    <cellStyle name="_영산강-금호(부대내역)_공무정산양식(10월초)_강동내역(9.28_T05-D03-004D(울산터널-환기-구성설비0930) 2" xfId="6789" xr:uid="{00000000-0005-0000-0000-00004C090000}"/>
    <cellStyle name="_영산강-금호(부대내역)_공무정산양식(10월초)_강동내역(9.28_T05-D03-004D(울산터널-환기-구성설비0930) 2 2" xfId="6790" xr:uid="{00000000-0005-0000-0000-00004D090000}"/>
    <cellStyle name="_영산강-금호(부대내역)_공무정산양식(10월초)_강동내역(9.28_울산강동내역최종(20051101)" xfId="2853" xr:uid="{00000000-0005-0000-0000-00004E090000}"/>
    <cellStyle name="_영산강-금호(부대내역)_공무정산양식(10월초)_강동내역(9.28_울산강동내역최종(20051101) 2" xfId="6791" xr:uid="{00000000-0005-0000-0000-00004F090000}"/>
    <cellStyle name="_영산강-금호(부대내역)_공무정산양식(10월초)_강동내역(9.28_울산강동내역최종(20051101) 2 2" xfId="6792" xr:uid="{00000000-0005-0000-0000-000050090000}"/>
    <cellStyle name="_영산강-금호(부대내역)_공무정산양식(10월초)_기성내역서" xfId="2856" xr:uid="{00000000-0005-0000-0000-000051090000}"/>
    <cellStyle name="_영산강-금호(부대내역)_공무정산양식(10월초)_기성내역서 2" xfId="6793" xr:uid="{00000000-0005-0000-0000-000052090000}"/>
    <cellStyle name="_영산강-금호(부대내역)_공무정산양식(10월초)_기성내역서 2 2" xfId="6794" xr:uid="{00000000-0005-0000-0000-000053090000}"/>
    <cellStyle name="_영산강-금호(부대내역)_공무정산양식(10월초)_기성내역서_강동내역(9.28" xfId="2857" xr:uid="{00000000-0005-0000-0000-000054090000}"/>
    <cellStyle name="_영산강-금호(부대내역)_공무정산양식(10월초)_기성내역서_강동내역(9.28 2" xfId="6795" xr:uid="{00000000-0005-0000-0000-000055090000}"/>
    <cellStyle name="_영산강-금호(부대내역)_공무정산양식(10월초)_기성내역서_강동내역(9.28 2 2" xfId="6796" xr:uid="{00000000-0005-0000-0000-000056090000}"/>
    <cellStyle name="_영산강-금호(부대내역)_공무정산양식(10월초)_기성내역서_강동내역(9.28_T05-D03-004D(울산터널-조명제어-안소장님1003)" xfId="2859" xr:uid="{00000000-0005-0000-0000-000057090000}"/>
    <cellStyle name="_영산강-금호(부대내역)_공무정산양식(10월초)_기성내역서_강동내역(9.28_T05-D03-004D(울산터널-조명제어-안소장님1003) 2" xfId="6797" xr:uid="{00000000-0005-0000-0000-000058090000}"/>
    <cellStyle name="_영산강-금호(부대내역)_공무정산양식(10월초)_기성내역서_강동내역(9.28_T05-D03-004D(울산터널-조명제어-안소장님1003) 2 2" xfId="6798" xr:uid="{00000000-0005-0000-0000-000059090000}"/>
    <cellStyle name="_영산강-금호(부대내역)_공무정산양식(10월초)_기성내역서_강동내역(9.28_T05-D03-004D(울산터널-환기-구성설비0930)" xfId="2860" xr:uid="{00000000-0005-0000-0000-00005A090000}"/>
    <cellStyle name="_영산강-금호(부대내역)_공무정산양식(10월초)_기성내역서_강동내역(9.28_T05-D03-004D(울산터널-환기-구성설비0930) 2" xfId="6799" xr:uid="{00000000-0005-0000-0000-00005B090000}"/>
    <cellStyle name="_영산강-금호(부대내역)_공무정산양식(10월초)_기성내역서_강동내역(9.28_T05-D03-004D(울산터널-환기-구성설비0930) 2 2" xfId="6800" xr:uid="{00000000-0005-0000-0000-00005C090000}"/>
    <cellStyle name="_영산강-금호(부대내역)_공무정산양식(10월초)_기성내역서_강동내역(9.28_울산강동내역최종(20051101)" xfId="2858" xr:uid="{00000000-0005-0000-0000-00005D090000}"/>
    <cellStyle name="_영산강-금호(부대내역)_공무정산양식(10월초)_기성내역서_강동내역(9.28_울산강동내역최종(20051101) 2" xfId="6801" xr:uid="{00000000-0005-0000-0000-00005E090000}"/>
    <cellStyle name="_영산강-금호(부대내역)_공무정산양식(10월초)_기성내역서_강동내역(9.28_울산강동내역최종(20051101) 2 2" xfId="6802" xr:uid="{00000000-0005-0000-0000-00005F090000}"/>
    <cellStyle name="_영산강-금호(부대내역)_공무정산양식(10월초)_기성내역서_전체계약변경(03)" xfId="2861" xr:uid="{00000000-0005-0000-0000-000060090000}"/>
    <cellStyle name="_영산강-금호(부대내역)_공무정산양식(10월초)_기성내역서_전체계약변경(03) 2" xfId="6803" xr:uid="{00000000-0005-0000-0000-000061090000}"/>
    <cellStyle name="_영산강-금호(부대내역)_공무정산양식(10월초)_기성내역서_전체계약변경(03) 2 2" xfId="6804" xr:uid="{00000000-0005-0000-0000-000062090000}"/>
    <cellStyle name="_영산강-금호(부대내역)_공무정산양식(10월초)_기성내역서_전체계약변경(03)_강동내역(9.28" xfId="2862" xr:uid="{00000000-0005-0000-0000-000063090000}"/>
    <cellStyle name="_영산강-금호(부대내역)_공무정산양식(10월초)_기성내역서_전체계약변경(03)_강동내역(9.28 2" xfId="6805" xr:uid="{00000000-0005-0000-0000-000064090000}"/>
    <cellStyle name="_영산강-금호(부대내역)_공무정산양식(10월초)_기성내역서_전체계약변경(03)_강동내역(9.28 2 2" xfId="6806" xr:uid="{00000000-0005-0000-0000-000065090000}"/>
    <cellStyle name="_영산강-금호(부대내역)_공무정산양식(10월초)_기성내역서_전체계약변경(03)_강동내역(9.28_T05-D03-004D(울산터널-조명제어-안소장님1003)" xfId="2864" xr:uid="{00000000-0005-0000-0000-000066090000}"/>
    <cellStyle name="_영산강-금호(부대내역)_공무정산양식(10월초)_기성내역서_전체계약변경(03)_강동내역(9.28_T05-D03-004D(울산터널-조명제어-안소장님1003) 2" xfId="6807" xr:uid="{00000000-0005-0000-0000-000067090000}"/>
    <cellStyle name="_영산강-금호(부대내역)_공무정산양식(10월초)_기성내역서_전체계약변경(03)_강동내역(9.28_T05-D03-004D(울산터널-조명제어-안소장님1003) 2 2" xfId="6808" xr:uid="{00000000-0005-0000-0000-000068090000}"/>
    <cellStyle name="_영산강-금호(부대내역)_공무정산양식(10월초)_기성내역서_전체계약변경(03)_강동내역(9.28_T05-D03-004D(울산터널-환기-구성설비0930)" xfId="2865" xr:uid="{00000000-0005-0000-0000-000069090000}"/>
    <cellStyle name="_영산강-금호(부대내역)_공무정산양식(10월초)_기성내역서_전체계약변경(03)_강동내역(9.28_T05-D03-004D(울산터널-환기-구성설비0930) 2" xfId="6809" xr:uid="{00000000-0005-0000-0000-00006A090000}"/>
    <cellStyle name="_영산강-금호(부대내역)_공무정산양식(10월초)_기성내역서_전체계약변경(03)_강동내역(9.28_T05-D03-004D(울산터널-환기-구성설비0930) 2 2" xfId="6810" xr:uid="{00000000-0005-0000-0000-00006B090000}"/>
    <cellStyle name="_영산강-금호(부대내역)_공무정산양식(10월초)_기성내역서_전체계약변경(03)_강동내역(9.28_울산강동내역최종(20051101)" xfId="2863" xr:uid="{00000000-0005-0000-0000-00006C090000}"/>
    <cellStyle name="_영산강-금호(부대내역)_공무정산양식(10월초)_기성내역서_전체계약변경(03)_강동내역(9.28_울산강동내역최종(20051101) 2" xfId="6811" xr:uid="{00000000-0005-0000-0000-00006D090000}"/>
    <cellStyle name="_영산강-금호(부대내역)_공무정산양식(10월초)_기성내역서_전체계약변경(03)_강동내역(9.28_울산강동내역최종(20051101) 2 2" xfId="6812" xr:uid="{00000000-0005-0000-0000-00006E090000}"/>
    <cellStyle name="_영산강-금호(부대내역)_공무정산양식(10월초)_전체계약변경(03)" xfId="2866" xr:uid="{00000000-0005-0000-0000-00006F090000}"/>
    <cellStyle name="_영산강-금호(부대내역)_공무정산양식(10월초)_전체계약변경(03) 2" xfId="6813" xr:uid="{00000000-0005-0000-0000-000070090000}"/>
    <cellStyle name="_영산강-금호(부대내역)_공무정산양식(10월초)_전체계약변경(03) 2 2" xfId="6814" xr:uid="{00000000-0005-0000-0000-000071090000}"/>
    <cellStyle name="_영산강-금호(부대내역)_공무정산양식(10월초)_전체계약변경(03)_강동내역(9.28" xfId="2867" xr:uid="{00000000-0005-0000-0000-000072090000}"/>
    <cellStyle name="_영산강-금호(부대내역)_공무정산양식(10월초)_전체계약변경(03)_강동내역(9.28 2" xfId="6815" xr:uid="{00000000-0005-0000-0000-000073090000}"/>
    <cellStyle name="_영산강-금호(부대내역)_공무정산양식(10월초)_전체계약변경(03)_강동내역(9.28 2 2" xfId="6816" xr:uid="{00000000-0005-0000-0000-000074090000}"/>
    <cellStyle name="_영산강-금호(부대내역)_공무정산양식(10월초)_전체계약변경(03)_강동내역(9.28_T05-D03-004D(울산터널-조명제어-안소장님1003)" xfId="2869" xr:uid="{00000000-0005-0000-0000-000075090000}"/>
    <cellStyle name="_영산강-금호(부대내역)_공무정산양식(10월초)_전체계약변경(03)_강동내역(9.28_T05-D03-004D(울산터널-조명제어-안소장님1003) 2" xfId="6817" xr:uid="{00000000-0005-0000-0000-000076090000}"/>
    <cellStyle name="_영산강-금호(부대내역)_공무정산양식(10월초)_전체계약변경(03)_강동내역(9.28_T05-D03-004D(울산터널-조명제어-안소장님1003) 2 2" xfId="6818" xr:uid="{00000000-0005-0000-0000-000077090000}"/>
    <cellStyle name="_영산강-금호(부대내역)_공무정산양식(10월초)_전체계약변경(03)_강동내역(9.28_T05-D03-004D(울산터널-환기-구성설비0930)" xfId="2870" xr:uid="{00000000-0005-0000-0000-000078090000}"/>
    <cellStyle name="_영산강-금호(부대내역)_공무정산양식(10월초)_전체계약변경(03)_강동내역(9.28_T05-D03-004D(울산터널-환기-구성설비0930) 2" xfId="6819" xr:uid="{00000000-0005-0000-0000-000079090000}"/>
    <cellStyle name="_영산강-금호(부대내역)_공무정산양식(10월초)_전체계약변경(03)_강동내역(9.28_T05-D03-004D(울산터널-환기-구성설비0930) 2 2" xfId="6820" xr:uid="{00000000-0005-0000-0000-00007A090000}"/>
    <cellStyle name="_영산강-금호(부대내역)_공무정산양식(10월초)_전체계약변경(03)_강동내역(9.28_울산강동내역최종(20051101)" xfId="2868" xr:uid="{00000000-0005-0000-0000-00007B090000}"/>
    <cellStyle name="_영산강-금호(부대내역)_공무정산양식(10월초)_전체계약변경(03)_강동내역(9.28_울산강동내역최종(20051101) 2" xfId="6821" xr:uid="{00000000-0005-0000-0000-00007C090000}"/>
    <cellStyle name="_영산강-금호(부대내역)_공무정산양식(10월초)_전체계약변경(03)_강동내역(9.28_울산강동내역최종(20051101) 2 2" xfId="6822" xr:uid="{00000000-0005-0000-0000-00007D090000}"/>
    <cellStyle name="_영산강-금호(부대내역)_공무정산양식(10월초)_포장외건(최종)" xfId="2871" xr:uid="{00000000-0005-0000-0000-00007E090000}"/>
    <cellStyle name="_영산강-금호(부대내역)_공무정산양식(10월초)_포장외건(최종) 2" xfId="6823" xr:uid="{00000000-0005-0000-0000-00007F090000}"/>
    <cellStyle name="_영산강-금호(부대내역)_공무정산양식(10월초)_포장외건(최종) 2 2" xfId="6824" xr:uid="{00000000-0005-0000-0000-000080090000}"/>
    <cellStyle name="_영산강-금호(부대내역)_공무정산양식(10월초)_포장외건(최종)_강동내역(9.28" xfId="2872" xr:uid="{00000000-0005-0000-0000-000081090000}"/>
    <cellStyle name="_영산강-금호(부대내역)_공무정산양식(10월초)_포장외건(최종)_강동내역(9.28 2" xfId="6825" xr:uid="{00000000-0005-0000-0000-000082090000}"/>
    <cellStyle name="_영산강-금호(부대내역)_공무정산양식(10월초)_포장외건(최종)_강동내역(9.28 2 2" xfId="6826" xr:uid="{00000000-0005-0000-0000-000083090000}"/>
    <cellStyle name="_영산강-금호(부대내역)_공무정산양식(10월초)_포장외건(최종)_강동내역(9.28_T05-D03-004D(울산터널-조명제어-안소장님1003)" xfId="2874" xr:uid="{00000000-0005-0000-0000-000084090000}"/>
    <cellStyle name="_영산강-금호(부대내역)_공무정산양식(10월초)_포장외건(최종)_강동내역(9.28_T05-D03-004D(울산터널-조명제어-안소장님1003) 2" xfId="6827" xr:uid="{00000000-0005-0000-0000-000085090000}"/>
    <cellStyle name="_영산강-금호(부대내역)_공무정산양식(10월초)_포장외건(최종)_강동내역(9.28_T05-D03-004D(울산터널-조명제어-안소장님1003) 2 2" xfId="6828" xr:uid="{00000000-0005-0000-0000-000086090000}"/>
    <cellStyle name="_영산강-금호(부대내역)_공무정산양식(10월초)_포장외건(최종)_강동내역(9.28_T05-D03-004D(울산터널-환기-구성설비0930)" xfId="2875" xr:uid="{00000000-0005-0000-0000-000087090000}"/>
    <cellStyle name="_영산강-금호(부대내역)_공무정산양식(10월초)_포장외건(최종)_강동내역(9.28_T05-D03-004D(울산터널-환기-구성설비0930) 2" xfId="6829" xr:uid="{00000000-0005-0000-0000-000088090000}"/>
    <cellStyle name="_영산강-금호(부대내역)_공무정산양식(10월초)_포장외건(최종)_강동내역(9.28_T05-D03-004D(울산터널-환기-구성설비0930) 2 2" xfId="6830" xr:uid="{00000000-0005-0000-0000-000089090000}"/>
    <cellStyle name="_영산강-금호(부대내역)_공무정산양식(10월초)_포장외건(최종)_강동내역(9.28_울산강동내역최종(20051101)" xfId="2873" xr:uid="{00000000-0005-0000-0000-00008A090000}"/>
    <cellStyle name="_영산강-금호(부대내역)_공무정산양식(10월초)_포장외건(최종)_강동내역(9.28_울산강동내역최종(20051101) 2" xfId="6831" xr:uid="{00000000-0005-0000-0000-00008B090000}"/>
    <cellStyle name="_영산강-금호(부대내역)_공무정산양식(10월초)_포장외건(최종)_강동내역(9.28_울산강동내역최종(20051101) 2 2" xfId="6832" xr:uid="{00000000-0005-0000-0000-00008C090000}"/>
    <cellStyle name="_영산강-금호(부대내역)_기성내역서" xfId="2876" xr:uid="{00000000-0005-0000-0000-00008D090000}"/>
    <cellStyle name="_영산강-금호(부대내역)_기성내역서 2" xfId="6833" xr:uid="{00000000-0005-0000-0000-00008E090000}"/>
    <cellStyle name="_영산강-금호(부대내역)_기성내역서 2 2" xfId="6834" xr:uid="{00000000-0005-0000-0000-00008F090000}"/>
    <cellStyle name="_영산강-금호(부대내역)_기성내역서_강동내역(9.28" xfId="2877" xr:uid="{00000000-0005-0000-0000-000090090000}"/>
    <cellStyle name="_영산강-금호(부대내역)_기성내역서_강동내역(9.28 2" xfId="6835" xr:uid="{00000000-0005-0000-0000-000091090000}"/>
    <cellStyle name="_영산강-금호(부대내역)_기성내역서_강동내역(9.28 2 2" xfId="6836" xr:uid="{00000000-0005-0000-0000-000092090000}"/>
    <cellStyle name="_영산강-금호(부대내역)_기성내역서_강동내역(9.28_T05-D03-004D(울산터널-조명제어-안소장님1003)" xfId="2879" xr:uid="{00000000-0005-0000-0000-000093090000}"/>
    <cellStyle name="_영산강-금호(부대내역)_기성내역서_강동내역(9.28_T05-D03-004D(울산터널-조명제어-안소장님1003) 2" xfId="6837" xr:uid="{00000000-0005-0000-0000-000094090000}"/>
    <cellStyle name="_영산강-금호(부대내역)_기성내역서_강동내역(9.28_T05-D03-004D(울산터널-조명제어-안소장님1003) 2 2" xfId="6838" xr:uid="{00000000-0005-0000-0000-000095090000}"/>
    <cellStyle name="_영산강-금호(부대내역)_기성내역서_강동내역(9.28_T05-D03-004D(울산터널-환기-구성설비0930)" xfId="2880" xr:uid="{00000000-0005-0000-0000-000096090000}"/>
    <cellStyle name="_영산강-금호(부대내역)_기성내역서_강동내역(9.28_T05-D03-004D(울산터널-환기-구성설비0930) 2" xfId="6839" xr:uid="{00000000-0005-0000-0000-000097090000}"/>
    <cellStyle name="_영산강-금호(부대내역)_기성내역서_강동내역(9.28_T05-D03-004D(울산터널-환기-구성설비0930) 2 2" xfId="6840" xr:uid="{00000000-0005-0000-0000-000098090000}"/>
    <cellStyle name="_영산강-금호(부대내역)_기성내역서_강동내역(9.28_울산강동내역최종(20051101)" xfId="2878" xr:uid="{00000000-0005-0000-0000-000099090000}"/>
    <cellStyle name="_영산강-금호(부대내역)_기성내역서_강동내역(9.28_울산강동내역최종(20051101) 2" xfId="6841" xr:uid="{00000000-0005-0000-0000-00009A090000}"/>
    <cellStyle name="_영산강-금호(부대내역)_기성내역서_강동내역(9.28_울산강동내역최종(20051101) 2 2" xfId="6842" xr:uid="{00000000-0005-0000-0000-00009B090000}"/>
    <cellStyle name="_영산강-금호(부대내역)_기성내역서_전체계약변경(03)" xfId="2881" xr:uid="{00000000-0005-0000-0000-00009C090000}"/>
    <cellStyle name="_영산강-금호(부대내역)_기성내역서_전체계약변경(03) 2" xfId="6843" xr:uid="{00000000-0005-0000-0000-00009D090000}"/>
    <cellStyle name="_영산강-금호(부대내역)_기성내역서_전체계약변경(03) 2 2" xfId="6844" xr:uid="{00000000-0005-0000-0000-00009E090000}"/>
    <cellStyle name="_영산강-금호(부대내역)_기성내역서_전체계약변경(03)_강동내역(9.28" xfId="2882" xr:uid="{00000000-0005-0000-0000-00009F090000}"/>
    <cellStyle name="_영산강-금호(부대내역)_기성내역서_전체계약변경(03)_강동내역(9.28 2" xfId="6845" xr:uid="{00000000-0005-0000-0000-0000A0090000}"/>
    <cellStyle name="_영산강-금호(부대내역)_기성내역서_전체계약변경(03)_강동내역(9.28 2 2" xfId="6846" xr:uid="{00000000-0005-0000-0000-0000A1090000}"/>
    <cellStyle name="_영산강-금호(부대내역)_기성내역서_전체계약변경(03)_강동내역(9.28_T05-D03-004D(울산터널-조명제어-안소장님1003)" xfId="2884" xr:uid="{00000000-0005-0000-0000-0000A2090000}"/>
    <cellStyle name="_영산강-금호(부대내역)_기성내역서_전체계약변경(03)_강동내역(9.28_T05-D03-004D(울산터널-조명제어-안소장님1003) 2" xfId="6847" xr:uid="{00000000-0005-0000-0000-0000A3090000}"/>
    <cellStyle name="_영산강-금호(부대내역)_기성내역서_전체계약변경(03)_강동내역(9.28_T05-D03-004D(울산터널-조명제어-안소장님1003) 2 2" xfId="6848" xr:uid="{00000000-0005-0000-0000-0000A4090000}"/>
    <cellStyle name="_영산강-금호(부대내역)_기성내역서_전체계약변경(03)_강동내역(9.28_T05-D03-004D(울산터널-환기-구성설비0930)" xfId="2885" xr:uid="{00000000-0005-0000-0000-0000A5090000}"/>
    <cellStyle name="_영산강-금호(부대내역)_기성내역서_전체계약변경(03)_강동내역(9.28_T05-D03-004D(울산터널-환기-구성설비0930) 2" xfId="6849" xr:uid="{00000000-0005-0000-0000-0000A6090000}"/>
    <cellStyle name="_영산강-금호(부대내역)_기성내역서_전체계약변경(03)_강동내역(9.28_T05-D03-004D(울산터널-환기-구성설비0930) 2 2" xfId="6850" xr:uid="{00000000-0005-0000-0000-0000A7090000}"/>
    <cellStyle name="_영산강-금호(부대내역)_기성내역서_전체계약변경(03)_강동내역(9.28_울산강동내역최종(20051101)" xfId="2883" xr:uid="{00000000-0005-0000-0000-0000A8090000}"/>
    <cellStyle name="_영산강-금호(부대내역)_기성내역서_전체계약변경(03)_강동내역(9.28_울산강동내역최종(20051101) 2" xfId="6851" xr:uid="{00000000-0005-0000-0000-0000A9090000}"/>
    <cellStyle name="_영산강-금호(부대내역)_기성내역서_전체계약변경(03)_강동내역(9.28_울산강동내역최종(20051101) 2 2" xfId="6852" xr:uid="{00000000-0005-0000-0000-0000AA090000}"/>
    <cellStyle name="_영산강-금호(부대내역)_전체계약변경(03)" xfId="2886" xr:uid="{00000000-0005-0000-0000-0000AB090000}"/>
    <cellStyle name="_영산강-금호(부대내역)_전체계약변경(03) 2" xfId="6853" xr:uid="{00000000-0005-0000-0000-0000AC090000}"/>
    <cellStyle name="_영산강-금호(부대내역)_전체계약변경(03) 2 2" xfId="6854" xr:uid="{00000000-0005-0000-0000-0000AD090000}"/>
    <cellStyle name="_영산강-금호(부대내역)_전체계약변경(03)_강동내역(9.28" xfId="2887" xr:uid="{00000000-0005-0000-0000-0000AE090000}"/>
    <cellStyle name="_영산강-금호(부대내역)_전체계약변경(03)_강동내역(9.28 2" xfId="6855" xr:uid="{00000000-0005-0000-0000-0000AF090000}"/>
    <cellStyle name="_영산강-금호(부대내역)_전체계약변경(03)_강동내역(9.28 2 2" xfId="6856" xr:uid="{00000000-0005-0000-0000-0000B0090000}"/>
    <cellStyle name="_영산강-금호(부대내역)_전체계약변경(03)_강동내역(9.28_T05-D03-004D(울산터널-조명제어-안소장님1003)" xfId="2889" xr:uid="{00000000-0005-0000-0000-0000B1090000}"/>
    <cellStyle name="_영산강-금호(부대내역)_전체계약변경(03)_강동내역(9.28_T05-D03-004D(울산터널-조명제어-안소장님1003) 2" xfId="6857" xr:uid="{00000000-0005-0000-0000-0000B2090000}"/>
    <cellStyle name="_영산강-금호(부대내역)_전체계약변경(03)_강동내역(9.28_T05-D03-004D(울산터널-조명제어-안소장님1003) 2 2" xfId="6858" xr:uid="{00000000-0005-0000-0000-0000B3090000}"/>
    <cellStyle name="_영산강-금호(부대내역)_전체계약변경(03)_강동내역(9.28_T05-D03-004D(울산터널-환기-구성설비0930)" xfId="2890" xr:uid="{00000000-0005-0000-0000-0000B4090000}"/>
    <cellStyle name="_영산강-금호(부대내역)_전체계약변경(03)_강동내역(9.28_T05-D03-004D(울산터널-환기-구성설비0930) 2" xfId="6859" xr:uid="{00000000-0005-0000-0000-0000B5090000}"/>
    <cellStyle name="_영산강-금호(부대내역)_전체계약변경(03)_강동내역(9.28_T05-D03-004D(울산터널-환기-구성설비0930) 2 2" xfId="6860" xr:uid="{00000000-0005-0000-0000-0000B6090000}"/>
    <cellStyle name="_영산강-금호(부대내역)_전체계약변경(03)_강동내역(9.28_울산강동내역최종(20051101)" xfId="2888" xr:uid="{00000000-0005-0000-0000-0000B7090000}"/>
    <cellStyle name="_영산강-금호(부대내역)_전체계약변경(03)_강동내역(9.28_울산강동내역최종(20051101) 2" xfId="6861" xr:uid="{00000000-0005-0000-0000-0000B8090000}"/>
    <cellStyle name="_영산강-금호(부대내역)_전체계약변경(03)_강동내역(9.28_울산강동내역최종(20051101) 2 2" xfId="6862" xr:uid="{00000000-0005-0000-0000-0000B9090000}"/>
    <cellStyle name="_영산강-금호(부대내역)_포장외건(최종)" xfId="2891" xr:uid="{00000000-0005-0000-0000-0000BA090000}"/>
    <cellStyle name="_영산강-금호(부대내역)_포장외건(최종) 2" xfId="6863" xr:uid="{00000000-0005-0000-0000-0000BB090000}"/>
    <cellStyle name="_영산강-금호(부대내역)_포장외건(최종) 2 2" xfId="6864" xr:uid="{00000000-0005-0000-0000-0000BC090000}"/>
    <cellStyle name="_영산강-금호(부대내역)_포장외건(최종)_강동내역(9.28" xfId="2892" xr:uid="{00000000-0005-0000-0000-0000BD090000}"/>
    <cellStyle name="_영산강-금호(부대내역)_포장외건(최종)_강동내역(9.28 2" xfId="6865" xr:uid="{00000000-0005-0000-0000-0000BE090000}"/>
    <cellStyle name="_영산강-금호(부대내역)_포장외건(최종)_강동내역(9.28 2 2" xfId="6866" xr:uid="{00000000-0005-0000-0000-0000BF090000}"/>
    <cellStyle name="_영산강-금호(부대내역)_포장외건(최종)_강동내역(9.28_T05-D03-004D(울산터널-조명제어-안소장님1003)" xfId="2894" xr:uid="{00000000-0005-0000-0000-0000C0090000}"/>
    <cellStyle name="_영산강-금호(부대내역)_포장외건(최종)_강동내역(9.28_T05-D03-004D(울산터널-조명제어-안소장님1003) 2" xfId="6867" xr:uid="{00000000-0005-0000-0000-0000C1090000}"/>
    <cellStyle name="_영산강-금호(부대내역)_포장외건(최종)_강동내역(9.28_T05-D03-004D(울산터널-조명제어-안소장님1003) 2 2" xfId="6868" xr:uid="{00000000-0005-0000-0000-0000C2090000}"/>
    <cellStyle name="_영산강-금호(부대내역)_포장외건(최종)_강동내역(9.28_T05-D03-004D(울산터널-환기-구성설비0930)" xfId="2895" xr:uid="{00000000-0005-0000-0000-0000C3090000}"/>
    <cellStyle name="_영산강-금호(부대내역)_포장외건(최종)_강동내역(9.28_T05-D03-004D(울산터널-환기-구성설비0930) 2" xfId="6869" xr:uid="{00000000-0005-0000-0000-0000C4090000}"/>
    <cellStyle name="_영산강-금호(부대내역)_포장외건(최종)_강동내역(9.28_T05-D03-004D(울산터널-환기-구성설비0930) 2 2" xfId="6870" xr:uid="{00000000-0005-0000-0000-0000C5090000}"/>
    <cellStyle name="_영산강-금호(부대내역)_포장외건(최종)_강동내역(9.28_울산강동내역최종(20051101)" xfId="2893" xr:uid="{00000000-0005-0000-0000-0000C6090000}"/>
    <cellStyle name="_영산강-금호(부대내역)_포장외건(최종)_강동내역(9.28_울산강동내역최종(20051101) 2" xfId="6871" xr:uid="{00000000-0005-0000-0000-0000C7090000}"/>
    <cellStyle name="_영산강-금호(부대내역)_포장외건(최종)_강동내역(9.28_울산강동내역최종(20051101) 2 2" xfId="6872" xr:uid="{00000000-0005-0000-0000-0000C8090000}"/>
    <cellStyle name="_예산내역서(해운대+달맞이)" xfId="1114" xr:uid="{00000000-0005-0000-0000-0000C9090000}"/>
    <cellStyle name="_예산내역서(해운대+달맞이)-도급공사분일위대가수정(09.06)" xfId="1115" xr:uid="{00000000-0005-0000-0000-0000CA090000}"/>
    <cellStyle name="_예정공정표" xfId="2896" xr:uid="{00000000-0005-0000-0000-0000CB090000}"/>
    <cellStyle name="_예정공정표 2" xfId="6873" xr:uid="{00000000-0005-0000-0000-0000CC090000}"/>
    <cellStyle name="_예정공정표 2 2" xfId="6874" xr:uid="{00000000-0005-0000-0000-0000CD090000}"/>
    <cellStyle name="_예정공정표 3" xfId="6875" xr:uid="{00000000-0005-0000-0000-0000CE090000}"/>
    <cellStyle name="_예정공정표2" xfId="2897" xr:uid="{00000000-0005-0000-0000-0000CF090000}"/>
    <cellStyle name="_예정공정표2 2" xfId="6876" xr:uid="{00000000-0005-0000-0000-0000D0090000}"/>
    <cellStyle name="_예정공정표2 2 2" xfId="6877" xr:uid="{00000000-0005-0000-0000-0000D1090000}"/>
    <cellStyle name="_예정공정표2 3" xfId="6878" xr:uid="{00000000-0005-0000-0000-0000D2090000}"/>
    <cellStyle name="_옥동차량기지최종내역서(05(1).06.29)" xfId="1116" xr:uid="{00000000-0005-0000-0000-0000D3090000}"/>
    <cellStyle name="_옥전리 1,2공구" xfId="2898" xr:uid="{00000000-0005-0000-0000-0000D4090000}"/>
    <cellStyle name="_올림픽공원주변내역서(1,2,3,5,6,8)" xfId="1117" xr:uid="{00000000-0005-0000-0000-0000D5090000}"/>
    <cellStyle name="_왕가봉정비공사" xfId="1897" xr:uid="{00000000-0005-0000-0000-0000D6090000}"/>
    <cellStyle name="_왕숙천 둔치내 조명시설 내역서" xfId="1118" xr:uid="{00000000-0005-0000-0000-0000D7090000}"/>
    <cellStyle name="_왕숙천 조명기구 구매설치" xfId="1119" xr:uid="{00000000-0005-0000-0000-0000D8090000}"/>
    <cellStyle name="_울산강동교차로계산서(최종)06.07(wp)" xfId="2899" xr:uid="{00000000-0005-0000-0000-0000D9090000}"/>
    <cellStyle name="_울산강동교차로계산서(최종)06.07(wp) 2" xfId="6879" xr:uid="{00000000-0005-0000-0000-0000DA090000}"/>
    <cellStyle name="_울산강동교차로계산서(최종)06.07(wp) 2 2" xfId="6880" xr:uid="{00000000-0005-0000-0000-0000DB090000}"/>
    <cellStyle name="_울산강동교차로계산서(최종)06.07(wp) 3" xfId="6881" xr:uid="{00000000-0005-0000-0000-0000DC090000}"/>
    <cellStyle name="_울산강동터널계산서(수정본2)" xfId="2900" xr:uid="{00000000-0005-0000-0000-0000DD090000}"/>
    <cellStyle name="_울산강동터널계산서(수정본2) 2" xfId="6882" xr:uid="{00000000-0005-0000-0000-0000DE090000}"/>
    <cellStyle name="_울산강동터널계산서(수정본2) 2 2" xfId="6883" xr:uid="{00000000-0005-0000-0000-0000DF090000}"/>
    <cellStyle name="_울산강동터널계산서(수정본2) 3" xfId="6884" xr:uid="{00000000-0005-0000-0000-0000E0090000}"/>
    <cellStyle name="_울산강동터널계산서(최종)REV2" xfId="2901" xr:uid="{00000000-0005-0000-0000-0000E1090000}"/>
    <cellStyle name="_울산강동터널계산서(최종)REV2 2" xfId="6885" xr:uid="{00000000-0005-0000-0000-0000E2090000}"/>
    <cellStyle name="_울산강동터널계산서(최종)REV2 2 2" xfId="6886" xr:uid="{00000000-0005-0000-0000-0000E3090000}"/>
    <cellStyle name="_울산강동터널계산서(최종)REV2 3" xfId="6887" xr:uid="{00000000-0005-0000-0000-0000E4090000}"/>
    <cellStyle name="_울산실시설계내역서(하이테콤)-B" xfId="6888" xr:uid="{00000000-0005-0000-0000-0000E5090000}"/>
    <cellStyle name="_울산실시설계내역서(하이테콤)-B 2" xfId="6889" xr:uid="{00000000-0005-0000-0000-0000E6090000}"/>
    <cellStyle name="_울산실시설계내역서(하이테콤)-B 2 2" xfId="6890" xr:uid="{00000000-0005-0000-0000-0000E7090000}"/>
    <cellStyle name="_원가계산" xfId="1120" xr:uid="{00000000-0005-0000-0000-0000E8090000}"/>
    <cellStyle name="_원가계산 2" xfId="6891" xr:uid="{00000000-0005-0000-0000-0000E9090000}"/>
    <cellStyle name="_원가분석(1217)" xfId="1121" xr:uid="{00000000-0005-0000-0000-0000EA090000}"/>
    <cellStyle name="_원가분석(아이0208)" xfId="1122" xr:uid="{00000000-0005-0000-0000-0000EB090000}"/>
    <cellStyle name="_원가세부내역" xfId="6892" xr:uid="{00000000-0005-0000-0000-0000EC090000}"/>
    <cellStyle name="_원가세부내역 2" xfId="6893" xr:uid="{00000000-0005-0000-0000-0000ED090000}"/>
    <cellStyle name="_원가세부내역 2 2" xfId="6894" xr:uid="{00000000-0005-0000-0000-0000EE090000}"/>
    <cellStyle name="_원석학원본관개축견적" xfId="1123" xr:uid="{00000000-0005-0000-0000-0000EF090000}"/>
    <cellStyle name="_원석학원작업" xfId="1124" xr:uid="{00000000-0005-0000-0000-0000F0090000}"/>
    <cellStyle name="_월예정공정표" xfId="2902" xr:uid="{00000000-0005-0000-0000-0000F1090000}"/>
    <cellStyle name="_월예정공정표 2" xfId="6895" xr:uid="{00000000-0005-0000-0000-0000F2090000}"/>
    <cellStyle name="_월예정공정표 2 2" xfId="6896" xr:uid="{00000000-0005-0000-0000-0000F3090000}"/>
    <cellStyle name="_월예정공정표 3" xfId="6897" xr:uid="{00000000-0005-0000-0000-0000F4090000}"/>
    <cellStyle name="_유첨3(서식)" xfId="2903" xr:uid="{00000000-0005-0000-0000-0000F5090000}"/>
    <cellStyle name="_유첨3(서식)_1" xfId="2904" xr:uid="{00000000-0005-0000-0000-0000F6090000}"/>
    <cellStyle name="_은평공원테니스장정비공사" xfId="1898" xr:uid="{00000000-0005-0000-0000-0000F7090000}"/>
    <cellStyle name="_인수봉길설계변경내역" xfId="1125" xr:uid="{00000000-0005-0000-0000-0000F8090000}"/>
    <cellStyle name="_인원계획표 " xfId="2905" xr:uid="{00000000-0005-0000-0000-0000F9090000}"/>
    <cellStyle name="_인원계획표 _적격 " xfId="2906" xr:uid="{00000000-0005-0000-0000-0000FA090000}"/>
    <cellStyle name="_인정전 내역서--" xfId="1126" xr:uid="{00000000-0005-0000-0000-0000FB090000}"/>
    <cellStyle name="_일위대가" xfId="6898" xr:uid="{00000000-0005-0000-0000-0000FC090000}"/>
    <cellStyle name="_일위대가 2" xfId="6899" xr:uid="{00000000-0005-0000-0000-0000FD090000}"/>
    <cellStyle name="_일위대가 2 2" xfId="6900" xr:uid="{00000000-0005-0000-0000-0000FE090000}"/>
    <cellStyle name="_입찰표지 " xfId="2907" xr:uid="{00000000-0005-0000-0000-0000FF090000}"/>
    <cellStyle name="_작업내역(전기,통신)" xfId="1127" xr:uid="{00000000-0005-0000-0000-0000000A0000}"/>
    <cellStyle name="_작업내역(전기,통신)_갤러리아팰리스자재견적" xfId="1128" xr:uid="{00000000-0005-0000-0000-0000010A0000}"/>
    <cellStyle name="_작업내역(전기,통신)_상도동I-PARK전기내역서" xfId="1129" xr:uid="{00000000-0005-0000-0000-0000020A0000}"/>
    <cellStyle name="_작업내역(전기,통신)_장미등품" xfId="1130" xr:uid="{00000000-0005-0000-0000-0000030A0000}"/>
    <cellStyle name="_작업내역(전기,통신)_장미아파트자재" xfId="1131" xr:uid="{00000000-0005-0000-0000-0000040A0000}"/>
    <cellStyle name="_작업내역(전기,통신)_장미아파트전기공사(작업)" xfId="1132" xr:uid="{00000000-0005-0000-0000-0000050A0000}"/>
    <cellStyle name="_작업내역(전기,통신)_창원점A공구" xfId="1133" xr:uid="{00000000-0005-0000-0000-0000060A0000}"/>
    <cellStyle name="_작업내역(전기,통신)_청주교보복합빌딩견적" xfId="1134" xr:uid="{00000000-0005-0000-0000-0000070A0000}"/>
    <cellStyle name="_잠실갤러리아팰리스-제출" xfId="1135" xr:uid="{00000000-0005-0000-0000-0000080A0000}"/>
    <cellStyle name="_장미등품" xfId="1136" xr:uid="{00000000-0005-0000-0000-0000090A0000}"/>
    <cellStyle name="_장미아파트자재" xfId="1137" xr:uid="{00000000-0005-0000-0000-00000A0A0000}"/>
    <cellStyle name="_장미아파트전기공사(작업)" xfId="1138" xr:uid="{00000000-0005-0000-0000-00000B0A0000}"/>
    <cellStyle name="_장현중(내역서+개요)" xfId="6901" xr:uid="{00000000-0005-0000-0000-00000C0A0000}"/>
    <cellStyle name="_장현중(내역서+개요) 2" xfId="6902" xr:uid="{00000000-0005-0000-0000-00000D0A0000}"/>
    <cellStyle name="_장현중(내역서+개요) 2 2" xfId="6903" xr:uid="{00000000-0005-0000-0000-00000E0A0000}"/>
    <cellStyle name="_장현중(내역서+개요) 3" xfId="6904" xr:uid="{00000000-0005-0000-0000-00000F0A0000}"/>
    <cellStyle name="_재능실행내역" xfId="1139" xr:uid="{00000000-0005-0000-0000-0000100A0000}"/>
    <cellStyle name="_재료비" xfId="6905" xr:uid="{00000000-0005-0000-0000-0000110A0000}"/>
    <cellStyle name="_재료비 2" xfId="6906" xr:uid="{00000000-0005-0000-0000-0000120A0000}"/>
    <cellStyle name="_재료비 2 2" xfId="6907" xr:uid="{00000000-0005-0000-0000-0000130A0000}"/>
    <cellStyle name="_적격 " xfId="2908" xr:uid="{00000000-0005-0000-0000-0000140A0000}"/>
    <cellStyle name="_적격 _집행갑지 " xfId="2909" xr:uid="{00000000-0005-0000-0000-0000150A0000}"/>
    <cellStyle name="_적격(화산) " xfId="2910" xr:uid="{00000000-0005-0000-0000-0000160A0000}"/>
    <cellStyle name="_전기공사실정보고내역" xfId="2911" xr:uid="{00000000-0005-0000-0000-0000170A0000}"/>
    <cellStyle name="_전기공사실정보고내역 2" xfId="6908" xr:uid="{00000000-0005-0000-0000-0000180A0000}"/>
    <cellStyle name="_전기공사실정보고내역 2 2" xfId="6909" xr:uid="{00000000-0005-0000-0000-0000190A0000}"/>
    <cellStyle name="_전기공사실정보고내역 3" xfId="6910" xr:uid="{00000000-0005-0000-0000-00001A0A0000}"/>
    <cellStyle name="_전기공사일위대가(복사용)" xfId="6911" xr:uid="{00000000-0005-0000-0000-00001B0A0000}"/>
    <cellStyle name="_전기공사일위대가(복사용) 2" xfId="6912" xr:uid="{00000000-0005-0000-0000-00001C0A0000}"/>
    <cellStyle name="_전기공사일위대가(복사용) 2 2" xfId="6913" xr:uid="{00000000-0005-0000-0000-00001D0A0000}"/>
    <cellStyle name="_전기공사일위대가(참고용)" xfId="6914" xr:uid="{00000000-0005-0000-0000-00001E0A0000}"/>
    <cellStyle name="_전기공사일위대가(참고용) 2" xfId="6915" xr:uid="{00000000-0005-0000-0000-00001F0A0000}"/>
    <cellStyle name="_전기공사일위대가(참고용) 2 2" xfId="6916" xr:uid="{00000000-0005-0000-0000-0000200A0000}"/>
    <cellStyle name="_전기공사일위대가-060501" xfId="6917" xr:uid="{00000000-0005-0000-0000-0000210A0000}"/>
    <cellStyle name="_전기공사일위대가-060501 2" xfId="6918" xr:uid="{00000000-0005-0000-0000-0000220A0000}"/>
    <cellStyle name="_전기공사일위대가-060501 2 2" xfId="6919" xr:uid="{00000000-0005-0000-0000-0000230A0000}"/>
    <cellStyle name="_전기공사일위대가-060509" xfId="6920" xr:uid="{00000000-0005-0000-0000-0000240A0000}"/>
    <cellStyle name="_전기공사일위대가-060509 2" xfId="6921" xr:uid="{00000000-0005-0000-0000-0000250A0000}"/>
    <cellStyle name="_전기공사일위대가-060509 2 2" xfId="6922" xr:uid="{00000000-0005-0000-0000-0000260A0000}"/>
    <cellStyle name="_전기소방BM내역(하반기)" xfId="1140" xr:uid="{00000000-0005-0000-0000-0000270A0000}"/>
    <cellStyle name="_전력자동제어(안소장님1003)" xfId="2912" xr:uid="{00000000-0005-0000-0000-0000280A0000}"/>
    <cellStyle name="_전력자동제어(안소장님1003) 2" xfId="6923" xr:uid="{00000000-0005-0000-0000-0000290A0000}"/>
    <cellStyle name="_전력자동제어(안소장님1003) 2 2" xfId="6924" xr:uid="{00000000-0005-0000-0000-00002A0A0000}"/>
    <cellStyle name="_전산포장공1" xfId="2913" xr:uid="{00000000-0005-0000-0000-00002B0A0000}"/>
    <cellStyle name="_전시장설치" xfId="2914" xr:uid="{00000000-0005-0000-0000-00002C0A0000}"/>
    <cellStyle name="_전자지불(삼성SDS)" xfId="6925" xr:uid="{00000000-0005-0000-0000-00002D0A0000}"/>
    <cellStyle name="_전자지불(삼성SDS) 2" xfId="6926" xr:uid="{00000000-0005-0000-0000-00002E0A0000}"/>
    <cellStyle name="_전자지불(삼성SDS) 2 2" xfId="6927" xr:uid="{00000000-0005-0000-0000-00002F0A0000}"/>
    <cellStyle name="_전자지불(삼성SDS) 3" xfId="6928" xr:uid="{00000000-0005-0000-0000-0000300A0000}"/>
    <cellStyle name="_전자지불-(케이비)" xfId="6929" xr:uid="{00000000-0005-0000-0000-0000310A0000}"/>
    <cellStyle name="_전자지불-(케이비) 2" xfId="6930" xr:uid="{00000000-0005-0000-0000-0000320A0000}"/>
    <cellStyle name="_전자지불-(케이비) 2 2" xfId="6931" xr:uid="{00000000-0005-0000-0000-0000330A0000}"/>
    <cellStyle name="_전자지불-(케이비) 3" xfId="6932" xr:uid="{00000000-0005-0000-0000-0000340A0000}"/>
    <cellStyle name="_전체 개괄 내역(삼성SDS)" xfId="6933" xr:uid="{00000000-0005-0000-0000-0000350A0000}"/>
    <cellStyle name="_전체 개괄 내역(삼성SDS) 2" xfId="6934" xr:uid="{00000000-0005-0000-0000-0000360A0000}"/>
    <cellStyle name="_전체 개괄 내역(삼성SDS) 2 2" xfId="6935" xr:uid="{00000000-0005-0000-0000-0000370A0000}"/>
    <cellStyle name="_전체 개괄 내역(삼성SDS) 3" xfId="6936" xr:uid="{00000000-0005-0000-0000-0000380A0000}"/>
    <cellStyle name="_전체공사내역서" xfId="1141" xr:uid="{00000000-0005-0000-0000-0000390A0000}"/>
    <cellStyle name="_전체실행(현장)(자재비포함)" xfId="2915" xr:uid="{00000000-0005-0000-0000-00003A0A0000}"/>
    <cellStyle name="_전체실행(현장)(자재비포함) 2" xfId="6937" xr:uid="{00000000-0005-0000-0000-00003B0A0000}"/>
    <cellStyle name="_전체실행(현장)(자재비포함) 2 2" xfId="6938" xr:uid="{00000000-0005-0000-0000-00003C0A0000}"/>
    <cellStyle name="_전체실행(현장)(자재비포함) 3" xfId="6939" xr:uid="{00000000-0005-0000-0000-00003D0A0000}"/>
    <cellStyle name="_제목" xfId="1899" xr:uid="{00000000-0005-0000-0000-00003E0A0000}"/>
    <cellStyle name="_제목_내역서" xfId="1900" xr:uid="{00000000-0005-0000-0000-00003F0A0000}"/>
    <cellStyle name="_조명제어 총괄표" xfId="1142" xr:uid="{00000000-0005-0000-0000-0000400A0000}"/>
    <cellStyle name="_종배수관면벽수량" xfId="2916" xr:uid="{00000000-0005-0000-0000-0000410A0000}"/>
    <cellStyle name="_지정과제1분기실적(확정990408)" xfId="2917" xr:uid="{00000000-0005-0000-0000-0000420A0000}"/>
    <cellStyle name="_지정과제1분기실적(확정990408)_1" xfId="2918" xr:uid="{00000000-0005-0000-0000-0000430A0000}"/>
    <cellStyle name="_지정과제2차심의list" xfId="2929" xr:uid="{00000000-0005-0000-0000-0000440A0000}"/>
    <cellStyle name="_지정과제2차심의list_1" xfId="2930" xr:uid="{00000000-0005-0000-0000-0000450A0000}"/>
    <cellStyle name="_지정과제2차심의list_2" xfId="2931" xr:uid="{00000000-0005-0000-0000-0000460A0000}"/>
    <cellStyle name="_지정과제2차심의결과" xfId="2919" xr:uid="{00000000-0005-0000-0000-0000470A0000}"/>
    <cellStyle name="_지정과제2차심의결과(금액조정후최종)" xfId="2920" xr:uid="{00000000-0005-0000-0000-0000480A0000}"/>
    <cellStyle name="_지정과제2차심의결과(금액조정후최종)_1" xfId="2921" xr:uid="{00000000-0005-0000-0000-0000490A0000}"/>
    <cellStyle name="_지정과제2차심의결과(금액조정후최종)_1_경영개선실적보고(전주공장)" xfId="2922" xr:uid="{00000000-0005-0000-0000-00004A0A0000}"/>
    <cellStyle name="_지정과제2차심의결과(금액조정후최종)_1_별첨1_2" xfId="2923" xr:uid="{00000000-0005-0000-0000-00004B0A0000}"/>
    <cellStyle name="_지정과제2차심의결과(금액조정후최종)_1_제안과제집계표(공장전체)" xfId="2924" xr:uid="{00000000-0005-0000-0000-00004C0A0000}"/>
    <cellStyle name="_지정과제2차심의결과(금액조정후최종)_경영개선실적보고(전주공장)" xfId="2925" xr:uid="{00000000-0005-0000-0000-00004D0A0000}"/>
    <cellStyle name="_지정과제2차심의결과(금액조정후최종)_별첨1_2" xfId="2926" xr:uid="{00000000-0005-0000-0000-00004E0A0000}"/>
    <cellStyle name="_지정과제2차심의결과(금액조정후최종)_제안과제집계표(공장전체)" xfId="2927" xr:uid="{00000000-0005-0000-0000-00004F0A0000}"/>
    <cellStyle name="_지정과제2차심의결과_1" xfId="2928" xr:uid="{00000000-0005-0000-0000-0000500A0000}"/>
    <cellStyle name="_직접경비" xfId="6940" xr:uid="{00000000-0005-0000-0000-0000510A0000}"/>
    <cellStyle name="_직접경비 2" xfId="6941" xr:uid="{00000000-0005-0000-0000-0000520A0000}"/>
    <cellStyle name="_직접경비 2 2" xfId="6942" xr:uid="{00000000-0005-0000-0000-0000530A0000}"/>
    <cellStyle name="_집중관리(981231)" xfId="2932" xr:uid="{00000000-0005-0000-0000-0000540A0000}"/>
    <cellStyle name="_집중관리(981231)_1" xfId="2933" xr:uid="{00000000-0005-0000-0000-0000550A0000}"/>
    <cellStyle name="_집중관리(지정과제및 양식)" xfId="2934" xr:uid="{00000000-0005-0000-0000-0000560A0000}"/>
    <cellStyle name="_집중관리(지정과제및 양식)_1" xfId="2935" xr:uid="{00000000-0005-0000-0000-0000570A0000}"/>
    <cellStyle name="_집행(1)" xfId="2936" xr:uid="{00000000-0005-0000-0000-0000580A0000}"/>
    <cellStyle name="_집행(1)_선정안(삼산)" xfId="2937" xr:uid="{00000000-0005-0000-0000-0000590A0000}"/>
    <cellStyle name="_집행(1)_선정안(삼산)_캐노피 견적서" xfId="2938" xr:uid="{00000000-0005-0000-0000-00005A0A0000}"/>
    <cellStyle name="_집행(1)_추풍령" xfId="2939" xr:uid="{00000000-0005-0000-0000-00005B0A0000}"/>
    <cellStyle name="_집행(1)_추풍령_캐노피 견적서" xfId="2940" xr:uid="{00000000-0005-0000-0000-00005C0A0000}"/>
    <cellStyle name="_집행(1)_추풍령-1" xfId="2941" xr:uid="{00000000-0005-0000-0000-00005D0A0000}"/>
    <cellStyle name="_집행(1)_추풍령-1_캐노피 견적서" xfId="2942" xr:uid="{00000000-0005-0000-0000-00005E0A0000}"/>
    <cellStyle name="_집행(1)_캐노피 견적서" xfId="2943" xr:uid="{00000000-0005-0000-0000-00005F0A0000}"/>
    <cellStyle name="_집행(2)" xfId="2944" xr:uid="{00000000-0005-0000-0000-0000600A0000}"/>
    <cellStyle name="_집행(2)_선정안(삼산)" xfId="2945" xr:uid="{00000000-0005-0000-0000-0000610A0000}"/>
    <cellStyle name="_집행(2)_선정안(삼산)_캐노피 견적서" xfId="2946" xr:uid="{00000000-0005-0000-0000-0000620A0000}"/>
    <cellStyle name="_집행(2)_추풍령" xfId="2947" xr:uid="{00000000-0005-0000-0000-0000630A0000}"/>
    <cellStyle name="_집행(2)_추풍령_캐노피 견적서" xfId="2948" xr:uid="{00000000-0005-0000-0000-0000640A0000}"/>
    <cellStyle name="_집행(2)_추풍령-1" xfId="2949" xr:uid="{00000000-0005-0000-0000-0000650A0000}"/>
    <cellStyle name="_집행(2)_추풍령-1_캐노피 견적서" xfId="2950" xr:uid="{00000000-0005-0000-0000-0000660A0000}"/>
    <cellStyle name="_집행(2)_캐노피 견적서" xfId="2951" xr:uid="{00000000-0005-0000-0000-0000670A0000}"/>
    <cellStyle name="_집행갑지 " xfId="2952" xr:uid="{00000000-0005-0000-0000-0000680A0000}"/>
    <cellStyle name="_창(에리트(설치제외)" xfId="6943" xr:uid="{00000000-0005-0000-0000-0000690A0000}"/>
    <cellStyle name="_창(에리트(설치제외) 2" xfId="6944" xr:uid="{00000000-0005-0000-0000-00006A0A0000}"/>
    <cellStyle name="_창(에리트(설치제외) 2 2" xfId="6945" xr:uid="{00000000-0005-0000-0000-00006B0A0000}"/>
    <cellStyle name="_창(에리트(설치제외) 3" xfId="6946" xr:uid="{00000000-0005-0000-0000-00006C0A0000}"/>
    <cellStyle name="_창원점A공구" xfId="1143" xr:uid="{00000000-0005-0000-0000-00006D0A0000}"/>
    <cellStyle name="_천정리 1공구" xfId="2953" xr:uid="{00000000-0005-0000-0000-00006E0A0000}"/>
    <cellStyle name="_철도연변공사비산출내역426" xfId="1901" xr:uid="{00000000-0005-0000-0000-00006F0A0000}"/>
    <cellStyle name="_청주교보복합빌딩견적" xfId="1144" xr:uid="{00000000-0005-0000-0000-0000700A0000}"/>
    <cellStyle name="_총괄내역서" xfId="1145" xr:uid="{00000000-0005-0000-0000-0000710A0000}"/>
    <cellStyle name="_총괄대갑내역서(0327)" xfId="1146" xr:uid="{00000000-0005-0000-0000-0000720A0000}"/>
    <cellStyle name="_총괄표(가로등)" xfId="2954" xr:uid="{00000000-0005-0000-0000-0000730A0000}"/>
    <cellStyle name="_총괄표(가로등) 2" xfId="6947" xr:uid="{00000000-0005-0000-0000-0000740A0000}"/>
    <cellStyle name="_총괄표(가로등) 2 2" xfId="6948" xr:uid="{00000000-0005-0000-0000-0000750A0000}"/>
    <cellStyle name="_총괄표(가로등)_가산2빗물-발주용-시설물토목화" xfId="2955" xr:uid="{00000000-0005-0000-0000-0000760A0000}"/>
    <cellStyle name="_추곡" xfId="1902" xr:uid="{00000000-0005-0000-0000-0000770A0000}"/>
    <cellStyle name="_추곡_02. 깨기총괄표1" xfId="2956" xr:uid="{00000000-0005-0000-0000-0000780A0000}"/>
    <cellStyle name="_추곡_라멘교 토공" xfId="2957" xr:uid="{00000000-0005-0000-0000-0000790A0000}"/>
    <cellStyle name="_추곡_라멘교 토공_02. 깨기총괄표1" xfId="2958" xr:uid="{00000000-0005-0000-0000-00007A0A0000}"/>
    <cellStyle name="_추곡_설계서" xfId="1903" xr:uid="{00000000-0005-0000-0000-00007B0A0000}"/>
    <cellStyle name="_추곡_성남보행자도로 설계서" xfId="1904" xr:uid="{00000000-0005-0000-0000-00007C0A0000}"/>
    <cellStyle name="_추곡_추곡" xfId="1905" xr:uid="{00000000-0005-0000-0000-00007D0A0000}"/>
    <cellStyle name="_추곡_추곡_02. 깨기총괄표1" xfId="2959" xr:uid="{00000000-0005-0000-0000-00007E0A0000}"/>
    <cellStyle name="_추곡_추곡_라멘교 토공" xfId="2960" xr:uid="{00000000-0005-0000-0000-00007F0A0000}"/>
    <cellStyle name="_추곡_추곡_라멘교 토공_02. 깨기총괄표1" xfId="2961" xr:uid="{00000000-0005-0000-0000-0000800A0000}"/>
    <cellStyle name="_추곡_추곡_설계서" xfId="1906" xr:uid="{00000000-0005-0000-0000-0000810A0000}"/>
    <cellStyle name="_추곡_추곡_성남보행자도로 설계서" xfId="1907" xr:uid="{00000000-0005-0000-0000-0000820A0000}"/>
    <cellStyle name="_추곡_추곡_포장" xfId="2962" xr:uid="{00000000-0005-0000-0000-0000830A0000}"/>
    <cellStyle name="_추곡_추곡_포장_02. 깨기총괄표1" xfId="2963" xr:uid="{00000000-0005-0000-0000-0000840A0000}"/>
    <cellStyle name="_추곡_추곡_포장_라멘교 토공" xfId="2964" xr:uid="{00000000-0005-0000-0000-0000850A0000}"/>
    <cellStyle name="_추곡_추곡_포장_라멘교 토공_02. 깨기총괄표1" xfId="2965" xr:uid="{00000000-0005-0000-0000-0000860A0000}"/>
    <cellStyle name="_추곡_포장" xfId="2966" xr:uid="{00000000-0005-0000-0000-0000870A0000}"/>
    <cellStyle name="_추곡_포장_02. 깨기총괄표1" xfId="2967" xr:uid="{00000000-0005-0000-0000-0000880A0000}"/>
    <cellStyle name="_추곡_포장_라멘교 토공" xfId="2968" xr:uid="{00000000-0005-0000-0000-0000890A0000}"/>
    <cellStyle name="_추곡_포장_라멘교 토공_02. 깨기총괄표1" xfId="2969" xr:uid="{00000000-0005-0000-0000-00008A0A0000}"/>
    <cellStyle name="_축구센타-내역" xfId="1908" xr:uid="{00000000-0005-0000-0000-00008B0A0000}"/>
    <cellStyle name="_춘천전화국증축통신+개요" xfId="6949" xr:uid="{00000000-0005-0000-0000-00008C0A0000}"/>
    <cellStyle name="_춘천전화국증축통신+개요 2" xfId="6950" xr:uid="{00000000-0005-0000-0000-00008D0A0000}"/>
    <cellStyle name="_춘천전화국증축통신+개요 2 2" xfId="6951" xr:uid="{00000000-0005-0000-0000-00008E0A0000}"/>
    <cellStyle name="_춘천합동내역+개요(수정한최종)" xfId="6952" xr:uid="{00000000-0005-0000-0000-00008F0A0000}"/>
    <cellStyle name="_춘천합동내역+개요(수정한최종) 2" xfId="6953" xr:uid="{00000000-0005-0000-0000-0000900A0000}"/>
    <cellStyle name="_춘천합동내역+개요(수정한최종) 2 2" xfId="6954" xr:uid="{00000000-0005-0000-0000-0000910A0000}"/>
    <cellStyle name="_칠서도로2000-1225" xfId="2970" xr:uid="{00000000-0005-0000-0000-0000920A0000}"/>
    <cellStyle name="_칠서도로2000-1225 2" xfId="6955" xr:uid="{00000000-0005-0000-0000-0000930A0000}"/>
    <cellStyle name="_칠서도로2000-1225 2 2" xfId="6956" xr:uid="{00000000-0005-0000-0000-0000940A0000}"/>
    <cellStyle name="_칠서도로2000-1225 3" xfId="6957" xr:uid="{00000000-0005-0000-0000-0000950A0000}"/>
    <cellStyle name="_칠서영산" xfId="2971" xr:uid="{00000000-0005-0000-0000-0000960A0000}"/>
    <cellStyle name="_칠서영산 2" xfId="6958" xr:uid="{00000000-0005-0000-0000-0000970A0000}"/>
    <cellStyle name="_칠서영산 2 2" xfId="6959" xr:uid="{00000000-0005-0000-0000-0000980A0000}"/>
    <cellStyle name="_칠서영산_강동내역(9.28" xfId="2972" xr:uid="{00000000-0005-0000-0000-0000990A0000}"/>
    <cellStyle name="_칠서영산_강동내역(9.28 2" xfId="6960" xr:uid="{00000000-0005-0000-0000-00009A0A0000}"/>
    <cellStyle name="_칠서영산_강동내역(9.28 2 2" xfId="6961" xr:uid="{00000000-0005-0000-0000-00009B0A0000}"/>
    <cellStyle name="_칠서영산_강동내역(9.28_T05-D03-004D(울산터널-조명제어-안소장님1003)" xfId="2974" xr:uid="{00000000-0005-0000-0000-00009C0A0000}"/>
    <cellStyle name="_칠서영산_강동내역(9.28_T05-D03-004D(울산터널-조명제어-안소장님1003) 2" xfId="6962" xr:uid="{00000000-0005-0000-0000-00009D0A0000}"/>
    <cellStyle name="_칠서영산_강동내역(9.28_T05-D03-004D(울산터널-조명제어-안소장님1003) 2 2" xfId="6963" xr:uid="{00000000-0005-0000-0000-00009E0A0000}"/>
    <cellStyle name="_칠서영산_강동내역(9.28_T05-D03-004D(울산터널-환기-구성설비0930)" xfId="2975" xr:uid="{00000000-0005-0000-0000-00009F0A0000}"/>
    <cellStyle name="_칠서영산_강동내역(9.28_T05-D03-004D(울산터널-환기-구성설비0930) 2" xfId="6964" xr:uid="{00000000-0005-0000-0000-0000A00A0000}"/>
    <cellStyle name="_칠서영산_강동내역(9.28_T05-D03-004D(울산터널-환기-구성설비0930) 2 2" xfId="6965" xr:uid="{00000000-0005-0000-0000-0000A10A0000}"/>
    <cellStyle name="_칠서영산_강동내역(9.28_울산강동내역최종(20051101)" xfId="2973" xr:uid="{00000000-0005-0000-0000-0000A20A0000}"/>
    <cellStyle name="_칠서영산_강동내역(9.28_울산강동내역최종(20051101) 2" xfId="6966" xr:uid="{00000000-0005-0000-0000-0000A30A0000}"/>
    <cellStyle name="_칠서영산_강동내역(9.28_울산강동내역최종(20051101) 2 2" xfId="6967" xr:uid="{00000000-0005-0000-0000-0000A40A0000}"/>
    <cellStyle name="_칠서영산_공무정산양식(10월초)" xfId="2976" xr:uid="{00000000-0005-0000-0000-0000A50A0000}"/>
    <cellStyle name="_칠서영산_공무정산양식(10월초) 2" xfId="6968" xr:uid="{00000000-0005-0000-0000-0000A60A0000}"/>
    <cellStyle name="_칠서영산_공무정산양식(10월초) 2 2" xfId="6969" xr:uid="{00000000-0005-0000-0000-0000A70A0000}"/>
    <cellStyle name="_칠서영산_공무정산양식(10월초)_강동내역(9.28" xfId="2977" xr:uid="{00000000-0005-0000-0000-0000A80A0000}"/>
    <cellStyle name="_칠서영산_공무정산양식(10월초)_강동내역(9.28 2" xfId="6970" xr:uid="{00000000-0005-0000-0000-0000A90A0000}"/>
    <cellStyle name="_칠서영산_공무정산양식(10월초)_강동내역(9.28 2 2" xfId="6971" xr:uid="{00000000-0005-0000-0000-0000AA0A0000}"/>
    <cellStyle name="_칠서영산_공무정산양식(10월초)_강동내역(9.28_T05-D03-004D(울산터널-조명제어-안소장님1003)" xfId="2979" xr:uid="{00000000-0005-0000-0000-0000AB0A0000}"/>
    <cellStyle name="_칠서영산_공무정산양식(10월초)_강동내역(9.28_T05-D03-004D(울산터널-조명제어-안소장님1003) 2" xfId="6972" xr:uid="{00000000-0005-0000-0000-0000AC0A0000}"/>
    <cellStyle name="_칠서영산_공무정산양식(10월초)_강동내역(9.28_T05-D03-004D(울산터널-조명제어-안소장님1003) 2 2" xfId="6973" xr:uid="{00000000-0005-0000-0000-0000AD0A0000}"/>
    <cellStyle name="_칠서영산_공무정산양식(10월초)_강동내역(9.28_T05-D03-004D(울산터널-환기-구성설비0930)" xfId="2980" xr:uid="{00000000-0005-0000-0000-0000AE0A0000}"/>
    <cellStyle name="_칠서영산_공무정산양식(10월초)_강동내역(9.28_T05-D03-004D(울산터널-환기-구성설비0930) 2" xfId="6974" xr:uid="{00000000-0005-0000-0000-0000AF0A0000}"/>
    <cellStyle name="_칠서영산_공무정산양식(10월초)_강동내역(9.28_T05-D03-004D(울산터널-환기-구성설비0930) 2 2" xfId="6975" xr:uid="{00000000-0005-0000-0000-0000B00A0000}"/>
    <cellStyle name="_칠서영산_공무정산양식(10월초)_강동내역(9.28_울산강동내역최종(20051101)" xfId="2978" xr:uid="{00000000-0005-0000-0000-0000B10A0000}"/>
    <cellStyle name="_칠서영산_공무정산양식(10월초)_강동내역(9.28_울산강동내역최종(20051101) 2" xfId="6976" xr:uid="{00000000-0005-0000-0000-0000B20A0000}"/>
    <cellStyle name="_칠서영산_공무정산양식(10월초)_강동내역(9.28_울산강동내역최종(20051101) 2 2" xfId="6977" xr:uid="{00000000-0005-0000-0000-0000B30A0000}"/>
    <cellStyle name="_칠서영산_공무정산양식(10월초)_기성내역서" xfId="2981" xr:uid="{00000000-0005-0000-0000-0000B40A0000}"/>
    <cellStyle name="_칠서영산_공무정산양식(10월초)_기성내역서 2" xfId="6978" xr:uid="{00000000-0005-0000-0000-0000B50A0000}"/>
    <cellStyle name="_칠서영산_공무정산양식(10월초)_기성내역서 2 2" xfId="6979" xr:uid="{00000000-0005-0000-0000-0000B60A0000}"/>
    <cellStyle name="_칠서영산_공무정산양식(10월초)_기성내역서_강동내역(9.28" xfId="2982" xr:uid="{00000000-0005-0000-0000-0000B70A0000}"/>
    <cellStyle name="_칠서영산_공무정산양식(10월초)_기성내역서_강동내역(9.28 2" xfId="6980" xr:uid="{00000000-0005-0000-0000-0000B80A0000}"/>
    <cellStyle name="_칠서영산_공무정산양식(10월초)_기성내역서_강동내역(9.28 2 2" xfId="6981" xr:uid="{00000000-0005-0000-0000-0000B90A0000}"/>
    <cellStyle name="_칠서영산_공무정산양식(10월초)_기성내역서_강동내역(9.28_T05-D03-004D(울산터널-조명제어-안소장님1003)" xfId="2984" xr:uid="{00000000-0005-0000-0000-0000BA0A0000}"/>
    <cellStyle name="_칠서영산_공무정산양식(10월초)_기성내역서_강동내역(9.28_T05-D03-004D(울산터널-조명제어-안소장님1003) 2" xfId="6982" xr:uid="{00000000-0005-0000-0000-0000BB0A0000}"/>
    <cellStyle name="_칠서영산_공무정산양식(10월초)_기성내역서_강동내역(9.28_T05-D03-004D(울산터널-조명제어-안소장님1003) 2 2" xfId="6983" xr:uid="{00000000-0005-0000-0000-0000BC0A0000}"/>
    <cellStyle name="_칠서영산_공무정산양식(10월초)_기성내역서_강동내역(9.28_T05-D03-004D(울산터널-환기-구성설비0930)" xfId="2985" xr:uid="{00000000-0005-0000-0000-0000BD0A0000}"/>
    <cellStyle name="_칠서영산_공무정산양식(10월초)_기성내역서_강동내역(9.28_T05-D03-004D(울산터널-환기-구성설비0930) 2" xfId="6984" xr:uid="{00000000-0005-0000-0000-0000BE0A0000}"/>
    <cellStyle name="_칠서영산_공무정산양식(10월초)_기성내역서_강동내역(9.28_T05-D03-004D(울산터널-환기-구성설비0930) 2 2" xfId="6985" xr:uid="{00000000-0005-0000-0000-0000BF0A0000}"/>
    <cellStyle name="_칠서영산_공무정산양식(10월초)_기성내역서_강동내역(9.28_울산강동내역최종(20051101)" xfId="2983" xr:uid="{00000000-0005-0000-0000-0000C00A0000}"/>
    <cellStyle name="_칠서영산_공무정산양식(10월초)_기성내역서_강동내역(9.28_울산강동내역최종(20051101) 2" xfId="6986" xr:uid="{00000000-0005-0000-0000-0000C10A0000}"/>
    <cellStyle name="_칠서영산_공무정산양식(10월초)_기성내역서_강동내역(9.28_울산강동내역최종(20051101) 2 2" xfId="6987" xr:uid="{00000000-0005-0000-0000-0000C20A0000}"/>
    <cellStyle name="_칠서영산_공무정산양식(10월초)_기성내역서_전체계약변경(03)" xfId="2986" xr:uid="{00000000-0005-0000-0000-0000C30A0000}"/>
    <cellStyle name="_칠서영산_공무정산양식(10월초)_기성내역서_전체계약변경(03) 2" xfId="6988" xr:uid="{00000000-0005-0000-0000-0000C40A0000}"/>
    <cellStyle name="_칠서영산_공무정산양식(10월초)_기성내역서_전체계약변경(03) 2 2" xfId="6989" xr:uid="{00000000-0005-0000-0000-0000C50A0000}"/>
    <cellStyle name="_칠서영산_공무정산양식(10월초)_기성내역서_전체계약변경(03)_강동내역(9.28" xfId="2987" xr:uid="{00000000-0005-0000-0000-0000C60A0000}"/>
    <cellStyle name="_칠서영산_공무정산양식(10월초)_기성내역서_전체계약변경(03)_강동내역(9.28 2" xfId="6990" xr:uid="{00000000-0005-0000-0000-0000C70A0000}"/>
    <cellStyle name="_칠서영산_공무정산양식(10월초)_기성내역서_전체계약변경(03)_강동내역(9.28 2 2" xfId="6991" xr:uid="{00000000-0005-0000-0000-0000C80A0000}"/>
    <cellStyle name="_칠서영산_공무정산양식(10월초)_기성내역서_전체계약변경(03)_강동내역(9.28_T05-D03-004D(울산터널-조명제어-안소장님1003)" xfId="2989" xr:uid="{00000000-0005-0000-0000-0000C90A0000}"/>
    <cellStyle name="_칠서영산_공무정산양식(10월초)_기성내역서_전체계약변경(03)_강동내역(9.28_T05-D03-004D(울산터널-조명제어-안소장님1003) 2" xfId="6992" xr:uid="{00000000-0005-0000-0000-0000CA0A0000}"/>
    <cellStyle name="_칠서영산_공무정산양식(10월초)_기성내역서_전체계약변경(03)_강동내역(9.28_T05-D03-004D(울산터널-조명제어-안소장님1003) 2 2" xfId="6993" xr:uid="{00000000-0005-0000-0000-0000CB0A0000}"/>
    <cellStyle name="_칠서영산_공무정산양식(10월초)_기성내역서_전체계약변경(03)_강동내역(9.28_T05-D03-004D(울산터널-환기-구성설비0930)" xfId="2990" xr:uid="{00000000-0005-0000-0000-0000CC0A0000}"/>
    <cellStyle name="_칠서영산_공무정산양식(10월초)_기성내역서_전체계약변경(03)_강동내역(9.28_T05-D03-004D(울산터널-환기-구성설비0930) 2" xfId="6994" xr:uid="{00000000-0005-0000-0000-0000CD0A0000}"/>
    <cellStyle name="_칠서영산_공무정산양식(10월초)_기성내역서_전체계약변경(03)_강동내역(9.28_T05-D03-004D(울산터널-환기-구성설비0930) 2 2" xfId="6995" xr:uid="{00000000-0005-0000-0000-0000CE0A0000}"/>
    <cellStyle name="_칠서영산_공무정산양식(10월초)_기성내역서_전체계약변경(03)_강동내역(9.28_울산강동내역최종(20051101)" xfId="2988" xr:uid="{00000000-0005-0000-0000-0000CF0A0000}"/>
    <cellStyle name="_칠서영산_공무정산양식(10월초)_기성내역서_전체계약변경(03)_강동내역(9.28_울산강동내역최종(20051101) 2" xfId="6996" xr:uid="{00000000-0005-0000-0000-0000D00A0000}"/>
    <cellStyle name="_칠서영산_공무정산양식(10월초)_기성내역서_전체계약변경(03)_강동내역(9.28_울산강동내역최종(20051101) 2 2" xfId="6997" xr:uid="{00000000-0005-0000-0000-0000D10A0000}"/>
    <cellStyle name="_칠서영산_공무정산양식(10월초)_전체계약변경(03)" xfId="2991" xr:uid="{00000000-0005-0000-0000-0000D20A0000}"/>
    <cellStyle name="_칠서영산_공무정산양식(10월초)_전체계약변경(03) 2" xfId="6998" xr:uid="{00000000-0005-0000-0000-0000D30A0000}"/>
    <cellStyle name="_칠서영산_공무정산양식(10월초)_전체계약변경(03) 2 2" xfId="6999" xr:uid="{00000000-0005-0000-0000-0000D40A0000}"/>
    <cellStyle name="_칠서영산_공무정산양식(10월초)_전체계약변경(03)_강동내역(9.28" xfId="2992" xr:uid="{00000000-0005-0000-0000-0000D50A0000}"/>
    <cellStyle name="_칠서영산_공무정산양식(10월초)_전체계약변경(03)_강동내역(9.28 2" xfId="7000" xr:uid="{00000000-0005-0000-0000-0000D60A0000}"/>
    <cellStyle name="_칠서영산_공무정산양식(10월초)_전체계약변경(03)_강동내역(9.28 2 2" xfId="7001" xr:uid="{00000000-0005-0000-0000-0000D70A0000}"/>
    <cellStyle name="_칠서영산_공무정산양식(10월초)_전체계약변경(03)_강동내역(9.28_T05-D03-004D(울산터널-조명제어-안소장님1003)" xfId="2994" xr:uid="{00000000-0005-0000-0000-0000D80A0000}"/>
    <cellStyle name="_칠서영산_공무정산양식(10월초)_전체계약변경(03)_강동내역(9.28_T05-D03-004D(울산터널-조명제어-안소장님1003) 2" xfId="7002" xr:uid="{00000000-0005-0000-0000-0000D90A0000}"/>
    <cellStyle name="_칠서영산_공무정산양식(10월초)_전체계약변경(03)_강동내역(9.28_T05-D03-004D(울산터널-조명제어-안소장님1003) 2 2" xfId="7003" xr:uid="{00000000-0005-0000-0000-0000DA0A0000}"/>
    <cellStyle name="_칠서영산_공무정산양식(10월초)_전체계약변경(03)_강동내역(9.28_T05-D03-004D(울산터널-환기-구성설비0930)" xfId="2995" xr:uid="{00000000-0005-0000-0000-0000DB0A0000}"/>
    <cellStyle name="_칠서영산_공무정산양식(10월초)_전체계약변경(03)_강동내역(9.28_T05-D03-004D(울산터널-환기-구성설비0930) 2" xfId="7004" xr:uid="{00000000-0005-0000-0000-0000DC0A0000}"/>
    <cellStyle name="_칠서영산_공무정산양식(10월초)_전체계약변경(03)_강동내역(9.28_T05-D03-004D(울산터널-환기-구성설비0930) 2 2" xfId="7005" xr:uid="{00000000-0005-0000-0000-0000DD0A0000}"/>
    <cellStyle name="_칠서영산_공무정산양식(10월초)_전체계약변경(03)_강동내역(9.28_울산강동내역최종(20051101)" xfId="2993" xr:uid="{00000000-0005-0000-0000-0000DE0A0000}"/>
    <cellStyle name="_칠서영산_공무정산양식(10월초)_전체계약변경(03)_강동내역(9.28_울산강동내역최종(20051101) 2" xfId="7006" xr:uid="{00000000-0005-0000-0000-0000DF0A0000}"/>
    <cellStyle name="_칠서영산_공무정산양식(10월초)_전체계약변경(03)_강동내역(9.28_울산강동내역최종(20051101) 2 2" xfId="7007" xr:uid="{00000000-0005-0000-0000-0000E00A0000}"/>
    <cellStyle name="_칠서영산_공무정산양식(10월초)_포장외건(최종)" xfId="2996" xr:uid="{00000000-0005-0000-0000-0000E10A0000}"/>
    <cellStyle name="_칠서영산_공무정산양식(10월초)_포장외건(최종) 2" xfId="7008" xr:uid="{00000000-0005-0000-0000-0000E20A0000}"/>
    <cellStyle name="_칠서영산_공무정산양식(10월초)_포장외건(최종) 2 2" xfId="7009" xr:uid="{00000000-0005-0000-0000-0000E30A0000}"/>
    <cellStyle name="_칠서영산_공무정산양식(10월초)_포장외건(최종)_강동내역(9.28" xfId="2997" xr:uid="{00000000-0005-0000-0000-0000E40A0000}"/>
    <cellStyle name="_칠서영산_공무정산양식(10월초)_포장외건(최종)_강동내역(9.28 2" xfId="7010" xr:uid="{00000000-0005-0000-0000-0000E50A0000}"/>
    <cellStyle name="_칠서영산_공무정산양식(10월초)_포장외건(최종)_강동내역(9.28 2 2" xfId="7011" xr:uid="{00000000-0005-0000-0000-0000E60A0000}"/>
    <cellStyle name="_칠서영산_공무정산양식(10월초)_포장외건(최종)_강동내역(9.28_T05-D03-004D(울산터널-조명제어-안소장님1003)" xfId="2999" xr:uid="{00000000-0005-0000-0000-0000E70A0000}"/>
    <cellStyle name="_칠서영산_공무정산양식(10월초)_포장외건(최종)_강동내역(9.28_T05-D03-004D(울산터널-조명제어-안소장님1003) 2" xfId="7012" xr:uid="{00000000-0005-0000-0000-0000E80A0000}"/>
    <cellStyle name="_칠서영산_공무정산양식(10월초)_포장외건(최종)_강동내역(9.28_T05-D03-004D(울산터널-조명제어-안소장님1003) 2 2" xfId="7013" xr:uid="{00000000-0005-0000-0000-0000E90A0000}"/>
    <cellStyle name="_칠서영산_공무정산양식(10월초)_포장외건(최종)_강동내역(9.28_T05-D03-004D(울산터널-환기-구성설비0930)" xfId="3000" xr:uid="{00000000-0005-0000-0000-0000EA0A0000}"/>
    <cellStyle name="_칠서영산_공무정산양식(10월초)_포장외건(최종)_강동내역(9.28_T05-D03-004D(울산터널-환기-구성설비0930) 2" xfId="7014" xr:uid="{00000000-0005-0000-0000-0000EB0A0000}"/>
    <cellStyle name="_칠서영산_공무정산양식(10월초)_포장외건(최종)_강동내역(9.28_T05-D03-004D(울산터널-환기-구성설비0930) 2 2" xfId="7015" xr:uid="{00000000-0005-0000-0000-0000EC0A0000}"/>
    <cellStyle name="_칠서영산_공무정산양식(10월초)_포장외건(최종)_강동내역(9.28_울산강동내역최종(20051101)" xfId="2998" xr:uid="{00000000-0005-0000-0000-0000ED0A0000}"/>
    <cellStyle name="_칠서영산_공무정산양식(10월초)_포장외건(최종)_강동내역(9.28_울산강동내역최종(20051101) 2" xfId="7016" xr:uid="{00000000-0005-0000-0000-0000EE0A0000}"/>
    <cellStyle name="_칠서영산_공무정산양식(10월초)_포장외건(최종)_강동내역(9.28_울산강동내역최종(20051101) 2 2" xfId="7017" xr:uid="{00000000-0005-0000-0000-0000EF0A0000}"/>
    <cellStyle name="_칠서영산_기성내역서" xfId="3001" xr:uid="{00000000-0005-0000-0000-0000F00A0000}"/>
    <cellStyle name="_칠서영산_기성내역서 2" xfId="7018" xr:uid="{00000000-0005-0000-0000-0000F10A0000}"/>
    <cellStyle name="_칠서영산_기성내역서 2 2" xfId="7019" xr:uid="{00000000-0005-0000-0000-0000F20A0000}"/>
    <cellStyle name="_칠서영산_기성내역서_강동내역(9.28" xfId="3002" xr:uid="{00000000-0005-0000-0000-0000F30A0000}"/>
    <cellStyle name="_칠서영산_기성내역서_강동내역(9.28 2" xfId="7020" xr:uid="{00000000-0005-0000-0000-0000F40A0000}"/>
    <cellStyle name="_칠서영산_기성내역서_강동내역(9.28 2 2" xfId="7021" xr:uid="{00000000-0005-0000-0000-0000F50A0000}"/>
    <cellStyle name="_칠서영산_기성내역서_강동내역(9.28_T05-D03-004D(울산터널-조명제어-안소장님1003)" xfId="3004" xr:uid="{00000000-0005-0000-0000-0000F60A0000}"/>
    <cellStyle name="_칠서영산_기성내역서_강동내역(9.28_T05-D03-004D(울산터널-조명제어-안소장님1003) 2" xfId="7022" xr:uid="{00000000-0005-0000-0000-0000F70A0000}"/>
    <cellStyle name="_칠서영산_기성내역서_강동내역(9.28_T05-D03-004D(울산터널-조명제어-안소장님1003) 2 2" xfId="7023" xr:uid="{00000000-0005-0000-0000-0000F80A0000}"/>
    <cellStyle name="_칠서영산_기성내역서_강동내역(9.28_T05-D03-004D(울산터널-환기-구성설비0930)" xfId="3005" xr:uid="{00000000-0005-0000-0000-0000F90A0000}"/>
    <cellStyle name="_칠서영산_기성내역서_강동내역(9.28_T05-D03-004D(울산터널-환기-구성설비0930) 2" xfId="7024" xr:uid="{00000000-0005-0000-0000-0000FA0A0000}"/>
    <cellStyle name="_칠서영산_기성내역서_강동내역(9.28_T05-D03-004D(울산터널-환기-구성설비0930) 2 2" xfId="7025" xr:uid="{00000000-0005-0000-0000-0000FB0A0000}"/>
    <cellStyle name="_칠서영산_기성내역서_강동내역(9.28_울산강동내역최종(20051101)" xfId="3003" xr:uid="{00000000-0005-0000-0000-0000FC0A0000}"/>
    <cellStyle name="_칠서영산_기성내역서_강동내역(9.28_울산강동내역최종(20051101) 2" xfId="7026" xr:uid="{00000000-0005-0000-0000-0000FD0A0000}"/>
    <cellStyle name="_칠서영산_기성내역서_강동내역(9.28_울산강동내역최종(20051101) 2 2" xfId="7027" xr:uid="{00000000-0005-0000-0000-0000FE0A0000}"/>
    <cellStyle name="_칠서영산_기성내역서_전체계약변경(03)" xfId="3006" xr:uid="{00000000-0005-0000-0000-0000FF0A0000}"/>
    <cellStyle name="_칠서영산_기성내역서_전체계약변경(03) 2" xfId="7028" xr:uid="{00000000-0005-0000-0000-0000000B0000}"/>
    <cellStyle name="_칠서영산_기성내역서_전체계약변경(03) 2 2" xfId="7029" xr:uid="{00000000-0005-0000-0000-0000010B0000}"/>
    <cellStyle name="_칠서영산_기성내역서_전체계약변경(03)_강동내역(9.28" xfId="3007" xr:uid="{00000000-0005-0000-0000-0000020B0000}"/>
    <cellStyle name="_칠서영산_기성내역서_전체계약변경(03)_강동내역(9.28 2" xfId="7030" xr:uid="{00000000-0005-0000-0000-0000030B0000}"/>
    <cellStyle name="_칠서영산_기성내역서_전체계약변경(03)_강동내역(9.28 2 2" xfId="7031" xr:uid="{00000000-0005-0000-0000-0000040B0000}"/>
    <cellStyle name="_칠서영산_기성내역서_전체계약변경(03)_강동내역(9.28_T05-D03-004D(울산터널-조명제어-안소장님1003)" xfId="3009" xr:uid="{00000000-0005-0000-0000-0000050B0000}"/>
    <cellStyle name="_칠서영산_기성내역서_전체계약변경(03)_강동내역(9.28_T05-D03-004D(울산터널-조명제어-안소장님1003) 2" xfId="7032" xr:uid="{00000000-0005-0000-0000-0000060B0000}"/>
    <cellStyle name="_칠서영산_기성내역서_전체계약변경(03)_강동내역(9.28_T05-D03-004D(울산터널-조명제어-안소장님1003) 2 2" xfId="7033" xr:uid="{00000000-0005-0000-0000-0000070B0000}"/>
    <cellStyle name="_칠서영산_기성내역서_전체계약변경(03)_강동내역(9.28_T05-D03-004D(울산터널-환기-구성설비0930)" xfId="3010" xr:uid="{00000000-0005-0000-0000-0000080B0000}"/>
    <cellStyle name="_칠서영산_기성내역서_전체계약변경(03)_강동내역(9.28_T05-D03-004D(울산터널-환기-구성설비0930) 2" xfId="7034" xr:uid="{00000000-0005-0000-0000-0000090B0000}"/>
    <cellStyle name="_칠서영산_기성내역서_전체계약변경(03)_강동내역(9.28_T05-D03-004D(울산터널-환기-구성설비0930) 2 2" xfId="7035" xr:uid="{00000000-0005-0000-0000-00000A0B0000}"/>
    <cellStyle name="_칠서영산_기성내역서_전체계약변경(03)_강동내역(9.28_울산강동내역최종(20051101)" xfId="3008" xr:uid="{00000000-0005-0000-0000-00000B0B0000}"/>
    <cellStyle name="_칠서영산_기성내역서_전체계약변경(03)_강동내역(9.28_울산강동내역최종(20051101) 2" xfId="7036" xr:uid="{00000000-0005-0000-0000-00000C0B0000}"/>
    <cellStyle name="_칠서영산_기성내역서_전체계약변경(03)_강동내역(9.28_울산강동내역최종(20051101) 2 2" xfId="7037" xr:uid="{00000000-0005-0000-0000-00000D0B0000}"/>
    <cellStyle name="_칠서영산_전체계약변경(03)" xfId="3011" xr:uid="{00000000-0005-0000-0000-00000E0B0000}"/>
    <cellStyle name="_칠서영산_전체계약변경(03) 2" xfId="7038" xr:uid="{00000000-0005-0000-0000-00000F0B0000}"/>
    <cellStyle name="_칠서영산_전체계약변경(03) 2 2" xfId="7039" xr:uid="{00000000-0005-0000-0000-0000100B0000}"/>
    <cellStyle name="_칠서영산_전체계약변경(03)_강동내역(9.28" xfId="3012" xr:uid="{00000000-0005-0000-0000-0000110B0000}"/>
    <cellStyle name="_칠서영산_전체계약변경(03)_강동내역(9.28 2" xfId="7040" xr:uid="{00000000-0005-0000-0000-0000120B0000}"/>
    <cellStyle name="_칠서영산_전체계약변경(03)_강동내역(9.28 2 2" xfId="7041" xr:uid="{00000000-0005-0000-0000-0000130B0000}"/>
    <cellStyle name="_칠서영산_전체계약변경(03)_강동내역(9.28_T05-D03-004D(울산터널-조명제어-안소장님1003)" xfId="3014" xr:uid="{00000000-0005-0000-0000-0000140B0000}"/>
    <cellStyle name="_칠서영산_전체계약변경(03)_강동내역(9.28_T05-D03-004D(울산터널-조명제어-안소장님1003) 2" xfId="7042" xr:uid="{00000000-0005-0000-0000-0000150B0000}"/>
    <cellStyle name="_칠서영산_전체계약변경(03)_강동내역(9.28_T05-D03-004D(울산터널-조명제어-안소장님1003) 2 2" xfId="7043" xr:uid="{00000000-0005-0000-0000-0000160B0000}"/>
    <cellStyle name="_칠서영산_전체계약변경(03)_강동내역(9.28_T05-D03-004D(울산터널-환기-구성설비0930)" xfId="3015" xr:uid="{00000000-0005-0000-0000-0000170B0000}"/>
    <cellStyle name="_칠서영산_전체계약변경(03)_강동내역(9.28_T05-D03-004D(울산터널-환기-구성설비0930) 2" xfId="7044" xr:uid="{00000000-0005-0000-0000-0000180B0000}"/>
    <cellStyle name="_칠서영산_전체계약변경(03)_강동내역(9.28_T05-D03-004D(울산터널-환기-구성설비0930) 2 2" xfId="7045" xr:uid="{00000000-0005-0000-0000-0000190B0000}"/>
    <cellStyle name="_칠서영산_전체계약변경(03)_강동내역(9.28_울산강동내역최종(20051101)" xfId="3013" xr:uid="{00000000-0005-0000-0000-00001A0B0000}"/>
    <cellStyle name="_칠서영산_전체계약변경(03)_강동내역(9.28_울산강동내역최종(20051101) 2" xfId="7046" xr:uid="{00000000-0005-0000-0000-00001B0B0000}"/>
    <cellStyle name="_칠서영산_전체계약변경(03)_강동내역(9.28_울산강동내역최종(20051101) 2 2" xfId="7047" xr:uid="{00000000-0005-0000-0000-00001C0B0000}"/>
    <cellStyle name="_칠서영산_포장외건(최종)" xfId="3016" xr:uid="{00000000-0005-0000-0000-00001D0B0000}"/>
    <cellStyle name="_칠서영산_포장외건(최종) 2" xfId="7048" xr:uid="{00000000-0005-0000-0000-00001E0B0000}"/>
    <cellStyle name="_칠서영산_포장외건(최종) 2 2" xfId="7049" xr:uid="{00000000-0005-0000-0000-00001F0B0000}"/>
    <cellStyle name="_칠서영산_포장외건(최종)_강동내역(9.28" xfId="3017" xr:uid="{00000000-0005-0000-0000-0000200B0000}"/>
    <cellStyle name="_칠서영산_포장외건(최종)_강동내역(9.28 2" xfId="7050" xr:uid="{00000000-0005-0000-0000-0000210B0000}"/>
    <cellStyle name="_칠서영산_포장외건(최종)_강동내역(9.28 2 2" xfId="7051" xr:uid="{00000000-0005-0000-0000-0000220B0000}"/>
    <cellStyle name="_칠서영산_포장외건(최종)_강동내역(9.28_T05-D03-004D(울산터널-조명제어-안소장님1003)" xfId="3019" xr:uid="{00000000-0005-0000-0000-0000230B0000}"/>
    <cellStyle name="_칠서영산_포장외건(최종)_강동내역(9.28_T05-D03-004D(울산터널-조명제어-안소장님1003) 2" xfId="7052" xr:uid="{00000000-0005-0000-0000-0000240B0000}"/>
    <cellStyle name="_칠서영산_포장외건(최종)_강동내역(9.28_T05-D03-004D(울산터널-조명제어-안소장님1003) 2 2" xfId="7053" xr:uid="{00000000-0005-0000-0000-0000250B0000}"/>
    <cellStyle name="_칠서영산_포장외건(최종)_강동내역(9.28_T05-D03-004D(울산터널-환기-구성설비0930)" xfId="3020" xr:uid="{00000000-0005-0000-0000-0000260B0000}"/>
    <cellStyle name="_칠서영산_포장외건(최종)_강동내역(9.28_T05-D03-004D(울산터널-환기-구성설비0930) 2" xfId="7054" xr:uid="{00000000-0005-0000-0000-0000270B0000}"/>
    <cellStyle name="_칠서영산_포장외건(최종)_강동내역(9.28_T05-D03-004D(울산터널-환기-구성설비0930) 2 2" xfId="7055" xr:uid="{00000000-0005-0000-0000-0000280B0000}"/>
    <cellStyle name="_칠서영산_포장외건(최종)_강동내역(9.28_울산강동내역최종(20051101)" xfId="3018" xr:uid="{00000000-0005-0000-0000-0000290B0000}"/>
    <cellStyle name="_칠서영산_포장외건(최종)_강동내역(9.28_울산강동내역최종(20051101) 2" xfId="7056" xr:uid="{00000000-0005-0000-0000-00002A0B0000}"/>
    <cellStyle name="_칠서영산_포장외건(최종)_강동내역(9.28_울산강동내역최종(20051101) 2 2" xfId="7057" xr:uid="{00000000-0005-0000-0000-00002B0B0000}"/>
    <cellStyle name="_침입감시 견적서" xfId="1147" xr:uid="{00000000-0005-0000-0000-00002C0B0000}"/>
    <cellStyle name="_케이블중량" xfId="7058" xr:uid="{00000000-0005-0000-0000-00002D0B0000}"/>
    <cellStyle name="_케이블중량 2" xfId="7059" xr:uid="{00000000-0005-0000-0000-00002E0B0000}"/>
    <cellStyle name="_케이블중량 2 2" xfId="7060" xr:uid="{00000000-0005-0000-0000-00002F0B0000}"/>
    <cellStyle name="_케이블중량 3" xfId="7061" xr:uid="{00000000-0005-0000-0000-0000300B0000}"/>
    <cellStyle name="_탕정본실행자재" xfId="1148" xr:uid="{00000000-0005-0000-0000-0000310B0000}"/>
    <cellStyle name="_터널부하계산서(최종본)" xfId="3022" xr:uid="{00000000-0005-0000-0000-0000320B0000}"/>
    <cellStyle name="_터널부하계산서(최종본) 2" xfId="7062" xr:uid="{00000000-0005-0000-0000-0000330B0000}"/>
    <cellStyle name="_터널부하계산서(최종본) 2 2" xfId="7063" xr:uid="{00000000-0005-0000-0000-0000340B0000}"/>
    <cellStyle name="_터널부하계산서(최종본) 3" xfId="7064" xr:uid="{00000000-0005-0000-0000-0000350B0000}"/>
    <cellStyle name="_터미널현장 토사반입(낙찰적용,시속35)" xfId="3023" xr:uid="{00000000-0005-0000-0000-0000360B0000}"/>
    <cellStyle name="_테마공사새로03" xfId="7065" xr:uid="{00000000-0005-0000-0000-0000370B0000}"/>
    <cellStyle name="_테마공사새로03 2" xfId="7066" xr:uid="{00000000-0005-0000-0000-0000380B0000}"/>
    <cellStyle name="_테마공사새로03 2 2" xfId="7067" xr:uid="{00000000-0005-0000-0000-0000390B0000}"/>
    <cellStyle name="_테마공사새로03 3" xfId="7068" xr:uid="{00000000-0005-0000-0000-00003A0B0000}"/>
    <cellStyle name="_토공1" xfId="3024" xr:uid="{00000000-0005-0000-0000-00003B0B0000}"/>
    <cellStyle name="_토공１회변경" xfId="7069" xr:uid="{00000000-0005-0000-0000-00003C0B0000}"/>
    <cellStyle name="_토공１회변경 2" xfId="7070" xr:uid="{00000000-0005-0000-0000-00003D0B0000}"/>
    <cellStyle name="_토공１회변경 2 2" xfId="7071" xr:uid="{00000000-0005-0000-0000-00003E0B0000}"/>
    <cellStyle name="_토공１회변경 3" xfId="7072" xr:uid="{00000000-0005-0000-0000-00003F0B0000}"/>
    <cellStyle name="_토공수량-4차로발주(유동만조금)" xfId="7073" xr:uid="{00000000-0005-0000-0000-0000400B0000}"/>
    <cellStyle name="_토공수량-4차로발주(유동만조금) 2" xfId="7074" xr:uid="{00000000-0005-0000-0000-0000410B0000}"/>
    <cellStyle name="_토공수량-4차로발주(유동만조금) 2 2" xfId="7075" xr:uid="{00000000-0005-0000-0000-0000420B0000}"/>
    <cellStyle name="_토공수량산출서(실정보고)" xfId="7076" xr:uid="{00000000-0005-0000-0000-0000430B0000}"/>
    <cellStyle name="_토공수량산출서(실정보고) 2" xfId="7077" xr:uid="{00000000-0005-0000-0000-0000440B0000}"/>
    <cellStyle name="_토공수량산출서(실정보고) 2 2" xfId="7078" xr:uid="{00000000-0005-0000-0000-0000450B0000}"/>
    <cellStyle name="_토공수량산출서(실정보고) 3" xfId="7079" xr:uid="{00000000-0005-0000-0000-0000460B0000}"/>
    <cellStyle name="_통신(일위대가) 통신_(최종본)" xfId="7080" xr:uid="{00000000-0005-0000-0000-0000470B0000}"/>
    <cellStyle name="_통신(일위대가) 통신_(최종본) 2" xfId="7081" xr:uid="{00000000-0005-0000-0000-0000480B0000}"/>
    <cellStyle name="_통신(일위대가) 통신_(최종본) 2 2" xfId="7082" xr:uid="{00000000-0005-0000-0000-0000490B0000}"/>
    <cellStyle name="_통신(일위대가) 통신_(최종본) 3" xfId="7083" xr:uid="{00000000-0005-0000-0000-00004A0B0000}"/>
    <cellStyle name="_판암근린공원황톳길조성공사" xfId="1909" xr:uid="{00000000-0005-0000-0000-00004B0B0000}"/>
    <cellStyle name="_페어견적" xfId="1149" xr:uid="{00000000-0005-0000-0000-00004C0B0000}"/>
    <cellStyle name="_평상" xfId="1910" xr:uid="{00000000-0005-0000-0000-00004D0B0000}"/>
    <cellStyle name="_평창하이테크-제출" xfId="1150" xr:uid="{00000000-0005-0000-0000-00004E0B0000}"/>
    <cellStyle name="_평촌교수량" xfId="1151" xr:uid="{00000000-0005-0000-0000-00004F0B0000}"/>
    <cellStyle name="_평촌교수량_무주골천수량" xfId="1152" xr:uid="{00000000-0005-0000-0000-0000500B0000}"/>
    <cellStyle name="_평촌교수량_무주골천수량_제2 사토장 조경공사" xfId="1911" xr:uid="{00000000-0005-0000-0000-0000510B0000}"/>
    <cellStyle name="_평촌교수량_무주골천수량_현석동 1-5번지 일대 마을마당조성" xfId="1912" xr:uid="{00000000-0005-0000-0000-0000520B0000}"/>
    <cellStyle name="_평촌교수량_무주골천수량_휘경2동 마을마당 조성공사" xfId="1913" xr:uid="{00000000-0005-0000-0000-0000530B0000}"/>
    <cellStyle name="_평촌교수량_제2 사토장 조경공사" xfId="1914" xr:uid="{00000000-0005-0000-0000-0000540B0000}"/>
    <cellStyle name="_평촌교수량_현석동 1-5번지 일대 마을마당조성" xfId="1915" xr:uid="{00000000-0005-0000-0000-0000550B0000}"/>
    <cellStyle name="_평촌교수량_호명12공구" xfId="1153" xr:uid="{00000000-0005-0000-0000-0000560B0000}"/>
    <cellStyle name="_평촌교수량_호명12공구_제2 사토장 조경공사" xfId="1916" xr:uid="{00000000-0005-0000-0000-0000570B0000}"/>
    <cellStyle name="_평촌교수량_호명12공구_현석동 1-5번지 일대 마을마당조성" xfId="1917" xr:uid="{00000000-0005-0000-0000-0000580B0000}"/>
    <cellStyle name="_평촌교수량_호명12공구_휘경2동 마을마당 조성공사" xfId="1918" xr:uid="{00000000-0005-0000-0000-0000590B0000}"/>
    <cellStyle name="_평촌교수량_휘경2동 마을마당 조성공사" xfId="1919" xr:uid="{00000000-0005-0000-0000-00005A0B0000}"/>
    <cellStyle name="_평택이동" xfId="3025" xr:uid="{00000000-0005-0000-0000-00005B0B0000}"/>
    <cellStyle name="_평택이동 2" xfId="7084" xr:uid="{00000000-0005-0000-0000-00005C0B0000}"/>
    <cellStyle name="_평택이동 2 2" xfId="7085" xr:uid="{00000000-0005-0000-0000-00005D0B0000}"/>
    <cellStyle name="_평택이동 3" xfId="7086" xr:uid="{00000000-0005-0000-0000-00005E0B0000}"/>
    <cellStyle name="_평화의댐내역서최종(OLD)" xfId="3026" xr:uid="{00000000-0005-0000-0000-00005F0B0000}"/>
    <cellStyle name="_평화의댐내역서최종(OLD) 2" xfId="7087" xr:uid="{00000000-0005-0000-0000-0000600B0000}"/>
    <cellStyle name="_평화의댐내역서최종(OLD) 2 2" xfId="7088" xr:uid="{00000000-0005-0000-0000-0000610B0000}"/>
    <cellStyle name="_평화의댐내역서최종(OLD) 3" xfId="7089" xr:uid="{00000000-0005-0000-0000-0000620B0000}"/>
    <cellStyle name="_폐기물설명서" xfId="3027" xr:uid="{00000000-0005-0000-0000-0000630B0000}"/>
    <cellStyle name="_포장" xfId="3028" xr:uid="{00000000-0005-0000-0000-0000640B0000}"/>
    <cellStyle name="_포장_02. 깨기총괄표1" xfId="3029" xr:uid="{00000000-0005-0000-0000-0000650B0000}"/>
    <cellStyle name="_포장_라멘교 토공" xfId="3030" xr:uid="{00000000-0005-0000-0000-0000660B0000}"/>
    <cellStyle name="_포장_라멘교 토공_02. 깨기총괄표1" xfId="3031" xr:uid="{00000000-0005-0000-0000-0000670B0000}"/>
    <cellStyle name="_포장공(괴목배수로)" xfId="3032" xr:uid="{00000000-0005-0000-0000-0000680B0000}"/>
    <cellStyle name="_포항실행견적내역" xfId="1154" xr:uid="{00000000-0005-0000-0000-0000690B0000}"/>
    <cellStyle name="_포항실행견적내역_갤러리아팰리스자재견적" xfId="1155" xr:uid="{00000000-0005-0000-0000-00006A0B0000}"/>
    <cellStyle name="_포항실행견적내역_상도동I-PARK전기내역서" xfId="1156" xr:uid="{00000000-0005-0000-0000-00006B0B0000}"/>
    <cellStyle name="_포항실행견적내역_장미등품" xfId="1157" xr:uid="{00000000-0005-0000-0000-00006C0B0000}"/>
    <cellStyle name="_포항실행견적내역_장미아파트자재" xfId="1158" xr:uid="{00000000-0005-0000-0000-00006D0B0000}"/>
    <cellStyle name="_포항실행견적내역_장미아파트전기공사(작업)" xfId="1159" xr:uid="{00000000-0005-0000-0000-00006E0B0000}"/>
    <cellStyle name="_포항실행견적내역_창원점A공구" xfId="1160" xr:uid="{00000000-0005-0000-0000-00006F0B0000}"/>
    <cellStyle name="_포항실행견적내역_청주교보복합빌딩견적" xfId="1161" xr:uid="{00000000-0005-0000-0000-0000700B0000}"/>
    <cellStyle name="_표준 견적서 2003년" xfId="1162" xr:uid="{00000000-0005-0000-0000-0000710B0000}"/>
    <cellStyle name="_표지" xfId="7090" xr:uid="{00000000-0005-0000-0000-0000720B0000}"/>
    <cellStyle name="_표지 2" xfId="7091" xr:uid="{00000000-0005-0000-0000-0000730B0000}"/>
    <cellStyle name="_표지 2 2" xfId="7092" xr:uid="{00000000-0005-0000-0000-0000740B0000}"/>
    <cellStyle name="_하반기성과급인별LIST" xfId="3033" xr:uid="{00000000-0005-0000-0000-0000750B0000}"/>
    <cellStyle name="_하반기성과급인별LIST 2" xfId="7093" xr:uid="{00000000-0005-0000-0000-0000760B0000}"/>
    <cellStyle name="_하반기성과급인별LIST 2 2" xfId="7094" xr:uid="{00000000-0005-0000-0000-0000770B0000}"/>
    <cellStyle name="_하반기성과급인별LIST 3" xfId="7095" xr:uid="{00000000-0005-0000-0000-0000780B0000}"/>
    <cellStyle name="_한국원자력안전기술원" xfId="1920" xr:uid="{00000000-0005-0000-0000-0000790B0000}"/>
    <cellStyle name="_한전연구견적" xfId="1921" xr:uid="{00000000-0005-0000-0000-00007A0B0000}"/>
    <cellStyle name="_합의서" xfId="3034" xr:uid="{00000000-0005-0000-0000-00007B0B0000}"/>
    <cellStyle name="_합의서_선정안(삼산)" xfId="3035" xr:uid="{00000000-0005-0000-0000-00007C0B0000}"/>
    <cellStyle name="_합의서_선정안(삼산)_캐노피 견적서" xfId="3036" xr:uid="{00000000-0005-0000-0000-00007D0B0000}"/>
    <cellStyle name="_합의서_추풍령" xfId="3037" xr:uid="{00000000-0005-0000-0000-00007E0B0000}"/>
    <cellStyle name="_합의서_추풍령_캐노피 견적서" xfId="3038" xr:uid="{00000000-0005-0000-0000-00007F0B0000}"/>
    <cellStyle name="_합의서_추풍령-1" xfId="3039" xr:uid="{00000000-0005-0000-0000-0000800B0000}"/>
    <cellStyle name="_합의서_추풍령-1_캐노피 견적서" xfId="3040" xr:uid="{00000000-0005-0000-0000-0000810B0000}"/>
    <cellStyle name="_합의서_캐노피 견적서" xfId="3041" xr:uid="{00000000-0005-0000-0000-0000820B0000}"/>
    <cellStyle name="_현관" xfId="3042" xr:uid="{00000000-0005-0000-0000-0000830B0000}"/>
    <cellStyle name="_현석동 1-5번지 일대 마을마당조성7(1).16" xfId="1163" xr:uid="{00000000-0005-0000-0000-0000840B0000}"/>
    <cellStyle name="_협력업체list" xfId="1164" xr:uid="{00000000-0005-0000-0000-0000850B0000}"/>
    <cellStyle name="_협력업체list_갤러리아팰리스자재견적" xfId="1165" xr:uid="{00000000-0005-0000-0000-0000860B0000}"/>
    <cellStyle name="_협력업체list_상도동I-PARK전기내역서" xfId="1166" xr:uid="{00000000-0005-0000-0000-0000870B0000}"/>
    <cellStyle name="_협력업체list_장미등품" xfId="1167" xr:uid="{00000000-0005-0000-0000-0000880B0000}"/>
    <cellStyle name="_협력업체list_장미아파트자재" xfId="1168" xr:uid="{00000000-0005-0000-0000-0000890B0000}"/>
    <cellStyle name="_협력업체list_장미아파트전기공사(작업)" xfId="1169" xr:uid="{00000000-0005-0000-0000-00008A0B0000}"/>
    <cellStyle name="_협력업체list_청주교보복합빌딩견적" xfId="1170" xr:uid="{00000000-0005-0000-0000-00008B0B0000}"/>
    <cellStyle name="_홍대,화정견적" xfId="1171" xr:uid="{00000000-0005-0000-0000-00008C0B0000}"/>
    <cellStyle name="_화전리2,3공구" xfId="3043" xr:uid="{00000000-0005-0000-0000-00008D0B0000}"/>
    <cellStyle name="_횡배수관공" xfId="3044" xr:uid="{00000000-0005-0000-0000-00008E0B0000}"/>
    <cellStyle name="_효교리1공구" xfId="3045" xr:uid="{00000000-0005-0000-0000-00008F0B0000}"/>
    <cellStyle name="_효교리2공구" xfId="3046" xr:uid="{00000000-0005-0000-0000-0000900B0000}"/>
    <cellStyle name="_흙막이공사(일위)" xfId="7096" xr:uid="{00000000-0005-0000-0000-0000910B0000}"/>
    <cellStyle name="_흙막이공사(일위) 2" xfId="7097" xr:uid="{00000000-0005-0000-0000-0000920B0000}"/>
    <cellStyle name="_흙막이공사(일위) 2 2" xfId="7098" xr:uid="{00000000-0005-0000-0000-0000930B0000}"/>
    <cellStyle name="_흙막이공사(일위) 3" xfId="7099" xr:uid="{00000000-0005-0000-0000-0000940B0000}"/>
    <cellStyle name="´þ·?" xfId="3077" xr:uid="{00000000-0005-0000-0000-0000950B0000}"/>
    <cellStyle name="´þ·? 2" xfId="7100" xr:uid="{00000000-0005-0000-0000-0000960B0000}"/>
    <cellStyle name="´þ·? 2 2" xfId="7101" xr:uid="{00000000-0005-0000-0000-0000970B0000}"/>
    <cellStyle name="´Þ·¯" xfId="1182" xr:uid="{00000000-0005-0000-0000-0000980B0000}"/>
    <cellStyle name="’E‰Y [0.00]_laroux" xfId="5" xr:uid="{00000000-0005-0000-0000-0000990B0000}"/>
    <cellStyle name="’E‰Y_laroux" xfId="6" xr:uid="{00000000-0005-0000-0000-00009A0B0000}"/>
    <cellStyle name="¤@?e_TEST-1 " xfId="1185" xr:uid="{00000000-0005-0000-0000-00009B0B0000}"/>
    <cellStyle name="+,-,0" xfId="1923" xr:uid="{00000000-0005-0000-0000-00009C0B0000}"/>
    <cellStyle name="+,-,0 2" xfId="7102" xr:uid="{00000000-0005-0000-0000-00009D0B0000}"/>
    <cellStyle name="+,-,0 2 2" xfId="7103" xr:uid="{00000000-0005-0000-0000-00009E0B0000}"/>
    <cellStyle name="△ []" xfId="1924" xr:uid="{00000000-0005-0000-0000-00009F0B0000}"/>
    <cellStyle name="△ [] 2" xfId="7104" xr:uid="{00000000-0005-0000-0000-0000A00B0000}"/>
    <cellStyle name="△ [] 2 2" xfId="7105" xr:uid="{00000000-0005-0000-0000-0000A10B0000}"/>
    <cellStyle name="△ [0]" xfId="1925" xr:uid="{00000000-0005-0000-0000-0000A20B0000}"/>
    <cellStyle name="△ [0] 2" xfId="7106" xr:uid="{00000000-0005-0000-0000-0000A30B0000}"/>
    <cellStyle name="△ [0] 2 2" xfId="7107" xr:uid="{00000000-0005-0000-0000-0000A40B0000}"/>
    <cellStyle name="△백분율" xfId="1183" xr:uid="{00000000-0005-0000-0000-0000A50B0000}"/>
    <cellStyle name="△백분율 2" xfId="7108" xr:uid="{00000000-0005-0000-0000-0000A60B0000}"/>
    <cellStyle name="△백분율 2 2" xfId="7109" xr:uid="{00000000-0005-0000-0000-0000A70B0000}"/>
    <cellStyle name="△콤마" xfId="1184" xr:uid="{00000000-0005-0000-0000-0000A80B0000}"/>
    <cellStyle name="△콤마 2" xfId="7110" xr:uid="{00000000-0005-0000-0000-0000A90B0000}"/>
    <cellStyle name="△콤마 2 2" xfId="7111" xr:uid="{00000000-0005-0000-0000-0000AA0B0000}"/>
    <cellStyle name="●" xfId="3078" xr:uid="{00000000-0005-0000-0000-0000AB0B0000}"/>
    <cellStyle name="°ia¤¼o " xfId="3079" xr:uid="{00000000-0005-0000-0000-0000AC0B0000}"/>
    <cellStyle name="°ia¤¼o¼ya¡" xfId="3080" xr:uid="{00000000-0005-0000-0000-0000AD0B0000}"/>
    <cellStyle name="°íÁ¤¼Ò¼ýÁ¡" xfId="1186" xr:uid="{00000000-0005-0000-0000-0000AE0B0000}"/>
    <cellStyle name="°ia¤¼o¼ya¡ 2" xfId="7112" xr:uid="{00000000-0005-0000-0000-0000AF0B0000}"/>
    <cellStyle name="°ia¤¼o¼ya¡ 2 2" xfId="7113" xr:uid="{00000000-0005-0000-0000-0000B00B0000}"/>
    <cellStyle name="°ia¤aa " xfId="3081" xr:uid="{00000000-0005-0000-0000-0000B10B0000}"/>
    <cellStyle name="°ia¤aa·a1" xfId="3082" xr:uid="{00000000-0005-0000-0000-0000B20B0000}"/>
    <cellStyle name="°íÁ¤Ãâ·Â1" xfId="1187" xr:uid="{00000000-0005-0000-0000-0000B30B0000}"/>
    <cellStyle name="°ia¤aa·a1 2" xfId="7114" xr:uid="{00000000-0005-0000-0000-0000B40B0000}"/>
    <cellStyle name="°ia¤aa·a1 2 2" xfId="7115" xr:uid="{00000000-0005-0000-0000-0000B50B0000}"/>
    <cellStyle name="°ia¤aa·a2" xfId="3083" xr:uid="{00000000-0005-0000-0000-0000B60B0000}"/>
    <cellStyle name="°íÁ¤Ãâ·Â2" xfId="1188" xr:uid="{00000000-0005-0000-0000-0000B70B0000}"/>
    <cellStyle name="°ia¤aa·a2 2" xfId="7116" xr:uid="{00000000-0005-0000-0000-0000B80B0000}"/>
    <cellStyle name="°ia¤aa·a2 2 2" xfId="7117" xr:uid="{00000000-0005-0000-0000-0000B90B0000}"/>
    <cellStyle name="" xfId="2395" xr:uid="{00000000-0005-0000-0000-0000BA0B0000}"/>
    <cellStyle name=" 2" xfId="7118" xr:uid="{00000000-0005-0000-0000-0000BB0B0000}"/>
    <cellStyle name=" 2 2" xfId="7119" xr:uid="{00000000-0005-0000-0000-0000BC0B0000}"/>
    <cellStyle name="_2007년(100%)" xfId="7120" xr:uid="{00000000-0005-0000-0000-0000BD0B0000}"/>
    <cellStyle name="_2007년(100%) 2" xfId="7121" xr:uid="{00000000-0005-0000-0000-0000BE0B0000}"/>
    <cellStyle name="_2007년(100%) 2 2" xfId="7122" xr:uid="{00000000-0005-0000-0000-0000BF0B0000}"/>
    <cellStyle name="_관급자재" xfId="7123" xr:uid="{00000000-0005-0000-0000-0000C00B0000}"/>
    <cellStyle name="_관급자재 2" xfId="7124" xr:uid="{00000000-0005-0000-0000-0000C10B0000}"/>
    <cellStyle name="_관급자재 2 2" xfId="7125" xr:uid="{00000000-0005-0000-0000-0000C20B0000}"/>
    <cellStyle name="_내역서" xfId="7126" xr:uid="{00000000-0005-0000-0000-0000C30B0000}"/>
    <cellStyle name="_내역서 2" xfId="7127" xr:uid="{00000000-0005-0000-0000-0000C40B0000}"/>
    <cellStyle name="_내역서 2 2" xfId="7128" xr:uid="{00000000-0005-0000-0000-0000C50B0000}"/>
    <cellStyle name="_설계(공단100%)신호(일위)" xfId="7129" xr:uid="{00000000-0005-0000-0000-0000C60B0000}"/>
    <cellStyle name="_설계(공단100%)신호(일위) 2" xfId="7130" xr:uid="{00000000-0005-0000-0000-0000C70B0000}"/>
    <cellStyle name="_설계(공단100%)신호(일위) 2 2" xfId="7131" xr:uid="{00000000-0005-0000-0000-0000C80B0000}"/>
    <cellStyle name="_캐노피 견적서" xfId="3021" xr:uid="{00000000-0005-0000-0000-0000C90B0000}"/>
    <cellStyle name="æØè [0.00]_Region Orders (2)" xfId="1535" xr:uid="{00000000-0005-0000-0000-0000CA0B0000}"/>
    <cellStyle name="æØè_Region Orders (2)" xfId="1536" xr:uid="{00000000-0005-0000-0000-0000CB0B0000}"/>
    <cellStyle name="ÊÝ [0.00]_Region Orders (2)" xfId="1709" xr:uid="{00000000-0005-0000-0000-0000CC0B0000}"/>
    <cellStyle name="ÊÝ_Region Orders (2)" xfId="1710" xr:uid="{00000000-0005-0000-0000-0000CD0B0000}"/>
    <cellStyle name="W_Pacific Region P&amp;L" xfId="1827" xr:uid="{00000000-0005-0000-0000-0000CE0B0000}"/>
    <cellStyle name="0" xfId="1189" xr:uid="{00000000-0005-0000-0000-0000CF0B0000}"/>
    <cellStyle name="0 2" xfId="7132" xr:uid="{00000000-0005-0000-0000-0000D00B0000}"/>
    <cellStyle name="0 2 2" xfId="7133" xr:uid="{00000000-0005-0000-0000-0000D10B0000}"/>
    <cellStyle name="0%" xfId="3084" xr:uid="{00000000-0005-0000-0000-0000D20B0000}"/>
    <cellStyle name="0% 2" xfId="7134" xr:uid="{00000000-0005-0000-0000-0000D30B0000}"/>
    <cellStyle name="0% 2 2" xfId="7135" xr:uid="{00000000-0005-0000-0000-0000D40B0000}"/>
    <cellStyle name="0,0  NA  " xfId="7136" xr:uid="{00000000-0005-0000-0000-0000D50B0000}"/>
    <cellStyle name="0,0  NA   2" xfId="7137" xr:uid="{00000000-0005-0000-0000-0000D60B0000}"/>
    <cellStyle name="0,0_x000d__x000a_NA_x000d__x000a_" xfId="7138" xr:uid="{00000000-0005-0000-0000-0000D70B0000}"/>
    <cellStyle name="0.0" xfId="1190" xr:uid="{00000000-0005-0000-0000-0000D80B0000}"/>
    <cellStyle name="0.0 2" xfId="7139" xr:uid="{00000000-0005-0000-0000-0000D90B0000}"/>
    <cellStyle name="0.0 2 2" xfId="7140" xr:uid="{00000000-0005-0000-0000-0000DA0B0000}"/>
    <cellStyle name="0.0%" xfId="3085" xr:uid="{00000000-0005-0000-0000-0000DB0B0000}"/>
    <cellStyle name="0.0% 2" xfId="7141" xr:uid="{00000000-0005-0000-0000-0000DC0B0000}"/>
    <cellStyle name="0.0% 2 2" xfId="7142" xr:uid="{00000000-0005-0000-0000-0000DD0B0000}"/>
    <cellStyle name="0.0_분수대 및 어린이놀이터 시설물 설치공사" xfId="3086" xr:uid="{00000000-0005-0000-0000-0000DE0B0000}"/>
    <cellStyle name="0.00" xfId="1191" xr:uid="{00000000-0005-0000-0000-0000DF0B0000}"/>
    <cellStyle name="0.00 2" xfId="7143" xr:uid="{00000000-0005-0000-0000-0000E00B0000}"/>
    <cellStyle name="0.00 2 2" xfId="7144" xr:uid="{00000000-0005-0000-0000-0000E10B0000}"/>
    <cellStyle name="0.00%" xfId="3087" xr:uid="{00000000-0005-0000-0000-0000E20B0000}"/>
    <cellStyle name="0.00% 2" xfId="7145" xr:uid="{00000000-0005-0000-0000-0000E30B0000}"/>
    <cellStyle name="0.00% 2 2" xfId="7146" xr:uid="{00000000-0005-0000-0000-0000E40B0000}"/>
    <cellStyle name="0.00_분수대 및 어린이놀이터 시설물 설치공사" xfId="3088" xr:uid="{00000000-0005-0000-0000-0000E50B0000}"/>
    <cellStyle name="0.000%" xfId="3089" xr:uid="{00000000-0005-0000-0000-0000E60B0000}"/>
    <cellStyle name="0.000% 2" xfId="7147" xr:uid="{00000000-0005-0000-0000-0000E70B0000}"/>
    <cellStyle name="0.000% 2 2" xfId="7148" xr:uid="{00000000-0005-0000-0000-0000E80B0000}"/>
    <cellStyle name="0.0000%" xfId="3090" xr:uid="{00000000-0005-0000-0000-0000E90B0000}"/>
    <cellStyle name="0.0000% 2" xfId="7149" xr:uid="{00000000-0005-0000-0000-0000EA0B0000}"/>
    <cellStyle name="0.0000% 2 2" xfId="7150" xr:uid="{00000000-0005-0000-0000-0000EB0B0000}"/>
    <cellStyle name="0_내역서" xfId="7151" xr:uid="{00000000-0005-0000-0000-0000EC0B0000}"/>
    <cellStyle name="0_내역서 2" xfId="7152" xr:uid="{00000000-0005-0000-0000-0000ED0B0000}"/>
    <cellStyle name="0_내역서 2 2" xfId="7153" xr:uid="{00000000-0005-0000-0000-0000EE0B0000}"/>
    <cellStyle name="0_내역서_2005년학교숲" xfId="7154" xr:uid="{00000000-0005-0000-0000-0000EF0B0000}"/>
    <cellStyle name="0_내역서_2005년학교숲 2" xfId="7155" xr:uid="{00000000-0005-0000-0000-0000F00B0000}"/>
    <cellStyle name="0_내역서_2005년학교숲 2 2" xfId="7156" xr:uid="{00000000-0005-0000-0000-0000F10B0000}"/>
    <cellStyle name="0_내역서_2005년학교숲_2006년학교숲내역서1" xfId="7157" xr:uid="{00000000-0005-0000-0000-0000F20B0000}"/>
    <cellStyle name="0_내역서_2005년학교숲_2006년학교숲내역서1 2" xfId="7158" xr:uid="{00000000-0005-0000-0000-0000F30B0000}"/>
    <cellStyle name="0_내역서_2005년학교숲_2006년학교숲내역서1 2 2" xfId="7159" xr:uid="{00000000-0005-0000-0000-0000F40B0000}"/>
    <cellStyle name="0_내역서_2006년학교숲내역서1" xfId="7160" xr:uid="{00000000-0005-0000-0000-0000F50B0000}"/>
    <cellStyle name="0_내역서_2006년학교숲내역서1 2" xfId="7161" xr:uid="{00000000-0005-0000-0000-0000F60B0000}"/>
    <cellStyle name="0_내역서_2006년학교숲내역서1 2 2" xfId="7162" xr:uid="{00000000-0005-0000-0000-0000F70B0000}"/>
    <cellStyle name="0_내역서_2006년학교숲내역서1_2006년학교숲내역서1" xfId="7163" xr:uid="{00000000-0005-0000-0000-0000F80B0000}"/>
    <cellStyle name="0_내역서_2006년학교숲내역서1_2006년학교숲내역서1 2" xfId="7164" xr:uid="{00000000-0005-0000-0000-0000F90B0000}"/>
    <cellStyle name="0_내역서_2006년학교숲내역서1_2006년학교숲내역서1 2 2" xfId="7165" xr:uid="{00000000-0005-0000-0000-0000FA0B0000}"/>
    <cellStyle name="0_내역서_2차내역서-0222-제출용" xfId="7166" xr:uid="{00000000-0005-0000-0000-0000FB0B0000}"/>
    <cellStyle name="0_내역서_2차내역서-0222-제출용 2" xfId="7167" xr:uid="{00000000-0005-0000-0000-0000FC0B0000}"/>
    <cellStyle name="0_내역서_2차내역서-0222-제출용 2 2" xfId="7168" xr:uid="{00000000-0005-0000-0000-0000FD0B0000}"/>
    <cellStyle name="0_내역서_내역서-0223조경-제출용" xfId="7169" xr:uid="{00000000-0005-0000-0000-0000FE0B0000}"/>
    <cellStyle name="0_내역서_내역서-0223조경-제출용 2" xfId="7170" xr:uid="{00000000-0005-0000-0000-0000FF0B0000}"/>
    <cellStyle name="0_내역서_내역서-0223조경-제출용 2 2" xfId="7171" xr:uid="{00000000-0005-0000-0000-0000000C0000}"/>
    <cellStyle name="0_내역서_내역서-0223조경-제출용_2006년학교숲내역서1" xfId="7172" xr:uid="{00000000-0005-0000-0000-0000010C0000}"/>
    <cellStyle name="0_내역서_내역서-0223조경-제출용_2006년학교숲내역서1 2" xfId="7173" xr:uid="{00000000-0005-0000-0000-0000020C0000}"/>
    <cellStyle name="0_내역서_내역서-0223조경-제출용_2006년학교숲내역서1 2 2" xfId="7174" xr:uid="{00000000-0005-0000-0000-0000030C0000}"/>
    <cellStyle name="0_내역서_내역서-0223조경-제출용_8단지-제출용" xfId="7175" xr:uid="{00000000-0005-0000-0000-0000040C0000}"/>
    <cellStyle name="0_내역서_내역서-0223조경-제출용_8단지-제출용 2" xfId="7176" xr:uid="{00000000-0005-0000-0000-0000050C0000}"/>
    <cellStyle name="0_내역서_내역서-0223조경-제출용_8단지-제출용 2 2" xfId="7177" xr:uid="{00000000-0005-0000-0000-0000060C0000}"/>
    <cellStyle name="0_내역서_내역서-0223조경-제출용_내역서-0309조경-제출용" xfId="7178" xr:uid="{00000000-0005-0000-0000-0000070C0000}"/>
    <cellStyle name="0_내역서_내역서-0223조경-제출용_내역서-0309조경-제출용 2" xfId="7179" xr:uid="{00000000-0005-0000-0000-0000080C0000}"/>
    <cellStyle name="0_내역서_내역서-0223조경-제출용_내역서-0309조경-제출용 2 2" xfId="7180" xr:uid="{00000000-0005-0000-0000-0000090C0000}"/>
    <cellStyle name="0_내역서_내역서-0223조경-제출용_내역서0331" xfId="7181" xr:uid="{00000000-0005-0000-0000-00000A0C0000}"/>
    <cellStyle name="0_내역서_내역서-0223조경-제출용_내역서0331 2" xfId="7182" xr:uid="{00000000-0005-0000-0000-00000B0C0000}"/>
    <cellStyle name="0_내역서_내역서-0223조경-제출용_내역서0331 2 2" xfId="7183" xr:uid="{00000000-0005-0000-0000-00000C0C0000}"/>
    <cellStyle name="0_내역서_내역서-0223조경-제출용_내역서0331-제출" xfId="7184" xr:uid="{00000000-0005-0000-0000-00000D0C0000}"/>
    <cellStyle name="0_내역서_내역서-0223조경-제출용_내역서0331-제출 2" xfId="7185" xr:uid="{00000000-0005-0000-0000-00000E0C0000}"/>
    <cellStyle name="0_내역서_내역서-0223조경-제출용_내역서0331-제출 2 2" xfId="7186" xr:uid="{00000000-0005-0000-0000-00000F0C0000}"/>
    <cellStyle name="0_내역서_내역서-0223조경-제출용_내역서0421" xfId="7187" xr:uid="{00000000-0005-0000-0000-0000100C0000}"/>
    <cellStyle name="0_내역서_내역서-0223조경-제출용_내역서0421 2" xfId="7188" xr:uid="{00000000-0005-0000-0000-0000110C0000}"/>
    <cellStyle name="0_내역서_내역서-0223조경-제출용_내역서0421 2 2" xfId="7189" xr:uid="{00000000-0005-0000-0000-0000120C0000}"/>
    <cellStyle name="0_내역서_내역서-0223조경-제출용_설계서갑지" xfId="7190" xr:uid="{00000000-0005-0000-0000-0000130C0000}"/>
    <cellStyle name="0_내역서_내역서-0223조경-제출용_설계서갑지 2" xfId="7191" xr:uid="{00000000-0005-0000-0000-0000140C0000}"/>
    <cellStyle name="0_내역서_내역서-0223조경-제출용_설계서갑지 2 2" xfId="7192" xr:uid="{00000000-0005-0000-0000-0000150C0000}"/>
    <cellStyle name="0_내역서_내역서-0223조경-제출용_수량산출" xfId="7193" xr:uid="{00000000-0005-0000-0000-0000160C0000}"/>
    <cellStyle name="0_내역서_내역서-0223조경-제출용_수량산출 2" xfId="7194" xr:uid="{00000000-0005-0000-0000-0000170C0000}"/>
    <cellStyle name="0_내역서_내역서-0223조경-제출용_수량산출 2 2" xfId="7195" xr:uid="{00000000-0005-0000-0000-0000180C0000}"/>
    <cellStyle name="0_내역서_내역서-0223조경-제출용_시설물일위" xfId="7196" xr:uid="{00000000-0005-0000-0000-0000190C0000}"/>
    <cellStyle name="0_내역서_내역서-0223조경-제출용_시설물일위 2" xfId="7197" xr:uid="{00000000-0005-0000-0000-00001A0C0000}"/>
    <cellStyle name="0_내역서_내역서-0223조경-제출용_시설물일위 2 2" xfId="7198" xr:uid="{00000000-0005-0000-0000-00001B0C0000}"/>
    <cellStyle name="0_내역서_내역서-0223조경-제출용_식재일위" xfId="7199" xr:uid="{00000000-0005-0000-0000-00001C0C0000}"/>
    <cellStyle name="0_내역서_내역서-0223조경-제출용_식재일위 2" xfId="7200" xr:uid="{00000000-0005-0000-0000-00001D0C0000}"/>
    <cellStyle name="0_내역서_내역서-0223조경-제출용_식재일위 2 2" xfId="7201" xr:uid="{00000000-0005-0000-0000-00001E0C0000}"/>
    <cellStyle name="0_내역서_내역서-0223조경-제출용_중기단가" xfId="7202" xr:uid="{00000000-0005-0000-0000-00001F0C0000}"/>
    <cellStyle name="0_내역서_내역서-0223조경-제출용_중기단가 2" xfId="7203" xr:uid="{00000000-0005-0000-0000-0000200C0000}"/>
    <cellStyle name="0_내역서_내역서-0223조경-제출용_중기단가 2 2" xfId="7204" xr:uid="{00000000-0005-0000-0000-0000210C0000}"/>
    <cellStyle name="0_내역서_내역서-0223조경-제출용_철거수량산출" xfId="7205" xr:uid="{00000000-0005-0000-0000-0000220C0000}"/>
    <cellStyle name="0_내역서_내역서-0223조경-제출용_철거수량산출 2" xfId="7206" xr:uid="{00000000-0005-0000-0000-0000230C0000}"/>
    <cellStyle name="0_내역서_내역서-0223조경-제출용_철거수량산출 2 2" xfId="7207" xr:uid="{00000000-0005-0000-0000-0000240C0000}"/>
    <cellStyle name="0_내역서_내역서-0308조경-제출용" xfId="7208" xr:uid="{00000000-0005-0000-0000-0000250C0000}"/>
    <cellStyle name="0_내역서_내역서-0308조경-제출용 2" xfId="7209" xr:uid="{00000000-0005-0000-0000-0000260C0000}"/>
    <cellStyle name="0_내역서_내역서-0308조경-제출용 2 2" xfId="7210" xr:uid="{00000000-0005-0000-0000-0000270C0000}"/>
    <cellStyle name="0_내역서_학교숲관리내역서-0222-제출용" xfId="7211" xr:uid="{00000000-0005-0000-0000-0000280C0000}"/>
    <cellStyle name="0_내역서_학교숲관리내역서-0222-제출용 2" xfId="7212" xr:uid="{00000000-0005-0000-0000-0000290C0000}"/>
    <cellStyle name="0_내역서_학교숲관리내역서-0222-제출용 2 2" xfId="7213" xr:uid="{00000000-0005-0000-0000-00002A0C0000}"/>
    <cellStyle name="0_내역서_학교숲관리내역서-최종" xfId="7214" xr:uid="{00000000-0005-0000-0000-00002B0C0000}"/>
    <cellStyle name="0_내역서_학교숲관리내역서-최종 2" xfId="7215" xr:uid="{00000000-0005-0000-0000-00002C0C0000}"/>
    <cellStyle name="0_내역서_학교숲관리내역서-최종 2 2" xfId="7216" xr:uid="{00000000-0005-0000-0000-00002D0C0000}"/>
    <cellStyle name="0_내역서2" xfId="7217" xr:uid="{00000000-0005-0000-0000-00002E0C0000}"/>
    <cellStyle name="0_내역서2 2" xfId="7218" xr:uid="{00000000-0005-0000-0000-00002F0C0000}"/>
    <cellStyle name="0_내역서2 2 2" xfId="7219" xr:uid="{00000000-0005-0000-0000-0000300C0000}"/>
    <cellStyle name="0_단가산출서" xfId="7220" xr:uid="{00000000-0005-0000-0000-0000310C0000}"/>
    <cellStyle name="0_단가산출서 2" xfId="7221" xr:uid="{00000000-0005-0000-0000-0000320C0000}"/>
    <cellStyle name="0_단가산출서 2 2" xfId="7222" xr:uid="{00000000-0005-0000-0000-0000330C0000}"/>
    <cellStyle name="0_수량산출서" xfId="7223" xr:uid="{00000000-0005-0000-0000-0000340C0000}"/>
    <cellStyle name="0_수량산출서 2" xfId="7224" xr:uid="{00000000-0005-0000-0000-0000350C0000}"/>
    <cellStyle name="0_수량산출서 2 2" xfId="7225" xr:uid="{00000000-0005-0000-0000-0000360C0000}"/>
    <cellStyle name="0_숭실대학교 걷고싶은 거리 녹화사업" xfId="7226" xr:uid="{00000000-0005-0000-0000-0000370C0000}"/>
    <cellStyle name="0_숭실대학교 걷고싶은 거리 녹화사업 2" xfId="7227" xr:uid="{00000000-0005-0000-0000-0000380C0000}"/>
    <cellStyle name="0_숭실대학교 걷고싶은 거리 녹화사업 2 2" xfId="7228" xr:uid="{00000000-0005-0000-0000-0000390C0000}"/>
    <cellStyle name="0_숭실대학교 걷고싶은 거리 녹화사업_1" xfId="7229" xr:uid="{00000000-0005-0000-0000-00003A0C0000}"/>
    <cellStyle name="0_숭실대학교 걷고싶은 거리 녹화사업_1 2" xfId="7230" xr:uid="{00000000-0005-0000-0000-00003B0C0000}"/>
    <cellStyle name="0_숭실대학교 걷고싶은 거리 녹화사업_1 2 2" xfId="7231" xr:uid="{00000000-0005-0000-0000-00003C0C0000}"/>
    <cellStyle name="0_숭실대학교 걷고싶은 거리 녹화사업_1 3" xfId="7232" xr:uid="{00000000-0005-0000-0000-00003D0C0000}"/>
    <cellStyle name="0_숭실대학교 걷고싶은 거리 녹화사업_2005년학교숲" xfId="7233" xr:uid="{00000000-0005-0000-0000-00003E0C0000}"/>
    <cellStyle name="0_숭실대학교 걷고싶은 거리 녹화사업_2005년학교숲 2" xfId="7234" xr:uid="{00000000-0005-0000-0000-00003F0C0000}"/>
    <cellStyle name="0_숭실대학교 걷고싶은 거리 녹화사업_2005년학교숲 2 2" xfId="7235" xr:uid="{00000000-0005-0000-0000-0000400C0000}"/>
    <cellStyle name="0_숭실대학교 걷고싶은 거리 녹화사업_2005년학교숲_2006년학교숲내역서1" xfId="7236" xr:uid="{00000000-0005-0000-0000-0000410C0000}"/>
    <cellStyle name="0_숭실대학교 걷고싶은 거리 녹화사업_2005년학교숲_2006년학교숲내역서1 2" xfId="7237" xr:uid="{00000000-0005-0000-0000-0000420C0000}"/>
    <cellStyle name="0_숭실대학교 걷고싶은 거리 녹화사업_2005년학교숲_2006년학교숲내역서1 2 2" xfId="7238" xr:uid="{00000000-0005-0000-0000-0000430C0000}"/>
    <cellStyle name="0_숭실대학교 걷고싶은 거리 녹화사업_2006년학교숲내역서1" xfId="7239" xr:uid="{00000000-0005-0000-0000-0000440C0000}"/>
    <cellStyle name="0_숭실대학교 걷고싶은 거리 녹화사업_2006년학교숲내역서1 2" xfId="7240" xr:uid="{00000000-0005-0000-0000-0000450C0000}"/>
    <cellStyle name="0_숭실대학교 걷고싶은 거리 녹화사업_2006년학교숲내역서1 2 2" xfId="7241" xr:uid="{00000000-0005-0000-0000-0000460C0000}"/>
    <cellStyle name="0_숭실대학교 걷고싶은 거리 녹화사업_2006년학교숲내역서1_2006년학교숲내역서1" xfId="7242" xr:uid="{00000000-0005-0000-0000-0000470C0000}"/>
    <cellStyle name="0_숭실대학교 걷고싶은 거리 녹화사업_2006년학교숲내역서1_2006년학교숲내역서1 2" xfId="7243" xr:uid="{00000000-0005-0000-0000-0000480C0000}"/>
    <cellStyle name="0_숭실대학교 걷고싶은 거리 녹화사업_2006년학교숲내역서1_2006년학교숲내역서1 2 2" xfId="7244" xr:uid="{00000000-0005-0000-0000-0000490C0000}"/>
    <cellStyle name="0_숭실대학교 걷고싶은 거리 녹화사업_2차내역서-0222-제출용" xfId="7245" xr:uid="{00000000-0005-0000-0000-00004A0C0000}"/>
    <cellStyle name="0_숭실대학교 걷고싶은 거리 녹화사업_2차내역서-0222-제출용 2" xfId="7246" xr:uid="{00000000-0005-0000-0000-00004B0C0000}"/>
    <cellStyle name="0_숭실대학교 걷고싶은 거리 녹화사업_2차내역서-0222-제출용 2 2" xfId="7247" xr:uid="{00000000-0005-0000-0000-00004C0C0000}"/>
    <cellStyle name="0_숭실대학교 걷고싶은 거리 녹화사업_내역서-0223조경-제출용" xfId="7248" xr:uid="{00000000-0005-0000-0000-00004D0C0000}"/>
    <cellStyle name="0_숭실대학교 걷고싶은 거리 녹화사업_내역서-0223조경-제출용 2" xfId="7249" xr:uid="{00000000-0005-0000-0000-00004E0C0000}"/>
    <cellStyle name="0_숭실대학교 걷고싶은 거리 녹화사업_내역서-0223조경-제출용 2 2" xfId="7250" xr:uid="{00000000-0005-0000-0000-00004F0C0000}"/>
    <cellStyle name="0_숭실대학교 걷고싶은 거리 녹화사업_내역서-0223조경-제출용_2006년학교숲내역서1" xfId="7251" xr:uid="{00000000-0005-0000-0000-0000500C0000}"/>
    <cellStyle name="0_숭실대학교 걷고싶은 거리 녹화사업_내역서-0223조경-제출용_2006년학교숲내역서1 2" xfId="7252" xr:uid="{00000000-0005-0000-0000-0000510C0000}"/>
    <cellStyle name="0_숭실대학교 걷고싶은 거리 녹화사업_내역서-0223조경-제출용_2006년학교숲내역서1 2 2" xfId="7253" xr:uid="{00000000-0005-0000-0000-0000520C0000}"/>
    <cellStyle name="0_숭실대학교 걷고싶은 거리 녹화사업_내역서-0223조경-제출용_8단지-제출용" xfId="7254" xr:uid="{00000000-0005-0000-0000-0000530C0000}"/>
    <cellStyle name="0_숭실대학교 걷고싶은 거리 녹화사업_내역서-0223조경-제출용_8단지-제출용 2" xfId="7255" xr:uid="{00000000-0005-0000-0000-0000540C0000}"/>
    <cellStyle name="0_숭실대학교 걷고싶은 거리 녹화사업_내역서-0223조경-제출용_8단지-제출용 2 2" xfId="7256" xr:uid="{00000000-0005-0000-0000-0000550C0000}"/>
    <cellStyle name="0_숭실대학교 걷고싶은 거리 녹화사업_내역서-0223조경-제출용_내역서-0309조경-제출용" xfId="7257" xr:uid="{00000000-0005-0000-0000-0000560C0000}"/>
    <cellStyle name="0_숭실대학교 걷고싶은 거리 녹화사업_내역서-0223조경-제출용_내역서-0309조경-제출용 2" xfId="7258" xr:uid="{00000000-0005-0000-0000-0000570C0000}"/>
    <cellStyle name="0_숭실대학교 걷고싶은 거리 녹화사업_내역서-0223조경-제출용_내역서-0309조경-제출용 2 2" xfId="7259" xr:uid="{00000000-0005-0000-0000-0000580C0000}"/>
    <cellStyle name="0_숭실대학교 걷고싶은 거리 녹화사업_내역서-0223조경-제출용_내역서0331" xfId="7260" xr:uid="{00000000-0005-0000-0000-0000590C0000}"/>
    <cellStyle name="0_숭실대학교 걷고싶은 거리 녹화사업_내역서-0223조경-제출용_내역서0331 2" xfId="7261" xr:uid="{00000000-0005-0000-0000-00005A0C0000}"/>
    <cellStyle name="0_숭실대학교 걷고싶은 거리 녹화사업_내역서-0223조경-제출용_내역서0331 2 2" xfId="7262" xr:uid="{00000000-0005-0000-0000-00005B0C0000}"/>
    <cellStyle name="0_숭실대학교 걷고싶은 거리 녹화사업_내역서-0223조경-제출용_내역서0331-제출" xfId="7263" xr:uid="{00000000-0005-0000-0000-00005C0C0000}"/>
    <cellStyle name="0_숭실대학교 걷고싶은 거리 녹화사업_내역서-0223조경-제출용_내역서0331-제출 2" xfId="7264" xr:uid="{00000000-0005-0000-0000-00005D0C0000}"/>
    <cellStyle name="0_숭실대학교 걷고싶은 거리 녹화사업_내역서-0223조경-제출용_내역서0331-제출 2 2" xfId="7265" xr:uid="{00000000-0005-0000-0000-00005E0C0000}"/>
    <cellStyle name="0_숭실대학교 걷고싶은 거리 녹화사업_내역서-0223조경-제출용_내역서0421" xfId="7266" xr:uid="{00000000-0005-0000-0000-00005F0C0000}"/>
    <cellStyle name="0_숭실대학교 걷고싶은 거리 녹화사업_내역서-0223조경-제출용_내역서0421 2" xfId="7267" xr:uid="{00000000-0005-0000-0000-0000600C0000}"/>
    <cellStyle name="0_숭실대학교 걷고싶은 거리 녹화사업_내역서-0223조경-제출용_내역서0421 2 2" xfId="7268" xr:uid="{00000000-0005-0000-0000-0000610C0000}"/>
    <cellStyle name="0_숭실대학교 걷고싶은 거리 녹화사업_내역서-0223조경-제출용_설계서갑지" xfId="7269" xr:uid="{00000000-0005-0000-0000-0000620C0000}"/>
    <cellStyle name="0_숭실대학교 걷고싶은 거리 녹화사업_내역서-0223조경-제출용_설계서갑지 2" xfId="7270" xr:uid="{00000000-0005-0000-0000-0000630C0000}"/>
    <cellStyle name="0_숭실대학교 걷고싶은 거리 녹화사업_내역서-0223조경-제출용_설계서갑지 2 2" xfId="7271" xr:uid="{00000000-0005-0000-0000-0000640C0000}"/>
    <cellStyle name="0_숭실대학교 걷고싶은 거리 녹화사업_내역서-0223조경-제출용_수량산출" xfId="7272" xr:uid="{00000000-0005-0000-0000-0000650C0000}"/>
    <cellStyle name="0_숭실대학교 걷고싶은 거리 녹화사업_내역서-0223조경-제출용_수량산출 2" xfId="7273" xr:uid="{00000000-0005-0000-0000-0000660C0000}"/>
    <cellStyle name="0_숭실대학교 걷고싶은 거리 녹화사업_내역서-0223조경-제출용_수량산출 2 2" xfId="7274" xr:uid="{00000000-0005-0000-0000-0000670C0000}"/>
    <cellStyle name="0_숭실대학교 걷고싶은 거리 녹화사업_내역서-0223조경-제출용_시설물일위" xfId="7275" xr:uid="{00000000-0005-0000-0000-0000680C0000}"/>
    <cellStyle name="0_숭실대학교 걷고싶은 거리 녹화사업_내역서-0223조경-제출용_시설물일위 2" xfId="7276" xr:uid="{00000000-0005-0000-0000-0000690C0000}"/>
    <cellStyle name="0_숭실대학교 걷고싶은 거리 녹화사업_내역서-0223조경-제출용_시설물일위 2 2" xfId="7277" xr:uid="{00000000-0005-0000-0000-00006A0C0000}"/>
    <cellStyle name="0_숭실대학교 걷고싶은 거리 녹화사업_내역서-0223조경-제출용_식재일위" xfId="7278" xr:uid="{00000000-0005-0000-0000-00006B0C0000}"/>
    <cellStyle name="0_숭실대학교 걷고싶은 거리 녹화사업_내역서-0223조경-제출용_식재일위 2" xfId="7279" xr:uid="{00000000-0005-0000-0000-00006C0C0000}"/>
    <cellStyle name="0_숭실대학교 걷고싶은 거리 녹화사업_내역서-0223조경-제출용_식재일위 2 2" xfId="7280" xr:uid="{00000000-0005-0000-0000-00006D0C0000}"/>
    <cellStyle name="0_숭실대학교 걷고싶은 거리 녹화사업_내역서-0223조경-제출용_중기단가" xfId="7281" xr:uid="{00000000-0005-0000-0000-00006E0C0000}"/>
    <cellStyle name="0_숭실대학교 걷고싶은 거리 녹화사업_내역서-0223조경-제출용_중기단가 2" xfId="7282" xr:uid="{00000000-0005-0000-0000-00006F0C0000}"/>
    <cellStyle name="0_숭실대학교 걷고싶은 거리 녹화사업_내역서-0223조경-제출용_중기단가 2 2" xfId="7283" xr:uid="{00000000-0005-0000-0000-0000700C0000}"/>
    <cellStyle name="0_숭실대학교 걷고싶은 거리 녹화사업_내역서-0223조경-제출용_철거수량산출" xfId="7284" xr:uid="{00000000-0005-0000-0000-0000710C0000}"/>
    <cellStyle name="0_숭실대학교 걷고싶은 거리 녹화사업_내역서-0223조경-제출용_철거수량산출 2" xfId="7285" xr:uid="{00000000-0005-0000-0000-0000720C0000}"/>
    <cellStyle name="0_숭실대학교 걷고싶은 거리 녹화사업_내역서-0223조경-제출용_철거수량산출 2 2" xfId="7286" xr:uid="{00000000-0005-0000-0000-0000730C0000}"/>
    <cellStyle name="0_숭실대학교 걷고싶은 거리 녹화사업_내역서-0308조경-제출용" xfId="7287" xr:uid="{00000000-0005-0000-0000-0000740C0000}"/>
    <cellStyle name="0_숭실대학교 걷고싶은 거리 녹화사업_내역서-0308조경-제출용 2" xfId="7288" xr:uid="{00000000-0005-0000-0000-0000750C0000}"/>
    <cellStyle name="0_숭실대학교 걷고싶은 거리 녹화사업_내역서-0308조경-제출용 2 2" xfId="7289" xr:uid="{00000000-0005-0000-0000-0000760C0000}"/>
    <cellStyle name="0_숭실대학교 걷고싶은 거리 녹화사업_학교숲관리내역서-0222-제출용" xfId="7290" xr:uid="{00000000-0005-0000-0000-0000770C0000}"/>
    <cellStyle name="0_숭실대학교 걷고싶은 거리 녹화사업_학교숲관리내역서-0222-제출용 2" xfId="7291" xr:uid="{00000000-0005-0000-0000-0000780C0000}"/>
    <cellStyle name="0_숭실대학교 걷고싶은 거리 녹화사업_학교숲관리내역서-0222-제출용 2 2" xfId="7292" xr:uid="{00000000-0005-0000-0000-0000790C0000}"/>
    <cellStyle name="0_숭실대학교 걷고싶은 거리 녹화사업_학교숲관리내역서-최종" xfId="7293" xr:uid="{00000000-0005-0000-0000-00007A0C0000}"/>
    <cellStyle name="0_숭실대학교 걷고싶은 거리 녹화사업_학교숲관리내역서-최종 2" xfId="7294" xr:uid="{00000000-0005-0000-0000-00007B0C0000}"/>
    <cellStyle name="0_숭실대학교 걷고싶은 거리 녹화사업_학교숲관리내역서-최종 2 2" xfId="7295" xr:uid="{00000000-0005-0000-0000-00007C0C0000}"/>
    <cellStyle name="00" xfId="1192" xr:uid="{00000000-0005-0000-0000-00007D0C0000}"/>
    <cellStyle name="00 2" xfId="1926" xr:uid="{00000000-0005-0000-0000-00007E0C0000}"/>
    <cellStyle name="00 2 2" xfId="7296" xr:uid="{00000000-0005-0000-0000-00007F0C0000}"/>
    <cellStyle name="000" xfId="3091" xr:uid="{00000000-0005-0000-0000-0000800C0000}"/>
    <cellStyle name="¾E°CE¸°e¹yAI" xfId="1927" xr:uid="{00000000-0005-0000-0000-0000810C0000}"/>
    <cellStyle name="1" xfId="7" xr:uid="{00000000-0005-0000-0000-0000820C0000}"/>
    <cellStyle name="1 2" xfId="1193" xr:uid="{00000000-0005-0000-0000-0000830C0000}"/>
    <cellStyle name="1 2 2" xfId="7297" xr:uid="{00000000-0005-0000-0000-0000840C0000}"/>
    <cellStyle name="1 2 2 2" xfId="7298" xr:uid="{00000000-0005-0000-0000-0000850C0000}"/>
    <cellStyle name="1 2 2 3" xfId="7299" xr:uid="{00000000-0005-0000-0000-0000860C0000}"/>
    <cellStyle name="1 2 3" xfId="7300" xr:uid="{00000000-0005-0000-0000-0000870C0000}"/>
    <cellStyle name="1 3" xfId="7301" xr:uid="{00000000-0005-0000-0000-0000880C0000}"/>
    <cellStyle name="1 3 2" xfId="7302" xr:uid="{00000000-0005-0000-0000-0000890C0000}"/>
    <cellStyle name="1 3 3" xfId="7303" xr:uid="{00000000-0005-0000-0000-00008A0C0000}"/>
    <cellStyle name="1 4" xfId="7304" xr:uid="{00000000-0005-0000-0000-00008B0C0000}"/>
    <cellStyle name="1)" xfId="1194" xr:uid="{00000000-0005-0000-0000-00008C0C0000}"/>
    <cellStyle name="1) 2" xfId="7305" xr:uid="{00000000-0005-0000-0000-00008D0C0000}"/>
    <cellStyle name="1) 2 2" xfId="7306" xr:uid="{00000000-0005-0000-0000-00008E0C0000}"/>
    <cellStyle name="1." xfId="1195" xr:uid="{00000000-0005-0000-0000-00008F0C0000}"/>
    <cellStyle name="1. 2" xfId="7307" xr:uid="{00000000-0005-0000-0000-0000900C0000}"/>
    <cellStyle name="1. 2 2" xfId="7308" xr:uid="{00000000-0005-0000-0000-0000910C0000}"/>
    <cellStyle name="1. 3" xfId="7309" xr:uid="{00000000-0005-0000-0000-0000920C0000}"/>
    <cellStyle name="1. 3 2" xfId="7310" xr:uid="{00000000-0005-0000-0000-0000930C0000}"/>
    <cellStyle name="1. 4" xfId="7311" xr:uid="{00000000-0005-0000-0000-0000940C0000}"/>
    <cellStyle name="1. 4 2" xfId="7312" xr:uid="{00000000-0005-0000-0000-0000950C0000}"/>
    <cellStyle name="1. 5" xfId="7313" xr:uid="{00000000-0005-0000-0000-0000960C0000}"/>
    <cellStyle name="1. 5 2" xfId="7314" xr:uid="{00000000-0005-0000-0000-0000970C0000}"/>
    <cellStyle name="1. 6" xfId="7315" xr:uid="{00000000-0005-0000-0000-0000980C0000}"/>
    <cellStyle name="1. 6 2" xfId="7316" xr:uid="{00000000-0005-0000-0000-0000990C0000}"/>
    <cellStyle name="1. 7" xfId="7317" xr:uid="{00000000-0005-0000-0000-00009A0C0000}"/>
    <cellStyle name="1. 7 2" xfId="7318" xr:uid="{00000000-0005-0000-0000-00009B0C0000}"/>
    <cellStyle name="1. 8" xfId="7319" xr:uid="{00000000-0005-0000-0000-00009C0C0000}"/>
    <cellStyle name="1. 8 2" xfId="7320" xr:uid="{00000000-0005-0000-0000-00009D0C0000}"/>
    <cellStyle name="1. 9" xfId="7321" xr:uid="{00000000-0005-0000-0000-00009E0C0000}"/>
    <cellStyle name="1. 9 2" xfId="7322" xr:uid="{00000000-0005-0000-0000-00009F0C0000}"/>
    <cellStyle name="1_00-예산서양식100" xfId="1196" xr:uid="{00000000-0005-0000-0000-0000A00C0000}"/>
    <cellStyle name="1_02.배수공" xfId="3092" xr:uid="{00000000-0005-0000-0000-0000A10C0000}"/>
    <cellStyle name="1_04포장공(011,012)" xfId="3093" xr:uid="{00000000-0005-0000-0000-0000A20C0000}"/>
    <cellStyle name="1_1.설계내역서,2.일위대가표(전기)" xfId="7323" xr:uid="{00000000-0005-0000-0000-0000A30C0000}"/>
    <cellStyle name="1_1.설계내역서,2.일위대가표(전기) 2" xfId="7324" xr:uid="{00000000-0005-0000-0000-0000A40C0000}"/>
    <cellStyle name="1_1.설계내역서,2.일위대가표(전기) 2 2" xfId="7325" xr:uid="{00000000-0005-0000-0000-0000A50C0000}"/>
    <cellStyle name="1_2005상반기 노임단가" xfId="1928" xr:uid="{00000000-0005-0000-0000-0000A60C0000}"/>
    <cellStyle name="1_2007.봉화산근린공원(내역서)-최종" xfId="1929" xr:uid="{00000000-0005-0000-0000-0000A70C0000}"/>
    <cellStyle name="1_2007년1차설계변경" xfId="1930" xr:uid="{00000000-0005-0000-0000-0000A80C0000}"/>
    <cellStyle name="1_2007불광천녹화사업 심사내역서(수정-관급)" xfId="3094" xr:uid="{00000000-0005-0000-0000-0000A90C0000}"/>
    <cellStyle name="1_2008년 가로등 시설물 유지보수공사(연간단가)-계약" xfId="1197" xr:uid="{00000000-0005-0000-0000-0000AA0C0000}"/>
    <cellStyle name="1_Book2" xfId="3129" xr:uid="{00000000-0005-0000-0000-0000AB0C0000}"/>
    <cellStyle name="1_laroux" xfId="1268" xr:uid="{00000000-0005-0000-0000-0000AC0C0000}"/>
    <cellStyle name="1_laroux 2" xfId="7326" xr:uid="{00000000-0005-0000-0000-0000AD0C0000}"/>
    <cellStyle name="1_laroux 2 2" xfId="7327" xr:uid="{00000000-0005-0000-0000-0000AE0C0000}"/>
    <cellStyle name="1_laroux 3" xfId="7328" xr:uid="{00000000-0005-0000-0000-0000AF0C0000}"/>
    <cellStyle name="1_laroux_ATC-YOON1" xfId="1269" xr:uid="{00000000-0005-0000-0000-0000B00C0000}"/>
    <cellStyle name="1_laroux_ATC-YOON1 2" xfId="7329" xr:uid="{00000000-0005-0000-0000-0000B10C0000}"/>
    <cellStyle name="1_laroux_ATC-YOON1 2 2" xfId="7330" xr:uid="{00000000-0005-0000-0000-0000B20C0000}"/>
    <cellStyle name="1_laroux_ATC-YOON1 3" xfId="7331" xr:uid="{00000000-0005-0000-0000-0000B30C0000}"/>
    <cellStyle name="1_total" xfId="1270" xr:uid="{00000000-0005-0000-0000-0000B40C0000}"/>
    <cellStyle name="1_total 2" xfId="7332" xr:uid="{00000000-0005-0000-0000-0000B50C0000}"/>
    <cellStyle name="1_total 2 2" xfId="7333" xr:uid="{00000000-0005-0000-0000-0000B60C0000}"/>
    <cellStyle name="1_total_00-예산서양식100" xfId="1943" xr:uid="{00000000-0005-0000-0000-0000B70C0000}"/>
    <cellStyle name="1_total_00-예산서양식100_00-설계서양식" xfId="1944" xr:uid="{00000000-0005-0000-0000-0000B80C0000}"/>
    <cellStyle name="1_total_00-예산서양식100_대전가오-설계서" xfId="1945" xr:uid="{00000000-0005-0000-0000-0000B90C0000}"/>
    <cellStyle name="1_total_00-예산서양식100_대전가오-설계서(관리)" xfId="1946" xr:uid="{00000000-0005-0000-0000-0000BA0C0000}"/>
    <cellStyle name="1_total_00-예산서양식100_대전가오-설계서1" xfId="1947" xr:uid="{00000000-0005-0000-0000-0000BB0C0000}"/>
    <cellStyle name="1_total_00-예산서양식100_설계설명서0309" xfId="1948" xr:uid="{00000000-0005-0000-0000-0000BC0C0000}"/>
    <cellStyle name="1_total_00-표지예정공정표" xfId="1949" xr:uid="{00000000-0005-0000-0000-0000BD0C0000}"/>
    <cellStyle name="1_total_041206 목동내역" xfId="1271" xr:uid="{00000000-0005-0000-0000-0000BE0C0000}"/>
    <cellStyle name="1_total_10.24종합" xfId="3130" xr:uid="{00000000-0005-0000-0000-0000BF0C0000}"/>
    <cellStyle name="1_total_10.24종합_NEW단위수량-주산" xfId="3195" xr:uid="{00000000-0005-0000-0000-0000C00C0000}"/>
    <cellStyle name="1_total_10.24종합_남대천단위수량" xfId="3131" xr:uid="{00000000-0005-0000-0000-0000C10C0000}"/>
    <cellStyle name="1_total_10.24종합_단위수량" xfId="3132" xr:uid="{00000000-0005-0000-0000-0000C20C0000}"/>
    <cellStyle name="1_total_10.24종합_단위수량1" xfId="3133" xr:uid="{00000000-0005-0000-0000-0000C30C0000}"/>
    <cellStyle name="1_total_10.24종합_단위수량15" xfId="3134" xr:uid="{00000000-0005-0000-0000-0000C40C0000}"/>
    <cellStyle name="1_total_10.24종합_도곡단위수량" xfId="3135" xr:uid="{00000000-0005-0000-0000-0000C50C0000}"/>
    <cellStyle name="1_total_10.24종합_수량산출서-11.25" xfId="3136" xr:uid="{00000000-0005-0000-0000-0000C60C0000}"/>
    <cellStyle name="1_total_10.24종합_수량산출서-11.25_NEW단위수량-주산" xfId="3145" xr:uid="{00000000-0005-0000-0000-0000C70C0000}"/>
    <cellStyle name="1_total_10.24종합_수량산출서-11.25_남대천단위수량" xfId="3137" xr:uid="{00000000-0005-0000-0000-0000C80C0000}"/>
    <cellStyle name="1_total_10.24종합_수량산출서-11.25_단위수량" xfId="3138" xr:uid="{00000000-0005-0000-0000-0000C90C0000}"/>
    <cellStyle name="1_total_10.24종합_수량산출서-11.25_단위수량1" xfId="3139" xr:uid="{00000000-0005-0000-0000-0000CA0C0000}"/>
    <cellStyle name="1_total_10.24종합_수량산출서-11.25_단위수량15" xfId="3140" xr:uid="{00000000-0005-0000-0000-0000CB0C0000}"/>
    <cellStyle name="1_total_10.24종합_수량산출서-11.25_도곡단위수량" xfId="3141" xr:uid="{00000000-0005-0000-0000-0000CC0C0000}"/>
    <cellStyle name="1_total_10.24종합_수량산출서-11.25_철거단위수량" xfId="3142" xr:uid="{00000000-0005-0000-0000-0000CD0C0000}"/>
    <cellStyle name="1_total_10.24종합_수량산출서-11.25_철거수량" xfId="3143" xr:uid="{00000000-0005-0000-0000-0000CE0C0000}"/>
    <cellStyle name="1_total_10.24종합_수량산출서-11.25_한수단위수량" xfId="3144" xr:uid="{00000000-0005-0000-0000-0000CF0C0000}"/>
    <cellStyle name="1_total_10.24종합_수량산출서-1201" xfId="3146" xr:uid="{00000000-0005-0000-0000-0000D00C0000}"/>
    <cellStyle name="1_total_10.24종합_수량산출서-1201_NEW단위수량-주산" xfId="3155" xr:uid="{00000000-0005-0000-0000-0000D10C0000}"/>
    <cellStyle name="1_total_10.24종합_수량산출서-1201_남대천단위수량" xfId="3147" xr:uid="{00000000-0005-0000-0000-0000D20C0000}"/>
    <cellStyle name="1_total_10.24종합_수량산출서-1201_단위수량" xfId="3148" xr:uid="{00000000-0005-0000-0000-0000D30C0000}"/>
    <cellStyle name="1_total_10.24종합_수량산출서-1201_단위수량1" xfId="3149" xr:uid="{00000000-0005-0000-0000-0000D40C0000}"/>
    <cellStyle name="1_total_10.24종합_수량산출서-1201_단위수량15" xfId="3150" xr:uid="{00000000-0005-0000-0000-0000D50C0000}"/>
    <cellStyle name="1_total_10.24종합_수량산출서-1201_도곡단위수량" xfId="3151" xr:uid="{00000000-0005-0000-0000-0000D60C0000}"/>
    <cellStyle name="1_total_10.24종합_수량산출서-1201_철거단위수량" xfId="3152" xr:uid="{00000000-0005-0000-0000-0000D70C0000}"/>
    <cellStyle name="1_total_10.24종합_수량산출서-1201_철거수량" xfId="3153" xr:uid="{00000000-0005-0000-0000-0000D80C0000}"/>
    <cellStyle name="1_total_10.24종합_수량산출서-1201_한수단위수량" xfId="3154" xr:uid="{00000000-0005-0000-0000-0000D90C0000}"/>
    <cellStyle name="1_total_10.24종합_시설물단위수량" xfId="3156" xr:uid="{00000000-0005-0000-0000-0000DA0C0000}"/>
    <cellStyle name="1_total_10.24종합_시설물단위수량1" xfId="3157" xr:uid="{00000000-0005-0000-0000-0000DB0C0000}"/>
    <cellStyle name="1_total_10.24종합_시설물단위수량1_시설물단위수량" xfId="3158" xr:uid="{00000000-0005-0000-0000-0000DC0C0000}"/>
    <cellStyle name="1_total_10.24종합_오창수량산출서" xfId="3159" xr:uid="{00000000-0005-0000-0000-0000DD0C0000}"/>
    <cellStyle name="1_total_10.24종합_오창수량산출서_NEW단위수량-주산" xfId="3191" xr:uid="{00000000-0005-0000-0000-0000DE0C0000}"/>
    <cellStyle name="1_total_10.24종합_오창수량산출서_남대천단위수량" xfId="3160" xr:uid="{00000000-0005-0000-0000-0000DF0C0000}"/>
    <cellStyle name="1_total_10.24종합_오창수량산출서_단위수량" xfId="3161" xr:uid="{00000000-0005-0000-0000-0000E00C0000}"/>
    <cellStyle name="1_total_10.24종합_오창수량산출서_단위수량1" xfId="3162" xr:uid="{00000000-0005-0000-0000-0000E10C0000}"/>
    <cellStyle name="1_total_10.24종합_오창수량산출서_단위수량15" xfId="3163" xr:uid="{00000000-0005-0000-0000-0000E20C0000}"/>
    <cellStyle name="1_total_10.24종합_오창수량산출서_도곡단위수량" xfId="3164" xr:uid="{00000000-0005-0000-0000-0000E30C0000}"/>
    <cellStyle name="1_total_10.24종합_오창수량산출서_수량산출서-11.25" xfId="3165" xr:uid="{00000000-0005-0000-0000-0000E40C0000}"/>
    <cellStyle name="1_total_10.24종합_오창수량산출서_수량산출서-11.25_NEW단위수량-주산" xfId="3174" xr:uid="{00000000-0005-0000-0000-0000E50C0000}"/>
    <cellStyle name="1_total_10.24종합_오창수량산출서_수량산출서-11.25_남대천단위수량" xfId="3166" xr:uid="{00000000-0005-0000-0000-0000E60C0000}"/>
    <cellStyle name="1_total_10.24종합_오창수량산출서_수량산출서-11.25_단위수량" xfId="3167" xr:uid="{00000000-0005-0000-0000-0000E70C0000}"/>
    <cellStyle name="1_total_10.24종합_오창수량산출서_수량산출서-11.25_단위수량1" xfId="3168" xr:uid="{00000000-0005-0000-0000-0000E80C0000}"/>
    <cellStyle name="1_total_10.24종합_오창수량산출서_수량산출서-11.25_단위수량15" xfId="3169" xr:uid="{00000000-0005-0000-0000-0000E90C0000}"/>
    <cellStyle name="1_total_10.24종합_오창수량산출서_수량산출서-11.25_도곡단위수량" xfId="3170" xr:uid="{00000000-0005-0000-0000-0000EA0C0000}"/>
    <cellStyle name="1_total_10.24종합_오창수량산출서_수량산출서-11.25_철거단위수량" xfId="3171" xr:uid="{00000000-0005-0000-0000-0000EB0C0000}"/>
    <cellStyle name="1_total_10.24종합_오창수량산출서_수량산출서-11.25_철거수량" xfId="3172" xr:uid="{00000000-0005-0000-0000-0000EC0C0000}"/>
    <cellStyle name="1_total_10.24종합_오창수량산출서_수량산출서-11.25_한수단위수량" xfId="3173" xr:uid="{00000000-0005-0000-0000-0000ED0C0000}"/>
    <cellStyle name="1_total_10.24종합_오창수량산출서_수량산출서-1201" xfId="3175" xr:uid="{00000000-0005-0000-0000-0000EE0C0000}"/>
    <cellStyle name="1_total_10.24종합_오창수량산출서_수량산출서-1201_NEW단위수량-주산" xfId="3184" xr:uid="{00000000-0005-0000-0000-0000EF0C0000}"/>
    <cellStyle name="1_total_10.24종합_오창수량산출서_수량산출서-1201_남대천단위수량" xfId="3176" xr:uid="{00000000-0005-0000-0000-0000F00C0000}"/>
    <cellStyle name="1_total_10.24종합_오창수량산출서_수량산출서-1201_단위수량" xfId="3177" xr:uid="{00000000-0005-0000-0000-0000F10C0000}"/>
    <cellStyle name="1_total_10.24종합_오창수량산출서_수량산출서-1201_단위수량1" xfId="3178" xr:uid="{00000000-0005-0000-0000-0000F20C0000}"/>
    <cellStyle name="1_total_10.24종합_오창수량산출서_수량산출서-1201_단위수량15" xfId="3179" xr:uid="{00000000-0005-0000-0000-0000F30C0000}"/>
    <cellStyle name="1_total_10.24종합_오창수량산출서_수량산출서-1201_도곡단위수량" xfId="3180" xr:uid="{00000000-0005-0000-0000-0000F40C0000}"/>
    <cellStyle name="1_total_10.24종합_오창수량산출서_수량산출서-1201_철거단위수량" xfId="3181" xr:uid="{00000000-0005-0000-0000-0000F50C0000}"/>
    <cellStyle name="1_total_10.24종합_오창수량산출서_수량산출서-1201_철거수량" xfId="3182" xr:uid="{00000000-0005-0000-0000-0000F60C0000}"/>
    <cellStyle name="1_total_10.24종합_오창수량산출서_수량산출서-1201_한수단위수량" xfId="3183" xr:uid="{00000000-0005-0000-0000-0000F70C0000}"/>
    <cellStyle name="1_total_10.24종합_오창수량산출서_시설물단위수량" xfId="3185" xr:uid="{00000000-0005-0000-0000-0000F80C0000}"/>
    <cellStyle name="1_total_10.24종합_오창수량산출서_시설물단위수량1" xfId="3186" xr:uid="{00000000-0005-0000-0000-0000F90C0000}"/>
    <cellStyle name="1_total_10.24종합_오창수량산출서_시설물단위수량1_시설물단위수량" xfId="3187" xr:uid="{00000000-0005-0000-0000-0000FA0C0000}"/>
    <cellStyle name="1_total_10.24종합_오창수량산출서_철거단위수량" xfId="3188" xr:uid="{00000000-0005-0000-0000-0000FB0C0000}"/>
    <cellStyle name="1_total_10.24종합_오창수량산출서_철거수량" xfId="3189" xr:uid="{00000000-0005-0000-0000-0000FC0C0000}"/>
    <cellStyle name="1_total_10.24종합_오창수량산출서_한수단위수량" xfId="3190" xr:uid="{00000000-0005-0000-0000-0000FD0C0000}"/>
    <cellStyle name="1_total_10.24종합_철거단위수량" xfId="3192" xr:uid="{00000000-0005-0000-0000-0000FE0C0000}"/>
    <cellStyle name="1_total_10.24종합_철거수량" xfId="3193" xr:uid="{00000000-0005-0000-0000-0000FF0C0000}"/>
    <cellStyle name="1_total_10.24종합_한수단위수량" xfId="3194" xr:uid="{00000000-0005-0000-0000-0000000D0000}"/>
    <cellStyle name="1_total_NEW단위수량" xfId="3965" xr:uid="{00000000-0005-0000-0000-0000010D0000}"/>
    <cellStyle name="1_total_NEW단위수량-영동" xfId="3966" xr:uid="{00000000-0005-0000-0000-0000020D0000}"/>
    <cellStyle name="1_total_NEW단위수량-주산" xfId="3967" xr:uid="{00000000-0005-0000-0000-0000030D0000}"/>
    <cellStyle name="1_total_Sheet1" xfId="3968" xr:uid="{00000000-0005-0000-0000-0000040D0000}"/>
    <cellStyle name="1_total_Sheet1 2" xfId="7334" xr:uid="{00000000-0005-0000-0000-0000050D0000}"/>
    <cellStyle name="1_total_Sheet1 2 2" xfId="7335" xr:uid="{00000000-0005-0000-0000-0000060D0000}"/>
    <cellStyle name="1_total_Sheet1_과천놀이터설계서" xfId="3969" xr:uid="{00000000-0005-0000-0000-0000070D0000}"/>
    <cellStyle name="1_total_Sheet1_과천놀이터설계서 2" xfId="7336" xr:uid="{00000000-0005-0000-0000-0000080D0000}"/>
    <cellStyle name="1_total_Sheet1_과천놀이터설계서 2 2" xfId="7337" xr:uid="{00000000-0005-0000-0000-0000090D0000}"/>
    <cellStyle name="1_total_Sheet1_덕원고-설계서갑지" xfId="7338" xr:uid="{00000000-0005-0000-0000-00000A0D0000}"/>
    <cellStyle name="1_total_Sheet1_덕원고-설계서갑지 2" xfId="7339" xr:uid="{00000000-0005-0000-0000-00000B0D0000}"/>
    <cellStyle name="1_total_Sheet1_덕원고-설계서갑지 2 2" xfId="7340" xr:uid="{00000000-0005-0000-0000-00000C0D0000}"/>
    <cellStyle name="1_total_Sheet1_총괄갑지" xfId="3970" xr:uid="{00000000-0005-0000-0000-00000D0D0000}"/>
    <cellStyle name="1_total_Sheet1_총괄갑지 2" xfId="7341" xr:uid="{00000000-0005-0000-0000-00000E0D0000}"/>
    <cellStyle name="1_total_Sheet1_총괄갑지 2 2" xfId="7342" xr:uid="{00000000-0005-0000-0000-00000F0D0000}"/>
    <cellStyle name="1_total_Sheet1_총괄내역서" xfId="3971" xr:uid="{00000000-0005-0000-0000-0000100D0000}"/>
    <cellStyle name="1_total_Sheet1_총괄내역서 2" xfId="7343" xr:uid="{00000000-0005-0000-0000-0000110D0000}"/>
    <cellStyle name="1_total_Sheet1_총괄내역서 2 2" xfId="7344" xr:uid="{00000000-0005-0000-0000-0000120D0000}"/>
    <cellStyle name="1_total_갑지" xfId="3196" xr:uid="{00000000-0005-0000-0000-0000130D0000}"/>
    <cellStyle name="1_total_갑지0601" xfId="3197" xr:uid="{00000000-0005-0000-0000-0000140D0000}"/>
    <cellStyle name="1_total_갑지0601 2" xfId="7345" xr:uid="{00000000-0005-0000-0000-0000150D0000}"/>
    <cellStyle name="1_total_갑지0601 2 2" xfId="7346" xr:uid="{00000000-0005-0000-0000-0000160D0000}"/>
    <cellStyle name="1_total_갑지0601_과천놀이터설계서" xfId="3198" xr:uid="{00000000-0005-0000-0000-0000170D0000}"/>
    <cellStyle name="1_total_갑지0601_과천놀이터설계서 2" xfId="7347" xr:uid="{00000000-0005-0000-0000-0000180D0000}"/>
    <cellStyle name="1_total_갑지0601_과천놀이터설계서 2 2" xfId="7348" xr:uid="{00000000-0005-0000-0000-0000190D0000}"/>
    <cellStyle name="1_total_갑지0601_덕원고-설계서갑지" xfId="7349" xr:uid="{00000000-0005-0000-0000-00001A0D0000}"/>
    <cellStyle name="1_total_갑지0601_덕원고-설계서갑지 2" xfId="7350" xr:uid="{00000000-0005-0000-0000-00001B0D0000}"/>
    <cellStyle name="1_total_갑지0601_덕원고-설계서갑지 2 2" xfId="7351" xr:uid="{00000000-0005-0000-0000-00001C0D0000}"/>
    <cellStyle name="1_total_갑지0601_총괄갑지" xfId="3199" xr:uid="{00000000-0005-0000-0000-00001D0D0000}"/>
    <cellStyle name="1_total_갑지0601_총괄갑지 2" xfId="7352" xr:uid="{00000000-0005-0000-0000-00001E0D0000}"/>
    <cellStyle name="1_total_갑지0601_총괄갑지 2 2" xfId="7353" xr:uid="{00000000-0005-0000-0000-00001F0D0000}"/>
    <cellStyle name="1_total_갑지0601_총괄내역서" xfId="3200" xr:uid="{00000000-0005-0000-0000-0000200D0000}"/>
    <cellStyle name="1_total_갑지0601_총괄내역서 2" xfId="7354" xr:uid="{00000000-0005-0000-0000-0000210D0000}"/>
    <cellStyle name="1_total_갑지0601_총괄내역서 2 2" xfId="7355" xr:uid="{00000000-0005-0000-0000-0000220D0000}"/>
    <cellStyle name="1_total_개략공사비" xfId="3201" xr:uid="{00000000-0005-0000-0000-0000230D0000}"/>
    <cellStyle name="1_total_개략예산" xfId="3202" xr:uid="{00000000-0005-0000-0000-0000240D0000}"/>
    <cellStyle name="1_total_골프장수목" xfId="3203" xr:uid="{00000000-0005-0000-0000-0000250D0000}"/>
    <cellStyle name="1_total_공사비" xfId="3204" xr:uid="{00000000-0005-0000-0000-0000260D0000}"/>
    <cellStyle name="1_total_공사비(1차조정1120)" xfId="3205" xr:uid="{00000000-0005-0000-0000-0000270D0000}"/>
    <cellStyle name="1_total_공사비조정(1128)" xfId="3206" xr:uid="{00000000-0005-0000-0000-0000280D0000}"/>
    <cellStyle name="1_total_공사예가(휘경동)-설계가" xfId="3207" xr:uid="{00000000-0005-0000-0000-0000290D0000}"/>
    <cellStyle name="1_total_관로시설물" xfId="3208" xr:uid="{00000000-0005-0000-0000-00002A0D0000}"/>
    <cellStyle name="1_total_관로시설물_NEW단위수량-주산" xfId="3273" xr:uid="{00000000-0005-0000-0000-00002B0D0000}"/>
    <cellStyle name="1_total_관로시설물_남대천단위수량" xfId="3209" xr:uid="{00000000-0005-0000-0000-00002C0D0000}"/>
    <cellStyle name="1_total_관로시설물_단위수량" xfId="3210" xr:uid="{00000000-0005-0000-0000-00002D0D0000}"/>
    <cellStyle name="1_total_관로시설물_단위수량1" xfId="3211" xr:uid="{00000000-0005-0000-0000-00002E0D0000}"/>
    <cellStyle name="1_total_관로시설물_단위수량15" xfId="3212" xr:uid="{00000000-0005-0000-0000-00002F0D0000}"/>
    <cellStyle name="1_total_관로시설물_도곡단위수량" xfId="3213" xr:uid="{00000000-0005-0000-0000-0000300D0000}"/>
    <cellStyle name="1_total_관로시설물_수량산출서-11.25" xfId="3214" xr:uid="{00000000-0005-0000-0000-0000310D0000}"/>
    <cellStyle name="1_total_관로시설물_수량산출서-11.25_NEW단위수량-주산" xfId="3223" xr:uid="{00000000-0005-0000-0000-0000320D0000}"/>
    <cellStyle name="1_total_관로시설물_수량산출서-11.25_남대천단위수량" xfId="3215" xr:uid="{00000000-0005-0000-0000-0000330D0000}"/>
    <cellStyle name="1_total_관로시설물_수량산출서-11.25_단위수량" xfId="3216" xr:uid="{00000000-0005-0000-0000-0000340D0000}"/>
    <cellStyle name="1_total_관로시설물_수량산출서-11.25_단위수량1" xfId="3217" xr:uid="{00000000-0005-0000-0000-0000350D0000}"/>
    <cellStyle name="1_total_관로시설물_수량산출서-11.25_단위수량15" xfId="3218" xr:uid="{00000000-0005-0000-0000-0000360D0000}"/>
    <cellStyle name="1_total_관로시설물_수량산출서-11.25_도곡단위수량" xfId="3219" xr:uid="{00000000-0005-0000-0000-0000370D0000}"/>
    <cellStyle name="1_total_관로시설물_수량산출서-11.25_철거단위수량" xfId="3220" xr:uid="{00000000-0005-0000-0000-0000380D0000}"/>
    <cellStyle name="1_total_관로시설물_수량산출서-11.25_철거수량" xfId="3221" xr:uid="{00000000-0005-0000-0000-0000390D0000}"/>
    <cellStyle name="1_total_관로시설물_수량산출서-11.25_한수단위수량" xfId="3222" xr:uid="{00000000-0005-0000-0000-00003A0D0000}"/>
    <cellStyle name="1_total_관로시설물_수량산출서-1201" xfId="3224" xr:uid="{00000000-0005-0000-0000-00003B0D0000}"/>
    <cellStyle name="1_total_관로시설물_수량산출서-1201_NEW단위수량-주산" xfId="3233" xr:uid="{00000000-0005-0000-0000-00003C0D0000}"/>
    <cellStyle name="1_total_관로시설물_수량산출서-1201_남대천단위수량" xfId="3225" xr:uid="{00000000-0005-0000-0000-00003D0D0000}"/>
    <cellStyle name="1_total_관로시설물_수량산출서-1201_단위수량" xfId="3226" xr:uid="{00000000-0005-0000-0000-00003E0D0000}"/>
    <cellStyle name="1_total_관로시설물_수량산출서-1201_단위수량1" xfId="3227" xr:uid="{00000000-0005-0000-0000-00003F0D0000}"/>
    <cellStyle name="1_total_관로시설물_수량산출서-1201_단위수량15" xfId="3228" xr:uid="{00000000-0005-0000-0000-0000400D0000}"/>
    <cellStyle name="1_total_관로시설물_수량산출서-1201_도곡단위수량" xfId="3229" xr:uid="{00000000-0005-0000-0000-0000410D0000}"/>
    <cellStyle name="1_total_관로시설물_수량산출서-1201_철거단위수량" xfId="3230" xr:uid="{00000000-0005-0000-0000-0000420D0000}"/>
    <cellStyle name="1_total_관로시설물_수량산출서-1201_철거수량" xfId="3231" xr:uid="{00000000-0005-0000-0000-0000430D0000}"/>
    <cellStyle name="1_total_관로시설물_수량산출서-1201_한수단위수량" xfId="3232" xr:uid="{00000000-0005-0000-0000-0000440D0000}"/>
    <cellStyle name="1_total_관로시설물_시설물단위수량" xfId="3234" xr:uid="{00000000-0005-0000-0000-0000450D0000}"/>
    <cellStyle name="1_total_관로시설물_시설물단위수량1" xfId="3235" xr:uid="{00000000-0005-0000-0000-0000460D0000}"/>
    <cellStyle name="1_total_관로시설물_시설물단위수량1_시설물단위수량" xfId="3236" xr:uid="{00000000-0005-0000-0000-0000470D0000}"/>
    <cellStyle name="1_total_관로시설물_오창수량산출서" xfId="3237" xr:uid="{00000000-0005-0000-0000-0000480D0000}"/>
    <cellStyle name="1_total_관로시설물_오창수량산출서_NEW단위수량-주산" xfId="3269" xr:uid="{00000000-0005-0000-0000-0000490D0000}"/>
    <cellStyle name="1_total_관로시설물_오창수량산출서_남대천단위수량" xfId="3238" xr:uid="{00000000-0005-0000-0000-00004A0D0000}"/>
    <cellStyle name="1_total_관로시설물_오창수량산출서_단위수량" xfId="3239" xr:uid="{00000000-0005-0000-0000-00004B0D0000}"/>
    <cellStyle name="1_total_관로시설물_오창수량산출서_단위수량1" xfId="3240" xr:uid="{00000000-0005-0000-0000-00004C0D0000}"/>
    <cellStyle name="1_total_관로시설물_오창수량산출서_단위수량15" xfId="3241" xr:uid="{00000000-0005-0000-0000-00004D0D0000}"/>
    <cellStyle name="1_total_관로시설물_오창수량산출서_도곡단위수량" xfId="3242" xr:uid="{00000000-0005-0000-0000-00004E0D0000}"/>
    <cellStyle name="1_total_관로시설물_오창수량산출서_수량산출서-11.25" xfId="3243" xr:uid="{00000000-0005-0000-0000-00004F0D0000}"/>
    <cellStyle name="1_total_관로시설물_오창수량산출서_수량산출서-11.25_NEW단위수량-주산" xfId="3252" xr:uid="{00000000-0005-0000-0000-0000500D0000}"/>
    <cellStyle name="1_total_관로시설물_오창수량산출서_수량산출서-11.25_남대천단위수량" xfId="3244" xr:uid="{00000000-0005-0000-0000-0000510D0000}"/>
    <cellStyle name="1_total_관로시설물_오창수량산출서_수량산출서-11.25_단위수량" xfId="3245" xr:uid="{00000000-0005-0000-0000-0000520D0000}"/>
    <cellStyle name="1_total_관로시설물_오창수량산출서_수량산출서-11.25_단위수량1" xfId="3246" xr:uid="{00000000-0005-0000-0000-0000530D0000}"/>
    <cellStyle name="1_total_관로시설물_오창수량산출서_수량산출서-11.25_단위수량15" xfId="3247" xr:uid="{00000000-0005-0000-0000-0000540D0000}"/>
    <cellStyle name="1_total_관로시설물_오창수량산출서_수량산출서-11.25_도곡단위수량" xfId="3248" xr:uid="{00000000-0005-0000-0000-0000550D0000}"/>
    <cellStyle name="1_total_관로시설물_오창수량산출서_수량산출서-11.25_철거단위수량" xfId="3249" xr:uid="{00000000-0005-0000-0000-0000560D0000}"/>
    <cellStyle name="1_total_관로시설물_오창수량산출서_수량산출서-11.25_철거수량" xfId="3250" xr:uid="{00000000-0005-0000-0000-0000570D0000}"/>
    <cellStyle name="1_total_관로시설물_오창수량산출서_수량산출서-11.25_한수단위수량" xfId="3251" xr:uid="{00000000-0005-0000-0000-0000580D0000}"/>
    <cellStyle name="1_total_관로시설물_오창수량산출서_수량산출서-1201" xfId="3253" xr:uid="{00000000-0005-0000-0000-0000590D0000}"/>
    <cellStyle name="1_total_관로시설물_오창수량산출서_수량산출서-1201_NEW단위수량-주산" xfId="3262" xr:uid="{00000000-0005-0000-0000-00005A0D0000}"/>
    <cellStyle name="1_total_관로시설물_오창수량산출서_수량산출서-1201_남대천단위수량" xfId="3254" xr:uid="{00000000-0005-0000-0000-00005B0D0000}"/>
    <cellStyle name="1_total_관로시설물_오창수량산출서_수량산출서-1201_단위수량" xfId="3255" xr:uid="{00000000-0005-0000-0000-00005C0D0000}"/>
    <cellStyle name="1_total_관로시설물_오창수량산출서_수량산출서-1201_단위수량1" xfId="3256" xr:uid="{00000000-0005-0000-0000-00005D0D0000}"/>
    <cellStyle name="1_total_관로시설물_오창수량산출서_수량산출서-1201_단위수량15" xfId="3257" xr:uid="{00000000-0005-0000-0000-00005E0D0000}"/>
    <cellStyle name="1_total_관로시설물_오창수량산출서_수량산출서-1201_도곡단위수량" xfId="3258" xr:uid="{00000000-0005-0000-0000-00005F0D0000}"/>
    <cellStyle name="1_total_관로시설물_오창수량산출서_수량산출서-1201_철거단위수량" xfId="3259" xr:uid="{00000000-0005-0000-0000-0000600D0000}"/>
    <cellStyle name="1_total_관로시설물_오창수량산출서_수량산출서-1201_철거수량" xfId="3260" xr:uid="{00000000-0005-0000-0000-0000610D0000}"/>
    <cellStyle name="1_total_관로시설물_오창수량산출서_수량산출서-1201_한수단위수량" xfId="3261" xr:uid="{00000000-0005-0000-0000-0000620D0000}"/>
    <cellStyle name="1_total_관로시설물_오창수량산출서_시설물단위수량" xfId="3263" xr:uid="{00000000-0005-0000-0000-0000630D0000}"/>
    <cellStyle name="1_total_관로시설물_오창수량산출서_시설물단위수량1" xfId="3264" xr:uid="{00000000-0005-0000-0000-0000640D0000}"/>
    <cellStyle name="1_total_관로시설물_오창수량산출서_시설물단위수량1_시설물단위수량" xfId="3265" xr:uid="{00000000-0005-0000-0000-0000650D0000}"/>
    <cellStyle name="1_total_관로시설물_오창수량산출서_철거단위수량" xfId="3266" xr:uid="{00000000-0005-0000-0000-0000660D0000}"/>
    <cellStyle name="1_total_관로시설물_오창수량산출서_철거수량" xfId="3267" xr:uid="{00000000-0005-0000-0000-0000670D0000}"/>
    <cellStyle name="1_total_관로시설물_오창수량산출서_한수단위수량" xfId="3268" xr:uid="{00000000-0005-0000-0000-0000680D0000}"/>
    <cellStyle name="1_total_관로시설물_철거단위수량" xfId="3270" xr:uid="{00000000-0005-0000-0000-0000690D0000}"/>
    <cellStyle name="1_total_관로시설물_철거수량" xfId="3271" xr:uid="{00000000-0005-0000-0000-00006A0D0000}"/>
    <cellStyle name="1_total_관로시설물_한수단위수량" xfId="3272" xr:uid="{00000000-0005-0000-0000-00006B0D0000}"/>
    <cellStyle name="1_total_광진구-설계서(1006)" xfId="1950" xr:uid="{00000000-0005-0000-0000-00006C0D0000}"/>
    <cellStyle name="1_total_광진구-설계서(1006)_설계설명서0309" xfId="1951" xr:uid="{00000000-0005-0000-0000-00006D0D0000}"/>
    <cellStyle name="1_total_구로리어린이공원예산서(조경)0613-변경2" xfId="3274" xr:uid="{00000000-0005-0000-0000-00006E0D0000}"/>
    <cellStyle name="1_total_구로리총괄내역" xfId="1952" xr:uid="{00000000-0005-0000-0000-00006F0D0000}"/>
    <cellStyle name="1_total_구로리총괄내역_구로리설계예산서1029" xfId="1953" xr:uid="{00000000-0005-0000-0000-0000700D0000}"/>
    <cellStyle name="1_total_구로리총괄내역_구로리설계예산서1029_내역서(우이천변)" xfId="1954" xr:uid="{00000000-0005-0000-0000-0000710D0000}"/>
    <cellStyle name="1_total_구로리총괄내역_구로리설계예산서1029_내역서1128" xfId="1955" xr:uid="{00000000-0005-0000-0000-0000720D0000}"/>
    <cellStyle name="1_total_구로리총괄내역_구로리설계예산서1118준공" xfId="1956" xr:uid="{00000000-0005-0000-0000-0000730D0000}"/>
    <cellStyle name="1_total_구로리총괄내역_구로리설계예산서1118준공_내역서(우이천변)" xfId="1957" xr:uid="{00000000-0005-0000-0000-0000740D0000}"/>
    <cellStyle name="1_total_구로리총괄내역_구로리설계예산서1118준공_내역서1128" xfId="1958" xr:uid="{00000000-0005-0000-0000-0000750D0000}"/>
    <cellStyle name="1_total_구로리총괄내역_구로리설계예산서조경" xfId="1959" xr:uid="{00000000-0005-0000-0000-0000760D0000}"/>
    <cellStyle name="1_total_구로리총괄내역_구로리설계예산서조경_내역서(우이천변)" xfId="1960" xr:uid="{00000000-0005-0000-0000-0000770D0000}"/>
    <cellStyle name="1_total_구로리총괄내역_구로리설계예산서조경_내역서1128" xfId="1961" xr:uid="{00000000-0005-0000-0000-0000780D0000}"/>
    <cellStyle name="1_total_구로리총괄내역_구로리어린이공원예산서(조경)1125" xfId="1962" xr:uid="{00000000-0005-0000-0000-0000790D0000}"/>
    <cellStyle name="1_total_구로리총괄내역_구로리어린이공원예산서(조경)1125_내역서(우이천변)" xfId="1963" xr:uid="{00000000-0005-0000-0000-00007A0D0000}"/>
    <cellStyle name="1_total_구로리총괄내역_구로리어린이공원예산서(조경)1125_내역서1128" xfId="1964" xr:uid="{00000000-0005-0000-0000-00007B0D0000}"/>
    <cellStyle name="1_total_구로리총괄내역_내역서" xfId="1965" xr:uid="{00000000-0005-0000-0000-00007C0D0000}"/>
    <cellStyle name="1_total_구로리총괄내역_내역서(우이천변)" xfId="1966" xr:uid="{00000000-0005-0000-0000-00007D0D0000}"/>
    <cellStyle name="1_total_구로리총괄내역_내역서_내역서(우이천변)" xfId="1967" xr:uid="{00000000-0005-0000-0000-00007E0D0000}"/>
    <cellStyle name="1_total_구로리총괄내역_내역서_내역서1128" xfId="1968" xr:uid="{00000000-0005-0000-0000-00007F0D0000}"/>
    <cellStyle name="1_total_구로리총괄내역_내역서1128" xfId="1969" xr:uid="{00000000-0005-0000-0000-0000800D0000}"/>
    <cellStyle name="1_total_구로리총괄내역_노임단가표" xfId="1970" xr:uid="{00000000-0005-0000-0000-0000810D0000}"/>
    <cellStyle name="1_total_구로리총괄내역_노임단가표_내역서(우이천변)" xfId="1971" xr:uid="{00000000-0005-0000-0000-0000820D0000}"/>
    <cellStyle name="1_total_구로리총괄내역_노임단가표_내역서1128" xfId="1972" xr:uid="{00000000-0005-0000-0000-0000830D0000}"/>
    <cellStyle name="1_total_구로리총괄내역_수도권매립지" xfId="1973" xr:uid="{00000000-0005-0000-0000-0000840D0000}"/>
    <cellStyle name="1_total_구로리총괄내역_수도권매립지_내역서(우이천변)" xfId="1974" xr:uid="{00000000-0005-0000-0000-0000850D0000}"/>
    <cellStyle name="1_total_구로리총괄내역_수도권매립지_내역서1128" xfId="1975" xr:uid="{00000000-0005-0000-0000-0000860D0000}"/>
    <cellStyle name="1_total_구로리총괄내역_수도권매립지1004(발주용)" xfId="1976" xr:uid="{00000000-0005-0000-0000-0000870D0000}"/>
    <cellStyle name="1_total_구로리총괄내역_수도권매립지1004(발주용)_내역서(우이천변)" xfId="1977" xr:uid="{00000000-0005-0000-0000-0000880D0000}"/>
    <cellStyle name="1_total_구로리총괄내역_수도권매립지1004(발주용)_내역서1128" xfId="1978" xr:uid="{00000000-0005-0000-0000-0000890D0000}"/>
    <cellStyle name="1_total_구로리총괄내역_일신건영설계예산서(0211)" xfId="1979" xr:uid="{00000000-0005-0000-0000-00008A0D0000}"/>
    <cellStyle name="1_total_구로리총괄내역_일신건영설계예산서(0211)_내역서(우이천변)" xfId="1980" xr:uid="{00000000-0005-0000-0000-00008B0D0000}"/>
    <cellStyle name="1_total_구로리총괄내역_일신건영설계예산서(0211)_내역서1128" xfId="1981" xr:uid="{00000000-0005-0000-0000-00008C0D0000}"/>
    <cellStyle name="1_total_구로리총괄내역_일위대가" xfId="1982" xr:uid="{00000000-0005-0000-0000-00008D0D0000}"/>
    <cellStyle name="1_total_구로리총괄내역_일위대가_내역서(우이천변)" xfId="1983" xr:uid="{00000000-0005-0000-0000-00008E0D0000}"/>
    <cellStyle name="1_total_구로리총괄내역_일위대가_내역서1128" xfId="1984" xr:uid="{00000000-0005-0000-0000-00008F0D0000}"/>
    <cellStyle name="1_total_구로리총괄내역_자재단가표" xfId="1985" xr:uid="{00000000-0005-0000-0000-0000900D0000}"/>
    <cellStyle name="1_total_구로리총괄내역_자재단가표_내역서(우이천변)" xfId="1986" xr:uid="{00000000-0005-0000-0000-0000910D0000}"/>
    <cellStyle name="1_total_구로리총괄내역_자재단가표_내역서1128" xfId="1987" xr:uid="{00000000-0005-0000-0000-0000920D0000}"/>
    <cellStyle name="1_total_구로리총괄내역_장안초등학교내역0814" xfId="1988" xr:uid="{00000000-0005-0000-0000-0000930D0000}"/>
    <cellStyle name="1_total_구로리총괄내역_장안초등학교내역0814_내역서(우이천변)" xfId="1989" xr:uid="{00000000-0005-0000-0000-0000940D0000}"/>
    <cellStyle name="1_total_구로리총괄내역_장안초등학교내역0814_내역서1128" xfId="1990" xr:uid="{00000000-0005-0000-0000-0000950D0000}"/>
    <cellStyle name="1_total_구조물,조형물,수목보호" xfId="3275" xr:uid="{00000000-0005-0000-0000-0000960D0000}"/>
    <cellStyle name="1_total_구조물,조형물,수목보호_NEW단위수량-주산" xfId="3340" xr:uid="{00000000-0005-0000-0000-0000970D0000}"/>
    <cellStyle name="1_total_구조물,조형물,수목보호_남대천단위수량" xfId="3276" xr:uid="{00000000-0005-0000-0000-0000980D0000}"/>
    <cellStyle name="1_total_구조물,조형물,수목보호_단위수량" xfId="3277" xr:uid="{00000000-0005-0000-0000-0000990D0000}"/>
    <cellStyle name="1_total_구조물,조형물,수목보호_단위수량1" xfId="3278" xr:uid="{00000000-0005-0000-0000-00009A0D0000}"/>
    <cellStyle name="1_total_구조물,조형물,수목보호_단위수량15" xfId="3279" xr:uid="{00000000-0005-0000-0000-00009B0D0000}"/>
    <cellStyle name="1_total_구조물,조형물,수목보호_도곡단위수량" xfId="3280" xr:uid="{00000000-0005-0000-0000-00009C0D0000}"/>
    <cellStyle name="1_total_구조물,조형물,수목보호_수량산출서-11.25" xfId="3281" xr:uid="{00000000-0005-0000-0000-00009D0D0000}"/>
    <cellStyle name="1_total_구조물,조형물,수목보호_수량산출서-11.25_NEW단위수량-주산" xfId="3290" xr:uid="{00000000-0005-0000-0000-00009E0D0000}"/>
    <cellStyle name="1_total_구조물,조형물,수목보호_수량산출서-11.25_남대천단위수량" xfId="3282" xr:uid="{00000000-0005-0000-0000-00009F0D0000}"/>
    <cellStyle name="1_total_구조물,조형물,수목보호_수량산출서-11.25_단위수량" xfId="3283" xr:uid="{00000000-0005-0000-0000-0000A00D0000}"/>
    <cellStyle name="1_total_구조물,조형물,수목보호_수량산출서-11.25_단위수량1" xfId="3284" xr:uid="{00000000-0005-0000-0000-0000A10D0000}"/>
    <cellStyle name="1_total_구조물,조형물,수목보호_수량산출서-11.25_단위수량15" xfId="3285" xr:uid="{00000000-0005-0000-0000-0000A20D0000}"/>
    <cellStyle name="1_total_구조물,조형물,수목보호_수량산출서-11.25_도곡단위수량" xfId="3286" xr:uid="{00000000-0005-0000-0000-0000A30D0000}"/>
    <cellStyle name="1_total_구조물,조형물,수목보호_수량산출서-11.25_철거단위수량" xfId="3287" xr:uid="{00000000-0005-0000-0000-0000A40D0000}"/>
    <cellStyle name="1_total_구조물,조형물,수목보호_수량산출서-11.25_철거수량" xfId="3288" xr:uid="{00000000-0005-0000-0000-0000A50D0000}"/>
    <cellStyle name="1_total_구조물,조형물,수목보호_수량산출서-11.25_한수단위수량" xfId="3289" xr:uid="{00000000-0005-0000-0000-0000A60D0000}"/>
    <cellStyle name="1_total_구조물,조형물,수목보호_수량산출서-1201" xfId="3291" xr:uid="{00000000-0005-0000-0000-0000A70D0000}"/>
    <cellStyle name="1_total_구조물,조형물,수목보호_수량산출서-1201_NEW단위수량-주산" xfId="3300" xr:uid="{00000000-0005-0000-0000-0000A80D0000}"/>
    <cellStyle name="1_total_구조물,조형물,수목보호_수량산출서-1201_남대천단위수량" xfId="3292" xr:uid="{00000000-0005-0000-0000-0000A90D0000}"/>
    <cellStyle name="1_total_구조물,조형물,수목보호_수량산출서-1201_단위수량" xfId="3293" xr:uid="{00000000-0005-0000-0000-0000AA0D0000}"/>
    <cellStyle name="1_total_구조물,조형물,수목보호_수량산출서-1201_단위수량1" xfId="3294" xr:uid="{00000000-0005-0000-0000-0000AB0D0000}"/>
    <cellStyle name="1_total_구조물,조형물,수목보호_수량산출서-1201_단위수량15" xfId="3295" xr:uid="{00000000-0005-0000-0000-0000AC0D0000}"/>
    <cellStyle name="1_total_구조물,조형물,수목보호_수량산출서-1201_도곡단위수량" xfId="3296" xr:uid="{00000000-0005-0000-0000-0000AD0D0000}"/>
    <cellStyle name="1_total_구조물,조형물,수목보호_수량산출서-1201_철거단위수량" xfId="3297" xr:uid="{00000000-0005-0000-0000-0000AE0D0000}"/>
    <cellStyle name="1_total_구조물,조형물,수목보호_수량산출서-1201_철거수량" xfId="3298" xr:uid="{00000000-0005-0000-0000-0000AF0D0000}"/>
    <cellStyle name="1_total_구조물,조형물,수목보호_수량산출서-1201_한수단위수량" xfId="3299" xr:uid="{00000000-0005-0000-0000-0000B00D0000}"/>
    <cellStyle name="1_total_구조물,조형물,수목보호_시설물단위수량" xfId="3301" xr:uid="{00000000-0005-0000-0000-0000B10D0000}"/>
    <cellStyle name="1_total_구조물,조형물,수목보호_시설물단위수량1" xfId="3302" xr:uid="{00000000-0005-0000-0000-0000B20D0000}"/>
    <cellStyle name="1_total_구조물,조형물,수목보호_시설물단위수량1_시설물단위수량" xfId="3303" xr:uid="{00000000-0005-0000-0000-0000B30D0000}"/>
    <cellStyle name="1_total_구조물,조형물,수목보호_오창수량산출서" xfId="3304" xr:uid="{00000000-0005-0000-0000-0000B40D0000}"/>
    <cellStyle name="1_total_구조물,조형물,수목보호_오창수량산출서_NEW단위수량-주산" xfId="3336" xr:uid="{00000000-0005-0000-0000-0000B50D0000}"/>
    <cellStyle name="1_total_구조물,조형물,수목보호_오창수량산출서_남대천단위수량" xfId="3305" xr:uid="{00000000-0005-0000-0000-0000B60D0000}"/>
    <cellStyle name="1_total_구조물,조형물,수목보호_오창수량산출서_단위수량" xfId="3306" xr:uid="{00000000-0005-0000-0000-0000B70D0000}"/>
    <cellStyle name="1_total_구조물,조형물,수목보호_오창수량산출서_단위수량1" xfId="3307" xr:uid="{00000000-0005-0000-0000-0000B80D0000}"/>
    <cellStyle name="1_total_구조물,조형물,수목보호_오창수량산출서_단위수량15" xfId="3308" xr:uid="{00000000-0005-0000-0000-0000B90D0000}"/>
    <cellStyle name="1_total_구조물,조형물,수목보호_오창수량산출서_도곡단위수량" xfId="3309" xr:uid="{00000000-0005-0000-0000-0000BA0D0000}"/>
    <cellStyle name="1_total_구조물,조형물,수목보호_오창수량산출서_수량산출서-11.25" xfId="3310" xr:uid="{00000000-0005-0000-0000-0000BB0D0000}"/>
    <cellStyle name="1_total_구조물,조형물,수목보호_오창수량산출서_수량산출서-11.25_NEW단위수량-주산" xfId="3319" xr:uid="{00000000-0005-0000-0000-0000BC0D0000}"/>
    <cellStyle name="1_total_구조물,조형물,수목보호_오창수량산출서_수량산출서-11.25_남대천단위수량" xfId="3311" xr:uid="{00000000-0005-0000-0000-0000BD0D0000}"/>
    <cellStyle name="1_total_구조물,조형물,수목보호_오창수량산출서_수량산출서-11.25_단위수량" xfId="3312" xr:uid="{00000000-0005-0000-0000-0000BE0D0000}"/>
    <cellStyle name="1_total_구조물,조형물,수목보호_오창수량산출서_수량산출서-11.25_단위수량1" xfId="3313" xr:uid="{00000000-0005-0000-0000-0000BF0D0000}"/>
    <cellStyle name="1_total_구조물,조형물,수목보호_오창수량산출서_수량산출서-11.25_단위수량15" xfId="3314" xr:uid="{00000000-0005-0000-0000-0000C00D0000}"/>
    <cellStyle name="1_total_구조물,조형물,수목보호_오창수량산출서_수량산출서-11.25_도곡단위수량" xfId="3315" xr:uid="{00000000-0005-0000-0000-0000C10D0000}"/>
    <cellStyle name="1_total_구조물,조형물,수목보호_오창수량산출서_수량산출서-11.25_철거단위수량" xfId="3316" xr:uid="{00000000-0005-0000-0000-0000C20D0000}"/>
    <cellStyle name="1_total_구조물,조형물,수목보호_오창수량산출서_수량산출서-11.25_철거수량" xfId="3317" xr:uid="{00000000-0005-0000-0000-0000C30D0000}"/>
    <cellStyle name="1_total_구조물,조형물,수목보호_오창수량산출서_수량산출서-11.25_한수단위수량" xfId="3318" xr:uid="{00000000-0005-0000-0000-0000C40D0000}"/>
    <cellStyle name="1_total_구조물,조형물,수목보호_오창수량산출서_수량산출서-1201" xfId="3320" xr:uid="{00000000-0005-0000-0000-0000C50D0000}"/>
    <cellStyle name="1_total_구조물,조형물,수목보호_오창수량산출서_수량산출서-1201_NEW단위수량-주산" xfId="3329" xr:uid="{00000000-0005-0000-0000-0000C60D0000}"/>
    <cellStyle name="1_total_구조물,조형물,수목보호_오창수량산출서_수량산출서-1201_남대천단위수량" xfId="3321" xr:uid="{00000000-0005-0000-0000-0000C70D0000}"/>
    <cellStyle name="1_total_구조물,조형물,수목보호_오창수량산출서_수량산출서-1201_단위수량" xfId="3322" xr:uid="{00000000-0005-0000-0000-0000C80D0000}"/>
    <cellStyle name="1_total_구조물,조형물,수목보호_오창수량산출서_수량산출서-1201_단위수량1" xfId="3323" xr:uid="{00000000-0005-0000-0000-0000C90D0000}"/>
    <cellStyle name="1_total_구조물,조형물,수목보호_오창수량산출서_수량산출서-1201_단위수량15" xfId="3324" xr:uid="{00000000-0005-0000-0000-0000CA0D0000}"/>
    <cellStyle name="1_total_구조물,조형물,수목보호_오창수량산출서_수량산출서-1201_도곡단위수량" xfId="3325" xr:uid="{00000000-0005-0000-0000-0000CB0D0000}"/>
    <cellStyle name="1_total_구조물,조형물,수목보호_오창수량산출서_수량산출서-1201_철거단위수량" xfId="3326" xr:uid="{00000000-0005-0000-0000-0000CC0D0000}"/>
    <cellStyle name="1_total_구조물,조형물,수목보호_오창수량산출서_수량산출서-1201_철거수량" xfId="3327" xr:uid="{00000000-0005-0000-0000-0000CD0D0000}"/>
    <cellStyle name="1_total_구조물,조형물,수목보호_오창수량산출서_수량산출서-1201_한수단위수량" xfId="3328" xr:uid="{00000000-0005-0000-0000-0000CE0D0000}"/>
    <cellStyle name="1_total_구조물,조형물,수목보호_오창수량산출서_시설물단위수량" xfId="3330" xr:uid="{00000000-0005-0000-0000-0000CF0D0000}"/>
    <cellStyle name="1_total_구조물,조형물,수목보호_오창수량산출서_시설물단위수량1" xfId="3331" xr:uid="{00000000-0005-0000-0000-0000D00D0000}"/>
    <cellStyle name="1_total_구조물,조형물,수목보호_오창수량산출서_시설물단위수량1_시설물단위수량" xfId="3332" xr:uid="{00000000-0005-0000-0000-0000D10D0000}"/>
    <cellStyle name="1_total_구조물,조형물,수목보호_오창수량산출서_철거단위수량" xfId="3333" xr:uid="{00000000-0005-0000-0000-0000D20D0000}"/>
    <cellStyle name="1_total_구조물,조형물,수목보호_오창수량산출서_철거수량" xfId="3334" xr:uid="{00000000-0005-0000-0000-0000D30D0000}"/>
    <cellStyle name="1_total_구조물,조형물,수목보호_오창수량산출서_한수단위수량" xfId="3335" xr:uid="{00000000-0005-0000-0000-0000D40D0000}"/>
    <cellStyle name="1_total_구조물,조형물,수목보호_철거단위수량" xfId="3337" xr:uid="{00000000-0005-0000-0000-0000D50D0000}"/>
    <cellStyle name="1_total_구조물,조형물,수목보호_철거수량" xfId="3338" xr:uid="{00000000-0005-0000-0000-0000D60D0000}"/>
    <cellStyle name="1_total_구조물,조형물,수목보호_한수단위수량" xfId="3339" xr:uid="{00000000-0005-0000-0000-0000D70D0000}"/>
    <cellStyle name="1_total_남대천단위수량" xfId="3341" xr:uid="{00000000-0005-0000-0000-0000D80D0000}"/>
    <cellStyle name="1_total_내역서(우이천변)" xfId="1991" xr:uid="{00000000-0005-0000-0000-0000D90D0000}"/>
    <cellStyle name="1_total_내역서1128" xfId="1992" xr:uid="{00000000-0005-0000-0000-0000DA0D0000}"/>
    <cellStyle name="1_total_단위1" xfId="3342" xr:uid="{00000000-0005-0000-0000-0000DB0D0000}"/>
    <cellStyle name="1_total_단위수량" xfId="3343" xr:uid="{00000000-0005-0000-0000-0000DC0D0000}"/>
    <cellStyle name="1_total_단위수량1" xfId="3344" xr:uid="{00000000-0005-0000-0000-0000DD0D0000}"/>
    <cellStyle name="1_total_단위수량15" xfId="3345" xr:uid="{00000000-0005-0000-0000-0000DE0D0000}"/>
    <cellStyle name="1_total_단위수량산출" xfId="3346" xr:uid="{00000000-0005-0000-0000-0000DF0D0000}"/>
    <cellStyle name="1_total_단위수량산출_NEW단위수량-주산" xfId="3412" xr:uid="{00000000-0005-0000-0000-0000E00D0000}"/>
    <cellStyle name="1_total_단위수량산출_남대천단위수량" xfId="3347" xr:uid="{00000000-0005-0000-0000-0000E10D0000}"/>
    <cellStyle name="1_total_단위수량산출_단위수량" xfId="3348" xr:uid="{00000000-0005-0000-0000-0000E20D0000}"/>
    <cellStyle name="1_total_단위수량산출_단위수량1" xfId="3349" xr:uid="{00000000-0005-0000-0000-0000E30D0000}"/>
    <cellStyle name="1_total_단위수량산출_단위수량15" xfId="3350" xr:uid="{00000000-0005-0000-0000-0000E40D0000}"/>
    <cellStyle name="1_total_단위수량산출_도곡단위수량" xfId="3351" xr:uid="{00000000-0005-0000-0000-0000E50D0000}"/>
    <cellStyle name="1_total_단위수량산출_수량산출서-11.25" xfId="3352" xr:uid="{00000000-0005-0000-0000-0000E60D0000}"/>
    <cellStyle name="1_total_단위수량산출_수량산출서-11.25_NEW단위수량-주산" xfId="3361" xr:uid="{00000000-0005-0000-0000-0000E70D0000}"/>
    <cellStyle name="1_total_단위수량산출_수량산출서-11.25_남대천단위수량" xfId="3353" xr:uid="{00000000-0005-0000-0000-0000E80D0000}"/>
    <cellStyle name="1_total_단위수량산출_수량산출서-11.25_단위수량" xfId="3354" xr:uid="{00000000-0005-0000-0000-0000E90D0000}"/>
    <cellStyle name="1_total_단위수량산출_수량산출서-11.25_단위수량1" xfId="3355" xr:uid="{00000000-0005-0000-0000-0000EA0D0000}"/>
    <cellStyle name="1_total_단위수량산출_수량산출서-11.25_단위수량15" xfId="3356" xr:uid="{00000000-0005-0000-0000-0000EB0D0000}"/>
    <cellStyle name="1_total_단위수량산출_수량산출서-11.25_도곡단위수량" xfId="3357" xr:uid="{00000000-0005-0000-0000-0000EC0D0000}"/>
    <cellStyle name="1_total_단위수량산출_수량산출서-11.25_철거단위수량" xfId="3358" xr:uid="{00000000-0005-0000-0000-0000ED0D0000}"/>
    <cellStyle name="1_total_단위수량산출_수량산출서-11.25_철거수량" xfId="3359" xr:uid="{00000000-0005-0000-0000-0000EE0D0000}"/>
    <cellStyle name="1_total_단위수량산출_수량산출서-11.25_한수단위수량" xfId="3360" xr:uid="{00000000-0005-0000-0000-0000EF0D0000}"/>
    <cellStyle name="1_total_단위수량산출_수량산출서-1201" xfId="3362" xr:uid="{00000000-0005-0000-0000-0000F00D0000}"/>
    <cellStyle name="1_total_단위수량산출_수량산출서-1201_NEW단위수량-주산" xfId="3371" xr:uid="{00000000-0005-0000-0000-0000F10D0000}"/>
    <cellStyle name="1_total_단위수량산출_수량산출서-1201_남대천단위수량" xfId="3363" xr:uid="{00000000-0005-0000-0000-0000F20D0000}"/>
    <cellStyle name="1_total_단위수량산출_수량산출서-1201_단위수량" xfId="3364" xr:uid="{00000000-0005-0000-0000-0000F30D0000}"/>
    <cellStyle name="1_total_단위수량산출_수량산출서-1201_단위수량1" xfId="3365" xr:uid="{00000000-0005-0000-0000-0000F40D0000}"/>
    <cellStyle name="1_total_단위수량산출_수량산출서-1201_단위수량15" xfId="3366" xr:uid="{00000000-0005-0000-0000-0000F50D0000}"/>
    <cellStyle name="1_total_단위수량산출_수량산출서-1201_도곡단위수량" xfId="3367" xr:uid="{00000000-0005-0000-0000-0000F60D0000}"/>
    <cellStyle name="1_total_단위수량산출_수량산출서-1201_철거단위수량" xfId="3368" xr:uid="{00000000-0005-0000-0000-0000F70D0000}"/>
    <cellStyle name="1_total_단위수량산출_수량산출서-1201_철거수량" xfId="3369" xr:uid="{00000000-0005-0000-0000-0000F80D0000}"/>
    <cellStyle name="1_total_단위수량산출_수량산출서-1201_한수단위수량" xfId="3370" xr:uid="{00000000-0005-0000-0000-0000F90D0000}"/>
    <cellStyle name="1_total_단위수량산출_시설물단위수량" xfId="3372" xr:uid="{00000000-0005-0000-0000-0000FA0D0000}"/>
    <cellStyle name="1_total_단위수량산출_시설물단위수량1" xfId="3373" xr:uid="{00000000-0005-0000-0000-0000FB0D0000}"/>
    <cellStyle name="1_total_단위수량산출_시설물단위수량1_시설물단위수량" xfId="3374" xr:uid="{00000000-0005-0000-0000-0000FC0D0000}"/>
    <cellStyle name="1_total_단위수량산출_오창수량산출서" xfId="3375" xr:uid="{00000000-0005-0000-0000-0000FD0D0000}"/>
    <cellStyle name="1_total_단위수량산출_오창수량산출서_NEW단위수량-주산" xfId="3407" xr:uid="{00000000-0005-0000-0000-0000FE0D0000}"/>
    <cellStyle name="1_total_단위수량산출_오창수량산출서_남대천단위수량" xfId="3376" xr:uid="{00000000-0005-0000-0000-0000FF0D0000}"/>
    <cellStyle name="1_total_단위수량산출_오창수량산출서_단위수량" xfId="3377" xr:uid="{00000000-0005-0000-0000-0000000E0000}"/>
    <cellStyle name="1_total_단위수량산출_오창수량산출서_단위수량1" xfId="3378" xr:uid="{00000000-0005-0000-0000-0000010E0000}"/>
    <cellStyle name="1_total_단위수량산출_오창수량산출서_단위수량15" xfId="3379" xr:uid="{00000000-0005-0000-0000-0000020E0000}"/>
    <cellStyle name="1_total_단위수량산출_오창수량산출서_도곡단위수량" xfId="3380" xr:uid="{00000000-0005-0000-0000-0000030E0000}"/>
    <cellStyle name="1_total_단위수량산출_오창수량산출서_수량산출서-11.25" xfId="3381" xr:uid="{00000000-0005-0000-0000-0000040E0000}"/>
    <cellStyle name="1_total_단위수량산출_오창수량산출서_수량산출서-11.25_NEW단위수량-주산" xfId="3390" xr:uid="{00000000-0005-0000-0000-0000050E0000}"/>
    <cellStyle name="1_total_단위수량산출_오창수량산출서_수량산출서-11.25_남대천단위수량" xfId="3382" xr:uid="{00000000-0005-0000-0000-0000060E0000}"/>
    <cellStyle name="1_total_단위수량산출_오창수량산출서_수량산출서-11.25_단위수량" xfId="3383" xr:uid="{00000000-0005-0000-0000-0000070E0000}"/>
    <cellStyle name="1_total_단위수량산출_오창수량산출서_수량산출서-11.25_단위수량1" xfId="3384" xr:uid="{00000000-0005-0000-0000-0000080E0000}"/>
    <cellStyle name="1_total_단위수량산출_오창수량산출서_수량산출서-11.25_단위수량15" xfId="3385" xr:uid="{00000000-0005-0000-0000-0000090E0000}"/>
    <cellStyle name="1_total_단위수량산출_오창수량산출서_수량산출서-11.25_도곡단위수량" xfId="3386" xr:uid="{00000000-0005-0000-0000-00000A0E0000}"/>
    <cellStyle name="1_total_단위수량산출_오창수량산출서_수량산출서-11.25_철거단위수량" xfId="3387" xr:uid="{00000000-0005-0000-0000-00000B0E0000}"/>
    <cellStyle name="1_total_단위수량산출_오창수량산출서_수량산출서-11.25_철거수량" xfId="3388" xr:uid="{00000000-0005-0000-0000-00000C0E0000}"/>
    <cellStyle name="1_total_단위수량산출_오창수량산출서_수량산출서-11.25_한수단위수량" xfId="3389" xr:uid="{00000000-0005-0000-0000-00000D0E0000}"/>
    <cellStyle name="1_total_단위수량산출_오창수량산출서_수량산출서-1201" xfId="3391" xr:uid="{00000000-0005-0000-0000-00000E0E0000}"/>
    <cellStyle name="1_total_단위수량산출_오창수량산출서_수량산출서-1201_NEW단위수량-주산" xfId="3400" xr:uid="{00000000-0005-0000-0000-00000F0E0000}"/>
    <cellStyle name="1_total_단위수량산출_오창수량산출서_수량산출서-1201_남대천단위수량" xfId="3392" xr:uid="{00000000-0005-0000-0000-0000100E0000}"/>
    <cellStyle name="1_total_단위수량산출_오창수량산출서_수량산출서-1201_단위수량" xfId="3393" xr:uid="{00000000-0005-0000-0000-0000110E0000}"/>
    <cellStyle name="1_total_단위수량산출_오창수량산출서_수량산출서-1201_단위수량1" xfId="3394" xr:uid="{00000000-0005-0000-0000-0000120E0000}"/>
    <cellStyle name="1_total_단위수량산출_오창수량산출서_수량산출서-1201_단위수량15" xfId="3395" xr:uid="{00000000-0005-0000-0000-0000130E0000}"/>
    <cellStyle name="1_total_단위수량산출_오창수량산출서_수량산출서-1201_도곡단위수량" xfId="3396" xr:uid="{00000000-0005-0000-0000-0000140E0000}"/>
    <cellStyle name="1_total_단위수량산출_오창수량산출서_수량산출서-1201_철거단위수량" xfId="3397" xr:uid="{00000000-0005-0000-0000-0000150E0000}"/>
    <cellStyle name="1_total_단위수량산출_오창수량산출서_수량산출서-1201_철거수량" xfId="3398" xr:uid="{00000000-0005-0000-0000-0000160E0000}"/>
    <cellStyle name="1_total_단위수량산출_오창수량산출서_수량산출서-1201_한수단위수량" xfId="3399" xr:uid="{00000000-0005-0000-0000-0000170E0000}"/>
    <cellStyle name="1_total_단위수량산출_오창수량산출서_시설물단위수량" xfId="3401" xr:uid="{00000000-0005-0000-0000-0000180E0000}"/>
    <cellStyle name="1_total_단위수량산출_오창수량산출서_시설물단위수량1" xfId="3402" xr:uid="{00000000-0005-0000-0000-0000190E0000}"/>
    <cellStyle name="1_total_단위수량산출_오창수량산출서_시설물단위수량1_시설물단위수량" xfId="3403" xr:uid="{00000000-0005-0000-0000-00001A0E0000}"/>
    <cellStyle name="1_total_단위수량산출_오창수량산출서_철거단위수량" xfId="3404" xr:uid="{00000000-0005-0000-0000-00001B0E0000}"/>
    <cellStyle name="1_total_단위수량산출_오창수량산출서_철거수량" xfId="3405" xr:uid="{00000000-0005-0000-0000-00001C0E0000}"/>
    <cellStyle name="1_total_단위수량산출_오창수량산출서_한수단위수량" xfId="3406" xr:uid="{00000000-0005-0000-0000-00001D0E0000}"/>
    <cellStyle name="1_total_단위수량산출_용평단위수량" xfId="3408" xr:uid="{00000000-0005-0000-0000-00001E0E0000}"/>
    <cellStyle name="1_total_단위수량산출_철거단위수량" xfId="3409" xr:uid="{00000000-0005-0000-0000-00001F0E0000}"/>
    <cellStyle name="1_total_단위수량산출_철거수량" xfId="3410" xr:uid="{00000000-0005-0000-0000-0000200E0000}"/>
    <cellStyle name="1_total_단위수량산출_한수단위수량" xfId="3411" xr:uid="{00000000-0005-0000-0000-0000210E0000}"/>
    <cellStyle name="1_total_단위수량산출1" xfId="3413" xr:uid="{00000000-0005-0000-0000-0000220E0000}"/>
    <cellStyle name="1_total_단위수량산출-1" xfId="3414" xr:uid="{00000000-0005-0000-0000-0000230E0000}"/>
    <cellStyle name="1_total_단위수량산출1_1" xfId="3415" xr:uid="{00000000-0005-0000-0000-0000240E0000}"/>
    <cellStyle name="1_total_단위수량산출1_NEW단위수량-주산" xfId="3546" xr:uid="{00000000-0005-0000-0000-0000250E0000}"/>
    <cellStyle name="1_total_단위수량산출-1_NEW단위수량-주산" xfId="3547" xr:uid="{00000000-0005-0000-0000-0000260E0000}"/>
    <cellStyle name="1_total_단위수량산출1_남대천단위수량" xfId="3416" xr:uid="{00000000-0005-0000-0000-0000270E0000}"/>
    <cellStyle name="1_total_단위수량산출-1_남대천단위수량" xfId="3417" xr:uid="{00000000-0005-0000-0000-0000280E0000}"/>
    <cellStyle name="1_total_단위수량산출1_단위수량" xfId="3418" xr:uid="{00000000-0005-0000-0000-0000290E0000}"/>
    <cellStyle name="1_total_단위수량산출-1_단위수량" xfId="3419" xr:uid="{00000000-0005-0000-0000-00002A0E0000}"/>
    <cellStyle name="1_total_단위수량산출1_단위수량1" xfId="3420" xr:uid="{00000000-0005-0000-0000-00002B0E0000}"/>
    <cellStyle name="1_total_단위수량산출-1_단위수량1" xfId="3421" xr:uid="{00000000-0005-0000-0000-00002C0E0000}"/>
    <cellStyle name="1_total_단위수량산출1_단위수량15" xfId="3422" xr:uid="{00000000-0005-0000-0000-00002D0E0000}"/>
    <cellStyle name="1_total_단위수량산출-1_단위수량15" xfId="3423" xr:uid="{00000000-0005-0000-0000-00002E0E0000}"/>
    <cellStyle name="1_total_단위수량산출1_도곡단위수량" xfId="3424" xr:uid="{00000000-0005-0000-0000-00002F0E0000}"/>
    <cellStyle name="1_total_단위수량산출-1_도곡단위수량" xfId="3425" xr:uid="{00000000-0005-0000-0000-0000300E0000}"/>
    <cellStyle name="1_total_단위수량산출1_수량산출서-11.25" xfId="3426" xr:uid="{00000000-0005-0000-0000-0000310E0000}"/>
    <cellStyle name="1_total_단위수량산출-1_수량산출서-11.25" xfId="3427" xr:uid="{00000000-0005-0000-0000-0000320E0000}"/>
    <cellStyle name="1_total_단위수량산출1_수량산출서-11.25_NEW단위수량-주산" xfId="3444" xr:uid="{00000000-0005-0000-0000-0000330E0000}"/>
    <cellStyle name="1_total_단위수량산출-1_수량산출서-11.25_NEW단위수량-주산" xfId="3445" xr:uid="{00000000-0005-0000-0000-0000340E0000}"/>
    <cellStyle name="1_total_단위수량산출1_수량산출서-11.25_남대천단위수량" xfId="3428" xr:uid="{00000000-0005-0000-0000-0000350E0000}"/>
    <cellStyle name="1_total_단위수량산출-1_수량산출서-11.25_남대천단위수량" xfId="3429" xr:uid="{00000000-0005-0000-0000-0000360E0000}"/>
    <cellStyle name="1_total_단위수량산출1_수량산출서-11.25_단위수량" xfId="3430" xr:uid="{00000000-0005-0000-0000-0000370E0000}"/>
    <cellStyle name="1_total_단위수량산출-1_수량산출서-11.25_단위수량" xfId="3431" xr:uid="{00000000-0005-0000-0000-0000380E0000}"/>
    <cellStyle name="1_total_단위수량산출1_수량산출서-11.25_단위수량1" xfId="3432" xr:uid="{00000000-0005-0000-0000-0000390E0000}"/>
    <cellStyle name="1_total_단위수량산출-1_수량산출서-11.25_단위수량1" xfId="3433" xr:uid="{00000000-0005-0000-0000-00003A0E0000}"/>
    <cellStyle name="1_total_단위수량산출1_수량산출서-11.25_단위수량15" xfId="3434" xr:uid="{00000000-0005-0000-0000-00003B0E0000}"/>
    <cellStyle name="1_total_단위수량산출-1_수량산출서-11.25_단위수량15" xfId="3435" xr:uid="{00000000-0005-0000-0000-00003C0E0000}"/>
    <cellStyle name="1_total_단위수량산출1_수량산출서-11.25_도곡단위수량" xfId="3436" xr:uid="{00000000-0005-0000-0000-00003D0E0000}"/>
    <cellStyle name="1_total_단위수량산출-1_수량산출서-11.25_도곡단위수량" xfId="3437" xr:uid="{00000000-0005-0000-0000-00003E0E0000}"/>
    <cellStyle name="1_total_단위수량산출1_수량산출서-11.25_철거단위수량" xfId="3438" xr:uid="{00000000-0005-0000-0000-00003F0E0000}"/>
    <cellStyle name="1_total_단위수량산출-1_수량산출서-11.25_철거단위수량" xfId="3439" xr:uid="{00000000-0005-0000-0000-0000400E0000}"/>
    <cellStyle name="1_total_단위수량산출1_수량산출서-11.25_철거수량" xfId="3440" xr:uid="{00000000-0005-0000-0000-0000410E0000}"/>
    <cellStyle name="1_total_단위수량산출-1_수량산출서-11.25_철거수량" xfId="3441" xr:uid="{00000000-0005-0000-0000-0000420E0000}"/>
    <cellStyle name="1_total_단위수량산출1_수량산출서-11.25_한수단위수량" xfId="3442" xr:uid="{00000000-0005-0000-0000-0000430E0000}"/>
    <cellStyle name="1_total_단위수량산출-1_수량산출서-11.25_한수단위수량" xfId="3443" xr:uid="{00000000-0005-0000-0000-0000440E0000}"/>
    <cellStyle name="1_total_단위수량산출1_수량산출서-1201" xfId="3446" xr:uid="{00000000-0005-0000-0000-0000450E0000}"/>
    <cellStyle name="1_total_단위수량산출-1_수량산출서-1201" xfId="3447" xr:uid="{00000000-0005-0000-0000-0000460E0000}"/>
    <cellStyle name="1_total_단위수량산출1_수량산출서-1201_NEW단위수량-주산" xfId="3464" xr:uid="{00000000-0005-0000-0000-0000470E0000}"/>
    <cellStyle name="1_total_단위수량산출-1_수량산출서-1201_NEW단위수량-주산" xfId="3465" xr:uid="{00000000-0005-0000-0000-0000480E0000}"/>
    <cellStyle name="1_total_단위수량산출1_수량산출서-1201_남대천단위수량" xfId="3448" xr:uid="{00000000-0005-0000-0000-0000490E0000}"/>
    <cellStyle name="1_total_단위수량산출-1_수량산출서-1201_남대천단위수량" xfId="3449" xr:uid="{00000000-0005-0000-0000-00004A0E0000}"/>
    <cellStyle name="1_total_단위수량산출1_수량산출서-1201_단위수량" xfId="3450" xr:uid="{00000000-0005-0000-0000-00004B0E0000}"/>
    <cellStyle name="1_total_단위수량산출-1_수량산출서-1201_단위수량" xfId="3451" xr:uid="{00000000-0005-0000-0000-00004C0E0000}"/>
    <cellStyle name="1_total_단위수량산출1_수량산출서-1201_단위수량1" xfId="3452" xr:uid="{00000000-0005-0000-0000-00004D0E0000}"/>
    <cellStyle name="1_total_단위수량산출-1_수량산출서-1201_단위수량1" xfId="3453" xr:uid="{00000000-0005-0000-0000-00004E0E0000}"/>
    <cellStyle name="1_total_단위수량산출1_수량산출서-1201_단위수량15" xfId="3454" xr:uid="{00000000-0005-0000-0000-00004F0E0000}"/>
    <cellStyle name="1_total_단위수량산출-1_수량산출서-1201_단위수량15" xfId="3455" xr:uid="{00000000-0005-0000-0000-0000500E0000}"/>
    <cellStyle name="1_total_단위수량산출1_수량산출서-1201_도곡단위수량" xfId="3456" xr:uid="{00000000-0005-0000-0000-0000510E0000}"/>
    <cellStyle name="1_total_단위수량산출-1_수량산출서-1201_도곡단위수량" xfId="3457" xr:uid="{00000000-0005-0000-0000-0000520E0000}"/>
    <cellStyle name="1_total_단위수량산출1_수량산출서-1201_철거단위수량" xfId="3458" xr:uid="{00000000-0005-0000-0000-0000530E0000}"/>
    <cellStyle name="1_total_단위수량산출-1_수량산출서-1201_철거단위수량" xfId="3459" xr:uid="{00000000-0005-0000-0000-0000540E0000}"/>
    <cellStyle name="1_total_단위수량산출1_수량산출서-1201_철거수량" xfId="3460" xr:uid="{00000000-0005-0000-0000-0000550E0000}"/>
    <cellStyle name="1_total_단위수량산출-1_수량산출서-1201_철거수량" xfId="3461" xr:uid="{00000000-0005-0000-0000-0000560E0000}"/>
    <cellStyle name="1_total_단위수량산출1_수량산출서-1201_한수단위수량" xfId="3462" xr:uid="{00000000-0005-0000-0000-0000570E0000}"/>
    <cellStyle name="1_total_단위수량산출-1_수량산출서-1201_한수단위수량" xfId="3463" xr:uid="{00000000-0005-0000-0000-0000580E0000}"/>
    <cellStyle name="1_total_단위수량산출1_시설물단위수량" xfId="3466" xr:uid="{00000000-0005-0000-0000-0000590E0000}"/>
    <cellStyle name="1_total_단위수량산출-1_시설물단위수량" xfId="3467" xr:uid="{00000000-0005-0000-0000-00005A0E0000}"/>
    <cellStyle name="1_total_단위수량산출1_시설물단위수량1" xfId="3468" xr:uid="{00000000-0005-0000-0000-00005B0E0000}"/>
    <cellStyle name="1_total_단위수량산출-1_시설물단위수량1" xfId="3469" xr:uid="{00000000-0005-0000-0000-00005C0E0000}"/>
    <cellStyle name="1_total_단위수량산출1_시설물단위수량1_시설물단위수량" xfId="3470" xr:uid="{00000000-0005-0000-0000-00005D0E0000}"/>
    <cellStyle name="1_total_단위수량산출-1_시설물단위수량1_시설물단위수량" xfId="3471" xr:uid="{00000000-0005-0000-0000-00005E0E0000}"/>
    <cellStyle name="1_total_단위수량산출1_오창수량산출서" xfId="3472" xr:uid="{00000000-0005-0000-0000-00005F0E0000}"/>
    <cellStyle name="1_total_단위수량산출-1_오창수량산출서" xfId="3473" xr:uid="{00000000-0005-0000-0000-0000600E0000}"/>
    <cellStyle name="1_total_단위수량산출1_오창수량산출서_NEW단위수량-주산" xfId="3536" xr:uid="{00000000-0005-0000-0000-0000610E0000}"/>
    <cellStyle name="1_total_단위수량산출-1_오창수량산출서_NEW단위수량-주산" xfId="3537" xr:uid="{00000000-0005-0000-0000-0000620E0000}"/>
    <cellStyle name="1_total_단위수량산출1_오창수량산출서_남대천단위수량" xfId="3474" xr:uid="{00000000-0005-0000-0000-0000630E0000}"/>
    <cellStyle name="1_total_단위수량산출-1_오창수량산출서_남대천단위수량" xfId="3475" xr:uid="{00000000-0005-0000-0000-0000640E0000}"/>
    <cellStyle name="1_total_단위수량산출1_오창수량산출서_단위수량" xfId="3476" xr:uid="{00000000-0005-0000-0000-0000650E0000}"/>
    <cellStyle name="1_total_단위수량산출-1_오창수량산출서_단위수량" xfId="3477" xr:uid="{00000000-0005-0000-0000-0000660E0000}"/>
    <cellStyle name="1_total_단위수량산출1_오창수량산출서_단위수량1" xfId="3478" xr:uid="{00000000-0005-0000-0000-0000670E0000}"/>
    <cellStyle name="1_total_단위수량산출-1_오창수량산출서_단위수량1" xfId="3479" xr:uid="{00000000-0005-0000-0000-0000680E0000}"/>
    <cellStyle name="1_total_단위수량산출1_오창수량산출서_단위수량15" xfId="3480" xr:uid="{00000000-0005-0000-0000-0000690E0000}"/>
    <cellStyle name="1_total_단위수량산출-1_오창수량산출서_단위수량15" xfId="3481" xr:uid="{00000000-0005-0000-0000-00006A0E0000}"/>
    <cellStyle name="1_total_단위수량산출1_오창수량산출서_도곡단위수량" xfId="3482" xr:uid="{00000000-0005-0000-0000-00006B0E0000}"/>
    <cellStyle name="1_total_단위수량산출-1_오창수량산출서_도곡단위수량" xfId="3483" xr:uid="{00000000-0005-0000-0000-00006C0E0000}"/>
    <cellStyle name="1_total_단위수량산출1_오창수량산출서_수량산출서-11.25" xfId="3484" xr:uid="{00000000-0005-0000-0000-00006D0E0000}"/>
    <cellStyle name="1_total_단위수량산출-1_오창수량산출서_수량산출서-11.25" xfId="3485" xr:uid="{00000000-0005-0000-0000-00006E0E0000}"/>
    <cellStyle name="1_total_단위수량산출1_오창수량산출서_수량산출서-11.25_NEW단위수량-주산" xfId="3502" xr:uid="{00000000-0005-0000-0000-00006F0E0000}"/>
    <cellStyle name="1_total_단위수량산출-1_오창수량산출서_수량산출서-11.25_NEW단위수량-주산" xfId="3503" xr:uid="{00000000-0005-0000-0000-0000700E0000}"/>
    <cellStyle name="1_total_단위수량산출1_오창수량산출서_수량산출서-11.25_남대천단위수량" xfId="3486" xr:uid="{00000000-0005-0000-0000-0000710E0000}"/>
    <cellStyle name="1_total_단위수량산출-1_오창수량산출서_수량산출서-11.25_남대천단위수량" xfId="3487" xr:uid="{00000000-0005-0000-0000-0000720E0000}"/>
    <cellStyle name="1_total_단위수량산출1_오창수량산출서_수량산출서-11.25_단위수량" xfId="3488" xr:uid="{00000000-0005-0000-0000-0000730E0000}"/>
    <cellStyle name="1_total_단위수량산출-1_오창수량산출서_수량산출서-11.25_단위수량" xfId="3489" xr:uid="{00000000-0005-0000-0000-0000740E0000}"/>
    <cellStyle name="1_total_단위수량산출1_오창수량산출서_수량산출서-11.25_단위수량1" xfId="3490" xr:uid="{00000000-0005-0000-0000-0000750E0000}"/>
    <cellStyle name="1_total_단위수량산출-1_오창수량산출서_수량산출서-11.25_단위수량1" xfId="3491" xr:uid="{00000000-0005-0000-0000-0000760E0000}"/>
    <cellStyle name="1_total_단위수량산출1_오창수량산출서_수량산출서-11.25_단위수량15" xfId="3492" xr:uid="{00000000-0005-0000-0000-0000770E0000}"/>
    <cellStyle name="1_total_단위수량산출-1_오창수량산출서_수량산출서-11.25_단위수량15" xfId="3493" xr:uid="{00000000-0005-0000-0000-0000780E0000}"/>
    <cellStyle name="1_total_단위수량산출1_오창수량산출서_수량산출서-11.25_도곡단위수량" xfId="3494" xr:uid="{00000000-0005-0000-0000-0000790E0000}"/>
    <cellStyle name="1_total_단위수량산출-1_오창수량산출서_수량산출서-11.25_도곡단위수량" xfId="3495" xr:uid="{00000000-0005-0000-0000-00007A0E0000}"/>
    <cellStyle name="1_total_단위수량산출1_오창수량산출서_수량산출서-11.25_철거단위수량" xfId="3496" xr:uid="{00000000-0005-0000-0000-00007B0E0000}"/>
    <cellStyle name="1_total_단위수량산출-1_오창수량산출서_수량산출서-11.25_철거단위수량" xfId="3497" xr:uid="{00000000-0005-0000-0000-00007C0E0000}"/>
    <cellStyle name="1_total_단위수량산출1_오창수량산출서_수량산출서-11.25_철거수량" xfId="3498" xr:uid="{00000000-0005-0000-0000-00007D0E0000}"/>
    <cellStyle name="1_total_단위수량산출-1_오창수량산출서_수량산출서-11.25_철거수량" xfId="3499" xr:uid="{00000000-0005-0000-0000-00007E0E0000}"/>
    <cellStyle name="1_total_단위수량산출1_오창수량산출서_수량산출서-11.25_한수단위수량" xfId="3500" xr:uid="{00000000-0005-0000-0000-00007F0E0000}"/>
    <cellStyle name="1_total_단위수량산출-1_오창수량산출서_수량산출서-11.25_한수단위수량" xfId="3501" xr:uid="{00000000-0005-0000-0000-0000800E0000}"/>
    <cellStyle name="1_total_단위수량산출1_오창수량산출서_수량산출서-1201" xfId="3504" xr:uid="{00000000-0005-0000-0000-0000810E0000}"/>
    <cellStyle name="1_total_단위수량산출-1_오창수량산출서_수량산출서-1201" xfId="3505" xr:uid="{00000000-0005-0000-0000-0000820E0000}"/>
    <cellStyle name="1_total_단위수량산출1_오창수량산출서_수량산출서-1201_NEW단위수량-주산" xfId="3522" xr:uid="{00000000-0005-0000-0000-0000830E0000}"/>
    <cellStyle name="1_total_단위수량산출-1_오창수량산출서_수량산출서-1201_NEW단위수량-주산" xfId="3523" xr:uid="{00000000-0005-0000-0000-0000840E0000}"/>
    <cellStyle name="1_total_단위수량산출1_오창수량산출서_수량산출서-1201_남대천단위수량" xfId="3506" xr:uid="{00000000-0005-0000-0000-0000850E0000}"/>
    <cellStyle name="1_total_단위수량산출-1_오창수량산출서_수량산출서-1201_남대천단위수량" xfId="3507" xr:uid="{00000000-0005-0000-0000-0000860E0000}"/>
    <cellStyle name="1_total_단위수량산출1_오창수량산출서_수량산출서-1201_단위수량" xfId="3508" xr:uid="{00000000-0005-0000-0000-0000870E0000}"/>
    <cellStyle name="1_total_단위수량산출-1_오창수량산출서_수량산출서-1201_단위수량" xfId="3509" xr:uid="{00000000-0005-0000-0000-0000880E0000}"/>
    <cellStyle name="1_total_단위수량산출1_오창수량산출서_수량산출서-1201_단위수량1" xfId="3510" xr:uid="{00000000-0005-0000-0000-0000890E0000}"/>
    <cellStyle name="1_total_단위수량산출-1_오창수량산출서_수량산출서-1201_단위수량1" xfId="3511" xr:uid="{00000000-0005-0000-0000-00008A0E0000}"/>
    <cellStyle name="1_total_단위수량산출1_오창수량산출서_수량산출서-1201_단위수량15" xfId="3512" xr:uid="{00000000-0005-0000-0000-00008B0E0000}"/>
    <cellStyle name="1_total_단위수량산출-1_오창수량산출서_수량산출서-1201_단위수량15" xfId="3513" xr:uid="{00000000-0005-0000-0000-00008C0E0000}"/>
    <cellStyle name="1_total_단위수량산출1_오창수량산출서_수량산출서-1201_도곡단위수량" xfId="3514" xr:uid="{00000000-0005-0000-0000-00008D0E0000}"/>
    <cellStyle name="1_total_단위수량산출-1_오창수량산출서_수량산출서-1201_도곡단위수량" xfId="3515" xr:uid="{00000000-0005-0000-0000-00008E0E0000}"/>
    <cellStyle name="1_total_단위수량산출1_오창수량산출서_수량산출서-1201_철거단위수량" xfId="3516" xr:uid="{00000000-0005-0000-0000-00008F0E0000}"/>
    <cellStyle name="1_total_단위수량산출-1_오창수량산출서_수량산출서-1201_철거단위수량" xfId="3517" xr:uid="{00000000-0005-0000-0000-0000900E0000}"/>
    <cellStyle name="1_total_단위수량산출1_오창수량산출서_수량산출서-1201_철거수량" xfId="3518" xr:uid="{00000000-0005-0000-0000-0000910E0000}"/>
    <cellStyle name="1_total_단위수량산출-1_오창수량산출서_수량산출서-1201_철거수량" xfId="3519" xr:uid="{00000000-0005-0000-0000-0000920E0000}"/>
    <cellStyle name="1_total_단위수량산출1_오창수량산출서_수량산출서-1201_한수단위수량" xfId="3520" xr:uid="{00000000-0005-0000-0000-0000930E0000}"/>
    <cellStyle name="1_total_단위수량산출-1_오창수량산출서_수량산출서-1201_한수단위수량" xfId="3521" xr:uid="{00000000-0005-0000-0000-0000940E0000}"/>
    <cellStyle name="1_total_단위수량산출1_오창수량산출서_시설물단위수량" xfId="3524" xr:uid="{00000000-0005-0000-0000-0000950E0000}"/>
    <cellStyle name="1_total_단위수량산출-1_오창수량산출서_시설물단위수량" xfId="3525" xr:uid="{00000000-0005-0000-0000-0000960E0000}"/>
    <cellStyle name="1_total_단위수량산출1_오창수량산출서_시설물단위수량1" xfId="3526" xr:uid="{00000000-0005-0000-0000-0000970E0000}"/>
    <cellStyle name="1_total_단위수량산출-1_오창수량산출서_시설물단위수량1" xfId="3527" xr:uid="{00000000-0005-0000-0000-0000980E0000}"/>
    <cellStyle name="1_total_단위수량산출1_오창수량산출서_시설물단위수량1_시설물단위수량" xfId="3528" xr:uid="{00000000-0005-0000-0000-0000990E0000}"/>
    <cellStyle name="1_total_단위수량산출-1_오창수량산출서_시설물단위수량1_시설물단위수량" xfId="3529" xr:uid="{00000000-0005-0000-0000-00009A0E0000}"/>
    <cellStyle name="1_total_단위수량산출1_오창수량산출서_철거단위수량" xfId="3530" xr:uid="{00000000-0005-0000-0000-00009B0E0000}"/>
    <cellStyle name="1_total_단위수량산출-1_오창수량산출서_철거단위수량" xfId="3531" xr:uid="{00000000-0005-0000-0000-00009C0E0000}"/>
    <cellStyle name="1_total_단위수량산출1_오창수량산출서_철거수량" xfId="3532" xr:uid="{00000000-0005-0000-0000-00009D0E0000}"/>
    <cellStyle name="1_total_단위수량산출-1_오창수량산출서_철거수량" xfId="3533" xr:uid="{00000000-0005-0000-0000-00009E0E0000}"/>
    <cellStyle name="1_total_단위수량산출1_오창수량산출서_한수단위수량" xfId="3534" xr:uid="{00000000-0005-0000-0000-00009F0E0000}"/>
    <cellStyle name="1_total_단위수량산출-1_오창수량산출서_한수단위수량" xfId="3535" xr:uid="{00000000-0005-0000-0000-0000A00E0000}"/>
    <cellStyle name="1_total_단위수량산출1_용평단위수량" xfId="3538" xr:uid="{00000000-0005-0000-0000-0000A10E0000}"/>
    <cellStyle name="1_total_단위수량산출-1_용평단위수량" xfId="3539" xr:uid="{00000000-0005-0000-0000-0000A20E0000}"/>
    <cellStyle name="1_total_단위수량산출1_철거단위수량" xfId="3540" xr:uid="{00000000-0005-0000-0000-0000A30E0000}"/>
    <cellStyle name="1_total_단위수량산출-1_철거단위수량" xfId="3541" xr:uid="{00000000-0005-0000-0000-0000A40E0000}"/>
    <cellStyle name="1_total_단위수량산출1_철거수량" xfId="3542" xr:uid="{00000000-0005-0000-0000-0000A50E0000}"/>
    <cellStyle name="1_total_단위수량산출-1_철거수량" xfId="3543" xr:uid="{00000000-0005-0000-0000-0000A60E0000}"/>
    <cellStyle name="1_total_단위수량산출1_한수단위수량" xfId="3544" xr:uid="{00000000-0005-0000-0000-0000A70E0000}"/>
    <cellStyle name="1_total_단위수량산출-1_한수단위수량" xfId="3545" xr:uid="{00000000-0005-0000-0000-0000A80E0000}"/>
    <cellStyle name="1_total_단위수량산출2" xfId="3548" xr:uid="{00000000-0005-0000-0000-0000A90E0000}"/>
    <cellStyle name="1_total_단위수량산출2_NEW단위수량-주산" xfId="3613" xr:uid="{00000000-0005-0000-0000-0000AA0E0000}"/>
    <cellStyle name="1_total_단위수량산출2_남대천단위수량" xfId="3549" xr:uid="{00000000-0005-0000-0000-0000AB0E0000}"/>
    <cellStyle name="1_total_단위수량산출2_단위수량" xfId="3550" xr:uid="{00000000-0005-0000-0000-0000AC0E0000}"/>
    <cellStyle name="1_total_단위수량산출2_단위수량1" xfId="3551" xr:uid="{00000000-0005-0000-0000-0000AD0E0000}"/>
    <cellStyle name="1_total_단위수량산출2_단위수량15" xfId="3552" xr:uid="{00000000-0005-0000-0000-0000AE0E0000}"/>
    <cellStyle name="1_total_단위수량산출2_도곡단위수량" xfId="3553" xr:uid="{00000000-0005-0000-0000-0000AF0E0000}"/>
    <cellStyle name="1_total_단위수량산출2_수량산출서-11.25" xfId="3554" xr:uid="{00000000-0005-0000-0000-0000B00E0000}"/>
    <cellStyle name="1_total_단위수량산출2_수량산출서-11.25_NEW단위수량-주산" xfId="3563" xr:uid="{00000000-0005-0000-0000-0000B10E0000}"/>
    <cellStyle name="1_total_단위수량산출2_수량산출서-11.25_남대천단위수량" xfId="3555" xr:uid="{00000000-0005-0000-0000-0000B20E0000}"/>
    <cellStyle name="1_total_단위수량산출2_수량산출서-11.25_단위수량" xfId="3556" xr:uid="{00000000-0005-0000-0000-0000B30E0000}"/>
    <cellStyle name="1_total_단위수량산출2_수량산출서-11.25_단위수량1" xfId="3557" xr:uid="{00000000-0005-0000-0000-0000B40E0000}"/>
    <cellStyle name="1_total_단위수량산출2_수량산출서-11.25_단위수량15" xfId="3558" xr:uid="{00000000-0005-0000-0000-0000B50E0000}"/>
    <cellStyle name="1_total_단위수량산출2_수량산출서-11.25_도곡단위수량" xfId="3559" xr:uid="{00000000-0005-0000-0000-0000B60E0000}"/>
    <cellStyle name="1_total_단위수량산출2_수량산출서-11.25_철거단위수량" xfId="3560" xr:uid="{00000000-0005-0000-0000-0000B70E0000}"/>
    <cellStyle name="1_total_단위수량산출2_수량산출서-11.25_철거수량" xfId="3561" xr:uid="{00000000-0005-0000-0000-0000B80E0000}"/>
    <cellStyle name="1_total_단위수량산출2_수량산출서-11.25_한수단위수량" xfId="3562" xr:uid="{00000000-0005-0000-0000-0000B90E0000}"/>
    <cellStyle name="1_total_단위수량산출2_수량산출서-1201" xfId="3564" xr:uid="{00000000-0005-0000-0000-0000BA0E0000}"/>
    <cellStyle name="1_total_단위수량산출2_수량산출서-1201_NEW단위수량-주산" xfId="3573" xr:uid="{00000000-0005-0000-0000-0000BB0E0000}"/>
    <cellStyle name="1_total_단위수량산출2_수량산출서-1201_남대천단위수량" xfId="3565" xr:uid="{00000000-0005-0000-0000-0000BC0E0000}"/>
    <cellStyle name="1_total_단위수량산출2_수량산출서-1201_단위수량" xfId="3566" xr:uid="{00000000-0005-0000-0000-0000BD0E0000}"/>
    <cellStyle name="1_total_단위수량산출2_수량산출서-1201_단위수량1" xfId="3567" xr:uid="{00000000-0005-0000-0000-0000BE0E0000}"/>
    <cellStyle name="1_total_단위수량산출2_수량산출서-1201_단위수량15" xfId="3568" xr:uid="{00000000-0005-0000-0000-0000BF0E0000}"/>
    <cellStyle name="1_total_단위수량산출2_수량산출서-1201_도곡단위수량" xfId="3569" xr:uid="{00000000-0005-0000-0000-0000C00E0000}"/>
    <cellStyle name="1_total_단위수량산출2_수량산출서-1201_철거단위수량" xfId="3570" xr:uid="{00000000-0005-0000-0000-0000C10E0000}"/>
    <cellStyle name="1_total_단위수량산출2_수량산출서-1201_철거수량" xfId="3571" xr:uid="{00000000-0005-0000-0000-0000C20E0000}"/>
    <cellStyle name="1_total_단위수량산출2_수량산출서-1201_한수단위수량" xfId="3572" xr:uid="{00000000-0005-0000-0000-0000C30E0000}"/>
    <cellStyle name="1_total_단위수량산출2_시설물단위수량" xfId="3574" xr:uid="{00000000-0005-0000-0000-0000C40E0000}"/>
    <cellStyle name="1_total_단위수량산출2_시설물단위수량1" xfId="3575" xr:uid="{00000000-0005-0000-0000-0000C50E0000}"/>
    <cellStyle name="1_total_단위수량산출2_시설물단위수량1_시설물단위수량" xfId="3576" xr:uid="{00000000-0005-0000-0000-0000C60E0000}"/>
    <cellStyle name="1_total_단위수량산출2_오창수량산출서" xfId="3577" xr:uid="{00000000-0005-0000-0000-0000C70E0000}"/>
    <cellStyle name="1_total_단위수량산출2_오창수량산출서_NEW단위수량-주산" xfId="3609" xr:uid="{00000000-0005-0000-0000-0000C80E0000}"/>
    <cellStyle name="1_total_단위수량산출2_오창수량산출서_남대천단위수량" xfId="3578" xr:uid="{00000000-0005-0000-0000-0000C90E0000}"/>
    <cellStyle name="1_total_단위수량산출2_오창수량산출서_단위수량" xfId="3579" xr:uid="{00000000-0005-0000-0000-0000CA0E0000}"/>
    <cellStyle name="1_total_단위수량산출2_오창수량산출서_단위수량1" xfId="3580" xr:uid="{00000000-0005-0000-0000-0000CB0E0000}"/>
    <cellStyle name="1_total_단위수량산출2_오창수량산출서_단위수량15" xfId="3581" xr:uid="{00000000-0005-0000-0000-0000CC0E0000}"/>
    <cellStyle name="1_total_단위수량산출2_오창수량산출서_도곡단위수량" xfId="3582" xr:uid="{00000000-0005-0000-0000-0000CD0E0000}"/>
    <cellStyle name="1_total_단위수량산출2_오창수량산출서_수량산출서-11.25" xfId="3583" xr:uid="{00000000-0005-0000-0000-0000CE0E0000}"/>
    <cellStyle name="1_total_단위수량산출2_오창수량산출서_수량산출서-11.25_NEW단위수량-주산" xfId="3592" xr:uid="{00000000-0005-0000-0000-0000CF0E0000}"/>
    <cellStyle name="1_total_단위수량산출2_오창수량산출서_수량산출서-11.25_남대천단위수량" xfId="3584" xr:uid="{00000000-0005-0000-0000-0000D00E0000}"/>
    <cellStyle name="1_total_단위수량산출2_오창수량산출서_수량산출서-11.25_단위수량" xfId="3585" xr:uid="{00000000-0005-0000-0000-0000D10E0000}"/>
    <cellStyle name="1_total_단위수량산출2_오창수량산출서_수량산출서-11.25_단위수량1" xfId="3586" xr:uid="{00000000-0005-0000-0000-0000D20E0000}"/>
    <cellStyle name="1_total_단위수량산출2_오창수량산출서_수량산출서-11.25_단위수량15" xfId="3587" xr:uid="{00000000-0005-0000-0000-0000D30E0000}"/>
    <cellStyle name="1_total_단위수량산출2_오창수량산출서_수량산출서-11.25_도곡단위수량" xfId="3588" xr:uid="{00000000-0005-0000-0000-0000D40E0000}"/>
    <cellStyle name="1_total_단위수량산출2_오창수량산출서_수량산출서-11.25_철거단위수량" xfId="3589" xr:uid="{00000000-0005-0000-0000-0000D50E0000}"/>
    <cellStyle name="1_total_단위수량산출2_오창수량산출서_수량산출서-11.25_철거수량" xfId="3590" xr:uid="{00000000-0005-0000-0000-0000D60E0000}"/>
    <cellStyle name="1_total_단위수량산출2_오창수량산출서_수량산출서-11.25_한수단위수량" xfId="3591" xr:uid="{00000000-0005-0000-0000-0000D70E0000}"/>
    <cellStyle name="1_total_단위수량산출2_오창수량산출서_수량산출서-1201" xfId="3593" xr:uid="{00000000-0005-0000-0000-0000D80E0000}"/>
    <cellStyle name="1_total_단위수량산출2_오창수량산출서_수량산출서-1201_NEW단위수량-주산" xfId="3602" xr:uid="{00000000-0005-0000-0000-0000D90E0000}"/>
    <cellStyle name="1_total_단위수량산출2_오창수량산출서_수량산출서-1201_남대천단위수량" xfId="3594" xr:uid="{00000000-0005-0000-0000-0000DA0E0000}"/>
    <cellStyle name="1_total_단위수량산출2_오창수량산출서_수량산출서-1201_단위수량" xfId="3595" xr:uid="{00000000-0005-0000-0000-0000DB0E0000}"/>
    <cellStyle name="1_total_단위수량산출2_오창수량산출서_수량산출서-1201_단위수량1" xfId="3596" xr:uid="{00000000-0005-0000-0000-0000DC0E0000}"/>
    <cellStyle name="1_total_단위수량산출2_오창수량산출서_수량산출서-1201_단위수량15" xfId="3597" xr:uid="{00000000-0005-0000-0000-0000DD0E0000}"/>
    <cellStyle name="1_total_단위수량산출2_오창수량산출서_수량산출서-1201_도곡단위수량" xfId="3598" xr:uid="{00000000-0005-0000-0000-0000DE0E0000}"/>
    <cellStyle name="1_total_단위수량산출2_오창수량산출서_수량산출서-1201_철거단위수량" xfId="3599" xr:uid="{00000000-0005-0000-0000-0000DF0E0000}"/>
    <cellStyle name="1_total_단위수량산출2_오창수량산출서_수량산출서-1201_철거수량" xfId="3600" xr:uid="{00000000-0005-0000-0000-0000E00E0000}"/>
    <cellStyle name="1_total_단위수량산출2_오창수량산출서_수량산출서-1201_한수단위수량" xfId="3601" xr:uid="{00000000-0005-0000-0000-0000E10E0000}"/>
    <cellStyle name="1_total_단위수량산출2_오창수량산출서_시설물단위수량" xfId="3603" xr:uid="{00000000-0005-0000-0000-0000E20E0000}"/>
    <cellStyle name="1_total_단위수량산출2_오창수량산출서_시설물단위수량1" xfId="3604" xr:uid="{00000000-0005-0000-0000-0000E30E0000}"/>
    <cellStyle name="1_total_단위수량산출2_오창수량산출서_시설물단위수량1_시설물단위수량" xfId="3605" xr:uid="{00000000-0005-0000-0000-0000E40E0000}"/>
    <cellStyle name="1_total_단위수량산출2_오창수량산출서_철거단위수량" xfId="3606" xr:uid="{00000000-0005-0000-0000-0000E50E0000}"/>
    <cellStyle name="1_total_단위수량산출2_오창수량산출서_철거수량" xfId="3607" xr:uid="{00000000-0005-0000-0000-0000E60E0000}"/>
    <cellStyle name="1_total_단위수량산출2_오창수량산출서_한수단위수량" xfId="3608" xr:uid="{00000000-0005-0000-0000-0000E70E0000}"/>
    <cellStyle name="1_total_단위수량산출2_철거단위수량" xfId="3610" xr:uid="{00000000-0005-0000-0000-0000E80E0000}"/>
    <cellStyle name="1_total_단위수량산출2_철거수량" xfId="3611" xr:uid="{00000000-0005-0000-0000-0000E90E0000}"/>
    <cellStyle name="1_total_단위수량산출2_한수단위수량" xfId="3612" xr:uid="{00000000-0005-0000-0000-0000EA0E0000}"/>
    <cellStyle name="1_total_단위수량산출-개군" xfId="3614" xr:uid="{00000000-0005-0000-0000-0000EB0E0000}"/>
    <cellStyle name="1_total_도곡단위수량" xfId="3615" xr:uid="{00000000-0005-0000-0000-0000EC0E0000}"/>
    <cellStyle name="1_total_목동내역" xfId="3616" xr:uid="{00000000-0005-0000-0000-0000ED0E0000}"/>
    <cellStyle name="1_total_목동내역_폐기물집계" xfId="3617" xr:uid="{00000000-0005-0000-0000-0000EE0E0000}"/>
    <cellStyle name="1_total_문래수량집계" xfId="3618" xr:uid="{00000000-0005-0000-0000-0000EF0E0000}"/>
    <cellStyle name="1_total_분수대 및 어린이놀이터 시설물 설치공사" xfId="3619" xr:uid="{00000000-0005-0000-0000-0000F00E0000}"/>
    <cellStyle name="1_total_수량산출서-11.25" xfId="3620" xr:uid="{00000000-0005-0000-0000-0000F10E0000}"/>
    <cellStyle name="1_total_수량산출서-11.25_NEW단위수량-주산" xfId="3629" xr:uid="{00000000-0005-0000-0000-0000F20E0000}"/>
    <cellStyle name="1_total_수량산출서-11.25_남대천단위수량" xfId="3621" xr:uid="{00000000-0005-0000-0000-0000F30E0000}"/>
    <cellStyle name="1_total_수량산출서-11.25_단위수량" xfId="3622" xr:uid="{00000000-0005-0000-0000-0000F40E0000}"/>
    <cellStyle name="1_total_수량산출서-11.25_단위수량1" xfId="3623" xr:uid="{00000000-0005-0000-0000-0000F50E0000}"/>
    <cellStyle name="1_total_수량산출서-11.25_단위수량15" xfId="3624" xr:uid="{00000000-0005-0000-0000-0000F60E0000}"/>
    <cellStyle name="1_total_수량산출서-11.25_도곡단위수량" xfId="3625" xr:uid="{00000000-0005-0000-0000-0000F70E0000}"/>
    <cellStyle name="1_total_수량산출서-11.25_철거단위수량" xfId="3626" xr:uid="{00000000-0005-0000-0000-0000F80E0000}"/>
    <cellStyle name="1_total_수량산출서-11.25_철거수량" xfId="3627" xr:uid="{00000000-0005-0000-0000-0000F90E0000}"/>
    <cellStyle name="1_total_수량산출서-11.25_한수단위수량" xfId="3628" xr:uid="{00000000-0005-0000-0000-0000FA0E0000}"/>
    <cellStyle name="1_total_수량산출서-1201" xfId="3630" xr:uid="{00000000-0005-0000-0000-0000FB0E0000}"/>
    <cellStyle name="1_total_수량산출서-1201_NEW단위수량-주산" xfId="3639" xr:uid="{00000000-0005-0000-0000-0000FC0E0000}"/>
    <cellStyle name="1_total_수량산출서-1201_남대천단위수량" xfId="3631" xr:uid="{00000000-0005-0000-0000-0000FD0E0000}"/>
    <cellStyle name="1_total_수량산출서-1201_단위수량" xfId="3632" xr:uid="{00000000-0005-0000-0000-0000FE0E0000}"/>
    <cellStyle name="1_total_수량산출서-1201_단위수량1" xfId="3633" xr:uid="{00000000-0005-0000-0000-0000FF0E0000}"/>
    <cellStyle name="1_total_수량산출서-1201_단위수량15" xfId="3634" xr:uid="{00000000-0005-0000-0000-0000000F0000}"/>
    <cellStyle name="1_total_수량산출서-1201_도곡단위수량" xfId="3635" xr:uid="{00000000-0005-0000-0000-0000010F0000}"/>
    <cellStyle name="1_total_수량산출서-1201_철거단위수량" xfId="3636" xr:uid="{00000000-0005-0000-0000-0000020F0000}"/>
    <cellStyle name="1_total_수량산출서-1201_철거수량" xfId="3637" xr:uid="{00000000-0005-0000-0000-0000030F0000}"/>
    <cellStyle name="1_total_수량산출서-1201_한수단위수량" xfId="3638" xr:uid="{00000000-0005-0000-0000-0000040F0000}"/>
    <cellStyle name="1_total_수량산출서-최종" xfId="3640" xr:uid="{00000000-0005-0000-0000-0000050F0000}"/>
    <cellStyle name="1_total_수량집계표" xfId="3641" xr:uid="{00000000-0005-0000-0000-0000060F0000}"/>
    <cellStyle name="1_total_수량총괄표" xfId="3642" xr:uid="{00000000-0005-0000-0000-0000070F0000}"/>
    <cellStyle name="1_total_수원변경수량산출" xfId="3643" xr:uid="{00000000-0005-0000-0000-0000080F0000}"/>
    <cellStyle name="1_total_수원수량집계(7.13)" xfId="3644" xr:uid="{00000000-0005-0000-0000-0000090F0000}"/>
    <cellStyle name="1_total_수원수량집계(7.31)" xfId="3645" xr:uid="{00000000-0005-0000-0000-00000A0F0000}"/>
    <cellStyle name="1_total_시설물단위수량" xfId="3646" xr:uid="{00000000-0005-0000-0000-00000B0F0000}"/>
    <cellStyle name="1_total_시설물단위수량1" xfId="3647" xr:uid="{00000000-0005-0000-0000-00000C0F0000}"/>
    <cellStyle name="1_total_시설물단위수량1_시설물단위수량" xfId="3648" xr:uid="{00000000-0005-0000-0000-00000D0F0000}"/>
    <cellStyle name="1_total_쌍용" xfId="3649" xr:uid="{00000000-0005-0000-0000-00000E0F0000}"/>
    <cellStyle name="1_total_쌍용_NEW단위수량-주산" xfId="3714" xr:uid="{00000000-0005-0000-0000-00000F0F0000}"/>
    <cellStyle name="1_total_쌍용_남대천단위수량" xfId="3650" xr:uid="{00000000-0005-0000-0000-0000100F0000}"/>
    <cellStyle name="1_total_쌍용_단위수량" xfId="3651" xr:uid="{00000000-0005-0000-0000-0000110F0000}"/>
    <cellStyle name="1_total_쌍용_단위수량1" xfId="3652" xr:uid="{00000000-0005-0000-0000-0000120F0000}"/>
    <cellStyle name="1_total_쌍용_단위수량15" xfId="3653" xr:uid="{00000000-0005-0000-0000-0000130F0000}"/>
    <cellStyle name="1_total_쌍용_도곡단위수량" xfId="3654" xr:uid="{00000000-0005-0000-0000-0000140F0000}"/>
    <cellStyle name="1_total_쌍용_수량산출서-11.25" xfId="3655" xr:uid="{00000000-0005-0000-0000-0000150F0000}"/>
    <cellStyle name="1_total_쌍용_수량산출서-11.25_NEW단위수량-주산" xfId="3664" xr:uid="{00000000-0005-0000-0000-0000160F0000}"/>
    <cellStyle name="1_total_쌍용_수량산출서-11.25_남대천단위수량" xfId="3656" xr:uid="{00000000-0005-0000-0000-0000170F0000}"/>
    <cellStyle name="1_total_쌍용_수량산출서-11.25_단위수량" xfId="3657" xr:uid="{00000000-0005-0000-0000-0000180F0000}"/>
    <cellStyle name="1_total_쌍용_수량산출서-11.25_단위수량1" xfId="3658" xr:uid="{00000000-0005-0000-0000-0000190F0000}"/>
    <cellStyle name="1_total_쌍용_수량산출서-11.25_단위수량15" xfId="3659" xr:uid="{00000000-0005-0000-0000-00001A0F0000}"/>
    <cellStyle name="1_total_쌍용_수량산출서-11.25_도곡단위수량" xfId="3660" xr:uid="{00000000-0005-0000-0000-00001B0F0000}"/>
    <cellStyle name="1_total_쌍용_수량산출서-11.25_철거단위수량" xfId="3661" xr:uid="{00000000-0005-0000-0000-00001C0F0000}"/>
    <cellStyle name="1_total_쌍용_수량산출서-11.25_철거수량" xfId="3662" xr:uid="{00000000-0005-0000-0000-00001D0F0000}"/>
    <cellStyle name="1_total_쌍용_수량산출서-11.25_한수단위수량" xfId="3663" xr:uid="{00000000-0005-0000-0000-00001E0F0000}"/>
    <cellStyle name="1_total_쌍용_수량산출서-1201" xfId="3665" xr:uid="{00000000-0005-0000-0000-00001F0F0000}"/>
    <cellStyle name="1_total_쌍용_수량산출서-1201_NEW단위수량-주산" xfId="3674" xr:uid="{00000000-0005-0000-0000-0000200F0000}"/>
    <cellStyle name="1_total_쌍용_수량산출서-1201_남대천단위수량" xfId="3666" xr:uid="{00000000-0005-0000-0000-0000210F0000}"/>
    <cellStyle name="1_total_쌍용_수량산출서-1201_단위수량" xfId="3667" xr:uid="{00000000-0005-0000-0000-0000220F0000}"/>
    <cellStyle name="1_total_쌍용_수량산출서-1201_단위수량1" xfId="3668" xr:uid="{00000000-0005-0000-0000-0000230F0000}"/>
    <cellStyle name="1_total_쌍용_수량산출서-1201_단위수량15" xfId="3669" xr:uid="{00000000-0005-0000-0000-0000240F0000}"/>
    <cellStyle name="1_total_쌍용_수량산출서-1201_도곡단위수량" xfId="3670" xr:uid="{00000000-0005-0000-0000-0000250F0000}"/>
    <cellStyle name="1_total_쌍용_수량산출서-1201_철거단위수량" xfId="3671" xr:uid="{00000000-0005-0000-0000-0000260F0000}"/>
    <cellStyle name="1_total_쌍용_수량산출서-1201_철거수량" xfId="3672" xr:uid="{00000000-0005-0000-0000-0000270F0000}"/>
    <cellStyle name="1_total_쌍용_수량산출서-1201_한수단위수량" xfId="3673" xr:uid="{00000000-0005-0000-0000-0000280F0000}"/>
    <cellStyle name="1_total_쌍용_시설물단위수량" xfId="3675" xr:uid="{00000000-0005-0000-0000-0000290F0000}"/>
    <cellStyle name="1_total_쌍용_시설물단위수량1" xfId="3676" xr:uid="{00000000-0005-0000-0000-00002A0F0000}"/>
    <cellStyle name="1_total_쌍용_시설물단위수량1_시설물단위수량" xfId="3677" xr:uid="{00000000-0005-0000-0000-00002B0F0000}"/>
    <cellStyle name="1_total_쌍용_오창수량산출서" xfId="3678" xr:uid="{00000000-0005-0000-0000-00002C0F0000}"/>
    <cellStyle name="1_total_쌍용_오창수량산출서_NEW단위수량-주산" xfId="3710" xr:uid="{00000000-0005-0000-0000-00002D0F0000}"/>
    <cellStyle name="1_total_쌍용_오창수량산출서_남대천단위수량" xfId="3679" xr:uid="{00000000-0005-0000-0000-00002E0F0000}"/>
    <cellStyle name="1_total_쌍용_오창수량산출서_단위수량" xfId="3680" xr:uid="{00000000-0005-0000-0000-00002F0F0000}"/>
    <cellStyle name="1_total_쌍용_오창수량산출서_단위수량1" xfId="3681" xr:uid="{00000000-0005-0000-0000-0000300F0000}"/>
    <cellStyle name="1_total_쌍용_오창수량산출서_단위수량15" xfId="3682" xr:uid="{00000000-0005-0000-0000-0000310F0000}"/>
    <cellStyle name="1_total_쌍용_오창수량산출서_도곡단위수량" xfId="3683" xr:uid="{00000000-0005-0000-0000-0000320F0000}"/>
    <cellStyle name="1_total_쌍용_오창수량산출서_수량산출서-11.25" xfId="3684" xr:uid="{00000000-0005-0000-0000-0000330F0000}"/>
    <cellStyle name="1_total_쌍용_오창수량산출서_수량산출서-11.25_NEW단위수량-주산" xfId="3693" xr:uid="{00000000-0005-0000-0000-0000340F0000}"/>
    <cellStyle name="1_total_쌍용_오창수량산출서_수량산출서-11.25_남대천단위수량" xfId="3685" xr:uid="{00000000-0005-0000-0000-0000350F0000}"/>
    <cellStyle name="1_total_쌍용_오창수량산출서_수량산출서-11.25_단위수량" xfId="3686" xr:uid="{00000000-0005-0000-0000-0000360F0000}"/>
    <cellStyle name="1_total_쌍용_오창수량산출서_수량산출서-11.25_단위수량1" xfId="3687" xr:uid="{00000000-0005-0000-0000-0000370F0000}"/>
    <cellStyle name="1_total_쌍용_오창수량산출서_수량산출서-11.25_단위수량15" xfId="3688" xr:uid="{00000000-0005-0000-0000-0000380F0000}"/>
    <cellStyle name="1_total_쌍용_오창수량산출서_수량산출서-11.25_도곡단위수량" xfId="3689" xr:uid="{00000000-0005-0000-0000-0000390F0000}"/>
    <cellStyle name="1_total_쌍용_오창수량산출서_수량산출서-11.25_철거단위수량" xfId="3690" xr:uid="{00000000-0005-0000-0000-00003A0F0000}"/>
    <cellStyle name="1_total_쌍용_오창수량산출서_수량산출서-11.25_철거수량" xfId="3691" xr:uid="{00000000-0005-0000-0000-00003B0F0000}"/>
    <cellStyle name="1_total_쌍용_오창수량산출서_수량산출서-11.25_한수단위수량" xfId="3692" xr:uid="{00000000-0005-0000-0000-00003C0F0000}"/>
    <cellStyle name="1_total_쌍용_오창수량산출서_수량산출서-1201" xfId="3694" xr:uid="{00000000-0005-0000-0000-00003D0F0000}"/>
    <cellStyle name="1_total_쌍용_오창수량산출서_수량산출서-1201_NEW단위수량-주산" xfId="3703" xr:uid="{00000000-0005-0000-0000-00003E0F0000}"/>
    <cellStyle name="1_total_쌍용_오창수량산출서_수량산출서-1201_남대천단위수량" xfId="3695" xr:uid="{00000000-0005-0000-0000-00003F0F0000}"/>
    <cellStyle name="1_total_쌍용_오창수량산출서_수량산출서-1201_단위수량" xfId="3696" xr:uid="{00000000-0005-0000-0000-0000400F0000}"/>
    <cellStyle name="1_total_쌍용_오창수량산출서_수량산출서-1201_단위수량1" xfId="3697" xr:uid="{00000000-0005-0000-0000-0000410F0000}"/>
    <cellStyle name="1_total_쌍용_오창수량산출서_수량산출서-1201_단위수량15" xfId="3698" xr:uid="{00000000-0005-0000-0000-0000420F0000}"/>
    <cellStyle name="1_total_쌍용_오창수량산출서_수량산출서-1201_도곡단위수량" xfId="3699" xr:uid="{00000000-0005-0000-0000-0000430F0000}"/>
    <cellStyle name="1_total_쌍용_오창수량산출서_수량산출서-1201_철거단위수량" xfId="3700" xr:uid="{00000000-0005-0000-0000-0000440F0000}"/>
    <cellStyle name="1_total_쌍용_오창수량산출서_수량산출서-1201_철거수량" xfId="3701" xr:uid="{00000000-0005-0000-0000-0000450F0000}"/>
    <cellStyle name="1_total_쌍용_오창수량산출서_수량산출서-1201_한수단위수량" xfId="3702" xr:uid="{00000000-0005-0000-0000-0000460F0000}"/>
    <cellStyle name="1_total_쌍용_오창수량산출서_시설물단위수량" xfId="3704" xr:uid="{00000000-0005-0000-0000-0000470F0000}"/>
    <cellStyle name="1_total_쌍용_오창수량산출서_시설물단위수량1" xfId="3705" xr:uid="{00000000-0005-0000-0000-0000480F0000}"/>
    <cellStyle name="1_total_쌍용_오창수량산출서_시설물단위수량1_시설물단위수량" xfId="3706" xr:uid="{00000000-0005-0000-0000-0000490F0000}"/>
    <cellStyle name="1_total_쌍용_오창수량산출서_철거단위수량" xfId="3707" xr:uid="{00000000-0005-0000-0000-00004A0F0000}"/>
    <cellStyle name="1_total_쌍용_오창수량산출서_철거수량" xfId="3708" xr:uid="{00000000-0005-0000-0000-00004B0F0000}"/>
    <cellStyle name="1_total_쌍용_오창수량산출서_한수단위수량" xfId="3709" xr:uid="{00000000-0005-0000-0000-00004C0F0000}"/>
    <cellStyle name="1_total_쌍용_철거단위수량" xfId="3711" xr:uid="{00000000-0005-0000-0000-00004D0F0000}"/>
    <cellStyle name="1_total_쌍용_철거수량" xfId="3712" xr:uid="{00000000-0005-0000-0000-00004E0F0000}"/>
    <cellStyle name="1_total_쌍용_한수단위수량" xfId="3713" xr:uid="{00000000-0005-0000-0000-00004F0F0000}"/>
    <cellStyle name="1_total_쌍용수량0905" xfId="3715" xr:uid="{00000000-0005-0000-0000-0000500F0000}"/>
    <cellStyle name="1_total_쌍용수량집계" xfId="3716" xr:uid="{00000000-0005-0000-0000-0000510F0000}"/>
    <cellStyle name="1_total_안동수량산출" xfId="3717" xr:uid="{00000000-0005-0000-0000-0000520F0000}"/>
    <cellStyle name="1_total_안동수량산출최종" xfId="3718" xr:uid="{00000000-0005-0000-0000-0000530F0000}"/>
    <cellStyle name="1_total_영등포잔여구간변경내역-0608" xfId="1272" xr:uid="{00000000-0005-0000-0000-0000540F0000}"/>
    <cellStyle name="1_total_오창수량산출서" xfId="3719" xr:uid="{00000000-0005-0000-0000-0000550F0000}"/>
    <cellStyle name="1_total_오창수량산출서_NEW단위수량-주산" xfId="3751" xr:uid="{00000000-0005-0000-0000-0000560F0000}"/>
    <cellStyle name="1_total_오창수량산출서_남대천단위수량" xfId="3720" xr:uid="{00000000-0005-0000-0000-0000570F0000}"/>
    <cellStyle name="1_total_오창수량산출서_단위수량" xfId="3721" xr:uid="{00000000-0005-0000-0000-0000580F0000}"/>
    <cellStyle name="1_total_오창수량산출서_단위수량1" xfId="3722" xr:uid="{00000000-0005-0000-0000-0000590F0000}"/>
    <cellStyle name="1_total_오창수량산출서_단위수량15" xfId="3723" xr:uid="{00000000-0005-0000-0000-00005A0F0000}"/>
    <cellStyle name="1_total_오창수량산출서_도곡단위수량" xfId="3724" xr:uid="{00000000-0005-0000-0000-00005B0F0000}"/>
    <cellStyle name="1_total_오창수량산출서_수량산출서-11.25" xfId="3725" xr:uid="{00000000-0005-0000-0000-00005C0F0000}"/>
    <cellStyle name="1_total_오창수량산출서_수량산출서-11.25_NEW단위수량-주산" xfId="3734" xr:uid="{00000000-0005-0000-0000-00005D0F0000}"/>
    <cellStyle name="1_total_오창수량산출서_수량산출서-11.25_남대천단위수량" xfId="3726" xr:uid="{00000000-0005-0000-0000-00005E0F0000}"/>
    <cellStyle name="1_total_오창수량산출서_수량산출서-11.25_단위수량" xfId="3727" xr:uid="{00000000-0005-0000-0000-00005F0F0000}"/>
    <cellStyle name="1_total_오창수량산출서_수량산출서-11.25_단위수량1" xfId="3728" xr:uid="{00000000-0005-0000-0000-0000600F0000}"/>
    <cellStyle name="1_total_오창수량산출서_수량산출서-11.25_단위수량15" xfId="3729" xr:uid="{00000000-0005-0000-0000-0000610F0000}"/>
    <cellStyle name="1_total_오창수량산출서_수량산출서-11.25_도곡단위수량" xfId="3730" xr:uid="{00000000-0005-0000-0000-0000620F0000}"/>
    <cellStyle name="1_total_오창수량산출서_수량산출서-11.25_철거단위수량" xfId="3731" xr:uid="{00000000-0005-0000-0000-0000630F0000}"/>
    <cellStyle name="1_total_오창수량산출서_수량산출서-11.25_철거수량" xfId="3732" xr:uid="{00000000-0005-0000-0000-0000640F0000}"/>
    <cellStyle name="1_total_오창수량산출서_수량산출서-11.25_한수단위수량" xfId="3733" xr:uid="{00000000-0005-0000-0000-0000650F0000}"/>
    <cellStyle name="1_total_오창수량산출서_수량산출서-1201" xfId="3735" xr:uid="{00000000-0005-0000-0000-0000660F0000}"/>
    <cellStyle name="1_total_오창수량산출서_수량산출서-1201_NEW단위수량-주산" xfId="3744" xr:uid="{00000000-0005-0000-0000-0000670F0000}"/>
    <cellStyle name="1_total_오창수량산출서_수량산출서-1201_남대천단위수량" xfId="3736" xr:uid="{00000000-0005-0000-0000-0000680F0000}"/>
    <cellStyle name="1_total_오창수량산출서_수량산출서-1201_단위수량" xfId="3737" xr:uid="{00000000-0005-0000-0000-0000690F0000}"/>
    <cellStyle name="1_total_오창수량산출서_수량산출서-1201_단위수량1" xfId="3738" xr:uid="{00000000-0005-0000-0000-00006A0F0000}"/>
    <cellStyle name="1_total_오창수량산출서_수량산출서-1201_단위수량15" xfId="3739" xr:uid="{00000000-0005-0000-0000-00006B0F0000}"/>
    <cellStyle name="1_total_오창수량산출서_수량산출서-1201_도곡단위수량" xfId="3740" xr:uid="{00000000-0005-0000-0000-00006C0F0000}"/>
    <cellStyle name="1_total_오창수량산출서_수량산출서-1201_철거단위수량" xfId="3741" xr:uid="{00000000-0005-0000-0000-00006D0F0000}"/>
    <cellStyle name="1_total_오창수량산출서_수량산출서-1201_철거수량" xfId="3742" xr:uid="{00000000-0005-0000-0000-00006E0F0000}"/>
    <cellStyle name="1_total_오창수량산출서_수량산출서-1201_한수단위수량" xfId="3743" xr:uid="{00000000-0005-0000-0000-00006F0F0000}"/>
    <cellStyle name="1_total_오창수량산출서_시설물단위수량" xfId="3745" xr:uid="{00000000-0005-0000-0000-0000700F0000}"/>
    <cellStyle name="1_total_오창수량산출서_시설물단위수량1" xfId="3746" xr:uid="{00000000-0005-0000-0000-0000710F0000}"/>
    <cellStyle name="1_total_오창수량산출서_시설물단위수량1_시설물단위수량" xfId="3747" xr:uid="{00000000-0005-0000-0000-0000720F0000}"/>
    <cellStyle name="1_total_오창수량산출서_철거단위수량" xfId="3748" xr:uid="{00000000-0005-0000-0000-0000730F0000}"/>
    <cellStyle name="1_total_오창수량산출서_철거수량" xfId="3749" xr:uid="{00000000-0005-0000-0000-0000740F0000}"/>
    <cellStyle name="1_total_오창수량산출서_한수단위수량" xfId="3750" xr:uid="{00000000-0005-0000-0000-0000750F0000}"/>
    <cellStyle name="1_total_용평단위수량" xfId="3752" xr:uid="{00000000-0005-0000-0000-0000760F0000}"/>
    <cellStyle name="1_total_용평수량집계" xfId="3753" xr:uid="{00000000-0005-0000-0000-0000770F0000}"/>
    <cellStyle name="1_total_운동장단위수량" xfId="3754" xr:uid="{00000000-0005-0000-0000-0000780F0000}"/>
    <cellStyle name="1_total_은파단위수량" xfId="3755" xr:uid="{00000000-0005-0000-0000-0000790F0000}"/>
    <cellStyle name="1_total_은파단위수량_NEW단위수량-주산" xfId="3821" xr:uid="{00000000-0005-0000-0000-00007A0F0000}"/>
    <cellStyle name="1_total_은파단위수량_남대천단위수량" xfId="3756" xr:uid="{00000000-0005-0000-0000-00007B0F0000}"/>
    <cellStyle name="1_total_은파단위수량_단위수량" xfId="3757" xr:uid="{00000000-0005-0000-0000-00007C0F0000}"/>
    <cellStyle name="1_total_은파단위수량_단위수량1" xfId="3758" xr:uid="{00000000-0005-0000-0000-00007D0F0000}"/>
    <cellStyle name="1_total_은파단위수량_단위수량15" xfId="3759" xr:uid="{00000000-0005-0000-0000-00007E0F0000}"/>
    <cellStyle name="1_total_은파단위수량_도곡단위수량" xfId="3760" xr:uid="{00000000-0005-0000-0000-00007F0F0000}"/>
    <cellStyle name="1_total_은파단위수량_수량산출서-11.25" xfId="3761" xr:uid="{00000000-0005-0000-0000-0000800F0000}"/>
    <cellStyle name="1_total_은파단위수량_수량산출서-11.25_NEW단위수량-주산" xfId="3770" xr:uid="{00000000-0005-0000-0000-0000810F0000}"/>
    <cellStyle name="1_total_은파단위수량_수량산출서-11.25_남대천단위수량" xfId="3762" xr:uid="{00000000-0005-0000-0000-0000820F0000}"/>
    <cellStyle name="1_total_은파단위수량_수량산출서-11.25_단위수량" xfId="3763" xr:uid="{00000000-0005-0000-0000-0000830F0000}"/>
    <cellStyle name="1_total_은파단위수량_수량산출서-11.25_단위수량1" xfId="3764" xr:uid="{00000000-0005-0000-0000-0000840F0000}"/>
    <cellStyle name="1_total_은파단위수량_수량산출서-11.25_단위수량15" xfId="3765" xr:uid="{00000000-0005-0000-0000-0000850F0000}"/>
    <cellStyle name="1_total_은파단위수량_수량산출서-11.25_도곡단위수량" xfId="3766" xr:uid="{00000000-0005-0000-0000-0000860F0000}"/>
    <cellStyle name="1_total_은파단위수량_수량산출서-11.25_철거단위수량" xfId="3767" xr:uid="{00000000-0005-0000-0000-0000870F0000}"/>
    <cellStyle name="1_total_은파단위수량_수량산출서-11.25_철거수량" xfId="3768" xr:uid="{00000000-0005-0000-0000-0000880F0000}"/>
    <cellStyle name="1_total_은파단위수량_수량산출서-11.25_한수단위수량" xfId="3769" xr:uid="{00000000-0005-0000-0000-0000890F0000}"/>
    <cellStyle name="1_total_은파단위수량_수량산출서-1201" xfId="3771" xr:uid="{00000000-0005-0000-0000-00008A0F0000}"/>
    <cellStyle name="1_total_은파단위수량_수량산출서-1201_NEW단위수량-주산" xfId="3780" xr:uid="{00000000-0005-0000-0000-00008B0F0000}"/>
    <cellStyle name="1_total_은파단위수량_수량산출서-1201_남대천단위수량" xfId="3772" xr:uid="{00000000-0005-0000-0000-00008C0F0000}"/>
    <cellStyle name="1_total_은파단위수량_수량산출서-1201_단위수량" xfId="3773" xr:uid="{00000000-0005-0000-0000-00008D0F0000}"/>
    <cellStyle name="1_total_은파단위수량_수량산출서-1201_단위수량1" xfId="3774" xr:uid="{00000000-0005-0000-0000-00008E0F0000}"/>
    <cellStyle name="1_total_은파단위수량_수량산출서-1201_단위수량15" xfId="3775" xr:uid="{00000000-0005-0000-0000-00008F0F0000}"/>
    <cellStyle name="1_total_은파단위수량_수량산출서-1201_도곡단위수량" xfId="3776" xr:uid="{00000000-0005-0000-0000-0000900F0000}"/>
    <cellStyle name="1_total_은파단위수량_수량산출서-1201_철거단위수량" xfId="3777" xr:uid="{00000000-0005-0000-0000-0000910F0000}"/>
    <cellStyle name="1_total_은파단위수량_수량산출서-1201_철거수량" xfId="3778" xr:uid="{00000000-0005-0000-0000-0000920F0000}"/>
    <cellStyle name="1_total_은파단위수량_수량산출서-1201_한수단위수량" xfId="3779" xr:uid="{00000000-0005-0000-0000-0000930F0000}"/>
    <cellStyle name="1_total_은파단위수량_시설물단위수량" xfId="3781" xr:uid="{00000000-0005-0000-0000-0000940F0000}"/>
    <cellStyle name="1_total_은파단위수량_시설물단위수량1" xfId="3782" xr:uid="{00000000-0005-0000-0000-0000950F0000}"/>
    <cellStyle name="1_total_은파단위수량_시설물단위수량1_시설물단위수량" xfId="3783" xr:uid="{00000000-0005-0000-0000-0000960F0000}"/>
    <cellStyle name="1_total_은파단위수량_오창수량산출서" xfId="3784" xr:uid="{00000000-0005-0000-0000-0000970F0000}"/>
    <cellStyle name="1_total_은파단위수량_오창수량산출서_NEW단위수량-주산" xfId="3816" xr:uid="{00000000-0005-0000-0000-0000980F0000}"/>
    <cellStyle name="1_total_은파단위수량_오창수량산출서_남대천단위수량" xfId="3785" xr:uid="{00000000-0005-0000-0000-0000990F0000}"/>
    <cellStyle name="1_total_은파단위수량_오창수량산출서_단위수량" xfId="3786" xr:uid="{00000000-0005-0000-0000-00009A0F0000}"/>
    <cellStyle name="1_total_은파단위수량_오창수량산출서_단위수량1" xfId="3787" xr:uid="{00000000-0005-0000-0000-00009B0F0000}"/>
    <cellStyle name="1_total_은파단위수량_오창수량산출서_단위수량15" xfId="3788" xr:uid="{00000000-0005-0000-0000-00009C0F0000}"/>
    <cellStyle name="1_total_은파단위수량_오창수량산출서_도곡단위수량" xfId="3789" xr:uid="{00000000-0005-0000-0000-00009D0F0000}"/>
    <cellStyle name="1_total_은파단위수량_오창수량산출서_수량산출서-11.25" xfId="3790" xr:uid="{00000000-0005-0000-0000-00009E0F0000}"/>
    <cellStyle name="1_total_은파단위수량_오창수량산출서_수량산출서-11.25_NEW단위수량-주산" xfId="3799" xr:uid="{00000000-0005-0000-0000-00009F0F0000}"/>
    <cellStyle name="1_total_은파단위수량_오창수량산출서_수량산출서-11.25_남대천단위수량" xfId="3791" xr:uid="{00000000-0005-0000-0000-0000A00F0000}"/>
    <cellStyle name="1_total_은파단위수량_오창수량산출서_수량산출서-11.25_단위수량" xfId="3792" xr:uid="{00000000-0005-0000-0000-0000A10F0000}"/>
    <cellStyle name="1_total_은파단위수량_오창수량산출서_수량산출서-11.25_단위수량1" xfId="3793" xr:uid="{00000000-0005-0000-0000-0000A20F0000}"/>
    <cellStyle name="1_total_은파단위수량_오창수량산출서_수량산출서-11.25_단위수량15" xfId="3794" xr:uid="{00000000-0005-0000-0000-0000A30F0000}"/>
    <cellStyle name="1_total_은파단위수량_오창수량산출서_수량산출서-11.25_도곡단위수량" xfId="3795" xr:uid="{00000000-0005-0000-0000-0000A40F0000}"/>
    <cellStyle name="1_total_은파단위수량_오창수량산출서_수량산출서-11.25_철거단위수량" xfId="3796" xr:uid="{00000000-0005-0000-0000-0000A50F0000}"/>
    <cellStyle name="1_total_은파단위수량_오창수량산출서_수량산출서-11.25_철거수량" xfId="3797" xr:uid="{00000000-0005-0000-0000-0000A60F0000}"/>
    <cellStyle name="1_total_은파단위수량_오창수량산출서_수량산출서-11.25_한수단위수량" xfId="3798" xr:uid="{00000000-0005-0000-0000-0000A70F0000}"/>
    <cellStyle name="1_total_은파단위수량_오창수량산출서_수량산출서-1201" xfId="3800" xr:uid="{00000000-0005-0000-0000-0000A80F0000}"/>
    <cellStyle name="1_total_은파단위수량_오창수량산출서_수량산출서-1201_NEW단위수량-주산" xfId="3809" xr:uid="{00000000-0005-0000-0000-0000A90F0000}"/>
    <cellStyle name="1_total_은파단위수량_오창수량산출서_수량산출서-1201_남대천단위수량" xfId="3801" xr:uid="{00000000-0005-0000-0000-0000AA0F0000}"/>
    <cellStyle name="1_total_은파단위수량_오창수량산출서_수량산출서-1201_단위수량" xfId="3802" xr:uid="{00000000-0005-0000-0000-0000AB0F0000}"/>
    <cellStyle name="1_total_은파단위수량_오창수량산출서_수량산출서-1201_단위수량1" xfId="3803" xr:uid="{00000000-0005-0000-0000-0000AC0F0000}"/>
    <cellStyle name="1_total_은파단위수량_오창수량산출서_수량산출서-1201_단위수량15" xfId="3804" xr:uid="{00000000-0005-0000-0000-0000AD0F0000}"/>
    <cellStyle name="1_total_은파단위수량_오창수량산출서_수량산출서-1201_도곡단위수량" xfId="3805" xr:uid="{00000000-0005-0000-0000-0000AE0F0000}"/>
    <cellStyle name="1_total_은파단위수량_오창수량산출서_수량산출서-1201_철거단위수량" xfId="3806" xr:uid="{00000000-0005-0000-0000-0000AF0F0000}"/>
    <cellStyle name="1_total_은파단위수량_오창수량산출서_수량산출서-1201_철거수량" xfId="3807" xr:uid="{00000000-0005-0000-0000-0000B00F0000}"/>
    <cellStyle name="1_total_은파단위수량_오창수량산출서_수량산출서-1201_한수단위수량" xfId="3808" xr:uid="{00000000-0005-0000-0000-0000B10F0000}"/>
    <cellStyle name="1_total_은파단위수량_오창수량산출서_시설물단위수량" xfId="3810" xr:uid="{00000000-0005-0000-0000-0000B20F0000}"/>
    <cellStyle name="1_total_은파단위수량_오창수량산출서_시설물단위수량1" xfId="3811" xr:uid="{00000000-0005-0000-0000-0000B30F0000}"/>
    <cellStyle name="1_total_은파단위수량_오창수량산출서_시설물단위수량1_시설물단위수량" xfId="3812" xr:uid="{00000000-0005-0000-0000-0000B40F0000}"/>
    <cellStyle name="1_total_은파단위수량_오창수량산출서_철거단위수량" xfId="3813" xr:uid="{00000000-0005-0000-0000-0000B50F0000}"/>
    <cellStyle name="1_total_은파단위수량_오창수량산출서_철거수량" xfId="3814" xr:uid="{00000000-0005-0000-0000-0000B60F0000}"/>
    <cellStyle name="1_total_은파단위수량_오창수량산출서_한수단위수량" xfId="3815" xr:uid="{00000000-0005-0000-0000-0000B70F0000}"/>
    <cellStyle name="1_total_은파단위수량_용평단위수량" xfId="3817" xr:uid="{00000000-0005-0000-0000-0000B80F0000}"/>
    <cellStyle name="1_total_은파단위수량_철거단위수량" xfId="3818" xr:uid="{00000000-0005-0000-0000-0000B90F0000}"/>
    <cellStyle name="1_total_은파단위수량_철거수량" xfId="3819" xr:uid="{00000000-0005-0000-0000-0000BA0F0000}"/>
    <cellStyle name="1_total_은파단위수량_한수단위수량" xfId="3820" xr:uid="{00000000-0005-0000-0000-0000BB0F0000}"/>
    <cellStyle name="1_total_은파수량집계" xfId="3822" xr:uid="{00000000-0005-0000-0000-0000BC0F0000}"/>
    <cellStyle name="1_total_인수봉길설계변경내역" xfId="1273" xr:uid="{00000000-0005-0000-0000-0000BD0F0000}"/>
    <cellStyle name="1_total_조경포장,관로시설" xfId="3823" xr:uid="{00000000-0005-0000-0000-0000BE0F0000}"/>
    <cellStyle name="1_total_조경포장,관로시설_NEW단위수량-주산" xfId="3888" xr:uid="{00000000-0005-0000-0000-0000BF0F0000}"/>
    <cellStyle name="1_total_조경포장,관로시설_남대천단위수량" xfId="3824" xr:uid="{00000000-0005-0000-0000-0000C00F0000}"/>
    <cellStyle name="1_total_조경포장,관로시설_단위수량" xfId="3825" xr:uid="{00000000-0005-0000-0000-0000C10F0000}"/>
    <cellStyle name="1_total_조경포장,관로시설_단위수량1" xfId="3826" xr:uid="{00000000-0005-0000-0000-0000C20F0000}"/>
    <cellStyle name="1_total_조경포장,관로시설_단위수량15" xfId="3827" xr:uid="{00000000-0005-0000-0000-0000C30F0000}"/>
    <cellStyle name="1_total_조경포장,관로시설_도곡단위수량" xfId="3828" xr:uid="{00000000-0005-0000-0000-0000C40F0000}"/>
    <cellStyle name="1_total_조경포장,관로시설_수량산출서-11.25" xfId="3829" xr:uid="{00000000-0005-0000-0000-0000C50F0000}"/>
    <cellStyle name="1_total_조경포장,관로시설_수량산출서-11.25_NEW단위수량-주산" xfId="3838" xr:uid="{00000000-0005-0000-0000-0000C60F0000}"/>
    <cellStyle name="1_total_조경포장,관로시설_수량산출서-11.25_남대천단위수량" xfId="3830" xr:uid="{00000000-0005-0000-0000-0000C70F0000}"/>
    <cellStyle name="1_total_조경포장,관로시설_수량산출서-11.25_단위수량" xfId="3831" xr:uid="{00000000-0005-0000-0000-0000C80F0000}"/>
    <cellStyle name="1_total_조경포장,관로시설_수량산출서-11.25_단위수량1" xfId="3832" xr:uid="{00000000-0005-0000-0000-0000C90F0000}"/>
    <cellStyle name="1_total_조경포장,관로시설_수량산출서-11.25_단위수량15" xfId="3833" xr:uid="{00000000-0005-0000-0000-0000CA0F0000}"/>
    <cellStyle name="1_total_조경포장,관로시설_수량산출서-11.25_도곡단위수량" xfId="3834" xr:uid="{00000000-0005-0000-0000-0000CB0F0000}"/>
    <cellStyle name="1_total_조경포장,관로시설_수량산출서-11.25_철거단위수량" xfId="3835" xr:uid="{00000000-0005-0000-0000-0000CC0F0000}"/>
    <cellStyle name="1_total_조경포장,관로시설_수량산출서-11.25_철거수량" xfId="3836" xr:uid="{00000000-0005-0000-0000-0000CD0F0000}"/>
    <cellStyle name="1_total_조경포장,관로시설_수량산출서-11.25_한수단위수량" xfId="3837" xr:uid="{00000000-0005-0000-0000-0000CE0F0000}"/>
    <cellStyle name="1_total_조경포장,관로시설_수량산출서-1201" xfId="3839" xr:uid="{00000000-0005-0000-0000-0000CF0F0000}"/>
    <cellStyle name="1_total_조경포장,관로시설_수량산출서-1201_NEW단위수량-주산" xfId="3848" xr:uid="{00000000-0005-0000-0000-0000D00F0000}"/>
    <cellStyle name="1_total_조경포장,관로시설_수량산출서-1201_남대천단위수량" xfId="3840" xr:uid="{00000000-0005-0000-0000-0000D10F0000}"/>
    <cellStyle name="1_total_조경포장,관로시설_수량산출서-1201_단위수량" xfId="3841" xr:uid="{00000000-0005-0000-0000-0000D20F0000}"/>
    <cellStyle name="1_total_조경포장,관로시설_수량산출서-1201_단위수량1" xfId="3842" xr:uid="{00000000-0005-0000-0000-0000D30F0000}"/>
    <cellStyle name="1_total_조경포장,관로시설_수량산출서-1201_단위수량15" xfId="3843" xr:uid="{00000000-0005-0000-0000-0000D40F0000}"/>
    <cellStyle name="1_total_조경포장,관로시설_수량산출서-1201_도곡단위수량" xfId="3844" xr:uid="{00000000-0005-0000-0000-0000D50F0000}"/>
    <cellStyle name="1_total_조경포장,관로시설_수량산출서-1201_철거단위수량" xfId="3845" xr:uid="{00000000-0005-0000-0000-0000D60F0000}"/>
    <cellStyle name="1_total_조경포장,관로시설_수량산출서-1201_철거수량" xfId="3846" xr:uid="{00000000-0005-0000-0000-0000D70F0000}"/>
    <cellStyle name="1_total_조경포장,관로시설_수량산출서-1201_한수단위수량" xfId="3847" xr:uid="{00000000-0005-0000-0000-0000D80F0000}"/>
    <cellStyle name="1_total_조경포장,관로시설_시설물단위수량" xfId="3849" xr:uid="{00000000-0005-0000-0000-0000D90F0000}"/>
    <cellStyle name="1_total_조경포장,관로시설_시설물단위수량1" xfId="3850" xr:uid="{00000000-0005-0000-0000-0000DA0F0000}"/>
    <cellStyle name="1_total_조경포장,관로시설_시설물단위수량1_시설물단위수량" xfId="3851" xr:uid="{00000000-0005-0000-0000-0000DB0F0000}"/>
    <cellStyle name="1_total_조경포장,관로시설_오창수량산출서" xfId="3852" xr:uid="{00000000-0005-0000-0000-0000DC0F0000}"/>
    <cellStyle name="1_total_조경포장,관로시설_오창수량산출서_NEW단위수량-주산" xfId="3884" xr:uid="{00000000-0005-0000-0000-0000DD0F0000}"/>
    <cellStyle name="1_total_조경포장,관로시설_오창수량산출서_남대천단위수량" xfId="3853" xr:uid="{00000000-0005-0000-0000-0000DE0F0000}"/>
    <cellStyle name="1_total_조경포장,관로시설_오창수량산출서_단위수량" xfId="3854" xr:uid="{00000000-0005-0000-0000-0000DF0F0000}"/>
    <cellStyle name="1_total_조경포장,관로시설_오창수량산출서_단위수량1" xfId="3855" xr:uid="{00000000-0005-0000-0000-0000E00F0000}"/>
    <cellStyle name="1_total_조경포장,관로시설_오창수량산출서_단위수량15" xfId="3856" xr:uid="{00000000-0005-0000-0000-0000E10F0000}"/>
    <cellStyle name="1_total_조경포장,관로시설_오창수량산출서_도곡단위수량" xfId="3857" xr:uid="{00000000-0005-0000-0000-0000E20F0000}"/>
    <cellStyle name="1_total_조경포장,관로시설_오창수량산출서_수량산출서-11.25" xfId="3858" xr:uid="{00000000-0005-0000-0000-0000E30F0000}"/>
    <cellStyle name="1_total_조경포장,관로시설_오창수량산출서_수량산출서-11.25_NEW단위수량-주산" xfId="3867" xr:uid="{00000000-0005-0000-0000-0000E40F0000}"/>
    <cellStyle name="1_total_조경포장,관로시설_오창수량산출서_수량산출서-11.25_남대천단위수량" xfId="3859" xr:uid="{00000000-0005-0000-0000-0000E50F0000}"/>
    <cellStyle name="1_total_조경포장,관로시설_오창수량산출서_수량산출서-11.25_단위수량" xfId="3860" xr:uid="{00000000-0005-0000-0000-0000E60F0000}"/>
    <cellStyle name="1_total_조경포장,관로시설_오창수량산출서_수량산출서-11.25_단위수량1" xfId="3861" xr:uid="{00000000-0005-0000-0000-0000E70F0000}"/>
    <cellStyle name="1_total_조경포장,관로시설_오창수량산출서_수량산출서-11.25_단위수량15" xfId="3862" xr:uid="{00000000-0005-0000-0000-0000E80F0000}"/>
    <cellStyle name="1_total_조경포장,관로시설_오창수량산출서_수량산출서-11.25_도곡단위수량" xfId="3863" xr:uid="{00000000-0005-0000-0000-0000E90F0000}"/>
    <cellStyle name="1_total_조경포장,관로시설_오창수량산출서_수량산출서-11.25_철거단위수량" xfId="3864" xr:uid="{00000000-0005-0000-0000-0000EA0F0000}"/>
    <cellStyle name="1_total_조경포장,관로시설_오창수량산출서_수량산출서-11.25_철거수량" xfId="3865" xr:uid="{00000000-0005-0000-0000-0000EB0F0000}"/>
    <cellStyle name="1_total_조경포장,관로시설_오창수량산출서_수량산출서-11.25_한수단위수량" xfId="3866" xr:uid="{00000000-0005-0000-0000-0000EC0F0000}"/>
    <cellStyle name="1_total_조경포장,관로시설_오창수량산출서_수량산출서-1201" xfId="3868" xr:uid="{00000000-0005-0000-0000-0000ED0F0000}"/>
    <cellStyle name="1_total_조경포장,관로시설_오창수량산출서_수량산출서-1201_NEW단위수량-주산" xfId="3877" xr:uid="{00000000-0005-0000-0000-0000EE0F0000}"/>
    <cellStyle name="1_total_조경포장,관로시설_오창수량산출서_수량산출서-1201_남대천단위수량" xfId="3869" xr:uid="{00000000-0005-0000-0000-0000EF0F0000}"/>
    <cellStyle name="1_total_조경포장,관로시설_오창수량산출서_수량산출서-1201_단위수량" xfId="3870" xr:uid="{00000000-0005-0000-0000-0000F00F0000}"/>
    <cellStyle name="1_total_조경포장,관로시설_오창수량산출서_수량산출서-1201_단위수량1" xfId="3871" xr:uid="{00000000-0005-0000-0000-0000F10F0000}"/>
    <cellStyle name="1_total_조경포장,관로시설_오창수량산출서_수량산출서-1201_단위수량15" xfId="3872" xr:uid="{00000000-0005-0000-0000-0000F20F0000}"/>
    <cellStyle name="1_total_조경포장,관로시설_오창수량산출서_수량산출서-1201_도곡단위수량" xfId="3873" xr:uid="{00000000-0005-0000-0000-0000F30F0000}"/>
    <cellStyle name="1_total_조경포장,관로시설_오창수량산출서_수량산출서-1201_철거단위수량" xfId="3874" xr:uid="{00000000-0005-0000-0000-0000F40F0000}"/>
    <cellStyle name="1_total_조경포장,관로시설_오창수량산출서_수량산출서-1201_철거수량" xfId="3875" xr:uid="{00000000-0005-0000-0000-0000F50F0000}"/>
    <cellStyle name="1_total_조경포장,관로시설_오창수량산출서_수량산출서-1201_한수단위수량" xfId="3876" xr:uid="{00000000-0005-0000-0000-0000F60F0000}"/>
    <cellStyle name="1_total_조경포장,관로시설_오창수량산출서_시설물단위수량" xfId="3878" xr:uid="{00000000-0005-0000-0000-0000F70F0000}"/>
    <cellStyle name="1_total_조경포장,관로시설_오창수량산출서_시설물단위수량1" xfId="3879" xr:uid="{00000000-0005-0000-0000-0000F80F0000}"/>
    <cellStyle name="1_total_조경포장,관로시설_오창수량산출서_시설물단위수량1_시설물단위수량" xfId="3880" xr:uid="{00000000-0005-0000-0000-0000F90F0000}"/>
    <cellStyle name="1_total_조경포장,관로시설_오창수량산출서_철거단위수량" xfId="3881" xr:uid="{00000000-0005-0000-0000-0000FA0F0000}"/>
    <cellStyle name="1_total_조경포장,관로시설_오창수량산출서_철거수량" xfId="3882" xr:uid="{00000000-0005-0000-0000-0000FB0F0000}"/>
    <cellStyle name="1_total_조경포장,관로시설_오창수량산출서_한수단위수량" xfId="3883" xr:uid="{00000000-0005-0000-0000-0000FC0F0000}"/>
    <cellStyle name="1_total_조경포장,관로시설_철거단위수량" xfId="3885" xr:uid="{00000000-0005-0000-0000-0000FD0F0000}"/>
    <cellStyle name="1_total_조경포장,관로시설_철거수량" xfId="3886" xr:uid="{00000000-0005-0000-0000-0000FE0F0000}"/>
    <cellStyle name="1_total_조경포장,관로시설_한수단위수량" xfId="3887" xr:uid="{00000000-0005-0000-0000-0000FF0F0000}"/>
    <cellStyle name="1_total_철거단위수량" xfId="3889" xr:uid="{00000000-0005-0000-0000-000000100000}"/>
    <cellStyle name="1_total_철거수량" xfId="3890" xr:uid="{00000000-0005-0000-0000-000001100000}"/>
    <cellStyle name="1_total_총괄내역0518" xfId="1993" xr:uid="{00000000-0005-0000-0000-000002100000}"/>
    <cellStyle name="1_total_총괄내역0518_구로리설계예산서1029" xfId="1994" xr:uid="{00000000-0005-0000-0000-000003100000}"/>
    <cellStyle name="1_total_총괄내역0518_구로리설계예산서1029_내역서(우이천변)" xfId="1995" xr:uid="{00000000-0005-0000-0000-000004100000}"/>
    <cellStyle name="1_total_총괄내역0518_구로리설계예산서1029_내역서1128" xfId="1996" xr:uid="{00000000-0005-0000-0000-000005100000}"/>
    <cellStyle name="1_total_총괄내역0518_구로리설계예산서1118준공" xfId="1997" xr:uid="{00000000-0005-0000-0000-000006100000}"/>
    <cellStyle name="1_total_총괄내역0518_구로리설계예산서1118준공_내역서(우이천변)" xfId="1998" xr:uid="{00000000-0005-0000-0000-000007100000}"/>
    <cellStyle name="1_total_총괄내역0518_구로리설계예산서1118준공_내역서1128" xfId="1999" xr:uid="{00000000-0005-0000-0000-000008100000}"/>
    <cellStyle name="1_total_총괄내역0518_구로리설계예산서조경" xfId="2000" xr:uid="{00000000-0005-0000-0000-000009100000}"/>
    <cellStyle name="1_total_총괄내역0518_구로리설계예산서조경_내역서(우이천변)" xfId="2001" xr:uid="{00000000-0005-0000-0000-00000A100000}"/>
    <cellStyle name="1_total_총괄내역0518_구로리설계예산서조경_내역서1128" xfId="2002" xr:uid="{00000000-0005-0000-0000-00000B100000}"/>
    <cellStyle name="1_total_총괄내역0518_구로리어린이공원예산서(조경)1125" xfId="2003" xr:uid="{00000000-0005-0000-0000-00000C100000}"/>
    <cellStyle name="1_total_총괄내역0518_구로리어린이공원예산서(조경)1125_내역서(우이천변)" xfId="2004" xr:uid="{00000000-0005-0000-0000-00000D100000}"/>
    <cellStyle name="1_total_총괄내역0518_구로리어린이공원예산서(조경)1125_내역서1128" xfId="2005" xr:uid="{00000000-0005-0000-0000-00000E100000}"/>
    <cellStyle name="1_total_총괄내역0518_내역서" xfId="2006" xr:uid="{00000000-0005-0000-0000-00000F100000}"/>
    <cellStyle name="1_total_총괄내역0518_내역서(우이천변)" xfId="2007" xr:uid="{00000000-0005-0000-0000-000010100000}"/>
    <cellStyle name="1_total_총괄내역0518_내역서_내역서(우이천변)" xfId="2008" xr:uid="{00000000-0005-0000-0000-000011100000}"/>
    <cellStyle name="1_total_총괄내역0518_내역서_내역서1128" xfId="2009" xr:uid="{00000000-0005-0000-0000-000012100000}"/>
    <cellStyle name="1_total_총괄내역0518_내역서1128" xfId="2010" xr:uid="{00000000-0005-0000-0000-000013100000}"/>
    <cellStyle name="1_total_총괄내역0518_노임단가표" xfId="2011" xr:uid="{00000000-0005-0000-0000-000014100000}"/>
    <cellStyle name="1_total_총괄내역0518_노임단가표_내역서(우이천변)" xfId="2012" xr:uid="{00000000-0005-0000-0000-000015100000}"/>
    <cellStyle name="1_total_총괄내역0518_노임단가표_내역서1128" xfId="2013" xr:uid="{00000000-0005-0000-0000-000016100000}"/>
    <cellStyle name="1_total_총괄내역0518_수도권매립지" xfId="2014" xr:uid="{00000000-0005-0000-0000-000017100000}"/>
    <cellStyle name="1_total_총괄내역0518_수도권매립지_내역서(우이천변)" xfId="2015" xr:uid="{00000000-0005-0000-0000-000018100000}"/>
    <cellStyle name="1_total_총괄내역0518_수도권매립지_내역서1128" xfId="2016" xr:uid="{00000000-0005-0000-0000-000019100000}"/>
    <cellStyle name="1_total_총괄내역0518_수도권매립지1004(발주용)" xfId="2017" xr:uid="{00000000-0005-0000-0000-00001A100000}"/>
    <cellStyle name="1_total_총괄내역0518_수도권매립지1004(발주용)_내역서(우이천변)" xfId="2018" xr:uid="{00000000-0005-0000-0000-00001B100000}"/>
    <cellStyle name="1_total_총괄내역0518_수도권매립지1004(발주용)_내역서1128" xfId="2019" xr:uid="{00000000-0005-0000-0000-00001C100000}"/>
    <cellStyle name="1_total_총괄내역0518_일신건영설계예산서(0211)" xfId="2020" xr:uid="{00000000-0005-0000-0000-00001D100000}"/>
    <cellStyle name="1_total_총괄내역0518_일신건영설계예산서(0211)_내역서(우이천변)" xfId="2021" xr:uid="{00000000-0005-0000-0000-00001E100000}"/>
    <cellStyle name="1_total_총괄내역0518_일신건영설계예산서(0211)_내역서1128" xfId="2022" xr:uid="{00000000-0005-0000-0000-00001F100000}"/>
    <cellStyle name="1_total_총괄내역0518_일위대가" xfId="2023" xr:uid="{00000000-0005-0000-0000-000020100000}"/>
    <cellStyle name="1_total_총괄내역0518_일위대가_내역서(우이천변)" xfId="2024" xr:uid="{00000000-0005-0000-0000-000021100000}"/>
    <cellStyle name="1_total_총괄내역0518_일위대가_내역서1128" xfId="2025" xr:uid="{00000000-0005-0000-0000-000022100000}"/>
    <cellStyle name="1_total_총괄내역0518_자재단가표" xfId="2026" xr:uid="{00000000-0005-0000-0000-000023100000}"/>
    <cellStyle name="1_total_총괄내역0518_자재단가표_내역서(우이천변)" xfId="2027" xr:uid="{00000000-0005-0000-0000-000024100000}"/>
    <cellStyle name="1_total_총괄내역0518_자재단가표_내역서1128" xfId="2028" xr:uid="{00000000-0005-0000-0000-000025100000}"/>
    <cellStyle name="1_total_총괄내역0518_장안초등학교내역0814" xfId="2029" xr:uid="{00000000-0005-0000-0000-000026100000}"/>
    <cellStyle name="1_total_총괄내역0518_장안초등학교내역0814_내역서(우이천변)" xfId="2030" xr:uid="{00000000-0005-0000-0000-000027100000}"/>
    <cellStyle name="1_total_총괄내역0518_장안초등학교내역0814_내역서1128" xfId="2031" xr:uid="{00000000-0005-0000-0000-000028100000}"/>
    <cellStyle name="1_total_충남대단위수량" xfId="3891" xr:uid="{00000000-0005-0000-0000-000029100000}"/>
    <cellStyle name="1_total_터미널1" xfId="3892" xr:uid="{00000000-0005-0000-0000-00002A100000}"/>
    <cellStyle name="1_total_표지-공정표" xfId="2032" xr:uid="{00000000-0005-0000-0000-00002B100000}"/>
    <cellStyle name="1_total_표지-공정표_설계설명서0309" xfId="2033" xr:uid="{00000000-0005-0000-0000-00002C100000}"/>
    <cellStyle name="1_total_한수단위수량" xfId="3893" xr:uid="{00000000-0005-0000-0000-00002D100000}"/>
    <cellStyle name="1_total_현충묘지-예산서(조경)" xfId="1274" xr:uid="{00000000-0005-0000-0000-00002E100000}"/>
    <cellStyle name="1_total_현충묘지-예산서(조경)_00-설계서양식" xfId="2034" xr:uid="{00000000-0005-0000-0000-00002F100000}"/>
    <cellStyle name="1_total_현충묘지-예산서(조경)_00-표지예정공정표" xfId="2035" xr:uid="{00000000-0005-0000-0000-000030100000}"/>
    <cellStyle name="1_total_현충묘지-예산서(조경)_00-표지예정공정표_설계설명서0309" xfId="2036" xr:uid="{00000000-0005-0000-0000-000031100000}"/>
    <cellStyle name="1_total_현충묘지-예산서(조경)_041206 목동내역" xfId="1275" xr:uid="{00000000-0005-0000-0000-000032100000}"/>
    <cellStyle name="1_total_현충묘지-예산서(조경)_까르프-표지예정공정표" xfId="1276" xr:uid="{00000000-0005-0000-0000-000033100000}"/>
    <cellStyle name="1_total_현충묘지-예산서(조경)_까르프-표지예정공정표_00-설계서양식" xfId="2037" xr:uid="{00000000-0005-0000-0000-000034100000}"/>
    <cellStyle name="1_total_현충묘지-예산서(조경)_까르프-표지예정공정표_설계설명서0309" xfId="2038" xr:uid="{00000000-0005-0000-0000-000035100000}"/>
    <cellStyle name="1_total_현충묘지-예산서(조경)_까르프-표지예정공정표_영등포잔여구간변경내역-0608" xfId="1277" xr:uid="{00000000-0005-0000-0000-000036100000}"/>
    <cellStyle name="1_total_현충묘지-예산서(조경)_까르프-표지예정공정표_인수봉길설계변경내역" xfId="1278" xr:uid="{00000000-0005-0000-0000-000037100000}"/>
    <cellStyle name="1_total_현충묘지-예산서(조경)_대전가오-설계서" xfId="2039" xr:uid="{00000000-0005-0000-0000-000038100000}"/>
    <cellStyle name="1_total_현충묘지-예산서(조경)_대전가오-설계서(관리)" xfId="2040" xr:uid="{00000000-0005-0000-0000-000039100000}"/>
    <cellStyle name="1_total_현충묘지-예산서(조경)_대전가오-설계서1" xfId="2041" xr:uid="{00000000-0005-0000-0000-00003A100000}"/>
    <cellStyle name="1_total_현충묘지-예산서(조경)_목동내역" xfId="3894" xr:uid="{00000000-0005-0000-0000-00003B100000}"/>
    <cellStyle name="1_total_현충묘지-예산서(조경)_목동내역_폐기물집계" xfId="3895" xr:uid="{00000000-0005-0000-0000-00003C100000}"/>
    <cellStyle name="1_total_현충묘지-예산서(조경)_설계설명서0309" xfId="2042" xr:uid="{00000000-0005-0000-0000-00003D100000}"/>
    <cellStyle name="1_total_현충묘지-예산서(조경)_영등포잔여구간변경내역-0608" xfId="1279" xr:uid="{00000000-0005-0000-0000-00003E100000}"/>
    <cellStyle name="1_total_현충묘지-예산서(조경)_예산서-엑셀변환양식100" xfId="1280" xr:uid="{00000000-0005-0000-0000-00003F100000}"/>
    <cellStyle name="1_total_현충묘지-예산서(조경)_예산서-엑셀변환양식100_00-예산서양식100" xfId="2043" xr:uid="{00000000-0005-0000-0000-000040100000}"/>
    <cellStyle name="1_total_현충묘지-예산서(조경)_예산서-엑셀변환양식100_00-예산서양식100_00-설계서양식" xfId="2044" xr:uid="{00000000-0005-0000-0000-000041100000}"/>
    <cellStyle name="1_total_현충묘지-예산서(조경)_예산서-엑셀변환양식100_00-예산서양식100_대전가오-설계서" xfId="2045" xr:uid="{00000000-0005-0000-0000-000042100000}"/>
    <cellStyle name="1_total_현충묘지-예산서(조경)_예산서-엑셀변환양식100_00-예산서양식100_대전가오-설계서(관리)" xfId="2046" xr:uid="{00000000-0005-0000-0000-000043100000}"/>
    <cellStyle name="1_total_현충묘지-예산서(조경)_예산서-엑셀변환양식100_00-예산서양식100_대전가오-설계서1" xfId="2047" xr:uid="{00000000-0005-0000-0000-000044100000}"/>
    <cellStyle name="1_total_현충묘지-예산서(조경)_예산서-엑셀변환양식100_00-예산서양식100_설계설명서0309" xfId="2048" xr:uid="{00000000-0005-0000-0000-000045100000}"/>
    <cellStyle name="1_total_현충묘지-예산서(조경)_예산서-엑셀변환양식100_00-표지예정공정표" xfId="2049" xr:uid="{00000000-0005-0000-0000-000046100000}"/>
    <cellStyle name="1_total_현충묘지-예산서(조경)_예산서-엑셀변환양식100_041206 목동내역" xfId="1281" xr:uid="{00000000-0005-0000-0000-000047100000}"/>
    <cellStyle name="1_total_현충묘지-예산서(조경)_예산서-엑셀변환양식100_광진구-설계서(1006)" xfId="2050" xr:uid="{00000000-0005-0000-0000-000048100000}"/>
    <cellStyle name="1_total_현충묘지-예산서(조경)_예산서-엑셀변환양식100_광진구-설계서(1006)_설계설명서0309" xfId="2051" xr:uid="{00000000-0005-0000-0000-000049100000}"/>
    <cellStyle name="1_total_현충묘지-예산서(조경)_예산서-엑셀변환양식100_목동내역" xfId="3896" xr:uid="{00000000-0005-0000-0000-00004A100000}"/>
    <cellStyle name="1_total_현충묘지-예산서(조경)_예산서-엑셀변환양식100_목동내역_폐기물집계" xfId="3897" xr:uid="{00000000-0005-0000-0000-00004B100000}"/>
    <cellStyle name="1_total_현충묘지-예산서(조경)_예산서-엑셀변환양식100_영등포잔여구간변경내역-0608" xfId="1282" xr:uid="{00000000-0005-0000-0000-00004C100000}"/>
    <cellStyle name="1_total_현충묘지-예산서(조경)_예산서-엑셀변환양식100_인수봉길설계변경내역" xfId="1283" xr:uid="{00000000-0005-0000-0000-00004D100000}"/>
    <cellStyle name="1_total_현충묘지-예산서(조경)_예산서-엑셀변환양식100_표지-공정표" xfId="2052" xr:uid="{00000000-0005-0000-0000-00004E100000}"/>
    <cellStyle name="1_total_현충묘지-예산서(조경)_예산서-엑셀변환양식100_표지-공정표_설계설명서0309" xfId="2053" xr:uid="{00000000-0005-0000-0000-00004F100000}"/>
    <cellStyle name="1_total_현충묘지-예산서(조경)_인수봉길설계변경내역" xfId="1284" xr:uid="{00000000-0005-0000-0000-000050100000}"/>
    <cellStyle name="1_total_현충묘지-예산서(조경)_표지-공정표" xfId="2054" xr:uid="{00000000-0005-0000-0000-000051100000}"/>
    <cellStyle name="1_total_현충묘지-예산서(조경)_표지-공정표_설계설명서0309" xfId="2055" xr:uid="{00000000-0005-0000-0000-000052100000}"/>
    <cellStyle name="1_total_현충묘지-예산서(조경)_표지예정공정표" xfId="1285" xr:uid="{00000000-0005-0000-0000-000053100000}"/>
    <cellStyle name="1_total_현충묘지-예산서(조경)_-표지예정공정표" xfId="1286" xr:uid="{00000000-0005-0000-0000-000054100000}"/>
    <cellStyle name="1_total_현충묘지-예산서(조경)_표지예정공정표_00-설계서양식" xfId="2056" xr:uid="{00000000-0005-0000-0000-000055100000}"/>
    <cellStyle name="1_total_현충묘지-예산서(조경)_-표지예정공정표_00-설계서양식" xfId="2057" xr:uid="{00000000-0005-0000-0000-000056100000}"/>
    <cellStyle name="1_total_현충묘지-예산서(조경)_표지예정공정표_설계설명서0309" xfId="2058" xr:uid="{00000000-0005-0000-0000-000057100000}"/>
    <cellStyle name="1_total_현충묘지-예산서(조경)_-표지예정공정표_설계설명서0309" xfId="2059" xr:uid="{00000000-0005-0000-0000-000058100000}"/>
    <cellStyle name="1_total_현충묘지-예산서(조경)_표지예정공정표_영등포잔여구간변경내역-0608" xfId="1287" xr:uid="{00000000-0005-0000-0000-000059100000}"/>
    <cellStyle name="1_total_현충묘지-예산서(조경)_-표지예정공정표_영등포잔여구간변경내역-0608" xfId="1288" xr:uid="{00000000-0005-0000-0000-00005A100000}"/>
    <cellStyle name="1_total_현충묘지-예산서(조경)_표지예정공정표_인수봉길설계변경내역" xfId="1289" xr:uid="{00000000-0005-0000-0000-00005B100000}"/>
    <cellStyle name="1_total_현충묘지-예산서(조경)_-표지예정공정표_인수봉길설계변경내역" xfId="1290" xr:uid="{00000000-0005-0000-0000-00005C100000}"/>
    <cellStyle name="1_total_화명공사비" xfId="3898" xr:uid="{00000000-0005-0000-0000-00005D100000}"/>
    <cellStyle name="1_total_휴게시설" xfId="3899" xr:uid="{00000000-0005-0000-0000-00005E100000}"/>
    <cellStyle name="1_total_휴게시설_NEW단위수량-주산" xfId="3964" xr:uid="{00000000-0005-0000-0000-00005F100000}"/>
    <cellStyle name="1_total_휴게시설_남대천단위수량" xfId="3900" xr:uid="{00000000-0005-0000-0000-000060100000}"/>
    <cellStyle name="1_total_휴게시설_단위수량" xfId="3901" xr:uid="{00000000-0005-0000-0000-000061100000}"/>
    <cellStyle name="1_total_휴게시설_단위수량1" xfId="3902" xr:uid="{00000000-0005-0000-0000-000062100000}"/>
    <cellStyle name="1_total_휴게시설_단위수량15" xfId="3903" xr:uid="{00000000-0005-0000-0000-000063100000}"/>
    <cellStyle name="1_total_휴게시설_도곡단위수량" xfId="3904" xr:uid="{00000000-0005-0000-0000-000064100000}"/>
    <cellStyle name="1_total_휴게시설_수량산출서-11.25" xfId="3905" xr:uid="{00000000-0005-0000-0000-000065100000}"/>
    <cellStyle name="1_total_휴게시설_수량산출서-11.25_NEW단위수량-주산" xfId="3914" xr:uid="{00000000-0005-0000-0000-000066100000}"/>
    <cellStyle name="1_total_휴게시설_수량산출서-11.25_남대천단위수량" xfId="3906" xr:uid="{00000000-0005-0000-0000-000067100000}"/>
    <cellStyle name="1_total_휴게시설_수량산출서-11.25_단위수량" xfId="3907" xr:uid="{00000000-0005-0000-0000-000068100000}"/>
    <cellStyle name="1_total_휴게시설_수량산출서-11.25_단위수량1" xfId="3908" xr:uid="{00000000-0005-0000-0000-000069100000}"/>
    <cellStyle name="1_total_휴게시설_수량산출서-11.25_단위수량15" xfId="3909" xr:uid="{00000000-0005-0000-0000-00006A100000}"/>
    <cellStyle name="1_total_휴게시설_수량산출서-11.25_도곡단위수량" xfId="3910" xr:uid="{00000000-0005-0000-0000-00006B100000}"/>
    <cellStyle name="1_total_휴게시설_수량산출서-11.25_철거단위수량" xfId="3911" xr:uid="{00000000-0005-0000-0000-00006C100000}"/>
    <cellStyle name="1_total_휴게시설_수량산출서-11.25_철거수량" xfId="3912" xr:uid="{00000000-0005-0000-0000-00006D100000}"/>
    <cellStyle name="1_total_휴게시설_수량산출서-11.25_한수단위수량" xfId="3913" xr:uid="{00000000-0005-0000-0000-00006E100000}"/>
    <cellStyle name="1_total_휴게시설_수량산출서-1201" xfId="3915" xr:uid="{00000000-0005-0000-0000-00006F100000}"/>
    <cellStyle name="1_total_휴게시설_수량산출서-1201_NEW단위수량-주산" xfId="3924" xr:uid="{00000000-0005-0000-0000-000070100000}"/>
    <cellStyle name="1_total_휴게시설_수량산출서-1201_남대천단위수량" xfId="3916" xr:uid="{00000000-0005-0000-0000-000071100000}"/>
    <cellStyle name="1_total_휴게시설_수량산출서-1201_단위수량" xfId="3917" xr:uid="{00000000-0005-0000-0000-000072100000}"/>
    <cellStyle name="1_total_휴게시설_수량산출서-1201_단위수량1" xfId="3918" xr:uid="{00000000-0005-0000-0000-000073100000}"/>
    <cellStyle name="1_total_휴게시설_수량산출서-1201_단위수량15" xfId="3919" xr:uid="{00000000-0005-0000-0000-000074100000}"/>
    <cellStyle name="1_total_휴게시설_수량산출서-1201_도곡단위수량" xfId="3920" xr:uid="{00000000-0005-0000-0000-000075100000}"/>
    <cellStyle name="1_total_휴게시설_수량산출서-1201_철거단위수량" xfId="3921" xr:uid="{00000000-0005-0000-0000-000076100000}"/>
    <cellStyle name="1_total_휴게시설_수량산출서-1201_철거수량" xfId="3922" xr:uid="{00000000-0005-0000-0000-000077100000}"/>
    <cellStyle name="1_total_휴게시설_수량산출서-1201_한수단위수량" xfId="3923" xr:uid="{00000000-0005-0000-0000-000078100000}"/>
    <cellStyle name="1_total_휴게시설_시설물단위수량" xfId="3925" xr:uid="{00000000-0005-0000-0000-000079100000}"/>
    <cellStyle name="1_total_휴게시설_시설물단위수량1" xfId="3926" xr:uid="{00000000-0005-0000-0000-00007A100000}"/>
    <cellStyle name="1_total_휴게시설_시설물단위수량1_시설물단위수량" xfId="3927" xr:uid="{00000000-0005-0000-0000-00007B100000}"/>
    <cellStyle name="1_total_휴게시설_오창수량산출서" xfId="3928" xr:uid="{00000000-0005-0000-0000-00007C100000}"/>
    <cellStyle name="1_total_휴게시설_오창수량산출서_NEW단위수량-주산" xfId="3960" xr:uid="{00000000-0005-0000-0000-00007D100000}"/>
    <cellStyle name="1_total_휴게시설_오창수량산출서_남대천단위수량" xfId="3929" xr:uid="{00000000-0005-0000-0000-00007E100000}"/>
    <cellStyle name="1_total_휴게시설_오창수량산출서_단위수량" xfId="3930" xr:uid="{00000000-0005-0000-0000-00007F100000}"/>
    <cellStyle name="1_total_휴게시설_오창수량산출서_단위수량1" xfId="3931" xr:uid="{00000000-0005-0000-0000-000080100000}"/>
    <cellStyle name="1_total_휴게시설_오창수량산출서_단위수량15" xfId="3932" xr:uid="{00000000-0005-0000-0000-000081100000}"/>
    <cellStyle name="1_total_휴게시설_오창수량산출서_도곡단위수량" xfId="3933" xr:uid="{00000000-0005-0000-0000-000082100000}"/>
    <cellStyle name="1_total_휴게시설_오창수량산출서_수량산출서-11.25" xfId="3934" xr:uid="{00000000-0005-0000-0000-000083100000}"/>
    <cellStyle name="1_total_휴게시설_오창수량산출서_수량산출서-11.25_NEW단위수량-주산" xfId="3943" xr:uid="{00000000-0005-0000-0000-000084100000}"/>
    <cellStyle name="1_total_휴게시설_오창수량산출서_수량산출서-11.25_남대천단위수량" xfId="3935" xr:uid="{00000000-0005-0000-0000-000085100000}"/>
    <cellStyle name="1_total_휴게시설_오창수량산출서_수량산출서-11.25_단위수량" xfId="3936" xr:uid="{00000000-0005-0000-0000-000086100000}"/>
    <cellStyle name="1_total_휴게시설_오창수량산출서_수량산출서-11.25_단위수량1" xfId="3937" xr:uid="{00000000-0005-0000-0000-000087100000}"/>
    <cellStyle name="1_total_휴게시설_오창수량산출서_수량산출서-11.25_단위수량15" xfId="3938" xr:uid="{00000000-0005-0000-0000-000088100000}"/>
    <cellStyle name="1_total_휴게시설_오창수량산출서_수량산출서-11.25_도곡단위수량" xfId="3939" xr:uid="{00000000-0005-0000-0000-000089100000}"/>
    <cellStyle name="1_total_휴게시설_오창수량산출서_수량산출서-11.25_철거단위수량" xfId="3940" xr:uid="{00000000-0005-0000-0000-00008A100000}"/>
    <cellStyle name="1_total_휴게시설_오창수량산출서_수량산출서-11.25_철거수량" xfId="3941" xr:uid="{00000000-0005-0000-0000-00008B100000}"/>
    <cellStyle name="1_total_휴게시설_오창수량산출서_수량산출서-11.25_한수단위수량" xfId="3942" xr:uid="{00000000-0005-0000-0000-00008C100000}"/>
    <cellStyle name="1_total_휴게시설_오창수량산출서_수량산출서-1201" xfId="3944" xr:uid="{00000000-0005-0000-0000-00008D100000}"/>
    <cellStyle name="1_total_휴게시설_오창수량산출서_수량산출서-1201_NEW단위수량-주산" xfId="3953" xr:uid="{00000000-0005-0000-0000-00008E100000}"/>
    <cellStyle name="1_total_휴게시설_오창수량산출서_수량산출서-1201_남대천단위수량" xfId="3945" xr:uid="{00000000-0005-0000-0000-00008F100000}"/>
    <cellStyle name="1_total_휴게시설_오창수량산출서_수량산출서-1201_단위수량" xfId="3946" xr:uid="{00000000-0005-0000-0000-000090100000}"/>
    <cellStyle name="1_total_휴게시설_오창수량산출서_수량산출서-1201_단위수량1" xfId="3947" xr:uid="{00000000-0005-0000-0000-000091100000}"/>
    <cellStyle name="1_total_휴게시설_오창수량산출서_수량산출서-1201_단위수량15" xfId="3948" xr:uid="{00000000-0005-0000-0000-000092100000}"/>
    <cellStyle name="1_total_휴게시설_오창수량산출서_수량산출서-1201_도곡단위수량" xfId="3949" xr:uid="{00000000-0005-0000-0000-000093100000}"/>
    <cellStyle name="1_total_휴게시설_오창수량산출서_수량산출서-1201_철거단위수량" xfId="3950" xr:uid="{00000000-0005-0000-0000-000094100000}"/>
    <cellStyle name="1_total_휴게시설_오창수량산출서_수량산출서-1201_철거수량" xfId="3951" xr:uid="{00000000-0005-0000-0000-000095100000}"/>
    <cellStyle name="1_total_휴게시설_오창수량산출서_수량산출서-1201_한수단위수량" xfId="3952" xr:uid="{00000000-0005-0000-0000-000096100000}"/>
    <cellStyle name="1_total_휴게시설_오창수량산출서_시설물단위수량" xfId="3954" xr:uid="{00000000-0005-0000-0000-000097100000}"/>
    <cellStyle name="1_total_휴게시설_오창수량산출서_시설물단위수량1" xfId="3955" xr:uid="{00000000-0005-0000-0000-000098100000}"/>
    <cellStyle name="1_total_휴게시설_오창수량산출서_시설물단위수량1_시설물단위수량" xfId="3956" xr:uid="{00000000-0005-0000-0000-000099100000}"/>
    <cellStyle name="1_total_휴게시설_오창수량산출서_철거단위수량" xfId="3957" xr:uid="{00000000-0005-0000-0000-00009A100000}"/>
    <cellStyle name="1_total_휴게시설_오창수량산출서_철거수량" xfId="3958" xr:uid="{00000000-0005-0000-0000-00009B100000}"/>
    <cellStyle name="1_total_휴게시설_오창수량산출서_한수단위수량" xfId="3959" xr:uid="{00000000-0005-0000-0000-00009C100000}"/>
    <cellStyle name="1_total_휴게시설_철거단위수량" xfId="3961" xr:uid="{00000000-0005-0000-0000-00009D100000}"/>
    <cellStyle name="1_total_휴게시설_철거수량" xfId="3962" xr:uid="{00000000-0005-0000-0000-00009E100000}"/>
    <cellStyle name="1_total_휴게시설_한수단위수량" xfId="3963" xr:uid="{00000000-0005-0000-0000-00009F100000}"/>
    <cellStyle name="1_tree" xfId="14" xr:uid="{00000000-0005-0000-0000-0000A0100000}"/>
    <cellStyle name="1_tree 2" xfId="1291" xr:uid="{00000000-0005-0000-0000-0000A1100000}"/>
    <cellStyle name="1_tree 2 2" xfId="7356" xr:uid="{00000000-0005-0000-0000-0000A2100000}"/>
    <cellStyle name="1_tree_00-예산서양식100" xfId="2060" xr:uid="{00000000-0005-0000-0000-0000A3100000}"/>
    <cellStyle name="1_tree_00-예산서양식100_00-설계서양식" xfId="2061" xr:uid="{00000000-0005-0000-0000-0000A4100000}"/>
    <cellStyle name="1_tree_00-예산서양식100_대전가오-설계서" xfId="2062" xr:uid="{00000000-0005-0000-0000-0000A5100000}"/>
    <cellStyle name="1_tree_00-예산서양식100_대전가오-설계서(관리)" xfId="2063" xr:uid="{00000000-0005-0000-0000-0000A6100000}"/>
    <cellStyle name="1_tree_00-예산서양식100_대전가오-설계서1" xfId="2064" xr:uid="{00000000-0005-0000-0000-0000A7100000}"/>
    <cellStyle name="1_tree_00-예산서양식100_설계설명서0309" xfId="2065" xr:uid="{00000000-0005-0000-0000-0000A8100000}"/>
    <cellStyle name="1_tree_00-표지예정공정표" xfId="2066" xr:uid="{00000000-0005-0000-0000-0000A9100000}"/>
    <cellStyle name="1_tree_041206 목동내역" xfId="1292" xr:uid="{00000000-0005-0000-0000-0000AA100000}"/>
    <cellStyle name="1_tree_10.24종합" xfId="3972" xr:uid="{00000000-0005-0000-0000-0000AB100000}"/>
    <cellStyle name="1_tree_10.24종합_NEW단위수량-주산" xfId="4037" xr:uid="{00000000-0005-0000-0000-0000AC100000}"/>
    <cellStyle name="1_tree_10.24종합_남대천단위수량" xfId="3973" xr:uid="{00000000-0005-0000-0000-0000AD100000}"/>
    <cellStyle name="1_tree_10.24종합_단위수량" xfId="3974" xr:uid="{00000000-0005-0000-0000-0000AE100000}"/>
    <cellStyle name="1_tree_10.24종합_단위수량1" xfId="3975" xr:uid="{00000000-0005-0000-0000-0000AF100000}"/>
    <cellStyle name="1_tree_10.24종합_단위수량15" xfId="3976" xr:uid="{00000000-0005-0000-0000-0000B0100000}"/>
    <cellStyle name="1_tree_10.24종합_도곡단위수량" xfId="3977" xr:uid="{00000000-0005-0000-0000-0000B1100000}"/>
    <cellStyle name="1_tree_10.24종합_수량산출서-11.25" xfId="3978" xr:uid="{00000000-0005-0000-0000-0000B2100000}"/>
    <cellStyle name="1_tree_10.24종합_수량산출서-11.25_NEW단위수량-주산" xfId="3987" xr:uid="{00000000-0005-0000-0000-0000B3100000}"/>
    <cellStyle name="1_tree_10.24종합_수량산출서-11.25_남대천단위수량" xfId="3979" xr:uid="{00000000-0005-0000-0000-0000B4100000}"/>
    <cellStyle name="1_tree_10.24종합_수량산출서-11.25_단위수량" xfId="3980" xr:uid="{00000000-0005-0000-0000-0000B5100000}"/>
    <cellStyle name="1_tree_10.24종합_수량산출서-11.25_단위수량1" xfId="3981" xr:uid="{00000000-0005-0000-0000-0000B6100000}"/>
    <cellStyle name="1_tree_10.24종합_수량산출서-11.25_단위수량15" xfId="3982" xr:uid="{00000000-0005-0000-0000-0000B7100000}"/>
    <cellStyle name="1_tree_10.24종합_수량산출서-11.25_도곡단위수량" xfId="3983" xr:uid="{00000000-0005-0000-0000-0000B8100000}"/>
    <cellStyle name="1_tree_10.24종합_수량산출서-11.25_철거단위수량" xfId="3984" xr:uid="{00000000-0005-0000-0000-0000B9100000}"/>
    <cellStyle name="1_tree_10.24종합_수량산출서-11.25_철거수량" xfId="3985" xr:uid="{00000000-0005-0000-0000-0000BA100000}"/>
    <cellStyle name="1_tree_10.24종합_수량산출서-11.25_한수단위수량" xfId="3986" xr:uid="{00000000-0005-0000-0000-0000BB100000}"/>
    <cellStyle name="1_tree_10.24종합_수량산출서-1201" xfId="3988" xr:uid="{00000000-0005-0000-0000-0000BC100000}"/>
    <cellStyle name="1_tree_10.24종합_수량산출서-1201_NEW단위수량-주산" xfId="3997" xr:uid="{00000000-0005-0000-0000-0000BD100000}"/>
    <cellStyle name="1_tree_10.24종합_수량산출서-1201_남대천단위수량" xfId="3989" xr:uid="{00000000-0005-0000-0000-0000BE100000}"/>
    <cellStyle name="1_tree_10.24종합_수량산출서-1201_단위수량" xfId="3990" xr:uid="{00000000-0005-0000-0000-0000BF100000}"/>
    <cellStyle name="1_tree_10.24종합_수량산출서-1201_단위수량1" xfId="3991" xr:uid="{00000000-0005-0000-0000-0000C0100000}"/>
    <cellStyle name="1_tree_10.24종합_수량산출서-1201_단위수량15" xfId="3992" xr:uid="{00000000-0005-0000-0000-0000C1100000}"/>
    <cellStyle name="1_tree_10.24종합_수량산출서-1201_도곡단위수량" xfId="3993" xr:uid="{00000000-0005-0000-0000-0000C2100000}"/>
    <cellStyle name="1_tree_10.24종합_수량산출서-1201_철거단위수량" xfId="3994" xr:uid="{00000000-0005-0000-0000-0000C3100000}"/>
    <cellStyle name="1_tree_10.24종합_수량산출서-1201_철거수량" xfId="3995" xr:uid="{00000000-0005-0000-0000-0000C4100000}"/>
    <cellStyle name="1_tree_10.24종합_수량산출서-1201_한수단위수량" xfId="3996" xr:uid="{00000000-0005-0000-0000-0000C5100000}"/>
    <cellStyle name="1_tree_10.24종합_시설물단위수량" xfId="3998" xr:uid="{00000000-0005-0000-0000-0000C6100000}"/>
    <cellStyle name="1_tree_10.24종합_시설물단위수량1" xfId="3999" xr:uid="{00000000-0005-0000-0000-0000C7100000}"/>
    <cellStyle name="1_tree_10.24종합_시설물단위수량1_시설물단위수량" xfId="4000" xr:uid="{00000000-0005-0000-0000-0000C8100000}"/>
    <cellStyle name="1_tree_10.24종합_오창수량산출서" xfId="4001" xr:uid="{00000000-0005-0000-0000-0000C9100000}"/>
    <cellStyle name="1_tree_10.24종합_오창수량산출서_NEW단위수량-주산" xfId="4033" xr:uid="{00000000-0005-0000-0000-0000CA100000}"/>
    <cellStyle name="1_tree_10.24종합_오창수량산출서_남대천단위수량" xfId="4002" xr:uid="{00000000-0005-0000-0000-0000CB100000}"/>
    <cellStyle name="1_tree_10.24종합_오창수량산출서_단위수량" xfId="4003" xr:uid="{00000000-0005-0000-0000-0000CC100000}"/>
    <cellStyle name="1_tree_10.24종합_오창수량산출서_단위수량1" xfId="4004" xr:uid="{00000000-0005-0000-0000-0000CD100000}"/>
    <cellStyle name="1_tree_10.24종합_오창수량산출서_단위수량15" xfId="4005" xr:uid="{00000000-0005-0000-0000-0000CE100000}"/>
    <cellStyle name="1_tree_10.24종합_오창수량산출서_도곡단위수량" xfId="4006" xr:uid="{00000000-0005-0000-0000-0000CF100000}"/>
    <cellStyle name="1_tree_10.24종합_오창수량산출서_수량산출서-11.25" xfId="4007" xr:uid="{00000000-0005-0000-0000-0000D0100000}"/>
    <cellStyle name="1_tree_10.24종합_오창수량산출서_수량산출서-11.25_NEW단위수량-주산" xfId="4016" xr:uid="{00000000-0005-0000-0000-0000D1100000}"/>
    <cellStyle name="1_tree_10.24종합_오창수량산출서_수량산출서-11.25_남대천단위수량" xfId="4008" xr:uid="{00000000-0005-0000-0000-0000D2100000}"/>
    <cellStyle name="1_tree_10.24종합_오창수량산출서_수량산출서-11.25_단위수량" xfId="4009" xr:uid="{00000000-0005-0000-0000-0000D3100000}"/>
    <cellStyle name="1_tree_10.24종합_오창수량산출서_수량산출서-11.25_단위수량1" xfId="4010" xr:uid="{00000000-0005-0000-0000-0000D4100000}"/>
    <cellStyle name="1_tree_10.24종합_오창수량산출서_수량산출서-11.25_단위수량15" xfId="4011" xr:uid="{00000000-0005-0000-0000-0000D5100000}"/>
    <cellStyle name="1_tree_10.24종합_오창수량산출서_수량산출서-11.25_도곡단위수량" xfId="4012" xr:uid="{00000000-0005-0000-0000-0000D6100000}"/>
    <cellStyle name="1_tree_10.24종합_오창수량산출서_수량산출서-11.25_철거단위수량" xfId="4013" xr:uid="{00000000-0005-0000-0000-0000D7100000}"/>
    <cellStyle name="1_tree_10.24종합_오창수량산출서_수량산출서-11.25_철거수량" xfId="4014" xr:uid="{00000000-0005-0000-0000-0000D8100000}"/>
    <cellStyle name="1_tree_10.24종합_오창수량산출서_수량산출서-11.25_한수단위수량" xfId="4015" xr:uid="{00000000-0005-0000-0000-0000D9100000}"/>
    <cellStyle name="1_tree_10.24종합_오창수량산출서_수량산출서-1201" xfId="4017" xr:uid="{00000000-0005-0000-0000-0000DA100000}"/>
    <cellStyle name="1_tree_10.24종합_오창수량산출서_수량산출서-1201_NEW단위수량-주산" xfId="4026" xr:uid="{00000000-0005-0000-0000-0000DB100000}"/>
    <cellStyle name="1_tree_10.24종합_오창수량산출서_수량산출서-1201_남대천단위수량" xfId="4018" xr:uid="{00000000-0005-0000-0000-0000DC100000}"/>
    <cellStyle name="1_tree_10.24종합_오창수량산출서_수량산출서-1201_단위수량" xfId="4019" xr:uid="{00000000-0005-0000-0000-0000DD100000}"/>
    <cellStyle name="1_tree_10.24종합_오창수량산출서_수량산출서-1201_단위수량1" xfId="4020" xr:uid="{00000000-0005-0000-0000-0000DE100000}"/>
    <cellStyle name="1_tree_10.24종합_오창수량산출서_수량산출서-1201_단위수량15" xfId="4021" xr:uid="{00000000-0005-0000-0000-0000DF100000}"/>
    <cellStyle name="1_tree_10.24종합_오창수량산출서_수량산출서-1201_도곡단위수량" xfId="4022" xr:uid="{00000000-0005-0000-0000-0000E0100000}"/>
    <cellStyle name="1_tree_10.24종합_오창수량산출서_수량산출서-1201_철거단위수량" xfId="4023" xr:uid="{00000000-0005-0000-0000-0000E1100000}"/>
    <cellStyle name="1_tree_10.24종합_오창수량산출서_수량산출서-1201_철거수량" xfId="4024" xr:uid="{00000000-0005-0000-0000-0000E2100000}"/>
    <cellStyle name="1_tree_10.24종합_오창수량산출서_수량산출서-1201_한수단위수량" xfId="4025" xr:uid="{00000000-0005-0000-0000-0000E3100000}"/>
    <cellStyle name="1_tree_10.24종합_오창수량산출서_시설물단위수량" xfId="4027" xr:uid="{00000000-0005-0000-0000-0000E4100000}"/>
    <cellStyle name="1_tree_10.24종합_오창수량산출서_시설물단위수량1" xfId="4028" xr:uid="{00000000-0005-0000-0000-0000E5100000}"/>
    <cellStyle name="1_tree_10.24종합_오창수량산출서_시설물단위수량1_시설물단위수량" xfId="4029" xr:uid="{00000000-0005-0000-0000-0000E6100000}"/>
    <cellStyle name="1_tree_10.24종합_오창수량산출서_철거단위수량" xfId="4030" xr:uid="{00000000-0005-0000-0000-0000E7100000}"/>
    <cellStyle name="1_tree_10.24종합_오창수량산출서_철거수량" xfId="4031" xr:uid="{00000000-0005-0000-0000-0000E8100000}"/>
    <cellStyle name="1_tree_10.24종합_오창수량산출서_한수단위수량" xfId="4032" xr:uid="{00000000-0005-0000-0000-0000E9100000}"/>
    <cellStyle name="1_tree_10.24종합_철거단위수량" xfId="4034" xr:uid="{00000000-0005-0000-0000-0000EA100000}"/>
    <cellStyle name="1_tree_10.24종합_철거수량" xfId="4035" xr:uid="{00000000-0005-0000-0000-0000EB100000}"/>
    <cellStyle name="1_tree_10.24종합_한수단위수량" xfId="4036" xr:uid="{00000000-0005-0000-0000-0000EC100000}"/>
    <cellStyle name="1_tree_Book2" xfId="4890" xr:uid="{00000000-0005-0000-0000-0000ED100000}"/>
    <cellStyle name="1_tree_NEW단위수량" xfId="4891" xr:uid="{00000000-0005-0000-0000-0000EE100000}"/>
    <cellStyle name="1_tree_NEW단위수량-영동" xfId="4892" xr:uid="{00000000-0005-0000-0000-0000EF100000}"/>
    <cellStyle name="1_tree_NEW단위수량-주산" xfId="4893" xr:uid="{00000000-0005-0000-0000-0000F0100000}"/>
    <cellStyle name="1_tree_Sheet1" xfId="4894" xr:uid="{00000000-0005-0000-0000-0000F1100000}"/>
    <cellStyle name="1_tree_Sheet1 2" xfId="7357" xr:uid="{00000000-0005-0000-0000-0000F2100000}"/>
    <cellStyle name="1_tree_Sheet1 2 2" xfId="7358" xr:uid="{00000000-0005-0000-0000-0000F3100000}"/>
    <cellStyle name="1_tree_Sheet1_과천놀이터설계서" xfId="4895" xr:uid="{00000000-0005-0000-0000-0000F4100000}"/>
    <cellStyle name="1_tree_Sheet1_과천놀이터설계서 2" xfId="7359" xr:uid="{00000000-0005-0000-0000-0000F5100000}"/>
    <cellStyle name="1_tree_Sheet1_과천놀이터설계서 2 2" xfId="7360" xr:uid="{00000000-0005-0000-0000-0000F6100000}"/>
    <cellStyle name="1_tree_Sheet1_덕원고-설계서갑지" xfId="7361" xr:uid="{00000000-0005-0000-0000-0000F7100000}"/>
    <cellStyle name="1_tree_Sheet1_덕원고-설계서갑지 2" xfId="7362" xr:uid="{00000000-0005-0000-0000-0000F8100000}"/>
    <cellStyle name="1_tree_Sheet1_덕원고-설계서갑지 2 2" xfId="7363" xr:uid="{00000000-0005-0000-0000-0000F9100000}"/>
    <cellStyle name="1_tree_Sheet1_총괄갑지" xfId="4896" xr:uid="{00000000-0005-0000-0000-0000FA100000}"/>
    <cellStyle name="1_tree_Sheet1_총괄갑지 2" xfId="7364" xr:uid="{00000000-0005-0000-0000-0000FB100000}"/>
    <cellStyle name="1_tree_Sheet1_총괄갑지 2 2" xfId="7365" xr:uid="{00000000-0005-0000-0000-0000FC100000}"/>
    <cellStyle name="1_tree_Sheet1_총괄내역서" xfId="4897" xr:uid="{00000000-0005-0000-0000-0000FD100000}"/>
    <cellStyle name="1_tree_Sheet1_총괄내역서 2" xfId="7366" xr:uid="{00000000-0005-0000-0000-0000FE100000}"/>
    <cellStyle name="1_tree_Sheet1_총괄내역서 2 2" xfId="7367" xr:uid="{00000000-0005-0000-0000-0000FF100000}"/>
    <cellStyle name="1_tree_갑지" xfId="4038" xr:uid="{00000000-0005-0000-0000-000000110000}"/>
    <cellStyle name="1_tree_갑지0601" xfId="4039" xr:uid="{00000000-0005-0000-0000-000001110000}"/>
    <cellStyle name="1_tree_갑지0601 2" xfId="7368" xr:uid="{00000000-0005-0000-0000-000002110000}"/>
    <cellStyle name="1_tree_갑지0601 2 2" xfId="7369" xr:uid="{00000000-0005-0000-0000-000003110000}"/>
    <cellStyle name="1_tree_갑지0601_과천놀이터설계서" xfId="4040" xr:uid="{00000000-0005-0000-0000-000004110000}"/>
    <cellStyle name="1_tree_갑지0601_과천놀이터설계서 2" xfId="7370" xr:uid="{00000000-0005-0000-0000-000005110000}"/>
    <cellStyle name="1_tree_갑지0601_과천놀이터설계서 2 2" xfId="7371" xr:uid="{00000000-0005-0000-0000-000006110000}"/>
    <cellStyle name="1_tree_갑지0601_덕원고-설계서갑지" xfId="7372" xr:uid="{00000000-0005-0000-0000-000007110000}"/>
    <cellStyle name="1_tree_갑지0601_덕원고-설계서갑지 2" xfId="7373" xr:uid="{00000000-0005-0000-0000-000008110000}"/>
    <cellStyle name="1_tree_갑지0601_덕원고-설계서갑지 2 2" xfId="7374" xr:uid="{00000000-0005-0000-0000-000009110000}"/>
    <cellStyle name="1_tree_갑지0601_총괄갑지" xfId="4041" xr:uid="{00000000-0005-0000-0000-00000A110000}"/>
    <cellStyle name="1_tree_갑지0601_총괄갑지 2" xfId="7375" xr:uid="{00000000-0005-0000-0000-00000B110000}"/>
    <cellStyle name="1_tree_갑지0601_총괄갑지 2 2" xfId="7376" xr:uid="{00000000-0005-0000-0000-00000C110000}"/>
    <cellStyle name="1_tree_갑지0601_총괄내역서" xfId="4042" xr:uid="{00000000-0005-0000-0000-00000D110000}"/>
    <cellStyle name="1_tree_갑지0601_총괄내역서 2" xfId="7377" xr:uid="{00000000-0005-0000-0000-00000E110000}"/>
    <cellStyle name="1_tree_갑지0601_총괄내역서 2 2" xfId="7378" xr:uid="{00000000-0005-0000-0000-00000F110000}"/>
    <cellStyle name="1_tree_개략공사비" xfId="4043" xr:uid="{00000000-0005-0000-0000-000010110000}"/>
    <cellStyle name="1_tree_개략예산" xfId="4044" xr:uid="{00000000-0005-0000-0000-000011110000}"/>
    <cellStyle name="1_tree_골프장수목" xfId="4045" xr:uid="{00000000-0005-0000-0000-000012110000}"/>
    <cellStyle name="1_tree_공사비" xfId="4046" xr:uid="{00000000-0005-0000-0000-000013110000}"/>
    <cellStyle name="1_tree_공사비(1차조정1120)" xfId="4047" xr:uid="{00000000-0005-0000-0000-000014110000}"/>
    <cellStyle name="1_tree_공사비조정(1128)" xfId="4048" xr:uid="{00000000-0005-0000-0000-000015110000}"/>
    <cellStyle name="1_tree_공사예가(휘경동)-설계가" xfId="4049" xr:uid="{00000000-0005-0000-0000-000016110000}"/>
    <cellStyle name="1_tree_과천수량집계" xfId="4050" xr:uid="{00000000-0005-0000-0000-000017110000}"/>
    <cellStyle name="1_tree_관로시설물" xfId="4051" xr:uid="{00000000-0005-0000-0000-000018110000}"/>
    <cellStyle name="1_tree_관로시설물_NEW단위수량-주산" xfId="4116" xr:uid="{00000000-0005-0000-0000-000019110000}"/>
    <cellStyle name="1_tree_관로시설물_남대천단위수량" xfId="4052" xr:uid="{00000000-0005-0000-0000-00001A110000}"/>
    <cellStyle name="1_tree_관로시설물_단위수량" xfId="4053" xr:uid="{00000000-0005-0000-0000-00001B110000}"/>
    <cellStyle name="1_tree_관로시설물_단위수량1" xfId="4054" xr:uid="{00000000-0005-0000-0000-00001C110000}"/>
    <cellStyle name="1_tree_관로시설물_단위수량15" xfId="4055" xr:uid="{00000000-0005-0000-0000-00001D110000}"/>
    <cellStyle name="1_tree_관로시설물_도곡단위수량" xfId="4056" xr:uid="{00000000-0005-0000-0000-00001E110000}"/>
    <cellStyle name="1_tree_관로시설물_수량산출서-11.25" xfId="4057" xr:uid="{00000000-0005-0000-0000-00001F110000}"/>
    <cellStyle name="1_tree_관로시설물_수량산출서-11.25_NEW단위수량-주산" xfId="4066" xr:uid="{00000000-0005-0000-0000-000020110000}"/>
    <cellStyle name="1_tree_관로시설물_수량산출서-11.25_남대천단위수량" xfId="4058" xr:uid="{00000000-0005-0000-0000-000021110000}"/>
    <cellStyle name="1_tree_관로시설물_수량산출서-11.25_단위수량" xfId="4059" xr:uid="{00000000-0005-0000-0000-000022110000}"/>
    <cellStyle name="1_tree_관로시설물_수량산출서-11.25_단위수량1" xfId="4060" xr:uid="{00000000-0005-0000-0000-000023110000}"/>
    <cellStyle name="1_tree_관로시설물_수량산출서-11.25_단위수량15" xfId="4061" xr:uid="{00000000-0005-0000-0000-000024110000}"/>
    <cellStyle name="1_tree_관로시설물_수량산출서-11.25_도곡단위수량" xfId="4062" xr:uid="{00000000-0005-0000-0000-000025110000}"/>
    <cellStyle name="1_tree_관로시설물_수량산출서-11.25_철거단위수량" xfId="4063" xr:uid="{00000000-0005-0000-0000-000026110000}"/>
    <cellStyle name="1_tree_관로시설물_수량산출서-11.25_철거수량" xfId="4064" xr:uid="{00000000-0005-0000-0000-000027110000}"/>
    <cellStyle name="1_tree_관로시설물_수량산출서-11.25_한수단위수량" xfId="4065" xr:uid="{00000000-0005-0000-0000-000028110000}"/>
    <cellStyle name="1_tree_관로시설물_수량산출서-1201" xfId="4067" xr:uid="{00000000-0005-0000-0000-000029110000}"/>
    <cellStyle name="1_tree_관로시설물_수량산출서-1201_NEW단위수량-주산" xfId="4076" xr:uid="{00000000-0005-0000-0000-00002A110000}"/>
    <cellStyle name="1_tree_관로시설물_수량산출서-1201_남대천단위수량" xfId="4068" xr:uid="{00000000-0005-0000-0000-00002B110000}"/>
    <cellStyle name="1_tree_관로시설물_수량산출서-1201_단위수량" xfId="4069" xr:uid="{00000000-0005-0000-0000-00002C110000}"/>
    <cellStyle name="1_tree_관로시설물_수량산출서-1201_단위수량1" xfId="4070" xr:uid="{00000000-0005-0000-0000-00002D110000}"/>
    <cellStyle name="1_tree_관로시설물_수량산출서-1201_단위수량15" xfId="4071" xr:uid="{00000000-0005-0000-0000-00002E110000}"/>
    <cellStyle name="1_tree_관로시설물_수량산출서-1201_도곡단위수량" xfId="4072" xr:uid="{00000000-0005-0000-0000-00002F110000}"/>
    <cellStyle name="1_tree_관로시설물_수량산출서-1201_철거단위수량" xfId="4073" xr:uid="{00000000-0005-0000-0000-000030110000}"/>
    <cellStyle name="1_tree_관로시설물_수량산출서-1201_철거수량" xfId="4074" xr:uid="{00000000-0005-0000-0000-000031110000}"/>
    <cellStyle name="1_tree_관로시설물_수량산출서-1201_한수단위수량" xfId="4075" xr:uid="{00000000-0005-0000-0000-000032110000}"/>
    <cellStyle name="1_tree_관로시설물_시설물단위수량" xfId="4077" xr:uid="{00000000-0005-0000-0000-000033110000}"/>
    <cellStyle name="1_tree_관로시설물_시설물단위수량1" xfId="4078" xr:uid="{00000000-0005-0000-0000-000034110000}"/>
    <cellStyle name="1_tree_관로시설물_시설물단위수량1_시설물단위수량" xfId="4079" xr:uid="{00000000-0005-0000-0000-000035110000}"/>
    <cellStyle name="1_tree_관로시설물_오창수량산출서" xfId="4080" xr:uid="{00000000-0005-0000-0000-000036110000}"/>
    <cellStyle name="1_tree_관로시설물_오창수량산출서_NEW단위수량-주산" xfId="4112" xr:uid="{00000000-0005-0000-0000-000037110000}"/>
    <cellStyle name="1_tree_관로시설물_오창수량산출서_남대천단위수량" xfId="4081" xr:uid="{00000000-0005-0000-0000-000038110000}"/>
    <cellStyle name="1_tree_관로시설물_오창수량산출서_단위수량" xfId="4082" xr:uid="{00000000-0005-0000-0000-000039110000}"/>
    <cellStyle name="1_tree_관로시설물_오창수량산출서_단위수량1" xfId="4083" xr:uid="{00000000-0005-0000-0000-00003A110000}"/>
    <cellStyle name="1_tree_관로시설물_오창수량산출서_단위수량15" xfId="4084" xr:uid="{00000000-0005-0000-0000-00003B110000}"/>
    <cellStyle name="1_tree_관로시설물_오창수량산출서_도곡단위수량" xfId="4085" xr:uid="{00000000-0005-0000-0000-00003C110000}"/>
    <cellStyle name="1_tree_관로시설물_오창수량산출서_수량산출서-11.25" xfId="4086" xr:uid="{00000000-0005-0000-0000-00003D110000}"/>
    <cellStyle name="1_tree_관로시설물_오창수량산출서_수량산출서-11.25_NEW단위수량-주산" xfId="4095" xr:uid="{00000000-0005-0000-0000-00003E110000}"/>
    <cellStyle name="1_tree_관로시설물_오창수량산출서_수량산출서-11.25_남대천단위수량" xfId="4087" xr:uid="{00000000-0005-0000-0000-00003F110000}"/>
    <cellStyle name="1_tree_관로시설물_오창수량산출서_수량산출서-11.25_단위수량" xfId="4088" xr:uid="{00000000-0005-0000-0000-000040110000}"/>
    <cellStyle name="1_tree_관로시설물_오창수량산출서_수량산출서-11.25_단위수량1" xfId="4089" xr:uid="{00000000-0005-0000-0000-000041110000}"/>
    <cellStyle name="1_tree_관로시설물_오창수량산출서_수량산출서-11.25_단위수량15" xfId="4090" xr:uid="{00000000-0005-0000-0000-000042110000}"/>
    <cellStyle name="1_tree_관로시설물_오창수량산출서_수량산출서-11.25_도곡단위수량" xfId="4091" xr:uid="{00000000-0005-0000-0000-000043110000}"/>
    <cellStyle name="1_tree_관로시설물_오창수량산출서_수량산출서-11.25_철거단위수량" xfId="4092" xr:uid="{00000000-0005-0000-0000-000044110000}"/>
    <cellStyle name="1_tree_관로시설물_오창수량산출서_수량산출서-11.25_철거수량" xfId="4093" xr:uid="{00000000-0005-0000-0000-000045110000}"/>
    <cellStyle name="1_tree_관로시설물_오창수량산출서_수량산출서-11.25_한수단위수량" xfId="4094" xr:uid="{00000000-0005-0000-0000-000046110000}"/>
    <cellStyle name="1_tree_관로시설물_오창수량산출서_수량산출서-1201" xfId="4096" xr:uid="{00000000-0005-0000-0000-000047110000}"/>
    <cellStyle name="1_tree_관로시설물_오창수량산출서_수량산출서-1201_NEW단위수량-주산" xfId="4105" xr:uid="{00000000-0005-0000-0000-000048110000}"/>
    <cellStyle name="1_tree_관로시설물_오창수량산출서_수량산출서-1201_남대천단위수량" xfId="4097" xr:uid="{00000000-0005-0000-0000-000049110000}"/>
    <cellStyle name="1_tree_관로시설물_오창수량산출서_수량산출서-1201_단위수량" xfId="4098" xr:uid="{00000000-0005-0000-0000-00004A110000}"/>
    <cellStyle name="1_tree_관로시설물_오창수량산출서_수량산출서-1201_단위수량1" xfId="4099" xr:uid="{00000000-0005-0000-0000-00004B110000}"/>
    <cellStyle name="1_tree_관로시설물_오창수량산출서_수량산출서-1201_단위수량15" xfId="4100" xr:uid="{00000000-0005-0000-0000-00004C110000}"/>
    <cellStyle name="1_tree_관로시설물_오창수량산출서_수량산출서-1201_도곡단위수량" xfId="4101" xr:uid="{00000000-0005-0000-0000-00004D110000}"/>
    <cellStyle name="1_tree_관로시설물_오창수량산출서_수량산출서-1201_철거단위수량" xfId="4102" xr:uid="{00000000-0005-0000-0000-00004E110000}"/>
    <cellStyle name="1_tree_관로시설물_오창수량산출서_수량산출서-1201_철거수량" xfId="4103" xr:uid="{00000000-0005-0000-0000-00004F110000}"/>
    <cellStyle name="1_tree_관로시설물_오창수량산출서_수량산출서-1201_한수단위수량" xfId="4104" xr:uid="{00000000-0005-0000-0000-000050110000}"/>
    <cellStyle name="1_tree_관로시설물_오창수량산출서_시설물단위수량" xfId="4106" xr:uid="{00000000-0005-0000-0000-000051110000}"/>
    <cellStyle name="1_tree_관로시설물_오창수량산출서_시설물단위수량1" xfId="4107" xr:uid="{00000000-0005-0000-0000-000052110000}"/>
    <cellStyle name="1_tree_관로시설물_오창수량산출서_시설물단위수량1_시설물단위수량" xfId="4108" xr:uid="{00000000-0005-0000-0000-000053110000}"/>
    <cellStyle name="1_tree_관로시설물_오창수량산출서_철거단위수량" xfId="4109" xr:uid="{00000000-0005-0000-0000-000054110000}"/>
    <cellStyle name="1_tree_관로시설물_오창수량산출서_철거수량" xfId="4110" xr:uid="{00000000-0005-0000-0000-000055110000}"/>
    <cellStyle name="1_tree_관로시설물_오창수량산출서_한수단위수량" xfId="4111" xr:uid="{00000000-0005-0000-0000-000056110000}"/>
    <cellStyle name="1_tree_관로시설물_철거단위수량" xfId="4113" xr:uid="{00000000-0005-0000-0000-000057110000}"/>
    <cellStyle name="1_tree_관로시설물_철거수량" xfId="4114" xr:uid="{00000000-0005-0000-0000-000058110000}"/>
    <cellStyle name="1_tree_관로시설물_한수단위수량" xfId="4115" xr:uid="{00000000-0005-0000-0000-000059110000}"/>
    <cellStyle name="1_tree_광진구-설계서(1006)" xfId="2067" xr:uid="{00000000-0005-0000-0000-00005A110000}"/>
    <cellStyle name="1_tree_광진구-설계서(1006)_설계설명서0309" xfId="2068" xr:uid="{00000000-0005-0000-0000-00005B110000}"/>
    <cellStyle name="1_tree_구로리어린이공원예산서(조경)0613-변경2" xfId="4117" xr:uid="{00000000-0005-0000-0000-00005C110000}"/>
    <cellStyle name="1_tree_구로리총괄내역" xfId="2069" xr:uid="{00000000-0005-0000-0000-00005D110000}"/>
    <cellStyle name="1_tree_구로리총괄내역_구로리설계예산서1029" xfId="2070" xr:uid="{00000000-0005-0000-0000-00005E110000}"/>
    <cellStyle name="1_tree_구로리총괄내역_구로리설계예산서1029_내역서(우이천변)" xfId="2071" xr:uid="{00000000-0005-0000-0000-00005F110000}"/>
    <cellStyle name="1_tree_구로리총괄내역_구로리설계예산서1029_내역서1128" xfId="2072" xr:uid="{00000000-0005-0000-0000-000060110000}"/>
    <cellStyle name="1_tree_구로리총괄내역_구로리설계예산서1118준공" xfId="2073" xr:uid="{00000000-0005-0000-0000-000061110000}"/>
    <cellStyle name="1_tree_구로리총괄내역_구로리설계예산서1118준공_내역서(우이천변)" xfId="2074" xr:uid="{00000000-0005-0000-0000-000062110000}"/>
    <cellStyle name="1_tree_구로리총괄내역_구로리설계예산서1118준공_내역서1128" xfId="2075" xr:uid="{00000000-0005-0000-0000-000063110000}"/>
    <cellStyle name="1_tree_구로리총괄내역_구로리설계예산서조경" xfId="2076" xr:uid="{00000000-0005-0000-0000-000064110000}"/>
    <cellStyle name="1_tree_구로리총괄내역_구로리설계예산서조경_내역서(우이천변)" xfId="2077" xr:uid="{00000000-0005-0000-0000-000065110000}"/>
    <cellStyle name="1_tree_구로리총괄내역_구로리설계예산서조경_내역서1128" xfId="2078" xr:uid="{00000000-0005-0000-0000-000066110000}"/>
    <cellStyle name="1_tree_구로리총괄내역_구로리어린이공원예산서(조경)1125" xfId="2079" xr:uid="{00000000-0005-0000-0000-000067110000}"/>
    <cellStyle name="1_tree_구로리총괄내역_구로리어린이공원예산서(조경)1125_내역서(우이천변)" xfId="2080" xr:uid="{00000000-0005-0000-0000-000068110000}"/>
    <cellStyle name="1_tree_구로리총괄내역_구로리어린이공원예산서(조경)1125_내역서1128" xfId="2081" xr:uid="{00000000-0005-0000-0000-000069110000}"/>
    <cellStyle name="1_tree_구로리총괄내역_내역서" xfId="2082" xr:uid="{00000000-0005-0000-0000-00006A110000}"/>
    <cellStyle name="1_tree_구로리총괄내역_내역서(우이천변)" xfId="2083" xr:uid="{00000000-0005-0000-0000-00006B110000}"/>
    <cellStyle name="1_tree_구로리총괄내역_내역서_내역서(우이천변)" xfId="2084" xr:uid="{00000000-0005-0000-0000-00006C110000}"/>
    <cellStyle name="1_tree_구로리총괄내역_내역서_내역서1128" xfId="2085" xr:uid="{00000000-0005-0000-0000-00006D110000}"/>
    <cellStyle name="1_tree_구로리총괄내역_내역서1128" xfId="2086" xr:uid="{00000000-0005-0000-0000-00006E110000}"/>
    <cellStyle name="1_tree_구로리총괄내역_노임단가표" xfId="2087" xr:uid="{00000000-0005-0000-0000-00006F110000}"/>
    <cellStyle name="1_tree_구로리총괄내역_노임단가표_내역서(우이천변)" xfId="2088" xr:uid="{00000000-0005-0000-0000-000070110000}"/>
    <cellStyle name="1_tree_구로리총괄내역_노임단가표_내역서1128" xfId="2089" xr:uid="{00000000-0005-0000-0000-000071110000}"/>
    <cellStyle name="1_tree_구로리총괄내역_수도권매립지" xfId="2090" xr:uid="{00000000-0005-0000-0000-000072110000}"/>
    <cellStyle name="1_tree_구로리총괄내역_수도권매립지_내역서(우이천변)" xfId="2091" xr:uid="{00000000-0005-0000-0000-000073110000}"/>
    <cellStyle name="1_tree_구로리총괄내역_수도권매립지_내역서1128" xfId="2092" xr:uid="{00000000-0005-0000-0000-000074110000}"/>
    <cellStyle name="1_tree_구로리총괄내역_수도권매립지1004(발주용)" xfId="2093" xr:uid="{00000000-0005-0000-0000-000075110000}"/>
    <cellStyle name="1_tree_구로리총괄내역_수도권매립지1004(발주용)_내역서(우이천변)" xfId="2094" xr:uid="{00000000-0005-0000-0000-000076110000}"/>
    <cellStyle name="1_tree_구로리총괄내역_수도권매립지1004(발주용)_내역서1128" xfId="2095" xr:uid="{00000000-0005-0000-0000-000077110000}"/>
    <cellStyle name="1_tree_구로리총괄내역_일신건영설계예산서(0211)" xfId="2096" xr:uid="{00000000-0005-0000-0000-000078110000}"/>
    <cellStyle name="1_tree_구로리총괄내역_일신건영설계예산서(0211)_내역서(우이천변)" xfId="2097" xr:uid="{00000000-0005-0000-0000-000079110000}"/>
    <cellStyle name="1_tree_구로리총괄내역_일신건영설계예산서(0211)_내역서1128" xfId="2098" xr:uid="{00000000-0005-0000-0000-00007A110000}"/>
    <cellStyle name="1_tree_구로리총괄내역_일위대가" xfId="2099" xr:uid="{00000000-0005-0000-0000-00007B110000}"/>
    <cellStyle name="1_tree_구로리총괄내역_일위대가_내역서(우이천변)" xfId="2100" xr:uid="{00000000-0005-0000-0000-00007C110000}"/>
    <cellStyle name="1_tree_구로리총괄내역_일위대가_내역서1128" xfId="2101" xr:uid="{00000000-0005-0000-0000-00007D110000}"/>
    <cellStyle name="1_tree_구로리총괄내역_자재단가표" xfId="2102" xr:uid="{00000000-0005-0000-0000-00007E110000}"/>
    <cellStyle name="1_tree_구로리총괄내역_자재단가표_내역서(우이천변)" xfId="2103" xr:uid="{00000000-0005-0000-0000-00007F110000}"/>
    <cellStyle name="1_tree_구로리총괄내역_자재단가표_내역서1128" xfId="2104" xr:uid="{00000000-0005-0000-0000-000080110000}"/>
    <cellStyle name="1_tree_구로리총괄내역_장안초등학교내역0814" xfId="2105" xr:uid="{00000000-0005-0000-0000-000081110000}"/>
    <cellStyle name="1_tree_구로리총괄내역_장안초등학교내역0814_내역서(우이천변)" xfId="2106" xr:uid="{00000000-0005-0000-0000-000082110000}"/>
    <cellStyle name="1_tree_구로리총괄내역_장안초등학교내역0814_내역서1128" xfId="2107" xr:uid="{00000000-0005-0000-0000-000083110000}"/>
    <cellStyle name="1_tree_구조물,조형물,수목보호" xfId="4118" xr:uid="{00000000-0005-0000-0000-000084110000}"/>
    <cellStyle name="1_tree_구조물,조형물,수목보호_NEW단위수량-주산" xfId="4183" xr:uid="{00000000-0005-0000-0000-000085110000}"/>
    <cellStyle name="1_tree_구조물,조형물,수목보호_남대천단위수량" xfId="4119" xr:uid="{00000000-0005-0000-0000-000086110000}"/>
    <cellStyle name="1_tree_구조물,조형물,수목보호_단위수량" xfId="4120" xr:uid="{00000000-0005-0000-0000-000087110000}"/>
    <cellStyle name="1_tree_구조물,조형물,수목보호_단위수량1" xfId="4121" xr:uid="{00000000-0005-0000-0000-000088110000}"/>
    <cellStyle name="1_tree_구조물,조형물,수목보호_단위수량15" xfId="4122" xr:uid="{00000000-0005-0000-0000-000089110000}"/>
    <cellStyle name="1_tree_구조물,조형물,수목보호_도곡단위수량" xfId="4123" xr:uid="{00000000-0005-0000-0000-00008A110000}"/>
    <cellStyle name="1_tree_구조물,조형물,수목보호_수량산출서-11.25" xfId="4124" xr:uid="{00000000-0005-0000-0000-00008B110000}"/>
    <cellStyle name="1_tree_구조물,조형물,수목보호_수량산출서-11.25_NEW단위수량-주산" xfId="4133" xr:uid="{00000000-0005-0000-0000-00008C110000}"/>
    <cellStyle name="1_tree_구조물,조형물,수목보호_수량산출서-11.25_남대천단위수량" xfId="4125" xr:uid="{00000000-0005-0000-0000-00008D110000}"/>
    <cellStyle name="1_tree_구조물,조형물,수목보호_수량산출서-11.25_단위수량" xfId="4126" xr:uid="{00000000-0005-0000-0000-00008E110000}"/>
    <cellStyle name="1_tree_구조물,조형물,수목보호_수량산출서-11.25_단위수량1" xfId="4127" xr:uid="{00000000-0005-0000-0000-00008F110000}"/>
    <cellStyle name="1_tree_구조물,조형물,수목보호_수량산출서-11.25_단위수량15" xfId="4128" xr:uid="{00000000-0005-0000-0000-000090110000}"/>
    <cellStyle name="1_tree_구조물,조형물,수목보호_수량산출서-11.25_도곡단위수량" xfId="4129" xr:uid="{00000000-0005-0000-0000-000091110000}"/>
    <cellStyle name="1_tree_구조물,조형물,수목보호_수량산출서-11.25_철거단위수량" xfId="4130" xr:uid="{00000000-0005-0000-0000-000092110000}"/>
    <cellStyle name="1_tree_구조물,조형물,수목보호_수량산출서-11.25_철거수량" xfId="4131" xr:uid="{00000000-0005-0000-0000-000093110000}"/>
    <cellStyle name="1_tree_구조물,조형물,수목보호_수량산출서-11.25_한수단위수량" xfId="4132" xr:uid="{00000000-0005-0000-0000-000094110000}"/>
    <cellStyle name="1_tree_구조물,조형물,수목보호_수량산출서-1201" xfId="4134" xr:uid="{00000000-0005-0000-0000-000095110000}"/>
    <cellStyle name="1_tree_구조물,조형물,수목보호_수량산출서-1201_NEW단위수량-주산" xfId="4143" xr:uid="{00000000-0005-0000-0000-000096110000}"/>
    <cellStyle name="1_tree_구조물,조형물,수목보호_수량산출서-1201_남대천단위수량" xfId="4135" xr:uid="{00000000-0005-0000-0000-000097110000}"/>
    <cellStyle name="1_tree_구조물,조형물,수목보호_수량산출서-1201_단위수량" xfId="4136" xr:uid="{00000000-0005-0000-0000-000098110000}"/>
    <cellStyle name="1_tree_구조물,조형물,수목보호_수량산출서-1201_단위수량1" xfId="4137" xr:uid="{00000000-0005-0000-0000-000099110000}"/>
    <cellStyle name="1_tree_구조물,조형물,수목보호_수량산출서-1201_단위수량15" xfId="4138" xr:uid="{00000000-0005-0000-0000-00009A110000}"/>
    <cellStyle name="1_tree_구조물,조형물,수목보호_수량산출서-1201_도곡단위수량" xfId="4139" xr:uid="{00000000-0005-0000-0000-00009B110000}"/>
    <cellStyle name="1_tree_구조물,조형물,수목보호_수량산출서-1201_철거단위수량" xfId="4140" xr:uid="{00000000-0005-0000-0000-00009C110000}"/>
    <cellStyle name="1_tree_구조물,조형물,수목보호_수량산출서-1201_철거수량" xfId="4141" xr:uid="{00000000-0005-0000-0000-00009D110000}"/>
    <cellStyle name="1_tree_구조물,조형물,수목보호_수량산출서-1201_한수단위수량" xfId="4142" xr:uid="{00000000-0005-0000-0000-00009E110000}"/>
    <cellStyle name="1_tree_구조물,조형물,수목보호_시설물단위수량" xfId="4144" xr:uid="{00000000-0005-0000-0000-00009F110000}"/>
    <cellStyle name="1_tree_구조물,조형물,수목보호_시설물단위수량1" xfId="4145" xr:uid="{00000000-0005-0000-0000-0000A0110000}"/>
    <cellStyle name="1_tree_구조물,조형물,수목보호_시설물단위수량1_시설물단위수량" xfId="4146" xr:uid="{00000000-0005-0000-0000-0000A1110000}"/>
    <cellStyle name="1_tree_구조물,조형물,수목보호_오창수량산출서" xfId="4147" xr:uid="{00000000-0005-0000-0000-0000A2110000}"/>
    <cellStyle name="1_tree_구조물,조형물,수목보호_오창수량산출서_NEW단위수량-주산" xfId="4179" xr:uid="{00000000-0005-0000-0000-0000A3110000}"/>
    <cellStyle name="1_tree_구조물,조형물,수목보호_오창수량산출서_남대천단위수량" xfId="4148" xr:uid="{00000000-0005-0000-0000-0000A4110000}"/>
    <cellStyle name="1_tree_구조물,조형물,수목보호_오창수량산출서_단위수량" xfId="4149" xr:uid="{00000000-0005-0000-0000-0000A5110000}"/>
    <cellStyle name="1_tree_구조물,조형물,수목보호_오창수량산출서_단위수량1" xfId="4150" xr:uid="{00000000-0005-0000-0000-0000A6110000}"/>
    <cellStyle name="1_tree_구조물,조형물,수목보호_오창수량산출서_단위수량15" xfId="4151" xr:uid="{00000000-0005-0000-0000-0000A7110000}"/>
    <cellStyle name="1_tree_구조물,조형물,수목보호_오창수량산출서_도곡단위수량" xfId="4152" xr:uid="{00000000-0005-0000-0000-0000A8110000}"/>
    <cellStyle name="1_tree_구조물,조형물,수목보호_오창수량산출서_수량산출서-11.25" xfId="4153" xr:uid="{00000000-0005-0000-0000-0000A9110000}"/>
    <cellStyle name="1_tree_구조물,조형물,수목보호_오창수량산출서_수량산출서-11.25_NEW단위수량-주산" xfId="4162" xr:uid="{00000000-0005-0000-0000-0000AA110000}"/>
    <cellStyle name="1_tree_구조물,조형물,수목보호_오창수량산출서_수량산출서-11.25_남대천단위수량" xfId="4154" xr:uid="{00000000-0005-0000-0000-0000AB110000}"/>
    <cellStyle name="1_tree_구조물,조형물,수목보호_오창수량산출서_수량산출서-11.25_단위수량" xfId="4155" xr:uid="{00000000-0005-0000-0000-0000AC110000}"/>
    <cellStyle name="1_tree_구조물,조형물,수목보호_오창수량산출서_수량산출서-11.25_단위수량1" xfId="4156" xr:uid="{00000000-0005-0000-0000-0000AD110000}"/>
    <cellStyle name="1_tree_구조물,조형물,수목보호_오창수량산출서_수량산출서-11.25_단위수량15" xfId="4157" xr:uid="{00000000-0005-0000-0000-0000AE110000}"/>
    <cellStyle name="1_tree_구조물,조형물,수목보호_오창수량산출서_수량산출서-11.25_도곡단위수량" xfId="4158" xr:uid="{00000000-0005-0000-0000-0000AF110000}"/>
    <cellStyle name="1_tree_구조물,조형물,수목보호_오창수량산출서_수량산출서-11.25_철거단위수량" xfId="4159" xr:uid="{00000000-0005-0000-0000-0000B0110000}"/>
    <cellStyle name="1_tree_구조물,조형물,수목보호_오창수량산출서_수량산출서-11.25_철거수량" xfId="4160" xr:uid="{00000000-0005-0000-0000-0000B1110000}"/>
    <cellStyle name="1_tree_구조물,조형물,수목보호_오창수량산출서_수량산출서-11.25_한수단위수량" xfId="4161" xr:uid="{00000000-0005-0000-0000-0000B2110000}"/>
    <cellStyle name="1_tree_구조물,조형물,수목보호_오창수량산출서_수량산출서-1201" xfId="4163" xr:uid="{00000000-0005-0000-0000-0000B3110000}"/>
    <cellStyle name="1_tree_구조물,조형물,수목보호_오창수량산출서_수량산출서-1201_NEW단위수량-주산" xfId="4172" xr:uid="{00000000-0005-0000-0000-0000B4110000}"/>
    <cellStyle name="1_tree_구조물,조형물,수목보호_오창수량산출서_수량산출서-1201_남대천단위수량" xfId="4164" xr:uid="{00000000-0005-0000-0000-0000B5110000}"/>
    <cellStyle name="1_tree_구조물,조형물,수목보호_오창수량산출서_수량산출서-1201_단위수량" xfId="4165" xr:uid="{00000000-0005-0000-0000-0000B6110000}"/>
    <cellStyle name="1_tree_구조물,조형물,수목보호_오창수량산출서_수량산출서-1201_단위수량1" xfId="4166" xr:uid="{00000000-0005-0000-0000-0000B7110000}"/>
    <cellStyle name="1_tree_구조물,조형물,수목보호_오창수량산출서_수량산출서-1201_단위수량15" xfId="4167" xr:uid="{00000000-0005-0000-0000-0000B8110000}"/>
    <cellStyle name="1_tree_구조물,조형물,수목보호_오창수량산출서_수량산출서-1201_도곡단위수량" xfId="4168" xr:uid="{00000000-0005-0000-0000-0000B9110000}"/>
    <cellStyle name="1_tree_구조물,조형물,수목보호_오창수량산출서_수량산출서-1201_철거단위수량" xfId="4169" xr:uid="{00000000-0005-0000-0000-0000BA110000}"/>
    <cellStyle name="1_tree_구조물,조형물,수목보호_오창수량산출서_수량산출서-1201_철거수량" xfId="4170" xr:uid="{00000000-0005-0000-0000-0000BB110000}"/>
    <cellStyle name="1_tree_구조물,조형물,수목보호_오창수량산출서_수량산출서-1201_한수단위수량" xfId="4171" xr:uid="{00000000-0005-0000-0000-0000BC110000}"/>
    <cellStyle name="1_tree_구조물,조형물,수목보호_오창수량산출서_시설물단위수량" xfId="4173" xr:uid="{00000000-0005-0000-0000-0000BD110000}"/>
    <cellStyle name="1_tree_구조물,조형물,수목보호_오창수량산출서_시설물단위수량1" xfId="4174" xr:uid="{00000000-0005-0000-0000-0000BE110000}"/>
    <cellStyle name="1_tree_구조물,조형물,수목보호_오창수량산출서_시설물단위수량1_시설물단위수량" xfId="4175" xr:uid="{00000000-0005-0000-0000-0000BF110000}"/>
    <cellStyle name="1_tree_구조물,조형물,수목보호_오창수량산출서_철거단위수량" xfId="4176" xr:uid="{00000000-0005-0000-0000-0000C0110000}"/>
    <cellStyle name="1_tree_구조물,조형물,수목보호_오창수량산출서_철거수량" xfId="4177" xr:uid="{00000000-0005-0000-0000-0000C1110000}"/>
    <cellStyle name="1_tree_구조물,조형물,수목보호_오창수량산출서_한수단위수량" xfId="4178" xr:uid="{00000000-0005-0000-0000-0000C2110000}"/>
    <cellStyle name="1_tree_구조물,조형물,수목보호_철거단위수량" xfId="4180" xr:uid="{00000000-0005-0000-0000-0000C3110000}"/>
    <cellStyle name="1_tree_구조물,조형물,수목보호_철거수량" xfId="4181" xr:uid="{00000000-0005-0000-0000-0000C4110000}"/>
    <cellStyle name="1_tree_구조물,조형물,수목보호_한수단위수량" xfId="4182" xr:uid="{00000000-0005-0000-0000-0000C5110000}"/>
    <cellStyle name="1_tree_남대천단위수량" xfId="4184" xr:uid="{00000000-0005-0000-0000-0000C6110000}"/>
    <cellStyle name="1_tree_내역서(우이천변)" xfId="2108" xr:uid="{00000000-0005-0000-0000-0000C7110000}"/>
    <cellStyle name="1_tree_내역서1128" xfId="2109" xr:uid="{00000000-0005-0000-0000-0000C8110000}"/>
    <cellStyle name="1_tree_단위1" xfId="4185" xr:uid="{00000000-0005-0000-0000-0000C9110000}"/>
    <cellStyle name="1_tree_단위수량" xfId="4186" xr:uid="{00000000-0005-0000-0000-0000CA110000}"/>
    <cellStyle name="1_tree_단위수량1" xfId="4187" xr:uid="{00000000-0005-0000-0000-0000CB110000}"/>
    <cellStyle name="1_tree_단위수량15" xfId="4188" xr:uid="{00000000-0005-0000-0000-0000CC110000}"/>
    <cellStyle name="1_tree_단위수량산출" xfId="4189" xr:uid="{00000000-0005-0000-0000-0000CD110000}"/>
    <cellStyle name="1_tree_단위수량산출_NEW단위수량-주산" xfId="4255" xr:uid="{00000000-0005-0000-0000-0000CE110000}"/>
    <cellStyle name="1_tree_단위수량산출_남대천단위수량" xfId="4190" xr:uid="{00000000-0005-0000-0000-0000CF110000}"/>
    <cellStyle name="1_tree_단위수량산출_단위수량" xfId="4191" xr:uid="{00000000-0005-0000-0000-0000D0110000}"/>
    <cellStyle name="1_tree_단위수량산출_단위수량1" xfId="4192" xr:uid="{00000000-0005-0000-0000-0000D1110000}"/>
    <cellStyle name="1_tree_단위수량산출_단위수량15" xfId="4193" xr:uid="{00000000-0005-0000-0000-0000D2110000}"/>
    <cellStyle name="1_tree_단위수량산출_도곡단위수량" xfId="4194" xr:uid="{00000000-0005-0000-0000-0000D3110000}"/>
    <cellStyle name="1_tree_단위수량산출_수량산출서-11.25" xfId="4195" xr:uid="{00000000-0005-0000-0000-0000D4110000}"/>
    <cellStyle name="1_tree_단위수량산출_수량산출서-11.25_NEW단위수량-주산" xfId="4204" xr:uid="{00000000-0005-0000-0000-0000D5110000}"/>
    <cellStyle name="1_tree_단위수량산출_수량산출서-11.25_남대천단위수량" xfId="4196" xr:uid="{00000000-0005-0000-0000-0000D6110000}"/>
    <cellStyle name="1_tree_단위수량산출_수량산출서-11.25_단위수량" xfId="4197" xr:uid="{00000000-0005-0000-0000-0000D7110000}"/>
    <cellStyle name="1_tree_단위수량산출_수량산출서-11.25_단위수량1" xfId="4198" xr:uid="{00000000-0005-0000-0000-0000D8110000}"/>
    <cellStyle name="1_tree_단위수량산출_수량산출서-11.25_단위수량15" xfId="4199" xr:uid="{00000000-0005-0000-0000-0000D9110000}"/>
    <cellStyle name="1_tree_단위수량산출_수량산출서-11.25_도곡단위수량" xfId="4200" xr:uid="{00000000-0005-0000-0000-0000DA110000}"/>
    <cellStyle name="1_tree_단위수량산출_수량산출서-11.25_철거단위수량" xfId="4201" xr:uid="{00000000-0005-0000-0000-0000DB110000}"/>
    <cellStyle name="1_tree_단위수량산출_수량산출서-11.25_철거수량" xfId="4202" xr:uid="{00000000-0005-0000-0000-0000DC110000}"/>
    <cellStyle name="1_tree_단위수량산출_수량산출서-11.25_한수단위수량" xfId="4203" xr:uid="{00000000-0005-0000-0000-0000DD110000}"/>
    <cellStyle name="1_tree_단위수량산출_수량산출서-1201" xfId="4205" xr:uid="{00000000-0005-0000-0000-0000DE110000}"/>
    <cellStyle name="1_tree_단위수량산출_수량산출서-1201_NEW단위수량-주산" xfId="4214" xr:uid="{00000000-0005-0000-0000-0000DF110000}"/>
    <cellStyle name="1_tree_단위수량산출_수량산출서-1201_남대천단위수량" xfId="4206" xr:uid="{00000000-0005-0000-0000-0000E0110000}"/>
    <cellStyle name="1_tree_단위수량산출_수량산출서-1201_단위수량" xfId="4207" xr:uid="{00000000-0005-0000-0000-0000E1110000}"/>
    <cellStyle name="1_tree_단위수량산출_수량산출서-1201_단위수량1" xfId="4208" xr:uid="{00000000-0005-0000-0000-0000E2110000}"/>
    <cellStyle name="1_tree_단위수량산출_수량산출서-1201_단위수량15" xfId="4209" xr:uid="{00000000-0005-0000-0000-0000E3110000}"/>
    <cellStyle name="1_tree_단위수량산출_수량산출서-1201_도곡단위수량" xfId="4210" xr:uid="{00000000-0005-0000-0000-0000E4110000}"/>
    <cellStyle name="1_tree_단위수량산출_수량산출서-1201_철거단위수량" xfId="4211" xr:uid="{00000000-0005-0000-0000-0000E5110000}"/>
    <cellStyle name="1_tree_단위수량산출_수량산출서-1201_철거수량" xfId="4212" xr:uid="{00000000-0005-0000-0000-0000E6110000}"/>
    <cellStyle name="1_tree_단위수량산출_수량산출서-1201_한수단위수량" xfId="4213" xr:uid="{00000000-0005-0000-0000-0000E7110000}"/>
    <cellStyle name="1_tree_단위수량산출_시설물단위수량" xfId="4215" xr:uid="{00000000-0005-0000-0000-0000E8110000}"/>
    <cellStyle name="1_tree_단위수량산출_시설물단위수량1" xfId="4216" xr:uid="{00000000-0005-0000-0000-0000E9110000}"/>
    <cellStyle name="1_tree_단위수량산출_시설물단위수량1_시설물단위수량" xfId="4217" xr:uid="{00000000-0005-0000-0000-0000EA110000}"/>
    <cellStyle name="1_tree_단위수량산출_오창수량산출서" xfId="4218" xr:uid="{00000000-0005-0000-0000-0000EB110000}"/>
    <cellStyle name="1_tree_단위수량산출_오창수량산출서_NEW단위수량-주산" xfId="4250" xr:uid="{00000000-0005-0000-0000-0000EC110000}"/>
    <cellStyle name="1_tree_단위수량산출_오창수량산출서_남대천단위수량" xfId="4219" xr:uid="{00000000-0005-0000-0000-0000ED110000}"/>
    <cellStyle name="1_tree_단위수량산출_오창수량산출서_단위수량" xfId="4220" xr:uid="{00000000-0005-0000-0000-0000EE110000}"/>
    <cellStyle name="1_tree_단위수량산출_오창수량산출서_단위수량1" xfId="4221" xr:uid="{00000000-0005-0000-0000-0000EF110000}"/>
    <cellStyle name="1_tree_단위수량산출_오창수량산출서_단위수량15" xfId="4222" xr:uid="{00000000-0005-0000-0000-0000F0110000}"/>
    <cellStyle name="1_tree_단위수량산출_오창수량산출서_도곡단위수량" xfId="4223" xr:uid="{00000000-0005-0000-0000-0000F1110000}"/>
    <cellStyle name="1_tree_단위수량산출_오창수량산출서_수량산출서-11.25" xfId="4224" xr:uid="{00000000-0005-0000-0000-0000F2110000}"/>
    <cellStyle name="1_tree_단위수량산출_오창수량산출서_수량산출서-11.25_NEW단위수량-주산" xfId="4233" xr:uid="{00000000-0005-0000-0000-0000F3110000}"/>
    <cellStyle name="1_tree_단위수량산출_오창수량산출서_수량산출서-11.25_남대천단위수량" xfId="4225" xr:uid="{00000000-0005-0000-0000-0000F4110000}"/>
    <cellStyle name="1_tree_단위수량산출_오창수량산출서_수량산출서-11.25_단위수량" xfId="4226" xr:uid="{00000000-0005-0000-0000-0000F5110000}"/>
    <cellStyle name="1_tree_단위수량산출_오창수량산출서_수량산출서-11.25_단위수량1" xfId="4227" xr:uid="{00000000-0005-0000-0000-0000F6110000}"/>
    <cellStyle name="1_tree_단위수량산출_오창수량산출서_수량산출서-11.25_단위수량15" xfId="4228" xr:uid="{00000000-0005-0000-0000-0000F7110000}"/>
    <cellStyle name="1_tree_단위수량산출_오창수량산출서_수량산출서-11.25_도곡단위수량" xfId="4229" xr:uid="{00000000-0005-0000-0000-0000F8110000}"/>
    <cellStyle name="1_tree_단위수량산출_오창수량산출서_수량산출서-11.25_철거단위수량" xfId="4230" xr:uid="{00000000-0005-0000-0000-0000F9110000}"/>
    <cellStyle name="1_tree_단위수량산출_오창수량산출서_수량산출서-11.25_철거수량" xfId="4231" xr:uid="{00000000-0005-0000-0000-0000FA110000}"/>
    <cellStyle name="1_tree_단위수량산출_오창수량산출서_수량산출서-11.25_한수단위수량" xfId="4232" xr:uid="{00000000-0005-0000-0000-0000FB110000}"/>
    <cellStyle name="1_tree_단위수량산출_오창수량산출서_수량산출서-1201" xfId="4234" xr:uid="{00000000-0005-0000-0000-0000FC110000}"/>
    <cellStyle name="1_tree_단위수량산출_오창수량산출서_수량산출서-1201_NEW단위수량-주산" xfId="4243" xr:uid="{00000000-0005-0000-0000-0000FD110000}"/>
    <cellStyle name="1_tree_단위수량산출_오창수량산출서_수량산출서-1201_남대천단위수량" xfId="4235" xr:uid="{00000000-0005-0000-0000-0000FE110000}"/>
    <cellStyle name="1_tree_단위수량산출_오창수량산출서_수량산출서-1201_단위수량" xfId="4236" xr:uid="{00000000-0005-0000-0000-0000FF110000}"/>
    <cellStyle name="1_tree_단위수량산출_오창수량산출서_수량산출서-1201_단위수량1" xfId="4237" xr:uid="{00000000-0005-0000-0000-000000120000}"/>
    <cellStyle name="1_tree_단위수량산출_오창수량산출서_수량산출서-1201_단위수량15" xfId="4238" xr:uid="{00000000-0005-0000-0000-000001120000}"/>
    <cellStyle name="1_tree_단위수량산출_오창수량산출서_수량산출서-1201_도곡단위수량" xfId="4239" xr:uid="{00000000-0005-0000-0000-000002120000}"/>
    <cellStyle name="1_tree_단위수량산출_오창수량산출서_수량산출서-1201_철거단위수량" xfId="4240" xr:uid="{00000000-0005-0000-0000-000003120000}"/>
    <cellStyle name="1_tree_단위수량산출_오창수량산출서_수량산출서-1201_철거수량" xfId="4241" xr:uid="{00000000-0005-0000-0000-000004120000}"/>
    <cellStyle name="1_tree_단위수량산출_오창수량산출서_수량산출서-1201_한수단위수량" xfId="4242" xr:uid="{00000000-0005-0000-0000-000005120000}"/>
    <cellStyle name="1_tree_단위수량산출_오창수량산출서_시설물단위수량" xfId="4244" xr:uid="{00000000-0005-0000-0000-000006120000}"/>
    <cellStyle name="1_tree_단위수량산출_오창수량산출서_시설물단위수량1" xfId="4245" xr:uid="{00000000-0005-0000-0000-000007120000}"/>
    <cellStyle name="1_tree_단위수량산출_오창수량산출서_시설물단위수량1_시설물단위수량" xfId="4246" xr:uid="{00000000-0005-0000-0000-000008120000}"/>
    <cellStyle name="1_tree_단위수량산출_오창수량산출서_철거단위수량" xfId="4247" xr:uid="{00000000-0005-0000-0000-000009120000}"/>
    <cellStyle name="1_tree_단위수량산출_오창수량산출서_철거수량" xfId="4248" xr:uid="{00000000-0005-0000-0000-00000A120000}"/>
    <cellStyle name="1_tree_단위수량산출_오창수량산출서_한수단위수량" xfId="4249" xr:uid="{00000000-0005-0000-0000-00000B120000}"/>
    <cellStyle name="1_tree_단위수량산출_용평단위수량" xfId="4251" xr:uid="{00000000-0005-0000-0000-00000C120000}"/>
    <cellStyle name="1_tree_단위수량산출_철거단위수량" xfId="4252" xr:uid="{00000000-0005-0000-0000-00000D120000}"/>
    <cellStyle name="1_tree_단위수량산출_철거수량" xfId="4253" xr:uid="{00000000-0005-0000-0000-00000E120000}"/>
    <cellStyle name="1_tree_단위수량산출_한수단위수량" xfId="4254" xr:uid="{00000000-0005-0000-0000-00000F120000}"/>
    <cellStyle name="1_tree_단위수량산출1" xfId="4256" xr:uid="{00000000-0005-0000-0000-000010120000}"/>
    <cellStyle name="1_tree_단위수량산출-1" xfId="4257" xr:uid="{00000000-0005-0000-0000-000011120000}"/>
    <cellStyle name="1_tree_단위수량산출1_1" xfId="4258" xr:uid="{00000000-0005-0000-0000-000012120000}"/>
    <cellStyle name="1_tree_단위수량산출1_NEW단위수량-주산" xfId="4389" xr:uid="{00000000-0005-0000-0000-000013120000}"/>
    <cellStyle name="1_tree_단위수량산출-1_NEW단위수량-주산" xfId="4390" xr:uid="{00000000-0005-0000-0000-000014120000}"/>
    <cellStyle name="1_tree_단위수량산출1_남대천단위수량" xfId="4259" xr:uid="{00000000-0005-0000-0000-000015120000}"/>
    <cellStyle name="1_tree_단위수량산출-1_남대천단위수량" xfId="4260" xr:uid="{00000000-0005-0000-0000-000016120000}"/>
    <cellStyle name="1_tree_단위수량산출1_단위수량" xfId="4261" xr:uid="{00000000-0005-0000-0000-000017120000}"/>
    <cellStyle name="1_tree_단위수량산출-1_단위수량" xfId="4262" xr:uid="{00000000-0005-0000-0000-000018120000}"/>
    <cellStyle name="1_tree_단위수량산출1_단위수량1" xfId="4263" xr:uid="{00000000-0005-0000-0000-000019120000}"/>
    <cellStyle name="1_tree_단위수량산출-1_단위수량1" xfId="4264" xr:uid="{00000000-0005-0000-0000-00001A120000}"/>
    <cellStyle name="1_tree_단위수량산출1_단위수량15" xfId="4265" xr:uid="{00000000-0005-0000-0000-00001B120000}"/>
    <cellStyle name="1_tree_단위수량산출-1_단위수량15" xfId="4266" xr:uid="{00000000-0005-0000-0000-00001C120000}"/>
    <cellStyle name="1_tree_단위수량산출1_도곡단위수량" xfId="4267" xr:uid="{00000000-0005-0000-0000-00001D120000}"/>
    <cellStyle name="1_tree_단위수량산출-1_도곡단위수량" xfId="4268" xr:uid="{00000000-0005-0000-0000-00001E120000}"/>
    <cellStyle name="1_tree_단위수량산출1_수량산출서-11.25" xfId="4269" xr:uid="{00000000-0005-0000-0000-00001F120000}"/>
    <cellStyle name="1_tree_단위수량산출-1_수량산출서-11.25" xfId="4270" xr:uid="{00000000-0005-0000-0000-000020120000}"/>
    <cellStyle name="1_tree_단위수량산출1_수량산출서-11.25_NEW단위수량-주산" xfId="4287" xr:uid="{00000000-0005-0000-0000-000021120000}"/>
    <cellStyle name="1_tree_단위수량산출-1_수량산출서-11.25_NEW단위수량-주산" xfId="4288" xr:uid="{00000000-0005-0000-0000-000022120000}"/>
    <cellStyle name="1_tree_단위수량산출1_수량산출서-11.25_남대천단위수량" xfId="4271" xr:uid="{00000000-0005-0000-0000-000023120000}"/>
    <cellStyle name="1_tree_단위수량산출-1_수량산출서-11.25_남대천단위수량" xfId="4272" xr:uid="{00000000-0005-0000-0000-000024120000}"/>
    <cellStyle name="1_tree_단위수량산출1_수량산출서-11.25_단위수량" xfId="4273" xr:uid="{00000000-0005-0000-0000-000025120000}"/>
    <cellStyle name="1_tree_단위수량산출-1_수량산출서-11.25_단위수량" xfId="4274" xr:uid="{00000000-0005-0000-0000-000026120000}"/>
    <cellStyle name="1_tree_단위수량산출1_수량산출서-11.25_단위수량1" xfId="4275" xr:uid="{00000000-0005-0000-0000-000027120000}"/>
    <cellStyle name="1_tree_단위수량산출-1_수량산출서-11.25_단위수량1" xfId="4276" xr:uid="{00000000-0005-0000-0000-000028120000}"/>
    <cellStyle name="1_tree_단위수량산출1_수량산출서-11.25_단위수량15" xfId="4277" xr:uid="{00000000-0005-0000-0000-000029120000}"/>
    <cellStyle name="1_tree_단위수량산출-1_수량산출서-11.25_단위수량15" xfId="4278" xr:uid="{00000000-0005-0000-0000-00002A120000}"/>
    <cellStyle name="1_tree_단위수량산출1_수량산출서-11.25_도곡단위수량" xfId="4279" xr:uid="{00000000-0005-0000-0000-00002B120000}"/>
    <cellStyle name="1_tree_단위수량산출-1_수량산출서-11.25_도곡단위수량" xfId="4280" xr:uid="{00000000-0005-0000-0000-00002C120000}"/>
    <cellStyle name="1_tree_단위수량산출1_수량산출서-11.25_철거단위수량" xfId="4281" xr:uid="{00000000-0005-0000-0000-00002D120000}"/>
    <cellStyle name="1_tree_단위수량산출-1_수량산출서-11.25_철거단위수량" xfId="4282" xr:uid="{00000000-0005-0000-0000-00002E120000}"/>
    <cellStyle name="1_tree_단위수량산출1_수량산출서-11.25_철거수량" xfId="4283" xr:uid="{00000000-0005-0000-0000-00002F120000}"/>
    <cellStyle name="1_tree_단위수량산출-1_수량산출서-11.25_철거수량" xfId="4284" xr:uid="{00000000-0005-0000-0000-000030120000}"/>
    <cellStyle name="1_tree_단위수량산출1_수량산출서-11.25_한수단위수량" xfId="4285" xr:uid="{00000000-0005-0000-0000-000031120000}"/>
    <cellStyle name="1_tree_단위수량산출-1_수량산출서-11.25_한수단위수량" xfId="4286" xr:uid="{00000000-0005-0000-0000-000032120000}"/>
    <cellStyle name="1_tree_단위수량산출1_수량산출서-1201" xfId="4289" xr:uid="{00000000-0005-0000-0000-000033120000}"/>
    <cellStyle name="1_tree_단위수량산출-1_수량산출서-1201" xfId="4290" xr:uid="{00000000-0005-0000-0000-000034120000}"/>
    <cellStyle name="1_tree_단위수량산출1_수량산출서-1201_NEW단위수량-주산" xfId="4307" xr:uid="{00000000-0005-0000-0000-000035120000}"/>
    <cellStyle name="1_tree_단위수량산출-1_수량산출서-1201_NEW단위수량-주산" xfId="4308" xr:uid="{00000000-0005-0000-0000-000036120000}"/>
    <cellStyle name="1_tree_단위수량산출1_수량산출서-1201_남대천단위수량" xfId="4291" xr:uid="{00000000-0005-0000-0000-000037120000}"/>
    <cellStyle name="1_tree_단위수량산출-1_수량산출서-1201_남대천단위수량" xfId="4292" xr:uid="{00000000-0005-0000-0000-000038120000}"/>
    <cellStyle name="1_tree_단위수량산출1_수량산출서-1201_단위수량" xfId="4293" xr:uid="{00000000-0005-0000-0000-000039120000}"/>
    <cellStyle name="1_tree_단위수량산출-1_수량산출서-1201_단위수량" xfId="4294" xr:uid="{00000000-0005-0000-0000-00003A120000}"/>
    <cellStyle name="1_tree_단위수량산출1_수량산출서-1201_단위수량1" xfId="4295" xr:uid="{00000000-0005-0000-0000-00003B120000}"/>
    <cellStyle name="1_tree_단위수량산출-1_수량산출서-1201_단위수량1" xfId="4296" xr:uid="{00000000-0005-0000-0000-00003C120000}"/>
    <cellStyle name="1_tree_단위수량산출1_수량산출서-1201_단위수량15" xfId="4297" xr:uid="{00000000-0005-0000-0000-00003D120000}"/>
    <cellStyle name="1_tree_단위수량산출-1_수량산출서-1201_단위수량15" xfId="4298" xr:uid="{00000000-0005-0000-0000-00003E120000}"/>
    <cellStyle name="1_tree_단위수량산출1_수량산출서-1201_도곡단위수량" xfId="4299" xr:uid="{00000000-0005-0000-0000-00003F120000}"/>
    <cellStyle name="1_tree_단위수량산출-1_수량산출서-1201_도곡단위수량" xfId="4300" xr:uid="{00000000-0005-0000-0000-000040120000}"/>
    <cellStyle name="1_tree_단위수량산출1_수량산출서-1201_철거단위수량" xfId="4301" xr:uid="{00000000-0005-0000-0000-000041120000}"/>
    <cellStyle name="1_tree_단위수량산출-1_수량산출서-1201_철거단위수량" xfId="4302" xr:uid="{00000000-0005-0000-0000-000042120000}"/>
    <cellStyle name="1_tree_단위수량산출1_수량산출서-1201_철거수량" xfId="4303" xr:uid="{00000000-0005-0000-0000-000043120000}"/>
    <cellStyle name="1_tree_단위수량산출-1_수량산출서-1201_철거수량" xfId="4304" xr:uid="{00000000-0005-0000-0000-000044120000}"/>
    <cellStyle name="1_tree_단위수량산출1_수량산출서-1201_한수단위수량" xfId="4305" xr:uid="{00000000-0005-0000-0000-000045120000}"/>
    <cellStyle name="1_tree_단위수량산출-1_수량산출서-1201_한수단위수량" xfId="4306" xr:uid="{00000000-0005-0000-0000-000046120000}"/>
    <cellStyle name="1_tree_단위수량산출1_시설물단위수량" xfId="4309" xr:uid="{00000000-0005-0000-0000-000047120000}"/>
    <cellStyle name="1_tree_단위수량산출-1_시설물단위수량" xfId="4310" xr:uid="{00000000-0005-0000-0000-000048120000}"/>
    <cellStyle name="1_tree_단위수량산출1_시설물단위수량1" xfId="4311" xr:uid="{00000000-0005-0000-0000-000049120000}"/>
    <cellStyle name="1_tree_단위수량산출-1_시설물단위수량1" xfId="4312" xr:uid="{00000000-0005-0000-0000-00004A120000}"/>
    <cellStyle name="1_tree_단위수량산출1_시설물단위수량1_시설물단위수량" xfId="4313" xr:uid="{00000000-0005-0000-0000-00004B120000}"/>
    <cellStyle name="1_tree_단위수량산출-1_시설물단위수량1_시설물단위수량" xfId="4314" xr:uid="{00000000-0005-0000-0000-00004C120000}"/>
    <cellStyle name="1_tree_단위수량산출1_오창수량산출서" xfId="4315" xr:uid="{00000000-0005-0000-0000-00004D120000}"/>
    <cellStyle name="1_tree_단위수량산출-1_오창수량산출서" xfId="4316" xr:uid="{00000000-0005-0000-0000-00004E120000}"/>
    <cellStyle name="1_tree_단위수량산출1_오창수량산출서_NEW단위수량-주산" xfId="4379" xr:uid="{00000000-0005-0000-0000-00004F120000}"/>
    <cellStyle name="1_tree_단위수량산출-1_오창수량산출서_NEW단위수량-주산" xfId="4380" xr:uid="{00000000-0005-0000-0000-000050120000}"/>
    <cellStyle name="1_tree_단위수량산출1_오창수량산출서_남대천단위수량" xfId="4317" xr:uid="{00000000-0005-0000-0000-000051120000}"/>
    <cellStyle name="1_tree_단위수량산출-1_오창수량산출서_남대천단위수량" xfId="4318" xr:uid="{00000000-0005-0000-0000-000052120000}"/>
    <cellStyle name="1_tree_단위수량산출1_오창수량산출서_단위수량" xfId="4319" xr:uid="{00000000-0005-0000-0000-000053120000}"/>
    <cellStyle name="1_tree_단위수량산출-1_오창수량산출서_단위수량" xfId="4320" xr:uid="{00000000-0005-0000-0000-000054120000}"/>
    <cellStyle name="1_tree_단위수량산출1_오창수량산출서_단위수량1" xfId="4321" xr:uid="{00000000-0005-0000-0000-000055120000}"/>
    <cellStyle name="1_tree_단위수량산출-1_오창수량산출서_단위수량1" xfId="4322" xr:uid="{00000000-0005-0000-0000-000056120000}"/>
    <cellStyle name="1_tree_단위수량산출1_오창수량산출서_단위수량15" xfId="4323" xr:uid="{00000000-0005-0000-0000-000057120000}"/>
    <cellStyle name="1_tree_단위수량산출-1_오창수량산출서_단위수량15" xfId="4324" xr:uid="{00000000-0005-0000-0000-000058120000}"/>
    <cellStyle name="1_tree_단위수량산출1_오창수량산출서_도곡단위수량" xfId="4325" xr:uid="{00000000-0005-0000-0000-000059120000}"/>
    <cellStyle name="1_tree_단위수량산출-1_오창수량산출서_도곡단위수량" xfId="4326" xr:uid="{00000000-0005-0000-0000-00005A120000}"/>
    <cellStyle name="1_tree_단위수량산출1_오창수량산출서_수량산출서-11.25" xfId="4327" xr:uid="{00000000-0005-0000-0000-00005B120000}"/>
    <cellStyle name="1_tree_단위수량산출-1_오창수량산출서_수량산출서-11.25" xfId="4328" xr:uid="{00000000-0005-0000-0000-00005C120000}"/>
    <cellStyle name="1_tree_단위수량산출1_오창수량산출서_수량산출서-11.25_NEW단위수량-주산" xfId="4345" xr:uid="{00000000-0005-0000-0000-00005D120000}"/>
    <cellStyle name="1_tree_단위수량산출-1_오창수량산출서_수량산출서-11.25_NEW단위수량-주산" xfId="4346" xr:uid="{00000000-0005-0000-0000-00005E120000}"/>
    <cellStyle name="1_tree_단위수량산출1_오창수량산출서_수량산출서-11.25_남대천단위수량" xfId="4329" xr:uid="{00000000-0005-0000-0000-00005F120000}"/>
    <cellStyle name="1_tree_단위수량산출-1_오창수량산출서_수량산출서-11.25_남대천단위수량" xfId="4330" xr:uid="{00000000-0005-0000-0000-000060120000}"/>
    <cellStyle name="1_tree_단위수량산출1_오창수량산출서_수량산출서-11.25_단위수량" xfId="4331" xr:uid="{00000000-0005-0000-0000-000061120000}"/>
    <cellStyle name="1_tree_단위수량산출-1_오창수량산출서_수량산출서-11.25_단위수량" xfId="4332" xr:uid="{00000000-0005-0000-0000-000062120000}"/>
    <cellStyle name="1_tree_단위수량산출1_오창수량산출서_수량산출서-11.25_단위수량1" xfId="4333" xr:uid="{00000000-0005-0000-0000-000063120000}"/>
    <cellStyle name="1_tree_단위수량산출-1_오창수량산출서_수량산출서-11.25_단위수량1" xfId="4334" xr:uid="{00000000-0005-0000-0000-000064120000}"/>
    <cellStyle name="1_tree_단위수량산출1_오창수량산출서_수량산출서-11.25_단위수량15" xfId="4335" xr:uid="{00000000-0005-0000-0000-000065120000}"/>
    <cellStyle name="1_tree_단위수량산출-1_오창수량산출서_수량산출서-11.25_단위수량15" xfId="4336" xr:uid="{00000000-0005-0000-0000-000066120000}"/>
    <cellStyle name="1_tree_단위수량산출1_오창수량산출서_수량산출서-11.25_도곡단위수량" xfId="4337" xr:uid="{00000000-0005-0000-0000-000067120000}"/>
    <cellStyle name="1_tree_단위수량산출-1_오창수량산출서_수량산출서-11.25_도곡단위수량" xfId="4338" xr:uid="{00000000-0005-0000-0000-000068120000}"/>
    <cellStyle name="1_tree_단위수량산출1_오창수량산출서_수량산출서-11.25_철거단위수량" xfId="4339" xr:uid="{00000000-0005-0000-0000-000069120000}"/>
    <cellStyle name="1_tree_단위수량산출-1_오창수량산출서_수량산출서-11.25_철거단위수량" xfId="4340" xr:uid="{00000000-0005-0000-0000-00006A120000}"/>
    <cellStyle name="1_tree_단위수량산출1_오창수량산출서_수량산출서-11.25_철거수량" xfId="4341" xr:uid="{00000000-0005-0000-0000-00006B120000}"/>
    <cellStyle name="1_tree_단위수량산출-1_오창수량산출서_수량산출서-11.25_철거수량" xfId="4342" xr:uid="{00000000-0005-0000-0000-00006C120000}"/>
    <cellStyle name="1_tree_단위수량산출1_오창수량산출서_수량산출서-11.25_한수단위수량" xfId="4343" xr:uid="{00000000-0005-0000-0000-00006D120000}"/>
    <cellStyle name="1_tree_단위수량산출-1_오창수량산출서_수량산출서-11.25_한수단위수량" xfId="4344" xr:uid="{00000000-0005-0000-0000-00006E120000}"/>
    <cellStyle name="1_tree_단위수량산출1_오창수량산출서_수량산출서-1201" xfId="4347" xr:uid="{00000000-0005-0000-0000-00006F120000}"/>
    <cellStyle name="1_tree_단위수량산출-1_오창수량산출서_수량산출서-1201" xfId="4348" xr:uid="{00000000-0005-0000-0000-000070120000}"/>
    <cellStyle name="1_tree_단위수량산출1_오창수량산출서_수량산출서-1201_NEW단위수량-주산" xfId="4365" xr:uid="{00000000-0005-0000-0000-000071120000}"/>
    <cellStyle name="1_tree_단위수량산출-1_오창수량산출서_수량산출서-1201_NEW단위수량-주산" xfId="4366" xr:uid="{00000000-0005-0000-0000-000072120000}"/>
    <cellStyle name="1_tree_단위수량산출1_오창수량산출서_수량산출서-1201_남대천단위수량" xfId="4349" xr:uid="{00000000-0005-0000-0000-000073120000}"/>
    <cellStyle name="1_tree_단위수량산출-1_오창수량산출서_수량산출서-1201_남대천단위수량" xfId="4350" xr:uid="{00000000-0005-0000-0000-000074120000}"/>
    <cellStyle name="1_tree_단위수량산출1_오창수량산출서_수량산출서-1201_단위수량" xfId="4351" xr:uid="{00000000-0005-0000-0000-000075120000}"/>
    <cellStyle name="1_tree_단위수량산출-1_오창수량산출서_수량산출서-1201_단위수량" xfId="4352" xr:uid="{00000000-0005-0000-0000-000076120000}"/>
    <cellStyle name="1_tree_단위수량산출1_오창수량산출서_수량산출서-1201_단위수량1" xfId="4353" xr:uid="{00000000-0005-0000-0000-000077120000}"/>
    <cellStyle name="1_tree_단위수량산출-1_오창수량산출서_수량산출서-1201_단위수량1" xfId="4354" xr:uid="{00000000-0005-0000-0000-000078120000}"/>
    <cellStyle name="1_tree_단위수량산출1_오창수량산출서_수량산출서-1201_단위수량15" xfId="4355" xr:uid="{00000000-0005-0000-0000-000079120000}"/>
    <cellStyle name="1_tree_단위수량산출-1_오창수량산출서_수량산출서-1201_단위수량15" xfId="4356" xr:uid="{00000000-0005-0000-0000-00007A120000}"/>
    <cellStyle name="1_tree_단위수량산출1_오창수량산출서_수량산출서-1201_도곡단위수량" xfId="4357" xr:uid="{00000000-0005-0000-0000-00007B120000}"/>
    <cellStyle name="1_tree_단위수량산출-1_오창수량산출서_수량산출서-1201_도곡단위수량" xfId="4358" xr:uid="{00000000-0005-0000-0000-00007C120000}"/>
    <cellStyle name="1_tree_단위수량산출1_오창수량산출서_수량산출서-1201_철거단위수량" xfId="4359" xr:uid="{00000000-0005-0000-0000-00007D120000}"/>
    <cellStyle name="1_tree_단위수량산출-1_오창수량산출서_수량산출서-1201_철거단위수량" xfId="4360" xr:uid="{00000000-0005-0000-0000-00007E120000}"/>
    <cellStyle name="1_tree_단위수량산출1_오창수량산출서_수량산출서-1201_철거수량" xfId="4361" xr:uid="{00000000-0005-0000-0000-00007F120000}"/>
    <cellStyle name="1_tree_단위수량산출-1_오창수량산출서_수량산출서-1201_철거수량" xfId="4362" xr:uid="{00000000-0005-0000-0000-000080120000}"/>
    <cellStyle name="1_tree_단위수량산출1_오창수량산출서_수량산출서-1201_한수단위수량" xfId="4363" xr:uid="{00000000-0005-0000-0000-000081120000}"/>
    <cellStyle name="1_tree_단위수량산출-1_오창수량산출서_수량산출서-1201_한수단위수량" xfId="4364" xr:uid="{00000000-0005-0000-0000-000082120000}"/>
    <cellStyle name="1_tree_단위수량산출1_오창수량산출서_시설물단위수량" xfId="4367" xr:uid="{00000000-0005-0000-0000-000083120000}"/>
    <cellStyle name="1_tree_단위수량산출-1_오창수량산출서_시설물단위수량" xfId="4368" xr:uid="{00000000-0005-0000-0000-000084120000}"/>
    <cellStyle name="1_tree_단위수량산출1_오창수량산출서_시설물단위수량1" xfId="4369" xr:uid="{00000000-0005-0000-0000-000085120000}"/>
    <cellStyle name="1_tree_단위수량산출-1_오창수량산출서_시설물단위수량1" xfId="4370" xr:uid="{00000000-0005-0000-0000-000086120000}"/>
    <cellStyle name="1_tree_단위수량산출1_오창수량산출서_시설물단위수량1_시설물단위수량" xfId="4371" xr:uid="{00000000-0005-0000-0000-000087120000}"/>
    <cellStyle name="1_tree_단위수량산출-1_오창수량산출서_시설물단위수량1_시설물단위수량" xfId="4372" xr:uid="{00000000-0005-0000-0000-000088120000}"/>
    <cellStyle name="1_tree_단위수량산출1_오창수량산출서_철거단위수량" xfId="4373" xr:uid="{00000000-0005-0000-0000-000089120000}"/>
    <cellStyle name="1_tree_단위수량산출-1_오창수량산출서_철거단위수량" xfId="4374" xr:uid="{00000000-0005-0000-0000-00008A120000}"/>
    <cellStyle name="1_tree_단위수량산출1_오창수량산출서_철거수량" xfId="4375" xr:uid="{00000000-0005-0000-0000-00008B120000}"/>
    <cellStyle name="1_tree_단위수량산출-1_오창수량산출서_철거수량" xfId="4376" xr:uid="{00000000-0005-0000-0000-00008C120000}"/>
    <cellStyle name="1_tree_단위수량산출1_오창수량산출서_한수단위수량" xfId="4377" xr:uid="{00000000-0005-0000-0000-00008D120000}"/>
    <cellStyle name="1_tree_단위수량산출-1_오창수량산출서_한수단위수량" xfId="4378" xr:uid="{00000000-0005-0000-0000-00008E120000}"/>
    <cellStyle name="1_tree_단위수량산출1_용평단위수량" xfId="4381" xr:uid="{00000000-0005-0000-0000-00008F120000}"/>
    <cellStyle name="1_tree_단위수량산출-1_용평단위수량" xfId="4382" xr:uid="{00000000-0005-0000-0000-000090120000}"/>
    <cellStyle name="1_tree_단위수량산출1_철거단위수량" xfId="4383" xr:uid="{00000000-0005-0000-0000-000091120000}"/>
    <cellStyle name="1_tree_단위수량산출-1_철거단위수량" xfId="4384" xr:uid="{00000000-0005-0000-0000-000092120000}"/>
    <cellStyle name="1_tree_단위수량산출1_철거수량" xfId="4385" xr:uid="{00000000-0005-0000-0000-000093120000}"/>
    <cellStyle name="1_tree_단위수량산출-1_철거수량" xfId="4386" xr:uid="{00000000-0005-0000-0000-000094120000}"/>
    <cellStyle name="1_tree_단위수량산출1_한수단위수량" xfId="4387" xr:uid="{00000000-0005-0000-0000-000095120000}"/>
    <cellStyle name="1_tree_단위수량산출-1_한수단위수량" xfId="4388" xr:uid="{00000000-0005-0000-0000-000096120000}"/>
    <cellStyle name="1_tree_단위수량산출2" xfId="4391" xr:uid="{00000000-0005-0000-0000-000097120000}"/>
    <cellStyle name="1_tree_단위수량산출2_NEW단위수량-주산" xfId="4456" xr:uid="{00000000-0005-0000-0000-000098120000}"/>
    <cellStyle name="1_tree_단위수량산출2_남대천단위수량" xfId="4392" xr:uid="{00000000-0005-0000-0000-000099120000}"/>
    <cellStyle name="1_tree_단위수량산출2_단위수량" xfId="4393" xr:uid="{00000000-0005-0000-0000-00009A120000}"/>
    <cellStyle name="1_tree_단위수량산출2_단위수량1" xfId="4394" xr:uid="{00000000-0005-0000-0000-00009B120000}"/>
    <cellStyle name="1_tree_단위수량산출2_단위수량15" xfId="4395" xr:uid="{00000000-0005-0000-0000-00009C120000}"/>
    <cellStyle name="1_tree_단위수량산출2_도곡단위수량" xfId="4396" xr:uid="{00000000-0005-0000-0000-00009D120000}"/>
    <cellStyle name="1_tree_단위수량산출2_수량산출서-11.25" xfId="4397" xr:uid="{00000000-0005-0000-0000-00009E120000}"/>
    <cellStyle name="1_tree_단위수량산출2_수량산출서-11.25_NEW단위수량-주산" xfId="4406" xr:uid="{00000000-0005-0000-0000-00009F120000}"/>
    <cellStyle name="1_tree_단위수량산출2_수량산출서-11.25_남대천단위수량" xfId="4398" xr:uid="{00000000-0005-0000-0000-0000A0120000}"/>
    <cellStyle name="1_tree_단위수량산출2_수량산출서-11.25_단위수량" xfId="4399" xr:uid="{00000000-0005-0000-0000-0000A1120000}"/>
    <cellStyle name="1_tree_단위수량산출2_수량산출서-11.25_단위수량1" xfId="4400" xr:uid="{00000000-0005-0000-0000-0000A2120000}"/>
    <cellStyle name="1_tree_단위수량산출2_수량산출서-11.25_단위수량15" xfId="4401" xr:uid="{00000000-0005-0000-0000-0000A3120000}"/>
    <cellStyle name="1_tree_단위수량산출2_수량산출서-11.25_도곡단위수량" xfId="4402" xr:uid="{00000000-0005-0000-0000-0000A4120000}"/>
    <cellStyle name="1_tree_단위수량산출2_수량산출서-11.25_철거단위수량" xfId="4403" xr:uid="{00000000-0005-0000-0000-0000A5120000}"/>
    <cellStyle name="1_tree_단위수량산출2_수량산출서-11.25_철거수량" xfId="4404" xr:uid="{00000000-0005-0000-0000-0000A6120000}"/>
    <cellStyle name="1_tree_단위수량산출2_수량산출서-11.25_한수단위수량" xfId="4405" xr:uid="{00000000-0005-0000-0000-0000A7120000}"/>
    <cellStyle name="1_tree_단위수량산출2_수량산출서-1201" xfId="4407" xr:uid="{00000000-0005-0000-0000-0000A8120000}"/>
    <cellStyle name="1_tree_단위수량산출2_수량산출서-1201_NEW단위수량-주산" xfId="4416" xr:uid="{00000000-0005-0000-0000-0000A9120000}"/>
    <cellStyle name="1_tree_단위수량산출2_수량산출서-1201_남대천단위수량" xfId="4408" xr:uid="{00000000-0005-0000-0000-0000AA120000}"/>
    <cellStyle name="1_tree_단위수량산출2_수량산출서-1201_단위수량" xfId="4409" xr:uid="{00000000-0005-0000-0000-0000AB120000}"/>
    <cellStyle name="1_tree_단위수량산출2_수량산출서-1201_단위수량1" xfId="4410" xr:uid="{00000000-0005-0000-0000-0000AC120000}"/>
    <cellStyle name="1_tree_단위수량산출2_수량산출서-1201_단위수량15" xfId="4411" xr:uid="{00000000-0005-0000-0000-0000AD120000}"/>
    <cellStyle name="1_tree_단위수량산출2_수량산출서-1201_도곡단위수량" xfId="4412" xr:uid="{00000000-0005-0000-0000-0000AE120000}"/>
    <cellStyle name="1_tree_단위수량산출2_수량산출서-1201_철거단위수량" xfId="4413" xr:uid="{00000000-0005-0000-0000-0000AF120000}"/>
    <cellStyle name="1_tree_단위수량산출2_수량산출서-1201_철거수량" xfId="4414" xr:uid="{00000000-0005-0000-0000-0000B0120000}"/>
    <cellStyle name="1_tree_단위수량산출2_수량산출서-1201_한수단위수량" xfId="4415" xr:uid="{00000000-0005-0000-0000-0000B1120000}"/>
    <cellStyle name="1_tree_단위수량산출2_시설물단위수량" xfId="4417" xr:uid="{00000000-0005-0000-0000-0000B2120000}"/>
    <cellStyle name="1_tree_단위수량산출2_시설물단위수량1" xfId="4418" xr:uid="{00000000-0005-0000-0000-0000B3120000}"/>
    <cellStyle name="1_tree_단위수량산출2_시설물단위수량1_시설물단위수량" xfId="4419" xr:uid="{00000000-0005-0000-0000-0000B4120000}"/>
    <cellStyle name="1_tree_단위수량산출2_오창수량산출서" xfId="4420" xr:uid="{00000000-0005-0000-0000-0000B5120000}"/>
    <cellStyle name="1_tree_단위수량산출2_오창수량산출서_NEW단위수량-주산" xfId="4452" xr:uid="{00000000-0005-0000-0000-0000B6120000}"/>
    <cellStyle name="1_tree_단위수량산출2_오창수량산출서_남대천단위수량" xfId="4421" xr:uid="{00000000-0005-0000-0000-0000B7120000}"/>
    <cellStyle name="1_tree_단위수량산출2_오창수량산출서_단위수량" xfId="4422" xr:uid="{00000000-0005-0000-0000-0000B8120000}"/>
    <cellStyle name="1_tree_단위수량산출2_오창수량산출서_단위수량1" xfId="4423" xr:uid="{00000000-0005-0000-0000-0000B9120000}"/>
    <cellStyle name="1_tree_단위수량산출2_오창수량산출서_단위수량15" xfId="4424" xr:uid="{00000000-0005-0000-0000-0000BA120000}"/>
    <cellStyle name="1_tree_단위수량산출2_오창수량산출서_도곡단위수량" xfId="4425" xr:uid="{00000000-0005-0000-0000-0000BB120000}"/>
    <cellStyle name="1_tree_단위수량산출2_오창수량산출서_수량산출서-11.25" xfId="4426" xr:uid="{00000000-0005-0000-0000-0000BC120000}"/>
    <cellStyle name="1_tree_단위수량산출2_오창수량산출서_수량산출서-11.25_NEW단위수량-주산" xfId="4435" xr:uid="{00000000-0005-0000-0000-0000BD120000}"/>
    <cellStyle name="1_tree_단위수량산출2_오창수량산출서_수량산출서-11.25_남대천단위수량" xfId="4427" xr:uid="{00000000-0005-0000-0000-0000BE120000}"/>
    <cellStyle name="1_tree_단위수량산출2_오창수량산출서_수량산출서-11.25_단위수량" xfId="4428" xr:uid="{00000000-0005-0000-0000-0000BF120000}"/>
    <cellStyle name="1_tree_단위수량산출2_오창수량산출서_수량산출서-11.25_단위수량1" xfId="4429" xr:uid="{00000000-0005-0000-0000-0000C0120000}"/>
    <cellStyle name="1_tree_단위수량산출2_오창수량산출서_수량산출서-11.25_단위수량15" xfId="4430" xr:uid="{00000000-0005-0000-0000-0000C1120000}"/>
    <cellStyle name="1_tree_단위수량산출2_오창수량산출서_수량산출서-11.25_도곡단위수량" xfId="4431" xr:uid="{00000000-0005-0000-0000-0000C2120000}"/>
    <cellStyle name="1_tree_단위수량산출2_오창수량산출서_수량산출서-11.25_철거단위수량" xfId="4432" xr:uid="{00000000-0005-0000-0000-0000C3120000}"/>
    <cellStyle name="1_tree_단위수량산출2_오창수량산출서_수량산출서-11.25_철거수량" xfId="4433" xr:uid="{00000000-0005-0000-0000-0000C4120000}"/>
    <cellStyle name="1_tree_단위수량산출2_오창수량산출서_수량산출서-11.25_한수단위수량" xfId="4434" xr:uid="{00000000-0005-0000-0000-0000C5120000}"/>
    <cellStyle name="1_tree_단위수량산출2_오창수량산출서_수량산출서-1201" xfId="4436" xr:uid="{00000000-0005-0000-0000-0000C6120000}"/>
    <cellStyle name="1_tree_단위수량산출2_오창수량산출서_수량산출서-1201_NEW단위수량-주산" xfId="4445" xr:uid="{00000000-0005-0000-0000-0000C7120000}"/>
    <cellStyle name="1_tree_단위수량산출2_오창수량산출서_수량산출서-1201_남대천단위수량" xfId="4437" xr:uid="{00000000-0005-0000-0000-0000C8120000}"/>
    <cellStyle name="1_tree_단위수량산출2_오창수량산출서_수량산출서-1201_단위수량" xfId="4438" xr:uid="{00000000-0005-0000-0000-0000C9120000}"/>
    <cellStyle name="1_tree_단위수량산출2_오창수량산출서_수량산출서-1201_단위수량1" xfId="4439" xr:uid="{00000000-0005-0000-0000-0000CA120000}"/>
    <cellStyle name="1_tree_단위수량산출2_오창수량산출서_수량산출서-1201_단위수량15" xfId="4440" xr:uid="{00000000-0005-0000-0000-0000CB120000}"/>
    <cellStyle name="1_tree_단위수량산출2_오창수량산출서_수량산출서-1201_도곡단위수량" xfId="4441" xr:uid="{00000000-0005-0000-0000-0000CC120000}"/>
    <cellStyle name="1_tree_단위수량산출2_오창수량산출서_수량산출서-1201_철거단위수량" xfId="4442" xr:uid="{00000000-0005-0000-0000-0000CD120000}"/>
    <cellStyle name="1_tree_단위수량산출2_오창수량산출서_수량산출서-1201_철거수량" xfId="4443" xr:uid="{00000000-0005-0000-0000-0000CE120000}"/>
    <cellStyle name="1_tree_단위수량산출2_오창수량산출서_수량산출서-1201_한수단위수량" xfId="4444" xr:uid="{00000000-0005-0000-0000-0000CF120000}"/>
    <cellStyle name="1_tree_단위수량산출2_오창수량산출서_시설물단위수량" xfId="4446" xr:uid="{00000000-0005-0000-0000-0000D0120000}"/>
    <cellStyle name="1_tree_단위수량산출2_오창수량산출서_시설물단위수량1" xfId="4447" xr:uid="{00000000-0005-0000-0000-0000D1120000}"/>
    <cellStyle name="1_tree_단위수량산출2_오창수량산출서_시설물단위수량1_시설물단위수량" xfId="4448" xr:uid="{00000000-0005-0000-0000-0000D2120000}"/>
    <cellStyle name="1_tree_단위수량산출2_오창수량산출서_철거단위수량" xfId="4449" xr:uid="{00000000-0005-0000-0000-0000D3120000}"/>
    <cellStyle name="1_tree_단위수량산출2_오창수량산출서_철거수량" xfId="4450" xr:uid="{00000000-0005-0000-0000-0000D4120000}"/>
    <cellStyle name="1_tree_단위수량산출2_오창수량산출서_한수단위수량" xfId="4451" xr:uid="{00000000-0005-0000-0000-0000D5120000}"/>
    <cellStyle name="1_tree_단위수량산출2_철거단위수량" xfId="4453" xr:uid="{00000000-0005-0000-0000-0000D6120000}"/>
    <cellStyle name="1_tree_단위수량산출2_철거수량" xfId="4454" xr:uid="{00000000-0005-0000-0000-0000D7120000}"/>
    <cellStyle name="1_tree_단위수량산출2_한수단위수량" xfId="4455" xr:uid="{00000000-0005-0000-0000-0000D8120000}"/>
    <cellStyle name="1_tree_단위수량산출-개군" xfId="4457" xr:uid="{00000000-0005-0000-0000-0000D9120000}"/>
    <cellStyle name="1_tree_도곡단위수량" xfId="4458" xr:uid="{00000000-0005-0000-0000-0000DA120000}"/>
    <cellStyle name="1_tree_마운딩수량" xfId="4459" xr:uid="{00000000-0005-0000-0000-0000DB120000}"/>
    <cellStyle name="1_tree_마운딩수량 2" xfId="7379" xr:uid="{00000000-0005-0000-0000-0000DC120000}"/>
    <cellStyle name="1_tree_마운딩수량 2 2" xfId="7380" xr:uid="{00000000-0005-0000-0000-0000DD120000}"/>
    <cellStyle name="1_tree_마운딩수량_갑지0601" xfId="4460" xr:uid="{00000000-0005-0000-0000-0000DE120000}"/>
    <cellStyle name="1_tree_마운딩수량_갑지0601 2" xfId="7381" xr:uid="{00000000-0005-0000-0000-0000DF120000}"/>
    <cellStyle name="1_tree_마운딩수량_갑지0601 2 2" xfId="7382" xr:uid="{00000000-0005-0000-0000-0000E0120000}"/>
    <cellStyle name="1_tree_마운딩수량_갑지0601_과천놀이터설계서" xfId="4461" xr:uid="{00000000-0005-0000-0000-0000E1120000}"/>
    <cellStyle name="1_tree_마운딩수량_갑지0601_과천놀이터설계서 2" xfId="7383" xr:uid="{00000000-0005-0000-0000-0000E2120000}"/>
    <cellStyle name="1_tree_마운딩수량_갑지0601_과천놀이터설계서 2 2" xfId="7384" xr:uid="{00000000-0005-0000-0000-0000E3120000}"/>
    <cellStyle name="1_tree_마운딩수량_갑지0601_덕원고-설계서갑지" xfId="7385" xr:uid="{00000000-0005-0000-0000-0000E4120000}"/>
    <cellStyle name="1_tree_마운딩수량_갑지0601_덕원고-설계서갑지 2" xfId="7386" xr:uid="{00000000-0005-0000-0000-0000E5120000}"/>
    <cellStyle name="1_tree_마운딩수량_갑지0601_덕원고-설계서갑지 2 2" xfId="7387" xr:uid="{00000000-0005-0000-0000-0000E6120000}"/>
    <cellStyle name="1_tree_마운딩수량_갑지0601_총괄갑지" xfId="4462" xr:uid="{00000000-0005-0000-0000-0000E7120000}"/>
    <cellStyle name="1_tree_마운딩수량_갑지0601_총괄갑지 2" xfId="7388" xr:uid="{00000000-0005-0000-0000-0000E8120000}"/>
    <cellStyle name="1_tree_마운딩수량_갑지0601_총괄갑지 2 2" xfId="7389" xr:uid="{00000000-0005-0000-0000-0000E9120000}"/>
    <cellStyle name="1_tree_마운딩수량_갑지0601_총괄내역서" xfId="4463" xr:uid="{00000000-0005-0000-0000-0000EA120000}"/>
    <cellStyle name="1_tree_마운딩수량_갑지0601_총괄내역서 2" xfId="7390" xr:uid="{00000000-0005-0000-0000-0000EB120000}"/>
    <cellStyle name="1_tree_마운딩수량_갑지0601_총괄내역서 2 2" xfId="7391" xr:uid="{00000000-0005-0000-0000-0000EC120000}"/>
    <cellStyle name="1_tree_목동내역" xfId="4464" xr:uid="{00000000-0005-0000-0000-0000ED120000}"/>
    <cellStyle name="1_tree_목동내역_폐기물집계" xfId="4465" xr:uid="{00000000-0005-0000-0000-0000EE120000}"/>
    <cellStyle name="1_tree_문래수량집계" xfId="4466" xr:uid="{00000000-0005-0000-0000-0000EF120000}"/>
    <cellStyle name="1_tree_변경계약내역서(칼산 근린공원)-당초,변경" xfId="15" xr:uid="{00000000-0005-0000-0000-0000F0120000}"/>
    <cellStyle name="1_tree_분수대 및 어린이놀이터 시설물 설치공사" xfId="4467" xr:uid="{00000000-0005-0000-0000-0000F1120000}"/>
    <cellStyle name="1_tree_사본 - 아차산배수지인조잔디축구장조성공사 심사내역서" xfId="4468" xr:uid="{00000000-0005-0000-0000-0000F2120000}"/>
    <cellStyle name="1_tree_수량산출" xfId="1293" xr:uid="{00000000-0005-0000-0000-0000F3120000}"/>
    <cellStyle name="1_tree_수량산출_00-예산서양식100" xfId="2110" xr:uid="{00000000-0005-0000-0000-0000F4120000}"/>
    <cellStyle name="1_tree_수량산출_00-예산서양식100_00-설계서양식" xfId="2111" xr:uid="{00000000-0005-0000-0000-0000F5120000}"/>
    <cellStyle name="1_tree_수량산출_00-예산서양식100_대전가오-설계서" xfId="2112" xr:uid="{00000000-0005-0000-0000-0000F6120000}"/>
    <cellStyle name="1_tree_수량산출_00-예산서양식100_대전가오-설계서(관리)" xfId="2113" xr:uid="{00000000-0005-0000-0000-0000F7120000}"/>
    <cellStyle name="1_tree_수량산출_00-예산서양식100_대전가오-설계서1" xfId="2114" xr:uid="{00000000-0005-0000-0000-0000F8120000}"/>
    <cellStyle name="1_tree_수량산출_00-예산서양식100_설계설명서0309" xfId="2115" xr:uid="{00000000-0005-0000-0000-0000F9120000}"/>
    <cellStyle name="1_tree_수량산출_00-표지예정공정표" xfId="2116" xr:uid="{00000000-0005-0000-0000-0000FA120000}"/>
    <cellStyle name="1_tree_수량산출_041206 목동내역" xfId="1294" xr:uid="{00000000-0005-0000-0000-0000FB120000}"/>
    <cellStyle name="1_tree_수량산출_광진구-설계서(1006)" xfId="2117" xr:uid="{00000000-0005-0000-0000-0000FC120000}"/>
    <cellStyle name="1_tree_수량산출_광진구-설계서(1006)_설계설명서0309" xfId="2118" xr:uid="{00000000-0005-0000-0000-0000FD120000}"/>
    <cellStyle name="1_tree_수량산출_구로리총괄내역" xfId="2119" xr:uid="{00000000-0005-0000-0000-0000FE120000}"/>
    <cellStyle name="1_tree_수량산출_구로리총괄내역_구로리설계예산서1029" xfId="2120" xr:uid="{00000000-0005-0000-0000-0000FF120000}"/>
    <cellStyle name="1_tree_수량산출_구로리총괄내역_구로리설계예산서1029_내역서(우이천변)" xfId="2121" xr:uid="{00000000-0005-0000-0000-000000130000}"/>
    <cellStyle name="1_tree_수량산출_구로리총괄내역_구로리설계예산서1029_내역서1128" xfId="2122" xr:uid="{00000000-0005-0000-0000-000001130000}"/>
    <cellStyle name="1_tree_수량산출_구로리총괄내역_구로리설계예산서1118준공" xfId="2123" xr:uid="{00000000-0005-0000-0000-000002130000}"/>
    <cellStyle name="1_tree_수량산출_구로리총괄내역_구로리설계예산서1118준공_내역서(우이천변)" xfId="2124" xr:uid="{00000000-0005-0000-0000-000003130000}"/>
    <cellStyle name="1_tree_수량산출_구로리총괄내역_구로리설계예산서1118준공_내역서1128" xfId="2125" xr:uid="{00000000-0005-0000-0000-000004130000}"/>
    <cellStyle name="1_tree_수량산출_구로리총괄내역_구로리설계예산서조경" xfId="2126" xr:uid="{00000000-0005-0000-0000-000005130000}"/>
    <cellStyle name="1_tree_수량산출_구로리총괄내역_구로리설계예산서조경_내역서(우이천변)" xfId="2127" xr:uid="{00000000-0005-0000-0000-000006130000}"/>
    <cellStyle name="1_tree_수량산출_구로리총괄내역_구로리설계예산서조경_내역서1128" xfId="2128" xr:uid="{00000000-0005-0000-0000-000007130000}"/>
    <cellStyle name="1_tree_수량산출_구로리총괄내역_구로리어린이공원예산서(조경)1125" xfId="2129" xr:uid="{00000000-0005-0000-0000-000008130000}"/>
    <cellStyle name="1_tree_수량산출_구로리총괄내역_구로리어린이공원예산서(조경)1125_내역서(우이천변)" xfId="2130" xr:uid="{00000000-0005-0000-0000-000009130000}"/>
    <cellStyle name="1_tree_수량산출_구로리총괄내역_구로리어린이공원예산서(조경)1125_내역서1128" xfId="2131" xr:uid="{00000000-0005-0000-0000-00000A130000}"/>
    <cellStyle name="1_tree_수량산출_구로리총괄내역_내역서" xfId="2132" xr:uid="{00000000-0005-0000-0000-00000B130000}"/>
    <cellStyle name="1_tree_수량산출_구로리총괄내역_내역서(우이천변)" xfId="2133" xr:uid="{00000000-0005-0000-0000-00000C130000}"/>
    <cellStyle name="1_tree_수량산출_구로리총괄내역_내역서_내역서(우이천변)" xfId="2134" xr:uid="{00000000-0005-0000-0000-00000D130000}"/>
    <cellStyle name="1_tree_수량산출_구로리총괄내역_내역서_내역서1128" xfId="2135" xr:uid="{00000000-0005-0000-0000-00000E130000}"/>
    <cellStyle name="1_tree_수량산출_구로리총괄내역_내역서1128" xfId="2136" xr:uid="{00000000-0005-0000-0000-00000F130000}"/>
    <cellStyle name="1_tree_수량산출_구로리총괄내역_노임단가표" xfId="2137" xr:uid="{00000000-0005-0000-0000-000010130000}"/>
    <cellStyle name="1_tree_수량산출_구로리총괄내역_노임단가표_내역서(우이천변)" xfId="2138" xr:uid="{00000000-0005-0000-0000-000011130000}"/>
    <cellStyle name="1_tree_수량산출_구로리총괄내역_노임단가표_내역서1128" xfId="2139" xr:uid="{00000000-0005-0000-0000-000012130000}"/>
    <cellStyle name="1_tree_수량산출_구로리총괄내역_수도권매립지" xfId="2140" xr:uid="{00000000-0005-0000-0000-000013130000}"/>
    <cellStyle name="1_tree_수량산출_구로리총괄내역_수도권매립지_내역서(우이천변)" xfId="2141" xr:uid="{00000000-0005-0000-0000-000014130000}"/>
    <cellStyle name="1_tree_수량산출_구로리총괄내역_수도권매립지_내역서1128" xfId="2142" xr:uid="{00000000-0005-0000-0000-000015130000}"/>
    <cellStyle name="1_tree_수량산출_구로리총괄내역_수도권매립지1004(발주용)" xfId="2143" xr:uid="{00000000-0005-0000-0000-000016130000}"/>
    <cellStyle name="1_tree_수량산출_구로리총괄내역_수도권매립지1004(발주용)_내역서(우이천변)" xfId="2144" xr:uid="{00000000-0005-0000-0000-000017130000}"/>
    <cellStyle name="1_tree_수량산출_구로리총괄내역_수도권매립지1004(발주용)_내역서1128" xfId="2145" xr:uid="{00000000-0005-0000-0000-000018130000}"/>
    <cellStyle name="1_tree_수량산출_구로리총괄내역_일신건영설계예산서(0211)" xfId="2146" xr:uid="{00000000-0005-0000-0000-000019130000}"/>
    <cellStyle name="1_tree_수량산출_구로리총괄내역_일신건영설계예산서(0211)_내역서(우이천변)" xfId="2147" xr:uid="{00000000-0005-0000-0000-00001A130000}"/>
    <cellStyle name="1_tree_수량산출_구로리총괄내역_일신건영설계예산서(0211)_내역서1128" xfId="2148" xr:uid="{00000000-0005-0000-0000-00001B130000}"/>
    <cellStyle name="1_tree_수량산출_구로리총괄내역_일위대가" xfId="2149" xr:uid="{00000000-0005-0000-0000-00001C130000}"/>
    <cellStyle name="1_tree_수량산출_구로리총괄내역_일위대가_내역서(우이천변)" xfId="2150" xr:uid="{00000000-0005-0000-0000-00001D130000}"/>
    <cellStyle name="1_tree_수량산출_구로리총괄내역_일위대가_내역서1128" xfId="2151" xr:uid="{00000000-0005-0000-0000-00001E130000}"/>
    <cellStyle name="1_tree_수량산출_구로리총괄내역_자재단가표" xfId="2152" xr:uid="{00000000-0005-0000-0000-00001F130000}"/>
    <cellStyle name="1_tree_수량산출_구로리총괄내역_자재단가표_내역서(우이천변)" xfId="2153" xr:uid="{00000000-0005-0000-0000-000020130000}"/>
    <cellStyle name="1_tree_수량산출_구로리총괄내역_자재단가표_내역서1128" xfId="2154" xr:uid="{00000000-0005-0000-0000-000021130000}"/>
    <cellStyle name="1_tree_수량산출_구로리총괄내역_장안초등학교내역0814" xfId="2155" xr:uid="{00000000-0005-0000-0000-000022130000}"/>
    <cellStyle name="1_tree_수량산출_구로리총괄내역_장안초등학교내역0814_내역서(우이천변)" xfId="2156" xr:uid="{00000000-0005-0000-0000-000023130000}"/>
    <cellStyle name="1_tree_수량산출_구로리총괄내역_장안초등학교내역0814_내역서1128" xfId="2157" xr:uid="{00000000-0005-0000-0000-000024130000}"/>
    <cellStyle name="1_tree_수량산출_내역서(우이천변)" xfId="2158" xr:uid="{00000000-0005-0000-0000-000025130000}"/>
    <cellStyle name="1_tree_수량산출_내역서1128" xfId="2159" xr:uid="{00000000-0005-0000-0000-000026130000}"/>
    <cellStyle name="1_tree_수량산출_목동내역" xfId="4469" xr:uid="{00000000-0005-0000-0000-000027130000}"/>
    <cellStyle name="1_tree_수량산출_목동내역_폐기물집계" xfId="4470" xr:uid="{00000000-0005-0000-0000-000028130000}"/>
    <cellStyle name="1_tree_수량산출_영등포잔여구간변경내역-0608" xfId="1295" xr:uid="{00000000-0005-0000-0000-000029130000}"/>
    <cellStyle name="1_tree_수량산출_인수봉길설계변경내역" xfId="1296" xr:uid="{00000000-0005-0000-0000-00002A130000}"/>
    <cellStyle name="1_tree_수량산출_총괄내역0518" xfId="2160" xr:uid="{00000000-0005-0000-0000-00002B130000}"/>
    <cellStyle name="1_tree_수량산출_총괄내역0518_구로리설계예산서1029" xfId="2161" xr:uid="{00000000-0005-0000-0000-00002C130000}"/>
    <cellStyle name="1_tree_수량산출_총괄내역0518_구로리설계예산서1029_내역서(우이천변)" xfId="2162" xr:uid="{00000000-0005-0000-0000-00002D130000}"/>
    <cellStyle name="1_tree_수량산출_총괄내역0518_구로리설계예산서1029_내역서1128" xfId="2163" xr:uid="{00000000-0005-0000-0000-00002E130000}"/>
    <cellStyle name="1_tree_수량산출_총괄내역0518_구로리설계예산서1118준공" xfId="2164" xr:uid="{00000000-0005-0000-0000-00002F130000}"/>
    <cellStyle name="1_tree_수량산출_총괄내역0518_구로리설계예산서1118준공_내역서(우이천변)" xfId="2165" xr:uid="{00000000-0005-0000-0000-000030130000}"/>
    <cellStyle name="1_tree_수량산출_총괄내역0518_구로리설계예산서1118준공_내역서1128" xfId="2166" xr:uid="{00000000-0005-0000-0000-000031130000}"/>
    <cellStyle name="1_tree_수량산출_총괄내역0518_구로리설계예산서조경" xfId="2167" xr:uid="{00000000-0005-0000-0000-000032130000}"/>
    <cellStyle name="1_tree_수량산출_총괄내역0518_구로리설계예산서조경_내역서(우이천변)" xfId="2168" xr:uid="{00000000-0005-0000-0000-000033130000}"/>
    <cellStyle name="1_tree_수량산출_총괄내역0518_구로리설계예산서조경_내역서1128" xfId="2169" xr:uid="{00000000-0005-0000-0000-000034130000}"/>
    <cellStyle name="1_tree_수량산출_총괄내역0518_구로리어린이공원예산서(조경)1125" xfId="2170" xr:uid="{00000000-0005-0000-0000-000035130000}"/>
    <cellStyle name="1_tree_수량산출_총괄내역0518_구로리어린이공원예산서(조경)1125_내역서(우이천변)" xfId="2171" xr:uid="{00000000-0005-0000-0000-000036130000}"/>
    <cellStyle name="1_tree_수량산출_총괄내역0518_구로리어린이공원예산서(조경)1125_내역서1128" xfId="2172" xr:uid="{00000000-0005-0000-0000-000037130000}"/>
    <cellStyle name="1_tree_수량산출_총괄내역0518_내역서" xfId="2173" xr:uid="{00000000-0005-0000-0000-000038130000}"/>
    <cellStyle name="1_tree_수량산출_총괄내역0518_내역서(우이천변)" xfId="2174" xr:uid="{00000000-0005-0000-0000-000039130000}"/>
    <cellStyle name="1_tree_수량산출_총괄내역0518_내역서_내역서(우이천변)" xfId="2175" xr:uid="{00000000-0005-0000-0000-00003A130000}"/>
    <cellStyle name="1_tree_수량산출_총괄내역0518_내역서_내역서1128" xfId="2176" xr:uid="{00000000-0005-0000-0000-00003B130000}"/>
    <cellStyle name="1_tree_수량산출_총괄내역0518_내역서1128" xfId="2177" xr:uid="{00000000-0005-0000-0000-00003C130000}"/>
    <cellStyle name="1_tree_수량산출_총괄내역0518_노임단가표" xfId="2178" xr:uid="{00000000-0005-0000-0000-00003D130000}"/>
    <cellStyle name="1_tree_수량산출_총괄내역0518_노임단가표_내역서(우이천변)" xfId="2179" xr:uid="{00000000-0005-0000-0000-00003E130000}"/>
    <cellStyle name="1_tree_수량산출_총괄내역0518_노임단가표_내역서1128" xfId="2180" xr:uid="{00000000-0005-0000-0000-00003F130000}"/>
    <cellStyle name="1_tree_수량산출_총괄내역0518_수도권매립지" xfId="2181" xr:uid="{00000000-0005-0000-0000-000040130000}"/>
    <cellStyle name="1_tree_수량산출_총괄내역0518_수도권매립지_내역서(우이천변)" xfId="2182" xr:uid="{00000000-0005-0000-0000-000041130000}"/>
    <cellStyle name="1_tree_수량산출_총괄내역0518_수도권매립지_내역서1128" xfId="2183" xr:uid="{00000000-0005-0000-0000-000042130000}"/>
    <cellStyle name="1_tree_수량산출_총괄내역0518_수도권매립지1004(발주용)" xfId="2184" xr:uid="{00000000-0005-0000-0000-000043130000}"/>
    <cellStyle name="1_tree_수량산출_총괄내역0518_수도권매립지1004(발주용)_내역서(우이천변)" xfId="2185" xr:uid="{00000000-0005-0000-0000-000044130000}"/>
    <cellStyle name="1_tree_수량산출_총괄내역0518_수도권매립지1004(발주용)_내역서1128" xfId="2186" xr:uid="{00000000-0005-0000-0000-000045130000}"/>
    <cellStyle name="1_tree_수량산출_총괄내역0518_일신건영설계예산서(0211)" xfId="2187" xr:uid="{00000000-0005-0000-0000-000046130000}"/>
    <cellStyle name="1_tree_수량산출_총괄내역0518_일신건영설계예산서(0211)_내역서(우이천변)" xfId="2188" xr:uid="{00000000-0005-0000-0000-000047130000}"/>
    <cellStyle name="1_tree_수량산출_총괄내역0518_일신건영설계예산서(0211)_내역서1128" xfId="2189" xr:uid="{00000000-0005-0000-0000-000048130000}"/>
    <cellStyle name="1_tree_수량산출_총괄내역0518_일위대가" xfId="2190" xr:uid="{00000000-0005-0000-0000-000049130000}"/>
    <cellStyle name="1_tree_수량산출_총괄내역0518_일위대가_내역서(우이천변)" xfId="2191" xr:uid="{00000000-0005-0000-0000-00004A130000}"/>
    <cellStyle name="1_tree_수량산출_총괄내역0518_일위대가_내역서1128" xfId="2192" xr:uid="{00000000-0005-0000-0000-00004B130000}"/>
    <cellStyle name="1_tree_수량산출_총괄내역0518_자재단가표" xfId="2193" xr:uid="{00000000-0005-0000-0000-00004C130000}"/>
    <cellStyle name="1_tree_수량산출_총괄내역0518_자재단가표_내역서(우이천변)" xfId="2194" xr:uid="{00000000-0005-0000-0000-00004D130000}"/>
    <cellStyle name="1_tree_수량산출_총괄내역0518_자재단가표_내역서1128" xfId="2195" xr:uid="{00000000-0005-0000-0000-00004E130000}"/>
    <cellStyle name="1_tree_수량산출_총괄내역0518_장안초등학교내역0814" xfId="2196" xr:uid="{00000000-0005-0000-0000-00004F130000}"/>
    <cellStyle name="1_tree_수량산출_총괄내역0518_장안초등학교내역0814_내역서(우이천변)" xfId="2197" xr:uid="{00000000-0005-0000-0000-000050130000}"/>
    <cellStyle name="1_tree_수량산출_총괄내역0518_장안초등학교내역0814_내역서1128" xfId="2198" xr:uid="{00000000-0005-0000-0000-000051130000}"/>
    <cellStyle name="1_tree_수량산출_표지-공정표" xfId="2199" xr:uid="{00000000-0005-0000-0000-000052130000}"/>
    <cellStyle name="1_tree_수량산출_표지-공정표_설계설명서0309" xfId="2200" xr:uid="{00000000-0005-0000-0000-000053130000}"/>
    <cellStyle name="1_tree_수량산출_현충묘지-예산서(조경)" xfId="1297" xr:uid="{00000000-0005-0000-0000-000054130000}"/>
    <cellStyle name="1_tree_수량산출_현충묘지-예산서(조경)_00-설계서양식" xfId="2201" xr:uid="{00000000-0005-0000-0000-000055130000}"/>
    <cellStyle name="1_tree_수량산출_현충묘지-예산서(조경)_00-표지예정공정표" xfId="2202" xr:uid="{00000000-0005-0000-0000-000056130000}"/>
    <cellStyle name="1_tree_수량산출_현충묘지-예산서(조경)_00-표지예정공정표_설계설명서0309" xfId="2203" xr:uid="{00000000-0005-0000-0000-000057130000}"/>
    <cellStyle name="1_tree_수량산출_현충묘지-예산서(조경)_041206 목동내역" xfId="1298" xr:uid="{00000000-0005-0000-0000-000058130000}"/>
    <cellStyle name="1_tree_수량산출_현충묘지-예산서(조경)_까르프-표지예정공정표" xfId="1299" xr:uid="{00000000-0005-0000-0000-000059130000}"/>
    <cellStyle name="1_tree_수량산출_현충묘지-예산서(조경)_까르프-표지예정공정표_00-설계서양식" xfId="2204" xr:uid="{00000000-0005-0000-0000-00005A130000}"/>
    <cellStyle name="1_tree_수량산출_현충묘지-예산서(조경)_까르프-표지예정공정표_설계설명서0309" xfId="2205" xr:uid="{00000000-0005-0000-0000-00005B130000}"/>
    <cellStyle name="1_tree_수량산출_현충묘지-예산서(조경)_까르프-표지예정공정표_영등포잔여구간변경내역-0608" xfId="1300" xr:uid="{00000000-0005-0000-0000-00005C130000}"/>
    <cellStyle name="1_tree_수량산출_현충묘지-예산서(조경)_까르프-표지예정공정표_인수봉길설계변경내역" xfId="1301" xr:uid="{00000000-0005-0000-0000-00005D130000}"/>
    <cellStyle name="1_tree_수량산출_현충묘지-예산서(조경)_대전가오-설계서" xfId="2206" xr:uid="{00000000-0005-0000-0000-00005E130000}"/>
    <cellStyle name="1_tree_수량산출_현충묘지-예산서(조경)_대전가오-설계서(관리)" xfId="2207" xr:uid="{00000000-0005-0000-0000-00005F130000}"/>
    <cellStyle name="1_tree_수량산출_현충묘지-예산서(조경)_대전가오-설계서1" xfId="2208" xr:uid="{00000000-0005-0000-0000-000060130000}"/>
    <cellStyle name="1_tree_수량산출_현충묘지-예산서(조경)_목동내역" xfId="4471" xr:uid="{00000000-0005-0000-0000-000061130000}"/>
    <cellStyle name="1_tree_수량산출_현충묘지-예산서(조경)_목동내역_폐기물집계" xfId="4472" xr:uid="{00000000-0005-0000-0000-000062130000}"/>
    <cellStyle name="1_tree_수량산출_현충묘지-예산서(조경)_설계설명서0309" xfId="2209" xr:uid="{00000000-0005-0000-0000-000063130000}"/>
    <cellStyle name="1_tree_수량산출_현충묘지-예산서(조경)_영등포잔여구간변경내역-0608" xfId="1302" xr:uid="{00000000-0005-0000-0000-000064130000}"/>
    <cellStyle name="1_tree_수량산출_현충묘지-예산서(조경)_예산서-엑셀변환양식100" xfId="1303" xr:uid="{00000000-0005-0000-0000-000065130000}"/>
    <cellStyle name="1_tree_수량산출_현충묘지-예산서(조경)_예산서-엑셀변환양식100_00-예산서양식100" xfId="2210" xr:uid="{00000000-0005-0000-0000-000066130000}"/>
    <cellStyle name="1_tree_수량산출_현충묘지-예산서(조경)_예산서-엑셀변환양식100_00-예산서양식100_00-설계서양식" xfId="2211" xr:uid="{00000000-0005-0000-0000-000067130000}"/>
    <cellStyle name="1_tree_수량산출_현충묘지-예산서(조경)_예산서-엑셀변환양식100_00-예산서양식100_대전가오-설계서" xfId="2212" xr:uid="{00000000-0005-0000-0000-000068130000}"/>
    <cellStyle name="1_tree_수량산출_현충묘지-예산서(조경)_예산서-엑셀변환양식100_00-예산서양식100_대전가오-설계서(관리)" xfId="2213" xr:uid="{00000000-0005-0000-0000-000069130000}"/>
    <cellStyle name="1_tree_수량산출_현충묘지-예산서(조경)_예산서-엑셀변환양식100_00-예산서양식100_대전가오-설계서1" xfId="2214" xr:uid="{00000000-0005-0000-0000-00006A130000}"/>
    <cellStyle name="1_tree_수량산출_현충묘지-예산서(조경)_예산서-엑셀변환양식100_00-예산서양식100_설계설명서0309" xfId="2215" xr:uid="{00000000-0005-0000-0000-00006B130000}"/>
    <cellStyle name="1_tree_수량산출_현충묘지-예산서(조경)_예산서-엑셀변환양식100_00-표지예정공정표" xfId="2216" xr:uid="{00000000-0005-0000-0000-00006C130000}"/>
    <cellStyle name="1_tree_수량산출_현충묘지-예산서(조경)_예산서-엑셀변환양식100_041206 목동내역" xfId="1304" xr:uid="{00000000-0005-0000-0000-00006D130000}"/>
    <cellStyle name="1_tree_수량산출_현충묘지-예산서(조경)_예산서-엑셀변환양식100_광진구-설계서(1006)" xfId="2217" xr:uid="{00000000-0005-0000-0000-00006E130000}"/>
    <cellStyle name="1_tree_수량산출_현충묘지-예산서(조경)_예산서-엑셀변환양식100_광진구-설계서(1006)_설계설명서0309" xfId="2218" xr:uid="{00000000-0005-0000-0000-00006F130000}"/>
    <cellStyle name="1_tree_수량산출_현충묘지-예산서(조경)_예산서-엑셀변환양식100_목동내역" xfId="4473" xr:uid="{00000000-0005-0000-0000-000070130000}"/>
    <cellStyle name="1_tree_수량산출_현충묘지-예산서(조경)_예산서-엑셀변환양식100_목동내역_폐기물집계" xfId="4474" xr:uid="{00000000-0005-0000-0000-000071130000}"/>
    <cellStyle name="1_tree_수량산출_현충묘지-예산서(조경)_예산서-엑셀변환양식100_영등포잔여구간변경내역-0608" xfId="1305" xr:uid="{00000000-0005-0000-0000-000072130000}"/>
    <cellStyle name="1_tree_수량산출_현충묘지-예산서(조경)_예산서-엑셀변환양식100_인수봉길설계변경내역" xfId="1306" xr:uid="{00000000-0005-0000-0000-000073130000}"/>
    <cellStyle name="1_tree_수량산출_현충묘지-예산서(조경)_예산서-엑셀변환양식100_표지-공정표" xfId="2219" xr:uid="{00000000-0005-0000-0000-000074130000}"/>
    <cellStyle name="1_tree_수량산출_현충묘지-예산서(조경)_예산서-엑셀변환양식100_표지-공정표_설계설명서0309" xfId="2220" xr:uid="{00000000-0005-0000-0000-000075130000}"/>
    <cellStyle name="1_tree_수량산출_현충묘지-예산서(조경)_인수봉길설계변경내역" xfId="1307" xr:uid="{00000000-0005-0000-0000-000076130000}"/>
    <cellStyle name="1_tree_수량산출_현충묘지-예산서(조경)_표지-공정표" xfId="2221" xr:uid="{00000000-0005-0000-0000-000077130000}"/>
    <cellStyle name="1_tree_수량산출_현충묘지-예산서(조경)_표지-공정표_설계설명서0309" xfId="2222" xr:uid="{00000000-0005-0000-0000-000078130000}"/>
    <cellStyle name="1_tree_수량산출_현충묘지-예산서(조경)_표지예정공정표" xfId="1308" xr:uid="{00000000-0005-0000-0000-000079130000}"/>
    <cellStyle name="1_tree_수량산출_현충묘지-예산서(조경)_-표지예정공정표" xfId="1309" xr:uid="{00000000-0005-0000-0000-00007A130000}"/>
    <cellStyle name="1_tree_수량산출_현충묘지-예산서(조경)_표지예정공정표_00-설계서양식" xfId="2223" xr:uid="{00000000-0005-0000-0000-00007B130000}"/>
    <cellStyle name="1_tree_수량산출_현충묘지-예산서(조경)_-표지예정공정표_00-설계서양식" xfId="2224" xr:uid="{00000000-0005-0000-0000-00007C130000}"/>
    <cellStyle name="1_tree_수량산출_현충묘지-예산서(조경)_표지예정공정표_설계설명서0309" xfId="2225" xr:uid="{00000000-0005-0000-0000-00007D130000}"/>
    <cellStyle name="1_tree_수량산출_현충묘지-예산서(조경)_-표지예정공정표_설계설명서0309" xfId="2226" xr:uid="{00000000-0005-0000-0000-00007E130000}"/>
    <cellStyle name="1_tree_수량산출_현충묘지-예산서(조경)_표지예정공정표_영등포잔여구간변경내역-0608" xfId="1310" xr:uid="{00000000-0005-0000-0000-00007F130000}"/>
    <cellStyle name="1_tree_수량산출_현충묘지-예산서(조경)_-표지예정공정표_영등포잔여구간변경내역-0608" xfId="1311" xr:uid="{00000000-0005-0000-0000-000080130000}"/>
    <cellStyle name="1_tree_수량산출_현충묘지-예산서(조경)_표지예정공정표_인수봉길설계변경내역" xfId="1312" xr:uid="{00000000-0005-0000-0000-000081130000}"/>
    <cellStyle name="1_tree_수량산출_현충묘지-예산서(조경)_-표지예정공정표_인수봉길설계변경내역" xfId="1313" xr:uid="{00000000-0005-0000-0000-000082130000}"/>
    <cellStyle name="1_tree_수량산출서-11.25" xfId="4475" xr:uid="{00000000-0005-0000-0000-000083130000}"/>
    <cellStyle name="1_tree_수량산출서-11.25_NEW단위수량-주산" xfId="4484" xr:uid="{00000000-0005-0000-0000-000084130000}"/>
    <cellStyle name="1_tree_수량산출서-11.25_남대천단위수량" xfId="4476" xr:uid="{00000000-0005-0000-0000-000085130000}"/>
    <cellStyle name="1_tree_수량산출서-11.25_단위수량" xfId="4477" xr:uid="{00000000-0005-0000-0000-000086130000}"/>
    <cellStyle name="1_tree_수량산출서-11.25_단위수량1" xfId="4478" xr:uid="{00000000-0005-0000-0000-000087130000}"/>
    <cellStyle name="1_tree_수량산출서-11.25_단위수량15" xfId="4479" xr:uid="{00000000-0005-0000-0000-000088130000}"/>
    <cellStyle name="1_tree_수량산출서-11.25_도곡단위수량" xfId="4480" xr:uid="{00000000-0005-0000-0000-000089130000}"/>
    <cellStyle name="1_tree_수량산출서-11.25_철거단위수량" xfId="4481" xr:uid="{00000000-0005-0000-0000-00008A130000}"/>
    <cellStyle name="1_tree_수량산출서-11.25_철거수량" xfId="4482" xr:uid="{00000000-0005-0000-0000-00008B130000}"/>
    <cellStyle name="1_tree_수량산출서-11.25_한수단위수량" xfId="4483" xr:uid="{00000000-0005-0000-0000-00008C130000}"/>
    <cellStyle name="1_tree_수량산출서-1201" xfId="4485" xr:uid="{00000000-0005-0000-0000-00008D130000}"/>
    <cellStyle name="1_tree_수량산출서-1201_NEW단위수량-주산" xfId="4494" xr:uid="{00000000-0005-0000-0000-00008E130000}"/>
    <cellStyle name="1_tree_수량산출서-1201_남대천단위수량" xfId="4486" xr:uid="{00000000-0005-0000-0000-00008F130000}"/>
    <cellStyle name="1_tree_수량산출서-1201_단위수량" xfId="4487" xr:uid="{00000000-0005-0000-0000-000090130000}"/>
    <cellStyle name="1_tree_수량산출서-1201_단위수량1" xfId="4488" xr:uid="{00000000-0005-0000-0000-000091130000}"/>
    <cellStyle name="1_tree_수량산출서-1201_단위수량15" xfId="4489" xr:uid="{00000000-0005-0000-0000-000092130000}"/>
    <cellStyle name="1_tree_수량산출서-1201_도곡단위수량" xfId="4490" xr:uid="{00000000-0005-0000-0000-000093130000}"/>
    <cellStyle name="1_tree_수량산출서-1201_철거단위수량" xfId="4491" xr:uid="{00000000-0005-0000-0000-000094130000}"/>
    <cellStyle name="1_tree_수량산출서-1201_철거수량" xfId="4492" xr:uid="{00000000-0005-0000-0000-000095130000}"/>
    <cellStyle name="1_tree_수량산출서-1201_한수단위수량" xfId="4493" xr:uid="{00000000-0005-0000-0000-000096130000}"/>
    <cellStyle name="1_tree_수량산출서-최종" xfId="4495" xr:uid="{00000000-0005-0000-0000-000097130000}"/>
    <cellStyle name="1_tree_수량집계표" xfId="4496" xr:uid="{00000000-0005-0000-0000-000098130000}"/>
    <cellStyle name="1_tree_수량총괄표" xfId="4497" xr:uid="{00000000-0005-0000-0000-000099130000}"/>
    <cellStyle name="1_tree_수원1차" xfId="4498" xr:uid="{00000000-0005-0000-0000-00009A130000}"/>
    <cellStyle name="1_tree_수원변경수량산출" xfId="4499" xr:uid="{00000000-0005-0000-0000-00009B130000}"/>
    <cellStyle name="1_tree_수원수량집계(7.13)" xfId="4500" xr:uid="{00000000-0005-0000-0000-00009C130000}"/>
    <cellStyle name="1_tree_수원수량집계(7.31)" xfId="4501" xr:uid="{00000000-0005-0000-0000-00009D130000}"/>
    <cellStyle name="1_tree_시설물단위수량" xfId="4502" xr:uid="{00000000-0005-0000-0000-00009E130000}"/>
    <cellStyle name="1_tree_시설물단위수량1" xfId="4503" xr:uid="{00000000-0005-0000-0000-00009F130000}"/>
    <cellStyle name="1_tree_시설물단위수량1_시설물단위수량" xfId="4504" xr:uid="{00000000-0005-0000-0000-0000A0130000}"/>
    <cellStyle name="1_tree_쌍용" xfId="4505" xr:uid="{00000000-0005-0000-0000-0000A1130000}"/>
    <cellStyle name="1_tree_쌍용_NEW단위수량-주산" xfId="4570" xr:uid="{00000000-0005-0000-0000-0000A2130000}"/>
    <cellStyle name="1_tree_쌍용_남대천단위수량" xfId="4506" xr:uid="{00000000-0005-0000-0000-0000A3130000}"/>
    <cellStyle name="1_tree_쌍용_단위수량" xfId="4507" xr:uid="{00000000-0005-0000-0000-0000A4130000}"/>
    <cellStyle name="1_tree_쌍용_단위수량1" xfId="4508" xr:uid="{00000000-0005-0000-0000-0000A5130000}"/>
    <cellStyle name="1_tree_쌍용_단위수량15" xfId="4509" xr:uid="{00000000-0005-0000-0000-0000A6130000}"/>
    <cellStyle name="1_tree_쌍용_도곡단위수량" xfId="4510" xr:uid="{00000000-0005-0000-0000-0000A7130000}"/>
    <cellStyle name="1_tree_쌍용_수량산출서-11.25" xfId="4511" xr:uid="{00000000-0005-0000-0000-0000A8130000}"/>
    <cellStyle name="1_tree_쌍용_수량산출서-11.25_NEW단위수량-주산" xfId="4520" xr:uid="{00000000-0005-0000-0000-0000A9130000}"/>
    <cellStyle name="1_tree_쌍용_수량산출서-11.25_남대천단위수량" xfId="4512" xr:uid="{00000000-0005-0000-0000-0000AA130000}"/>
    <cellStyle name="1_tree_쌍용_수량산출서-11.25_단위수량" xfId="4513" xr:uid="{00000000-0005-0000-0000-0000AB130000}"/>
    <cellStyle name="1_tree_쌍용_수량산출서-11.25_단위수량1" xfId="4514" xr:uid="{00000000-0005-0000-0000-0000AC130000}"/>
    <cellStyle name="1_tree_쌍용_수량산출서-11.25_단위수량15" xfId="4515" xr:uid="{00000000-0005-0000-0000-0000AD130000}"/>
    <cellStyle name="1_tree_쌍용_수량산출서-11.25_도곡단위수량" xfId="4516" xr:uid="{00000000-0005-0000-0000-0000AE130000}"/>
    <cellStyle name="1_tree_쌍용_수량산출서-11.25_철거단위수량" xfId="4517" xr:uid="{00000000-0005-0000-0000-0000AF130000}"/>
    <cellStyle name="1_tree_쌍용_수량산출서-11.25_철거수량" xfId="4518" xr:uid="{00000000-0005-0000-0000-0000B0130000}"/>
    <cellStyle name="1_tree_쌍용_수량산출서-11.25_한수단위수량" xfId="4519" xr:uid="{00000000-0005-0000-0000-0000B1130000}"/>
    <cellStyle name="1_tree_쌍용_수량산출서-1201" xfId="4521" xr:uid="{00000000-0005-0000-0000-0000B2130000}"/>
    <cellStyle name="1_tree_쌍용_수량산출서-1201_NEW단위수량-주산" xfId="4530" xr:uid="{00000000-0005-0000-0000-0000B3130000}"/>
    <cellStyle name="1_tree_쌍용_수량산출서-1201_남대천단위수량" xfId="4522" xr:uid="{00000000-0005-0000-0000-0000B4130000}"/>
    <cellStyle name="1_tree_쌍용_수량산출서-1201_단위수량" xfId="4523" xr:uid="{00000000-0005-0000-0000-0000B5130000}"/>
    <cellStyle name="1_tree_쌍용_수량산출서-1201_단위수량1" xfId="4524" xr:uid="{00000000-0005-0000-0000-0000B6130000}"/>
    <cellStyle name="1_tree_쌍용_수량산출서-1201_단위수량15" xfId="4525" xr:uid="{00000000-0005-0000-0000-0000B7130000}"/>
    <cellStyle name="1_tree_쌍용_수량산출서-1201_도곡단위수량" xfId="4526" xr:uid="{00000000-0005-0000-0000-0000B8130000}"/>
    <cellStyle name="1_tree_쌍용_수량산출서-1201_철거단위수량" xfId="4527" xr:uid="{00000000-0005-0000-0000-0000B9130000}"/>
    <cellStyle name="1_tree_쌍용_수량산출서-1201_철거수량" xfId="4528" xr:uid="{00000000-0005-0000-0000-0000BA130000}"/>
    <cellStyle name="1_tree_쌍용_수량산출서-1201_한수단위수량" xfId="4529" xr:uid="{00000000-0005-0000-0000-0000BB130000}"/>
    <cellStyle name="1_tree_쌍용_시설물단위수량" xfId="4531" xr:uid="{00000000-0005-0000-0000-0000BC130000}"/>
    <cellStyle name="1_tree_쌍용_시설물단위수량1" xfId="4532" xr:uid="{00000000-0005-0000-0000-0000BD130000}"/>
    <cellStyle name="1_tree_쌍용_시설물단위수량1_시설물단위수량" xfId="4533" xr:uid="{00000000-0005-0000-0000-0000BE130000}"/>
    <cellStyle name="1_tree_쌍용_오창수량산출서" xfId="4534" xr:uid="{00000000-0005-0000-0000-0000BF130000}"/>
    <cellStyle name="1_tree_쌍용_오창수량산출서_NEW단위수량-주산" xfId="4566" xr:uid="{00000000-0005-0000-0000-0000C0130000}"/>
    <cellStyle name="1_tree_쌍용_오창수량산출서_남대천단위수량" xfId="4535" xr:uid="{00000000-0005-0000-0000-0000C1130000}"/>
    <cellStyle name="1_tree_쌍용_오창수량산출서_단위수량" xfId="4536" xr:uid="{00000000-0005-0000-0000-0000C2130000}"/>
    <cellStyle name="1_tree_쌍용_오창수량산출서_단위수량1" xfId="4537" xr:uid="{00000000-0005-0000-0000-0000C3130000}"/>
    <cellStyle name="1_tree_쌍용_오창수량산출서_단위수량15" xfId="4538" xr:uid="{00000000-0005-0000-0000-0000C4130000}"/>
    <cellStyle name="1_tree_쌍용_오창수량산출서_도곡단위수량" xfId="4539" xr:uid="{00000000-0005-0000-0000-0000C5130000}"/>
    <cellStyle name="1_tree_쌍용_오창수량산출서_수량산출서-11.25" xfId="4540" xr:uid="{00000000-0005-0000-0000-0000C6130000}"/>
    <cellStyle name="1_tree_쌍용_오창수량산출서_수량산출서-11.25_NEW단위수량-주산" xfId="4549" xr:uid="{00000000-0005-0000-0000-0000C7130000}"/>
    <cellStyle name="1_tree_쌍용_오창수량산출서_수량산출서-11.25_남대천단위수량" xfId="4541" xr:uid="{00000000-0005-0000-0000-0000C8130000}"/>
    <cellStyle name="1_tree_쌍용_오창수량산출서_수량산출서-11.25_단위수량" xfId="4542" xr:uid="{00000000-0005-0000-0000-0000C9130000}"/>
    <cellStyle name="1_tree_쌍용_오창수량산출서_수량산출서-11.25_단위수량1" xfId="4543" xr:uid="{00000000-0005-0000-0000-0000CA130000}"/>
    <cellStyle name="1_tree_쌍용_오창수량산출서_수량산출서-11.25_단위수량15" xfId="4544" xr:uid="{00000000-0005-0000-0000-0000CB130000}"/>
    <cellStyle name="1_tree_쌍용_오창수량산출서_수량산출서-11.25_도곡단위수량" xfId="4545" xr:uid="{00000000-0005-0000-0000-0000CC130000}"/>
    <cellStyle name="1_tree_쌍용_오창수량산출서_수량산출서-11.25_철거단위수량" xfId="4546" xr:uid="{00000000-0005-0000-0000-0000CD130000}"/>
    <cellStyle name="1_tree_쌍용_오창수량산출서_수량산출서-11.25_철거수량" xfId="4547" xr:uid="{00000000-0005-0000-0000-0000CE130000}"/>
    <cellStyle name="1_tree_쌍용_오창수량산출서_수량산출서-11.25_한수단위수량" xfId="4548" xr:uid="{00000000-0005-0000-0000-0000CF130000}"/>
    <cellStyle name="1_tree_쌍용_오창수량산출서_수량산출서-1201" xfId="4550" xr:uid="{00000000-0005-0000-0000-0000D0130000}"/>
    <cellStyle name="1_tree_쌍용_오창수량산출서_수량산출서-1201_NEW단위수량-주산" xfId="4559" xr:uid="{00000000-0005-0000-0000-0000D1130000}"/>
    <cellStyle name="1_tree_쌍용_오창수량산출서_수량산출서-1201_남대천단위수량" xfId="4551" xr:uid="{00000000-0005-0000-0000-0000D2130000}"/>
    <cellStyle name="1_tree_쌍용_오창수량산출서_수량산출서-1201_단위수량" xfId="4552" xr:uid="{00000000-0005-0000-0000-0000D3130000}"/>
    <cellStyle name="1_tree_쌍용_오창수량산출서_수량산출서-1201_단위수량1" xfId="4553" xr:uid="{00000000-0005-0000-0000-0000D4130000}"/>
    <cellStyle name="1_tree_쌍용_오창수량산출서_수량산출서-1201_단위수량15" xfId="4554" xr:uid="{00000000-0005-0000-0000-0000D5130000}"/>
    <cellStyle name="1_tree_쌍용_오창수량산출서_수량산출서-1201_도곡단위수량" xfId="4555" xr:uid="{00000000-0005-0000-0000-0000D6130000}"/>
    <cellStyle name="1_tree_쌍용_오창수량산출서_수량산출서-1201_철거단위수량" xfId="4556" xr:uid="{00000000-0005-0000-0000-0000D7130000}"/>
    <cellStyle name="1_tree_쌍용_오창수량산출서_수량산출서-1201_철거수량" xfId="4557" xr:uid="{00000000-0005-0000-0000-0000D8130000}"/>
    <cellStyle name="1_tree_쌍용_오창수량산출서_수량산출서-1201_한수단위수량" xfId="4558" xr:uid="{00000000-0005-0000-0000-0000D9130000}"/>
    <cellStyle name="1_tree_쌍용_오창수량산출서_시설물단위수량" xfId="4560" xr:uid="{00000000-0005-0000-0000-0000DA130000}"/>
    <cellStyle name="1_tree_쌍용_오창수량산출서_시설물단위수량1" xfId="4561" xr:uid="{00000000-0005-0000-0000-0000DB130000}"/>
    <cellStyle name="1_tree_쌍용_오창수량산출서_시설물단위수량1_시설물단위수량" xfId="4562" xr:uid="{00000000-0005-0000-0000-0000DC130000}"/>
    <cellStyle name="1_tree_쌍용_오창수량산출서_철거단위수량" xfId="4563" xr:uid="{00000000-0005-0000-0000-0000DD130000}"/>
    <cellStyle name="1_tree_쌍용_오창수량산출서_철거수량" xfId="4564" xr:uid="{00000000-0005-0000-0000-0000DE130000}"/>
    <cellStyle name="1_tree_쌍용_오창수량산출서_한수단위수량" xfId="4565" xr:uid="{00000000-0005-0000-0000-0000DF130000}"/>
    <cellStyle name="1_tree_쌍용_철거단위수량" xfId="4567" xr:uid="{00000000-0005-0000-0000-0000E0130000}"/>
    <cellStyle name="1_tree_쌍용_철거수량" xfId="4568" xr:uid="{00000000-0005-0000-0000-0000E1130000}"/>
    <cellStyle name="1_tree_쌍용_한수단위수량" xfId="4569" xr:uid="{00000000-0005-0000-0000-0000E2130000}"/>
    <cellStyle name="1_tree_쌍용수량0905" xfId="4571" xr:uid="{00000000-0005-0000-0000-0000E3130000}"/>
    <cellStyle name="1_tree_쌍용수량집계" xfId="4572" xr:uid="{00000000-0005-0000-0000-0000E4130000}"/>
    <cellStyle name="1_tree_안동수량산출" xfId="4573" xr:uid="{00000000-0005-0000-0000-0000E5130000}"/>
    <cellStyle name="1_tree_안동수량산출최종" xfId="4574" xr:uid="{00000000-0005-0000-0000-0000E6130000}"/>
    <cellStyle name="1_tree_영등포잔여구간변경내역-0608" xfId="1314" xr:uid="{00000000-0005-0000-0000-0000E7130000}"/>
    <cellStyle name="1_tree_오창수량산출서" xfId="4575" xr:uid="{00000000-0005-0000-0000-0000E8130000}"/>
    <cellStyle name="1_tree_오창수량산출서_NEW단위수량-주산" xfId="4607" xr:uid="{00000000-0005-0000-0000-0000E9130000}"/>
    <cellStyle name="1_tree_오창수량산출서_남대천단위수량" xfId="4576" xr:uid="{00000000-0005-0000-0000-0000EA130000}"/>
    <cellStyle name="1_tree_오창수량산출서_단위수량" xfId="4577" xr:uid="{00000000-0005-0000-0000-0000EB130000}"/>
    <cellStyle name="1_tree_오창수량산출서_단위수량1" xfId="4578" xr:uid="{00000000-0005-0000-0000-0000EC130000}"/>
    <cellStyle name="1_tree_오창수량산출서_단위수량15" xfId="4579" xr:uid="{00000000-0005-0000-0000-0000ED130000}"/>
    <cellStyle name="1_tree_오창수량산출서_도곡단위수량" xfId="4580" xr:uid="{00000000-0005-0000-0000-0000EE130000}"/>
    <cellStyle name="1_tree_오창수량산출서_수량산출서-11.25" xfId="4581" xr:uid="{00000000-0005-0000-0000-0000EF130000}"/>
    <cellStyle name="1_tree_오창수량산출서_수량산출서-11.25_NEW단위수량-주산" xfId="4590" xr:uid="{00000000-0005-0000-0000-0000F0130000}"/>
    <cellStyle name="1_tree_오창수량산출서_수량산출서-11.25_남대천단위수량" xfId="4582" xr:uid="{00000000-0005-0000-0000-0000F1130000}"/>
    <cellStyle name="1_tree_오창수량산출서_수량산출서-11.25_단위수량" xfId="4583" xr:uid="{00000000-0005-0000-0000-0000F2130000}"/>
    <cellStyle name="1_tree_오창수량산출서_수량산출서-11.25_단위수량1" xfId="4584" xr:uid="{00000000-0005-0000-0000-0000F3130000}"/>
    <cellStyle name="1_tree_오창수량산출서_수량산출서-11.25_단위수량15" xfId="4585" xr:uid="{00000000-0005-0000-0000-0000F4130000}"/>
    <cellStyle name="1_tree_오창수량산출서_수량산출서-11.25_도곡단위수량" xfId="4586" xr:uid="{00000000-0005-0000-0000-0000F5130000}"/>
    <cellStyle name="1_tree_오창수량산출서_수량산출서-11.25_철거단위수량" xfId="4587" xr:uid="{00000000-0005-0000-0000-0000F6130000}"/>
    <cellStyle name="1_tree_오창수량산출서_수량산출서-11.25_철거수량" xfId="4588" xr:uid="{00000000-0005-0000-0000-0000F7130000}"/>
    <cellStyle name="1_tree_오창수량산출서_수량산출서-11.25_한수단위수량" xfId="4589" xr:uid="{00000000-0005-0000-0000-0000F8130000}"/>
    <cellStyle name="1_tree_오창수량산출서_수량산출서-1201" xfId="4591" xr:uid="{00000000-0005-0000-0000-0000F9130000}"/>
    <cellStyle name="1_tree_오창수량산출서_수량산출서-1201_NEW단위수량-주산" xfId="4600" xr:uid="{00000000-0005-0000-0000-0000FA130000}"/>
    <cellStyle name="1_tree_오창수량산출서_수량산출서-1201_남대천단위수량" xfId="4592" xr:uid="{00000000-0005-0000-0000-0000FB130000}"/>
    <cellStyle name="1_tree_오창수량산출서_수량산출서-1201_단위수량" xfId="4593" xr:uid="{00000000-0005-0000-0000-0000FC130000}"/>
    <cellStyle name="1_tree_오창수량산출서_수량산출서-1201_단위수량1" xfId="4594" xr:uid="{00000000-0005-0000-0000-0000FD130000}"/>
    <cellStyle name="1_tree_오창수량산출서_수량산출서-1201_단위수량15" xfId="4595" xr:uid="{00000000-0005-0000-0000-0000FE130000}"/>
    <cellStyle name="1_tree_오창수량산출서_수량산출서-1201_도곡단위수량" xfId="4596" xr:uid="{00000000-0005-0000-0000-0000FF130000}"/>
    <cellStyle name="1_tree_오창수량산출서_수량산출서-1201_철거단위수량" xfId="4597" xr:uid="{00000000-0005-0000-0000-000000140000}"/>
    <cellStyle name="1_tree_오창수량산출서_수량산출서-1201_철거수량" xfId="4598" xr:uid="{00000000-0005-0000-0000-000001140000}"/>
    <cellStyle name="1_tree_오창수량산출서_수량산출서-1201_한수단위수량" xfId="4599" xr:uid="{00000000-0005-0000-0000-000002140000}"/>
    <cellStyle name="1_tree_오창수량산출서_시설물단위수량" xfId="4601" xr:uid="{00000000-0005-0000-0000-000003140000}"/>
    <cellStyle name="1_tree_오창수량산출서_시설물단위수량1" xfId="4602" xr:uid="{00000000-0005-0000-0000-000004140000}"/>
    <cellStyle name="1_tree_오창수량산출서_시설물단위수량1_시설물단위수량" xfId="4603" xr:uid="{00000000-0005-0000-0000-000005140000}"/>
    <cellStyle name="1_tree_오창수량산출서_철거단위수량" xfId="4604" xr:uid="{00000000-0005-0000-0000-000006140000}"/>
    <cellStyle name="1_tree_오창수량산출서_철거수량" xfId="4605" xr:uid="{00000000-0005-0000-0000-000007140000}"/>
    <cellStyle name="1_tree_오창수량산출서_한수단위수량" xfId="4606" xr:uid="{00000000-0005-0000-0000-000008140000}"/>
    <cellStyle name="1_tree_용평단위수량" xfId="4608" xr:uid="{00000000-0005-0000-0000-000009140000}"/>
    <cellStyle name="1_tree_용평수량집계" xfId="4609" xr:uid="{00000000-0005-0000-0000-00000A140000}"/>
    <cellStyle name="1_tree_운동장단위수량" xfId="4610" xr:uid="{00000000-0005-0000-0000-00000B140000}"/>
    <cellStyle name="1_tree_원가계산서" xfId="4611" xr:uid="{00000000-0005-0000-0000-00000C140000}"/>
    <cellStyle name="1_tree_원가계산서 2" xfId="7392" xr:uid="{00000000-0005-0000-0000-00000D140000}"/>
    <cellStyle name="1_tree_원가계산서 2 2" xfId="7393" xr:uid="{00000000-0005-0000-0000-00000E140000}"/>
    <cellStyle name="1_tree_원가계산서_과천놀이터설계서" xfId="4612" xr:uid="{00000000-0005-0000-0000-00000F140000}"/>
    <cellStyle name="1_tree_원가계산서_과천놀이터설계서 2" xfId="7394" xr:uid="{00000000-0005-0000-0000-000010140000}"/>
    <cellStyle name="1_tree_원가계산서_과천놀이터설계서 2 2" xfId="7395" xr:uid="{00000000-0005-0000-0000-000011140000}"/>
    <cellStyle name="1_tree_원가계산서_덕원고-설계서갑지" xfId="7396" xr:uid="{00000000-0005-0000-0000-000012140000}"/>
    <cellStyle name="1_tree_원가계산서_덕원고-설계서갑지 2" xfId="7397" xr:uid="{00000000-0005-0000-0000-000013140000}"/>
    <cellStyle name="1_tree_원가계산서_덕원고-설계서갑지 2 2" xfId="7398" xr:uid="{00000000-0005-0000-0000-000014140000}"/>
    <cellStyle name="1_tree_원가계산서_총괄갑지" xfId="4613" xr:uid="{00000000-0005-0000-0000-000015140000}"/>
    <cellStyle name="1_tree_원가계산서_총괄갑지 2" xfId="7399" xr:uid="{00000000-0005-0000-0000-000016140000}"/>
    <cellStyle name="1_tree_원가계산서_총괄갑지 2 2" xfId="7400" xr:uid="{00000000-0005-0000-0000-000017140000}"/>
    <cellStyle name="1_tree_원가계산서_총괄내역서" xfId="4614" xr:uid="{00000000-0005-0000-0000-000018140000}"/>
    <cellStyle name="1_tree_원가계산서_총괄내역서 2" xfId="7401" xr:uid="{00000000-0005-0000-0000-000019140000}"/>
    <cellStyle name="1_tree_원가계산서_총괄내역서 2 2" xfId="7402" xr:uid="{00000000-0005-0000-0000-00001A140000}"/>
    <cellStyle name="1_tree_은파단위수량" xfId="4615" xr:uid="{00000000-0005-0000-0000-00001B140000}"/>
    <cellStyle name="1_tree_은파단위수량_NEW단위수량-주산" xfId="4681" xr:uid="{00000000-0005-0000-0000-00001C140000}"/>
    <cellStyle name="1_tree_은파단위수량_남대천단위수량" xfId="4616" xr:uid="{00000000-0005-0000-0000-00001D140000}"/>
    <cellStyle name="1_tree_은파단위수량_단위수량" xfId="4617" xr:uid="{00000000-0005-0000-0000-00001E140000}"/>
    <cellStyle name="1_tree_은파단위수량_단위수량1" xfId="4618" xr:uid="{00000000-0005-0000-0000-00001F140000}"/>
    <cellStyle name="1_tree_은파단위수량_단위수량15" xfId="4619" xr:uid="{00000000-0005-0000-0000-000020140000}"/>
    <cellStyle name="1_tree_은파단위수량_도곡단위수량" xfId="4620" xr:uid="{00000000-0005-0000-0000-000021140000}"/>
    <cellStyle name="1_tree_은파단위수량_수량산출서-11.25" xfId="4621" xr:uid="{00000000-0005-0000-0000-000022140000}"/>
    <cellStyle name="1_tree_은파단위수량_수량산출서-11.25_NEW단위수량-주산" xfId="4630" xr:uid="{00000000-0005-0000-0000-000023140000}"/>
    <cellStyle name="1_tree_은파단위수량_수량산출서-11.25_남대천단위수량" xfId="4622" xr:uid="{00000000-0005-0000-0000-000024140000}"/>
    <cellStyle name="1_tree_은파단위수량_수량산출서-11.25_단위수량" xfId="4623" xr:uid="{00000000-0005-0000-0000-000025140000}"/>
    <cellStyle name="1_tree_은파단위수량_수량산출서-11.25_단위수량1" xfId="4624" xr:uid="{00000000-0005-0000-0000-000026140000}"/>
    <cellStyle name="1_tree_은파단위수량_수량산출서-11.25_단위수량15" xfId="4625" xr:uid="{00000000-0005-0000-0000-000027140000}"/>
    <cellStyle name="1_tree_은파단위수량_수량산출서-11.25_도곡단위수량" xfId="4626" xr:uid="{00000000-0005-0000-0000-000028140000}"/>
    <cellStyle name="1_tree_은파단위수량_수량산출서-11.25_철거단위수량" xfId="4627" xr:uid="{00000000-0005-0000-0000-000029140000}"/>
    <cellStyle name="1_tree_은파단위수량_수량산출서-11.25_철거수량" xfId="4628" xr:uid="{00000000-0005-0000-0000-00002A140000}"/>
    <cellStyle name="1_tree_은파단위수량_수량산출서-11.25_한수단위수량" xfId="4629" xr:uid="{00000000-0005-0000-0000-00002B140000}"/>
    <cellStyle name="1_tree_은파단위수량_수량산출서-1201" xfId="4631" xr:uid="{00000000-0005-0000-0000-00002C140000}"/>
    <cellStyle name="1_tree_은파단위수량_수량산출서-1201_NEW단위수량-주산" xfId="4640" xr:uid="{00000000-0005-0000-0000-00002D140000}"/>
    <cellStyle name="1_tree_은파단위수량_수량산출서-1201_남대천단위수량" xfId="4632" xr:uid="{00000000-0005-0000-0000-00002E140000}"/>
    <cellStyle name="1_tree_은파단위수량_수량산출서-1201_단위수량" xfId="4633" xr:uid="{00000000-0005-0000-0000-00002F140000}"/>
    <cellStyle name="1_tree_은파단위수량_수량산출서-1201_단위수량1" xfId="4634" xr:uid="{00000000-0005-0000-0000-000030140000}"/>
    <cellStyle name="1_tree_은파단위수량_수량산출서-1201_단위수량15" xfId="4635" xr:uid="{00000000-0005-0000-0000-000031140000}"/>
    <cellStyle name="1_tree_은파단위수량_수량산출서-1201_도곡단위수량" xfId="4636" xr:uid="{00000000-0005-0000-0000-000032140000}"/>
    <cellStyle name="1_tree_은파단위수량_수량산출서-1201_철거단위수량" xfId="4637" xr:uid="{00000000-0005-0000-0000-000033140000}"/>
    <cellStyle name="1_tree_은파단위수량_수량산출서-1201_철거수량" xfId="4638" xr:uid="{00000000-0005-0000-0000-000034140000}"/>
    <cellStyle name="1_tree_은파단위수량_수량산출서-1201_한수단위수량" xfId="4639" xr:uid="{00000000-0005-0000-0000-000035140000}"/>
    <cellStyle name="1_tree_은파단위수량_시설물단위수량" xfId="4641" xr:uid="{00000000-0005-0000-0000-000036140000}"/>
    <cellStyle name="1_tree_은파단위수량_시설물단위수량1" xfId="4642" xr:uid="{00000000-0005-0000-0000-000037140000}"/>
    <cellStyle name="1_tree_은파단위수량_시설물단위수량1_시설물단위수량" xfId="4643" xr:uid="{00000000-0005-0000-0000-000038140000}"/>
    <cellStyle name="1_tree_은파단위수량_오창수량산출서" xfId="4644" xr:uid="{00000000-0005-0000-0000-000039140000}"/>
    <cellStyle name="1_tree_은파단위수량_오창수량산출서_NEW단위수량-주산" xfId="4676" xr:uid="{00000000-0005-0000-0000-00003A140000}"/>
    <cellStyle name="1_tree_은파단위수량_오창수량산출서_남대천단위수량" xfId="4645" xr:uid="{00000000-0005-0000-0000-00003B140000}"/>
    <cellStyle name="1_tree_은파단위수량_오창수량산출서_단위수량" xfId="4646" xr:uid="{00000000-0005-0000-0000-00003C140000}"/>
    <cellStyle name="1_tree_은파단위수량_오창수량산출서_단위수량1" xfId="4647" xr:uid="{00000000-0005-0000-0000-00003D140000}"/>
    <cellStyle name="1_tree_은파단위수량_오창수량산출서_단위수량15" xfId="4648" xr:uid="{00000000-0005-0000-0000-00003E140000}"/>
    <cellStyle name="1_tree_은파단위수량_오창수량산출서_도곡단위수량" xfId="4649" xr:uid="{00000000-0005-0000-0000-00003F140000}"/>
    <cellStyle name="1_tree_은파단위수량_오창수량산출서_수량산출서-11.25" xfId="4650" xr:uid="{00000000-0005-0000-0000-000040140000}"/>
    <cellStyle name="1_tree_은파단위수량_오창수량산출서_수량산출서-11.25_NEW단위수량-주산" xfId="4659" xr:uid="{00000000-0005-0000-0000-000041140000}"/>
    <cellStyle name="1_tree_은파단위수량_오창수량산출서_수량산출서-11.25_남대천단위수량" xfId="4651" xr:uid="{00000000-0005-0000-0000-000042140000}"/>
    <cellStyle name="1_tree_은파단위수량_오창수량산출서_수량산출서-11.25_단위수량" xfId="4652" xr:uid="{00000000-0005-0000-0000-000043140000}"/>
    <cellStyle name="1_tree_은파단위수량_오창수량산출서_수량산출서-11.25_단위수량1" xfId="4653" xr:uid="{00000000-0005-0000-0000-000044140000}"/>
    <cellStyle name="1_tree_은파단위수량_오창수량산출서_수량산출서-11.25_단위수량15" xfId="4654" xr:uid="{00000000-0005-0000-0000-000045140000}"/>
    <cellStyle name="1_tree_은파단위수량_오창수량산출서_수량산출서-11.25_도곡단위수량" xfId="4655" xr:uid="{00000000-0005-0000-0000-000046140000}"/>
    <cellStyle name="1_tree_은파단위수량_오창수량산출서_수량산출서-11.25_철거단위수량" xfId="4656" xr:uid="{00000000-0005-0000-0000-000047140000}"/>
    <cellStyle name="1_tree_은파단위수량_오창수량산출서_수량산출서-11.25_철거수량" xfId="4657" xr:uid="{00000000-0005-0000-0000-000048140000}"/>
    <cellStyle name="1_tree_은파단위수량_오창수량산출서_수량산출서-11.25_한수단위수량" xfId="4658" xr:uid="{00000000-0005-0000-0000-000049140000}"/>
    <cellStyle name="1_tree_은파단위수량_오창수량산출서_수량산출서-1201" xfId="4660" xr:uid="{00000000-0005-0000-0000-00004A140000}"/>
    <cellStyle name="1_tree_은파단위수량_오창수량산출서_수량산출서-1201_NEW단위수량-주산" xfId="4669" xr:uid="{00000000-0005-0000-0000-00004B140000}"/>
    <cellStyle name="1_tree_은파단위수량_오창수량산출서_수량산출서-1201_남대천단위수량" xfId="4661" xr:uid="{00000000-0005-0000-0000-00004C140000}"/>
    <cellStyle name="1_tree_은파단위수량_오창수량산출서_수량산출서-1201_단위수량" xfId="4662" xr:uid="{00000000-0005-0000-0000-00004D140000}"/>
    <cellStyle name="1_tree_은파단위수량_오창수량산출서_수량산출서-1201_단위수량1" xfId="4663" xr:uid="{00000000-0005-0000-0000-00004E140000}"/>
    <cellStyle name="1_tree_은파단위수량_오창수량산출서_수량산출서-1201_단위수량15" xfId="4664" xr:uid="{00000000-0005-0000-0000-00004F140000}"/>
    <cellStyle name="1_tree_은파단위수량_오창수량산출서_수량산출서-1201_도곡단위수량" xfId="4665" xr:uid="{00000000-0005-0000-0000-000050140000}"/>
    <cellStyle name="1_tree_은파단위수량_오창수량산출서_수량산출서-1201_철거단위수량" xfId="4666" xr:uid="{00000000-0005-0000-0000-000051140000}"/>
    <cellStyle name="1_tree_은파단위수량_오창수량산출서_수량산출서-1201_철거수량" xfId="4667" xr:uid="{00000000-0005-0000-0000-000052140000}"/>
    <cellStyle name="1_tree_은파단위수량_오창수량산출서_수량산출서-1201_한수단위수량" xfId="4668" xr:uid="{00000000-0005-0000-0000-000053140000}"/>
    <cellStyle name="1_tree_은파단위수량_오창수량산출서_시설물단위수량" xfId="4670" xr:uid="{00000000-0005-0000-0000-000054140000}"/>
    <cellStyle name="1_tree_은파단위수량_오창수량산출서_시설물단위수량1" xfId="4671" xr:uid="{00000000-0005-0000-0000-000055140000}"/>
    <cellStyle name="1_tree_은파단위수량_오창수량산출서_시설물단위수량1_시설물단위수량" xfId="4672" xr:uid="{00000000-0005-0000-0000-000056140000}"/>
    <cellStyle name="1_tree_은파단위수량_오창수량산출서_철거단위수량" xfId="4673" xr:uid="{00000000-0005-0000-0000-000057140000}"/>
    <cellStyle name="1_tree_은파단위수량_오창수량산출서_철거수량" xfId="4674" xr:uid="{00000000-0005-0000-0000-000058140000}"/>
    <cellStyle name="1_tree_은파단위수량_오창수량산출서_한수단위수량" xfId="4675" xr:uid="{00000000-0005-0000-0000-000059140000}"/>
    <cellStyle name="1_tree_은파단위수량_용평단위수량" xfId="4677" xr:uid="{00000000-0005-0000-0000-00005A140000}"/>
    <cellStyle name="1_tree_은파단위수량_철거단위수량" xfId="4678" xr:uid="{00000000-0005-0000-0000-00005B140000}"/>
    <cellStyle name="1_tree_은파단위수량_철거수량" xfId="4679" xr:uid="{00000000-0005-0000-0000-00005C140000}"/>
    <cellStyle name="1_tree_은파단위수량_한수단위수량" xfId="4680" xr:uid="{00000000-0005-0000-0000-00005D140000}"/>
    <cellStyle name="1_tree_은파수량집계" xfId="4682" xr:uid="{00000000-0005-0000-0000-00005E140000}"/>
    <cellStyle name="1_tree_인수봉길설계변경내역" xfId="1315" xr:uid="{00000000-0005-0000-0000-00005F140000}"/>
    <cellStyle name="1_tree_조경포장,관로시설" xfId="4683" xr:uid="{00000000-0005-0000-0000-000060140000}"/>
    <cellStyle name="1_tree_조경포장,관로시설_NEW단위수량-주산" xfId="4748" xr:uid="{00000000-0005-0000-0000-000061140000}"/>
    <cellStyle name="1_tree_조경포장,관로시설_남대천단위수량" xfId="4684" xr:uid="{00000000-0005-0000-0000-000062140000}"/>
    <cellStyle name="1_tree_조경포장,관로시설_단위수량" xfId="4685" xr:uid="{00000000-0005-0000-0000-000063140000}"/>
    <cellStyle name="1_tree_조경포장,관로시설_단위수량1" xfId="4686" xr:uid="{00000000-0005-0000-0000-000064140000}"/>
    <cellStyle name="1_tree_조경포장,관로시설_단위수량15" xfId="4687" xr:uid="{00000000-0005-0000-0000-000065140000}"/>
    <cellStyle name="1_tree_조경포장,관로시설_도곡단위수량" xfId="4688" xr:uid="{00000000-0005-0000-0000-000066140000}"/>
    <cellStyle name="1_tree_조경포장,관로시설_수량산출서-11.25" xfId="4689" xr:uid="{00000000-0005-0000-0000-000067140000}"/>
    <cellStyle name="1_tree_조경포장,관로시설_수량산출서-11.25_NEW단위수량-주산" xfId="4698" xr:uid="{00000000-0005-0000-0000-000068140000}"/>
    <cellStyle name="1_tree_조경포장,관로시설_수량산출서-11.25_남대천단위수량" xfId="4690" xr:uid="{00000000-0005-0000-0000-000069140000}"/>
    <cellStyle name="1_tree_조경포장,관로시설_수량산출서-11.25_단위수량" xfId="4691" xr:uid="{00000000-0005-0000-0000-00006A140000}"/>
    <cellStyle name="1_tree_조경포장,관로시설_수량산출서-11.25_단위수량1" xfId="4692" xr:uid="{00000000-0005-0000-0000-00006B140000}"/>
    <cellStyle name="1_tree_조경포장,관로시설_수량산출서-11.25_단위수량15" xfId="4693" xr:uid="{00000000-0005-0000-0000-00006C140000}"/>
    <cellStyle name="1_tree_조경포장,관로시설_수량산출서-11.25_도곡단위수량" xfId="4694" xr:uid="{00000000-0005-0000-0000-00006D140000}"/>
    <cellStyle name="1_tree_조경포장,관로시설_수량산출서-11.25_철거단위수량" xfId="4695" xr:uid="{00000000-0005-0000-0000-00006E140000}"/>
    <cellStyle name="1_tree_조경포장,관로시설_수량산출서-11.25_철거수량" xfId="4696" xr:uid="{00000000-0005-0000-0000-00006F140000}"/>
    <cellStyle name="1_tree_조경포장,관로시설_수량산출서-11.25_한수단위수량" xfId="4697" xr:uid="{00000000-0005-0000-0000-000070140000}"/>
    <cellStyle name="1_tree_조경포장,관로시설_수량산출서-1201" xfId="4699" xr:uid="{00000000-0005-0000-0000-000071140000}"/>
    <cellStyle name="1_tree_조경포장,관로시설_수량산출서-1201_NEW단위수량-주산" xfId="4708" xr:uid="{00000000-0005-0000-0000-000072140000}"/>
    <cellStyle name="1_tree_조경포장,관로시설_수량산출서-1201_남대천단위수량" xfId="4700" xr:uid="{00000000-0005-0000-0000-000073140000}"/>
    <cellStyle name="1_tree_조경포장,관로시설_수량산출서-1201_단위수량" xfId="4701" xr:uid="{00000000-0005-0000-0000-000074140000}"/>
    <cellStyle name="1_tree_조경포장,관로시설_수량산출서-1201_단위수량1" xfId="4702" xr:uid="{00000000-0005-0000-0000-000075140000}"/>
    <cellStyle name="1_tree_조경포장,관로시설_수량산출서-1201_단위수량15" xfId="4703" xr:uid="{00000000-0005-0000-0000-000076140000}"/>
    <cellStyle name="1_tree_조경포장,관로시설_수량산출서-1201_도곡단위수량" xfId="4704" xr:uid="{00000000-0005-0000-0000-000077140000}"/>
    <cellStyle name="1_tree_조경포장,관로시설_수량산출서-1201_철거단위수량" xfId="4705" xr:uid="{00000000-0005-0000-0000-000078140000}"/>
    <cellStyle name="1_tree_조경포장,관로시설_수량산출서-1201_철거수량" xfId="4706" xr:uid="{00000000-0005-0000-0000-000079140000}"/>
    <cellStyle name="1_tree_조경포장,관로시설_수량산출서-1201_한수단위수량" xfId="4707" xr:uid="{00000000-0005-0000-0000-00007A140000}"/>
    <cellStyle name="1_tree_조경포장,관로시설_시설물단위수량" xfId="4709" xr:uid="{00000000-0005-0000-0000-00007B140000}"/>
    <cellStyle name="1_tree_조경포장,관로시설_시설물단위수량1" xfId="4710" xr:uid="{00000000-0005-0000-0000-00007C140000}"/>
    <cellStyle name="1_tree_조경포장,관로시설_시설물단위수량1_시설물단위수량" xfId="4711" xr:uid="{00000000-0005-0000-0000-00007D140000}"/>
    <cellStyle name="1_tree_조경포장,관로시설_오창수량산출서" xfId="4712" xr:uid="{00000000-0005-0000-0000-00007E140000}"/>
    <cellStyle name="1_tree_조경포장,관로시설_오창수량산출서_NEW단위수량-주산" xfId="4744" xr:uid="{00000000-0005-0000-0000-00007F140000}"/>
    <cellStyle name="1_tree_조경포장,관로시설_오창수량산출서_남대천단위수량" xfId="4713" xr:uid="{00000000-0005-0000-0000-000080140000}"/>
    <cellStyle name="1_tree_조경포장,관로시설_오창수량산출서_단위수량" xfId="4714" xr:uid="{00000000-0005-0000-0000-000081140000}"/>
    <cellStyle name="1_tree_조경포장,관로시설_오창수량산출서_단위수량1" xfId="4715" xr:uid="{00000000-0005-0000-0000-000082140000}"/>
    <cellStyle name="1_tree_조경포장,관로시설_오창수량산출서_단위수량15" xfId="4716" xr:uid="{00000000-0005-0000-0000-000083140000}"/>
    <cellStyle name="1_tree_조경포장,관로시설_오창수량산출서_도곡단위수량" xfId="4717" xr:uid="{00000000-0005-0000-0000-000084140000}"/>
    <cellStyle name="1_tree_조경포장,관로시설_오창수량산출서_수량산출서-11.25" xfId="4718" xr:uid="{00000000-0005-0000-0000-000085140000}"/>
    <cellStyle name="1_tree_조경포장,관로시설_오창수량산출서_수량산출서-11.25_NEW단위수량-주산" xfId="4727" xr:uid="{00000000-0005-0000-0000-000086140000}"/>
    <cellStyle name="1_tree_조경포장,관로시설_오창수량산출서_수량산출서-11.25_남대천단위수량" xfId="4719" xr:uid="{00000000-0005-0000-0000-000087140000}"/>
    <cellStyle name="1_tree_조경포장,관로시설_오창수량산출서_수량산출서-11.25_단위수량" xfId="4720" xr:uid="{00000000-0005-0000-0000-000088140000}"/>
    <cellStyle name="1_tree_조경포장,관로시설_오창수량산출서_수량산출서-11.25_단위수량1" xfId="4721" xr:uid="{00000000-0005-0000-0000-000089140000}"/>
    <cellStyle name="1_tree_조경포장,관로시설_오창수량산출서_수량산출서-11.25_단위수량15" xfId="4722" xr:uid="{00000000-0005-0000-0000-00008A140000}"/>
    <cellStyle name="1_tree_조경포장,관로시설_오창수량산출서_수량산출서-11.25_도곡단위수량" xfId="4723" xr:uid="{00000000-0005-0000-0000-00008B140000}"/>
    <cellStyle name="1_tree_조경포장,관로시설_오창수량산출서_수량산출서-11.25_철거단위수량" xfId="4724" xr:uid="{00000000-0005-0000-0000-00008C140000}"/>
    <cellStyle name="1_tree_조경포장,관로시설_오창수량산출서_수량산출서-11.25_철거수량" xfId="4725" xr:uid="{00000000-0005-0000-0000-00008D140000}"/>
    <cellStyle name="1_tree_조경포장,관로시설_오창수량산출서_수량산출서-11.25_한수단위수량" xfId="4726" xr:uid="{00000000-0005-0000-0000-00008E140000}"/>
    <cellStyle name="1_tree_조경포장,관로시설_오창수량산출서_수량산출서-1201" xfId="4728" xr:uid="{00000000-0005-0000-0000-00008F140000}"/>
    <cellStyle name="1_tree_조경포장,관로시설_오창수량산출서_수량산출서-1201_NEW단위수량-주산" xfId="4737" xr:uid="{00000000-0005-0000-0000-000090140000}"/>
    <cellStyle name="1_tree_조경포장,관로시설_오창수량산출서_수량산출서-1201_남대천단위수량" xfId="4729" xr:uid="{00000000-0005-0000-0000-000091140000}"/>
    <cellStyle name="1_tree_조경포장,관로시설_오창수량산출서_수량산출서-1201_단위수량" xfId="4730" xr:uid="{00000000-0005-0000-0000-000092140000}"/>
    <cellStyle name="1_tree_조경포장,관로시설_오창수량산출서_수량산출서-1201_단위수량1" xfId="4731" xr:uid="{00000000-0005-0000-0000-000093140000}"/>
    <cellStyle name="1_tree_조경포장,관로시설_오창수량산출서_수량산출서-1201_단위수량15" xfId="4732" xr:uid="{00000000-0005-0000-0000-000094140000}"/>
    <cellStyle name="1_tree_조경포장,관로시설_오창수량산출서_수량산출서-1201_도곡단위수량" xfId="4733" xr:uid="{00000000-0005-0000-0000-000095140000}"/>
    <cellStyle name="1_tree_조경포장,관로시설_오창수량산출서_수량산출서-1201_철거단위수량" xfId="4734" xr:uid="{00000000-0005-0000-0000-000096140000}"/>
    <cellStyle name="1_tree_조경포장,관로시설_오창수량산출서_수량산출서-1201_철거수량" xfId="4735" xr:uid="{00000000-0005-0000-0000-000097140000}"/>
    <cellStyle name="1_tree_조경포장,관로시설_오창수량산출서_수량산출서-1201_한수단위수량" xfId="4736" xr:uid="{00000000-0005-0000-0000-000098140000}"/>
    <cellStyle name="1_tree_조경포장,관로시설_오창수량산출서_시설물단위수량" xfId="4738" xr:uid="{00000000-0005-0000-0000-000099140000}"/>
    <cellStyle name="1_tree_조경포장,관로시설_오창수량산출서_시설물단위수량1" xfId="4739" xr:uid="{00000000-0005-0000-0000-00009A140000}"/>
    <cellStyle name="1_tree_조경포장,관로시설_오창수량산출서_시설물단위수량1_시설물단위수량" xfId="4740" xr:uid="{00000000-0005-0000-0000-00009B140000}"/>
    <cellStyle name="1_tree_조경포장,관로시설_오창수량산출서_철거단위수량" xfId="4741" xr:uid="{00000000-0005-0000-0000-00009C140000}"/>
    <cellStyle name="1_tree_조경포장,관로시설_오창수량산출서_철거수량" xfId="4742" xr:uid="{00000000-0005-0000-0000-00009D140000}"/>
    <cellStyle name="1_tree_조경포장,관로시설_오창수량산출서_한수단위수량" xfId="4743" xr:uid="{00000000-0005-0000-0000-00009E140000}"/>
    <cellStyle name="1_tree_조경포장,관로시설_철거단위수량" xfId="4745" xr:uid="{00000000-0005-0000-0000-00009F140000}"/>
    <cellStyle name="1_tree_조경포장,관로시설_철거수량" xfId="4746" xr:uid="{00000000-0005-0000-0000-0000A0140000}"/>
    <cellStyle name="1_tree_조경포장,관로시설_한수단위수량" xfId="4747" xr:uid="{00000000-0005-0000-0000-0000A1140000}"/>
    <cellStyle name="1_tree_증감내역서(U형측구)" xfId="16" xr:uid="{00000000-0005-0000-0000-0000A2140000}"/>
    <cellStyle name="1_tree_철거단위수량" xfId="4749" xr:uid="{00000000-0005-0000-0000-0000A3140000}"/>
    <cellStyle name="1_tree_철거수량" xfId="4750" xr:uid="{00000000-0005-0000-0000-0000A4140000}"/>
    <cellStyle name="1_tree_총괄" xfId="4751" xr:uid="{00000000-0005-0000-0000-0000A5140000}"/>
    <cellStyle name="1_tree_총괄_04포장공(011,012)" xfId="4752" xr:uid="{00000000-0005-0000-0000-0000A6140000}"/>
    <cellStyle name="1_tree_총괄_수량" xfId="4753" xr:uid="{00000000-0005-0000-0000-0000A7140000}"/>
    <cellStyle name="1_tree_총괄_주요자재집계표" xfId="4754" xr:uid="{00000000-0005-0000-0000-0000A8140000}"/>
    <cellStyle name="1_tree_총괄내역0518" xfId="2227" xr:uid="{00000000-0005-0000-0000-0000A9140000}"/>
    <cellStyle name="1_tree_총괄내역0518_구로리설계예산서1029" xfId="2228" xr:uid="{00000000-0005-0000-0000-0000AA140000}"/>
    <cellStyle name="1_tree_총괄내역0518_구로리설계예산서1029_내역서(우이천변)" xfId="2229" xr:uid="{00000000-0005-0000-0000-0000AB140000}"/>
    <cellStyle name="1_tree_총괄내역0518_구로리설계예산서1029_내역서1128" xfId="2230" xr:uid="{00000000-0005-0000-0000-0000AC140000}"/>
    <cellStyle name="1_tree_총괄내역0518_구로리설계예산서1118준공" xfId="2231" xr:uid="{00000000-0005-0000-0000-0000AD140000}"/>
    <cellStyle name="1_tree_총괄내역0518_구로리설계예산서1118준공_내역서(우이천변)" xfId="2232" xr:uid="{00000000-0005-0000-0000-0000AE140000}"/>
    <cellStyle name="1_tree_총괄내역0518_구로리설계예산서1118준공_내역서1128" xfId="2233" xr:uid="{00000000-0005-0000-0000-0000AF140000}"/>
    <cellStyle name="1_tree_총괄내역0518_구로리설계예산서조경" xfId="2234" xr:uid="{00000000-0005-0000-0000-0000B0140000}"/>
    <cellStyle name="1_tree_총괄내역0518_구로리설계예산서조경_내역서(우이천변)" xfId="2235" xr:uid="{00000000-0005-0000-0000-0000B1140000}"/>
    <cellStyle name="1_tree_총괄내역0518_구로리설계예산서조경_내역서1128" xfId="2236" xr:uid="{00000000-0005-0000-0000-0000B2140000}"/>
    <cellStyle name="1_tree_총괄내역0518_구로리어린이공원예산서(조경)1125" xfId="2237" xr:uid="{00000000-0005-0000-0000-0000B3140000}"/>
    <cellStyle name="1_tree_총괄내역0518_구로리어린이공원예산서(조경)1125_내역서(우이천변)" xfId="2238" xr:uid="{00000000-0005-0000-0000-0000B4140000}"/>
    <cellStyle name="1_tree_총괄내역0518_구로리어린이공원예산서(조경)1125_내역서1128" xfId="2239" xr:uid="{00000000-0005-0000-0000-0000B5140000}"/>
    <cellStyle name="1_tree_총괄내역0518_내역서" xfId="2240" xr:uid="{00000000-0005-0000-0000-0000B6140000}"/>
    <cellStyle name="1_tree_총괄내역0518_내역서(우이천변)" xfId="2241" xr:uid="{00000000-0005-0000-0000-0000B7140000}"/>
    <cellStyle name="1_tree_총괄내역0518_내역서_내역서(우이천변)" xfId="2242" xr:uid="{00000000-0005-0000-0000-0000B8140000}"/>
    <cellStyle name="1_tree_총괄내역0518_내역서_내역서1128" xfId="2243" xr:uid="{00000000-0005-0000-0000-0000B9140000}"/>
    <cellStyle name="1_tree_총괄내역0518_내역서1128" xfId="2244" xr:uid="{00000000-0005-0000-0000-0000BA140000}"/>
    <cellStyle name="1_tree_총괄내역0518_노임단가표" xfId="2245" xr:uid="{00000000-0005-0000-0000-0000BB140000}"/>
    <cellStyle name="1_tree_총괄내역0518_노임단가표_내역서(우이천변)" xfId="2246" xr:uid="{00000000-0005-0000-0000-0000BC140000}"/>
    <cellStyle name="1_tree_총괄내역0518_노임단가표_내역서1128" xfId="2247" xr:uid="{00000000-0005-0000-0000-0000BD140000}"/>
    <cellStyle name="1_tree_총괄내역0518_수도권매립지" xfId="2248" xr:uid="{00000000-0005-0000-0000-0000BE140000}"/>
    <cellStyle name="1_tree_총괄내역0518_수도권매립지_내역서(우이천변)" xfId="2249" xr:uid="{00000000-0005-0000-0000-0000BF140000}"/>
    <cellStyle name="1_tree_총괄내역0518_수도권매립지_내역서1128" xfId="2250" xr:uid="{00000000-0005-0000-0000-0000C0140000}"/>
    <cellStyle name="1_tree_총괄내역0518_수도권매립지1004(발주용)" xfId="2251" xr:uid="{00000000-0005-0000-0000-0000C1140000}"/>
    <cellStyle name="1_tree_총괄내역0518_수도권매립지1004(발주용)_내역서(우이천변)" xfId="2252" xr:uid="{00000000-0005-0000-0000-0000C2140000}"/>
    <cellStyle name="1_tree_총괄내역0518_수도권매립지1004(발주용)_내역서1128" xfId="2253" xr:uid="{00000000-0005-0000-0000-0000C3140000}"/>
    <cellStyle name="1_tree_총괄내역0518_일신건영설계예산서(0211)" xfId="2254" xr:uid="{00000000-0005-0000-0000-0000C4140000}"/>
    <cellStyle name="1_tree_총괄내역0518_일신건영설계예산서(0211)_내역서(우이천변)" xfId="2255" xr:uid="{00000000-0005-0000-0000-0000C5140000}"/>
    <cellStyle name="1_tree_총괄내역0518_일신건영설계예산서(0211)_내역서1128" xfId="2256" xr:uid="{00000000-0005-0000-0000-0000C6140000}"/>
    <cellStyle name="1_tree_총괄내역0518_일위대가" xfId="2257" xr:uid="{00000000-0005-0000-0000-0000C7140000}"/>
    <cellStyle name="1_tree_총괄내역0518_일위대가_내역서(우이천변)" xfId="2258" xr:uid="{00000000-0005-0000-0000-0000C8140000}"/>
    <cellStyle name="1_tree_총괄내역0518_일위대가_내역서1128" xfId="2259" xr:uid="{00000000-0005-0000-0000-0000C9140000}"/>
    <cellStyle name="1_tree_총괄내역0518_자재단가표" xfId="2260" xr:uid="{00000000-0005-0000-0000-0000CA140000}"/>
    <cellStyle name="1_tree_총괄내역0518_자재단가표_내역서(우이천변)" xfId="2261" xr:uid="{00000000-0005-0000-0000-0000CB140000}"/>
    <cellStyle name="1_tree_총괄내역0518_자재단가표_내역서1128" xfId="2262" xr:uid="{00000000-0005-0000-0000-0000CC140000}"/>
    <cellStyle name="1_tree_총괄내역0518_장안초등학교내역0814" xfId="2263" xr:uid="{00000000-0005-0000-0000-0000CD140000}"/>
    <cellStyle name="1_tree_총괄내역0518_장안초등학교내역0814_내역서(우이천변)" xfId="2264" xr:uid="{00000000-0005-0000-0000-0000CE140000}"/>
    <cellStyle name="1_tree_총괄내역0518_장안초등학교내역0814_내역서1128" xfId="2265" xr:uid="{00000000-0005-0000-0000-0000CF140000}"/>
    <cellStyle name="1_tree_충남대단위수량" xfId="4755" xr:uid="{00000000-0005-0000-0000-0000D0140000}"/>
    <cellStyle name="1_tree_칼산 총괄내역서(토목)" xfId="17" xr:uid="{00000000-0005-0000-0000-0000D1140000}"/>
    <cellStyle name="1_tree_칼산공사원가계산서" xfId="18" xr:uid="{00000000-0005-0000-0000-0000D2140000}"/>
    <cellStyle name="1_tree_터미널1" xfId="4756" xr:uid="{00000000-0005-0000-0000-0000D3140000}"/>
    <cellStyle name="1_tree_터미널1_04포장공(011,012)" xfId="4757" xr:uid="{00000000-0005-0000-0000-0000D4140000}"/>
    <cellStyle name="1_tree_터미널1_1" xfId="4758" xr:uid="{00000000-0005-0000-0000-0000D5140000}"/>
    <cellStyle name="1_tree_터미널1_1_04포장공(011,012)" xfId="4759" xr:uid="{00000000-0005-0000-0000-0000D6140000}"/>
    <cellStyle name="1_tree_터미널1_1_수량" xfId="4760" xr:uid="{00000000-0005-0000-0000-0000D7140000}"/>
    <cellStyle name="1_tree_터미널1_1_주요자재집계표" xfId="4761" xr:uid="{00000000-0005-0000-0000-0000D8140000}"/>
    <cellStyle name="1_tree_터미널1_수량" xfId="4762" xr:uid="{00000000-0005-0000-0000-0000D9140000}"/>
    <cellStyle name="1_tree_터미널1_주요자재집계표" xfId="4763" xr:uid="{00000000-0005-0000-0000-0000DA140000}"/>
    <cellStyle name="1_tree_터미널1-0" xfId="4764" xr:uid="{00000000-0005-0000-0000-0000DB140000}"/>
    <cellStyle name="1_tree_터미널1-0_쌍용수량0905" xfId="4765" xr:uid="{00000000-0005-0000-0000-0000DC140000}"/>
    <cellStyle name="1_tree_터미널2" xfId="4766" xr:uid="{00000000-0005-0000-0000-0000DD140000}"/>
    <cellStyle name="1_tree_터미널2_골프장수목" xfId="4767" xr:uid="{00000000-0005-0000-0000-0000DE140000}"/>
    <cellStyle name="1_tree_터미널2_수량집계표" xfId="4768" xr:uid="{00000000-0005-0000-0000-0000DF140000}"/>
    <cellStyle name="1_tree_터미널2_수량총괄표" xfId="4769" xr:uid="{00000000-0005-0000-0000-0000E0140000}"/>
    <cellStyle name="1_tree_터미널2_용평수량집계" xfId="4770" xr:uid="{00000000-0005-0000-0000-0000E1140000}"/>
    <cellStyle name="1_tree_표지-공정표" xfId="2266" xr:uid="{00000000-0005-0000-0000-0000E2140000}"/>
    <cellStyle name="1_tree_표지-공정표_설계설명서0309" xfId="2267" xr:uid="{00000000-0005-0000-0000-0000E3140000}"/>
    <cellStyle name="1_tree_한수단위수량" xfId="4771" xr:uid="{00000000-0005-0000-0000-0000E4140000}"/>
    <cellStyle name="1_tree_한풍단위수량" xfId="4772" xr:uid="{00000000-0005-0000-0000-0000E5140000}"/>
    <cellStyle name="1_tree_한풍단위수량_골프장수목" xfId="4773" xr:uid="{00000000-0005-0000-0000-0000E6140000}"/>
    <cellStyle name="1_tree_한풍단위수량_수량집계표" xfId="4774" xr:uid="{00000000-0005-0000-0000-0000E7140000}"/>
    <cellStyle name="1_tree_한풍단위수량_수량총괄표" xfId="4775" xr:uid="{00000000-0005-0000-0000-0000E8140000}"/>
    <cellStyle name="1_tree_한풍단위수량_용평수량집계" xfId="4776" xr:uid="{00000000-0005-0000-0000-0000E9140000}"/>
    <cellStyle name="1_tree_한풍집계" xfId="4777" xr:uid="{00000000-0005-0000-0000-0000EA140000}"/>
    <cellStyle name="1_tree_한풍집계 2" xfId="7403" xr:uid="{00000000-0005-0000-0000-0000EB140000}"/>
    <cellStyle name="1_tree_한풍집계 2 2" xfId="7404" xr:uid="{00000000-0005-0000-0000-0000EC140000}"/>
    <cellStyle name="1_tree_한풍집계_04포장공(011,012)" xfId="4778" xr:uid="{00000000-0005-0000-0000-0000ED140000}"/>
    <cellStyle name="1_tree_한풍집계_Sheet1" xfId="4815" xr:uid="{00000000-0005-0000-0000-0000EE140000}"/>
    <cellStyle name="1_tree_한풍집계_Sheet1 2" xfId="7405" xr:uid="{00000000-0005-0000-0000-0000EF140000}"/>
    <cellStyle name="1_tree_한풍집계_Sheet1 2 2" xfId="7406" xr:uid="{00000000-0005-0000-0000-0000F0140000}"/>
    <cellStyle name="1_tree_한풍집계_Sheet1_과천놀이터설계서" xfId="4816" xr:uid="{00000000-0005-0000-0000-0000F1140000}"/>
    <cellStyle name="1_tree_한풍집계_Sheet1_과천놀이터설계서 2" xfId="7407" xr:uid="{00000000-0005-0000-0000-0000F2140000}"/>
    <cellStyle name="1_tree_한풍집계_Sheet1_과천놀이터설계서 2 2" xfId="7408" xr:uid="{00000000-0005-0000-0000-0000F3140000}"/>
    <cellStyle name="1_tree_한풍집계_Sheet1_덕원고-설계서갑지" xfId="7409" xr:uid="{00000000-0005-0000-0000-0000F4140000}"/>
    <cellStyle name="1_tree_한풍집계_Sheet1_덕원고-설계서갑지 2" xfId="7410" xr:uid="{00000000-0005-0000-0000-0000F5140000}"/>
    <cellStyle name="1_tree_한풍집계_Sheet1_덕원고-설계서갑지 2 2" xfId="7411" xr:uid="{00000000-0005-0000-0000-0000F6140000}"/>
    <cellStyle name="1_tree_한풍집계_Sheet1_총괄갑지" xfId="4817" xr:uid="{00000000-0005-0000-0000-0000F7140000}"/>
    <cellStyle name="1_tree_한풍집계_Sheet1_총괄갑지 2" xfId="7412" xr:uid="{00000000-0005-0000-0000-0000F8140000}"/>
    <cellStyle name="1_tree_한풍집계_Sheet1_총괄갑지 2 2" xfId="7413" xr:uid="{00000000-0005-0000-0000-0000F9140000}"/>
    <cellStyle name="1_tree_한풍집계_Sheet1_총괄내역서" xfId="4818" xr:uid="{00000000-0005-0000-0000-0000FA140000}"/>
    <cellStyle name="1_tree_한풍집계_Sheet1_총괄내역서 2" xfId="7414" xr:uid="{00000000-0005-0000-0000-0000FB140000}"/>
    <cellStyle name="1_tree_한풍집계_Sheet1_총괄내역서 2 2" xfId="7415" xr:uid="{00000000-0005-0000-0000-0000FC140000}"/>
    <cellStyle name="1_tree_한풍집계_갑지" xfId="4779" xr:uid="{00000000-0005-0000-0000-0000FD140000}"/>
    <cellStyle name="1_tree_한풍집계_갑지0601" xfId="4780" xr:uid="{00000000-0005-0000-0000-0000FE140000}"/>
    <cellStyle name="1_tree_한풍집계_갑지0601 2" xfId="7416" xr:uid="{00000000-0005-0000-0000-0000FF140000}"/>
    <cellStyle name="1_tree_한풍집계_갑지0601 2 2" xfId="7417" xr:uid="{00000000-0005-0000-0000-000000150000}"/>
    <cellStyle name="1_tree_한풍집계_갑지0601_과천놀이터설계서" xfId="4781" xr:uid="{00000000-0005-0000-0000-000001150000}"/>
    <cellStyle name="1_tree_한풍집계_갑지0601_과천놀이터설계서 2" xfId="7418" xr:uid="{00000000-0005-0000-0000-000002150000}"/>
    <cellStyle name="1_tree_한풍집계_갑지0601_과천놀이터설계서 2 2" xfId="7419" xr:uid="{00000000-0005-0000-0000-000003150000}"/>
    <cellStyle name="1_tree_한풍집계_갑지0601_덕원고-설계서갑지" xfId="7420" xr:uid="{00000000-0005-0000-0000-000004150000}"/>
    <cellStyle name="1_tree_한풍집계_갑지0601_덕원고-설계서갑지 2" xfId="7421" xr:uid="{00000000-0005-0000-0000-000005150000}"/>
    <cellStyle name="1_tree_한풍집계_갑지0601_덕원고-설계서갑지 2 2" xfId="7422" xr:uid="{00000000-0005-0000-0000-000006150000}"/>
    <cellStyle name="1_tree_한풍집계_갑지0601_총괄갑지" xfId="4782" xr:uid="{00000000-0005-0000-0000-000007150000}"/>
    <cellStyle name="1_tree_한풍집계_갑지0601_총괄갑지 2" xfId="7423" xr:uid="{00000000-0005-0000-0000-000008150000}"/>
    <cellStyle name="1_tree_한풍집계_갑지0601_총괄갑지 2 2" xfId="7424" xr:uid="{00000000-0005-0000-0000-000009150000}"/>
    <cellStyle name="1_tree_한풍집계_갑지0601_총괄내역서" xfId="4783" xr:uid="{00000000-0005-0000-0000-00000A150000}"/>
    <cellStyle name="1_tree_한풍집계_갑지0601_총괄내역서 2" xfId="7425" xr:uid="{00000000-0005-0000-0000-00000B150000}"/>
    <cellStyle name="1_tree_한풍집계_갑지0601_총괄내역서 2 2" xfId="7426" xr:uid="{00000000-0005-0000-0000-00000C150000}"/>
    <cellStyle name="1_tree_한풍집계_개략공사비" xfId="4784" xr:uid="{00000000-0005-0000-0000-00000D150000}"/>
    <cellStyle name="1_tree_한풍집계_개략예산" xfId="4785" xr:uid="{00000000-0005-0000-0000-00000E150000}"/>
    <cellStyle name="1_tree_한풍집계_골프장수목" xfId="4786" xr:uid="{00000000-0005-0000-0000-00000F150000}"/>
    <cellStyle name="1_tree_한풍집계_공사비" xfId="4787" xr:uid="{00000000-0005-0000-0000-000010150000}"/>
    <cellStyle name="1_tree_한풍집계_공사비(1차조정1120)" xfId="4788" xr:uid="{00000000-0005-0000-0000-000011150000}"/>
    <cellStyle name="1_tree_한풍집계_공사비조정(1128)" xfId="4789" xr:uid="{00000000-0005-0000-0000-000012150000}"/>
    <cellStyle name="1_tree_한풍집계_공사예가(휘경동)-설계가" xfId="4790" xr:uid="{00000000-0005-0000-0000-000013150000}"/>
    <cellStyle name="1_tree_한풍집계_단위수량산출" xfId="4791" xr:uid="{00000000-0005-0000-0000-000014150000}"/>
    <cellStyle name="1_tree_한풍집계_수량" xfId="4792" xr:uid="{00000000-0005-0000-0000-000015150000}"/>
    <cellStyle name="1_tree_한풍집계_수량집계표" xfId="4793" xr:uid="{00000000-0005-0000-0000-000016150000}"/>
    <cellStyle name="1_tree_한풍집계_수량총괄표" xfId="4794" xr:uid="{00000000-0005-0000-0000-000017150000}"/>
    <cellStyle name="1_tree_한풍집계_수원수량집계(7.13)" xfId="4795" xr:uid="{00000000-0005-0000-0000-000018150000}"/>
    <cellStyle name="1_tree_한풍집계_수원수량집계(7.31)" xfId="4796" xr:uid="{00000000-0005-0000-0000-000019150000}"/>
    <cellStyle name="1_tree_한풍집계_쌍용수량0905" xfId="4797" xr:uid="{00000000-0005-0000-0000-00001A150000}"/>
    <cellStyle name="1_tree_한풍집계_쌍용수량집계" xfId="4798" xr:uid="{00000000-0005-0000-0000-00001B150000}"/>
    <cellStyle name="1_tree_한풍집계_용평수량집계" xfId="4799" xr:uid="{00000000-0005-0000-0000-00001C150000}"/>
    <cellStyle name="1_tree_한풍집계_주요자재집계표" xfId="4800" xr:uid="{00000000-0005-0000-0000-00001D150000}"/>
    <cellStyle name="1_tree_한풍집계_터미널1" xfId="4801" xr:uid="{00000000-0005-0000-0000-00001E150000}"/>
    <cellStyle name="1_tree_한풍집계_터미널1_04포장공(011,012)" xfId="4802" xr:uid="{00000000-0005-0000-0000-00001F150000}"/>
    <cellStyle name="1_tree_한풍집계_터미널1_1" xfId="4803" xr:uid="{00000000-0005-0000-0000-000020150000}"/>
    <cellStyle name="1_tree_한풍집계_터미널1_1_04포장공(011,012)" xfId="4804" xr:uid="{00000000-0005-0000-0000-000021150000}"/>
    <cellStyle name="1_tree_한풍집계_터미널1_1_수량" xfId="4805" xr:uid="{00000000-0005-0000-0000-000022150000}"/>
    <cellStyle name="1_tree_한풍집계_터미널1_1_주요자재집계표" xfId="4806" xr:uid="{00000000-0005-0000-0000-000023150000}"/>
    <cellStyle name="1_tree_한풍집계_터미널1_수량" xfId="4807" xr:uid="{00000000-0005-0000-0000-000024150000}"/>
    <cellStyle name="1_tree_한풍집계_터미널1_주요자재집계표" xfId="4808" xr:uid="{00000000-0005-0000-0000-000025150000}"/>
    <cellStyle name="1_tree_한풍집계_터미널2" xfId="4809" xr:uid="{00000000-0005-0000-0000-000026150000}"/>
    <cellStyle name="1_tree_한풍집계_터미널2_골프장수목" xfId="4810" xr:uid="{00000000-0005-0000-0000-000027150000}"/>
    <cellStyle name="1_tree_한풍집계_터미널2_수량집계표" xfId="4811" xr:uid="{00000000-0005-0000-0000-000028150000}"/>
    <cellStyle name="1_tree_한풍집계_터미널2_수량총괄표" xfId="4812" xr:uid="{00000000-0005-0000-0000-000029150000}"/>
    <cellStyle name="1_tree_한풍집계_터미널2_용평수량집계" xfId="4813" xr:uid="{00000000-0005-0000-0000-00002A150000}"/>
    <cellStyle name="1_tree_한풍집계_화명공사비" xfId="4814" xr:uid="{00000000-0005-0000-0000-00002B150000}"/>
    <cellStyle name="1_tree_현충묘지-예산서(조경)" xfId="1316" xr:uid="{00000000-0005-0000-0000-00002C150000}"/>
    <cellStyle name="1_tree_현충묘지-예산서(조경)_00-설계서양식" xfId="2268" xr:uid="{00000000-0005-0000-0000-00002D150000}"/>
    <cellStyle name="1_tree_현충묘지-예산서(조경)_00-표지예정공정표" xfId="2269" xr:uid="{00000000-0005-0000-0000-00002E150000}"/>
    <cellStyle name="1_tree_현충묘지-예산서(조경)_00-표지예정공정표_설계설명서0309" xfId="2270" xr:uid="{00000000-0005-0000-0000-00002F150000}"/>
    <cellStyle name="1_tree_현충묘지-예산서(조경)_041206 목동내역" xfId="1317" xr:uid="{00000000-0005-0000-0000-000030150000}"/>
    <cellStyle name="1_tree_현충묘지-예산서(조경)_까르프-표지예정공정표" xfId="1318" xr:uid="{00000000-0005-0000-0000-000031150000}"/>
    <cellStyle name="1_tree_현충묘지-예산서(조경)_까르프-표지예정공정표_00-설계서양식" xfId="2271" xr:uid="{00000000-0005-0000-0000-000032150000}"/>
    <cellStyle name="1_tree_현충묘지-예산서(조경)_까르프-표지예정공정표_설계설명서0309" xfId="2272" xr:uid="{00000000-0005-0000-0000-000033150000}"/>
    <cellStyle name="1_tree_현충묘지-예산서(조경)_까르프-표지예정공정표_영등포잔여구간변경내역-0608" xfId="1319" xr:uid="{00000000-0005-0000-0000-000034150000}"/>
    <cellStyle name="1_tree_현충묘지-예산서(조경)_까르프-표지예정공정표_인수봉길설계변경내역" xfId="1320" xr:uid="{00000000-0005-0000-0000-000035150000}"/>
    <cellStyle name="1_tree_현충묘지-예산서(조경)_대전가오-설계서" xfId="2273" xr:uid="{00000000-0005-0000-0000-000036150000}"/>
    <cellStyle name="1_tree_현충묘지-예산서(조경)_대전가오-설계서(관리)" xfId="2274" xr:uid="{00000000-0005-0000-0000-000037150000}"/>
    <cellStyle name="1_tree_현충묘지-예산서(조경)_대전가오-설계서1" xfId="2275" xr:uid="{00000000-0005-0000-0000-000038150000}"/>
    <cellStyle name="1_tree_현충묘지-예산서(조경)_목동내역" xfId="4819" xr:uid="{00000000-0005-0000-0000-000039150000}"/>
    <cellStyle name="1_tree_현충묘지-예산서(조경)_목동내역_폐기물집계" xfId="4820" xr:uid="{00000000-0005-0000-0000-00003A150000}"/>
    <cellStyle name="1_tree_현충묘지-예산서(조경)_설계설명서0309" xfId="2276" xr:uid="{00000000-0005-0000-0000-00003B150000}"/>
    <cellStyle name="1_tree_현충묘지-예산서(조경)_영등포잔여구간변경내역-0608" xfId="1321" xr:uid="{00000000-0005-0000-0000-00003C150000}"/>
    <cellStyle name="1_tree_현충묘지-예산서(조경)_예산서-엑셀변환양식100" xfId="1322" xr:uid="{00000000-0005-0000-0000-00003D150000}"/>
    <cellStyle name="1_tree_현충묘지-예산서(조경)_예산서-엑셀변환양식100_00-예산서양식100" xfId="2277" xr:uid="{00000000-0005-0000-0000-00003E150000}"/>
    <cellStyle name="1_tree_현충묘지-예산서(조경)_예산서-엑셀변환양식100_00-예산서양식100_00-설계서양식" xfId="2278" xr:uid="{00000000-0005-0000-0000-00003F150000}"/>
    <cellStyle name="1_tree_현충묘지-예산서(조경)_예산서-엑셀변환양식100_00-예산서양식100_대전가오-설계서" xfId="2279" xr:uid="{00000000-0005-0000-0000-000040150000}"/>
    <cellStyle name="1_tree_현충묘지-예산서(조경)_예산서-엑셀변환양식100_00-예산서양식100_대전가오-설계서(관리)" xfId="2280" xr:uid="{00000000-0005-0000-0000-000041150000}"/>
    <cellStyle name="1_tree_현충묘지-예산서(조경)_예산서-엑셀변환양식100_00-예산서양식100_대전가오-설계서1" xfId="2281" xr:uid="{00000000-0005-0000-0000-000042150000}"/>
    <cellStyle name="1_tree_현충묘지-예산서(조경)_예산서-엑셀변환양식100_00-예산서양식100_설계설명서0309" xfId="2282" xr:uid="{00000000-0005-0000-0000-000043150000}"/>
    <cellStyle name="1_tree_현충묘지-예산서(조경)_예산서-엑셀변환양식100_00-표지예정공정표" xfId="2283" xr:uid="{00000000-0005-0000-0000-000044150000}"/>
    <cellStyle name="1_tree_현충묘지-예산서(조경)_예산서-엑셀변환양식100_041206 목동내역" xfId="1323" xr:uid="{00000000-0005-0000-0000-000045150000}"/>
    <cellStyle name="1_tree_현충묘지-예산서(조경)_예산서-엑셀변환양식100_광진구-설계서(1006)" xfId="2284" xr:uid="{00000000-0005-0000-0000-000046150000}"/>
    <cellStyle name="1_tree_현충묘지-예산서(조경)_예산서-엑셀변환양식100_광진구-설계서(1006)_설계설명서0309" xfId="2285" xr:uid="{00000000-0005-0000-0000-000047150000}"/>
    <cellStyle name="1_tree_현충묘지-예산서(조경)_예산서-엑셀변환양식100_목동내역" xfId="4821" xr:uid="{00000000-0005-0000-0000-000048150000}"/>
    <cellStyle name="1_tree_현충묘지-예산서(조경)_예산서-엑셀변환양식100_목동내역_폐기물집계" xfId="4822" xr:uid="{00000000-0005-0000-0000-000049150000}"/>
    <cellStyle name="1_tree_현충묘지-예산서(조경)_예산서-엑셀변환양식100_영등포잔여구간변경내역-0608" xfId="1324" xr:uid="{00000000-0005-0000-0000-00004A150000}"/>
    <cellStyle name="1_tree_현충묘지-예산서(조경)_예산서-엑셀변환양식100_인수봉길설계변경내역" xfId="1325" xr:uid="{00000000-0005-0000-0000-00004B150000}"/>
    <cellStyle name="1_tree_현충묘지-예산서(조경)_예산서-엑셀변환양식100_표지-공정표" xfId="2286" xr:uid="{00000000-0005-0000-0000-00004C150000}"/>
    <cellStyle name="1_tree_현충묘지-예산서(조경)_예산서-엑셀변환양식100_표지-공정표_설계설명서0309" xfId="2287" xr:uid="{00000000-0005-0000-0000-00004D150000}"/>
    <cellStyle name="1_tree_현충묘지-예산서(조경)_인수봉길설계변경내역" xfId="1326" xr:uid="{00000000-0005-0000-0000-00004E150000}"/>
    <cellStyle name="1_tree_현충묘지-예산서(조경)_표지-공정표" xfId="2288" xr:uid="{00000000-0005-0000-0000-00004F150000}"/>
    <cellStyle name="1_tree_현충묘지-예산서(조경)_표지-공정표_설계설명서0309" xfId="2289" xr:uid="{00000000-0005-0000-0000-000050150000}"/>
    <cellStyle name="1_tree_현충묘지-예산서(조경)_표지예정공정표" xfId="1327" xr:uid="{00000000-0005-0000-0000-000051150000}"/>
    <cellStyle name="1_tree_현충묘지-예산서(조경)_-표지예정공정표" xfId="1328" xr:uid="{00000000-0005-0000-0000-000052150000}"/>
    <cellStyle name="1_tree_현충묘지-예산서(조경)_표지예정공정표_00-설계서양식" xfId="2290" xr:uid="{00000000-0005-0000-0000-000053150000}"/>
    <cellStyle name="1_tree_현충묘지-예산서(조경)_-표지예정공정표_00-설계서양식" xfId="2291" xr:uid="{00000000-0005-0000-0000-000054150000}"/>
    <cellStyle name="1_tree_현충묘지-예산서(조경)_표지예정공정표_설계설명서0309" xfId="2292" xr:uid="{00000000-0005-0000-0000-000055150000}"/>
    <cellStyle name="1_tree_현충묘지-예산서(조경)_-표지예정공정표_설계설명서0309" xfId="2293" xr:uid="{00000000-0005-0000-0000-000056150000}"/>
    <cellStyle name="1_tree_현충묘지-예산서(조경)_표지예정공정표_영등포잔여구간변경내역-0608" xfId="1329" xr:uid="{00000000-0005-0000-0000-000057150000}"/>
    <cellStyle name="1_tree_현충묘지-예산서(조경)_-표지예정공정표_영등포잔여구간변경내역-0608" xfId="1330" xr:uid="{00000000-0005-0000-0000-000058150000}"/>
    <cellStyle name="1_tree_현충묘지-예산서(조경)_표지예정공정표_인수봉길설계변경내역" xfId="1331" xr:uid="{00000000-0005-0000-0000-000059150000}"/>
    <cellStyle name="1_tree_현충묘지-예산서(조경)_-표지예정공정표_인수봉길설계변경내역" xfId="1332" xr:uid="{00000000-0005-0000-0000-00005A150000}"/>
    <cellStyle name="1_tree_화명공사비" xfId="4823" xr:uid="{00000000-0005-0000-0000-00005B150000}"/>
    <cellStyle name="1_tree_휴게시설" xfId="4824" xr:uid="{00000000-0005-0000-0000-00005C150000}"/>
    <cellStyle name="1_tree_휴게시설_NEW단위수량-주산" xfId="4889" xr:uid="{00000000-0005-0000-0000-00005D150000}"/>
    <cellStyle name="1_tree_휴게시설_남대천단위수량" xfId="4825" xr:uid="{00000000-0005-0000-0000-00005E150000}"/>
    <cellStyle name="1_tree_휴게시설_단위수량" xfId="4826" xr:uid="{00000000-0005-0000-0000-00005F150000}"/>
    <cellStyle name="1_tree_휴게시설_단위수량1" xfId="4827" xr:uid="{00000000-0005-0000-0000-000060150000}"/>
    <cellStyle name="1_tree_휴게시설_단위수량15" xfId="4828" xr:uid="{00000000-0005-0000-0000-000061150000}"/>
    <cellStyle name="1_tree_휴게시설_도곡단위수량" xfId="4829" xr:uid="{00000000-0005-0000-0000-000062150000}"/>
    <cellStyle name="1_tree_휴게시설_수량산출서-11.25" xfId="4830" xr:uid="{00000000-0005-0000-0000-000063150000}"/>
    <cellStyle name="1_tree_휴게시설_수량산출서-11.25_NEW단위수량-주산" xfId="4839" xr:uid="{00000000-0005-0000-0000-000064150000}"/>
    <cellStyle name="1_tree_휴게시설_수량산출서-11.25_남대천단위수량" xfId="4831" xr:uid="{00000000-0005-0000-0000-000065150000}"/>
    <cellStyle name="1_tree_휴게시설_수량산출서-11.25_단위수량" xfId="4832" xr:uid="{00000000-0005-0000-0000-000066150000}"/>
    <cellStyle name="1_tree_휴게시설_수량산출서-11.25_단위수량1" xfId="4833" xr:uid="{00000000-0005-0000-0000-000067150000}"/>
    <cellStyle name="1_tree_휴게시설_수량산출서-11.25_단위수량15" xfId="4834" xr:uid="{00000000-0005-0000-0000-000068150000}"/>
    <cellStyle name="1_tree_휴게시설_수량산출서-11.25_도곡단위수량" xfId="4835" xr:uid="{00000000-0005-0000-0000-000069150000}"/>
    <cellStyle name="1_tree_휴게시설_수량산출서-11.25_철거단위수량" xfId="4836" xr:uid="{00000000-0005-0000-0000-00006A150000}"/>
    <cellStyle name="1_tree_휴게시설_수량산출서-11.25_철거수량" xfId="4837" xr:uid="{00000000-0005-0000-0000-00006B150000}"/>
    <cellStyle name="1_tree_휴게시설_수량산출서-11.25_한수단위수량" xfId="4838" xr:uid="{00000000-0005-0000-0000-00006C150000}"/>
    <cellStyle name="1_tree_휴게시설_수량산출서-1201" xfId="4840" xr:uid="{00000000-0005-0000-0000-00006D150000}"/>
    <cellStyle name="1_tree_휴게시설_수량산출서-1201_NEW단위수량-주산" xfId="4849" xr:uid="{00000000-0005-0000-0000-00006E150000}"/>
    <cellStyle name="1_tree_휴게시설_수량산출서-1201_남대천단위수량" xfId="4841" xr:uid="{00000000-0005-0000-0000-00006F150000}"/>
    <cellStyle name="1_tree_휴게시설_수량산출서-1201_단위수량" xfId="4842" xr:uid="{00000000-0005-0000-0000-000070150000}"/>
    <cellStyle name="1_tree_휴게시설_수량산출서-1201_단위수량1" xfId="4843" xr:uid="{00000000-0005-0000-0000-000071150000}"/>
    <cellStyle name="1_tree_휴게시설_수량산출서-1201_단위수량15" xfId="4844" xr:uid="{00000000-0005-0000-0000-000072150000}"/>
    <cellStyle name="1_tree_휴게시설_수량산출서-1201_도곡단위수량" xfId="4845" xr:uid="{00000000-0005-0000-0000-000073150000}"/>
    <cellStyle name="1_tree_휴게시설_수량산출서-1201_철거단위수량" xfId="4846" xr:uid="{00000000-0005-0000-0000-000074150000}"/>
    <cellStyle name="1_tree_휴게시설_수량산출서-1201_철거수량" xfId="4847" xr:uid="{00000000-0005-0000-0000-000075150000}"/>
    <cellStyle name="1_tree_휴게시설_수량산출서-1201_한수단위수량" xfId="4848" xr:uid="{00000000-0005-0000-0000-000076150000}"/>
    <cellStyle name="1_tree_휴게시설_시설물단위수량" xfId="4850" xr:uid="{00000000-0005-0000-0000-000077150000}"/>
    <cellStyle name="1_tree_휴게시설_시설물단위수량1" xfId="4851" xr:uid="{00000000-0005-0000-0000-000078150000}"/>
    <cellStyle name="1_tree_휴게시설_시설물단위수량1_시설물단위수량" xfId="4852" xr:uid="{00000000-0005-0000-0000-000079150000}"/>
    <cellStyle name="1_tree_휴게시설_오창수량산출서" xfId="4853" xr:uid="{00000000-0005-0000-0000-00007A150000}"/>
    <cellStyle name="1_tree_휴게시설_오창수량산출서_NEW단위수량-주산" xfId="4885" xr:uid="{00000000-0005-0000-0000-00007B150000}"/>
    <cellStyle name="1_tree_휴게시설_오창수량산출서_남대천단위수량" xfId="4854" xr:uid="{00000000-0005-0000-0000-00007C150000}"/>
    <cellStyle name="1_tree_휴게시설_오창수량산출서_단위수량" xfId="4855" xr:uid="{00000000-0005-0000-0000-00007D150000}"/>
    <cellStyle name="1_tree_휴게시설_오창수량산출서_단위수량1" xfId="4856" xr:uid="{00000000-0005-0000-0000-00007E150000}"/>
    <cellStyle name="1_tree_휴게시설_오창수량산출서_단위수량15" xfId="4857" xr:uid="{00000000-0005-0000-0000-00007F150000}"/>
    <cellStyle name="1_tree_휴게시설_오창수량산출서_도곡단위수량" xfId="4858" xr:uid="{00000000-0005-0000-0000-000080150000}"/>
    <cellStyle name="1_tree_휴게시설_오창수량산출서_수량산출서-11.25" xfId="4859" xr:uid="{00000000-0005-0000-0000-000081150000}"/>
    <cellStyle name="1_tree_휴게시설_오창수량산출서_수량산출서-11.25_NEW단위수량-주산" xfId="4868" xr:uid="{00000000-0005-0000-0000-000082150000}"/>
    <cellStyle name="1_tree_휴게시설_오창수량산출서_수량산출서-11.25_남대천단위수량" xfId="4860" xr:uid="{00000000-0005-0000-0000-000083150000}"/>
    <cellStyle name="1_tree_휴게시설_오창수량산출서_수량산출서-11.25_단위수량" xfId="4861" xr:uid="{00000000-0005-0000-0000-000084150000}"/>
    <cellStyle name="1_tree_휴게시설_오창수량산출서_수량산출서-11.25_단위수량1" xfId="4862" xr:uid="{00000000-0005-0000-0000-000085150000}"/>
    <cellStyle name="1_tree_휴게시설_오창수량산출서_수량산출서-11.25_단위수량15" xfId="4863" xr:uid="{00000000-0005-0000-0000-000086150000}"/>
    <cellStyle name="1_tree_휴게시설_오창수량산출서_수량산출서-11.25_도곡단위수량" xfId="4864" xr:uid="{00000000-0005-0000-0000-000087150000}"/>
    <cellStyle name="1_tree_휴게시설_오창수량산출서_수량산출서-11.25_철거단위수량" xfId="4865" xr:uid="{00000000-0005-0000-0000-000088150000}"/>
    <cellStyle name="1_tree_휴게시설_오창수량산출서_수량산출서-11.25_철거수량" xfId="4866" xr:uid="{00000000-0005-0000-0000-000089150000}"/>
    <cellStyle name="1_tree_휴게시설_오창수량산출서_수량산출서-11.25_한수단위수량" xfId="4867" xr:uid="{00000000-0005-0000-0000-00008A150000}"/>
    <cellStyle name="1_tree_휴게시설_오창수량산출서_수량산출서-1201" xfId="4869" xr:uid="{00000000-0005-0000-0000-00008B150000}"/>
    <cellStyle name="1_tree_휴게시설_오창수량산출서_수량산출서-1201_NEW단위수량-주산" xfId="4878" xr:uid="{00000000-0005-0000-0000-00008C150000}"/>
    <cellStyle name="1_tree_휴게시설_오창수량산출서_수량산출서-1201_남대천단위수량" xfId="4870" xr:uid="{00000000-0005-0000-0000-00008D150000}"/>
    <cellStyle name="1_tree_휴게시설_오창수량산출서_수량산출서-1201_단위수량" xfId="4871" xr:uid="{00000000-0005-0000-0000-00008E150000}"/>
    <cellStyle name="1_tree_휴게시설_오창수량산출서_수량산출서-1201_단위수량1" xfId="4872" xr:uid="{00000000-0005-0000-0000-00008F150000}"/>
    <cellStyle name="1_tree_휴게시설_오창수량산출서_수량산출서-1201_단위수량15" xfId="4873" xr:uid="{00000000-0005-0000-0000-000090150000}"/>
    <cellStyle name="1_tree_휴게시설_오창수량산출서_수량산출서-1201_도곡단위수량" xfId="4874" xr:uid="{00000000-0005-0000-0000-000091150000}"/>
    <cellStyle name="1_tree_휴게시설_오창수량산출서_수량산출서-1201_철거단위수량" xfId="4875" xr:uid="{00000000-0005-0000-0000-000092150000}"/>
    <cellStyle name="1_tree_휴게시설_오창수량산출서_수량산출서-1201_철거수량" xfId="4876" xr:uid="{00000000-0005-0000-0000-000093150000}"/>
    <cellStyle name="1_tree_휴게시설_오창수량산출서_수량산출서-1201_한수단위수량" xfId="4877" xr:uid="{00000000-0005-0000-0000-000094150000}"/>
    <cellStyle name="1_tree_휴게시설_오창수량산출서_시설물단위수량" xfId="4879" xr:uid="{00000000-0005-0000-0000-000095150000}"/>
    <cellStyle name="1_tree_휴게시설_오창수량산출서_시설물단위수량1" xfId="4880" xr:uid="{00000000-0005-0000-0000-000096150000}"/>
    <cellStyle name="1_tree_휴게시설_오창수량산출서_시설물단위수량1_시설물단위수량" xfId="4881" xr:uid="{00000000-0005-0000-0000-000097150000}"/>
    <cellStyle name="1_tree_휴게시설_오창수량산출서_철거단위수량" xfId="4882" xr:uid="{00000000-0005-0000-0000-000098150000}"/>
    <cellStyle name="1_tree_휴게시설_오창수량산출서_철거수량" xfId="4883" xr:uid="{00000000-0005-0000-0000-000099150000}"/>
    <cellStyle name="1_tree_휴게시설_오창수량산출서_한수단위수량" xfId="4884" xr:uid="{00000000-0005-0000-0000-00009A150000}"/>
    <cellStyle name="1_tree_휴게시설_철거단위수량" xfId="4886" xr:uid="{00000000-0005-0000-0000-00009B150000}"/>
    <cellStyle name="1_tree_휴게시설_철거수량" xfId="4887" xr:uid="{00000000-0005-0000-0000-00009C150000}"/>
    <cellStyle name="1_tree_휴게시설_한수단위수량" xfId="4888" xr:uid="{00000000-0005-0000-0000-00009D150000}"/>
    <cellStyle name="1_가로등 및 신호등 일위대가표" xfId="7427" xr:uid="{00000000-0005-0000-0000-00009E150000}"/>
    <cellStyle name="1_가로등 및 신호등 일위대가표 2" xfId="7428" xr:uid="{00000000-0005-0000-0000-00009F150000}"/>
    <cellStyle name="1_가로등 및 신호등 일위대가표 2 2" xfId="7429" xr:uid="{00000000-0005-0000-0000-0000A0150000}"/>
    <cellStyle name="1_가로등 및 신호등 일위대가표 2 3" xfId="7430" xr:uid="{00000000-0005-0000-0000-0000A1150000}"/>
    <cellStyle name="1_가로등 및 신호등 일위대가표 3" xfId="7431" xr:uid="{00000000-0005-0000-0000-0000A2150000}"/>
    <cellStyle name="1_가산2빗물-전기공사 심사결과내역서" xfId="3095" xr:uid="{00000000-0005-0000-0000-0000A3150000}"/>
    <cellStyle name="1_가산2빗물-전기공사 심사결과내역서_가산2빗물-발주용-시설물토목화" xfId="3096" xr:uid="{00000000-0005-0000-0000-0000A4150000}"/>
    <cellStyle name="1_강남폐기물내역" xfId="3097" xr:uid="{00000000-0005-0000-0000-0000A5150000}"/>
    <cellStyle name="1_계약내역서-오금동85번지" xfId="8" xr:uid="{00000000-0005-0000-0000-0000A6150000}"/>
    <cellStyle name="1_과천수량집계" xfId="3098" xr:uid="{00000000-0005-0000-0000-0000A7150000}"/>
    <cellStyle name="1_교통광장공원및주차장(0908)" xfId="3099" xr:uid="{00000000-0005-0000-0000-0000A8150000}"/>
    <cellStyle name="1_교통안전표지신설및교체공사" xfId="7432" xr:uid="{00000000-0005-0000-0000-0000A9150000}"/>
    <cellStyle name="1_교통안전표지신설및교체공사 2" xfId="7433" xr:uid="{00000000-0005-0000-0000-0000AA150000}"/>
    <cellStyle name="1_교통안전표지신설및교체공사 2 2" xfId="7434" xr:uid="{00000000-0005-0000-0000-0000AB150000}"/>
    <cellStyle name="1_내역서(우이천변)" xfId="1931" xr:uid="{00000000-0005-0000-0000-0000AC150000}"/>
    <cellStyle name="1_내역서(조경)" xfId="3100" xr:uid="{00000000-0005-0000-0000-0000AD150000}"/>
    <cellStyle name="1_내역서갑지" xfId="7435" xr:uid="{00000000-0005-0000-0000-0000AE150000}"/>
    <cellStyle name="1_내역서갑지 2" xfId="7436" xr:uid="{00000000-0005-0000-0000-0000AF150000}"/>
    <cellStyle name="1_내역서갑지 2 2" xfId="7437" xr:uid="{00000000-0005-0000-0000-0000B0150000}"/>
    <cellStyle name="1_내역서갑지 3" xfId="7438" xr:uid="{00000000-0005-0000-0000-0000B1150000}"/>
    <cellStyle name="1_노량대교가로등보수공사(준공내역)" xfId="1198" xr:uid="{00000000-0005-0000-0000-0000B2150000}"/>
    <cellStyle name="1_노면표시도색및제거공사" xfId="7439" xr:uid="{00000000-0005-0000-0000-0000B3150000}"/>
    <cellStyle name="1_노면표시도색및제거공사 2" xfId="7440" xr:uid="{00000000-0005-0000-0000-0000B4150000}"/>
    <cellStyle name="1_노면표시도색및제거공사 2 2" xfId="7441" xr:uid="{00000000-0005-0000-0000-0000B5150000}"/>
    <cellStyle name="1_단가조사표" xfId="1199" xr:uid="{00000000-0005-0000-0000-0000B6150000}"/>
    <cellStyle name="1_단가조사표 2" xfId="7442" xr:uid="{00000000-0005-0000-0000-0000B7150000}"/>
    <cellStyle name="1_단가조사표 2 2" xfId="7443" xr:uid="{00000000-0005-0000-0000-0000B8150000}"/>
    <cellStyle name="1_단가조사표 3" xfId="7444" xr:uid="{00000000-0005-0000-0000-0000B9150000}"/>
    <cellStyle name="1_단가조사표_1011소각" xfId="1200" xr:uid="{00000000-0005-0000-0000-0000BA150000}"/>
    <cellStyle name="1_단가조사표_1011소각 2" xfId="7445" xr:uid="{00000000-0005-0000-0000-0000BB150000}"/>
    <cellStyle name="1_단가조사표_1011소각 2 2" xfId="7446" xr:uid="{00000000-0005-0000-0000-0000BC150000}"/>
    <cellStyle name="1_단가조사표_1011소각 3" xfId="7447" xr:uid="{00000000-0005-0000-0000-0000BD150000}"/>
    <cellStyle name="1_단가조사표_1113교~1" xfId="1201" xr:uid="{00000000-0005-0000-0000-0000BE150000}"/>
    <cellStyle name="1_단가조사표_1113교~1 2" xfId="7448" xr:uid="{00000000-0005-0000-0000-0000BF150000}"/>
    <cellStyle name="1_단가조사표_1113교~1 2 2" xfId="7449" xr:uid="{00000000-0005-0000-0000-0000C0150000}"/>
    <cellStyle name="1_단가조사표_1113교~1 3" xfId="7450" xr:uid="{00000000-0005-0000-0000-0000C1150000}"/>
    <cellStyle name="1_단가조사표_121내역" xfId="1202" xr:uid="{00000000-0005-0000-0000-0000C2150000}"/>
    <cellStyle name="1_단가조사표_121내역 2" xfId="7451" xr:uid="{00000000-0005-0000-0000-0000C3150000}"/>
    <cellStyle name="1_단가조사표_121내역 2 2" xfId="7452" xr:uid="{00000000-0005-0000-0000-0000C4150000}"/>
    <cellStyle name="1_단가조사표_121내역 3" xfId="7453" xr:uid="{00000000-0005-0000-0000-0000C5150000}"/>
    <cellStyle name="1_단가조사표_객토량" xfId="1203" xr:uid="{00000000-0005-0000-0000-0000C6150000}"/>
    <cellStyle name="1_단가조사표_객토량 2" xfId="7454" xr:uid="{00000000-0005-0000-0000-0000C7150000}"/>
    <cellStyle name="1_단가조사표_객토량 2 2" xfId="7455" xr:uid="{00000000-0005-0000-0000-0000C8150000}"/>
    <cellStyle name="1_단가조사표_객토량 3" xfId="7456" xr:uid="{00000000-0005-0000-0000-0000C9150000}"/>
    <cellStyle name="1_단가조사표_교통센~1" xfId="1204" xr:uid="{00000000-0005-0000-0000-0000CA150000}"/>
    <cellStyle name="1_단가조사표_교통센~1 2" xfId="7457" xr:uid="{00000000-0005-0000-0000-0000CB150000}"/>
    <cellStyle name="1_단가조사표_교통센~1 2 2" xfId="7458" xr:uid="{00000000-0005-0000-0000-0000CC150000}"/>
    <cellStyle name="1_단가조사표_교통센~1 3" xfId="7459" xr:uid="{00000000-0005-0000-0000-0000CD150000}"/>
    <cellStyle name="1_단가조사표_교통센터412" xfId="1205" xr:uid="{00000000-0005-0000-0000-0000CE150000}"/>
    <cellStyle name="1_단가조사표_교통센터412 2" xfId="7460" xr:uid="{00000000-0005-0000-0000-0000CF150000}"/>
    <cellStyle name="1_단가조사표_교통센터412 2 2" xfId="7461" xr:uid="{00000000-0005-0000-0000-0000D0150000}"/>
    <cellStyle name="1_단가조사표_교통센터412 3" xfId="7462" xr:uid="{00000000-0005-0000-0000-0000D1150000}"/>
    <cellStyle name="1_단가조사표_교통수" xfId="1206" xr:uid="{00000000-0005-0000-0000-0000D2150000}"/>
    <cellStyle name="1_단가조사표_교통수 2" xfId="7463" xr:uid="{00000000-0005-0000-0000-0000D3150000}"/>
    <cellStyle name="1_단가조사표_교통수 2 2" xfId="7464" xr:uid="{00000000-0005-0000-0000-0000D4150000}"/>
    <cellStyle name="1_단가조사표_교통수 3" xfId="7465" xr:uid="{00000000-0005-0000-0000-0000D5150000}"/>
    <cellStyle name="1_단가조사표_교통수량산출서" xfId="1207" xr:uid="{00000000-0005-0000-0000-0000D6150000}"/>
    <cellStyle name="1_단가조사표_교통수량산출서 2" xfId="7466" xr:uid="{00000000-0005-0000-0000-0000D7150000}"/>
    <cellStyle name="1_단가조사표_교통수량산출서 2 2" xfId="7467" xr:uid="{00000000-0005-0000-0000-0000D8150000}"/>
    <cellStyle name="1_단가조사표_교통수량산출서 3" xfId="7468" xr:uid="{00000000-0005-0000-0000-0000D9150000}"/>
    <cellStyle name="1_단가조사표_구조물대가 (2)" xfId="1208" xr:uid="{00000000-0005-0000-0000-0000DA150000}"/>
    <cellStyle name="1_단가조사표_구조물대가 (2) 2" xfId="7469" xr:uid="{00000000-0005-0000-0000-0000DB150000}"/>
    <cellStyle name="1_단가조사표_구조물대가 (2) 2 2" xfId="7470" xr:uid="{00000000-0005-0000-0000-0000DC150000}"/>
    <cellStyle name="1_단가조사표_구조물대가 (2) 3" xfId="7471" xr:uid="{00000000-0005-0000-0000-0000DD150000}"/>
    <cellStyle name="1_단가조사표_내역서 (2)" xfId="1209" xr:uid="{00000000-0005-0000-0000-0000DE150000}"/>
    <cellStyle name="1_단가조사표_내역서 (2) 2" xfId="7472" xr:uid="{00000000-0005-0000-0000-0000DF150000}"/>
    <cellStyle name="1_단가조사표_내역서 (2) 2 2" xfId="7473" xr:uid="{00000000-0005-0000-0000-0000E0150000}"/>
    <cellStyle name="1_단가조사표_내역서 (2) 3" xfId="7474" xr:uid="{00000000-0005-0000-0000-0000E1150000}"/>
    <cellStyle name="1_단가조사표_대전관저지구" xfId="1210" xr:uid="{00000000-0005-0000-0000-0000E2150000}"/>
    <cellStyle name="1_단가조사표_대전관저지구 2" xfId="7475" xr:uid="{00000000-0005-0000-0000-0000E3150000}"/>
    <cellStyle name="1_단가조사표_대전관저지구 2 2" xfId="7476" xr:uid="{00000000-0005-0000-0000-0000E4150000}"/>
    <cellStyle name="1_단가조사표_대전관저지구 3" xfId="7477" xr:uid="{00000000-0005-0000-0000-0000E5150000}"/>
    <cellStyle name="1_단가조사표_동측지~1" xfId="1211" xr:uid="{00000000-0005-0000-0000-0000E6150000}"/>
    <cellStyle name="1_단가조사표_동측지~1 2" xfId="7478" xr:uid="{00000000-0005-0000-0000-0000E7150000}"/>
    <cellStyle name="1_단가조사표_동측지~1 2 2" xfId="7479" xr:uid="{00000000-0005-0000-0000-0000E8150000}"/>
    <cellStyle name="1_단가조사표_동측지~1 3" xfId="7480" xr:uid="{00000000-0005-0000-0000-0000E9150000}"/>
    <cellStyle name="1_단가조사표_동측지원422" xfId="1212" xr:uid="{00000000-0005-0000-0000-0000EA150000}"/>
    <cellStyle name="1_단가조사표_동측지원422 2" xfId="7481" xr:uid="{00000000-0005-0000-0000-0000EB150000}"/>
    <cellStyle name="1_단가조사표_동측지원422 2 2" xfId="7482" xr:uid="{00000000-0005-0000-0000-0000EC150000}"/>
    <cellStyle name="1_단가조사표_동측지원422 3" xfId="7483" xr:uid="{00000000-0005-0000-0000-0000ED150000}"/>
    <cellStyle name="1_단가조사표_동측지원512" xfId="1213" xr:uid="{00000000-0005-0000-0000-0000EE150000}"/>
    <cellStyle name="1_단가조사표_동측지원512 2" xfId="7484" xr:uid="{00000000-0005-0000-0000-0000EF150000}"/>
    <cellStyle name="1_단가조사표_동측지원512 2 2" xfId="7485" xr:uid="{00000000-0005-0000-0000-0000F0150000}"/>
    <cellStyle name="1_단가조사표_동측지원512 3" xfId="7486" xr:uid="{00000000-0005-0000-0000-0000F1150000}"/>
    <cellStyle name="1_단가조사표_동측지원524" xfId="1214" xr:uid="{00000000-0005-0000-0000-0000F2150000}"/>
    <cellStyle name="1_단가조사표_동측지원524 2" xfId="7487" xr:uid="{00000000-0005-0000-0000-0000F3150000}"/>
    <cellStyle name="1_단가조사표_동측지원524 2 2" xfId="7488" xr:uid="{00000000-0005-0000-0000-0000F4150000}"/>
    <cellStyle name="1_단가조사표_동측지원524 3" xfId="7489" xr:uid="{00000000-0005-0000-0000-0000F5150000}"/>
    <cellStyle name="1_단가조사표_동측지원709" xfId="1932" xr:uid="{00000000-0005-0000-0000-0000F6150000}"/>
    <cellStyle name="1_단가조사표_부대422" xfId="1215" xr:uid="{00000000-0005-0000-0000-0000F7150000}"/>
    <cellStyle name="1_단가조사표_부대422 2" xfId="7490" xr:uid="{00000000-0005-0000-0000-0000F8150000}"/>
    <cellStyle name="1_단가조사표_부대422 2 2" xfId="7491" xr:uid="{00000000-0005-0000-0000-0000F9150000}"/>
    <cellStyle name="1_단가조사표_부대422 3" xfId="7492" xr:uid="{00000000-0005-0000-0000-0000FA150000}"/>
    <cellStyle name="1_단가조사표_부대시설" xfId="1216" xr:uid="{00000000-0005-0000-0000-0000FB150000}"/>
    <cellStyle name="1_단가조사표_부대시설 2" xfId="7493" xr:uid="{00000000-0005-0000-0000-0000FC150000}"/>
    <cellStyle name="1_단가조사표_부대시설 2 2" xfId="7494" xr:uid="{00000000-0005-0000-0000-0000FD150000}"/>
    <cellStyle name="1_단가조사표_부대시설 3" xfId="7495" xr:uid="{00000000-0005-0000-0000-0000FE150000}"/>
    <cellStyle name="1_단가조사표_소각수~1" xfId="1217" xr:uid="{00000000-0005-0000-0000-0000FF150000}"/>
    <cellStyle name="1_단가조사표_소각수~1 2" xfId="7496" xr:uid="{00000000-0005-0000-0000-000000160000}"/>
    <cellStyle name="1_단가조사표_소각수~1 2 2" xfId="7497" xr:uid="{00000000-0005-0000-0000-000001160000}"/>
    <cellStyle name="1_단가조사표_소각수~1 3" xfId="7498" xr:uid="{00000000-0005-0000-0000-000002160000}"/>
    <cellStyle name="1_단가조사표_소각수내역서" xfId="1218" xr:uid="{00000000-0005-0000-0000-000003160000}"/>
    <cellStyle name="1_단가조사표_소각수내역서 2" xfId="7499" xr:uid="{00000000-0005-0000-0000-000004160000}"/>
    <cellStyle name="1_단가조사표_소각수내역서 2 2" xfId="7500" xr:uid="{00000000-0005-0000-0000-000005160000}"/>
    <cellStyle name="1_단가조사표_소각수내역서 3" xfId="7501" xr:uid="{00000000-0005-0000-0000-000006160000}"/>
    <cellStyle name="1_단가조사표_소각수목2" xfId="1219" xr:uid="{00000000-0005-0000-0000-000007160000}"/>
    <cellStyle name="1_단가조사표_소각수목2 2" xfId="7502" xr:uid="{00000000-0005-0000-0000-000008160000}"/>
    <cellStyle name="1_단가조사표_소각수목2 2 2" xfId="7503" xr:uid="{00000000-0005-0000-0000-000009160000}"/>
    <cellStyle name="1_단가조사표_소각수목2 3" xfId="7504" xr:uid="{00000000-0005-0000-0000-00000A160000}"/>
    <cellStyle name="1_단가조사표_수량산출서 (2)" xfId="1220" xr:uid="{00000000-0005-0000-0000-00000B160000}"/>
    <cellStyle name="1_단가조사표_수량산출서 (2) 2" xfId="7505" xr:uid="{00000000-0005-0000-0000-00000C160000}"/>
    <cellStyle name="1_단가조사표_수량산출서 (2) 2 2" xfId="7506" xr:uid="{00000000-0005-0000-0000-00000D160000}"/>
    <cellStyle name="1_단가조사표_수량산출서 (2) 3" xfId="7507" xr:uid="{00000000-0005-0000-0000-00000E160000}"/>
    <cellStyle name="1_단가조사표_엑스포~1" xfId="1221" xr:uid="{00000000-0005-0000-0000-00000F160000}"/>
    <cellStyle name="1_단가조사표_엑스포~1 2" xfId="7508" xr:uid="{00000000-0005-0000-0000-000010160000}"/>
    <cellStyle name="1_단가조사표_엑스포~1 2 2" xfId="7509" xr:uid="{00000000-0005-0000-0000-000011160000}"/>
    <cellStyle name="1_단가조사표_엑스포~1 3" xfId="7510" xr:uid="{00000000-0005-0000-0000-000012160000}"/>
    <cellStyle name="1_단가조사표_엑스포한빛1" xfId="1222" xr:uid="{00000000-0005-0000-0000-000013160000}"/>
    <cellStyle name="1_단가조사표_엑스포한빛1 2" xfId="7511" xr:uid="{00000000-0005-0000-0000-000014160000}"/>
    <cellStyle name="1_단가조사표_엑스포한빛1 2 2" xfId="7512" xr:uid="{00000000-0005-0000-0000-000015160000}"/>
    <cellStyle name="1_단가조사표_엑스포한빛1 3" xfId="7513" xr:uid="{00000000-0005-0000-0000-000016160000}"/>
    <cellStyle name="1_단가조사표_여객,교통센타710" xfId="1933" xr:uid="{00000000-0005-0000-0000-000017160000}"/>
    <cellStyle name="1_단가조사표_여객터미널331" xfId="1223" xr:uid="{00000000-0005-0000-0000-000018160000}"/>
    <cellStyle name="1_단가조사표_여객터미널331 2" xfId="7514" xr:uid="{00000000-0005-0000-0000-000019160000}"/>
    <cellStyle name="1_단가조사표_여객터미널331 2 2" xfId="7515" xr:uid="{00000000-0005-0000-0000-00001A160000}"/>
    <cellStyle name="1_단가조사표_여객터미널331 3" xfId="7516" xr:uid="{00000000-0005-0000-0000-00001B160000}"/>
    <cellStyle name="1_단가조사표_여객터미널513" xfId="1224" xr:uid="{00000000-0005-0000-0000-00001C160000}"/>
    <cellStyle name="1_단가조사표_여객터미널513 2" xfId="7517" xr:uid="{00000000-0005-0000-0000-00001D160000}"/>
    <cellStyle name="1_단가조사표_여객터미널513 2 2" xfId="7518" xr:uid="{00000000-0005-0000-0000-00001E160000}"/>
    <cellStyle name="1_단가조사표_여객터미널513 3" xfId="7519" xr:uid="{00000000-0005-0000-0000-00001F160000}"/>
    <cellStyle name="1_단가조사표_여객터미널629" xfId="1225" xr:uid="{00000000-0005-0000-0000-000020160000}"/>
    <cellStyle name="1_단가조사표_여객터미널629 2" xfId="7520" xr:uid="{00000000-0005-0000-0000-000021160000}"/>
    <cellStyle name="1_단가조사표_여객터미널629 2 2" xfId="7521" xr:uid="{00000000-0005-0000-0000-000022160000}"/>
    <cellStyle name="1_단가조사표_여객터미널629 3" xfId="7522" xr:uid="{00000000-0005-0000-0000-000023160000}"/>
    <cellStyle name="1_단가조사표_외곽도로616" xfId="1226" xr:uid="{00000000-0005-0000-0000-000024160000}"/>
    <cellStyle name="1_단가조사표_외곽도로616 2" xfId="7523" xr:uid="{00000000-0005-0000-0000-000025160000}"/>
    <cellStyle name="1_단가조사표_외곽도로616 2 2" xfId="7524" xr:uid="{00000000-0005-0000-0000-000026160000}"/>
    <cellStyle name="1_단가조사표_외곽도로616 3" xfId="7525" xr:uid="{00000000-0005-0000-0000-000027160000}"/>
    <cellStyle name="1_단가조사표_용인죽전수량" xfId="7526" xr:uid="{00000000-0005-0000-0000-000028160000}"/>
    <cellStyle name="1_단가조사표_용인죽전수량 2" xfId="7527" xr:uid="{00000000-0005-0000-0000-000029160000}"/>
    <cellStyle name="1_단가조사표_용인죽전수량 2 2" xfId="7528" xr:uid="{00000000-0005-0000-0000-00002A160000}"/>
    <cellStyle name="1_단가조사표_용인죽전수량 3" xfId="7529" xr:uid="{00000000-0005-0000-0000-00002B160000}"/>
    <cellStyle name="1_단가조사표_원가계~1" xfId="1227" xr:uid="{00000000-0005-0000-0000-00002C160000}"/>
    <cellStyle name="1_단가조사표_원가계~1 2" xfId="7530" xr:uid="{00000000-0005-0000-0000-00002D160000}"/>
    <cellStyle name="1_단가조사표_원가계~1 2 2" xfId="7531" xr:uid="{00000000-0005-0000-0000-00002E160000}"/>
    <cellStyle name="1_단가조사표_원가계~1 3" xfId="7532" xr:uid="{00000000-0005-0000-0000-00002F160000}"/>
    <cellStyle name="1_단가조사표_유기질" xfId="1228" xr:uid="{00000000-0005-0000-0000-000030160000}"/>
    <cellStyle name="1_단가조사표_유기질 2" xfId="7533" xr:uid="{00000000-0005-0000-0000-000031160000}"/>
    <cellStyle name="1_단가조사표_유기질 2 2" xfId="7534" xr:uid="{00000000-0005-0000-0000-000032160000}"/>
    <cellStyle name="1_단가조사표_유기질 3" xfId="7535" xr:uid="{00000000-0005-0000-0000-000033160000}"/>
    <cellStyle name="1_단가조사표_자재조서 (2)" xfId="1229" xr:uid="{00000000-0005-0000-0000-000034160000}"/>
    <cellStyle name="1_단가조사표_자재조서 (2) 2" xfId="7536" xr:uid="{00000000-0005-0000-0000-000035160000}"/>
    <cellStyle name="1_단가조사표_자재조서 (2) 2 2" xfId="7537" xr:uid="{00000000-0005-0000-0000-000036160000}"/>
    <cellStyle name="1_단가조사표_자재조서 (2) 3" xfId="7538" xr:uid="{00000000-0005-0000-0000-000037160000}"/>
    <cellStyle name="1_단가조사표_총괄내역" xfId="1230" xr:uid="{00000000-0005-0000-0000-000038160000}"/>
    <cellStyle name="1_단가조사표_총괄내역 (2)" xfId="1231" xr:uid="{00000000-0005-0000-0000-000039160000}"/>
    <cellStyle name="1_단가조사표_총괄내역 (2) 2" xfId="7539" xr:uid="{00000000-0005-0000-0000-00003A160000}"/>
    <cellStyle name="1_단가조사표_총괄내역 (2) 2 2" xfId="7540" xr:uid="{00000000-0005-0000-0000-00003B160000}"/>
    <cellStyle name="1_단가조사표_총괄내역 (2) 3" xfId="7541" xr:uid="{00000000-0005-0000-0000-00003C160000}"/>
    <cellStyle name="1_단가조사표_총괄내역 2" xfId="7542" xr:uid="{00000000-0005-0000-0000-00003D160000}"/>
    <cellStyle name="1_단가조사표_총괄내역 2 2" xfId="7543" xr:uid="{00000000-0005-0000-0000-00003E160000}"/>
    <cellStyle name="1_단가조사표_총괄내역 3" xfId="7544" xr:uid="{00000000-0005-0000-0000-00003F160000}"/>
    <cellStyle name="1_단가조사표_총괄내역 4" xfId="7545" xr:uid="{00000000-0005-0000-0000-000040160000}"/>
    <cellStyle name="1_단가조사표_총괄내역 5" xfId="7546" xr:uid="{00000000-0005-0000-0000-000041160000}"/>
    <cellStyle name="1_단가조사표_총괄내역 6" xfId="7547" xr:uid="{00000000-0005-0000-0000-000042160000}"/>
    <cellStyle name="1_단가조사표_총괄내역 7" xfId="7548" xr:uid="{00000000-0005-0000-0000-000043160000}"/>
    <cellStyle name="1_단가조사표_총괄내역 8" xfId="7549" xr:uid="{00000000-0005-0000-0000-000044160000}"/>
    <cellStyle name="1_단가조사표_총괄내역 9" xfId="7550" xr:uid="{00000000-0005-0000-0000-000045160000}"/>
    <cellStyle name="1_단가조사표_터미널도로403" xfId="1232" xr:uid="{00000000-0005-0000-0000-000046160000}"/>
    <cellStyle name="1_단가조사표_터미널도로403 2" xfId="7551" xr:uid="{00000000-0005-0000-0000-000047160000}"/>
    <cellStyle name="1_단가조사표_터미널도로403 2 2" xfId="7552" xr:uid="{00000000-0005-0000-0000-000048160000}"/>
    <cellStyle name="1_단가조사표_터미널도로403 3" xfId="7553" xr:uid="{00000000-0005-0000-0000-000049160000}"/>
    <cellStyle name="1_단가조사표_터미널도로429" xfId="1233" xr:uid="{00000000-0005-0000-0000-00004A160000}"/>
    <cellStyle name="1_단가조사표_터미널도로429 2" xfId="7554" xr:uid="{00000000-0005-0000-0000-00004B160000}"/>
    <cellStyle name="1_단가조사표_터미널도로429 2 2" xfId="7555" xr:uid="{00000000-0005-0000-0000-00004C160000}"/>
    <cellStyle name="1_단가조사표_터미널도로429 3" xfId="7556" xr:uid="{00000000-0005-0000-0000-00004D160000}"/>
    <cellStyle name="1_단가조사표_포장일위" xfId="1234" xr:uid="{00000000-0005-0000-0000-00004E160000}"/>
    <cellStyle name="1_단가조사표_포장일위 2" xfId="7557" xr:uid="{00000000-0005-0000-0000-00004F160000}"/>
    <cellStyle name="1_단가조사표_포장일위 2 2" xfId="7558" xr:uid="{00000000-0005-0000-0000-000050160000}"/>
    <cellStyle name="1_단가조사표_포장일위 3" xfId="7559" xr:uid="{00000000-0005-0000-0000-000051160000}"/>
    <cellStyle name="1_대전가오-수량산출서" xfId="1934" xr:uid="{00000000-0005-0000-0000-000052160000}"/>
    <cellStyle name="1_먼저열기-교통신호기내역" xfId="7560" xr:uid="{00000000-0005-0000-0000-000053160000}"/>
    <cellStyle name="1_먼저열기-교통신호기내역 2" xfId="7561" xr:uid="{00000000-0005-0000-0000-000054160000}"/>
    <cellStyle name="1_먼저열기-교통신호기내역 2 2" xfId="7562" xr:uid="{00000000-0005-0000-0000-000055160000}"/>
    <cellStyle name="1_먼저열기-교통신호기내역 2 3" xfId="7563" xr:uid="{00000000-0005-0000-0000-000056160000}"/>
    <cellStyle name="1_먼저열기-교통신호기내역 3" xfId="7564" xr:uid="{00000000-0005-0000-0000-000057160000}"/>
    <cellStyle name="1_목동내역" xfId="3101" xr:uid="{00000000-0005-0000-0000-000058160000}"/>
    <cellStyle name="1_변경계약내역서(칼산 근린공원)-당초,변경" xfId="9" xr:uid="{00000000-0005-0000-0000-000059160000}"/>
    <cellStyle name="1_변경내역서(봉천로)" xfId="1235" xr:uid="{00000000-0005-0000-0000-00005A160000}"/>
    <cellStyle name="1_변경내역서(중대로-최종)" xfId="1236" xr:uid="{00000000-0005-0000-0000-00005B160000}"/>
    <cellStyle name="1_봉화산 공사비산출내역429" xfId="1935" xr:uid="{00000000-0005-0000-0000-00005C160000}"/>
    <cellStyle name="1_북악산" xfId="3102" xr:uid="{00000000-0005-0000-0000-00005D160000}"/>
    <cellStyle name="1_서부도로교통사업소 예산서(마포구신호등)" xfId="7565" xr:uid="{00000000-0005-0000-0000-00005E160000}"/>
    <cellStyle name="1_서부도로교통사업소 예산서(마포구신호등) 2" xfId="7566" xr:uid="{00000000-0005-0000-0000-00005F160000}"/>
    <cellStyle name="1_서부도로교통사업소 예산서(마포구신호등) 2 2" xfId="7567" xr:uid="{00000000-0005-0000-0000-000060160000}"/>
    <cellStyle name="1_서부도로교통사업소 예산서(마포구신호등) 2 3" xfId="7568" xr:uid="{00000000-0005-0000-0000-000061160000}"/>
    <cellStyle name="1_서부도로교통사업소 예산서(마포구신호등) 3" xfId="7569" xr:uid="{00000000-0005-0000-0000-000062160000}"/>
    <cellStyle name="1_설계변경 내역서(총괄&amp;토목)" xfId="10" xr:uid="{00000000-0005-0000-0000-000063160000}"/>
    <cellStyle name="1_설계변경(최종)도봉산" xfId="1936" xr:uid="{00000000-0005-0000-0000-000064160000}"/>
    <cellStyle name="1_설계변경내역(먹골역)" xfId="1237" xr:uid="{00000000-0005-0000-0000-000065160000}"/>
    <cellStyle name="1_설계변경내역서(신천동길)최종" xfId="1238" xr:uid="{00000000-0005-0000-0000-000066160000}"/>
    <cellStyle name="1_설계변경내역서(양식)" xfId="1239" xr:uid="{00000000-0005-0000-0000-000067160000}"/>
    <cellStyle name="1_수량" xfId="3103" xr:uid="{00000000-0005-0000-0000-000068160000}"/>
    <cellStyle name="1_수원1차" xfId="3104" xr:uid="{00000000-0005-0000-0000-000069160000}"/>
    <cellStyle name="1_수원변경수량산출" xfId="3105" xr:uid="{00000000-0005-0000-0000-00006A160000}"/>
    <cellStyle name="1_수원수량집계(7.13)" xfId="3106" xr:uid="{00000000-0005-0000-0000-00006B160000}"/>
    <cellStyle name="1_수원수량집계(7.31)" xfId="3107" xr:uid="{00000000-0005-0000-0000-00006C160000}"/>
    <cellStyle name="1_수정목록및내역서(0731)" xfId="3108" xr:uid="{00000000-0005-0000-0000-00006D160000}"/>
    <cellStyle name="1_시민계략공사" xfId="1240" xr:uid="{00000000-0005-0000-0000-00006E160000}"/>
    <cellStyle name="1_시민계략공사 2" xfId="3109" xr:uid="{00000000-0005-0000-0000-00006F160000}"/>
    <cellStyle name="1_시민계략공사_2002년도각종계산서너릿제터널등7개소" xfId="1241" xr:uid="{00000000-0005-0000-0000-000070160000}"/>
    <cellStyle name="1_시민계략공사_2002년도각종계산서하반기원본" xfId="1242" xr:uid="{00000000-0005-0000-0000-000071160000}"/>
    <cellStyle name="1_시민계략공사_2003년 각종계산서(읽기전용)" xfId="1243" xr:uid="{00000000-0005-0000-0000-000072160000}"/>
    <cellStyle name="1_시민계략공사_2003년 각종계산서(읽기전용)_내역서(전기)" xfId="1244" xr:uid="{00000000-0005-0000-0000-000073160000}"/>
    <cellStyle name="1_시민계략공사_Book2" xfId="1262" xr:uid="{00000000-0005-0000-0000-000074160000}"/>
    <cellStyle name="1_시민계략공사_계산서" xfId="1245" xr:uid="{00000000-0005-0000-0000-000075160000}"/>
    <cellStyle name="1_시민계략공사_계산서및내역서5월15일변경" xfId="1246" xr:uid="{00000000-0005-0000-0000-000076160000}"/>
    <cellStyle name="1_시민계략공사_계산서및내역서5월9일변경" xfId="1247" xr:uid="{00000000-0005-0000-0000-000077160000}"/>
    <cellStyle name="1_시민계략공사_광양중동중학교실증축공사(전기)-4월10일한번더" xfId="1248" xr:uid="{00000000-0005-0000-0000-000078160000}"/>
    <cellStyle name="1_시민계략공사_무안연꽃방죽(4월9일)한번더" xfId="1249" xr:uid="{00000000-0005-0000-0000-000079160000}"/>
    <cellStyle name="1_시민계략공사_보일약국~순국비간 도로개설 가로등설치공사" xfId="1250" xr:uid="{00000000-0005-0000-0000-00007A160000}"/>
    <cellStyle name="1_시민계략공사_복지관 부하계산서" xfId="1251" xr:uid="{00000000-0005-0000-0000-00007B160000}"/>
    <cellStyle name="1_시민계략공사_복지관 부하계산서_내역서(전기)" xfId="1252" xr:uid="{00000000-0005-0000-0000-00007C160000}"/>
    <cellStyle name="1_시민계략공사_봉산면보건지소신축공사(전기)11월30일변경" xfId="1253" xr:uid="{00000000-0005-0000-0000-00007D160000}"/>
    <cellStyle name="1_시민계략공사_북문로(팔마로)가로등설치공사(변경)3월11일" xfId="1254" xr:uid="{00000000-0005-0000-0000-00007E160000}"/>
    <cellStyle name="1_시민계략공사_북문팔마로확포장공사가로등" xfId="1255" xr:uid="{00000000-0005-0000-0000-00007F160000}"/>
    <cellStyle name="1_시민계략공사_비상부하,발전기용량 계산서" xfId="1256" xr:uid="{00000000-0005-0000-0000-000080160000}"/>
    <cellStyle name="1_시민계략공사_비상부하,발전기용량 계산서_내역서(전기)" xfId="1257" xr:uid="{00000000-0005-0000-0000-000081160000}"/>
    <cellStyle name="1_시민계략공사_율촌중학교심야전기" xfId="1258" xr:uid="{00000000-0005-0000-0000-000082160000}"/>
    <cellStyle name="1_시민계략공사_전기-한남" xfId="1259" xr:uid="{00000000-0005-0000-0000-000083160000}"/>
    <cellStyle name="1_시민계략공사_조도계산서" xfId="1260" xr:uid="{00000000-0005-0000-0000-000084160000}"/>
    <cellStyle name="1_시민계략공사_조도계산서_내역서(전기)" xfId="1261" xr:uid="{00000000-0005-0000-0000-000085160000}"/>
    <cellStyle name="1_시설물정비연가단가" xfId="1937" xr:uid="{00000000-0005-0000-0000-000086160000}"/>
    <cellStyle name="1_신규산출근거(백제고분로)" xfId="1263" xr:uid="{00000000-0005-0000-0000-000087160000}"/>
    <cellStyle name="1_신천동길내역서" xfId="1264" xr:uid="{00000000-0005-0000-0000-000088160000}"/>
    <cellStyle name="1_신호일위내역서2008-07(300기초규격수정,복구추가)" xfId="7570" xr:uid="{00000000-0005-0000-0000-000089160000}"/>
    <cellStyle name="1_신호일위내역서2008-07(300기초규격수정,복구추가) 2" xfId="7571" xr:uid="{00000000-0005-0000-0000-00008A160000}"/>
    <cellStyle name="1_신호일위내역서2008-07(300기초규격수정,복구추가) 2 2" xfId="7572" xr:uid="{00000000-0005-0000-0000-00008B160000}"/>
    <cellStyle name="1_신호일위내역서2008-07(300기초규격수정,복구추가) 3" xfId="7573" xr:uid="{00000000-0005-0000-0000-00008C160000}"/>
    <cellStyle name="1_실정보고내역서및사진" xfId="1265" xr:uid="{00000000-0005-0000-0000-00008D160000}"/>
    <cellStyle name="1_쌍용수량0905" xfId="3110" xr:uid="{00000000-0005-0000-0000-00008E160000}"/>
    <cellStyle name="1_쌍용수량집계" xfId="3111" xr:uid="{00000000-0005-0000-0000-00008F160000}"/>
    <cellStyle name="1_영등포잔여구간변경내역" xfId="1266" xr:uid="{00000000-0005-0000-0000-000090160000}"/>
    <cellStyle name="1_용평수량집계" xfId="3112" xr:uid="{00000000-0005-0000-0000-000091160000}"/>
    <cellStyle name="1_원가계산서" xfId="3113" xr:uid="{00000000-0005-0000-0000-000092160000}"/>
    <cellStyle name="1_원가계산서 2" xfId="7574" xr:uid="{00000000-0005-0000-0000-000093160000}"/>
    <cellStyle name="1_원가계산서 2 2" xfId="7575" xr:uid="{00000000-0005-0000-0000-000094160000}"/>
    <cellStyle name="1_원가계산서_과천놀이터설계서" xfId="3114" xr:uid="{00000000-0005-0000-0000-000095160000}"/>
    <cellStyle name="1_원가계산서_과천놀이터설계서 2" xfId="7576" xr:uid="{00000000-0005-0000-0000-000096160000}"/>
    <cellStyle name="1_원가계산서_과천놀이터설계서 2 2" xfId="7577" xr:uid="{00000000-0005-0000-0000-000097160000}"/>
    <cellStyle name="1_원가계산서_덕원고-설계서갑지" xfId="7578" xr:uid="{00000000-0005-0000-0000-000098160000}"/>
    <cellStyle name="1_원가계산서_덕원고-설계서갑지 2" xfId="7579" xr:uid="{00000000-0005-0000-0000-000099160000}"/>
    <cellStyle name="1_원가계산서_덕원고-설계서갑지 2 2" xfId="7580" xr:uid="{00000000-0005-0000-0000-00009A160000}"/>
    <cellStyle name="1_원가계산서_총괄갑지" xfId="3115" xr:uid="{00000000-0005-0000-0000-00009B160000}"/>
    <cellStyle name="1_원가계산서_총괄갑지 2" xfId="7581" xr:uid="{00000000-0005-0000-0000-00009C160000}"/>
    <cellStyle name="1_원가계산서_총괄갑지 2 2" xfId="7582" xr:uid="{00000000-0005-0000-0000-00009D160000}"/>
    <cellStyle name="1_원가계산서_총괄내역서" xfId="3116" xr:uid="{00000000-0005-0000-0000-00009E160000}"/>
    <cellStyle name="1_원가계산서_총괄내역서 2" xfId="7583" xr:uid="{00000000-0005-0000-0000-00009F160000}"/>
    <cellStyle name="1_원가계산서_총괄내역서 2 2" xfId="7584" xr:uid="{00000000-0005-0000-0000-0000A0160000}"/>
    <cellStyle name="1_은파수량집계" xfId="3117" xr:uid="{00000000-0005-0000-0000-0000A1160000}"/>
    <cellStyle name="1_일위대가(080205) - 상부계단포함" xfId="3118" xr:uid="{00000000-0005-0000-0000-0000A2160000}"/>
    <cellStyle name="1_작업내역서(1차)" xfId="1938" xr:uid="{00000000-0005-0000-0000-0000A3160000}"/>
    <cellStyle name="1_작업내역서(2차)" xfId="1939" xr:uid="{00000000-0005-0000-0000-0000A4160000}"/>
    <cellStyle name="1_작업내역서(3차)" xfId="1940" xr:uid="{00000000-0005-0000-0000-0000A5160000}"/>
    <cellStyle name="1_작업내역서(4차)-최종" xfId="1941" xr:uid="{00000000-0005-0000-0000-0000A6160000}"/>
    <cellStyle name="1_주요자재집계표" xfId="3119" xr:uid="{00000000-0005-0000-0000-0000A7160000}"/>
    <cellStyle name="1_증감내역서(U형측구)" xfId="11" xr:uid="{00000000-0005-0000-0000-0000A8160000}"/>
    <cellStyle name="1_철도연변공사비산출내역426" xfId="1942" xr:uid="{00000000-0005-0000-0000-0000A9160000}"/>
    <cellStyle name="1_칼산 총괄내역서(토목)" xfId="12" xr:uid="{00000000-0005-0000-0000-0000AA160000}"/>
    <cellStyle name="1_칼산공사원가계산서" xfId="13" xr:uid="{00000000-0005-0000-0000-0000AB160000}"/>
    <cellStyle name="1_터미널1-0" xfId="3120" xr:uid="{00000000-0005-0000-0000-0000AC160000}"/>
    <cellStyle name="1_터미널1-0_쌍용수량0905" xfId="3121" xr:uid="{00000000-0005-0000-0000-0000AD160000}"/>
    <cellStyle name="1_폐기물" xfId="3122" xr:uid="{00000000-0005-0000-0000-0000AE160000}"/>
    <cellStyle name="1_폐기물집계" xfId="3123" xr:uid="{00000000-0005-0000-0000-0000AF160000}"/>
    <cellStyle name="1_한풍단위수량" xfId="3124" xr:uid="{00000000-0005-0000-0000-0000B0160000}"/>
    <cellStyle name="1_한풍단위수량_골프장수목" xfId="3125" xr:uid="{00000000-0005-0000-0000-0000B1160000}"/>
    <cellStyle name="1_한풍단위수량_수량집계표" xfId="3126" xr:uid="{00000000-0005-0000-0000-0000B2160000}"/>
    <cellStyle name="1_한풍단위수량_수량총괄표" xfId="3127" xr:uid="{00000000-0005-0000-0000-0000B3160000}"/>
    <cellStyle name="1_한풍단위수량_용평수량집계" xfId="3128" xr:uid="{00000000-0005-0000-0000-0000B4160000}"/>
    <cellStyle name="1_현충묘지-수량산출서" xfId="1267" xr:uid="{00000000-0005-0000-0000-0000B5160000}"/>
    <cellStyle name="10" xfId="4898" xr:uid="{00000000-0005-0000-0000-0000B6160000}"/>
    <cellStyle name="10 2" xfId="7585" xr:uid="{00000000-0005-0000-0000-0000B7160000}"/>
    <cellStyle name="10 2 2" xfId="7586" xr:uid="{00000000-0005-0000-0000-0000B8160000}"/>
    <cellStyle name="10 3" xfId="7587" xr:uid="{00000000-0005-0000-0000-0000B9160000}"/>
    <cellStyle name="10 3 2" xfId="7588" xr:uid="{00000000-0005-0000-0000-0000BA160000}"/>
    <cellStyle name="10 4" xfId="7589" xr:uid="{00000000-0005-0000-0000-0000BB160000}"/>
    <cellStyle name="10 4 2" xfId="7590" xr:uid="{00000000-0005-0000-0000-0000BC160000}"/>
    <cellStyle name="10 5" xfId="7591" xr:uid="{00000000-0005-0000-0000-0000BD160000}"/>
    <cellStyle name="10 5 2" xfId="7592" xr:uid="{00000000-0005-0000-0000-0000BE160000}"/>
    <cellStyle name="10 6" xfId="7593" xr:uid="{00000000-0005-0000-0000-0000BF160000}"/>
    <cellStyle name="10 6 2" xfId="7594" xr:uid="{00000000-0005-0000-0000-0000C0160000}"/>
    <cellStyle name="10 7" xfId="7595" xr:uid="{00000000-0005-0000-0000-0000C1160000}"/>
    <cellStyle name="10 7 2" xfId="7596" xr:uid="{00000000-0005-0000-0000-0000C2160000}"/>
    <cellStyle name="10 8" xfId="7597" xr:uid="{00000000-0005-0000-0000-0000C3160000}"/>
    <cellStyle name="10 8 2" xfId="7598" xr:uid="{00000000-0005-0000-0000-0000C4160000}"/>
    <cellStyle name="10 9" xfId="7599" xr:uid="{00000000-0005-0000-0000-0000C5160000}"/>
    <cellStyle name="10 9 2" xfId="7600" xr:uid="{00000000-0005-0000-0000-0000C6160000}"/>
    <cellStyle name="10공/㎥" xfId="2294" xr:uid="{00000000-0005-0000-0000-0000C7160000}"/>
    <cellStyle name="11" xfId="19" xr:uid="{00000000-0005-0000-0000-0000C8160000}"/>
    <cellStyle name="11 2" xfId="1333" xr:uid="{00000000-0005-0000-0000-0000C9160000}"/>
    <cellStyle name="11 2 2" xfId="7601" xr:uid="{00000000-0005-0000-0000-0000CA160000}"/>
    <cellStyle name="111" xfId="1334" xr:uid="{00000000-0005-0000-0000-0000CB160000}"/>
    <cellStyle name="111 2" xfId="7602" xr:uid="{00000000-0005-0000-0000-0000CC160000}"/>
    <cellStyle name="111 2 2" xfId="7603" xr:uid="{00000000-0005-0000-0000-0000CD160000}"/>
    <cellStyle name="120" xfId="7604" xr:uid="{00000000-0005-0000-0000-0000CE160000}"/>
    <cellStyle name="120 2" xfId="7605" xr:uid="{00000000-0005-0000-0000-0000CF160000}"/>
    <cellStyle name="120 2 2" xfId="7606" xr:uid="{00000000-0005-0000-0000-0000D0160000}"/>
    <cellStyle name="123" xfId="4899" xr:uid="{00000000-0005-0000-0000-0000D1160000}"/>
    <cellStyle name="18" xfId="20" xr:uid="{00000000-0005-0000-0000-0000D2160000}"/>
    <cellStyle name="19990216" xfId="7607" xr:uid="{00000000-0005-0000-0000-0000D3160000}"/>
    <cellStyle name="19990216 2" xfId="7608" xr:uid="{00000000-0005-0000-0000-0000D4160000}"/>
    <cellStyle name="19990216 2 2" xfId="7609" xr:uid="{00000000-0005-0000-0000-0000D5160000}"/>
    <cellStyle name="19990216 3" xfId="7610" xr:uid="{00000000-0005-0000-0000-0000D6160000}"/>
    <cellStyle name="¹eºða²" xfId="7611" xr:uid="{00000000-0005-0000-0000-0000D7160000}"/>
    <cellStyle name="¹éºÐÀ²_¿îÀüÀÚ±Ý" xfId="1335" xr:uid="{00000000-0005-0000-0000-0000D8160000}"/>
    <cellStyle name="1월" xfId="7612" xr:uid="{00000000-0005-0000-0000-0000D9160000}"/>
    <cellStyle name="1월 2" xfId="7613" xr:uid="{00000000-0005-0000-0000-0000DA160000}"/>
    <cellStyle name="1월 2 2" xfId="7614" xr:uid="{00000000-0005-0000-0000-0000DB160000}"/>
    <cellStyle name="2" xfId="21" xr:uid="{00000000-0005-0000-0000-0000DC160000}"/>
    <cellStyle name="2 2" xfId="7615" xr:uid="{00000000-0005-0000-0000-0000DD160000}"/>
    <cellStyle name="2 2 2" xfId="7616" xr:uid="{00000000-0005-0000-0000-0000DE160000}"/>
    <cellStyle name="2 3" xfId="7617" xr:uid="{00000000-0005-0000-0000-0000DF160000}"/>
    <cellStyle name="2)" xfId="1336" xr:uid="{00000000-0005-0000-0000-0000E0160000}"/>
    <cellStyle name="2) 2" xfId="7618" xr:uid="{00000000-0005-0000-0000-0000E1160000}"/>
    <cellStyle name="2) 2 2" xfId="7619" xr:uid="{00000000-0005-0000-0000-0000E2160000}"/>
    <cellStyle name="2_laroux" xfId="1373" xr:uid="{00000000-0005-0000-0000-0000E3160000}"/>
    <cellStyle name="2_laroux 2" xfId="7620" xr:uid="{00000000-0005-0000-0000-0000E4160000}"/>
    <cellStyle name="2_laroux 2 2" xfId="7621" xr:uid="{00000000-0005-0000-0000-0000E5160000}"/>
    <cellStyle name="2_laroux 3" xfId="7622" xr:uid="{00000000-0005-0000-0000-0000E6160000}"/>
    <cellStyle name="2_laroux_ATC-YOON1" xfId="1374" xr:uid="{00000000-0005-0000-0000-0000E7160000}"/>
    <cellStyle name="2_laroux_ATC-YOON1 2" xfId="7623" xr:uid="{00000000-0005-0000-0000-0000E8160000}"/>
    <cellStyle name="2_laroux_ATC-YOON1 2 2" xfId="7624" xr:uid="{00000000-0005-0000-0000-0000E9160000}"/>
    <cellStyle name="2_laroux_ATC-YOON1 3" xfId="7625" xr:uid="{00000000-0005-0000-0000-0000EA160000}"/>
    <cellStyle name="2_단가조사표" xfId="1337" xr:uid="{00000000-0005-0000-0000-0000EB160000}"/>
    <cellStyle name="2_단가조사표 2" xfId="7626" xr:uid="{00000000-0005-0000-0000-0000EC160000}"/>
    <cellStyle name="2_단가조사표 2 2" xfId="7627" xr:uid="{00000000-0005-0000-0000-0000ED160000}"/>
    <cellStyle name="2_단가조사표 3" xfId="7628" xr:uid="{00000000-0005-0000-0000-0000EE160000}"/>
    <cellStyle name="2_단가조사표_1011소각" xfId="1338" xr:uid="{00000000-0005-0000-0000-0000EF160000}"/>
    <cellStyle name="2_단가조사표_1011소각 2" xfId="7629" xr:uid="{00000000-0005-0000-0000-0000F0160000}"/>
    <cellStyle name="2_단가조사표_1011소각 2 2" xfId="7630" xr:uid="{00000000-0005-0000-0000-0000F1160000}"/>
    <cellStyle name="2_단가조사표_1011소각 3" xfId="7631" xr:uid="{00000000-0005-0000-0000-0000F2160000}"/>
    <cellStyle name="2_단가조사표_1113교~1" xfId="1339" xr:uid="{00000000-0005-0000-0000-0000F3160000}"/>
    <cellStyle name="2_단가조사표_1113교~1 2" xfId="7632" xr:uid="{00000000-0005-0000-0000-0000F4160000}"/>
    <cellStyle name="2_단가조사표_1113교~1 2 2" xfId="7633" xr:uid="{00000000-0005-0000-0000-0000F5160000}"/>
    <cellStyle name="2_단가조사표_1113교~1 3" xfId="7634" xr:uid="{00000000-0005-0000-0000-0000F6160000}"/>
    <cellStyle name="2_단가조사표_121내역" xfId="1340" xr:uid="{00000000-0005-0000-0000-0000F7160000}"/>
    <cellStyle name="2_단가조사표_121내역 2" xfId="7635" xr:uid="{00000000-0005-0000-0000-0000F8160000}"/>
    <cellStyle name="2_단가조사표_121내역 2 2" xfId="7636" xr:uid="{00000000-0005-0000-0000-0000F9160000}"/>
    <cellStyle name="2_단가조사표_121내역 3" xfId="7637" xr:uid="{00000000-0005-0000-0000-0000FA160000}"/>
    <cellStyle name="2_단가조사표_객토량" xfId="1341" xr:uid="{00000000-0005-0000-0000-0000FB160000}"/>
    <cellStyle name="2_단가조사표_객토량 2" xfId="7638" xr:uid="{00000000-0005-0000-0000-0000FC160000}"/>
    <cellStyle name="2_단가조사표_객토량 2 2" xfId="7639" xr:uid="{00000000-0005-0000-0000-0000FD160000}"/>
    <cellStyle name="2_단가조사표_객토량 3" xfId="7640" xr:uid="{00000000-0005-0000-0000-0000FE160000}"/>
    <cellStyle name="2_단가조사표_교통센~1" xfId="1342" xr:uid="{00000000-0005-0000-0000-0000FF160000}"/>
    <cellStyle name="2_단가조사표_교통센~1 2" xfId="7641" xr:uid="{00000000-0005-0000-0000-000000170000}"/>
    <cellStyle name="2_단가조사표_교통센~1 2 2" xfId="7642" xr:uid="{00000000-0005-0000-0000-000001170000}"/>
    <cellStyle name="2_단가조사표_교통센~1 3" xfId="7643" xr:uid="{00000000-0005-0000-0000-000002170000}"/>
    <cellStyle name="2_단가조사표_교통센터412" xfId="1343" xr:uid="{00000000-0005-0000-0000-000003170000}"/>
    <cellStyle name="2_단가조사표_교통센터412 2" xfId="7644" xr:uid="{00000000-0005-0000-0000-000004170000}"/>
    <cellStyle name="2_단가조사표_교통센터412 2 2" xfId="7645" xr:uid="{00000000-0005-0000-0000-000005170000}"/>
    <cellStyle name="2_단가조사표_교통센터412 3" xfId="7646" xr:uid="{00000000-0005-0000-0000-000006170000}"/>
    <cellStyle name="2_단가조사표_교통수" xfId="1344" xr:uid="{00000000-0005-0000-0000-000007170000}"/>
    <cellStyle name="2_단가조사표_교통수 2" xfId="7647" xr:uid="{00000000-0005-0000-0000-000008170000}"/>
    <cellStyle name="2_단가조사표_교통수 2 2" xfId="7648" xr:uid="{00000000-0005-0000-0000-000009170000}"/>
    <cellStyle name="2_단가조사표_교통수 3" xfId="7649" xr:uid="{00000000-0005-0000-0000-00000A170000}"/>
    <cellStyle name="2_단가조사표_교통수량산출서" xfId="1345" xr:uid="{00000000-0005-0000-0000-00000B170000}"/>
    <cellStyle name="2_단가조사표_교통수량산출서 2" xfId="7650" xr:uid="{00000000-0005-0000-0000-00000C170000}"/>
    <cellStyle name="2_단가조사표_교통수량산출서 2 2" xfId="7651" xr:uid="{00000000-0005-0000-0000-00000D170000}"/>
    <cellStyle name="2_단가조사표_교통수량산출서 3" xfId="7652" xr:uid="{00000000-0005-0000-0000-00000E170000}"/>
    <cellStyle name="2_단가조사표_구조물대가 (2)" xfId="1346" xr:uid="{00000000-0005-0000-0000-00000F170000}"/>
    <cellStyle name="2_단가조사표_구조물대가 (2) 2" xfId="7653" xr:uid="{00000000-0005-0000-0000-000010170000}"/>
    <cellStyle name="2_단가조사표_구조물대가 (2) 2 2" xfId="7654" xr:uid="{00000000-0005-0000-0000-000011170000}"/>
    <cellStyle name="2_단가조사표_구조물대가 (2) 3" xfId="7655" xr:uid="{00000000-0005-0000-0000-000012170000}"/>
    <cellStyle name="2_단가조사표_내역서 (2)" xfId="1347" xr:uid="{00000000-0005-0000-0000-000013170000}"/>
    <cellStyle name="2_단가조사표_내역서 (2) 2" xfId="7656" xr:uid="{00000000-0005-0000-0000-000014170000}"/>
    <cellStyle name="2_단가조사표_내역서 (2) 2 2" xfId="7657" xr:uid="{00000000-0005-0000-0000-000015170000}"/>
    <cellStyle name="2_단가조사표_내역서 (2) 3" xfId="7658" xr:uid="{00000000-0005-0000-0000-000016170000}"/>
    <cellStyle name="2_단가조사표_대전관저지구" xfId="1348" xr:uid="{00000000-0005-0000-0000-000017170000}"/>
    <cellStyle name="2_단가조사표_대전관저지구 2" xfId="7659" xr:uid="{00000000-0005-0000-0000-000018170000}"/>
    <cellStyle name="2_단가조사표_대전관저지구 2 2" xfId="7660" xr:uid="{00000000-0005-0000-0000-000019170000}"/>
    <cellStyle name="2_단가조사표_대전관저지구 3" xfId="7661" xr:uid="{00000000-0005-0000-0000-00001A170000}"/>
    <cellStyle name="2_단가조사표_동측지~1" xfId="1349" xr:uid="{00000000-0005-0000-0000-00001B170000}"/>
    <cellStyle name="2_단가조사표_동측지~1 2" xfId="7662" xr:uid="{00000000-0005-0000-0000-00001C170000}"/>
    <cellStyle name="2_단가조사표_동측지~1 2 2" xfId="7663" xr:uid="{00000000-0005-0000-0000-00001D170000}"/>
    <cellStyle name="2_단가조사표_동측지~1 3" xfId="7664" xr:uid="{00000000-0005-0000-0000-00001E170000}"/>
    <cellStyle name="2_단가조사표_동측지원422" xfId="1350" xr:uid="{00000000-0005-0000-0000-00001F170000}"/>
    <cellStyle name="2_단가조사표_동측지원422 2" xfId="7665" xr:uid="{00000000-0005-0000-0000-000020170000}"/>
    <cellStyle name="2_단가조사표_동측지원422 2 2" xfId="7666" xr:uid="{00000000-0005-0000-0000-000021170000}"/>
    <cellStyle name="2_단가조사표_동측지원422 3" xfId="7667" xr:uid="{00000000-0005-0000-0000-000022170000}"/>
    <cellStyle name="2_단가조사표_동측지원512" xfId="1351" xr:uid="{00000000-0005-0000-0000-000023170000}"/>
    <cellStyle name="2_단가조사표_동측지원512 2" xfId="7668" xr:uid="{00000000-0005-0000-0000-000024170000}"/>
    <cellStyle name="2_단가조사표_동측지원512 2 2" xfId="7669" xr:uid="{00000000-0005-0000-0000-000025170000}"/>
    <cellStyle name="2_단가조사표_동측지원512 3" xfId="7670" xr:uid="{00000000-0005-0000-0000-000026170000}"/>
    <cellStyle name="2_단가조사표_동측지원524" xfId="1352" xr:uid="{00000000-0005-0000-0000-000027170000}"/>
    <cellStyle name="2_단가조사표_동측지원524 2" xfId="7671" xr:uid="{00000000-0005-0000-0000-000028170000}"/>
    <cellStyle name="2_단가조사표_동측지원524 2 2" xfId="7672" xr:uid="{00000000-0005-0000-0000-000029170000}"/>
    <cellStyle name="2_단가조사표_동측지원524 3" xfId="7673" xr:uid="{00000000-0005-0000-0000-00002A170000}"/>
    <cellStyle name="2_단가조사표_동측지원709" xfId="2295" xr:uid="{00000000-0005-0000-0000-00002B170000}"/>
    <cellStyle name="2_단가조사표_부대422" xfId="1353" xr:uid="{00000000-0005-0000-0000-00002C170000}"/>
    <cellStyle name="2_단가조사표_부대422 2" xfId="7674" xr:uid="{00000000-0005-0000-0000-00002D170000}"/>
    <cellStyle name="2_단가조사표_부대422 2 2" xfId="7675" xr:uid="{00000000-0005-0000-0000-00002E170000}"/>
    <cellStyle name="2_단가조사표_부대422 3" xfId="7676" xr:uid="{00000000-0005-0000-0000-00002F170000}"/>
    <cellStyle name="2_단가조사표_부대시설" xfId="1354" xr:uid="{00000000-0005-0000-0000-000030170000}"/>
    <cellStyle name="2_단가조사표_부대시설 2" xfId="7677" xr:uid="{00000000-0005-0000-0000-000031170000}"/>
    <cellStyle name="2_단가조사표_부대시설 2 2" xfId="7678" xr:uid="{00000000-0005-0000-0000-000032170000}"/>
    <cellStyle name="2_단가조사표_부대시설 3" xfId="7679" xr:uid="{00000000-0005-0000-0000-000033170000}"/>
    <cellStyle name="2_단가조사표_소각수~1" xfId="1355" xr:uid="{00000000-0005-0000-0000-000034170000}"/>
    <cellStyle name="2_단가조사표_소각수~1 2" xfId="7680" xr:uid="{00000000-0005-0000-0000-000035170000}"/>
    <cellStyle name="2_단가조사표_소각수~1 2 2" xfId="7681" xr:uid="{00000000-0005-0000-0000-000036170000}"/>
    <cellStyle name="2_단가조사표_소각수~1 3" xfId="7682" xr:uid="{00000000-0005-0000-0000-000037170000}"/>
    <cellStyle name="2_단가조사표_소각수내역서" xfId="1356" xr:uid="{00000000-0005-0000-0000-000038170000}"/>
    <cellStyle name="2_단가조사표_소각수내역서 2" xfId="7683" xr:uid="{00000000-0005-0000-0000-000039170000}"/>
    <cellStyle name="2_단가조사표_소각수내역서 2 2" xfId="7684" xr:uid="{00000000-0005-0000-0000-00003A170000}"/>
    <cellStyle name="2_단가조사표_소각수내역서 3" xfId="7685" xr:uid="{00000000-0005-0000-0000-00003B170000}"/>
    <cellStyle name="2_단가조사표_소각수목2" xfId="1357" xr:uid="{00000000-0005-0000-0000-00003C170000}"/>
    <cellStyle name="2_단가조사표_소각수목2 2" xfId="7686" xr:uid="{00000000-0005-0000-0000-00003D170000}"/>
    <cellStyle name="2_단가조사표_소각수목2 2 2" xfId="7687" xr:uid="{00000000-0005-0000-0000-00003E170000}"/>
    <cellStyle name="2_단가조사표_소각수목2 3" xfId="7688" xr:uid="{00000000-0005-0000-0000-00003F170000}"/>
    <cellStyle name="2_단가조사표_수량산출서 (2)" xfId="1358" xr:uid="{00000000-0005-0000-0000-000040170000}"/>
    <cellStyle name="2_단가조사표_수량산출서 (2) 2" xfId="7689" xr:uid="{00000000-0005-0000-0000-000041170000}"/>
    <cellStyle name="2_단가조사표_수량산출서 (2) 2 2" xfId="7690" xr:uid="{00000000-0005-0000-0000-000042170000}"/>
    <cellStyle name="2_단가조사표_수량산출서 (2) 3" xfId="7691" xr:uid="{00000000-0005-0000-0000-000043170000}"/>
    <cellStyle name="2_단가조사표_엑스포~1" xfId="1359" xr:uid="{00000000-0005-0000-0000-000044170000}"/>
    <cellStyle name="2_단가조사표_엑스포~1 2" xfId="7692" xr:uid="{00000000-0005-0000-0000-000045170000}"/>
    <cellStyle name="2_단가조사표_엑스포~1 2 2" xfId="7693" xr:uid="{00000000-0005-0000-0000-000046170000}"/>
    <cellStyle name="2_단가조사표_엑스포~1 3" xfId="7694" xr:uid="{00000000-0005-0000-0000-000047170000}"/>
    <cellStyle name="2_단가조사표_엑스포한빛1" xfId="1360" xr:uid="{00000000-0005-0000-0000-000048170000}"/>
    <cellStyle name="2_단가조사표_엑스포한빛1 2" xfId="7695" xr:uid="{00000000-0005-0000-0000-000049170000}"/>
    <cellStyle name="2_단가조사표_엑스포한빛1 2 2" xfId="7696" xr:uid="{00000000-0005-0000-0000-00004A170000}"/>
    <cellStyle name="2_단가조사표_엑스포한빛1 3" xfId="7697" xr:uid="{00000000-0005-0000-0000-00004B170000}"/>
    <cellStyle name="2_단가조사표_여객,교통센타710" xfId="2296" xr:uid="{00000000-0005-0000-0000-00004C170000}"/>
    <cellStyle name="2_단가조사표_여객터미널331" xfId="1361" xr:uid="{00000000-0005-0000-0000-00004D170000}"/>
    <cellStyle name="2_단가조사표_여객터미널331 2" xfId="7698" xr:uid="{00000000-0005-0000-0000-00004E170000}"/>
    <cellStyle name="2_단가조사표_여객터미널331 2 2" xfId="7699" xr:uid="{00000000-0005-0000-0000-00004F170000}"/>
    <cellStyle name="2_단가조사표_여객터미널331 3" xfId="7700" xr:uid="{00000000-0005-0000-0000-000050170000}"/>
    <cellStyle name="2_단가조사표_여객터미널513" xfId="1362" xr:uid="{00000000-0005-0000-0000-000051170000}"/>
    <cellStyle name="2_단가조사표_여객터미널513 2" xfId="7701" xr:uid="{00000000-0005-0000-0000-000052170000}"/>
    <cellStyle name="2_단가조사표_여객터미널513 2 2" xfId="7702" xr:uid="{00000000-0005-0000-0000-000053170000}"/>
    <cellStyle name="2_단가조사표_여객터미널513 3" xfId="7703" xr:uid="{00000000-0005-0000-0000-000054170000}"/>
    <cellStyle name="2_단가조사표_여객터미널629" xfId="1363" xr:uid="{00000000-0005-0000-0000-000055170000}"/>
    <cellStyle name="2_단가조사표_여객터미널629 2" xfId="7704" xr:uid="{00000000-0005-0000-0000-000056170000}"/>
    <cellStyle name="2_단가조사표_여객터미널629 2 2" xfId="7705" xr:uid="{00000000-0005-0000-0000-000057170000}"/>
    <cellStyle name="2_단가조사표_여객터미널629 3" xfId="7706" xr:uid="{00000000-0005-0000-0000-000058170000}"/>
    <cellStyle name="2_단가조사표_외곽도로616" xfId="1364" xr:uid="{00000000-0005-0000-0000-000059170000}"/>
    <cellStyle name="2_단가조사표_외곽도로616 2" xfId="7707" xr:uid="{00000000-0005-0000-0000-00005A170000}"/>
    <cellStyle name="2_단가조사표_외곽도로616 2 2" xfId="7708" xr:uid="{00000000-0005-0000-0000-00005B170000}"/>
    <cellStyle name="2_단가조사표_외곽도로616 3" xfId="7709" xr:uid="{00000000-0005-0000-0000-00005C170000}"/>
    <cellStyle name="2_단가조사표_용인죽전수량" xfId="7710" xr:uid="{00000000-0005-0000-0000-00005D170000}"/>
    <cellStyle name="2_단가조사표_용인죽전수량 2" xfId="7711" xr:uid="{00000000-0005-0000-0000-00005E170000}"/>
    <cellStyle name="2_단가조사표_용인죽전수량 2 2" xfId="7712" xr:uid="{00000000-0005-0000-0000-00005F170000}"/>
    <cellStyle name="2_단가조사표_용인죽전수량 3" xfId="7713" xr:uid="{00000000-0005-0000-0000-000060170000}"/>
    <cellStyle name="2_단가조사표_원가계~1" xfId="1365" xr:uid="{00000000-0005-0000-0000-000061170000}"/>
    <cellStyle name="2_단가조사표_원가계~1 2" xfId="7714" xr:uid="{00000000-0005-0000-0000-000062170000}"/>
    <cellStyle name="2_단가조사표_원가계~1 2 2" xfId="7715" xr:uid="{00000000-0005-0000-0000-000063170000}"/>
    <cellStyle name="2_단가조사표_원가계~1 3" xfId="7716" xr:uid="{00000000-0005-0000-0000-000064170000}"/>
    <cellStyle name="2_단가조사표_유기질" xfId="1366" xr:uid="{00000000-0005-0000-0000-000065170000}"/>
    <cellStyle name="2_단가조사표_유기질 2" xfId="7717" xr:uid="{00000000-0005-0000-0000-000066170000}"/>
    <cellStyle name="2_단가조사표_유기질 2 2" xfId="7718" xr:uid="{00000000-0005-0000-0000-000067170000}"/>
    <cellStyle name="2_단가조사표_유기질 3" xfId="7719" xr:uid="{00000000-0005-0000-0000-000068170000}"/>
    <cellStyle name="2_단가조사표_자재조서 (2)" xfId="1367" xr:uid="{00000000-0005-0000-0000-000069170000}"/>
    <cellStyle name="2_단가조사표_자재조서 (2) 2" xfId="7720" xr:uid="{00000000-0005-0000-0000-00006A170000}"/>
    <cellStyle name="2_단가조사표_자재조서 (2) 2 2" xfId="7721" xr:uid="{00000000-0005-0000-0000-00006B170000}"/>
    <cellStyle name="2_단가조사표_자재조서 (2) 3" xfId="7722" xr:uid="{00000000-0005-0000-0000-00006C170000}"/>
    <cellStyle name="2_단가조사표_총괄내역" xfId="1368" xr:uid="{00000000-0005-0000-0000-00006D170000}"/>
    <cellStyle name="2_단가조사표_총괄내역 (2)" xfId="1369" xr:uid="{00000000-0005-0000-0000-00006E170000}"/>
    <cellStyle name="2_단가조사표_총괄내역 (2) 2" xfId="7723" xr:uid="{00000000-0005-0000-0000-00006F170000}"/>
    <cellStyle name="2_단가조사표_총괄내역 (2) 2 2" xfId="7724" xr:uid="{00000000-0005-0000-0000-000070170000}"/>
    <cellStyle name="2_단가조사표_총괄내역 (2) 3" xfId="7725" xr:uid="{00000000-0005-0000-0000-000071170000}"/>
    <cellStyle name="2_단가조사표_총괄내역 2" xfId="7726" xr:uid="{00000000-0005-0000-0000-000072170000}"/>
    <cellStyle name="2_단가조사표_총괄내역 2 2" xfId="7727" xr:uid="{00000000-0005-0000-0000-000073170000}"/>
    <cellStyle name="2_단가조사표_총괄내역 3" xfId="7728" xr:uid="{00000000-0005-0000-0000-000074170000}"/>
    <cellStyle name="2_단가조사표_총괄내역 4" xfId="7729" xr:uid="{00000000-0005-0000-0000-000075170000}"/>
    <cellStyle name="2_단가조사표_총괄내역 5" xfId="7730" xr:uid="{00000000-0005-0000-0000-000076170000}"/>
    <cellStyle name="2_단가조사표_총괄내역 6" xfId="7731" xr:uid="{00000000-0005-0000-0000-000077170000}"/>
    <cellStyle name="2_단가조사표_총괄내역 7" xfId="7732" xr:uid="{00000000-0005-0000-0000-000078170000}"/>
    <cellStyle name="2_단가조사표_총괄내역 8" xfId="7733" xr:uid="{00000000-0005-0000-0000-000079170000}"/>
    <cellStyle name="2_단가조사표_총괄내역 9" xfId="7734" xr:uid="{00000000-0005-0000-0000-00007A170000}"/>
    <cellStyle name="2_단가조사표_터미널도로403" xfId="1370" xr:uid="{00000000-0005-0000-0000-00007B170000}"/>
    <cellStyle name="2_단가조사표_터미널도로403 2" xfId="7735" xr:uid="{00000000-0005-0000-0000-00007C170000}"/>
    <cellStyle name="2_단가조사표_터미널도로403 2 2" xfId="7736" xr:uid="{00000000-0005-0000-0000-00007D170000}"/>
    <cellStyle name="2_단가조사표_터미널도로403 3" xfId="7737" xr:uid="{00000000-0005-0000-0000-00007E170000}"/>
    <cellStyle name="2_단가조사표_터미널도로429" xfId="1371" xr:uid="{00000000-0005-0000-0000-00007F170000}"/>
    <cellStyle name="2_단가조사표_터미널도로429 2" xfId="7738" xr:uid="{00000000-0005-0000-0000-000080170000}"/>
    <cellStyle name="2_단가조사표_터미널도로429 2 2" xfId="7739" xr:uid="{00000000-0005-0000-0000-000081170000}"/>
    <cellStyle name="2_단가조사표_터미널도로429 3" xfId="7740" xr:uid="{00000000-0005-0000-0000-000082170000}"/>
    <cellStyle name="2_단가조사표_포장일위" xfId="1372" xr:uid="{00000000-0005-0000-0000-000083170000}"/>
    <cellStyle name="2_단가조사표_포장일위 2" xfId="7741" xr:uid="{00000000-0005-0000-0000-000084170000}"/>
    <cellStyle name="2_단가조사표_포장일위 2 2" xfId="7742" xr:uid="{00000000-0005-0000-0000-000085170000}"/>
    <cellStyle name="2_단가조사표_포장일위 3" xfId="7743" xr:uid="{00000000-0005-0000-0000-000086170000}"/>
    <cellStyle name="2_일위대가(080205) - 상부계단포함" xfId="4900" xr:uid="{00000000-0005-0000-0000-000087170000}"/>
    <cellStyle name="20% - 강조색1 2" xfId="7744" xr:uid="{00000000-0005-0000-0000-000088170000}"/>
    <cellStyle name="20% - 강조색1 2 2" xfId="7745" xr:uid="{00000000-0005-0000-0000-000089170000}"/>
    <cellStyle name="20% - 강조색1 2 2 2" xfId="7746" xr:uid="{00000000-0005-0000-0000-00008A170000}"/>
    <cellStyle name="20% - 강조색1 2 2 2 2" xfId="7747" xr:uid="{00000000-0005-0000-0000-00008B170000}"/>
    <cellStyle name="20% - 강조색1 2 3" xfId="7748" xr:uid="{00000000-0005-0000-0000-00008C170000}"/>
    <cellStyle name="20% - 강조색1 2 3 2" xfId="7749" xr:uid="{00000000-0005-0000-0000-00008D170000}"/>
    <cellStyle name="20% - 강조색1 3" xfId="7750" xr:uid="{00000000-0005-0000-0000-00008E170000}"/>
    <cellStyle name="20% - 강조색1 3 2" xfId="7751" xr:uid="{00000000-0005-0000-0000-00008F170000}"/>
    <cellStyle name="20% - 강조색1 3 2 2" xfId="7752" xr:uid="{00000000-0005-0000-0000-000090170000}"/>
    <cellStyle name="20% - 강조색1 3 2 2 2" xfId="7753" xr:uid="{00000000-0005-0000-0000-000091170000}"/>
    <cellStyle name="20% - 강조색1 3 3" xfId="7754" xr:uid="{00000000-0005-0000-0000-000092170000}"/>
    <cellStyle name="20% - 강조색1 3 3 2" xfId="7755" xr:uid="{00000000-0005-0000-0000-000093170000}"/>
    <cellStyle name="20% - 강조색1 4" xfId="7756" xr:uid="{00000000-0005-0000-0000-000094170000}"/>
    <cellStyle name="20% - 강조색1 4 2" xfId="7757" xr:uid="{00000000-0005-0000-0000-000095170000}"/>
    <cellStyle name="20% - 강조색1 4 2 2" xfId="7758" xr:uid="{00000000-0005-0000-0000-000096170000}"/>
    <cellStyle name="20% - 강조색1 4 2 2 2" xfId="7759" xr:uid="{00000000-0005-0000-0000-000097170000}"/>
    <cellStyle name="20% - 강조색1 4 3" xfId="7760" xr:uid="{00000000-0005-0000-0000-000098170000}"/>
    <cellStyle name="20% - 강조색1 4 3 2" xfId="7761" xr:uid="{00000000-0005-0000-0000-000099170000}"/>
    <cellStyle name="20% - 강조색1 5" xfId="7762" xr:uid="{00000000-0005-0000-0000-00009A170000}"/>
    <cellStyle name="20% - 강조색2 2" xfId="7763" xr:uid="{00000000-0005-0000-0000-00009B170000}"/>
    <cellStyle name="20% - 강조색2 2 2" xfId="7764" xr:uid="{00000000-0005-0000-0000-00009C170000}"/>
    <cellStyle name="20% - 강조색2 2 2 2" xfId="7765" xr:uid="{00000000-0005-0000-0000-00009D170000}"/>
    <cellStyle name="20% - 강조색2 2 2 2 2" xfId="7766" xr:uid="{00000000-0005-0000-0000-00009E170000}"/>
    <cellStyle name="20% - 강조색2 2 3" xfId="7767" xr:uid="{00000000-0005-0000-0000-00009F170000}"/>
    <cellStyle name="20% - 강조색2 2 3 2" xfId="7768" xr:uid="{00000000-0005-0000-0000-0000A0170000}"/>
    <cellStyle name="20% - 강조색2 3" xfId="7769" xr:uid="{00000000-0005-0000-0000-0000A1170000}"/>
    <cellStyle name="20% - 강조색2 3 2" xfId="7770" xr:uid="{00000000-0005-0000-0000-0000A2170000}"/>
    <cellStyle name="20% - 강조색2 3 2 2" xfId="7771" xr:uid="{00000000-0005-0000-0000-0000A3170000}"/>
    <cellStyle name="20% - 강조색2 3 2 2 2" xfId="7772" xr:uid="{00000000-0005-0000-0000-0000A4170000}"/>
    <cellStyle name="20% - 강조색2 3 3" xfId="7773" xr:uid="{00000000-0005-0000-0000-0000A5170000}"/>
    <cellStyle name="20% - 강조색2 3 3 2" xfId="7774" xr:uid="{00000000-0005-0000-0000-0000A6170000}"/>
    <cellStyle name="20% - 강조색2 4" xfId="7775" xr:uid="{00000000-0005-0000-0000-0000A7170000}"/>
    <cellStyle name="20% - 강조색2 4 2" xfId="7776" xr:uid="{00000000-0005-0000-0000-0000A8170000}"/>
    <cellStyle name="20% - 강조색2 4 2 2" xfId="7777" xr:uid="{00000000-0005-0000-0000-0000A9170000}"/>
    <cellStyle name="20% - 강조색2 4 2 2 2" xfId="7778" xr:uid="{00000000-0005-0000-0000-0000AA170000}"/>
    <cellStyle name="20% - 강조색2 4 3" xfId="7779" xr:uid="{00000000-0005-0000-0000-0000AB170000}"/>
    <cellStyle name="20% - 강조색2 4 3 2" xfId="7780" xr:uid="{00000000-0005-0000-0000-0000AC170000}"/>
    <cellStyle name="20% - 강조색2 5" xfId="7781" xr:uid="{00000000-0005-0000-0000-0000AD170000}"/>
    <cellStyle name="20% - 강조색3 2" xfId="7782" xr:uid="{00000000-0005-0000-0000-0000AE170000}"/>
    <cellStyle name="20% - 강조색3 2 2" xfId="7783" xr:uid="{00000000-0005-0000-0000-0000AF170000}"/>
    <cellStyle name="20% - 강조색3 2 2 2" xfId="7784" xr:uid="{00000000-0005-0000-0000-0000B0170000}"/>
    <cellStyle name="20% - 강조색3 2 2 2 2" xfId="7785" xr:uid="{00000000-0005-0000-0000-0000B1170000}"/>
    <cellStyle name="20% - 강조색3 2 3" xfId="7786" xr:uid="{00000000-0005-0000-0000-0000B2170000}"/>
    <cellStyle name="20% - 강조색3 2 3 2" xfId="7787" xr:uid="{00000000-0005-0000-0000-0000B3170000}"/>
    <cellStyle name="20% - 강조색3 3" xfId="7788" xr:uid="{00000000-0005-0000-0000-0000B4170000}"/>
    <cellStyle name="20% - 강조색3 3 2" xfId="7789" xr:uid="{00000000-0005-0000-0000-0000B5170000}"/>
    <cellStyle name="20% - 강조색3 3 2 2" xfId="7790" xr:uid="{00000000-0005-0000-0000-0000B6170000}"/>
    <cellStyle name="20% - 강조색3 3 2 2 2" xfId="7791" xr:uid="{00000000-0005-0000-0000-0000B7170000}"/>
    <cellStyle name="20% - 강조색3 3 3" xfId="7792" xr:uid="{00000000-0005-0000-0000-0000B8170000}"/>
    <cellStyle name="20% - 강조색3 3 3 2" xfId="7793" xr:uid="{00000000-0005-0000-0000-0000B9170000}"/>
    <cellStyle name="20% - 강조색3 4" xfId="7794" xr:uid="{00000000-0005-0000-0000-0000BA170000}"/>
    <cellStyle name="20% - 강조색3 4 2" xfId="7795" xr:uid="{00000000-0005-0000-0000-0000BB170000}"/>
    <cellStyle name="20% - 강조색3 4 2 2" xfId="7796" xr:uid="{00000000-0005-0000-0000-0000BC170000}"/>
    <cellStyle name="20% - 강조색3 4 2 2 2" xfId="7797" xr:uid="{00000000-0005-0000-0000-0000BD170000}"/>
    <cellStyle name="20% - 강조색3 4 3" xfId="7798" xr:uid="{00000000-0005-0000-0000-0000BE170000}"/>
    <cellStyle name="20% - 강조색3 4 3 2" xfId="7799" xr:uid="{00000000-0005-0000-0000-0000BF170000}"/>
    <cellStyle name="20% - 강조색3 5" xfId="7800" xr:uid="{00000000-0005-0000-0000-0000C0170000}"/>
    <cellStyle name="20% - 강조색4 2" xfId="7801" xr:uid="{00000000-0005-0000-0000-0000C1170000}"/>
    <cellStyle name="20% - 강조색4 2 2" xfId="7802" xr:uid="{00000000-0005-0000-0000-0000C2170000}"/>
    <cellStyle name="20% - 강조색4 2 2 2" xfId="7803" xr:uid="{00000000-0005-0000-0000-0000C3170000}"/>
    <cellStyle name="20% - 강조색4 2 2 2 2" xfId="7804" xr:uid="{00000000-0005-0000-0000-0000C4170000}"/>
    <cellStyle name="20% - 강조색4 2 3" xfId="7805" xr:uid="{00000000-0005-0000-0000-0000C5170000}"/>
    <cellStyle name="20% - 강조색4 2 3 2" xfId="7806" xr:uid="{00000000-0005-0000-0000-0000C6170000}"/>
    <cellStyle name="20% - 강조색4 3" xfId="7807" xr:uid="{00000000-0005-0000-0000-0000C7170000}"/>
    <cellStyle name="20% - 강조색4 3 2" xfId="7808" xr:uid="{00000000-0005-0000-0000-0000C8170000}"/>
    <cellStyle name="20% - 강조색4 3 2 2" xfId="7809" xr:uid="{00000000-0005-0000-0000-0000C9170000}"/>
    <cellStyle name="20% - 강조색4 3 2 2 2" xfId="7810" xr:uid="{00000000-0005-0000-0000-0000CA170000}"/>
    <cellStyle name="20% - 강조색4 3 3" xfId="7811" xr:uid="{00000000-0005-0000-0000-0000CB170000}"/>
    <cellStyle name="20% - 강조색4 3 3 2" xfId="7812" xr:uid="{00000000-0005-0000-0000-0000CC170000}"/>
    <cellStyle name="20% - 강조색4 4" xfId="7813" xr:uid="{00000000-0005-0000-0000-0000CD170000}"/>
    <cellStyle name="20% - 강조색4 4 2" xfId="7814" xr:uid="{00000000-0005-0000-0000-0000CE170000}"/>
    <cellStyle name="20% - 강조색4 4 2 2" xfId="7815" xr:uid="{00000000-0005-0000-0000-0000CF170000}"/>
    <cellStyle name="20% - 강조색4 4 2 2 2" xfId="7816" xr:uid="{00000000-0005-0000-0000-0000D0170000}"/>
    <cellStyle name="20% - 강조색4 4 3" xfId="7817" xr:uid="{00000000-0005-0000-0000-0000D1170000}"/>
    <cellStyle name="20% - 강조색4 4 3 2" xfId="7818" xr:uid="{00000000-0005-0000-0000-0000D2170000}"/>
    <cellStyle name="20% - 강조색4 5" xfId="7819" xr:uid="{00000000-0005-0000-0000-0000D3170000}"/>
    <cellStyle name="20% - 강조색5 2" xfId="7820" xr:uid="{00000000-0005-0000-0000-0000D4170000}"/>
    <cellStyle name="20% - 강조색5 2 2" xfId="7821" xr:uid="{00000000-0005-0000-0000-0000D5170000}"/>
    <cellStyle name="20% - 강조색5 2 2 2" xfId="7822" xr:uid="{00000000-0005-0000-0000-0000D6170000}"/>
    <cellStyle name="20% - 강조색5 2 2 2 2" xfId="7823" xr:uid="{00000000-0005-0000-0000-0000D7170000}"/>
    <cellStyle name="20% - 강조색5 2 3" xfId="7824" xr:uid="{00000000-0005-0000-0000-0000D8170000}"/>
    <cellStyle name="20% - 강조색5 2 3 2" xfId="7825" xr:uid="{00000000-0005-0000-0000-0000D9170000}"/>
    <cellStyle name="20% - 강조색5 3" xfId="7826" xr:uid="{00000000-0005-0000-0000-0000DA170000}"/>
    <cellStyle name="20% - 강조색5 3 2" xfId="7827" xr:uid="{00000000-0005-0000-0000-0000DB170000}"/>
    <cellStyle name="20% - 강조색5 3 2 2" xfId="7828" xr:uid="{00000000-0005-0000-0000-0000DC170000}"/>
    <cellStyle name="20% - 강조색5 3 2 2 2" xfId="7829" xr:uid="{00000000-0005-0000-0000-0000DD170000}"/>
    <cellStyle name="20% - 강조색5 3 3" xfId="7830" xr:uid="{00000000-0005-0000-0000-0000DE170000}"/>
    <cellStyle name="20% - 강조색5 3 3 2" xfId="7831" xr:uid="{00000000-0005-0000-0000-0000DF170000}"/>
    <cellStyle name="20% - 강조색5 4" xfId="7832" xr:uid="{00000000-0005-0000-0000-0000E0170000}"/>
    <cellStyle name="20% - 강조색5 4 2" xfId="7833" xr:uid="{00000000-0005-0000-0000-0000E1170000}"/>
    <cellStyle name="20% - 강조색5 4 2 2" xfId="7834" xr:uid="{00000000-0005-0000-0000-0000E2170000}"/>
    <cellStyle name="20% - 강조색5 4 2 2 2" xfId="7835" xr:uid="{00000000-0005-0000-0000-0000E3170000}"/>
    <cellStyle name="20% - 강조색5 4 3" xfId="7836" xr:uid="{00000000-0005-0000-0000-0000E4170000}"/>
    <cellStyle name="20% - 강조색5 4 3 2" xfId="7837" xr:uid="{00000000-0005-0000-0000-0000E5170000}"/>
    <cellStyle name="20% - 강조색5 5" xfId="7838" xr:uid="{00000000-0005-0000-0000-0000E6170000}"/>
    <cellStyle name="20% - 강조색6 2" xfId="7839" xr:uid="{00000000-0005-0000-0000-0000E7170000}"/>
    <cellStyle name="20% - 강조색6 2 2" xfId="7840" xr:uid="{00000000-0005-0000-0000-0000E8170000}"/>
    <cellStyle name="20% - 강조색6 2 2 2" xfId="7841" xr:uid="{00000000-0005-0000-0000-0000E9170000}"/>
    <cellStyle name="20% - 강조색6 2 2 2 2" xfId="7842" xr:uid="{00000000-0005-0000-0000-0000EA170000}"/>
    <cellStyle name="20% - 강조색6 2 3" xfId="7843" xr:uid="{00000000-0005-0000-0000-0000EB170000}"/>
    <cellStyle name="20% - 강조색6 2 3 2" xfId="7844" xr:uid="{00000000-0005-0000-0000-0000EC170000}"/>
    <cellStyle name="20% - 강조색6 3" xfId="7845" xr:uid="{00000000-0005-0000-0000-0000ED170000}"/>
    <cellStyle name="20% - 강조색6 3 2" xfId="7846" xr:uid="{00000000-0005-0000-0000-0000EE170000}"/>
    <cellStyle name="20% - 강조색6 3 2 2" xfId="7847" xr:uid="{00000000-0005-0000-0000-0000EF170000}"/>
    <cellStyle name="20% - 강조색6 3 2 2 2" xfId="7848" xr:uid="{00000000-0005-0000-0000-0000F0170000}"/>
    <cellStyle name="20% - 강조색6 3 3" xfId="7849" xr:uid="{00000000-0005-0000-0000-0000F1170000}"/>
    <cellStyle name="20% - 강조색6 3 3 2" xfId="7850" xr:uid="{00000000-0005-0000-0000-0000F2170000}"/>
    <cellStyle name="20% - 강조색6 4" xfId="7851" xr:uid="{00000000-0005-0000-0000-0000F3170000}"/>
    <cellStyle name="20% - 강조색6 4 2" xfId="7852" xr:uid="{00000000-0005-0000-0000-0000F4170000}"/>
    <cellStyle name="20% - 강조색6 4 2 2" xfId="7853" xr:uid="{00000000-0005-0000-0000-0000F5170000}"/>
    <cellStyle name="20% - 강조색6 4 2 2 2" xfId="7854" xr:uid="{00000000-0005-0000-0000-0000F6170000}"/>
    <cellStyle name="20% - 강조색6 4 3" xfId="7855" xr:uid="{00000000-0005-0000-0000-0000F7170000}"/>
    <cellStyle name="20% - 강조색6 4 3 2" xfId="7856" xr:uid="{00000000-0005-0000-0000-0000F8170000}"/>
    <cellStyle name="20% - 강조색6 5" xfId="7857" xr:uid="{00000000-0005-0000-0000-0000F9170000}"/>
    <cellStyle name="2자리" xfId="22" xr:uid="{00000000-0005-0000-0000-0000FA170000}"/>
    <cellStyle name="2자리 2" xfId="1375" xr:uid="{00000000-0005-0000-0000-0000FB170000}"/>
    <cellStyle name="2자리 2 2" xfId="7858" xr:uid="{00000000-0005-0000-0000-0000FC170000}"/>
    <cellStyle name="2자리선" xfId="4901" xr:uid="{00000000-0005-0000-0000-0000FD170000}"/>
    <cellStyle name="3" xfId="4902" xr:uid="{00000000-0005-0000-0000-0000FE170000}"/>
    <cellStyle name="³?a￥" xfId="4903" xr:uid="{00000000-0005-0000-0000-0000FF170000}"/>
    <cellStyle name="³?a￥ 2" xfId="7859" xr:uid="{00000000-0005-0000-0000-000000180000}"/>
    <cellStyle name="³?a￥ 2 2" xfId="7860" xr:uid="{00000000-0005-0000-0000-000001180000}"/>
    <cellStyle name="³¯Â¥" xfId="1376" xr:uid="{00000000-0005-0000-0000-000002180000}"/>
    <cellStyle name="40% - 강조색1 2" xfId="7861" xr:uid="{00000000-0005-0000-0000-000003180000}"/>
    <cellStyle name="40% - 강조색1 2 2" xfId="7862" xr:uid="{00000000-0005-0000-0000-000004180000}"/>
    <cellStyle name="40% - 강조색1 2 2 2" xfId="7863" xr:uid="{00000000-0005-0000-0000-000005180000}"/>
    <cellStyle name="40% - 강조색1 2 2 2 2" xfId="7864" xr:uid="{00000000-0005-0000-0000-000006180000}"/>
    <cellStyle name="40% - 강조색1 2 3" xfId="7865" xr:uid="{00000000-0005-0000-0000-000007180000}"/>
    <cellStyle name="40% - 강조색1 2 3 2" xfId="7866" xr:uid="{00000000-0005-0000-0000-000008180000}"/>
    <cellStyle name="40% - 강조색1 3" xfId="7867" xr:uid="{00000000-0005-0000-0000-000009180000}"/>
    <cellStyle name="40% - 강조색1 3 2" xfId="7868" xr:uid="{00000000-0005-0000-0000-00000A180000}"/>
    <cellStyle name="40% - 강조색1 3 2 2" xfId="7869" xr:uid="{00000000-0005-0000-0000-00000B180000}"/>
    <cellStyle name="40% - 강조색1 3 2 2 2" xfId="7870" xr:uid="{00000000-0005-0000-0000-00000C180000}"/>
    <cellStyle name="40% - 강조색1 3 3" xfId="7871" xr:uid="{00000000-0005-0000-0000-00000D180000}"/>
    <cellStyle name="40% - 강조색1 3 3 2" xfId="7872" xr:uid="{00000000-0005-0000-0000-00000E180000}"/>
    <cellStyle name="40% - 강조색1 4" xfId="7873" xr:uid="{00000000-0005-0000-0000-00000F180000}"/>
    <cellStyle name="40% - 강조색1 4 2" xfId="7874" xr:uid="{00000000-0005-0000-0000-000010180000}"/>
    <cellStyle name="40% - 강조색1 4 2 2" xfId="7875" xr:uid="{00000000-0005-0000-0000-000011180000}"/>
    <cellStyle name="40% - 강조색1 4 2 2 2" xfId="7876" xr:uid="{00000000-0005-0000-0000-000012180000}"/>
    <cellStyle name="40% - 강조색1 4 3" xfId="7877" xr:uid="{00000000-0005-0000-0000-000013180000}"/>
    <cellStyle name="40% - 강조색1 4 3 2" xfId="7878" xr:uid="{00000000-0005-0000-0000-000014180000}"/>
    <cellStyle name="40% - 강조색1 5" xfId="7879" xr:uid="{00000000-0005-0000-0000-000015180000}"/>
    <cellStyle name="40% - 강조색2 2" xfId="7880" xr:uid="{00000000-0005-0000-0000-000016180000}"/>
    <cellStyle name="40% - 강조색2 2 2" xfId="7881" xr:uid="{00000000-0005-0000-0000-000017180000}"/>
    <cellStyle name="40% - 강조색2 2 2 2" xfId="7882" xr:uid="{00000000-0005-0000-0000-000018180000}"/>
    <cellStyle name="40% - 강조색2 2 2 2 2" xfId="7883" xr:uid="{00000000-0005-0000-0000-000019180000}"/>
    <cellStyle name="40% - 강조색2 2 3" xfId="7884" xr:uid="{00000000-0005-0000-0000-00001A180000}"/>
    <cellStyle name="40% - 강조색2 2 3 2" xfId="7885" xr:uid="{00000000-0005-0000-0000-00001B180000}"/>
    <cellStyle name="40% - 강조색2 3" xfId="7886" xr:uid="{00000000-0005-0000-0000-00001C180000}"/>
    <cellStyle name="40% - 강조색2 3 2" xfId="7887" xr:uid="{00000000-0005-0000-0000-00001D180000}"/>
    <cellStyle name="40% - 강조색2 3 2 2" xfId="7888" xr:uid="{00000000-0005-0000-0000-00001E180000}"/>
    <cellStyle name="40% - 강조색2 3 2 2 2" xfId="7889" xr:uid="{00000000-0005-0000-0000-00001F180000}"/>
    <cellStyle name="40% - 강조색2 3 3" xfId="7890" xr:uid="{00000000-0005-0000-0000-000020180000}"/>
    <cellStyle name="40% - 강조색2 3 3 2" xfId="7891" xr:uid="{00000000-0005-0000-0000-000021180000}"/>
    <cellStyle name="40% - 강조색2 4" xfId="7892" xr:uid="{00000000-0005-0000-0000-000022180000}"/>
    <cellStyle name="40% - 강조색2 4 2" xfId="7893" xr:uid="{00000000-0005-0000-0000-000023180000}"/>
    <cellStyle name="40% - 강조색2 4 2 2" xfId="7894" xr:uid="{00000000-0005-0000-0000-000024180000}"/>
    <cellStyle name="40% - 강조색2 4 2 2 2" xfId="7895" xr:uid="{00000000-0005-0000-0000-000025180000}"/>
    <cellStyle name="40% - 강조색2 4 3" xfId="7896" xr:uid="{00000000-0005-0000-0000-000026180000}"/>
    <cellStyle name="40% - 강조색2 4 3 2" xfId="7897" xr:uid="{00000000-0005-0000-0000-000027180000}"/>
    <cellStyle name="40% - 강조색2 5" xfId="7898" xr:uid="{00000000-0005-0000-0000-000028180000}"/>
    <cellStyle name="40% - 강조색3 2" xfId="7899" xr:uid="{00000000-0005-0000-0000-000029180000}"/>
    <cellStyle name="40% - 강조색3 2 2" xfId="7900" xr:uid="{00000000-0005-0000-0000-00002A180000}"/>
    <cellStyle name="40% - 강조색3 2 2 2" xfId="7901" xr:uid="{00000000-0005-0000-0000-00002B180000}"/>
    <cellStyle name="40% - 강조색3 2 2 2 2" xfId="7902" xr:uid="{00000000-0005-0000-0000-00002C180000}"/>
    <cellStyle name="40% - 강조색3 2 3" xfId="7903" xr:uid="{00000000-0005-0000-0000-00002D180000}"/>
    <cellStyle name="40% - 강조색3 2 3 2" xfId="7904" xr:uid="{00000000-0005-0000-0000-00002E180000}"/>
    <cellStyle name="40% - 강조색3 3" xfId="7905" xr:uid="{00000000-0005-0000-0000-00002F180000}"/>
    <cellStyle name="40% - 강조색3 3 2" xfId="7906" xr:uid="{00000000-0005-0000-0000-000030180000}"/>
    <cellStyle name="40% - 강조색3 3 2 2" xfId="7907" xr:uid="{00000000-0005-0000-0000-000031180000}"/>
    <cellStyle name="40% - 강조색3 3 2 2 2" xfId="7908" xr:uid="{00000000-0005-0000-0000-000032180000}"/>
    <cellStyle name="40% - 강조색3 3 3" xfId="7909" xr:uid="{00000000-0005-0000-0000-000033180000}"/>
    <cellStyle name="40% - 강조색3 3 3 2" xfId="7910" xr:uid="{00000000-0005-0000-0000-000034180000}"/>
    <cellStyle name="40% - 강조색3 4" xfId="7911" xr:uid="{00000000-0005-0000-0000-000035180000}"/>
    <cellStyle name="40% - 강조색3 4 2" xfId="7912" xr:uid="{00000000-0005-0000-0000-000036180000}"/>
    <cellStyle name="40% - 강조색3 4 2 2" xfId="7913" xr:uid="{00000000-0005-0000-0000-000037180000}"/>
    <cellStyle name="40% - 강조색3 4 2 2 2" xfId="7914" xr:uid="{00000000-0005-0000-0000-000038180000}"/>
    <cellStyle name="40% - 강조색3 4 3" xfId="7915" xr:uid="{00000000-0005-0000-0000-000039180000}"/>
    <cellStyle name="40% - 강조색3 4 3 2" xfId="7916" xr:uid="{00000000-0005-0000-0000-00003A180000}"/>
    <cellStyle name="40% - 강조색3 5" xfId="7917" xr:uid="{00000000-0005-0000-0000-00003B180000}"/>
    <cellStyle name="40% - 강조색4 2" xfId="7918" xr:uid="{00000000-0005-0000-0000-00003C180000}"/>
    <cellStyle name="40% - 강조색4 2 2" xfId="7919" xr:uid="{00000000-0005-0000-0000-00003D180000}"/>
    <cellStyle name="40% - 강조색4 2 2 2" xfId="7920" xr:uid="{00000000-0005-0000-0000-00003E180000}"/>
    <cellStyle name="40% - 강조색4 2 2 2 2" xfId="7921" xr:uid="{00000000-0005-0000-0000-00003F180000}"/>
    <cellStyle name="40% - 강조색4 2 3" xfId="7922" xr:uid="{00000000-0005-0000-0000-000040180000}"/>
    <cellStyle name="40% - 강조색4 2 3 2" xfId="7923" xr:uid="{00000000-0005-0000-0000-000041180000}"/>
    <cellStyle name="40% - 강조색4 3" xfId="7924" xr:uid="{00000000-0005-0000-0000-000042180000}"/>
    <cellStyle name="40% - 강조색4 3 2" xfId="7925" xr:uid="{00000000-0005-0000-0000-000043180000}"/>
    <cellStyle name="40% - 강조색4 3 2 2" xfId="7926" xr:uid="{00000000-0005-0000-0000-000044180000}"/>
    <cellStyle name="40% - 강조색4 3 2 2 2" xfId="7927" xr:uid="{00000000-0005-0000-0000-000045180000}"/>
    <cellStyle name="40% - 강조색4 3 3" xfId="7928" xr:uid="{00000000-0005-0000-0000-000046180000}"/>
    <cellStyle name="40% - 강조색4 3 3 2" xfId="7929" xr:uid="{00000000-0005-0000-0000-000047180000}"/>
    <cellStyle name="40% - 강조색4 4" xfId="7930" xr:uid="{00000000-0005-0000-0000-000048180000}"/>
    <cellStyle name="40% - 강조색4 4 2" xfId="7931" xr:uid="{00000000-0005-0000-0000-000049180000}"/>
    <cellStyle name="40% - 강조색4 4 2 2" xfId="7932" xr:uid="{00000000-0005-0000-0000-00004A180000}"/>
    <cellStyle name="40% - 강조색4 4 2 2 2" xfId="7933" xr:uid="{00000000-0005-0000-0000-00004B180000}"/>
    <cellStyle name="40% - 강조색4 4 3" xfId="7934" xr:uid="{00000000-0005-0000-0000-00004C180000}"/>
    <cellStyle name="40% - 강조색4 4 3 2" xfId="7935" xr:uid="{00000000-0005-0000-0000-00004D180000}"/>
    <cellStyle name="40% - 강조색4 5" xfId="7936" xr:uid="{00000000-0005-0000-0000-00004E180000}"/>
    <cellStyle name="40% - 강조색5 2" xfId="7937" xr:uid="{00000000-0005-0000-0000-00004F180000}"/>
    <cellStyle name="40% - 강조색5 2 2" xfId="7938" xr:uid="{00000000-0005-0000-0000-000050180000}"/>
    <cellStyle name="40% - 강조색5 2 2 2" xfId="7939" xr:uid="{00000000-0005-0000-0000-000051180000}"/>
    <cellStyle name="40% - 강조색5 2 2 2 2" xfId="7940" xr:uid="{00000000-0005-0000-0000-000052180000}"/>
    <cellStyle name="40% - 강조색5 2 3" xfId="7941" xr:uid="{00000000-0005-0000-0000-000053180000}"/>
    <cellStyle name="40% - 강조색5 2 3 2" xfId="7942" xr:uid="{00000000-0005-0000-0000-000054180000}"/>
    <cellStyle name="40% - 강조색5 3" xfId="7943" xr:uid="{00000000-0005-0000-0000-000055180000}"/>
    <cellStyle name="40% - 강조색5 3 2" xfId="7944" xr:uid="{00000000-0005-0000-0000-000056180000}"/>
    <cellStyle name="40% - 강조색5 3 2 2" xfId="7945" xr:uid="{00000000-0005-0000-0000-000057180000}"/>
    <cellStyle name="40% - 강조색5 3 2 2 2" xfId="7946" xr:uid="{00000000-0005-0000-0000-000058180000}"/>
    <cellStyle name="40% - 강조색5 3 3" xfId="7947" xr:uid="{00000000-0005-0000-0000-000059180000}"/>
    <cellStyle name="40% - 강조색5 3 3 2" xfId="7948" xr:uid="{00000000-0005-0000-0000-00005A180000}"/>
    <cellStyle name="40% - 강조색5 4" xfId="7949" xr:uid="{00000000-0005-0000-0000-00005B180000}"/>
    <cellStyle name="40% - 강조색5 4 2" xfId="7950" xr:uid="{00000000-0005-0000-0000-00005C180000}"/>
    <cellStyle name="40% - 강조색5 4 2 2" xfId="7951" xr:uid="{00000000-0005-0000-0000-00005D180000}"/>
    <cellStyle name="40% - 강조색5 4 2 2 2" xfId="7952" xr:uid="{00000000-0005-0000-0000-00005E180000}"/>
    <cellStyle name="40% - 강조색5 4 3" xfId="7953" xr:uid="{00000000-0005-0000-0000-00005F180000}"/>
    <cellStyle name="40% - 강조색5 4 3 2" xfId="7954" xr:uid="{00000000-0005-0000-0000-000060180000}"/>
    <cellStyle name="40% - 강조색5 5" xfId="7955" xr:uid="{00000000-0005-0000-0000-000061180000}"/>
    <cellStyle name="40% - 강조색6 2" xfId="7956" xr:uid="{00000000-0005-0000-0000-000062180000}"/>
    <cellStyle name="40% - 강조색6 2 2" xfId="7957" xr:uid="{00000000-0005-0000-0000-000063180000}"/>
    <cellStyle name="40% - 강조색6 2 2 2" xfId="7958" xr:uid="{00000000-0005-0000-0000-000064180000}"/>
    <cellStyle name="40% - 강조색6 2 2 2 2" xfId="7959" xr:uid="{00000000-0005-0000-0000-000065180000}"/>
    <cellStyle name="40% - 강조색6 2 3" xfId="7960" xr:uid="{00000000-0005-0000-0000-000066180000}"/>
    <cellStyle name="40% - 강조색6 2 3 2" xfId="7961" xr:uid="{00000000-0005-0000-0000-000067180000}"/>
    <cellStyle name="40% - 강조색6 3" xfId="7962" xr:uid="{00000000-0005-0000-0000-000068180000}"/>
    <cellStyle name="40% - 강조색6 3 2" xfId="7963" xr:uid="{00000000-0005-0000-0000-000069180000}"/>
    <cellStyle name="40% - 강조색6 3 2 2" xfId="7964" xr:uid="{00000000-0005-0000-0000-00006A180000}"/>
    <cellStyle name="40% - 강조색6 3 2 2 2" xfId="7965" xr:uid="{00000000-0005-0000-0000-00006B180000}"/>
    <cellStyle name="40% - 강조색6 3 3" xfId="7966" xr:uid="{00000000-0005-0000-0000-00006C180000}"/>
    <cellStyle name="40% - 강조색6 3 3 2" xfId="7967" xr:uid="{00000000-0005-0000-0000-00006D180000}"/>
    <cellStyle name="40% - 강조색6 4" xfId="7968" xr:uid="{00000000-0005-0000-0000-00006E180000}"/>
    <cellStyle name="40% - 강조색6 4 2" xfId="7969" xr:uid="{00000000-0005-0000-0000-00006F180000}"/>
    <cellStyle name="40% - 강조색6 4 2 2" xfId="7970" xr:uid="{00000000-0005-0000-0000-000070180000}"/>
    <cellStyle name="40% - 강조색6 4 2 2 2" xfId="7971" xr:uid="{00000000-0005-0000-0000-000071180000}"/>
    <cellStyle name="40% - 강조색6 4 3" xfId="7972" xr:uid="{00000000-0005-0000-0000-000072180000}"/>
    <cellStyle name="40% - 강조색6 4 3 2" xfId="7973" xr:uid="{00000000-0005-0000-0000-000073180000}"/>
    <cellStyle name="40% - 강조색6 5" xfId="7974" xr:uid="{00000000-0005-0000-0000-000074180000}"/>
    <cellStyle name="6" xfId="4904" xr:uid="{00000000-0005-0000-0000-000075180000}"/>
    <cellStyle name="60" xfId="2297" xr:uid="{00000000-0005-0000-0000-000076180000}"/>
    <cellStyle name="60 2" xfId="7975" xr:uid="{00000000-0005-0000-0000-000077180000}"/>
    <cellStyle name="60 2 2" xfId="7976" xr:uid="{00000000-0005-0000-0000-000078180000}"/>
    <cellStyle name="60% - 강조색1 2" xfId="7977" xr:uid="{00000000-0005-0000-0000-000079180000}"/>
    <cellStyle name="60% - 강조색1 2 2" xfId="7978" xr:uid="{00000000-0005-0000-0000-00007A180000}"/>
    <cellStyle name="60% - 강조색1 2 2 2" xfId="7979" xr:uid="{00000000-0005-0000-0000-00007B180000}"/>
    <cellStyle name="60% - 강조색1 2 2 2 2" xfId="7980" xr:uid="{00000000-0005-0000-0000-00007C180000}"/>
    <cellStyle name="60% - 강조색1 2 3" xfId="7981" xr:uid="{00000000-0005-0000-0000-00007D180000}"/>
    <cellStyle name="60% - 강조색1 2 3 2" xfId="7982" xr:uid="{00000000-0005-0000-0000-00007E180000}"/>
    <cellStyle name="60% - 강조색1 3" xfId="7983" xr:uid="{00000000-0005-0000-0000-00007F180000}"/>
    <cellStyle name="60% - 강조색1 3 2" xfId="7984" xr:uid="{00000000-0005-0000-0000-000080180000}"/>
    <cellStyle name="60% - 강조색1 3 2 2" xfId="7985" xr:uid="{00000000-0005-0000-0000-000081180000}"/>
    <cellStyle name="60% - 강조색1 3 2 2 2" xfId="7986" xr:uid="{00000000-0005-0000-0000-000082180000}"/>
    <cellStyle name="60% - 강조색1 3 3" xfId="7987" xr:uid="{00000000-0005-0000-0000-000083180000}"/>
    <cellStyle name="60% - 강조색1 3 3 2" xfId="7988" xr:uid="{00000000-0005-0000-0000-000084180000}"/>
    <cellStyle name="60% - 강조색1 4" xfId="7989" xr:uid="{00000000-0005-0000-0000-000085180000}"/>
    <cellStyle name="60% - 강조색1 4 2" xfId="7990" xr:uid="{00000000-0005-0000-0000-000086180000}"/>
    <cellStyle name="60% - 강조색1 4 2 2" xfId="7991" xr:uid="{00000000-0005-0000-0000-000087180000}"/>
    <cellStyle name="60% - 강조색1 4 2 2 2" xfId="7992" xr:uid="{00000000-0005-0000-0000-000088180000}"/>
    <cellStyle name="60% - 강조색1 4 3" xfId="7993" xr:uid="{00000000-0005-0000-0000-000089180000}"/>
    <cellStyle name="60% - 강조색1 4 3 2" xfId="7994" xr:uid="{00000000-0005-0000-0000-00008A180000}"/>
    <cellStyle name="60% - 강조색1 5" xfId="7995" xr:uid="{00000000-0005-0000-0000-00008B180000}"/>
    <cellStyle name="60% - 강조색2 2" xfId="7996" xr:uid="{00000000-0005-0000-0000-00008C180000}"/>
    <cellStyle name="60% - 강조색2 2 2" xfId="7997" xr:uid="{00000000-0005-0000-0000-00008D180000}"/>
    <cellStyle name="60% - 강조색2 2 2 2" xfId="7998" xr:uid="{00000000-0005-0000-0000-00008E180000}"/>
    <cellStyle name="60% - 강조색2 2 2 2 2" xfId="7999" xr:uid="{00000000-0005-0000-0000-00008F180000}"/>
    <cellStyle name="60% - 강조색2 2 3" xfId="8000" xr:uid="{00000000-0005-0000-0000-000090180000}"/>
    <cellStyle name="60% - 강조색2 2 3 2" xfId="8001" xr:uid="{00000000-0005-0000-0000-000091180000}"/>
    <cellStyle name="60% - 강조색2 3" xfId="8002" xr:uid="{00000000-0005-0000-0000-000092180000}"/>
    <cellStyle name="60% - 강조색2 3 2" xfId="8003" xr:uid="{00000000-0005-0000-0000-000093180000}"/>
    <cellStyle name="60% - 강조색2 3 2 2" xfId="8004" xr:uid="{00000000-0005-0000-0000-000094180000}"/>
    <cellStyle name="60% - 강조색2 3 2 2 2" xfId="8005" xr:uid="{00000000-0005-0000-0000-000095180000}"/>
    <cellStyle name="60% - 강조색2 3 3" xfId="8006" xr:uid="{00000000-0005-0000-0000-000096180000}"/>
    <cellStyle name="60% - 강조색2 3 3 2" xfId="8007" xr:uid="{00000000-0005-0000-0000-000097180000}"/>
    <cellStyle name="60% - 강조색2 4" xfId="8008" xr:uid="{00000000-0005-0000-0000-000098180000}"/>
    <cellStyle name="60% - 강조색2 4 2" xfId="8009" xr:uid="{00000000-0005-0000-0000-000099180000}"/>
    <cellStyle name="60% - 강조색2 4 2 2" xfId="8010" xr:uid="{00000000-0005-0000-0000-00009A180000}"/>
    <cellStyle name="60% - 강조색2 4 2 2 2" xfId="8011" xr:uid="{00000000-0005-0000-0000-00009B180000}"/>
    <cellStyle name="60% - 강조색2 4 3" xfId="8012" xr:uid="{00000000-0005-0000-0000-00009C180000}"/>
    <cellStyle name="60% - 강조색2 4 3 2" xfId="8013" xr:uid="{00000000-0005-0000-0000-00009D180000}"/>
    <cellStyle name="60% - 강조색2 5" xfId="8014" xr:uid="{00000000-0005-0000-0000-00009E180000}"/>
    <cellStyle name="60% - 강조색3 2" xfId="8015" xr:uid="{00000000-0005-0000-0000-00009F180000}"/>
    <cellStyle name="60% - 강조색3 2 2" xfId="8016" xr:uid="{00000000-0005-0000-0000-0000A0180000}"/>
    <cellStyle name="60% - 강조색3 2 2 2" xfId="8017" xr:uid="{00000000-0005-0000-0000-0000A1180000}"/>
    <cellStyle name="60% - 강조색3 2 2 2 2" xfId="8018" xr:uid="{00000000-0005-0000-0000-0000A2180000}"/>
    <cellStyle name="60% - 강조색3 2 3" xfId="8019" xr:uid="{00000000-0005-0000-0000-0000A3180000}"/>
    <cellStyle name="60% - 강조색3 2 3 2" xfId="8020" xr:uid="{00000000-0005-0000-0000-0000A4180000}"/>
    <cellStyle name="60% - 강조색3 3" xfId="8021" xr:uid="{00000000-0005-0000-0000-0000A5180000}"/>
    <cellStyle name="60% - 강조색3 3 2" xfId="8022" xr:uid="{00000000-0005-0000-0000-0000A6180000}"/>
    <cellStyle name="60% - 강조색3 3 2 2" xfId="8023" xr:uid="{00000000-0005-0000-0000-0000A7180000}"/>
    <cellStyle name="60% - 강조색3 3 2 2 2" xfId="8024" xr:uid="{00000000-0005-0000-0000-0000A8180000}"/>
    <cellStyle name="60% - 강조색3 3 3" xfId="8025" xr:uid="{00000000-0005-0000-0000-0000A9180000}"/>
    <cellStyle name="60% - 강조색3 3 3 2" xfId="8026" xr:uid="{00000000-0005-0000-0000-0000AA180000}"/>
    <cellStyle name="60% - 강조색3 4" xfId="8027" xr:uid="{00000000-0005-0000-0000-0000AB180000}"/>
    <cellStyle name="60% - 강조색3 4 2" xfId="8028" xr:uid="{00000000-0005-0000-0000-0000AC180000}"/>
    <cellStyle name="60% - 강조색3 4 2 2" xfId="8029" xr:uid="{00000000-0005-0000-0000-0000AD180000}"/>
    <cellStyle name="60% - 강조색3 4 2 2 2" xfId="8030" xr:uid="{00000000-0005-0000-0000-0000AE180000}"/>
    <cellStyle name="60% - 강조색3 4 3" xfId="8031" xr:uid="{00000000-0005-0000-0000-0000AF180000}"/>
    <cellStyle name="60% - 강조색3 4 3 2" xfId="8032" xr:uid="{00000000-0005-0000-0000-0000B0180000}"/>
    <cellStyle name="60% - 강조색3 5" xfId="8033" xr:uid="{00000000-0005-0000-0000-0000B1180000}"/>
    <cellStyle name="60% - 강조색4 2" xfId="8034" xr:uid="{00000000-0005-0000-0000-0000B2180000}"/>
    <cellStyle name="60% - 강조색4 2 2" xfId="8035" xr:uid="{00000000-0005-0000-0000-0000B3180000}"/>
    <cellStyle name="60% - 강조색4 2 2 2" xfId="8036" xr:uid="{00000000-0005-0000-0000-0000B4180000}"/>
    <cellStyle name="60% - 강조색4 2 2 2 2" xfId="8037" xr:uid="{00000000-0005-0000-0000-0000B5180000}"/>
    <cellStyle name="60% - 강조색4 2 3" xfId="8038" xr:uid="{00000000-0005-0000-0000-0000B6180000}"/>
    <cellStyle name="60% - 강조색4 2 3 2" xfId="8039" xr:uid="{00000000-0005-0000-0000-0000B7180000}"/>
    <cellStyle name="60% - 강조색4 3" xfId="8040" xr:uid="{00000000-0005-0000-0000-0000B8180000}"/>
    <cellStyle name="60% - 강조색4 3 2" xfId="8041" xr:uid="{00000000-0005-0000-0000-0000B9180000}"/>
    <cellStyle name="60% - 강조색4 3 2 2" xfId="8042" xr:uid="{00000000-0005-0000-0000-0000BA180000}"/>
    <cellStyle name="60% - 강조색4 3 2 2 2" xfId="8043" xr:uid="{00000000-0005-0000-0000-0000BB180000}"/>
    <cellStyle name="60% - 강조색4 3 3" xfId="8044" xr:uid="{00000000-0005-0000-0000-0000BC180000}"/>
    <cellStyle name="60% - 강조색4 3 3 2" xfId="8045" xr:uid="{00000000-0005-0000-0000-0000BD180000}"/>
    <cellStyle name="60% - 강조색4 4" xfId="8046" xr:uid="{00000000-0005-0000-0000-0000BE180000}"/>
    <cellStyle name="60% - 강조색4 4 2" xfId="8047" xr:uid="{00000000-0005-0000-0000-0000BF180000}"/>
    <cellStyle name="60% - 강조색4 4 2 2" xfId="8048" xr:uid="{00000000-0005-0000-0000-0000C0180000}"/>
    <cellStyle name="60% - 강조색4 4 2 2 2" xfId="8049" xr:uid="{00000000-0005-0000-0000-0000C1180000}"/>
    <cellStyle name="60% - 강조색4 4 3" xfId="8050" xr:uid="{00000000-0005-0000-0000-0000C2180000}"/>
    <cellStyle name="60% - 강조색4 4 3 2" xfId="8051" xr:uid="{00000000-0005-0000-0000-0000C3180000}"/>
    <cellStyle name="60% - 강조색4 5" xfId="8052" xr:uid="{00000000-0005-0000-0000-0000C4180000}"/>
    <cellStyle name="60% - 강조색5 2" xfId="8053" xr:uid="{00000000-0005-0000-0000-0000C5180000}"/>
    <cellStyle name="60% - 강조색5 2 2" xfId="8054" xr:uid="{00000000-0005-0000-0000-0000C6180000}"/>
    <cellStyle name="60% - 강조색5 2 2 2" xfId="8055" xr:uid="{00000000-0005-0000-0000-0000C7180000}"/>
    <cellStyle name="60% - 강조색5 2 2 2 2" xfId="8056" xr:uid="{00000000-0005-0000-0000-0000C8180000}"/>
    <cellStyle name="60% - 강조색5 2 3" xfId="8057" xr:uid="{00000000-0005-0000-0000-0000C9180000}"/>
    <cellStyle name="60% - 강조색5 2 3 2" xfId="8058" xr:uid="{00000000-0005-0000-0000-0000CA180000}"/>
    <cellStyle name="60% - 강조색5 3" xfId="8059" xr:uid="{00000000-0005-0000-0000-0000CB180000}"/>
    <cellStyle name="60% - 강조색5 3 2" xfId="8060" xr:uid="{00000000-0005-0000-0000-0000CC180000}"/>
    <cellStyle name="60% - 강조색5 3 2 2" xfId="8061" xr:uid="{00000000-0005-0000-0000-0000CD180000}"/>
    <cellStyle name="60% - 강조색5 3 2 2 2" xfId="8062" xr:uid="{00000000-0005-0000-0000-0000CE180000}"/>
    <cellStyle name="60% - 강조색5 3 3" xfId="8063" xr:uid="{00000000-0005-0000-0000-0000CF180000}"/>
    <cellStyle name="60% - 강조색5 3 3 2" xfId="8064" xr:uid="{00000000-0005-0000-0000-0000D0180000}"/>
    <cellStyle name="60% - 강조색5 4" xfId="8065" xr:uid="{00000000-0005-0000-0000-0000D1180000}"/>
    <cellStyle name="60% - 강조색5 4 2" xfId="8066" xr:uid="{00000000-0005-0000-0000-0000D2180000}"/>
    <cellStyle name="60% - 강조색5 4 2 2" xfId="8067" xr:uid="{00000000-0005-0000-0000-0000D3180000}"/>
    <cellStyle name="60% - 강조색5 4 2 2 2" xfId="8068" xr:uid="{00000000-0005-0000-0000-0000D4180000}"/>
    <cellStyle name="60% - 강조색5 4 3" xfId="8069" xr:uid="{00000000-0005-0000-0000-0000D5180000}"/>
    <cellStyle name="60% - 강조색5 4 3 2" xfId="8070" xr:uid="{00000000-0005-0000-0000-0000D6180000}"/>
    <cellStyle name="60% - 강조색5 5" xfId="8071" xr:uid="{00000000-0005-0000-0000-0000D7180000}"/>
    <cellStyle name="60% - 강조색6 2" xfId="8072" xr:uid="{00000000-0005-0000-0000-0000D8180000}"/>
    <cellStyle name="60% - 강조색6 2 2" xfId="8073" xr:uid="{00000000-0005-0000-0000-0000D9180000}"/>
    <cellStyle name="60% - 강조색6 2 2 2" xfId="8074" xr:uid="{00000000-0005-0000-0000-0000DA180000}"/>
    <cellStyle name="60% - 강조색6 2 2 2 2" xfId="8075" xr:uid="{00000000-0005-0000-0000-0000DB180000}"/>
    <cellStyle name="60% - 강조색6 2 3" xfId="8076" xr:uid="{00000000-0005-0000-0000-0000DC180000}"/>
    <cellStyle name="60% - 강조색6 2 3 2" xfId="8077" xr:uid="{00000000-0005-0000-0000-0000DD180000}"/>
    <cellStyle name="60% - 강조색6 3" xfId="8078" xr:uid="{00000000-0005-0000-0000-0000DE180000}"/>
    <cellStyle name="60% - 강조색6 3 2" xfId="8079" xr:uid="{00000000-0005-0000-0000-0000DF180000}"/>
    <cellStyle name="60% - 강조색6 3 2 2" xfId="8080" xr:uid="{00000000-0005-0000-0000-0000E0180000}"/>
    <cellStyle name="60% - 강조색6 3 2 2 2" xfId="8081" xr:uid="{00000000-0005-0000-0000-0000E1180000}"/>
    <cellStyle name="60% - 강조색6 3 3" xfId="8082" xr:uid="{00000000-0005-0000-0000-0000E2180000}"/>
    <cellStyle name="60% - 강조색6 3 3 2" xfId="8083" xr:uid="{00000000-0005-0000-0000-0000E3180000}"/>
    <cellStyle name="60% - 강조색6 4" xfId="8084" xr:uid="{00000000-0005-0000-0000-0000E4180000}"/>
    <cellStyle name="60% - 강조색6 4 2" xfId="8085" xr:uid="{00000000-0005-0000-0000-0000E5180000}"/>
    <cellStyle name="60% - 강조색6 4 2 2" xfId="8086" xr:uid="{00000000-0005-0000-0000-0000E6180000}"/>
    <cellStyle name="60% - 강조색6 4 2 2 2" xfId="8087" xr:uid="{00000000-0005-0000-0000-0000E7180000}"/>
    <cellStyle name="60% - 강조색6 4 3" xfId="8088" xr:uid="{00000000-0005-0000-0000-0000E8180000}"/>
    <cellStyle name="60% - 강조색6 4 3 2" xfId="8089" xr:uid="{00000000-0005-0000-0000-0000E9180000}"/>
    <cellStyle name="60% - 강조색6 5" xfId="8090" xr:uid="{00000000-0005-0000-0000-0000EA180000}"/>
    <cellStyle name="_x0014_7." xfId="8091" xr:uid="{00000000-0005-0000-0000-0000EB180000}"/>
    <cellStyle name="_x0014_7. 2" xfId="8092" xr:uid="{00000000-0005-0000-0000-0000EC180000}"/>
    <cellStyle name="_x0014_7. 2 2" xfId="8093" xr:uid="{00000000-0005-0000-0000-0000ED180000}"/>
    <cellStyle name="82" xfId="8094" xr:uid="{00000000-0005-0000-0000-0000EE180000}"/>
    <cellStyle name="82 2" xfId="8095" xr:uid="{00000000-0005-0000-0000-0000EF180000}"/>
    <cellStyle name="82 2 2" xfId="8096" xr:uid="{00000000-0005-0000-0000-0000F0180000}"/>
    <cellStyle name="82 3" xfId="8097" xr:uid="{00000000-0005-0000-0000-0000F1180000}"/>
    <cellStyle name="9" xfId="4905" xr:uid="{00000000-0005-0000-0000-0000F2180000}"/>
    <cellStyle name="9_04포장공(011,012)" xfId="4906" xr:uid="{00000000-0005-0000-0000-0000F3180000}"/>
    <cellStyle name="9_수량" xfId="4907" xr:uid="{00000000-0005-0000-0000-0000F4180000}"/>
    <cellStyle name="9_주요자재집계표" xfId="4908" xr:uid="{00000000-0005-0000-0000-0000F5180000}"/>
    <cellStyle name="90" xfId="8098" xr:uid="{00000000-0005-0000-0000-0000F6180000}"/>
    <cellStyle name="90 2" xfId="8099" xr:uid="{00000000-0005-0000-0000-0000F7180000}"/>
    <cellStyle name="90 2 2" xfId="8100" xr:uid="{00000000-0005-0000-0000-0000F8180000}"/>
    <cellStyle name="96" xfId="4909" xr:uid="{00000000-0005-0000-0000-0000F9180000}"/>
    <cellStyle name="a" xfId="2355" xr:uid="{00000000-0005-0000-0000-0000FA180000}"/>
    <cellStyle name="a [0]_mud plant bolted" xfId="1480" xr:uid="{00000000-0005-0000-0000-0000FB180000}"/>
    <cellStyle name="a)" xfId="5023" xr:uid="{00000000-0005-0000-0000-0000FC180000}"/>
    <cellStyle name="A¡§¡ⓒ¡E¡þ¡EO [0]_¡§uc¡§oA " xfId="1481" xr:uid="{00000000-0005-0000-0000-0000FD180000}"/>
    <cellStyle name="A¡§¡ⓒ¡E¡þ¡EO_¡§uc¡§oA " xfId="1482" xr:uid="{00000000-0005-0000-0000-0000FE180000}"/>
    <cellStyle name="A¨­???? [0]_INQUIRY ????¨?¡?A??A?ª " xfId="1483" xr:uid="{00000000-0005-0000-0000-0000FF180000}"/>
    <cellStyle name="A¨­????_INQUIRY ????¨?¡?A??A?ª " xfId="1484" xr:uid="{00000000-0005-0000-0000-000000190000}"/>
    <cellStyle name="A¨­￠￢￠O [0]_¡Æu￠￢RBS('98) " xfId="1485" xr:uid="{00000000-0005-0000-0000-000001190000}"/>
    <cellStyle name="A¨­¢¬¢Ò [0]_¨úc¨öA " xfId="1486" xr:uid="{00000000-0005-0000-0000-000002190000}"/>
    <cellStyle name="A¨­￠￢￠O [0]_￠￥U¡Æe¨￢¡Æ ¡¾￠￢Aa¨uE" xfId="943" xr:uid="{00000000-0005-0000-0000-000003190000}"/>
    <cellStyle name="A¨­¢¬¢Ò [0]_4PART " xfId="1487" xr:uid="{00000000-0005-0000-0000-000004190000}"/>
    <cellStyle name="A¨­￠￢￠O [0]_A|A￠O1¨￢I1¡Æu CoEⓒ÷ " xfId="1488" xr:uid="{00000000-0005-0000-0000-000005190000}"/>
    <cellStyle name="A¨­¢¬¢Ò [0]_C¡Æ¢¬n¨¬¡Æ " xfId="1489" xr:uid="{00000000-0005-0000-0000-000006190000}"/>
    <cellStyle name="A¨­￠￢￠O [0]_ⓒoⓒ¡A¨o¨￢R " xfId="1490" xr:uid="{00000000-0005-0000-0000-000007190000}"/>
    <cellStyle name="A¨­¢¬¢Ò [0]_INQUIRY ¢¯¥ì¨ú¡ÀA©¬A©ª " xfId="1491" xr:uid="{00000000-0005-0000-0000-000008190000}"/>
    <cellStyle name="A¨­￠￢￠O_¡Æu￠￢RC¡¿￠￢n_¨u¡AA¨u¨￢¡Æ " xfId="1492" xr:uid="{00000000-0005-0000-0000-000009190000}"/>
    <cellStyle name="A¨­¢¬¢Ò_¨úc¨öA " xfId="1493" xr:uid="{00000000-0005-0000-0000-00000A190000}"/>
    <cellStyle name="A¨­￠￢￠O_￠￥U¡Æe¨￢¡Æ ¡¾￠￢Aa¨uE" xfId="944" xr:uid="{00000000-0005-0000-0000-00000B190000}"/>
    <cellStyle name="A¨­¢¬¢Ò_95©øaAN¡Æy¨ùo¡¤R " xfId="1494" xr:uid="{00000000-0005-0000-0000-00000C190000}"/>
    <cellStyle name="A¨­￠￢￠O_A|A￠O1¨￢I1¡Æu CoEⓒ÷ " xfId="1495" xr:uid="{00000000-0005-0000-0000-00000D190000}"/>
    <cellStyle name="A¨­¢¬¢Ò_C¡Æ¢¬n¨¬¡Æ " xfId="1496" xr:uid="{00000000-0005-0000-0000-00000E190000}"/>
    <cellStyle name="A¨­￠￢￠O_ⓒoⓒ¡A¨o¨￢R " xfId="1497" xr:uid="{00000000-0005-0000-0000-00000F190000}"/>
    <cellStyle name="A¨­¢¬¢Ò_INQUIRY ¢¯¥ì¨ú¡ÀA©¬A©ª " xfId="1498" xr:uid="{00000000-0005-0000-0000-000010190000}"/>
    <cellStyle name="aa" xfId="8101" xr:uid="{00000000-0005-0000-0000-000011190000}"/>
    <cellStyle name="aa 2" xfId="8102" xr:uid="{00000000-0005-0000-0000-000012190000}"/>
    <cellStyle name="aa 2 2" xfId="8103" xr:uid="{00000000-0005-0000-0000-000013190000}"/>
    <cellStyle name="ȂȃRMऌଃਁȋ⤭ࠀȄԂȂ(ȃRMऌଃਁȋ⤂Ā飰ˠ" xfId="1499" xr:uid="{00000000-0005-0000-0000-000014190000}"/>
    <cellStyle name="Actual Date" xfId="5024" xr:uid="{00000000-0005-0000-0000-000015190000}"/>
    <cellStyle name="Actual Date 2" xfId="8104" xr:uid="{00000000-0005-0000-0000-000016190000}"/>
    <cellStyle name="Actual Date 2 2" xfId="8105" xr:uid="{00000000-0005-0000-0000-000017190000}"/>
    <cellStyle name="Aee­" xfId="8106" xr:uid="{00000000-0005-0000-0000-000018190000}"/>
    <cellStyle name="Aee­ " xfId="2356" xr:uid="{00000000-0005-0000-0000-000019190000}"/>
    <cellStyle name="Aee­  2" xfId="8107" xr:uid="{00000000-0005-0000-0000-00001A190000}"/>
    <cellStyle name="Aee­  2 2" xfId="8108" xr:uid="{00000000-0005-0000-0000-00001B190000}"/>
    <cellStyle name="Aee­ [0]" xfId="8109" xr:uid="{00000000-0005-0000-0000-00001C190000}"/>
    <cellStyle name="ÅëÈ­ [0]_¸ðÇü¸·" xfId="1500" xr:uid="{00000000-0005-0000-0000-00001D190000}"/>
    <cellStyle name="AeE­ [0]_°eE¹_11¿a½A " xfId="8110" xr:uid="{00000000-0005-0000-0000-00001E190000}"/>
    <cellStyle name="ÅëÈ­ [0]_¾÷Á¾º° " xfId="1501" xr:uid="{00000000-0005-0000-0000-00001F190000}"/>
    <cellStyle name="AeE­ [0]_¾c½A " xfId="1502" xr:uid="{00000000-0005-0000-0000-000020190000}"/>
    <cellStyle name="ÅëÈ­ [0]_¹æÀ½º® " xfId="1503" xr:uid="{00000000-0005-0000-0000-000021190000}"/>
    <cellStyle name="AeE­ [0]_4PART " xfId="1504" xr:uid="{00000000-0005-0000-0000-000022190000}"/>
    <cellStyle name="ÅëÈ­ [0]_7°èÈ¹ " xfId="5025" xr:uid="{00000000-0005-0000-0000-000023190000}"/>
    <cellStyle name="AeE­ [0]_A¾CO½A¼³ " xfId="1505" xr:uid="{00000000-0005-0000-0000-000024190000}"/>
    <cellStyle name="ÅëÈ­ [0]_Á¾ÇÕ½Å¼³ " xfId="1506" xr:uid="{00000000-0005-0000-0000-000025190000}"/>
    <cellStyle name="AeE­ [0]_A¾CO½A¼³  2" xfId="5026" xr:uid="{00000000-0005-0000-0000-000026190000}"/>
    <cellStyle name="ÅëÈ­ [0]_Á¾ÇÕÃ¶°ÅºÐ " xfId="1507" xr:uid="{00000000-0005-0000-0000-000027190000}"/>
    <cellStyle name="AeE­ [0]_AMT " xfId="1508" xr:uid="{00000000-0005-0000-0000-000028190000}"/>
    <cellStyle name="ÅëÈ­ [0]_FINAL(¿øº») " xfId="1509" xr:uid="{00000000-0005-0000-0000-000029190000}"/>
    <cellStyle name="AeE­ [0]_INQUIRY ¿μ¾÷AßAø " xfId="1510" xr:uid="{00000000-0005-0000-0000-00002A190000}"/>
    <cellStyle name="ÅëÈ­ [0]_laroux" xfId="1511" xr:uid="{00000000-0005-0000-0000-00002B190000}"/>
    <cellStyle name="AeE­ [0]_laroux_1" xfId="5027" xr:uid="{00000000-0005-0000-0000-00002C190000}"/>
    <cellStyle name="ÅëÈ­ [0]_laroux_1" xfId="5028" xr:uid="{00000000-0005-0000-0000-00002D190000}"/>
    <cellStyle name="AeE­ [0]_laroux_1 2" xfId="8111" xr:uid="{00000000-0005-0000-0000-00002E190000}"/>
    <cellStyle name="ÅëÈ­ [0]_laroux_1 2" xfId="8112" xr:uid="{00000000-0005-0000-0000-00002F190000}"/>
    <cellStyle name="AeE­ [0]_laroux_1 2 2" xfId="8113" xr:uid="{00000000-0005-0000-0000-000030190000}"/>
    <cellStyle name="ÅëÈ­ [0]_laroux_1 2 2" xfId="8114" xr:uid="{00000000-0005-0000-0000-000031190000}"/>
    <cellStyle name="AeE­ [0]_laroux_1 2 3" xfId="8115" xr:uid="{00000000-0005-0000-0000-000032190000}"/>
    <cellStyle name="ÅëÈ­ [0]_laroux_1 2 3" xfId="8116" xr:uid="{00000000-0005-0000-0000-000033190000}"/>
    <cellStyle name="AeE­ [0]_laroux_1 2 4" xfId="8117" xr:uid="{00000000-0005-0000-0000-000034190000}"/>
    <cellStyle name="ÅëÈ­ [0]_laroux_1 2 4" xfId="8118" xr:uid="{00000000-0005-0000-0000-000035190000}"/>
    <cellStyle name="AeE­ [0]_laroux_1 2 5" xfId="8119" xr:uid="{00000000-0005-0000-0000-000036190000}"/>
    <cellStyle name="ÅëÈ­ [0]_laroux_1 2 5" xfId="8120" xr:uid="{00000000-0005-0000-0000-000037190000}"/>
    <cellStyle name="AeE­ [0]_laroux_1 2 6" xfId="8121" xr:uid="{00000000-0005-0000-0000-000038190000}"/>
    <cellStyle name="ÅëÈ­ [0]_laroux_1 2 6" xfId="8122" xr:uid="{00000000-0005-0000-0000-000039190000}"/>
    <cellStyle name="AeE­ [0]_laroux_2" xfId="5029" xr:uid="{00000000-0005-0000-0000-00003A190000}"/>
    <cellStyle name="ÅëÈ­ [0]_laroux_2" xfId="5030" xr:uid="{00000000-0005-0000-0000-00003B190000}"/>
    <cellStyle name="AeE­ [0]_laroux_2 2" xfId="8123" xr:uid="{00000000-0005-0000-0000-00003C190000}"/>
    <cellStyle name="ÅëÈ­ [0]_laroux_2 2" xfId="8124" xr:uid="{00000000-0005-0000-0000-00003D190000}"/>
    <cellStyle name="AeE­ [0]_laroux_2 2 2" xfId="8125" xr:uid="{00000000-0005-0000-0000-00003E190000}"/>
    <cellStyle name="ÅëÈ­ [0]_laroux_2 2 2" xfId="8126" xr:uid="{00000000-0005-0000-0000-00003F190000}"/>
    <cellStyle name="AeE­ [0]_laroux_2 2 3" xfId="8127" xr:uid="{00000000-0005-0000-0000-000040190000}"/>
    <cellStyle name="ÅëÈ­ [0]_laroux_2 2 3" xfId="8128" xr:uid="{00000000-0005-0000-0000-000041190000}"/>
    <cellStyle name="AeE­ [0]_laroux_2 2 4" xfId="8129" xr:uid="{00000000-0005-0000-0000-000042190000}"/>
    <cellStyle name="ÅëÈ­ [0]_laroux_2 2 4" xfId="8130" xr:uid="{00000000-0005-0000-0000-000043190000}"/>
    <cellStyle name="AeE­ [0]_laroux_2 2 5" xfId="8131" xr:uid="{00000000-0005-0000-0000-000044190000}"/>
    <cellStyle name="ÅëÈ­ [0]_laroux_2 2 5" xfId="8132" xr:uid="{00000000-0005-0000-0000-000045190000}"/>
    <cellStyle name="AeE­ [0]_laroux_2 2 6" xfId="8133" xr:uid="{00000000-0005-0000-0000-000046190000}"/>
    <cellStyle name="ÅëÈ­ [0]_laroux_2 2 6" xfId="8134" xr:uid="{00000000-0005-0000-0000-000047190000}"/>
    <cellStyle name="AeE­ [0]_º≫¼± ±æ¾i±uºI ¼o·R Ay°eC￥ " xfId="5031" xr:uid="{00000000-0005-0000-0000-000048190000}"/>
    <cellStyle name="ÅëÈ­ [0]_RESULTS" xfId="1512" xr:uid="{00000000-0005-0000-0000-000049190000}"/>
    <cellStyle name="Aee­ _1.설계내역서,2.일위대가표(전기)" xfId="8135" xr:uid="{00000000-0005-0000-0000-00004A190000}"/>
    <cellStyle name="AeE­_ 2ÆAAþº° " xfId="1513" xr:uid="{00000000-0005-0000-0000-00004B190000}"/>
    <cellStyle name="ÅëÈ­_¸ðÇü¸·" xfId="1514" xr:uid="{00000000-0005-0000-0000-00004C190000}"/>
    <cellStyle name="AeE­_°eE¹_11¿a½A " xfId="8136" xr:uid="{00000000-0005-0000-0000-00004D190000}"/>
    <cellStyle name="ÅëÈ­_¾÷Á¾º° " xfId="1515" xr:uid="{00000000-0005-0000-0000-00004E190000}"/>
    <cellStyle name="AeE­_¾c½A " xfId="1516" xr:uid="{00000000-0005-0000-0000-00004F190000}"/>
    <cellStyle name="ÅëÈ­_¹æÀ½º® " xfId="1517" xr:uid="{00000000-0005-0000-0000-000050190000}"/>
    <cellStyle name="AeE­_4PART " xfId="1518" xr:uid="{00000000-0005-0000-0000-000051190000}"/>
    <cellStyle name="ÅëÈ­_7°èÈ¹ " xfId="5032" xr:uid="{00000000-0005-0000-0000-000052190000}"/>
    <cellStyle name="AeE­_A¾CO½A¼³ " xfId="1519" xr:uid="{00000000-0005-0000-0000-000053190000}"/>
    <cellStyle name="ÅëÈ­_Á¾ÇÕ½Å¼³ " xfId="1520" xr:uid="{00000000-0005-0000-0000-000054190000}"/>
    <cellStyle name="AeE­_A¾CO½A¼³  2" xfId="5033" xr:uid="{00000000-0005-0000-0000-000055190000}"/>
    <cellStyle name="ÅëÈ­_Á¾ÇÕÃ¶°ÅºÐ " xfId="1521" xr:uid="{00000000-0005-0000-0000-000056190000}"/>
    <cellStyle name="AeE­_AMT " xfId="1522" xr:uid="{00000000-0005-0000-0000-000057190000}"/>
    <cellStyle name="ÅëÈ­_FINAL(¿øº») " xfId="1523" xr:uid="{00000000-0005-0000-0000-000058190000}"/>
    <cellStyle name="AeE­_INQUIRY ¿μ¾÷AßAø " xfId="1524" xr:uid="{00000000-0005-0000-0000-000059190000}"/>
    <cellStyle name="ÅëÈ­_laroux" xfId="1525" xr:uid="{00000000-0005-0000-0000-00005A190000}"/>
    <cellStyle name="AeE­_laroux_1" xfId="5034" xr:uid="{00000000-0005-0000-0000-00005B190000}"/>
    <cellStyle name="ÅëÈ­_laroux_1" xfId="5035" xr:uid="{00000000-0005-0000-0000-00005C190000}"/>
    <cellStyle name="AeE­_laroux_1 2" xfId="8137" xr:uid="{00000000-0005-0000-0000-00005D190000}"/>
    <cellStyle name="ÅëÈ­_laroux_1 2" xfId="8138" xr:uid="{00000000-0005-0000-0000-00005E190000}"/>
    <cellStyle name="AeE­_laroux_1 2 2" xfId="8139" xr:uid="{00000000-0005-0000-0000-00005F190000}"/>
    <cellStyle name="ÅëÈ­_laroux_1 2 2" xfId="8140" xr:uid="{00000000-0005-0000-0000-000060190000}"/>
    <cellStyle name="AeE­_laroux_1 2 3" xfId="8141" xr:uid="{00000000-0005-0000-0000-000061190000}"/>
    <cellStyle name="ÅëÈ­_laroux_1 2 3" xfId="8142" xr:uid="{00000000-0005-0000-0000-000062190000}"/>
    <cellStyle name="AeE­_laroux_1 2 4" xfId="8143" xr:uid="{00000000-0005-0000-0000-000063190000}"/>
    <cellStyle name="ÅëÈ­_laroux_1 2 4" xfId="8144" xr:uid="{00000000-0005-0000-0000-000064190000}"/>
    <cellStyle name="AeE­_laroux_1 2 5" xfId="8145" xr:uid="{00000000-0005-0000-0000-000065190000}"/>
    <cellStyle name="ÅëÈ­_laroux_1 2 5" xfId="8146" xr:uid="{00000000-0005-0000-0000-000066190000}"/>
    <cellStyle name="AeE­_laroux_1 2 6" xfId="8147" xr:uid="{00000000-0005-0000-0000-000067190000}"/>
    <cellStyle name="ÅëÈ­_laroux_1 2 6" xfId="8148" xr:uid="{00000000-0005-0000-0000-000068190000}"/>
    <cellStyle name="AeE­_laroux_2" xfId="5036" xr:uid="{00000000-0005-0000-0000-000069190000}"/>
    <cellStyle name="ÅëÈ­_laroux_2" xfId="5037" xr:uid="{00000000-0005-0000-0000-00006A190000}"/>
    <cellStyle name="AeE­_laroux_2 2" xfId="8149" xr:uid="{00000000-0005-0000-0000-00006B190000}"/>
    <cellStyle name="ÅëÈ­_laroux_2 2" xfId="8150" xr:uid="{00000000-0005-0000-0000-00006C190000}"/>
    <cellStyle name="AeE­_laroux_2 2 2" xfId="8151" xr:uid="{00000000-0005-0000-0000-00006D190000}"/>
    <cellStyle name="ÅëÈ­_laroux_2 2 2" xfId="8152" xr:uid="{00000000-0005-0000-0000-00006E190000}"/>
    <cellStyle name="AeE­_laroux_2 2 3" xfId="8153" xr:uid="{00000000-0005-0000-0000-00006F190000}"/>
    <cellStyle name="ÅëÈ­_laroux_2 2 3" xfId="8154" xr:uid="{00000000-0005-0000-0000-000070190000}"/>
    <cellStyle name="AeE­_laroux_2 2 4" xfId="8155" xr:uid="{00000000-0005-0000-0000-000071190000}"/>
    <cellStyle name="ÅëÈ­_laroux_2 2 4" xfId="8156" xr:uid="{00000000-0005-0000-0000-000072190000}"/>
    <cellStyle name="AeE­_laroux_2 2 5" xfId="8157" xr:uid="{00000000-0005-0000-0000-000073190000}"/>
    <cellStyle name="ÅëÈ­_laroux_2 2 5" xfId="8158" xr:uid="{00000000-0005-0000-0000-000074190000}"/>
    <cellStyle name="AeE­_laroux_2 2 6" xfId="8159" xr:uid="{00000000-0005-0000-0000-000075190000}"/>
    <cellStyle name="ÅëÈ­_laroux_2 2 6" xfId="8160" xr:uid="{00000000-0005-0000-0000-000076190000}"/>
    <cellStyle name="AeE­_º≫¼± ±æ¾i±uºI ¼o·R Ay°eC￥ " xfId="5038" xr:uid="{00000000-0005-0000-0000-000077190000}"/>
    <cellStyle name="ÅëÈ­_RESULTS" xfId="1526" xr:uid="{00000000-0005-0000-0000-000078190000}"/>
    <cellStyle name="AeE¡? [0]_INQUIRY ????¨?¡?A??A?ª " xfId="1527" xr:uid="{00000000-0005-0000-0000-000079190000}"/>
    <cellStyle name="AeE¡?_INQUIRY ????¨?¡?A??A?ª " xfId="1528" xr:uid="{00000000-0005-0000-0000-00007A190000}"/>
    <cellStyle name="AeE¡© [0]_¨úc¨öA " xfId="1529" xr:uid="{00000000-0005-0000-0000-00007B190000}"/>
    <cellStyle name="AeE¡©_¨úc¨öA " xfId="1530" xr:uid="{00000000-0005-0000-0000-00007C190000}"/>
    <cellStyle name="AeE¡ⓒ [0]_¡Æu￠￢RC¡¿￠￢n_¨u¡AA¨u¨￢¡Æ " xfId="1531" xr:uid="{00000000-0005-0000-0000-00007D190000}"/>
    <cellStyle name="AeE¡ⓒ_¡Æu￠￢RC¡¿￠￢n_¨u¡AA¨u¨￢¡Æ " xfId="1532" xr:uid="{00000000-0005-0000-0000-00007E190000}"/>
    <cellStyle name="AeE￠R¨I [0]_¡§uc¡§oA " xfId="1533" xr:uid="{00000000-0005-0000-0000-00007F190000}"/>
    <cellStyle name="AeE￠R¨I_¡§uc¡§oA " xfId="1534" xr:uid="{00000000-0005-0000-0000-000080190000}"/>
    <cellStyle name="Æu¼ " xfId="5039" xr:uid="{00000000-0005-0000-0000-000081190000}"/>
    <cellStyle name="ÆÛ¼¾Æ®" xfId="1537" xr:uid="{00000000-0005-0000-0000-000082190000}"/>
    <cellStyle name="Æu¼¾æR" xfId="5040" xr:uid="{00000000-0005-0000-0000-000083190000}"/>
    <cellStyle name="Æu¼¾æR 2" xfId="8161" xr:uid="{00000000-0005-0000-0000-000084190000}"/>
    <cellStyle name="Æu¼¾æR 2 2" xfId="8162" xr:uid="{00000000-0005-0000-0000-000085190000}"/>
    <cellStyle name="ALIGNMENT" xfId="945" xr:uid="{00000000-0005-0000-0000-000086190000}"/>
    <cellStyle name="ALIGNMENT 2" xfId="8163" xr:uid="{00000000-0005-0000-0000-000087190000}"/>
    <cellStyle name="ALIGNMENT 2 2" xfId="8164" xr:uid="{00000000-0005-0000-0000-000088190000}"/>
    <cellStyle name="args.style" xfId="1538" xr:uid="{00000000-0005-0000-0000-000089190000}"/>
    <cellStyle name="Aþ¸¶" xfId="8165" xr:uid="{00000000-0005-0000-0000-00008A190000}"/>
    <cellStyle name="Aþ¸¶ [0]" xfId="8166" xr:uid="{00000000-0005-0000-0000-00008B190000}"/>
    <cellStyle name="ÄÞ¸¶ [0]_¸ðÇü¸·" xfId="1539" xr:uid="{00000000-0005-0000-0000-00008C190000}"/>
    <cellStyle name="AÞ¸¶ [0]_°eE¹_11¿a½A " xfId="8167" xr:uid="{00000000-0005-0000-0000-00008D190000}"/>
    <cellStyle name="ÄÞ¸¶ [0]_°ü¸®BS('98) " xfId="1540" xr:uid="{00000000-0005-0000-0000-00008E190000}"/>
    <cellStyle name="AÞ¸¶ [0]_¼oAI¼º " xfId="1541" xr:uid="{00000000-0005-0000-0000-00008F190000}"/>
    <cellStyle name="ÄÞ¸¶ [0]_¾÷Á¾º° " xfId="1542" xr:uid="{00000000-0005-0000-0000-000090190000}"/>
    <cellStyle name="AÞ¸¶ [0]_¾c½A " xfId="1543" xr:uid="{00000000-0005-0000-0000-000091190000}"/>
    <cellStyle name="ÄÞ¸¶ [0]_¹æÀ½º® " xfId="1544" xr:uid="{00000000-0005-0000-0000-000092190000}"/>
    <cellStyle name="AÞ¸¶ [0]_4PART " xfId="1545" xr:uid="{00000000-0005-0000-0000-000093190000}"/>
    <cellStyle name="ÄÞ¸¶ [0]_7°èÈ¹ " xfId="5041" xr:uid="{00000000-0005-0000-0000-000094190000}"/>
    <cellStyle name="AÞ¸¶ [0]_A¾CO½A¼³ " xfId="1546" xr:uid="{00000000-0005-0000-0000-000095190000}"/>
    <cellStyle name="ÄÞ¸¶ [0]_Á¾ÇÕ½Å¼³ " xfId="1547" xr:uid="{00000000-0005-0000-0000-000096190000}"/>
    <cellStyle name="AÞ¸¶ [0]_A¾CO½A¼³  2" xfId="5042" xr:uid="{00000000-0005-0000-0000-000097190000}"/>
    <cellStyle name="ÄÞ¸¶ [0]_Á¾ÇÕÃ¶°ÅºÐ " xfId="1548" xr:uid="{00000000-0005-0000-0000-000098190000}"/>
    <cellStyle name="AÞ¸¶ [0]_AN°y(1.25) " xfId="1549" xr:uid="{00000000-0005-0000-0000-000099190000}"/>
    <cellStyle name="ÄÞ¸¶ [0]_FINAL(¿øº») " xfId="1550" xr:uid="{00000000-0005-0000-0000-00009A190000}"/>
    <cellStyle name="AÞ¸¶ [0]_INQUIRY ¿μ¾÷AßAø " xfId="1551" xr:uid="{00000000-0005-0000-0000-00009B190000}"/>
    <cellStyle name="ÄÞ¸¶ [0]_laroux" xfId="1552" xr:uid="{00000000-0005-0000-0000-00009C190000}"/>
    <cellStyle name="AÞ¸¶ [0]_laroux_1" xfId="5043" xr:uid="{00000000-0005-0000-0000-00009D190000}"/>
    <cellStyle name="ÄÞ¸¶ [0]_laroux_1" xfId="5044" xr:uid="{00000000-0005-0000-0000-00009E190000}"/>
    <cellStyle name="AÞ¸¶ [0]_laroux_1 2" xfId="8168" xr:uid="{00000000-0005-0000-0000-00009F190000}"/>
    <cellStyle name="ÄÞ¸¶ [0]_laroux_1 2" xfId="8169" xr:uid="{00000000-0005-0000-0000-0000A0190000}"/>
    <cellStyle name="AÞ¸¶ [0]_laroux_1 2 2" xfId="8170" xr:uid="{00000000-0005-0000-0000-0000A1190000}"/>
    <cellStyle name="ÄÞ¸¶ [0]_laroux_1 2 2" xfId="8171" xr:uid="{00000000-0005-0000-0000-0000A2190000}"/>
    <cellStyle name="AÞ¸¶ [0]_laroux_1 2 3" xfId="8172" xr:uid="{00000000-0005-0000-0000-0000A3190000}"/>
    <cellStyle name="ÄÞ¸¶ [0]_laroux_1 2 3" xfId="8173" xr:uid="{00000000-0005-0000-0000-0000A4190000}"/>
    <cellStyle name="AÞ¸¶ [0]_laroux_1 2 4" xfId="8174" xr:uid="{00000000-0005-0000-0000-0000A5190000}"/>
    <cellStyle name="ÄÞ¸¶ [0]_laroux_1 2 4" xfId="8175" xr:uid="{00000000-0005-0000-0000-0000A6190000}"/>
    <cellStyle name="AÞ¸¶ [0]_laroux_1 2 5" xfId="8176" xr:uid="{00000000-0005-0000-0000-0000A7190000}"/>
    <cellStyle name="ÄÞ¸¶ [0]_laroux_1 2 5" xfId="8177" xr:uid="{00000000-0005-0000-0000-0000A8190000}"/>
    <cellStyle name="AÞ¸¶ [0]_laroux_1 2 6" xfId="8178" xr:uid="{00000000-0005-0000-0000-0000A9190000}"/>
    <cellStyle name="ÄÞ¸¶ [0]_laroux_1 2 6" xfId="8179" xr:uid="{00000000-0005-0000-0000-0000AA190000}"/>
    <cellStyle name="AÞ¸¶ [0]_laroux_2" xfId="5045" xr:uid="{00000000-0005-0000-0000-0000AB190000}"/>
    <cellStyle name="ÄÞ¸¶ [0]_laroux_2" xfId="5046" xr:uid="{00000000-0005-0000-0000-0000AC190000}"/>
    <cellStyle name="AÞ¸¶ [0]_laroux_2 2" xfId="8180" xr:uid="{00000000-0005-0000-0000-0000AD190000}"/>
    <cellStyle name="ÄÞ¸¶ [0]_laroux_2 2" xfId="8181" xr:uid="{00000000-0005-0000-0000-0000AE190000}"/>
    <cellStyle name="AÞ¸¶ [0]_laroux_2 2 2" xfId="8182" xr:uid="{00000000-0005-0000-0000-0000AF190000}"/>
    <cellStyle name="ÄÞ¸¶ [0]_laroux_2 2 2" xfId="8183" xr:uid="{00000000-0005-0000-0000-0000B0190000}"/>
    <cellStyle name="AÞ¸¶ [0]_laroux_2 2 3" xfId="8184" xr:uid="{00000000-0005-0000-0000-0000B1190000}"/>
    <cellStyle name="ÄÞ¸¶ [0]_laroux_2 2 3" xfId="8185" xr:uid="{00000000-0005-0000-0000-0000B2190000}"/>
    <cellStyle name="AÞ¸¶ [0]_laroux_2 2 4" xfId="8186" xr:uid="{00000000-0005-0000-0000-0000B3190000}"/>
    <cellStyle name="ÄÞ¸¶ [0]_laroux_2 2 4" xfId="8187" xr:uid="{00000000-0005-0000-0000-0000B4190000}"/>
    <cellStyle name="AÞ¸¶ [0]_laroux_2 2 5" xfId="8188" xr:uid="{00000000-0005-0000-0000-0000B5190000}"/>
    <cellStyle name="ÄÞ¸¶ [0]_laroux_2 2 5" xfId="8189" xr:uid="{00000000-0005-0000-0000-0000B6190000}"/>
    <cellStyle name="AÞ¸¶ [0]_laroux_2 2 6" xfId="8190" xr:uid="{00000000-0005-0000-0000-0000B7190000}"/>
    <cellStyle name="ÄÞ¸¶ [0]_laroux_2 2 6" xfId="8191" xr:uid="{00000000-0005-0000-0000-0000B8190000}"/>
    <cellStyle name="AÞ¸¶ [0]_laroux_도담차량공작실설계서" xfId="1553" xr:uid="{00000000-0005-0000-0000-0000B9190000}"/>
    <cellStyle name="ÄÞ¸¶ [0]_laroux_도담차량공작실설계서" xfId="1554" xr:uid="{00000000-0005-0000-0000-0000BA190000}"/>
    <cellStyle name="AÞ¸¶ [0]_laroux_도담차량공작실설계서 2" xfId="8192" xr:uid="{00000000-0005-0000-0000-0000BB190000}"/>
    <cellStyle name="ÄÞ¸¶ [0]_laroux_도담차량공작실설계서 2" xfId="8193" xr:uid="{00000000-0005-0000-0000-0000BC190000}"/>
    <cellStyle name="AÞ¸¶ [0]_laroux_도담차량공작실설계서 2 2" xfId="8194" xr:uid="{00000000-0005-0000-0000-0000BD190000}"/>
    <cellStyle name="ÄÞ¸¶ [0]_laroux_도담차량공작실설계서 2 2" xfId="8195" xr:uid="{00000000-0005-0000-0000-0000BE190000}"/>
    <cellStyle name="AÞ¸¶ [0]_laroux_도담차량공작실설계서 2 3" xfId="8196" xr:uid="{00000000-0005-0000-0000-0000BF190000}"/>
    <cellStyle name="ÄÞ¸¶ [0]_laroux_도담차량공작실설계서 2 3" xfId="8197" xr:uid="{00000000-0005-0000-0000-0000C0190000}"/>
    <cellStyle name="AÞ¸¶ [0]_laroux_도담차량공작실설계서 2 4" xfId="8198" xr:uid="{00000000-0005-0000-0000-0000C1190000}"/>
    <cellStyle name="ÄÞ¸¶ [0]_laroux_도담차량공작실설계서 2 4" xfId="8199" xr:uid="{00000000-0005-0000-0000-0000C2190000}"/>
    <cellStyle name="AÞ¸¶ [0]_laroux_도담차량공작실설계서 2 5" xfId="8200" xr:uid="{00000000-0005-0000-0000-0000C3190000}"/>
    <cellStyle name="ÄÞ¸¶ [0]_laroux_도담차량공작실설계서 2 5" xfId="8201" xr:uid="{00000000-0005-0000-0000-0000C4190000}"/>
    <cellStyle name="AÞ¸¶ [0]_laroux_도담차량공작실설계서 2 6" xfId="8202" xr:uid="{00000000-0005-0000-0000-0000C5190000}"/>
    <cellStyle name="ÄÞ¸¶ [0]_laroux_도담차량공작실설계서 2 6" xfId="8203" xr:uid="{00000000-0005-0000-0000-0000C6190000}"/>
    <cellStyle name="AÞ¸¶ [0]_laroux_도담차량공작실신설공사" xfId="1555" xr:uid="{00000000-0005-0000-0000-0000C7190000}"/>
    <cellStyle name="ÄÞ¸¶ [0]_laroux_도담차량공작실신설공사" xfId="1556" xr:uid="{00000000-0005-0000-0000-0000C8190000}"/>
    <cellStyle name="AÞ¸¶ [0]_laroux_도담차량공작실신설공사 2" xfId="8204" xr:uid="{00000000-0005-0000-0000-0000C9190000}"/>
    <cellStyle name="ÄÞ¸¶ [0]_laroux_도담차량공작실신설공사 2" xfId="8205" xr:uid="{00000000-0005-0000-0000-0000CA190000}"/>
    <cellStyle name="AÞ¸¶ [0]_laroux_도담차량공작실신설공사 2 2" xfId="8206" xr:uid="{00000000-0005-0000-0000-0000CB190000}"/>
    <cellStyle name="ÄÞ¸¶ [0]_laroux_도담차량공작실신설공사 2 2" xfId="8207" xr:uid="{00000000-0005-0000-0000-0000CC190000}"/>
    <cellStyle name="AÞ¸¶ [0]_laroux_도담차량공작실신설공사 2 3" xfId="8208" xr:uid="{00000000-0005-0000-0000-0000CD190000}"/>
    <cellStyle name="ÄÞ¸¶ [0]_laroux_도담차량공작실신설공사 2 3" xfId="8209" xr:uid="{00000000-0005-0000-0000-0000CE190000}"/>
    <cellStyle name="AÞ¸¶ [0]_laroux_도담차량공작실신설공사 2 4" xfId="8210" xr:uid="{00000000-0005-0000-0000-0000CF190000}"/>
    <cellStyle name="ÄÞ¸¶ [0]_laroux_도담차량공작실신설공사 2 4" xfId="8211" xr:uid="{00000000-0005-0000-0000-0000D0190000}"/>
    <cellStyle name="AÞ¸¶ [0]_laroux_도담차량공작실신설공사 2 5" xfId="8212" xr:uid="{00000000-0005-0000-0000-0000D1190000}"/>
    <cellStyle name="ÄÞ¸¶ [0]_laroux_도담차량공작실신설공사 2 5" xfId="8213" xr:uid="{00000000-0005-0000-0000-0000D2190000}"/>
    <cellStyle name="AÞ¸¶ [0]_laroux_도담차량공작실신설공사 2 6" xfId="8214" xr:uid="{00000000-0005-0000-0000-0000D3190000}"/>
    <cellStyle name="ÄÞ¸¶ [0]_laroux_도담차량공작실신설공사 2 6" xfId="8215" xr:uid="{00000000-0005-0000-0000-0000D4190000}"/>
    <cellStyle name="AÞ¸¶ [0]_laroux_상장가도교설계서" xfId="1557" xr:uid="{00000000-0005-0000-0000-0000D5190000}"/>
    <cellStyle name="ÄÞ¸¶ [0]_laroux_상장가도교수량산출" xfId="1558" xr:uid="{00000000-0005-0000-0000-0000D6190000}"/>
    <cellStyle name="AÞ¸¶ [0]_º≫¼± ±æ¾i±uºI ¼o·R Ay°eC￥ " xfId="5047" xr:uid="{00000000-0005-0000-0000-0000D7190000}"/>
    <cellStyle name="AÞ¸¶_ 2ÆAAþº° " xfId="1559" xr:uid="{00000000-0005-0000-0000-0000D8190000}"/>
    <cellStyle name="ÄÞ¸¶_¸ðÇü¸·" xfId="1560" xr:uid="{00000000-0005-0000-0000-0000D9190000}"/>
    <cellStyle name="AÞ¸¶_°eE¹_11¿a½A " xfId="8216" xr:uid="{00000000-0005-0000-0000-0000DA190000}"/>
    <cellStyle name="ÄÞ¸¶_°ü¸®Ç×¸ñ_¾÷Á¾º° " xfId="1561" xr:uid="{00000000-0005-0000-0000-0000DB190000}"/>
    <cellStyle name="AÞ¸¶_¼oAI¼º " xfId="1562" xr:uid="{00000000-0005-0000-0000-0000DC190000}"/>
    <cellStyle name="ÄÞ¸¶_¾÷Á¾º° " xfId="1563" xr:uid="{00000000-0005-0000-0000-0000DD190000}"/>
    <cellStyle name="AÞ¸¶_¾c½A " xfId="1564" xr:uid="{00000000-0005-0000-0000-0000DE190000}"/>
    <cellStyle name="ÄÞ¸¶_¹æÀ½º® " xfId="1565" xr:uid="{00000000-0005-0000-0000-0000DF190000}"/>
    <cellStyle name="AÞ¸¶_95³aAN°y¼o·R " xfId="1566" xr:uid="{00000000-0005-0000-0000-0000E0190000}"/>
    <cellStyle name="ÄÞ¸¶_Á¦Á¶1ºÎ1°ú ÇöÈ² " xfId="1567" xr:uid="{00000000-0005-0000-0000-0000E1190000}"/>
    <cellStyle name="AÞ¸¶_A¾CO½A¼³ " xfId="1568" xr:uid="{00000000-0005-0000-0000-0000E2190000}"/>
    <cellStyle name="ÄÞ¸¶_Á¾ÇÕ½Å¼³ " xfId="1569" xr:uid="{00000000-0005-0000-0000-0000E3190000}"/>
    <cellStyle name="AÞ¸¶_A¾CO½A¼³  2" xfId="5048" xr:uid="{00000000-0005-0000-0000-0000E4190000}"/>
    <cellStyle name="ÄÞ¸¶_Á¾ÇÕÃ¶°ÅºÐ " xfId="1570" xr:uid="{00000000-0005-0000-0000-0000E5190000}"/>
    <cellStyle name="AÞ¸¶_AN°y(1.25) " xfId="1571" xr:uid="{00000000-0005-0000-0000-0000E6190000}"/>
    <cellStyle name="ÄÞ¸¶_FINAL(¿øº») " xfId="1572" xr:uid="{00000000-0005-0000-0000-0000E7190000}"/>
    <cellStyle name="AÞ¸¶_INQUIRY ¿μ¾÷AßAø " xfId="1573" xr:uid="{00000000-0005-0000-0000-0000E8190000}"/>
    <cellStyle name="ÄÞ¸¶_laroux" xfId="1574" xr:uid="{00000000-0005-0000-0000-0000E9190000}"/>
    <cellStyle name="AÞ¸¶_laroux_1" xfId="5049" xr:uid="{00000000-0005-0000-0000-0000EA190000}"/>
    <cellStyle name="ÄÞ¸¶_laroux_1" xfId="5050" xr:uid="{00000000-0005-0000-0000-0000EB190000}"/>
    <cellStyle name="AÞ¸¶_laroux_1 2" xfId="8217" xr:uid="{00000000-0005-0000-0000-0000EC190000}"/>
    <cellStyle name="ÄÞ¸¶_laroux_1 2" xfId="8218" xr:uid="{00000000-0005-0000-0000-0000ED190000}"/>
    <cellStyle name="AÞ¸¶_laroux_1 2 2" xfId="8219" xr:uid="{00000000-0005-0000-0000-0000EE190000}"/>
    <cellStyle name="ÄÞ¸¶_laroux_1 2 2" xfId="8220" xr:uid="{00000000-0005-0000-0000-0000EF190000}"/>
    <cellStyle name="AÞ¸¶_laroux_1 2 3" xfId="8221" xr:uid="{00000000-0005-0000-0000-0000F0190000}"/>
    <cellStyle name="ÄÞ¸¶_laroux_1 2 3" xfId="8222" xr:uid="{00000000-0005-0000-0000-0000F1190000}"/>
    <cellStyle name="AÞ¸¶_laroux_1 2 4" xfId="8223" xr:uid="{00000000-0005-0000-0000-0000F2190000}"/>
    <cellStyle name="ÄÞ¸¶_laroux_1 2 4" xfId="8224" xr:uid="{00000000-0005-0000-0000-0000F3190000}"/>
    <cellStyle name="AÞ¸¶_laroux_1 2 5" xfId="8225" xr:uid="{00000000-0005-0000-0000-0000F4190000}"/>
    <cellStyle name="ÄÞ¸¶_laroux_1 2 5" xfId="8226" xr:uid="{00000000-0005-0000-0000-0000F5190000}"/>
    <cellStyle name="AÞ¸¶_laroux_1 2 6" xfId="8227" xr:uid="{00000000-0005-0000-0000-0000F6190000}"/>
    <cellStyle name="ÄÞ¸¶_laroux_1 2 6" xfId="8228" xr:uid="{00000000-0005-0000-0000-0000F7190000}"/>
    <cellStyle name="AÞ¸¶_laroux_2" xfId="5051" xr:uid="{00000000-0005-0000-0000-0000F8190000}"/>
    <cellStyle name="ÄÞ¸¶_laroux_2" xfId="5052" xr:uid="{00000000-0005-0000-0000-0000F9190000}"/>
    <cellStyle name="AÞ¸¶_laroux_2 2" xfId="8229" xr:uid="{00000000-0005-0000-0000-0000FA190000}"/>
    <cellStyle name="ÄÞ¸¶_laroux_2 2" xfId="8230" xr:uid="{00000000-0005-0000-0000-0000FB190000}"/>
    <cellStyle name="AÞ¸¶_laroux_2 2 2" xfId="8231" xr:uid="{00000000-0005-0000-0000-0000FC190000}"/>
    <cellStyle name="ÄÞ¸¶_laroux_2 2 2" xfId="8232" xr:uid="{00000000-0005-0000-0000-0000FD190000}"/>
    <cellStyle name="AÞ¸¶_laroux_2 2 3" xfId="8233" xr:uid="{00000000-0005-0000-0000-0000FE190000}"/>
    <cellStyle name="ÄÞ¸¶_laroux_2 2 3" xfId="8234" xr:uid="{00000000-0005-0000-0000-0000FF190000}"/>
    <cellStyle name="AÞ¸¶_laroux_2 2 4" xfId="8235" xr:uid="{00000000-0005-0000-0000-0000001A0000}"/>
    <cellStyle name="ÄÞ¸¶_laroux_2 2 4" xfId="8236" xr:uid="{00000000-0005-0000-0000-0000011A0000}"/>
    <cellStyle name="AÞ¸¶_laroux_2 2 5" xfId="8237" xr:uid="{00000000-0005-0000-0000-0000021A0000}"/>
    <cellStyle name="ÄÞ¸¶_laroux_2 2 5" xfId="8238" xr:uid="{00000000-0005-0000-0000-0000031A0000}"/>
    <cellStyle name="AÞ¸¶_laroux_2 2 6" xfId="8239" xr:uid="{00000000-0005-0000-0000-0000041A0000}"/>
    <cellStyle name="ÄÞ¸¶_laroux_2 2 6" xfId="8240" xr:uid="{00000000-0005-0000-0000-0000051A0000}"/>
    <cellStyle name="AÞ¸¶_º≫¼± ±æ¾i±uºI ¼o·R Ay°eC￥ " xfId="5053" xr:uid="{00000000-0005-0000-0000-0000061A0000}"/>
    <cellStyle name="ÀÚ¸®¼ö" xfId="1575" xr:uid="{00000000-0005-0000-0000-0000071A0000}"/>
    <cellStyle name="ÀÚ¸®¼ö0" xfId="1576" xr:uid="{00000000-0005-0000-0000-0000081A0000}"/>
    <cellStyle name="Au¸r " xfId="5054" xr:uid="{00000000-0005-0000-0000-0000091A0000}"/>
    <cellStyle name="Au¸R¼o" xfId="5055" xr:uid="{00000000-0005-0000-0000-00000A1A0000}"/>
    <cellStyle name="Au¸R¼o 2" xfId="8241" xr:uid="{00000000-0005-0000-0000-00000B1A0000}"/>
    <cellStyle name="Au¸R¼o 2 2" xfId="8242" xr:uid="{00000000-0005-0000-0000-00000C1A0000}"/>
    <cellStyle name="Au¸R¼o0" xfId="5056" xr:uid="{00000000-0005-0000-0000-00000D1A0000}"/>
    <cellStyle name="Au¸R¼o0 2" xfId="8243" xr:uid="{00000000-0005-0000-0000-00000E1A0000}"/>
    <cellStyle name="Au¸R¼o0 2 2" xfId="8244" xr:uid="{00000000-0005-0000-0000-00000F1A0000}"/>
    <cellStyle name="_x0001_b" xfId="1577" xr:uid="{00000000-0005-0000-0000-0000101A0000}"/>
    <cellStyle name="_x0001_b 2" xfId="5057" xr:uid="{00000000-0005-0000-0000-0000111A0000}"/>
    <cellStyle name="b?þ?b?þ?b?þ?b?þ?b?þ?b?þ?b?þ?b?þ?b?þ?b?þ?b灌þ?b?þ?&lt;?b?þ?b濬þ?b?þ?b?þ昰_x0018_?þ????_x0008_" xfId="8245" xr:uid="{00000000-0005-0000-0000-0000121A0000}"/>
    <cellStyle name="b?þ?b?þ?b?þ?b?þ?b?þ?b?þ?b?þ?b?þ?b?þ?b?þ?b灌þ?b?þ?&lt;?b?þ?b濬þ?b?þ?b?þ昰_x0018_?þ????_x0008_ 2" xfId="8246" xr:uid="{00000000-0005-0000-0000-0000131A0000}"/>
    <cellStyle name="b?þ?b?þ?b?þ?b?þ?b?þ?b?þ?b?þ?b?þ?b?þ?b?þ?b灌þ?b?þ?&lt;?b?þ?b濬þ?b?þ?b?þ昰_x0018_?þ????_x0008_ 2 2" xfId="8247" xr:uid="{00000000-0005-0000-0000-0000141A0000}"/>
    <cellStyle name="b?þ?b?þ?b?þ?b灌þ?b?þ?&lt;?b?þ?b濬þ?b?þ?b?þ昰_x0018_?þ????_x0008_" xfId="8248" xr:uid="{00000000-0005-0000-0000-0000151A0000}"/>
    <cellStyle name="b?þ?b?þ?b?þ?b灌þ?b?þ?&lt;?b?þ?b濬þ?b?þ?b?þ昰_x0018_?þ????_x0008_ 2" xfId="8249" xr:uid="{00000000-0005-0000-0000-0000161A0000}"/>
    <cellStyle name="b?þ?b?þ?b?þ?b灌þ?b?þ?&lt;?b?þ?b濬þ?b?þ?b?þ昰_x0018_?þ????_x0008_ 2 2" xfId="8250" xr:uid="{00000000-0005-0000-0000-0000171A0000}"/>
    <cellStyle name="b?þ?b?þ?b?þ?b灌þ?b?þ?&lt;?b?þ?b濬þ?b?þ?b?þ昰_x0018_?þ????_x0008_ 3" xfId="8251" xr:uid="{00000000-0005-0000-0000-0000181A0000}"/>
    <cellStyle name="b␌þකb濰þඪb瀠þයb灌þ්b炈þ宐&lt;෢b濈þෲb濬þขb瀐þฒb瀰þ昰_x0018_⋸þ㤕䰀ጤܕ_x0008_" xfId="8252" xr:uid="{00000000-0005-0000-0000-0000191A0000}"/>
    <cellStyle name="b␌þකb濰þඪb瀠þයb灌þ්b炈þ宐&lt;෢b濈þෲb濬þขb瀐þฒb瀰þ昰_x0018_⋸þ㤕䰀ጤܕ_x0008_ 2" xfId="8253" xr:uid="{00000000-0005-0000-0000-00001A1A0000}"/>
    <cellStyle name="b␌þකb濰þඪb瀠þයb灌þ්b炈þ宐&lt;෢b濈þෲb濬þขb瀐þฒb瀰þ昰_x0018_⋸þ㤕䰀ጤܕ_x0008_ 2 2" xfId="8254" xr:uid="{00000000-0005-0000-0000-00001B1A0000}"/>
    <cellStyle name="b␌þකb濰þඪb瀠þයb灌þ්b炈þ宐&lt;෢b濈þෲb濬þขb瀐þฒb瀰þ昰_x0018_⋸þ㤕䰀ጤܕ_x0008_ 3" xfId="8255" xr:uid="{00000000-0005-0000-0000-00001C1A0000}"/>
    <cellStyle name="blank" xfId="1578" xr:uid="{00000000-0005-0000-0000-00001D1A0000}"/>
    <cellStyle name="blank - Style1" xfId="1579" xr:uid="{00000000-0005-0000-0000-00001E1A0000}"/>
    <cellStyle name="blank 2" xfId="1580" xr:uid="{00000000-0005-0000-0000-00001F1A0000}"/>
    <cellStyle name="blank 3" xfId="1581" xr:uid="{00000000-0005-0000-0000-0000201A0000}"/>
    <cellStyle name="blank_노량대교가로등보수공사(준공내역)" xfId="1582" xr:uid="{00000000-0005-0000-0000-0000211A0000}"/>
    <cellStyle name="Body" xfId="1583" xr:uid="{00000000-0005-0000-0000-0000221A0000}"/>
    <cellStyle name="body 2" xfId="8256" xr:uid="{00000000-0005-0000-0000-0000231A0000}"/>
    <cellStyle name="body 2 2" xfId="8257" xr:uid="{00000000-0005-0000-0000-0000241A0000}"/>
    <cellStyle name="body 3" xfId="8258" xr:uid="{00000000-0005-0000-0000-0000251A0000}"/>
    <cellStyle name="b椬ៜ_x000c_Comma_ODCOS " xfId="5058" xr:uid="{00000000-0005-0000-0000-0000261A0000}"/>
    <cellStyle name="b嬜þപb嬼þഺb孬þൊb⍜þ൚b⍼þ൪b⎨þൺb⏜þඊb␌þකb濰þඪb瀠þයb灌þ්b炈þ宐&lt;෢b濈þෲb濬þขb瀐þฒb瀰þ昰_x0018_⋸þ㤕䰀ጤܕ_x0008_" xfId="8259" xr:uid="{00000000-0005-0000-0000-0000271A0000}"/>
    <cellStyle name="b嬜þപb嬼þഺb孬þൊb⍜þ൚b⍼þ൪b⎨þൺb⏜þඊb␌þකb濰þඪb瀠þයb灌þ්b炈þ宐&lt;෢b濈þෲb濬þขb瀐þฒb瀰þ昰_x0018_⋸þ㤕䰀ጤܕ_x0008_ 2" xfId="8260" xr:uid="{00000000-0005-0000-0000-0000281A0000}"/>
    <cellStyle name="b嬜þപb嬼þഺb孬þൊb⍜þ൚b⍼þ൪b⎨þൺb⏜þඊb␌þකb濰þඪb瀠þයb灌þ්b炈þ宐&lt;෢b濈þෲb濬þขb瀐þฒb瀰þ昰_x0018_⋸þ㤕䰀ጤܕ_x0008_ 2 2" xfId="8261" xr:uid="{00000000-0005-0000-0000-0000291A0000}"/>
    <cellStyle name="C¡?A¨ª_¡?c¨?¡?¨?I¨?¡Æ AN¡Æe " xfId="1584" xr:uid="{00000000-0005-0000-0000-00002A1A0000}"/>
    <cellStyle name="C¡ÍA¨ª_  FAB AIA¢´  " xfId="1585" xr:uid="{00000000-0005-0000-0000-00002B1A0000}"/>
    <cellStyle name="C¡IA¨ª_¡Æ¡IA¡E¨￢n_¡Æ¡IA¡E¨￢n " xfId="1586" xr:uid="{00000000-0005-0000-0000-00002C1A0000}"/>
    <cellStyle name="C¡ÍA¨ª_¡Æ©øAI OXIDE " xfId="1587" xr:uid="{00000000-0005-0000-0000-00002D1A0000}"/>
    <cellStyle name="C¡IA¨ª_¡Æu￠￢RBS('98) " xfId="1588" xr:uid="{00000000-0005-0000-0000-00002E1A0000}"/>
    <cellStyle name="C¡ÍA¨ª_¡íc¨ú¡À¨¬I¨¬¡Æ AN¡Æe " xfId="1589" xr:uid="{00000000-0005-0000-0000-00002F1A0000}"/>
    <cellStyle name="C¡IA¨ª_¡ioEⓒ÷¡¾a¡¤IAo " xfId="1590" xr:uid="{00000000-0005-0000-0000-0000301A0000}"/>
    <cellStyle name="C¡ÍA¨ª_03 " xfId="1591" xr:uid="{00000000-0005-0000-0000-0000311A0000}"/>
    <cellStyle name="C¡IA¨ª_12￠?u " xfId="1592" xr:uid="{00000000-0005-0000-0000-0000321A0000}"/>
    <cellStyle name="C¡ÍA¨ª_12AO " xfId="1593" xr:uid="{00000000-0005-0000-0000-0000331A0000}"/>
    <cellStyle name="C¡IA¨ª_Ac¡Æi¡Æu￠￢R " xfId="1594" xr:uid="{00000000-0005-0000-0000-0000341A0000}"/>
    <cellStyle name="C¡ÍA¨ª_C¡ÍAo " xfId="1595" xr:uid="{00000000-0005-0000-0000-0000351A0000}"/>
    <cellStyle name="C¡IA¨ª_CD-ROM " xfId="1596" xr:uid="{00000000-0005-0000-0000-0000361A0000}"/>
    <cellStyle name="C¡ÍA¨ª_Sheet1_4PART " xfId="1597" xr:uid="{00000000-0005-0000-0000-0000371A0000}"/>
    <cellStyle name="C￠RIA¡§¨￡_  FAB AIA¡E￠￥  " xfId="1598" xr:uid="{00000000-0005-0000-0000-0000381A0000}"/>
    <cellStyle name="C￥aø" xfId="8262" xr:uid="{00000000-0005-0000-0000-0000391A0000}"/>
    <cellStyle name="Ç¥ÁØ_(%)ºñ¸ñ±ººÐ·ùÇ¥" xfId="1599" xr:uid="{00000000-0005-0000-0000-00003A1A0000}"/>
    <cellStyle name="C￥AØ_´U°eº° ±¸Aa¾E" xfId="946" xr:uid="{00000000-0005-0000-0000-00003B1A0000}"/>
    <cellStyle name="Ç¥ÁØ_¸ðÇü¸·" xfId="8263" xr:uid="{00000000-0005-0000-0000-00003C1A0000}"/>
    <cellStyle name="C￥AØ_¿μ¾÷CoE² " xfId="8264" xr:uid="{00000000-0005-0000-0000-00003D1A0000}"/>
    <cellStyle name="Ç¥ÁØ_»ç¾÷ºÎº° ÃÑ°è " xfId="1600" xr:uid="{00000000-0005-0000-0000-00003E1A0000}"/>
    <cellStyle name="C￥AØ_≫c¾÷ºIº° AN°e " xfId="1601" xr:uid="{00000000-0005-0000-0000-00003F1A0000}"/>
    <cellStyle name="Ç¥ÁØ_°­´ç (2)" xfId="1602" xr:uid="{00000000-0005-0000-0000-0000401A0000}"/>
    <cellStyle name="C￥AØ_°³AI OXIDE " xfId="1603" xr:uid="{00000000-0005-0000-0000-0000411A0000}"/>
    <cellStyle name="Ç¥ÁØ_°ü¸®BS('98) " xfId="1604" xr:uid="{00000000-0005-0000-0000-0000421A0000}"/>
    <cellStyle name="C￥AØ_03 " xfId="1605" xr:uid="{00000000-0005-0000-0000-0000431A0000}"/>
    <cellStyle name="Ç¥ÁØ_0N-HANDLING " xfId="1606" xr:uid="{00000000-0005-0000-0000-0000441A0000}"/>
    <cellStyle name="C￥AØ_¾c½A " xfId="1607" xr:uid="{00000000-0005-0000-0000-0000451A0000}"/>
    <cellStyle name="Ç¥ÁØ_¹æÀ½º® " xfId="1608" xr:uid="{00000000-0005-0000-0000-0000461A0000}"/>
    <cellStyle name="C￥AØ_5-1±¤°i " xfId="1609" xr:uid="{00000000-0005-0000-0000-0000471A0000}"/>
    <cellStyle name="Ç¥ÁØ_5-1±¤°í " xfId="1610" xr:uid="{00000000-0005-0000-0000-0000481A0000}"/>
    <cellStyle name="C￥AØ_53AO " xfId="1611" xr:uid="{00000000-0005-0000-0000-0000491A0000}"/>
    <cellStyle name="Ç¥ÁØ_95,96 ºñ±³ " xfId="5059" xr:uid="{00000000-0005-0000-0000-00004A1A0000}"/>
    <cellStyle name="C￥AØ_95,96 ºn±³  2" xfId="8265" xr:uid="{00000000-0005-0000-0000-00004B1A0000}"/>
    <cellStyle name="Ç¥ÁØ_95,96 ºñ±³  2" xfId="8266" xr:uid="{00000000-0005-0000-0000-00004C1A0000}"/>
    <cellStyle name="C￥AØ_95,96 ºn±³  2 2" xfId="8267" xr:uid="{00000000-0005-0000-0000-00004D1A0000}"/>
    <cellStyle name="Ç¥ÁØ_95,96 ºñ±³  2 2" xfId="8268" xr:uid="{00000000-0005-0000-0000-00004E1A0000}"/>
    <cellStyle name="C￥AØ_95,96 ºn±³  2 3" xfId="8269" xr:uid="{00000000-0005-0000-0000-00004F1A0000}"/>
    <cellStyle name="Ç¥ÁØ_95,96 ºñ±³  2 3" xfId="8270" xr:uid="{00000000-0005-0000-0000-0000501A0000}"/>
    <cellStyle name="C￥AØ_95,96 ºn±³  2 4" xfId="8271" xr:uid="{00000000-0005-0000-0000-0000511A0000}"/>
    <cellStyle name="Ç¥ÁØ_95,96 ºñ±³  2 4" xfId="8272" xr:uid="{00000000-0005-0000-0000-0000521A0000}"/>
    <cellStyle name="C￥AØ_95,96 ºn±³  2 5" xfId="8273" xr:uid="{00000000-0005-0000-0000-0000531A0000}"/>
    <cellStyle name="Ç¥ÁØ_95,96 ºñ±³  2 5" xfId="8274" xr:uid="{00000000-0005-0000-0000-0000541A0000}"/>
    <cellStyle name="C￥AØ_95,96 ºn±³  2 6" xfId="8275" xr:uid="{00000000-0005-0000-0000-0000551A0000}"/>
    <cellStyle name="Ç¥ÁØ_95,96 ºñ±³  2 6" xfId="8276" xr:uid="{00000000-0005-0000-0000-0000561A0000}"/>
    <cellStyle name="C￥AØ_A¾COA¶°AºÐ " xfId="1612" xr:uid="{00000000-0005-0000-0000-0000571A0000}"/>
    <cellStyle name="Ç¥ÁØ_Á¾ÇÕÃ¶°ÅºÐ " xfId="1613" xr:uid="{00000000-0005-0000-0000-0000581A0000}"/>
    <cellStyle name="C￥AØ_A¾COA¶°AºÐ _2013 연간단가(작성중)" xfId="1614" xr:uid="{00000000-0005-0000-0000-0000591A0000}"/>
    <cellStyle name="Ç¥ÁØ_Á¾ÇÕÃ¶°ÅºÐ _2013 연간단가(작성중)" xfId="1615" xr:uid="{00000000-0005-0000-0000-00005A1A0000}"/>
    <cellStyle name="C￥AØ_A¾COA¶°AºÐ _2013_연간단가(작성중)" xfId="1616" xr:uid="{00000000-0005-0000-0000-00005B1A0000}"/>
    <cellStyle name="Ç¥ÁØ_Á¾ÇÕÃ¶°ÅºÐ _2013_연간단가(작성중)" xfId="1617" xr:uid="{00000000-0005-0000-0000-00005C1A0000}"/>
    <cellStyle name="C￥AØ_A¾COA¶°AºÐ _2013_연간단가(작성중)(1)" xfId="1618" xr:uid="{00000000-0005-0000-0000-00005D1A0000}"/>
    <cellStyle name="Ç¥ÁØ_Á¾ÇÕÃ¶°ÅºÐ _2013_연간단가(작성중)(1)" xfId="1619" xr:uid="{00000000-0005-0000-0000-00005E1A0000}"/>
    <cellStyle name="C￥AØ_AN°y(1.25) " xfId="1620" xr:uid="{00000000-0005-0000-0000-00005F1A0000}"/>
    <cellStyle name="Ç¥ÁØ_Àü·Â¼ÕÀÍºÐ¼®" xfId="1621" xr:uid="{00000000-0005-0000-0000-0000601A0000}"/>
    <cellStyle name="C￥AØ_Au·A¼OAIºÐ¼R" xfId="1622" xr:uid="{00000000-0005-0000-0000-0000611A0000}"/>
    <cellStyle name="Ç¥ÁØ_Áý°èÇ¥(2¿ù) " xfId="1623" xr:uid="{00000000-0005-0000-0000-0000621A0000}"/>
    <cellStyle name="C￥AØ_C￥Ao " xfId="1624" xr:uid="{00000000-0005-0000-0000-0000631A0000}"/>
    <cellStyle name="Ç¥ÁØ_CD-ROM " xfId="1625" xr:uid="{00000000-0005-0000-0000-0000641A0000}"/>
    <cellStyle name="C￥AØ_CoAo¹yAI °A¾×¿ⓒ½A " xfId="1626" xr:uid="{00000000-0005-0000-0000-0000651A0000}"/>
    <cellStyle name="Ç¥ÁØ_ÇöÈ²_¹®Á¦Á¡ " xfId="1627" xr:uid="{00000000-0005-0000-0000-0000661A0000}"/>
    <cellStyle name="C￥AØ_E¸AaAO½A " xfId="1628" xr:uid="{00000000-0005-0000-0000-0000671A0000}"/>
    <cellStyle name="Ç¥ÁØ_laroux" xfId="5060" xr:uid="{00000000-0005-0000-0000-0000681A0000}"/>
    <cellStyle name="C￥AØ_laroux 2" xfId="8277" xr:uid="{00000000-0005-0000-0000-0000691A0000}"/>
    <cellStyle name="Ç¥ÁØ_laroux 2" xfId="8278" xr:uid="{00000000-0005-0000-0000-00006A1A0000}"/>
    <cellStyle name="C￥AØ_laroux 2 2" xfId="8279" xr:uid="{00000000-0005-0000-0000-00006B1A0000}"/>
    <cellStyle name="Ç¥ÁØ_laroux 2 2" xfId="8280" xr:uid="{00000000-0005-0000-0000-00006C1A0000}"/>
    <cellStyle name="C￥AØ_laroux 2 3" xfId="8281" xr:uid="{00000000-0005-0000-0000-00006D1A0000}"/>
    <cellStyle name="Ç¥ÁØ_laroux 2 3" xfId="8282" xr:uid="{00000000-0005-0000-0000-00006E1A0000}"/>
    <cellStyle name="C￥AØ_laroux 2 4" xfId="8283" xr:uid="{00000000-0005-0000-0000-00006F1A0000}"/>
    <cellStyle name="Ç¥ÁØ_laroux 2 4" xfId="8284" xr:uid="{00000000-0005-0000-0000-0000701A0000}"/>
    <cellStyle name="C￥AØ_laroux 2 5" xfId="8285" xr:uid="{00000000-0005-0000-0000-0000711A0000}"/>
    <cellStyle name="Ç¥ÁØ_laroux 2 5" xfId="8286" xr:uid="{00000000-0005-0000-0000-0000721A0000}"/>
    <cellStyle name="C￥AØ_laroux 2 6" xfId="8287" xr:uid="{00000000-0005-0000-0000-0000731A0000}"/>
    <cellStyle name="Ç¥ÁØ_laroux 2 6" xfId="8288" xr:uid="{00000000-0005-0000-0000-0000741A0000}"/>
    <cellStyle name="C￥AØ_laroux_1" xfId="5061" xr:uid="{00000000-0005-0000-0000-0000751A0000}"/>
    <cellStyle name="Ç¥ÁØ_laroux_1" xfId="5062" xr:uid="{00000000-0005-0000-0000-0000761A0000}"/>
    <cellStyle name="C￥AØ_laroux_1 2" xfId="8289" xr:uid="{00000000-0005-0000-0000-0000771A0000}"/>
    <cellStyle name="Ç¥ÁØ_laroux_1 2" xfId="8290" xr:uid="{00000000-0005-0000-0000-0000781A0000}"/>
    <cellStyle name="C￥AØ_laroux_1 2 2" xfId="8291" xr:uid="{00000000-0005-0000-0000-0000791A0000}"/>
    <cellStyle name="Ç¥ÁØ_laroux_1 2 2" xfId="8292" xr:uid="{00000000-0005-0000-0000-00007A1A0000}"/>
    <cellStyle name="C￥AØ_laroux_1 2 3" xfId="8293" xr:uid="{00000000-0005-0000-0000-00007B1A0000}"/>
    <cellStyle name="Ç¥ÁØ_laroux_1 2 3" xfId="8294" xr:uid="{00000000-0005-0000-0000-00007C1A0000}"/>
    <cellStyle name="C￥AØ_laroux_1 2 4" xfId="8295" xr:uid="{00000000-0005-0000-0000-00007D1A0000}"/>
    <cellStyle name="Ç¥ÁØ_laroux_1 2 4" xfId="8296" xr:uid="{00000000-0005-0000-0000-00007E1A0000}"/>
    <cellStyle name="C￥AØ_laroux_1 2 5" xfId="8297" xr:uid="{00000000-0005-0000-0000-00007F1A0000}"/>
    <cellStyle name="Ç¥ÁØ_laroux_1 2 5" xfId="8298" xr:uid="{00000000-0005-0000-0000-0000801A0000}"/>
    <cellStyle name="C￥AØ_laroux_1 2 6" xfId="8299" xr:uid="{00000000-0005-0000-0000-0000811A0000}"/>
    <cellStyle name="Ç¥ÁØ_laroux_1 2 6" xfId="8300" xr:uid="{00000000-0005-0000-0000-0000821A0000}"/>
    <cellStyle name="C￥AØ_PERSONAL" xfId="5063" xr:uid="{00000000-0005-0000-0000-0000831A0000}"/>
    <cellStyle name="Ç¥ÁØ_RESULTS" xfId="1629" xr:uid="{00000000-0005-0000-0000-0000841A0000}"/>
    <cellStyle name="Calc Currency (0)" xfId="947" xr:uid="{00000000-0005-0000-0000-0000851A0000}"/>
    <cellStyle name="Calc Currency (0) 2" xfId="2357" xr:uid="{00000000-0005-0000-0000-0000861A0000}"/>
    <cellStyle name="Calc Currency (0) 2 2" xfId="8301" xr:uid="{00000000-0005-0000-0000-0000871A0000}"/>
    <cellStyle name="Calc Currency (2)" xfId="1630" xr:uid="{00000000-0005-0000-0000-0000881A0000}"/>
    <cellStyle name="Calc Currency (2) 2" xfId="1631" xr:uid="{00000000-0005-0000-0000-0000891A0000}"/>
    <cellStyle name="Calc Currency (2) 3" xfId="1632" xr:uid="{00000000-0005-0000-0000-00008A1A0000}"/>
    <cellStyle name="Calc Percent (0)" xfId="1633" xr:uid="{00000000-0005-0000-0000-00008B1A0000}"/>
    <cellStyle name="Calc Percent (1)" xfId="1634" xr:uid="{00000000-0005-0000-0000-00008C1A0000}"/>
    <cellStyle name="Calc Percent (1) 2" xfId="1635" xr:uid="{00000000-0005-0000-0000-00008D1A0000}"/>
    <cellStyle name="Calc Percent (1) 3" xfId="1636" xr:uid="{00000000-0005-0000-0000-00008E1A0000}"/>
    <cellStyle name="Calc Percent (2)" xfId="1637" xr:uid="{00000000-0005-0000-0000-00008F1A0000}"/>
    <cellStyle name="Calc Percent (2) 2" xfId="1638" xr:uid="{00000000-0005-0000-0000-0000901A0000}"/>
    <cellStyle name="Calc Percent (2) 3" xfId="1639" xr:uid="{00000000-0005-0000-0000-0000911A0000}"/>
    <cellStyle name="Calc Units (0)" xfId="1640" xr:uid="{00000000-0005-0000-0000-0000921A0000}"/>
    <cellStyle name="Calc Units (0) 2" xfId="1641" xr:uid="{00000000-0005-0000-0000-0000931A0000}"/>
    <cellStyle name="Calc Units (0) 3" xfId="1642" xr:uid="{00000000-0005-0000-0000-0000941A0000}"/>
    <cellStyle name="Calc Units (1)" xfId="1643" xr:uid="{00000000-0005-0000-0000-0000951A0000}"/>
    <cellStyle name="Calc Units (1) 2" xfId="1644" xr:uid="{00000000-0005-0000-0000-0000961A0000}"/>
    <cellStyle name="Calc Units (1) 3" xfId="1645" xr:uid="{00000000-0005-0000-0000-0000971A0000}"/>
    <cellStyle name="Calc Units (2)" xfId="1646" xr:uid="{00000000-0005-0000-0000-0000981A0000}"/>
    <cellStyle name="Calc Units (2) 2" xfId="1647" xr:uid="{00000000-0005-0000-0000-0000991A0000}"/>
    <cellStyle name="Calc Units (2) 3" xfId="1648" xr:uid="{00000000-0005-0000-0000-00009A1A0000}"/>
    <cellStyle name="category" xfId="948" xr:uid="{00000000-0005-0000-0000-00009B1A0000}"/>
    <cellStyle name="category 2" xfId="8302" xr:uid="{00000000-0005-0000-0000-00009C1A0000}"/>
    <cellStyle name="category 2 2" xfId="8303" xr:uid="{00000000-0005-0000-0000-00009D1A0000}"/>
    <cellStyle name="CIAIÆU¸μAⓒ" xfId="949" xr:uid="{00000000-0005-0000-0000-00009E1A0000}"/>
    <cellStyle name="CIAIÆU¸μAⓒ 2" xfId="1649" xr:uid="{00000000-0005-0000-0000-00009F1A0000}"/>
    <cellStyle name="CIAIÆU¸μAⓒ 2 2" xfId="8304" xr:uid="{00000000-0005-0000-0000-0000A01A0000}"/>
    <cellStyle name="CIAIÆU¸μAⓒ 3" xfId="8305" xr:uid="{00000000-0005-0000-0000-0000A11A0000}"/>
    <cellStyle name="Cmma_을지 (2)_갑지 (2)_집계표 (2)_집계표 (3)_견적서 (2)" xfId="1650" xr:uid="{00000000-0005-0000-0000-0000A21A0000}"/>
    <cellStyle name="ÇÕ»ê" xfId="1651" xr:uid="{00000000-0005-0000-0000-0000A31A0000}"/>
    <cellStyle name="Co≫e" xfId="5064" xr:uid="{00000000-0005-0000-0000-0000A41A0000}"/>
    <cellStyle name="Co≫e 2" xfId="8306" xr:uid="{00000000-0005-0000-0000-0000A51A0000}"/>
    <cellStyle name="Co≫e 2 2" xfId="8307" xr:uid="{00000000-0005-0000-0000-0000A61A0000}"/>
    <cellStyle name="columns_array" xfId="8308" xr:uid="{00000000-0005-0000-0000-0000A71A0000}"/>
    <cellStyle name="Comma" xfId="1652" xr:uid="{00000000-0005-0000-0000-0000A81A0000}"/>
    <cellStyle name="Comma  - Style2" xfId="1653" xr:uid="{00000000-0005-0000-0000-0000A91A0000}"/>
    <cellStyle name="Comma  - Style3" xfId="1654" xr:uid="{00000000-0005-0000-0000-0000AA1A0000}"/>
    <cellStyle name="Comma  - Style4" xfId="1655" xr:uid="{00000000-0005-0000-0000-0000AB1A0000}"/>
    <cellStyle name="Comma  - Style5" xfId="1656" xr:uid="{00000000-0005-0000-0000-0000AC1A0000}"/>
    <cellStyle name="Comma  - Style6" xfId="1657" xr:uid="{00000000-0005-0000-0000-0000AD1A0000}"/>
    <cellStyle name="Comma  - Style7" xfId="1658" xr:uid="{00000000-0005-0000-0000-0000AE1A0000}"/>
    <cellStyle name="Comma  - Style8" xfId="1659" xr:uid="{00000000-0005-0000-0000-0000AF1A0000}"/>
    <cellStyle name="Comma [0]" xfId="1660" xr:uid="{00000000-0005-0000-0000-0000B01A0000}"/>
    <cellStyle name="Comma [0] 2" xfId="2358" xr:uid="{00000000-0005-0000-0000-0000B11A0000}"/>
    <cellStyle name="Comma [0] 2 2" xfId="8309" xr:uid="{00000000-0005-0000-0000-0000B21A0000}"/>
    <cellStyle name="Comma [0] 2 2 2" xfId="8310" xr:uid="{00000000-0005-0000-0000-0000B31A0000}"/>
    <cellStyle name="Comma [0] 2 3" xfId="8311" xr:uid="{00000000-0005-0000-0000-0000B41A0000}"/>
    <cellStyle name="Comma [0] 3" xfId="8312" xr:uid="{00000000-0005-0000-0000-0000B51A0000}"/>
    <cellStyle name="Comma [0] 3 2" xfId="8313" xr:uid="{00000000-0005-0000-0000-0000B61A0000}"/>
    <cellStyle name="Comma [0] 4" xfId="8314" xr:uid="{00000000-0005-0000-0000-0000B71A0000}"/>
    <cellStyle name="Comma [0]_ SG&amp;A Bridge " xfId="950" xr:uid="{00000000-0005-0000-0000-0000B81A0000}"/>
    <cellStyle name="Comma [00]" xfId="1661" xr:uid="{00000000-0005-0000-0000-0000B91A0000}"/>
    <cellStyle name="Comma [00] 2" xfId="1662" xr:uid="{00000000-0005-0000-0000-0000BA1A0000}"/>
    <cellStyle name="Comma [00] 3" xfId="1663" xr:uid="{00000000-0005-0000-0000-0000BB1A0000}"/>
    <cellStyle name="Comma 2" xfId="8315" xr:uid="{00000000-0005-0000-0000-0000BC1A0000}"/>
    <cellStyle name="Comma 2 2" xfId="8316" xr:uid="{00000000-0005-0000-0000-0000BD1A0000}"/>
    <cellStyle name="comma zerodec" xfId="1664" xr:uid="{00000000-0005-0000-0000-0000BE1A0000}"/>
    <cellStyle name="comma zerodec 2" xfId="1665" xr:uid="{00000000-0005-0000-0000-0000BF1A0000}"/>
    <cellStyle name="comma zerodec 2 2" xfId="8317" xr:uid="{00000000-0005-0000-0000-0000C01A0000}"/>
    <cellStyle name="comma zerodec 2 2 2" xfId="8318" xr:uid="{00000000-0005-0000-0000-0000C11A0000}"/>
    <cellStyle name="comma zerodec 3" xfId="1666" xr:uid="{00000000-0005-0000-0000-0000C21A0000}"/>
    <cellStyle name="comma zerodec 3 2" xfId="8319" xr:uid="{00000000-0005-0000-0000-0000C31A0000}"/>
    <cellStyle name="comma zerodec 4" xfId="2359" xr:uid="{00000000-0005-0000-0000-0000C41A0000}"/>
    <cellStyle name="Comma_ SG&amp;A Bridge " xfId="951" xr:uid="{00000000-0005-0000-0000-0000C51A0000}"/>
    <cellStyle name="Comma0" xfId="1667" xr:uid="{00000000-0005-0000-0000-0000C61A0000}"/>
    <cellStyle name="Comma0 2" xfId="2360" xr:uid="{00000000-0005-0000-0000-0000C71A0000}"/>
    <cellStyle name="Comma0 2 2" xfId="8320" xr:uid="{00000000-0005-0000-0000-0000C81A0000}"/>
    <cellStyle name="Comma0 2 2 2" xfId="8321" xr:uid="{00000000-0005-0000-0000-0000C91A0000}"/>
    <cellStyle name="Comma0 2 3" xfId="8322" xr:uid="{00000000-0005-0000-0000-0000CA1A0000}"/>
    <cellStyle name="Comma0 3" xfId="8323" xr:uid="{00000000-0005-0000-0000-0000CB1A0000}"/>
    <cellStyle name="Comma0 3 2" xfId="8324" xr:uid="{00000000-0005-0000-0000-0000CC1A0000}"/>
    <cellStyle name="Comma0 4" xfId="8325" xr:uid="{00000000-0005-0000-0000-0000CD1A0000}"/>
    <cellStyle name="Copied" xfId="952" xr:uid="{00000000-0005-0000-0000-0000CE1A0000}"/>
    <cellStyle name="Copied 2" xfId="8326" xr:uid="{00000000-0005-0000-0000-0000CF1A0000}"/>
    <cellStyle name="Copied 2 2" xfId="8327" xr:uid="{00000000-0005-0000-0000-0000D01A0000}"/>
    <cellStyle name="COST1" xfId="1668" xr:uid="{00000000-0005-0000-0000-0000D11A0000}"/>
    <cellStyle name="Curre~cy [0]_MATERAL2" xfId="1669" xr:uid="{00000000-0005-0000-0000-0000D21A0000}"/>
    <cellStyle name="Curren" xfId="5065" xr:uid="{00000000-0005-0000-0000-0000D31A0000}"/>
    <cellStyle name="Curren?_x0012_퐀_x0017_?" xfId="1670" xr:uid="{00000000-0005-0000-0000-0000D41A0000}"/>
    <cellStyle name="Curren?_x0012_퐀_x0017_? 2" xfId="8328" xr:uid="{00000000-0005-0000-0000-0000D51A0000}"/>
    <cellStyle name="Curren?_x0012_퐀_x0017_? 2 2" xfId="8329" xr:uid="{00000000-0005-0000-0000-0000D61A0000}"/>
    <cellStyle name="Currenby_Cash&amp;DSO Chart" xfId="2361" xr:uid="{00000000-0005-0000-0000-0000D71A0000}"/>
    <cellStyle name="Currency" xfId="1671" xr:uid="{00000000-0005-0000-0000-0000D81A0000}"/>
    <cellStyle name="Currency [0]" xfId="1672" xr:uid="{00000000-0005-0000-0000-0000D91A0000}"/>
    <cellStyle name="Currency [0] 2" xfId="2363" xr:uid="{00000000-0005-0000-0000-0000DA1A0000}"/>
    <cellStyle name="Currency [0] 2 2" xfId="8330" xr:uid="{00000000-0005-0000-0000-0000DB1A0000}"/>
    <cellStyle name="Currency [0] 2 2 2" xfId="8331" xr:uid="{00000000-0005-0000-0000-0000DC1A0000}"/>
    <cellStyle name="Currency [0] 2 3" xfId="8332" xr:uid="{00000000-0005-0000-0000-0000DD1A0000}"/>
    <cellStyle name="Currency [0] 3" xfId="8333" xr:uid="{00000000-0005-0000-0000-0000DE1A0000}"/>
    <cellStyle name="Currency [0] 3 2" xfId="8334" xr:uid="{00000000-0005-0000-0000-0000DF1A0000}"/>
    <cellStyle name="Currency [0] 4" xfId="8335" xr:uid="{00000000-0005-0000-0000-0000E01A0000}"/>
    <cellStyle name="Currency [0]_ SG&amp;A Bridge " xfId="953" xr:uid="{00000000-0005-0000-0000-0000E11A0000}"/>
    <cellStyle name="Currency [00]" xfId="1673" xr:uid="{00000000-0005-0000-0000-0000E21A0000}"/>
    <cellStyle name="Currency [00] 2" xfId="1674" xr:uid="{00000000-0005-0000-0000-0000E31A0000}"/>
    <cellStyle name="Currency [00] 3" xfId="1675" xr:uid="{00000000-0005-0000-0000-0000E41A0000}"/>
    <cellStyle name="Currency [ﺜ]_P&amp;L_laroux" xfId="1676" xr:uid="{00000000-0005-0000-0000-0000E51A0000}"/>
    <cellStyle name="Currency 2" xfId="2362" xr:uid="{00000000-0005-0000-0000-0000E61A0000}"/>
    <cellStyle name="Currency 2 2" xfId="8336" xr:uid="{00000000-0005-0000-0000-0000E71A0000}"/>
    <cellStyle name="Currency 2 2 2" xfId="8337" xr:uid="{00000000-0005-0000-0000-0000E81A0000}"/>
    <cellStyle name="Currency 3" xfId="8338" xr:uid="{00000000-0005-0000-0000-0000E91A0000}"/>
    <cellStyle name="Currency 3 2" xfId="8339" xr:uid="{00000000-0005-0000-0000-0000EA1A0000}"/>
    <cellStyle name="Currency 3 2 2" xfId="8340" xr:uid="{00000000-0005-0000-0000-0000EB1A0000}"/>
    <cellStyle name="Currency 4" xfId="8341" xr:uid="{00000000-0005-0000-0000-0000EC1A0000}"/>
    <cellStyle name="Currency 4 2" xfId="8342" xr:uid="{00000000-0005-0000-0000-0000ED1A0000}"/>
    <cellStyle name="currency-$" xfId="1677" xr:uid="{00000000-0005-0000-0000-0000EE1A0000}"/>
    <cellStyle name="Currency(￦)" xfId="2364" xr:uid="{00000000-0005-0000-0000-0000EF1A0000}"/>
    <cellStyle name="Currency_ SG&amp;A Bridge " xfId="954" xr:uid="{00000000-0005-0000-0000-0000F01A0000}"/>
    <cellStyle name="Currency0" xfId="1678" xr:uid="{00000000-0005-0000-0000-0000F11A0000}"/>
    <cellStyle name="Currency0 2" xfId="5066" xr:uid="{00000000-0005-0000-0000-0000F21A0000}"/>
    <cellStyle name="Currency0 2 2" xfId="8343" xr:uid="{00000000-0005-0000-0000-0000F31A0000}"/>
    <cellStyle name="Currency0 2 2 2" xfId="8344" xr:uid="{00000000-0005-0000-0000-0000F41A0000}"/>
    <cellStyle name="Currency0 3" xfId="8345" xr:uid="{00000000-0005-0000-0000-0000F51A0000}"/>
    <cellStyle name="Currency0 3 2" xfId="8346" xr:uid="{00000000-0005-0000-0000-0000F61A0000}"/>
    <cellStyle name="Currency1" xfId="1679" xr:uid="{00000000-0005-0000-0000-0000F71A0000}"/>
    <cellStyle name="Currency1 2" xfId="2365" xr:uid="{00000000-0005-0000-0000-0000F81A0000}"/>
    <cellStyle name="Currency1 2 2" xfId="8347" xr:uid="{00000000-0005-0000-0000-0000F91A0000}"/>
    <cellStyle name="Currency1 2 2 2" xfId="8348" xr:uid="{00000000-0005-0000-0000-0000FA1A0000}"/>
    <cellStyle name="Currency1 3" xfId="8349" xr:uid="{00000000-0005-0000-0000-0000FB1A0000}"/>
    <cellStyle name="Currency1 3 2" xfId="8350" xr:uid="{00000000-0005-0000-0000-0000FC1A0000}"/>
    <cellStyle name="Date" xfId="1680" xr:uid="{00000000-0005-0000-0000-0000FD1A0000}"/>
    <cellStyle name="Date 2" xfId="2366" xr:uid="{00000000-0005-0000-0000-0000FE1A0000}"/>
    <cellStyle name="Date 2 2" xfId="8351" xr:uid="{00000000-0005-0000-0000-0000FF1A0000}"/>
    <cellStyle name="Date 2 2 2" xfId="8352" xr:uid="{00000000-0005-0000-0000-0000001B0000}"/>
    <cellStyle name="Date 2 3" xfId="8353" xr:uid="{00000000-0005-0000-0000-0000011B0000}"/>
    <cellStyle name="Date 3" xfId="8354" xr:uid="{00000000-0005-0000-0000-0000021B0000}"/>
    <cellStyle name="Date 3 2" xfId="8355" xr:uid="{00000000-0005-0000-0000-0000031B0000}"/>
    <cellStyle name="Date 4" xfId="8356" xr:uid="{00000000-0005-0000-0000-0000041B0000}"/>
    <cellStyle name="Date Short" xfId="1681" xr:uid="{00000000-0005-0000-0000-0000051B0000}"/>
    <cellStyle name="Date_노량대교가로등보수공사(준공내역)" xfId="1682" xr:uid="{00000000-0005-0000-0000-0000061B0000}"/>
    <cellStyle name="de" xfId="5067" xr:uid="{00000000-0005-0000-0000-0000071B0000}"/>
    <cellStyle name="DELTA" xfId="1683" xr:uid="{00000000-0005-0000-0000-0000081B0000}"/>
    <cellStyle name="DELTA 2" xfId="1684" xr:uid="{00000000-0005-0000-0000-0000091B0000}"/>
    <cellStyle name="DELTA 3" xfId="1685" xr:uid="{00000000-0005-0000-0000-00000A1B0000}"/>
    <cellStyle name="Dezimal [0]_Ausdruck RUND (D)" xfId="5068" xr:uid="{00000000-0005-0000-0000-00000B1B0000}"/>
    <cellStyle name="Dezimal_Ausdruck RUND (D)" xfId="5069" xr:uid="{00000000-0005-0000-0000-00000C1B0000}"/>
    <cellStyle name="Dollar (zero dec)" xfId="1686" xr:uid="{00000000-0005-0000-0000-00000D1B0000}"/>
    <cellStyle name="Dollar (zero dec) 2" xfId="1687" xr:uid="{00000000-0005-0000-0000-00000E1B0000}"/>
    <cellStyle name="Dollar (zero dec) 2 2" xfId="8357" xr:uid="{00000000-0005-0000-0000-00000F1B0000}"/>
    <cellStyle name="Dollar (zero dec) 2 2 2" xfId="8358" xr:uid="{00000000-0005-0000-0000-0000101B0000}"/>
    <cellStyle name="Dollar (zero dec) 3" xfId="1688" xr:uid="{00000000-0005-0000-0000-0000111B0000}"/>
    <cellStyle name="Dollar (zero dec) 3 2" xfId="8359" xr:uid="{00000000-0005-0000-0000-0000121B0000}"/>
    <cellStyle name="Dollar (zero dec) 4" xfId="2367" xr:uid="{00000000-0005-0000-0000-0000131B0000}"/>
    <cellStyle name="EA" xfId="2368" xr:uid="{00000000-0005-0000-0000-0000141B0000}"/>
    <cellStyle name="EA 2" xfId="8360" xr:uid="{00000000-0005-0000-0000-0000151B0000}"/>
    <cellStyle name="EA 2 2" xfId="8361" xr:uid="{00000000-0005-0000-0000-0000161B0000}"/>
    <cellStyle name="EA 3" xfId="8362" xr:uid="{00000000-0005-0000-0000-0000171B0000}"/>
    <cellStyle name="E­æo±ae￡" xfId="5070" xr:uid="{00000000-0005-0000-0000-0000181B0000}"/>
    <cellStyle name="È­Æó±âÈ£" xfId="1689" xr:uid="{00000000-0005-0000-0000-0000191B0000}"/>
    <cellStyle name="E­æo±ae￡ 2" xfId="8363" xr:uid="{00000000-0005-0000-0000-00001A1B0000}"/>
    <cellStyle name="E­æo±ae￡ 2 2" xfId="8364" xr:uid="{00000000-0005-0000-0000-00001B1B0000}"/>
    <cellStyle name="E­æo±ae￡0" xfId="5071" xr:uid="{00000000-0005-0000-0000-00001C1B0000}"/>
    <cellStyle name="È­Æó±âÈ£0" xfId="1690" xr:uid="{00000000-0005-0000-0000-00001D1B0000}"/>
    <cellStyle name="E­æo±ae￡0 2" xfId="8365" xr:uid="{00000000-0005-0000-0000-00001E1B0000}"/>
    <cellStyle name="E­æo±ae￡0 2 2" xfId="8366" xr:uid="{00000000-0005-0000-0000-00001F1B0000}"/>
    <cellStyle name="Enter Currency (0)" xfId="1691" xr:uid="{00000000-0005-0000-0000-0000201B0000}"/>
    <cellStyle name="Enter Currency (0) 2" xfId="1692" xr:uid="{00000000-0005-0000-0000-0000211B0000}"/>
    <cellStyle name="Enter Currency (0) 3" xfId="1693" xr:uid="{00000000-0005-0000-0000-0000221B0000}"/>
    <cellStyle name="Enter Currency (2)" xfId="1694" xr:uid="{00000000-0005-0000-0000-0000231B0000}"/>
    <cellStyle name="Enter Currency (2) 2" xfId="1695" xr:uid="{00000000-0005-0000-0000-0000241B0000}"/>
    <cellStyle name="Enter Currency (2) 3" xfId="1696" xr:uid="{00000000-0005-0000-0000-0000251B0000}"/>
    <cellStyle name="Enter Units (0)" xfId="1697" xr:uid="{00000000-0005-0000-0000-0000261B0000}"/>
    <cellStyle name="Enter Units (0) 2" xfId="1698" xr:uid="{00000000-0005-0000-0000-0000271B0000}"/>
    <cellStyle name="Enter Units (0) 3" xfId="1699" xr:uid="{00000000-0005-0000-0000-0000281B0000}"/>
    <cellStyle name="Enter Units (1)" xfId="1700" xr:uid="{00000000-0005-0000-0000-0000291B0000}"/>
    <cellStyle name="Enter Units (1) 2" xfId="1701" xr:uid="{00000000-0005-0000-0000-00002A1B0000}"/>
    <cellStyle name="Enter Units (1) 3" xfId="1702" xr:uid="{00000000-0005-0000-0000-00002B1B0000}"/>
    <cellStyle name="Enter Units (2)" xfId="1703" xr:uid="{00000000-0005-0000-0000-00002C1B0000}"/>
    <cellStyle name="Enter Units (2) 2" xfId="1704" xr:uid="{00000000-0005-0000-0000-00002D1B0000}"/>
    <cellStyle name="Enter Units (2) 3" xfId="1705" xr:uid="{00000000-0005-0000-0000-00002E1B0000}"/>
    <cellStyle name="Entered" xfId="955" xr:uid="{00000000-0005-0000-0000-00002F1B0000}"/>
    <cellStyle name="Entered 2" xfId="8367" xr:uid="{00000000-0005-0000-0000-0000301B0000}"/>
    <cellStyle name="Entered 2 2" xfId="8368" xr:uid="{00000000-0005-0000-0000-0000311B0000}"/>
    <cellStyle name="Euro" xfId="1706" xr:uid="{00000000-0005-0000-0000-0000321B0000}"/>
    <cellStyle name="Euro 2" xfId="1707" xr:uid="{00000000-0005-0000-0000-0000331B0000}"/>
    <cellStyle name="Euro 2 2" xfId="8369" xr:uid="{00000000-0005-0000-0000-0000341B0000}"/>
    <cellStyle name="Euro 3" xfId="1708" xr:uid="{00000000-0005-0000-0000-0000351B0000}"/>
    <cellStyle name="Euro 4" xfId="2369" xr:uid="{00000000-0005-0000-0000-0000361B0000}"/>
    <cellStyle name="F2" xfId="1711" xr:uid="{00000000-0005-0000-0000-0000371B0000}"/>
    <cellStyle name="F2 2" xfId="1712" xr:uid="{00000000-0005-0000-0000-0000381B0000}"/>
    <cellStyle name="F2 2 2" xfId="8370" xr:uid="{00000000-0005-0000-0000-0000391B0000}"/>
    <cellStyle name="F2 2 2 2" xfId="8371" xr:uid="{00000000-0005-0000-0000-00003A1B0000}"/>
    <cellStyle name="F2 3" xfId="1713" xr:uid="{00000000-0005-0000-0000-00003B1B0000}"/>
    <cellStyle name="F2 3 2" xfId="8372" xr:uid="{00000000-0005-0000-0000-00003C1B0000}"/>
    <cellStyle name="F2 4" xfId="2370" xr:uid="{00000000-0005-0000-0000-00003D1B0000}"/>
    <cellStyle name="F3" xfId="1714" xr:uid="{00000000-0005-0000-0000-00003E1B0000}"/>
    <cellStyle name="F3 2" xfId="1715" xr:uid="{00000000-0005-0000-0000-00003F1B0000}"/>
    <cellStyle name="F3 2 2" xfId="8373" xr:uid="{00000000-0005-0000-0000-0000401B0000}"/>
    <cellStyle name="F3 2 2 2" xfId="8374" xr:uid="{00000000-0005-0000-0000-0000411B0000}"/>
    <cellStyle name="F3 3" xfId="1716" xr:uid="{00000000-0005-0000-0000-0000421B0000}"/>
    <cellStyle name="F3 3 2" xfId="8375" xr:uid="{00000000-0005-0000-0000-0000431B0000}"/>
    <cellStyle name="F3 4" xfId="2371" xr:uid="{00000000-0005-0000-0000-0000441B0000}"/>
    <cellStyle name="F4" xfId="1717" xr:uid="{00000000-0005-0000-0000-0000451B0000}"/>
    <cellStyle name="F4 2" xfId="1718" xr:uid="{00000000-0005-0000-0000-0000461B0000}"/>
    <cellStyle name="F4 2 2" xfId="8376" xr:uid="{00000000-0005-0000-0000-0000471B0000}"/>
    <cellStyle name="F4 2 2 2" xfId="8377" xr:uid="{00000000-0005-0000-0000-0000481B0000}"/>
    <cellStyle name="F4 3" xfId="1719" xr:uid="{00000000-0005-0000-0000-0000491B0000}"/>
    <cellStyle name="F4 3 2" xfId="8378" xr:uid="{00000000-0005-0000-0000-00004A1B0000}"/>
    <cellStyle name="F4 4" xfId="2372" xr:uid="{00000000-0005-0000-0000-00004B1B0000}"/>
    <cellStyle name="F5" xfId="1720" xr:uid="{00000000-0005-0000-0000-00004C1B0000}"/>
    <cellStyle name="F5 2" xfId="1721" xr:uid="{00000000-0005-0000-0000-00004D1B0000}"/>
    <cellStyle name="F5 2 2" xfId="8379" xr:uid="{00000000-0005-0000-0000-00004E1B0000}"/>
    <cellStyle name="F5 2 2 2" xfId="8380" xr:uid="{00000000-0005-0000-0000-00004F1B0000}"/>
    <cellStyle name="F5 3" xfId="1722" xr:uid="{00000000-0005-0000-0000-0000501B0000}"/>
    <cellStyle name="F5 3 2" xfId="8381" xr:uid="{00000000-0005-0000-0000-0000511B0000}"/>
    <cellStyle name="F5 4" xfId="2373" xr:uid="{00000000-0005-0000-0000-0000521B0000}"/>
    <cellStyle name="F6" xfId="1723" xr:uid="{00000000-0005-0000-0000-0000531B0000}"/>
    <cellStyle name="F6 2" xfId="1724" xr:uid="{00000000-0005-0000-0000-0000541B0000}"/>
    <cellStyle name="F6 2 2" xfId="8382" xr:uid="{00000000-0005-0000-0000-0000551B0000}"/>
    <cellStyle name="F6 2 2 2" xfId="8383" xr:uid="{00000000-0005-0000-0000-0000561B0000}"/>
    <cellStyle name="F6 3" xfId="1725" xr:uid="{00000000-0005-0000-0000-0000571B0000}"/>
    <cellStyle name="F6 3 2" xfId="8384" xr:uid="{00000000-0005-0000-0000-0000581B0000}"/>
    <cellStyle name="F6 4" xfId="2374" xr:uid="{00000000-0005-0000-0000-0000591B0000}"/>
    <cellStyle name="F7" xfId="1726" xr:uid="{00000000-0005-0000-0000-00005A1B0000}"/>
    <cellStyle name="F7 2" xfId="1727" xr:uid="{00000000-0005-0000-0000-00005B1B0000}"/>
    <cellStyle name="F7 2 2" xfId="8385" xr:uid="{00000000-0005-0000-0000-00005C1B0000}"/>
    <cellStyle name="F7 2 2 2" xfId="8386" xr:uid="{00000000-0005-0000-0000-00005D1B0000}"/>
    <cellStyle name="F7 3" xfId="1728" xr:uid="{00000000-0005-0000-0000-00005E1B0000}"/>
    <cellStyle name="F7 3 2" xfId="8387" xr:uid="{00000000-0005-0000-0000-00005F1B0000}"/>
    <cellStyle name="F7 4" xfId="2375" xr:uid="{00000000-0005-0000-0000-0000601B0000}"/>
    <cellStyle name="F8" xfId="1729" xr:uid="{00000000-0005-0000-0000-0000611B0000}"/>
    <cellStyle name="F8 2" xfId="1730" xr:uid="{00000000-0005-0000-0000-0000621B0000}"/>
    <cellStyle name="F8 2 2" xfId="8388" xr:uid="{00000000-0005-0000-0000-0000631B0000}"/>
    <cellStyle name="F8 2 2 2" xfId="8389" xr:uid="{00000000-0005-0000-0000-0000641B0000}"/>
    <cellStyle name="F8 3" xfId="1731" xr:uid="{00000000-0005-0000-0000-0000651B0000}"/>
    <cellStyle name="F8 3 2" xfId="8390" xr:uid="{00000000-0005-0000-0000-0000661B0000}"/>
    <cellStyle name="F8 4" xfId="2376" xr:uid="{00000000-0005-0000-0000-0000671B0000}"/>
    <cellStyle name="Fixed" xfId="1732" xr:uid="{00000000-0005-0000-0000-0000681B0000}"/>
    <cellStyle name="Fixed 2" xfId="2377" xr:uid="{00000000-0005-0000-0000-0000691B0000}"/>
    <cellStyle name="Fixed 2 2" xfId="8391" xr:uid="{00000000-0005-0000-0000-00006A1B0000}"/>
    <cellStyle name="Fixed 2 2 2" xfId="8392" xr:uid="{00000000-0005-0000-0000-00006B1B0000}"/>
    <cellStyle name="Fixed 2 3" xfId="8393" xr:uid="{00000000-0005-0000-0000-00006C1B0000}"/>
    <cellStyle name="Fixed 3" xfId="8394" xr:uid="{00000000-0005-0000-0000-00006D1B0000}"/>
    <cellStyle name="Fixed 3 2" xfId="8395" xr:uid="{00000000-0005-0000-0000-00006E1B0000}"/>
    <cellStyle name="Fixed 4" xfId="8396" xr:uid="{00000000-0005-0000-0000-00006F1B0000}"/>
    <cellStyle name="Followed Hyperlink" xfId="1733" xr:uid="{00000000-0005-0000-0000-0000701B0000}"/>
    <cellStyle name="Followed Hyperlink 2" xfId="2378" xr:uid="{00000000-0005-0000-0000-0000711B0000}"/>
    <cellStyle name="Followed Hyperlink 2 2" xfId="8397" xr:uid="{00000000-0005-0000-0000-0000721B0000}"/>
    <cellStyle name="g" xfId="5072" xr:uid="{00000000-0005-0000-0000-0000731B0000}"/>
    <cellStyle name="G/표준" xfId="8398" xr:uid="{00000000-0005-0000-0000-0000741B0000}"/>
    <cellStyle name="G/표준 2" xfId="8399" xr:uid="{00000000-0005-0000-0000-0000751B0000}"/>
    <cellStyle name="G/표준 2 2" xfId="8400" xr:uid="{00000000-0005-0000-0000-0000761B0000}"/>
    <cellStyle name="G10" xfId="1734" xr:uid="{00000000-0005-0000-0000-0000771B0000}"/>
    <cellStyle name="Grey" xfId="956" xr:uid="{00000000-0005-0000-0000-0000781B0000}"/>
    <cellStyle name="Grey 2" xfId="1735" xr:uid="{00000000-0005-0000-0000-0000791B0000}"/>
    <cellStyle name="Grey 2 2" xfId="8401" xr:uid="{00000000-0005-0000-0000-00007A1B0000}"/>
    <cellStyle name="Grey 2 2 2" xfId="8402" xr:uid="{00000000-0005-0000-0000-00007B1B0000}"/>
    <cellStyle name="Grey 2 3" xfId="8403" xr:uid="{00000000-0005-0000-0000-00007C1B0000}"/>
    <cellStyle name="Grey 3" xfId="1736" xr:uid="{00000000-0005-0000-0000-00007D1B0000}"/>
    <cellStyle name="Grey 3 2" xfId="8404" xr:uid="{00000000-0005-0000-0000-00007E1B0000}"/>
    <cellStyle name="Grey 4" xfId="2379" xr:uid="{00000000-0005-0000-0000-00007F1B0000}"/>
    <cellStyle name="H1" xfId="957" xr:uid="{00000000-0005-0000-0000-0000801B0000}"/>
    <cellStyle name="H1 2" xfId="8405" xr:uid="{00000000-0005-0000-0000-0000811B0000}"/>
    <cellStyle name="H1 2 2" xfId="8406" xr:uid="{00000000-0005-0000-0000-0000821B0000}"/>
    <cellStyle name="H2" xfId="958" xr:uid="{00000000-0005-0000-0000-0000831B0000}"/>
    <cellStyle name="H2 2" xfId="8407" xr:uid="{00000000-0005-0000-0000-0000841B0000}"/>
    <cellStyle name="H2 2 2" xfId="8408" xr:uid="{00000000-0005-0000-0000-0000851B0000}"/>
    <cellStyle name="head" xfId="8409" xr:uid="{00000000-0005-0000-0000-0000861B0000}"/>
    <cellStyle name="head 1" xfId="8410" xr:uid="{00000000-0005-0000-0000-0000871B0000}"/>
    <cellStyle name="head 1 2" xfId="8411" xr:uid="{00000000-0005-0000-0000-0000881B0000}"/>
    <cellStyle name="head 1 2 2" xfId="8412" xr:uid="{00000000-0005-0000-0000-0000891B0000}"/>
    <cellStyle name="head 1 3" xfId="8413" xr:uid="{00000000-0005-0000-0000-00008A1B0000}"/>
    <cellStyle name="head 1-1" xfId="8414" xr:uid="{00000000-0005-0000-0000-00008B1B0000}"/>
    <cellStyle name="head 1-1 2" xfId="8415" xr:uid="{00000000-0005-0000-0000-00008C1B0000}"/>
    <cellStyle name="head 1-1 2 2" xfId="8416" xr:uid="{00000000-0005-0000-0000-00008D1B0000}"/>
    <cellStyle name="head 1-1 3" xfId="8417" xr:uid="{00000000-0005-0000-0000-00008E1B0000}"/>
    <cellStyle name="head 2" xfId="8418" xr:uid="{00000000-0005-0000-0000-00008F1B0000}"/>
    <cellStyle name="head 2 2" xfId="8419" xr:uid="{00000000-0005-0000-0000-0000901B0000}"/>
    <cellStyle name="head 3" xfId="8420" xr:uid="{00000000-0005-0000-0000-0000911B0000}"/>
    <cellStyle name="head 4" xfId="8421" xr:uid="{00000000-0005-0000-0000-0000921B0000}"/>
    <cellStyle name="head 5" xfId="8422" xr:uid="{00000000-0005-0000-0000-0000931B0000}"/>
    <cellStyle name="head 6" xfId="8423" xr:uid="{00000000-0005-0000-0000-0000941B0000}"/>
    <cellStyle name="head 7" xfId="8424" xr:uid="{00000000-0005-0000-0000-0000951B0000}"/>
    <cellStyle name="head 8" xfId="8425" xr:uid="{00000000-0005-0000-0000-0000961B0000}"/>
    <cellStyle name="head 9" xfId="8426" xr:uid="{00000000-0005-0000-0000-0000971B0000}"/>
    <cellStyle name="HEADER" xfId="959" xr:uid="{00000000-0005-0000-0000-0000981B0000}"/>
    <cellStyle name="Header 2" xfId="1737" xr:uid="{00000000-0005-0000-0000-0000991B0000}"/>
    <cellStyle name="HEADER 2 2" xfId="1738" xr:uid="{00000000-0005-0000-0000-00009A1B0000}"/>
    <cellStyle name="HEADER 3" xfId="1739" xr:uid="{00000000-0005-0000-0000-00009B1B0000}"/>
    <cellStyle name="HEADER 4" xfId="2380" xr:uid="{00000000-0005-0000-0000-00009C1B0000}"/>
    <cellStyle name="Header1" xfId="960" xr:uid="{00000000-0005-0000-0000-00009D1B0000}"/>
    <cellStyle name="Header1 2" xfId="8427" xr:uid="{00000000-0005-0000-0000-00009E1B0000}"/>
    <cellStyle name="Header1 2 2" xfId="8428" xr:uid="{00000000-0005-0000-0000-00009F1B0000}"/>
    <cellStyle name="Header1 3" xfId="8429" xr:uid="{00000000-0005-0000-0000-0000A01B0000}"/>
    <cellStyle name="Header2" xfId="961" xr:uid="{00000000-0005-0000-0000-0000A11B0000}"/>
    <cellStyle name="Header2 2" xfId="8430" xr:uid="{00000000-0005-0000-0000-0000A21B0000}"/>
    <cellStyle name="Header2 2 2" xfId="8431" xr:uid="{00000000-0005-0000-0000-0000A31B0000}"/>
    <cellStyle name="Header2 3" xfId="8432" xr:uid="{00000000-0005-0000-0000-0000A41B0000}"/>
    <cellStyle name="Heading 1" xfId="1740" xr:uid="{00000000-0005-0000-0000-0000A51B0000}"/>
    <cellStyle name="Heading 1 2" xfId="5073" xr:uid="{00000000-0005-0000-0000-0000A61B0000}"/>
    <cellStyle name="Heading 1 2 2" xfId="8433" xr:uid="{00000000-0005-0000-0000-0000A71B0000}"/>
    <cellStyle name="Heading 1 2 2 2" xfId="8434" xr:uid="{00000000-0005-0000-0000-0000A81B0000}"/>
    <cellStyle name="Heading 1 2 3" xfId="8435" xr:uid="{00000000-0005-0000-0000-0000A91B0000}"/>
    <cellStyle name="Heading 1 3" xfId="8436" xr:uid="{00000000-0005-0000-0000-0000AA1B0000}"/>
    <cellStyle name="Heading 1 3 2" xfId="8437" xr:uid="{00000000-0005-0000-0000-0000AB1B0000}"/>
    <cellStyle name="Heading 1 4" xfId="8438" xr:uid="{00000000-0005-0000-0000-0000AC1B0000}"/>
    <cellStyle name="Heading 2" xfId="1741" xr:uid="{00000000-0005-0000-0000-0000AD1B0000}"/>
    <cellStyle name="Heading 2 2" xfId="5074" xr:uid="{00000000-0005-0000-0000-0000AE1B0000}"/>
    <cellStyle name="Heading 2 2 2" xfId="8439" xr:uid="{00000000-0005-0000-0000-0000AF1B0000}"/>
    <cellStyle name="Heading 2 2 2 2" xfId="8440" xr:uid="{00000000-0005-0000-0000-0000B01B0000}"/>
    <cellStyle name="Heading 2 2 3" xfId="8441" xr:uid="{00000000-0005-0000-0000-0000B11B0000}"/>
    <cellStyle name="Heading 2 3" xfId="8442" xr:uid="{00000000-0005-0000-0000-0000B21B0000}"/>
    <cellStyle name="Heading 2 3 2" xfId="8443" xr:uid="{00000000-0005-0000-0000-0000B31B0000}"/>
    <cellStyle name="Heading 2 4" xfId="8444" xr:uid="{00000000-0005-0000-0000-0000B41B0000}"/>
    <cellStyle name="Heading1" xfId="1742" xr:uid="{00000000-0005-0000-0000-0000B51B0000}"/>
    <cellStyle name="Heading1 2" xfId="8445" xr:uid="{00000000-0005-0000-0000-0000B61B0000}"/>
    <cellStyle name="Heading1 2 2" xfId="8446" xr:uid="{00000000-0005-0000-0000-0000B71B0000}"/>
    <cellStyle name="Heading1 2 2 2" xfId="8447" xr:uid="{00000000-0005-0000-0000-0000B81B0000}"/>
    <cellStyle name="Heading1 3" xfId="8448" xr:uid="{00000000-0005-0000-0000-0000B91B0000}"/>
    <cellStyle name="Heading1 3 2" xfId="8449" xr:uid="{00000000-0005-0000-0000-0000BA1B0000}"/>
    <cellStyle name="Heading2" xfId="1743" xr:uid="{00000000-0005-0000-0000-0000BB1B0000}"/>
    <cellStyle name="Heading2 2" xfId="8450" xr:uid="{00000000-0005-0000-0000-0000BC1B0000}"/>
    <cellStyle name="Heading2 2 2" xfId="8451" xr:uid="{00000000-0005-0000-0000-0000BD1B0000}"/>
    <cellStyle name="Heading2 2 2 2" xfId="8452" xr:uid="{00000000-0005-0000-0000-0000BE1B0000}"/>
    <cellStyle name="Heading2 3" xfId="8453" xr:uid="{00000000-0005-0000-0000-0000BF1B0000}"/>
    <cellStyle name="Heading2 3 2" xfId="8454" xr:uid="{00000000-0005-0000-0000-0000C01B0000}"/>
    <cellStyle name="HEADINGS" xfId="1744" xr:uid="{00000000-0005-0000-0000-0000C11B0000}"/>
    <cellStyle name="HEADINGSTOP" xfId="1745" xr:uid="{00000000-0005-0000-0000-0000C21B0000}"/>
    <cellStyle name="Helv8_PFD4.XLS" xfId="1746" xr:uid="{00000000-0005-0000-0000-0000C31B0000}"/>
    <cellStyle name="HIGHLIGHT" xfId="5075" xr:uid="{00000000-0005-0000-0000-0000C41B0000}"/>
    <cellStyle name="HIGHLIGHT 2" xfId="8455" xr:uid="{00000000-0005-0000-0000-0000C51B0000}"/>
    <cellStyle name="HIGHLIGHT 2 2" xfId="8456" xr:uid="{00000000-0005-0000-0000-0000C61B0000}"/>
    <cellStyle name="HIGHLIGHT 3" xfId="8457" xr:uid="{00000000-0005-0000-0000-0000C71B0000}"/>
    <cellStyle name="Hyperlink" xfId="1747" xr:uid="{00000000-0005-0000-0000-0000C81B0000}"/>
    <cellStyle name="Hyperlink 2" xfId="1748" xr:uid="{00000000-0005-0000-0000-0000C91B0000}"/>
    <cellStyle name="Hyperlink 2 2" xfId="8458" xr:uid="{00000000-0005-0000-0000-0000CA1B0000}"/>
    <cellStyle name="Hyperlink 3" xfId="1749" xr:uid="{00000000-0005-0000-0000-0000CB1B0000}"/>
    <cellStyle name="Hyperlink 4" xfId="2381" xr:uid="{00000000-0005-0000-0000-0000CC1B0000}"/>
    <cellStyle name="Hyperlink_NEGS" xfId="962" xr:uid="{00000000-0005-0000-0000-0000CD1B0000}"/>
    <cellStyle name="Input [yellow]" xfId="963" xr:uid="{00000000-0005-0000-0000-0000CE1B0000}"/>
    <cellStyle name="Input [yellow] 2" xfId="1750" xr:uid="{00000000-0005-0000-0000-0000CF1B0000}"/>
    <cellStyle name="Input [yellow] 2 2" xfId="8459" xr:uid="{00000000-0005-0000-0000-0000D01B0000}"/>
    <cellStyle name="Input [yellow] 2 2 2" xfId="8460" xr:uid="{00000000-0005-0000-0000-0000D11B0000}"/>
    <cellStyle name="Input [yellow] 2 3" xfId="8461" xr:uid="{00000000-0005-0000-0000-0000D21B0000}"/>
    <cellStyle name="Input [yellow] 3" xfId="1751" xr:uid="{00000000-0005-0000-0000-0000D31B0000}"/>
    <cellStyle name="Input [yellow] 3 2" xfId="8462" xr:uid="{00000000-0005-0000-0000-0000D41B0000}"/>
    <cellStyle name="Input [yellow] 4" xfId="2382" xr:uid="{00000000-0005-0000-0000-0000D51B0000}"/>
    <cellStyle name="Input Cells" xfId="1752" xr:uid="{00000000-0005-0000-0000-0000D61B0000}"/>
    <cellStyle name="jin" xfId="5076" xr:uid="{00000000-0005-0000-0000-0000D71B0000}"/>
    <cellStyle name="kg" xfId="1753" xr:uid="{00000000-0005-0000-0000-0000D81B0000}"/>
    <cellStyle name="kg 2" xfId="8463" xr:uid="{00000000-0005-0000-0000-0000D91B0000}"/>
    <cellStyle name="kg 2 2" xfId="8464" xr:uid="{00000000-0005-0000-0000-0000DA1B0000}"/>
    <cellStyle name="ℓ" xfId="2383" xr:uid="{00000000-0005-0000-0000-0000DB1B0000}"/>
    <cellStyle name="L`" xfId="5077" xr:uid="{00000000-0005-0000-0000-0000DC1B0000}"/>
    <cellStyle name="Link Currency (0)" xfId="1754" xr:uid="{00000000-0005-0000-0000-0000DD1B0000}"/>
    <cellStyle name="Link Currency (0) 2" xfId="1755" xr:uid="{00000000-0005-0000-0000-0000DE1B0000}"/>
    <cellStyle name="Link Currency (0) 3" xfId="1756" xr:uid="{00000000-0005-0000-0000-0000DF1B0000}"/>
    <cellStyle name="Link Currency (2)" xfId="1757" xr:uid="{00000000-0005-0000-0000-0000E01B0000}"/>
    <cellStyle name="Link Currency (2) 2" xfId="1758" xr:uid="{00000000-0005-0000-0000-0000E11B0000}"/>
    <cellStyle name="Link Currency (2) 3" xfId="1759" xr:uid="{00000000-0005-0000-0000-0000E21B0000}"/>
    <cellStyle name="Link Units (0)" xfId="1760" xr:uid="{00000000-0005-0000-0000-0000E31B0000}"/>
    <cellStyle name="Link Units (0) 2" xfId="1761" xr:uid="{00000000-0005-0000-0000-0000E41B0000}"/>
    <cellStyle name="Link Units (0) 3" xfId="1762" xr:uid="{00000000-0005-0000-0000-0000E51B0000}"/>
    <cellStyle name="Link Units (1)" xfId="1763" xr:uid="{00000000-0005-0000-0000-0000E61B0000}"/>
    <cellStyle name="Link Units (1) 2" xfId="1764" xr:uid="{00000000-0005-0000-0000-0000E71B0000}"/>
    <cellStyle name="Link Units (1) 3" xfId="1765" xr:uid="{00000000-0005-0000-0000-0000E81B0000}"/>
    <cellStyle name="Link Units (2)" xfId="1766" xr:uid="{00000000-0005-0000-0000-0000E91B0000}"/>
    <cellStyle name="Link Units (2) 2" xfId="1767" xr:uid="{00000000-0005-0000-0000-0000EA1B0000}"/>
    <cellStyle name="Link Units (2) 3" xfId="1768" xr:uid="{00000000-0005-0000-0000-0000EB1B0000}"/>
    <cellStyle name="Linked Cells" xfId="1769" xr:uid="{00000000-0005-0000-0000-0000EC1B0000}"/>
    <cellStyle name="M" xfId="1770" xr:uid="{00000000-0005-0000-0000-0000ED1B0000}"/>
    <cellStyle name="M 2" xfId="8465" xr:uid="{00000000-0005-0000-0000-0000EE1B0000}"/>
    <cellStyle name="M 2 2" xfId="8466" xr:uid="{00000000-0005-0000-0000-0000EF1B0000}"/>
    <cellStyle name="M_2007불광천녹화사업 심사내역서(수정-관급)" xfId="5078" xr:uid="{00000000-0005-0000-0000-0000F01B0000}"/>
    <cellStyle name="M_2007상반기노무비" xfId="2384" xr:uid="{00000000-0005-0000-0000-0000F11B0000}"/>
    <cellStyle name="M_가로수 수형다듬기 및 위험수목 정비공사" xfId="5079" xr:uid="{00000000-0005-0000-0000-0000F21B0000}"/>
    <cellStyle name="M_기초일위대기" xfId="2385" xr:uid="{00000000-0005-0000-0000-0000F31B0000}"/>
    <cellStyle name="M_벌목재적등 산출" xfId="2386" xr:uid="{00000000-0005-0000-0000-0000F41B0000}"/>
    <cellStyle name="M_수정목록및내역서(0731)" xfId="5080" xr:uid="{00000000-0005-0000-0000-0000F51B0000}"/>
    <cellStyle name="M2" xfId="1771" xr:uid="{00000000-0005-0000-0000-0000F61B0000}"/>
    <cellStyle name="M2 2" xfId="8467" xr:uid="{00000000-0005-0000-0000-0000F71B0000}"/>
    <cellStyle name="M2 2 2" xfId="8468" xr:uid="{00000000-0005-0000-0000-0000F81B0000}"/>
    <cellStyle name="M3" xfId="1772" xr:uid="{00000000-0005-0000-0000-0000F91B0000}"/>
    <cellStyle name="M3 2" xfId="8469" xr:uid="{00000000-0005-0000-0000-0000FA1B0000}"/>
    <cellStyle name="M3 2 2" xfId="8470" xr:uid="{00000000-0005-0000-0000-0000FB1B0000}"/>
    <cellStyle name="Midtitle" xfId="1773" xr:uid="{00000000-0005-0000-0000-0000FC1B0000}"/>
    <cellStyle name="Midtitle 2" xfId="8471" xr:uid="{00000000-0005-0000-0000-0000FD1B0000}"/>
    <cellStyle name="Midtitle 2 2" xfId="8472" xr:uid="{00000000-0005-0000-0000-0000FE1B0000}"/>
    <cellStyle name="Midtitle 3" xfId="8473" xr:uid="{00000000-0005-0000-0000-0000FF1B0000}"/>
    <cellStyle name="Miglia - Stile1" xfId="1774" xr:uid="{00000000-0005-0000-0000-0000001C0000}"/>
    <cellStyle name="Miglia - Stile2" xfId="1775" xr:uid="{00000000-0005-0000-0000-0000011C0000}"/>
    <cellStyle name="Miglia - Stile3" xfId="1776" xr:uid="{00000000-0005-0000-0000-0000021C0000}"/>
    <cellStyle name="Miglia - Stile4" xfId="1777" xr:uid="{00000000-0005-0000-0000-0000031C0000}"/>
    <cellStyle name="Miglia - Stile5" xfId="1778" xr:uid="{00000000-0005-0000-0000-0000041C0000}"/>
    <cellStyle name="Milliers [0]_399GC10" xfId="1779" xr:uid="{00000000-0005-0000-0000-0000051C0000}"/>
    <cellStyle name="Milliers_399GC10" xfId="1780" xr:uid="{00000000-0005-0000-0000-0000061C0000}"/>
    <cellStyle name="mma_CASH &amp; DSO" xfId="5081" xr:uid="{00000000-0005-0000-0000-0000071C0000}"/>
    <cellStyle name="Model" xfId="964" xr:uid="{00000000-0005-0000-0000-0000081C0000}"/>
    <cellStyle name="Model 2" xfId="8474" xr:uid="{00000000-0005-0000-0000-0000091C0000}"/>
    <cellStyle name="Model 2 2" xfId="8475" xr:uid="{00000000-0005-0000-0000-00000A1C0000}"/>
    <cellStyle name="Mon?aire [0]_399GC10" xfId="1781" xr:uid="{00000000-0005-0000-0000-00000B1C0000}"/>
    <cellStyle name="Mon?aire_399GC10" xfId="1782" xr:uid="{00000000-0005-0000-0000-00000C1C0000}"/>
    <cellStyle name="Monétaire [0]_CTC" xfId="1783" xr:uid="{00000000-0005-0000-0000-00000D1C0000}"/>
    <cellStyle name="Monétaire_CTC" xfId="1784" xr:uid="{00000000-0005-0000-0000-00000E1C0000}"/>
    <cellStyle name="MS Proofing Tools" xfId="8476" xr:uid="{00000000-0005-0000-0000-00000F1C0000}"/>
    <cellStyle name="MS Proofing Tools 2" xfId="8477" xr:uid="{00000000-0005-0000-0000-0000101C0000}"/>
    <cellStyle name="MS Proofing Tools 2 2" xfId="8478" xr:uid="{00000000-0005-0000-0000-0000111C0000}"/>
    <cellStyle name="n" xfId="5082" xr:uid="{00000000-0005-0000-0000-0000121C0000}"/>
    <cellStyle name="no dec" xfId="1785" xr:uid="{00000000-0005-0000-0000-0000131C0000}"/>
    <cellStyle name="no dec 2" xfId="8479" xr:uid="{00000000-0005-0000-0000-0000141C0000}"/>
    <cellStyle name="no dec 2 2" xfId="8480" xr:uid="{00000000-0005-0000-0000-0000151C0000}"/>
    <cellStyle name="normal" xfId="2387" xr:uid="{00000000-0005-0000-0000-0000161C0000}"/>
    <cellStyle name="Normal - Stile6" xfId="1787" xr:uid="{00000000-0005-0000-0000-0000171C0000}"/>
    <cellStyle name="Normal - Stile7" xfId="1788" xr:uid="{00000000-0005-0000-0000-0000181C0000}"/>
    <cellStyle name="Normal - Stile8" xfId="1789" xr:uid="{00000000-0005-0000-0000-0000191C0000}"/>
    <cellStyle name="Normal - Style1" xfId="965" xr:uid="{00000000-0005-0000-0000-00001A1C0000}"/>
    <cellStyle name="Normal - Style1 2" xfId="1790" xr:uid="{00000000-0005-0000-0000-00001B1C0000}"/>
    <cellStyle name="Normal - Style1 2 2" xfId="1791" xr:uid="{00000000-0005-0000-0000-00001C1C0000}"/>
    <cellStyle name="Normal - Style1 2 2 2" xfId="8481" xr:uid="{00000000-0005-0000-0000-00001D1C0000}"/>
    <cellStyle name="Normal - Style1 3" xfId="1792" xr:uid="{00000000-0005-0000-0000-00001E1C0000}"/>
    <cellStyle name="Normal - Style1 3 2" xfId="8482" xr:uid="{00000000-0005-0000-0000-00001F1C0000}"/>
    <cellStyle name="Normal - Style1 4" xfId="2388" xr:uid="{00000000-0005-0000-0000-0000201C0000}"/>
    <cellStyle name="Normal - Style2" xfId="5083" xr:uid="{00000000-0005-0000-0000-0000211C0000}"/>
    <cellStyle name="Normal - Style2 2" xfId="8483" xr:uid="{00000000-0005-0000-0000-0000221C0000}"/>
    <cellStyle name="Normal - Style2 2 2" xfId="8484" xr:uid="{00000000-0005-0000-0000-0000231C0000}"/>
    <cellStyle name="Normal - Style3" xfId="5084" xr:uid="{00000000-0005-0000-0000-0000241C0000}"/>
    <cellStyle name="Normal - Style3 2" xfId="8485" xr:uid="{00000000-0005-0000-0000-0000251C0000}"/>
    <cellStyle name="Normal - Style3 2 2" xfId="8486" xr:uid="{00000000-0005-0000-0000-0000261C0000}"/>
    <cellStyle name="Normal - Style4" xfId="5085" xr:uid="{00000000-0005-0000-0000-0000271C0000}"/>
    <cellStyle name="Normal - Style4 2" xfId="8487" xr:uid="{00000000-0005-0000-0000-0000281C0000}"/>
    <cellStyle name="Normal - Style4 2 2" xfId="8488" xr:uid="{00000000-0005-0000-0000-0000291C0000}"/>
    <cellStyle name="Normal - Style5" xfId="5086" xr:uid="{00000000-0005-0000-0000-00002A1C0000}"/>
    <cellStyle name="Normal - Style5 2" xfId="8489" xr:uid="{00000000-0005-0000-0000-00002B1C0000}"/>
    <cellStyle name="Normal - Style5 2 2" xfId="8490" xr:uid="{00000000-0005-0000-0000-00002C1C0000}"/>
    <cellStyle name="Normal - Style6" xfId="5087" xr:uid="{00000000-0005-0000-0000-00002D1C0000}"/>
    <cellStyle name="Normal - Style6 2" xfId="8491" xr:uid="{00000000-0005-0000-0000-00002E1C0000}"/>
    <cellStyle name="Normal - Style6 2 2" xfId="8492" xr:uid="{00000000-0005-0000-0000-00002F1C0000}"/>
    <cellStyle name="Normal - Style7" xfId="5088" xr:uid="{00000000-0005-0000-0000-0000301C0000}"/>
    <cellStyle name="Normal - Style7 2" xfId="8493" xr:uid="{00000000-0005-0000-0000-0000311C0000}"/>
    <cellStyle name="Normal - Style7 2 2" xfId="8494" xr:uid="{00000000-0005-0000-0000-0000321C0000}"/>
    <cellStyle name="Normal - Style8" xfId="5089" xr:uid="{00000000-0005-0000-0000-0000331C0000}"/>
    <cellStyle name="Normal - Style8 2" xfId="8495" xr:uid="{00000000-0005-0000-0000-0000341C0000}"/>
    <cellStyle name="Normal - Style8 2 2" xfId="8496" xr:uid="{00000000-0005-0000-0000-0000351C0000}"/>
    <cellStyle name="Normal - 유형1" xfId="1786" xr:uid="{00000000-0005-0000-0000-0000361C0000}"/>
    <cellStyle name="Normal - 유형1 2" xfId="8497" xr:uid="{00000000-0005-0000-0000-0000371C0000}"/>
    <cellStyle name="Normal - 유형1 2 2" xfId="8498" xr:uid="{00000000-0005-0000-0000-0000381C0000}"/>
    <cellStyle name="Normal_ SG&amp;A Bridge " xfId="966" xr:uid="{00000000-0005-0000-0000-0000391C0000}"/>
    <cellStyle name="O" xfId="5090" xr:uid="{00000000-0005-0000-0000-00003A1C0000}"/>
    <cellStyle name="OD" xfId="5091" xr:uid="{00000000-0005-0000-0000-00003B1C0000}"/>
    <cellStyle name="Œ…?æ맖?e [0.00]_laroux" xfId="967" xr:uid="{00000000-0005-0000-0000-00003C1C0000}"/>
    <cellStyle name="Œ…?æ맖?e_laroux" xfId="968" xr:uid="{00000000-0005-0000-0000-00003D1C0000}"/>
    <cellStyle name="oft Excel]  Comment=The open=/f lines load custom functions into the Paste Function list.  Maximized=3  AutoFormat=" xfId="8499" xr:uid="{00000000-0005-0000-0000-00003E1C0000}"/>
    <cellStyle name="oft Excel]  Comment=The open=/f lines load custom functions into the Paste Function list.  Maximized=3  AutoFormat= 2" xfId="8500" xr:uid="{00000000-0005-0000-0000-00003F1C0000}"/>
    <cellStyle name="oft Excel]_x000d__x000a_Comment=The open=/f lines load custom functions into the Paste Function list._x000d__x000a_Maximized=3_x000d__x000a_AutoFormat=" xfId="8501" xr:uid="{00000000-0005-0000-0000-0000401C0000}"/>
    <cellStyle name="oh" xfId="1793" xr:uid="{00000000-0005-0000-0000-0000411C0000}"/>
    <cellStyle name="oh 2" xfId="8502" xr:uid="{00000000-0005-0000-0000-0000421C0000}"/>
    <cellStyle name="oh 2 2" xfId="8503" xr:uid="{00000000-0005-0000-0000-0000431C0000}"/>
    <cellStyle name="P" xfId="5092" xr:uid="{00000000-0005-0000-0000-0000441C0000}"/>
    <cellStyle name="per.style" xfId="1794" xr:uid="{00000000-0005-0000-0000-0000451C0000}"/>
    <cellStyle name="Percent" xfId="1795" xr:uid="{00000000-0005-0000-0000-0000461C0000}"/>
    <cellStyle name="Percent (0)" xfId="1796" xr:uid="{00000000-0005-0000-0000-0000471C0000}"/>
    <cellStyle name="Percent [0]" xfId="1797" xr:uid="{00000000-0005-0000-0000-0000481C0000}"/>
    <cellStyle name="Percent [00]" xfId="1798" xr:uid="{00000000-0005-0000-0000-0000491C0000}"/>
    <cellStyle name="Percent [2]" xfId="969" xr:uid="{00000000-0005-0000-0000-00004A1C0000}"/>
    <cellStyle name="Percent [2] 2" xfId="8504" xr:uid="{00000000-0005-0000-0000-00004B1C0000}"/>
    <cellStyle name="Percent [2] 2 2" xfId="8505" xr:uid="{00000000-0005-0000-0000-00004C1C0000}"/>
    <cellStyle name="Percent [2] 3" xfId="8506" xr:uid="{00000000-0005-0000-0000-00004D1C0000}"/>
    <cellStyle name="Percent 2" xfId="2389" xr:uid="{00000000-0005-0000-0000-00004E1C0000}"/>
    <cellStyle name="Percent 2 2" xfId="8507" xr:uid="{00000000-0005-0000-0000-00004F1C0000}"/>
    <cellStyle name="Percent 2 2 2" xfId="8508" xr:uid="{00000000-0005-0000-0000-0000501C0000}"/>
    <cellStyle name="Percent 3" xfId="8509" xr:uid="{00000000-0005-0000-0000-0000511C0000}"/>
    <cellStyle name="Percent 3 2" xfId="8510" xr:uid="{00000000-0005-0000-0000-0000521C0000}"/>
    <cellStyle name="Percent 3 2 2" xfId="8511" xr:uid="{00000000-0005-0000-0000-0000531C0000}"/>
    <cellStyle name="Percent 4" xfId="8512" xr:uid="{00000000-0005-0000-0000-0000541C0000}"/>
    <cellStyle name="Percent 4 2" xfId="8513" xr:uid="{00000000-0005-0000-0000-0000551C0000}"/>
    <cellStyle name="Percent_#6 Temps &amp; Contractors" xfId="1799" xr:uid="{00000000-0005-0000-0000-0000561C0000}"/>
    <cellStyle name="PrePop Currency (0)" xfId="1800" xr:uid="{00000000-0005-0000-0000-0000571C0000}"/>
    <cellStyle name="PrePop Currency (2)" xfId="1801" xr:uid="{00000000-0005-0000-0000-0000581C0000}"/>
    <cellStyle name="PrePop Units (0)" xfId="1802" xr:uid="{00000000-0005-0000-0000-0000591C0000}"/>
    <cellStyle name="PrePop Units (1)" xfId="1803" xr:uid="{00000000-0005-0000-0000-00005A1C0000}"/>
    <cellStyle name="PrePop Units (2)" xfId="1804" xr:uid="{00000000-0005-0000-0000-00005B1C0000}"/>
    <cellStyle name="PRICE2" xfId="1805" xr:uid="{00000000-0005-0000-0000-00005C1C0000}"/>
    <cellStyle name="pricing" xfId="1806" xr:uid="{00000000-0005-0000-0000-00005D1C0000}"/>
    <cellStyle name="PSChar" xfId="1807" xr:uid="{00000000-0005-0000-0000-00005E1C0000}"/>
    <cellStyle name="Q1" xfId="5093" xr:uid="{00000000-0005-0000-0000-00005F1C0000}"/>
    <cellStyle name="Q4" xfId="5094" xr:uid="{00000000-0005-0000-0000-0000601C0000}"/>
    <cellStyle name="regstoresfromspecstores" xfId="1808" xr:uid="{00000000-0005-0000-0000-0000611C0000}"/>
    <cellStyle name="RevList" xfId="970" xr:uid="{00000000-0005-0000-0000-0000621C0000}"/>
    <cellStyle name="RevList 2" xfId="8514" xr:uid="{00000000-0005-0000-0000-0000631C0000}"/>
    <cellStyle name="RevList 2 2" xfId="8515" xr:uid="{00000000-0005-0000-0000-0000641C0000}"/>
    <cellStyle name="s" xfId="5095" xr:uid="{00000000-0005-0000-0000-0000651C0000}"/>
    <cellStyle name="S " xfId="5096" xr:uid="{00000000-0005-0000-0000-0000661C0000}"/>
    <cellStyle name="s]_x000d__x000a_run=c:\Hedgehog\app31.exe_x000d__x000a_spooler=yes_x000d__x000a_load=_x000d__x000a_run=_x000d__x000a_Beep=yes_x000d__x000a_NullPort=None_x000d__x000a_BorderWidth=3_x000d__x000a_CursorBlinkRate=530_x000d__x000a_D" xfId="1809" xr:uid="{00000000-0005-0000-0000-0000671C0000}"/>
    <cellStyle name="sh" xfId="1810" xr:uid="{00000000-0005-0000-0000-0000681C0000}"/>
    <cellStyle name="sh 2" xfId="8516" xr:uid="{00000000-0005-0000-0000-0000691C0000}"/>
    <cellStyle name="sh 2 2" xfId="8517" xr:uid="{00000000-0005-0000-0000-00006A1C0000}"/>
    <cellStyle name="SHADEDSTORES" xfId="1811" xr:uid="{00000000-0005-0000-0000-00006B1C0000}"/>
    <cellStyle name="specstores" xfId="1812" xr:uid="{00000000-0005-0000-0000-00006C1C0000}"/>
    <cellStyle name="ssh" xfId="1813" xr:uid="{00000000-0005-0000-0000-00006D1C0000}"/>
    <cellStyle name="ssh 2" xfId="8518" xr:uid="{00000000-0005-0000-0000-00006E1C0000}"/>
    <cellStyle name="ssh 2 2" xfId="8519" xr:uid="{00000000-0005-0000-0000-00006F1C0000}"/>
    <cellStyle name="STANDARD" xfId="1814" xr:uid="{00000000-0005-0000-0000-0000701C0000}"/>
    <cellStyle name="STD" xfId="1815" xr:uid="{00000000-0005-0000-0000-0000711C0000}"/>
    <cellStyle name="Sub" xfId="1816" xr:uid="{00000000-0005-0000-0000-0000721C0000}"/>
    <cellStyle name="subhead" xfId="971" xr:uid="{00000000-0005-0000-0000-0000731C0000}"/>
    <cellStyle name="subhead 2" xfId="8520" xr:uid="{00000000-0005-0000-0000-0000741C0000}"/>
    <cellStyle name="subhead 2 2" xfId="8521" xr:uid="{00000000-0005-0000-0000-0000751C0000}"/>
    <cellStyle name="Subtotal" xfId="972" xr:uid="{00000000-0005-0000-0000-0000761C0000}"/>
    <cellStyle name="Subtotal 2" xfId="8522" xr:uid="{00000000-0005-0000-0000-0000771C0000}"/>
    <cellStyle name="Subtotal 2 2" xfId="8523" xr:uid="{00000000-0005-0000-0000-0000781C0000}"/>
    <cellStyle name="t1" xfId="5097" xr:uid="{00000000-0005-0000-0000-0000791C0000}"/>
    <cellStyle name="testtitle" xfId="1817" xr:uid="{00000000-0005-0000-0000-00007A1C0000}"/>
    <cellStyle name="testtitle 2" xfId="8524" xr:uid="{00000000-0005-0000-0000-00007B1C0000}"/>
    <cellStyle name="testtitle 2 2" xfId="8525" xr:uid="{00000000-0005-0000-0000-00007C1C0000}"/>
    <cellStyle name="testtitle 3" xfId="8526" xr:uid="{00000000-0005-0000-0000-00007D1C0000}"/>
    <cellStyle name="Text Indent A" xfId="1818" xr:uid="{00000000-0005-0000-0000-00007E1C0000}"/>
    <cellStyle name="Text Indent B" xfId="1819" xr:uid="{00000000-0005-0000-0000-00007F1C0000}"/>
    <cellStyle name="Text Indent C" xfId="1820" xr:uid="{00000000-0005-0000-0000-0000801C0000}"/>
    <cellStyle name="þ?b?þ?b?þ?b?þ?b?þ?b?þ?b?þ?b灌þ?b?þ?&lt;?b?þ?b濬þ?b?þ?b?þ昰_x0018_?þ????_x0008_" xfId="8527" xr:uid="{00000000-0005-0000-0000-0000811C0000}"/>
    <cellStyle name="þ?b?þ?b?þ?b?þ?b?þ?b?þ?b?þ?b灌þ?b?þ?&lt;?b?þ?b濬þ?b?þ?b?þ昰_x0018_?þ????_x0008_ 2" xfId="8528" xr:uid="{00000000-0005-0000-0000-0000821C0000}"/>
    <cellStyle name="þ?b?þ?b?þ?b?þ?b?þ?b?þ?b?þ?b灌þ?b?þ?&lt;?b?þ?b濬þ?b?þ?b?þ昰_x0018_?þ????_x0008_ 2 2" xfId="8529" xr:uid="{00000000-0005-0000-0000-0000831C0000}"/>
    <cellStyle name="þ?b?þ?b?þ?b?þ?b?þ?b?þ?b?þ?b灌þ?b?þ?&lt;?b?þ?b濬þ?b?þ?b?þ昰_x0018_?þ????_x0008_ 3" xfId="8530" xr:uid="{00000000-0005-0000-0000-0000841C0000}"/>
    <cellStyle name="þ൚b⍼þ൪b⎨þൺb⏜þඊb␌þකb濰þඪb瀠þයb灌þ්b炈þ宐&lt;෢b濈þෲb濬þขb瀐þฒb瀰þ昰_x0018_⋸þ㤕䰀ጤܕ_x0008_" xfId="8531" xr:uid="{00000000-0005-0000-0000-0000851C0000}"/>
    <cellStyle name="þ൚b⍼þ൪b⎨þൺb⏜þඊb␌þකb濰þඪb瀠þයb灌þ්b炈þ宐&lt;෢b濈þෲb濬þขb瀐þฒb瀰þ昰_x0018_⋸þ㤕䰀ጤܕ_x0008_ 2" xfId="8532" xr:uid="{00000000-0005-0000-0000-0000861C0000}"/>
    <cellStyle name="þ൚b⍼þ൪b⎨þൺb⏜þඊb␌þකb濰þඪb瀠þයb灌þ්b炈þ宐&lt;෢b濈þෲb濬þขb瀐þฒb瀰þ昰_x0018_⋸þ㤕䰀ጤܕ_x0008_ 2 2" xfId="8533" xr:uid="{00000000-0005-0000-0000-0000871C0000}"/>
    <cellStyle name="þ൚b⍼þ൪b⎨þൺb⏜þඊb␌þකb濰þඪb瀠þයb灌þ්b炈þ宐&lt;෢b濈þෲb濬þขb瀐þฒb瀰þ昰_x0018_⋸þ㤕䰀ጤܕ_x0008_ 3" xfId="8534" xr:uid="{00000000-0005-0000-0000-0000881C0000}"/>
    <cellStyle name="Title" xfId="1821" xr:uid="{00000000-0005-0000-0000-0000891C0000}"/>
    <cellStyle name="title [1]" xfId="1822" xr:uid="{00000000-0005-0000-0000-00008A1C0000}"/>
    <cellStyle name="title [1] 2" xfId="8535" xr:uid="{00000000-0005-0000-0000-00008B1C0000}"/>
    <cellStyle name="title [1] 2 2" xfId="8536" xr:uid="{00000000-0005-0000-0000-00008C1C0000}"/>
    <cellStyle name="title [2]" xfId="1823" xr:uid="{00000000-0005-0000-0000-00008D1C0000}"/>
    <cellStyle name="title [2] 2" xfId="8537" xr:uid="{00000000-0005-0000-0000-00008E1C0000}"/>
    <cellStyle name="title [2] 2 2" xfId="8538" xr:uid="{00000000-0005-0000-0000-00008F1C0000}"/>
    <cellStyle name="TITLE 2" xfId="2390" xr:uid="{00000000-0005-0000-0000-0000901C0000}"/>
    <cellStyle name="Title 2 2" xfId="8539" xr:uid="{00000000-0005-0000-0000-0000911C0000}"/>
    <cellStyle name="Title_2007.봉화산근린공원(내역서)-최종" xfId="2391" xr:uid="{00000000-0005-0000-0000-0000921C0000}"/>
    <cellStyle name="Title2" xfId="1824" xr:uid="{00000000-0005-0000-0000-0000931C0000}"/>
    <cellStyle name="TON" xfId="2392" xr:uid="{00000000-0005-0000-0000-0000941C0000}"/>
    <cellStyle name="ton 2" xfId="8540" xr:uid="{00000000-0005-0000-0000-0000951C0000}"/>
    <cellStyle name="ton 2 2" xfId="8541" xr:uid="{00000000-0005-0000-0000-0000961C0000}"/>
    <cellStyle name="ton 3" xfId="8542" xr:uid="{00000000-0005-0000-0000-0000971C0000}"/>
    <cellStyle name="Total" xfId="1825" xr:uid="{00000000-0005-0000-0000-0000981C0000}"/>
    <cellStyle name="Total 2" xfId="2393" xr:uid="{00000000-0005-0000-0000-0000991C0000}"/>
    <cellStyle name="Total 2 2" xfId="8543" xr:uid="{00000000-0005-0000-0000-00009A1C0000}"/>
    <cellStyle name="Total 2 2 2" xfId="8544" xr:uid="{00000000-0005-0000-0000-00009B1C0000}"/>
    <cellStyle name="Total 2 3" xfId="8545" xr:uid="{00000000-0005-0000-0000-00009C1C0000}"/>
    <cellStyle name="Total 3" xfId="8546" xr:uid="{00000000-0005-0000-0000-00009D1C0000}"/>
    <cellStyle name="Total 3 2" xfId="8547" xr:uid="{00000000-0005-0000-0000-00009E1C0000}"/>
    <cellStyle name="Total 4" xfId="8548" xr:uid="{00000000-0005-0000-0000-00009F1C0000}"/>
    <cellStyle name="UM" xfId="1826" xr:uid="{00000000-0005-0000-0000-0000A01C0000}"/>
    <cellStyle name="UM 2" xfId="8549" xr:uid="{00000000-0005-0000-0000-0000A11C0000}"/>
    <cellStyle name="UM 2 2" xfId="8550" xr:uid="{00000000-0005-0000-0000-0000A21C0000}"/>
    <cellStyle name="Unprot" xfId="5098" xr:uid="{00000000-0005-0000-0000-0000A31C0000}"/>
    <cellStyle name="Unprot 2" xfId="8551" xr:uid="{00000000-0005-0000-0000-0000A41C0000}"/>
    <cellStyle name="Unprot 2 2" xfId="8552" xr:uid="{00000000-0005-0000-0000-0000A51C0000}"/>
    <cellStyle name="Unprot 3" xfId="8553" xr:uid="{00000000-0005-0000-0000-0000A61C0000}"/>
    <cellStyle name="Unprot$" xfId="5099" xr:uid="{00000000-0005-0000-0000-0000A71C0000}"/>
    <cellStyle name="Unprot$ 2" xfId="8554" xr:uid="{00000000-0005-0000-0000-0000A81C0000}"/>
    <cellStyle name="Unprot$ 2 2" xfId="8555" xr:uid="{00000000-0005-0000-0000-0000A91C0000}"/>
    <cellStyle name="Unprot$ 3" xfId="8556" xr:uid="{00000000-0005-0000-0000-0000AA1C0000}"/>
    <cellStyle name="Unprotect" xfId="5100" xr:uid="{00000000-0005-0000-0000-0000AB1C0000}"/>
    <cellStyle name="Unprotect 2" xfId="8557" xr:uid="{00000000-0005-0000-0000-0000AC1C0000}"/>
    <cellStyle name="Unprotect 2 2" xfId="8558" xr:uid="{00000000-0005-0000-0000-0000AD1C0000}"/>
    <cellStyle name="Unprotect 3" xfId="8559" xr:uid="{00000000-0005-0000-0000-0000AE1C0000}"/>
    <cellStyle name="W?rung [0]_Ausdruck RUND (D)" xfId="5101" xr:uid="{00000000-0005-0000-0000-0000AF1C0000}"/>
    <cellStyle name="W?rung_Ausdruck RUND (D)" xfId="5102" xr:uid="{00000000-0005-0000-0000-0000B01C0000}"/>
    <cellStyle name="μU¿¡ ¿A´A CIAIÆU¸μAⓒ" xfId="1828" xr:uid="{00000000-0005-0000-0000-0000B11C0000}"/>
    <cellStyle name="μU¿¡ ¿A´A CIAIÆU¸μAⓒ 2" xfId="8560" xr:uid="{00000000-0005-0000-0000-0000B21C0000}"/>
    <cellStyle name="μU¿¡ ¿A´A CIAIÆU¸μAⓒ 2 2" xfId="8561" xr:uid="{00000000-0005-0000-0000-0000B31C0000}"/>
    <cellStyle name="μU¿¡ ¿A´A CIAIÆU¸μAⓒ 3" xfId="8562" xr:uid="{00000000-0005-0000-0000-0000B41C0000}"/>
    <cellStyle name="ハイパーリンク" xfId="1830" xr:uid="{00000000-0005-0000-0000-0000B51C0000}"/>
    <cellStyle name="ଃਁȋ⤂Ā飰ˠ" xfId="1829" xr:uid="{00000000-0005-0000-0000-0000B61C0000}"/>
    <cellStyle name="|?ドE" xfId="5022" xr:uid="{00000000-0005-0000-0000-0000B71C0000}"/>
    <cellStyle name="가." xfId="1377" xr:uid="{00000000-0005-0000-0000-0000B81C0000}"/>
    <cellStyle name="가. 2" xfId="8563" xr:uid="{00000000-0005-0000-0000-0000B91C0000}"/>
    <cellStyle name="가. 2 2" xfId="8564" xr:uid="{00000000-0005-0000-0000-0000BA1C0000}"/>
    <cellStyle name="가운데" xfId="2298" xr:uid="{00000000-0005-0000-0000-0000BB1C0000}"/>
    <cellStyle name="강조색1 2" xfId="8565" xr:uid="{00000000-0005-0000-0000-0000BC1C0000}"/>
    <cellStyle name="강조색1 2 2" xfId="8566" xr:uid="{00000000-0005-0000-0000-0000BD1C0000}"/>
    <cellStyle name="강조색1 2 2 2" xfId="8567" xr:uid="{00000000-0005-0000-0000-0000BE1C0000}"/>
    <cellStyle name="강조색1 2 2 2 2" xfId="8568" xr:uid="{00000000-0005-0000-0000-0000BF1C0000}"/>
    <cellStyle name="강조색1 2 3" xfId="8569" xr:uid="{00000000-0005-0000-0000-0000C01C0000}"/>
    <cellStyle name="강조색1 2 3 2" xfId="8570" xr:uid="{00000000-0005-0000-0000-0000C11C0000}"/>
    <cellStyle name="강조색1 3" xfId="8571" xr:uid="{00000000-0005-0000-0000-0000C21C0000}"/>
    <cellStyle name="강조색1 3 2" xfId="8572" xr:uid="{00000000-0005-0000-0000-0000C31C0000}"/>
    <cellStyle name="강조색1 3 2 2" xfId="8573" xr:uid="{00000000-0005-0000-0000-0000C41C0000}"/>
    <cellStyle name="강조색1 3 2 2 2" xfId="8574" xr:uid="{00000000-0005-0000-0000-0000C51C0000}"/>
    <cellStyle name="강조색1 3 3" xfId="8575" xr:uid="{00000000-0005-0000-0000-0000C61C0000}"/>
    <cellStyle name="강조색1 3 3 2" xfId="8576" xr:uid="{00000000-0005-0000-0000-0000C71C0000}"/>
    <cellStyle name="강조색1 4" xfId="8577" xr:uid="{00000000-0005-0000-0000-0000C81C0000}"/>
    <cellStyle name="강조색1 4 2" xfId="8578" xr:uid="{00000000-0005-0000-0000-0000C91C0000}"/>
    <cellStyle name="강조색1 4 2 2" xfId="8579" xr:uid="{00000000-0005-0000-0000-0000CA1C0000}"/>
    <cellStyle name="강조색1 4 2 2 2" xfId="8580" xr:uid="{00000000-0005-0000-0000-0000CB1C0000}"/>
    <cellStyle name="강조색1 4 3" xfId="8581" xr:uid="{00000000-0005-0000-0000-0000CC1C0000}"/>
    <cellStyle name="강조색1 4 3 2" xfId="8582" xr:uid="{00000000-0005-0000-0000-0000CD1C0000}"/>
    <cellStyle name="강조색1 5" xfId="8583" xr:uid="{00000000-0005-0000-0000-0000CE1C0000}"/>
    <cellStyle name="강조색2 2" xfId="8584" xr:uid="{00000000-0005-0000-0000-0000CF1C0000}"/>
    <cellStyle name="강조색2 2 2" xfId="8585" xr:uid="{00000000-0005-0000-0000-0000D01C0000}"/>
    <cellStyle name="강조색2 2 2 2" xfId="8586" xr:uid="{00000000-0005-0000-0000-0000D11C0000}"/>
    <cellStyle name="강조색2 2 2 2 2" xfId="8587" xr:uid="{00000000-0005-0000-0000-0000D21C0000}"/>
    <cellStyle name="강조색2 2 3" xfId="8588" xr:uid="{00000000-0005-0000-0000-0000D31C0000}"/>
    <cellStyle name="강조색2 2 3 2" xfId="8589" xr:uid="{00000000-0005-0000-0000-0000D41C0000}"/>
    <cellStyle name="강조색2 3" xfId="8590" xr:uid="{00000000-0005-0000-0000-0000D51C0000}"/>
    <cellStyle name="강조색2 3 2" xfId="8591" xr:uid="{00000000-0005-0000-0000-0000D61C0000}"/>
    <cellStyle name="강조색2 3 2 2" xfId="8592" xr:uid="{00000000-0005-0000-0000-0000D71C0000}"/>
    <cellStyle name="강조색2 3 2 2 2" xfId="8593" xr:uid="{00000000-0005-0000-0000-0000D81C0000}"/>
    <cellStyle name="강조색2 3 3" xfId="8594" xr:uid="{00000000-0005-0000-0000-0000D91C0000}"/>
    <cellStyle name="강조색2 3 3 2" xfId="8595" xr:uid="{00000000-0005-0000-0000-0000DA1C0000}"/>
    <cellStyle name="강조색2 4" xfId="8596" xr:uid="{00000000-0005-0000-0000-0000DB1C0000}"/>
    <cellStyle name="강조색2 4 2" xfId="8597" xr:uid="{00000000-0005-0000-0000-0000DC1C0000}"/>
    <cellStyle name="강조색2 4 2 2" xfId="8598" xr:uid="{00000000-0005-0000-0000-0000DD1C0000}"/>
    <cellStyle name="강조색2 4 2 2 2" xfId="8599" xr:uid="{00000000-0005-0000-0000-0000DE1C0000}"/>
    <cellStyle name="강조색2 4 3" xfId="8600" xr:uid="{00000000-0005-0000-0000-0000DF1C0000}"/>
    <cellStyle name="강조색2 4 3 2" xfId="8601" xr:uid="{00000000-0005-0000-0000-0000E01C0000}"/>
    <cellStyle name="강조색2 5" xfId="8602" xr:uid="{00000000-0005-0000-0000-0000E11C0000}"/>
    <cellStyle name="강조색3 2" xfId="8603" xr:uid="{00000000-0005-0000-0000-0000E21C0000}"/>
    <cellStyle name="강조색3 2 2" xfId="8604" xr:uid="{00000000-0005-0000-0000-0000E31C0000}"/>
    <cellStyle name="강조색3 2 2 2" xfId="8605" xr:uid="{00000000-0005-0000-0000-0000E41C0000}"/>
    <cellStyle name="강조색3 2 2 2 2" xfId="8606" xr:uid="{00000000-0005-0000-0000-0000E51C0000}"/>
    <cellStyle name="강조색3 2 3" xfId="8607" xr:uid="{00000000-0005-0000-0000-0000E61C0000}"/>
    <cellStyle name="강조색3 2 3 2" xfId="8608" xr:uid="{00000000-0005-0000-0000-0000E71C0000}"/>
    <cellStyle name="강조색3 3" xfId="8609" xr:uid="{00000000-0005-0000-0000-0000E81C0000}"/>
    <cellStyle name="강조색3 3 2" xfId="8610" xr:uid="{00000000-0005-0000-0000-0000E91C0000}"/>
    <cellStyle name="강조색3 3 2 2" xfId="8611" xr:uid="{00000000-0005-0000-0000-0000EA1C0000}"/>
    <cellStyle name="강조색3 3 2 2 2" xfId="8612" xr:uid="{00000000-0005-0000-0000-0000EB1C0000}"/>
    <cellStyle name="강조색3 3 3" xfId="8613" xr:uid="{00000000-0005-0000-0000-0000EC1C0000}"/>
    <cellStyle name="강조색3 3 3 2" xfId="8614" xr:uid="{00000000-0005-0000-0000-0000ED1C0000}"/>
    <cellStyle name="강조색3 4" xfId="8615" xr:uid="{00000000-0005-0000-0000-0000EE1C0000}"/>
    <cellStyle name="강조색3 4 2" xfId="8616" xr:uid="{00000000-0005-0000-0000-0000EF1C0000}"/>
    <cellStyle name="강조색3 4 2 2" xfId="8617" xr:uid="{00000000-0005-0000-0000-0000F01C0000}"/>
    <cellStyle name="강조색3 4 2 2 2" xfId="8618" xr:uid="{00000000-0005-0000-0000-0000F11C0000}"/>
    <cellStyle name="강조색3 4 3" xfId="8619" xr:uid="{00000000-0005-0000-0000-0000F21C0000}"/>
    <cellStyle name="강조색3 4 3 2" xfId="8620" xr:uid="{00000000-0005-0000-0000-0000F31C0000}"/>
    <cellStyle name="강조색3 5" xfId="8621" xr:uid="{00000000-0005-0000-0000-0000F41C0000}"/>
    <cellStyle name="강조색4 2" xfId="8622" xr:uid="{00000000-0005-0000-0000-0000F51C0000}"/>
    <cellStyle name="강조색4 2 2" xfId="8623" xr:uid="{00000000-0005-0000-0000-0000F61C0000}"/>
    <cellStyle name="강조색4 2 2 2" xfId="8624" xr:uid="{00000000-0005-0000-0000-0000F71C0000}"/>
    <cellStyle name="강조색4 2 2 2 2" xfId="8625" xr:uid="{00000000-0005-0000-0000-0000F81C0000}"/>
    <cellStyle name="강조색4 2 3" xfId="8626" xr:uid="{00000000-0005-0000-0000-0000F91C0000}"/>
    <cellStyle name="강조색4 2 3 2" xfId="8627" xr:uid="{00000000-0005-0000-0000-0000FA1C0000}"/>
    <cellStyle name="강조색4 3" xfId="8628" xr:uid="{00000000-0005-0000-0000-0000FB1C0000}"/>
    <cellStyle name="강조색4 3 2" xfId="8629" xr:uid="{00000000-0005-0000-0000-0000FC1C0000}"/>
    <cellStyle name="강조색4 3 2 2" xfId="8630" xr:uid="{00000000-0005-0000-0000-0000FD1C0000}"/>
    <cellStyle name="강조색4 3 2 2 2" xfId="8631" xr:uid="{00000000-0005-0000-0000-0000FE1C0000}"/>
    <cellStyle name="강조색4 3 3" xfId="8632" xr:uid="{00000000-0005-0000-0000-0000FF1C0000}"/>
    <cellStyle name="강조색4 3 3 2" xfId="8633" xr:uid="{00000000-0005-0000-0000-0000001D0000}"/>
    <cellStyle name="강조색4 4" xfId="8634" xr:uid="{00000000-0005-0000-0000-0000011D0000}"/>
    <cellStyle name="강조색4 4 2" xfId="8635" xr:uid="{00000000-0005-0000-0000-0000021D0000}"/>
    <cellStyle name="강조색4 4 2 2" xfId="8636" xr:uid="{00000000-0005-0000-0000-0000031D0000}"/>
    <cellStyle name="강조색4 4 2 2 2" xfId="8637" xr:uid="{00000000-0005-0000-0000-0000041D0000}"/>
    <cellStyle name="강조색4 4 3" xfId="8638" xr:uid="{00000000-0005-0000-0000-0000051D0000}"/>
    <cellStyle name="강조색4 4 3 2" xfId="8639" xr:uid="{00000000-0005-0000-0000-0000061D0000}"/>
    <cellStyle name="강조색4 5" xfId="8640" xr:uid="{00000000-0005-0000-0000-0000071D0000}"/>
    <cellStyle name="강조색5 2" xfId="8641" xr:uid="{00000000-0005-0000-0000-0000081D0000}"/>
    <cellStyle name="강조색5 2 2" xfId="8642" xr:uid="{00000000-0005-0000-0000-0000091D0000}"/>
    <cellStyle name="강조색5 2 2 2" xfId="8643" xr:uid="{00000000-0005-0000-0000-00000A1D0000}"/>
    <cellStyle name="강조색5 2 2 2 2" xfId="8644" xr:uid="{00000000-0005-0000-0000-00000B1D0000}"/>
    <cellStyle name="강조색5 2 3" xfId="8645" xr:uid="{00000000-0005-0000-0000-00000C1D0000}"/>
    <cellStyle name="강조색5 2 3 2" xfId="8646" xr:uid="{00000000-0005-0000-0000-00000D1D0000}"/>
    <cellStyle name="강조색5 3" xfId="8647" xr:uid="{00000000-0005-0000-0000-00000E1D0000}"/>
    <cellStyle name="강조색5 3 2" xfId="8648" xr:uid="{00000000-0005-0000-0000-00000F1D0000}"/>
    <cellStyle name="강조색5 3 2 2" xfId="8649" xr:uid="{00000000-0005-0000-0000-0000101D0000}"/>
    <cellStyle name="강조색5 3 2 2 2" xfId="8650" xr:uid="{00000000-0005-0000-0000-0000111D0000}"/>
    <cellStyle name="강조색5 3 3" xfId="8651" xr:uid="{00000000-0005-0000-0000-0000121D0000}"/>
    <cellStyle name="강조색5 3 3 2" xfId="8652" xr:uid="{00000000-0005-0000-0000-0000131D0000}"/>
    <cellStyle name="강조색5 4" xfId="8653" xr:uid="{00000000-0005-0000-0000-0000141D0000}"/>
    <cellStyle name="강조색5 4 2" xfId="8654" xr:uid="{00000000-0005-0000-0000-0000151D0000}"/>
    <cellStyle name="강조색5 4 2 2" xfId="8655" xr:uid="{00000000-0005-0000-0000-0000161D0000}"/>
    <cellStyle name="강조색5 4 2 2 2" xfId="8656" xr:uid="{00000000-0005-0000-0000-0000171D0000}"/>
    <cellStyle name="강조색5 4 3" xfId="8657" xr:uid="{00000000-0005-0000-0000-0000181D0000}"/>
    <cellStyle name="강조색5 4 3 2" xfId="8658" xr:uid="{00000000-0005-0000-0000-0000191D0000}"/>
    <cellStyle name="강조색5 5" xfId="8659" xr:uid="{00000000-0005-0000-0000-00001A1D0000}"/>
    <cellStyle name="강조색6 2" xfId="8660" xr:uid="{00000000-0005-0000-0000-00001B1D0000}"/>
    <cellStyle name="강조색6 2 2" xfId="8661" xr:uid="{00000000-0005-0000-0000-00001C1D0000}"/>
    <cellStyle name="강조색6 2 2 2" xfId="8662" xr:uid="{00000000-0005-0000-0000-00001D1D0000}"/>
    <cellStyle name="강조색6 2 2 2 2" xfId="8663" xr:uid="{00000000-0005-0000-0000-00001E1D0000}"/>
    <cellStyle name="강조색6 2 3" xfId="8664" xr:uid="{00000000-0005-0000-0000-00001F1D0000}"/>
    <cellStyle name="강조색6 2 3 2" xfId="8665" xr:uid="{00000000-0005-0000-0000-0000201D0000}"/>
    <cellStyle name="강조색6 3" xfId="8666" xr:uid="{00000000-0005-0000-0000-0000211D0000}"/>
    <cellStyle name="강조색6 3 2" xfId="8667" xr:uid="{00000000-0005-0000-0000-0000221D0000}"/>
    <cellStyle name="강조색6 3 2 2" xfId="8668" xr:uid="{00000000-0005-0000-0000-0000231D0000}"/>
    <cellStyle name="강조색6 3 2 2 2" xfId="8669" xr:uid="{00000000-0005-0000-0000-0000241D0000}"/>
    <cellStyle name="강조색6 3 3" xfId="8670" xr:uid="{00000000-0005-0000-0000-0000251D0000}"/>
    <cellStyle name="강조색6 3 3 2" xfId="8671" xr:uid="{00000000-0005-0000-0000-0000261D0000}"/>
    <cellStyle name="강조색6 4" xfId="8672" xr:uid="{00000000-0005-0000-0000-0000271D0000}"/>
    <cellStyle name="강조색6 4 2" xfId="8673" xr:uid="{00000000-0005-0000-0000-0000281D0000}"/>
    <cellStyle name="강조색6 4 2 2" xfId="8674" xr:uid="{00000000-0005-0000-0000-0000291D0000}"/>
    <cellStyle name="강조색6 4 2 2 2" xfId="8675" xr:uid="{00000000-0005-0000-0000-00002A1D0000}"/>
    <cellStyle name="강조색6 4 3" xfId="8676" xr:uid="{00000000-0005-0000-0000-00002B1D0000}"/>
    <cellStyle name="강조색6 4 3 2" xfId="8677" xr:uid="{00000000-0005-0000-0000-00002C1D0000}"/>
    <cellStyle name="강조색6 5" xfId="8678" xr:uid="{00000000-0005-0000-0000-00002D1D0000}"/>
    <cellStyle name="개" xfId="2299" xr:uid="{00000000-0005-0000-0000-00002E1D0000}"/>
    <cellStyle name="개_02-포장-1" xfId="2300" xr:uid="{00000000-0005-0000-0000-00002F1D0000}"/>
    <cellStyle name="개_03-신축-수축" xfId="2301" xr:uid="{00000000-0005-0000-0000-0000301D0000}"/>
    <cellStyle name="개소" xfId="2302" xr:uid="{00000000-0005-0000-0000-0000311D0000}"/>
    <cellStyle name="경고문 2" xfId="8679" xr:uid="{00000000-0005-0000-0000-0000321D0000}"/>
    <cellStyle name="경고문 2 2" xfId="8680" xr:uid="{00000000-0005-0000-0000-0000331D0000}"/>
    <cellStyle name="경고문 2 2 2" xfId="8681" xr:uid="{00000000-0005-0000-0000-0000341D0000}"/>
    <cellStyle name="경고문 2 2 2 2" xfId="8682" xr:uid="{00000000-0005-0000-0000-0000351D0000}"/>
    <cellStyle name="경고문 2 3" xfId="8683" xr:uid="{00000000-0005-0000-0000-0000361D0000}"/>
    <cellStyle name="경고문 2 3 2" xfId="8684" xr:uid="{00000000-0005-0000-0000-0000371D0000}"/>
    <cellStyle name="경고문 3" xfId="8685" xr:uid="{00000000-0005-0000-0000-0000381D0000}"/>
    <cellStyle name="경고문 3 2" xfId="8686" xr:uid="{00000000-0005-0000-0000-0000391D0000}"/>
    <cellStyle name="경고문 3 2 2" xfId="8687" xr:uid="{00000000-0005-0000-0000-00003A1D0000}"/>
    <cellStyle name="경고문 3 2 2 2" xfId="8688" xr:uid="{00000000-0005-0000-0000-00003B1D0000}"/>
    <cellStyle name="경고문 3 3" xfId="8689" xr:uid="{00000000-0005-0000-0000-00003C1D0000}"/>
    <cellStyle name="경고문 3 3 2" xfId="8690" xr:uid="{00000000-0005-0000-0000-00003D1D0000}"/>
    <cellStyle name="경고문 4" xfId="8691" xr:uid="{00000000-0005-0000-0000-00003E1D0000}"/>
    <cellStyle name="경고문 4 2" xfId="8692" xr:uid="{00000000-0005-0000-0000-00003F1D0000}"/>
    <cellStyle name="경고문 4 2 2" xfId="8693" xr:uid="{00000000-0005-0000-0000-0000401D0000}"/>
    <cellStyle name="경고문 4 2 2 2" xfId="8694" xr:uid="{00000000-0005-0000-0000-0000411D0000}"/>
    <cellStyle name="경고문 4 3" xfId="8695" xr:uid="{00000000-0005-0000-0000-0000421D0000}"/>
    <cellStyle name="경고문 4 3 2" xfId="8696" xr:uid="{00000000-0005-0000-0000-0000431D0000}"/>
    <cellStyle name="계산 2" xfId="8697" xr:uid="{00000000-0005-0000-0000-0000441D0000}"/>
    <cellStyle name="계산 2 2" xfId="8698" xr:uid="{00000000-0005-0000-0000-0000451D0000}"/>
    <cellStyle name="계산 2 2 2" xfId="8699" xr:uid="{00000000-0005-0000-0000-0000461D0000}"/>
    <cellStyle name="계산 2 2 2 2" xfId="8700" xr:uid="{00000000-0005-0000-0000-0000471D0000}"/>
    <cellStyle name="계산 2 3" xfId="8701" xr:uid="{00000000-0005-0000-0000-0000481D0000}"/>
    <cellStyle name="계산 2 3 2" xfId="8702" xr:uid="{00000000-0005-0000-0000-0000491D0000}"/>
    <cellStyle name="계산 3" xfId="8703" xr:uid="{00000000-0005-0000-0000-00004A1D0000}"/>
    <cellStyle name="계산 3 2" xfId="8704" xr:uid="{00000000-0005-0000-0000-00004B1D0000}"/>
    <cellStyle name="계산 3 2 2" xfId="8705" xr:uid="{00000000-0005-0000-0000-00004C1D0000}"/>
    <cellStyle name="계산 3 2 2 2" xfId="8706" xr:uid="{00000000-0005-0000-0000-00004D1D0000}"/>
    <cellStyle name="계산 3 3" xfId="8707" xr:uid="{00000000-0005-0000-0000-00004E1D0000}"/>
    <cellStyle name="계산 3 3 2" xfId="8708" xr:uid="{00000000-0005-0000-0000-00004F1D0000}"/>
    <cellStyle name="계산 4" xfId="8709" xr:uid="{00000000-0005-0000-0000-0000501D0000}"/>
    <cellStyle name="계산 4 2" xfId="8710" xr:uid="{00000000-0005-0000-0000-0000511D0000}"/>
    <cellStyle name="계산 4 2 2" xfId="8711" xr:uid="{00000000-0005-0000-0000-0000521D0000}"/>
    <cellStyle name="계산 4 2 2 2" xfId="8712" xr:uid="{00000000-0005-0000-0000-0000531D0000}"/>
    <cellStyle name="계산 4 3" xfId="8713" xr:uid="{00000000-0005-0000-0000-0000541D0000}"/>
    <cellStyle name="계산 4 3 2" xfId="8714" xr:uid="{00000000-0005-0000-0000-0000551D0000}"/>
    <cellStyle name="계산 5" xfId="8715" xr:uid="{00000000-0005-0000-0000-0000561D0000}"/>
    <cellStyle name="고정소숫점" xfId="23" xr:uid="{00000000-0005-0000-0000-0000571D0000}"/>
    <cellStyle name="고정소숫점 2" xfId="1378" xr:uid="{00000000-0005-0000-0000-0000581D0000}"/>
    <cellStyle name="고정소숫점 2 2" xfId="2303" xr:uid="{00000000-0005-0000-0000-0000591D0000}"/>
    <cellStyle name="고정소숫점 2 2 2" xfId="8716" xr:uid="{00000000-0005-0000-0000-00005A1D0000}"/>
    <cellStyle name="고정소숫점 3" xfId="8717" xr:uid="{00000000-0005-0000-0000-00005B1D0000}"/>
    <cellStyle name="고정소숫점 3 2" xfId="8718" xr:uid="{00000000-0005-0000-0000-00005C1D0000}"/>
    <cellStyle name="고정출력1" xfId="24" xr:uid="{00000000-0005-0000-0000-00005D1D0000}"/>
    <cellStyle name="고정출력1 2" xfId="1379" xr:uid="{00000000-0005-0000-0000-00005E1D0000}"/>
    <cellStyle name="고정출력1 2 2" xfId="2304" xr:uid="{00000000-0005-0000-0000-00005F1D0000}"/>
    <cellStyle name="고정출력2" xfId="25" xr:uid="{00000000-0005-0000-0000-0000601D0000}"/>
    <cellStyle name="고정출력2 2" xfId="1380" xr:uid="{00000000-0005-0000-0000-0000611D0000}"/>
    <cellStyle name="고정출력2 2 2" xfId="2305" xr:uid="{00000000-0005-0000-0000-0000621D0000}"/>
    <cellStyle name="공사원가계산서(조경)" xfId="1381" xr:uid="{00000000-0005-0000-0000-0000631D0000}"/>
    <cellStyle name="공사원가계산서(조경) 2" xfId="8719" xr:uid="{00000000-0005-0000-0000-0000641D0000}"/>
    <cellStyle name="공사원가계산서(조경) 2 2" xfId="8720" xr:uid="{00000000-0005-0000-0000-0000651D0000}"/>
    <cellStyle name="공종" xfId="1382" xr:uid="{00000000-0005-0000-0000-0000661D0000}"/>
    <cellStyle name="괘선" xfId="4910" xr:uid="{00000000-0005-0000-0000-0000671D0000}"/>
    <cellStyle name="괘선1" xfId="4911" xr:uid="{00000000-0005-0000-0000-0000681D0000}"/>
    <cellStyle name="咬訌裝?INCOM1" xfId="4912" xr:uid="{00000000-0005-0000-0000-0000691D0000}"/>
    <cellStyle name="咬訌裝?INCOM1 2" xfId="8721" xr:uid="{00000000-0005-0000-0000-00006A1D0000}"/>
    <cellStyle name="咬訌裝?INCOM1 2 2" xfId="8722" xr:uid="{00000000-0005-0000-0000-00006B1D0000}"/>
    <cellStyle name="咬訌裝?INCOM1 2 2 2" xfId="8723" xr:uid="{00000000-0005-0000-0000-00006C1D0000}"/>
    <cellStyle name="咬訌裝?INCOM1 3" xfId="8724" xr:uid="{00000000-0005-0000-0000-00006D1D0000}"/>
    <cellStyle name="咬訌裝?INCOM1 3 2" xfId="8725" xr:uid="{00000000-0005-0000-0000-00006E1D0000}"/>
    <cellStyle name="咬訌裝?INCOM10" xfId="4913" xr:uid="{00000000-0005-0000-0000-00006F1D0000}"/>
    <cellStyle name="咬訌裝?INCOM10 2" xfId="8726" xr:uid="{00000000-0005-0000-0000-0000701D0000}"/>
    <cellStyle name="咬訌裝?INCOM10 2 2" xfId="8727" xr:uid="{00000000-0005-0000-0000-0000711D0000}"/>
    <cellStyle name="咬訌裝?INCOM10 2 2 2" xfId="8728" xr:uid="{00000000-0005-0000-0000-0000721D0000}"/>
    <cellStyle name="咬訌裝?INCOM10 3" xfId="8729" xr:uid="{00000000-0005-0000-0000-0000731D0000}"/>
    <cellStyle name="咬訌裝?INCOM10 3 2" xfId="8730" xr:uid="{00000000-0005-0000-0000-0000741D0000}"/>
    <cellStyle name="咬訌裝?INCOM2" xfId="4914" xr:uid="{00000000-0005-0000-0000-0000751D0000}"/>
    <cellStyle name="咬訌裝?INCOM2 2" xfId="8731" xr:uid="{00000000-0005-0000-0000-0000761D0000}"/>
    <cellStyle name="咬訌裝?INCOM2 2 2" xfId="8732" xr:uid="{00000000-0005-0000-0000-0000771D0000}"/>
    <cellStyle name="咬訌裝?INCOM2 2 2 2" xfId="8733" xr:uid="{00000000-0005-0000-0000-0000781D0000}"/>
    <cellStyle name="咬訌裝?INCOM2 3" xfId="8734" xr:uid="{00000000-0005-0000-0000-0000791D0000}"/>
    <cellStyle name="咬訌裝?INCOM2 3 2" xfId="8735" xr:uid="{00000000-0005-0000-0000-00007A1D0000}"/>
    <cellStyle name="咬訌裝?INCOM3" xfId="4915" xr:uid="{00000000-0005-0000-0000-00007B1D0000}"/>
    <cellStyle name="咬訌裝?INCOM3 2" xfId="8736" xr:uid="{00000000-0005-0000-0000-00007C1D0000}"/>
    <cellStyle name="咬訌裝?INCOM3 2 2" xfId="8737" xr:uid="{00000000-0005-0000-0000-00007D1D0000}"/>
    <cellStyle name="咬訌裝?INCOM3 2 2 2" xfId="8738" xr:uid="{00000000-0005-0000-0000-00007E1D0000}"/>
    <cellStyle name="咬訌裝?INCOM3 3" xfId="8739" xr:uid="{00000000-0005-0000-0000-00007F1D0000}"/>
    <cellStyle name="咬訌裝?INCOM3 3 2" xfId="8740" xr:uid="{00000000-0005-0000-0000-0000801D0000}"/>
    <cellStyle name="咬訌裝?INCOM4" xfId="4916" xr:uid="{00000000-0005-0000-0000-0000811D0000}"/>
    <cellStyle name="咬訌裝?INCOM4 2" xfId="8741" xr:uid="{00000000-0005-0000-0000-0000821D0000}"/>
    <cellStyle name="咬訌裝?INCOM4 2 2" xfId="8742" xr:uid="{00000000-0005-0000-0000-0000831D0000}"/>
    <cellStyle name="咬訌裝?INCOM4 2 2 2" xfId="8743" xr:uid="{00000000-0005-0000-0000-0000841D0000}"/>
    <cellStyle name="咬訌裝?INCOM4 3" xfId="8744" xr:uid="{00000000-0005-0000-0000-0000851D0000}"/>
    <cellStyle name="咬訌裝?INCOM4 3 2" xfId="8745" xr:uid="{00000000-0005-0000-0000-0000861D0000}"/>
    <cellStyle name="咬訌裝?INCOM5" xfId="4917" xr:uid="{00000000-0005-0000-0000-0000871D0000}"/>
    <cellStyle name="咬訌裝?INCOM5 2" xfId="8746" xr:uid="{00000000-0005-0000-0000-0000881D0000}"/>
    <cellStyle name="咬訌裝?INCOM5 2 2" xfId="8747" xr:uid="{00000000-0005-0000-0000-0000891D0000}"/>
    <cellStyle name="咬訌裝?INCOM5 2 2 2" xfId="8748" xr:uid="{00000000-0005-0000-0000-00008A1D0000}"/>
    <cellStyle name="咬訌裝?INCOM5 3" xfId="8749" xr:uid="{00000000-0005-0000-0000-00008B1D0000}"/>
    <cellStyle name="咬訌裝?INCOM5 3 2" xfId="8750" xr:uid="{00000000-0005-0000-0000-00008C1D0000}"/>
    <cellStyle name="咬訌裝?INCOM6" xfId="4918" xr:uid="{00000000-0005-0000-0000-00008D1D0000}"/>
    <cellStyle name="咬訌裝?INCOM6 2" xfId="8751" xr:uid="{00000000-0005-0000-0000-00008E1D0000}"/>
    <cellStyle name="咬訌裝?INCOM6 2 2" xfId="8752" xr:uid="{00000000-0005-0000-0000-00008F1D0000}"/>
    <cellStyle name="咬訌裝?INCOM6 2 2 2" xfId="8753" xr:uid="{00000000-0005-0000-0000-0000901D0000}"/>
    <cellStyle name="咬訌裝?INCOM6 3" xfId="8754" xr:uid="{00000000-0005-0000-0000-0000911D0000}"/>
    <cellStyle name="咬訌裝?INCOM6 3 2" xfId="8755" xr:uid="{00000000-0005-0000-0000-0000921D0000}"/>
    <cellStyle name="咬訌裝?INCOM7" xfId="4919" xr:uid="{00000000-0005-0000-0000-0000931D0000}"/>
    <cellStyle name="咬訌裝?INCOM7 2" xfId="8756" xr:uid="{00000000-0005-0000-0000-0000941D0000}"/>
    <cellStyle name="咬訌裝?INCOM7 2 2" xfId="8757" xr:uid="{00000000-0005-0000-0000-0000951D0000}"/>
    <cellStyle name="咬訌裝?INCOM7 2 2 2" xfId="8758" xr:uid="{00000000-0005-0000-0000-0000961D0000}"/>
    <cellStyle name="咬訌裝?INCOM7 3" xfId="8759" xr:uid="{00000000-0005-0000-0000-0000971D0000}"/>
    <cellStyle name="咬訌裝?INCOM7 3 2" xfId="8760" xr:uid="{00000000-0005-0000-0000-0000981D0000}"/>
    <cellStyle name="咬訌裝?INCOM8" xfId="4920" xr:uid="{00000000-0005-0000-0000-0000991D0000}"/>
    <cellStyle name="咬訌裝?INCOM8 2" xfId="8761" xr:uid="{00000000-0005-0000-0000-00009A1D0000}"/>
    <cellStyle name="咬訌裝?INCOM8 2 2" xfId="8762" xr:uid="{00000000-0005-0000-0000-00009B1D0000}"/>
    <cellStyle name="咬訌裝?INCOM8 2 2 2" xfId="8763" xr:uid="{00000000-0005-0000-0000-00009C1D0000}"/>
    <cellStyle name="咬訌裝?INCOM8 3" xfId="8764" xr:uid="{00000000-0005-0000-0000-00009D1D0000}"/>
    <cellStyle name="咬訌裝?INCOM8 3 2" xfId="8765" xr:uid="{00000000-0005-0000-0000-00009E1D0000}"/>
    <cellStyle name="咬訌裝?INCOM9" xfId="4921" xr:uid="{00000000-0005-0000-0000-00009F1D0000}"/>
    <cellStyle name="咬訌裝?INCOM9 2" xfId="8766" xr:uid="{00000000-0005-0000-0000-0000A01D0000}"/>
    <cellStyle name="咬訌裝?INCOM9 2 2" xfId="8767" xr:uid="{00000000-0005-0000-0000-0000A11D0000}"/>
    <cellStyle name="咬訌裝?INCOM9 2 2 2" xfId="8768" xr:uid="{00000000-0005-0000-0000-0000A21D0000}"/>
    <cellStyle name="咬訌裝?INCOM9 3" xfId="8769" xr:uid="{00000000-0005-0000-0000-0000A31D0000}"/>
    <cellStyle name="咬訌裝?INCOM9 3 2" xfId="8770" xr:uid="{00000000-0005-0000-0000-0000A41D0000}"/>
    <cellStyle name="咬訌裝?PRIB11" xfId="4922" xr:uid="{00000000-0005-0000-0000-0000A51D0000}"/>
    <cellStyle name="咬訌裝?PRIB11 2" xfId="8771" xr:uid="{00000000-0005-0000-0000-0000A61D0000}"/>
    <cellStyle name="咬訌裝?PRIB11 2 2" xfId="8772" xr:uid="{00000000-0005-0000-0000-0000A71D0000}"/>
    <cellStyle name="咬訌裝?PRIB11 2 2 2" xfId="8773" xr:uid="{00000000-0005-0000-0000-0000A81D0000}"/>
    <cellStyle name="咬訌裝?PRIB11 3" xfId="8774" xr:uid="{00000000-0005-0000-0000-0000A91D0000}"/>
    <cellStyle name="咬訌裝?PRIB11 3 2" xfId="8775" xr:uid="{00000000-0005-0000-0000-0000AA1D0000}"/>
    <cellStyle name="국종합건설" xfId="2306" xr:uid="{00000000-0005-0000-0000-0000AB1D0000}"/>
    <cellStyle name="그림" xfId="1383" xr:uid="{00000000-0005-0000-0000-0000AC1D0000}"/>
    <cellStyle name="그림 2" xfId="8776" xr:uid="{00000000-0005-0000-0000-0000AD1D0000}"/>
    <cellStyle name="그림 2 2" xfId="8777" xr:uid="{00000000-0005-0000-0000-0000AE1D0000}"/>
    <cellStyle name="글꼴" xfId="2307" xr:uid="{00000000-0005-0000-0000-0000AF1D0000}"/>
    <cellStyle name="글꼴 2" xfId="8778" xr:uid="{00000000-0005-0000-0000-0000B01D0000}"/>
    <cellStyle name="글꼴 2 2" xfId="8779" xr:uid="{00000000-0005-0000-0000-0000B11D0000}"/>
    <cellStyle name="글씨빵강" xfId="2308" xr:uid="{00000000-0005-0000-0000-0000B21D0000}"/>
    <cellStyle name="금액" xfId="8780" xr:uid="{00000000-0005-0000-0000-0000B31D0000}"/>
    <cellStyle name="금액 2" xfId="8781" xr:uid="{00000000-0005-0000-0000-0000B41D0000}"/>
    <cellStyle name="금액 2 2" xfId="8782" xr:uid="{00000000-0005-0000-0000-0000B51D0000}"/>
    <cellStyle name="금액 2 2 2" xfId="8783" xr:uid="{00000000-0005-0000-0000-0000B61D0000}"/>
    <cellStyle name="금액 3" xfId="8784" xr:uid="{00000000-0005-0000-0000-0000B71D0000}"/>
    <cellStyle name="금액 3 2" xfId="8785" xr:uid="{00000000-0005-0000-0000-0000B81D0000}"/>
    <cellStyle name="기계" xfId="2309" xr:uid="{00000000-0005-0000-0000-0000B91D0000}"/>
    <cellStyle name="김해전기" xfId="4923" xr:uid="{00000000-0005-0000-0000-0000BA1D0000}"/>
    <cellStyle name="김해전기 2" xfId="8786" xr:uid="{00000000-0005-0000-0000-0000BB1D0000}"/>
    <cellStyle name="김해전기 2 2" xfId="8787" xr:uid="{00000000-0005-0000-0000-0000BC1D0000}"/>
    <cellStyle name="끼_x0001_?" xfId="4924" xr:uid="{00000000-0005-0000-0000-0000BD1D0000}"/>
    <cellStyle name="나쁨 2" xfId="8788" xr:uid="{00000000-0005-0000-0000-0000BE1D0000}"/>
    <cellStyle name="나쁨 2 2" xfId="8789" xr:uid="{00000000-0005-0000-0000-0000BF1D0000}"/>
    <cellStyle name="나쁨 2 2 2" xfId="8790" xr:uid="{00000000-0005-0000-0000-0000C01D0000}"/>
    <cellStyle name="나쁨 2 2 2 2" xfId="8791" xr:uid="{00000000-0005-0000-0000-0000C11D0000}"/>
    <cellStyle name="나쁨 2 3" xfId="8792" xr:uid="{00000000-0005-0000-0000-0000C21D0000}"/>
    <cellStyle name="나쁨 2 3 2" xfId="8793" xr:uid="{00000000-0005-0000-0000-0000C31D0000}"/>
    <cellStyle name="나쁨 3" xfId="8794" xr:uid="{00000000-0005-0000-0000-0000C41D0000}"/>
    <cellStyle name="나쁨 3 2" xfId="8795" xr:uid="{00000000-0005-0000-0000-0000C51D0000}"/>
    <cellStyle name="나쁨 3 2 2" xfId="8796" xr:uid="{00000000-0005-0000-0000-0000C61D0000}"/>
    <cellStyle name="나쁨 3 2 2 2" xfId="8797" xr:uid="{00000000-0005-0000-0000-0000C71D0000}"/>
    <cellStyle name="나쁨 3 3" xfId="8798" xr:uid="{00000000-0005-0000-0000-0000C81D0000}"/>
    <cellStyle name="나쁨 3 3 2" xfId="8799" xr:uid="{00000000-0005-0000-0000-0000C91D0000}"/>
    <cellStyle name="나쁨 4" xfId="8800" xr:uid="{00000000-0005-0000-0000-0000CA1D0000}"/>
    <cellStyle name="나쁨 4 2" xfId="8801" xr:uid="{00000000-0005-0000-0000-0000CB1D0000}"/>
    <cellStyle name="나쁨 4 2 2" xfId="8802" xr:uid="{00000000-0005-0000-0000-0000CC1D0000}"/>
    <cellStyle name="나쁨 4 2 2 2" xfId="8803" xr:uid="{00000000-0005-0000-0000-0000CD1D0000}"/>
    <cellStyle name="나쁨 4 3" xfId="8804" xr:uid="{00000000-0005-0000-0000-0000CE1D0000}"/>
    <cellStyle name="나쁨 4 3 2" xfId="8805" xr:uid="{00000000-0005-0000-0000-0000CF1D0000}"/>
    <cellStyle name="나쁨 5" xfId="8806" xr:uid="{00000000-0005-0000-0000-0000D01D0000}"/>
    <cellStyle name="날짜" xfId="26" xr:uid="{00000000-0005-0000-0000-0000D11D0000}"/>
    <cellStyle name="날짜 2" xfId="1384" xr:uid="{00000000-0005-0000-0000-0000D21D0000}"/>
    <cellStyle name="날짜 2 2" xfId="2310" xr:uid="{00000000-0005-0000-0000-0000D31D0000}"/>
    <cellStyle name="내역-구분" xfId="4925" xr:uid="{00000000-0005-0000-0000-0000D41D0000}"/>
    <cellStyle name="내역-글씨" xfId="4926" xr:uid="{00000000-0005-0000-0000-0000D51D0000}"/>
    <cellStyle name="내역서" xfId="27" xr:uid="{00000000-0005-0000-0000-0000D61D0000}"/>
    <cellStyle name="내역서 2" xfId="1385" xr:uid="{00000000-0005-0000-0000-0000D71D0000}"/>
    <cellStyle name="내역서 2 2" xfId="2311" xr:uid="{00000000-0005-0000-0000-0000D81D0000}"/>
    <cellStyle name="내역-수량" xfId="4927" xr:uid="{00000000-0005-0000-0000-0000D91D0000}"/>
    <cellStyle name="네모제목" xfId="1386" xr:uid="{00000000-0005-0000-0000-0000DA1D0000}"/>
    <cellStyle name="단위" xfId="4928" xr:uid="{00000000-0005-0000-0000-0000DB1D0000}"/>
    <cellStyle name="단위(원)" xfId="4929" xr:uid="{00000000-0005-0000-0000-0000DC1D0000}"/>
    <cellStyle name="단위(원) 2" xfId="8807" xr:uid="{00000000-0005-0000-0000-0000DD1D0000}"/>
    <cellStyle name="단위(원) 2 2" xfId="8808" xr:uid="{00000000-0005-0000-0000-0000DE1D0000}"/>
    <cellStyle name="달러" xfId="28" xr:uid="{00000000-0005-0000-0000-0000DF1D0000}"/>
    <cellStyle name="달러 2" xfId="1387" xr:uid="{00000000-0005-0000-0000-0000E01D0000}"/>
    <cellStyle name="달러 2 2" xfId="2312" xr:uid="{00000000-0005-0000-0000-0000E11D0000}"/>
    <cellStyle name="뒤에 오는 하이퍼링크" xfId="1388" xr:uid="{00000000-0005-0000-0000-0000E21D0000}"/>
    <cellStyle name="뒤에 오는 하이퍼링크 2" xfId="2313" xr:uid="{00000000-0005-0000-0000-0000E31D0000}"/>
    <cellStyle name="뒤에 오는 하이퍼링크 2 2" xfId="8809" xr:uid="{00000000-0005-0000-0000-0000E41D0000}"/>
    <cellStyle name="뒤에 오는 하이퍼링크_발주(천호동403)-내역서" xfId="29" xr:uid="{00000000-0005-0000-0000-0000E51D0000}"/>
    <cellStyle name="똿떓죶Ø괻 [0.00]_PRODUCT DETAIL Q1" xfId="1389" xr:uid="{00000000-0005-0000-0000-0000E61D0000}"/>
    <cellStyle name="똿떓죶Ø괻_PRODUCT DETAIL Q1" xfId="1390" xr:uid="{00000000-0005-0000-0000-0000E71D0000}"/>
    <cellStyle name="똿뗦먛귟 [0.00]_laroux" xfId="30" xr:uid="{00000000-0005-0000-0000-0000E81D0000}"/>
    <cellStyle name="똿뗦먛귟_laroux" xfId="31" xr:uid="{00000000-0005-0000-0000-0000E91D0000}"/>
    <cellStyle name="마이너스키" xfId="1391" xr:uid="{00000000-0005-0000-0000-0000EA1D0000}"/>
    <cellStyle name="마이너스키 2" xfId="8810" xr:uid="{00000000-0005-0000-0000-0000EB1D0000}"/>
    <cellStyle name="마이너스키 2 2" xfId="8811" xr:uid="{00000000-0005-0000-0000-0000EC1D0000}"/>
    <cellStyle name="매" xfId="2314" xr:uid="{00000000-0005-0000-0000-0000ED1D0000}"/>
    <cellStyle name="매_02-포장-1" xfId="2315" xr:uid="{00000000-0005-0000-0000-0000EE1D0000}"/>
    <cellStyle name="메모 2" xfId="8812" xr:uid="{00000000-0005-0000-0000-0000EF1D0000}"/>
    <cellStyle name="메모 2 2" xfId="8813" xr:uid="{00000000-0005-0000-0000-0000F01D0000}"/>
    <cellStyle name="메모 2 2 2" xfId="8814" xr:uid="{00000000-0005-0000-0000-0000F11D0000}"/>
    <cellStyle name="메모 2 2 2 2" xfId="8815" xr:uid="{00000000-0005-0000-0000-0000F21D0000}"/>
    <cellStyle name="메모 2 3" xfId="8816" xr:uid="{00000000-0005-0000-0000-0000F31D0000}"/>
    <cellStyle name="메모 2 3 2" xfId="8817" xr:uid="{00000000-0005-0000-0000-0000F41D0000}"/>
    <cellStyle name="메모 3" xfId="8818" xr:uid="{00000000-0005-0000-0000-0000F51D0000}"/>
    <cellStyle name="메모 3 2" xfId="8819" xr:uid="{00000000-0005-0000-0000-0000F61D0000}"/>
    <cellStyle name="메모 3 2 2" xfId="8820" xr:uid="{00000000-0005-0000-0000-0000F71D0000}"/>
    <cellStyle name="메모 3 2 2 2" xfId="8821" xr:uid="{00000000-0005-0000-0000-0000F81D0000}"/>
    <cellStyle name="메모 3 3" xfId="8822" xr:uid="{00000000-0005-0000-0000-0000F91D0000}"/>
    <cellStyle name="메모 3 3 2" xfId="8823" xr:uid="{00000000-0005-0000-0000-0000FA1D0000}"/>
    <cellStyle name="메모 4" xfId="8824" xr:uid="{00000000-0005-0000-0000-0000FB1D0000}"/>
    <cellStyle name="메모 4 2" xfId="8825" xr:uid="{00000000-0005-0000-0000-0000FC1D0000}"/>
    <cellStyle name="메모 4 2 2" xfId="8826" xr:uid="{00000000-0005-0000-0000-0000FD1D0000}"/>
    <cellStyle name="메모 4 2 2 2" xfId="8827" xr:uid="{00000000-0005-0000-0000-0000FE1D0000}"/>
    <cellStyle name="메모 4 3" xfId="8828" xr:uid="{00000000-0005-0000-0000-0000FF1D0000}"/>
    <cellStyle name="메모 4 3 2" xfId="8829" xr:uid="{00000000-0005-0000-0000-0000001E0000}"/>
    <cellStyle name="메모 5" xfId="8830" xr:uid="{00000000-0005-0000-0000-0000011E0000}"/>
    <cellStyle name="묮뎋 [0.00]_PRODUCT DETAIL Q1" xfId="1392" xr:uid="{00000000-0005-0000-0000-0000021E0000}"/>
    <cellStyle name="묮뎋_PRODUCT DETAIL Q1" xfId="1393" xr:uid="{00000000-0005-0000-0000-0000031E0000}"/>
    <cellStyle name="믅됞 [0.00]_laroux" xfId="32" xr:uid="{00000000-0005-0000-0000-0000041E0000}"/>
    <cellStyle name="믅됞_laroux" xfId="33" xr:uid="{00000000-0005-0000-0000-0000051E0000}"/>
    <cellStyle name="배분" xfId="2316" xr:uid="{00000000-0005-0000-0000-0000061E0000}"/>
    <cellStyle name="배분 2" xfId="8831" xr:uid="{00000000-0005-0000-0000-0000071E0000}"/>
    <cellStyle name="배분 2 2" xfId="8832" xr:uid="{00000000-0005-0000-0000-0000081E0000}"/>
    <cellStyle name="배분 2 2 2" xfId="8833" xr:uid="{00000000-0005-0000-0000-0000091E0000}"/>
    <cellStyle name="배분 3" xfId="8834" xr:uid="{00000000-0005-0000-0000-00000A1E0000}"/>
    <cellStyle name="배분 3 2" xfId="8835" xr:uid="{00000000-0005-0000-0000-00000B1E0000}"/>
    <cellStyle name="백" xfId="34" xr:uid="{00000000-0005-0000-0000-00000C1E0000}"/>
    <cellStyle name="백 " xfId="4930" xr:uid="{00000000-0005-0000-0000-00000D1E0000}"/>
    <cellStyle name="백 2" xfId="1394" xr:uid="{00000000-0005-0000-0000-00000E1E0000}"/>
    <cellStyle name="백 2 2" xfId="2317" xr:uid="{00000000-0005-0000-0000-00000F1E0000}"/>
    <cellStyle name="백_00-표지예정공정표" xfId="1395" xr:uid="{00000000-0005-0000-0000-0000101E0000}"/>
    <cellStyle name="백_01-토공_02-배수공" xfId="35" xr:uid="{00000000-0005-0000-0000-0000111E0000}"/>
    <cellStyle name="백_01-토공_02-배수공_2.중곡빗물펌프장토공(BOX구간)" xfId="36" xr:uid="{00000000-0005-0000-0000-0000121E0000}"/>
    <cellStyle name="백_01-토공_02-배수공_남측토공" xfId="37" xr:uid="{00000000-0005-0000-0000-0000131E0000}"/>
    <cellStyle name="백_01-토공_02-배수공_남측토공_2.중곡빗물펌프장토공" xfId="38" xr:uid="{00000000-0005-0000-0000-0000141E0000}"/>
    <cellStyle name="백_01-토공_02-배수공_남측토공_천호대로남측준공수량(토공)" xfId="39" xr:uid="{00000000-0005-0000-0000-0000151E0000}"/>
    <cellStyle name="백_01-토공_02-배수공_토공" xfId="40" xr:uid="{00000000-0005-0000-0000-0000161E0000}"/>
    <cellStyle name="백_01-토공_02-배수공_토공_2.중곡빗물펌프장토공" xfId="41" xr:uid="{00000000-0005-0000-0000-0000171E0000}"/>
    <cellStyle name="백_01-토공_02-배수공_토공_세종대우회토공" xfId="42" xr:uid="{00000000-0005-0000-0000-0000181E0000}"/>
    <cellStyle name="백_01-토공_02-배수공_토공_오거리토공" xfId="43" xr:uid="{00000000-0005-0000-0000-0000191E0000}"/>
    <cellStyle name="백_01-토공_02-배수공_토공_중곡빗물펌프장토공" xfId="44" xr:uid="{00000000-0005-0000-0000-00001A1E0000}"/>
    <cellStyle name="백_01-토공_02-배수공_토공_중곡빗물펌프장토공1" xfId="45" xr:uid="{00000000-0005-0000-0000-00001B1E0000}"/>
    <cellStyle name="백_01-토공_02-배수공_토공_중곡펌프장토공1" xfId="46" xr:uid="{00000000-0005-0000-0000-00001C1E0000}"/>
    <cellStyle name="백_01-토공_02-배수공_토공_천호대로남측준공수량(토공)" xfId="47" xr:uid="{00000000-0005-0000-0000-00001D1E0000}"/>
    <cellStyle name="백_01-토공_02-배수공_토공_한국화장품토공" xfId="48" xr:uid="{00000000-0005-0000-0000-00001E1E0000}"/>
    <cellStyle name="백_02-배수공" xfId="49" xr:uid="{00000000-0005-0000-0000-00001F1E0000}"/>
    <cellStyle name="백_02-배수공_02-반중력식옹벽" xfId="50" xr:uid="{00000000-0005-0000-0000-0000201E0000}"/>
    <cellStyle name="백_02-배수공_02-반중력식옹벽_2.중곡빗물펌프장토공(BOX구간)" xfId="51" xr:uid="{00000000-0005-0000-0000-0000211E0000}"/>
    <cellStyle name="백_02-배수공_02-반중력식옹벽_남측토공" xfId="52" xr:uid="{00000000-0005-0000-0000-0000221E0000}"/>
    <cellStyle name="백_02-배수공_02-반중력식옹벽_남측토공_2.중곡빗물펌프장토공" xfId="53" xr:uid="{00000000-0005-0000-0000-0000231E0000}"/>
    <cellStyle name="백_02-배수공_02-반중력식옹벽_남측토공_천호대로남측준공수량(토공)" xfId="54" xr:uid="{00000000-0005-0000-0000-0000241E0000}"/>
    <cellStyle name="백_02-배수공_02-반중력식옹벽_토공" xfId="55" xr:uid="{00000000-0005-0000-0000-0000251E0000}"/>
    <cellStyle name="백_02-배수공_02-반중력식옹벽_토공_2.중곡빗물펌프장토공" xfId="56" xr:uid="{00000000-0005-0000-0000-0000261E0000}"/>
    <cellStyle name="백_02-배수공_02-반중력식옹벽_토공_세종대우회토공" xfId="57" xr:uid="{00000000-0005-0000-0000-0000271E0000}"/>
    <cellStyle name="백_02-배수공_02-반중력식옹벽_토공_오거리토공" xfId="58" xr:uid="{00000000-0005-0000-0000-0000281E0000}"/>
    <cellStyle name="백_02-배수공_02-반중력식옹벽_토공_중곡빗물펌프장토공" xfId="59" xr:uid="{00000000-0005-0000-0000-0000291E0000}"/>
    <cellStyle name="백_02-배수공_02-반중력식옹벽_토공_중곡빗물펌프장토공1" xfId="60" xr:uid="{00000000-0005-0000-0000-00002A1E0000}"/>
    <cellStyle name="백_02-배수공_02-반중력식옹벽_토공_중곡펌프장토공1" xfId="61" xr:uid="{00000000-0005-0000-0000-00002B1E0000}"/>
    <cellStyle name="백_02-배수공_02-반중력식옹벽_토공_천호대로남측준공수량(토공)" xfId="62" xr:uid="{00000000-0005-0000-0000-00002C1E0000}"/>
    <cellStyle name="백_02-배수공_02-반중력식옹벽_토공_한국화장품토공" xfId="63" xr:uid="{00000000-0005-0000-0000-00002D1E0000}"/>
    <cellStyle name="백_02-배수공_02-배수공" xfId="64" xr:uid="{00000000-0005-0000-0000-00002E1E0000}"/>
    <cellStyle name="백_02-배수공_02-배수공_2.중곡빗물펌프장토공(BOX구간)" xfId="65" xr:uid="{00000000-0005-0000-0000-00002F1E0000}"/>
    <cellStyle name="백_02-배수공_02-배수공_남측토공" xfId="66" xr:uid="{00000000-0005-0000-0000-0000301E0000}"/>
    <cellStyle name="백_02-배수공_02-배수공_남측토공_2.중곡빗물펌프장토공" xfId="67" xr:uid="{00000000-0005-0000-0000-0000311E0000}"/>
    <cellStyle name="백_02-배수공_02-배수공_남측토공_천호대로남측준공수량(토공)" xfId="68" xr:uid="{00000000-0005-0000-0000-0000321E0000}"/>
    <cellStyle name="백_02-배수공_02-배수공_토공" xfId="69" xr:uid="{00000000-0005-0000-0000-0000331E0000}"/>
    <cellStyle name="백_02-배수공_02-배수공_토공_2.중곡빗물펌프장토공" xfId="70" xr:uid="{00000000-0005-0000-0000-0000341E0000}"/>
    <cellStyle name="백_02-배수공_02-배수공_토공_세종대우회토공" xfId="71" xr:uid="{00000000-0005-0000-0000-0000351E0000}"/>
    <cellStyle name="백_02-배수공_02-배수공_토공_오거리토공" xfId="72" xr:uid="{00000000-0005-0000-0000-0000361E0000}"/>
    <cellStyle name="백_02-배수공_02-배수공_토공_중곡빗물펌프장토공" xfId="73" xr:uid="{00000000-0005-0000-0000-0000371E0000}"/>
    <cellStyle name="백_02-배수공_02-배수공_토공_중곡빗물펌프장토공1" xfId="74" xr:uid="{00000000-0005-0000-0000-0000381E0000}"/>
    <cellStyle name="백_02-배수공_02-배수공_토공_중곡펌프장토공1" xfId="75" xr:uid="{00000000-0005-0000-0000-0000391E0000}"/>
    <cellStyle name="백_02-배수공_02-배수공_토공_천호대로남측준공수량(토공)" xfId="76" xr:uid="{00000000-0005-0000-0000-00003A1E0000}"/>
    <cellStyle name="백_02-배수공_02-배수공_토공_한국화장품토공" xfId="77" xr:uid="{00000000-0005-0000-0000-00003B1E0000}"/>
    <cellStyle name="백_02-배수공_2.중곡빗물펌프장토공(BOX구간)" xfId="78" xr:uid="{00000000-0005-0000-0000-00003C1E0000}"/>
    <cellStyle name="백_02-배수공_가평조서" xfId="79" xr:uid="{00000000-0005-0000-0000-00003D1E0000}"/>
    <cellStyle name="백_02-배수공_가평조서_2.중곡빗물펌프장토공(BOX구간)" xfId="80" xr:uid="{00000000-0005-0000-0000-00003E1E0000}"/>
    <cellStyle name="백_02-배수공_남측토공" xfId="81" xr:uid="{00000000-0005-0000-0000-00003F1E0000}"/>
    <cellStyle name="백_02-배수공_남측토공_2.중곡빗물펌프장토공" xfId="82" xr:uid="{00000000-0005-0000-0000-0000401E0000}"/>
    <cellStyle name="백_02-배수공_남측토공_천호대로남측준공수량(토공)" xfId="83" xr:uid="{00000000-0005-0000-0000-0000411E0000}"/>
    <cellStyle name="백_02-배수공_반중력" xfId="84" xr:uid="{00000000-0005-0000-0000-0000421E0000}"/>
    <cellStyle name="백_02-배수공_반중력_2.중곡빗물펌프장토공(BOX구간)" xfId="85" xr:uid="{00000000-0005-0000-0000-0000431E0000}"/>
    <cellStyle name="백_02-배수공_반중력_남측토공" xfId="86" xr:uid="{00000000-0005-0000-0000-0000441E0000}"/>
    <cellStyle name="백_02-배수공_반중력_남측토공_2.중곡빗물펌프장토공" xfId="87" xr:uid="{00000000-0005-0000-0000-0000451E0000}"/>
    <cellStyle name="백_02-배수공_반중력_남측토공_천호대로남측준공수량(토공)" xfId="88" xr:uid="{00000000-0005-0000-0000-0000461E0000}"/>
    <cellStyle name="백_02-배수공_반중력_토공" xfId="89" xr:uid="{00000000-0005-0000-0000-0000471E0000}"/>
    <cellStyle name="백_02-배수공_반중력_토공_2.중곡빗물펌프장토공" xfId="90" xr:uid="{00000000-0005-0000-0000-0000481E0000}"/>
    <cellStyle name="백_02-배수공_반중력_토공_세종대우회토공" xfId="91" xr:uid="{00000000-0005-0000-0000-0000491E0000}"/>
    <cellStyle name="백_02-배수공_반중력_토공_오거리토공" xfId="92" xr:uid="{00000000-0005-0000-0000-00004A1E0000}"/>
    <cellStyle name="백_02-배수공_반중력_토공_중곡빗물펌프장토공" xfId="93" xr:uid="{00000000-0005-0000-0000-00004B1E0000}"/>
    <cellStyle name="백_02-배수공_반중력_토공_중곡빗물펌프장토공1" xfId="94" xr:uid="{00000000-0005-0000-0000-00004C1E0000}"/>
    <cellStyle name="백_02-배수공_반중력_토공_중곡펌프장토공1" xfId="95" xr:uid="{00000000-0005-0000-0000-00004D1E0000}"/>
    <cellStyle name="백_02-배수공_반중력_토공_천호대로남측준공수량(토공)" xfId="96" xr:uid="{00000000-0005-0000-0000-00004E1E0000}"/>
    <cellStyle name="백_02-배수공_반중력_토공_한국화장품토공" xfId="97" xr:uid="{00000000-0005-0000-0000-00004F1E0000}"/>
    <cellStyle name="백_02-배수공_옹벽" xfId="98" xr:uid="{00000000-0005-0000-0000-0000501E0000}"/>
    <cellStyle name="백_02-배수공_옹벽_2.중곡빗물펌프장토공(BOX구간)" xfId="99" xr:uid="{00000000-0005-0000-0000-0000511E0000}"/>
    <cellStyle name="백_02-배수공_토공" xfId="100" xr:uid="{00000000-0005-0000-0000-0000521E0000}"/>
    <cellStyle name="백_02-배수공_토공_2.중곡빗물펌프장토공" xfId="101" xr:uid="{00000000-0005-0000-0000-0000531E0000}"/>
    <cellStyle name="백_02-배수공_토공_세종대우회토공" xfId="102" xr:uid="{00000000-0005-0000-0000-0000541E0000}"/>
    <cellStyle name="백_02-배수공_토공_오거리토공" xfId="103" xr:uid="{00000000-0005-0000-0000-0000551E0000}"/>
    <cellStyle name="백_02-배수공_토공_중곡빗물펌프장토공" xfId="104" xr:uid="{00000000-0005-0000-0000-0000561E0000}"/>
    <cellStyle name="백_02-배수공_토공_중곡빗물펌프장토공1" xfId="105" xr:uid="{00000000-0005-0000-0000-0000571E0000}"/>
    <cellStyle name="백_02-배수공_토공_중곡펌프장토공1" xfId="106" xr:uid="{00000000-0005-0000-0000-0000581E0000}"/>
    <cellStyle name="백_02-배수공_토공_천호대로남측준공수량(토공)" xfId="107" xr:uid="{00000000-0005-0000-0000-0000591E0000}"/>
    <cellStyle name="백_02-배수공_토공_한국화장품토공" xfId="108" xr:uid="{00000000-0005-0000-0000-00005A1E0000}"/>
    <cellStyle name="백_02-배수공_포장조서" xfId="109" xr:uid="{00000000-0005-0000-0000-00005B1E0000}"/>
    <cellStyle name="백_02-배수공_포장조서_2.중곡빗물펌프장토공(BOX구간)" xfId="110" xr:uid="{00000000-0005-0000-0000-00005C1E0000}"/>
    <cellStyle name="백_041206 목동내역" xfId="1396" xr:uid="{00000000-0005-0000-0000-00005D1E0000}"/>
    <cellStyle name="백_04-포장공_02-배수공" xfId="111" xr:uid="{00000000-0005-0000-0000-00005E1E0000}"/>
    <cellStyle name="백_04-포장공_02-배수공_2.중곡빗물펌프장토공(BOX구간)" xfId="112" xr:uid="{00000000-0005-0000-0000-00005F1E0000}"/>
    <cellStyle name="백_04-포장공_02-배수공_남측토공" xfId="113" xr:uid="{00000000-0005-0000-0000-0000601E0000}"/>
    <cellStyle name="백_04-포장공_02-배수공_남측토공_2.중곡빗물펌프장토공" xfId="114" xr:uid="{00000000-0005-0000-0000-0000611E0000}"/>
    <cellStyle name="백_04-포장공_02-배수공_남측토공_천호대로남측준공수량(토공)" xfId="115" xr:uid="{00000000-0005-0000-0000-0000621E0000}"/>
    <cellStyle name="백_04-포장공_02-배수공_토공" xfId="116" xr:uid="{00000000-0005-0000-0000-0000631E0000}"/>
    <cellStyle name="백_04-포장공_02-배수공_토공_2.중곡빗물펌프장토공" xfId="117" xr:uid="{00000000-0005-0000-0000-0000641E0000}"/>
    <cellStyle name="백_04-포장공_02-배수공_토공_세종대우회토공" xfId="118" xr:uid="{00000000-0005-0000-0000-0000651E0000}"/>
    <cellStyle name="백_04-포장공_02-배수공_토공_오거리토공" xfId="119" xr:uid="{00000000-0005-0000-0000-0000661E0000}"/>
    <cellStyle name="백_04-포장공_02-배수공_토공_중곡빗물펌프장토공" xfId="120" xr:uid="{00000000-0005-0000-0000-0000671E0000}"/>
    <cellStyle name="백_04-포장공_02-배수공_토공_중곡빗물펌프장토공1" xfId="121" xr:uid="{00000000-0005-0000-0000-0000681E0000}"/>
    <cellStyle name="백_04-포장공_02-배수공_토공_중곡펌프장토공1" xfId="122" xr:uid="{00000000-0005-0000-0000-0000691E0000}"/>
    <cellStyle name="백_04-포장공_02-배수공_토공_천호대로남측준공수량(토공)" xfId="123" xr:uid="{00000000-0005-0000-0000-00006A1E0000}"/>
    <cellStyle name="백_04-포장공_02-배수공_토공_한국화장품토공" xfId="124" xr:uid="{00000000-0005-0000-0000-00006B1E0000}"/>
    <cellStyle name="백_06-부대공_02-배수공" xfId="125" xr:uid="{00000000-0005-0000-0000-00006C1E0000}"/>
    <cellStyle name="백_06-부대공_02-배수공_2.중곡빗물펌프장토공(BOX구간)" xfId="126" xr:uid="{00000000-0005-0000-0000-00006D1E0000}"/>
    <cellStyle name="백_06-부대공_02-배수공_남측토공" xfId="127" xr:uid="{00000000-0005-0000-0000-00006E1E0000}"/>
    <cellStyle name="백_06-부대공_02-배수공_남측토공_2.중곡빗물펌프장토공" xfId="128" xr:uid="{00000000-0005-0000-0000-00006F1E0000}"/>
    <cellStyle name="백_06-부대공_02-배수공_남측토공_천호대로남측준공수량(토공)" xfId="129" xr:uid="{00000000-0005-0000-0000-0000701E0000}"/>
    <cellStyle name="백_06-부대공_02-배수공_토공" xfId="130" xr:uid="{00000000-0005-0000-0000-0000711E0000}"/>
    <cellStyle name="백_06-부대공_02-배수공_토공_2.중곡빗물펌프장토공" xfId="131" xr:uid="{00000000-0005-0000-0000-0000721E0000}"/>
    <cellStyle name="백_06-부대공_02-배수공_토공_세종대우회토공" xfId="132" xr:uid="{00000000-0005-0000-0000-0000731E0000}"/>
    <cellStyle name="백_06-부대공_02-배수공_토공_오거리토공" xfId="133" xr:uid="{00000000-0005-0000-0000-0000741E0000}"/>
    <cellStyle name="백_06-부대공_02-배수공_토공_중곡빗물펌프장토공" xfId="134" xr:uid="{00000000-0005-0000-0000-0000751E0000}"/>
    <cellStyle name="백_06-부대공_02-배수공_토공_중곡빗물펌프장토공1" xfId="135" xr:uid="{00000000-0005-0000-0000-0000761E0000}"/>
    <cellStyle name="백_06-부대공_02-배수공_토공_중곡펌프장토공1" xfId="136" xr:uid="{00000000-0005-0000-0000-0000771E0000}"/>
    <cellStyle name="백_06-부대공_02-배수공_토공_천호대로남측준공수량(토공)" xfId="137" xr:uid="{00000000-0005-0000-0000-0000781E0000}"/>
    <cellStyle name="백_06-부대공_02-배수공_토공_한국화장품토공" xfId="138" xr:uid="{00000000-0005-0000-0000-0000791E0000}"/>
    <cellStyle name="백_2.중곡빗물펌프장토공(BOX구간)" xfId="139" xr:uid="{00000000-0005-0000-0000-00007A1E0000}"/>
    <cellStyle name="백_3.우수" xfId="4931" xr:uid="{00000000-0005-0000-0000-00007B1E0000}"/>
    <cellStyle name="백_Book2" xfId="1399" xr:uid="{00000000-0005-0000-0000-00007C1E0000}"/>
    <cellStyle name="백_까치어린이공원-표지예정공정표" xfId="1397" xr:uid="{00000000-0005-0000-0000-00007D1E0000}"/>
    <cellStyle name="백_까치-예산서" xfId="1398" xr:uid="{00000000-0005-0000-0000-00007E1E0000}"/>
    <cellStyle name="백_분수대 및 어린이놀이터 시설물 설치공사" xfId="4932" xr:uid="{00000000-0005-0000-0000-00007F1E0000}"/>
    <cellStyle name="백_수량산출서(수정)" xfId="140" xr:uid="{00000000-0005-0000-0000-0000801E0000}"/>
    <cellStyle name="백_수량산출서(수정)_01-토공_02-배수공" xfId="141" xr:uid="{00000000-0005-0000-0000-0000811E0000}"/>
    <cellStyle name="백_수량산출서(수정)_01-토공_02-배수공_2.중곡빗물펌프장토공(BOX구간)" xfId="142" xr:uid="{00000000-0005-0000-0000-0000821E0000}"/>
    <cellStyle name="백_수량산출서(수정)_01-토공_02-배수공_남측토공" xfId="143" xr:uid="{00000000-0005-0000-0000-0000831E0000}"/>
    <cellStyle name="백_수량산출서(수정)_01-토공_02-배수공_남측토공_2.중곡빗물펌프장토공" xfId="144" xr:uid="{00000000-0005-0000-0000-0000841E0000}"/>
    <cellStyle name="백_수량산출서(수정)_01-토공_02-배수공_남측토공_천호대로남측준공수량(토공)" xfId="145" xr:uid="{00000000-0005-0000-0000-0000851E0000}"/>
    <cellStyle name="백_수량산출서(수정)_01-토공_02-배수공_토공" xfId="146" xr:uid="{00000000-0005-0000-0000-0000861E0000}"/>
    <cellStyle name="백_수량산출서(수정)_01-토공_02-배수공_토공_2.중곡빗물펌프장토공" xfId="147" xr:uid="{00000000-0005-0000-0000-0000871E0000}"/>
    <cellStyle name="백_수량산출서(수정)_01-토공_02-배수공_토공_세종대우회토공" xfId="148" xr:uid="{00000000-0005-0000-0000-0000881E0000}"/>
    <cellStyle name="백_수량산출서(수정)_01-토공_02-배수공_토공_오거리토공" xfId="149" xr:uid="{00000000-0005-0000-0000-0000891E0000}"/>
    <cellStyle name="백_수량산출서(수정)_01-토공_02-배수공_토공_중곡빗물펌프장토공" xfId="150" xr:uid="{00000000-0005-0000-0000-00008A1E0000}"/>
    <cellStyle name="백_수량산출서(수정)_01-토공_02-배수공_토공_중곡빗물펌프장토공1" xfId="151" xr:uid="{00000000-0005-0000-0000-00008B1E0000}"/>
    <cellStyle name="백_수량산출서(수정)_01-토공_02-배수공_토공_중곡펌프장토공1" xfId="152" xr:uid="{00000000-0005-0000-0000-00008C1E0000}"/>
    <cellStyle name="백_수량산출서(수정)_01-토공_02-배수공_토공_천호대로남측준공수량(토공)" xfId="153" xr:uid="{00000000-0005-0000-0000-00008D1E0000}"/>
    <cellStyle name="백_수량산출서(수정)_01-토공_02-배수공_토공_한국화장품토공" xfId="154" xr:uid="{00000000-0005-0000-0000-00008E1E0000}"/>
    <cellStyle name="백_수량산출서(수정)_02-배수공" xfId="155" xr:uid="{00000000-0005-0000-0000-00008F1E0000}"/>
    <cellStyle name="백_수량산출서(수정)_02-배수공_02-반중력식옹벽" xfId="156" xr:uid="{00000000-0005-0000-0000-0000901E0000}"/>
    <cellStyle name="백_수량산출서(수정)_02-배수공_02-반중력식옹벽_2.중곡빗물펌프장토공(BOX구간)" xfId="157" xr:uid="{00000000-0005-0000-0000-0000911E0000}"/>
    <cellStyle name="백_수량산출서(수정)_02-배수공_02-반중력식옹벽_남측토공" xfId="158" xr:uid="{00000000-0005-0000-0000-0000921E0000}"/>
    <cellStyle name="백_수량산출서(수정)_02-배수공_02-반중력식옹벽_남측토공_2.중곡빗물펌프장토공" xfId="159" xr:uid="{00000000-0005-0000-0000-0000931E0000}"/>
    <cellStyle name="백_수량산출서(수정)_02-배수공_02-반중력식옹벽_남측토공_천호대로남측준공수량(토공)" xfId="160" xr:uid="{00000000-0005-0000-0000-0000941E0000}"/>
    <cellStyle name="백_수량산출서(수정)_02-배수공_02-반중력식옹벽_토공" xfId="161" xr:uid="{00000000-0005-0000-0000-0000951E0000}"/>
    <cellStyle name="백_수량산출서(수정)_02-배수공_02-반중력식옹벽_토공_2.중곡빗물펌프장토공" xfId="162" xr:uid="{00000000-0005-0000-0000-0000961E0000}"/>
    <cellStyle name="백_수량산출서(수정)_02-배수공_02-반중력식옹벽_토공_세종대우회토공" xfId="163" xr:uid="{00000000-0005-0000-0000-0000971E0000}"/>
    <cellStyle name="백_수량산출서(수정)_02-배수공_02-반중력식옹벽_토공_오거리토공" xfId="164" xr:uid="{00000000-0005-0000-0000-0000981E0000}"/>
    <cellStyle name="백_수량산출서(수정)_02-배수공_02-반중력식옹벽_토공_중곡빗물펌프장토공" xfId="165" xr:uid="{00000000-0005-0000-0000-0000991E0000}"/>
    <cellStyle name="백_수량산출서(수정)_02-배수공_02-반중력식옹벽_토공_중곡빗물펌프장토공1" xfId="166" xr:uid="{00000000-0005-0000-0000-00009A1E0000}"/>
    <cellStyle name="백_수량산출서(수정)_02-배수공_02-반중력식옹벽_토공_중곡펌프장토공1" xfId="167" xr:uid="{00000000-0005-0000-0000-00009B1E0000}"/>
    <cellStyle name="백_수량산출서(수정)_02-배수공_02-반중력식옹벽_토공_천호대로남측준공수량(토공)" xfId="168" xr:uid="{00000000-0005-0000-0000-00009C1E0000}"/>
    <cellStyle name="백_수량산출서(수정)_02-배수공_02-반중력식옹벽_토공_한국화장품토공" xfId="169" xr:uid="{00000000-0005-0000-0000-00009D1E0000}"/>
    <cellStyle name="백_수량산출서(수정)_02-배수공_02-배수공" xfId="170" xr:uid="{00000000-0005-0000-0000-00009E1E0000}"/>
    <cellStyle name="백_수량산출서(수정)_02-배수공_02-배수공_2.중곡빗물펌프장토공(BOX구간)" xfId="171" xr:uid="{00000000-0005-0000-0000-00009F1E0000}"/>
    <cellStyle name="백_수량산출서(수정)_02-배수공_02-배수공_남측토공" xfId="172" xr:uid="{00000000-0005-0000-0000-0000A01E0000}"/>
    <cellStyle name="백_수량산출서(수정)_02-배수공_02-배수공_남측토공_2.중곡빗물펌프장토공" xfId="173" xr:uid="{00000000-0005-0000-0000-0000A11E0000}"/>
    <cellStyle name="백_수량산출서(수정)_02-배수공_02-배수공_남측토공_천호대로남측준공수량(토공)" xfId="174" xr:uid="{00000000-0005-0000-0000-0000A21E0000}"/>
    <cellStyle name="백_수량산출서(수정)_02-배수공_02-배수공_토공" xfId="175" xr:uid="{00000000-0005-0000-0000-0000A31E0000}"/>
    <cellStyle name="백_수량산출서(수정)_02-배수공_02-배수공_토공_2.중곡빗물펌프장토공" xfId="176" xr:uid="{00000000-0005-0000-0000-0000A41E0000}"/>
    <cellStyle name="백_수량산출서(수정)_02-배수공_02-배수공_토공_세종대우회토공" xfId="177" xr:uid="{00000000-0005-0000-0000-0000A51E0000}"/>
    <cellStyle name="백_수량산출서(수정)_02-배수공_02-배수공_토공_오거리토공" xfId="178" xr:uid="{00000000-0005-0000-0000-0000A61E0000}"/>
    <cellStyle name="백_수량산출서(수정)_02-배수공_02-배수공_토공_중곡빗물펌프장토공" xfId="179" xr:uid="{00000000-0005-0000-0000-0000A71E0000}"/>
    <cellStyle name="백_수량산출서(수정)_02-배수공_02-배수공_토공_중곡빗물펌프장토공1" xfId="180" xr:uid="{00000000-0005-0000-0000-0000A81E0000}"/>
    <cellStyle name="백_수량산출서(수정)_02-배수공_02-배수공_토공_중곡펌프장토공1" xfId="181" xr:uid="{00000000-0005-0000-0000-0000A91E0000}"/>
    <cellStyle name="백_수량산출서(수정)_02-배수공_02-배수공_토공_천호대로남측준공수량(토공)" xfId="182" xr:uid="{00000000-0005-0000-0000-0000AA1E0000}"/>
    <cellStyle name="백_수량산출서(수정)_02-배수공_02-배수공_토공_한국화장품토공" xfId="183" xr:uid="{00000000-0005-0000-0000-0000AB1E0000}"/>
    <cellStyle name="백_수량산출서(수정)_02-배수공_2.중곡빗물펌프장토공(BOX구간)" xfId="184" xr:uid="{00000000-0005-0000-0000-0000AC1E0000}"/>
    <cellStyle name="백_수량산출서(수정)_02-배수공_가평조서" xfId="185" xr:uid="{00000000-0005-0000-0000-0000AD1E0000}"/>
    <cellStyle name="백_수량산출서(수정)_02-배수공_가평조서_2.중곡빗물펌프장토공(BOX구간)" xfId="186" xr:uid="{00000000-0005-0000-0000-0000AE1E0000}"/>
    <cellStyle name="백_수량산출서(수정)_02-배수공_남측토공" xfId="187" xr:uid="{00000000-0005-0000-0000-0000AF1E0000}"/>
    <cellStyle name="백_수량산출서(수정)_02-배수공_남측토공_2.중곡빗물펌프장토공" xfId="188" xr:uid="{00000000-0005-0000-0000-0000B01E0000}"/>
    <cellStyle name="백_수량산출서(수정)_02-배수공_남측토공_천호대로남측준공수량(토공)" xfId="189" xr:uid="{00000000-0005-0000-0000-0000B11E0000}"/>
    <cellStyle name="백_수량산출서(수정)_02-배수공_반중력" xfId="190" xr:uid="{00000000-0005-0000-0000-0000B21E0000}"/>
    <cellStyle name="백_수량산출서(수정)_02-배수공_반중력_2.중곡빗물펌프장토공(BOX구간)" xfId="191" xr:uid="{00000000-0005-0000-0000-0000B31E0000}"/>
    <cellStyle name="백_수량산출서(수정)_02-배수공_반중력_남측토공" xfId="192" xr:uid="{00000000-0005-0000-0000-0000B41E0000}"/>
    <cellStyle name="백_수량산출서(수정)_02-배수공_반중력_남측토공_2.중곡빗물펌프장토공" xfId="193" xr:uid="{00000000-0005-0000-0000-0000B51E0000}"/>
    <cellStyle name="백_수량산출서(수정)_02-배수공_반중력_남측토공_천호대로남측준공수량(토공)" xfId="194" xr:uid="{00000000-0005-0000-0000-0000B61E0000}"/>
    <cellStyle name="백_수량산출서(수정)_02-배수공_반중력_토공" xfId="195" xr:uid="{00000000-0005-0000-0000-0000B71E0000}"/>
    <cellStyle name="백_수량산출서(수정)_02-배수공_반중력_토공_2.중곡빗물펌프장토공" xfId="196" xr:uid="{00000000-0005-0000-0000-0000B81E0000}"/>
    <cellStyle name="백_수량산출서(수정)_02-배수공_반중력_토공_세종대우회토공" xfId="197" xr:uid="{00000000-0005-0000-0000-0000B91E0000}"/>
    <cellStyle name="백_수량산출서(수정)_02-배수공_반중력_토공_오거리토공" xfId="198" xr:uid="{00000000-0005-0000-0000-0000BA1E0000}"/>
    <cellStyle name="백_수량산출서(수정)_02-배수공_반중력_토공_중곡빗물펌프장토공" xfId="199" xr:uid="{00000000-0005-0000-0000-0000BB1E0000}"/>
    <cellStyle name="백_수량산출서(수정)_02-배수공_반중력_토공_중곡빗물펌프장토공1" xfId="200" xr:uid="{00000000-0005-0000-0000-0000BC1E0000}"/>
    <cellStyle name="백_수량산출서(수정)_02-배수공_반중력_토공_중곡펌프장토공1" xfId="201" xr:uid="{00000000-0005-0000-0000-0000BD1E0000}"/>
    <cellStyle name="백_수량산출서(수정)_02-배수공_반중력_토공_천호대로남측준공수량(토공)" xfId="202" xr:uid="{00000000-0005-0000-0000-0000BE1E0000}"/>
    <cellStyle name="백_수량산출서(수정)_02-배수공_반중력_토공_한국화장품토공" xfId="203" xr:uid="{00000000-0005-0000-0000-0000BF1E0000}"/>
    <cellStyle name="백_수량산출서(수정)_02-배수공_옹벽" xfId="204" xr:uid="{00000000-0005-0000-0000-0000C01E0000}"/>
    <cellStyle name="백_수량산출서(수정)_02-배수공_옹벽_2.중곡빗물펌프장토공(BOX구간)" xfId="205" xr:uid="{00000000-0005-0000-0000-0000C11E0000}"/>
    <cellStyle name="백_수량산출서(수정)_02-배수공_토공" xfId="206" xr:uid="{00000000-0005-0000-0000-0000C21E0000}"/>
    <cellStyle name="백_수량산출서(수정)_02-배수공_토공_2.중곡빗물펌프장토공" xfId="207" xr:uid="{00000000-0005-0000-0000-0000C31E0000}"/>
    <cellStyle name="백_수량산출서(수정)_02-배수공_토공_세종대우회토공" xfId="208" xr:uid="{00000000-0005-0000-0000-0000C41E0000}"/>
    <cellStyle name="백_수량산출서(수정)_02-배수공_토공_오거리토공" xfId="209" xr:uid="{00000000-0005-0000-0000-0000C51E0000}"/>
    <cellStyle name="백_수량산출서(수정)_02-배수공_토공_중곡빗물펌프장토공" xfId="210" xr:uid="{00000000-0005-0000-0000-0000C61E0000}"/>
    <cellStyle name="백_수량산출서(수정)_02-배수공_토공_중곡빗물펌프장토공1" xfId="211" xr:uid="{00000000-0005-0000-0000-0000C71E0000}"/>
    <cellStyle name="백_수량산출서(수정)_02-배수공_토공_중곡펌프장토공1" xfId="212" xr:uid="{00000000-0005-0000-0000-0000C81E0000}"/>
    <cellStyle name="백_수량산출서(수정)_02-배수공_토공_천호대로남측준공수량(토공)" xfId="213" xr:uid="{00000000-0005-0000-0000-0000C91E0000}"/>
    <cellStyle name="백_수량산출서(수정)_02-배수공_토공_한국화장품토공" xfId="214" xr:uid="{00000000-0005-0000-0000-0000CA1E0000}"/>
    <cellStyle name="백_수량산출서(수정)_02-배수공_포장조서" xfId="215" xr:uid="{00000000-0005-0000-0000-0000CB1E0000}"/>
    <cellStyle name="백_수량산출서(수정)_02-배수공_포장조서_2.중곡빗물펌프장토공(BOX구간)" xfId="216" xr:uid="{00000000-0005-0000-0000-0000CC1E0000}"/>
    <cellStyle name="백_수량산출서(수정)_04-포장공_02-배수공" xfId="217" xr:uid="{00000000-0005-0000-0000-0000CD1E0000}"/>
    <cellStyle name="백_수량산출서(수정)_04-포장공_02-배수공_2.중곡빗물펌프장토공(BOX구간)" xfId="218" xr:uid="{00000000-0005-0000-0000-0000CE1E0000}"/>
    <cellStyle name="백_수량산출서(수정)_04-포장공_02-배수공_남측토공" xfId="219" xr:uid="{00000000-0005-0000-0000-0000CF1E0000}"/>
    <cellStyle name="백_수량산출서(수정)_04-포장공_02-배수공_남측토공_2.중곡빗물펌프장토공" xfId="220" xr:uid="{00000000-0005-0000-0000-0000D01E0000}"/>
    <cellStyle name="백_수량산출서(수정)_04-포장공_02-배수공_남측토공_천호대로남측준공수량(토공)" xfId="221" xr:uid="{00000000-0005-0000-0000-0000D11E0000}"/>
    <cellStyle name="백_수량산출서(수정)_04-포장공_02-배수공_토공" xfId="222" xr:uid="{00000000-0005-0000-0000-0000D21E0000}"/>
    <cellStyle name="백_수량산출서(수정)_04-포장공_02-배수공_토공_2.중곡빗물펌프장토공" xfId="223" xr:uid="{00000000-0005-0000-0000-0000D31E0000}"/>
    <cellStyle name="백_수량산출서(수정)_04-포장공_02-배수공_토공_세종대우회토공" xfId="224" xr:uid="{00000000-0005-0000-0000-0000D41E0000}"/>
    <cellStyle name="백_수량산출서(수정)_04-포장공_02-배수공_토공_오거리토공" xfId="225" xr:uid="{00000000-0005-0000-0000-0000D51E0000}"/>
    <cellStyle name="백_수량산출서(수정)_04-포장공_02-배수공_토공_중곡빗물펌프장토공" xfId="226" xr:uid="{00000000-0005-0000-0000-0000D61E0000}"/>
    <cellStyle name="백_수량산출서(수정)_04-포장공_02-배수공_토공_중곡빗물펌프장토공1" xfId="227" xr:uid="{00000000-0005-0000-0000-0000D71E0000}"/>
    <cellStyle name="백_수량산출서(수정)_04-포장공_02-배수공_토공_중곡펌프장토공1" xfId="228" xr:uid="{00000000-0005-0000-0000-0000D81E0000}"/>
    <cellStyle name="백_수량산출서(수정)_04-포장공_02-배수공_토공_천호대로남측준공수량(토공)" xfId="229" xr:uid="{00000000-0005-0000-0000-0000D91E0000}"/>
    <cellStyle name="백_수량산출서(수정)_04-포장공_02-배수공_토공_한국화장품토공" xfId="230" xr:uid="{00000000-0005-0000-0000-0000DA1E0000}"/>
    <cellStyle name="백_수량산출서(수정)_06-부대공_02-배수공" xfId="231" xr:uid="{00000000-0005-0000-0000-0000DB1E0000}"/>
    <cellStyle name="백_수량산출서(수정)_06-부대공_02-배수공_2.중곡빗물펌프장토공(BOX구간)" xfId="232" xr:uid="{00000000-0005-0000-0000-0000DC1E0000}"/>
    <cellStyle name="백_수량산출서(수정)_06-부대공_02-배수공_남측토공" xfId="233" xr:uid="{00000000-0005-0000-0000-0000DD1E0000}"/>
    <cellStyle name="백_수량산출서(수정)_06-부대공_02-배수공_남측토공_2.중곡빗물펌프장토공" xfId="234" xr:uid="{00000000-0005-0000-0000-0000DE1E0000}"/>
    <cellStyle name="백_수량산출서(수정)_06-부대공_02-배수공_남측토공_천호대로남측준공수량(토공)" xfId="235" xr:uid="{00000000-0005-0000-0000-0000DF1E0000}"/>
    <cellStyle name="백_수량산출서(수정)_06-부대공_02-배수공_토공" xfId="236" xr:uid="{00000000-0005-0000-0000-0000E01E0000}"/>
    <cellStyle name="백_수량산출서(수정)_06-부대공_02-배수공_토공_2.중곡빗물펌프장토공" xfId="237" xr:uid="{00000000-0005-0000-0000-0000E11E0000}"/>
    <cellStyle name="백_수량산출서(수정)_06-부대공_02-배수공_토공_세종대우회토공" xfId="238" xr:uid="{00000000-0005-0000-0000-0000E21E0000}"/>
    <cellStyle name="백_수량산출서(수정)_06-부대공_02-배수공_토공_오거리토공" xfId="239" xr:uid="{00000000-0005-0000-0000-0000E31E0000}"/>
    <cellStyle name="백_수량산출서(수정)_06-부대공_02-배수공_토공_중곡빗물펌프장토공" xfId="240" xr:uid="{00000000-0005-0000-0000-0000E41E0000}"/>
    <cellStyle name="백_수량산출서(수정)_06-부대공_02-배수공_토공_중곡빗물펌프장토공1" xfId="241" xr:uid="{00000000-0005-0000-0000-0000E51E0000}"/>
    <cellStyle name="백_수량산출서(수정)_06-부대공_02-배수공_토공_중곡펌프장토공1" xfId="242" xr:uid="{00000000-0005-0000-0000-0000E61E0000}"/>
    <cellStyle name="백_수량산출서(수정)_06-부대공_02-배수공_토공_천호대로남측준공수량(토공)" xfId="243" xr:uid="{00000000-0005-0000-0000-0000E71E0000}"/>
    <cellStyle name="백_수량산출서(수정)_06-부대공_02-배수공_토공_한국화장품토공" xfId="244" xr:uid="{00000000-0005-0000-0000-0000E81E0000}"/>
    <cellStyle name="백_수량산출서(수정)_2.중곡빗물펌프장토공(BOX구간)" xfId="245" xr:uid="{00000000-0005-0000-0000-0000E91E0000}"/>
    <cellStyle name="백_수량산출서(수정)_오수공" xfId="246" xr:uid="{00000000-0005-0000-0000-0000EA1E0000}"/>
    <cellStyle name="백_수량산출서(수정)_오수공_2.중곡빗물펌프장토공(BOX구간)" xfId="247" xr:uid="{00000000-0005-0000-0000-0000EB1E0000}"/>
    <cellStyle name="백_수량산출서(수정)_오수공_오수공" xfId="248" xr:uid="{00000000-0005-0000-0000-0000EC1E0000}"/>
    <cellStyle name="백_수량산출서(수정)_오수공_오수공_2.중곡빗물펌프장토공(BOX구간)" xfId="249" xr:uid="{00000000-0005-0000-0000-0000ED1E0000}"/>
    <cellStyle name="백_수량산출서(수정)_오수공_오수공1" xfId="250" xr:uid="{00000000-0005-0000-0000-0000EE1E0000}"/>
    <cellStyle name="백_수량산출서(수정)_오수공_오수공1_2.중곡빗물펌프장토공(BOX구간)" xfId="251" xr:uid="{00000000-0005-0000-0000-0000EF1E0000}"/>
    <cellStyle name="백_아리랑전기내역서" xfId="4933" xr:uid="{00000000-0005-0000-0000-0000F01E0000}"/>
    <cellStyle name="백_오수공" xfId="252" xr:uid="{00000000-0005-0000-0000-0000F11E0000}"/>
    <cellStyle name="백_오수공_2.중곡빗물펌프장토공(BOX구간)" xfId="253" xr:uid="{00000000-0005-0000-0000-0000F21E0000}"/>
    <cellStyle name="백_오수공_오수공" xfId="254" xr:uid="{00000000-0005-0000-0000-0000F31E0000}"/>
    <cellStyle name="백_오수공_오수공_2.중곡빗물펌프장토공(BOX구간)" xfId="255" xr:uid="{00000000-0005-0000-0000-0000F41E0000}"/>
    <cellStyle name="백_오수공_오수공1" xfId="256" xr:uid="{00000000-0005-0000-0000-0000F51E0000}"/>
    <cellStyle name="백_오수공_오수공1_2.중곡빗물펌프장토공(BOX구간)" xfId="257" xr:uid="{00000000-0005-0000-0000-0000F61E0000}"/>
    <cellStyle name="백_우수1(변경)" xfId="4934" xr:uid="{00000000-0005-0000-0000-0000F71E0000}"/>
    <cellStyle name="백_우수공" xfId="4935" xr:uid="{00000000-0005-0000-0000-0000F81E0000}"/>
    <cellStyle name="백분율" xfId="5109" builtinId="5"/>
    <cellStyle name="백분율 [△1]" xfId="2318" xr:uid="{00000000-0005-0000-0000-0000FA1E0000}"/>
    <cellStyle name="백분율 [△1] 2" xfId="8836" xr:uid="{00000000-0005-0000-0000-0000FB1E0000}"/>
    <cellStyle name="백분율 [△1] 2 2" xfId="8837" xr:uid="{00000000-0005-0000-0000-0000FC1E0000}"/>
    <cellStyle name="백분율 [△2]" xfId="2319" xr:uid="{00000000-0005-0000-0000-0000FD1E0000}"/>
    <cellStyle name="백분율 [△2] 2" xfId="8838" xr:uid="{00000000-0005-0000-0000-0000FE1E0000}"/>
    <cellStyle name="백분율 [△2] 2 2" xfId="8839" xr:uid="{00000000-0005-0000-0000-0000FF1E0000}"/>
    <cellStyle name="백분율 [0]" xfId="1400" xr:uid="{00000000-0005-0000-0000-0000001F0000}"/>
    <cellStyle name="백분율 [0] 2" xfId="8840" xr:uid="{00000000-0005-0000-0000-0000011F0000}"/>
    <cellStyle name="백분율 [0] 2 2" xfId="8841" xr:uid="{00000000-0005-0000-0000-0000021F0000}"/>
    <cellStyle name="백분율 [2]" xfId="1401" xr:uid="{00000000-0005-0000-0000-0000031F0000}"/>
    <cellStyle name="백분율 [2] 2" xfId="8842" xr:uid="{00000000-0005-0000-0000-0000041F0000}"/>
    <cellStyle name="백분율 [2] 2 2" xfId="8843" xr:uid="{00000000-0005-0000-0000-0000051F0000}"/>
    <cellStyle name="백분율 10" xfId="8844" xr:uid="{00000000-0005-0000-0000-0000061F0000}"/>
    <cellStyle name="백분율 10 2" xfId="8845" xr:uid="{00000000-0005-0000-0000-0000071F0000}"/>
    <cellStyle name="백분율 10 2 2" xfId="8846" xr:uid="{00000000-0005-0000-0000-0000081F0000}"/>
    <cellStyle name="백분율 10 2 2 2" xfId="8847" xr:uid="{00000000-0005-0000-0000-0000091F0000}"/>
    <cellStyle name="백분율 10 3" xfId="8848" xr:uid="{00000000-0005-0000-0000-00000A1F0000}"/>
    <cellStyle name="백분율 10 3 2" xfId="8849" xr:uid="{00000000-0005-0000-0000-00000B1F0000}"/>
    <cellStyle name="백분율 10 3 2 2" xfId="8850" xr:uid="{00000000-0005-0000-0000-00000C1F0000}"/>
    <cellStyle name="백분율 10 4" xfId="8851" xr:uid="{00000000-0005-0000-0000-00000D1F0000}"/>
    <cellStyle name="백분율 10 4 2" xfId="8852" xr:uid="{00000000-0005-0000-0000-00000E1F0000}"/>
    <cellStyle name="백분율 10 4 2 2" xfId="8853" xr:uid="{00000000-0005-0000-0000-00000F1F0000}"/>
    <cellStyle name="백분율 10 5" xfId="8854" xr:uid="{00000000-0005-0000-0000-0000101F0000}"/>
    <cellStyle name="백분율 10 5 2" xfId="8855" xr:uid="{00000000-0005-0000-0000-0000111F0000}"/>
    <cellStyle name="백분율 10 5 2 2" xfId="8856" xr:uid="{00000000-0005-0000-0000-0000121F0000}"/>
    <cellStyle name="백분율 11" xfId="8857" xr:uid="{00000000-0005-0000-0000-0000131F0000}"/>
    <cellStyle name="백분율 11 2" xfId="8858" xr:uid="{00000000-0005-0000-0000-0000141F0000}"/>
    <cellStyle name="백분율 11 2 2" xfId="8859" xr:uid="{00000000-0005-0000-0000-0000151F0000}"/>
    <cellStyle name="백분율 11 2 2 2" xfId="8860" xr:uid="{00000000-0005-0000-0000-0000161F0000}"/>
    <cellStyle name="백분율 11 3" xfId="8861" xr:uid="{00000000-0005-0000-0000-0000171F0000}"/>
    <cellStyle name="백분율 11 3 2" xfId="8862" xr:uid="{00000000-0005-0000-0000-0000181F0000}"/>
    <cellStyle name="백분율 11 3 2 2" xfId="8863" xr:uid="{00000000-0005-0000-0000-0000191F0000}"/>
    <cellStyle name="백분율 11 4" xfId="8864" xr:uid="{00000000-0005-0000-0000-00001A1F0000}"/>
    <cellStyle name="백분율 11 4 2" xfId="8865" xr:uid="{00000000-0005-0000-0000-00001B1F0000}"/>
    <cellStyle name="백분율 11 4 2 2" xfId="8866" xr:uid="{00000000-0005-0000-0000-00001C1F0000}"/>
    <cellStyle name="백분율 11 5" xfId="8867" xr:uid="{00000000-0005-0000-0000-00001D1F0000}"/>
    <cellStyle name="백분율 11 5 2" xfId="8868" xr:uid="{00000000-0005-0000-0000-00001E1F0000}"/>
    <cellStyle name="백분율 11 5 2 2" xfId="8869" xr:uid="{00000000-0005-0000-0000-00001F1F0000}"/>
    <cellStyle name="백분율 12 2" xfId="8870" xr:uid="{00000000-0005-0000-0000-0000201F0000}"/>
    <cellStyle name="백분율 12 2 2" xfId="8871" xr:uid="{00000000-0005-0000-0000-0000211F0000}"/>
    <cellStyle name="백분율 12 2 2 2" xfId="8872" xr:uid="{00000000-0005-0000-0000-0000221F0000}"/>
    <cellStyle name="백분율 12 3" xfId="8873" xr:uid="{00000000-0005-0000-0000-0000231F0000}"/>
    <cellStyle name="백분율 12 3 2" xfId="8874" xr:uid="{00000000-0005-0000-0000-0000241F0000}"/>
    <cellStyle name="백분율 12 3 2 2" xfId="8875" xr:uid="{00000000-0005-0000-0000-0000251F0000}"/>
    <cellStyle name="백분율 12 4" xfId="8876" xr:uid="{00000000-0005-0000-0000-0000261F0000}"/>
    <cellStyle name="백분율 12 4 2" xfId="8877" xr:uid="{00000000-0005-0000-0000-0000271F0000}"/>
    <cellStyle name="백분율 12 4 2 2" xfId="8878" xr:uid="{00000000-0005-0000-0000-0000281F0000}"/>
    <cellStyle name="백분율 12 5" xfId="8879" xr:uid="{00000000-0005-0000-0000-0000291F0000}"/>
    <cellStyle name="백분율 12 5 2" xfId="8880" xr:uid="{00000000-0005-0000-0000-00002A1F0000}"/>
    <cellStyle name="백분율 12 5 2 2" xfId="8881" xr:uid="{00000000-0005-0000-0000-00002B1F0000}"/>
    <cellStyle name="백분율 13 2" xfId="8882" xr:uid="{00000000-0005-0000-0000-00002C1F0000}"/>
    <cellStyle name="백분율 13 2 2" xfId="8883" xr:uid="{00000000-0005-0000-0000-00002D1F0000}"/>
    <cellStyle name="백분율 13 2 2 2" xfId="8884" xr:uid="{00000000-0005-0000-0000-00002E1F0000}"/>
    <cellStyle name="백분율 13 3" xfId="8885" xr:uid="{00000000-0005-0000-0000-00002F1F0000}"/>
    <cellStyle name="백분율 13 3 2" xfId="8886" xr:uid="{00000000-0005-0000-0000-0000301F0000}"/>
    <cellStyle name="백분율 13 3 2 2" xfId="8887" xr:uid="{00000000-0005-0000-0000-0000311F0000}"/>
    <cellStyle name="백분율 13 4" xfId="8888" xr:uid="{00000000-0005-0000-0000-0000321F0000}"/>
    <cellStyle name="백분율 13 4 2" xfId="8889" xr:uid="{00000000-0005-0000-0000-0000331F0000}"/>
    <cellStyle name="백분율 13 4 2 2" xfId="8890" xr:uid="{00000000-0005-0000-0000-0000341F0000}"/>
    <cellStyle name="백분율 13 5" xfId="8891" xr:uid="{00000000-0005-0000-0000-0000351F0000}"/>
    <cellStyle name="백분율 13 5 2" xfId="8892" xr:uid="{00000000-0005-0000-0000-0000361F0000}"/>
    <cellStyle name="백분율 13 5 2 2" xfId="8893" xr:uid="{00000000-0005-0000-0000-0000371F0000}"/>
    <cellStyle name="백분율 14 2" xfId="8894" xr:uid="{00000000-0005-0000-0000-0000381F0000}"/>
    <cellStyle name="백분율 14 2 2" xfId="8895" xr:uid="{00000000-0005-0000-0000-0000391F0000}"/>
    <cellStyle name="백분율 14 2 2 2" xfId="8896" xr:uid="{00000000-0005-0000-0000-00003A1F0000}"/>
    <cellStyle name="백분율 14 3" xfId="8897" xr:uid="{00000000-0005-0000-0000-00003B1F0000}"/>
    <cellStyle name="백분율 14 3 2" xfId="8898" xr:uid="{00000000-0005-0000-0000-00003C1F0000}"/>
    <cellStyle name="백분율 14 3 2 2" xfId="8899" xr:uid="{00000000-0005-0000-0000-00003D1F0000}"/>
    <cellStyle name="백분율 14 4" xfId="8900" xr:uid="{00000000-0005-0000-0000-00003E1F0000}"/>
    <cellStyle name="백분율 14 4 2" xfId="8901" xr:uid="{00000000-0005-0000-0000-00003F1F0000}"/>
    <cellStyle name="백분율 14 4 2 2" xfId="8902" xr:uid="{00000000-0005-0000-0000-0000401F0000}"/>
    <cellStyle name="백분율 14 5" xfId="8903" xr:uid="{00000000-0005-0000-0000-0000411F0000}"/>
    <cellStyle name="백분율 14 5 2" xfId="8904" xr:uid="{00000000-0005-0000-0000-0000421F0000}"/>
    <cellStyle name="백분율 14 5 2 2" xfId="8905" xr:uid="{00000000-0005-0000-0000-0000431F0000}"/>
    <cellStyle name="백분율 15 2" xfId="8906" xr:uid="{00000000-0005-0000-0000-0000441F0000}"/>
    <cellStyle name="백분율 15 2 2" xfId="8907" xr:uid="{00000000-0005-0000-0000-0000451F0000}"/>
    <cellStyle name="백분율 15 2 2 2" xfId="8908" xr:uid="{00000000-0005-0000-0000-0000461F0000}"/>
    <cellStyle name="백분율 15 3" xfId="8909" xr:uid="{00000000-0005-0000-0000-0000471F0000}"/>
    <cellStyle name="백분율 15 3 2" xfId="8910" xr:uid="{00000000-0005-0000-0000-0000481F0000}"/>
    <cellStyle name="백분율 15 3 2 2" xfId="8911" xr:uid="{00000000-0005-0000-0000-0000491F0000}"/>
    <cellStyle name="백분율 15 4" xfId="8912" xr:uid="{00000000-0005-0000-0000-00004A1F0000}"/>
    <cellStyle name="백분율 15 4 2" xfId="8913" xr:uid="{00000000-0005-0000-0000-00004B1F0000}"/>
    <cellStyle name="백분율 15 4 2 2" xfId="8914" xr:uid="{00000000-0005-0000-0000-00004C1F0000}"/>
    <cellStyle name="백분율 15 5" xfId="8915" xr:uid="{00000000-0005-0000-0000-00004D1F0000}"/>
    <cellStyle name="백분율 15 5 2" xfId="8916" xr:uid="{00000000-0005-0000-0000-00004E1F0000}"/>
    <cellStyle name="백분율 15 5 2 2" xfId="8917" xr:uid="{00000000-0005-0000-0000-00004F1F0000}"/>
    <cellStyle name="백분율 16 2" xfId="8918" xr:uid="{00000000-0005-0000-0000-0000501F0000}"/>
    <cellStyle name="백분율 16 2 2" xfId="8919" xr:uid="{00000000-0005-0000-0000-0000511F0000}"/>
    <cellStyle name="백분율 16 2 2 2" xfId="8920" xr:uid="{00000000-0005-0000-0000-0000521F0000}"/>
    <cellStyle name="백분율 16 3" xfId="8921" xr:uid="{00000000-0005-0000-0000-0000531F0000}"/>
    <cellStyle name="백분율 16 3 2" xfId="8922" xr:uid="{00000000-0005-0000-0000-0000541F0000}"/>
    <cellStyle name="백분율 16 3 2 2" xfId="8923" xr:uid="{00000000-0005-0000-0000-0000551F0000}"/>
    <cellStyle name="백분율 16 4" xfId="8924" xr:uid="{00000000-0005-0000-0000-0000561F0000}"/>
    <cellStyle name="백분율 16 4 2" xfId="8925" xr:uid="{00000000-0005-0000-0000-0000571F0000}"/>
    <cellStyle name="백분율 16 4 2 2" xfId="8926" xr:uid="{00000000-0005-0000-0000-0000581F0000}"/>
    <cellStyle name="백분율 16 5" xfId="8927" xr:uid="{00000000-0005-0000-0000-0000591F0000}"/>
    <cellStyle name="백분율 16 5 2" xfId="8928" xr:uid="{00000000-0005-0000-0000-00005A1F0000}"/>
    <cellStyle name="백분율 16 5 2 2" xfId="8929" xr:uid="{00000000-0005-0000-0000-00005B1F0000}"/>
    <cellStyle name="백분율 17 2" xfId="8930" xr:uid="{00000000-0005-0000-0000-00005C1F0000}"/>
    <cellStyle name="백분율 17 2 2" xfId="8931" xr:uid="{00000000-0005-0000-0000-00005D1F0000}"/>
    <cellStyle name="백분율 17 2 2 2" xfId="8932" xr:uid="{00000000-0005-0000-0000-00005E1F0000}"/>
    <cellStyle name="백분율 17 3" xfId="8933" xr:uid="{00000000-0005-0000-0000-00005F1F0000}"/>
    <cellStyle name="백분율 17 3 2" xfId="8934" xr:uid="{00000000-0005-0000-0000-0000601F0000}"/>
    <cellStyle name="백분율 17 3 2 2" xfId="8935" xr:uid="{00000000-0005-0000-0000-0000611F0000}"/>
    <cellStyle name="백분율 17 4" xfId="8936" xr:uid="{00000000-0005-0000-0000-0000621F0000}"/>
    <cellStyle name="백분율 17 4 2" xfId="8937" xr:uid="{00000000-0005-0000-0000-0000631F0000}"/>
    <cellStyle name="백분율 17 4 2 2" xfId="8938" xr:uid="{00000000-0005-0000-0000-0000641F0000}"/>
    <cellStyle name="백분율 17 5" xfId="8939" xr:uid="{00000000-0005-0000-0000-0000651F0000}"/>
    <cellStyle name="백분율 17 5 2" xfId="8940" xr:uid="{00000000-0005-0000-0000-0000661F0000}"/>
    <cellStyle name="백분율 17 5 2 2" xfId="8941" xr:uid="{00000000-0005-0000-0000-0000671F0000}"/>
    <cellStyle name="백분율 18 2" xfId="8942" xr:uid="{00000000-0005-0000-0000-0000681F0000}"/>
    <cellStyle name="백분율 18 2 2" xfId="8943" xr:uid="{00000000-0005-0000-0000-0000691F0000}"/>
    <cellStyle name="백분율 18 2 2 2" xfId="8944" xr:uid="{00000000-0005-0000-0000-00006A1F0000}"/>
    <cellStyle name="백분율 18 3" xfId="8945" xr:uid="{00000000-0005-0000-0000-00006B1F0000}"/>
    <cellStyle name="백분율 18 3 2" xfId="8946" xr:uid="{00000000-0005-0000-0000-00006C1F0000}"/>
    <cellStyle name="백분율 18 3 2 2" xfId="8947" xr:uid="{00000000-0005-0000-0000-00006D1F0000}"/>
    <cellStyle name="백분율 18 4" xfId="8948" xr:uid="{00000000-0005-0000-0000-00006E1F0000}"/>
    <cellStyle name="백분율 18 4 2" xfId="8949" xr:uid="{00000000-0005-0000-0000-00006F1F0000}"/>
    <cellStyle name="백분율 18 4 2 2" xfId="8950" xr:uid="{00000000-0005-0000-0000-0000701F0000}"/>
    <cellStyle name="백분율 18 5" xfId="8951" xr:uid="{00000000-0005-0000-0000-0000711F0000}"/>
    <cellStyle name="백분율 18 5 2" xfId="8952" xr:uid="{00000000-0005-0000-0000-0000721F0000}"/>
    <cellStyle name="백분율 18 5 2 2" xfId="8953" xr:uid="{00000000-0005-0000-0000-0000731F0000}"/>
    <cellStyle name="백분율 19 2" xfId="8954" xr:uid="{00000000-0005-0000-0000-0000741F0000}"/>
    <cellStyle name="백분율 19 2 2" xfId="8955" xr:uid="{00000000-0005-0000-0000-0000751F0000}"/>
    <cellStyle name="백분율 19 2 2 2" xfId="8956" xr:uid="{00000000-0005-0000-0000-0000761F0000}"/>
    <cellStyle name="백분율 19 3" xfId="8957" xr:uid="{00000000-0005-0000-0000-0000771F0000}"/>
    <cellStyle name="백분율 19 3 2" xfId="8958" xr:uid="{00000000-0005-0000-0000-0000781F0000}"/>
    <cellStyle name="백분율 19 3 2 2" xfId="8959" xr:uid="{00000000-0005-0000-0000-0000791F0000}"/>
    <cellStyle name="백분율 19 4" xfId="8960" xr:uid="{00000000-0005-0000-0000-00007A1F0000}"/>
    <cellStyle name="백분율 19 4 2" xfId="8961" xr:uid="{00000000-0005-0000-0000-00007B1F0000}"/>
    <cellStyle name="백분율 19 4 2 2" xfId="8962" xr:uid="{00000000-0005-0000-0000-00007C1F0000}"/>
    <cellStyle name="백분율 19 5" xfId="8963" xr:uid="{00000000-0005-0000-0000-00007D1F0000}"/>
    <cellStyle name="백분율 19 5 2" xfId="8964" xr:uid="{00000000-0005-0000-0000-00007E1F0000}"/>
    <cellStyle name="백분율 19 5 2 2" xfId="8965" xr:uid="{00000000-0005-0000-0000-00007F1F0000}"/>
    <cellStyle name="백분율 2" xfId="4936" xr:uid="{00000000-0005-0000-0000-0000801F0000}"/>
    <cellStyle name="백분율 2 10" xfId="8966" xr:uid="{00000000-0005-0000-0000-0000811F0000}"/>
    <cellStyle name="백분율 2 10 2" xfId="8967" xr:uid="{00000000-0005-0000-0000-0000821F0000}"/>
    <cellStyle name="백분율 2 10 2 2" xfId="8968" xr:uid="{00000000-0005-0000-0000-0000831F0000}"/>
    <cellStyle name="백분율 2 11" xfId="8969" xr:uid="{00000000-0005-0000-0000-0000841F0000}"/>
    <cellStyle name="백분율 2 11 2" xfId="8970" xr:uid="{00000000-0005-0000-0000-0000851F0000}"/>
    <cellStyle name="백분율 2 11 2 2" xfId="8971" xr:uid="{00000000-0005-0000-0000-0000861F0000}"/>
    <cellStyle name="백분율 2 12" xfId="8972" xr:uid="{00000000-0005-0000-0000-0000871F0000}"/>
    <cellStyle name="백분율 2 12 2" xfId="8973" xr:uid="{00000000-0005-0000-0000-0000881F0000}"/>
    <cellStyle name="백분율 2 12 2 2" xfId="8974" xr:uid="{00000000-0005-0000-0000-0000891F0000}"/>
    <cellStyle name="백분율 2 13" xfId="8975" xr:uid="{00000000-0005-0000-0000-00008A1F0000}"/>
    <cellStyle name="백분율 2 13 2" xfId="8976" xr:uid="{00000000-0005-0000-0000-00008B1F0000}"/>
    <cellStyle name="백분율 2 13 2 2" xfId="8977" xr:uid="{00000000-0005-0000-0000-00008C1F0000}"/>
    <cellStyle name="백분율 2 14" xfId="8978" xr:uid="{00000000-0005-0000-0000-00008D1F0000}"/>
    <cellStyle name="백분율 2 14 2" xfId="8979" xr:uid="{00000000-0005-0000-0000-00008E1F0000}"/>
    <cellStyle name="백분율 2 14 2 2" xfId="8980" xr:uid="{00000000-0005-0000-0000-00008F1F0000}"/>
    <cellStyle name="백분율 2 15" xfId="8981" xr:uid="{00000000-0005-0000-0000-0000901F0000}"/>
    <cellStyle name="백분율 2 15 2" xfId="8982" xr:uid="{00000000-0005-0000-0000-0000911F0000}"/>
    <cellStyle name="백분율 2 15 2 2" xfId="8983" xr:uid="{00000000-0005-0000-0000-0000921F0000}"/>
    <cellStyle name="백분율 2 16" xfId="8984" xr:uid="{00000000-0005-0000-0000-0000931F0000}"/>
    <cellStyle name="백분율 2 16 2" xfId="8985" xr:uid="{00000000-0005-0000-0000-0000941F0000}"/>
    <cellStyle name="백분율 2 16 2 2" xfId="8986" xr:uid="{00000000-0005-0000-0000-0000951F0000}"/>
    <cellStyle name="백분율 2 17" xfId="8987" xr:uid="{00000000-0005-0000-0000-0000961F0000}"/>
    <cellStyle name="백분율 2 17 2" xfId="8988" xr:uid="{00000000-0005-0000-0000-0000971F0000}"/>
    <cellStyle name="백분율 2 17 2 2" xfId="8989" xr:uid="{00000000-0005-0000-0000-0000981F0000}"/>
    <cellStyle name="백분율 2 18" xfId="8990" xr:uid="{00000000-0005-0000-0000-0000991F0000}"/>
    <cellStyle name="백분율 2 18 2" xfId="8991" xr:uid="{00000000-0005-0000-0000-00009A1F0000}"/>
    <cellStyle name="백분율 2 18 2 2" xfId="8992" xr:uid="{00000000-0005-0000-0000-00009B1F0000}"/>
    <cellStyle name="백분율 2 19" xfId="8993" xr:uid="{00000000-0005-0000-0000-00009C1F0000}"/>
    <cellStyle name="백분율 2 19 2" xfId="8994" xr:uid="{00000000-0005-0000-0000-00009D1F0000}"/>
    <cellStyle name="백분율 2 19 2 2" xfId="8995" xr:uid="{00000000-0005-0000-0000-00009E1F0000}"/>
    <cellStyle name="백분율 2 2" xfId="8996" xr:uid="{00000000-0005-0000-0000-00009F1F0000}"/>
    <cellStyle name="백분율 2 2 2" xfId="8997" xr:uid="{00000000-0005-0000-0000-0000A01F0000}"/>
    <cellStyle name="백분율 2 2 2 2" xfId="8998" xr:uid="{00000000-0005-0000-0000-0000A11F0000}"/>
    <cellStyle name="백분율 2 2 2 2 2" xfId="8999" xr:uid="{00000000-0005-0000-0000-0000A21F0000}"/>
    <cellStyle name="백분율 2 2 3" xfId="9000" xr:uid="{00000000-0005-0000-0000-0000A31F0000}"/>
    <cellStyle name="백분율 2 2 3 2" xfId="9001" xr:uid="{00000000-0005-0000-0000-0000A41F0000}"/>
    <cellStyle name="백분율 2 2 3 2 2" xfId="9002" xr:uid="{00000000-0005-0000-0000-0000A51F0000}"/>
    <cellStyle name="백분율 2 2 4" xfId="9003" xr:uid="{00000000-0005-0000-0000-0000A61F0000}"/>
    <cellStyle name="백분율 2 2 4 2" xfId="9004" xr:uid="{00000000-0005-0000-0000-0000A71F0000}"/>
    <cellStyle name="백분율 2 2 4 2 2" xfId="9005" xr:uid="{00000000-0005-0000-0000-0000A81F0000}"/>
    <cellStyle name="백분율 2 2 5" xfId="9006" xr:uid="{00000000-0005-0000-0000-0000A91F0000}"/>
    <cellStyle name="백분율 2 2 5 2" xfId="9007" xr:uid="{00000000-0005-0000-0000-0000AA1F0000}"/>
    <cellStyle name="백분율 2 2 5 2 2" xfId="9008" xr:uid="{00000000-0005-0000-0000-0000AB1F0000}"/>
    <cellStyle name="백분율 2 2 6" xfId="9009" xr:uid="{00000000-0005-0000-0000-0000AC1F0000}"/>
    <cellStyle name="백분율 2 2 6 2" xfId="9010" xr:uid="{00000000-0005-0000-0000-0000AD1F0000}"/>
    <cellStyle name="백분율 2 2 6 2 2" xfId="9011" xr:uid="{00000000-0005-0000-0000-0000AE1F0000}"/>
    <cellStyle name="백분율 2 2 7" xfId="9012" xr:uid="{00000000-0005-0000-0000-0000AF1F0000}"/>
    <cellStyle name="백분율 2 2 7 2" xfId="9013" xr:uid="{00000000-0005-0000-0000-0000B01F0000}"/>
    <cellStyle name="백분율 2 2 7 2 2" xfId="9014" xr:uid="{00000000-0005-0000-0000-0000B11F0000}"/>
    <cellStyle name="백분율 2 2 8" xfId="9015" xr:uid="{00000000-0005-0000-0000-0000B21F0000}"/>
    <cellStyle name="백분율 2 2 8 2" xfId="9016" xr:uid="{00000000-0005-0000-0000-0000B31F0000}"/>
    <cellStyle name="백분율 2 2 9" xfId="9017" xr:uid="{00000000-0005-0000-0000-0000B41F0000}"/>
    <cellStyle name="백분율 2 20" xfId="9018" xr:uid="{00000000-0005-0000-0000-0000B51F0000}"/>
    <cellStyle name="백분율 2 20 2" xfId="9019" xr:uid="{00000000-0005-0000-0000-0000B61F0000}"/>
    <cellStyle name="백분율 2 20 2 2" xfId="9020" xr:uid="{00000000-0005-0000-0000-0000B71F0000}"/>
    <cellStyle name="백분율 2 21" xfId="9021" xr:uid="{00000000-0005-0000-0000-0000B81F0000}"/>
    <cellStyle name="백분율 2 21 2" xfId="9022" xr:uid="{00000000-0005-0000-0000-0000B91F0000}"/>
    <cellStyle name="백분율 2 21 2 2" xfId="9023" xr:uid="{00000000-0005-0000-0000-0000BA1F0000}"/>
    <cellStyle name="백분율 2 22" xfId="9024" xr:uid="{00000000-0005-0000-0000-0000BB1F0000}"/>
    <cellStyle name="백분율 2 22 2" xfId="9025" xr:uid="{00000000-0005-0000-0000-0000BC1F0000}"/>
    <cellStyle name="백분율 2 22 2 2" xfId="9026" xr:uid="{00000000-0005-0000-0000-0000BD1F0000}"/>
    <cellStyle name="백분율 2 23" xfId="9027" xr:uid="{00000000-0005-0000-0000-0000BE1F0000}"/>
    <cellStyle name="백분율 2 23 2" xfId="9028" xr:uid="{00000000-0005-0000-0000-0000BF1F0000}"/>
    <cellStyle name="백분율 2 23 2 2" xfId="9029" xr:uid="{00000000-0005-0000-0000-0000C01F0000}"/>
    <cellStyle name="백분율 2 24" xfId="9030" xr:uid="{00000000-0005-0000-0000-0000C11F0000}"/>
    <cellStyle name="백분율 2 24 2" xfId="9031" xr:uid="{00000000-0005-0000-0000-0000C21F0000}"/>
    <cellStyle name="백분율 2 24 2 2" xfId="9032" xr:uid="{00000000-0005-0000-0000-0000C31F0000}"/>
    <cellStyle name="백분율 2 25" xfId="9033" xr:uid="{00000000-0005-0000-0000-0000C41F0000}"/>
    <cellStyle name="백분율 2 25 2" xfId="9034" xr:uid="{00000000-0005-0000-0000-0000C51F0000}"/>
    <cellStyle name="백분율 2 25 2 2" xfId="9035" xr:uid="{00000000-0005-0000-0000-0000C61F0000}"/>
    <cellStyle name="백분율 2 26" xfId="9036" xr:uid="{00000000-0005-0000-0000-0000C71F0000}"/>
    <cellStyle name="백분율 2 26 2" xfId="9037" xr:uid="{00000000-0005-0000-0000-0000C81F0000}"/>
    <cellStyle name="백분율 2 3" xfId="975" xr:uid="{00000000-0005-0000-0000-0000C91F0000}"/>
    <cellStyle name="백분율 2 3 2" xfId="9038" xr:uid="{00000000-0005-0000-0000-0000CA1F0000}"/>
    <cellStyle name="백분율 2 3 2 2" xfId="9039" xr:uid="{00000000-0005-0000-0000-0000CB1F0000}"/>
    <cellStyle name="백분율 2 3 2 2 2" xfId="9040" xr:uid="{00000000-0005-0000-0000-0000CC1F0000}"/>
    <cellStyle name="백분율 2 3 29" xfId="5106" xr:uid="{00000000-0005-0000-0000-0000CD1F0000}"/>
    <cellStyle name="백분율 2 3 3" xfId="9041" xr:uid="{00000000-0005-0000-0000-0000CE1F0000}"/>
    <cellStyle name="백분율 2 3 3 2" xfId="9042" xr:uid="{00000000-0005-0000-0000-0000CF1F0000}"/>
    <cellStyle name="백분율 2 3 3 2 2" xfId="9043" xr:uid="{00000000-0005-0000-0000-0000D01F0000}"/>
    <cellStyle name="백분율 2 3 4" xfId="9044" xr:uid="{00000000-0005-0000-0000-0000D11F0000}"/>
    <cellStyle name="백분율 2 3 4 2" xfId="9045" xr:uid="{00000000-0005-0000-0000-0000D21F0000}"/>
    <cellStyle name="백분율 2 3 4 2 2" xfId="9046" xr:uid="{00000000-0005-0000-0000-0000D31F0000}"/>
    <cellStyle name="백분율 2 3 5" xfId="9047" xr:uid="{00000000-0005-0000-0000-0000D41F0000}"/>
    <cellStyle name="백분율 2 3 5 2" xfId="9048" xr:uid="{00000000-0005-0000-0000-0000D51F0000}"/>
    <cellStyle name="백분율 2 3 5 2 2" xfId="9049" xr:uid="{00000000-0005-0000-0000-0000D61F0000}"/>
    <cellStyle name="백분율 2 3 6" xfId="9050" xr:uid="{00000000-0005-0000-0000-0000D71F0000}"/>
    <cellStyle name="백분율 2 3 6 2" xfId="9051" xr:uid="{00000000-0005-0000-0000-0000D81F0000}"/>
    <cellStyle name="백분율 2 4" xfId="9052" xr:uid="{00000000-0005-0000-0000-0000D91F0000}"/>
    <cellStyle name="백분율 2 4 2" xfId="9053" xr:uid="{00000000-0005-0000-0000-0000DA1F0000}"/>
    <cellStyle name="백분율 2 4 2 2" xfId="9054" xr:uid="{00000000-0005-0000-0000-0000DB1F0000}"/>
    <cellStyle name="백분율 2 5" xfId="9055" xr:uid="{00000000-0005-0000-0000-0000DC1F0000}"/>
    <cellStyle name="백분율 2 5 2" xfId="9056" xr:uid="{00000000-0005-0000-0000-0000DD1F0000}"/>
    <cellStyle name="백분율 2 5 2 2" xfId="9057" xr:uid="{00000000-0005-0000-0000-0000DE1F0000}"/>
    <cellStyle name="백분율 2 6" xfId="9058" xr:uid="{00000000-0005-0000-0000-0000DF1F0000}"/>
    <cellStyle name="백분율 2 6 2" xfId="9059" xr:uid="{00000000-0005-0000-0000-0000E01F0000}"/>
    <cellStyle name="백분율 2 6 2 2" xfId="9060" xr:uid="{00000000-0005-0000-0000-0000E11F0000}"/>
    <cellStyle name="백분율 2 7" xfId="9061" xr:uid="{00000000-0005-0000-0000-0000E21F0000}"/>
    <cellStyle name="백분율 2 7 2" xfId="9062" xr:uid="{00000000-0005-0000-0000-0000E31F0000}"/>
    <cellStyle name="백분율 2 7 2 2" xfId="9063" xr:uid="{00000000-0005-0000-0000-0000E41F0000}"/>
    <cellStyle name="백분율 2 8" xfId="9064" xr:uid="{00000000-0005-0000-0000-0000E51F0000}"/>
    <cellStyle name="백분율 2 8 2" xfId="9065" xr:uid="{00000000-0005-0000-0000-0000E61F0000}"/>
    <cellStyle name="백분율 2 8 2 2" xfId="9066" xr:uid="{00000000-0005-0000-0000-0000E71F0000}"/>
    <cellStyle name="백분율 2 9" xfId="9067" xr:uid="{00000000-0005-0000-0000-0000E81F0000}"/>
    <cellStyle name="백분율 2 9 2" xfId="9068" xr:uid="{00000000-0005-0000-0000-0000E91F0000}"/>
    <cellStyle name="백분율 2 9 2 2" xfId="9069" xr:uid="{00000000-0005-0000-0000-0000EA1F0000}"/>
    <cellStyle name="백분율 20 2" xfId="9070" xr:uid="{00000000-0005-0000-0000-0000EB1F0000}"/>
    <cellStyle name="백분율 20 2 2" xfId="9071" xr:uid="{00000000-0005-0000-0000-0000EC1F0000}"/>
    <cellStyle name="백분율 20 2 2 2" xfId="9072" xr:uid="{00000000-0005-0000-0000-0000ED1F0000}"/>
    <cellStyle name="백분율 20 3" xfId="9073" xr:uid="{00000000-0005-0000-0000-0000EE1F0000}"/>
    <cellStyle name="백분율 20 3 2" xfId="9074" xr:uid="{00000000-0005-0000-0000-0000EF1F0000}"/>
    <cellStyle name="백분율 20 3 2 2" xfId="9075" xr:uid="{00000000-0005-0000-0000-0000F01F0000}"/>
    <cellStyle name="백분율 20 4" xfId="9076" xr:uid="{00000000-0005-0000-0000-0000F11F0000}"/>
    <cellStyle name="백분율 20 4 2" xfId="9077" xr:uid="{00000000-0005-0000-0000-0000F21F0000}"/>
    <cellStyle name="백분율 20 4 2 2" xfId="9078" xr:uid="{00000000-0005-0000-0000-0000F31F0000}"/>
    <cellStyle name="백분율 20 5" xfId="9079" xr:uid="{00000000-0005-0000-0000-0000F41F0000}"/>
    <cellStyle name="백분율 20 5 2" xfId="9080" xr:uid="{00000000-0005-0000-0000-0000F51F0000}"/>
    <cellStyle name="백분율 20 5 2 2" xfId="9081" xr:uid="{00000000-0005-0000-0000-0000F61F0000}"/>
    <cellStyle name="백분율 21 2" xfId="9082" xr:uid="{00000000-0005-0000-0000-0000F71F0000}"/>
    <cellStyle name="백분율 21 2 2" xfId="9083" xr:uid="{00000000-0005-0000-0000-0000F81F0000}"/>
    <cellStyle name="백분율 21 2 2 2" xfId="9084" xr:uid="{00000000-0005-0000-0000-0000F91F0000}"/>
    <cellStyle name="백분율 21 3" xfId="9085" xr:uid="{00000000-0005-0000-0000-0000FA1F0000}"/>
    <cellStyle name="백분율 21 3 2" xfId="9086" xr:uid="{00000000-0005-0000-0000-0000FB1F0000}"/>
    <cellStyle name="백분율 21 3 2 2" xfId="9087" xr:uid="{00000000-0005-0000-0000-0000FC1F0000}"/>
    <cellStyle name="백분율 21 4" xfId="9088" xr:uid="{00000000-0005-0000-0000-0000FD1F0000}"/>
    <cellStyle name="백분율 21 4 2" xfId="9089" xr:uid="{00000000-0005-0000-0000-0000FE1F0000}"/>
    <cellStyle name="백분율 21 4 2 2" xfId="9090" xr:uid="{00000000-0005-0000-0000-0000FF1F0000}"/>
    <cellStyle name="백분율 21 5" xfId="9091" xr:uid="{00000000-0005-0000-0000-000000200000}"/>
    <cellStyle name="백분율 21 5 2" xfId="9092" xr:uid="{00000000-0005-0000-0000-000001200000}"/>
    <cellStyle name="백분율 21 5 2 2" xfId="9093" xr:uid="{00000000-0005-0000-0000-000002200000}"/>
    <cellStyle name="백분율 22 2" xfId="9094" xr:uid="{00000000-0005-0000-0000-000003200000}"/>
    <cellStyle name="백분율 22 2 2" xfId="9095" xr:uid="{00000000-0005-0000-0000-000004200000}"/>
    <cellStyle name="백분율 22 2 2 2" xfId="9096" xr:uid="{00000000-0005-0000-0000-000005200000}"/>
    <cellStyle name="백분율 22 3" xfId="9097" xr:uid="{00000000-0005-0000-0000-000006200000}"/>
    <cellStyle name="백분율 22 3 2" xfId="9098" xr:uid="{00000000-0005-0000-0000-000007200000}"/>
    <cellStyle name="백분율 22 3 2 2" xfId="9099" xr:uid="{00000000-0005-0000-0000-000008200000}"/>
    <cellStyle name="백분율 22 4" xfId="9100" xr:uid="{00000000-0005-0000-0000-000009200000}"/>
    <cellStyle name="백분율 22 4 2" xfId="9101" xr:uid="{00000000-0005-0000-0000-00000A200000}"/>
    <cellStyle name="백분율 22 4 2 2" xfId="9102" xr:uid="{00000000-0005-0000-0000-00000B200000}"/>
    <cellStyle name="백분율 22 5" xfId="9103" xr:uid="{00000000-0005-0000-0000-00000C200000}"/>
    <cellStyle name="백분율 22 5 2" xfId="9104" xr:uid="{00000000-0005-0000-0000-00000D200000}"/>
    <cellStyle name="백분율 22 5 2 2" xfId="9105" xr:uid="{00000000-0005-0000-0000-00000E200000}"/>
    <cellStyle name="백분율 23" xfId="9106" xr:uid="{00000000-0005-0000-0000-00000F200000}"/>
    <cellStyle name="백분율 23 2" xfId="9107" xr:uid="{00000000-0005-0000-0000-000010200000}"/>
    <cellStyle name="백분율 23 2 2" xfId="9108" xr:uid="{00000000-0005-0000-0000-000011200000}"/>
    <cellStyle name="백분율 24" xfId="9109" xr:uid="{00000000-0005-0000-0000-000012200000}"/>
    <cellStyle name="백분율 24 2" xfId="9110" xr:uid="{00000000-0005-0000-0000-000013200000}"/>
    <cellStyle name="백분율 24 2 2" xfId="9111" xr:uid="{00000000-0005-0000-0000-000014200000}"/>
    <cellStyle name="백분율 25" xfId="9112" xr:uid="{00000000-0005-0000-0000-000015200000}"/>
    <cellStyle name="백분율 25 2" xfId="9113" xr:uid="{00000000-0005-0000-0000-000016200000}"/>
    <cellStyle name="백분율 25 2 2" xfId="9114" xr:uid="{00000000-0005-0000-0000-000017200000}"/>
    <cellStyle name="백분율 26" xfId="9115" xr:uid="{00000000-0005-0000-0000-000018200000}"/>
    <cellStyle name="백분율 26 2" xfId="9116" xr:uid="{00000000-0005-0000-0000-000019200000}"/>
    <cellStyle name="백분율 26 2 2" xfId="9117" xr:uid="{00000000-0005-0000-0000-00001A200000}"/>
    <cellStyle name="백분율 27" xfId="9118" xr:uid="{00000000-0005-0000-0000-00001B200000}"/>
    <cellStyle name="백분율 27 2" xfId="9119" xr:uid="{00000000-0005-0000-0000-00001C200000}"/>
    <cellStyle name="백분율 27 2 2" xfId="9120" xr:uid="{00000000-0005-0000-0000-00001D200000}"/>
    <cellStyle name="백분율 28" xfId="9121" xr:uid="{00000000-0005-0000-0000-00001E200000}"/>
    <cellStyle name="백분율 28 2" xfId="9122" xr:uid="{00000000-0005-0000-0000-00001F200000}"/>
    <cellStyle name="백분율 28 2 2" xfId="9123" xr:uid="{00000000-0005-0000-0000-000020200000}"/>
    <cellStyle name="백분율 29" xfId="9124" xr:uid="{00000000-0005-0000-0000-000021200000}"/>
    <cellStyle name="백분율 29 2" xfId="9125" xr:uid="{00000000-0005-0000-0000-000022200000}"/>
    <cellStyle name="백분율 29 2 2" xfId="9126" xr:uid="{00000000-0005-0000-0000-000023200000}"/>
    <cellStyle name="백분율 3" xfId="9127" xr:uid="{00000000-0005-0000-0000-000024200000}"/>
    <cellStyle name="백분율 3 2" xfId="9128" xr:uid="{00000000-0005-0000-0000-000025200000}"/>
    <cellStyle name="백분율 3 2 2" xfId="9129" xr:uid="{00000000-0005-0000-0000-000026200000}"/>
    <cellStyle name="백분율 3 2 2 2" xfId="9130" xr:uid="{00000000-0005-0000-0000-000027200000}"/>
    <cellStyle name="백분율 3 3" xfId="9131" xr:uid="{00000000-0005-0000-0000-000028200000}"/>
    <cellStyle name="백분율 3 3 2" xfId="9132" xr:uid="{00000000-0005-0000-0000-000029200000}"/>
    <cellStyle name="백분율 3 3 2 2" xfId="9133" xr:uid="{00000000-0005-0000-0000-00002A200000}"/>
    <cellStyle name="백분율 3 4" xfId="9134" xr:uid="{00000000-0005-0000-0000-00002B200000}"/>
    <cellStyle name="백분율 3 4 2" xfId="9135" xr:uid="{00000000-0005-0000-0000-00002C200000}"/>
    <cellStyle name="백분율 3 4 2 2" xfId="9136" xr:uid="{00000000-0005-0000-0000-00002D200000}"/>
    <cellStyle name="백분율 3 5" xfId="9137" xr:uid="{00000000-0005-0000-0000-00002E200000}"/>
    <cellStyle name="백분율 3 5 2" xfId="9138" xr:uid="{00000000-0005-0000-0000-00002F200000}"/>
    <cellStyle name="백분율 3 5 2 2" xfId="9139" xr:uid="{00000000-0005-0000-0000-000030200000}"/>
    <cellStyle name="백분율 3 6" xfId="9140" xr:uid="{00000000-0005-0000-0000-000031200000}"/>
    <cellStyle name="백분율 3 6 2" xfId="9141" xr:uid="{00000000-0005-0000-0000-000032200000}"/>
    <cellStyle name="백분율 30" xfId="9142" xr:uid="{00000000-0005-0000-0000-000033200000}"/>
    <cellStyle name="백분율 30 2" xfId="9143" xr:uid="{00000000-0005-0000-0000-000034200000}"/>
    <cellStyle name="백분율 30 2 2" xfId="9144" xr:uid="{00000000-0005-0000-0000-000035200000}"/>
    <cellStyle name="백분율 31" xfId="9145" xr:uid="{00000000-0005-0000-0000-000036200000}"/>
    <cellStyle name="백분율 31 2" xfId="9146" xr:uid="{00000000-0005-0000-0000-000037200000}"/>
    <cellStyle name="백분율 31 2 2" xfId="9147" xr:uid="{00000000-0005-0000-0000-000038200000}"/>
    <cellStyle name="백분율 32" xfId="9148" xr:uid="{00000000-0005-0000-0000-000039200000}"/>
    <cellStyle name="백분율 32 2" xfId="9149" xr:uid="{00000000-0005-0000-0000-00003A200000}"/>
    <cellStyle name="백분율 32 2 2" xfId="9150" xr:uid="{00000000-0005-0000-0000-00003B200000}"/>
    <cellStyle name="백분율 33" xfId="9151" xr:uid="{00000000-0005-0000-0000-00003C200000}"/>
    <cellStyle name="백분율 33 2" xfId="9152" xr:uid="{00000000-0005-0000-0000-00003D200000}"/>
    <cellStyle name="백분율 33 2 2" xfId="9153" xr:uid="{00000000-0005-0000-0000-00003E200000}"/>
    <cellStyle name="백분율 34" xfId="9154" xr:uid="{00000000-0005-0000-0000-00003F200000}"/>
    <cellStyle name="백분율 34 2" xfId="9155" xr:uid="{00000000-0005-0000-0000-000040200000}"/>
    <cellStyle name="백분율 34 2 2" xfId="9156" xr:uid="{00000000-0005-0000-0000-000041200000}"/>
    <cellStyle name="백분율 4" xfId="9157" xr:uid="{00000000-0005-0000-0000-000042200000}"/>
    <cellStyle name="백분율 4 2" xfId="9158" xr:uid="{00000000-0005-0000-0000-000043200000}"/>
    <cellStyle name="백분율 4 2 2" xfId="9159" xr:uid="{00000000-0005-0000-0000-000044200000}"/>
    <cellStyle name="백분율 4 2 2 2" xfId="9160" xr:uid="{00000000-0005-0000-0000-000045200000}"/>
    <cellStyle name="백분율 4 3" xfId="9161" xr:uid="{00000000-0005-0000-0000-000046200000}"/>
    <cellStyle name="백분율 4 3 2" xfId="9162" xr:uid="{00000000-0005-0000-0000-000047200000}"/>
    <cellStyle name="백분율 4 3 2 2" xfId="9163" xr:uid="{00000000-0005-0000-0000-000048200000}"/>
    <cellStyle name="백분율 4 4" xfId="9164" xr:uid="{00000000-0005-0000-0000-000049200000}"/>
    <cellStyle name="백분율 4 4 2" xfId="9165" xr:uid="{00000000-0005-0000-0000-00004A200000}"/>
    <cellStyle name="백분율 4 4 2 2" xfId="9166" xr:uid="{00000000-0005-0000-0000-00004B200000}"/>
    <cellStyle name="백분율 4 5" xfId="9167" xr:uid="{00000000-0005-0000-0000-00004C200000}"/>
    <cellStyle name="백분율 4 5 2" xfId="9168" xr:uid="{00000000-0005-0000-0000-00004D200000}"/>
    <cellStyle name="백분율 4 5 2 2" xfId="9169" xr:uid="{00000000-0005-0000-0000-00004E200000}"/>
    <cellStyle name="백분율 5" xfId="9170" xr:uid="{00000000-0005-0000-0000-00004F200000}"/>
    <cellStyle name="백분율 5 2" xfId="9171" xr:uid="{00000000-0005-0000-0000-000050200000}"/>
    <cellStyle name="백분율 5 2 2" xfId="9172" xr:uid="{00000000-0005-0000-0000-000051200000}"/>
    <cellStyle name="백분율 5 2 2 2" xfId="9173" xr:uid="{00000000-0005-0000-0000-000052200000}"/>
    <cellStyle name="백분율 5 3" xfId="9174" xr:uid="{00000000-0005-0000-0000-000053200000}"/>
    <cellStyle name="백분율 5 3 2" xfId="9175" xr:uid="{00000000-0005-0000-0000-000054200000}"/>
    <cellStyle name="백분율 5 3 2 2" xfId="9176" xr:uid="{00000000-0005-0000-0000-000055200000}"/>
    <cellStyle name="백분율 5 4" xfId="9177" xr:uid="{00000000-0005-0000-0000-000056200000}"/>
    <cellStyle name="백분율 5 4 2" xfId="9178" xr:uid="{00000000-0005-0000-0000-000057200000}"/>
    <cellStyle name="백분율 5 4 2 2" xfId="9179" xr:uid="{00000000-0005-0000-0000-000058200000}"/>
    <cellStyle name="백분율 5 5" xfId="9180" xr:uid="{00000000-0005-0000-0000-000059200000}"/>
    <cellStyle name="백분율 5 5 2" xfId="9181" xr:uid="{00000000-0005-0000-0000-00005A200000}"/>
    <cellStyle name="백분율 5 5 2 2" xfId="9182" xr:uid="{00000000-0005-0000-0000-00005B200000}"/>
    <cellStyle name="백분율 6" xfId="9183" xr:uid="{00000000-0005-0000-0000-00005C200000}"/>
    <cellStyle name="백분율 6 2" xfId="9184" xr:uid="{00000000-0005-0000-0000-00005D200000}"/>
    <cellStyle name="백분율 6 2 2" xfId="9185" xr:uid="{00000000-0005-0000-0000-00005E200000}"/>
    <cellStyle name="백분율 6 2 2 2" xfId="9186" xr:uid="{00000000-0005-0000-0000-00005F200000}"/>
    <cellStyle name="백분율 6 3" xfId="9187" xr:uid="{00000000-0005-0000-0000-000060200000}"/>
    <cellStyle name="백분율 6 3 2" xfId="9188" xr:uid="{00000000-0005-0000-0000-000061200000}"/>
    <cellStyle name="백분율 6 3 2 2" xfId="9189" xr:uid="{00000000-0005-0000-0000-000062200000}"/>
    <cellStyle name="백분율 6 4" xfId="9190" xr:uid="{00000000-0005-0000-0000-000063200000}"/>
    <cellStyle name="백분율 6 4 2" xfId="9191" xr:uid="{00000000-0005-0000-0000-000064200000}"/>
    <cellStyle name="백분율 6 4 2 2" xfId="9192" xr:uid="{00000000-0005-0000-0000-000065200000}"/>
    <cellStyle name="백분율 6 5" xfId="9193" xr:uid="{00000000-0005-0000-0000-000066200000}"/>
    <cellStyle name="백분율 6 5 2" xfId="9194" xr:uid="{00000000-0005-0000-0000-000067200000}"/>
    <cellStyle name="백분율 6 5 2 2" xfId="9195" xr:uid="{00000000-0005-0000-0000-000068200000}"/>
    <cellStyle name="백분율 7" xfId="9196" xr:uid="{00000000-0005-0000-0000-000069200000}"/>
    <cellStyle name="백분율 8" xfId="9197" xr:uid="{00000000-0005-0000-0000-00006A200000}"/>
    <cellStyle name="백분율 9" xfId="9198" xr:uid="{00000000-0005-0000-0000-00006B200000}"/>
    <cellStyle name="백분율 9 2" xfId="9199" xr:uid="{00000000-0005-0000-0000-00006C200000}"/>
    <cellStyle name="백분율 9 2 2" xfId="9200" xr:uid="{00000000-0005-0000-0000-00006D200000}"/>
    <cellStyle name="백분율 9 2 2 2" xfId="9201" xr:uid="{00000000-0005-0000-0000-00006E200000}"/>
    <cellStyle name="백분율 9 3" xfId="9202" xr:uid="{00000000-0005-0000-0000-00006F200000}"/>
    <cellStyle name="백분율 9 3 2" xfId="9203" xr:uid="{00000000-0005-0000-0000-000070200000}"/>
    <cellStyle name="백분율 9 3 2 2" xfId="9204" xr:uid="{00000000-0005-0000-0000-000071200000}"/>
    <cellStyle name="백분율 9 4" xfId="9205" xr:uid="{00000000-0005-0000-0000-000072200000}"/>
    <cellStyle name="백분율 9 4 2" xfId="9206" xr:uid="{00000000-0005-0000-0000-000073200000}"/>
    <cellStyle name="백분율 9 4 2 2" xfId="9207" xr:uid="{00000000-0005-0000-0000-000074200000}"/>
    <cellStyle name="백분율 9 5" xfId="9208" xr:uid="{00000000-0005-0000-0000-000075200000}"/>
    <cellStyle name="백분율 9 5 2" xfId="9209" xr:uid="{00000000-0005-0000-0000-000076200000}"/>
    <cellStyle name="백분율 9 5 2 2" xfId="9210" xr:uid="{00000000-0005-0000-0000-000077200000}"/>
    <cellStyle name="백분율［△1］" xfId="2320" xr:uid="{00000000-0005-0000-0000-000078200000}"/>
    <cellStyle name="백분율［△1］ 2" xfId="9211" xr:uid="{00000000-0005-0000-0000-000079200000}"/>
    <cellStyle name="백분율［△1］ 2 2" xfId="9212" xr:uid="{00000000-0005-0000-0000-00007A200000}"/>
    <cellStyle name="백분율［△1］ 2 2 2" xfId="9213" xr:uid="{00000000-0005-0000-0000-00007B200000}"/>
    <cellStyle name="백분율［△1］ 3" xfId="9214" xr:uid="{00000000-0005-0000-0000-00007C200000}"/>
    <cellStyle name="백분율［△1］ 3 2" xfId="9215" xr:uid="{00000000-0005-0000-0000-00007D200000}"/>
    <cellStyle name="백분율［△2］" xfId="2321" xr:uid="{00000000-0005-0000-0000-00007E200000}"/>
    <cellStyle name="백분율［△2］ 2" xfId="9216" xr:uid="{00000000-0005-0000-0000-00007F200000}"/>
    <cellStyle name="백분율［△2］ 2 2" xfId="9217" xr:uid="{00000000-0005-0000-0000-000080200000}"/>
    <cellStyle name="백분율［△2］ 2 2 2" xfId="9218" xr:uid="{00000000-0005-0000-0000-000081200000}"/>
    <cellStyle name="백분율［△2］ 3" xfId="9219" xr:uid="{00000000-0005-0000-0000-000082200000}"/>
    <cellStyle name="백분율［△2］ 3 2" xfId="9220" xr:uid="{00000000-0005-0000-0000-000083200000}"/>
    <cellStyle name="병합 후 가운데 맞춤" xfId="1402" xr:uid="{00000000-0005-0000-0000-000084200000}"/>
    <cellStyle name="병합 후 가운데 정열" xfId="1403" xr:uid="{00000000-0005-0000-0000-000085200000}"/>
    <cellStyle name="보통 2" xfId="9221" xr:uid="{00000000-0005-0000-0000-000086200000}"/>
    <cellStyle name="보통 2 2" xfId="9222" xr:uid="{00000000-0005-0000-0000-000087200000}"/>
    <cellStyle name="보통 2 2 2" xfId="9223" xr:uid="{00000000-0005-0000-0000-000088200000}"/>
    <cellStyle name="보통 2 2 2 2" xfId="9224" xr:uid="{00000000-0005-0000-0000-000089200000}"/>
    <cellStyle name="보통 2 3" xfId="9225" xr:uid="{00000000-0005-0000-0000-00008A200000}"/>
    <cellStyle name="보통 2 3 2" xfId="9226" xr:uid="{00000000-0005-0000-0000-00008B200000}"/>
    <cellStyle name="보통 3" xfId="9227" xr:uid="{00000000-0005-0000-0000-00008C200000}"/>
    <cellStyle name="보통 3 2" xfId="9228" xr:uid="{00000000-0005-0000-0000-00008D200000}"/>
    <cellStyle name="보통 3 2 2" xfId="9229" xr:uid="{00000000-0005-0000-0000-00008E200000}"/>
    <cellStyle name="보통 3 2 2 2" xfId="9230" xr:uid="{00000000-0005-0000-0000-00008F200000}"/>
    <cellStyle name="보통 3 3" xfId="9231" xr:uid="{00000000-0005-0000-0000-000090200000}"/>
    <cellStyle name="보통 3 3 2" xfId="9232" xr:uid="{00000000-0005-0000-0000-000091200000}"/>
    <cellStyle name="보통 4" xfId="9233" xr:uid="{00000000-0005-0000-0000-000092200000}"/>
    <cellStyle name="보통 4 2" xfId="9234" xr:uid="{00000000-0005-0000-0000-000093200000}"/>
    <cellStyle name="보통 4 2 2" xfId="9235" xr:uid="{00000000-0005-0000-0000-000094200000}"/>
    <cellStyle name="보통 4 2 2 2" xfId="9236" xr:uid="{00000000-0005-0000-0000-000095200000}"/>
    <cellStyle name="보통 4 3" xfId="9237" xr:uid="{00000000-0005-0000-0000-000096200000}"/>
    <cellStyle name="보통 4 3 2" xfId="9238" xr:uid="{00000000-0005-0000-0000-000097200000}"/>
    <cellStyle name="보통 5" xfId="9239" xr:uid="{00000000-0005-0000-0000-000098200000}"/>
    <cellStyle name="분수" xfId="1404" xr:uid="{00000000-0005-0000-0000-000099200000}"/>
    <cellStyle name="분수 2" xfId="9240" xr:uid="{00000000-0005-0000-0000-00009A200000}"/>
    <cellStyle name="분수 2 2" xfId="9241" xr:uid="{00000000-0005-0000-0000-00009B200000}"/>
    <cellStyle name="분수 3" xfId="9242" xr:uid="{00000000-0005-0000-0000-00009C200000}"/>
    <cellStyle name="분수 3 2" xfId="9243" xr:uid="{00000000-0005-0000-0000-00009D200000}"/>
    <cellStyle name="분수 4" xfId="9244" xr:uid="{00000000-0005-0000-0000-00009E200000}"/>
    <cellStyle name="분수 4 2" xfId="9245" xr:uid="{00000000-0005-0000-0000-00009F200000}"/>
    <cellStyle name="분수 5" xfId="9246" xr:uid="{00000000-0005-0000-0000-0000A0200000}"/>
    <cellStyle name="분수 5 2" xfId="9247" xr:uid="{00000000-0005-0000-0000-0000A1200000}"/>
    <cellStyle name="분수 6" xfId="9248" xr:uid="{00000000-0005-0000-0000-0000A2200000}"/>
    <cellStyle name="분수 6 2" xfId="9249" xr:uid="{00000000-0005-0000-0000-0000A3200000}"/>
    <cellStyle name="분수 7" xfId="9250" xr:uid="{00000000-0005-0000-0000-0000A4200000}"/>
    <cellStyle name="분수 7 2" xfId="9251" xr:uid="{00000000-0005-0000-0000-0000A5200000}"/>
    <cellStyle name="분수 8" xfId="9252" xr:uid="{00000000-0005-0000-0000-0000A6200000}"/>
    <cellStyle name="분수 8 2" xfId="9253" xr:uid="{00000000-0005-0000-0000-0000A7200000}"/>
    <cellStyle name="분수 9" xfId="9254" xr:uid="{00000000-0005-0000-0000-0000A8200000}"/>
    <cellStyle name="분수 9 2" xfId="9255" xr:uid="{00000000-0005-0000-0000-0000A9200000}"/>
    <cellStyle name="뷭?" xfId="1405" xr:uid="{00000000-0005-0000-0000-0000AA200000}"/>
    <cellStyle name="뷭? 2" xfId="9256" xr:uid="{00000000-0005-0000-0000-0000AB200000}"/>
    <cellStyle name="뷭? 2 2" xfId="9257" xr:uid="{00000000-0005-0000-0000-0000AC200000}"/>
    <cellStyle name="빨간색" xfId="1406" xr:uid="{00000000-0005-0000-0000-0000AD200000}"/>
    <cellStyle name="빨간색 2" xfId="9258" xr:uid="{00000000-0005-0000-0000-0000AE200000}"/>
    <cellStyle name="빨간색 2 2" xfId="9259" xr:uid="{00000000-0005-0000-0000-0000AF200000}"/>
    <cellStyle name="빨강" xfId="1407" xr:uid="{00000000-0005-0000-0000-0000B0200000}"/>
    <cellStyle name="빨강 2" xfId="4937" xr:uid="{00000000-0005-0000-0000-0000B1200000}"/>
    <cellStyle name="선택영역" xfId="2322" xr:uid="{00000000-0005-0000-0000-0000B2200000}"/>
    <cellStyle name="선택영역 가운데" xfId="4938" xr:uid="{00000000-0005-0000-0000-0000B3200000}"/>
    <cellStyle name="선택영역의 가운데" xfId="2323" xr:uid="{00000000-0005-0000-0000-0000B4200000}"/>
    <cellStyle name="선택영역의 가운데로" xfId="2324" xr:uid="{00000000-0005-0000-0000-0000B5200000}"/>
    <cellStyle name="선택영역의 가운데로 2" xfId="9260" xr:uid="{00000000-0005-0000-0000-0000B6200000}"/>
    <cellStyle name="선택영역의 가운데로 2 2" xfId="9261" xr:uid="{00000000-0005-0000-0000-0000B7200000}"/>
    <cellStyle name="선택영역의 가운데로 2 2 2" xfId="9262" xr:uid="{00000000-0005-0000-0000-0000B8200000}"/>
    <cellStyle name="선택영역의 가운데로 3" xfId="9263" xr:uid="{00000000-0005-0000-0000-0000B9200000}"/>
    <cellStyle name="선택영역의 가운데로 3 2" xfId="9264" xr:uid="{00000000-0005-0000-0000-0000BA200000}"/>
    <cellStyle name="선택영영" xfId="2325" xr:uid="{00000000-0005-0000-0000-0000BB200000}"/>
    <cellStyle name="설계서" xfId="9265" xr:uid="{00000000-0005-0000-0000-0000BC200000}"/>
    <cellStyle name="설계서 2" xfId="9266" xr:uid="{00000000-0005-0000-0000-0000BD200000}"/>
    <cellStyle name="설계서 3" xfId="9267" xr:uid="{00000000-0005-0000-0000-0000BE200000}"/>
    <cellStyle name="설계서 3 2" xfId="9268" xr:uid="{00000000-0005-0000-0000-0000BF200000}"/>
    <cellStyle name="설계서-내용" xfId="4939" xr:uid="{00000000-0005-0000-0000-0000C0200000}"/>
    <cellStyle name="설계서-내용 2" xfId="9269" xr:uid="{00000000-0005-0000-0000-0000C1200000}"/>
    <cellStyle name="설계서-내용 2 2" xfId="9270" xr:uid="{00000000-0005-0000-0000-0000C2200000}"/>
    <cellStyle name="설계서-내용-소수점" xfId="4940" xr:uid="{00000000-0005-0000-0000-0000C3200000}"/>
    <cellStyle name="설계서-내용-소수점 2" xfId="9271" xr:uid="{00000000-0005-0000-0000-0000C4200000}"/>
    <cellStyle name="설계서-내용-소수점 2 2" xfId="9272" xr:uid="{00000000-0005-0000-0000-0000C5200000}"/>
    <cellStyle name="설계서-내용-우" xfId="4941" xr:uid="{00000000-0005-0000-0000-0000C6200000}"/>
    <cellStyle name="설계서-내용-우 2" xfId="9273" xr:uid="{00000000-0005-0000-0000-0000C7200000}"/>
    <cellStyle name="설계서-내용-우 2 2" xfId="9274" xr:uid="{00000000-0005-0000-0000-0000C8200000}"/>
    <cellStyle name="설계서-내용-좌" xfId="4942" xr:uid="{00000000-0005-0000-0000-0000C9200000}"/>
    <cellStyle name="설계서-내용-좌 2" xfId="9275" xr:uid="{00000000-0005-0000-0000-0000CA200000}"/>
    <cellStyle name="설계서-내용-좌 2 2" xfId="9276" xr:uid="{00000000-0005-0000-0000-0000CB200000}"/>
    <cellStyle name="설계서-소제목" xfId="4943" xr:uid="{00000000-0005-0000-0000-0000CC200000}"/>
    <cellStyle name="설계서-소제목 2" xfId="9277" xr:uid="{00000000-0005-0000-0000-0000CD200000}"/>
    <cellStyle name="설계서-소제목 2 2" xfId="9278" xr:uid="{00000000-0005-0000-0000-0000CE200000}"/>
    <cellStyle name="설계서-타이틀" xfId="4944" xr:uid="{00000000-0005-0000-0000-0000CF200000}"/>
    <cellStyle name="설계서-타이틀 2" xfId="9279" xr:uid="{00000000-0005-0000-0000-0000D0200000}"/>
    <cellStyle name="설계서-타이틀 2 2" xfId="9280" xr:uid="{00000000-0005-0000-0000-0000D1200000}"/>
    <cellStyle name="설계서-항목" xfId="4945" xr:uid="{00000000-0005-0000-0000-0000D2200000}"/>
    <cellStyle name="설계서-항목 2" xfId="9281" xr:uid="{00000000-0005-0000-0000-0000D3200000}"/>
    <cellStyle name="설계서-항목 2 2" xfId="9282" xr:uid="{00000000-0005-0000-0000-0000D4200000}"/>
    <cellStyle name="설명 텍스트 2" xfId="9283" xr:uid="{00000000-0005-0000-0000-0000D5200000}"/>
    <cellStyle name="설명 텍스트 2 2" xfId="9284" xr:uid="{00000000-0005-0000-0000-0000D6200000}"/>
    <cellStyle name="설명 텍스트 2 2 2" xfId="9285" xr:uid="{00000000-0005-0000-0000-0000D7200000}"/>
    <cellStyle name="설명 텍스트 2 2 2 2" xfId="9286" xr:uid="{00000000-0005-0000-0000-0000D8200000}"/>
    <cellStyle name="설명 텍스트 2 3" xfId="9287" xr:uid="{00000000-0005-0000-0000-0000D9200000}"/>
    <cellStyle name="설명 텍스트 2 3 2" xfId="9288" xr:uid="{00000000-0005-0000-0000-0000DA200000}"/>
    <cellStyle name="설명 텍스트 3" xfId="9289" xr:uid="{00000000-0005-0000-0000-0000DB200000}"/>
    <cellStyle name="설명 텍스트 3 2" xfId="9290" xr:uid="{00000000-0005-0000-0000-0000DC200000}"/>
    <cellStyle name="설명 텍스트 3 2 2" xfId="9291" xr:uid="{00000000-0005-0000-0000-0000DD200000}"/>
    <cellStyle name="설명 텍스트 3 2 2 2" xfId="9292" xr:uid="{00000000-0005-0000-0000-0000DE200000}"/>
    <cellStyle name="설명 텍스트 3 3" xfId="9293" xr:uid="{00000000-0005-0000-0000-0000DF200000}"/>
    <cellStyle name="설명 텍스트 3 3 2" xfId="9294" xr:uid="{00000000-0005-0000-0000-0000E0200000}"/>
    <cellStyle name="설명 텍스트 4" xfId="9295" xr:uid="{00000000-0005-0000-0000-0000E1200000}"/>
    <cellStyle name="설명 텍스트 4 2" xfId="9296" xr:uid="{00000000-0005-0000-0000-0000E2200000}"/>
    <cellStyle name="설명 텍스트 4 2 2" xfId="9297" xr:uid="{00000000-0005-0000-0000-0000E3200000}"/>
    <cellStyle name="설명 텍스트 4 2 2 2" xfId="9298" xr:uid="{00000000-0005-0000-0000-0000E4200000}"/>
    <cellStyle name="설명 텍스트 4 3" xfId="9299" xr:uid="{00000000-0005-0000-0000-0000E5200000}"/>
    <cellStyle name="설명 텍스트 4 3 2" xfId="9300" xr:uid="{00000000-0005-0000-0000-0000E6200000}"/>
    <cellStyle name="셀 확인 2" xfId="9301" xr:uid="{00000000-0005-0000-0000-0000E7200000}"/>
    <cellStyle name="셀 확인 2 2" xfId="9302" xr:uid="{00000000-0005-0000-0000-0000E8200000}"/>
    <cellStyle name="셀 확인 2 2 2" xfId="9303" xr:uid="{00000000-0005-0000-0000-0000E9200000}"/>
    <cellStyle name="셀 확인 2 2 2 2" xfId="9304" xr:uid="{00000000-0005-0000-0000-0000EA200000}"/>
    <cellStyle name="셀 확인 2 3" xfId="9305" xr:uid="{00000000-0005-0000-0000-0000EB200000}"/>
    <cellStyle name="셀 확인 2 3 2" xfId="9306" xr:uid="{00000000-0005-0000-0000-0000EC200000}"/>
    <cellStyle name="셀 확인 3" xfId="9307" xr:uid="{00000000-0005-0000-0000-0000ED200000}"/>
    <cellStyle name="셀 확인 3 2" xfId="9308" xr:uid="{00000000-0005-0000-0000-0000EE200000}"/>
    <cellStyle name="셀 확인 3 2 2" xfId="9309" xr:uid="{00000000-0005-0000-0000-0000EF200000}"/>
    <cellStyle name="셀 확인 3 2 2 2" xfId="9310" xr:uid="{00000000-0005-0000-0000-0000F0200000}"/>
    <cellStyle name="셀 확인 3 3" xfId="9311" xr:uid="{00000000-0005-0000-0000-0000F1200000}"/>
    <cellStyle name="셀 확인 3 3 2" xfId="9312" xr:uid="{00000000-0005-0000-0000-0000F2200000}"/>
    <cellStyle name="셀 확인 4" xfId="9313" xr:uid="{00000000-0005-0000-0000-0000F3200000}"/>
    <cellStyle name="셀 확인 4 2" xfId="9314" xr:uid="{00000000-0005-0000-0000-0000F4200000}"/>
    <cellStyle name="셀 확인 4 2 2" xfId="9315" xr:uid="{00000000-0005-0000-0000-0000F5200000}"/>
    <cellStyle name="셀 확인 4 2 2 2" xfId="9316" xr:uid="{00000000-0005-0000-0000-0000F6200000}"/>
    <cellStyle name="셀 확인 4 3" xfId="9317" xr:uid="{00000000-0005-0000-0000-0000F7200000}"/>
    <cellStyle name="셀 확인 4 3 2" xfId="9318" xr:uid="{00000000-0005-0000-0000-0000F8200000}"/>
    <cellStyle name="셀 확인 5" xfId="9319" xr:uid="{00000000-0005-0000-0000-0000F9200000}"/>
    <cellStyle name="소수점1" xfId="4946" xr:uid="{00000000-0005-0000-0000-0000FA200000}"/>
    <cellStyle name="소숫점0" xfId="4947" xr:uid="{00000000-0005-0000-0000-0000FB200000}"/>
    <cellStyle name="소숫점3" xfId="4948" xr:uid="{00000000-0005-0000-0000-0000FC200000}"/>
    <cellStyle name="수당" xfId="1408" xr:uid="{00000000-0005-0000-0000-0000FD200000}"/>
    <cellStyle name="수당 2" xfId="9320" xr:uid="{00000000-0005-0000-0000-0000FE200000}"/>
    <cellStyle name="수당 2 2" xfId="9321" xr:uid="{00000000-0005-0000-0000-0000FF200000}"/>
    <cellStyle name="수당2" xfId="1409" xr:uid="{00000000-0005-0000-0000-000000210000}"/>
    <cellStyle name="수당2 2" xfId="9322" xr:uid="{00000000-0005-0000-0000-000001210000}"/>
    <cellStyle name="수당2 2 2" xfId="9323" xr:uid="{00000000-0005-0000-0000-000002210000}"/>
    <cellStyle name="수량" xfId="9324" xr:uid="{00000000-0005-0000-0000-000003210000}"/>
    <cellStyle name="수량 2" xfId="9325" xr:uid="{00000000-0005-0000-0000-000004210000}"/>
    <cellStyle name="수량 2 2" xfId="9326" xr:uid="{00000000-0005-0000-0000-000005210000}"/>
    <cellStyle name="수량1" xfId="1410" xr:uid="{00000000-0005-0000-0000-000006210000}"/>
    <cellStyle name="수량1 2" xfId="9327" xr:uid="{00000000-0005-0000-0000-000007210000}"/>
    <cellStyle name="수량1 2 2" xfId="9328" xr:uid="{00000000-0005-0000-0000-000008210000}"/>
    <cellStyle name="수목명" xfId="1411" xr:uid="{00000000-0005-0000-0000-000009210000}"/>
    <cellStyle name="수목명 2" xfId="9329" xr:uid="{00000000-0005-0000-0000-00000A210000}"/>
    <cellStyle name="수목명 2 2" xfId="9330" xr:uid="{00000000-0005-0000-0000-00000B210000}"/>
    <cellStyle name="수산" xfId="9331" xr:uid="{00000000-0005-0000-0000-00000C210000}"/>
    <cellStyle name="수산 2" xfId="9332" xr:uid="{00000000-0005-0000-0000-00000D210000}"/>
    <cellStyle name="수산 2 2" xfId="9333" xr:uid="{00000000-0005-0000-0000-00000E210000}"/>
    <cellStyle name="숫자" xfId="4949" xr:uid="{00000000-0005-0000-0000-00000F210000}"/>
    <cellStyle name="숫자(R)" xfId="258" xr:uid="{00000000-0005-0000-0000-000010210000}"/>
    <cellStyle name="숫자(R) 2" xfId="1412" xr:uid="{00000000-0005-0000-0000-000011210000}"/>
    <cellStyle name="숫자(R) 2 2" xfId="2326" xr:uid="{00000000-0005-0000-0000-000012210000}"/>
    <cellStyle name="숫자(R) 2 2 2" xfId="9334" xr:uid="{00000000-0005-0000-0000-000013210000}"/>
    <cellStyle name="숫자(R) 3" xfId="9335" xr:uid="{00000000-0005-0000-0000-000014210000}"/>
    <cellStyle name="숫자(R) 3 2" xfId="9336" xr:uid="{00000000-0005-0000-0000-000015210000}"/>
    <cellStyle name="숫자1" xfId="2327" xr:uid="{00000000-0005-0000-0000-000016210000}"/>
    <cellStyle name="숫자3" xfId="2328" xr:uid="{00000000-0005-0000-0000-000017210000}"/>
    <cellStyle name="쉼표 [0]" xfId="973" builtinId="6"/>
    <cellStyle name="쉼표 [0] 10" xfId="9337" xr:uid="{00000000-0005-0000-0000-000019210000}"/>
    <cellStyle name="쉼표 [0] 10 2" xfId="9338" xr:uid="{00000000-0005-0000-0000-00001A210000}"/>
    <cellStyle name="쉼표 [0] 10 2 2" xfId="9339" xr:uid="{00000000-0005-0000-0000-00001B210000}"/>
    <cellStyle name="쉼표 [0] 10 2 2 2" xfId="9340" xr:uid="{00000000-0005-0000-0000-00001C210000}"/>
    <cellStyle name="쉼표 [0] 10 2 2 2 2" xfId="9341" xr:uid="{00000000-0005-0000-0000-00001D210000}"/>
    <cellStyle name="쉼표 [0] 10 2 2 2 3" xfId="9342" xr:uid="{00000000-0005-0000-0000-00001E210000}"/>
    <cellStyle name="쉼표 [0] 10 2 2 3" xfId="9343" xr:uid="{00000000-0005-0000-0000-00001F210000}"/>
    <cellStyle name="쉼표 [0] 10 2 3" xfId="9344" xr:uid="{00000000-0005-0000-0000-000020210000}"/>
    <cellStyle name="쉼표 [0] 10 2 3 2" xfId="9345" xr:uid="{00000000-0005-0000-0000-000021210000}"/>
    <cellStyle name="쉼표 [0] 10 2 3 2 2" xfId="9346" xr:uid="{00000000-0005-0000-0000-000022210000}"/>
    <cellStyle name="쉼표 [0] 10 2 3 2 3" xfId="9347" xr:uid="{00000000-0005-0000-0000-000023210000}"/>
    <cellStyle name="쉼표 [0] 10 2 3 3" xfId="9348" xr:uid="{00000000-0005-0000-0000-000024210000}"/>
    <cellStyle name="쉼표 [0] 10 2 4" xfId="9349" xr:uid="{00000000-0005-0000-0000-000025210000}"/>
    <cellStyle name="쉼표 [0] 10 2 4 2" xfId="9350" xr:uid="{00000000-0005-0000-0000-000026210000}"/>
    <cellStyle name="쉼표 [0] 10 2 4 2 2" xfId="9351" xr:uid="{00000000-0005-0000-0000-000027210000}"/>
    <cellStyle name="쉼표 [0] 10 2 4 2 3" xfId="9352" xr:uid="{00000000-0005-0000-0000-000028210000}"/>
    <cellStyle name="쉼표 [0] 10 2 4 3" xfId="9353" xr:uid="{00000000-0005-0000-0000-000029210000}"/>
    <cellStyle name="쉼표 [0] 10 2 5" xfId="9354" xr:uid="{00000000-0005-0000-0000-00002A210000}"/>
    <cellStyle name="쉼표 [0] 10 2 5 2" xfId="9355" xr:uid="{00000000-0005-0000-0000-00002B210000}"/>
    <cellStyle name="쉼표 [0] 10 2 5 2 2" xfId="9356" xr:uid="{00000000-0005-0000-0000-00002C210000}"/>
    <cellStyle name="쉼표 [0] 10 2 5 2 3" xfId="9357" xr:uid="{00000000-0005-0000-0000-00002D210000}"/>
    <cellStyle name="쉼표 [0] 10 2 5 3" xfId="9358" xr:uid="{00000000-0005-0000-0000-00002E210000}"/>
    <cellStyle name="쉼표 [0] 10 2 6" xfId="9359" xr:uid="{00000000-0005-0000-0000-00002F210000}"/>
    <cellStyle name="쉼표 [0] 10 2 6 2" xfId="9360" xr:uid="{00000000-0005-0000-0000-000030210000}"/>
    <cellStyle name="쉼표 [0] 10 2 6 3" xfId="9361" xr:uid="{00000000-0005-0000-0000-000031210000}"/>
    <cellStyle name="쉼표 [0] 10 2 7" xfId="9362" xr:uid="{00000000-0005-0000-0000-000032210000}"/>
    <cellStyle name="쉼표 [0] 10 3" xfId="9363" xr:uid="{00000000-0005-0000-0000-000033210000}"/>
    <cellStyle name="쉼표 [0] 10 3 2" xfId="9364" xr:uid="{00000000-0005-0000-0000-000034210000}"/>
    <cellStyle name="쉼표 [0] 10 3 2 4" xfId="10750" xr:uid="{00000000-0005-0000-0000-000035210000}"/>
    <cellStyle name="쉼표 [0] 10 3 3" xfId="9365" xr:uid="{00000000-0005-0000-0000-000036210000}"/>
    <cellStyle name="쉼표 [0] 10 4" xfId="9366" xr:uid="{00000000-0005-0000-0000-000037210000}"/>
    <cellStyle name="쉼표 [0] 11 2" xfId="9367" xr:uid="{00000000-0005-0000-0000-000038210000}"/>
    <cellStyle name="쉼표 [0] 11 2 2" xfId="9368" xr:uid="{00000000-0005-0000-0000-000039210000}"/>
    <cellStyle name="쉼표 [0] 11 2 2 2" xfId="9369" xr:uid="{00000000-0005-0000-0000-00003A210000}"/>
    <cellStyle name="쉼표 [0] 11 2 2 3" xfId="9370" xr:uid="{00000000-0005-0000-0000-00003B210000}"/>
    <cellStyle name="쉼표 [0] 11 2 3" xfId="9371" xr:uid="{00000000-0005-0000-0000-00003C210000}"/>
    <cellStyle name="쉼표 [0] 12 2" xfId="9372" xr:uid="{00000000-0005-0000-0000-00003D210000}"/>
    <cellStyle name="쉼표 [0] 12 2 2" xfId="9373" xr:uid="{00000000-0005-0000-0000-00003E210000}"/>
    <cellStyle name="쉼표 [0] 12 2 2 2" xfId="9374" xr:uid="{00000000-0005-0000-0000-00003F210000}"/>
    <cellStyle name="쉼표 [0] 12 2 2 3" xfId="9375" xr:uid="{00000000-0005-0000-0000-000040210000}"/>
    <cellStyle name="쉼표 [0] 12 2 3" xfId="9376" xr:uid="{00000000-0005-0000-0000-000041210000}"/>
    <cellStyle name="쉼표 [0] 13 2" xfId="9377" xr:uid="{00000000-0005-0000-0000-000042210000}"/>
    <cellStyle name="쉼표 [0] 13 2 2" xfId="9378" xr:uid="{00000000-0005-0000-0000-000043210000}"/>
    <cellStyle name="쉼표 [0] 13 2 2 2" xfId="9379" xr:uid="{00000000-0005-0000-0000-000044210000}"/>
    <cellStyle name="쉼표 [0] 13 2 2 3" xfId="9380" xr:uid="{00000000-0005-0000-0000-000045210000}"/>
    <cellStyle name="쉼표 [0] 13 2 3" xfId="9381" xr:uid="{00000000-0005-0000-0000-000046210000}"/>
    <cellStyle name="쉼표 [0] 14 2" xfId="9382" xr:uid="{00000000-0005-0000-0000-000047210000}"/>
    <cellStyle name="쉼표 [0] 14 2 2" xfId="9383" xr:uid="{00000000-0005-0000-0000-000048210000}"/>
    <cellStyle name="쉼표 [0] 14 2 2 2" xfId="9384" xr:uid="{00000000-0005-0000-0000-000049210000}"/>
    <cellStyle name="쉼표 [0] 14 2 2 3" xfId="9385" xr:uid="{00000000-0005-0000-0000-00004A210000}"/>
    <cellStyle name="쉼표 [0] 14 2 3" xfId="9386" xr:uid="{00000000-0005-0000-0000-00004B210000}"/>
    <cellStyle name="쉼표 [0] 15 2" xfId="9387" xr:uid="{00000000-0005-0000-0000-00004C210000}"/>
    <cellStyle name="쉼표 [0] 15 2 2" xfId="9388" xr:uid="{00000000-0005-0000-0000-00004D210000}"/>
    <cellStyle name="쉼표 [0] 15 2 2 2" xfId="9389" xr:uid="{00000000-0005-0000-0000-00004E210000}"/>
    <cellStyle name="쉼표 [0] 15 2 2 3" xfId="9390" xr:uid="{00000000-0005-0000-0000-00004F210000}"/>
    <cellStyle name="쉼표 [0] 15 2 3" xfId="9391" xr:uid="{00000000-0005-0000-0000-000050210000}"/>
    <cellStyle name="쉼표 [0] 16 2" xfId="9392" xr:uid="{00000000-0005-0000-0000-000051210000}"/>
    <cellStyle name="쉼표 [0] 16 2 2" xfId="9393" xr:uid="{00000000-0005-0000-0000-000052210000}"/>
    <cellStyle name="쉼표 [0] 16 2 2 2" xfId="9394" xr:uid="{00000000-0005-0000-0000-000053210000}"/>
    <cellStyle name="쉼표 [0] 16 2 2 3" xfId="9395" xr:uid="{00000000-0005-0000-0000-000054210000}"/>
    <cellStyle name="쉼표 [0] 16 2 3" xfId="9396" xr:uid="{00000000-0005-0000-0000-000055210000}"/>
    <cellStyle name="쉼표 [0] 17" xfId="9397" xr:uid="{00000000-0005-0000-0000-000056210000}"/>
    <cellStyle name="쉼표 [0] 17 2" xfId="9398" xr:uid="{00000000-0005-0000-0000-000057210000}"/>
    <cellStyle name="쉼표 [0] 17 2 2" xfId="9399" xr:uid="{00000000-0005-0000-0000-000058210000}"/>
    <cellStyle name="쉼표 [0] 17 2 3" xfId="9400" xr:uid="{00000000-0005-0000-0000-000059210000}"/>
    <cellStyle name="쉼표 [0] 17 3" xfId="9401" xr:uid="{00000000-0005-0000-0000-00005A210000}"/>
    <cellStyle name="쉼표 [0] 18" xfId="9402" xr:uid="{00000000-0005-0000-0000-00005B210000}"/>
    <cellStyle name="쉼표 [0] 18 2" xfId="9403" xr:uid="{00000000-0005-0000-0000-00005C210000}"/>
    <cellStyle name="쉼표 [0] 18 2 2" xfId="9404" xr:uid="{00000000-0005-0000-0000-00005D210000}"/>
    <cellStyle name="쉼표 [0] 18 2 3" xfId="9405" xr:uid="{00000000-0005-0000-0000-00005E210000}"/>
    <cellStyle name="쉼표 [0] 18 3" xfId="9406" xr:uid="{00000000-0005-0000-0000-00005F210000}"/>
    <cellStyle name="쉼표 [0] 2" xfId="2" xr:uid="{00000000-0005-0000-0000-000060210000}"/>
    <cellStyle name="쉼표 [0] 2 10" xfId="9407" xr:uid="{00000000-0005-0000-0000-000061210000}"/>
    <cellStyle name="쉼표 [0] 2 10 2" xfId="9408" xr:uid="{00000000-0005-0000-0000-000062210000}"/>
    <cellStyle name="쉼표 [0] 2 10 2 2" xfId="9409" xr:uid="{00000000-0005-0000-0000-000063210000}"/>
    <cellStyle name="쉼표 [0] 2 10 2 2 2" xfId="9410" xr:uid="{00000000-0005-0000-0000-000064210000}"/>
    <cellStyle name="쉼표 [0] 2 10 3" xfId="9411" xr:uid="{00000000-0005-0000-0000-000065210000}"/>
    <cellStyle name="쉼표 [0] 2 10 3 2" xfId="9412" xr:uid="{00000000-0005-0000-0000-000066210000}"/>
    <cellStyle name="쉼표 [0] 2 10 3 2 2" xfId="9413" xr:uid="{00000000-0005-0000-0000-000067210000}"/>
    <cellStyle name="쉼표 [0] 2 10 4" xfId="9414" xr:uid="{00000000-0005-0000-0000-000068210000}"/>
    <cellStyle name="쉼표 [0] 2 10 4 2" xfId="9415" xr:uid="{00000000-0005-0000-0000-000069210000}"/>
    <cellStyle name="쉼표 [0] 2 10 4 2 2" xfId="9416" xr:uid="{00000000-0005-0000-0000-00006A210000}"/>
    <cellStyle name="쉼표 [0] 2 10 5" xfId="9417" xr:uid="{00000000-0005-0000-0000-00006B210000}"/>
    <cellStyle name="쉼표 [0] 2 10 5 2" xfId="9418" xr:uid="{00000000-0005-0000-0000-00006C210000}"/>
    <cellStyle name="쉼표 [0] 2 10 5 2 2" xfId="9419" xr:uid="{00000000-0005-0000-0000-00006D210000}"/>
    <cellStyle name="쉼표 [0] 2 10 6" xfId="9420" xr:uid="{00000000-0005-0000-0000-00006E210000}"/>
    <cellStyle name="쉼표 [0] 2 10 6 2" xfId="9421" xr:uid="{00000000-0005-0000-0000-00006F210000}"/>
    <cellStyle name="쉼표 [0] 2 10 6 3" xfId="9422" xr:uid="{00000000-0005-0000-0000-000070210000}"/>
    <cellStyle name="쉼표 [0] 2 10 7" xfId="9423" xr:uid="{00000000-0005-0000-0000-000071210000}"/>
    <cellStyle name="쉼표 [0] 2 11" xfId="9424" xr:uid="{00000000-0005-0000-0000-000072210000}"/>
    <cellStyle name="쉼표 [0] 2 11 2" xfId="9425" xr:uid="{00000000-0005-0000-0000-000073210000}"/>
    <cellStyle name="쉼표 [0] 2 11 2 2" xfId="9426" xr:uid="{00000000-0005-0000-0000-000074210000}"/>
    <cellStyle name="쉼표 [0] 2 11 2 2 2" xfId="9427" xr:uid="{00000000-0005-0000-0000-000075210000}"/>
    <cellStyle name="쉼표 [0] 2 11 3" xfId="9428" xr:uid="{00000000-0005-0000-0000-000076210000}"/>
    <cellStyle name="쉼표 [0] 2 11 3 2" xfId="9429" xr:uid="{00000000-0005-0000-0000-000077210000}"/>
    <cellStyle name="쉼표 [0] 2 11 3 2 2" xfId="9430" xr:uid="{00000000-0005-0000-0000-000078210000}"/>
    <cellStyle name="쉼표 [0] 2 11 4" xfId="9431" xr:uid="{00000000-0005-0000-0000-000079210000}"/>
    <cellStyle name="쉼표 [0] 2 11 4 2" xfId="9432" xr:uid="{00000000-0005-0000-0000-00007A210000}"/>
    <cellStyle name="쉼표 [0] 2 11 4 2 2" xfId="9433" xr:uid="{00000000-0005-0000-0000-00007B210000}"/>
    <cellStyle name="쉼표 [0] 2 11 5" xfId="9434" xr:uid="{00000000-0005-0000-0000-00007C210000}"/>
    <cellStyle name="쉼표 [0] 2 11 5 2" xfId="9435" xr:uid="{00000000-0005-0000-0000-00007D210000}"/>
    <cellStyle name="쉼표 [0] 2 11 5 2 2" xfId="9436" xr:uid="{00000000-0005-0000-0000-00007E210000}"/>
    <cellStyle name="쉼표 [0] 2 11 6" xfId="9437" xr:uid="{00000000-0005-0000-0000-00007F210000}"/>
    <cellStyle name="쉼표 [0] 2 11 6 2" xfId="9438" xr:uid="{00000000-0005-0000-0000-000080210000}"/>
    <cellStyle name="쉼표 [0] 2 11 6 3" xfId="9439" xr:uid="{00000000-0005-0000-0000-000081210000}"/>
    <cellStyle name="쉼표 [0] 2 11 7" xfId="9440" xr:uid="{00000000-0005-0000-0000-000082210000}"/>
    <cellStyle name="쉼표 [0] 2 12" xfId="9441" xr:uid="{00000000-0005-0000-0000-000083210000}"/>
    <cellStyle name="쉼표 [0] 2 12 2" xfId="9442" xr:uid="{00000000-0005-0000-0000-000084210000}"/>
    <cellStyle name="쉼표 [0] 2 12 2 2" xfId="9443" xr:uid="{00000000-0005-0000-0000-000085210000}"/>
    <cellStyle name="쉼표 [0] 2 12 2 2 2" xfId="9444" xr:uid="{00000000-0005-0000-0000-000086210000}"/>
    <cellStyle name="쉼표 [0] 2 12 3" xfId="9445" xr:uid="{00000000-0005-0000-0000-000087210000}"/>
    <cellStyle name="쉼표 [0] 2 12 3 2" xfId="9446" xr:uid="{00000000-0005-0000-0000-000088210000}"/>
    <cellStyle name="쉼표 [0] 2 12 3 2 2" xfId="9447" xr:uid="{00000000-0005-0000-0000-000089210000}"/>
    <cellStyle name="쉼표 [0] 2 12 4" xfId="9448" xr:uid="{00000000-0005-0000-0000-00008A210000}"/>
    <cellStyle name="쉼표 [0] 2 12 4 2" xfId="9449" xr:uid="{00000000-0005-0000-0000-00008B210000}"/>
    <cellStyle name="쉼표 [0] 2 12 4 2 2" xfId="9450" xr:uid="{00000000-0005-0000-0000-00008C210000}"/>
    <cellStyle name="쉼표 [0] 2 12 5" xfId="9451" xr:uid="{00000000-0005-0000-0000-00008D210000}"/>
    <cellStyle name="쉼표 [0] 2 12 5 2" xfId="9452" xr:uid="{00000000-0005-0000-0000-00008E210000}"/>
    <cellStyle name="쉼표 [0] 2 12 5 2 2" xfId="9453" xr:uid="{00000000-0005-0000-0000-00008F210000}"/>
    <cellStyle name="쉼표 [0] 2 12 6" xfId="9454" xr:uid="{00000000-0005-0000-0000-000090210000}"/>
    <cellStyle name="쉼표 [0] 2 12 6 2" xfId="9455" xr:uid="{00000000-0005-0000-0000-000091210000}"/>
    <cellStyle name="쉼표 [0] 2 12 6 3" xfId="9456" xr:uid="{00000000-0005-0000-0000-000092210000}"/>
    <cellStyle name="쉼표 [0] 2 12 7" xfId="9457" xr:uid="{00000000-0005-0000-0000-000093210000}"/>
    <cellStyle name="쉼표 [0] 2 13" xfId="9458" xr:uid="{00000000-0005-0000-0000-000094210000}"/>
    <cellStyle name="쉼표 [0] 2 13 2" xfId="9459" xr:uid="{00000000-0005-0000-0000-000095210000}"/>
    <cellStyle name="쉼표 [0] 2 13 2 2" xfId="9460" xr:uid="{00000000-0005-0000-0000-000096210000}"/>
    <cellStyle name="쉼표 [0] 2 13 2 2 2" xfId="9461" xr:uid="{00000000-0005-0000-0000-000097210000}"/>
    <cellStyle name="쉼표 [0] 2 13 3" xfId="9462" xr:uid="{00000000-0005-0000-0000-000098210000}"/>
    <cellStyle name="쉼표 [0] 2 13 3 2" xfId="9463" xr:uid="{00000000-0005-0000-0000-000099210000}"/>
    <cellStyle name="쉼표 [0] 2 13 3 2 2" xfId="9464" xr:uid="{00000000-0005-0000-0000-00009A210000}"/>
    <cellStyle name="쉼표 [0] 2 13 4" xfId="9465" xr:uid="{00000000-0005-0000-0000-00009B210000}"/>
    <cellStyle name="쉼표 [0] 2 13 4 2" xfId="9466" xr:uid="{00000000-0005-0000-0000-00009C210000}"/>
    <cellStyle name="쉼표 [0] 2 13 4 2 2" xfId="9467" xr:uid="{00000000-0005-0000-0000-00009D210000}"/>
    <cellStyle name="쉼표 [0] 2 13 5" xfId="9468" xr:uid="{00000000-0005-0000-0000-00009E210000}"/>
    <cellStyle name="쉼표 [0] 2 13 5 2" xfId="9469" xr:uid="{00000000-0005-0000-0000-00009F210000}"/>
    <cellStyle name="쉼표 [0] 2 13 5 2 2" xfId="9470" xr:uid="{00000000-0005-0000-0000-0000A0210000}"/>
    <cellStyle name="쉼표 [0] 2 13 6" xfId="9471" xr:uid="{00000000-0005-0000-0000-0000A1210000}"/>
    <cellStyle name="쉼표 [0] 2 13 6 2" xfId="9472" xr:uid="{00000000-0005-0000-0000-0000A2210000}"/>
    <cellStyle name="쉼표 [0] 2 13 6 3" xfId="9473" xr:uid="{00000000-0005-0000-0000-0000A3210000}"/>
    <cellStyle name="쉼표 [0] 2 13 7" xfId="9474" xr:uid="{00000000-0005-0000-0000-0000A4210000}"/>
    <cellStyle name="쉼표 [0] 2 14" xfId="9475" xr:uid="{00000000-0005-0000-0000-0000A5210000}"/>
    <cellStyle name="쉼표 [0] 2 14 2" xfId="9476" xr:uid="{00000000-0005-0000-0000-0000A6210000}"/>
    <cellStyle name="쉼표 [0] 2 14 2 2" xfId="9477" xr:uid="{00000000-0005-0000-0000-0000A7210000}"/>
    <cellStyle name="쉼표 [0] 2 14 2 2 2" xfId="9478" xr:uid="{00000000-0005-0000-0000-0000A8210000}"/>
    <cellStyle name="쉼표 [0] 2 14 3" xfId="9479" xr:uid="{00000000-0005-0000-0000-0000A9210000}"/>
    <cellStyle name="쉼표 [0] 2 14 3 2" xfId="9480" xr:uid="{00000000-0005-0000-0000-0000AA210000}"/>
    <cellStyle name="쉼표 [0] 2 14 3 2 2" xfId="9481" xr:uid="{00000000-0005-0000-0000-0000AB210000}"/>
    <cellStyle name="쉼표 [0] 2 14 4" xfId="9482" xr:uid="{00000000-0005-0000-0000-0000AC210000}"/>
    <cellStyle name="쉼표 [0] 2 14 4 2" xfId="9483" xr:uid="{00000000-0005-0000-0000-0000AD210000}"/>
    <cellStyle name="쉼표 [0] 2 14 4 2 2" xfId="9484" xr:uid="{00000000-0005-0000-0000-0000AE210000}"/>
    <cellStyle name="쉼표 [0] 2 14 5" xfId="9485" xr:uid="{00000000-0005-0000-0000-0000AF210000}"/>
    <cellStyle name="쉼표 [0] 2 14 5 2" xfId="9486" xr:uid="{00000000-0005-0000-0000-0000B0210000}"/>
    <cellStyle name="쉼표 [0] 2 14 5 2 2" xfId="9487" xr:uid="{00000000-0005-0000-0000-0000B1210000}"/>
    <cellStyle name="쉼표 [0] 2 14 6" xfId="9488" xr:uid="{00000000-0005-0000-0000-0000B2210000}"/>
    <cellStyle name="쉼표 [0] 2 14 6 2" xfId="9489" xr:uid="{00000000-0005-0000-0000-0000B3210000}"/>
    <cellStyle name="쉼표 [0] 2 14 6 3" xfId="9490" xr:uid="{00000000-0005-0000-0000-0000B4210000}"/>
    <cellStyle name="쉼표 [0] 2 14 7" xfId="9491" xr:uid="{00000000-0005-0000-0000-0000B5210000}"/>
    <cellStyle name="쉼표 [0] 2 15" xfId="9492" xr:uid="{00000000-0005-0000-0000-0000B6210000}"/>
    <cellStyle name="쉼표 [0] 2 15 2" xfId="9493" xr:uid="{00000000-0005-0000-0000-0000B7210000}"/>
    <cellStyle name="쉼표 [0] 2 15 2 2" xfId="9494" xr:uid="{00000000-0005-0000-0000-0000B8210000}"/>
    <cellStyle name="쉼표 [0] 2 15 2 2 2" xfId="9495" xr:uid="{00000000-0005-0000-0000-0000B9210000}"/>
    <cellStyle name="쉼표 [0] 2 15 3" xfId="9496" xr:uid="{00000000-0005-0000-0000-0000BA210000}"/>
    <cellStyle name="쉼표 [0] 2 15 3 2" xfId="9497" xr:uid="{00000000-0005-0000-0000-0000BB210000}"/>
    <cellStyle name="쉼표 [0] 2 15 3 2 2" xfId="9498" xr:uid="{00000000-0005-0000-0000-0000BC210000}"/>
    <cellStyle name="쉼표 [0] 2 15 4" xfId="9499" xr:uid="{00000000-0005-0000-0000-0000BD210000}"/>
    <cellStyle name="쉼표 [0] 2 15 4 2" xfId="9500" xr:uid="{00000000-0005-0000-0000-0000BE210000}"/>
    <cellStyle name="쉼표 [0] 2 15 4 2 2" xfId="9501" xr:uid="{00000000-0005-0000-0000-0000BF210000}"/>
    <cellStyle name="쉼표 [0] 2 15 5" xfId="9502" xr:uid="{00000000-0005-0000-0000-0000C0210000}"/>
    <cellStyle name="쉼표 [0] 2 15 5 2" xfId="9503" xr:uid="{00000000-0005-0000-0000-0000C1210000}"/>
    <cellStyle name="쉼표 [0] 2 15 5 2 2" xfId="9504" xr:uid="{00000000-0005-0000-0000-0000C2210000}"/>
    <cellStyle name="쉼표 [0] 2 15 6" xfId="9505" xr:uid="{00000000-0005-0000-0000-0000C3210000}"/>
    <cellStyle name="쉼표 [0] 2 15 6 2" xfId="9506" xr:uid="{00000000-0005-0000-0000-0000C4210000}"/>
    <cellStyle name="쉼표 [0] 2 15 6 3" xfId="9507" xr:uid="{00000000-0005-0000-0000-0000C5210000}"/>
    <cellStyle name="쉼표 [0] 2 15 7" xfId="9508" xr:uid="{00000000-0005-0000-0000-0000C6210000}"/>
    <cellStyle name="쉼표 [0] 2 16" xfId="9509" xr:uid="{00000000-0005-0000-0000-0000C7210000}"/>
    <cellStyle name="쉼표 [0] 2 16 2" xfId="9510" xr:uid="{00000000-0005-0000-0000-0000C8210000}"/>
    <cellStyle name="쉼표 [0] 2 16 2 2" xfId="9511" xr:uid="{00000000-0005-0000-0000-0000C9210000}"/>
    <cellStyle name="쉼표 [0] 2 16 2 2 2" xfId="9512" xr:uid="{00000000-0005-0000-0000-0000CA210000}"/>
    <cellStyle name="쉼표 [0] 2 16 3" xfId="9513" xr:uid="{00000000-0005-0000-0000-0000CB210000}"/>
    <cellStyle name="쉼표 [0] 2 16 3 2" xfId="9514" xr:uid="{00000000-0005-0000-0000-0000CC210000}"/>
    <cellStyle name="쉼표 [0] 2 16 3 2 2" xfId="9515" xr:uid="{00000000-0005-0000-0000-0000CD210000}"/>
    <cellStyle name="쉼표 [0] 2 16 4" xfId="9516" xr:uid="{00000000-0005-0000-0000-0000CE210000}"/>
    <cellStyle name="쉼표 [0] 2 16 4 2" xfId="9517" xr:uid="{00000000-0005-0000-0000-0000CF210000}"/>
    <cellStyle name="쉼표 [0] 2 16 4 2 2" xfId="9518" xr:uid="{00000000-0005-0000-0000-0000D0210000}"/>
    <cellStyle name="쉼표 [0] 2 16 5" xfId="9519" xr:uid="{00000000-0005-0000-0000-0000D1210000}"/>
    <cellStyle name="쉼표 [0] 2 16 5 2" xfId="9520" xr:uid="{00000000-0005-0000-0000-0000D2210000}"/>
    <cellStyle name="쉼표 [0] 2 16 5 2 2" xfId="9521" xr:uid="{00000000-0005-0000-0000-0000D3210000}"/>
    <cellStyle name="쉼표 [0] 2 16 6" xfId="9522" xr:uid="{00000000-0005-0000-0000-0000D4210000}"/>
    <cellStyle name="쉼표 [0] 2 16 6 2" xfId="9523" xr:uid="{00000000-0005-0000-0000-0000D5210000}"/>
    <cellStyle name="쉼표 [0] 2 16 6 3" xfId="9524" xr:uid="{00000000-0005-0000-0000-0000D6210000}"/>
    <cellStyle name="쉼표 [0] 2 16 7" xfId="9525" xr:uid="{00000000-0005-0000-0000-0000D7210000}"/>
    <cellStyle name="쉼표 [0] 2 17" xfId="9526" xr:uid="{00000000-0005-0000-0000-0000D8210000}"/>
    <cellStyle name="쉼표 [0] 2 17 2" xfId="9527" xr:uid="{00000000-0005-0000-0000-0000D9210000}"/>
    <cellStyle name="쉼표 [0] 2 17 2 2" xfId="9528" xr:uid="{00000000-0005-0000-0000-0000DA210000}"/>
    <cellStyle name="쉼표 [0] 2 17 2 2 2" xfId="9529" xr:uid="{00000000-0005-0000-0000-0000DB210000}"/>
    <cellStyle name="쉼표 [0] 2 17 3" xfId="9530" xr:uid="{00000000-0005-0000-0000-0000DC210000}"/>
    <cellStyle name="쉼표 [0] 2 17 3 2" xfId="9531" xr:uid="{00000000-0005-0000-0000-0000DD210000}"/>
    <cellStyle name="쉼표 [0] 2 17 3 2 2" xfId="9532" xr:uid="{00000000-0005-0000-0000-0000DE210000}"/>
    <cellStyle name="쉼표 [0] 2 17 4" xfId="9533" xr:uid="{00000000-0005-0000-0000-0000DF210000}"/>
    <cellStyle name="쉼표 [0] 2 17 4 2" xfId="9534" xr:uid="{00000000-0005-0000-0000-0000E0210000}"/>
    <cellStyle name="쉼표 [0] 2 17 4 2 2" xfId="9535" xr:uid="{00000000-0005-0000-0000-0000E1210000}"/>
    <cellStyle name="쉼표 [0] 2 17 5" xfId="9536" xr:uid="{00000000-0005-0000-0000-0000E2210000}"/>
    <cellStyle name="쉼표 [0] 2 17 5 2" xfId="9537" xr:uid="{00000000-0005-0000-0000-0000E3210000}"/>
    <cellStyle name="쉼표 [0] 2 17 5 2 2" xfId="9538" xr:uid="{00000000-0005-0000-0000-0000E4210000}"/>
    <cellStyle name="쉼표 [0] 2 17 6" xfId="9539" xr:uid="{00000000-0005-0000-0000-0000E5210000}"/>
    <cellStyle name="쉼표 [0] 2 17 6 2" xfId="9540" xr:uid="{00000000-0005-0000-0000-0000E6210000}"/>
    <cellStyle name="쉼표 [0] 2 17 6 3" xfId="9541" xr:uid="{00000000-0005-0000-0000-0000E7210000}"/>
    <cellStyle name="쉼표 [0] 2 17 7" xfId="9542" xr:uid="{00000000-0005-0000-0000-0000E8210000}"/>
    <cellStyle name="쉼표 [0] 2 18" xfId="9543" xr:uid="{00000000-0005-0000-0000-0000E9210000}"/>
    <cellStyle name="쉼표 [0] 2 18 2" xfId="9544" xr:uid="{00000000-0005-0000-0000-0000EA210000}"/>
    <cellStyle name="쉼표 [0] 2 18 2 2" xfId="9545" xr:uid="{00000000-0005-0000-0000-0000EB210000}"/>
    <cellStyle name="쉼표 [0] 2 18 2 2 2" xfId="9546" xr:uid="{00000000-0005-0000-0000-0000EC210000}"/>
    <cellStyle name="쉼표 [0] 2 18 3" xfId="9547" xr:uid="{00000000-0005-0000-0000-0000ED210000}"/>
    <cellStyle name="쉼표 [0] 2 18 3 2" xfId="9548" xr:uid="{00000000-0005-0000-0000-0000EE210000}"/>
    <cellStyle name="쉼표 [0] 2 18 3 2 2" xfId="9549" xr:uid="{00000000-0005-0000-0000-0000EF210000}"/>
    <cellStyle name="쉼표 [0] 2 18 4" xfId="9550" xr:uid="{00000000-0005-0000-0000-0000F0210000}"/>
    <cellStyle name="쉼표 [0] 2 18 4 2" xfId="9551" xr:uid="{00000000-0005-0000-0000-0000F1210000}"/>
    <cellStyle name="쉼표 [0] 2 18 4 2 2" xfId="9552" xr:uid="{00000000-0005-0000-0000-0000F2210000}"/>
    <cellStyle name="쉼표 [0] 2 18 5" xfId="9553" xr:uid="{00000000-0005-0000-0000-0000F3210000}"/>
    <cellStyle name="쉼표 [0] 2 18 5 2" xfId="9554" xr:uid="{00000000-0005-0000-0000-0000F4210000}"/>
    <cellStyle name="쉼표 [0] 2 18 5 2 2" xfId="9555" xr:uid="{00000000-0005-0000-0000-0000F5210000}"/>
    <cellStyle name="쉼표 [0] 2 18 6" xfId="9556" xr:uid="{00000000-0005-0000-0000-0000F6210000}"/>
    <cellStyle name="쉼표 [0] 2 18 6 2" xfId="9557" xr:uid="{00000000-0005-0000-0000-0000F7210000}"/>
    <cellStyle name="쉼표 [0] 2 18 6 3" xfId="9558" xr:uid="{00000000-0005-0000-0000-0000F8210000}"/>
    <cellStyle name="쉼표 [0] 2 18 7" xfId="9559" xr:uid="{00000000-0005-0000-0000-0000F9210000}"/>
    <cellStyle name="쉼표 [0] 2 19" xfId="9560" xr:uid="{00000000-0005-0000-0000-0000FA210000}"/>
    <cellStyle name="쉼표 [0] 2 19 2" xfId="9561" xr:uid="{00000000-0005-0000-0000-0000FB210000}"/>
    <cellStyle name="쉼표 [0] 2 19 2 2" xfId="9562" xr:uid="{00000000-0005-0000-0000-0000FC210000}"/>
    <cellStyle name="쉼표 [0] 2 19 2 2 2" xfId="9563" xr:uid="{00000000-0005-0000-0000-0000FD210000}"/>
    <cellStyle name="쉼표 [0] 2 19 2 2 3" xfId="9564" xr:uid="{00000000-0005-0000-0000-0000FE210000}"/>
    <cellStyle name="쉼표 [0] 2 19 2 3" xfId="9565" xr:uid="{00000000-0005-0000-0000-0000FF210000}"/>
    <cellStyle name="쉼표 [0] 2 19 3" xfId="9566" xr:uid="{00000000-0005-0000-0000-000000220000}"/>
    <cellStyle name="쉼표 [0] 2 19 3 2" xfId="9567" xr:uid="{00000000-0005-0000-0000-000001220000}"/>
    <cellStyle name="쉼표 [0] 2 19 3 2 2" xfId="9568" xr:uid="{00000000-0005-0000-0000-000002220000}"/>
    <cellStyle name="쉼표 [0] 2 19 3 2 3" xfId="9569" xr:uid="{00000000-0005-0000-0000-000003220000}"/>
    <cellStyle name="쉼표 [0] 2 19 3 3" xfId="9570" xr:uid="{00000000-0005-0000-0000-000004220000}"/>
    <cellStyle name="쉼표 [0] 2 19 4" xfId="9571" xr:uid="{00000000-0005-0000-0000-000005220000}"/>
    <cellStyle name="쉼표 [0] 2 19 4 2" xfId="9572" xr:uid="{00000000-0005-0000-0000-000006220000}"/>
    <cellStyle name="쉼표 [0] 2 19 4 2 2" xfId="9573" xr:uid="{00000000-0005-0000-0000-000007220000}"/>
    <cellStyle name="쉼표 [0] 2 19 4 2 3" xfId="9574" xr:uid="{00000000-0005-0000-0000-000008220000}"/>
    <cellStyle name="쉼표 [0] 2 19 4 3" xfId="9575" xr:uid="{00000000-0005-0000-0000-000009220000}"/>
    <cellStyle name="쉼표 [0] 2 19 5" xfId="9576" xr:uid="{00000000-0005-0000-0000-00000A220000}"/>
    <cellStyle name="쉼표 [0] 2 19 5 2" xfId="9577" xr:uid="{00000000-0005-0000-0000-00000B220000}"/>
    <cellStyle name="쉼표 [0] 2 19 5 2 2" xfId="9578" xr:uid="{00000000-0005-0000-0000-00000C220000}"/>
    <cellStyle name="쉼표 [0] 2 19 5 2 3" xfId="9579" xr:uid="{00000000-0005-0000-0000-00000D220000}"/>
    <cellStyle name="쉼표 [0] 2 19 5 3" xfId="9580" xr:uid="{00000000-0005-0000-0000-00000E220000}"/>
    <cellStyle name="쉼표 [0] 2 19 6" xfId="9581" xr:uid="{00000000-0005-0000-0000-00000F220000}"/>
    <cellStyle name="쉼표 [0] 2 19 6 2" xfId="9582" xr:uid="{00000000-0005-0000-0000-000010220000}"/>
    <cellStyle name="쉼표 [0] 2 19 6 3" xfId="9583" xr:uid="{00000000-0005-0000-0000-000011220000}"/>
    <cellStyle name="쉼표 [0] 2 19 7" xfId="9584" xr:uid="{00000000-0005-0000-0000-000012220000}"/>
    <cellStyle name="쉼표 [0] 2 2" xfId="974" xr:uid="{00000000-0005-0000-0000-000013220000}"/>
    <cellStyle name="쉼표 [0] 2 2 10" xfId="9585" xr:uid="{00000000-0005-0000-0000-000014220000}"/>
    <cellStyle name="쉼표 [0] 2 2 2" xfId="1413" xr:uid="{00000000-0005-0000-0000-000015220000}"/>
    <cellStyle name="쉼표 [0] 2 2 2 2" xfId="1414" xr:uid="{00000000-0005-0000-0000-000016220000}"/>
    <cellStyle name="쉼표 [0] 2 2 2 2 2" xfId="4951" xr:uid="{00000000-0005-0000-0000-000017220000}"/>
    <cellStyle name="쉼표 [0] 2 2 2 2 2 2" xfId="9586" xr:uid="{00000000-0005-0000-0000-000018220000}"/>
    <cellStyle name="쉼표 [0] 2 2 2 2 2 3" xfId="9587" xr:uid="{00000000-0005-0000-0000-000019220000}"/>
    <cellStyle name="쉼표 [0] 2 2 2 2 3" xfId="9588" xr:uid="{00000000-0005-0000-0000-00001A220000}"/>
    <cellStyle name="쉼표 [0] 2 2 2 3" xfId="5104" xr:uid="{00000000-0005-0000-0000-00001B220000}"/>
    <cellStyle name="쉼표 [0] 2 2 2 3 2" xfId="9589" xr:uid="{00000000-0005-0000-0000-00001C220000}"/>
    <cellStyle name="쉼표 [0] 2 2 2 3 2 2" xfId="9590" xr:uid="{00000000-0005-0000-0000-00001D220000}"/>
    <cellStyle name="쉼표 [0] 2 2 2 3 2 3" xfId="9591" xr:uid="{00000000-0005-0000-0000-00001E220000}"/>
    <cellStyle name="쉼표 [0] 2 2 2 3 3" xfId="9592" xr:uid="{00000000-0005-0000-0000-00001F220000}"/>
    <cellStyle name="쉼표 [0] 2 2 2 4" xfId="9593" xr:uid="{00000000-0005-0000-0000-000020220000}"/>
    <cellStyle name="쉼표 [0] 2 2 2 4 2" xfId="9594" xr:uid="{00000000-0005-0000-0000-000021220000}"/>
    <cellStyle name="쉼표 [0] 2 2 2 4 2 2" xfId="9595" xr:uid="{00000000-0005-0000-0000-000022220000}"/>
    <cellStyle name="쉼표 [0] 2 2 2 4 2 3" xfId="9596" xr:uid="{00000000-0005-0000-0000-000023220000}"/>
    <cellStyle name="쉼표 [0] 2 2 2 4 3" xfId="9597" xr:uid="{00000000-0005-0000-0000-000024220000}"/>
    <cellStyle name="쉼표 [0] 2 2 2 5" xfId="9598" xr:uid="{00000000-0005-0000-0000-000025220000}"/>
    <cellStyle name="쉼표 [0] 2 2 2 5 2" xfId="9599" xr:uid="{00000000-0005-0000-0000-000026220000}"/>
    <cellStyle name="쉼표 [0] 2 2 2 5 2 2" xfId="9600" xr:uid="{00000000-0005-0000-0000-000027220000}"/>
    <cellStyle name="쉼표 [0] 2 2 2 5 2 3" xfId="9601" xr:uid="{00000000-0005-0000-0000-000028220000}"/>
    <cellStyle name="쉼표 [0] 2 2 2 5 3" xfId="9602" xr:uid="{00000000-0005-0000-0000-000029220000}"/>
    <cellStyle name="쉼표 [0] 2 2 2 6" xfId="9603" xr:uid="{00000000-0005-0000-0000-00002A220000}"/>
    <cellStyle name="쉼표 [0] 2 2 2 6 2" xfId="9604" xr:uid="{00000000-0005-0000-0000-00002B220000}"/>
    <cellStyle name="쉼표 [0] 2 2 2 6 2 2" xfId="9605" xr:uid="{00000000-0005-0000-0000-00002C220000}"/>
    <cellStyle name="쉼표 [0] 2 2 2 6 2 3" xfId="9606" xr:uid="{00000000-0005-0000-0000-00002D220000}"/>
    <cellStyle name="쉼표 [0] 2 2 2 6 3" xfId="9607" xr:uid="{00000000-0005-0000-0000-00002E220000}"/>
    <cellStyle name="쉼표 [0] 2 2 2 7" xfId="9608" xr:uid="{00000000-0005-0000-0000-00002F220000}"/>
    <cellStyle name="쉼표 [0] 2 2 2 7 2" xfId="9609" xr:uid="{00000000-0005-0000-0000-000030220000}"/>
    <cellStyle name="쉼표 [0] 2 2 2 7 2 2" xfId="9610" xr:uid="{00000000-0005-0000-0000-000031220000}"/>
    <cellStyle name="쉼표 [0] 2 2 2 8" xfId="9611" xr:uid="{00000000-0005-0000-0000-000032220000}"/>
    <cellStyle name="쉼표 [0] 2 2 2 8 2" xfId="9612" xr:uid="{00000000-0005-0000-0000-000033220000}"/>
    <cellStyle name="쉼표 [0] 2 2 2 8 2 2" xfId="9613" xr:uid="{00000000-0005-0000-0000-000034220000}"/>
    <cellStyle name="쉼표 [0] 2 2 2 8 2 2 2" xfId="9614" xr:uid="{00000000-0005-0000-0000-000035220000}"/>
    <cellStyle name="쉼표 [0] 2 2 3" xfId="1415" xr:uid="{00000000-0005-0000-0000-000036220000}"/>
    <cellStyle name="쉼표 [0] 2 2 3 2" xfId="4952" xr:uid="{00000000-0005-0000-0000-000037220000}"/>
    <cellStyle name="쉼표 [0] 2 2 3 2 2" xfId="9615" xr:uid="{00000000-0005-0000-0000-000038220000}"/>
    <cellStyle name="쉼표 [0] 2 2 4" xfId="4950" xr:uid="{00000000-0005-0000-0000-000039220000}"/>
    <cellStyle name="쉼표 [0] 2 2 4 2" xfId="9616" xr:uid="{00000000-0005-0000-0000-00003A220000}"/>
    <cellStyle name="쉼표 [0] 2 2 4 2 2" xfId="9617" xr:uid="{00000000-0005-0000-0000-00003B220000}"/>
    <cellStyle name="쉼표 [0] 2 2 5" xfId="9618" xr:uid="{00000000-0005-0000-0000-00003C220000}"/>
    <cellStyle name="쉼표 [0] 2 2 5 2" xfId="9619" xr:uid="{00000000-0005-0000-0000-00003D220000}"/>
    <cellStyle name="쉼표 [0] 2 2 5 2 2" xfId="9620" xr:uid="{00000000-0005-0000-0000-00003E220000}"/>
    <cellStyle name="쉼표 [0] 2 2 6" xfId="9621" xr:uid="{00000000-0005-0000-0000-00003F220000}"/>
    <cellStyle name="쉼표 [0] 2 2 6 2" xfId="9622" xr:uid="{00000000-0005-0000-0000-000040220000}"/>
    <cellStyle name="쉼표 [0] 2 2 6 2 2" xfId="9623" xr:uid="{00000000-0005-0000-0000-000041220000}"/>
    <cellStyle name="쉼표 [0] 2 2 7" xfId="9624" xr:uid="{00000000-0005-0000-0000-000042220000}"/>
    <cellStyle name="쉼표 [0] 2 2 7 2" xfId="9625" xr:uid="{00000000-0005-0000-0000-000043220000}"/>
    <cellStyle name="쉼표 [0] 2 2 7 2 2" xfId="9626" xr:uid="{00000000-0005-0000-0000-000044220000}"/>
    <cellStyle name="쉼표 [0] 2 2 7 2 3" xfId="9627" xr:uid="{00000000-0005-0000-0000-000045220000}"/>
    <cellStyle name="쉼표 [0] 2 2 7 3" xfId="9628" xr:uid="{00000000-0005-0000-0000-000046220000}"/>
    <cellStyle name="쉼표 [0] 2 2 8" xfId="9629" xr:uid="{00000000-0005-0000-0000-000047220000}"/>
    <cellStyle name="쉼표 [0] 2 2 8 2" xfId="9630" xr:uid="{00000000-0005-0000-0000-000048220000}"/>
    <cellStyle name="쉼표 [0] 2 2 8 3" xfId="9631" xr:uid="{00000000-0005-0000-0000-000049220000}"/>
    <cellStyle name="쉼표 [0] 2 2 9" xfId="9632" xr:uid="{00000000-0005-0000-0000-00004A220000}"/>
    <cellStyle name="쉼표 [0] 2 20" xfId="9633" xr:uid="{00000000-0005-0000-0000-00004B220000}"/>
    <cellStyle name="쉼표 [0] 2 20 2" xfId="9634" xr:uid="{00000000-0005-0000-0000-00004C220000}"/>
    <cellStyle name="쉼표 [0] 2 20 2 2" xfId="9635" xr:uid="{00000000-0005-0000-0000-00004D220000}"/>
    <cellStyle name="쉼표 [0] 2 20 2 2 2" xfId="9636" xr:uid="{00000000-0005-0000-0000-00004E220000}"/>
    <cellStyle name="쉼표 [0] 2 20 2 2 3" xfId="9637" xr:uid="{00000000-0005-0000-0000-00004F220000}"/>
    <cellStyle name="쉼표 [0] 2 20 2 3" xfId="9638" xr:uid="{00000000-0005-0000-0000-000050220000}"/>
    <cellStyle name="쉼표 [0] 2 20 3" xfId="9639" xr:uid="{00000000-0005-0000-0000-000051220000}"/>
    <cellStyle name="쉼표 [0] 2 20 3 2" xfId="9640" xr:uid="{00000000-0005-0000-0000-000052220000}"/>
    <cellStyle name="쉼표 [0] 2 20 3 2 2" xfId="9641" xr:uid="{00000000-0005-0000-0000-000053220000}"/>
    <cellStyle name="쉼표 [0] 2 20 3 2 3" xfId="9642" xr:uid="{00000000-0005-0000-0000-000054220000}"/>
    <cellStyle name="쉼표 [0] 2 20 3 3" xfId="9643" xr:uid="{00000000-0005-0000-0000-000055220000}"/>
    <cellStyle name="쉼표 [0] 2 20 4" xfId="9644" xr:uid="{00000000-0005-0000-0000-000056220000}"/>
    <cellStyle name="쉼표 [0] 2 20 4 2" xfId="9645" xr:uid="{00000000-0005-0000-0000-000057220000}"/>
    <cellStyle name="쉼표 [0] 2 20 4 2 2" xfId="9646" xr:uid="{00000000-0005-0000-0000-000058220000}"/>
    <cellStyle name="쉼표 [0] 2 20 4 2 3" xfId="9647" xr:uid="{00000000-0005-0000-0000-000059220000}"/>
    <cellStyle name="쉼표 [0] 2 20 4 3" xfId="9648" xr:uid="{00000000-0005-0000-0000-00005A220000}"/>
    <cellStyle name="쉼표 [0] 2 20 5" xfId="9649" xr:uid="{00000000-0005-0000-0000-00005B220000}"/>
    <cellStyle name="쉼표 [0] 2 20 5 2" xfId="9650" xr:uid="{00000000-0005-0000-0000-00005C220000}"/>
    <cellStyle name="쉼표 [0] 2 20 5 2 2" xfId="9651" xr:uid="{00000000-0005-0000-0000-00005D220000}"/>
    <cellStyle name="쉼표 [0] 2 20 5 2 3" xfId="9652" xr:uid="{00000000-0005-0000-0000-00005E220000}"/>
    <cellStyle name="쉼표 [0] 2 20 5 3" xfId="9653" xr:uid="{00000000-0005-0000-0000-00005F220000}"/>
    <cellStyle name="쉼표 [0] 2 20 6" xfId="9654" xr:uid="{00000000-0005-0000-0000-000060220000}"/>
    <cellStyle name="쉼표 [0] 2 20 6 2" xfId="9655" xr:uid="{00000000-0005-0000-0000-000061220000}"/>
    <cellStyle name="쉼표 [0] 2 20 6 3" xfId="9656" xr:uid="{00000000-0005-0000-0000-000062220000}"/>
    <cellStyle name="쉼표 [0] 2 20 7" xfId="9657" xr:uid="{00000000-0005-0000-0000-000063220000}"/>
    <cellStyle name="쉼표 [0] 2 21" xfId="9658" xr:uid="{00000000-0005-0000-0000-000064220000}"/>
    <cellStyle name="쉼표 [0] 2 21 2" xfId="9659" xr:uid="{00000000-0005-0000-0000-000065220000}"/>
    <cellStyle name="쉼표 [0] 2 21 2 2" xfId="9660" xr:uid="{00000000-0005-0000-0000-000066220000}"/>
    <cellStyle name="쉼표 [0] 2 21 2 3" xfId="9661" xr:uid="{00000000-0005-0000-0000-000067220000}"/>
    <cellStyle name="쉼표 [0] 2 21 3" xfId="9662" xr:uid="{00000000-0005-0000-0000-000068220000}"/>
    <cellStyle name="쉼표 [0] 2 22" xfId="9663" xr:uid="{00000000-0005-0000-0000-000069220000}"/>
    <cellStyle name="쉼표 [0] 2 22 2" xfId="9664" xr:uid="{00000000-0005-0000-0000-00006A220000}"/>
    <cellStyle name="쉼표 [0] 2 22 2 2" xfId="9665" xr:uid="{00000000-0005-0000-0000-00006B220000}"/>
    <cellStyle name="쉼표 [0] 2 22 2 3" xfId="9666" xr:uid="{00000000-0005-0000-0000-00006C220000}"/>
    <cellStyle name="쉼표 [0] 2 22 3" xfId="9667" xr:uid="{00000000-0005-0000-0000-00006D220000}"/>
    <cellStyle name="쉼표 [0] 2 23" xfId="9668" xr:uid="{00000000-0005-0000-0000-00006E220000}"/>
    <cellStyle name="쉼표 [0] 2 23 2" xfId="9669" xr:uid="{00000000-0005-0000-0000-00006F220000}"/>
    <cellStyle name="쉼표 [0] 2 23 2 2" xfId="9670" xr:uid="{00000000-0005-0000-0000-000070220000}"/>
    <cellStyle name="쉼표 [0] 2 23 2 3" xfId="9671" xr:uid="{00000000-0005-0000-0000-000071220000}"/>
    <cellStyle name="쉼표 [0] 2 23 3" xfId="9672" xr:uid="{00000000-0005-0000-0000-000072220000}"/>
    <cellStyle name="쉼표 [0] 2 24" xfId="9673" xr:uid="{00000000-0005-0000-0000-000073220000}"/>
    <cellStyle name="쉼표 [0] 2 24 2" xfId="9674" xr:uid="{00000000-0005-0000-0000-000074220000}"/>
    <cellStyle name="쉼표 [0] 2 24 2 2" xfId="9675" xr:uid="{00000000-0005-0000-0000-000075220000}"/>
    <cellStyle name="쉼표 [0] 2 24 2 3" xfId="9676" xr:uid="{00000000-0005-0000-0000-000076220000}"/>
    <cellStyle name="쉼표 [0] 2 24 3" xfId="9677" xr:uid="{00000000-0005-0000-0000-000077220000}"/>
    <cellStyle name="쉼표 [0] 2 25" xfId="9678" xr:uid="{00000000-0005-0000-0000-000078220000}"/>
    <cellStyle name="쉼표 [0] 2 25 2" xfId="9679" xr:uid="{00000000-0005-0000-0000-000079220000}"/>
    <cellStyle name="쉼표 [0] 2 25 2 2" xfId="9680" xr:uid="{00000000-0005-0000-0000-00007A220000}"/>
    <cellStyle name="쉼표 [0] 2 25 2 3" xfId="9681" xr:uid="{00000000-0005-0000-0000-00007B220000}"/>
    <cellStyle name="쉼표 [0] 2 25 3" xfId="9682" xr:uid="{00000000-0005-0000-0000-00007C220000}"/>
    <cellStyle name="쉼표 [0] 2 26" xfId="9683" xr:uid="{00000000-0005-0000-0000-00007D220000}"/>
    <cellStyle name="쉼표 [0] 2 26 2" xfId="9684" xr:uid="{00000000-0005-0000-0000-00007E220000}"/>
    <cellStyle name="쉼표 [0] 2 26 2 2" xfId="9685" xr:uid="{00000000-0005-0000-0000-00007F220000}"/>
    <cellStyle name="쉼표 [0] 2 26 2 3" xfId="9686" xr:uid="{00000000-0005-0000-0000-000080220000}"/>
    <cellStyle name="쉼표 [0] 2 26 3" xfId="9687" xr:uid="{00000000-0005-0000-0000-000081220000}"/>
    <cellStyle name="쉼표 [0] 2 27" xfId="9688" xr:uid="{00000000-0005-0000-0000-000082220000}"/>
    <cellStyle name="쉼표 [0] 2 27 2" xfId="9689" xr:uid="{00000000-0005-0000-0000-000083220000}"/>
    <cellStyle name="쉼표 [0] 2 27 2 2" xfId="9690" xr:uid="{00000000-0005-0000-0000-000084220000}"/>
    <cellStyle name="쉼표 [0] 2 27 2 3" xfId="9691" xr:uid="{00000000-0005-0000-0000-000085220000}"/>
    <cellStyle name="쉼표 [0] 2 27 3" xfId="9692" xr:uid="{00000000-0005-0000-0000-000086220000}"/>
    <cellStyle name="쉼표 [0] 2 28" xfId="9693" xr:uid="{00000000-0005-0000-0000-000087220000}"/>
    <cellStyle name="쉼표 [0] 2 28 2" xfId="9694" xr:uid="{00000000-0005-0000-0000-000088220000}"/>
    <cellStyle name="쉼표 [0] 2 28 3" xfId="9695" xr:uid="{00000000-0005-0000-0000-000089220000}"/>
    <cellStyle name="쉼표 [0] 2 29" xfId="9696" xr:uid="{00000000-0005-0000-0000-00008A220000}"/>
    <cellStyle name="쉼표 [0] 2 3" xfId="2394" xr:uid="{00000000-0005-0000-0000-00008B220000}"/>
    <cellStyle name="쉼표 [0] 2 3 2" xfId="1416" xr:uid="{00000000-0005-0000-0000-00008C220000}"/>
    <cellStyle name="쉼표 [0] 2 3 2 2" xfId="4953" xr:uid="{00000000-0005-0000-0000-00008D220000}"/>
    <cellStyle name="쉼표 [0] 2 3 2 2 2" xfId="9697" xr:uid="{00000000-0005-0000-0000-00008E220000}"/>
    <cellStyle name="쉼표 [0] 2 3 2 2 2 2" xfId="9698" xr:uid="{00000000-0005-0000-0000-00008F220000}"/>
    <cellStyle name="쉼표 [0] 2 3 2 3" xfId="9699" xr:uid="{00000000-0005-0000-0000-000090220000}"/>
    <cellStyle name="쉼표 [0] 2 3 2 3 2" xfId="9700" xr:uid="{00000000-0005-0000-0000-000091220000}"/>
    <cellStyle name="쉼표 [0] 2 3 2 3 2 2" xfId="9701" xr:uid="{00000000-0005-0000-0000-000092220000}"/>
    <cellStyle name="쉼표 [0] 2 3 2 4" xfId="9702" xr:uid="{00000000-0005-0000-0000-000093220000}"/>
    <cellStyle name="쉼표 [0] 2 3 2 4 2" xfId="9703" xr:uid="{00000000-0005-0000-0000-000094220000}"/>
    <cellStyle name="쉼표 [0] 2 3 2 4 2 2" xfId="9704" xr:uid="{00000000-0005-0000-0000-000095220000}"/>
    <cellStyle name="쉼표 [0] 2 3 2 5" xfId="9705" xr:uid="{00000000-0005-0000-0000-000096220000}"/>
    <cellStyle name="쉼표 [0] 2 3 2 5 2" xfId="9706" xr:uid="{00000000-0005-0000-0000-000097220000}"/>
    <cellStyle name="쉼표 [0] 2 3 2 5 2 2" xfId="9707" xr:uid="{00000000-0005-0000-0000-000098220000}"/>
    <cellStyle name="쉼표 [0] 2 3 2 6" xfId="9708" xr:uid="{00000000-0005-0000-0000-000099220000}"/>
    <cellStyle name="쉼표 [0] 2 3 2 6 2" xfId="9709" xr:uid="{00000000-0005-0000-0000-00009A220000}"/>
    <cellStyle name="쉼표 [0] 2 3 2 8" xfId="10752" xr:uid="{00000000-0005-0000-0000-00009B220000}"/>
    <cellStyle name="쉼표 [0] 2 3 3" xfId="9710" xr:uid="{00000000-0005-0000-0000-00009C220000}"/>
    <cellStyle name="쉼표 [0] 2 3 3 2" xfId="9711" xr:uid="{00000000-0005-0000-0000-00009D220000}"/>
    <cellStyle name="쉼표 [0] 2 3 3 2 2" xfId="9712" xr:uid="{00000000-0005-0000-0000-00009E220000}"/>
    <cellStyle name="쉼표 [0] 2 3 4" xfId="9713" xr:uid="{00000000-0005-0000-0000-00009F220000}"/>
    <cellStyle name="쉼표 [0] 2 3 4 2" xfId="9714" xr:uid="{00000000-0005-0000-0000-0000A0220000}"/>
    <cellStyle name="쉼표 [0] 2 3 4 2 2" xfId="9715" xr:uid="{00000000-0005-0000-0000-0000A1220000}"/>
    <cellStyle name="쉼표 [0] 2 3 5" xfId="9716" xr:uid="{00000000-0005-0000-0000-0000A2220000}"/>
    <cellStyle name="쉼표 [0] 2 3 5 2" xfId="9717" xr:uid="{00000000-0005-0000-0000-0000A3220000}"/>
    <cellStyle name="쉼표 [0] 2 3 5 2 2" xfId="9718" xr:uid="{00000000-0005-0000-0000-0000A4220000}"/>
    <cellStyle name="쉼표 [0] 2 3 6" xfId="9719" xr:uid="{00000000-0005-0000-0000-0000A5220000}"/>
    <cellStyle name="쉼표 [0] 2 3 6 2" xfId="9720" xr:uid="{00000000-0005-0000-0000-0000A6220000}"/>
    <cellStyle name="쉼표 [0] 2 3 6 2 2" xfId="9721" xr:uid="{00000000-0005-0000-0000-0000A7220000}"/>
    <cellStyle name="쉼표 [0] 2 3 6 3" xfId="9722" xr:uid="{00000000-0005-0000-0000-0000A8220000}"/>
    <cellStyle name="쉼표 [0] 2 3 7" xfId="9723" xr:uid="{00000000-0005-0000-0000-0000A9220000}"/>
    <cellStyle name="쉼표 [0] 2 30" xfId="9724" xr:uid="{00000000-0005-0000-0000-0000AA220000}"/>
    <cellStyle name="쉼표 [0] 2 31" xfId="9725" xr:uid="{00000000-0005-0000-0000-0000AB220000}"/>
    <cellStyle name="쉼표 [0] 2 4" xfId="1417" xr:uid="{00000000-0005-0000-0000-0000AC220000}"/>
    <cellStyle name="쉼표 [0] 2 4 2" xfId="4954" xr:uid="{00000000-0005-0000-0000-0000AD220000}"/>
    <cellStyle name="쉼표 [0] 2 4 2 2" xfId="9726" xr:uid="{00000000-0005-0000-0000-0000AE220000}"/>
    <cellStyle name="쉼표 [0] 2 4 2 2 2" xfId="9727" xr:uid="{00000000-0005-0000-0000-0000AF220000}"/>
    <cellStyle name="쉼표 [0] 2 4 3" xfId="9728" xr:uid="{00000000-0005-0000-0000-0000B0220000}"/>
    <cellStyle name="쉼표 [0] 2 4 3 2" xfId="9729" xr:uid="{00000000-0005-0000-0000-0000B1220000}"/>
    <cellStyle name="쉼표 [0] 2 4 3 2 2" xfId="9730" xr:uid="{00000000-0005-0000-0000-0000B2220000}"/>
    <cellStyle name="쉼표 [0] 2 4 4" xfId="9731" xr:uid="{00000000-0005-0000-0000-0000B3220000}"/>
    <cellStyle name="쉼표 [0] 2 4 4 2" xfId="9732" xr:uid="{00000000-0005-0000-0000-0000B4220000}"/>
    <cellStyle name="쉼표 [0] 2 4 4 2 2" xfId="9733" xr:uid="{00000000-0005-0000-0000-0000B5220000}"/>
    <cellStyle name="쉼표 [0] 2 4 5" xfId="9734" xr:uid="{00000000-0005-0000-0000-0000B6220000}"/>
    <cellStyle name="쉼표 [0] 2 4 5 2" xfId="9735" xr:uid="{00000000-0005-0000-0000-0000B7220000}"/>
    <cellStyle name="쉼표 [0] 2 4 5 2 2" xfId="9736" xr:uid="{00000000-0005-0000-0000-0000B8220000}"/>
    <cellStyle name="쉼표 [0] 2 4 6" xfId="9737" xr:uid="{00000000-0005-0000-0000-0000B9220000}"/>
    <cellStyle name="쉼표 [0] 2 4 6 2" xfId="9738" xr:uid="{00000000-0005-0000-0000-0000BA220000}"/>
    <cellStyle name="쉼표 [0] 2 4 6 3" xfId="9739" xr:uid="{00000000-0005-0000-0000-0000BB220000}"/>
    <cellStyle name="쉼표 [0] 2 4 7" xfId="9740" xr:uid="{00000000-0005-0000-0000-0000BC220000}"/>
    <cellStyle name="쉼표 [0] 2 5" xfId="4955" xr:uid="{00000000-0005-0000-0000-0000BD220000}"/>
    <cellStyle name="쉼표 [0] 2 5 2" xfId="9741" xr:uid="{00000000-0005-0000-0000-0000BE220000}"/>
    <cellStyle name="쉼표 [0] 2 5 2 2" xfId="9742" xr:uid="{00000000-0005-0000-0000-0000BF220000}"/>
    <cellStyle name="쉼표 [0] 2 5 2 2 2" xfId="9743" xr:uid="{00000000-0005-0000-0000-0000C0220000}"/>
    <cellStyle name="쉼표 [0] 2 5 3" xfId="9744" xr:uid="{00000000-0005-0000-0000-0000C1220000}"/>
    <cellStyle name="쉼표 [0] 2 5 3 2" xfId="9745" xr:uid="{00000000-0005-0000-0000-0000C2220000}"/>
    <cellStyle name="쉼표 [0] 2 5 3 2 2" xfId="9746" xr:uid="{00000000-0005-0000-0000-0000C3220000}"/>
    <cellStyle name="쉼표 [0] 2 5 4" xfId="9747" xr:uid="{00000000-0005-0000-0000-0000C4220000}"/>
    <cellStyle name="쉼표 [0] 2 5 4 2" xfId="9748" xr:uid="{00000000-0005-0000-0000-0000C5220000}"/>
    <cellStyle name="쉼표 [0] 2 5 4 2 2" xfId="9749" xr:uid="{00000000-0005-0000-0000-0000C6220000}"/>
    <cellStyle name="쉼표 [0] 2 5 5" xfId="9750" xr:uid="{00000000-0005-0000-0000-0000C7220000}"/>
    <cellStyle name="쉼표 [0] 2 5 5 2" xfId="9751" xr:uid="{00000000-0005-0000-0000-0000C8220000}"/>
    <cellStyle name="쉼표 [0] 2 5 5 2 2" xfId="9752" xr:uid="{00000000-0005-0000-0000-0000C9220000}"/>
    <cellStyle name="쉼표 [0] 2 5 6" xfId="9753" xr:uid="{00000000-0005-0000-0000-0000CA220000}"/>
    <cellStyle name="쉼표 [0] 2 5 6 2" xfId="9754" xr:uid="{00000000-0005-0000-0000-0000CB220000}"/>
    <cellStyle name="쉼표 [0] 2 5 6 3" xfId="9755" xr:uid="{00000000-0005-0000-0000-0000CC220000}"/>
    <cellStyle name="쉼표 [0] 2 5 7" xfId="9756" xr:uid="{00000000-0005-0000-0000-0000CD220000}"/>
    <cellStyle name="쉼표 [0] 2 6" xfId="4956" xr:uid="{00000000-0005-0000-0000-0000CE220000}"/>
    <cellStyle name="쉼표 [0] 2 6 2" xfId="9757" xr:uid="{00000000-0005-0000-0000-0000CF220000}"/>
    <cellStyle name="쉼표 [0] 2 6 2 2" xfId="9758" xr:uid="{00000000-0005-0000-0000-0000D0220000}"/>
    <cellStyle name="쉼표 [0] 2 6 2 2 2" xfId="9759" xr:uid="{00000000-0005-0000-0000-0000D1220000}"/>
    <cellStyle name="쉼표 [0] 2 6 3" xfId="9760" xr:uid="{00000000-0005-0000-0000-0000D2220000}"/>
    <cellStyle name="쉼표 [0] 2 6 3 2" xfId="9761" xr:uid="{00000000-0005-0000-0000-0000D3220000}"/>
    <cellStyle name="쉼표 [0] 2 6 3 2 2" xfId="9762" xr:uid="{00000000-0005-0000-0000-0000D4220000}"/>
    <cellStyle name="쉼표 [0] 2 6 4" xfId="9763" xr:uid="{00000000-0005-0000-0000-0000D5220000}"/>
    <cellStyle name="쉼표 [0] 2 6 4 2" xfId="9764" xr:uid="{00000000-0005-0000-0000-0000D6220000}"/>
    <cellStyle name="쉼표 [0] 2 6 4 2 2" xfId="9765" xr:uid="{00000000-0005-0000-0000-0000D7220000}"/>
    <cellStyle name="쉼표 [0] 2 6 5" xfId="9766" xr:uid="{00000000-0005-0000-0000-0000D8220000}"/>
    <cellStyle name="쉼표 [0] 2 6 5 2" xfId="9767" xr:uid="{00000000-0005-0000-0000-0000D9220000}"/>
    <cellStyle name="쉼표 [0] 2 6 5 2 2" xfId="9768" xr:uid="{00000000-0005-0000-0000-0000DA220000}"/>
    <cellStyle name="쉼표 [0] 2 6 6" xfId="9769" xr:uid="{00000000-0005-0000-0000-0000DB220000}"/>
    <cellStyle name="쉼표 [0] 2 6 6 2" xfId="9770" xr:uid="{00000000-0005-0000-0000-0000DC220000}"/>
    <cellStyle name="쉼표 [0] 2 6 6 3" xfId="9771" xr:uid="{00000000-0005-0000-0000-0000DD220000}"/>
    <cellStyle name="쉼표 [0] 2 6 7" xfId="9772" xr:uid="{00000000-0005-0000-0000-0000DE220000}"/>
    <cellStyle name="쉼표 [0] 2 7" xfId="4957" xr:uid="{00000000-0005-0000-0000-0000DF220000}"/>
    <cellStyle name="쉼표 [0] 2 7 2" xfId="9773" xr:uid="{00000000-0005-0000-0000-0000E0220000}"/>
    <cellStyle name="쉼표 [0] 2 7 2 2" xfId="9774" xr:uid="{00000000-0005-0000-0000-0000E1220000}"/>
    <cellStyle name="쉼표 [0] 2 7 2 2 2" xfId="9775" xr:uid="{00000000-0005-0000-0000-0000E2220000}"/>
    <cellStyle name="쉼표 [0] 2 7 3" xfId="9776" xr:uid="{00000000-0005-0000-0000-0000E3220000}"/>
    <cellStyle name="쉼표 [0] 2 7 3 2" xfId="9777" xr:uid="{00000000-0005-0000-0000-0000E4220000}"/>
    <cellStyle name="쉼표 [0] 2 7 3 2 2" xfId="9778" xr:uid="{00000000-0005-0000-0000-0000E5220000}"/>
    <cellStyle name="쉼표 [0] 2 7 4" xfId="9779" xr:uid="{00000000-0005-0000-0000-0000E6220000}"/>
    <cellStyle name="쉼표 [0] 2 7 4 2" xfId="9780" xr:uid="{00000000-0005-0000-0000-0000E7220000}"/>
    <cellStyle name="쉼표 [0] 2 7 4 2 2" xfId="9781" xr:uid="{00000000-0005-0000-0000-0000E8220000}"/>
    <cellStyle name="쉼표 [0] 2 7 5" xfId="9782" xr:uid="{00000000-0005-0000-0000-0000E9220000}"/>
    <cellStyle name="쉼표 [0] 2 7 5 2" xfId="9783" xr:uid="{00000000-0005-0000-0000-0000EA220000}"/>
    <cellStyle name="쉼표 [0] 2 7 5 2 2" xfId="9784" xr:uid="{00000000-0005-0000-0000-0000EB220000}"/>
    <cellStyle name="쉼표 [0] 2 7 6" xfId="9785" xr:uid="{00000000-0005-0000-0000-0000EC220000}"/>
    <cellStyle name="쉼표 [0] 2 7 6 2" xfId="9786" xr:uid="{00000000-0005-0000-0000-0000ED220000}"/>
    <cellStyle name="쉼표 [0] 2 7 6 3" xfId="9787" xr:uid="{00000000-0005-0000-0000-0000EE220000}"/>
    <cellStyle name="쉼표 [0] 2 7 7" xfId="9788" xr:uid="{00000000-0005-0000-0000-0000EF220000}"/>
    <cellStyle name="쉼표 [0] 2 8" xfId="9789" xr:uid="{00000000-0005-0000-0000-0000F0220000}"/>
    <cellStyle name="쉼표 [0] 2 8 2" xfId="9790" xr:uid="{00000000-0005-0000-0000-0000F1220000}"/>
    <cellStyle name="쉼표 [0] 2 8 2 2" xfId="9791" xr:uid="{00000000-0005-0000-0000-0000F2220000}"/>
    <cellStyle name="쉼표 [0] 2 8 2 2 2" xfId="9792" xr:uid="{00000000-0005-0000-0000-0000F3220000}"/>
    <cellStyle name="쉼표 [0] 2 8 3" xfId="9793" xr:uid="{00000000-0005-0000-0000-0000F4220000}"/>
    <cellStyle name="쉼표 [0] 2 8 3 2" xfId="9794" xr:uid="{00000000-0005-0000-0000-0000F5220000}"/>
    <cellStyle name="쉼표 [0] 2 8 3 2 2" xfId="9795" xr:uid="{00000000-0005-0000-0000-0000F6220000}"/>
    <cellStyle name="쉼표 [0] 2 8 4" xfId="9796" xr:uid="{00000000-0005-0000-0000-0000F7220000}"/>
    <cellStyle name="쉼표 [0] 2 8 4 2" xfId="9797" xr:uid="{00000000-0005-0000-0000-0000F8220000}"/>
    <cellStyle name="쉼표 [0] 2 8 4 2 2" xfId="9798" xr:uid="{00000000-0005-0000-0000-0000F9220000}"/>
    <cellStyle name="쉼표 [0] 2 8 5" xfId="9799" xr:uid="{00000000-0005-0000-0000-0000FA220000}"/>
    <cellStyle name="쉼표 [0] 2 8 5 2" xfId="9800" xr:uid="{00000000-0005-0000-0000-0000FB220000}"/>
    <cellStyle name="쉼표 [0] 2 8 5 2 2" xfId="9801" xr:uid="{00000000-0005-0000-0000-0000FC220000}"/>
    <cellStyle name="쉼표 [0] 2 8 6" xfId="9802" xr:uid="{00000000-0005-0000-0000-0000FD220000}"/>
    <cellStyle name="쉼표 [0] 2 8 6 2" xfId="9803" xr:uid="{00000000-0005-0000-0000-0000FE220000}"/>
    <cellStyle name="쉼표 [0] 2 8 6 3" xfId="9804" xr:uid="{00000000-0005-0000-0000-0000FF220000}"/>
    <cellStyle name="쉼표 [0] 2 8 7" xfId="9805" xr:uid="{00000000-0005-0000-0000-000000230000}"/>
    <cellStyle name="쉼표 [0] 2 9" xfId="9806" xr:uid="{00000000-0005-0000-0000-000001230000}"/>
    <cellStyle name="쉼표 [0] 2 9 2" xfId="9807" xr:uid="{00000000-0005-0000-0000-000002230000}"/>
    <cellStyle name="쉼표 [0] 2 9 2 2" xfId="9808" xr:uid="{00000000-0005-0000-0000-000003230000}"/>
    <cellStyle name="쉼표 [0] 2 9 2 2 2" xfId="9809" xr:uid="{00000000-0005-0000-0000-000004230000}"/>
    <cellStyle name="쉼표 [0] 2 9 3" xfId="9810" xr:uid="{00000000-0005-0000-0000-000005230000}"/>
    <cellStyle name="쉼표 [0] 2 9 3 2" xfId="9811" xr:uid="{00000000-0005-0000-0000-000006230000}"/>
    <cellStyle name="쉼표 [0] 2 9 3 2 2" xfId="9812" xr:uid="{00000000-0005-0000-0000-000007230000}"/>
    <cellStyle name="쉼표 [0] 2 9 4" xfId="9813" xr:uid="{00000000-0005-0000-0000-000008230000}"/>
    <cellStyle name="쉼표 [0] 2 9 4 2" xfId="9814" xr:uid="{00000000-0005-0000-0000-000009230000}"/>
    <cellStyle name="쉼표 [0] 2 9 4 2 2" xfId="9815" xr:uid="{00000000-0005-0000-0000-00000A230000}"/>
    <cellStyle name="쉼표 [0] 2 9 5" xfId="9816" xr:uid="{00000000-0005-0000-0000-00000B230000}"/>
    <cellStyle name="쉼표 [0] 2 9 5 2" xfId="9817" xr:uid="{00000000-0005-0000-0000-00000C230000}"/>
    <cellStyle name="쉼표 [0] 2 9 5 2 2" xfId="9818" xr:uid="{00000000-0005-0000-0000-00000D230000}"/>
    <cellStyle name="쉼표 [0] 2 9 6" xfId="9819" xr:uid="{00000000-0005-0000-0000-00000E230000}"/>
    <cellStyle name="쉼표 [0] 2 9 6 2" xfId="9820" xr:uid="{00000000-0005-0000-0000-00000F230000}"/>
    <cellStyle name="쉼표 [0] 2 9 6 3" xfId="9821" xr:uid="{00000000-0005-0000-0000-000010230000}"/>
    <cellStyle name="쉼표 [0] 2 9 7" xfId="9822" xr:uid="{00000000-0005-0000-0000-000011230000}"/>
    <cellStyle name="쉼표 [0] 3" xfId="5113" xr:uid="{00000000-0005-0000-0000-000012230000}"/>
    <cellStyle name="쉼표 [0] 3 10" xfId="9823" xr:uid="{00000000-0005-0000-0000-000013230000}"/>
    <cellStyle name="쉼표 [0] 3 10 2" xfId="9824" xr:uid="{00000000-0005-0000-0000-000014230000}"/>
    <cellStyle name="쉼표 [0] 3 10 2 2" xfId="9825" xr:uid="{00000000-0005-0000-0000-000015230000}"/>
    <cellStyle name="쉼표 [0] 3 10 2 3" xfId="9826" xr:uid="{00000000-0005-0000-0000-000016230000}"/>
    <cellStyle name="쉼표 [0] 3 10 3" xfId="9827" xr:uid="{00000000-0005-0000-0000-000017230000}"/>
    <cellStyle name="쉼표 [0] 3 11" xfId="9828" xr:uid="{00000000-0005-0000-0000-000018230000}"/>
    <cellStyle name="쉼표 [0] 3 11 2" xfId="9829" xr:uid="{00000000-0005-0000-0000-000019230000}"/>
    <cellStyle name="쉼표 [0] 3 11 2 2" xfId="9830" xr:uid="{00000000-0005-0000-0000-00001A230000}"/>
    <cellStyle name="쉼표 [0] 3 11 2 3" xfId="9831" xr:uid="{00000000-0005-0000-0000-00001B230000}"/>
    <cellStyle name="쉼표 [0] 3 11 3" xfId="9832" xr:uid="{00000000-0005-0000-0000-00001C230000}"/>
    <cellStyle name="쉼표 [0] 3 12" xfId="9833" xr:uid="{00000000-0005-0000-0000-00001D230000}"/>
    <cellStyle name="쉼표 [0] 3 12 2" xfId="9834" xr:uid="{00000000-0005-0000-0000-00001E230000}"/>
    <cellStyle name="쉼표 [0] 3 12 2 2" xfId="9835" xr:uid="{00000000-0005-0000-0000-00001F230000}"/>
    <cellStyle name="쉼표 [0] 3 12 2 3" xfId="9836" xr:uid="{00000000-0005-0000-0000-000020230000}"/>
    <cellStyle name="쉼표 [0] 3 12 3" xfId="9837" xr:uid="{00000000-0005-0000-0000-000021230000}"/>
    <cellStyle name="쉼표 [0] 3 13" xfId="9838" xr:uid="{00000000-0005-0000-0000-000022230000}"/>
    <cellStyle name="쉼표 [0] 3 13 2" xfId="9839" xr:uid="{00000000-0005-0000-0000-000023230000}"/>
    <cellStyle name="쉼표 [0] 3 13 2 2" xfId="9840" xr:uid="{00000000-0005-0000-0000-000024230000}"/>
    <cellStyle name="쉼표 [0] 3 13 2 3" xfId="9841" xr:uid="{00000000-0005-0000-0000-000025230000}"/>
    <cellStyle name="쉼표 [0] 3 13 3" xfId="9842" xr:uid="{00000000-0005-0000-0000-000026230000}"/>
    <cellStyle name="쉼표 [0] 3 14" xfId="9843" xr:uid="{00000000-0005-0000-0000-000027230000}"/>
    <cellStyle name="쉼표 [0] 3 14 2" xfId="9844" xr:uid="{00000000-0005-0000-0000-000028230000}"/>
    <cellStyle name="쉼표 [0] 3 14 2 2" xfId="9845" xr:uid="{00000000-0005-0000-0000-000029230000}"/>
    <cellStyle name="쉼표 [0] 3 14 2 3" xfId="9846" xr:uid="{00000000-0005-0000-0000-00002A230000}"/>
    <cellStyle name="쉼표 [0] 3 14 3" xfId="9847" xr:uid="{00000000-0005-0000-0000-00002B230000}"/>
    <cellStyle name="쉼표 [0] 3 15" xfId="9848" xr:uid="{00000000-0005-0000-0000-00002C230000}"/>
    <cellStyle name="쉼표 [0] 3 15 2" xfId="9849" xr:uid="{00000000-0005-0000-0000-00002D230000}"/>
    <cellStyle name="쉼표 [0] 3 15 2 2" xfId="9850" xr:uid="{00000000-0005-0000-0000-00002E230000}"/>
    <cellStyle name="쉼표 [0] 3 15 2 3" xfId="9851" xr:uid="{00000000-0005-0000-0000-00002F230000}"/>
    <cellStyle name="쉼표 [0] 3 15 3" xfId="9852" xr:uid="{00000000-0005-0000-0000-000030230000}"/>
    <cellStyle name="쉼표 [0] 3 16" xfId="9853" xr:uid="{00000000-0005-0000-0000-000031230000}"/>
    <cellStyle name="쉼표 [0] 3 16 2" xfId="9854" xr:uid="{00000000-0005-0000-0000-000032230000}"/>
    <cellStyle name="쉼표 [0] 3 16 2 2" xfId="9855" xr:uid="{00000000-0005-0000-0000-000033230000}"/>
    <cellStyle name="쉼표 [0] 3 16 2 3" xfId="9856" xr:uid="{00000000-0005-0000-0000-000034230000}"/>
    <cellStyle name="쉼표 [0] 3 16 3" xfId="9857" xr:uid="{00000000-0005-0000-0000-000035230000}"/>
    <cellStyle name="쉼표 [0] 3 17" xfId="9858" xr:uid="{00000000-0005-0000-0000-000036230000}"/>
    <cellStyle name="쉼표 [0] 3 17 2" xfId="9859" xr:uid="{00000000-0005-0000-0000-000037230000}"/>
    <cellStyle name="쉼표 [0] 3 17 2 2" xfId="9860" xr:uid="{00000000-0005-0000-0000-000038230000}"/>
    <cellStyle name="쉼표 [0] 3 17 2 3" xfId="9861" xr:uid="{00000000-0005-0000-0000-000039230000}"/>
    <cellStyle name="쉼표 [0] 3 17 3" xfId="9862" xr:uid="{00000000-0005-0000-0000-00003A230000}"/>
    <cellStyle name="쉼표 [0] 3 18" xfId="9863" xr:uid="{00000000-0005-0000-0000-00003B230000}"/>
    <cellStyle name="쉼표 [0] 3 18 2" xfId="9864" xr:uid="{00000000-0005-0000-0000-00003C230000}"/>
    <cellStyle name="쉼표 [0] 3 18 2 2" xfId="9865" xr:uid="{00000000-0005-0000-0000-00003D230000}"/>
    <cellStyle name="쉼표 [0] 3 18 2 3" xfId="9866" xr:uid="{00000000-0005-0000-0000-00003E230000}"/>
    <cellStyle name="쉼표 [0] 3 18 3" xfId="9867" xr:uid="{00000000-0005-0000-0000-00003F230000}"/>
    <cellStyle name="쉼표 [0] 3 19" xfId="9868" xr:uid="{00000000-0005-0000-0000-000040230000}"/>
    <cellStyle name="쉼표 [0] 3 19 2" xfId="9869" xr:uid="{00000000-0005-0000-0000-000041230000}"/>
    <cellStyle name="쉼표 [0] 3 19 2 2" xfId="9870" xr:uid="{00000000-0005-0000-0000-000042230000}"/>
    <cellStyle name="쉼표 [0] 3 19 2 3" xfId="9871" xr:uid="{00000000-0005-0000-0000-000043230000}"/>
    <cellStyle name="쉼표 [0] 3 19 3" xfId="9872" xr:uid="{00000000-0005-0000-0000-000044230000}"/>
    <cellStyle name="쉼표 [0] 3 2" xfId="1418" xr:uid="{00000000-0005-0000-0000-000045230000}"/>
    <cellStyle name="쉼표 [0] 3 2 2" xfId="4958" xr:uid="{00000000-0005-0000-0000-000046230000}"/>
    <cellStyle name="쉼표 [0] 3 2 2 2" xfId="9873" xr:uid="{00000000-0005-0000-0000-000047230000}"/>
    <cellStyle name="쉼표 [0] 3 2 2 2 2" xfId="9874" xr:uid="{00000000-0005-0000-0000-000048230000}"/>
    <cellStyle name="쉼표 [0] 3 2 2 3" xfId="9875" xr:uid="{00000000-0005-0000-0000-000049230000}"/>
    <cellStyle name="쉼표 [0] 3 2 3" xfId="9876" xr:uid="{00000000-0005-0000-0000-00004A230000}"/>
    <cellStyle name="쉼표 [0] 3 20" xfId="9877" xr:uid="{00000000-0005-0000-0000-00004B230000}"/>
    <cellStyle name="쉼표 [0] 3 20 2" xfId="9878" xr:uid="{00000000-0005-0000-0000-00004C230000}"/>
    <cellStyle name="쉼표 [0] 3 20 2 2" xfId="9879" xr:uid="{00000000-0005-0000-0000-00004D230000}"/>
    <cellStyle name="쉼표 [0] 3 20 2 3" xfId="9880" xr:uid="{00000000-0005-0000-0000-00004E230000}"/>
    <cellStyle name="쉼표 [0] 3 20 3" xfId="9881" xr:uid="{00000000-0005-0000-0000-00004F230000}"/>
    <cellStyle name="쉼표 [0] 3 21" xfId="9882" xr:uid="{00000000-0005-0000-0000-000050230000}"/>
    <cellStyle name="쉼표 [0] 3 21 2" xfId="9883" xr:uid="{00000000-0005-0000-0000-000051230000}"/>
    <cellStyle name="쉼표 [0] 3 21 2 2" xfId="9884" xr:uid="{00000000-0005-0000-0000-000052230000}"/>
    <cellStyle name="쉼표 [0] 3 21 2 3" xfId="9885" xr:uid="{00000000-0005-0000-0000-000053230000}"/>
    <cellStyle name="쉼표 [0] 3 21 3" xfId="9886" xr:uid="{00000000-0005-0000-0000-000054230000}"/>
    <cellStyle name="쉼표 [0] 3 22" xfId="9887" xr:uid="{00000000-0005-0000-0000-000055230000}"/>
    <cellStyle name="쉼표 [0] 3 22 2" xfId="9888" xr:uid="{00000000-0005-0000-0000-000056230000}"/>
    <cellStyle name="쉼표 [0] 3 22 2 2" xfId="9889" xr:uid="{00000000-0005-0000-0000-000057230000}"/>
    <cellStyle name="쉼표 [0] 3 22 2 3" xfId="9890" xr:uid="{00000000-0005-0000-0000-000058230000}"/>
    <cellStyle name="쉼표 [0] 3 22 3" xfId="9891" xr:uid="{00000000-0005-0000-0000-000059230000}"/>
    <cellStyle name="쉼표 [0] 3 23" xfId="9892" xr:uid="{00000000-0005-0000-0000-00005A230000}"/>
    <cellStyle name="쉼표 [0] 3 23 2" xfId="9893" xr:uid="{00000000-0005-0000-0000-00005B230000}"/>
    <cellStyle name="쉼표 [0] 3 23 2 2" xfId="9894" xr:uid="{00000000-0005-0000-0000-00005C230000}"/>
    <cellStyle name="쉼표 [0] 3 23 2 3" xfId="9895" xr:uid="{00000000-0005-0000-0000-00005D230000}"/>
    <cellStyle name="쉼표 [0] 3 23 3" xfId="9896" xr:uid="{00000000-0005-0000-0000-00005E230000}"/>
    <cellStyle name="쉼표 [0] 3 24" xfId="9897" xr:uid="{00000000-0005-0000-0000-00005F230000}"/>
    <cellStyle name="쉼표 [0] 3 24 2" xfId="9898" xr:uid="{00000000-0005-0000-0000-000060230000}"/>
    <cellStyle name="쉼표 [0] 3 24 2 2" xfId="9899" xr:uid="{00000000-0005-0000-0000-000061230000}"/>
    <cellStyle name="쉼표 [0] 3 24 2 3" xfId="9900" xr:uid="{00000000-0005-0000-0000-000062230000}"/>
    <cellStyle name="쉼표 [0] 3 24 3" xfId="9901" xr:uid="{00000000-0005-0000-0000-000063230000}"/>
    <cellStyle name="쉼표 [0] 3 25" xfId="9902" xr:uid="{00000000-0005-0000-0000-000064230000}"/>
    <cellStyle name="쉼표 [0] 3 25 2" xfId="9903" xr:uid="{00000000-0005-0000-0000-000065230000}"/>
    <cellStyle name="쉼표 [0] 3 25 2 2" xfId="9904" xr:uid="{00000000-0005-0000-0000-000066230000}"/>
    <cellStyle name="쉼표 [0] 3 25 2 3" xfId="9905" xr:uid="{00000000-0005-0000-0000-000067230000}"/>
    <cellStyle name="쉼표 [0] 3 25 3" xfId="9906" xr:uid="{00000000-0005-0000-0000-000068230000}"/>
    <cellStyle name="쉼표 [0] 3 26" xfId="9907" xr:uid="{00000000-0005-0000-0000-000069230000}"/>
    <cellStyle name="쉼표 [0] 3 26 2" xfId="9908" xr:uid="{00000000-0005-0000-0000-00006A230000}"/>
    <cellStyle name="쉼표 [0] 3 26 3" xfId="9909" xr:uid="{00000000-0005-0000-0000-00006B230000}"/>
    <cellStyle name="쉼표 [0] 3 27" xfId="9910" xr:uid="{00000000-0005-0000-0000-00006C230000}"/>
    <cellStyle name="쉼표 [0] 3 3" xfId="9911" xr:uid="{00000000-0005-0000-0000-00006D230000}"/>
    <cellStyle name="쉼표 [0] 3 3 2" xfId="9912" xr:uid="{00000000-0005-0000-0000-00006E230000}"/>
    <cellStyle name="쉼표 [0] 3 3 2 2" xfId="9913" xr:uid="{00000000-0005-0000-0000-00006F230000}"/>
    <cellStyle name="쉼표 [0] 3 3 2 3" xfId="9914" xr:uid="{00000000-0005-0000-0000-000070230000}"/>
    <cellStyle name="쉼표 [0] 3 3 3" xfId="9915" xr:uid="{00000000-0005-0000-0000-000071230000}"/>
    <cellStyle name="쉼표 [0] 3 4" xfId="9916" xr:uid="{00000000-0005-0000-0000-000072230000}"/>
    <cellStyle name="쉼표 [0] 3 4 2" xfId="9917" xr:uid="{00000000-0005-0000-0000-000073230000}"/>
    <cellStyle name="쉼표 [0] 3 4 2 2" xfId="9918" xr:uid="{00000000-0005-0000-0000-000074230000}"/>
    <cellStyle name="쉼표 [0] 3 4 2 3" xfId="9919" xr:uid="{00000000-0005-0000-0000-000075230000}"/>
    <cellStyle name="쉼표 [0] 3 4 3" xfId="9920" xr:uid="{00000000-0005-0000-0000-000076230000}"/>
    <cellStyle name="쉼표 [0] 3 5" xfId="9921" xr:uid="{00000000-0005-0000-0000-000077230000}"/>
    <cellStyle name="쉼표 [0] 3 5 2" xfId="9922" xr:uid="{00000000-0005-0000-0000-000078230000}"/>
    <cellStyle name="쉼표 [0] 3 5 2 2" xfId="9923" xr:uid="{00000000-0005-0000-0000-000079230000}"/>
    <cellStyle name="쉼표 [0] 3 5 2 3" xfId="9924" xr:uid="{00000000-0005-0000-0000-00007A230000}"/>
    <cellStyle name="쉼표 [0] 3 5 3" xfId="9925" xr:uid="{00000000-0005-0000-0000-00007B230000}"/>
    <cellStyle name="쉼표 [0] 3 6" xfId="9926" xr:uid="{00000000-0005-0000-0000-00007C230000}"/>
    <cellStyle name="쉼표 [0] 3 6 2" xfId="9927" xr:uid="{00000000-0005-0000-0000-00007D230000}"/>
    <cellStyle name="쉼표 [0] 3 6 2 2" xfId="9928" xr:uid="{00000000-0005-0000-0000-00007E230000}"/>
    <cellStyle name="쉼표 [0] 3 6 2 3" xfId="9929" xr:uid="{00000000-0005-0000-0000-00007F230000}"/>
    <cellStyle name="쉼표 [0] 3 6 3" xfId="9930" xr:uid="{00000000-0005-0000-0000-000080230000}"/>
    <cellStyle name="쉼표 [0] 3 7" xfId="9931" xr:uid="{00000000-0005-0000-0000-000081230000}"/>
    <cellStyle name="쉼표 [0] 3 7 2" xfId="9932" xr:uid="{00000000-0005-0000-0000-000082230000}"/>
    <cellStyle name="쉼표 [0] 3 7 2 2" xfId="9933" xr:uid="{00000000-0005-0000-0000-000083230000}"/>
    <cellStyle name="쉼표 [0] 3 7 2 3" xfId="9934" xr:uid="{00000000-0005-0000-0000-000084230000}"/>
    <cellStyle name="쉼표 [0] 3 7 3" xfId="9935" xr:uid="{00000000-0005-0000-0000-000085230000}"/>
    <cellStyle name="쉼표 [0] 3 8" xfId="9936" xr:uid="{00000000-0005-0000-0000-000086230000}"/>
    <cellStyle name="쉼표 [0] 3 8 2" xfId="9937" xr:uid="{00000000-0005-0000-0000-000087230000}"/>
    <cellStyle name="쉼표 [0] 3 8 2 2" xfId="9938" xr:uid="{00000000-0005-0000-0000-000088230000}"/>
    <cellStyle name="쉼표 [0] 3 8 2 3" xfId="9939" xr:uid="{00000000-0005-0000-0000-000089230000}"/>
    <cellStyle name="쉼표 [0] 3 8 3" xfId="9940" xr:uid="{00000000-0005-0000-0000-00008A230000}"/>
    <cellStyle name="쉼표 [0] 3 9" xfId="9941" xr:uid="{00000000-0005-0000-0000-00008B230000}"/>
    <cellStyle name="쉼표 [0] 3 9 2" xfId="9942" xr:uid="{00000000-0005-0000-0000-00008C230000}"/>
    <cellStyle name="쉼표 [0] 3 9 2 2" xfId="9943" xr:uid="{00000000-0005-0000-0000-00008D230000}"/>
    <cellStyle name="쉼표 [0] 3 9 2 3" xfId="9944" xr:uid="{00000000-0005-0000-0000-00008E230000}"/>
    <cellStyle name="쉼표 [0] 3 9 3" xfId="9945" xr:uid="{00000000-0005-0000-0000-00008F230000}"/>
    <cellStyle name="쉼표 [0] 32" xfId="9946" xr:uid="{00000000-0005-0000-0000-000090230000}"/>
    <cellStyle name="쉼표 [0] 32 2" xfId="9947" xr:uid="{00000000-0005-0000-0000-000091230000}"/>
    <cellStyle name="쉼표 [0] 32 2 2" xfId="9948" xr:uid="{00000000-0005-0000-0000-000092230000}"/>
    <cellStyle name="쉼표 [0] 32 3" xfId="9949" xr:uid="{00000000-0005-0000-0000-000093230000}"/>
    <cellStyle name="쉼표 [0] 4" xfId="4959" xr:uid="{00000000-0005-0000-0000-000094230000}"/>
    <cellStyle name="쉼표 [0] 4 10" xfId="10753" xr:uid="{00000000-0005-0000-0000-000095230000}"/>
    <cellStyle name="쉼표 [0] 4 2" xfId="9950" xr:uid="{00000000-0005-0000-0000-000096230000}"/>
    <cellStyle name="쉼표 [0] 4 2 2" xfId="9951" xr:uid="{00000000-0005-0000-0000-000097230000}"/>
    <cellStyle name="쉼표 [0] 4 2 2 2" xfId="9952" xr:uid="{00000000-0005-0000-0000-000098230000}"/>
    <cellStyle name="쉼표 [0] 4 2 2 2 2" xfId="9953" xr:uid="{00000000-0005-0000-0000-000099230000}"/>
    <cellStyle name="쉼표 [0] 4 2 2 2 3" xfId="9954" xr:uid="{00000000-0005-0000-0000-00009A230000}"/>
    <cellStyle name="쉼표 [0] 4 2 2 3" xfId="9955" xr:uid="{00000000-0005-0000-0000-00009B230000}"/>
    <cellStyle name="쉼표 [0] 4 2 3" xfId="9956" xr:uid="{00000000-0005-0000-0000-00009C230000}"/>
    <cellStyle name="쉼표 [0] 4 2 3 2" xfId="9957" xr:uid="{00000000-0005-0000-0000-00009D230000}"/>
    <cellStyle name="쉼표 [0] 4 2 3 2 2" xfId="9958" xr:uid="{00000000-0005-0000-0000-00009E230000}"/>
    <cellStyle name="쉼표 [0] 4 2 3 2 3" xfId="9959" xr:uid="{00000000-0005-0000-0000-00009F230000}"/>
    <cellStyle name="쉼표 [0] 4 2 3 3" xfId="9960" xr:uid="{00000000-0005-0000-0000-0000A0230000}"/>
    <cellStyle name="쉼표 [0] 4 2 4" xfId="9961" xr:uid="{00000000-0005-0000-0000-0000A1230000}"/>
    <cellStyle name="쉼표 [0] 4 2 4 2" xfId="9962" xr:uid="{00000000-0005-0000-0000-0000A2230000}"/>
    <cellStyle name="쉼표 [0] 4 2 4 2 2" xfId="9963" xr:uid="{00000000-0005-0000-0000-0000A3230000}"/>
    <cellStyle name="쉼표 [0] 4 2 4 2 3" xfId="9964" xr:uid="{00000000-0005-0000-0000-0000A4230000}"/>
    <cellStyle name="쉼표 [0] 4 2 4 3" xfId="9965" xr:uid="{00000000-0005-0000-0000-0000A5230000}"/>
    <cellStyle name="쉼표 [0] 4 2 5" xfId="9966" xr:uid="{00000000-0005-0000-0000-0000A6230000}"/>
    <cellStyle name="쉼표 [0] 4 2 5 2" xfId="9967" xr:uid="{00000000-0005-0000-0000-0000A7230000}"/>
    <cellStyle name="쉼표 [0] 4 2 5 2 2" xfId="9968" xr:uid="{00000000-0005-0000-0000-0000A8230000}"/>
    <cellStyle name="쉼표 [0] 4 2 5 2 3" xfId="9969" xr:uid="{00000000-0005-0000-0000-0000A9230000}"/>
    <cellStyle name="쉼표 [0] 4 2 5 3" xfId="9970" xr:uid="{00000000-0005-0000-0000-0000AA230000}"/>
    <cellStyle name="쉼표 [0] 4 2 6" xfId="9971" xr:uid="{00000000-0005-0000-0000-0000AB230000}"/>
    <cellStyle name="쉼표 [0] 4 2 6 2" xfId="9972" xr:uid="{00000000-0005-0000-0000-0000AC230000}"/>
    <cellStyle name="쉼표 [0] 4 2 6 2 2" xfId="9973" xr:uid="{00000000-0005-0000-0000-0000AD230000}"/>
    <cellStyle name="쉼표 [0] 4 2 6 3" xfId="9974" xr:uid="{00000000-0005-0000-0000-0000AE230000}"/>
    <cellStyle name="쉼표 [0] 4 2 7" xfId="9975" xr:uid="{00000000-0005-0000-0000-0000AF230000}"/>
    <cellStyle name="쉼표 [0] 4 3" xfId="9976" xr:uid="{00000000-0005-0000-0000-0000B0230000}"/>
    <cellStyle name="쉼표 [0] 4 3 2" xfId="9977" xr:uid="{00000000-0005-0000-0000-0000B1230000}"/>
    <cellStyle name="쉼표 [0] 4 3 2 2" xfId="9978" xr:uid="{00000000-0005-0000-0000-0000B2230000}"/>
    <cellStyle name="쉼표 [0] 4 3 2 3" xfId="9979" xr:uid="{00000000-0005-0000-0000-0000B3230000}"/>
    <cellStyle name="쉼표 [0] 4 3 3" xfId="9980" xr:uid="{00000000-0005-0000-0000-0000B4230000}"/>
    <cellStyle name="쉼표 [0] 4 4" xfId="9981" xr:uid="{00000000-0005-0000-0000-0000B5230000}"/>
    <cellStyle name="쉼표 [0] 4 4 2" xfId="9982" xr:uid="{00000000-0005-0000-0000-0000B6230000}"/>
    <cellStyle name="쉼표 [0] 4 4 2 2" xfId="9983" xr:uid="{00000000-0005-0000-0000-0000B7230000}"/>
    <cellStyle name="쉼표 [0] 4 4 2 3" xfId="9984" xr:uid="{00000000-0005-0000-0000-0000B8230000}"/>
    <cellStyle name="쉼표 [0] 4 4 3" xfId="9985" xr:uid="{00000000-0005-0000-0000-0000B9230000}"/>
    <cellStyle name="쉼표 [0] 4 5" xfId="9986" xr:uid="{00000000-0005-0000-0000-0000BA230000}"/>
    <cellStyle name="쉼표 [0] 4 5 2" xfId="9987" xr:uid="{00000000-0005-0000-0000-0000BB230000}"/>
    <cellStyle name="쉼표 [0] 4 5 2 2" xfId="9988" xr:uid="{00000000-0005-0000-0000-0000BC230000}"/>
    <cellStyle name="쉼표 [0] 4 5 2 3" xfId="9989" xr:uid="{00000000-0005-0000-0000-0000BD230000}"/>
    <cellStyle name="쉼표 [0] 4 5 3" xfId="9990" xr:uid="{00000000-0005-0000-0000-0000BE230000}"/>
    <cellStyle name="쉼표 [0] 4 6" xfId="9991" xr:uid="{00000000-0005-0000-0000-0000BF230000}"/>
    <cellStyle name="쉼표 [0] 4 6 2" xfId="9992" xr:uid="{00000000-0005-0000-0000-0000C0230000}"/>
    <cellStyle name="쉼표 [0] 4 6 2 2" xfId="9993" xr:uid="{00000000-0005-0000-0000-0000C1230000}"/>
    <cellStyle name="쉼표 [0] 4 6 2 3" xfId="9994" xr:uid="{00000000-0005-0000-0000-0000C2230000}"/>
    <cellStyle name="쉼표 [0] 4 6 3" xfId="9995" xr:uid="{00000000-0005-0000-0000-0000C3230000}"/>
    <cellStyle name="쉼표 [0] 4 7" xfId="9996" xr:uid="{00000000-0005-0000-0000-0000C4230000}"/>
    <cellStyle name="쉼표 [0] 4 7 2" xfId="9997" xr:uid="{00000000-0005-0000-0000-0000C5230000}"/>
    <cellStyle name="쉼표 [0] 4 7 3" xfId="9998" xr:uid="{00000000-0005-0000-0000-0000C6230000}"/>
    <cellStyle name="쉼표 [0] 4 8" xfId="9999" xr:uid="{00000000-0005-0000-0000-0000C7230000}"/>
    <cellStyle name="쉼표 [0] 5" xfId="4960" xr:uid="{00000000-0005-0000-0000-0000C8230000}"/>
    <cellStyle name="쉼표 [0] 5 2" xfId="4961" xr:uid="{00000000-0005-0000-0000-0000C9230000}"/>
    <cellStyle name="쉼표 [0] 5 2 2" xfId="10000" xr:uid="{00000000-0005-0000-0000-0000CA230000}"/>
    <cellStyle name="쉼표 [0] 5 2 2 2" xfId="10001" xr:uid="{00000000-0005-0000-0000-0000CB230000}"/>
    <cellStyle name="쉼표 [0] 5 2 2 3" xfId="10002" xr:uid="{00000000-0005-0000-0000-0000CC230000}"/>
    <cellStyle name="쉼표 [0] 5 2 3" xfId="10003" xr:uid="{00000000-0005-0000-0000-0000CD230000}"/>
    <cellStyle name="쉼표 [0] 5 3" xfId="10004" xr:uid="{00000000-0005-0000-0000-0000CE230000}"/>
    <cellStyle name="쉼표 [0] 5 3 2" xfId="10005" xr:uid="{00000000-0005-0000-0000-0000CF230000}"/>
    <cellStyle name="쉼표 [0] 5 3 2 2" xfId="10006" xr:uid="{00000000-0005-0000-0000-0000D0230000}"/>
    <cellStyle name="쉼표 [0] 5 3 2 3" xfId="10007" xr:uid="{00000000-0005-0000-0000-0000D1230000}"/>
    <cellStyle name="쉼표 [0] 5 3 3" xfId="10008" xr:uid="{00000000-0005-0000-0000-0000D2230000}"/>
    <cellStyle name="쉼표 [0] 5 4" xfId="10009" xr:uid="{00000000-0005-0000-0000-0000D3230000}"/>
    <cellStyle name="쉼표 [0] 5 4 2" xfId="10010" xr:uid="{00000000-0005-0000-0000-0000D4230000}"/>
    <cellStyle name="쉼표 [0] 5 4 2 2" xfId="10011" xr:uid="{00000000-0005-0000-0000-0000D5230000}"/>
    <cellStyle name="쉼표 [0] 5 4 2 3" xfId="10012" xr:uid="{00000000-0005-0000-0000-0000D6230000}"/>
    <cellStyle name="쉼표 [0] 5 4 3" xfId="10013" xr:uid="{00000000-0005-0000-0000-0000D7230000}"/>
    <cellStyle name="쉼표 [0] 5 5" xfId="10014" xr:uid="{00000000-0005-0000-0000-0000D8230000}"/>
    <cellStyle name="쉼표 [0] 5 5 2" xfId="10015" xr:uid="{00000000-0005-0000-0000-0000D9230000}"/>
    <cellStyle name="쉼표 [0] 5 5 2 2" xfId="10016" xr:uid="{00000000-0005-0000-0000-0000DA230000}"/>
    <cellStyle name="쉼표 [0] 5 5 2 3" xfId="10017" xr:uid="{00000000-0005-0000-0000-0000DB230000}"/>
    <cellStyle name="쉼표 [0] 5 5 3" xfId="10018" xr:uid="{00000000-0005-0000-0000-0000DC230000}"/>
    <cellStyle name="쉼표 [0] 5 6" xfId="10019" xr:uid="{00000000-0005-0000-0000-0000DD230000}"/>
    <cellStyle name="쉼표 [0] 5 6 2" xfId="10020" xr:uid="{00000000-0005-0000-0000-0000DE230000}"/>
    <cellStyle name="쉼표 [0] 5 6 2 2" xfId="10021" xr:uid="{00000000-0005-0000-0000-0000DF230000}"/>
    <cellStyle name="쉼표 [0] 5 6 2 3" xfId="10022" xr:uid="{00000000-0005-0000-0000-0000E0230000}"/>
    <cellStyle name="쉼표 [0] 5 6 3" xfId="10023" xr:uid="{00000000-0005-0000-0000-0000E1230000}"/>
    <cellStyle name="쉼표 [0] 5 7" xfId="10024" xr:uid="{00000000-0005-0000-0000-0000E2230000}"/>
    <cellStyle name="쉼표 [0] 5 7 2" xfId="10025" xr:uid="{00000000-0005-0000-0000-0000E3230000}"/>
    <cellStyle name="쉼표 [0] 5 7 3" xfId="10026" xr:uid="{00000000-0005-0000-0000-0000E4230000}"/>
    <cellStyle name="쉼표 [0] 5 8" xfId="10027" xr:uid="{00000000-0005-0000-0000-0000E5230000}"/>
    <cellStyle name="쉼표 [0] 5 9" xfId="10028" xr:uid="{00000000-0005-0000-0000-0000E6230000}"/>
    <cellStyle name="쉼표 [0] 6" xfId="4962" xr:uid="{00000000-0005-0000-0000-0000E7230000}"/>
    <cellStyle name="쉼표 [0] 6 2" xfId="10029" xr:uid="{00000000-0005-0000-0000-0000E8230000}"/>
    <cellStyle name="쉼표 [0] 6 2 2" xfId="10030" xr:uid="{00000000-0005-0000-0000-0000E9230000}"/>
    <cellStyle name="쉼표 [0] 6 2 2 2" xfId="10031" xr:uid="{00000000-0005-0000-0000-0000EA230000}"/>
    <cellStyle name="쉼표 [0] 6 2 2 3" xfId="10032" xr:uid="{00000000-0005-0000-0000-0000EB230000}"/>
    <cellStyle name="쉼표 [0] 6 2 3" xfId="10033" xr:uid="{00000000-0005-0000-0000-0000EC230000}"/>
    <cellStyle name="쉼표 [0] 6 3" xfId="10034" xr:uid="{00000000-0005-0000-0000-0000ED230000}"/>
    <cellStyle name="쉼표 [0] 6 3 2" xfId="10035" xr:uid="{00000000-0005-0000-0000-0000EE230000}"/>
    <cellStyle name="쉼표 [0] 6 3 2 2" xfId="10036" xr:uid="{00000000-0005-0000-0000-0000EF230000}"/>
    <cellStyle name="쉼표 [0] 6 3 2 3" xfId="10037" xr:uid="{00000000-0005-0000-0000-0000F0230000}"/>
    <cellStyle name="쉼표 [0] 6 3 3" xfId="10038" xr:uid="{00000000-0005-0000-0000-0000F1230000}"/>
    <cellStyle name="쉼표 [0] 6 4" xfId="10039" xr:uid="{00000000-0005-0000-0000-0000F2230000}"/>
    <cellStyle name="쉼표 [0] 6 4 2" xfId="10040" xr:uid="{00000000-0005-0000-0000-0000F3230000}"/>
    <cellStyle name="쉼표 [0] 6 4 2 2" xfId="10041" xr:uid="{00000000-0005-0000-0000-0000F4230000}"/>
    <cellStyle name="쉼표 [0] 6 4 2 3" xfId="10042" xr:uid="{00000000-0005-0000-0000-0000F5230000}"/>
    <cellStyle name="쉼표 [0] 6 4 3" xfId="10043" xr:uid="{00000000-0005-0000-0000-0000F6230000}"/>
    <cellStyle name="쉼표 [0] 6 5" xfId="10044" xr:uid="{00000000-0005-0000-0000-0000F7230000}"/>
    <cellStyle name="쉼표 [0] 6 5 2" xfId="10045" xr:uid="{00000000-0005-0000-0000-0000F8230000}"/>
    <cellStyle name="쉼표 [0] 6 5 2 2" xfId="10046" xr:uid="{00000000-0005-0000-0000-0000F9230000}"/>
    <cellStyle name="쉼표 [0] 6 5 2 3" xfId="10047" xr:uid="{00000000-0005-0000-0000-0000FA230000}"/>
    <cellStyle name="쉼표 [0] 6 5 3" xfId="10048" xr:uid="{00000000-0005-0000-0000-0000FB230000}"/>
    <cellStyle name="쉼표 [0] 6 6" xfId="10049" xr:uid="{00000000-0005-0000-0000-0000FC230000}"/>
    <cellStyle name="쉼표 [0] 6 6 2" xfId="10050" xr:uid="{00000000-0005-0000-0000-0000FD230000}"/>
    <cellStyle name="쉼표 [0] 6 6 2 2" xfId="10051" xr:uid="{00000000-0005-0000-0000-0000FE230000}"/>
    <cellStyle name="쉼표 [0] 6 6 2 3" xfId="10052" xr:uid="{00000000-0005-0000-0000-0000FF230000}"/>
    <cellStyle name="쉼표 [0] 6 6 3" xfId="10053" xr:uid="{00000000-0005-0000-0000-000000240000}"/>
    <cellStyle name="쉼표 [0] 6 7" xfId="10054" xr:uid="{00000000-0005-0000-0000-000001240000}"/>
    <cellStyle name="쉼표 [0] 6 7 2" xfId="10055" xr:uid="{00000000-0005-0000-0000-000002240000}"/>
    <cellStyle name="쉼표 [0] 6 8" xfId="10056" xr:uid="{00000000-0005-0000-0000-000003240000}"/>
    <cellStyle name="쉼표 [0] 7" xfId="4963" xr:uid="{00000000-0005-0000-0000-000004240000}"/>
    <cellStyle name="쉼표 [0] 7 2" xfId="10057" xr:uid="{00000000-0005-0000-0000-000005240000}"/>
    <cellStyle name="쉼표 [0] 7 2 2" xfId="10058" xr:uid="{00000000-0005-0000-0000-000006240000}"/>
    <cellStyle name="쉼표 [0] 7 2 2 2" xfId="10059" xr:uid="{00000000-0005-0000-0000-000007240000}"/>
    <cellStyle name="쉼표 [0] 7 2 2 3" xfId="10060" xr:uid="{00000000-0005-0000-0000-000008240000}"/>
    <cellStyle name="쉼표 [0] 7 2 3" xfId="10061" xr:uid="{00000000-0005-0000-0000-000009240000}"/>
    <cellStyle name="쉼표 [0] 8 2" xfId="4964" xr:uid="{00000000-0005-0000-0000-00000A240000}"/>
    <cellStyle name="쉼표 [0] 8 2 2" xfId="10062" xr:uid="{00000000-0005-0000-0000-00000B240000}"/>
    <cellStyle name="쉼표 [0] 8 2 2 2" xfId="10063" xr:uid="{00000000-0005-0000-0000-00000C240000}"/>
    <cellStyle name="쉼표 [0] 8 2 2 3" xfId="10064" xr:uid="{00000000-0005-0000-0000-00000D240000}"/>
    <cellStyle name="쉼표 [0] 8 2 3" xfId="10065" xr:uid="{00000000-0005-0000-0000-00000E240000}"/>
    <cellStyle name="쉼표 [0] 8 3" xfId="10066" xr:uid="{00000000-0005-0000-0000-00000F240000}"/>
    <cellStyle name="쉼표 [0] 8 3 2" xfId="10067" xr:uid="{00000000-0005-0000-0000-000010240000}"/>
    <cellStyle name="쉼표 [0] 8 3 2 2" xfId="10068" xr:uid="{00000000-0005-0000-0000-000011240000}"/>
    <cellStyle name="쉼표 [0] 8 3 2 3" xfId="10069" xr:uid="{00000000-0005-0000-0000-000012240000}"/>
    <cellStyle name="쉼표 [0] 8 3 3" xfId="10070" xr:uid="{00000000-0005-0000-0000-000013240000}"/>
    <cellStyle name="쉼표 [0] 8 4" xfId="10071" xr:uid="{00000000-0005-0000-0000-000014240000}"/>
    <cellStyle name="쉼표 [0] 8 4 2" xfId="10072" xr:uid="{00000000-0005-0000-0000-000015240000}"/>
    <cellStyle name="쉼표 [0] 8 4 2 2" xfId="10073" xr:uid="{00000000-0005-0000-0000-000016240000}"/>
    <cellStyle name="쉼표 [0] 8 4 2 3" xfId="10074" xr:uid="{00000000-0005-0000-0000-000017240000}"/>
    <cellStyle name="쉼표 [0] 8 4 3" xfId="10075" xr:uid="{00000000-0005-0000-0000-000018240000}"/>
    <cellStyle name="쉼표 [0] 8 5" xfId="10076" xr:uid="{00000000-0005-0000-0000-000019240000}"/>
    <cellStyle name="쉼표 [0] 8 5 2" xfId="10077" xr:uid="{00000000-0005-0000-0000-00001A240000}"/>
    <cellStyle name="쉼표 [0] 8 5 2 2" xfId="10078" xr:uid="{00000000-0005-0000-0000-00001B240000}"/>
    <cellStyle name="쉼표 [0] 8 5 2 3" xfId="10079" xr:uid="{00000000-0005-0000-0000-00001C240000}"/>
    <cellStyle name="쉼표 [0] 8 5 3" xfId="10080" xr:uid="{00000000-0005-0000-0000-00001D240000}"/>
    <cellStyle name="쉼표 [0] 8 6" xfId="10081" xr:uid="{00000000-0005-0000-0000-00001E240000}"/>
    <cellStyle name="쉼표 [0] 8 6 2" xfId="10082" xr:uid="{00000000-0005-0000-0000-00001F240000}"/>
    <cellStyle name="쉼표 [0] 8 6 2 2" xfId="10083" xr:uid="{00000000-0005-0000-0000-000020240000}"/>
    <cellStyle name="쉼표 [0] 8 6 2 3" xfId="10084" xr:uid="{00000000-0005-0000-0000-000021240000}"/>
    <cellStyle name="쉼표 [0] 8 6 3" xfId="10085" xr:uid="{00000000-0005-0000-0000-000022240000}"/>
    <cellStyle name="쉼표 [0] 9 2" xfId="10086" xr:uid="{00000000-0005-0000-0000-000023240000}"/>
    <cellStyle name="쉼표 [0] 9 2 2" xfId="10087" xr:uid="{00000000-0005-0000-0000-000024240000}"/>
    <cellStyle name="쉼표 [0] 9 2 2 2" xfId="10088" xr:uid="{00000000-0005-0000-0000-000025240000}"/>
    <cellStyle name="쉼표 [0] 9 2 2 3" xfId="10089" xr:uid="{00000000-0005-0000-0000-000026240000}"/>
    <cellStyle name="쉼표 [0] 9 2 3" xfId="10090" xr:uid="{00000000-0005-0000-0000-000027240000}"/>
    <cellStyle name="스타일 1" xfId="259" xr:uid="{00000000-0005-0000-0000-000028240000}"/>
    <cellStyle name="스타일 1 2" xfId="1419" xr:uid="{00000000-0005-0000-0000-000029240000}"/>
    <cellStyle name="스타일 1 2 2" xfId="10091" xr:uid="{00000000-0005-0000-0000-00002A240000}"/>
    <cellStyle name="스타일 1 2 2 2" xfId="10092" xr:uid="{00000000-0005-0000-0000-00002B240000}"/>
    <cellStyle name="스타일 1 3" xfId="1420" xr:uid="{00000000-0005-0000-0000-00002C240000}"/>
    <cellStyle name="스타일 1 3 2" xfId="10093" xr:uid="{00000000-0005-0000-0000-00002D240000}"/>
    <cellStyle name="스타일 10" xfId="4965" xr:uid="{00000000-0005-0000-0000-00002E240000}"/>
    <cellStyle name="스타일 11" xfId="4966" xr:uid="{00000000-0005-0000-0000-00002F240000}"/>
    <cellStyle name="스타일 12" xfId="4967" xr:uid="{00000000-0005-0000-0000-000030240000}"/>
    <cellStyle name="스타일 13" xfId="4968" xr:uid="{00000000-0005-0000-0000-000031240000}"/>
    <cellStyle name="스타일 14" xfId="4969" xr:uid="{00000000-0005-0000-0000-000032240000}"/>
    <cellStyle name="스타일 15" xfId="4970" xr:uid="{00000000-0005-0000-0000-000033240000}"/>
    <cellStyle name="스타일 2" xfId="1421" xr:uid="{00000000-0005-0000-0000-000034240000}"/>
    <cellStyle name="스타일 2 2" xfId="4971" xr:uid="{00000000-0005-0000-0000-000035240000}"/>
    <cellStyle name="스타일 2 2 2" xfId="10094" xr:uid="{00000000-0005-0000-0000-000036240000}"/>
    <cellStyle name="스타일 2 2 2 2" xfId="10095" xr:uid="{00000000-0005-0000-0000-000037240000}"/>
    <cellStyle name="스타일 2 3" xfId="10096" xr:uid="{00000000-0005-0000-0000-000038240000}"/>
    <cellStyle name="스타일 2 3 2" xfId="10097" xr:uid="{00000000-0005-0000-0000-000039240000}"/>
    <cellStyle name="스타일 3" xfId="1422" xr:uid="{00000000-0005-0000-0000-00003A240000}"/>
    <cellStyle name="스타일 3 2" xfId="4972" xr:uid="{00000000-0005-0000-0000-00003B240000}"/>
    <cellStyle name="스타일 3 2 2" xfId="10098" xr:uid="{00000000-0005-0000-0000-00003C240000}"/>
    <cellStyle name="스타일 4" xfId="4973" xr:uid="{00000000-0005-0000-0000-00003D240000}"/>
    <cellStyle name="스타일 4 2" xfId="10099" xr:uid="{00000000-0005-0000-0000-00003E240000}"/>
    <cellStyle name="스타일 4 2 2" xfId="10100" xr:uid="{00000000-0005-0000-0000-00003F240000}"/>
    <cellStyle name="스타일 5" xfId="4974" xr:uid="{00000000-0005-0000-0000-000040240000}"/>
    <cellStyle name="스타일 6" xfId="4975" xr:uid="{00000000-0005-0000-0000-000041240000}"/>
    <cellStyle name="스타일 7" xfId="4976" xr:uid="{00000000-0005-0000-0000-000042240000}"/>
    <cellStyle name="스타일 8" xfId="4977" xr:uid="{00000000-0005-0000-0000-000043240000}"/>
    <cellStyle name="스타일 9" xfId="4978" xr:uid="{00000000-0005-0000-0000-000044240000}"/>
    <cellStyle name="안건회계법인" xfId="260" xr:uid="{00000000-0005-0000-0000-000045240000}"/>
    <cellStyle name="안건회계법인 2" xfId="10101" xr:uid="{00000000-0005-0000-0000-000046240000}"/>
    <cellStyle name="안건회계법인 2 2" xfId="10102" xr:uid="{00000000-0005-0000-0000-000047240000}"/>
    <cellStyle name="연결된 셀 2" xfId="10103" xr:uid="{00000000-0005-0000-0000-000048240000}"/>
    <cellStyle name="연결된 셀 2 2" xfId="10104" xr:uid="{00000000-0005-0000-0000-000049240000}"/>
    <cellStyle name="연결된 셀 2 2 2" xfId="10105" xr:uid="{00000000-0005-0000-0000-00004A240000}"/>
    <cellStyle name="연결된 셀 2 2 2 2" xfId="10106" xr:uid="{00000000-0005-0000-0000-00004B240000}"/>
    <cellStyle name="연결된 셀 2 3" xfId="10107" xr:uid="{00000000-0005-0000-0000-00004C240000}"/>
    <cellStyle name="연결된 셀 2 3 2" xfId="10108" xr:uid="{00000000-0005-0000-0000-00004D240000}"/>
    <cellStyle name="연결된 셀 3" xfId="10109" xr:uid="{00000000-0005-0000-0000-00004E240000}"/>
    <cellStyle name="연결된 셀 3 2" xfId="10110" xr:uid="{00000000-0005-0000-0000-00004F240000}"/>
    <cellStyle name="연결된 셀 3 2 2" xfId="10111" xr:uid="{00000000-0005-0000-0000-000050240000}"/>
    <cellStyle name="연결된 셀 3 2 2 2" xfId="10112" xr:uid="{00000000-0005-0000-0000-000051240000}"/>
    <cellStyle name="연결된 셀 3 3" xfId="10113" xr:uid="{00000000-0005-0000-0000-000052240000}"/>
    <cellStyle name="연결된 셀 3 3 2" xfId="10114" xr:uid="{00000000-0005-0000-0000-000053240000}"/>
    <cellStyle name="연결된 셀 4" xfId="10115" xr:uid="{00000000-0005-0000-0000-000054240000}"/>
    <cellStyle name="연결된 셀 4 2" xfId="10116" xr:uid="{00000000-0005-0000-0000-000055240000}"/>
    <cellStyle name="연결된 셀 4 2 2" xfId="10117" xr:uid="{00000000-0005-0000-0000-000056240000}"/>
    <cellStyle name="연결된 셀 4 2 2 2" xfId="10118" xr:uid="{00000000-0005-0000-0000-000057240000}"/>
    <cellStyle name="연결된 셀 4 3" xfId="10119" xr:uid="{00000000-0005-0000-0000-000058240000}"/>
    <cellStyle name="연결된 셀 4 3 2" xfId="10120" xr:uid="{00000000-0005-0000-0000-000059240000}"/>
    <cellStyle name="옛체" xfId="4979" xr:uid="{00000000-0005-0000-0000-00005A240000}"/>
    <cellStyle name="왼" xfId="2329" xr:uid="{00000000-0005-0000-0000-00005B240000}"/>
    <cellStyle name="왼쪽2" xfId="1423" xr:uid="{00000000-0005-0000-0000-00005C240000}"/>
    <cellStyle name="왼쪽2 2" xfId="10121" xr:uid="{00000000-0005-0000-0000-00005D240000}"/>
    <cellStyle name="왼쪽2 2 2" xfId="10122" xr:uid="{00000000-0005-0000-0000-00005E240000}"/>
    <cellStyle name="왼쪽5" xfId="2330" xr:uid="{00000000-0005-0000-0000-00005F240000}"/>
    <cellStyle name="요약 2" xfId="10123" xr:uid="{00000000-0005-0000-0000-000060240000}"/>
    <cellStyle name="요약 2 2" xfId="10124" xr:uid="{00000000-0005-0000-0000-000061240000}"/>
    <cellStyle name="요약 2 2 2" xfId="10125" xr:uid="{00000000-0005-0000-0000-000062240000}"/>
    <cellStyle name="요약 2 2 2 2" xfId="10126" xr:uid="{00000000-0005-0000-0000-000063240000}"/>
    <cellStyle name="요약 2 3" xfId="10127" xr:uid="{00000000-0005-0000-0000-000064240000}"/>
    <cellStyle name="요약 2 3 2" xfId="10128" xr:uid="{00000000-0005-0000-0000-000065240000}"/>
    <cellStyle name="요약 3" xfId="10129" xr:uid="{00000000-0005-0000-0000-000066240000}"/>
    <cellStyle name="요약 3 2" xfId="10130" xr:uid="{00000000-0005-0000-0000-000067240000}"/>
    <cellStyle name="요약 3 2 2" xfId="10131" xr:uid="{00000000-0005-0000-0000-000068240000}"/>
    <cellStyle name="요약 3 2 2 2" xfId="10132" xr:uid="{00000000-0005-0000-0000-000069240000}"/>
    <cellStyle name="요약 3 3" xfId="10133" xr:uid="{00000000-0005-0000-0000-00006A240000}"/>
    <cellStyle name="요약 3 3 2" xfId="10134" xr:uid="{00000000-0005-0000-0000-00006B240000}"/>
    <cellStyle name="요약 4" xfId="10135" xr:uid="{00000000-0005-0000-0000-00006C240000}"/>
    <cellStyle name="요약 4 2" xfId="10136" xr:uid="{00000000-0005-0000-0000-00006D240000}"/>
    <cellStyle name="요약 4 2 2" xfId="10137" xr:uid="{00000000-0005-0000-0000-00006E240000}"/>
    <cellStyle name="요약 4 2 2 2" xfId="10138" xr:uid="{00000000-0005-0000-0000-00006F240000}"/>
    <cellStyle name="요약 4 3" xfId="10139" xr:uid="{00000000-0005-0000-0000-000070240000}"/>
    <cellStyle name="요약 4 3 2" xfId="10140" xr:uid="{00000000-0005-0000-0000-000071240000}"/>
    <cellStyle name="우괄호_박심배수구조물공" xfId="4980" xr:uid="{00000000-0005-0000-0000-000072240000}"/>
    <cellStyle name="우측양괄호" xfId="4981" xr:uid="{00000000-0005-0000-0000-000073240000}"/>
    <cellStyle name="우측양괄호 2" xfId="10141" xr:uid="{00000000-0005-0000-0000-000074240000}"/>
    <cellStyle name="우측양괄호 2 2" xfId="10142" xr:uid="{00000000-0005-0000-0000-000075240000}"/>
    <cellStyle name="원" xfId="1424" xr:uid="{00000000-0005-0000-0000-000076240000}"/>
    <cellStyle name="원 2" xfId="10143" xr:uid="{00000000-0005-0000-0000-000077240000}"/>
    <cellStyle name="원 2 2" xfId="10144" xr:uid="{00000000-0005-0000-0000-000078240000}"/>
    <cellStyle name="원 2 2 2" xfId="10145" xr:uid="{00000000-0005-0000-0000-000079240000}"/>
    <cellStyle name="원 3" xfId="10146" xr:uid="{00000000-0005-0000-0000-00007A240000}"/>
    <cellStyle name="원 3 2" xfId="10147" xr:uid="{00000000-0005-0000-0000-00007B240000}"/>
    <cellStyle name="원_0008금감원통합감독검사정보시스템" xfId="10148" xr:uid="{00000000-0005-0000-0000-00007C240000}"/>
    <cellStyle name="원_0008금감원통합감독검사정보시스템 2" xfId="10149" xr:uid="{00000000-0005-0000-0000-00007D240000}"/>
    <cellStyle name="원_0008금감원통합감독검사정보시스템 2 2" xfId="10150" xr:uid="{00000000-0005-0000-0000-00007E240000}"/>
    <cellStyle name="원_0009김포공항LED교체공사(광일)" xfId="10151" xr:uid="{00000000-0005-0000-0000-00007F240000}"/>
    <cellStyle name="원_0009김포공항LED교체공사(광일) 2" xfId="10152" xr:uid="{00000000-0005-0000-0000-000080240000}"/>
    <cellStyle name="원_0009김포공항LED교체공사(광일) 2 2" xfId="10153" xr:uid="{00000000-0005-0000-0000-000081240000}"/>
    <cellStyle name="원_0011KIST소각설비제작설치" xfId="10154" xr:uid="{00000000-0005-0000-0000-000082240000}"/>
    <cellStyle name="원_0011KIST소각설비제작설치 2" xfId="10155" xr:uid="{00000000-0005-0000-0000-000083240000}"/>
    <cellStyle name="원_0011KIST소각설비제작설치 2 2" xfId="10156" xr:uid="{00000000-0005-0000-0000-000084240000}"/>
    <cellStyle name="원_0011긴급전화기정산(99년형광일)" xfId="10157" xr:uid="{00000000-0005-0000-0000-000085240000}"/>
    <cellStyle name="원_0011긴급전화기정산(99년형광일) 2" xfId="10158" xr:uid="{00000000-0005-0000-0000-000086240000}"/>
    <cellStyle name="원_0011긴급전화기정산(99년형광일) 2 2" xfId="10159" xr:uid="{00000000-0005-0000-0000-000087240000}"/>
    <cellStyle name="원_0011부산종합경기장전광판" xfId="10160" xr:uid="{00000000-0005-0000-0000-000088240000}"/>
    <cellStyle name="원_0011부산종합경기장전광판 2" xfId="10161" xr:uid="{00000000-0005-0000-0000-000089240000}"/>
    <cellStyle name="원_0011부산종합경기장전광판 2 2" xfId="10162" xr:uid="{00000000-0005-0000-0000-00008A240000}"/>
    <cellStyle name="원_0012문화유적지표석제작설치" xfId="10163" xr:uid="{00000000-0005-0000-0000-00008B240000}"/>
    <cellStyle name="원_0012문화유적지표석제작설치 2" xfId="10164" xr:uid="{00000000-0005-0000-0000-00008C240000}"/>
    <cellStyle name="원_0012문화유적지표석제작설치 2 2" xfId="10165" xr:uid="{00000000-0005-0000-0000-00008D240000}"/>
    <cellStyle name="원_0102국제조명신공항분수조명" xfId="10166" xr:uid="{00000000-0005-0000-0000-00008E240000}"/>
    <cellStyle name="원_0102국제조명신공항분수조명 2" xfId="10167" xr:uid="{00000000-0005-0000-0000-00008F240000}"/>
    <cellStyle name="원_0102국제조명신공항분수조명 2 2" xfId="10168" xr:uid="{00000000-0005-0000-0000-000090240000}"/>
    <cellStyle name="원_0103회전식현수막게시대제작설치" xfId="10169" xr:uid="{00000000-0005-0000-0000-000091240000}"/>
    <cellStyle name="원_0103회전식현수막게시대제작설치 2" xfId="10170" xr:uid="{00000000-0005-0000-0000-000092240000}"/>
    <cellStyle name="원_0103회전식현수막게시대제작설치 2 2" xfId="10171" xr:uid="{00000000-0005-0000-0000-000093240000}"/>
    <cellStyle name="원_0104포항시침출수처리시스템" xfId="10172" xr:uid="{00000000-0005-0000-0000-000094240000}"/>
    <cellStyle name="원_0104포항시침출수처리시스템 2" xfId="10173" xr:uid="{00000000-0005-0000-0000-000095240000}"/>
    <cellStyle name="원_0104포항시침출수처리시스템 2 2" xfId="10174" xr:uid="{00000000-0005-0000-0000-000096240000}"/>
    <cellStyle name="원_0105담배자판기개조원가" xfId="10175" xr:uid="{00000000-0005-0000-0000-000097240000}"/>
    <cellStyle name="원_0105담배자판기개조원가 2" xfId="10176" xr:uid="{00000000-0005-0000-0000-000098240000}"/>
    <cellStyle name="원_0105담배자판기개조원가 2 2" xfId="10177" xr:uid="{00000000-0005-0000-0000-000099240000}"/>
    <cellStyle name="원_0106LG인버터냉난방기제작-1" xfId="10178" xr:uid="{00000000-0005-0000-0000-00009A240000}"/>
    <cellStyle name="원_0106LG인버터냉난방기제작-1 2" xfId="10179" xr:uid="{00000000-0005-0000-0000-00009B240000}"/>
    <cellStyle name="원_0106LG인버터냉난방기제작-1 2 2" xfId="10180" xr:uid="{00000000-0005-0000-0000-00009C240000}"/>
    <cellStyle name="원_0107광전송장비구매설치" xfId="10181" xr:uid="{00000000-0005-0000-0000-00009D240000}"/>
    <cellStyle name="원_0107광전송장비구매설치 2" xfId="10182" xr:uid="{00000000-0005-0000-0000-00009E240000}"/>
    <cellStyle name="원_0107광전송장비구매설치 2 2" xfId="10183" xr:uid="{00000000-0005-0000-0000-00009F240000}"/>
    <cellStyle name="원_0107도공IBS설비SW부문(참조)" xfId="10184" xr:uid="{00000000-0005-0000-0000-0000A0240000}"/>
    <cellStyle name="원_0107도공IBS설비SW부문(참조) 2" xfId="10185" xr:uid="{00000000-0005-0000-0000-0000A1240000}"/>
    <cellStyle name="원_0107도공IBS설비SW부문(참조) 2 2" xfId="10186" xr:uid="{00000000-0005-0000-0000-0000A2240000}"/>
    <cellStyle name="원_0107문화재복원용목재-8월6일" xfId="10187" xr:uid="{00000000-0005-0000-0000-0000A3240000}"/>
    <cellStyle name="원_0107문화재복원용목재-8월6일 2" xfId="10188" xr:uid="{00000000-0005-0000-0000-0000A4240000}"/>
    <cellStyle name="원_0107문화재복원용목재-8월6일 2 2" xfId="10189" xr:uid="{00000000-0005-0000-0000-0000A5240000}"/>
    <cellStyle name="원_0107포천영중수배전반(제조,설치)" xfId="10190" xr:uid="{00000000-0005-0000-0000-0000A6240000}"/>
    <cellStyle name="원_0107포천영중수배전반(제조,설치) 2" xfId="10191" xr:uid="{00000000-0005-0000-0000-0000A7240000}"/>
    <cellStyle name="원_0107포천영중수배전반(제조,설치) 2 2" xfId="10192" xr:uid="{00000000-0005-0000-0000-0000A8240000}"/>
    <cellStyle name="원_0108농기반미곡건조기제작설치" xfId="10193" xr:uid="{00000000-0005-0000-0000-0000A9240000}"/>
    <cellStyle name="원_0108농기반미곡건조기제작설치 2" xfId="10194" xr:uid="{00000000-0005-0000-0000-0000AA240000}"/>
    <cellStyle name="원_0108농기반미곡건조기제작설치 2 2" xfId="10195" xr:uid="{00000000-0005-0000-0000-0000AB240000}"/>
    <cellStyle name="원_0108담배인삼공사영업춘추복" xfId="10196" xr:uid="{00000000-0005-0000-0000-0000AC240000}"/>
    <cellStyle name="원_0108담배인삼공사영업춘추복 2" xfId="10197" xr:uid="{00000000-0005-0000-0000-0000AD240000}"/>
    <cellStyle name="원_0108담배인삼공사영업춘추복 2 2" xfId="10198" xr:uid="{00000000-0005-0000-0000-0000AE240000}"/>
    <cellStyle name="원_0108한국전기교통-LED교통신호등((원본))" xfId="10199" xr:uid="{00000000-0005-0000-0000-0000AF240000}"/>
    <cellStyle name="원_0108한국전기교통-LED교통신호등((원본)) 2" xfId="10200" xr:uid="{00000000-0005-0000-0000-0000B0240000}"/>
    <cellStyle name="원_0108한국전기교통-LED교통신호등((원본)) 2 2" xfId="10201" xr:uid="{00000000-0005-0000-0000-0000B1240000}"/>
    <cellStyle name="원_0111해양수산부등명기제작" xfId="10202" xr:uid="{00000000-0005-0000-0000-0000B2240000}"/>
    <cellStyle name="원_0111해양수산부등명기제작 2" xfId="10203" xr:uid="{00000000-0005-0000-0000-0000B3240000}"/>
    <cellStyle name="원_0111해양수산부등명기제작 2 2" xfId="10204" xr:uid="{00000000-0005-0000-0000-0000B4240000}"/>
    <cellStyle name="원_0111핸디소프트-전자표준문서시스템" xfId="10205" xr:uid="{00000000-0005-0000-0000-0000B5240000}"/>
    <cellStyle name="원_0111핸디소프트-전자표준문서시스템 2" xfId="10206" xr:uid="{00000000-0005-0000-0000-0000B6240000}"/>
    <cellStyle name="원_0111핸디소프트-전자표준문서시스템 2 2" xfId="10207" xr:uid="{00000000-0005-0000-0000-0000B7240000}"/>
    <cellStyle name="원_0112금감원사무자동화시스템" xfId="10208" xr:uid="{00000000-0005-0000-0000-0000B8240000}"/>
    <cellStyle name="원_0112금감원사무자동화시스템 2" xfId="10209" xr:uid="{00000000-0005-0000-0000-0000B9240000}"/>
    <cellStyle name="원_0112금감원사무자동화시스템 2 2" xfId="10210" xr:uid="{00000000-0005-0000-0000-0000BA240000}"/>
    <cellStyle name="원_0112수도권매립지SW원가" xfId="10211" xr:uid="{00000000-0005-0000-0000-0000BB240000}"/>
    <cellStyle name="원_0112수도권매립지SW원가 2" xfId="10212" xr:uid="{00000000-0005-0000-0000-0000BC240000}"/>
    <cellStyle name="원_0112수도권매립지SW원가 2 2" xfId="10213" xr:uid="{00000000-0005-0000-0000-0000BD240000}"/>
    <cellStyle name="원_0112중고원-HRD종합정보망구축(完)" xfId="10214" xr:uid="{00000000-0005-0000-0000-0000BE240000}"/>
    <cellStyle name="원_0112중고원-HRD종합정보망구축(完) 2" xfId="10215" xr:uid="{00000000-0005-0000-0000-0000BF240000}"/>
    <cellStyle name="원_0112중고원-HRD종합정보망구축(完) 2 2" xfId="10216" xr:uid="{00000000-0005-0000-0000-0000C0240000}"/>
    <cellStyle name="원_0201종합예술회관의자제작설치-1" xfId="10217" xr:uid="{00000000-0005-0000-0000-0000C1240000}"/>
    <cellStyle name="원_0201종합예술회관의자제작설치-1 2" xfId="10218" xr:uid="{00000000-0005-0000-0000-0000C2240000}"/>
    <cellStyle name="원_0201종합예술회관의자제작설치-1 2 2" xfId="10219" xr:uid="{00000000-0005-0000-0000-0000C3240000}"/>
    <cellStyle name="원_0202마사회근무복" xfId="10220" xr:uid="{00000000-0005-0000-0000-0000C4240000}"/>
    <cellStyle name="원_0202마사회근무복 2" xfId="10221" xr:uid="{00000000-0005-0000-0000-0000C5240000}"/>
    <cellStyle name="원_0202마사회근무복 2 2" xfId="10222" xr:uid="{00000000-0005-0000-0000-0000C6240000}"/>
    <cellStyle name="원_0202부경교재-승강칠판" xfId="10223" xr:uid="{00000000-0005-0000-0000-0000C7240000}"/>
    <cellStyle name="원_0202부경교재-승강칠판 2" xfId="10224" xr:uid="{00000000-0005-0000-0000-0000C8240000}"/>
    <cellStyle name="원_0202부경교재-승강칠판 2 2" xfId="10225" xr:uid="{00000000-0005-0000-0000-0000C9240000}"/>
    <cellStyle name="원_0204한국석묘납골함-1규격" xfId="10226" xr:uid="{00000000-0005-0000-0000-0000CA240000}"/>
    <cellStyle name="원_0204한국석묘납골함-1규격 2" xfId="10227" xr:uid="{00000000-0005-0000-0000-0000CB240000}"/>
    <cellStyle name="원_0204한국석묘납골함-1규격 2 2" xfId="10228" xr:uid="{00000000-0005-0000-0000-0000CC240000}"/>
    <cellStyle name="원_0206금감원금융정보교환망재구축" xfId="10229" xr:uid="{00000000-0005-0000-0000-0000CD240000}"/>
    <cellStyle name="원_0206금감원금융정보교환망재구축 2" xfId="10230" xr:uid="{00000000-0005-0000-0000-0000CE240000}"/>
    <cellStyle name="원_0206금감원금융정보교환망재구축 2 2" xfId="10231" xr:uid="{00000000-0005-0000-0000-0000CF240000}"/>
    <cellStyle name="원_0206정통부수납장표기기제작설치" xfId="10232" xr:uid="{00000000-0005-0000-0000-0000D0240000}"/>
    <cellStyle name="원_0206정통부수납장표기기제작설치 2" xfId="10233" xr:uid="{00000000-0005-0000-0000-0000D1240000}"/>
    <cellStyle name="원_0206정통부수납장표기기제작설치 2 2" xfId="10234" xr:uid="{00000000-0005-0000-0000-0000D2240000}"/>
    <cellStyle name="원_0207담배인삼공사-담요" xfId="10235" xr:uid="{00000000-0005-0000-0000-0000D3240000}"/>
    <cellStyle name="원_0207담배인삼공사-담요 2" xfId="10236" xr:uid="{00000000-0005-0000-0000-0000D4240000}"/>
    <cellStyle name="원_0207담배인삼공사-담요 2 2" xfId="10237" xr:uid="{00000000-0005-0000-0000-0000D5240000}"/>
    <cellStyle name="원_0208레비텍-다층여과기설계변경" xfId="10238" xr:uid="{00000000-0005-0000-0000-0000D6240000}"/>
    <cellStyle name="원_0208레비텍-다층여과기설계변경 2" xfId="10239" xr:uid="{00000000-0005-0000-0000-0000D7240000}"/>
    <cellStyle name="원_0208레비텍-다층여과기설계변경 2 2" xfId="10240" xr:uid="{00000000-0005-0000-0000-0000D8240000}"/>
    <cellStyle name="원_0209이산화염소발생기-설치(50K)" xfId="10241" xr:uid="{00000000-0005-0000-0000-0000D9240000}"/>
    <cellStyle name="원_0209이산화염소발생기-설치(50K) 2" xfId="10242" xr:uid="{00000000-0005-0000-0000-0000DA240000}"/>
    <cellStyle name="원_0209이산화염소발생기-설치(50K) 2 2" xfId="10243" xr:uid="{00000000-0005-0000-0000-0000DB240000}"/>
    <cellStyle name="원_0210현대정보기술-TD이중계" xfId="10244" xr:uid="{00000000-0005-0000-0000-0000DC240000}"/>
    <cellStyle name="원_0210현대정보기술-TD이중계 2" xfId="10245" xr:uid="{00000000-0005-0000-0000-0000DD240000}"/>
    <cellStyle name="원_0210현대정보기술-TD이중계 2 2" xfId="10246" xr:uid="{00000000-0005-0000-0000-0000DE240000}"/>
    <cellStyle name="원_0211조달청-#1대북지원사업정산(1월7일)" xfId="10247" xr:uid="{00000000-0005-0000-0000-0000DF240000}"/>
    <cellStyle name="원_0211조달청-#1대북지원사업정산(1월7일) 2" xfId="10248" xr:uid="{00000000-0005-0000-0000-0000E0240000}"/>
    <cellStyle name="원_0211조달청-#1대북지원사업정산(1월7일) 2 2" xfId="10249" xr:uid="{00000000-0005-0000-0000-0000E1240000}"/>
    <cellStyle name="원_0212금감원-법규정보시스템(完)" xfId="10250" xr:uid="{00000000-0005-0000-0000-0000E2240000}"/>
    <cellStyle name="원_0212금감원-법규정보시스템(完) 2" xfId="10251" xr:uid="{00000000-0005-0000-0000-0000E3240000}"/>
    <cellStyle name="원_0212금감원-법규정보시스템(完) 2 2" xfId="10252" xr:uid="{00000000-0005-0000-0000-0000E4240000}"/>
    <cellStyle name="원_0301교통방송-CCTV유지보수" xfId="10253" xr:uid="{00000000-0005-0000-0000-0000E5240000}"/>
    <cellStyle name="원_0301교통방송-CCTV유지보수 2" xfId="10254" xr:uid="{00000000-0005-0000-0000-0000E6240000}"/>
    <cellStyle name="원_0301교통방송-CCTV유지보수 2 2" xfId="10255" xr:uid="{00000000-0005-0000-0000-0000E7240000}"/>
    <cellStyle name="원_0302인천경찰청-무인단속기위탁관리" xfId="10256" xr:uid="{00000000-0005-0000-0000-0000E8240000}"/>
    <cellStyle name="원_0302인천경찰청-무인단속기위탁관리 2" xfId="10257" xr:uid="{00000000-0005-0000-0000-0000E9240000}"/>
    <cellStyle name="원_0302인천경찰청-무인단속기위탁관리 2 2" xfId="10258" xr:uid="{00000000-0005-0000-0000-0000EA240000}"/>
    <cellStyle name="원_0302조달청-대북지원2차(안성연)" xfId="10259" xr:uid="{00000000-0005-0000-0000-0000EB240000}"/>
    <cellStyle name="원_0302조달청-대북지원2차(안성연) 2" xfId="10260" xr:uid="{00000000-0005-0000-0000-0000EC240000}"/>
    <cellStyle name="원_0302조달청-대북지원2차(안성연) 2 2" xfId="10261" xr:uid="{00000000-0005-0000-0000-0000ED240000}"/>
    <cellStyle name="원_0302조달청-대북지원2차(최수현)" xfId="10262" xr:uid="{00000000-0005-0000-0000-0000EE240000}"/>
    <cellStyle name="원_0302조달청-대북지원2차(최수현) 2" xfId="10263" xr:uid="{00000000-0005-0000-0000-0000EF240000}"/>
    <cellStyle name="원_0302조달청-대북지원2차(최수현) 2 2" xfId="10264" xr:uid="{00000000-0005-0000-0000-0000F0240000}"/>
    <cellStyle name="원_0302표준문서-쌍용정보통신(신)" xfId="10265" xr:uid="{00000000-0005-0000-0000-0000F1240000}"/>
    <cellStyle name="원_0302표준문서-쌍용정보통신(신) 2" xfId="10266" xr:uid="{00000000-0005-0000-0000-0000F2240000}"/>
    <cellStyle name="원_0302표준문서-쌍용정보통신(신) 2 2" xfId="10267" xr:uid="{00000000-0005-0000-0000-0000F3240000}"/>
    <cellStyle name="원_0304소프트파워-정부표준전자문서시스템" xfId="10268" xr:uid="{00000000-0005-0000-0000-0000F4240000}"/>
    <cellStyle name="원_0304소프트파워-정부표준전자문서시스템 2" xfId="10269" xr:uid="{00000000-0005-0000-0000-0000F5240000}"/>
    <cellStyle name="원_0304소프트파워-정부표준전자문서시스템 2 2" xfId="10270" xr:uid="{00000000-0005-0000-0000-0000F6240000}"/>
    <cellStyle name="원_0304소프트파워-정부표준전자문서시스템(完)" xfId="10271" xr:uid="{00000000-0005-0000-0000-0000F7240000}"/>
    <cellStyle name="원_0304소프트파워-정부표준전자문서시스템(完) 2" xfId="10272" xr:uid="{00000000-0005-0000-0000-0000F8240000}"/>
    <cellStyle name="원_0304소프트파워-정부표준전자문서시스템(完) 2 2" xfId="10273" xr:uid="{00000000-0005-0000-0000-0000F9240000}"/>
    <cellStyle name="원_0304철도청-주변환장치-1" xfId="10274" xr:uid="{00000000-0005-0000-0000-0000FA240000}"/>
    <cellStyle name="원_0304철도청-주변환장치-1 2" xfId="10275" xr:uid="{00000000-0005-0000-0000-0000FB240000}"/>
    <cellStyle name="원_0304철도청-주변환장치-1 2 2" xfId="10276" xr:uid="{00000000-0005-0000-0000-0000FC240000}"/>
    <cellStyle name="원_0305금감원-금융통계정보시스템구축(完)" xfId="10277" xr:uid="{00000000-0005-0000-0000-0000FD240000}"/>
    <cellStyle name="원_0305금감원-금융통계정보시스템구축(完) 2" xfId="10278" xr:uid="{00000000-0005-0000-0000-0000FE240000}"/>
    <cellStyle name="원_0305금감원-금융통계정보시스템구축(完) 2 2" xfId="10279" xr:uid="{00000000-0005-0000-0000-0000FF240000}"/>
    <cellStyle name="원_0305제낭조합-면범포지" xfId="10280" xr:uid="{00000000-0005-0000-0000-000000250000}"/>
    <cellStyle name="원_0305제낭조합-면범포지 2" xfId="10281" xr:uid="{00000000-0005-0000-0000-000001250000}"/>
    <cellStyle name="원_0305제낭조합-면범포지 2 2" xfId="10282" xr:uid="{00000000-0005-0000-0000-000002250000}"/>
    <cellStyle name="원_0306제낭공업협동조합-면범포지원단(경비까지)" xfId="10283" xr:uid="{00000000-0005-0000-0000-000003250000}"/>
    <cellStyle name="원_0306제낭공업협동조합-면범포지원단(경비까지) 2" xfId="10284" xr:uid="{00000000-0005-0000-0000-000004250000}"/>
    <cellStyle name="원_0306제낭공업협동조합-면범포지원단(경비까지) 2 2" xfId="10285" xr:uid="{00000000-0005-0000-0000-000005250000}"/>
    <cellStyle name="원_0307경찰청-무인교통단속표준SW개발용역(完)" xfId="10286" xr:uid="{00000000-0005-0000-0000-000006250000}"/>
    <cellStyle name="원_0307경찰청-무인교통단속표준SW개발용역(完) 2" xfId="10287" xr:uid="{00000000-0005-0000-0000-000007250000}"/>
    <cellStyle name="원_0307경찰청-무인교통단속표준SW개발용역(完) 2 2" xfId="10288" xr:uid="{00000000-0005-0000-0000-000008250000}"/>
    <cellStyle name="원_0308조달청-#8대북지원사업정산" xfId="10289" xr:uid="{00000000-0005-0000-0000-000009250000}"/>
    <cellStyle name="원_0308조달청-#8대북지원사업정산 2" xfId="10290" xr:uid="{00000000-0005-0000-0000-00000A250000}"/>
    <cellStyle name="원_0308조달청-#8대북지원사업정산 2 2" xfId="10291" xr:uid="{00000000-0005-0000-0000-00000B250000}"/>
    <cellStyle name="원_0309두합크린텍-설치원가" xfId="10292" xr:uid="{00000000-0005-0000-0000-00000C250000}"/>
    <cellStyle name="원_0309두합크린텍-설치원가 2" xfId="10293" xr:uid="{00000000-0005-0000-0000-00000D250000}"/>
    <cellStyle name="원_0309두합크린텍-설치원가 2 2" xfId="10294" xr:uid="{00000000-0005-0000-0000-00000E250000}"/>
    <cellStyle name="원_0309조달청-#9대북지원사업정산" xfId="10295" xr:uid="{00000000-0005-0000-0000-00000F250000}"/>
    <cellStyle name="원_0309조달청-#9대북지원사업정산 2" xfId="10296" xr:uid="{00000000-0005-0000-0000-000010250000}"/>
    <cellStyle name="원_0309조달청-#9대북지원사업정산 2 2" xfId="10297" xr:uid="{00000000-0005-0000-0000-000011250000}"/>
    <cellStyle name="원_0310여주상수도-탈수기(유천ENG)" xfId="10298" xr:uid="{00000000-0005-0000-0000-000012250000}"/>
    <cellStyle name="원_0310여주상수도-탈수기(유천ENG) 2" xfId="10299" xr:uid="{00000000-0005-0000-0000-000013250000}"/>
    <cellStyle name="원_0310여주상수도-탈수기(유천ENG) 2 2" xfId="10300" xr:uid="{00000000-0005-0000-0000-000014250000}"/>
    <cellStyle name="원_0311대기해양작업시간" xfId="10301" xr:uid="{00000000-0005-0000-0000-000015250000}"/>
    <cellStyle name="원_0311대기해양작업시간 2" xfId="10302" xr:uid="{00000000-0005-0000-0000-000016250000}"/>
    <cellStyle name="원_0311대기해양작업시간 2 2" xfId="10303" xr:uid="{00000000-0005-0000-0000-000017250000}"/>
    <cellStyle name="원_0311대기해양중형등명기" xfId="10304" xr:uid="{00000000-0005-0000-0000-000018250000}"/>
    <cellStyle name="원_0311대기해양중형등명기 2" xfId="10305" xr:uid="{00000000-0005-0000-0000-000019250000}"/>
    <cellStyle name="원_0311대기해양중형등명기 2 2" xfId="10306" xr:uid="{00000000-0005-0000-0000-00001A250000}"/>
    <cellStyle name="원_0312국민체육진흥공단-전기부문" xfId="10307" xr:uid="{00000000-0005-0000-0000-00001B250000}"/>
    <cellStyle name="원_0312국민체육진흥공단-전기부문 2" xfId="10308" xr:uid="{00000000-0005-0000-0000-00001C250000}"/>
    <cellStyle name="원_0312국민체육진흥공단-전기부문 2 2" xfId="10309" xr:uid="{00000000-0005-0000-0000-00001D250000}"/>
    <cellStyle name="원_0312대기해양-중형등명기제작설치" xfId="10310" xr:uid="{00000000-0005-0000-0000-00001E250000}"/>
    <cellStyle name="원_0312대기해양-중형등명기제작설치 2" xfId="10311" xr:uid="{00000000-0005-0000-0000-00001F250000}"/>
    <cellStyle name="원_0312대기해양-중형등명기제작설치 2 2" xfId="10312" xr:uid="{00000000-0005-0000-0000-000020250000}"/>
    <cellStyle name="원_0312라이준-칼라아스콘4규격" xfId="10313" xr:uid="{00000000-0005-0000-0000-000021250000}"/>
    <cellStyle name="원_0312라이준-칼라아스콘4규격 2" xfId="10314" xr:uid="{00000000-0005-0000-0000-000022250000}"/>
    <cellStyle name="원_0312라이준-칼라아스콘4규격 2 2" xfId="10315" xr:uid="{00000000-0005-0000-0000-000023250000}"/>
    <cellStyle name="원_0401집진기프로그램SW개발비산정" xfId="10316" xr:uid="{00000000-0005-0000-0000-000024250000}"/>
    <cellStyle name="원_0401집진기프로그램SW개발비산정 2" xfId="10317" xr:uid="{00000000-0005-0000-0000-000025250000}"/>
    <cellStyle name="원_0401집진기프로그램SW개발비산정 2 2" xfId="10318" xr:uid="{00000000-0005-0000-0000-000026250000}"/>
    <cellStyle name="원_1.설계내역서,2.일위대가표(전기)" xfId="10319" xr:uid="{00000000-0005-0000-0000-000027250000}"/>
    <cellStyle name="원_1.설계내역서,2.일위대가표(전기) 2" xfId="10320" xr:uid="{00000000-0005-0000-0000-000028250000}"/>
    <cellStyle name="원_1.설계내역서,2.일위대가표(전기) 2 2" xfId="10321" xr:uid="{00000000-0005-0000-0000-000029250000}"/>
    <cellStyle name="원_2001-06조달청신성-한냉지형" xfId="10322" xr:uid="{00000000-0005-0000-0000-00002A250000}"/>
    <cellStyle name="원_2001-06조달청신성-한냉지형 2" xfId="10323" xr:uid="{00000000-0005-0000-0000-00002B250000}"/>
    <cellStyle name="원_2001-06조달청신성-한냉지형 2 2" xfId="10324" xr:uid="{00000000-0005-0000-0000-00002C250000}"/>
    <cellStyle name="원_2002-03경찰대학-졸업식" xfId="10325" xr:uid="{00000000-0005-0000-0000-00002D250000}"/>
    <cellStyle name="원_2002-03경찰대학-졸업식 2" xfId="10326" xr:uid="{00000000-0005-0000-0000-00002E250000}"/>
    <cellStyle name="원_2002-03경찰대학-졸업식 2 2" xfId="10327" xr:uid="{00000000-0005-0000-0000-00002F250000}"/>
    <cellStyle name="원_2002-03경찰청-경찰표지장" xfId="10328" xr:uid="{00000000-0005-0000-0000-000030250000}"/>
    <cellStyle name="원_2002-03경찰청-경찰표지장 2" xfId="10329" xr:uid="{00000000-0005-0000-0000-000031250000}"/>
    <cellStyle name="원_2002-03경찰청-경찰표지장 2 2" xfId="10330" xr:uid="{00000000-0005-0000-0000-000032250000}"/>
    <cellStyle name="원_2002-03반디-가로등(열주형)" xfId="10331" xr:uid="{00000000-0005-0000-0000-000033250000}"/>
    <cellStyle name="원_2002-03반디-가로등(열주형) 2" xfId="10332" xr:uid="{00000000-0005-0000-0000-000034250000}"/>
    <cellStyle name="원_2002-03반디-가로등(열주형) 2 2" xfId="10333" xr:uid="{00000000-0005-0000-0000-000035250000}"/>
    <cellStyle name="원_2002-03신화전자-감지기" xfId="10334" xr:uid="{00000000-0005-0000-0000-000036250000}"/>
    <cellStyle name="원_2002-03신화전자-감지기 2" xfId="10335" xr:uid="{00000000-0005-0000-0000-000037250000}"/>
    <cellStyle name="원_2002-03신화전자-감지기 2 2" xfId="10336" xr:uid="{00000000-0005-0000-0000-000038250000}"/>
    <cellStyle name="원_2002-04강원랜드-슬러트머신" xfId="10337" xr:uid="{00000000-0005-0000-0000-000039250000}"/>
    <cellStyle name="원_2002-04강원랜드-슬러트머신 2" xfId="10338" xr:uid="{00000000-0005-0000-0000-00003A250000}"/>
    <cellStyle name="원_2002-04강원랜드-슬러트머신 2 2" xfId="10339" xr:uid="{00000000-0005-0000-0000-00003B250000}"/>
    <cellStyle name="원_2002-04메가컴-외주무대" xfId="10340" xr:uid="{00000000-0005-0000-0000-00003C250000}"/>
    <cellStyle name="원_2002-04메가컴-외주무대 2" xfId="10341" xr:uid="{00000000-0005-0000-0000-00003D250000}"/>
    <cellStyle name="원_2002-04메가컴-외주무대 2 2" xfId="10342" xr:uid="{00000000-0005-0000-0000-00003E250000}"/>
    <cellStyle name="원_2002-04엘지애드-무대" xfId="10343" xr:uid="{00000000-0005-0000-0000-00003F250000}"/>
    <cellStyle name="원_2002-04엘지애드-무대 2" xfId="10344" xr:uid="{00000000-0005-0000-0000-000040250000}"/>
    <cellStyle name="원_2002-04엘지애드-무대 2 2" xfId="10345" xr:uid="{00000000-0005-0000-0000-000041250000}"/>
    <cellStyle name="원_2002-05강원랜드-슬러트머신(넥스터)" xfId="10346" xr:uid="{00000000-0005-0000-0000-000042250000}"/>
    <cellStyle name="원_2002-05강원랜드-슬러트머신(넥스터) 2" xfId="10347" xr:uid="{00000000-0005-0000-0000-000043250000}"/>
    <cellStyle name="원_2002-05강원랜드-슬러트머신(넥스터) 2 2" xfId="10348" xr:uid="{00000000-0005-0000-0000-000044250000}"/>
    <cellStyle name="원_2002-05경기경찰청-냉온수기공사" xfId="10349" xr:uid="{00000000-0005-0000-0000-000045250000}"/>
    <cellStyle name="원_2002-05경기경찰청-냉온수기공사 2" xfId="10350" xr:uid="{00000000-0005-0000-0000-000046250000}"/>
    <cellStyle name="원_2002-05경기경찰청-냉온수기공사 2 2" xfId="10351" xr:uid="{00000000-0005-0000-0000-000047250000}"/>
    <cellStyle name="원_2002-05대통령비서실-카페트" xfId="10352" xr:uid="{00000000-0005-0000-0000-000048250000}"/>
    <cellStyle name="원_2002-05대통령비서실-카페트 2" xfId="10353" xr:uid="{00000000-0005-0000-0000-000049250000}"/>
    <cellStyle name="원_2002-05대통령비서실-카페트 2 2" xfId="10354" xr:uid="{00000000-0005-0000-0000-00004A250000}"/>
    <cellStyle name="원_2002결과표" xfId="10355" xr:uid="{00000000-0005-0000-0000-00004B250000}"/>
    <cellStyle name="원_2002결과표 2" xfId="10356" xr:uid="{00000000-0005-0000-0000-00004C250000}"/>
    <cellStyle name="원_2002결과표 2 2" xfId="10357" xr:uid="{00000000-0005-0000-0000-00004D250000}"/>
    <cellStyle name="원_2002결과표1" xfId="10358" xr:uid="{00000000-0005-0000-0000-00004E250000}"/>
    <cellStyle name="원_2002결과표1 2" xfId="10359" xr:uid="{00000000-0005-0000-0000-00004F250000}"/>
    <cellStyle name="원_2002결과표1 2 2" xfId="10360" xr:uid="{00000000-0005-0000-0000-000050250000}"/>
    <cellStyle name="원_2003-01정일사-표창5종" xfId="10361" xr:uid="{00000000-0005-0000-0000-000051250000}"/>
    <cellStyle name="원_2003-01정일사-표창5종 2" xfId="10362" xr:uid="{00000000-0005-0000-0000-000052250000}"/>
    <cellStyle name="원_2003-01정일사-표창5종 2 2" xfId="10363" xr:uid="{00000000-0005-0000-0000-000053250000}"/>
    <cellStyle name="원_2004년완성공사원가경비율(변경최종))" xfId="10364" xr:uid="{00000000-0005-0000-0000-000054250000}"/>
    <cellStyle name="원_2004년완성공사원가경비율(변경최종)) 2" xfId="10365" xr:uid="{00000000-0005-0000-0000-000055250000}"/>
    <cellStyle name="원_2004년완성공사원가경비율(변경최종)) 2 2" xfId="10366" xr:uid="{00000000-0005-0000-0000-000056250000}"/>
    <cellStyle name="원_2004년완성공사원가경비율(조달청미적용)1" xfId="10367" xr:uid="{00000000-0005-0000-0000-000057250000}"/>
    <cellStyle name="원_2004년완성공사원가경비율(조달청미적용)1 2" xfId="10368" xr:uid="{00000000-0005-0000-0000-000058250000}"/>
    <cellStyle name="원_2004년완성공사원가경비율(조달청미적용)1 2 2" xfId="10369" xr:uid="{00000000-0005-0000-0000-000059250000}"/>
    <cellStyle name="원_5월부산마사회발주기제작1" xfId="10370" xr:uid="{00000000-0005-0000-0000-00005A250000}"/>
    <cellStyle name="원_5월부산마사회발주기제작1 2" xfId="10371" xr:uid="{00000000-0005-0000-0000-00005B250000}"/>
    <cellStyle name="원_5월부산마사회발주기제작1 2 2" xfId="10372" xr:uid="{00000000-0005-0000-0000-00005C250000}"/>
    <cellStyle name="원_Pilot플랜트-계변경" xfId="10373" xr:uid="{00000000-0005-0000-0000-00005D250000}"/>
    <cellStyle name="원_Pilot플랜트-계변경 2" xfId="10374" xr:uid="{00000000-0005-0000-0000-00005E250000}"/>
    <cellStyle name="원_Pilot플랜트-계변경 2 2" xfId="10375" xr:uid="{00000000-0005-0000-0000-00005F250000}"/>
    <cellStyle name="원_Pilot플랜트이전설치-변경최종" xfId="10376" xr:uid="{00000000-0005-0000-0000-000060250000}"/>
    <cellStyle name="원_Pilot플랜트이전설치-변경최종 2" xfId="10377" xr:uid="{00000000-0005-0000-0000-000061250000}"/>
    <cellStyle name="원_Pilot플랜트이전설치-변경최종 2 2" xfId="10378" xr:uid="{00000000-0005-0000-0000-000062250000}"/>
    <cellStyle name="원_SW(케이비)" xfId="10379" xr:uid="{00000000-0005-0000-0000-000063250000}"/>
    <cellStyle name="원_SW(케이비) 2" xfId="10380" xr:uid="{00000000-0005-0000-0000-000064250000}"/>
    <cellStyle name="원_SW(케이비) 2 2" xfId="10381" xr:uid="{00000000-0005-0000-0000-000065250000}"/>
    <cellStyle name="원_간지,목차,페이지,표지" xfId="10382" xr:uid="{00000000-0005-0000-0000-000066250000}"/>
    <cellStyle name="원_간지,목차,페이지,표지 2" xfId="10383" xr:uid="{00000000-0005-0000-0000-000067250000}"/>
    <cellStyle name="원_간지,목차,페이지,표지 2 2" xfId="10384" xr:uid="{00000000-0005-0000-0000-000068250000}"/>
    <cellStyle name="원_간지,목차,페이지,표지(원가별)" xfId="10385" xr:uid="{00000000-0005-0000-0000-000069250000}"/>
    <cellStyle name="원_간지,목차,페이지,표지(원가별) 2" xfId="10386" xr:uid="{00000000-0005-0000-0000-00006A250000}"/>
    <cellStyle name="원_간지,목차,페이지,표지(원가별) 2 2" xfId="10387" xr:uid="{00000000-0005-0000-0000-00006B250000}"/>
    <cellStyle name="원_경찰청-근무,기동복" xfId="10388" xr:uid="{00000000-0005-0000-0000-00006C250000}"/>
    <cellStyle name="원_경찰청-근무,기동복 2" xfId="10389" xr:uid="{00000000-0005-0000-0000-00006D250000}"/>
    <cellStyle name="원_경찰청-근무,기동복 2 2" xfId="10390" xr:uid="{00000000-0005-0000-0000-00006E250000}"/>
    <cellStyle name="원_공사일반관리비양식" xfId="10391" xr:uid="{00000000-0005-0000-0000-00006F250000}"/>
    <cellStyle name="원_공사일반관리비양식 2" xfId="10392" xr:uid="{00000000-0005-0000-0000-000070250000}"/>
    <cellStyle name="원_공사일반관리비양식 2 2" xfId="10393" xr:uid="{00000000-0005-0000-0000-000071250000}"/>
    <cellStyle name="원_교통관리내역서-1008" xfId="10394" xr:uid="{00000000-0005-0000-0000-000072250000}"/>
    <cellStyle name="원_교통관리내역서-1008 2" xfId="10395" xr:uid="{00000000-0005-0000-0000-000073250000}"/>
    <cellStyle name="원_교통관리내역서-1008 2 2" xfId="10396" xr:uid="{00000000-0005-0000-0000-000074250000}"/>
    <cellStyle name="원_기초공사" xfId="10397" xr:uid="{00000000-0005-0000-0000-000075250000}"/>
    <cellStyle name="원_기초공사 2" xfId="10398" xr:uid="{00000000-0005-0000-0000-000076250000}"/>
    <cellStyle name="원_기초공사 2 2" xfId="10399" xr:uid="{00000000-0005-0000-0000-000077250000}"/>
    <cellStyle name="원_네인텍정보기술-회로카드(수현)" xfId="10400" xr:uid="{00000000-0005-0000-0000-000078250000}"/>
    <cellStyle name="원_네인텍정보기술-회로카드(수현) 2" xfId="10401" xr:uid="{00000000-0005-0000-0000-000079250000}"/>
    <cellStyle name="원_네인텍정보기술-회로카드(수현) 2 2" xfId="10402" xr:uid="{00000000-0005-0000-0000-00007A250000}"/>
    <cellStyle name="원_대기해양노무비" xfId="10403" xr:uid="{00000000-0005-0000-0000-00007B250000}"/>
    <cellStyle name="원_대기해양노무비 2" xfId="10404" xr:uid="{00000000-0005-0000-0000-00007C250000}"/>
    <cellStyle name="원_대기해양노무비 2 2" xfId="10405" xr:uid="{00000000-0005-0000-0000-00007D250000}"/>
    <cellStyle name="원_대북자재8월분" xfId="10406" xr:uid="{00000000-0005-0000-0000-00007E250000}"/>
    <cellStyle name="원_대북자재8월분 2" xfId="10407" xr:uid="{00000000-0005-0000-0000-00007F250000}"/>
    <cellStyle name="원_대북자재8월분 2 2" xfId="10408" xr:uid="{00000000-0005-0000-0000-000080250000}"/>
    <cellStyle name="원_대북자재8월분-1" xfId="10409" xr:uid="{00000000-0005-0000-0000-000081250000}"/>
    <cellStyle name="원_대북자재8월분-1 2" xfId="10410" xr:uid="{00000000-0005-0000-0000-000082250000}"/>
    <cellStyle name="원_대북자재8월분-1 2 2" xfId="10411" xr:uid="{00000000-0005-0000-0000-000083250000}"/>
    <cellStyle name="원_동산용사촌수현(원본)" xfId="10412" xr:uid="{00000000-0005-0000-0000-000084250000}"/>
    <cellStyle name="원_동산용사촌수현(원본) 2" xfId="10413" xr:uid="{00000000-0005-0000-0000-000085250000}"/>
    <cellStyle name="원_동산용사촌수현(원본) 2 2" xfId="10414" xr:uid="{00000000-0005-0000-0000-000086250000}"/>
    <cellStyle name="원_백제군사전시1" xfId="10415" xr:uid="{00000000-0005-0000-0000-000087250000}"/>
    <cellStyle name="원_백제군사전시1 2" xfId="10416" xr:uid="{00000000-0005-0000-0000-000088250000}"/>
    <cellStyle name="원_백제군사전시1 2 2" xfId="10417" xr:uid="{00000000-0005-0000-0000-000089250000}"/>
    <cellStyle name="원_서부도로교통사업소 예산서(마포구신호등)" xfId="10418" xr:uid="{00000000-0005-0000-0000-00008A250000}"/>
    <cellStyle name="원_서부도로교통사업소 예산서(마포구신호등) 2" xfId="10419" xr:uid="{00000000-0005-0000-0000-00008B250000}"/>
    <cellStyle name="원_서부도로교통사업소 예산서(마포구신호등) 2 2" xfId="10420" xr:uid="{00000000-0005-0000-0000-00008C250000}"/>
    <cellStyle name="원_설치위치별세부내역(VMS)-0323" xfId="10421" xr:uid="{00000000-0005-0000-0000-00008D250000}"/>
    <cellStyle name="원_설치위치별세부내역(VMS)-0323 2" xfId="10422" xr:uid="{00000000-0005-0000-0000-00008E250000}"/>
    <cellStyle name="원_설치위치별세부내역(VMS)-0323 2 2" xfId="10423" xr:uid="{00000000-0005-0000-0000-00008F250000}"/>
    <cellStyle name="원_수초제거기(대양기계)" xfId="10424" xr:uid="{00000000-0005-0000-0000-000090250000}"/>
    <cellStyle name="원_수초제거기(대양기계) 2" xfId="10425" xr:uid="{00000000-0005-0000-0000-000091250000}"/>
    <cellStyle name="원_수초제거기(대양기계) 2 2" xfId="10426" xr:uid="{00000000-0005-0000-0000-000092250000}"/>
    <cellStyle name="원_시설용역" xfId="10427" xr:uid="{00000000-0005-0000-0000-000093250000}"/>
    <cellStyle name="원_시설용역 2" xfId="10428" xr:uid="{00000000-0005-0000-0000-000094250000}"/>
    <cellStyle name="원_시설용역 2 2" xfId="10429" xr:uid="{00000000-0005-0000-0000-000095250000}"/>
    <cellStyle name="원_신화BS" xfId="10430" xr:uid="{00000000-0005-0000-0000-000096250000}"/>
    <cellStyle name="원_신화BS 2" xfId="10431" xr:uid="{00000000-0005-0000-0000-000097250000}"/>
    <cellStyle name="원_신화BS 2 2" xfId="10432" xr:uid="{00000000-0005-0000-0000-000098250000}"/>
    <cellStyle name="원_암전정밀실체현미경(수현)" xfId="10433" xr:uid="{00000000-0005-0000-0000-000099250000}"/>
    <cellStyle name="원_암전정밀실체현미경(수현) 2" xfId="10434" xr:uid="{00000000-0005-0000-0000-00009A250000}"/>
    <cellStyle name="원_암전정밀실체현미경(수현) 2 2" xfId="10435" xr:uid="{00000000-0005-0000-0000-00009B250000}"/>
    <cellStyle name="원_영산천 하수처리장 시설공사" xfId="10436" xr:uid="{00000000-0005-0000-0000-00009C250000}"/>
    <cellStyle name="원_영산천 하수처리장 시설공사 2" xfId="10437" xr:uid="{00000000-0005-0000-0000-00009D250000}"/>
    <cellStyle name="원_영산천 하수처리장 시설공사 2 2" xfId="10438" xr:uid="{00000000-0005-0000-0000-00009E250000}"/>
    <cellStyle name="원_오리엔탈" xfId="10439" xr:uid="{00000000-0005-0000-0000-00009F250000}"/>
    <cellStyle name="원_오리엔탈 2" xfId="10440" xr:uid="{00000000-0005-0000-0000-0000A0250000}"/>
    <cellStyle name="원_오리엔탈 2 2" xfId="10441" xr:uid="{00000000-0005-0000-0000-0000A1250000}"/>
    <cellStyle name="원_원가계산-교통1011" xfId="10442" xr:uid="{00000000-0005-0000-0000-0000A2250000}"/>
    <cellStyle name="원_원가계산-교통1011 2" xfId="10443" xr:uid="{00000000-0005-0000-0000-0000A3250000}"/>
    <cellStyle name="원_원가계산-교통1011 2 2" xfId="10444" xr:uid="{00000000-0005-0000-0000-0000A4250000}"/>
    <cellStyle name="원_원본 - 한국전기교통-개선형신호등 4종" xfId="10445" xr:uid="{00000000-0005-0000-0000-0000A5250000}"/>
    <cellStyle name="원_원본 - 한국전기교통-개선형신호등 4종 2" xfId="10446" xr:uid="{00000000-0005-0000-0000-0000A6250000}"/>
    <cellStyle name="원_원본 - 한국전기교통-개선형신호등 4종 2 2" xfId="10447" xr:uid="{00000000-0005-0000-0000-0000A7250000}"/>
    <cellStyle name="원_재료비" xfId="10448" xr:uid="{00000000-0005-0000-0000-0000A8250000}"/>
    <cellStyle name="원_재료비 2" xfId="10449" xr:uid="{00000000-0005-0000-0000-0000A9250000}"/>
    <cellStyle name="원_재료비 2 2" xfId="10450" xr:uid="{00000000-0005-0000-0000-0000AA250000}"/>
    <cellStyle name="원_제경비율모음" xfId="10451" xr:uid="{00000000-0005-0000-0000-0000AB250000}"/>
    <cellStyle name="원_제경비율모음 2" xfId="10452" xr:uid="{00000000-0005-0000-0000-0000AC250000}"/>
    <cellStyle name="원_제경비율모음 2 2" xfId="10453" xr:uid="{00000000-0005-0000-0000-0000AD250000}"/>
    <cellStyle name="원_제조원가" xfId="10454" xr:uid="{00000000-0005-0000-0000-0000AE250000}"/>
    <cellStyle name="원_제조원가 2" xfId="10455" xr:uid="{00000000-0005-0000-0000-0000AF250000}"/>
    <cellStyle name="원_제조원가 2 2" xfId="10456" xr:uid="{00000000-0005-0000-0000-0000B0250000}"/>
    <cellStyle name="원_조달청-B판사천강교제작(최종본)" xfId="10457" xr:uid="{00000000-0005-0000-0000-0000B1250000}"/>
    <cellStyle name="원_조달청-B판사천강교제작(최종본) 2" xfId="10458" xr:uid="{00000000-0005-0000-0000-0000B2250000}"/>
    <cellStyle name="원_조달청-B판사천강교제작(최종본) 2 2" xfId="10459" xr:uid="{00000000-0005-0000-0000-0000B3250000}"/>
    <cellStyle name="원_조달청-대북지원3차(최수현)" xfId="10460" xr:uid="{00000000-0005-0000-0000-0000B4250000}"/>
    <cellStyle name="원_조달청-대북지원3차(최수현) 2" xfId="10461" xr:uid="{00000000-0005-0000-0000-0000B5250000}"/>
    <cellStyle name="원_조달청-대북지원3차(최수현) 2 2" xfId="10462" xr:uid="{00000000-0005-0000-0000-0000B6250000}"/>
    <cellStyle name="원_조달청-대북지원4차(최수현)" xfId="10463" xr:uid="{00000000-0005-0000-0000-0000B7250000}"/>
    <cellStyle name="원_조달청-대북지원4차(최수현) 2" xfId="10464" xr:uid="{00000000-0005-0000-0000-0000B8250000}"/>
    <cellStyle name="원_조달청-대북지원4차(최수현) 2 2" xfId="10465" xr:uid="{00000000-0005-0000-0000-0000B9250000}"/>
    <cellStyle name="원_조달청-대북지원5차(최수현)" xfId="10466" xr:uid="{00000000-0005-0000-0000-0000BA250000}"/>
    <cellStyle name="원_조달청-대북지원5차(최수현) 2" xfId="10467" xr:uid="{00000000-0005-0000-0000-0000BB250000}"/>
    <cellStyle name="원_조달청-대북지원5차(최수현) 2 2" xfId="10468" xr:uid="{00000000-0005-0000-0000-0000BC250000}"/>
    <cellStyle name="원_조달청-대북지원6차(번호)" xfId="10469" xr:uid="{00000000-0005-0000-0000-0000BD250000}"/>
    <cellStyle name="원_조달청-대북지원6차(번호) 2" xfId="10470" xr:uid="{00000000-0005-0000-0000-0000BE250000}"/>
    <cellStyle name="원_조달청-대북지원6차(번호) 2 2" xfId="10471" xr:uid="{00000000-0005-0000-0000-0000BF250000}"/>
    <cellStyle name="원_조달청-대북지원6차(최수현)" xfId="10472" xr:uid="{00000000-0005-0000-0000-0000C0250000}"/>
    <cellStyle name="원_조달청-대북지원6차(최수현) 2" xfId="10473" xr:uid="{00000000-0005-0000-0000-0000C1250000}"/>
    <cellStyle name="원_조달청-대북지원6차(최수현) 2 2" xfId="10474" xr:uid="{00000000-0005-0000-0000-0000C2250000}"/>
    <cellStyle name="원_조달청-대북지원7차(최수현)" xfId="10475" xr:uid="{00000000-0005-0000-0000-0000C3250000}"/>
    <cellStyle name="원_조달청-대북지원7차(최수현) 2" xfId="10476" xr:uid="{00000000-0005-0000-0000-0000C4250000}"/>
    <cellStyle name="원_조달청-대북지원7차(최수현) 2 2" xfId="10477" xr:uid="{00000000-0005-0000-0000-0000C5250000}"/>
    <cellStyle name="원_조달청-대북지원8차(최수현)" xfId="10478" xr:uid="{00000000-0005-0000-0000-0000C6250000}"/>
    <cellStyle name="원_조달청-대북지원8차(최수현) 2" xfId="10479" xr:uid="{00000000-0005-0000-0000-0000C7250000}"/>
    <cellStyle name="원_조달청-대북지원8차(최수현) 2 2" xfId="10480" xr:uid="{00000000-0005-0000-0000-0000C8250000}"/>
    <cellStyle name="원_조달청-대북지원9차(최수현)" xfId="10481" xr:uid="{00000000-0005-0000-0000-0000C9250000}"/>
    <cellStyle name="원_조달청-대북지원9차(최수현) 2" xfId="10482" xr:uid="{00000000-0005-0000-0000-0000CA250000}"/>
    <cellStyle name="원_조달청-대북지원9차(최수현) 2 2" xfId="10483" xr:uid="{00000000-0005-0000-0000-0000CB250000}"/>
    <cellStyle name="원_중앙선관위(투표,개표)" xfId="10484" xr:uid="{00000000-0005-0000-0000-0000CC250000}"/>
    <cellStyle name="원_중앙선관위(투표,개표) 2" xfId="10485" xr:uid="{00000000-0005-0000-0000-0000CD250000}"/>
    <cellStyle name="원_중앙선관위(투표,개표) 2 2" xfId="10486" xr:uid="{00000000-0005-0000-0000-0000CE250000}"/>
    <cellStyle name="원_중앙선관위(투표,개표)-사본" xfId="10487" xr:uid="{00000000-0005-0000-0000-0000CF250000}"/>
    <cellStyle name="원_중앙선관위(투표,개표)-사본 2" xfId="10488" xr:uid="{00000000-0005-0000-0000-0000D0250000}"/>
    <cellStyle name="원_중앙선관위(투표,개표)-사본 2 2" xfId="10489" xr:uid="{00000000-0005-0000-0000-0000D1250000}"/>
    <cellStyle name="원_철공가공조립" xfId="10490" xr:uid="{00000000-0005-0000-0000-0000D2250000}"/>
    <cellStyle name="원_철공가공조립 2" xfId="10491" xr:uid="{00000000-0005-0000-0000-0000D3250000}"/>
    <cellStyle name="원_철공가공조립 2 2" xfId="10492" xr:uid="{00000000-0005-0000-0000-0000D4250000}"/>
    <cellStyle name="원_철도청-조명기구" xfId="10493" xr:uid="{00000000-0005-0000-0000-0000D5250000}"/>
    <cellStyle name="원_철도청-조명기구 2" xfId="10494" xr:uid="{00000000-0005-0000-0000-0000D6250000}"/>
    <cellStyle name="원_철도청-조명기구 2 2" xfId="10495" xr:uid="{00000000-0005-0000-0000-0000D7250000}"/>
    <cellStyle name="원_최종-한국전기교통-개선형신호등 4종(공수조정)" xfId="10496" xr:uid="{00000000-0005-0000-0000-0000D8250000}"/>
    <cellStyle name="원_최종-한국전기교통-개선형신호등 4종(공수조정) 2" xfId="10497" xr:uid="{00000000-0005-0000-0000-0000D9250000}"/>
    <cellStyle name="원_최종-한국전기교통-개선형신호등 4종(공수조정) 2 2" xfId="10498" xr:uid="{00000000-0005-0000-0000-0000DA250000}"/>
    <cellStyle name="원_코솔라-제조원가" xfId="10499" xr:uid="{00000000-0005-0000-0000-0000DB250000}"/>
    <cellStyle name="원_코솔라-제조원가 2" xfId="10500" xr:uid="{00000000-0005-0000-0000-0000DC250000}"/>
    <cellStyle name="원_코솔라-제조원가 2 2" xfId="10501" xr:uid="{00000000-0005-0000-0000-0000DD250000}"/>
    <cellStyle name="원_테마공사새로03" xfId="10502" xr:uid="{00000000-0005-0000-0000-0000DE250000}"/>
    <cellStyle name="원_테마공사새로03 2" xfId="10503" xr:uid="{00000000-0005-0000-0000-0000DF250000}"/>
    <cellStyle name="원_테마공사새로03 2 2" xfId="10504" xr:uid="{00000000-0005-0000-0000-0000E0250000}"/>
    <cellStyle name="원_토지공사-간접비" xfId="10505" xr:uid="{00000000-0005-0000-0000-0000E1250000}"/>
    <cellStyle name="원_토지공사-간접비 2" xfId="10506" xr:uid="{00000000-0005-0000-0000-0000E2250000}"/>
    <cellStyle name="원_토지공사-간접비 2 2" xfId="10507" xr:uid="{00000000-0005-0000-0000-0000E3250000}"/>
    <cellStyle name="원_평창증설매립장-설치" xfId="10508" xr:uid="{00000000-0005-0000-0000-0000E4250000}"/>
    <cellStyle name="원_평창증설매립장-설치 2" xfId="10509" xr:uid="{00000000-0005-0000-0000-0000E5250000}"/>
    <cellStyle name="원_평창증설매립장-설치 2 2" xfId="10510" xr:uid="{00000000-0005-0000-0000-0000E6250000}"/>
    <cellStyle name="원_한국가스공사필터제조부문" xfId="10511" xr:uid="{00000000-0005-0000-0000-0000E7250000}"/>
    <cellStyle name="원_한국가스공사필터제조부문 2" xfId="10512" xr:uid="{00000000-0005-0000-0000-0000E8250000}"/>
    <cellStyle name="원_한국가스공사필터제조부문 2 2" xfId="10513" xr:uid="{00000000-0005-0000-0000-0000E9250000}"/>
    <cellStyle name="원_한국도로공사" xfId="10514" xr:uid="{00000000-0005-0000-0000-0000EA250000}"/>
    <cellStyle name="원_한국도로공사 2" xfId="10515" xr:uid="{00000000-0005-0000-0000-0000EB250000}"/>
    <cellStyle name="원_한국도로공사 2 2" xfId="10516" xr:uid="{00000000-0005-0000-0000-0000EC250000}"/>
    <cellStyle name="원_한전내역서-최종" xfId="10517" xr:uid="{00000000-0005-0000-0000-0000ED250000}"/>
    <cellStyle name="원_한전내역서-최종 2" xfId="10518" xr:uid="{00000000-0005-0000-0000-0000EE250000}"/>
    <cellStyle name="원_한전내역서-최종 2 2" xfId="10519" xr:uid="{00000000-0005-0000-0000-0000EF250000}"/>
    <cellStyle name="유1" xfId="1425" xr:uid="{00000000-0005-0000-0000-0000F0250000}"/>
    <cellStyle name="유1 2" xfId="10520" xr:uid="{00000000-0005-0000-0000-0000F1250000}"/>
    <cellStyle name="유1 2 2" xfId="10521" xr:uid="{00000000-0005-0000-0000-0000F2250000}"/>
    <cellStyle name="유상진" xfId="2331" xr:uid="{00000000-0005-0000-0000-0000F3250000}"/>
    <cellStyle name="유영" xfId="1426" xr:uid="{00000000-0005-0000-0000-0000F4250000}"/>
    <cellStyle name="유영 2" xfId="4982" xr:uid="{00000000-0005-0000-0000-0000F5250000}"/>
    <cellStyle name="유영 2 2" xfId="10522" xr:uid="{00000000-0005-0000-0000-0000F6250000}"/>
    <cellStyle name="일반" xfId="2332" xr:uid="{00000000-0005-0000-0000-0000F7250000}"/>
    <cellStyle name="일반 2" xfId="10523" xr:uid="{00000000-0005-0000-0000-0000F8250000}"/>
    <cellStyle name="일반 2 2" xfId="10524" xr:uid="{00000000-0005-0000-0000-0000F9250000}"/>
    <cellStyle name="일위대가" xfId="2333" xr:uid="{00000000-0005-0000-0000-0000FA250000}"/>
    <cellStyle name="일위대가 2" xfId="10525" xr:uid="{00000000-0005-0000-0000-0000FB250000}"/>
    <cellStyle name="일위대가 2 2" xfId="10526" xr:uid="{00000000-0005-0000-0000-0000FC250000}"/>
    <cellStyle name="일위대가 2 2 2" xfId="10527" xr:uid="{00000000-0005-0000-0000-0000FD250000}"/>
    <cellStyle name="일위대가 3" xfId="10528" xr:uid="{00000000-0005-0000-0000-0000FE250000}"/>
    <cellStyle name="일위대가 3 2" xfId="10529" xr:uid="{00000000-0005-0000-0000-0000FF250000}"/>
    <cellStyle name="일위-제목" xfId="4983" xr:uid="{00000000-0005-0000-0000-000000260000}"/>
    <cellStyle name="일위호표번호" xfId="4984" xr:uid="{00000000-0005-0000-0000-000001260000}"/>
    <cellStyle name="입력 2" xfId="10530" xr:uid="{00000000-0005-0000-0000-000002260000}"/>
    <cellStyle name="입력 2 2" xfId="10531" xr:uid="{00000000-0005-0000-0000-000003260000}"/>
    <cellStyle name="입력 2 2 2" xfId="10532" xr:uid="{00000000-0005-0000-0000-000004260000}"/>
    <cellStyle name="입력 2 2 2 2" xfId="10533" xr:uid="{00000000-0005-0000-0000-000005260000}"/>
    <cellStyle name="입력 2 3" xfId="10534" xr:uid="{00000000-0005-0000-0000-000006260000}"/>
    <cellStyle name="입력 2 3 2" xfId="10535" xr:uid="{00000000-0005-0000-0000-000007260000}"/>
    <cellStyle name="입력 3" xfId="10536" xr:uid="{00000000-0005-0000-0000-000008260000}"/>
    <cellStyle name="입력 3 2" xfId="10537" xr:uid="{00000000-0005-0000-0000-000009260000}"/>
    <cellStyle name="입력 3 2 2" xfId="10538" xr:uid="{00000000-0005-0000-0000-00000A260000}"/>
    <cellStyle name="입력 3 2 2 2" xfId="10539" xr:uid="{00000000-0005-0000-0000-00000B260000}"/>
    <cellStyle name="입력 3 3" xfId="10540" xr:uid="{00000000-0005-0000-0000-00000C260000}"/>
    <cellStyle name="입력 3 3 2" xfId="10541" xr:uid="{00000000-0005-0000-0000-00000D260000}"/>
    <cellStyle name="입력 4" xfId="10542" xr:uid="{00000000-0005-0000-0000-00000E260000}"/>
    <cellStyle name="입력 4 2" xfId="10543" xr:uid="{00000000-0005-0000-0000-00000F260000}"/>
    <cellStyle name="입력 4 2 2" xfId="10544" xr:uid="{00000000-0005-0000-0000-000010260000}"/>
    <cellStyle name="입력 4 2 2 2" xfId="10545" xr:uid="{00000000-0005-0000-0000-000011260000}"/>
    <cellStyle name="입력 4 3" xfId="10546" xr:uid="{00000000-0005-0000-0000-000012260000}"/>
    <cellStyle name="입력 4 3 2" xfId="10547" xr:uid="{00000000-0005-0000-0000-000013260000}"/>
    <cellStyle name="입력 5" xfId="10548" xr:uid="{00000000-0005-0000-0000-000014260000}"/>
    <cellStyle name="자리수" xfId="261" xr:uid="{00000000-0005-0000-0000-000015260000}"/>
    <cellStyle name="자리수 - 유형1" xfId="1428" xr:uid="{00000000-0005-0000-0000-000016260000}"/>
    <cellStyle name="자리수 - 유형1 2" xfId="10549" xr:uid="{00000000-0005-0000-0000-000017260000}"/>
    <cellStyle name="자리수 - 유형1 2 2" xfId="10550" xr:uid="{00000000-0005-0000-0000-000018260000}"/>
    <cellStyle name="자리수 2" xfId="1427" xr:uid="{00000000-0005-0000-0000-000019260000}"/>
    <cellStyle name="자리수 2 2" xfId="1429" xr:uid="{00000000-0005-0000-0000-00001A260000}"/>
    <cellStyle name="자리수 3" xfId="1430" xr:uid="{00000000-0005-0000-0000-00001B260000}"/>
    <cellStyle name="자리수 4" xfId="2334" xr:uid="{00000000-0005-0000-0000-00001C260000}"/>
    <cellStyle name="자리수_2007년(100%)" xfId="10551" xr:uid="{00000000-0005-0000-0000-00001D260000}"/>
    <cellStyle name="자리수0" xfId="262" xr:uid="{00000000-0005-0000-0000-00001E260000}"/>
    <cellStyle name="자리수0 2" xfId="1431" xr:uid="{00000000-0005-0000-0000-00001F260000}"/>
    <cellStyle name="자리수0 2 2" xfId="1432" xr:uid="{00000000-0005-0000-0000-000020260000}"/>
    <cellStyle name="자리수0 2 2 2" xfId="10552" xr:uid="{00000000-0005-0000-0000-000021260000}"/>
    <cellStyle name="자리수0 3" xfId="1433" xr:uid="{00000000-0005-0000-0000-000022260000}"/>
    <cellStyle name="자리수0 3 2" xfId="10553" xr:uid="{00000000-0005-0000-0000-000023260000}"/>
    <cellStyle name="자리수0 4" xfId="2335" xr:uid="{00000000-0005-0000-0000-000024260000}"/>
    <cellStyle name="帳票" xfId="1434" xr:uid="{00000000-0005-0000-0000-000025260000}"/>
    <cellStyle name="쟟" xfId="4985" xr:uid="{00000000-0005-0000-0000-000026260000}"/>
    <cellStyle name="점선" xfId="10554" xr:uid="{00000000-0005-0000-0000-000027260000}"/>
    <cellStyle name="점선 2" xfId="10555" xr:uid="{00000000-0005-0000-0000-000028260000}"/>
    <cellStyle name="점선 2 2" xfId="10556" xr:uid="{00000000-0005-0000-0000-000029260000}"/>
    <cellStyle name="제곱" xfId="4986" xr:uid="{00000000-0005-0000-0000-00002A260000}"/>
    <cellStyle name="제곱 2" xfId="10557" xr:uid="{00000000-0005-0000-0000-00002B260000}"/>
    <cellStyle name="제곱 2 2" xfId="10558" xr:uid="{00000000-0005-0000-0000-00002C260000}"/>
    <cellStyle name="제곱 3" xfId="10559" xr:uid="{00000000-0005-0000-0000-00002D260000}"/>
    <cellStyle name="제목 1 2" xfId="10560" xr:uid="{00000000-0005-0000-0000-00002E260000}"/>
    <cellStyle name="제목 1 2 2" xfId="10561" xr:uid="{00000000-0005-0000-0000-00002F260000}"/>
    <cellStyle name="제목 1 2 2 2" xfId="10562" xr:uid="{00000000-0005-0000-0000-000030260000}"/>
    <cellStyle name="제목 1 2 2 2 2" xfId="10563" xr:uid="{00000000-0005-0000-0000-000031260000}"/>
    <cellStyle name="제목 1 2 3" xfId="10564" xr:uid="{00000000-0005-0000-0000-000032260000}"/>
    <cellStyle name="제목 1 2 3 2" xfId="10565" xr:uid="{00000000-0005-0000-0000-000033260000}"/>
    <cellStyle name="제목 1 3" xfId="10566" xr:uid="{00000000-0005-0000-0000-000034260000}"/>
    <cellStyle name="제목 1 3 2" xfId="10567" xr:uid="{00000000-0005-0000-0000-000035260000}"/>
    <cellStyle name="제목 1 3 2 2" xfId="10568" xr:uid="{00000000-0005-0000-0000-000036260000}"/>
    <cellStyle name="제목 1 3 2 2 2" xfId="10569" xr:uid="{00000000-0005-0000-0000-000037260000}"/>
    <cellStyle name="제목 1 3 3" xfId="10570" xr:uid="{00000000-0005-0000-0000-000038260000}"/>
    <cellStyle name="제목 1 3 3 2" xfId="10571" xr:uid="{00000000-0005-0000-0000-000039260000}"/>
    <cellStyle name="제목 1 4" xfId="10572" xr:uid="{00000000-0005-0000-0000-00003A260000}"/>
    <cellStyle name="제목 1 4 2" xfId="10573" xr:uid="{00000000-0005-0000-0000-00003B260000}"/>
    <cellStyle name="제목 1 4 2 2" xfId="10574" xr:uid="{00000000-0005-0000-0000-00003C260000}"/>
    <cellStyle name="제목 1 4 2 2 2" xfId="10575" xr:uid="{00000000-0005-0000-0000-00003D260000}"/>
    <cellStyle name="제목 1 4 3" xfId="10576" xr:uid="{00000000-0005-0000-0000-00003E260000}"/>
    <cellStyle name="제목 1 4 3 2" xfId="10577" xr:uid="{00000000-0005-0000-0000-00003F260000}"/>
    <cellStyle name="제목 2 2" xfId="10578" xr:uid="{00000000-0005-0000-0000-000040260000}"/>
    <cellStyle name="제목 2 2 2" xfId="10579" xr:uid="{00000000-0005-0000-0000-000041260000}"/>
    <cellStyle name="제목 2 2 2 2" xfId="10580" xr:uid="{00000000-0005-0000-0000-000042260000}"/>
    <cellStyle name="제목 2 2 2 2 2" xfId="10581" xr:uid="{00000000-0005-0000-0000-000043260000}"/>
    <cellStyle name="제목 2 2 3" xfId="10582" xr:uid="{00000000-0005-0000-0000-000044260000}"/>
    <cellStyle name="제목 2 2 3 2" xfId="10583" xr:uid="{00000000-0005-0000-0000-000045260000}"/>
    <cellStyle name="제목 2 3" xfId="10584" xr:uid="{00000000-0005-0000-0000-000046260000}"/>
    <cellStyle name="제목 2 3 2" xfId="10585" xr:uid="{00000000-0005-0000-0000-000047260000}"/>
    <cellStyle name="제목 2 3 2 2" xfId="10586" xr:uid="{00000000-0005-0000-0000-000048260000}"/>
    <cellStyle name="제목 2 3 2 2 2" xfId="10587" xr:uid="{00000000-0005-0000-0000-000049260000}"/>
    <cellStyle name="제목 2 3 3" xfId="10588" xr:uid="{00000000-0005-0000-0000-00004A260000}"/>
    <cellStyle name="제목 2 3 3 2" xfId="10589" xr:uid="{00000000-0005-0000-0000-00004B260000}"/>
    <cellStyle name="제목 2 4" xfId="10590" xr:uid="{00000000-0005-0000-0000-00004C260000}"/>
    <cellStyle name="제목 2 4 2" xfId="10591" xr:uid="{00000000-0005-0000-0000-00004D260000}"/>
    <cellStyle name="제목 2 4 2 2" xfId="10592" xr:uid="{00000000-0005-0000-0000-00004E260000}"/>
    <cellStyle name="제목 2 4 2 2 2" xfId="10593" xr:uid="{00000000-0005-0000-0000-00004F260000}"/>
    <cellStyle name="제목 2 4 3" xfId="10594" xr:uid="{00000000-0005-0000-0000-000050260000}"/>
    <cellStyle name="제목 2 4 3 2" xfId="10595" xr:uid="{00000000-0005-0000-0000-000051260000}"/>
    <cellStyle name="제목 3 2" xfId="10596" xr:uid="{00000000-0005-0000-0000-000052260000}"/>
    <cellStyle name="제목 3 2 2" xfId="10597" xr:uid="{00000000-0005-0000-0000-000053260000}"/>
    <cellStyle name="제목 3 2 2 2" xfId="10598" xr:uid="{00000000-0005-0000-0000-000054260000}"/>
    <cellStyle name="제목 3 2 2 2 2" xfId="10599" xr:uid="{00000000-0005-0000-0000-000055260000}"/>
    <cellStyle name="제목 3 2 3" xfId="10600" xr:uid="{00000000-0005-0000-0000-000056260000}"/>
    <cellStyle name="제목 3 2 3 2" xfId="10601" xr:uid="{00000000-0005-0000-0000-000057260000}"/>
    <cellStyle name="제목 3 3" xfId="10602" xr:uid="{00000000-0005-0000-0000-000058260000}"/>
    <cellStyle name="제목 3 3 2" xfId="10603" xr:uid="{00000000-0005-0000-0000-000059260000}"/>
    <cellStyle name="제목 3 3 2 2" xfId="10604" xr:uid="{00000000-0005-0000-0000-00005A260000}"/>
    <cellStyle name="제목 3 3 2 2 2" xfId="10605" xr:uid="{00000000-0005-0000-0000-00005B260000}"/>
    <cellStyle name="제목 3 3 3" xfId="10606" xr:uid="{00000000-0005-0000-0000-00005C260000}"/>
    <cellStyle name="제목 3 3 3 2" xfId="10607" xr:uid="{00000000-0005-0000-0000-00005D260000}"/>
    <cellStyle name="제목 3 4" xfId="10608" xr:uid="{00000000-0005-0000-0000-00005E260000}"/>
    <cellStyle name="제목 3 4 2" xfId="10609" xr:uid="{00000000-0005-0000-0000-00005F260000}"/>
    <cellStyle name="제목 3 4 2 2" xfId="10610" xr:uid="{00000000-0005-0000-0000-000060260000}"/>
    <cellStyle name="제목 3 4 2 2 2" xfId="10611" xr:uid="{00000000-0005-0000-0000-000061260000}"/>
    <cellStyle name="제목 3 4 3" xfId="10612" xr:uid="{00000000-0005-0000-0000-000062260000}"/>
    <cellStyle name="제목 3 4 3 2" xfId="10613" xr:uid="{00000000-0005-0000-0000-000063260000}"/>
    <cellStyle name="제목 4 2" xfId="10614" xr:uid="{00000000-0005-0000-0000-000064260000}"/>
    <cellStyle name="제목 4 2 2" xfId="10615" xr:uid="{00000000-0005-0000-0000-000065260000}"/>
    <cellStyle name="제목 4 2 2 2" xfId="10616" xr:uid="{00000000-0005-0000-0000-000066260000}"/>
    <cellStyle name="제목 4 2 2 2 2" xfId="10617" xr:uid="{00000000-0005-0000-0000-000067260000}"/>
    <cellStyle name="제목 4 2 3" xfId="10618" xr:uid="{00000000-0005-0000-0000-000068260000}"/>
    <cellStyle name="제목 4 2 3 2" xfId="10619" xr:uid="{00000000-0005-0000-0000-000069260000}"/>
    <cellStyle name="제목 4 3" xfId="10620" xr:uid="{00000000-0005-0000-0000-00006A260000}"/>
    <cellStyle name="제목 4 3 2" xfId="10621" xr:uid="{00000000-0005-0000-0000-00006B260000}"/>
    <cellStyle name="제목 4 3 2 2" xfId="10622" xr:uid="{00000000-0005-0000-0000-00006C260000}"/>
    <cellStyle name="제목 4 3 2 2 2" xfId="10623" xr:uid="{00000000-0005-0000-0000-00006D260000}"/>
    <cellStyle name="제목 4 3 3" xfId="10624" xr:uid="{00000000-0005-0000-0000-00006E260000}"/>
    <cellStyle name="제목 4 3 3 2" xfId="10625" xr:uid="{00000000-0005-0000-0000-00006F260000}"/>
    <cellStyle name="제목 4 4" xfId="10626" xr:uid="{00000000-0005-0000-0000-000070260000}"/>
    <cellStyle name="제목 4 4 2" xfId="10627" xr:uid="{00000000-0005-0000-0000-000071260000}"/>
    <cellStyle name="제목 4 4 2 2" xfId="10628" xr:uid="{00000000-0005-0000-0000-000072260000}"/>
    <cellStyle name="제목 4 4 2 2 2" xfId="10629" xr:uid="{00000000-0005-0000-0000-000073260000}"/>
    <cellStyle name="제목 4 4 3" xfId="10630" xr:uid="{00000000-0005-0000-0000-000074260000}"/>
    <cellStyle name="제목 4 4 3 2" xfId="10631" xr:uid="{00000000-0005-0000-0000-000075260000}"/>
    <cellStyle name="제목 5" xfId="10632" xr:uid="{00000000-0005-0000-0000-000076260000}"/>
    <cellStyle name="제목 5 2" xfId="10633" xr:uid="{00000000-0005-0000-0000-000077260000}"/>
    <cellStyle name="제목 5 2 2" xfId="10634" xr:uid="{00000000-0005-0000-0000-000078260000}"/>
    <cellStyle name="제목 5 2 2 2" xfId="10635" xr:uid="{00000000-0005-0000-0000-000079260000}"/>
    <cellStyle name="제목 5 3" xfId="10636" xr:uid="{00000000-0005-0000-0000-00007A260000}"/>
    <cellStyle name="제목 5 3 2" xfId="10637" xr:uid="{00000000-0005-0000-0000-00007B260000}"/>
    <cellStyle name="제목 6" xfId="10638" xr:uid="{00000000-0005-0000-0000-00007C260000}"/>
    <cellStyle name="제목 6 2" xfId="10639" xr:uid="{00000000-0005-0000-0000-00007D260000}"/>
    <cellStyle name="제목 6 2 2" xfId="10640" xr:uid="{00000000-0005-0000-0000-00007E260000}"/>
    <cellStyle name="제목 6 2 2 2" xfId="10641" xr:uid="{00000000-0005-0000-0000-00007F260000}"/>
    <cellStyle name="제목 6 3" xfId="10642" xr:uid="{00000000-0005-0000-0000-000080260000}"/>
    <cellStyle name="제목 6 3 2" xfId="10643" xr:uid="{00000000-0005-0000-0000-000081260000}"/>
    <cellStyle name="제목 7" xfId="10644" xr:uid="{00000000-0005-0000-0000-000082260000}"/>
    <cellStyle name="제목 7 2" xfId="10645" xr:uid="{00000000-0005-0000-0000-000083260000}"/>
    <cellStyle name="제목 7 2 2" xfId="10646" xr:uid="{00000000-0005-0000-0000-000084260000}"/>
    <cellStyle name="제목 7 2 2 2" xfId="10647" xr:uid="{00000000-0005-0000-0000-000085260000}"/>
    <cellStyle name="제목 7 3" xfId="10648" xr:uid="{00000000-0005-0000-0000-000086260000}"/>
    <cellStyle name="제목 7 3 2" xfId="10649" xr:uid="{00000000-0005-0000-0000-000087260000}"/>
    <cellStyle name="제목[1 줄]" xfId="4987" xr:uid="{00000000-0005-0000-0000-000088260000}"/>
    <cellStyle name="제목[1 줄] 2" xfId="10650" xr:uid="{00000000-0005-0000-0000-000089260000}"/>
    <cellStyle name="제목[1 줄] 2 2" xfId="10651" xr:uid="{00000000-0005-0000-0000-00008A260000}"/>
    <cellStyle name="제목[2줄 아래]" xfId="4988" xr:uid="{00000000-0005-0000-0000-00008B260000}"/>
    <cellStyle name="제목[2줄 아래] 2" xfId="10652" xr:uid="{00000000-0005-0000-0000-00008C260000}"/>
    <cellStyle name="제목[2줄 아래] 2 2" xfId="10653" xr:uid="{00000000-0005-0000-0000-00008D260000}"/>
    <cellStyle name="제목[2줄 아래] 3" xfId="10654" xr:uid="{00000000-0005-0000-0000-00008E260000}"/>
    <cellStyle name="제목[2줄 아래] 3 2" xfId="10655" xr:uid="{00000000-0005-0000-0000-00008F260000}"/>
    <cellStyle name="제목[2줄 아래] 4" xfId="10656" xr:uid="{00000000-0005-0000-0000-000090260000}"/>
    <cellStyle name="제목[2줄 아래] 4 2" xfId="10657" xr:uid="{00000000-0005-0000-0000-000091260000}"/>
    <cellStyle name="제목[2줄 아래] 5" xfId="10658" xr:uid="{00000000-0005-0000-0000-000092260000}"/>
    <cellStyle name="제목[2줄 아래] 5 2" xfId="10659" xr:uid="{00000000-0005-0000-0000-000093260000}"/>
    <cellStyle name="제목[2줄 아래] 6" xfId="10660" xr:uid="{00000000-0005-0000-0000-000094260000}"/>
    <cellStyle name="제목[2줄 아래] 6 2" xfId="10661" xr:uid="{00000000-0005-0000-0000-000095260000}"/>
    <cellStyle name="제목[2줄 아래] 7" xfId="10662" xr:uid="{00000000-0005-0000-0000-000096260000}"/>
    <cellStyle name="제목[2줄 아래] 7 2" xfId="10663" xr:uid="{00000000-0005-0000-0000-000097260000}"/>
    <cellStyle name="제목[2줄 아래] 8" xfId="10664" xr:uid="{00000000-0005-0000-0000-000098260000}"/>
    <cellStyle name="제목[2줄 아래] 8 2" xfId="10665" xr:uid="{00000000-0005-0000-0000-000099260000}"/>
    <cellStyle name="제목[2줄 아래] 9" xfId="10666" xr:uid="{00000000-0005-0000-0000-00009A260000}"/>
    <cellStyle name="제목[2줄 아래] 9 2" xfId="10667" xr:uid="{00000000-0005-0000-0000-00009B260000}"/>
    <cellStyle name="제목[2줄 위]" xfId="4989" xr:uid="{00000000-0005-0000-0000-00009C260000}"/>
    <cellStyle name="제목[2줄 위] 2" xfId="10668" xr:uid="{00000000-0005-0000-0000-00009D260000}"/>
    <cellStyle name="제목[2줄 위] 2 2" xfId="10669" xr:uid="{00000000-0005-0000-0000-00009E260000}"/>
    <cellStyle name="제목1" xfId="1435" xr:uid="{00000000-0005-0000-0000-00009F260000}"/>
    <cellStyle name="제목1 2" xfId="10670" xr:uid="{00000000-0005-0000-0000-0000A0260000}"/>
    <cellStyle name="제목1 2 2" xfId="10671" xr:uid="{00000000-0005-0000-0000-0000A1260000}"/>
    <cellStyle name="제목2" xfId="1436" xr:uid="{00000000-0005-0000-0000-0000A2260000}"/>
    <cellStyle name="좋음 2" xfId="10672" xr:uid="{00000000-0005-0000-0000-0000A3260000}"/>
    <cellStyle name="좋음 2 2" xfId="10673" xr:uid="{00000000-0005-0000-0000-0000A4260000}"/>
    <cellStyle name="좋음 2 2 2" xfId="10674" xr:uid="{00000000-0005-0000-0000-0000A5260000}"/>
    <cellStyle name="좋음 2 2 2 2" xfId="10675" xr:uid="{00000000-0005-0000-0000-0000A6260000}"/>
    <cellStyle name="좋음 2 3" xfId="10676" xr:uid="{00000000-0005-0000-0000-0000A7260000}"/>
    <cellStyle name="좋음 2 3 2" xfId="10677" xr:uid="{00000000-0005-0000-0000-0000A8260000}"/>
    <cellStyle name="좋음 3" xfId="10678" xr:uid="{00000000-0005-0000-0000-0000A9260000}"/>
    <cellStyle name="좋음 3 2" xfId="10679" xr:uid="{00000000-0005-0000-0000-0000AA260000}"/>
    <cellStyle name="좋음 3 2 2" xfId="10680" xr:uid="{00000000-0005-0000-0000-0000AB260000}"/>
    <cellStyle name="좋음 3 2 2 2" xfId="10681" xr:uid="{00000000-0005-0000-0000-0000AC260000}"/>
    <cellStyle name="좋음 3 3" xfId="10682" xr:uid="{00000000-0005-0000-0000-0000AD260000}"/>
    <cellStyle name="좋음 3 3 2" xfId="10683" xr:uid="{00000000-0005-0000-0000-0000AE260000}"/>
    <cellStyle name="좋음 4" xfId="10684" xr:uid="{00000000-0005-0000-0000-0000AF260000}"/>
    <cellStyle name="좋음 4 2" xfId="10685" xr:uid="{00000000-0005-0000-0000-0000B0260000}"/>
    <cellStyle name="좋음 4 2 2" xfId="10686" xr:uid="{00000000-0005-0000-0000-0000B1260000}"/>
    <cellStyle name="좋음 4 2 2 2" xfId="10687" xr:uid="{00000000-0005-0000-0000-0000B2260000}"/>
    <cellStyle name="좋음 4 3" xfId="10688" xr:uid="{00000000-0005-0000-0000-0000B3260000}"/>
    <cellStyle name="좋음 4 3 2" xfId="10689" xr:uid="{00000000-0005-0000-0000-0000B4260000}"/>
    <cellStyle name="좋음 5" xfId="10690" xr:uid="{00000000-0005-0000-0000-0000B5260000}"/>
    <cellStyle name="좌괄호_박심배수구조물공" xfId="4990" xr:uid="{00000000-0005-0000-0000-0000B6260000}"/>
    <cellStyle name="좌측양괄호" xfId="4991" xr:uid="{00000000-0005-0000-0000-0000B7260000}"/>
    <cellStyle name="좌측양괄호 2" xfId="10691" xr:uid="{00000000-0005-0000-0000-0000B8260000}"/>
    <cellStyle name="좌측양괄호 2 2" xfId="10692" xr:uid="{00000000-0005-0000-0000-0000B9260000}"/>
    <cellStyle name="죃" xfId="4992" xr:uid="{00000000-0005-0000-0000-0000BA260000}"/>
    <cellStyle name="지정되지 않음" xfId="263" xr:uid="{00000000-0005-0000-0000-0000BB260000}"/>
    <cellStyle name="지정되지 않음 2" xfId="10693" xr:uid="{00000000-0005-0000-0000-0000BC260000}"/>
    <cellStyle name="지정되지 않음 2 2" xfId="10694" xr:uid="{00000000-0005-0000-0000-0000BD260000}"/>
    <cellStyle name="지하철정렬" xfId="4993" xr:uid="{00000000-0005-0000-0000-0000BE260000}"/>
    <cellStyle name="지하철정렬 2" xfId="10695" xr:uid="{00000000-0005-0000-0000-0000BF260000}"/>
    <cellStyle name="지하철정렬 2 2" xfId="10696" xr:uid="{00000000-0005-0000-0000-0000C0260000}"/>
    <cellStyle name="출력 2" xfId="10697" xr:uid="{00000000-0005-0000-0000-0000C1260000}"/>
    <cellStyle name="출력 2 2" xfId="10698" xr:uid="{00000000-0005-0000-0000-0000C2260000}"/>
    <cellStyle name="출력 2 2 2" xfId="10699" xr:uid="{00000000-0005-0000-0000-0000C3260000}"/>
    <cellStyle name="출력 2 2 2 2" xfId="10700" xr:uid="{00000000-0005-0000-0000-0000C4260000}"/>
    <cellStyle name="출력 2 3" xfId="10701" xr:uid="{00000000-0005-0000-0000-0000C5260000}"/>
    <cellStyle name="출력 2 3 2" xfId="10702" xr:uid="{00000000-0005-0000-0000-0000C6260000}"/>
    <cellStyle name="출력 3" xfId="10703" xr:uid="{00000000-0005-0000-0000-0000C7260000}"/>
    <cellStyle name="출력 3 2" xfId="10704" xr:uid="{00000000-0005-0000-0000-0000C8260000}"/>
    <cellStyle name="출력 3 2 2" xfId="10705" xr:uid="{00000000-0005-0000-0000-0000C9260000}"/>
    <cellStyle name="출력 3 2 2 2" xfId="10706" xr:uid="{00000000-0005-0000-0000-0000CA260000}"/>
    <cellStyle name="출력 3 3" xfId="10707" xr:uid="{00000000-0005-0000-0000-0000CB260000}"/>
    <cellStyle name="출력 3 3 2" xfId="10708" xr:uid="{00000000-0005-0000-0000-0000CC260000}"/>
    <cellStyle name="출력 4" xfId="10709" xr:uid="{00000000-0005-0000-0000-0000CD260000}"/>
    <cellStyle name="출력 4 2" xfId="10710" xr:uid="{00000000-0005-0000-0000-0000CE260000}"/>
    <cellStyle name="출력 4 2 2" xfId="10711" xr:uid="{00000000-0005-0000-0000-0000CF260000}"/>
    <cellStyle name="출력 4 2 2 2" xfId="10712" xr:uid="{00000000-0005-0000-0000-0000D0260000}"/>
    <cellStyle name="출력 4 3" xfId="10713" xr:uid="{00000000-0005-0000-0000-0000D1260000}"/>
    <cellStyle name="출력 4 3 2" xfId="10714" xr:uid="{00000000-0005-0000-0000-0000D2260000}"/>
    <cellStyle name="출력 5" xfId="10715" xr:uid="{00000000-0005-0000-0000-0000D3260000}"/>
    <cellStyle name="콤" xfId="264" xr:uid="{00000000-0005-0000-0000-0000D4260000}"/>
    <cellStyle name="콤 2" xfId="1437" xr:uid="{00000000-0005-0000-0000-0000D5260000}"/>
    <cellStyle name="콤_01-토공_02-배수공" xfId="265" xr:uid="{00000000-0005-0000-0000-0000D6260000}"/>
    <cellStyle name="콤_01-토공_02-배수공_2.중곡빗물펌프장토공(BOX구간)" xfId="266" xr:uid="{00000000-0005-0000-0000-0000D7260000}"/>
    <cellStyle name="콤_01-토공_02-배수공_남측토공" xfId="267" xr:uid="{00000000-0005-0000-0000-0000D8260000}"/>
    <cellStyle name="콤_01-토공_02-배수공_남측토공_2.중곡빗물펌프장토공" xfId="268" xr:uid="{00000000-0005-0000-0000-0000D9260000}"/>
    <cellStyle name="콤_01-토공_02-배수공_남측토공_천호대로남측준공수량(토공)" xfId="269" xr:uid="{00000000-0005-0000-0000-0000DA260000}"/>
    <cellStyle name="콤_01-토공_02-배수공_토공" xfId="270" xr:uid="{00000000-0005-0000-0000-0000DB260000}"/>
    <cellStyle name="콤_01-토공_02-배수공_토공_2.중곡빗물펌프장토공" xfId="271" xr:uid="{00000000-0005-0000-0000-0000DC260000}"/>
    <cellStyle name="콤_01-토공_02-배수공_토공_세종대우회토공" xfId="272" xr:uid="{00000000-0005-0000-0000-0000DD260000}"/>
    <cellStyle name="콤_01-토공_02-배수공_토공_오거리토공" xfId="273" xr:uid="{00000000-0005-0000-0000-0000DE260000}"/>
    <cellStyle name="콤_01-토공_02-배수공_토공_중곡빗물펌프장토공" xfId="274" xr:uid="{00000000-0005-0000-0000-0000DF260000}"/>
    <cellStyle name="콤_01-토공_02-배수공_토공_중곡빗물펌프장토공1" xfId="275" xr:uid="{00000000-0005-0000-0000-0000E0260000}"/>
    <cellStyle name="콤_01-토공_02-배수공_토공_중곡펌프장토공1" xfId="276" xr:uid="{00000000-0005-0000-0000-0000E1260000}"/>
    <cellStyle name="콤_01-토공_02-배수공_토공_천호대로남측준공수량(토공)" xfId="277" xr:uid="{00000000-0005-0000-0000-0000E2260000}"/>
    <cellStyle name="콤_01-토공_02-배수공_토공_한국화장품토공" xfId="278" xr:uid="{00000000-0005-0000-0000-0000E3260000}"/>
    <cellStyle name="콤_02-배수공" xfId="279" xr:uid="{00000000-0005-0000-0000-0000E4260000}"/>
    <cellStyle name="콤_02-배수공_02-반중력식옹벽" xfId="280" xr:uid="{00000000-0005-0000-0000-0000E5260000}"/>
    <cellStyle name="콤_02-배수공_02-반중력식옹벽_2.중곡빗물펌프장토공(BOX구간)" xfId="281" xr:uid="{00000000-0005-0000-0000-0000E6260000}"/>
    <cellStyle name="콤_02-배수공_02-반중력식옹벽_남측토공" xfId="282" xr:uid="{00000000-0005-0000-0000-0000E7260000}"/>
    <cellStyle name="콤_02-배수공_02-반중력식옹벽_남측토공_2.중곡빗물펌프장토공" xfId="283" xr:uid="{00000000-0005-0000-0000-0000E8260000}"/>
    <cellStyle name="콤_02-배수공_02-반중력식옹벽_남측토공_천호대로남측준공수량(토공)" xfId="284" xr:uid="{00000000-0005-0000-0000-0000E9260000}"/>
    <cellStyle name="콤_02-배수공_02-반중력식옹벽_토공" xfId="285" xr:uid="{00000000-0005-0000-0000-0000EA260000}"/>
    <cellStyle name="콤_02-배수공_02-반중력식옹벽_토공_2.중곡빗물펌프장토공" xfId="286" xr:uid="{00000000-0005-0000-0000-0000EB260000}"/>
    <cellStyle name="콤_02-배수공_02-반중력식옹벽_토공_세종대우회토공" xfId="287" xr:uid="{00000000-0005-0000-0000-0000EC260000}"/>
    <cellStyle name="콤_02-배수공_02-반중력식옹벽_토공_오거리토공" xfId="288" xr:uid="{00000000-0005-0000-0000-0000ED260000}"/>
    <cellStyle name="콤_02-배수공_02-반중력식옹벽_토공_중곡빗물펌프장토공" xfId="289" xr:uid="{00000000-0005-0000-0000-0000EE260000}"/>
    <cellStyle name="콤_02-배수공_02-반중력식옹벽_토공_중곡빗물펌프장토공1" xfId="290" xr:uid="{00000000-0005-0000-0000-0000EF260000}"/>
    <cellStyle name="콤_02-배수공_02-반중력식옹벽_토공_중곡펌프장토공1" xfId="291" xr:uid="{00000000-0005-0000-0000-0000F0260000}"/>
    <cellStyle name="콤_02-배수공_02-반중력식옹벽_토공_천호대로남측준공수량(토공)" xfId="292" xr:uid="{00000000-0005-0000-0000-0000F1260000}"/>
    <cellStyle name="콤_02-배수공_02-반중력식옹벽_토공_한국화장품토공" xfId="293" xr:uid="{00000000-0005-0000-0000-0000F2260000}"/>
    <cellStyle name="콤_02-배수공_02-배수공" xfId="294" xr:uid="{00000000-0005-0000-0000-0000F3260000}"/>
    <cellStyle name="콤_02-배수공_02-배수공_2.중곡빗물펌프장토공(BOX구간)" xfId="295" xr:uid="{00000000-0005-0000-0000-0000F4260000}"/>
    <cellStyle name="콤_02-배수공_02-배수공_남측토공" xfId="296" xr:uid="{00000000-0005-0000-0000-0000F5260000}"/>
    <cellStyle name="콤_02-배수공_02-배수공_남측토공_2.중곡빗물펌프장토공" xfId="297" xr:uid="{00000000-0005-0000-0000-0000F6260000}"/>
    <cellStyle name="콤_02-배수공_02-배수공_남측토공_천호대로남측준공수량(토공)" xfId="298" xr:uid="{00000000-0005-0000-0000-0000F7260000}"/>
    <cellStyle name="콤_02-배수공_02-배수공_토공" xfId="299" xr:uid="{00000000-0005-0000-0000-0000F8260000}"/>
    <cellStyle name="콤_02-배수공_02-배수공_토공_2.중곡빗물펌프장토공" xfId="300" xr:uid="{00000000-0005-0000-0000-0000F9260000}"/>
    <cellStyle name="콤_02-배수공_02-배수공_토공_세종대우회토공" xfId="301" xr:uid="{00000000-0005-0000-0000-0000FA260000}"/>
    <cellStyle name="콤_02-배수공_02-배수공_토공_오거리토공" xfId="302" xr:uid="{00000000-0005-0000-0000-0000FB260000}"/>
    <cellStyle name="콤_02-배수공_02-배수공_토공_중곡빗물펌프장토공" xfId="303" xr:uid="{00000000-0005-0000-0000-0000FC260000}"/>
    <cellStyle name="콤_02-배수공_02-배수공_토공_중곡빗물펌프장토공1" xfId="304" xr:uid="{00000000-0005-0000-0000-0000FD260000}"/>
    <cellStyle name="콤_02-배수공_02-배수공_토공_중곡펌프장토공1" xfId="305" xr:uid="{00000000-0005-0000-0000-0000FE260000}"/>
    <cellStyle name="콤_02-배수공_02-배수공_토공_천호대로남측준공수량(토공)" xfId="306" xr:uid="{00000000-0005-0000-0000-0000FF260000}"/>
    <cellStyle name="콤_02-배수공_02-배수공_토공_한국화장품토공" xfId="307" xr:uid="{00000000-0005-0000-0000-000000270000}"/>
    <cellStyle name="콤_02-배수공_2.중곡빗물펌프장토공(BOX구간)" xfId="308" xr:uid="{00000000-0005-0000-0000-000001270000}"/>
    <cellStyle name="콤_02-배수공_가평조서" xfId="309" xr:uid="{00000000-0005-0000-0000-000002270000}"/>
    <cellStyle name="콤_02-배수공_가평조서_2.중곡빗물펌프장토공(BOX구간)" xfId="310" xr:uid="{00000000-0005-0000-0000-000003270000}"/>
    <cellStyle name="콤_02-배수공_남측토공" xfId="311" xr:uid="{00000000-0005-0000-0000-000004270000}"/>
    <cellStyle name="콤_02-배수공_남측토공_2.중곡빗물펌프장토공" xfId="312" xr:uid="{00000000-0005-0000-0000-000005270000}"/>
    <cellStyle name="콤_02-배수공_남측토공_천호대로남측준공수량(토공)" xfId="313" xr:uid="{00000000-0005-0000-0000-000006270000}"/>
    <cellStyle name="콤_02-배수공_반중력" xfId="314" xr:uid="{00000000-0005-0000-0000-000007270000}"/>
    <cellStyle name="콤_02-배수공_반중력_2.중곡빗물펌프장토공(BOX구간)" xfId="315" xr:uid="{00000000-0005-0000-0000-000008270000}"/>
    <cellStyle name="콤_02-배수공_반중력_남측토공" xfId="316" xr:uid="{00000000-0005-0000-0000-000009270000}"/>
    <cellStyle name="콤_02-배수공_반중력_남측토공_2.중곡빗물펌프장토공" xfId="317" xr:uid="{00000000-0005-0000-0000-00000A270000}"/>
    <cellStyle name="콤_02-배수공_반중력_남측토공_천호대로남측준공수량(토공)" xfId="318" xr:uid="{00000000-0005-0000-0000-00000B270000}"/>
    <cellStyle name="콤_02-배수공_반중력_토공" xfId="319" xr:uid="{00000000-0005-0000-0000-00000C270000}"/>
    <cellStyle name="콤_02-배수공_반중력_토공_2.중곡빗물펌프장토공" xfId="320" xr:uid="{00000000-0005-0000-0000-00000D270000}"/>
    <cellStyle name="콤_02-배수공_반중력_토공_세종대우회토공" xfId="321" xr:uid="{00000000-0005-0000-0000-00000E270000}"/>
    <cellStyle name="콤_02-배수공_반중력_토공_오거리토공" xfId="322" xr:uid="{00000000-0005-0000-0000-00000F270000}"/>
    <cellStyle name="콤_02-배수공_반중력_토공_중곡빗물펌프장토공" xfId="323" xr:uid="{00000000-0005-0000-0000-000010270000}"/>
    <cellStyle name="콤_02-배수공_반중력_토공_중곡빗물펌프장토공1" xfId="324" xr:uid="{00000000-0005-0000-0000-000011270000}"/>
    <cellStyle name="콤_02-배수공_반중력_토공_중곡펌프장토공1" xfId="325" xr:uid="{00000000-0005-0000-0000-000012270000}"/>
    <cellStyle name="콤_02-배수공_반중력_토공_천호대로남측준공수량(토공)" xfId="326" xr:uid="{00000000-0005-0000-0000-000013270000}"/>
    <cellStyle name="콤_02-배수공_반중력_토공_한국화장품토공" xfId="327" xr:uid="{00000000-0005-0000-0000-000014270000}"/>
    <cellStyle name="콤_02-배수공_옹벽" xfId="328" xr:uid="{00000000-0005-0000-0000-000015270000}"/>
    <cellStyle name="콤_02-배수공_옹벽_2.중곡빗물펌프장토공(BOX구간)" xfId="329" xr:uid="{00000000-0005-0000-0000-000016270000}"/>
    <cellStyle name="콤_02-배수공_토공" xfId="330" xr:uid="{00000000-0005-0000-0000-000017270000}"/>
    <cellStyle name="콤_02-배수공_토공_2.중곡빗물펌프장토공" xfId="331" xr:uid="{00000000-0005-0000-0000-000018270000}"/>
    <cellStyle name="콤_02-배수공_토공_세종대우회토공" xfId="332" xr:uid="{00000000-0005-0000-0000-000019270000}"/>
    <cellStyle name="콤_02-배수공_토공_오거리토공" xfId="333" xr:uid="{00000000-0005-0000-0000-00001A270000}"/>
    <cellStyle name="콤_02-배수공_토공_중곡빗물펌프장토공" xfId="334" xr:uid="{00000000-0005-0000-0000-00001B270000}"/>
    <cellStyle name="콤_02-배수공_토공_중곡빗물펌프장토공1" xfId="335" xr:uid="{00000000-0005-0000-0000-00001C270000}"/>
    <cellStyle name="콤_02-배수공_토공_중곡펌프장토공1" xfId="336" xr:uid="{00000000-0005-0000-0000-00001D270000}"/>
    <cellStyle name="콤_02-배수공_토공_천호대로남측준공수량(토공)" xfId="337" xr:uid="{00000000-0005-0000-0000-00001E270000}"/>
    <cellStyle name="콤_02-배수공_토공_한국화장품토공" xfId="338" xr:uid="{00000000-0005-0000-0000-00001F270000}"/>
    <cellStyle name="콤_02-배수공_포장조서" xfId="339" xr:uid="{00000000-0005-0000-0000-000020270000}"/>
    <cellStyle name="콤_02-배수공_포장조서_2.중곡빗물펌프장토공(BOX구간)" xfId="340" xr:uid="{00000000-0005-0000-0000-000021270000}"/>
    <cellStyle name="콤_04-포장공_02-배수공" xfId="341" xr:uid="{00000000-0005-0000-0000-000022270000}"/>
    <cellStyle name="콤_04-포장공_02-배수공_2.중곡빗물펌프장토공(BOX구간)" xfId="342" xr:uid="{00000000-0005-0000-0000-000023270000}"/>
    <cellStyle name="콤_04-포장공_02-배수공_남측토공" xfId="343" xr:uid="{00000000-0005-0000-0000-000024270000}"/>
    <cellStyle name="콤_04-포장공_02-배수공_남측토공_2.중곡빗물펌프장토공" xfId="344" xr:uid="{00000000-0005-0000-0000-000025270000}"/>
    <cellStyle name="콤_04-포장공_02-배수공_남측토공_천호대로남측준공수량(토공)" xfId="345" xr:uid="{00000000-0005-0000-0000-000026270000}"/>
    <cellStyle name="콤_04-포장공_02-배수공_토공" xfId="346" xr:uid="{00000000-0005-0000-0000-000027270000}"/>
    <cellStyle name="콤_04-포장공_02-배수공_토공_2.중곡빗물펌프장토공" xfId="347" xr:uid="{00000000-0005-0000-0000-000028270000}"/>
    <cellStyle name="콤_04-포장공_02-배수공_토공_세종대우회토공" xfId="348" xr:uid="{00000000-0005-0000-0000-000029270000}"/>
    <cellStyle name="콤_04-포장공_02-배수공_토공_오거리토공" xfId="349" xr:uid="{00000000-0005-0000-0000-00002A270000}"/>
    <cellStyle name="콤_04-포장공_02-배수공_토공_중곡빗물펌프장토공" xfId="350" xr:uid="{00000000-0005-0000-0000-00002B270000}"/>
    <cellStyle name="콤_04-포장공_02-배수공_토공_중곡빗물펌프장토공1" xfId="351" xr:uid="{00000000-0005-0000-0000-00002C270000}"/>
    <cellStyle name="콤_04-포장공_02-배수공_토공_중곡펌프장토공1" xfId="352" xr:uid="{00000000-0005-0000-0000-00002D270000}"/>
    <cellStyle name="콤_04-포장공_02-배수공_토공_천호대로남측준공수량(토공)" xfId="353" xr:uid="{00000000-0005-0000-0000-00002E270000}"/>
    <cellStyle name="콤_04-포장공_02-배수공_토공_한국화장품토공" xfId="354" xr:uid="{00000000-0005-0000-0000-00002F270000}"/>
    <cellStyle name="콤_06-부대공_02-배수공" xfId="355" xr:uid="{00000000-0005-0000-0000-000030270000}"/>
    <cellStyle name="콤_06-부대공_02-배수공_2.중곡빗물펌프장토공(BOX구간)" xfId="356" xr:uid="{00000000-0005-0000-0000-000031270000}"/>
    <cellStyle name="콤_06-부대공_02-배수공_남측토공" xfId="357" xr:uid="{00000000-0005-0000-0000-000032270000}"/>
    <cellStyle name="콤_06-부대공_02-배수공_남측토공_2.중곡빗물펌프장토공" xfId="358" xr:uid="{00000000-0005-0000-0000-000033270000}"/>
    <cellStyle name="콤_06-부대공_02-배수공_남측토공_천호대로남측준공수량(토공)" xfId="359" xr:uid="{00000000-0005-0000-0000-000034270000}"/>
    <cellStyle name="콤_06-부대공_02-배수공_토공" xfId="360" xr:uid="{00000000-0005-0000-0000-000035270000}"/>
    <cellStyle name="콤_06-부대공_02-배수공_토공_2.중곡빗물펌프장토공" xfId="361" xr:uid="{00000000-0005-0000-0000-000036270000}"/>
    <cellStyle name="콤_06-부대공_02-배수공_토공_세종대우회토공" xfId="362" xr:uid="{00000000-0005-0000-0000-000037270000}"/>
    <cellStyle name="콤_06-부대공_02-배수공_토공_오거리토공" xfId="363" xr:uid="{00000000-0005-0000-0000-000038270000}"/>
    <cellStyle name="콤_06-부대공_02-배수공_토공_중곡빗물펌프장토공" xfId="364" xr:uid="{00000000-0005-0000-0000-000039270000}"/>
    <cellStyle name="콤_06-부대공_02-배수공_토공_중곡빗물펌프장토공1" xfId="365" xr:uid="{00000000-0005-0000-0000-00003A270000}"/>
    <cellStyle name="콤_06-부대공_02-배수공_토공_중곡펌프장토공1" xfId="366" xr:uid="{00000000-0005-0000-0000-00003B270000}"/>
    <cellStyle name="콤_06-부대공_02-배수공_토공_천호대로남측준공수량(토공)" xfId="367" xr:uid="{00000000-0005-0000-0000-00003C270000}"/>
    <cellStyle name="콤_06-부대공_02-배수공_토공_한국화장품토공" xfId="368" xr:uid="{00000000-0005-0000-0000-00003D270000}"/>
    <cellStyle name="콤_2.중곡빗물펌프장토공(BOX구간)" xfId="369" xr:uid="{00000000-0005-0000-0000-00003E270000}"/>
    <cellStyle name="콤_3.우수" xfId="4994" xr:uid="{00000000-0005-0000-0000-00003F270000}"/>
    <cellStyle name="콤_수량산출서(수정)" xfId="370" xr:uid="{00000000-0005-0000-0000-000040270000}"/>
    <cellStyle name="콤_수량산출서(수정)_01-토공_02-배수공" xfId="371" xr:uid="{00000000-0005-0000-0000-000041270000}"/>
    <cellStyle name="콤_수량산출서(수정)_01-토공_02-배수공_2.중곡빗물펌프장토공(BOX구간)" xfId="372" xr:uid="{00000000-0005-0000-0000-000042270000}"/>
    <cellStyle name="콤_수량산출서(수정)_01-토공_02-배수공_남측토공" xfId="373" xr:uid="{00000000-0005-0000-0000-000043270000}"/>
    <cellStyle name="콤_수량산출서(수정)_01-토공_02-배수공_남측토공_2.중곡빗물펌프장토공" xfId="374" xr:uid="{00000000-0005-0000-0000-000044270000}"/>
    <cellStyle name="콤_수량산출서(수정)_01-토공_02-배수공_남측토공_천호대로남측준공수량(토공)" xfId="375" xr:uid="{00000000-0005-0000-0000-000045270000}"/>
    <cellStyle name="콤_수량산출서(수정)_01-토공_02-배수공_토공" xfId="376" xr:uid="{00000000-0005-0000-0000-000046270000}"/>
    <cellStyle name="콤_수량산출서(수정)_01-토공_02-배수공_토공_2.중곡빗물펌프장토공" xfId="377" xr:uid="{00000000-0005-0000-0000-000047270000}"/>
    <cellStyle name="콤_수량산출서(수정)_01-토공_02-배수공_토공_세종대우회토공" xfId="378" xr:uid="{00000000-0005-0000-0000-000048270000}"/>
    <cellStyle name="콤_수량산출서(수정)_01-토공_02-배수공_토공_오거리토공" xfId="379" xr:uid="{00000000-0005-0000-0000-000049270000}"/>
    <cellStyle name="콤_수량산출서(수정)_01-토공_02-배수공_토공_중곡빗물펌프장토공" xfId="380" xr:uid="{00000000-0005-0000-0000-00004A270000}"/>
    <cellStyle name="콤_수량산출서(수정)_01-토공_02-배수공_토공_중곡빗물펌프장토공1" xfId="381" xr:uid="{00000000-0005-0000-0000-00004B270000}"/>
    <cellStyle name="콤_수량산출서(수정)_01-토공_02-배수공_토공_중곡펌프장토공1" xfId="382" xr:uid="{00000000-0005-0000-0000-00004C270000}"/>
    <cellStyle name="콤_수량산출서(수정)_01-토공_02-배수공_토공_천호대로남측준공수량(토공)" xfId="383" xr:uid="{00000000-0005-0000-0000-00004D270000}"/>
    <cellStyle name="콤_수량산출서(수정)_01-토공_02-배수공_토공_한국화장품토공" xfId="384" xr:uid="{00000000-0005-0000-0000-00004E270000}"/>
    <cellStyle name="콤_수량산출서(수정)_02-배수공" xfId="385" xr:uid="{00000000-0005-0000-0000-00004F270000}"/>
    <cellStyle name="콤_수량산출서(수정)_02-배수공_02-반중력식옹벽" xfId="386" xr:uid="{00000000-0005-0000-0000-000050270000}"/>
    <cellStyle name="콤_수량산출서(수정)_02-배수공_02-반중력식옹벽_2.중곡빗물펌프장토공(BOX구간)" xfId="387" xr:uid="{00000000-0005-0000-0000-000051270000}"/>
    <cellStyle name="콤_수량산출서(수정)_02-배수공_02-반중력식옹벽_남측토공" xfId="388" xr:uid="{00000000-0005-0000-0000-000052270000}"/>
    <cellStyle name="콤_수량산출서(수정)_02-배수공_02-반중력식옹벽_남측토공_2.중곡빗물펌프장토공" xfId="389" xr:uid="{00000000-0005-0000-0000-000053270000}"/>
    <cellStyle name="콤_수량산출서(수정)_02-배수공_02-반중력식옹벽_남측토공_천호대로남측준공수량(토공)" xfId="390" xr:uid="{00000000-0005-0000-0000-000054270000}"/>
    <cellStyle name="콤_수량산출서(수정)_02-배수공_02-반중력식옹벽_토공" xfId="391" xr:uid="{00000000-0005-0000-0000-000055270000}"/>
    <cellStyle name="콤_수량산출서(수정)_02-배수공_02-반중력식옹벽_토공_2.중곡빗물펌프장토공" xfId="392" xr:uid="{00000000-0005-0000-0000-000056270000}"/>
    <cellStyle name="콤_수량산출서(수정)_02-배수공_02-반중력식옹벽_토공_세종대우회토공" xfId="393" xr:uid="{00000000-0005-0000-0000-000057270000}"/>
    <cellStyle name="콤_수량산출서(수정)_02-배수공_02-반중력식옹벽_토공_오거리토공" xfId="394" xr:uid="{00000000-0005-0000-0000-000058270000}"/>
    <cellStyle name="콤_수량산출서(수정)_02-배수공_02-반중력식옹벽_토공_중곡빗물펌프장토공" xfId="395" xr:uid="{00000000-0005-0000-0000-000059270000}"/>
    <cellStyle name="콤_수량산출서(수정)_02-배수공_02-반중력식옹벽_토공_중곡빗물펌프장토공1" xfId="396" xr:uid="{00000000-0005-0000-0000-00005A270000}"/>
    <cellStyle name="콤_수량산출서(수정)_02-배수공_02-반중력식옹벽_토공_중곡펌프장토공1" xfId="397" xr:uid="{00000000-0005-0000-0000-00005B270000}"/>
    <cellStyle name="콤_수량산출서(수정)_02-배수공_02-반중력식옹벽_토공_천호대로남측준공수량(토공)" xfId="398" xr:uid="{00000000-0005-0000-0000-00005C270000}"/>
    <cellStyle name="콤_수량산출서(수정)_02-배수공_02-반중력식옹벽_토공_한국화장품토공" xfId="399" xr:uid="{00000000-0005-0000-0000-00005D270000}"/>
    <cellStyle name="콤_수량산출서(수정)_02-배수공_02-배수공" xfId="400" xr:uid="{00000000-0005-0000-0000-00005E270000}"/>
    <cellStyle name="콤_수량산출서(수정)_02-배수공_02-배수공_2.중곡빗물펌프장토공(BOX구간)" xfId="401" xr:uid="{00000000-0005-0000-0000-00005F270000}"/>
    <cellStyle name="콤_수량산출서(수정)_02-배수공_02-배수공_남측토공" xfId="402" xr:uid="{00000000-0005-0000-0000-000060270000}"/>
    <cellStyle name="콤_수량산출서(수정)_02-배수공_02-배수공_남측토공_2.중곡빗물펌프장토공" xfId="403" xr:uid="{00000000-0005-0000-0000-000061270000}"/>
    <cellStyle name="콤_수량산출서(수정)_02-배수공_02-배수공_남측토공_천호대로남측준공수량(토공)" xfId="404" xr:uid="{00000000-0005-0000-0000-000062270000}"/>
    <cellStyle name="콤_수량산출서(수정)_02-배수공_02-배수공_토공" xfId="405" xr:uid="{00000000-0005-0000-0000-000063270000}"/>
    <cellStyle name="콤_수량산출서(수정)_02-배수공_02-배수공_토공_2.중곡빗물펌프장토공" xfId="406" xr:uid="{00000000-0005-0000-0000-000064270000}"/>
    <cellStyle name="콤_수량산출서(수정)_02-배수공_02-배수공_토공_세종대우회토공" xfId="407" xr:uid="{00000000-0005-0000-0000-000065270000}"/>
    <cellStyle name="콤_수량산출서(수정)_02-배수공_02-배수공_토공_오거리토공" xfId="408" xr:uid="{00000000-0005-0000-0000-000066270000}"/>
    <cellStyle name="콤_수량산출서(수정)_02-배수공_02-배수공_토공_중곡빗물펌프장토공" xfId="409" xr:uid="{00000000-0005-0000-0000-000067270000}"/>
    <cellStyle name="콤_수량산출서(수정)_02-배수공_02-배수공_토공_중곡빗물펌프장토공1" xfId="410" xr:uid="{00000000-0005-0000-0000-000068270000}"/>
    <cellStyle name="콤_수량산출서(수정)_02-배수공_02-배수공_토공_중곡펌프장토공1" xfId="411" xr:uid="{00000000-0005-0000-0000-000069270000}"/>
    <cellStyle name="콤_수량산출서(수정)_02-배수공_02-배수공_토공_천호대로남측준공수량(토공)" xfId="412" xr:uid="{00000000-0005-0000-0000-00006A270000}"/>
    <cellStyle name="콤_수량산출서(수정)_02-배수공_02-배수공_토공_한국화장품토공" xfId="413" xr:uid="{00000000-0005-0000-0000-00006B270000}"/>
    <cellStyle name="콤_수량산출서(수정)_02-배수공_2.중곡빗물펌프장토공(BOX구간)" xfId="414" xr:uid="{00000000-0005-0000-0000-00006C270000}"/>
    <cellStyle name="콤_수량산출서(수정)_02-배수공_가평조서" xfId="415" xr:uid="{00000000-0005-0000-0000-00006D270000}"/>
    <cellStyle name="콤_수량산출서(수정)_02-배수공_가평조서_2.중곡빗물펌프장토공(BOX구간)" xfId="416" xr:uid="{00000000-0005-0000-0000-00006E270000}"/>
    <cellStyle name="콤_수량산출서(수정)_02-배수공_남측토공" xfId="417" xr:uid="{00000000-0005-0000-0000-00006F270000}"/>
    <cellStyle name="콤_수량산출서(수정)_02-배수공_남측토공_2.중곡빗물펌프장토공" xfId="418" xr:uid="{00000000-0005-0000-0000-000070270000}"/>
    <cellStyle name="콤_수량산출서(수정)_02-배수공_남측토공_천호대로남측준공수량(토공)" xfId="419" xr:uid="{00000000-0005-0000-0000-000071270000}"/>
    <cellStyle name="콤_수량산출서(수정)_02-배수공_반중력" xfId="420" xr:uid="{00000000-0005-0000-0000-000072270000}"/>
    <cellStyle name="콤_수량산출서(수정)_02-배수공_반중력_2.중곡빗물펌프장토공(BOX구간)" xfId="421" xr:uid="{00000000-0005-0000-0000-000073270000}"/>
    <cellStyle name="콤_수량산출서(수정)_02-배수공_반중력_남측토공" xfId="422" xr:uid="{00000000-0005-0000-0000-000074270000}"/>
    <cellStyle name="콤_수량산출서(수정)_02-배수공_반중력_남측토공_2.중곡빗물펌프장토공" xfId="423" xr:uid="{00000000-0005-0000-0000-000075270000}"/>
    <cellStyle name="콤_수량산출서(수정)_02-배수공_반중력_남측토공_천호대로남측준공수량(토공)" xfId="424" xr:uid="{00000000-0005-0000-0000-000076270000}"/>
    <cellStyle name="콤_수량산출서(수정)_02-배수공_반중력_토공" xfId="425" xr:uid="{00000000-0005-0000-0000-000077270000}"/>
    <cellStyle name="콤_수량산출서(수정)_02-배수공_반중력_토공_2.중곡빗물펌프장토공" xfId="426" xr:uid="{00000000-0005-0000-0000-000078270000}"/>
    <cellStyle name="콤_수량산출서(수정)_02-배수공_반중력_토공_세종대우회토공" xfId="427" xr:uid="{00000000-0005-0000-0000-000079270000}"/>
    <cellStyle name="콤_수량산출서(수정)_02-배수공_반중력_토공_오거리토공" xfId="428" xr:uid="{00000000-0005-0000-0000-00007A270000}"/>
    <cellStyle name="콤_수량산출서(수정)_02-배수공_반중력_토공_중곡빗물펌프장토공" xfId="429" xr:uid="{00000000-0005-0000-0000-00007B270000}"/>
    <cellStyle name="콤_수량산출서(수정)_02-배수공_반중력_토공_중곡빗물펌프장토공1" xfId="430" xr:uid="{00000000-0005-0000-0000-00007C270000}"/>
    <cellStyle name="콤_수량산출서(수정)_02-배수공_반중력_토공_중곡펌프장토공1" xfId="431" xr:uid="{00000000-0005-0000-0000-00007D270000}"/>
    <cellStyle name="콤_수량산출서(수정)_02-배수공_반중력_토공_천호대로남측준공수량(토공)" xfId="432" xr:uid="{00000000-0005-0000-0000-00007E270000}"/>
    <cellStyle name="콤_수량산출서(수정)_02-배수공_반중력_토공_한국화장품토공" xfId="433" xr:uid="{00000000-0005-0000-0000-00007F270000}"/>
    <cellStyle name="콤_수량산출서(수정)_02-배수공_옹벽" xfId="434" xr:uid="{00000000-0005-0000-0000-000080270000}"/>
    <cellStyle name="콤_수량산출서(수정)_02-배수공_옹벽_2.중곡빗물펌프장토공(BOX구간)" xfId="435" xr:uid="{00000000-0005-0000-0000-000081270000}"/>
    <cellStyle name="콤_수량산출서(수정)_02-배수공_토공" xfId="436" xr:uid="{00000000-0005-0000-0000-000082270000}"/>
    <cellStyle name="콤_수량산출서(수정)_02-배수공_토공_2.중곡빗물펌프장토공" xfId="437" xr:uid="{00000000-0005-0000-0000-000083270000}"/>
    <cellStyle name="콤_수량산출서(수정)_02-배수공_토공_세종대우회토공" xfId="438" xr:uid="{00000000-0005-0000-0000-000084270000}"/>
    <cellStyle name="콤_수량산출서(수정)_02-배수공_토공_오거리토공" xfId="439" xr:uid="{00000000-0005-0000-0000-000085270000}"/>
    <cellStyle name="콤_수량산출서(수정)_02-배수공_토공_중곡빗물펌프장토공" xfId="440" xr:uid="{00000000-0005-0000-0000-000086270000}"/>
    <cellStyle name="콤_수량산출서(수정)_02-배수공_토공_중곡빗물펌프장토공1" xfId="441" xr:uid="{00000000-0005-0000-0000-000087270000}"/>
    <cellStyle name="콤_수량산출서(수정)_02-배수공_토공_중곡펌프장토공1" xfId="442" xr:uid="{00000000-0005-0000-0000-000088270000}"/>
    <cellStyle name="콤_수량산출서(수정)_02-배수공_토공_천호대로남측준공수량(토공)" xfId="443" xr:uid="{00000000-0005-0000-0000-000089270000}"/>
    <cellStyle name="콤_수량산출서(수정)_02-배수공_토공_한국화장품토공" xfId="444" xr:uid="{00000000-0005-0000-0000-00008A270000}"/>
    <cellStyle name="콤_수량산출서(수정)_02-배수공_포장조서" xfId="445" xr:uid="{00000000-0005-0000-0000-00008B270000}"/>
    <cellStyle name="콤_수량산출서(수정)_02-배수공_포장조서_2.중곡빗물펌프장토공(BOX구간)" xfId="446" xr:uid="{00000000-0005-0000-0000-00008C270000}"/>
    <cellStyle name="콤_수량산출서(수정)_04-포장공_02-배수공" xfId="447" xr:uid="{00000000-0005-0000-0000-00008D270000}"/>
    <cellStyle name="콤_수량산출서(수정)_04-포장공_02-배수공_2.중곡빗물펌프장토공(BOX구간)" xfId="448" xr:uid="{00000000-0005-0000-0000-00008E270000}"/>
    <cellStyle name="콤_수량산출서(수정)_04-포장공_02-배수공_남측토공" xfId="449" xr:uid="{00000000-0005-0000-0000-00008F270000}"/>
    <cellStyle name="콤_수량산출서(수정)_04-포장공_02-배수공_남측토공_2.중곡빗물펌프장토공" xfId="450" xr:uid="{00000000-0005-0000-0000-000090270000}"/>
    <cellStyle name="콤_수량산출서(수정)_04-포장공_02-배수공_남측토공_천호대로남측준공수량(토공)" xfId="451" xr:uid="{00000000-0005-0000-0000-000091270000}"/>
    <cellStyle name="콤_수량산출서(수정)_04-포장공_02-배수공_토공" xfId="452" xr:uid="{00000000-0005-0000-0000-000092270000}"/>
    <cellStyle name="콤_수량산출서(수정)_04-포장공_02-배수공_토공_2.중곡빗물펌프장토공" xfId="453" xr:uid="{00000000-0005-0000-0000-000093270000}"/>
    <cellStyle name="콤_수량산출서(수정)_04-포장공_02-배수공_토공_세종대우회토공" xfId="454" xr:uid="{00000000-0005-0000-0000-000094270000}"/>
    <cellStyle name="콤_수량산출서(수정)_04-포장공_02-배수공_토공_오거리토공" xfId="455" xr:uid="{00000000-0005-0000-0000-000095270000}"/>
    <cellStyle name="콤_수량산출서(수정)_04-포장공_02-배수공_토공_중곡빗물펌프장토공" xfId="456" xr:uid="{00000000-0005-0000-0000-000096270000}"/>
    <cellStyle name="콤_수량산출서(수정)_04-포장공_02-배수공_토공_중곡빗물펌프장토공1" xfId="457" xr:uid="{00000000-0005-0000-0000-000097270000}"/>
    <cellStyle name="콤_수량산출서(수정)_04-포장공_02-배수공_토공_중곡펌프장토공1" xfId="458" xr:uid="{00000000-0005-0000-0000-000098270000}"/>
    <cellStyle name="콤_수량산출서(수정)_04-포장공_02-배수공_토공_천호대로남측준공수량(토공)" xfId="459" xr:uid="{00000000-0005-0000-0000-000099270000}"/>
    <cellStyle name="콤_수량산출서(수정)_04-포장공_02-배수공_토공_한국화장품토공" xfId="460" xr:uid="{00000000-0005-0000-0000-00009A270000}"/>
    <cellStyle name="콤_수량산출서(수정)_06-부대공_02-배수공" xfId="461" xr:uid="{00000000-0005-0000-0000-00009B270000}"/>
    <cellStyle name="콤_수량산출서(수정)_06-부대공_02-배수공_2.중곡빗물펌프장토공(BOX구간)" xfId="462" xr:uid="{00000000-0005-0000-0000-00009C270000}"/>
    <cellStyle name="콤_수량산출서(수정)_06-부대공_02-배수공_남측토공" xfId="463" xr:uid="{00000000-0005-0000-0000-00009D270000}"/>
    <cellStyle name="콤_수량산출서(수정)_06-부대공_02-배수공_남측토공_2.중곡빗물펌프장토공" xfId="464" xr:uid="{00000000-0005-0000-0000-00009E270000}"/>
    <cellStyle name="콤_수량산출서(수정)_06-부대공_02-배수공_남측토공_천호대로남측준공수량(토공)" xfId="465" xr:uid="{00000000-0005-0000-0000-00009F270000}"/>
    <cellStyle name="콤_수량산출서(수정)_06-부대공_02-배수공_토공" xfId="466" xr:uid="{00000000-0005-0000-0000-0000A0270000}"/>
    <cellStyle name="콤_수량산출서(수정)_06-부대공_02-배수공_토공_2.중곡빗물펌프장토공" xfId="467" xr:uid="{00000000-0005-0000-0000-0000A1270000}"/>
    <cellStyle name="콤_수량산출서(수정)_06-부대공_02-배수공_토공_세종대우회토공" xfId="468" xr:uid="{00000000-0005-0000-0000-0000A2270000}"/>
    <cellStyle name="콤_수량산출서(수정)_06-부대공_02-배수공_토공_오거리토공" xfId="469" xr:uid="{00000000-0005-0000-0000-0000A3270000}"/>
    <cellStyle name="콤_수량산출서(수정)_06-부대공_02-배수공_토공_중곡빗물펌프장토공" xfId="470" xr:uid="{00000000-0005-0000-0000-0000A4270000}"/>
    <cellStyle name="콤_수량산출서(수정)_06-부대공_02-배수공_토공_중곡빗물펌프장토공1" xfId="471" xr:uid="{00000000-0005-0000-0000-0000A5270000}"/>
    <cellStyle name="콤_수량산출서(수정)_06-부대공_02-배수공_토공_중곡펌프장토공1" xfId="472" xr:uid="{00000000-0005-0000-0000-0000A6270000}"/>
    <cellStyle name="콤_수량산출서(수정)_06-부대공_02-배수공_토공_천호대로남측준공수량(토공)" xfId="473" xr:uid="{00000000-0005-0000-0000-0000A7270000}"/>
    <cellStyle name="콤_수량산출서(수정)_06-부대공_02-배수공_토공_한국화장품토공" xfId="474" xr:uid="{00000000-0005-0000-0000-0000A8270000}"/>
    <cellStyle name="콤_수량산출서(수정)_2.중곡빗물펌프장토공(BOX구간)" xfId="475" xr:uid="{00000000-0005-0000-0000-0000A9270000}"/>
    <cellStyle name="콤_수량산출서(수정)_오수공" xfId="476" xr:uid="{00000000-0005-0000-0000-0000AA270000}"/>
    <cellStyle name="콤_수량산출서(수정)_오수공_2.중곡빗물펌프장토공(BOX구간)" xfId="477" xr:uid="{00000000-0005-0000-0000-0000AB270000}"/>
    <cellStyle name="콤_수량산출서(수정)_오수공_오수공" xfId="478" xr:uid="{00000000-0005-0000-0000-0000AC270000}"/>
    <cellStyle name="콤_수량산출서(수정)_오수공_오수공_2.중곡빗물펌프장토공(BOX구간)" xfId="479" xr:uid="{00000000-0005-0000-0000-0000AD270000}"/>
    <cellStyle name="콤_수량산출서(수정)_오수공_오수공1" xfId="480" xr:uid="{00000000-0005-0000-0000-0000AE270000}"/>
    <cellStyle name="콤_수량산출서(수정)_오수공_오수공1_2.중곡빗물펌프장토공(BOX구간)" xfId="481" xr:uid="{00000000-0005-0000-0000-0000AF270000}"/>
    <cellStyle name="콤_오수공" xfId="482" xr:uid="{00000000-0005-0000-0000-0000B0270000}"/>
    <cellStyle name="콤_오수공_2.중곡빗물펌프장토공(BOX구간)" xfId="483" xr:uid="{00000000-0005-0000-0000-0000B1270000}"/>
    <cellStyle name="콤_오수공_오수공" xfId="484" xr:uid="{00000000-0005-0000-0000-0000B2270000}"/>
    <cellStyle name="콤_오수공_오수공_2.중곡빗물펌프장토공(BOX구간)" xfId="485" xr:uid="{00000000-0005-0000-0000-0000B3270000}"/>
    <cellStyle name="콤_오수공_오수공1" xfId="486" xr:uid="{00000000-0005-0000-0000-0000B4270000}"/>
    <cellStyle name="콤_오수공_오수공1_2.중곡빗물펌프장토공(BOX구간)" xfId="487" xr:uid="{00000000-0005-0000-0000-0000B5270000}"/>
    <cellStyle name="콤마" xfId="10716" xr:uid="{00000000-0005-0000-0000-0000B6270000}"/>
    <cellStyle name="콤마 [" xfId="488" xr:uid="{00000000-0005-0000-0000-0000B7270000}"/>
    <cellStyle name="콤마 [ 2" xfId="1438" xr:uid="{00000000-0005-0000-0000-0000B8270000}"/>
    <cellStyle name="콤마 [#]" xfId="2336" xr:uid="{00000000-0005-0000-0000-0000B9270000}"/>
    <cellStyle name="콤마 [#] 2" xfId="10717" xr:uid="{00000000-0005-0000-0000-0000BA270000}"/>
    <cellStyle name="콤마 [#] 2 2" xfId="10718" xr:uid="{00000000-0005-0000-0000-0000BB270000}"/>
    <cellStyle name="콤마 []" xfId="1439" xr:uid="{00000000-0005-0000-0000-0000BC270000}"/>
    <cellStyle name="콤마 [] 2" xfId="2337" xr:uid="{00000000-0005-0000-0000-0000BD270000}"/>
    <cellStyle name="콤마 [] 2 2" xfId="10719" xr:uid="{00000000-0005-0000-0000-0000BE270000}"/>
    <cellStyle name="콤마 [0.00]" xfId="1440" xr:uid="{00000000-0005-0000-0000-0000BF270000}"/>
    <cellStyle name="콤마 [0]" xfId="1441" xr:uid="{00000000-0005-0000-0000-0000C0270000}"/>
    <cellStyle name="콤마 [0] 2" xfId="10720" xr:uid="{00000000-0005-0000-0000-0000C1270000}"/>
    <cellStyle name="콤마 [0] 2 2" xfId="10721" xr:uid="{00000000-0005-0000-0000-0000C2270000}"/>
    <cellStyle name="콤마 [0] 2 3" xfId="10722" xr:uid="{00000000-0005-0000-0000-0000C3270000}"/>
    <cellStyle name="콤마 [0] 3" xfId="10723" xr:uid="{00000000-0005-0000-0000-0000C4270000}"/>
    <cellStyle name="콤마 [0]기기자재비" xfId="1442" xr:uid="{00000000-0005-0000-0000-0000C5270000}"/>
    <cellStyle name="콤마 [0]기기자재비 2" xfId="10724" xr:uid="{00000000-0005-0000-0000-0000C6270000}"/>
    <cellStyle name="콤마 [0]기기자재비 2 2" xfId="10725" xr:uid="{00000000-0005-0000-0000-0000C7270000}"/>
    <cellStyle name="콤마 [000]" xfId="4995" xr:uid="{00000000-0005-0000-0000-0000C8270000}"/>
    <cellStyle name="콤마 [1]" xfId="1443" xr:uid="{00000000-0005-0000-0000-0000C9270000}"/>
    <cellStyle name="콤마 [1] 2" xfId="10726" xr:uid="{00000000-0005-0000-0000-0000CA270000}"/>
    <cellStyle name="콤마 [1] 2 2" xfId="10727" xr:uid="{00000000-0005-0000-0000-0000CB270000}"/>
    <cellStyle name="콤마 [1] 3" xfId="10728" xr:uid="{00000000-0005-0000-0000-0000CC270000}"/>
    <cellStyle name="콤마 [2]" xfId="1444" xr:uid="{00000000-0005-0000-0000-0000CD270000}"/>
    <cellStyle name="콤마 [2] 2" xfId="2338" xr:uid="{00000000-0005-0000-0000-0000CE270000}"/>
    <cellStyle name="콤마 [2] 2 2" xfId="10729" xr:uid="{00000000-0005-0000-0000-0000CF270000}"/>
    <cellStyle name="콤마 [2] 2 2 2" xfId="10730" xr:uid="{00000000-0005-0000-0000-0000D0270000}"/>
    <cellStyle name="콤마 [2] 3" xfId="10731" xr:uid="{00000000-0005-0000-0000-0000D1270000}"/>
    <cellStyle name="콤마 [2] 3 2" xfId="10732" xr:uid="{00000000-0005-0000-0000-0000D2270000}"/>
    <cellStyle name="콤마 [금액]" xfId="2339" xr:uid="{00000000-0005-0000-0000-0000D3270000}"/>
    <cellStyle name="콤마 [금액] 2" xfId="10733" xr:uid="{00000000-0005-0000-0000-0000D4270000}"/>
    <cellStyle name="콤마 [금액] 2 2" xfId="10734" xr:uid="{00000000-0005-0000-0000-0000D5270000}"/>
    <cellStyle name="콤마 [소수]" xfId="2340" xr:uid="{00000000-0005-0000-0000-0000D6270000}"/>
    <cellStyle name="콤마 [소수] 2" xfId="10735" xr:uid="{00000000-0005-0000-0000-0000D7270000}"/>
    <cellStyle name="콤마 [소수] 2 2" xfId="10736" xr:uid="{00000000-0005-0000-0000-0000D8270000}"/>
    <cellStyle name="콤마 [소수] 2 2 2" xfId="10737" xr:uid="{00000000-0005-0000-0000-0000D9270000}"/>
    <cellStyle name="콤마 [소수] 3" xfId="10738" xr:uid="{00000000-0005-0000-0000-0000DA270000}"/>
    <cellStyle name="콤마 [소수] 3 2" xfId="10739" xr:uid="{00000000-0005-0000-0000-0000DB270000}"/>
    <cellStyle name="콤마 [수량]" xfId="2341" xr:uid="{00000000-0005-0000-0000-0000DC270000}"/>
    <cellStyle name="콤마 1" xfId="489" xr:uid="{00000000-0005-0000-0000-0000DD270000}"/>
    <cellStyle name="콤마 1 2" xfId="1445" xr:uid="{00000000-0005-0000-0000-0000DE270000}"/>
    <cellStyle name="콤마[ ]" xfId="1446" xr:uid="{00000000-0005-0000-0000-0000DF270000}"/>
    <cellStyle name="콤마[*]" xfId="1447" xr:uid="{00000000-0005-0000-0000-0000E0270000}"/>
    <cellStyle name="콤마[,]" xfId="2342" xr:uid="{00000000-0005-0000-0000-0000E1270000}"/>
    <cellStyle name="콤마[.]" xfId="1448" xr:uid="{00000000-0005-0000-0000-0000E2270000}"/>
    <cellStyle name="콤마[0]" xfId="1449" xr:uid="{00000000-0005-0000-0000-0000E3270000}"/>
    <cellStyle name="콤마[0] 2" xfId="2343" xr:uid="{00000000-0005-0000-0000-0000E4270000}"/>
    <cellStyle name="콤마_  종  합  " xfId="1450" xr:uid="{00000000-0005-0000-0000-0000E5270000}"/>
    <cellStyle name="콤마0,000,00" xfId="4996" xr:uid="{00000000-0005-0000-0000-0000E6270000}"/>
    <cellStyle name="콤마宛 " xfId="2344" xr:uid="{00000000-0005-0000-0000-0000E7270000}"/>
    <cellStyle name="콤마桓?琉?업종별 " xfId="2345" xr:uid="{00000000-0005-0000-0000-0000E8270000}"/>
    <cellStyle name="콤막 [0]_수출실적 _양식98" xfId="4997" xr:uid="{00000000-0005-0000-0000-0000E9270000}"/>
    <cellStyle name="타이틀" xfId="1451" xr:uid="{00000000-0005-0000-0000-0000EA270000}"/>
    <cellStyle name="토공" xfId="2346" xr:uid="{00000000-0005-0000-0000-0000EB270000}"/>
    <cellStyle name="통" xfId="490" xr:uid="{00000000-0005-0000-0000-0000EC270000}"/>
    <cellStyle name="통 2" xfId="1452" xr:uid="{00000000-0005-0000-0000-0000ED270000}"/>
    <cellStyle name="통_01-토공_02-배수공" xfId="491" xr:uid="{00000000-0005-0000-0000-0000EE270000}"/>
    <cellStyle name="통_01-토공_02-배수공_2.중곡빗물펌프장토공(BOX구간)" xfId="492" xr:uid="{00000000-0005-0000-0000-0000EF270000}"/>
    <cellStyle name="통_01-토공_02-배수공_남측토공" xfId="493" xr:uid="{00000000-0005-0000-0000-0000F0270000}"/>
    <cellStyle name="통_01-토공_02-배수공_남측토공_2.중곡빗물펌프장토공" xfId="494" xr:uid="{00000000-0005-0000-0000-0000F1270000}"/>
    <cellStyle name="통_01-토공_02-배수공_남측토공_천호대로남측준공수량(토공)" xfId="495" xr:uid="{00000000-0005-0000-0000-0000F2270000}"/>
    <cellStyle name="통_01-토공_02-배수공_토공" xfId="496" xr:uid="{00000000-0005-0000-0000-0000F3270000}"/>
    <cellStyle name="통_01-토공_02-배수공_토공_2.중곡빗물펌프장토공" xfId="497" xr:uid="{00000000-0005-0000-0000-0000F4270000}"/>
    <cellStyle name="통_01-토공_02-배수공_토공_세종대우회토공" xfId="498" xr:uid="{00000000-0005-0000-0000-0000F5270000}"/>
    <cellStyle name="통_01-토공_02-배수공_토공_오거리토공" xfId="499" xr:uid="{00000000-0005-0000-0000-0000F6270000}"/>
    <cellStyle name="통_01-토공_02-배수공_토공_중곡빗물펌프장토공" xfId="500" xr:uid="{00000000-0005-0000-0000-0000F7270000}"/>
    <cellStyle name="통_01-토공_02-배수공_토공_중곡빗물펌프장토공1" xfId="501" xr:uid="{00000000-0005-0000-0000-0000F8270000}"/>
    <cellStyle name="통_01-토공_02-배수공_토공_중곡펌프장토공1" xfId="502" xr:uid="{00000000-0005-0000-0000-0000F9270000}"/>
    <cellStyle name="통_01-토공_02-배수공_토공_천호대로남측준공수량(토공)" xfId="503" xr:uid="{00000000-0005-0000-0000-0000FA270000}"/>
    <cellStyle name="통_01-토공_02-배수공_토공_한국화장품토공" xfId="504" xr:uid="{00000000-0005-0000-0000-0000FB270000}"/>
    <cellStyle name="통_02-배수공" xfId="505" xr:uid="{00000000-0005-0000-0000-0000FC270000}"/>
    <cellStyle name="통_02-배수공_02-반중력식옹벽" xfId="506" xr:uid="{00000000-0005-0000-0000-0000FD270000}"/>
    <cellStyle name="통_02-배수공_02-반중력식옹벽_2.중곡빗물펌프장토공(BOX구간)" xfId="507" xr:uid="{00000000-0005-0000-0000-0000FE270000}"/>
    <cellStyle name="통_02-배수공_02-반중력식옹벽_남측토공" xfId="508" xr:uid="{00000000-0005-0000-0000-0000FF270000}"/>
    <cellStyle name="통_02-배수공_02-반중력식옹벽_남측토공_2.중곡빗물펌프장토공" xfId="509" xr:uid="{00000000-0005-0000-0000-000000280000}"/>
    <cellStyle name="통_02-배수공_02-반중력식옹벽_남측토공_천호대로남측준공수량(토공)" xfId="510" xr:uid="{00000000-0005-0000-0000-000001280000}"/>
    <cellStyle name="통_02-배수공_02-반중력식옹벽_토공" xfId="511" xr:uid="{00000000-0005-0000-0000-000002280000}"/>
    <cellStyle name="통_02-배수공_02-반중력식옹벽_토공_2.중곡빗물펌프장토공" xfId="512" xr:uid="{00000000-0005-0000-0000-000003280000}"/>
    <cellStyle name="통_02-배수공_02-반중력식옹벽_토공_세종대우회토공" xfId="513" xr:uid="{00000000-0005-0000-0000-000004280000}"/>
    <cellStyle name="통_02-배수공_02-반중력식옹벽_토공_오거리토공" xfId="514" xr:uid="{00000000-0005-0000-0000-000005280000}"/>
    <cellStyle name="통_02-배수공_02-반중력식옹벽_토공_중곡빗물펌프장토공" xfId="515" xr:uid="{00000000-0005-0000-0000-000006280000}"/>
    <cellStyle name="통_02-배수공_02-반중력식옹벽_토공_중곡빗물펌프장토공1" xfId="516" xr:uid="{00000000-0005-0000-0000-000007280000}"/>
    <cellStyle name="통_02-배수공_02-반중력식옹벽_토공_중곡펌프장토공1" xfId="517" xr:uid="{00000000-0005-0000-0000-000008280000}"/>
    <cellStyle name="통_02-배수공_02-반중력식옹벽_토공_천호대로남측준공수량(토공)" xfId="518" xr:uid="{00000000-0005-0000-0000-000009280000}"/>
    <cellStyle name="통_02-배수공_02-반중력식옹벽_토공_한국화장품토공" xfId="519" xr:uid="{00000000-0005-0000-0000-00000A280000}"/>
    <cellStyle name="통_02-배수공_02-배수공" xfId="520" xr:uid="{00000000-0005-0000-0000-00000B280000}"/>
    <cellStyle name="통_02-배수공_02-배수공_2.중곡빗물펌프장토공(BOX구간)" xfId="521" xr:uid="{00000000-0005-0000-0000-00000C280000}"/>
    <cellStyle name="통_02-배수공_02-배수공_남측토공" xfId="522" xr:uid="{00000000-0005-0000-0000-00000D280000}"/>
    <cellStyle name="통_02-배수공_02-배수공_남측토공_2.중곡빗물펌프장토공" xfId="523" xr:uid="{00000000-0005-0000-0000-00000E280000}"/>
    <cellStyle name="통_02-배수공_02-배수공_남측토공_천호대로남측준공수량(토공)" xfId="524" xr:uid="{00000000-0005-0000-0000-00000F280000}"/>
    <cellStyle name="통_02-배수공_02-배수공_토공" xfId="525" xr:uid="{00000000-0005-0000-0000-000010280000}"/>
    <cellStyle name="통_02-배수공_02-배수공_토공_2.중곡빗물펌프장토공" xfId="526" xr:uid="{00000000-0005-0000-0000-000011280000}"/>
    <cellStyle name="통_02-배수공_02-배수공_토공_세종대우회토공" xfId="527" xr:uid="{00000000-0005-0000-0000-000012280000}"/>
    <cellStyle name="통_02-배수공_02-배수공_토공_오거리토공" xfId="528" xr:uid="{00000000-0005-0000-0000-000013280000}"/>
    <cellStyle name="통_02-배수공_02-배수공_토공_중곡빗물펌프장토공" xfId="529" xr:uid="{00000000-0005-0000-0000-000014280000}"/>
    <cellStyle name="통_02-배수공_02-배수공_토공_중곡빗물펌프장토공1" xfId="530" xr:uid="{00000000-0005-0000-0000-000015280000}"/>
    <cellStyle name="통_02-배수공_02-배수공_토공_중곡펌프장토공1" xfId="531" xr:uid="{00000000-0005-0000-0000-000016280000}"/>
    <cellStyle name="통_02-배수공_02-배수공_토공_천호대로남측준공수량(토공)" xfId="532" xr:uid="{00000000-0005-0000-0000-000017280000}"/>
    <cellStyle name="통_02-배수공_02-배수공_토공_한국화장품토공" xfId="533" xr:uid="{00000000-0005-0000-0000-000018280000}"/>
    <cellStyle name="통_02-배수공_2.중곡빗물펌프장토공(BOX구간)" xfId="534" xr:uid="{00000000-0005-0000-0000-000019280000}"/>
    <cellStyle name="통_02-배수공_가평조서" xfId="535" xr:uid="{00000000-0005-0000-0000-00001A280000}"/>
    <cellStyle name="통_02-배수공_가평조서_2.중곡빗물펌프장토공(BOX구간)" xfId="536" xr:uid="{00000000-0005-0000-0000-00001B280000}"/>
    <cellStyle name="통_02-배수공_남측토공" xfId="537" xr:uid="{00000000-0005-0000-0000-00001C280000}"/>
    <cellStyle name="통_02-배수공_남측토공_2.중곡빗물펌프장토공" xfId="538" xr:uid="{00000000-0005-0000-0000-00001D280000}"/>
    <cellStyle name="통_02-배수공_남측토공_천호대로남측준공수량(토공)" xfId="539" xr:uid="{00000000-0005-0000-0000-00001E280000}"/>
    <cellStyle name="통_02-배수공_반중력" xfId="540" xr:uid="{00000000-0005-0000-0000-00001F280000}"/>
    <cellStyle name="통_02-배수공_반중력_2.중곡빗물펌프장토공(BOX구간)" xfId="541" xr:uid="{00000000-0005-0000-0000-000020280000}"/>
    <cellStyle name="통_02-배수공_반중력_남측토공" xfId="542" xr:uid="{00000000-0005-0000-0000-000021280000}"/>
    <cellStyle name="통_02-배수공_반중력_남측토공_2.중곡빗물펌프장토공" xfId="543" xr:uid="{00000000-0005-0000-0000-000022280000}"/>
    <cellStyle name="통_02-배수공_반중력_남측토공_천호대로남측준공수량(토공)" xfId="544" xr:uid="{00000000-0005-0000-0000-000023280000}"/>
    <cellStyle name="통_02-배수공_반중력_토공" xfId="545" xr:uid="{00000000-0005-0000-0000-000024280000}"/>
    <cellStyle name="통_02-배수공_반중력_토공_2.중곡빗물펌프장토공" xfId="546" xr:uid="{00000000-0005-0000-0000-000025280000}"/>
    <cellStyle name="통_02-배수공_반중력_토공_세종대우회토공" xfId="547" xr:uid="{00000000-0005-0000-0000-000026280000}"/>
    <cellStyle name="통_02-배수공_반중력_토공_오거리토공" xfId="548" xr:uid="{00000000-0005-0000-0000-000027280000}"/>
    <cellStyle name="통_02-배수공_반중력_토공_중곡빗물펌프장토공" xfId="549" xr:uid="{00000000-0005-0000-0000-000028280000}"/>
    <cellStyle name="통_02-배수공_반중력_토공_중곡빗물펌프장토공1" xfId="550" xr:uid="{00000000-0005-0000-0000-000029280000}"/>
    <cellStyle name="통_02-배수공_반중력_토공_중곡펌프장토공1" xfId="551" xr:uid="{00000000-0005-0000-0000-00002A280000}"/>
    <cellStyle name="통_02-배수공_반중력_토공_천호대로남측준공수량(토공)" xfId="552" xr:uid="{00000000-0005-0000-0000-00002B280000}"/>
    <cellStyle name="통_02-배수공_반중력_토공_한국화장품토공" xfId="553" xr:uid="{00000000-0005-0000-0000-00002C280000}"/>
    <cellStyle name="통_02-배수공_옹벽" xfId="554" xr:uid="{00000000-0005-0000-0000-00002D280000}"/>
    <cellStyle name="통_02-배수공_옹벽_2.중곡빗물펌프장토공(BOX구간)" xfId="555" xr:uid="{00000000-0005-0000-0000-00002E280000}"/>
    <cellStyle name="통_02-배수공_토공" xfId="556" xr:uid="{00000000-0005-0000-0000-00002F280000}"/>
    <cellStyle name="통_02-배수공_토공_2.중곡빗물펌프장토공" xfId="557" xr:uid="{00000000-0005-0000-0000-000030280000}"/>
    <cellStyle name="통_02-배수공_토공_세종대우회토공" xfId="558" xr:uid="{00000000-0005-0000-0000-000031280000}"/>
    <cellStyle name="통_02-배수공_토공_오거리토공" xfId="559" xr:uid="{00000000-0005-0000-0000-000032280000}"/>
    <cellStyle name="통_02-배수공_토공_중곡빗물펌프장토공" xfId="560" xr:uid="{00000000-0005-0000-0000-000033280000}"/>
    <cellStyle name="통_02-배수공_토공_중곡빗물펌프장토공1" xfId="561" xr:uid="{00000000-0005-0000-0000-000034280000}"/>
    <cellStyle name="통_02-배수공_토공_중곡펌프장토공1" xfId="562" xr:uid="{00000000-0005-0000-0000-000035280000}"/>
    <cellStyle name="통_02-배수공_토공_천호대로남측준공수량(토공)" xfId="563" xr:uid="{00000000-0005-0000-0000-000036280000}"/>
    <cellStyle name="통_02-배수공_토공_한국화장품토공" xfId="564" xr:uid="{00000000-0005-0000-0000-000037280000}"/>
    <cellStyle name="통_02-배수공_포장조서" xfId="565" xr:uid="{00000000-0005-0000-0000-000038280000}"/>
    <cellStyle name="통_02-배수공_포장조서_2.중곡빗물펌프장토공(BOX구간)" xfId="566" xr:uid="{00000000-0005-0000-0000-000039280000}"/>
    <cellStyle name="통_04-포장공_02-배수공" xfId="567" xr:uid="{00000000-0005-0000-0000-00003A280000}"/>
    <cellStyle name="통_04-포장공_02-배수공_2.중곡빗물펌프장토공(BOX구간)" xfId="568" xr:uid="{00000000-0005-0000-0000-00003B280000}"/>
    <cellStyle name="통_04-포장공_02-배수공_남측토공" xfId="569" xr:uid="{00000000-0005-0000-0000-00003C280000}"/>
    <cellStyle name="통_04-포장공_02-배수공_남측토공_2.중곡빗물펌프장토공" xfId="570" xr:uid="{00000000-0005-0000-0000-00003D280000}"/>
    <cellStyle name="통_04-포장공_02-배수공_남측토공_천호대로남측준공수량(토공)" xfId="571" xr:uid="{00000000-0005-0000-0000-00003E280000}"/>
    <cellStyle name="통_04-포장공_02-배수공_토공" xfId="572" xr:uid="{00000000-0005-0000-0000-00003F280000}"/>
    <cellStyle name="통_04-포장공_02-배수공_토공_2.중곡빗물펌프장토공" xfId="573" xr:uid="{00000000-0005-0000-0000-000040280000}"/>
    <cellStyle name="통_04-포장공_02-배수공_토공_세종대우회토공" xfId="574" xr:uid="{00000000-0005-0000-0000-000041280000}"/>
    <cellStyle name="통_04-포장공_02-배수공_토공_오거리토공" xfId="575" xr:uid="{00000000-0005-0000-0000-000042280000}"/>
    <cellStyle name="통_04-포장공_02-배수공_토공_중곡빗물펌프장토공" xfId="576" xr:uid="{00000000-0005-0000-0000-000043280000}"/>
    <cellStyle name="통_04-포장공_02-배수공_토공_중곡빗물펌프장토공1" xfId="577" xr:uid="{00000000-0005-0000-0000-000044280000}"/>
    <cellStyle name="통_04-포장공_02-배수공_토공_중곡펌프장토공1" xfId="578" xr:uid="{00000000-0005-0000-0000-000045280000}"/>
    <cellStyle name="통_04-포장공_02-배수공_토공_천호대로남측준공수량(토공)" xfId="579" xr:uid="{00000000-0005-0000-0000-000046280000}"/>
    <cellStyle name="통_04-포장공_02-배수공_토공_한국화장품토공" xfId="580" xr:uid="{00000000-0005-0000-0000-000047280000}"/>
    <cellStyle name="통_06-부대공_02-배수공" xfId="581" xr:uid="{00000000-0005-0000-0000-000048280000}"/>
    <cellStyle name="통_06-부대공_02-배수공_2.중곡빗물펌프장토공(BOX구간)" xfId="582" xr:uid="{00000000-0005-0000-0000-000049280000}"/>
    <cellStyle name="통_06-부대공_02-배수공_남측토공" xfId="583" xr:uid="{00000000-0005-0000-0000-00004A280000}"/>
    <cellStyle name="통_06-부대공_02-배수공_남측토공_2.중곡빗물펌프장토공" xfId="584" xr:uid="{00000000-0005-0000-0000-00004B280000}"/>
    <cellStyle name="통_06-부대공_02-배수공_남측토공_천호대로남측준공수량(토공)" xfId="585" xr:uid="{00000000-0005-0000-0000-00004C280000}"/>
    <cellStyle name="통_06-부대공_02-배수공_토공" xfId="586" xr:uid="{00000000-0005-0000-0000-00004D280000}"/>
    <cellStyle name="통_06-부대공_02-배수공_토공_2.중곡빗물펌프장토공" xfId="587" xr:uid="{00000000-0005-0000-0000-00004E280000}"/>
    <cellStyle name="통_06-부대공_02-배수공_토공_세종대우회토공" xfId="588" xr:uid="{00000000-0005-0000-0000-00004F280000}"/>
    <cellStyle name="통_06-부대공_02-배수공_토공_오거리토공" xfId="589" xr:uid="{00000000-0005-0000-0000-000050280000}"/>
    <cellStyle name="통_06-부대공_02-배수공_토공_중곡빗물펌프장토공" xfId="590" xr:uid="{00000000-0005-0000-0000-000051280000}"/>
    <cellStyle name="통_06-부대공_02-배수공_토공_중곡빗물펌프장토공1" xfId="591" xr:uid="{00000000-0005-0000-0000-000052280000}"/>
    <cellStyle name="통_06-부대공_02-배수공_토공_중곡펌프장토공1" xfId="592" xr:uid="{00000000-0005-0000-0000-000053280000}"/>
    <cellStyle name="통_06-부대공_02-배수공_토공_천호대로남측준공수량(토공)" xfId="593" xr:uid="{00000000-0005-0000-0000-000054280000}"/>
    <cellStyle name="통_06-부대공_02-배수공_토공_한국화장품토공" xfId="594" xr:uid="{00000000-0005-0000-0000-000055280000}"/>
    <cellStyle name="통_2.중곡빗물펌프장토공(BOX구간)" xfId="595" xr:uid="{00000000-0005-0000-0000-000056280000}"/>
    <cellStyle name="통_3.우수" xfId="4998" xr:uid="{00000000-0005-0000-0000-000057280000}"/>
    <cellStyle name="통_수량산출서(수정)" xfId="596" xr:uid="{00000000-0005-0000-0000-000058280000}"/>
    <cellStyle name="통_수량산출서(수정)_01-토공_02-배수공" xfId="597" xr:uid="{00000000-0005-0000-0000-000059280000}"/>
    <cellStyle name="통_수량산출서(수정)_01-토공_02-배수공_2.중곡빗물펌프장토공(BOX구간)" xfId="598" xr:uid="{00000000-0005-0000-0000-00005A280000}"/>
    <cellStyle name="통_수량산출서(수정)_01-토공_02-배수공_남측토공" xfId="599" xr:uid="{00000000-0005-0000-0000-00005B280000}"/>
    <cellStyle name="통_수량산출서(수정)_01-토공_02-배수공_남측토공_2.중곡빗물펌프장토공" xfId="600" xr:uid="{00000000-0005-0000-0000-00005C280000}"/>
    <cellStyle name="통_수량산출서(수정)_01-토공_02-배수공_남측토공_천호대로남측준공수량(토공)" xfId="601" xr:uid="{00000000-0005-0000-0000-00005D280000}"/>
    <cellStyle name="통_수량산출서(수정)_01-토공_02-배수공_토공" xfId="602" xr:uid="{00000000-0005-0000-0000-00005E280000}"/>
    <cellStyle name="통_수량산출서(수정)_01-토공_02-배수공_토공_2.중곡빗물펌프장토공" xfId="603" xr:uid="{00000000-0005-0000-0000-00005F280000}"/>
    <cellStyle name="통_수량산출서(수정)_01-토공_02-배수공_토공_세종대우회토공" xfId="604" xr:uid="{00000000-0005-0000-0000-000060280000}"/>
    <cellStyle name="통_수량산출서(수정)_01-토공_02-배수공_토공_오거리토공" xfId="605" xr:uid="{00000000-0005-0000-0000-000061280000}"/>
    <cellStyle name="통_수량산출서(수정)_01-토공_02-배수공_토공_중곡빗물펌프장토공" xfId="606" xr:uid="{00000000-0005-0000-0000-000062280000}"/>
    <cellStyle name="통_수량산출서(수정)_01-토공_02-배수공_토공_중곡빗물펌프장토공1" xfId="607" xr:uid="{00000000-0005-0000-0000-000063280000}"/>
    <cellStyle name="통_수량산출서(수정)_01-토공_02-배수공_토공_중곡펌프장토공1" xfId="608" xr:uid="{00000000-0005-0000-0000-000064280000}"/>
    <cellStyle name="통_수량산출서(수정)_01-토공_02-배수공_토공_천호대로남측준공수량(토공)" xfId="609" xr:uid="{00000000-0005-0000-0000-000065280000}"/>
    <cellStyle name="통_수량산출서(수정)_01-토공_02-배수공_토공_한국화장품토공" xfId="610" xr:uid="{00000000-0005-0000-0000-000066280000}"/>
    <cellStyle name="통_수량산출서(수정)_02-배수공" xfId="611" xr:uid="{00000000-0005-0000-0000-000067280000}"/>
    <cellStyle name="통_수량산출서(수정)_02-배수공_02-반중력식옹벽" xfId="612" xr:uid="{00000000-0005-0000-0000-000068280000}"/>
    <cellStyle name="통_수량산출서(수정)_02-배수공_02-반중력식옹벽_2.중곡빗물펌프장토공(BOX구간)" xfId="613" xr:uid="{00000000-0005-0000-0000-000069280000}"/>
    <cellStyle name="통_수량산출서(수정)_02-배수공_02-반중력식옹벽_남측토공" xfId="614" xr:uid="{00000000-0005-0000-0000-00006A280000}"/>
    <cellStyle name="통_수량산출서(수정)_02-배수공_02-반중력식옹벽_남측토공_2.중곡빗물펌프장토공" xfId="615" xr:uid="{00000000-0005-0000-0000-00006B280000}"/>
    <cellStyle name="통_수량산출서(수정)_02-배수공_02-반중력식옹벽_남측토공_천호대로남측준공수량(토공)" xfId="616" xr:uid="{00000000-0005-0000-0000-00006C280000}"/>
    <cellStyle name="통_수량산출서(수정)_02-배수공_02-반중력식옹벽_토공" xfId="617" xr:uid="{00000000-0005-0000-0000-00006D280000}"/>
    <cellStyle name="통_수량산출서(수정)_02-배수공_02-반중력식옹벽_토공_2.중곡빗물펌프장토공" xfId="618" xr:uid="{00000000-0005-0000-0000-00006E280000}"/>
    <cellStyle name="통_수량산출서(수정)_02-배수공_02-반중력식옹벽_토공_세종대우회토공" xfId="619" xr:uid="{00000000-0005-0000-0000-00006F280000}"/>
    <cellStyle name="통_수량산출서(수정)_02-배수공_02-반중력식옹벽_토공_오거리토공" xfId="620" xr:uid="{00000000-0005-0000-0000-000070280000}"/>
    <cellStyle name="통_수량산출서(수정)_02-배수공_02-반중력식옹벽_토공_중곡빗물펌프장토공" xfId="621" xr:uid="{00000000-0005-0000-0000-000071280000}"/>
    <cellStyle name="통_수량산출서(수정)_02-배수공_02-반중력식옹벽_토공_중곡빗물펌프장토공1" xfId="622" xr:uid="{00000000-0005-0000-0000-000072280000}"/>
    <cellStyle name="통_수량산출서(수정)_02-배수공_02-반중력식옹벽_토공_중곡펌프장토공1" xfId="623" xr:uid="{00000000-0005-0000-0000-000073280000}"/>
    <cellStyle name="통_수량산출서(수정)_02-배수공_02-반중력식옹벽_토공_천호대로남측준공수량(토공)" xfId="624" xr:uid="{00000000-0005-0000-0000-000074280000}"/>
    <cellStyle name="통_수량산출서(수정)_02-배수공_02-반중력식옹벽_토공_한국화장품토공" xfId="625" xr:uid="{00000000-0005-0000-0000-000075280000}"/>
    <cellStyle name="통_수량산출서(수정)_02-배수공_02-배수공" xfId="626" xr:uid="{00000000-0005-0000-0000-000076280000}"/>
    <cellStyle name="통_수량산출서(수정)_02-배수공_02-배수공_2.중곡빗물펌프장토공(BOX구간)" xfId="627" xr:uid="{00000000-0005-0000-0000-000077280000}"/>
    <cellStyle name="통_수량산출서(수정)_02-배수공_02-배수공_남측토공" xfId="628" xr:uid="{00000000-0005-0000-0000-000078280000}"/>
    <cellStyle name="통_수량산출서(수정)_02-배수공_02-배수공_남측토공_2.중곡빗물펌프장토공" xfId="629" xr:uid="{00000000-0005-0000-0000-000079280000}"/>
    <cellStyle name="통_수량산출서(수정)_02-배수공_02-배수공_남측토공_천호대로남측준공수량(토공)" xfId="630" xr:uid="{00000000-0005-0000-0000-00007A280000}"/>
    <cellStyle name="통_수량산출서(수정)_02-배수공_02-배수공_토공" xfId="631" xr:uid="{00000000-0005-0000-0000-00007B280000}"/>
    <cellStyle name="통_수량산출서(수정)_02-배수공_02-배수공_토공_2.중곡빗물펌프장토공" xfId="632" xr:uid="{00000000-0005-0000-0000-00007C280000}"/>
    <cellStyle name="통_수량산출서(수정)_02-배수공_02-배수공_토공_세종대우회토공" xfId="633" xr:uid="{00000000-0005-0000-0000-00007D280000}"/>
    <cellStyle name="통_수량산출서(수정)_02-배수공_02-배수공_토공_오거리토공" xfId="634" xr:uid="{00000000-0005-0000-0000-00007E280000}"/>
    <cellStyle name="통_수량산출서(수정)_02-배수공_02-배수공_토공_중곡빗물펌프장토공" xfId="635" xr:uid="{00000000-0005-0000-0000-00007F280000}"/>
    <cellStyle name="통_수량산출서(수정)_02-배수공_02-배수공_토공_중곡빗물펌프장토공1" xfId="636" xr:uid="{00000000-0005-0000-0000-000080280000}"/>
    <cellStyle name="통_수량산출서(수정)_02-배수공_02-배수공_토공_중곡펌프장토공1" xfId="637" xr:uid="{00000000-0005-0000-0000-000081280000}"/>
    <cellStyle name="통_수량산출서(수정)_02-배수공_02-배수공_토공_천호대로남측준공수량(토공)" xfId="638" xr:uid="{00000000-0005-0000-0000-000082280000}"/>
    <cellStyle name="통_수량산출서(수정)_02-배수공_02-배수공_토공_한국화장품토공" xfId="639" xr:uid="{00000000-0005-0000-0000-000083280000}"/>
    <cellStyle name="통_수량산출서(수정)_02-배수공_2.중곡빗물펌프장토공(BOX구간)" xfId="640" xr:uid="{00000000-0005-0000-0000-000084280000}"/>
    <cellStyle name="통_수량산출서(수정)_02-배수공_가평조서" xfId="641" xr:uid="{00000000-0005-0000-0000-000085280000}"/>
    <cellStyle name="통_수량산출서(수정)_02-배수공_가평조서_2.중곡빗물펌프장토공(BOX구간)" xfId="642" xr:uid="{00000000-0005-0000-0000-000086280000}"/>
    <cellStyle name="통_수량산출서(수정)_02-배수공_남측토공" xfId="643" xr:uid="{00000000-0005-0000-0000-000087280000}"/>
    <cellStyle name="통_수량산출서(수정)_02-배수공_남측토공_2.중곡빗물펌프장토공" xfId="644" xr:uid="{00000000-0005-0000-0000-000088280000}"/>
    <cellStyle name="통_수량산출서(수정)_02-배수공_남측토공_천호대로남측준공수량(토공)" xfId="645" xr:uid="{00000000-0005-0000-0000-000089280000}"/>
    <cellStyle name="통_수량산출서(수정)_02-배수공_반중력" xfId="646" xr:uid="{00000000-0005-0000-0000-00008A280000}"/>
    <cellStyle name="통_수량산출서(수정)_02-배수공_반중력_2.중곡빗물펌프장토공(BOX구간)" xfId="647" xr:uid="{00000000-0005-0000-0000-00008B280000}"/>
    <cellStyle name="통_수량산출서(수정)_02-배수공_반중력_남측토공" xfId="648" xr:uid="{00000000-0005-0000-0000-00008C280000}"/>
    <cellStyle name="통_수량산출서(수정)_02-배수공_반중력_남측토공_2.중곡빗물펌프장토공" xfId="649" xr:uid="{00000000-0005-0000-0000-00008D280000}"/>
    <cellStyle name="통_수량산출서(수정)_02-배수공_반중력_남측토공_천호대로남측준공수량(토공)" xfId="650" xr:uid="{00000000-0005-0000-0000-00008E280000}"/>
    <cellStyle name="통_수량산출서(수정)_02-배수공_반중력_토공" xfId="651" xr:uid="{00000000-0005-0000-0000-00008F280000}"/>
    <cellStyle name="통_수량산출서(수정)_02-배수공_반중력_토공_2.중곡빗물펌프장토공" xfId="652" xr:uid="{00000000-0005-0000-0000-000090280000}"/>
    <cellStyle name="통_수량산출서(수정)_02-배수공_반중력_토공_세종대우회토공" xfId="653" xr:uid="{00000000-0005-0000-0000-000091280000}"/>
    <cellStyle name="통_수량산출서(수정)_02-배수공_반중력_토공_오거리토공" xfId="654" xr:uid="{00000000-0005-0000-0000-000092280000}"/>
    <cellStyle name="통_수량산출서(수정)_02-배수공_반중력_토공_중곡빗물펌프장토공" xfId="655" xr:uid="{00000000-0005-0000-0000-000093280000}"/>
    <cellStyle name="통_수량산출서(수정)_02-배수공_반중력_토공_중곡빗물펌프장토공1" xfId="656" xr:uid="{00000000-0005-0000-0000-000094280000}"/>
    <cellStyle name="통_수량산출서(수정)_02-배수공_반중력_토공_중곡펌프장토공1" xfId="657" xr:uid="{00000000-0005-0000-0000-000095280000}"/>
    <cellStyle name="통_수량산출서(수정)_02-배수공_반중력_토공_천호대로남측준공수량(토공)" xfId="658" xr:uid="{00000000-0005-0000-0000-000096280000}"/>
    <cellStyle name="통_수량산출서(수정)_02-배수공_반중력_토공_한국화장품토공" xfId="659" xr:uid="{00000000-0005-0000-0000-000097280000}"/>
    <cellStyle name="통_수량산출서(수정)_02-배수공_옹벽" xfId="660" xr:uid="{00000000-0005-0000-0000-000098280000}"/>
    <cellStyle name="통_수량산출서(수정)_02-배수공_옹벽_2.중곡빗물펌프장토공(BOX구간)" xfId="661" xr:uid="{00000000-0005-0000-0000-000099280000}"/>
    <cellStyle name="통_수량산출서(수정)_02-배수공_토공" xfId="662" xr:uid="{00000000-0005-0000-0000-00009A280000}"/>
    <cellStyle name="통_수량산출서(수정)_02-배수공_토공_2.중곡빗물펌프장토공" xfId="663" xr:uid="{00000000-0005-0000-0000-00009B280000}"/>
    <cellStyle name="통_수량산출서(수정)_02-배수공_토공_세종대우회토공" xfId="664" xr:uid="{00000000-0005-0000-0000-00009C280000}"/>
    <cellStyle name="통_수량산출서(수정)_02-배수공_토공_오거리토공" xfId="665" xr:uid="{00000000-0005-0000-0000-00009D280000}"/>
    <cellStyle name="통_수량산출서(수정)_02-배수공_토공_중곡빗물펌프장토공" xfId="666" xr:uid="{00000000-0005-0000-0000-00009E280000}"/>
    <cellStyle name="통_수량산출서(수정)_02-배수공_토공_중곡빗물펌프장토공1" xfId="667" xr:uid="{00000000-0005-0000-0000-00009F280000}"/>
    <cellStyle name="통_수량산출서(수정)_02-배수공_토공_중곡펌프장토공1" xfId="668" xr:uid="{00000000-0005-0000-0000-0000A0280000}"/>
    <cellStyle name="통_수량산출서(수정)_02-배수공_토공_천호대로남측준공수량(토공)" xfId="669" xr:uid="{00000000-0005-0000-0000-0000A1280000}"/>
    <cellStyle name="통_수량산출서(수정)_02-배수공_토공_한국화장품토공" xfId="670" xr:uid="{00000000-0005-0000-0000-0000A2280000}"/>
    <cellStyle name="통_수량산출서(수정)_02-배수공_포장조서" xfId="671" xr:uid="{00000000-0005-0000-0000-0000A3280000}"/>
    <cellStyle name="통_수량산출서(수정)_02-배수공_포장조서_2.중곡빗물펌프장토공(BOX구간)" xfId="672" xr:uid="{00000000-0005-0000-0000-0000A4280000}"/>
    <cellStyle name="통_수량산출서(수정)_04-포장공_02-배수공" xfId="673" xr:uid="{00000000-0005-0000-0000-0000A5280000}"/>
    <cellStyle name="통_수량산출서(수정)_04-포장공_02-배수공_2.중곡빗물펌프장토공(BOX구간)" xfId="674" xr:uid="{00000000-0005-0000-0000-0000A6280000}"/>
    <cellStyle name="통_수량산출서(수정)_04-포장공_02-배수공_남측토공" xfId="675" xr:uid="{00000000-0005-0000-0000-0000A7280000}"/>
    <cellStyle name="통_수량산출서(수정)_04-포장공_02-배수공_남측토공_2.중곡빗물펌프장토공" xfId="676" xr:uid="{00000000-0005-0000-0000-0000A8280000}"/>
    <cellStyle name="통_수량산출서(수정)_04-포장공_02-배수공_남측토공_천호대로남측준공수량(토공)" xfId="677" xr:uid="{00000000-0005-0000-0000-0000A9280000}"/>
    <cellStyle name="통_수량산출서(수정)_04-포장공_02-배수공_토공" xfId="678" xr:uid="{00000000-0005-0000-0000-0000AA280000}"/>
    <cellStyle name="통_수량산출서(수정)_04-포장공_02-배수공_토공_2.중곡빗물펌프장토공" xfId="679" xr:uid="{00000000-0005-0000-0000-0000AB280000}"/>
    <cellStyle name="통_수량산출서(수정)_04-포장공_02-배수공_토공_세종대우회토공" xfId="680" xr:uid="{00000000-0005-0000-0000-0000AC280000}"/>
    <cellStyle name="통_수량산출서(수정)_04-포장공_02-배수공_토공_오거리토공" xfId="681" xr:uid="{00000000-0005-0000-0000-0000AD280000}"/>
    <cellStyle name="통_수량산출서(수정)_04-포장공_02-배수공_토공_중곡빗물펌프장토공" xfId="682" xr:uid="{00000000-0005-0000-0000-0000AE280000}"/>
    <cellStyle name="통_수량산출서(수정)_04-포장공_02-배수공_토공_중곡빗물펌프장토공1" xfId="683" xr:uid="{00000000-0005-0000-0000-0000AF280000}"/>
    <cellStyle name="통_수량산출서(수정)_04-포장공_02-배수공_토공_중곡펌프장토공1" xfId="684" xr:uid="{00000000-0005-0000-0000-0000B0280000}"/>
    <cellStyle name="통_수량산출서(수정)_04-포장공_02-배수공_토공_천호대로남측준공수량(토공)" xfId="685" xr:uid="{00000000-0005-0000-0000-0000B1280000}"/>
    <cellStyle name="통_수량산출서(수정)_04-포장공_02-배수공_토공_한국화장품토공" xfId="686" xr:uid="{00000000-0005-0000-0000-0000B2280000}"/>
    <cellStyle name="통_수량산출서(수정)_06-부대공_02-배수공" xfId="687" xr:uid="{00000000-0005-0000-0000-0000B3280000}"/>
    <cellStyle name="통_수량산출서(수정)_06-부대공_02-배수공_2.중곡빗물펌프장토공(BOX구간)" xfId="688" xr:uid="{00000000-0005-0000-0000-0000B4280000}"/>
    <cellStyle name="통_수량산출서(수정)_06-부대공_02-배수공_남측토공" xfId="689" xr:uid="{00000000-0005-0000-0000-0000B5280000}"/>
    <cellStyle name="통_수량산출서(수정)_06-부대공_02-배수공_남측토공_2.중곡빗물펌프장토공" xfId="690" xr:uid="{00000000-0005-0000-0000-0000B6280000}"/>
    <cellStyle name="통_수량산출서(수정)_06-부대공_02-배수공_남측토공_천호대로남측준공수량(토공)" xfId="691" xr:uid="{00000000-0005-0000-0000-0000B7280000}"/>
    <cellStyle name="통_수량산출서(수정)_06-부대공_02-배수공_토공" xfId="692" xr:uid="{00000000-0005-0000-0000-0000B8280000}"/>
    <cellStyle name="통_수량산출서(수정)_06-부대공_02-배수공_토공_2.중곡빗물펌프장토공" xfId="693" xr:uid="{00000000-0005-0000-0000-0000B9280000}"/>
    <cellStyle name="통_수량산출서(수정)_06-부대공_02-배수공_토공_세종대우회토공" xfId="694" xr:uid="{00000000-0005-0000-0000-0000BA280000}"/>
    <cellStyle name="통_수량산출서(수정)_06-부대공_02-배수공_토공_오거리토공" xfId="695" xr:uid="{00000000-0005-0000-0000-0000BB280000}"/>
    <cellStyle name="통_수량산출서(수정)_06-부대공_02-배수공_토공_중곡빗물펌프장토공" xfId="696" xr:uid="{00000000-0005-0000-0000-0000BC280000}"/>
    <cellStyle name="통_수량산출서(수정)_06-부대공_02-배수공_토공_중곡빗물펌프장토공1" xfId="697" xr:uid="{00000000-0005-0000-0000-0000BD280000}"/>
    <cellStyle name="통_수량산출서(수정)_06-부대공_02-배수공_토공_중곡펌프장토공1" xfId="698" xr:uid="{00000000-0005-0000-0000-0000BE280000}"/>
    <cellStyle name="통_수량산출서(수정)_06-부대공_02-배수공_토공_천호대로남측준공수량(토공)" xfId="699" xr:uid="{00000000-0005-0000-0000-0000BF280000}"/>
    <cellStyle name="통_수량산출서(수정)_06-부대공_02-배수공_토공_한국화장품토공" xfId="700" xr:uid="{00000000-0005-0000-0000-0000C0280000}"/>
    <cellStyle name="통_수량산출서(수정)_2.중곡빗물펌프장토공(BOX구간)" xfId="701" xr:uid="{00000000-0005-0000-0000-0000C1280000}"/>
    <cellStyle name="통_수량산출서(수정)_오수공" xfId="702" xr:uid="{00000000-0005-0000-0000-0000C2280000}"/>
    <cellStyle name="통_수량산출서(수정)_오수공_2.중곡빗물펌프장토공(BOX구간)" xfId="703" xr:uid="{00000000-0005-0000-0000-0000C3280000}"/>
    <cellStyle name="통_수량산출서(수정)_오수공_오수공" xfId="704" xr:uid="{00000000-0005-0000-0000-0000C4280000}"/>
    <cellStyle name="통_수량산출서(수정)_오수공_오수공_2.중곡빗물펌프장토공(BOX구간)" xfId="705" xr:uid="{00000000-0005-0000-0000-0000C5280000}"/>
    <cellStyle name="통_수량산출서(수정)_오수공_오수공1" xfId="706" xr:uid="{00000000-0005-0000-0000-0000C6280000}"/>
    <cellStyle name="통_수량산출서(수정)_오수공_오수공1_2.중곡빗물펌프장토공(BOX구간)" xfId="707" xr:uid="{00000000-0005-0000-0000-0000C7280000}"/>
    <cellStyle name="통_오수공" xfId="708" xr:uid="{00000000-0005-0000-0000-0000C8280000}"/>
    <cellStyle name="통_오수공_2.중곡빗물펌프장토공(BOX구간)" xfId="709" xr:uid="{00000000-0005-0000-0000-0000C9280000}"/>
    <cellStyle name="통_오수공_오수공" xfId="710" xr:uid="{00000000-0005-0000-0000-0000CA280000}"/>
    <cellStyle name="통_오수공_오수공_2.중곡빗물펌프장토공(BOX구간)" xfId="711" xr:uid="{00000000-0005-0000-0000-0000CB280000}"/>
    <cellStyle name="통_오수공_오수공1" xfId="712" xr:uid="{00000000-0005-0000-0000-0000CC280000}"/>
    <cellStyle name="통_오수공_오수공1_2.중곡빗물펌프장토공(BOX구간)" xfId="713" xr:uid="{00000000-0005-0000-0000-0000CD280000}"/>
    <cellStyle name="통화 [" xfId="714" xr:uid="{00000000-0005-0000-0000-0000CE280000}"/>
    <cellStyle name="통화 [ 2" xfId="1453" xr:uid="{00000000-0005-0000-0000-0000CF280000}"/>
    <cellStyle name="通貨 [0.00]_　配車(by matue)" xfId="1455" xr:uid="{00000000-0005-0000-0000-0000D0280000}"/>
    <cellStyle name="통화 [0] 2" xfId="4999" xr:uid="{00000000-0005-0000-0000-0000D1280000}"/>
    <cellStyle name="통화 [0㉝〸" xfId="1454" xr:uid="{00000000-0005-0000-0000-0000D2280000}"/>
    <cellStyle name="通貨_　配車(by matue)" xfId="1456" xr:uid="{00000000-0005-0000-0000-0000D3280000}"/>
    <cellStyle name="퍼센트" xfId="715" xr:uid="{00000000-0005-0000-0000-0000D4280000}"/>
    <cellStyle name="퍼센트 2" xfId="1457" xr:uid="{00000000-0005-0000-0000-0000D5280000}"/>
    <cellStyle name="퍼센트 2 2" xfId="1458" xr:uid="{00000000-0005-0000-0000-0000D6280000}"/>
    <cellStyle name="퍼센트 3" xfId="1459" xr:uid="{00000000-0005-0000-0000-0000D7280000}"/>
    <cellStyle name="퍼센트 4" xfId="2347" xr:uid="{00000000-0005-0000-0000-0000D8280000}"/>
    <cellStyle name="표" xfId="716" xr:uid="{00000000-0005-0000-0000-0000D9280000}"/>
    <cellStyle name="표 2" xfId="1460" xr:uid="{00000000-0005-0000-0000-0000DA280000}"/>
    <cellStyle name="표(가는선,가운데,중앙)" xfId="2348" xr:uid="{00000000-0005-0000-0000-0000DB280000}"/>
    <cellStyle name="표(가는선,왼쪽,중앙)" xfId="2349" xr:uid="{00000000-0005-0000-0000-0000DC280000}"/>
    <cellStyle name="표(세로쓰기)" xfId="2350" xr:uid="{00000000-0005-0000-0000-0000DD280000}"/>
    <cellStyle name="표_01-토공_02-배수공" xfId="717" xr:uid="{00000000-0005-0000-0000-0000DE280000}"/>
    <cellStyle name="표_01-토공_02-배수공_2.중곡빗물펌프장토공(BOX구간)" xfId="718" xr:uid="{00000000-0005-0000-0000-0000DF280000}"/>
    <cellStyle name="표_01-토공_02-배수공_남측토공" xfId="719" xr:uid="{00000000-0005-0000-0000-0000E0280000}"/>
    <cellStyle name="표_01-토공_02-배수공_남측토공_2.중곡빗물펌프장토공" xfId="720" xr:uid="{00000000-0005-0000-0000-0000E1280000}"/>
    <cellStyle name="표_01-토공_02-배수공_남측토공_천호대로남측준공수량(토공)" xfId="721" xr:uid="{00000000-0005-0000-0000-0000E2280000}"/>
    <cellStyle name="표_01-토공_02-배수공_토공" xfId="722" xr:uid="{00000000-0005-0000-0000-0000E3280000}"/>
    <cellStyle name="표_01-토공_02-배수공_토공_2.중곡빗물펌프장토공" xfId="723" xr:uid="{00000000-0005-0000-0000-0000E4280000}"/>
    <cellStyle name="표_01-토공_02-배수공_토공_세종대우회토공" xfId="724" xr:uid="{00000000-0005-0000-0000-0000E5280000}"/>
    <cellStyle name="표_01-토공_02-배수공_토공_오거리토공" xfId="725" xr:uid="{00000000-0005-0000-0000-0000E6280000}"/>
    <cellStyle name="표_01-토공_02-배수공_토공_중곡빗물펌프장토공" xfId="726" xr:uid="{00000000-0005-0000-0000-0000E7280000}"/>
    <cellStyle name="표_01-토공_02-배수공_토공_중곡빗물펌프장토공1" xfId="727" xr:uid="{00000000-0005-0000-0000-0000E8280000}"/>
    <cellStyle name="표_01-토공_02-배수공_토공_중곡펌프장토공1" xfId="728" xr:uid="{00000000-0005-0000-0000-0000E9280000}"/>
    <cellStyle name="표_01-토공_02-배수공_토공_천호대로남측준공수량(토공)" xfId="729" xr:uid="{00000000-0005-0000-0000-0000EA280000}"/>
    <cellStyle name="표_01-토공_02-배수공_토공_한국화장품토공" xfId="730" xr:uid="{00000000-0005-0000-0000-0000EB280000}"/>
    <cellStyle name="표_02-배수공" xfId="731" xr:uid="{00000000-0005-0000-0000-0000EC280000}"/>
    <cellStyle name="표_02-배수공_02-반중력식옹벽" xfId="732" xr:uid="{00000000-0005-0000-0000-0000ED280000}"/>
    <cellStyle name="표_02-배수공_02-반중력식옹벽_2.중곡빗물펌프장토공(BOX구간)" xfId="733" xr:uid="{00000000-0005-0000-0000-0000EE280000}"/>
    <cellStyle name="표_02-배수공_02-반중력식옹벽_남측토공" xfId="734" xr:uid="{00000000-0005-0000-0000-0000EF280000}"/>
    <cellStyle name="표_02-배수공_02-반중력식옹벽_남측토공_2.중곡빗물펌프장토공" xfId="735" xr:uid="{00000000-0005-0000-0000-0000F0280000}"/>
    <cellStyle name="표_02-배수공_02-반중력식옹벽_남측토공_천호대로남측준공수량(토공)" xfId="736" xr:uid="{00000000-0005-0000-0000-0000F1280000}"/>
    <cellStyle name="표_02-배수공_02-반중력식옹벽_토공" xfId="737" xr:uid="{00000000-0005-0000-0000-0000F2280000}"/>
    <cellStyle name="표_02-배수공_02-반중력식옹벽_토공_2.중곡빗물펌프장토공" xfId="738" xr:uid="{00000000-0005-0000-0000-0000F3280000}"/>
    <cellStyle name="표_02-배수공_02-반중력식옹벽_토공_세종대우회토공" xfId="739" xr:uid="{00000000-0005-0000-0000-0000F4280000}"/>
    <cellStyle name="표_02-배수공_02-반중력식옹벽_토공_오거리토공" xfId="740" xr:uid="{00000000-0005-0000-0000-0000F5280000}"/>
    <cellStyle name="표_02-배수공_02-반중력식옹벽_토공_중곡빗물펌프장토공" xfId="741" xr:uid="{00000000-0005-0000-0000-0000F6280000}"/>
    <cellStyle name="표_02-배수공_02-반중력식옹벽_토공_중곡빗물펌프장토공1" xfId="742" xr:uid="{00000000-0005-0000-0000-0000F7280000}"/>
    <cellStyle name="표_02-배수공_02-반중력식옹벽_토공_중곡펌프장토공1" xfId="743" xr:uid="{00000000-0005-0000-0000-0000F8280000}"/>
    <cellStyle name="표_02-배수공_02-반중력식옹벽_토공_천호대로남측준공수량(토공)" xfId="744" xr:uid="{00000000-0005-0000-0000-0000F9280000}"/>
    <cellStyle name="표_02-배수공_02-반중력식옹벽_토공_한국화장품토공" xfId="745" xr:uid="{00000000-0005-0000-0000-0000FA280000}"/>
    <cellStyle name="표_02-배수공_02-배수공" xfId="746" xr:uid="{00000000-0005-0000-0000-0000FB280000}"/>
    <cellStyle name="표_02-배수공_02-배수공_2.중곡빗물펌프장토공(BOX구간)" xfId="747" xr:uid="{00000000-0005-0000-0000-0000FC280000}"/>
    <cellStyle name="표_02-배수공_02-배수공_남측토공" xfId="748" xr:uid="{00000000-0005-0000-0000-0000FD280000}"/>
    <cellStyle name="표_02-배수공_02-배수공_남측토공_2.중곡빗물펌프장토공" xfId="749" xr:uid="{00000000-0005-0000-0000-0000FE280000}"/>
    <cellStyle name="표_02-배수공_02-배수공_남측토공_천호대로남측준공수량(토공)" xfId="750" xr:uid="{00000000-0005-0000-0000-0000FF280000}"/>
    <cellStyle name="표_02-배수공_02-배수공_토공" xfId="751" xr:uid="{00000000-0005-0000-0000-000000290000}"/>
    <cellStyle name="표_02-배수공_02-배수공_토공_2.중곡빗물펌프장토공" xfId="752" xr:uid="{00000000-0005-0000-0000-000001290000}"/>
    <cellStyle name="표_02-배수공_02-배수공_토공_세종대우회토공" xfId="753" xr:uid="{00000000-0005-0000-0000-000002290000}"/>
    <cellStyle name="표_02-배수공_02-배수공_토공_오거리토공" xfId="754" xr:uid="{00000000-0005-0000-0000-000003290000}"/>
    <cellStyle name="표_02-배수공_02-배수공_토공_중곡빗물펌프장토공" xfId="755" xr:uid="{00000000-0005-0000-0000-000004290000}"/>
    <cellStyle name="표_02-배수공_02-배수공_토공_중곡빗물펌프장토공1" xfId="756" xr:uid="{00000000-0005-0000-0000-000005290000}"/>
    <cellStyle name="표_02-배수공_02-배수공_토공_중곡펌프장토공1" xfId="757" xr:uid="{00000000-0005-0000-0000-000006290000}"/>
    <cellStyle name="표_02-배수공_02-배수공_토공_천호대로남측준공수량(토공)" xfId="758" xr:uid="{00000000-0005-0000-0000-000007290000}"/>
    <cellStyle name="표_02-배수공_02-배수공_토공_한국화장품토공" xfId="759" xr:uid="{00000000-0005-0000-0000-000008290000}"/>
    <cellStyle name="표_02-배수공_2.중곡빗물펌프장토공(BOX구간)" xfId="760" xr:uid="{00000000-0005-0000-0000-000009290000}"/>
    <cellStyle name="표_02-배수공_가평조서" xfId="761" xr:uid="{00000000-0005-0000-0000-00000A290000}"/>
    <cellStyle name="표_02-배수공_가평조서_2.중곡빗물펌프장토공(BOX구간)" xfId="762" xr:uid="{00000000-0005-0000-0000-00000B290000}"/>
    <cellStyle name="표_02-배수공_남측토공" xfId="763" xr:uid="{00000000-0005-0000-0000-00000C290000}"/>
    <cellStyle name="표_02-배수공_남측토공_2.중곡빗물펌프장토공" xfId="764" xr:uid="{00000000-0005-0000-0000-00000D290000}"/>
    <cellStyle name="표_02-배수공_남측토공_천호대로남측준공수량(토공)" xfId="765" xr:uid="{00000000-0005-0000-0000-00000E290000}"/>
    <cellStyle name="표_02-배수공_반중력" xfId="766" xr:uid="{00000000-0005-0000-0000-00000F290000}"/>
    <cellStyle name="표_02-배수공_반중력_2.중곡빗물펌프장토공(BOX구간)" xfId="767" xr:uid="{00000000-0005-0000-0000-000010290000}"/>
    <cellStyle name="표_02-배수공_반중력_남측토공" xfId="768" xr:uid="{00000000-0005-0000-0000-000011290000}"/>
    <cellStyle name="표_02-배수공_반중력_남측토공_2.중곡빗물펌프장토공" xfId="769" xr:uid="{00000000-0005-0000-0000-000012290000}"/>
    <cellStyle name="표_02-배수공_반중력_남측토공_천호대로남측준공수량(토공)" xfId="770" xr:uid="{00000000-0005-0000-0000-000013290000}"/>
    <cellStyle name="표_02-배수공_반중력_토공" xfId="771" xr:uid="{00000000-0005-0000-0000-000014290000}"/>
    <cellStyle name="표_02-배수공_반중력_토공_2.중곡빗물펌프장토공" xfId="772" xr:uid="{00000000-0005-0000-0000-000015290000}"/>
    <cellStyle name="표_02-배수공_반중력_토공_세종대우회토공" xfId="773" xr:uid="{00000000-0005-0000-0000-000016290000}"/>
    <cellStyle name="표_02-배수공_반중력_토공_오거리토공" xfId="774" xr:uid="{00000000-0005-0000-0000-000017290000}"/>
    <cellStyle name="표_02-배수공_반중력_토공_중곡빗물펌프장토공" xfId="775" xr:uid="{00000000-0005-0000-0000-000018290000}"/>
    <cellStyle name="표_02-배수공_반중력_토공_중곡빗물펌프장토공1" xfId="776" xr:uid="{00000000-0005-0000-0000-000019290000}"/>
    <cellStyle name="표_02-배수공_반중력_토공_중곡펌프장토공1" xfId="777" xr:uid="{00000000-0005-0000-0000-00001A290000}"/>
    <cellStyle name="표_02-배수공_반중력_토공_천호대로남측준공수량(토공)" xfId="778" xr:uid="{00000000-0005-0000-0000-00001B290000}"/>
    <cellStyle name="표_02-배수공_반중력_토공_한국화장품토공" xfId="779" xr:uid="{00000000-0005-0000-0000-00001C290000}"/>
    <cellStyle name="표_02-배수공_옹벽" xfId="780" xr:uid="{00000000-0005-0000-0000-00001D290000}"/>
    <cellStyle name="표_02-배수공_옹벽_2.중곡빗물펌프장토공(BOX구간)" xfId="781" xr:uid="{00000000-0005-0000-0000-00001E290000}"/>
    <cellStyle name="표_02-배수공_토공" xfId="782" xr:uid="{00000000-0005-0000-0000-00001F290000}"/>
    <cellStyle name="표_02-배수공_토공_2.중곡빗물펌프장토공" xfId="783" xr:uid="{00000000-0005-0000-0000-000020290000}"/>
    <cellStyle name="표_02-배수공_토공_세종대우회토공" xfId="784" xr:uid="{00000000-0005-0000-0000-000021290000}"/>
    <cellStyle name="표_02-배수공_토공_오거리토공" xfId="785" xr:uid="{00000000-0005-0000-0000-000022290000}"/>
    <cellStyle name="표_02-배수공_토공_중곡빗물펌프장토공" xfId="786" xr:uid="{00000000-0005-0000-0000-000023290000}"/>
    <cellStyle name="표_02-배수공_토공_중곡빗물펌프장토공1" xfId="787" xr:uid="{00000000-0005-0000-0000-000024290000}"/>
    <cellStyle name="표_02-배수공_토공_중곡펌프장토공1" xfId="788" xr:uid="{00000000-0005-0000-0000-000025290000}"/>
    <cellStyle name="표_02-배수공_토공_천호대로남측준공수량(토공)" xfId="789" xr:uid="{00000000-0005-0000-0000-000026290000}"/>
    <cellStyle name="표_02-배수공_토공_한국화장품토공" xfId="790" xr:uid="{00000000-0005-0000-0000-000027290000}"/>
    <cellStyle name="표_02-배수공_포장조서" xfId="791" xr:uid="{00000000-0005-0000-0000-000028290000}"/>
    <cellStyle name="표_02-배수공_포장조서_2.중곡빗물펌프장토공(BOX구간)" xfId="792" xr:uid="{00000000-0005-0000-0000-000029290000}"/>
    <cellStyle name="표_04-포장공_02-배수공" xfId="793" xr:uid="{00000000-0005-0000-0000-00002A290000}"/>
    <cellStyle name="표_04-포장공_02-배수공_2.중곡빗물펌프장토공(BOX구간)" xfId="794" xr:uid="{00000000-0005-0000-0000-00002B290000}"/>
    <cellStyle name="표_04-포장공_02-배수공_남측토공" xfId="795" xr:uid="{00000000-0005-0000-0000-00002C290000}"/>
    <cellStyle name="표_04-포장공_02-배수공_남측토공_2.중곡빗물펌프장토공" xfId="796" xr:uid="{00000000-0005-0000-0000-00002D290000}"/>
    <cellStyle name="표_04-포장공_02-배수공_남측토공_천호대로남측준공수량(토공)" xfId="797" xr:uid="{00000000-0005-0000-0000-00002E290000}"/>
    <cellStyle name="표_04-포장공_02-배수공_토공" xfId="798" xr:uid="{00000000-0005-0000-0000-00002F290000}"/>
    <cellStyle name="표_04-포장공_02-배수공_토공_2.중곡빗물펌프장토공" xfId="799" xr:uid="{00000000-0005-0000-0000-000030290000}"/>
    <cellStyle name="표_04-포장공_02-배수공_토공_세종대우회토공" xfId="800" xr:uid="{00000000-0005-0000-0000-000031290000}"/>
    <cellStyle name="표_04-포장공_02-배수공_토공_오거리토공" xfId="801" xr:uid="{00000000-0005-0000-0000-000032290000}"/>
    <cellStyle name="표_04-포장공_02-배수공_토공_중곡빗물펌프장토공" xfId="802" xr:uid="{00000000-0005-0000-0000-000033290000}"/>
    <cellStyle name="표_04-포장공_02-배수공_토공_중곡빗물펌프장토공1" xfId="803" xr:uid="{00000000-0005-0000-0000-000034290000}"/>
    <cellStyle name="표_04-포장공_02-배수공_토공_중곡펌프장토공1" xfId="804" xr:uid="{00000000-0005-0000-0000-000035290000}"/>
    <cellStyle name="표_04-포장공_02-배수공_토공_천호대로남측준공수량(토공)" xfId="805" xr:uid="{00000000-0005-0000-0000-000036290000}"/>
    <cellStyle name="표_04-포장공_02-배수공_토공_한국화장품토공" xfId="806" xr:uid="{00000000-0005-0000-0000-000037290000}"/>
    <cellStyle name="표_06-부대공_02-배수공" xfId="807" xr:uid="{00000000-0005-0000-0000-000038290000}"/>
    <cellStyle name="표_06-부대공_02-배수공_2.중곡빗물펌프장토공(BOX구간)" xfId="808" xr:uid="{00000000-0005-0000-0000-000039290000}"/>
    <cellStyle name="표_06-부대공_02-배수공_남측토공" xfId="809" xr:uid="{00000000-0005-0000-0000-00003A290000}"/>
    <cellStyle name="표_06-부대공_02-배수공_남측토공_2.중곡빗물펌프장토공" xfId="810" xr:uid="{00000000-0005-0000-0000-00003B290000}"/>
    <cellStyle name="표_06-부대공_02-배수공_남측토공_천호대로남측준공수량(토공)" xfId="811" xr:uid="{00000000-0005-0000-0000-00003C290000}"/>
    <cellStyle name="표_06-부대공_02-배수공_토공" xfId="812" xr:uid="{00000000-0005-0000-0000-00003D290000}"/>
    <cellStyle name="표_06-부대공_02-배수공_토공_2.중곡빗물펌프장토공" xfId="813" xr:uid="{00000000-0005-0000-0000-00003E290000}"/>
    <cellStyle name="표_06-부대공_02-배수공_토공_세종대우회토공" xfId="814" xr:uid="{00000000-0005-0000-0000-00003F290000}"/>
    <cellStyle name="표_06-부대공_02-배수공_토공_오거리토공" xfId="815" xr:uid="{00000000-0005-0000-0000-000040290000}"/>
    <cellStyle name="표_06-부대공_02-배수공_토공_중곡빗물펌프장토공" xfId="816" xr:uid="{00000000-0005-0000-0000-000041290000}"/>
    <cellStyle name="표_06-부대공_02-배수공_토공_중곡빗물펌프장토공1" xfId="817" xr:uid="{00000000-0005-0000-0000-000042290000}"/>
    <cellStyle name="표_06-부대공_02-배수공_토공_중곡펌프장토공1" xfId="818" xr:uid="{00000000-0005-0000-0000-000043290000}"/>
    <cellStyle name="표_06-부대공_02-배수공_토공_천호대로남측준공수량(토공)" xfId="819" xr:uid="{00000000-0005-0000-0000-000044290000}"/>
    <cellStyle name="표_06-부대공_02-배수공_토공_한국화장품토공" xfId="820" xr:uid="{00000000-0005-0000-0000-000045290000}"/>
    <cellStyle name="표_2.중곡빗물펌프장토공(BOX구간)" xfId="821" xr:uid="{00000000-0005-0000-0000-000046290000}"/>
    <cellStyle name="표_3.우수" xfId="5000" xr:uid="{00000000-0005-0000-0000-000047290000}"/>
    <cellStyle name="표_수량산출서(수정)" xfId="822" xr:uid="{00000000-0005-0000-0000-000048290000}"/>
    <cellStyle name="표_수량산출서(수정)_01-토공_02-배수공" xfId="823" xr:uid="{00000000-0005-0000-0000-000049290000}"/>
    <cellStyle name="표_수량산출서(수정)_01-토공_02-배수공_2.중곡빗물펌프장토공(BOX구간)" xfId="824" xr:uid="{00000000-0005-0000-0000-00004A290000}"/>
    <cellStyle name="표_수량산출서(수정)_01-토공_02-배수공_남측토공" xfId="825" xr:uid="{00000000-0005-0000-0000-00004B290000}"/>
    <cellStyle name="표_수량산출서(수정)_01-토공_02-배수공_남측토공_2.중곡빗물펌프장토공" xfId="826" xr:uid="{00000000-0005-0000-0000-00004C290000}"/>
    <cellStyle name="표_수량산출서(수정)_01-토공_02-배수공_남측토공_천호대로남측준공수량(토공)" xfId="827" xr:uid="{00000000-0005-0000-0000-00004D290000}"/>
    <cellStyle name="표_수량산출서(수정)_01-토공_02-배수공_토공" xfId="828" xr:uid="{00000000-0005-0000-0000-00004E290000}"/>
    <cellStyle name="표_수량산출서(수정)_01-토공_02-배수공_토공_2.중곡빗물펌프장토공" xfId="829" xr:uid="{00000000-0005-0000-0000-00004F290000}"/>
    <cellStyle name="표_수량산출서(수정)_01-토공_02-배수공_토공_세종대우회토공" xfId="830" xr:uid="{00000000-0005-0000-0000-000050290000}"/>
    <cellStyle name="표_수량산출서(수정)_01-토공_02-배수공_토공_오거리토공" xfId="831" xr:uid="{00000000-0005-0000-0000-000051290000}"/>
    <cellStyle name="표_수량산출서(수정)_01-토공_02-배수공_토공_중곡빗물펌프장토공" xfId="832" xr:uid="{00000000-0005-0000-0000-000052290000}"/>
    <cellStyle name="표_수량산출서(수정)_01-토공_02-배수공_토공_중곡빗물펌프장토공1" xfId="833" xr:uid="{00000000-0005-0000-0000-000053290000}"/>
    <cellStyle name="표_수량산출서(수정)_01-토공_02-배수공_토공_중곡펌프장토공1" xfId="834" xr:uid="{00000000-0005-0000-0000-000054290000}"/>
    <cellStyle name="표_수량산출서(수정)_01-토공_02-배수공_토공_천호대로남측준공수량(토공)" xfId="835" xr:uid="{00000000-0005-0000-0000-000055290000}"/>
    <cellStyle name="표_수량산출서(수정)_01-토공_02-배수공_토공_한국화장품토공" xfId="836" xr:uid="{00000000-0005-0000-0000-000056290000}"/>
    <cellStyle name="표_수량산출서(수정)_02-배수공" xfId="837" xr:uid="{00000000-0005-0000-0000-000057290000}"/>
    <cellStyle name="표_수량산출서(수정)_02-배수공_02-반중력식옹벽" xfId="838" xr:uid="{00000000-0005-0000-0000-000058290000}"/>
    <cellStyle name="표_수량산출서(수정)_02-배수공_02-반중력식옹벽_2.중곡빗물펌프장토공(BOX구간)" xfId="839" xr:uid="{00000000-0005-0000-0000-000059290000}"/>
    <cellStyle name="표_수량산출서(수정)_02-배수공_02-반중력식옹벽_남측토공" xfId="840" xr:uid="{00000000-0005-0000-0000-00005A290000}"/>
    <cellStyle name="표_수량산출서(수정)_02-배수공_02-반중력식옹벽_남측토공_2.중곡빗물펌프장토공" xfId="841" xr:uid="{00000000-0005-0000-0000-00005B290000}"/>
    <cellStyle name="표_수량산출서(수정)_02-배수공_02-반중력식옹벽_남측토공_천호대로남측준공수량(토공)" xfId="842" xr:uid="{00000000-0005-0000-0000-00005C290000}"/>
    <cellStyle name="표_수량산출서(수정)_02-배수공_02-반중력식옹벽_토공" xfId="843" xr:uid="{00000000-0005-0000-0000-00005D290000}"/>
    <cellStyle name="표_수량산출서(수정)_02-배수공_02-반중력식옹벽_토공_2.중곡빗물펌프장토공" xfId="844" xr:uid="{00000000-0005-0000-0000-00005E290000}"/>
    <cellStyle name="표_수량산출서(수정)_02-배수공_02-반중력식옹벽_토공_세종대우회토공" xfId="845" xr:uid="{00000000-0005-0000-0000-00005F290000}"/>
    <cellStyle name="표_수량산출서(수정)_02-배수공_02-반중력식옹벽_토공_오거리토공" xfId="846" xr:uid="{00000000-0005-0000-0000-000060290000}"/>
    <cellStyle name="표_수량산출서(수정)_02-배수공_02-반중력식옹벽_토공_중곡빗물펌프장토공" xfId="847" xr:uid="{00000000-0005-0000-0000-000061290000}"/>
    <cellStyle name="표_수량산출서(수정)_02-배수공_02-반중력식옹벽_토공_중곡빗물펌프장토공1" xfId="848" xr:uid="{00000000-0005-0000-0000-000062290000}"/>
    <cellStyle name="표_수량산출서(수정)_02-배수공_02-반중력식옹벽_토공_중곡펌프장토공1" xfId="849" xr:uid="{00000000-0005-0000-0000-000063290000}"/>
    <cellStyle name="표_수량산출서(수정)_02-배수공_02-반중력식옹벽_토공_천호대로남측준공수량(토공)" xfId="850" xr:uid="{00000000-0005-0000-0000-000064290000}"/>
    <cellStyle name="표_수량산출서(수정)_02-배수공_02-반중력식옹벽_토공_한국화장품토공" xfId="851" xr:uid="{00000000-0005-0000-0000-000065290000}"/>
    <cellStyle name="표_수량산출서(수정)_02-배수공_02-배수공" xfId="852" xr:uid="{00000000-0005-0000-0000-000066290000}"/>
    <cellStyle name="표_수량산출서(수정)_02-배수공_02-배수공_2.중곡빗물펌프장토공(BOX구간)" xfId="853" xr:uid="{00000000-0005-0000-0000-000067290000}"/>
    <cellStyle name="표_수량산출서(수정)_02-배수공_02-배수공_남측토공" xfId="854" xr:uid="{00000000-0005-0000-0000-000068290000}"/>
    <cellStyle name="표_수량산출서(수정)_02-배수공_02-배수공_남측토공_2.중곡빗물펌프장토공" xfId="855" xr:uid="{00000000-0005-0000-0000-000069290000}"/>
    <cellStyle name="표_수량산출서(수정)_02-배수공_02-배수공_남측토공_천호대로남측준공수량(토공)" xfId="856" xr:uid="{00000000-0005-0000-0000-00006A290000}"/>
    <cellStyle name="표_수량산출서(수정)_02-배수공_02-배수공_토공" xfId="857" xr:uid="{00000000-0005-0000-0000-00006B290000}"/>
    <cellStyle name="표_수량산출서(수정)_02-배수공_02-배수공_토공_2.중곡빗물펌프장토공" xfId="858" xr:uid="{00000000-0005-0000-0000-00006C290000}"/>
    <cellStyle name="표_수량산출서(수정)_02-배수공_02-배수공_토공_세종대우회토공" xfId="859" xr:uid="{00000000-0005-0000-0000-00006D290000}"/>
    <cellStyle name="표_수량산출서(수정)_02-배수공_02-배수공_토공_오거리토공" xfId="860" xr:uid="{00000000-0005-0000-0000-00006E290000}"/>
    <cellStyle name="표_수량산출서(수정)_02-배수공_02-배수공_토공_중곡빗물펌프장토공" xfId="861" xr:uid="{00000000-0005-0000-0000-00006F290000}"/>
    <cellStyle name="표_수량산출서(수정)_02-배수공_02-배수공_토공_중곡빗물펌프장토공1" xfId="862" xr:uid="{00000000-0005-0000-0000-000070290000}"/>
    <cellStyle name="표_수량산출서(수정)_02-배수공_02-배수공_토공_중곡펌프장토공1" xfId="863" xr:uid="{00000000-0005-0000-0000-000071290000}"/>
    <cellStyle name="표_수량산출서(수정)_02-배수공_02-배수공_토공_천호대로남측준공수량(토공)" xfId="864" xr:uid="{00000000-0005-0000-0000-000072290000}"/>
    <cellStyle name="표_수량산출서(수정)_02-배수공_02-배수공_토공_한국화장품토공" xfId="865" xr:uid="{00000000-0005-0000-0000-000073290000}"/>
    <cellStyle name="표_수량산출서(수정)_02-배수공_2.중곡빗물펌프장토공(BOX구간)" xfId="866" xr:uid="{00000000-0005-0000-0000-000074290000}"/>
    <cellStyle name="표_수량산출서(수정)_02-배수공_가평조서" xfId="867" xr:uid="{00000000-0005-0000-0000-000075290000}"/>
    <cellStyle name="표_수량산출서(수정)_02-배수공_가평조서_2.중곡빗물펌프장토공(BOX구간)" xfId="868" xr:uid="{00000000-0005-0000-0000-000076290000}"/>
    <cellStyle name="표_수량산출서(수정)_02-배수공_남측토공" xfId="869" xr:uid="{00000000-0005-0000-0000-000077290000}"/>
    <cellStyle name="표_수량산출서(수정)_02-배수공_남측토공_2.중곡빗물펌프장토공" xfId="870" xr:uid="{00000000-0005-0000-0000-000078290000}"/>
    <cellStyle name="표_수량산출서(수정)_02-배수공_남측토공_천호대로남측준공수량(토공)" xfId="871" xr:uid="{00000000-0005-0000-0000-000079290000}"/>
    <cellStyle name="표_수량산출서(수정)_02-배수공_반중력" xfId="872" xr:uid="{00000000-0005-0000-0000-00007A290000}"/>
    <cellStyle name="표_수량산출서(수정)_02-배수공_반중력_2.중곡빗물펌프장토공(BOX구간)" xfId="873" xr:uid="{00000000-0005-0000-0000-00007B290000}"/>
    <cellStyle name="표_수량산출서(수정)_02-배수공_반중력_남측토공" xfId="874" xr:uid="{00000000-0005-0000-0000-00007C290000}"/>
    <cellStyle name="표_수량산출서(수정)_02-배수공_반중력_남측토공_2.중곡빗물펌프장토공" xfId="875" xr:uid="{00000000-0005-0000-0000-00007D290000}"/>
    <cellStyle name="표_수량산출서(수정)_02-배수공_반중력_남측토공_천호대로남측준공수량(토공)" xfId="876" xr:uid="{00000000-0005-0000-0000-00007E290000}"/>
    <cellStyle name="표_수량산출서(수정)_02-배수공_반중력_토공" xfId="877" xr:uid="{00000000-0005-0000-0000-00007F290000}"/>
    <cellStyle name="표_수량산출서(수정)_02-배수공_반중력_토공_2.중곡빗물펌프장토공" xfId="878" xr:uid="{00000000-0005-0000-0000-000080290000}"/>
    <cellStyle name="표_수량산출서(수정)_02-배수공_반중력_토공_세종대우회토공" xfId="879" xr:uid="{00000000-0005-0000-0000-000081290000}"/>
    <cellStyle name="표_수량산출서(수정)_02-배수공_반중력_토공_오거리토공" xfId="880" xr:uid="{00000000-0005-0000-0000-000082290000}"/>
    <cellStyle name="표_수량산출서(수정)_02-배수공_반중력_토공_중곡빗물펌프장토공" xfId="881" xr:uid="{00000000-0005-0000-0000-000083290000}"/>
    <cellStyle name="표_수량산출서(수정)_02-배수공_반중력_토공_중곡빗물펌프장토공1" xfId="882" xr:uid="{00000000-0005-0000-0000-000084290000}"/>
    <cellStyle name="표_수량산출서(수정)_02-배수공_반중력_토공_중곡펌프장토공1" xfId="883" xr:uid="{00000000-0005-0000-0000-000085290000}"/>
    <cellStyle name="표_수량산출서(수정)_02-배수공_반중력_토공_천호대로남측준공수량(토공)" xfId="884" xr:uid="{00000000-0005-0000-0000-000086290000}"/>
    <cellStyle name="표_수량산출서(수정)_02-배수공_반중력_토공_한국화장품토공" xfId="885" xr:uid="{00000000-0005-0000-0000-000087290000}"/>
    <cellStyle name="표_수량산출서(수정)_02-배수공_옹벽" xfId="886" xr:uid="{00000000-0005-0000-0000-000088290000}"/>
    <cellStyle name="표_수량산출서(수정)_02-배수공_옹벽_2.중곡빗물펌프장토공(BOX구간)" xfId="887" xr:uid="{00000000-0005-0000-0000-000089290000}"/>
    <cellStyle name="표_수량산출서(수정)_02-배수공_토공" xfId="888" xr:uid="{00000000-0005-0000-0000-00008A290000}"/>
    <cellStyle name="표_수량산출서(수정)_02-배수공_토공_2.중곡빗물펌프장토공" xfId="889" xr:uid="{00000000-0005-0000-0000-00008B290000}"/>
    <cellStyle name="표_수량산출서(수정)_02-배수공_토공_세종대우회토공" xfId="890" xr:uid="{00000000-0005-0000-0000-00008C290000}"/>
    <cellStyle name="표_수량산출서(수정)_02-배수공_토공_오거리토공" xfId="891" xr:uid="{00000000-0005-0000-0000-00008D290000}"/>
    <cellStyle name="표_수량산출서(수정)_02-배수공_토공_중곡빗물펌프장토공" xfId="892" xr:uid="{00000000-0005-0000-0000-00008E290000}"/>
    <cellStyle name="표_수량산출서(수정)_02-배수공_토공_중곡빗물펌프장토공1" xfId="893" xr:uid="{00000000-0005-0000-0000-00008F290000}"/>
    <cellStyle name="표_수량산출서(수정)_02-배수공_토공_중곡펌프장토공1" xfId="894" xr:uid="{00000000-0005-0000-0000-000090290000}"/>
    <cellStyle name="표_수량산출서(수정)_02-배수공_토공_천호대로남측준공수량(토공)" xfId="895" xr:uid="{00000000-0005-0000-0000-000091290000}"/>
    <cellStyle name="표_수량산출서(수정)_02-배수공_토공_한국화장품토공" xfId="896" xr:uid="{00000000-0005-0000-0000-000092290000}"/>
    <cellStyle name="표_수량산출서(수정)_02-배수공_포장조서" xfId="897" xr:uid="{00000000-0005-0000-0000-000093290000}"/>
    <cellStyle name="표_수량산출서(수정)_02-배수공_포장조서_2.중곡빗물펌프장토공(BOX구간)" xfId="898" xr:uid="{00000000-0005-0000-0000-000094290000}"/>
    <cellStyle name="표_수량산출서(수정)_04-포장공_02-배수공" xfId="899" xr:uid="{00000000-0005-0000-0000-000095290000}"/>
    <cellStyle name="표_수량산출서(수정)_04-포장공_02-배수공_2.중곡빗물펌프장토공(BOX구간)" xfId="900" xr:uid="{00000000-0005-0000-0000-000096290000}"/>
    <cellStyle name="표_수량산출서(수정)_04-포장공_02-배수공_남측토공" xfId="901" xr:uid="{00000000-0005-0000-0000-000097290000}"/>
    <cellStyle name="표_수량산출서(수정)_04-포장공_02-배수공_남측토공_2.중곡빗물펌프장토공" xfId="902" xr:uid="{00000000-0005-0000-0000-000098290000}"/>
    <cellStyle name="표_수량산출서(수정)_04-포장공_02-배수공_남측토공_천호대로남측준공수량(토공)" xfId="903" xr:uid="{00000000-0005-0000-0000-000099290000}"/>
    <cellStyle name="표_수량산출서(수정)_04-포장공_02-배수공_토공" xfId="904" xr:uid="{00000000-0005-0000-0000-00009A290000}"/>
    <cellStyle name="표_수량산출서(수정)_04-포장공_02-배수공_토공_2.중곡빗물펌프장토공" xfId="905" xr:uid="{00000000-0005-0000-0000-00009B290000}"/>
    <cellStyle name="표_수량산출서(수정)_04-포장공_02-배수공_토공_세종대우회토공" xfId="906" xr:uid="{00000000-0005-0000-0000-00009C290000}"/>
    <cellStyle name="표_수량산출서(수정)_04-포장공_02-배수공_토공_오거리토공" xfId="907" xr:uid="{00000000-0005-0000-0000-00009D290000}"/>
    <cellStyle name="표_수량산출서(수정)_04-포장공_02-배수공_토공_중곡빗물펌프장토공" xfId="908" xr:uid="{00000000-0005-0000-0000-00009E290000}"/>
    <cellStyle name="표_수량산출서(수정)_04-포장공_02-배수공_토공_중곡빗물펌프장토공1" xfId="909" xr:uid="{00000000-0005-0000-0000-00009F290000}"/>
    <cellStyle name="표_수량산출서(수정)_04-포장공_02-배수공_토공_중곡펌프장토공1" xfId="910" xr:uid="{00000000-0005-0000-0000-0000A0290000}"/>
    <cellStyle name="표_수량산출서(수정)_04-포장공_02-배수공_토공_천호대로남측준공수량(토공)" xfId="911" xr:uid="{00000000-0005-0000-0000-0000A1290000}"/>
    <cellStyle name="표_수량산출서(수정)_04-포장공_02-배수공_토공_한국화장품토공" xfId="912" xr:uid="{00000000-0005-0000-0000-0000A2290000}"/>
    <cellStyle name="표_수량산출서(수정)_06-부대공_02-배수공" xfId="913" xr:uid="{00000000-0005-0000-0000-0000A3290000}"/>
    <cellStyle name="표_수량산출서(수정)_06-부대공_02-배수공_2.중곡빗물펌프장토공(BOX구간)" xfId="914" xr:uid="{00000000-0005-0000-0000-0000A4290000}"/>
    <cellStyle name="표_수량산출서(수정)_06-부대공_02-배수공_남측토공" xfId="915" xr:uid="{00000000-0005-0000-0000-0000A5290000}"/>
    <cellStyle name="표_수량산출서(수정)_06-부대공_02-배수공_남측토공_2.중곡빗물펌프장토공" xfId="916" xr:uid="{00000000-0005-0000-0000-0000A6290000}"/>
    <cellStyle name="표_수량산출서(수정)_06-부대공_02-배수공_남측토공_천호대로남측준공수량(토공)" xfId="917" xr:uid="{00000000-0005-0000-0000-0000A7290000}"/>
    <cellStyle name="표_수량산출서(수정)_06-부대공_02-배수공_토공" xfId="918" xr:uid="{00000000-0005-0000-0000-0000A8290000}"/>
    <cellStyle name="표_수량산출서(수정)_06-부대공_02-배수공_토공_2.중곡빗물펌프장토공" xfId="919" xr:uid="{00000000-0005-0000-0000-0000A9290000}"/>
    <cellStyle name="표_수량산출서(수정)_06-부대공_02-배수공_토공_세종대우회토공" xfId="920" xr:uid="{00000000-0005-0000-0000-0000AA290000}"/>
    <cellStyle name="표_수량산출서(수정)_06-부대공_02-배수공_토공_오거리토공" xfId="921" xr:uid="{00000000-0005-0000-0000-0000AB290000}"/>
    <cellStyle name="표_수량산출서(수정)_06-부대공_02-배수공_토공_중곡빗물펌프장토공" xfId="922" xr:uid="{00000000-0005-0000-0000-0000AC290000}"/>
    <cellStyle name="표_수량산출서(수정)_06-부대공_02-배수공_토공_중곡빗물펌프장토공1" xfId="923" xr:uid="{00000000-0005-0000-0000-0000AD290000}"/>
    <cellStyle name="표_수량산출서(수정)_06-부대공_02-배수공_토공_중곡펌프장토공1" xfId="924" xr:uid="{00000000-0005-0000-0000-0000AE290000}"/>
    <cellStyle name="표_수량산출서(수정)_06-부대공_02-배수공_토공_천호대로남측준공수량(토공)" xfId="925" xr:uid="{00000000-0005-0000-0000-0000AF290000}"/>
    <cellStyle name="표_수량산출서(수정)_06-부대공_02-배수공_토공_한국화장품토공" xfId="926" xr:uid="{00000000-0005-0000-0000-0000B0290000}"/>
    <cellStyle name="표_수량산출서(수정)_2.중곡빗물펌프장토공(BOX구간)" xfId="927" xr:uid="{00000000-0005-0000-0000-0000B1290000}"/>
    <cellStyle name="표_수량산출서(수정)_오수공" xfId="928" xr:uid="{00000000-0005-0000-0000-0000B2290000}"/>
    <cellStyle name="표_수량산출서(수정)_오수공_2.중곡빗물펌프장토공(BOX구간)" xfId="929" xr:uid="{00000000-0005-0000-0000-0000B3290000}"/>
    <cellStyle name="표_수량산출서(수정)_오수공_오수공" xfId="930" xr:uid="{00000000-0005-0000-0000-0000B4290000}"/>
    <cellStyle name="표_수량산출서(수정)_오수공_오수공_2.중곡빗물펌프장토공(BOX구간)" xfId="931" xr:uid="{00000000-0005-0000-0000-0000B5290000}"/>
    <cellStyle name="표_수량산출서(수정)_오수공_오수공1" xfId="932" xr:uid="{00000000-0005-0000-0000-0000B6290000}"/>
    <cellStyle name="표_수량산출서(수정)_오수공_오수공1_2.중곡빗물펌프장토공(BOX구간)" xfId="933" xr:uid="{00000000-0005-0000-0000-0000B7290000}"/>
    <cellStyle name="표_오수공" xfId="934" xr:uid="{00000000-0005-0000-0000-0000B8290000}"/>
    <cellStyle name="표_오수공_2.중곡빗물펌프장토공(BOX구간)" xfId="935" xr:uid="{00000000-0005-0000-0000-0000B9290000}"/>
    <cellStyle name="표_오수공_오수공" xfId="936" xr:uid="{00000000-0005-0000-0000-0000BA290000}"/>
    <cellStyle name="표_오수공_오수공_2.중곡빗물펌프장토공(BOX구간)" xfId="937" xr:uid="{00000000-0005-0000-0000-0000BB290000}"/>
    <cellStyle name="표_오수공_오수공1" xfId="938" xr:uid="{00000000-0005-0000-0000-0000BC290000}"/>
    <cellStyle name="표_오수공_오수공1_2.중곡빗물펌프장토공(BOX구간)" xfId="939" xr:uid="{00000000-0005-0000-0000-0000BD290000}"/>
    <cellStyle name="表示済みのハイパーリンク" xfId="1461" xr:uid="{00000000-0005-0000-0000-0000BE290000}"/>
    <cellStyle name="표준" xfId="0" builtinId="0"/>
    <cellStyle name="표준 10" xfId="10745" xr:uid="{00000000-0005-0000-0000-0000C0290000}"/>
    <cellStyle name="표준 11" xfId="5001" xr:uid="{00000000-0005-0000-0000-0000C1290000}"/>
    <cellStyle name="표준 11 2" xfId="5112" xr:uid="{00000000-0005-0000-0000-0000C2290000}"/>
    <cellStyle name="표준 12" xfId="5002" xr:uid="{00000000-0005-0000-0000-0000C3290000}"/>
    <cellStyle name="표준 13" xfId="10746" xr:uid="{00000000-0005-0000-0000-0000C4290000}"/>
    <cellStyle name="표준 14" xfId="10747" xr:uid="{00000000-0005-0000-0000-0000C5290000}"/>
    <cellStyle name="표준 14 3 2" xfId="10751" xr:uid="{00000000-0005-0000-0000-0000C6290000}"/>
    <cellStyle name="표준 15" xfId="5111" xr:uid="{00000000-0005-0000-0000-0000C7290000}"/>
    <cellStyle name="표준 16" xfId="5003" xr:uid="{00000000-0005-0000-0000-0000C8290000}"/>
    <cellStyle name="표준 17" xfId="5004" xr:uid="{00000000-0005-0000-0000-0000C9290000}"/>
    <cellStyle name="표준 18" xfId="5005" xr:uid="{00000000-0005-0000-0000-0000CA290000}"/>
    <cellStyle name="표준 2" xfId="1" xr:uid="{00000000-0005-0000-0000-0000CB290000}"/>
    <cellStyle name="표준 2 2" xfId="5006" xr:uid="{00000000-0005-0000-0000-0000CC290000}"/>
    <cellStyle name="표준 2 2 10 2" xfId="5108" xr:uid="{00000000-0005-0000-0000-0000CD290000}"/>
    <cellStyle name="표준 2 2 2" xfId="1462" xr:uid="{00000000-0005-0000-0000-0000CE290000}"/>
    <cellStyle name="표준 2 2 2 2" xfId="1463" xr:uid="{00000000-0005-0000-0000-0000CF290000}"/>
    <cellStyle name="표준 2 2 3" xfId="1464" xr:uid="{00000000-0005-0000-0000-0000D0290000}"/>
    <cellStyle name="표준 2 2 3 2" xfId="10749" xr:uid="{00000000-0005-0000-0000-0000D1290000}"/>
    <cellStyle name="표준 2 2 4" xfId="5007" xr:uid="{00000000-0005-0000-0000-0000D2290000}"/>
    <cellStyle name="표준 2 3" xfId="1465" xr:uid="{00000000-0005-0000-0000-0000D3290000}"/>
    <cellStyle name="표준 2 3 2" xfId="5008" xr:uid="{00000000-0005-0000-0000-0000D4290000}"/>
    <cellStyle name="표준 2 4" xfId="1466" xr:uid="{00000000-0005-0000-0000-0000D5290000}"/>
    <cellStyle name="표준 2 4 2" xfId="5009" xr:uid="{00000000-0005-0000-0000-0000D6290000}"/>
    <cellStyle name="표준 2 5" xfId="5010" xr:uid="{00000000-0005-0000-0000-0000D7290000}"/>
    <cellStyle name="표준 2 6" xfId="5011" xr:uid="{00000000-0005-0000-0000-0000D8290000}"/>
    <cellStyle name="표준 2 7" xfId="5012" xr:uid="{00000000-0005-0000-0000-0000D9290000}"/>
    <cellStyle name="표준 23" xfId="5013" xr:uid="{00000000-0005-0000-0000-0000DA290000}"/>
    <cellStyle name="표준 26" xfId="5014" xr:uid="{00000000-0005-0000-0000-0000DB290000}"/>
    <cellStyle name="표준 27" xfId="5105" xr:uid="{00000000-0005-0000-0000-0000DC290000}"/>
    <cellStyle name="표준 27 2" xfId="10740" xr:uid="{00000000-0005-0000-0000-0000DD290000}"/>
    <cellStyle name="표준 27 2 2" xfId="5107" xr:uid="{00000000-0005-0000-0000-0000DE290000}"/>
    <cellStyle name="표준 3" xfId="976" xr:uid="{00000000-0005-0000-0000-0000DF290000}"/>
    <cellStyle name="표준 3 2" xfId="1467" xr:uid="{00000000-0005-0000-0000-0000E0290000}"/>
    <cellStyle name="표준 3 2 2" xfId="5015" xr:uid="{00000000-0005-0000-0000-0000E1290000}"/>
    <cellStyle name="표준 3 2 2 2" xfId="5016" xr:uid="{00000000-0005-0000-0000-0000E2290000}"/>
    <cellStyle name="표준 4" xfId="5017" xr:uid="{00000000-0005-0000-0000-0000E3290000}"/>
    <cellStyle name="표준 5" xfId="5018" xr:uid="{00000000-0005-0000-0000-0000E4290000}"/>
    <cellStyle name="표준 5 2" xfId="5110" xr:uid="{00000000-0005-0000-0000-0000E5290000}"/>
    <cellStyle name="표준 6" xfId="5019" xr:uid="{00000000-0005-0000-0000-0000E6290000}"/>
    <cellStyle name="표준 7" xfId="5103" xr:uid="{00000000-0005-0000-0000-0000E7290000}"/>
    <cellStyle name="표준 8" xfId="10742" xr:uid="{00000000-0005-0000-0000-0000E8290000}"/>
    <cellStyle name="표준 9" xfId="10744" xr:uid="{00000000-0005-0000-0000-0000E9290000}"/>
    <cellStyle name="標準_’９７アウトドアツールフェア" xfId="1468" xr:uid="{00000000-0005-0000-0000-0000EA290000}"/>
    <cellStyle name="표준_석촌동 기성내역" xfId="10748" xr:uid="{00000000-0005-0000-0000-0000EC290000}"/>
    <cellStyle name="표준_설계내역서" xfId="10743" xr:uid="{00000000-0005-0000-0000-0000ED290000}"/>
    <cellStyle name="표준_예산서" xfId="10741" xr:uid="{00000000-0005-0000-0000-0000EE290000}"/>
    <cellStyle name="표준1" xfId="1469" xr:uid="{00000000-0005-0000-0000-0000EF290000}"/>
    <cellStyle name="표준10" xfId="5020" xr:uid="{00000000-0005-0000-0000-0000F0290000}"/>
    <cellStyle name="표준2" xfId="1470" xr:uid="{00000000-0005-0000-0000-0000F1290000}"/>
    <cellStyle name="표준2 2" xfId="2351" xr:uid="{00000000-0005-0000-0000-0000F2290000}"/>
    <cellStyle name="표준℘Sheet8 (3)" xfId="5021" xr:uid="{00000000-0005-0000-0000-0000F3290000}"/>
    <cellStyle name="합산" xfId="940" xr:uid="{00000000-0005-0000-0000-0000F4290000}"/>
    <cellStyle name="합산 2" xfId="1471" xr:uid="{00000000-0005-0000-0000-0000F5290000}"/>
    <cellStyle name="합산 2 2" xfId="2352" xr:uid="{00000000-0005-0000-0000-0000F6290000}"/>
    <cellStyle name="桁区切り [0.00]_競合状況" xfId="1472" xr:uid="{00000000-0005-0000-0000-0000F7290000}"/>
    <cellStyle name="桁区切り_競合状況" xfId="1473" xr:uid="{00000000-0005-0000-0000-0000F8290000}"/>
    <cellStyle name="화폐기호" xfId="941" xr:uid="{00000000-0005-0000-0000-0000F9290000}"/>
    <cellStyle name="화폐기호 2" xfId="1474" xr:uid="{00000000-0005-0000-0000-0000FA290000}"/>
    <cellStyle name="화폐기호 2 2" xfId="1475" xr:uid="{00000000-0005-0000-0000-0000FB290000}"/>
    <cellStyle name="화폐기호 3" xfId="1476" xr:uid="{00000000-0005-0000-0000-0000FC290000}"/>
    <cellStyle name="화폐기호 4" xfId="2353" xr:uid="{00000000-0005-0000-0000-0000FD290000}"/>
    <cellStyle name="화폐기호0" xfId="942" xr:uid="{00000000-0005-0000-0000-0000FE290000}"/>
    <cellStyle name="화폐기호0 2" xfId="1477" xr:uid="{00000000-0005-0000-0000-0000FF290000}"/>
    <cellStyle name="화폐기호0 2 2" xfId="1478" xr:uid="{00000000-0005-0000-0000-0000002A0000}"/>
    <cellStyle name="화폐기호0 3" xfId="1479" xr:uid="{00000000-0005-0000-0000-0000012A0000}"/>
    <cellStyle name="화폐기호0 4" xfId="2354" xr:uid="{00000000-0005-0000-0000-0000022A0000}"/>
  </cellStyles>
  <dxfs count="0"/>
  <tableStyles count="0" defaultTableStyle="TableStyleMedium9" defaultPivotStyle="PivotStyleLight16"/>
  <colors>
    <mruColors>
      <color rgb="FFF9B277"/>
      <color rgb="FFF79443"/>
      <color rgb="FFF8A764"/>
      <color rgb="FFFABA86"/>
      <color rgb="FFCCFFFF"/>
      <color rgb="FFFFFFCC"/>
      <color rgb="FF00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8.xml"/><Relationship Id="rId47" Type="http://schemas.openxmlformats.org/officeDocument/2006/relationships/externalLink" Target="externalLinks/externalLink23.xml"/><Relationship Id="rId63" Type="http://schemas.openxmlformats.org/officeDocument/2006/relationships/externalLink" Target="externalLinks/externalLink39.xml"/><Relationship Id="rId68" Type="http://schemas.openxmlformats.org/officeDocument/2006/relationships/externalLink" Target="externalLinks/externalLink44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8.xml"/><Relationship Id="rId37" Type="http://schemas.openxmlformats.org/officeDocument/2006/relationships/externalLink" Target="externalLinks/externalLink13.xml"/><Relationship Id="rId53" Type="http://schemas.openxmlformats.org/officeDocument/2006/relationships/externalLink" Target="externalLinks/externalLink29.xml"/><Relationship Id="rId58" Type="http://schemas.openxmlformats.org/officeDocument/2006/relationships/externalLink" Target="externalLinks/externalLink34.xml"/><Relationship Id="rId74" Type="http://schemas.openxmlformats.org/officeDocument/2006/relationships/externalLink" Target="externalLinks/externalLink50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37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externalLink" Target="externalLinks/externalLink11.xml"/><Relationship Id="rId43" Type="http://schemas.openxmlformats.org/officeDocument/2006/relationships/externalLink" Target="externalLinks/externalLink19.xml"/><Relationship Id="rId48" Type="http://schemas.openxmlformats.org/officeDocument/2006/relationships/externalLink" Target="externalLinks/externalLink24.xml"/><Relationship Id="rId56" Type="http://schemas.openxmlformats.org/officeDocument/2006/relationships/externalLink" Target="externalLinks/externalLink32.xml"/><Relationship Id="rId64" Type="http://schemas.openxmlformats.org/officeDocument/2006/relationships/externalLink" Target="externalLinks/externalLink40.xml"/><Relationship Id="rId69" Type="http://schemas.openxmlformats.org/officeDocument/2006/relationships/externalLink" Target="externalLinks/externalLink45.xml"/><Relationship Id="rId77" Type="http://schemas.openxmlformats.org/officeDocument/2006/relationships/externalLink" Target="externalLinks/externalLink53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7.xml"/><Relationship Id="rId72" Type="http://schemas.openxmlformats.org/officeDocument/2006/relationships/externalLink" Target="externalLinks/externalLink48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externalLink" Target="externalLinks/externalLink9.xml"/><Relationship Id="rId38" Type="http://schemas.openxmlformats.org/officeDocument/2006/relationships/externalLink" Target="externalLinks/externalLink14.xml"/><Relationship Id="rId46" Type="http://schemas.openxmlformats.org/officeDocument/2006/relationships/externalLink" Target="externalLinks/externalLink22.xml"/><Relationship Id="rId59" Type="http://schemas.openxmlformats.org/officeDocument/2006/relationships/externalLink" Target="externalLinks/externalLink35.xml"/><Relationship Id="rId67" Type="http://schemas.openxmlformats.org/officeDocument/2006/relationships/externalLink" Target="externalLinks/externalLink43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7.xml"/><Relationship Id="rId54" Type="http://schemas.openxmlformats.org/officeDocument/2006/relationships/externalLink" Target="externalLinks/externalLink30.xml"/><Relationship Id="rId62" Type="http://schemas.openxmlformats.org/officeDocument/2006/relationships/externalLink" Target="externalLinks/externalLink38.xml"/><Relationship Id="rId70" Type="http://schemas.openxmlformats.org/officeDocument/2006/relationships/externalLink" Target="externalLinks/externalLink46.xml"/><Relationship Id="rId75" Type="http://schemas.openxmlformats.org/officeDocument/2006/relationships/externalLink" Target="externalLinks/externalLink5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externalLink" Target="externalLinks/externalLink12.xml"/><Relationship Id="rId49" Type="http://schemas.openxmlformats.org/officeDocument/2006/relationships/externalLink" Target="externalLinks/externalLink25.xml"/><Relationship Id="rId57" Type="http://schemas.openxmlformats.org/officeDocument/2006/relationships/externalLink" Target="externalLinks/externalLink33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7.xml"/><Relationship Id="rId44" Type="http://schemas.openxmlformats.org/officeDocument/2006/relationships/externalLink" Target="externalLinks/externalLink20.xml"/><Relationship Id="rId52" Type="http://schemas.openxmlformats.org/officeDocument/2006/relationships/externalLink" Target="externalLinks/externalLink28.xml"/><Relationship Id="rId60" Type="http://schemas.openxmlformats.org/officeDocument/2006/relationships/externalLink" Target="externalLinks/externalLink36.xml"/><Relationship Id="rId65" Type="http://schemas.openxmlformats.org/officeDocument/2006/relationships/externalLink" Target="externalLinks/externalLink41.xml"/><Relationship Id="rId73" Type="http://schemas.openxmlformats.org/officeDocument/2006/relationships/externalLink" Target="externalLinks/externalLink49.xml"/><Relationship Id="rId78" Type="http://schemas.openxmlformats.org/officeDocument/2006/relationships/theme" Target="theme/theme1.xml"/><Relationship Id="rId8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10.xml"/><Relationship Id="rId50" Type="http://schemas.openxmlformats.org/officeDocument/2006/relationships/externalLink" Target="externalLinks/externalLink26.xml"/><Relationship Id="rId55" Type="http://schemas.openxmlformats.org/officeDocument/2006/relationships/externalLink" Target="externalLinks/externalLink31.xml"/><Relationship Id="rId76" Type="http://schemas.openxmlformats.org/officeDocument/2006/relationships/externalLink" Target="externalLinks/externalLink52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7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5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16.xml"/><Relationship Id="rId45" Type="http://schemas.openxmlformats.org/officeDocument/2006/relationships/externalLink" Target="externalLinks/externalLink21.xml"/><Relationship Id="rId66" Type="http://schemas.openxmlformats.org/officeDocument/2006/relationships/externalLink" Target="externalLinks/externalLink4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323851</xdr:colOff>
      <xdr:row>93</xdr:row>
      <xdr:rowOff>180974</xdr:rowOff>
    </xdr:from>
    <xdr:to>
      <xdr:col>12</xdr:col>
      <xdr:colOff>31782</xdr:colOff>
      <xdr:row>108</xdr:row>
      <xdr:rowOff>38616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1" y="16630649"/>
          <a:ext cx="3279806" cy="2572267"/>
        </a:xfrm>
        <a:prstGeom prst="rect">
          <a:avLst/>
        </a:prstGeom>
      </xdr:spPr>
    </xdr:pic>
    <xdr:clientData/>
  </xdr:twoCellAnchor>
  <xdr:twoCellAnchor editAs="oneCell">
    <xdr:from>
      <xdr:col>3</xdr:col>
      <xdr:colOff>333375</xdr:colOff>
      <xdr:row>7</xdr:row>
      <xdr:rowOff>9525</xdr:rowOff>
    </xdr:from>
    <xdr:to>
      <xdr:col>11</xdr:col>
      <xdr:colOff>47625</xdr:colOff>
      <xdr:row>16</xdr:row>
      <xdr:rowOff>85725</xdr:rowOff>
    </xdr:to>
    <xdr:pic>
      <xdr:nvPicPr>
        <xdr:cNvPr id="11499" name="Picture 1">
          <a:extLst>
            <a:ext uri="{FF2B5EF4-FFF2-40B4-BE49-F238E27FC236}">
              <a16:creationId xmlns:a16="http://schemas.microsoft.com/office/drawing/2014/main" id="{00000000-0008-0000-0E00-0000EB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19225" y="56807100"/>
          <a:ext cx="1704975" cy="14763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</xdr:colOff>
      <xdr:row>20</xdr:row>
      <xdr:rowOff>66675</xdr:rowOff>
    </xdr:from>
    <xdr:to>
      <xdr:col>11</xdr:col>
      <xdr:colOff>371475</xdr:colOff>
      <xdr:row>29</xdr:row>
      <xdr:rowOff>85725</xdr:rowOff>
    </xdr:to>
    <xdr:pic>
      <xdr:nvPicPr>
        <xdr:cNvPr id="11500" name="Picture 2">
          <a:extLst>
            <a:ext uri="{FF2B5EF4-FFF2-40B4-BE49-F238E27FC236}">
              <a16:creationId xmlns:a16="http://schemas.microsoft.com/office/drawing/2014/main" id="{00000000-0008-0000-0E00-0000EC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04900" y="58931175"/>
          <a:ext cx="2343150" cy="15335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3</xdr:col>
      <xdr:colOff>333375</xdr:colOff>
      <xdr:row>42</xdr:row>
      <xdr:rowOff>9525</xdr:rowOff>
    </xdr:from>
    <xdr:to>
      <xdr:col>11</xdr:col>
      <xdr:colOff>47625</xdr:colOff>
      <xdr:row>51</xdr:row>
      <xdr:rowOff>85725</xdr:rowOff>
    </xdr:to>
    <xdr:pic>
      <xdr:nvPicPr>
        <xdr:cNvPr id="11501" name="Picture 1">
          <a:extLst>
            <a:ext uri="{FF2B5EF4-FFF2-40B4-BE49-F238E27FC236}">
              <a16:creationId xmlns:a16="http://schemas.microsoft.com/office/drawing/2014/main" id="{00000000-0008-0000-0E00-0000ED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19225" y="62950725"/>
          <a:ext cx="1704975" cy="14763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</xdr:colOff>
      <xdr:row>55</xdr:row>
      <xdr:rowOff>66675</xdr:rowOff>
    </xdr:from>
    <xdr:to>
      <xdr:col>11</xdr:col>
      <xdr:colOff>371475</xdr:colOff>
      <xdr:row>64</xdr:row>
      <xdr:rowOff>85725</xdr:rowOff>
    </xdr:to>
    <xdr:pic>
      <xdr:nvPicPr>
        <xdr:cNvPr id="11502" name="Picture 2">
          <a:extLst>
            <a:ext uri="{FF2B5EF4-FFF2-40B4-BE49-F238E27FC236}">
              <a16:creationId xmlns:a16="http://schemas.microsoft.com/office/drawing/2014/main" id="{00000000-0008-0000-0E00-0000EE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04900" y="65074800"/>
          <a:ext cx="2343150" cy="15335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381000</xdr:colOff>
      <xdr:row>72</xdr:row>
      <xdr:rowOff>104775</xdr:rowOff>
    </xdr:from>
    <xdr:to>
      <xdr:col>12</xdr:col>
      <xdr:colOff>0</xdr:colOff>
      <xdr:row>88</xdr:row>
      <xdr:rowOff>38100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1000" y="12753975"/>
          <a:ext cx="3190875" cy="282892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9</xdr:col>
      <xdr:colOff>142875</xdr:colOff>
      <xdr:row>79</xdr:row>
      <xdr:rowOff>142875</xdr:rowOff>
    </xdr:from>
    <xdr:to>
      <xdr:col>11</xdr:col>
      <xdr:colOff>276926</xdr:colOff>
      <xdr:row>80</xdr:row>
      <xdr:rowOff>180751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SpPr txBox="1"/>
      </xdr:nvSpPr>
      <xdr:spPr>
        <a:xfrm>
          <a:off x="2762250" y="14058900"/>
          <a:ext cx="591251" cy="2188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altLang="ko-KR" sz="1100" b="1">
              <a:latin typeface="+mj-ea"/>
              <a:ea typeface="+mj-ea"/>
            </a:rPr>
            <a:t>1m</a:t>
          </a:r>
          <a:endParaRPr lang="ko-KR" altLang="en-US" sz="1100" b="1"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104776</xdr:colOff>
      <xdr:row>76</xdr:row>
      <xdr:rowOff>66675</xdr:rowOff>
    </xdr:from>
    <xdr:to>
      <xdr:col>11</xdr:col>
      <xdr:colOff>457200</xdr:colOff>
      <xdr:row>77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SpPr txBox="1"/>
      </xdr:nvSpPr>
      <xdr:spPr>
        <a:xfrm>
          <a:off x="2724151" y="13439775"/>
          <a:ext cx="809624" cy="114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ko-KR" altLang="en-US" sz="600" b="1">
              <a:latin typeface="+mj-ea"/>
              <a:ea typeface="+mj-ea"/>
            </a:rPr>
            <a:t>콘크리트가공블록</a:t>
          </a:r>
        </a:p>
      </xdr:txBody>
    </xdr:sp>
    <xdr:clientData/>
  </xdr:twoCellAnchor>
  <xdr:twoCellAnchor>
    <xdr:from>
      <xdr:col>7</xdr:col>
      <xdr:colOff>142875</xdr:colOff>
      <xdr:row>82</xdr:row>
      <xdr:rowOff>171450</xdr:rowOff>
    </xdr:from>
    <xdr:to>
      <xdr:col>9</xdr:col>
      <xdr:colOff>161925</xdr:colOff>
      <xdr:row>84</xdr:row>
      <xdr:rowOff>76200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SpPr txBox="1"/>
      </xdr:nvSpPr>
      <xdr:spPr>
        <a:xfrm>
          <a:off x="2162175" y="14630400"/>
          <a:ext cx="619125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altLang="ko-KR" sz="1100" b="1">
              <a:latin typeface="+mj-ea"/>
              <a:ea typeface="+mj-ea"/>
            </a:rPr>
            <a:t>0.5m</a:t>
          </a:r>
          <a:endParaRPr lang="ko-KR" altLang="en-US" sz="1100" b="1">
            <a:latin typeface="+mj-ea"/>
            <a:ea typeface="+mj-ea"/>
          </a:endParaRPr>
        </a:p>
      </xdr:txBody>
    </xdr:sp>
    <xdr:clientData/>
  </xdr:twoCellAnchor>
  <xdr:twoCellAnchor>
    <xdr:from>
      <xdr:col>0</xdr:col>
      <xdr:colOff>219075</xdr:colOff>
      <xdr:row>97</xdr:row>
      <xdr:rowOff>9526</xdr:rowOff>
    </xdr:from>
    <xdr:to>
      <xdr:col>1</xdr:col>
      <xdr:colOff>238125</xdr:colOff>
      <xdr:row>98</xdr:row>
      <xdr:rowOff>19051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SpPr txBox="1"/>
      </xdr:nvSpPr>
      <xdr:spPr>
        <a:xfrm>
          <a:off x="219075" y="17183101"/>
          <a:ext cx="600075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altLang="ko-KR" sz="1100" b="1">
              <a:latin typeface="+mj-ea"/>
              <a:ea typeface="+mj-ea"/>
            </a:rPr>
            <a:t>0.2m</a:t>
          </a:r>
        </a:p>
      </xdr:txBody>
    </xdr:sp>
    <xdr:clientData/>
  </xdr:twoCellAnchor>
  <xdr:twoCellAnchor>
    <xdr:from>
      <xdr:col>7</xdr:col>
      <xdr:colOff>228600</xdr:colOff>
      <xdr:row>100</xdr:row>
      <xdr:rowOff>76201</xdr:rowOff>
    </xdr:from>
    <xdr:to>
      <xdr:col>9</xdr:col>
      <xdr:colOff>228600</xdr:colOff>
      <xdr:row>101</xdr:row>
      <xdr:rowOff>85726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E00-00002B000000}"/>
            </a:ext>
          </a:extLst>
        </xdr:cNvPr>
        <xdr:cNvSpPr txBox="1"/>
      </xdr:nvSpPr>
      <xdr:spPr>
        <a:xfrm>
          <a:off x="2247900" y="17792701"/>
          <a:ext cx="600075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altLang="ko-KR" sz="1100" b="1">
              <a:latin typeface="+mj-ea"/>
              <a:ea typeface="+mj-ea"/>
            </a:rPr>
            <a:t>0.7m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6</xdr:row>
      <xdr:rowOff>85725</xdr:rowOff>
    </xdr:from>
    <xdr:to>
      <xdr:col>5</xdr:col>
      <xdr:colOff>190500</xdr:colOff>
      <xdr:row>6</xdr:row>
      <xdr:rowOff>85725</xdr:rowOff>
    </xdr:to>
    <xdr:sp macro="" textlink="">
      <xdr:nvSpPr>
        <xdr:cNvPr id="15831" name="Line 3">
          <a:extLst>
            <a:ext uri="{FF2B5EF4-FFF2-40B4-BE49-F238E27FC236}">
              <a16:creationId xmlns:a16="http://schemas.microsoft.com/office/drawing/2014/main" id="{00000000-0008-0000-0F00-0000D73D0000}"/>
            </a:ext>
          </a:extLst>
        </xdr:cNvPr>
        <xdr:cNvSpPr>
          <a:spLocks noChangeShapeType="1"/>
        </xdr:cNvSpPr>
      </xdr:nvSpPr>
      <xdr:spPr bwMode="auto">
        <a:xfrm>
          <a:off x="896335" y="1583449"/>
          <a:ext cx="378044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9525</xdr:colOff>
      <xdr:row>6</xdr:row>
      <xdr:rowOff>85725</xdr:rowOff>
    </xdr:from>
    <xdr:to>
      <xdr:col>9</xdr:col>
      <xdr:colOff>171450</xdr:colOff>
      <xdr:row>6</xdr:row>
      <xdr:rowOff>85725</xdr:rowOff>
    </xdr:to>
    <xdr:sp macro="" textlink="">
      <xdr:nvSpPr>
        <xdr:cNvPr id="15832" name="Line 4">
          <a:extLst>
            <a:ext uri="{FF2B5EF4-FFF2-40B4-BE49-F238E27FC236}">
              <a16:creationId xmlns:a16="http://schemas.microsoft.com/office/drawing/2014/main" id="{00000000-0008-0000-0F00-0000D83D0000}"/>
            </a:ext>
          </a:extLst>
        </xdr:cNvPr>
        <xdr:cNvSpPr>
          <a:spLocks noChangeShapeType="1"/>
        </xdr:cNvSpPr>
      </xdr:nvSpPr>
      <xdr:spPr bwMode="auto">
        <a:xfrm>
          <a:off x="1800225" y="1143000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9525</xdr:colOff>
      <xdr:row>234</xdr:row>
      <xdr:rowOff>0</xdr:rowOff>
    </xdr:from>
    <xdr:to>
      <xdr:col>5</xdr:col>
      <xdr:colOff>190500</xdr:colOff>
      <xdr:row>234</xdr:row>
      <xdr:rowOff>0</xdr:rowOff>
    </xdr:to>
    <xdr:sp macro="" textlink="">
      <xdr:nvSpPr>
        <xdr:cNvPr id="15833" name="Line 5">
          <a:extLst>
            <a:ext uri="{FF2B5EF4-FFF2-40B4-BE49-F238E27FC236}">
              <a16:creationId xmlns:a16="http://schemas.microsoft.com/office/drawing/2014/main" id="{00000000-0008-0000-0F00-0000D93D0000}"/>
            </a:ext>
          </a:extLst>
        </xdr:cNvPr>
        <xdr:cNvSpPr>
          <a:spLocks noChangeShapeType="1"/>
        </xdr:cNvSpPr>
      </xdr:nvSpPr>
      <xdr:spPr bwMode="auto">
        <a:xfrm>
          <a:off x="904875" y="42310050"/>
          <a:ext cx="381000" cy="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8</xdr:col>
      <xdr:colOff>9525</xdr:colOff>
      <xdr:row>234</xdr:row>
      <xdr:rowOff>0</xdr:rowOff>
    </xdr:from>
    <xdr:to>
      <xdr:col>9</xdr:col>
      <xdr:colOff>171450</xdr:colOff>
      <xdr:row>234</xdr:row>
      <xdr:rowOff>0</xdr:rowOff>
    </xdr:to>
    <xdr:sp macro="" textlink="">
      <xdr:nvSpPr>
        <xdr:cNvPr id="15834" name="Line 6">
          <a:extLst>
            <a:ext uri="{FF2B5EF4-FFF2-40B4-BE49-F238E27FC236}">
              <a16:creationId xmlns:a16="http://schemas.microsoft.com/office/drawing/2014/main" id="{00000000-0008-0000-0F00-0000DA3D0000}"/>
            </a:ext>
          </a:extLst>
        </xdr:cNvPr>
        <xdr:cNvSpPr>
          <a:spLocks noChangeShapeType="1"/>
        </xdr:cNvSpPr>
      </xdr:nvSpPr>
      <xdr:spPr bwMode="auto">
        <a:xfrm>
          <a:off x="1800225" y="42310050"/>
          <a:ext cx="361950" cy="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4</xdr:col>
      <xdr:colOff>9525</xdr:colOff>
      <xdr:row>234</xdr:row>
      <xdr:rowOff>0</xdr:rowOff>
    </xdr:from>
    <xdr:to>
      <xdr:col>5</xdr:col>
      <xdr:colOff>190500</xdr:colOff>
      <xdr:row>234</xdr:row>
      <xdr:rowOff>0</xdr:rowOff>
    </xdr:to>
    <xdr:sp macro="" textlink="">
      <xdr:nvSpPr>
        <xdr:cNvPr id="15835" name="Line 7">
          <a:extLst>
            <a:ext uri="{FF2B5EF4-FFF2-40B4-BE49-F238E27FC236}">
              <a16:creationId xmlns:a16="http://schemas.microsoft.com/office/drawing/2014/main" id="{00000000-0008-0000-0F00-0000DB3D0000}"/>
            </a:ext>
          </a:extLst>
        </xdr:cNvPr>
        <xdr:cNvSpPr>
          <a:spLocks noChangeShapeType="1"/>
        </xdr:cNvSpPr>
      </xdr:nvSpPr>
      <xdr:spPr bwMode="auto">
        <a:xfrm>
          <a:off x="904875" y="42310050"/>
          <a:ext cx="381000" cy="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8</xdr:col>
      <xdr:colOff>9525</xdr:colOff>
      <xdr:row>234</xdr:row>
      <xdr:rowOff>0</xdr:rowOff>
    </xdr:from>
    <xdr:to>
      <xdr:col>9</xdr:col>
      <xdr:colOff>171450</xdr:colOff>
      <xdr:row>234</xdr:row>
      <xdr:rowOff>0</xdr:rowOff>
    </xdr:to>
    <xdr:sp macro="" textlink="">
      <xdr:nvSpPr>
        <xdr:cNvPr id="15836" name="Line 8">
          <a:extLst>
            <a:ext uri="{FF2B5EF4-FFF2-40B4-BE49-F238E27FC236}">
              <a16:creationId xmlns:a16="http://schemas.microsoft.com/office/drawing/2014/main" id="{00000000-0008-0000-0F00-0000DC3D0000}"/>
            </a:ext>
          </a:extLst>
        </xdr:cNvPr>
        <xdr:cNvSpPr>
          <a:spLocks noChangeShapeType="1"/>
        </xdr:cNvSpPr>
      </xdr:nvSpPr>
      <xdr:spPr bwMode="auto">
        <a:xfrm>
          <a:off x="1800225" y="42310050"/>
          <a:ext cx="361950" cy="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4</xdr:col>
      <xdr:colOff>9525</xdr:colOff>
      <xdr:row>234</xdr:row>
      <xdr:rowOff>0</xdr:rowOff>
    </xdr:from>
    <xdr:to>
      <xdr:col>5</xdr:col>
      <xdr:colOff>190500</xdr:colOff>
      <xdr:row>234</xdr:row>
      <xdr:rowOff>0</xdr:rowOff>
    </xdr:to>
    <xdr:sp macro="" textlink="">
      <xdr:nvSpPr>
        <xdr:cNvPr id="15837" name="Line 9">
          <a:extLst>
            <a:ext uri="{FF2B5EF4-FFF2-40B4-BE49-F238E27FC236}">
              <a16:creationId xmlns:a16="http://schemas.microsoft.com/office/drawing/2014/main" id="{00000000-0008-0000-0F00-0000DD3D0000}"/>
            </a:ext>
          </a:extLst>
        </xdr:cNvPr>
        <xdr:cNvSpPr>
          <a:spLocks noChangeShapeType="1"/>
        </xdr:cNvSpPr>
      </xdr:nvSpPr>
      <xdr:spPr bwMode="auto">
        <a:xfrm>
          <a:off x="904875" y="42310050"/>
          <a:ext cx="381000" cy="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8</xdr:col>
      <xdr:colOff>9525</xdr:colOff>
      <xdr:row>234</xdr:row>
      <xdr:rowOff>0</xdr:rowOff>
    </xdr:from>
    <xdr:to>
      <xdr:col>9</xdr:col>
      <xdr:colOff>171450</xdr:colOff>
      <xdr:row>234</xdr:row>
      <xdr:rowOff>0</xdr:rowOff>
    </xdr:to>
    <xdr:sp macro="" textlink="">
      <xdr:nvSpPr>
        <xdr:cNvPr id="15838" name="Line 10">
          <a:extLst>
            <a:ext uri="{FF2B5EF4-FFF2-40B4-BE49-F238E27FC236}">
              <a16:creationId xmlns:a16="http://schemas.microsoft.com/office/drawing/2014/main" id="{00000000-0008-0000-0F00-0000DE3D0000}"/>
            </a:ext>
          </a:extLst>
        </xdr:cNvPr>
        <xdr:cNvSpPr>
          <a:spLocks noChangeShapeType="1"/>
        </xdr:cNvSpPr>
      </xdr:nvSpPr>
      <xdr:spPr bwMode="auto">
        <a:xfrm>
          <a:off x="1800225" y="42310050"/>
          <a:ext cx="361950" cy="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8</xdr:col>
      <xdr:colOff>9525</xdr:colOff>
      <xdr:row>234</xdr:row>
      <xdr:rowOff>0</xdr:rowOff>
    </xdr:from>
    <xdr:to>
      <xdr:col>9</xdr:col>
      <xdr:colOff>171450</xdr:colOff>
      <xdr:row>234</xdr:row>
      <xdr:rowOff>0</xdr:rowOff>
    </xdr:to>
    <xdr:sp macro="" textlink="">
      <xdr:nvSpPr>
        <xdr:cNvPr id="15839" name="Line 11">
          <a:extLst>
            <a:ext uri="{FF2B5EF4-FFF2-40B4-BE49-F238E27FC236}">
              <a16:creationId xmlns:a16="http://schemas.microsoft.com/office/drawing/2014/main" id="{00000000-0008-0000-0F00-0000DF3D0000}"/>
            </a:ext>
          </a:extLst>
        </xdr:cNvPr>
        <xdr:cNvSpPr>
          <a:spLocks noChangeShapeType="1"/>
        </xdr:cNvSpPr>
      </xdr:nvSpPr>
      <xdr:spPr bwMode="auto">
        <a:xfrm>
          <a:off x="1800225" y="42310050"/>
          <a:ext cx="361950" cy="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4</xdr:col>
      <xdr:colOff>9525</xdr:colOff>
      <xdr:row>234</xdr:row>
      <xdr:rowOff>0</xdr:rowOff>
    </xdr:from>
    <xdr:to>
      <xdr:col>5</xdr:col>
      <xdr:colOff>190500</xdr:colOff>
      <xdr:row>234</xdr:row>
      <xdr:rowOff>0</xdr:rowOff>
    </xdr:to>
    <xdr:sp macro="" textlink="">
      <xdr:nvSpPr>
        <xdr:cNvPr id="15840" name="Line 12">
          <a:extLst>
            <a:ext uri="{FF2B5EF4-FFF2-40B4-BE49-F238E27FC236}">
              <a16:creationId xmlns:a16="http://schemas.microsoft.com/office/drawing/2014/main" id="{00000000-0008-0000-0F00-0000E03D0000}"/>
            </a:ext>
          </a:extLst>
        </xdr:cNvPr>
        <xdr:cNvSpPr>
          <a:spLocks noChangeShapeType="1"/>
        </xdr:cNvSpPr>
      </xdr:nvSpPr>
      <xdr:spPr bwMode="auto">
        <a:xfrm>
          <a:off x="904875" y="42310050"/>
          <a:ext cx="381000" cy="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4</xdr:col>
      <xdr:colOff>9525</xdr:colOff>
      <xdr:row>111</xdr:row>
      <xdr:rowOff>85725</xdr:rowOff>
    </xdr:from>
    <xdr:to>
      <xdr:col>5</xdr:col>
      <xdr:colOff>190500</xdr:colOff>
      <xdr:row>111</xdr:row>
      <xdr:rowOff>85725</xdr:rowOff>
    </xdr:to>
    <xdr:sp macro="" textlink="">
      <xdr:nvSpPr>
        <xdr:cNvPr id="15853" name="Line 25">
          <a:extLst>
            <a:ext uri="{FF2B5EF4-FFF2-40B4-BE49-F238E27FC236}">
              <a16:creationId xmlns:a16="http://schemas.microsoft.com/office/drawing/2014/main" id="{00000000-0008-0000-0F00-0000ED3D0000}"/>
            </a:ext>
          </a:extLst>
        </xdr:cNvPr>
        <xdr:cNvSpPr>
          <a:spLocks noChangeShapeType="1"/>
        </xdr:cNvSpPr>
      </xdr:nvSpPr>
      <xdr:spPr bwMode="auto">
        <a:xfrm>
          <a:off x="904875" y="20431125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9525</xdr:colOff>
      <xdr:row>111</xdr:row>
      <xdr:rowOff>85725</xdr:rowOff>
    </xdr:from>
    <xdr:to>
      <xdr:col>9</xdr:col>
      <xdr:colOff>171450</xdr:colOff>
      <xdr:row>111</xdr:row>
      <xdr:rowOff>85725</xdr:rowOff>
    </xdr:to>
    <xdr:sp macro="" textlink="">
      <xdr:nvSpPr>
        <xdr:cNvPr id="15854" name="Line 26">
          <a:extLst>
            <a:ext uri="{FF2B5EF4-FFF2-40B4-BE49-F238E27FC236}">
              <a16:creationId xmlns:a16="http://schemas.microsoft.com/office/drawing/2014/main" id="{00000000-0008-0000-0F00-0000EE3D0000}"/>
            </a:ext>
          </a:extLst>
        </xdr:cNvPr>
        <xdr:cNvSpPr>
          <a:spLocks noChangeShapeType="1"/>
        </xdr:cNvSpPr>
      </xdr:nvSpPr>
      <xdr:spPr bwMode="auto">
        <a:xfrm>
          <a:off x="1800225" y="20431125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9525</xdr:colOff>
      <xdr:row>41</xdr:row>
      <xdr:rowOff>85725</xdr:rowOff>
    </xdr:from>
    <xdr:to>
      <xdr:col>5</xdr:col>
      <xdr:colOff>190500</xdr:colOff>
      <xdr:row>41</xdr:row>
      <xdr:rowOff>85725</xdr:rowOff>
    </xdr:to>
    <xdr:sp macro="" textlink="">
      <xdr:nvSpPr>
        <xdr:cNvPr id="15869" name="Line 3">
          <a:extLst>
            <a:ext uri="{FF2B5EF4-FFF2-40B4-BE49-F238E27FC236}">
              <a16:creationId xmlns:a16="http://schemas.microsoft.com/office/drawing/2014/main" id="{00000000-0008-0000-0F00-0000FD3D0000}"/>
            </a:ext>
          </a:extLst>
        </xdr:cNvPr>
        <xdr:cNvSpPr>
          <a:spLocks noChangeShapeType="1"/>
        </xdr:cNvSpPr>
      </xdr:nvSpPr>
      <xdr:spPr bwMode="auto">
        <a:xfrm>
          <a:off x="904875" y="7734300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9525</xdr:colOff>
      <xdr:row>41</xdr:row>
      <xdr:rowOff>85725</xdr:rowOff>
    </xdr:from>
    <xdr:to>
      <xdr:col>9</xdr:col>
      <xdr:colOff>171450</xdr:colOff>
      <xdr:row>41</xdr:row>
      <xdr:rowOff>85725</xdr:rowOff>
    </xdr:to>
    <xdr:sp macro="" textlink="">
      <xdr:nvSpPr>
        <xdr:cNvPr id="15870" name="Line 4">
          <a:extLst>
            <a:ext uri="{FF2B5EF4-FFF2-40B4-BE49-F238E27FC236}">
              <a16:creationId xmlns:a16="http://schemas.microsoft.com/office/drawing/2014/main" id="{00000000-0008-0000-0F00-0000FE3D0000}"/>
            </a:ext>
          </a:extLst>
        </xdr:cNvPr>
        <xdr:cNvSpPr>
          <a:spLocks noChangeShapeType="1"/>
        </xdr:cNvSpPr>
      </xdr:nvSpPr>
      <xdr:spPr bwMode="auto">
        <a:xfrm>
          <a:off x="1800225" y="7734300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9525</xdr:colOff>
      <xdr:row>76</xdr:row>
      <xdr:rowOff>85725</xdr:rowOff>
    </xdr:from>
    <xdr:to>
      <xdr:col>5</xdr:col>
      <xdr:colOff>190500</xdr:colOff>
      <xdr:row>76</xdr:row>
      <xdr:rowOff>85725</xdr:rowOff>
    </xdr:to>
    <xdr:sp macro="" textlink="">
      <xdr:nvSpPr>
        <xdr:cNvPr id="15871" name="Line 3">
          <a:extLst>
            <a:ext uri="{FF2B5EF4-FFF2-40B4-BE49-F238E27FC236}">
              <a16:creationId xmlns:a16="http://schemas.microsoft.com/office/drawing/2014/main" id="{00000000-0008-0000-0F00-0000FF3D0000}"/>
            </a:ext>
          </a:extLst>
        </xdr:cNvPr>
        <xdr:cNvSpPr>
          <a:spLocks noChangeShapeType="1"/>
        </xdr:cNvSpPr>
      </xdr:nvSpPr>
      <xdr:spPr bwMode="auto">
        <a:xfrm>
          <a:off x="904875" y="14106525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9525</xdr:colOff>
      <xdr:row>76</xdr:row>
      <xdr:rowOff>85725</xdr:rowOff>
    </xdr:from>
    <xdr:to>
      <xdr:col>9</xdr:col>
      <xdr:colOff>171450</xdr:colOff>
      <xdr:row>76</xdr:row>
      <xdr:rowOff>85725</xdr:rowOff>
    </xdr:to>
    <xdr:sp macro="" textlink="">
      <xdr:nvSpPr>
        <xdr:cNvPr id="15872" name="Line 4">
          <a:extLst>
            <a:ext uri="{FF2B5EF4-FFF2-40B4-BE49-F238E27FC236}">
              <a16:creationId xmlns:a16="http://schemas.microsoft.com/office/drawing/2014/main" id="{00000000-0008-0000-0F00-0000003E0000}"/>
            </a:ext>
          </a:extLst>
        </xdr:cNvPr>
        <xdr:cNvSpPr>
          <a:spLocks noChangeShapeType="1"/>
        </xdr:cNvSpPr>
      </xdr:nvSpPr>
      <xdr:spPr bwMode="auto">
        <a:xfrm>
          <a:off x="1800225" y="14106525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9525</xdr:colOff>
      <xdr:row>143</xdr:row>
      <xdr:rowOff>85725</xdr:rowOff>
    </xdr:from>
    <xdr:to>
      <xdr:col>5</xdr:col>
      <xdr:colOff>190500</xdr:colOff>
      <xdr:row>143</xdr:row>
      <xdr:rowOff>85725</xdr:rowOff>
    </xdr:to>
    <xdr:sp macro="" textlink="">
      <xdr:nvSpPr>
        <xdr:cNvPr id="15873" name="Line 25">
          <a:extLst>
            <a:ext uri="{FF2B5EF4-FFF2-40B4-BE49-F238E27FC236}">
              <a16:creationId xmlns:a16="http://schemas.microsoft.com/office/drawing/2014/main" id="{00000000-0008-0000-0F00-0000013E0000}"/>
            </a:ext>
          </a:extLst>
        </xdr:cNvPr>
        <xdr:cNvSpPr>
          <a:spLocks noChangeShapeType="1"/>
        </xdr:cNvSpPr>
      </xdr:nvSpPr>
      <xdr:spPr bwMode="auto">
        <a:xfrm>
          <a:off x="904875" y="26155650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9525</xdr:colOff>
      <xdr:row>143</xdr:row>
      <xdr:rowOff>85725</xdr:rowOff>
    </xdr:from>
    <xdr:to>
      <xdr:col>9</xdr:col>
      <xdr:colOff>171450</xdr:colOff>
      <xdr:row>143</xdr:row>
      <xdr:rowOff>85725</xdr:rowOff>
    </xdr:to>
    <xdr:sp macro="" textlink="">
      <xdr:nvSpPr>
        <xdr:cNvPr id="15874" name="Line 26">
          <a:extLst>
            <a:ext uri="{FF2B5EF4-FFF2-40B4-BE49-F238E27FC236}">
              <a16:creationId xmlns:a16="http://schemas.microsoft.com/office/drawing/2014/main" id="{00000000-0008-0000-0F00-0000023E0000}"/>
            </a:ext>
          </a:extLst>
        </xdr:cNvPr>
        <xdr:cNvSpPr>
          <a:spLocks noChangeShapeType="1"/>
        </xdr:cNvSpPr>
      </xdr:nvSpPr>
      <xdr:spPr bwMode="auto">
        <a:xfrm>
          <a:off x="1800225" y="26155650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9525</xdr:colOff>
      <xdr:row>175</xdr:row>
      <xdr:rowOff>85725</xdr:rowOff>
    </xdr:from>
    <xdr:to>
      <xdr:col>5</xdr:col>
      <xdr:colOff>190500</xdr:colOff>
      <xdr:row>175</xdr:row>
      <xdr:rowOff>85725</xdr:rowOff>
    </xdr:to>
    <xdr:sp macro="" textlink="">
      <xdr:nvSpPr>
        <xdr:cNvPr id="15875" name="Line 25">
          <a:extLst>
            <a:ext uri="{FF2B5EF4-FFF2-40B4-BE49-F238E27FC236}">
              <a16:creationId xmlns:a16="http://schemas.microsoft.com/office/drawing/2014/main" id="{00000000-0008-0000-0F00-0000033E0000}"/>
            </a:ext>
          </a:extLst>
        </xdr:cNvPr>
        <xdr:cNvSpPr>
          <a:spLocks noChangeShapeType="1"/>
        </xdr:cNvSpPr>
      </xdr:nvSpPr>
      <xdr:spPr bwMode="auto">
        <a:xfrm>
          <a:off x="904875" y="31880175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9525</xdr:colOff>
      <xdr:row>175</xdr:row>
      <xdr:rowOff>85725</xdr:rowOff>
    </xdr:from>
    <xdr:to>
      <xdr:col>9</xdr:col>
      <xdr:colOff>171450</xdr:colOff>
      <xdr:row>175</xdr:row>
      <xdr:rowOff>85725</xdr:rowOff>
    </xdr:to>
    <xdr:sp macro="" textlink="">
      <xdr:nvSpPr>
        <xdr:cNvPr id="15876" name="Line 26">
          <a:extLst>
            <a:ext uri="{FF2B5EF4-FFF2-40B4-BE49-F238E27FC236}">
              <a16:creationId xmlns:a16="http://schemas.microsoft.com/office/drawing/2014/main" id="{00000000-0008-0000-0F00-0000043E0000}"/>
            </a:ext>
          </a:extLst>
        </xdr:cNvPr>
        <xdr:cNvSpPr>
          <a:spLocks noChangeShapeType="1"/>
        </xdr:cNvSpPr>
      </xdr:nvSpPr>
      <xdr:spPr bwMode="auto">
        <a:xfrm>
          <a:off x="1800225" y="31880175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9525</xdr:colOff>
      <xdr:row>207</xdr:row>
      <xdr:rowOff>85725</xdr:rowOff>
    </xdr:from>
    <xdr:to>
      <xdr:col>5</xdr:col>
      <xdr:colOff>190500</xdr:colOff>
      <xdr:row>207</xdr:row>
      <xdr:rowOff>85725</xdr:rowOff>
    </xdr:to>
    <xdr:sp macro="" textlink="">
      <xdr:nvSpPr>
        <xdr:cNvPr id="15877" name="Line 3">
          <a:extLst>
            <a:ext uri="{FF2B5EF4-FFF2-40B4-BE49-F238E27FC236}">
              <a16:creationId xmlns:a16="http://schemas.microsoft.com/office/drawing/2014/main" id="{00000000-0008-0000-0F00-0000053E0000}"/>
            </a:ext>
          </a:extLst>
        </xdr:cNvPr>
        <xdr:cNvSpPr>
          <a:spLocks noChangeShapeType="1"/>
        </xdr:cNvSpPr>
      </xdr:nvSpPr>
      <xdr:spPr bwMode="auto">
        <a:xfrm>
          <a:off x="904875" y="37709475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9525</xdr:colOff>
      <xdr:row>207</xdr:row>
      <xdr:rowOff>85725</xdr:rowOff>
    </xdr:from>
    <xdr:to>
      <xdr:col>9</xdr:col>
      <xdr:colOff>171450</xdr:colOff>
      <xdr:row>207</xdr:row>
      <xdr:rowOff>85725</xdr:rowOff>
    </xdr:to>
    <xdr:sp macro="" textlink="">
      <xdr:nvSpPr>
        <xdr:cNvPr id="15878" name="Line 4">
          <a:extLst>
            <a:ext uri="{FF2B5EF4-FFF2-40B4-BE49-F238E27FC236}">
              <a16:creationId xmlns:a16="http://schemas.microsoft.com/office/drawing/2014/main" id="{00000000-0008-0000-0F00-0000063E0000}"/>
            </a:ext>
          </a:extLst>
        </xdr:cNvPr>
        <xdr:cNvSpPr>
          <a:spLocks noChangeShapeType="1"/>
        </xdr:cNvSpPr>
      </xdr:nvSpPr>
      <xdr:spPr bwMode="auto">
        <a:xfrm>
          <a:off x="1800225" y="37709475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9525</xdr:colOff>
      <xdr:row>239</xdr:row>
      <xdr:rowOff>85725</xdr:rowOff>
    </xdr:from>
    <xdr:to>
      <xdr:col>5</xdr:col>
      <xdr:colOff>190500</xdr:colOff>
      <xdr:row>239</xdr:row>
      <xdr:rowOff>85725</xdr:rowOff>
    </xdr:to>
    <xdr:sp macro="" textlink="">
      <xdr:nvSpPr>
        <xdr:cNvPr id="15879" name="Line 3">
          <a:extLst>
            <a:ext uri="{FF2B5EF4-FFF2-40B4-BE49-F238E27FC236}">
              <a16:creationId xmlns:a16="http://schemas.microsoft.com/office/drawing/2014/main" id="{00000000-0008-0000-0F00-0000073E0000}"/>
            </a:ext>
          </a:extLst>
        </xdr:cNvPr>
        <xdr:cNvSpPr>
          <a:spLocks noChangeShapeType="1"/>
        </xdr:cNvSpPr>
      </xdr:nvSpPr>
      <xdr:spPr bwMode="auto">
        <a:xfrm>
          <a:off x="904875" y="43824525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9525</xdr:colOff>
      <xdr:row>239</xdr:row>
      <xdr:rowOff>85725</xdr:rowOff>
    </xdr:from>
    <xdr:to>
      <xdr:col>9</xdr:col>
      <xdr:colOff>171450</xdr:colOff>
      <xdr:row>239</xdr:row>
      <xdr:rowOff>85725</xdr:rowOff>
    </xdr:to>
    <xdr:sp macro="" textlink="">
      <xdr:nvSpPr>
        <xdr:cNvPr id="15880" name="Line 4">
          <a:extLst>
            <a:ext uri="{FF2B5EF4-FFF2-40B4-BE49-F238E27FC236}">
              <a16:creationId xmlns:a16="http://schemas.microsoft.com/office/drawing/2014/main" id="{00000000-0008-0000-0F00-0000083E0000}"/>
            </a:ext>
          </a:extLst>
        </xdr:cNvPr>
        <xdr:cNvSpPr>
          <a:spLocks noChangeShapeType="1"/>
        </xdr:cNvSpPr>
      </xdr:nvSpPr>
      <xdr:spPr bwMode="auto">
        <a:xfrm>
          <a:off x="1800225" y="43824525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9525</xdr:colOff>
      <xdr:row>296</xdr:row>
      <xdr:rowOff>85725</xdr:rowOff>
    </xdr:from>
    <xdr:to>
      <xdr:col>5</xdr:col>
      <xdr:colOff>190500</xdr:colOff>
      <xdr:row>296</xdr:row>
      <xdr:rowOff>85725</xdr:rowOff>
    </xdr:to>
    <xdr:sp macro="" textlink="">
      <xdr:nvSpPr>
        <xdr:cNvPr id="32" name="Line 3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SpPr>
          <a:spLocks noChangeShapeType="1"/>
        </xdr:cNvSpPr>
      </xdr:nvSpPr>
      <xdr:spPr bwMode="auto">
        <a:xfrm>
          <a:off x="896335" y="35453035"/>
          <a:ext cx="378044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9525</xdr:colOff>
      <xdr:row>296</xdr:row>
      <xdr:rowOff>85725</xdr:rowOff>
    </xdr:from>
    <xdr:to>
      <xdr:col>9</xdr:col>
      <xdr:colOff>171450</xdr:colOff>
      <xdr:row>296</xdr:row>
      <xdr:rowOff>85725</xdr:rowOff>
    </xdr:to>
    <xdr:sp macro="" textlink="">
      <xdr:nvSpPr>
        <xdr:cNvPr id="33" name="Line 4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SpPr>
          <a:spLocks noChangeShapeType="1"/>
        </xdr:cNvSpPr>
      </xdr:nvSpPr>
      <xdr:spPr bwMode="auto">
        <a:xfrm>
          <a:off x="1789715" y="35453035"/>
          <a:ext cx="358994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152400</xdr:rowOff>
    </xdr:from>
    <xdr:to>
      <xdr:col>11</xdr:col>
      <xdr:colOff>9525</xdr:colOff>
      <xdr:row>11</xdr:row>
      <xdr:rowOff>9525</xdr:rowOff>
    </xdr:to>
    <xdr:pic>
      <xdr:nvPicPr>
        <xdr:cNvPr id="17427" name="Picture 1">
          <a:extLst>
            <a:ext uri="{FF2B5EF4-FFF2-40B4-BE49-F238E27FC236}">
              <a16:creationId xmlns:a16="http://schemas.microsoft.com/office/drawing/2014/main" id="{00000000-0008-0000-1E00-0000134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781050"/>
          <a:ext cx="1590675" cy="14001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9525</xdr:colOff>
      <xdr:row>16</xdr:row>
      <xdr:rowOff>142875</xdr:rowOff>
    </xdr:from>
    <xdr:to>
      <xdr:col>11</xdr:col>
      <xdr:colOff>0</xdr:colOff>
      <xdr:row>23</xdr:row>
      <xdr:rowOff>0</xdr:rowOff>
    </xdr:to>
    <xdr:pic>
      <xdr:nvPicPr>
        <xdr:cNvPr id="17428" name="Picture 2">
          <a:extLst>
            <a:ext uri="{FF2B5EF4-FFF2-40B4-BE49-F238E27FC236}">
              <a16:creationId xmlns:a16="http://schemas.microsoft.com/office/drawing/2014/main" id="{00000000-0008-0000-1E00-0000144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38275" y="3048000"/>
          <a:ext cx="1638300" cy="1009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17</xdr:row>
          <xdr:rowOff>9525</xdr:rowOff>
        </xdr:from>
        <xdr:to>
          <xdr:col>9</xdr:col>
          <xdr:colOff>323850</xdr:colOff>
          <xdr:row>23</xdr:row>
          <xdr:rowOff>0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1F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</xdr:row>
          <xdr:rowOff>171450</xdr:rowOff>
        </xdr:from>
        <xdr:to>
          <xdr:col>9</xdr:col>
          <xdr:colOff>323850</xdr:colOff>
          <xdr:row>10</xdr:row>
          <xdr:rowOff>161925</xdr:rowOff>
        </xdr:to>
        <xdr:sp macro="" textlink="">
          <xdr:nvSpPr>
            <xdr:cNvPr id="10242" name="Object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1F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52</xdr:row>
          <xdr:rowOff>9525</xdr:rowOff>
        </xdr:from>
        <xdr:to>
          <xdr:col>9</xdr:col>
          <xdr:colOff>314325</xdr:colOff>
          <xdr:row>57</xdr:row>
          <xdr:rowOff>142875</xdr:rowOff>
        </xdr:to>
        <xdr:sp macro="" textlink="">
          <xdr:nvSpPr>
            <xdr:cNvPr id="10243" name="Object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1F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37</xdr:row>
          <xdr:rowOff>171450</xdr:rowOff>
        </xdr:from>
        <xdr:to>
          <xdr:col>9</xdr:col>
          <xdr:colOff>323850</xdr:colOff>
          <xdr:row>45</xdr:row>
          <xdr:rowOff>161925</xdr:rowOff>
        </xdr:to>
        <xdr:sp macro="" textlink="">
          <xdr:nvSpPr>
            <xdr:cNvPr id="10244" name="Object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1F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cljh\c\EXCEL\&#49688;&#51452;\&#49324;&#50629;&#49457;~1\96\&#49552;&#51061;&#44592;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4;&#54805;&#44540;\03.&#54532;&#47196;&#51229;&#53944;&#48169;\Documents%20and%20Settings\A\My%20Documents\2007&#51204;&#44592;&#51088;&#4730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50857;&#52384;\&#54252;&#52380;&#49569;&#50864;&#49688;&#47049;\hb\&#49340;&#49328;1&#51648;&#44396;(&#49892;&#49884;)\&#51452;&#44277;&#49688;&#47049;\&#51068;&#50948;&#45824;&#44032;980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Office-file\99file\P&#45453;&#54801;&#48708;\OFFICE%20&#50577;&#49885;\N&#36035;&#63963;-&#32887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&#51076;&#49884;&#54028;&#51068;\KNK\2002&#45380;\&#50896;&#44032;&#44228;&#49328;\&#48372;&#46972;&#47588;&#48337;&#50896;\OFFICE%20&#50577;&#49885;\N&#36035;&#63963;-&#32887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3664;&#47785;&#48512;_&#50948;&#49849;&#47928;\DB\&#48149;&#50980;&#49885;\xls\&#44277;&#49324;&#48324;\&#44053;&#51652;&#50868;&#50516;\&#48512;&#45824;&#49692;&#49436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OFFICE%20&#50577;&#49885;\N&#36035;&#63963;-&#32887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4277;&#49324;&#51088;&#47308;(&#44277;&#50976;)\10.2022&#45380;%20&#44277;&#49324;&#48516;\04.2022&#45380;%20&#44368;&#53685;&#49888;&#54840;&#44592;%20&#49888;&#49444;%20&#48143;%20&#48372;&#49688;&#44277;&#49324;(&#50672;&#44036;&#45800;&#44032;-1&#44396;&#50669;)_&#50724;&#47196;&#46972;&#51204;&#44592;\01.&#44228;&#50557;%20&#48143;%20&#52265;&#44277;&#49436;&#47448;\02.&#49444;&#44228;&#45236;&#50669;&#49436;(100%25)%20&#48143;%20&#44228;&#50557;&#45236;&#50669;&#49436;\02.&#44228;&#50557;&#45236;&#50669;&#49436;\&#51204;&#44592;&#49328;&#52636;&#44540;&#44144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JT-97\R-SUWONJ\REP\P7-5-31\LX-CAL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JY\1&#49892;&#44277;&#50976;\office-file\2000file\&#50868;&#51204;&#47732;&#54728;(&#52397;&#49548;&#50857;&#50669;)\&#44053;&#45224;(1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\&#51204;&#52264;&#51109;%20&#44277;&#50976;&#54260;&#45908;\00-0.2011%20&#49888;&#54840;&#44592;%20&#49444;&#44228;&#50857;&#50669;\2011&#45380;%20&#50896;&#51064;&#51088;&#49444;&#44228;\L11%20&#51221;&#44144;&#51109;%20&#45800;&#44228;&#48324;&#44368;&#53685;&#52376;&#47532;&#44228;&#54925;&#46020;(2011-05-03&#44508;&#51228;&#46020;&#47732;)%20-%20Standard\&#49457;&#49888;&#50668;&#45824;-&#49888;&#54840;(0520)\Documents%20and%20Settings\cmk\&#48148;&#53461;%20&#54868;&#47732;\&#45347;&#50612;&#51452;&#49464;&#50836;\2000&#44221;&#51452;EXPO\07&#49437;&#51116;&#51312;&#54633;-&#49437;&#51228;&#5440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dacom\&#50896;&#51452;~&#51228;&#52380;\&#50896;&#51452;&#52572;&#51333;\&#44277;&#53685;&#51088;&#4730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3664;&#47785;&#48512;_&#50948;&#49849;&#47928;\DB\My%20Documents\Khdata99\&#54620;&#44397;&#51204;&#47141;\&#49888;&#49457;&#45224;-&#44552;&#44257;\&#49888;&#49457;&#45224;&#53804;&#52272;&#45236;&#50669;(1&#48264;&#45236;&#50669;)(2)\KHDATA\&#44288;&#47532;&#52397;\&#51652;&#51452;&#50864;&#54924;\&#53664;&#52384;&#51032;&#47280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&#45236;&#50669;&#49436;sample\K-SET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5631%20&#50976;&#54805;&#51088;&#49328;%20substantive%20work&#51032;%20&#50892;&#53356;&#49884;&#53944;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8149;&#51221;&#54872;\&#48149;&#51221;&#54872;%20D%20DRIVE\HWANI\&#50896;&#44032;&#51088;&#47308;\&#51228;&#52636;&#51088;&#47308;\FTA&#50896;&#44032;&#49328;&#52636;\&#50896;&#44032;&#49328;&#52636;\2015\&#54620;&#49457;&#54840;%20&#51088;&#47308;\&#49340;&#51068;&#54924;&#44228;&#48277;&#51064;\&#51452;&#51452;&#48320;&#46041;&#54788;&#54889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&#51204;&#51088;&#51648;&#48520;&#49884;&#49828;&#53596;\C&#50532;C&#50896;&#44032;&#44228;&#49328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JEC99\SONGB\new\&#49457;&#48513;&#45236;&#50669;&#49436;(&#51333;&#54633;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569;&#51116;&#50676;\&#44277;&#50976;\pjt-2002\&#54217;&#54868;&#51032;&#45840;\&#50696;&#49328;&#49436;(&#51068;&#50948;&#45824;&#44032;,&#45840;)\&#49444;&#44228;&#48320;&#44221;(&#44397;&#51088;)\&#44397;&#51088;&#48320;&#44221;&#53685;&#49888;\13&#52264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&#51076;&#49884;&#54028;&#51068;\KNK\2002&#45380;\&#50577;&#49885;\2000&#44221;&#51452;EXPO\07&#49437;&#51116;&#51312;&#54633;-&#49437;&#51228;&#5440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IWOOK\&#50641;&#49828;&#54252;\hb\&#49340;&#49328;1&#51648;&#44396;(&#49892;&#49884;)\&#51452;&#44277;&#49688;&#47049;\&#51068;&#50948;&#45824;&#44032;9803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49457;&#49340;\&#44277;&#50976;\JABO\O12060\INFORM\MYENGBU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064;&#45909;\&#52397;&#44228;&#54224;&#44592;&#47932;&#48156;&#51452;&#46020;&#49436;\hb\&#49340;&#49328;1&#51648;&#44396;(&#49892;&#49884;)\&#51452;&#44277;&#49688;&#47049;\&#51068;&#50948;&#45824;&#44032;9803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1116;&#50857;\2007-&#51089;&#50629;\My%20Documentsm\99\99&#49345;&#47168;&#44277;&#49324;\&#48324;&#50612;&#44257;,&#46041;&#45224;&#44148;&#45328;&#47785;&#44148;&#47932;&#52384;&#44144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28;&#47548;10\project%20(d)\exceldata\LJK-LAST\TOWER\&#48169;&#50500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KSC/95KSC/&#44228;&#50557;&#45236;&#50669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erver\&#47196;&#52972;%20&#46356;&#49828;&#53356;%20(f)\200pr\&#51109;&#49457;&#49328;&#47548;&#50837;\&#49444;&#44228;&#45236;&#50669;&#49436;(&#51109;&#49457;)121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\&#51204;&#52264;&#51109;%20&#44277;&#50976;&#54260;&#45908;\00-0.2011%20&#49888;&#54840;&#44592;%20&#49444;&#44228;&#50857;&#50669;\2011&#45380;%20&#50896;&#51064;&#51088;&#49444;&#44228;\L11%20&#51221;&#44144;&#51109;%20&#45800;&#44228;&#48324;&#44368;&#53685;&#52376;&#47532;&#44228;&#54925;&#46020;(2011-05-03&#44508;&#51228;&#46020;&#47732;)%20-%20Standard\&#49457;&#49888;&#50668;&#45824;-&#49888;&#54840;(0520)\Documents%20and%20Settings\cmk\&#48148;&#53461;%20&#54868;&#47732;\&#51076;&#49884;&#54028;&#51068;\KNK\2002&#45380;\&#50896;&#44032;&#44228;&#49328;\&#47560;&#54252;&#44221;&#52272;&#49436;\&#48372;&#46972;&#47588;&#48337;&#50896;\OFFICE%20&#50577;&#49885;\N&#36035;&#63963;-&#32887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WINDOWS\Application%20Data\Microsoft\Templates\2000&#44221;&#51452;EXPO\07&#49437;&#51116;&#51312;&#54633;-&#49437;&#51228;&#54408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53664;&#47928;%20&#44148;&#52629;\&#49436;&#54644;&#44536;&#46993;&#48716;\5-&#48320;&#44221;&#46020;&#47732;(060503)\&#44228;&#49328;&#49436;\&#46041;&#53444;&#51204;&#44592;&#51088;&#47308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KET\&#49340;&#54868;95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50872;&#53944;&#46972;&#45367;%202002\&#51648;&#51088;&#52404;\&#48393;&#49440;&#53469;&#51648;-&#50857;&#49440;ic&#46020;&#47196;(01.30&#51077;&#52272;f)\My%20Documents\KHDATA\&#44288;&#47532;&#52397;\&#50896;&#45224;-&#50872;&#51652;\&#50896;&#45224;&#50872;&#51652;&#45209;&#52272;&#45236;&#50669;(99.4.13%20&#48512;&#49328;&#52397;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1116;&#50857;\2007-&#51089;&#50629;\&#51204;&#47141;\&#44608;&#49457;&#46973;2001.11.11\&#49324;&#50629;&#44288;&#47144;\2-&#49444;&#44228;&#44288;&#47144;\2001&#45380;&#46020;%20&#49444;&#44228;\2-&#54616;&#48152;&#44592;\&#49324;&#50629;&#44288;&#47144;\&#50857;&#50669;&#49444;&#44228;\&#50504;&#46041;&#44060;&#47049;\3-&#50504;&#46041;&#50669;&#52572;&#51333;&#49688;&#51221;&#45225;&#54408;0802\&#44288;&#44553;&#51088;&#51116;&#51312;&#49436;-&#49688;&#51221;&#51204;&#50896;&#4837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w\local\office-file\97file\&#53664;&#51648;&#51665;&#44592;&#47448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\&#51204;&#52264;&#51109;%20&#44277;&#50976;&#54260;&#45908;\00-0.2011%20&#49888;&#54840;&#44592;%20&#49444;&#44228;&#50857;&#50669;\2011&#45380;%20&#50896;&#51064;&#51088;&#49444;&#44228;\L11%20&#51221;&#44144;&#51109;%20&#45800;&#44228;&#48324;&#44368;&#53685;&#52376;&#47532;&#44228;&#54925;&#46020;(2011-05-03&#44508;&#51228;&#46020;&#47732;)%20-%20Standard\&#49457;&#49888;&#50668;&#45824;-&#49888;&#54840;(0520)\Documents%20and%20Settings\cmk\&#48148;&#53461;%20&#54868;&#47732;\OFFICE%20&#50577;&#49885;\N&#36035;&#63963;-&#32887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\c\&#45236;&#50669;&#49436;sample\K-SET1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77;&#50857;\&#47196;&#52972;%20&#46356;&#49828;&#53356;%20(e)\WINDOWS\Temp\Book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28;&#47548;10\project%20(d)\exceldata\LJK-LAST\1GONGGU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H\SharedDocs\office-file\2000-OFFICE\2000EXCEL\0007KGC&#51064;&#52380;&#51204;&#47141;&#44228;&#53685;&#44048;&#49884;&#48152;&#51221;&#49328;(&#44277;&#49324;)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Startup" Target="6-6&#44277;&#44396;&#44032;&#47196;&#46321;/&#47560;&#54252;&#44396;/&#54633;&#51221;&#47196;&#45236;&#50669;&#49436;(&#53664;&#47785;)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4608;&#46020;&#54805;\2000&#44221;&#47532;\8&#50900;&#47560;&#44048;\8&#50900;&#50808;&#45800;&#52264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e-bc4a39e6720\&#45236;&#51089;&#50629;\2009&#45380;-&#51089;&#50629;\&#44368;&#50977;&#52397;\&#46041;&#48512;&#44368;&#50977;&#52397;\20090219-&#47564;&#49688;&#51473;&#44553;&#49885;&#49548;&#51613;&#52629;&#49548;&#48169;&#44277;&#49324;\&#45225;&#54408;&#49436;&#47448;\&#45236;&#50669;&#49436;\&#47564;&#49688;&#51473;&#44553;&#49885;&#49548;&#51613;&#52629;&#44277;&#49324;-&#49548;&#48169;&#44277;&#49324;&#45236;&#50669;&#49436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452;&#55148;\DATA\&#45236;&#50669;&#51089;&#50629;\&#51221;&#51088;&#51648;&#44396;\&#45236;&#50669;&#49436;\&#51221;&#51088;&#51648;&#44396;\&#45236;&#50669;(~2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116;&#47564;\&#44608;&#51116;&#47564;\&#51204;&#52384;\&#44277;&#49324;&#52265;&#44277;\&#44277;&#49324;&#52265;&#44277;\&#49933;&#50857;&#51204;&#52384;&#48320;&#51204;&#49548;&#50808;%209&#44060;&#49548;%20&#48320;&#51204;&#49444;&#48708;%20&#48372;&#49688;&#44277;&#4932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com\work\MY\RETAIN\&#50745;&#48317;&#51312;&#44552;&#49688;&#51221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&#49324;&#50629;2000excell/E&#44397;&#51648;&#46020;/&#47928;&#44305;&#52397;&#52380;/2000year/&#52397;&#52380;&#44396;&#44036;/&#51648;&#52492;&#45909;&#54217;/2000&#51648;&#52492;-&#45909;&#54217;&#48156;&#51452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lee\JJ-2\PROJECT\&#49569;&#46041;&#50577;&#49688;&#51109;\HWP\DF98513\PROJECT\LOAD\BONGSAN\BONG\HWP\OUT\YE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52397;&#51452;&#44284;&#54617;&#45824;&#54617;\&#49436;&#47448;\&#52397;&#51452;&#44284;&#54617;&#45824;&#54617;&#45236;&#50669;&#49436;(&#53440;&#44204;&#51201;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26&#44032;&#47196;&#46321;%20&#50672;&#44036;&#45800;&#44032;%20&#48156;&#51452;/202601%20&#49436;&#54952;&#51333;%20&#44148;&#49444;&#44277;&#49324;/&#9733;2026&#45380;&#46020;%20&#44148;&#49444;&#44277;&#49324;%20&#49444;&#44228;&#51648;&#52840;(&#52572;&#51333;&#50504;)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552;&#51116;&#50857;\&#45800;&#51648;&#48512;\hb\&#49340;&#49328;1&#51648;&#44396;(&#49892;&#49884;)\&#51452;&#44277;&#49688;&#47049;\&#51068;&#50948;&#45824;&#44032;98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924;&#49632;&#54036;&#47924;&#49632;&#45796;&#47532;/&#44277;&#47924;/&#54788;&#51109;&#44288;&#47532;/&#44204;&#51201;&#51089;&#50629;/&#44053;&#46041;&#44396;&#52397;/2013&#45380;&#46020;/&#44256;&#45909;&#52380;/work/&#49688;&#47049;&#49328;&#52636;(&#44256;&#45909;&#52380;)-13090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WinXP\My%20Documents\&#51204;&#44592;&#51088;&#4730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.y.g\project\WINDOWS\GI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표세부명세"/>
      <sheetName val="은행"/>
      <sheetName val="양식"/>
      <sheetName val="총괄"/>
      <sheetName val="가리봉pro"/>
      <sheetName val="복합pro"/>
      <sheetName val="연립pro"/>
      <sheetName val="부산1pro"/>
      <sheetName val="경상집계"/>
      <sheetName val="경상총괄"/>
      <sheetName val="수지총괄"/>
      <sheetName val="수지집계"/>
      <sheetName val="양도손익"/>
      <sheetName val="양도손익총괄"/>
      <sheetName val="양도수지집계"/>
      <sheetName val="양도수지총괄"/>
      <sheetName val="부산2pro"/>
      <sheetName val="석관pro"/>
      <sheetName val="수원pro"/>
      <sheetName val="은행pro"/>
      <sheetName val="잠원PRO"/>
      <sheetName val="홍은pro"/>
      <sheetName val="원주pro"/>
      <sheetName val="이천pro"/>
      <sheetName val="창현pro"/>
      <sheetName val="춘천pro"/>
      <sheetName val="오남2차pro"/>
      <sheetName val="창신PRO"/>
      <sheetName val="서곡PRO"/>
      <sheetName val="연성pro"/>
      <sheetName val="팔달pro"/>
      <sheetName val="병점PRO"/>
      <sheetName val="잠원"/>
      <sheetName val="가리봉동"/>
      <sheetName val="석관"/>
      <sheetName val="홍은"/>
      <sheetName val="이천"/>
      <sheetName val="부산"/>
      <sheetName val="부산2"/>
      <sheetName val="창현"/>
      <sheetName val="수원"/>
      <sheetName val="자금추정"/>
      <sheetName val="콘도손익"/>
      <sheetName val="장림"/>
      <sheetName val="장림전제"/>
      <sheetName val="Sheet2"/>
      <sheetName val="Sheet3"/>
      <sheetName val="공문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입찰안"/>
      <sheetName val="노임이"/>
      <sheetName val="첨부1"/>
      <sheetName val="공통가설"/>
      <sheetName val="간접"/>
      <sheetName val="집계표"/>
      <sheetName val="SG"/>
      <sheetName val="C-A(취합)파리"/>
      <sheetName val="CTEMCOST"/>
      <sheetName val="ELECTRIC"/>
      <sheetName val="손익분석"/>
      <sheetName val="SUMMARY"/>
      <sheetName val="PAINT"/>
      <sheetName val="원가계산서"/>
      <sheetName val="수입"/>
      <sheetName val="손익"/>
      <sheetName val="현금흐름"/>
      <sheetName val="관로내역원"/>
      <sheetName val="금액내역서"/>
      <sheetName val="A4288"/>
      <sheetName val="자바라1"/>
      <sheetName val="손익기01"/>
      <sheetName val="Sheet1"/>
      <sheetName val="동선(을)"/>
      <sheetName val="COL"/>
      <sheetName val="수정시산표"/>
      <sheetName val="주택"/>
      <sheetName val="주택(백만원)"/>
      <sheetName val="설계내역서"/>
      <sheetName val="신공항A-9(원가수정)"/>
      <sheetName val="KUNGDEVI"/>
      <sheetName val="그래프"/>
      <sheetName val="GDP"/>
      <sheetName val="인사자료총집계"/>
      <sheetName val="5Traffic1"/>
      <sheetName val="부문인원3"/>
      <sheetName val="현장관리비"/>
      <sheetName val="감독1130"/>
      <sheetName val="전계가"/>
      <sheetName val="금융"/>
      <sheetName val="결재인"/>
      <sheetName val="CC Down load 0716"/>
      <sheetName val="화물2팀"/>
      <sheetName val="변경실행(2차) "/>
      <sheetName val="bm(CIcable)"/>
      <sheetName val="외주수리비"/>
      <sheetName val="계류장사용료"/>
      <sheetName val="정비재료비"/>
      <sheetName val="지상조업료"/>
      <sheetName val="AT"/>
      <sheetName val="B777"/>
      <sheetName val="신공항"/>
      <sheetName val="JJ"/>
      <sheetName val="잡유비"/>
      <sheetName val="MA"/>
      <sheetName val="MC"/>
      <sheetName val="ME"/>
      <sheetName val="MF"/>
      <sheetName val="MI"/>
      <sheetName val="MT"/>
      <sheetName val="QA"/>
      <sheetName val="01"/>
      <sheetName val="원가(통신)"/>
      <sheetName val="내역"/>
      <sheetName val="실행내역"/>
      <sheetName val="예가표"/>
      <sheetName val="시멘트"/>
      <sheetName val="단가"/>
      <sheetName val="나.출고"/>
      <sheetName val="나.입고"/>
      <sheetName val="8월차잔"/>
      <sheetName val="유동성사채"/>
      <sheetName val="3계정별(고속)"/>
      <sheetName val="고속"/>
      <sheetName val="고속목표"/>
      <sheetName val="09년인건비(고속)"/>
      <sheetName val="3계정별(자동주유기)"/>
      <sheetName val="자동주유기"/>
      <sheetName val="자동주유목표"/>
      <sheetName val="고속합산"/>
      <sheetName val="고속합산목표"/>
      <sheetName val="3계정별(속리산)"/>
      <sheetName val="속리산"/>
      <sheetName val="속리산목표"/>
      <sheetName val="09년 인건비(속리산)"/>
      <sheetName val="고속속리산"/>
      <sheetName val="고속속리산목표"/>
      <sheetName val="직행"/>
      <sheetName val="직행목표"/>
      <sheetName val="합산"/>
      <sheetName val="합산목표"/>
      <sheetName val="속리산제외"/>
      <sheetName val="속리산제외목표"/>
      <sheetName val="09년월별예산(운송)"/>
      <sheetName val="합산목표(감가+57.5)"/>
      <sheetName val="공사개요"/>
      <sheetName val="호프"/>
      <sheetName val="산근"/>
      <sheetName val="여흥"/>
      <sheetName val="APT"/>
      <sheetName val="공사비집계"/>
      <sheetName val="SCHEDULE"/>
      <sheetName val="감가상각"/>
      <sheetName val="공통비총괄표"/>
      <sheetName val="JUCKEYK"/>
      <sheetName val="Variables"/>
      <sheetName val="  한국 AMP ASP-23 판매가격  "/>
      <sheetName val="제조원가 원단위 분석"/>
      <sheetName val="종합표양식(품의 &amp; 입고)_2"/>
      <sheetName val="상각스케쥴(조정)"/>
      <sheetName val="총괄내역서"/>
      <sheetName val="금융비용"/>
      <sheetName val="노임단가"/>
      <sheetName val="982월원안"/>
      <sheetName val="내역서"/>
      <sheetName val="DATA"/>
      <sheetName val="실적공사"/>
      <sheetName val="업무처리전"/>
      <sheetName val="woo(mac)"/>
      <sheetName val="노무비"/>
      <sheetName val="TR제작사양"/>
      <sheetName val="#REF"/>
      <sheetName val="기성청구 공문"/>
      <sheetName val="IW-LIST"/>
      <sheetName val="갑지(추정)"/>
      <sheetName val="b_balju (2)"/>
      <sheetName val="b_gunmul"/>
      <sheetName val="ABUT수량-A1"/>
      <sheetName val="장기대여금1"/>
      <sheetName val="중기조종사 단위단가"/>
      <sheetName val="견적의뢰"/>
      <sheetName val="화의-현금흐름"/>
      <sheetName val="6PILE  (돌출)"/>
      <sheetName val="기계경비(시간당)"/>
      <sheetName val="램머"/>
      <sheetName val="유림골조"/>
      <sheetName val="방배동내역(리라)"/>
      <sheetName val="2연암거"/>
      <sheetName val="경사수로집계표"/>
      <sheetName val="경사수로"/>
      <sheetName val="진입교량"/>
      <sheetName val="원가관리 (동월대비)"/>
      <sheetName val="요약"/>
      <sheetName val="45,46"/>
      <sheetName val="익월수주전망"/>
      <sheetName val="980731"/>
      <sheetName val="광곡세부내역"/>
      <sheetName val="S&amp;R"/>
      <sheetName val="시산표(매출조정전)"/>
      <sheetName val="93"/>
      <sheetName val="예정(3)"/>
      <sheetName val="동원(3)"/>
      <sheetName val="토목검측서"/>
      <sheetName val="2-2.매출분석"/>
      <sheetName val="RECIMAKE"/>
      <sheetName val="A-100전제"/>
      <sheetName val="몰드시스템 리스트"/>
      <sheetName val="정비손익"/>
      <sheetName val="200"/>
      <sheetName val="공통부대관리"/>
      <sheetName val="Calen"/>
      <sheetName val="표지"/>
      <sheetName val="설비원가"/>
      <sheetName val="MIJIBI"/>
      <sheetName val="입찰내역서"/>
      <sheetName val="영동(D)"/>
      <sheetName val="수주현황2월"/>
      <sheetName val="기본DATA"/>
      <sheetName val="Borrower"/>
      <sheetName val="MIBK원단위"/>
      <sheetName val="Proposal"/>
      <sheetName val="7 (2)"/>
      <sheetName val="역T형"/>
      <sheetName val="중요02월25일"/>
      <sheetName val="정산표"/>
      <sheetName val="월말명세0912"/>
      <sheetName val="11.외화채무증권(AFS,HTM)08"/>
      <sheetName val="Hedge09"/>
      <sheetName val="13.감액TEST_08"/>
      <sheetName val="해외채권"/>
      <sheetName val="BS09"/>
      <sheetName val="단가추이"/>
      <sheetName val="경유량추이"/>
      <sheetName val="단가산출"/>
      <sheetName val="일위대가표"/>
      <sheetName val="Sheet1 (2)"/>
      <sheetName val="조명시설"/>
      <sheetName val="SIL98"/>
      <sheetName val="합천내역"/>
      <sheetName val="전기단가조사서"/>
      <sheetName val="실행철강하도"/>
      <sheetName val="추가예산"/>
      <sheetName val="적용건축"/>
      <sheetName val="A-4"/>
      <sheetName val="집행내역"/>
      <sheetName val="자재단가"/>
      <sheetName val="RE9604"/>
      <sheetName val="평가제외"/>
      <sheetName val="SM1-09"/>
      <sheetName val="SM2-09"/>
      <sheetName val="BD-09"/>
      <sheetName val="12년 CF(9월)"/>
      <sheetName val="Sheet13"/>
      <sheetName val="Sheet14"/>
      <sheetName val="SO416"/>
      <sheetName val="개발비자산성검토"/>
      <sheetName val="가공MH"/>
      <sheetName val="08년(Form1)"/>
      <sheetName val="1_종합손익(도급)"/>
      <sheetName val="1_종합손익(주택,개발)"/>
      <sheetName val="2_실행예산"/>
      <sheetName val="2_2과부족"/>
      <sheetName val="2_3원가절감"/>
      <sheetName val="8_외주비집행현황"/>
      <sheetName val="9_자재비"/>
      <sheetName val="10_현장집행"/>
      <sheetName val="3_추가원가"/>
      <sheetName val="3_추가원가_(2)"/>
      <sheetName val="4_사전공사"/>
      <sheetName val="5_추정공사비"/>
      <sheetName val="6_금융비용"/>
      <sheetName val="7_공사비집행현황(총괄)"/>
      <sheetName val="11_1생산성"/>
      <sheetName val="11_2인원산출"/>
      <sheetName val="13월별BS"/>
      <sheetName val="부하계산서"/>
      <sheetName val="37개월"/>
      <sheetName val="주형"/>
      <sheetName val="sum1 (2)"/>
      <sheetName val="적격"/>
      <sheetName val="총내역서"/>
      <sheetName val="재료"/>
      <sheetName val="하수급견적대비"/>
      <sheetName val="재고현황"/>
      <sheetName val="CC_Down_load_0716"/>
      <sheetName val="변경실행(2차)_"/>
      <sheetName val="나_출고"/>
      <sheetName val="나_입고"/>
      <sheetName val="09년_인건비(속리산)"/>
      <sheetName val="합산목표(감가+57_5)"/>
      <sheetName val="기성청구_공문"/>
      <sheetName val="발행제기"/>
      <sheetName val="2.대외공문"/>
      <sheetName val="97년추정손익계산서"/>
      <sheetName val="表21 净利润调节表"/>
      <sheetName val="점수계산1-2"/>
      <sheetName val="일위대가"/>
      <sheetName val="대비표"/>
      <sheetName val="골조시행"/>
      <sheetName val="업무연락"/>
      <sheetName val="Ethylene"/>
      <sheetName val="월별매출"/>
      <sheetName val="ChlorAlkali"/>
      <sheetName val="VXXXXXXX"/>
      <sheetName val="지점장"/>
      <sheetName val="부서코드표"/>
      <sheetName val="물량표"/>
      <sheetName val="원가계산하도"/>
      <sheetName val="Total"/>
      <sheetName val="단가(반정3교-원주)"/>
      <sheetName val="세부내역서"/>
      <sheetName val="3.바닥판설계"/>
      <sheetName val="산출근거"/>
      <sheetName val="일위(토목)"/>
      <sheetName val="미드수량"/>
      <sheetName val="참조"/>
      <sheetName val="DATE"/>
      <sheetName val="신공"/>
      <sheetName val="2.총괄표"/>
      <sheetName val="LinerWt"/>
      <sheetName val="CAUDIT"/>
      <sheetName val="XZLC004_PART2"/>
      <sheetName val="XZLC003_PART1"/>
      <sheetName val="조경"/>
      <sheetName val="손익현황"/>
      <sheetName val="현황CODE"/>
      <sheetName val="품셈TABLE"/>
      <sheetName val="단가표"/>
      <sheetName val="D-623D"/>
      <sheetName val="BQMPALOC"/>
      <sheetName val="현장지지물물량"/>
      <sheetName val="입찰보고"/>
      <sheetName val="Project Brief"/>
      <sheetName val="물량표(신)"/>
      <sheetName val="대공종"/>
      <sheetName val="ADR"/>
      <sheetName val="CC16-내역서"/>
      <sheetName val="Y-WORK"/>
      <sheetName val="INPUT"/>
      <sheetName val="TRE TABLE"/>
      <sheetName val="C3"/>
      <sheetName val="회사정보"/>
      <sheetName val="입찰내역 발주처 양식"/>
      <sheetName val="_x0018__x0000_"/>
      <sheetName val=""/>
      <sheetName val="실행간접비용"/>
      <sheetName val="수량산출"/>
      <sheetName val="22철거수량"/>
      <sheetName val="슬래브"/>
      <sheetName val="slipsumpR"/>
      <sheetName val="품셈표"/>
      <sheetName val="갑근세납세필증명원"/>
      <sheetName val="월별수입"/>
      <sheetName val="차수"/>
      <sheetName val="담보"/>
      <sheetName val="1유리"/>
      <sheetName val="예적금"/>
      <sheetName val="월별손익"/>
      <sheetName val="매출"/>
      <sheetName val="비가동-20"/>
      <sheetName val="완제품3"/>
      <sheetName val="MEMORY"/>
      <sheetName val="참조시트"/>
      <sheetName val="2.주요계수총괄"/>
      <sheetName val="BEST"/>
      <sheetName val="통장출금액"/>
      <sheetName val="카메라"/>
      <sheetName val="실적"/>
      <sheetName val="자금추ȕ"/>
      <sheetName val="공사내역"/>
      <sheetName val="504전기실 동부하-L"/>
      <sheetName val="Sheet15"/>
      <sheetName val="Sheet9"/>
      <sheetName val="DUT-BAT1"/>
      <sheetName val="YES-T"/>
      <sheetName val="cp-e1"/>
      <sheetName val="입출재고현황 (2)"/>
      <sheetName val="건축내역"/>
      <sheetName val="주현(해보)"/>
      <sheetName val="주현(영광)"/>
      <sheetName val="0001new"/>
      <sheetName val="05년말(건재)"/>
      <sheetName val="물량표S"/>
      <sheetName val="자금운용계획표"/>
      <sheetName val="원가서"/>
      <sheetName val="부대공"/>
      <sheetName val="국내총괄"/>
      <sheetName val="특판제외"/>
      <sheetName val="건축공사실행"/>
      <sheetName val="건축원가"/>
      <sheetName val="5사남"/>
      <sheetName val="020114"/>
      <sheetName val="0111월"/>
      <sheetName val="양식3"/>
      <sheetName val="퇴충"/>
      <sheetName val="요약PL"/>
      <sheetName val="FAB"/>
      <sheetName val="수지"/>
      <sheetName val="Sheet4"/>
      <sheetName val="BAND(200)"/>
      <sheetName val="OUTER AREA(겹침없음)"/>
      <sheetName val="EG-09"/>
      <sheetName val="M3산출"/>
      <sheetName val="EL 표면적"/>
      <sheetName val="양식(직판용)"/>
      <sheetName val="部署名"/>
      <sheetName val="車両別燃費及び油類単価"/>
      <sheetName val="시산표"/>
      <sheetName val="월별예산"/>
      <sheetName val="목록"/>
      <sheetName val="중기"/>
      <sheetName val="연돌일위집계"/>
      <sheetName val="1_종합손익(도급)1"/>
      <sheetName val="推移グラフ"/>
      <sheetName val="수종별수량 (2)"/>
      <sheetName val="구간별수량"/>
      <sheetName val="Weekly Progress(계장)"/>
      <sheetName val="공사비증감"/>
      <sheetName val="찍기"/>
      <sheetName val="단가일람"/>
      <sheetName val="단위량당중기"/>
      <sheetName val="수량집계표(舊)"/>
      <sheetName val="부속동"/>
      <sheetName val="설계명세서"/>
      <sheetName val="전신환매도율"/>
      <sheetName val="경비"/>
      <sheetName val="GAEYO"/>
      <sheetName val="내역표지"/>
      <sheetName val="내역(한신APT)"/>
      <sheetName val="1. 시공측량"/>
      <sheetName val="PIPE"/>
      <sheetName val="FLANGE"/>
      <sheetName val="VALVE"/>
      <sheetName val="현금"/>
      <sheetName val="교각계산"/>
      <sheetName val="한강운반비"/>
      <sheetName val="동절기투입(자재)"/>
      <sheetName val="품목"/>
      <sheetName val="음료실행"/>
      <sheetName val="공통비(전체)"/>
      <sheetName val="토목공사"/>
      <sheetName val="새공통(96임금인상기준)"/>
      <sheetName val="비교1"/>
      <sheetName val="유림총괄"/>
      <sheetName val="단면 (2)"/>
      <sheetName val="감가상각비"/>
      <sheetName val="Year"/>
      <sheetName val="인원계획-미화"/>
      <sheetName val="Prices"/>
      <sheetName val="조정내역"/>
      <sheetName val="CF6"/>
      <sheetName val="Cover"/>
      <sheetName val="목차"/>
      <sheetName val="기본원칙"/>
      <sheetName val="예산전제"/>
      <sheetName val="전사 PL"/>
      <sheetName val="자금 제외 PL"/>
      <sheetName val="자금 PL"/>
      <sheetName val="전사 BS"/>
      <sheetName val="자금 제외 BS"/>
      <sheetName val="자금 BS"/>
      <sheetName val="BS 계정 설명"/>
      <sheetName val=" Cash Flow(전사)"/>
      <sheetName val=" Cash Flow(자금제외)"/>
      <sheetName val=" Cash Flow(자금)"/>
      <sheetName val="ROIC "/>
      <sheetName val="인력계획"/>
      <sheetName val="인건비 명세"/>
      <sheetName val="판관비 명세"/>
      <sheetName val="배부판관비내역"/>
      <sheetName val="OH Cost경비(내역)"/>
      <sheetName val="OH Cost경비(배부기준)"/>
      <sheetName val="기타수지&amp;특별손익 명세"/>
      <sheetName val="전사공통손익"/>
      <sheetName val="투자성경비"/>
      <sheetName val="자금계획(장단기차입금)"/>
      <sheetName val="자금계획(순지급이자)"/>
      <sheetName val="투자계획"/>
      <sheetName val="고정자산증감내역"/>
      <sheetName val="조직도"/>
      <sheetName val="9710"/>
      <sheetName val="물량"/>
      <sheetName val="노임"/>
      <sheetName val="전사_PL"/>
      <sheetName val="자금_제외_PL"/>
      <sheetName val="자금_PL"/>
      <sheetName val="전사_BS"/>
      <sheetName val="자금_제외_BS"/>
      <sheetName val="자금_BS"/>
      <sheetName val="BS_계정_설명"/>
      <sheetName val="_Cash_Flow(전사)"/>
      <sheetName val="_Cash_Flow(자금제외)"/>
      <sheetName val="_Cash_Flow(자금)"/>
      <sheetName val="ROIC_"/>
      <sheetName val="인건비_명세"/>
      <sheetName val="판관비_명세"/>
      <sheetName val="OH_Cost경비(내역)"/>
      <sheetName val="OH_Cost경비(배부기준)"/>
      <sheetName val="기타수지&amp;특별손익_명세"/>
      <sheetName val="01_02월_성과급"/>
      <sheetName val="Process List"/>
      <sheetName val="설비등록목록"/>
      <sheetName val="생산직"/>
      <sheetName val="집계확인"/>
      <sheetName val="선수금"/>
      <sheetName val="Sheet11"/>
      <sheetName val="PVM#10"/>
      <sheetName val="재공품"/>
      <sheetName val="제시 손익계산서"/>
      <sheetName val="제시PL(최종)"/>
      <sheetName val="업무연락 (2)"/>
      <sheetName val="제시대차대조표"/>
      <sheetName val="M_7회차 담금_계획"/>
      <sheetName val="통합손익(TGIF)"/>
      <sheetName val="통합손익"/>
      <sheetName val="저속"/>
      <sheetName val="01.02월 성과급"/>
      <sheetName val="발생집계"/>
      <sheetName val="96PAYC"/>
      <sheetName val="뒤차축소"/>
      <sheetName val="09~10년 매출계획"/>
      <sheetName val="??"/>
      <sheetName val="97 사업추정(WEKI)"/>
      <sheetName val="Sound9월"/>
      <sheetName val="_x005f_x0000__x005f_x0000_"/>
      <sheetName val="96월별PL"/>
      <sheetName val="팀별 실적"/>
      <sheetName val="팀별 실적 (환산)"/>
      <sheetName val="손익(11)_수출포함"/>
      <sheetName val="예산대실적"/>
      <sheetName val="품종별월계"/>
      <sheetName val="출입자명단"/>
      <sheetName val="989월실행"/>
      <sheetName val="환산TB"/>
      <sheetName val="6월 공정외주"/>
      <sheetName val="공정단가계약"/>
      <sheetName val="병"/>
      <sheetName val="64061000"/>
      <sheetName val="钢板差异"/>
      <sheetName val="시험연구비상각"/>
      <sheetName val="외화"/>
      <sheetName val="Tong hop"/>
      <sheetName val="MarketData"/>
      <sheetName val="Definitions"/>
      <sheetName val="95.1.1이후취득자산(숨기기상태)"/>
      <sheetName val="RV미수수익보정"/>
      <sheetName val="불균등-거치외(미수)"/>
      <sheetName val="불균등-TOP(선수)"/>
      <sheetName val="법인구분"/>
      <sheetName val="기초코드"/>
      <sheetName val="1.MDF1공장"/>
      <sheetName val="제1호"/>
      <sheetName val="차액보증"/>
      <sheetName val="KAM설비"/>
      <sheetName val="철골공사"/>
      <sheetName val="구성비"/>
      <sheetName val="A"/>
      <sheetName val="Training"/>
      <sheetName val="Facility Information"/>
      <sheetName val="General"/>
      <sheetName val="Instructions"/>
      <sheetName val="People"/>
      <sheetName val="Quality"/>
      <sheetName val="Risk"/>
      <sheetName val="주차"/>
      <sheetName val="P.M 별"/>
      <sheetName val="FRQ"/>
      <sheetName val="기준"/>
      <sheetName val="주행"/>
      <sheetName val="시화점실행"/>
      <sheetName val="전도품의"/>
      <sheetName val="BOX-1510"/>
      <sheetName val="경비2내역"/>
      <sheetName val="_x005f_x0018__x005f_x0000_"/>
      <sheetName val="자재목록"/>
      <sheetName val="정부노임단가"/>
      <sheetName val="P-산#1-1(WOWA1)"/>
      <sheetName val="1_종합손익(도급)2"/>
      <sheetName val="1_종합손익(주택,개발)1"/>
      <sheetName val="2_실행예산1"/>
      <sheetName val="2_2과부족1"/>
      <sheetName val="2_3원가절감1"/>
      <sheetName val="8_외주비집행현황1"/>
      <sheetName val="9_자재비1"/>
      <sheetName val="10_현장집행1"/>
      <sheetName val="3_추가원가1"/>
      <sheetName val="3_추가원가_(2)1"/>
      <sheetName val="4_사전공사1"/>
      <sheetName val="5_추정공사비1"/>
      <sheetName val="6_금융비용1"/>
      <sheetName val="7_공사비집행현황(총괄)1"/>
      <sheetName val="11_1생산성1"/>
      <sheetName val="11_2인원산출1"/>
      <sheetName val="변경실행(2차)_1"/>
      <sheetName val="CC_Down_load_07161"/>
      <sheetName val="나_출고1"/>
      <sheetName val="나_입고1"/>
      <sheetName val="__한국_AMP_ASP-23_판매가격__"/>
      <sheetName val="09년_인건비(속리산)1"/>
      <sheetName val="합산목표(감가+57_5)1"/>
      <sheetName val="제조원가_원단위_분석"/>
      <sheetName val="종합표양식(품의_&amp;_입고)_2"/>
      <sheetName val="원가관리_(동월대비)"/>
      <sheetName val="b_balju_(2)"/>
      <sheetName val="2-2_매출분석"/>
      <sheetName val="몰드시스템_리스트"/>
      <sheetName val="11_외화채무증권(AFS,HTM)08"/>
      <sheetName val="13_감액TEST_08"/>
      <sheetName val="7_(2)"/>
      <sheetName val="12년_CF(9월)"/>
      <sheetName val="중기조종사_단위단가"/>
      <sheetName val="6PILE__(돌출)"/>
      <sheetName val="기성청구_공문1"/>
      <sheetName val="Sheet1_(2)"/>
      <sheetName val="2_대외공문"/>
      <sheetName val="表21_净利润调节表"/>
      <sheetName val="sum1_(2)"/>
      <sheetName val="3_바닥판설계"/>
      <sheetName val="504전기실_동부하-L"/>
      <sheetName val="2_총괄표"/>
      <sheetName val="OUTER_AREA(겹침없음)"/>
      <sheetName val="EL_표면적"/>
      <sheetName val="변동인원"/>
      <sheetName val="1_종합손익(도급)3"/>
      <sheetName val="1_종합손익(주택,개발)2"/>
      <sheetName val="2_실행예산2"/>
      <sheetName val="2_2과부족2"/>
      <sheetName val="2_3원가절감2"/>
      <sheetName val="8_외주비집행현황2"/>
      <sheetName val="9_자재비2"/>
      <sheetName val="10_현장집행2"/>
      <sheetName val="3_추가원가2"/>
      <sheetName val="3_추가원가_(2)2"/>
      <sheetName val="4_사전공사2"/>
      <sheetName val="5_추정공사비2"/>
      <sheetName val="6_금융비용2"/>
      <sheetName val="7_공사비집행현황(총괄)2"/>
      <sheetName val="11_1생산성2"/>
      <sheetName val="11_2인원산출2"/>
      <sheetName val="변경실행(2차)_2"/>
      <sheetName val="CC_Down_load_07162"/>
      <sheetName val="나_출고2"/>
      <sheetName val="나_입고2"/>
      <sheetName val="09년_인건비(속리산)2"/>
      <sheetName val="합산목표(감가+57_5)2"/>
      <sheetName val="__한국_AMP_ASP-23_판매가격__1"/>
      <sheetName val="제조원가_원단위_분석1"/>
      <sheetName val="종합표양식(품의_&amp;_입고)_21"/>
      <sheetName val="원가관리_(동월대비)1"/>
      <sheetName val="b_balju_(2)1"/>
      <sheetName val="2-2_매출분석1"/>
      <sheetName val="몰드시스템_리스트1"/>
      <sheetName val="11_외화채무증권(AFS,HTM)081"/>
      <sheetName val="13_감액TEST_081"/>
      <sheetName val="7_(2)1"/>
      <sheetName val="12년_CF(9월)1"/>
      <sheetName val="중기조종사_단위단가1"/>
      <sheetName val="6PILE__(돌출)1"/>
      <sheetName val="기성청구_공문2"/>
      <sheetName val="Sheet1_(2)1"/>
      <sheetName val="2_대외공문1"/>
      <sheetName val="表21_净利润调节表1"/>
      <sheetName val="sum1_(2)1"/>
      <sheetName val="3_바닥판설계1"/>
      <sheetName val="504전기실_동부하-L1"/>
      <sheetName val="2_총괄표1"/>
      <sheetName val="OUTER_AREA(겹침없음)1"/>
      <sheetName val="EL_표면적1"/>
      <sheetName val="P_M_별"/>
      <sheetName val="설치원가"/>
      <sheetName val="터파기및재료"/>
      <sheetName val="3본사"/>
      <sheetName val="98지급계획"/>
      <sheetName val="납부내역총괄표 (수정)"/>
      <sheetName val="분전함신설"/>
      <sheetName val="접지1종"/>
      <sheetName val="Sheet5"/>
      <sheetName val="설계명세서(선로)"/>
      <sheetName val="직재"/>
      <sheetName val="PAD TR보호대기초"/>
      <sheetName val="HANDHOLE(2)"/>
      <sheetName val="가로등기초"/>
      <sheetName val="상가지급현황"/>
      <sheetName val="대구경북"/>
      <sheetName val="월별손익현황"/>
      <sheetName val="서울서부"/>
      <sheetName val="부산경남"/>
      <sheetName val="서울동부"/>
      <sheetName val="인천경기"/>
      <sheetName val="중부본부"/>
      <sheetName val="호남본부"/>
      <sheetName val="15년"/>
      <sheetName val="16년"/>
      <sheetName val="일위(PN)"/>
      <sheetName val="1.본사계정별"/>
      <sheetName val="도"/>
      <sheetName val="의정부문예회관변경내역"/>
      <sheetName val="건축2"/>
      <sheetName val="FB25JN"/>
      <sheetName val="_x0018_?"/>
      <sheetName val="原価センタ"/>
      <sheetName val="Data Validation"/>
      <sheetName val="근거 및 가정"/>
      <sheetName val="2 카드채권(대출포함)"/>
      <sheetName val="125PIECE"/>
      <sheetName val="위탁매매_1103"/>
      <sheetName val="자기매매_1103"/>
      <sheetName val="위탁매매_1109"/>
      <sheetName val="자기매매_1109"/>
      <sheetName val="_x005f_x0018_"/>
      <sheetName val="1.차입금"/>
      <sheetName val="choose"/>
      <sheetName val="기초"/>
      <sheetName val="재무상태표"/>
      <sheetName val="본문"/>
      <sheetName val="전체철근집계"/>
      <sheetName val="118.세금과공과"/>
      <sheetName val="수선비"/>
      <sheetName val="FILE1"/>
      <sheetName val="FILE2"/>
      <sheetName val="6-5공구원본"/>
      <sheetName val="부대시행1"/>
      <sheetName val="부대시행1 (2)"/>
      <sheetName val="부대시행2"/>
      <sheetName val="부대토공"/>
      <sheetName val="부대철콘"/>
      <sheetName val="부대토공실"/>
      <sheetName val="부대철콘실"/>
      <sheetName val="Sheet8"/>
      <sheetName val="95하U$가격"/>
      <sheetName val="3.6.2남양주택배"/>
      <sheetName val="ETC"/>
      <sheetName val="Back Data 1"/>
      <sheetName val="Manual"/>
      <sheetName val="__"/>
      <sheetName val="슬래԰"/>
      <sheetName val="슬래"/>
      <sheetName val="슬래렀"/>
      <sheetName val="슬래㰀"/>
      <sheetName val="총괄표"/>
      <sheetName val="슬래밀"/>
      <sheetName val="선급비용"/>
      <sheetName val="접대비"/>
      <sheetName val="해외 기술훈련비 (합계)"/>
      <sheetName val="최소가치(간편)-회계"/>
      <sheetName val="회사제시"/>
      <sheetName val="소총괄표"/>
      <sheetName val="아파트연면적비율(참고1)"/>
      <sheetName val="1월 예산"/>
      <sheetName val="슬래　"/>
      <sheetName val="슬래尀"/>
      <sheetName val="슬래⠀"/>
      <sheetName val="슬래"/>
      <sheetName val="슬래堌"/>
      <sheetName val="전선 및 전선관"/>
      <sheetName val="연습"/>
      <sheetName val="슬래䰀"/>
      <sheetName val="슬래簀"/>
      <sheetName val="슬래퀀"/>
      <sheetName val="슬래뀀"/>
      <sheetName val="슬래瀀"/>
      <sheetName val="슬래鰀"/>
      <sheetName val="BD%_70s"/>
      <sheetName val="11월"/>
      <sheetName val="특외대"/>
      <sheetName val=" 견적서"/>
      <sheetName val="0101시산표"/>
      <sheetName val="oct"/>
      <sheetName val="sep"/>
      <sheetName val="미지급금"/>
      <sheetName val="선급금"/>
      <sheetName val="aug"/>
      <sheetName val="단기차입금"/>
      <sheetName val="외화보통예금"/>
      <sheetName val="외회외상매입금"/>
      <sheetName val="외화외상매출금"/>
      <sheetName val="장기차입금"/>
      <sheetName val="기초정보"/>
      <sheetName val="노동부"/>
      <sheetName val="#1) 투자 구분"/>
      <sheetName val="공사비예산서(토목분)"/>
      <sheetName val="선평원내역"/>
      <sheetName val="판가반영"/>
      <sheetName val="개산공사비"/>
      <sheetName val="배수공"/>
      <sheetName val="BID"/>
      <sheetName val="식재품셈"/>
      <sheetName val="일위대가(계측기설치)"/>
      <sheetName val="부하(성남)"/>
      <sheetName val="기둥(원형)"/>
      <sheetName val="감액총괄표"/>
      <sheetName val="9GNG운반"/>
      <sheetName val="Master"/>
      <sheetName val="Macro1"/>
      <sheetName val="설문 평가"/>
      <sheetName val="설산1.나"/>
      <sheetName val="본사S"/>
      <sheetName val="수량산출내역1115"/>
      <sheetName val="원가1"/>
      <sheetName val="원가2"/>
      <sheetName val="U_TYPE_1_"/>
      <sheetName val="약품공급2"/>
      <sheetName val="1_종합손익(도급)4"/>
      <sheetName val="1_종합손익(주택,개발)3"/>
      <sheetName val="2_실행예산3"/>
      <sheetName val="2_2과부족3"/>
      <sheetName val="2_3원가절감3"/>
      <sheetName val="8_외주비집행현황3"/>
      <sheetName val="9_자재비3"/>
      <sheetName val="10_현장집행3"/>
      <sheetName val="3_추가원가3"/>
      <sheetName val="3_추가원가_(2)3"/>
      <sheetName val="4_사전공사3"/>
      <sheetName val="5_추정공사비3"/>
      <sheetName val="6_금융비용3"/>
      <sheetName val="7_공사비집행현황(총괄)3"/>
      <sheetName val="11_1생산성3"/>
      <sheetName val="11_2인원산출3"/>
      <sheetName val="CC_Down_load_07163"/>
      <sheetName val="변경실행(2차)_3"/>
      <sheetName val="나_출고3"/>
      <sheetName val="나_입고3"/>
      <sheetName val="09년_인건비(속리산)3"/>
      <sheetName val="합산목표(감가+57_5)3"/>
      <sheetName val="b_balju_(2)2"/>
      <sheetName val="__한국_AMP_ASP-23_판매가격__2"/>
      <sheetName val="중기조종사_단위단가2"/>
      <sheetName val="6PILE__(돌출)2"/>
      <sheetName val="기성청구_공문3"/>
      <sheetName val="2_주요계수총괄"/>
      <sheetName val="제조원가_원단위_분석2"/>
      <sheetName val="종합표양식(품의_&amp;_입고)_22"/>
      <sheetName val="원가관리_(동월대비)2"/>
      <sheetName val="7_(2)2"/>
      <sheetName val="2-2_매출분석2"/>
      <sheetName val="몰드시스템_리스트2"/>
      <sheetName val="sum1_(2)2"/>
      <sheetName val="11_외화채무증권(AFS,HTM)082"/>
      <sheetName val="13_감액TEST_082"/>
      <sheetName val="Sheet1_(2)2"/>
      <sheetName val="3_바닥판설계2"/>
      <sheetName val="2_총괄표2"/>
      <sheetName val="입찰내역_발주처_양식"/>
      <sheetName val="12년_CF(9월)2"/>
      <sheetName val="Project_Brief"/>
      <sheetName val="表21_净利润调节表2"/>
      <sheetName val="입출재고현황_(2)"/>
      <sheetName val="2_대외공문2"/>
      <sheetName val="TRE_TABLE"/>
      <sheetName val="504전기실_동부하-L2"/>
      <sheetName val="OUTER_AREA(겹침없음)2"/>
      <sheetName val="EL_표면적2"/>
      <sheetName val="P_M_별1"/>
      <sheetName val="단면_(2)"/>
      <sheetName val="1_본사계정별"/>
      <sheetName val="전사_PL1"/>
      <sheetName val="자금_제외_PL1"/>
      <sheetName val="자금_PL1"/>
      <sheetName val="전사_BS1"/>
      <sheetName val="자금_제외_BS1"/>
      <sheetName val="자금_BS1"/>
      <sheetName val="BS_계정_설명1"/>
      <sheetName val="_Cash_Flow(전사)1"/>
      <sheetName val="_Cash_Flow(자금제외)1"/>
      <sheetName val="_Cash_Flow(자금)1"/>
      <sheetName val="ROIC_1"/>
      <sheetName val="인건비_명세1"/>
      <sheetName val="판관비_명세1"/>
      <sheetName val="OH_Cost경비(내역)1"/>
      <sheetName val="OH_Cost경비(배부기준)1"/>
      <sheetName val="기타수지&amp;특별손익_명세1"/>
      <sheetName val="Process_List"/>
      <sheetName val="제시_손익계산서"/>
      <sheetName val="업무연락_(2)"/>
      <sheetName val="M_7회차_담금_계획"/>
      <sheetName val="01_02월_성과급1"/>
      <sheetName val="09~10년_매출계획"/>
      <sheetName val="97_사업추정(WEKI)"/>
      <sheetName val="팀별_실적"/>
      <sheetName val="팀별_실적_(환산)"/>
      <sheetName val="6월_공정외주"/>
      <sheetName val="Tong_hop"/>
      <sheetName val="95_1_1이후취득자산(숨기기상태)"/>
      <sheetName val="1_MDF1공장"/>
      <sheetName val="Facility_Information"/>
      <sheetName val="소야공정계획표"/>
      <sheetName val="명단원자료(이전)"/>
      <sheetName val="Data_Validation"/>
      <sheetName val="품목코드표"/>
      <sheetName val="부서별집계표"/>
      <sheetName val="금년실적"/>
      <sheetName val="Utility Usage YTN TOWER"/>
      <sheetName val="B-1.기본정보"/>
      <sheetName val="RAW"/>
      <sheetName val="Bond"/>
      <sheetName val="원본"/>
      <sheetName val="要員用master"/>
      <sheetName val="TB"/>
      <sheetName val="PL"/>
      <sheetName val="CS"/>
      <sheetName val="공정"/>
      <sheetName val="예산계정INDEX"/>
      <sheetName val="환율change"/>
      <sheetName val="일반관리비"/>
      <sheetName val="보고서"/>
      <sheetName val="인수기간별S"/>
      <sheetName val="본부유지율"/>
      <sheetName val="4-2물건누계"/>
      <sheetName val="자동차추정자료"/>
      <sheetName val="손해감소유형"/>
      <sheetName val="7"/>
      <sheetName val="항목"/>
      <sheetName val="대투_보관자료 변경"/>
      <sheetName val="내수자재"/>
      <sheetName val="종단계산"/>
      <sheetName val="산출근거(S4)"/>
      <sheetName val="MAT"/>
      <sheetName val="설계조건"/>
      <sheetName val="화전내"/>
      <sheetName val="2013.2월 연결대상"/>
      <sheetName val="BS_Package_내부거래"/>
      <sheetName val="PL_Package_내부거래"/>
      <sheetName val="손익실적"/>
      <sheetName val="손익실적(매출원가)"/>
      <sheetName val="당년사별실적"/>
      <sheetName val="VXXXX"/>
      <sheetName val="탄산"/>
      <sheetName val="IS"/>
      <sheetName val="sheet6"/>
      <sheetName val="TYPE-1"/>
      <sheetName val="견적"/>
      <sheetName val="설치자재"/>
      <sheetName val="공사비_NDE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청천내"/>
      <sheetName val="현장경비"/>
      <sheetName val="데이타"/>
      <sheetName val="세금자료"/>
      <sheetName val="수량산출서 갑지"/>
      <sheetName val="실행기성 갑지"/>
      <sheetName val="Eq. Mobilization"/>
      <sheetName val="表21_净利润夐#奜#"/>
      <sheetName val="기초견적가"/>
      <sheetName val="TANK"/>
      <sheetName val="조건표"/>
      <sheetName val="결과조달"/>
      <sheetName val="견적대비표"/>
      <sheetName val="포장복구집계"/>
      <sheetName val="간선계산"/>
      <sheetName val="AS복구"/>
      <sheetName val="2000년1차"/>
      <sheetName val="Code"/>
      <sheetName val="전기"/>
      <sheetName val="ITEM"/>
      <sheetName val="일반공사"/>
      <sheetName val="터널조도"/>
      <sheetName val="중기터파기"/>
      <sheetName val="G.R300경비"/>
      <sheetName val="계수시트"/>
      <sheetName val="투찰"/>
      <sheetName val="AS포장복구 "/>
      <sheetName val="시설물일위"/>
      <sheetName val="가설공사"/>
      <sheetName val="수목데이타"/>
      <sheetName val="단가조사"/>
      <sheetName val="식재"/>
      <sheetName val="99노임기준"/>
      <sheetName val="변수값"/>
      <sheetName val="요율"/>
      <sheetName val="2공구하도급내역서"/>
      <sheetName val="시설물"/>
      <sheetName val="연결임시"/>
      <sheetName val="구조물공"/>
      <sheetName val="부대tu"/>
      <sheetName val="9509"/>
      <sheetName val="투찰추정"/>
      <sheetName val="하부철근수량"/>
      <sheetName val="식재출력용"/>
      <sheetName val="가로등내역서"/>
      <sheetName val="저"/>
      <sheetName val="Baby일위대가"/>
      <sheetName val="실행대비"/>
      <sheetName val="지급자재"/>
      <sheetName val="노무비단가"/>
      <sheetName val="관리,공감"/>
      <sheetName val="식재인부"/>
      <sheetName val="입찰"/>
      <sheetName val="산출내역서"/>
      <sheetName val="4차원가계산서"/>
      <sheetName val="중기상차"/>
      <sheetName val="단가결정"/>
      <sheetName val="유지관리"/>
      <sheetName val="내역아"/>
      <sheetName val="여과지동"/>
      <sheetName val="울타리"/>
      <sheetName val="기초자료"/>
      <sheetName val="자재대"/>
      <sheetName val="조명율표"/>
      <sheetName val="원가"/>
      <sheetName val="공정코드"/>
      <sheetName val="토공"/>
      <sheetName val="총괄-1"/>
      <sheetName val="도급"/>
      <sheetName val="포장공"/>
      <sheetName val="설 계"/>
      <sheetName val="현경"/>
      <sheetName val="단가대비표"/>
      <sheetName val="제-노임"/>
      <sheetName val="N賃率-職"/>
      <sheetName val="기계"/>
      <sheetName val="정화조"/>
      <sheetName val="토목"/>
      <sheetName val="기계경비"/>
      <sheetName val="98수문일위"/>
      <sheetName val="배수내역"/>
      <sheetName val="최적단면"/>
      <sheetName val="준검 내역서"/>
      <sheetName val="을-ATYPE"/>
      <sheetName val="대전-교대(A1-A2)"/>
      <sheetName val="CAT_5"/>
      <sheetName val="Rev. Recon 1"/>
      <sheetName val="1.고객불만건수"/>
      <sheetName val="1.변경범위"/>
      <sheetName val="予算実績管理現況"/>
      <sheetName val="Back_Data_1"/>
      <sheetName val="※유형구분분류"/>
      <sheetName val="※类型区分分类"/>
      <sheetName val="선택창"/>
      <sheetName val="외주현황.wq1"/>
      <sheetName val="첨부1(손익관리)"/>
      <sheetName val="카메라2"/>
      <sheetName val="카메라1"/>
      <sheetName val="첨부11(기계정지개선)"/>
      <sheetName val="카메라3"/>
      <sheetName val="카메라-생산실적"/>
      <sheetName val="카메라-생산실적분석"/>
      <sheetName val="FA-LISTING"/>
      <sheetName val="추정pl"/>
      <sheetName val="FitOutConfCentre"/>
      <sheetName val="수목단가"/>
      <sheetName val="시설수량표"/>
      <sheetName val="식재수량표"/>
      <sheetName val="F 월별기성수금현황 "/>
      <sheetName val="호남본"/>
      <sheetName val="KEY CODE"/>
      <sheetName val="2-1.강사료,교통비 지급명세"/>
      <sheetName val="13.포장용역비표준"/>
      <sheetName val="9.가공부자재표준"/>
      <sheetName val="8.ROLL표준(TSW)"/>
      <sheetName val="4.톤당조관량표준"/>
      <sheetName val="5.조관부자재표준"/>
      <sheetName val="고정자산-회사제시"/>
      <sheetName val="해외_기술훈련비_(합계)"/>
      <sheetName val="118_세금과공과"/>
      <sheetName val="RE"/>
      <sheetName val="FP"/>
      <sheetName val="97년"/>
      <sheetName val="????"/>
      <sheetName val="규"/>
      <sheetName val="규(3)"/>
      <sheetName val="소"/>
      <sheetName val="RE(2)"/>
      <sheetName val="4. Inj 투자상세내역"/>
      <sheetName val="3. Blow 투자 상세내역"/>
      <sheetName val="4__Inj_투자상세내역"/>
      <sheetName val="3__Blow_투자_상세내역"/>
      <sheetName val="Jul-Sep Actual cost (2)"/>
      <sheetName val="97실적"/>
      <sheetName val="을지"/>
      <sheetName val="npv"/>
      <sheetName val="13손익(실적)"/>
      <sheetName val="이름표시"/>
      <sheetName val="요일 테이블"/>
      <sheetName val="요일테이블"/>
      <sheetName val="요일_테이블"/>
      <sheetName val="요일 테이블 (2)"/>
      <sheetName val="TO Data Base"/>
      <sheetName val="YTD Summary"/>
      <sheetName val="Month Summary"/>
      <sheetName val="Trial Balance MAY 2009"/>
      <sheetName val="TB Pivot"/>
      <sheetName val="Freight"/>
      <sheetName val="Freight-loc"/>
      <sheetName val="Freight-Mat"/>
      <sheetName val="Rebates"/>
      <sheetName val="total per LB LB2"/>
      <sheetName val="Trial Balance Vlookup"/>
      <sheetName val="Trial Balance APRIL 2009"/>
      <sheetName val="目录"/>
      <sheetName val="Lists"/>
      <sheetName val="Step2_Correlation"/>
      <sheetName val="Step2_Histogram"/>
      <sheetName val="Roll Out_AQ"/>
      <sheetName val="DePara"/>
      <sheetName val="2004"/>
      <sheetName val="VPO"/>
      <sheetName val="Evolução mandamentos"/>
      <sheetName val="Prod"/>
      <sheetName val="Eficiencia"/>
      <sheetName val="Tabelas"/>
      <sheetName val="Planilha resultados"/>
      <sheetName val="Custos"/>
      <sheetName val="Historico 2003"/>
      <sheetName val="BH"/>
      <sheetName val="Ferias"/>
      <sheetName val="Sig Cycles_Accts &amp; Processes"/>
      <sheetName val="TO_Data_Base"/>
      <sheetName val="YTD_Summary"/>
      <sheetName val="Month_Summary"/>
      <sheetName val="Trial_Balance_MAY_2009"/>
      <sheetName val="TB_Pivot"/>
      <sheetName val="total_per_LB_LB2"/>
      <sheetName val="Trial_Balance_Vlookup"/>
      <sheetName val="Trial_Balance_APRIL_2009"/>
      <sheetName val="Roll_Out_AQ"/>
      <sheetName val="Evolução_mandamentos"/>
      <sheetName val="3 ISo YTD"/>
      <sheetName val="GuV"/>
      <sheetName val="E 法规NC"/>
      <sheetName val="KPI与VIC"/>
      <sheetName val="Données LMU"/>
      <sheetName val="Brazil Sovereign"/>
      <sheetName val="Gauge"/>
      <sheetName val="Resumen Costo"/>
      <sheetName val="Production_REP_CURR"/>
      <sheetName val="Dropdownlists"/>
      <sheetName val="Tabs"/>
      <sheetName val="padajuća_lista"/>
      <sheetName val="Controls_data"/>
      <sheetName val="Assiduidade"/>
      <sheetName val="Fixed ZBB"/>
      <sheetName val="TO_Data_Base1"/>
      <sheetName val="STARTSHEET"/>
      <sheetName val="Base_PEF2"/>
      <sheetName val="CADASTRO"/>
      <sheetName val="dados"/>
      <sheetName val="DIST"/>
      <sheetName val="MALHAD"/>
      <sheetName val="MUG"/>
      <sheetName val="packages"/>
      <sheetName val="Curve"/>
      <sheetName val="PUXADIA"/>
      <sheetName val="Controls_data2"/>
      <sheetName val="5.1"/>
      <sheetName val="Extract Loss"/>
      <sheetName val="QA 跟踪记录表"/>
      <sheetName val="RG Depots"/>
      <sheetName val="Overview"/>
      <sheetName val="material data"/>
      <sheetName val="other data"/>
      <sheetName val="Como Estamos"/>
      <sheetName val="Front"/>
      <sheetName val="#REF!"/>
      <sheetName val="Database (RUR)Mar YTD"/>
      <sheetName val="参数"/>
      <sheetName val="数据"/>
      <sheetName val="Mapping"/>
      <sheetName val="SKU Mapping"/>
      <sheetName val="参数表"/>
      <sheetName val="Drop Down"/>
      <sheetName val="相关字段"/>
      <sheetName val="产品层次"/>
      <sheetName val="Drops"/>
      <sheetName val="HuNan"/>
      <sheetName val="销售组织"/>
      <sheetName val="物料类型清单"/>
      <sheetName val="评估级别"/>
      <sheetName val="Volumen"/>
      <sheetName val="Parameters"/>
      <sheetName val="Cases"/>
      <sheetName val="Revenues"/>
      <sheetName val="Assumptions"/>
      <sheetName val="Raw Data"/>
      <sheetName val="10年KPI预算"/>
      <sheetName val="数据源"/>
      <sheetName val="EBM-2 GHQ"/>
      <sheetName val="Base PEF"/>
      <sheetName val="Canal"/>
      <sheetName val="Ajustes"/>
      <sheetName val="Placas"/>
      <sheetName val="TO_Data_Base3"/>
      <sheetName val="YTD_Summary3"/>
      <sheetName val="Month_Summary3"/>
      <sheetName val="Trial_Balance_MAY_20093"/>
      <sheetName val="TB_Pivot3"/>
      <sheetName val="total_per_LB_LB23"/>
      <sheetName val="Trial_Balance_Vlookup3"/>
      <sheetName val="Trial_Balance_APRIL_20093"/>
      <sheetName val="Evolução_mandamentos3"/>
      <sheetName val="Roll_Out_AQ3"/>
      <sheetName val="Planilha_resultados2"/>
      <sheetName val="Historico_20032"/>
      <sheetName val="Sig_Cycles_Accts_&amp;_Processes2"/>
      <sheetName val="YTD_Summary1"/>
      <sheetName val="Month_Summary1"/>
      <sheetName val="Trial_Balance_MAY_20091"/>
      <sheetName val="TB_Pivot1"/>
      <sheetName val="total_per_LB_LB21"/>
      <sheetName val="Trial_Balance_Vlookup1"/>
      <sheetName val="Trial_Balance_APRIL_20091"/>
      <sheetName val="Evolução_mandamentos1"/>
      <sheetName val="Roll_Out_AQ1"/>
      <sheetName val="Planilha_resultados"/>
      <sheetName val="Historico_2003"/>
      <sheetName val="Sig_Cycles_Accts_&amp;_Processes"/>
      <sheetName val="Feriados"/>
      <sheetName val="Crit"/>
      <sheetName val="Unidades_SAC-REVENDA1"/>
      <sheetName val="Engine"/>
      <sheetName val="REALxMETA_-_CERVEJA"/>
      <sheetName val="menu"/>
      <sheetName val="Principal"/>
      <sheetName val="PM"/>
      <sheetName val="Empresas"/>
      <sheetName val="REALxMETA_-_CERVEJA1"/>
      <sheetName val="Validate"/>
      <sheetName val="Premissas"/>
      <sheetName val="CDI"/>
      <sheetName val="Setup"/>
      <sheetName val="M-Quest"/>
      <sheetName val="Dev_SAC_"/>
      <sheetName val="Fab2"/>
      <sheetName val="MêsBase"/>
      <sheetName val="PREVISÃO"/>
      <sheetName val="12_1"/>
      <sheetName val="CVsku"/>
      <sheetName val="Financials"/>
      <sheetName val="Plan3"/>
      <sheetName val="Anual"/>
      <sheetName val="fabricas"/>
      <sheetName val="Plan1"/>
      <sheetName val="FRA"/>
      <sheetName val="COUPOM"/>
      <sheetName val="Brainstorming1"/>
      <sheetName val="aux"/>
      <sheetName val="Set_Up1"/>
      <sheetName val="BD"/>
      <sheetName val="Listas"/>
      <sheetName val="Meta"/>
      <sheetName val="Months_and_Countries"/>
      <sheetName val="Resumo"/>
      <sheetName val="Entrada_de_Dados1"/>
      <sheetName val="Projects_list"/>
      <sheetName val="Dev_Mercado"/>
      <sheetName val="Nossa_Meta"/>
      <sheetName val="Participantes"/>
      <sheetName val="EI_Calc1"/>
      <sheetName val="Controle"/>
      <sheetName val="9"/>
      <sheetName val="qyrMetas_Real"/>
      <sheetName val="REALxMETA_-_REFRI1"/>
      <sheetName val="Sispec99"/>
      <sheetName val="SispecPSAP"/>
      <sheetName val="Tab_Aux1"/>
      <sheetName val="Custo_Variável"/>
      <sheetName val="Bloomberg"/>
      <sheetName val="Dados_do_Packaging"/>
      <sheetName val="Tendência"/>
      <sheetName val="Perda_Lata"/>
      <sheetName val="Unidades_SAC-REVENDA"/>
      <sheetName val="JUNIO"/>
      <sheetName val="TO_Data_Base2"/>
      <sheetName val="YTD_Summary2"/>
      <sheetName val="Month_Summary2"/>
      <sheetName val="Trial_Balance_MAY_20092"/>
      <sheetName val="TB_Pivot2"/>
      <sheetName val="total_per_LB_LB22"/>
      <sheetName val="Trial_Balance_Vlookup2"/>
      <sheetName val="Trial_Balance_APRIL_20092"/>
      <sheetName val="Evolução_mandamentos2"/>
      <sheetName val="Roll_Out_AQ2"/>
      <sheetName val="Planilha_resultados1"/>
      <sheetName val="Historico_20031"/>
      <sheetName val="Sig_Cycles_Accts_&amp;_Processes1"/>
      <sheetName val="TO_Data_Base4"/>
      <sheetName val="YTD_Summary4"/>
      <sheetName val="Month_Summary4"/>
      <sheetName val="Trial_Balance_MAY_20094"/>
      <sheetName val="TB_Pivot4"/>
      <sheetName val="total_per_LB_LB24"/>
      <sheetName val="Trial_Balance_Vlookup4"/>
      <sheetName val="Trial_Balance_APRIL_20094"/>
      <sheetName val="Evolução_mandamentos4"/>
      <sheetName val="Roll_Out_AQ4"/>
      <sheetName val="Planilha_resultados3"/>
      <sheetName val="Historico_20033"/>
      <sheetName val="Sig_Cycles_Accts_&amp;_Processes3"/>
      <sheetName val="TO_Data_Base5"/>
      <sheetName val="YTD_Summary5"/>
      <sheetName val="Month_Summary5"/>
      <sheetName val="Trial_Balance_MAY_20095"/>
      <sheetName val="TB_Pivot5"/>
      <sheetName val="total_per_LB_LB25"/>
      <sheetName val="Trial_Balance_Vlookup5"/>
      <sheetName val="Trial_Balance_APRIL_20095"/>
      <sheetName val="Evolução_mandamentos5"/>
      <sheetName val="Roll_Out_AQ5"/>
      <sheetName val="Planilha_resultados4"/>
      <sheetName val="Historico_20034"/>
      <sheetName val="Sig_Cycles_Accts_&amp;_Processes4"/>
      <sheetName val="POA"/>
      <sheetName val="Parâmetros"/>
      <sheetName val="Base de Dados"/>
      <sheetName val="Margem_OE"/>
      <sheetName val="Testing Template Guidance"/>
      <sheetName val="Test Programs"/>
      <sheetName val="List"/>
      <sheetName val="VIC"/>
      <sheetName val="VLC"/>
      <sheetName val="BaseDados"/>
      <sheetName val="TO_Data_Base6"/>
      <sheetName val="YTD_Summary6"/>
      <sheetName val="Month_Summary6"/>
      <sheetName val="Trial_Balance_MAY_20096"/>
      <sheetName val="TB_Pivot6"/>
      <sheetName val="total_per_LB_LB26"/>
      <sheetName val="Trial_Balance_Vlookup6"/>
      <sheetName val="Trial_Balance_APRIL_20096"/>
      <sheetName val="Evolução_mandamentos6"/>
      <sheetName val="Roll_Out_AQ6"/>
      <sheetName val="Planilha_resultados5"/>
      <sheetName val="Historico_20035"/>
      <sheetName val="Sig_Cycles_Accts_&amp;_Processes5"/>
      <sheetName val="Back-up"/>
      <sheetName val="MOL"/>
      <sheetName val="Dados BLP"/>
      <sheetName val="Controls data"/>
      <sheetName val="核心经销商销量"/>
      <sheetName val="ValidDataDrops"/>
      <sheetName val="BLP"/>
      <sheetName val="FJJX Bud_IB"/>
      <sheetName val="DATOS"/>
      <sheetName val="look-up data"/>
      <sheetName val="Tabela1"/>
      <sheetName val="[손익기01.XL_x0000__x0000_DePara"/>
      <sheetName val="JOB PROFILE - LAS"/>
      <sheetName val="ARdistr (2)"/>
      <sheetName val="MonthlyChart_Budget"/>
      <sheetName val="Forecast_Chart"/>
      <sheetName val="Forecast_Chart_2"/>
      <sheetName val="Monthly_Forecast"/>
      <sheetName val="MonthlyChart_Simple"/>
      <sheetName val="MonthlyChart_Sloped"/>
      <sheetName val="lookup"/>
      <sheetName val="基本信息"/>
      <sheetName val="SKU_Profile"/>
      <sheetName val="Prd.Hierarchy(产品层级)"/>
      <sheetName val="600ML"/>
      <sheetName val="producto"/>
      <sheetName val="Com (2PK)"/>
      <sheetName val="ctmg"/>
      <sheetName val="Asset"/>
      <sheetName val="MODELO"/>
      <sheetName val="ANS-Ap_Result_2003"/>
      <sheetName val="SupplyChainData"/>
      <sheetName val="Reasons"/>
      <sheetName val="Fun_Bl_Prod"/>
      <sheetName val="Calculos"/>
      <sheetName val="backlog"/>
      <sheetName val="Prd.Hierarchy(产品层次)"/>
      <sheetName val="Project Code"/>
      <sheetName val="Base_PEF"/>
      <sheetName val="Нарушения"/>
      <sheetName val="15년 BL 사계"/>
      <sheetName val="_손익기01.XL"/>
      <sheetName val="TargIS"/>
      <sheetName val="drop down list"/>
      <sheetName val="источник"/>
      <sheetName val="Fixed_ZBB"/>
      <sheetName val="E_法规NC"/>
      <sheetName val="3_ISo_YTD"/>
      <sheetName val="Données_LMU"/>
      <sheetName val="Brazil_Sovereign"/>
      <sheetName val="Base_de_Dados"/>
      <sheetName val="Resumen_Costo"/>
      <sheetName val="Extract_Loss"/>
      <sheetName val="TO_Data_Base7"/>
      <sheetName val="Groupings"/>
      <sheetName val="cat&amp;ee"/>
      <sheetName val="SKU"/>
      <sheetName val="[손익기01.XL_x005f_x0000__x005f_x0000_DePara"/>
      <sheetName val="ES部行动跟踪记录"/>
      <sheetName val="TO_Data_Base8"/>
      <sheetName val="YTD_Summary7"/>
      <sheetName val="Month_Summary7"/>
      <sheetName val="Trial_Balance_MAY_20097"/>
      <sheetName val="TB_Pivot7"/>
      <sheetName val="total_per_LB_LB27"/>
      <sheetName val="Trial_Balance_Vlookup7"/>
      <sheetName val="Trial_Balance_APRIL_20097"/>
      <sheetName val="Roll_Out_AQ7"/>
      <sheetName val="Evolução_mandamentos7"/>
      <sheetName val="Planilha_resultados6"/>
      <sheetName val="Historico_20036"/>
      <sheetName val="[손익기01.XL"/>
      <sheetName val="Sig_Cycles_Accts_&amp;_Processes6"/>
      <sheetName val="Como_Estamos"/>
      <sheetName val="ARdistr_(2)"/>
      <sheetName val="QA_跟踪记录表"/>
      <sheetName val="5_1"/>
      <sheetName val="Controls_data1"/>
      <sheetName val="RG_Depots"/>
      <sheetName val="material_data"/>
      <sheetName val="other_data"/>
      <sheetName val="Database_(RUR)Mar_YTD"/>
      <sheetName val="SKU_Mapping"/>
      <sheetName val="Drop_Down"/>
      <sheetName val="Raw_Data"/>
      <sheetName val="EBM-2_GHQ"/>
      <sheetName val="Testing_Template_Guidance"/>
      <sheetName val="Test_Programs"/>
      <sheetName val="Dados_BLP"/>
      <sheetName val="[손익기01_XLDePara"/>
      <sheetName val="Execution"/>
      <sheetName val="Tablas"/>
      <sheetName val="Income Stmt"/>
      <sheetName val="JOB_PROFILE_-_LAS"/>
      <sheetName val="Quarterly LBO Model"/>
      <sheetName val="_손익기01.XL_x005f_x0000__x005f_x0000_DePara"/>
      <sheetName val="전사_PL2"/>
      <sheetName val="자금_제외_PL2"/>
      <sheetName val="자금_PL2"/>
      <sheetName val="전사_BS2"/>
      <sheetName val="자금_제외_BS2"/>
      <sheetName val="자금_BS2"/>
      <sheetName val="BS_계정_설명2"/>
      <sheetName val="_Cash_Flow(전사)2"/>
      <sheetName val="_Cash_Flow(자금제외)2"/>
      <sheetName val="_Cash_Flow(자금)2"/>
      <sheetName val="ROIC_2"/>
      <sheetName val="인건비_명세2"/>
      <sheetName val="판관비_명세2"/>
      <sheetName val="OH_Cost경비(내역)2"/>
      <sheetName val="OH_Cost경비(배부기준)2"/>
      <sheetName val="기타수지&amp;특별손익_명세2"/>
      <sheetName val="업무연락_(2)1"/>
      <sheetName val="제시_손익계산서1"/>
      <sheetName val="01_02월_성과급2"/>
      <sheetName val="M_7회차_담금_계획1"/>
      <sheetName val="팀별_실적1"/>
      <sheetName val="팀별_실적_(환산)1"/>
      <sheetName val="4__Inj_투자상세내역1"/>
      <sheetName val="3__Blow_투자_상세내역1"/>
      <sheetName val="Process_List1"/>
      <sheetName val="요일_테이블1"/>
      <sheetName val="요일_테이블_(2)"/>
      <sheetName val="TO_Data_Base9"/>
      <sheetName val="YTD_Summary8"/>
      <sheetName val="Month_Summary8"/>
      <sheetName val="Trial_Balance_MAY_20098"/>
      <sheetName val="TB_Pivot8"/>
      <sheetName val="total_per_LB_LB28"/>
      <sheetName val="Trial_Balance_Vlookup8"/>
      <sheetName val="Trial_Balance_APRIL_20098"/>
      <sheetName val="Roll_Out_AQ8"/>
      <sheetName val="Evolução_mandamentos8"/>
      <sheetName val="Planilha_resultados7"/>
      <sheetName val="Historico_20037"/>
      <sheetName val="Sig_Cycles_Accts_&amp;_Processes7"/>
      <sheetName val="3_ISo_YTD1"/>
      <sheetName val="E_法规NC1"/>
      <sheetName val="Données_LMU1"/>
      <sheetName val="Brazil_Sovereign1"/>
      <sheetName val="Resumen_Costo1"/>
      <sheetName val="Fixed_ZBB1"/>
      <sheetName val="5_11"/>
      <sheetName val="Extract_Loss1"/>
      <sheetName val="QA_跟踪记录表1"/>
      <sheetName val="RG_Depots1"/>
      <sheetName val="material_data1"/>
      <sheetName val="other_data1"/>
      <sheetName val="Como_Estamos1"/>
      <sheetName val="Database_(RUR)Mar_YTD1"/>
      <sheetName val="SKU_Mapping1"/>
      <sheetName val="Drop_Down1"/>
      <sheetName val="Raw_Data1"/>
      <sheetName val="EBM-2_GHQ1"/>
      <sheetName val="Base_PEF1"/>
      <sheetName val="Base_de_Dados1"/>
      <sheetName val="Testing_Template_Guidance1"/>
      <sheetName val="Test_Programs1"/>
      <sheetName val="Dados_BLP1"/>
      <sheetName val="Controls_data3"/>
      <sheetName val="FJJX_Bud_IB"/>
      <sheetName val="look-up_data"/>
      <sheetName val="JOB_PROFILE_-_LAS1"/>
      <sheetName val="ARdistr_(2)1"/>
      <sheetName val="Prd_Hierarchy(产品层级)"/>
      <sheetName val="15년_BL_사계"/>
      <sheetName val="Com_(2PK)"/>
      <sheetName val="Prd_Hierarchy(产品层次)"/>
      <sheetName val="Project_Code"/>
      <sheetName val="_손익기01_XL"/>
      <sheetName val="drop_down_list"/>
      <sheetName val="[손익기01_XL_x005f_x0000__x005f_x0000_DePara"/>
      <sheetName val="Income_Stmt"/>
      <sheetName val="Quarterly_LBO_Model"/>
      <sheetName val="_손익기01_XL_x005f_x0000__x005f_x0000_DePara"/>
      <sheetName val="[손익기01_XL"/>
      <sheetName val="986월원안"/>
      <sheetName val="오승"/>
      <sheetName val="팀별"/>
      <sheetName val="Action-Log"/>
      <sheetName val="Classification 分类"/>
      <sheetName val="Figures Report"/>
      <sheetName val="Set Up"/>
      <sheetName val="CONFIG"/>
      <sheetName val="Fare prices"/>
      <sheetName val="Hotel prices"/>
      <sheetName val="Intro"/>
      <sheetName val="DropDowns"/>
      <sheetName val="CPT倒罐记录"/>
      <sheetName val="extent"/>
      <sheetName val="Tab"/>
      <sheetName val="Arm_PNP"/>
      <sheetName val="cl"/>
      <sheetName val="XLRpt_TempSheet"/>
      <sheetName val="Suporte_2"/>
      <sheetName val="tab STATUS DO PROCESSO "/>
      <sheetName val="Results"/>
      <sheetName val="Perf. Plan. Diário1"/>
      <sheetName val="In (2)"/>
      <sheetName val="slide 24 cat A"/>
      <sheetName val="slide 82 cat b"/>
      <sheetName val="Prog"/>
      <sheetName val="PLANNER6"/>
      <sheetName val="Hoja2"/>
      <sheetName val="Hoja3"/>
      <sheetName val="범주"/>
      <sheetName val="Incident 유형구분표"/>
      <sheetName val="Macro"/>
      <sheetName val="광주"/>
      <sheetName val="TNC(1안)"/>
      <sheetName val="CLASIFICACION DE AI"/>
      <sheetName val="Base da Datos"/>
      <sheetName val="Apoio"/>
      <sheetName val="SAM"/>
      <sheetName val="DAG"/>
      <sheetName val="Dados dos Produtos"/>
      <sheetName val="Maestro"/>
      <sheetName val="DD list"/>
      <sheetName val="3YP2016-Bottom up"/>
      <sheetName val="부서별12월추계액"/>
      <sheetName val="One_Pager"/>
      <sheetName val="DE-PARA"/>
      <sheetName val="FornecD"/>
      <sheetName val="FornecDAjustado"/>
      <sheetName val="Detalle"/>
      <sheetName val="auxiliar"/>
      <sheetName val="MASTER APP"/>
      <sheetName val="Hoja1"/>
      <sheetName val="Cond. Inseguros"/>
      <sheetName val="Comp. Inseguros"/>
      <sheetName val="Lista de datos"/>
      <sheetName val="Base de Datos"/>
      <sheetName val="Motivos"/>
      <sheetName val="Parametros"/>
      <sheetName val="Actionlog"/>
      <sheetName val="_손익기01.XL_x0000__x0000_DePara"/>
      <sheetName val="_손익기01_XLDePara"/>
      <sheetName val="link"/>
      <sheetName val="Vol-Rev"/>
      <sheetName val="来源"/>
      <sheetName val=" DD List"/>
      <sheetName val="Formula"/>
      <sheetName val="各支柱模块清单"/>
      <sheetName val="Share Price 2002"/>
      <sheetName val="隐患分析"/>
      <sheetName val="安全隐患"/>
      <sheetName val="班组分析"/>
      <sheetName val="源"/>
      <sheetName val="Clasif."/>
      <sheetName val="Lista CI"/>
      <sheetName val="Resumen"/>
      <sheetName val="BBDD"/>
      <sheetName val="Farol Acciones"/>
      <sheetName val="Lista de Entrenamientos"/>
      <sheetName val="Package-SubPackage"/>
      <sheetName val="Supply Cost Centers"/>
      <sheetName val="Basetables"/>
      <sheetName val="BEP 加薪 KPI"/>
      <sheetName val="유형(분류표)"/>
      <sheetName val="PREMISAS"/>
      <sheetName val="ACTION"/>
      <sheetName val="LE"/>
      <sheetName val="表3筛选项"/>
      <sheetName val="진천"/>
      <sheetName val="중연"/>
      <sheetName val="용연"/>
      <sheetName val="울산"/>
      <sheetName val="대구"/>
      <sheetName val="구미"/>
      <sheetName val="언양"/>
      <sheetName val="대차대조표"/>
      <sheetName val="입력자료"/>
      <sheetName val="sum_x0008__x0000__x000d__x0000__x0006__x0000_"/>
      <sheetName val="Ѐ܀ऀ܀؀਀؀Ԁ̀Ѐ̀Ѐࠀ܀ఀ؀܀"/>
      <sheetName val="터널전기"/>
      <sheetName val="CF表示組替表"/>
      <sheetName val="대투_보관자료_변경"/>
      <sheetName val="토목주소"/>
      <sheetName val="프랜트면허"/>
      <sheetName val="I一般比"/>
      <sheetName val="분석가정"/>
      <sheetName val="배열수식"/>
      <sheetName val="숨김"/>
      <sheetName val="1월~9월"/>
      <sheetName val="날개수량1.5"/>
      <sheetName val="6월 공嚺㓶가"/>
      <sheetName val="갑지"/>
      <sheetName val="부산제일극장"/>
      <sheetName val="설비등록׃⼫"/>
      <sheetName val="설비등록_x0010__x0000_"/>
      <sheetName val="1"/>
      <sheetName val="EP0618"/>
      <sheetName val="C1.3.1"/>
      <sheetName val="부대공Ⅱ"/>
      <sheetName val="입찰내역 Ĉ_x0000__x0000_ᇆ"/>
      <sheetName val="입찰내역 Ĉ_x0000__x0000_ᇆ"/>
      <sheetName val="정보화기기매출"/>
      <sheetName val="Bonuses"/>
      <sheetName val="HQ 급여 "/>
      <sheetName val="OF 급여"/>
      <sheetName val="F.Ma급여"/>
      <sheetName val="SMT 급여"/>
      <sheetName val="QC 급여"/>
      <sheetName val="Sam sung 급여"/>
      <sheetName val="Dlock 급여"/>
      <sheetName val=" thôi việc 급여"/>
      <sheetName val="Công smt"/>
      <sheetName val="Công smt (2)"/>
      <sheetName val="Detail smt"/>
      <sheetName val="Công QC"/>
      <sheetName val="Detail QC "/>
      <sheetName val="Công SS"/>
      <sheetName val="Detail SS"/>
      <sheetName val="Công FMa"/>
      <sheetName val="Detail FMa"/>
      <sheetName val="Công OF"/>
      <sheetName val="Detail OF"/>
      <sheetName val="Công Dlock"/>
      <sheetName val="Detail Dlock"/>
      <sheetName val="Công thôi việc"/>
      <sheetName val="Detail thôi"/>
      <sheetName val="EPOXY"/>
      <sheetName val="compare2"/>
      <sheetName val="Krw"/>
      <sheetName val="BS"/>
      <sheetName val="2-2.투자"/>
      <sheetName val="기본연봉"/>
      <sheetName val="사원"/>
      <sheetName val="9-1차이내역"/>
      <sheetName val="Proj. Fin."/>
      <sheetName val="ITS Assumptions"/>
      <sheetName val="Proj__Fin_"/>
      <sheetName val="2-2_투자"/>
      <sheetName val="Master Data"/>
      <sheetName val="2007전체투자세액공제_2008년처분"/>
      <sheetName val="득점현황"/>
      <sheetName val="#5"/>
      <sheetName val="#3"/>
      <sheetName val="Appendix(권장,단체)"/>
      <sheetName val="환율표"/>
      <sheetName val="세액계산"/>
      <sheetName val="현용"/>
      <sheetName val="현장"/>
      <sheetName val="MH_생산"/>
      <sheetName val="구분List"/>
      <sheetName val="기본"/>
      <sheetName val="10월_vs_12월_채권잔액"/>
      <sheetName val="表21_净利润墨-닑⿕"/>
      <sheetName val="TO"/>
      <sheetName val="C2121"/>
      <sheetName val="C2123"/>
      <sheetName val="C2124"/>
      <sheetName val="C2125"/>
      <sheetName val="C2127"/>
      <sheetName val="C2122"/>
      <sheetName val="7.Utility Analysis"/>
      <sheetName val="Operational Activities"/>
      <sheetName val="상품입력"/>
      <sheetName val="월별자료"/>
      <sheetName val="Index"/>
      <sheetName val="조도계산서 (도서)"/>
      <sheetName val="1_종합손익(도급)5"/>
      <sheetName val="1_종합손익(주택,개발)4"/>
      <sheetName val="2_실행예산4"/>
      <sheetName val="2_2과부족4"/>
      <sheetName val="2_3원가절감4"/>
      <sheetName val="8_외주비집행현황4"/>
      <sheetName val="9_자재비4"/>
      <sheetName val="10_현장집행4"/>
      <sheetName val="3_추가원가4"/>
      <sheetName val="3_추가원가_(2)4"/>
      <sheetName val="4_사전공사4"/>
      <sheetName val="5_추정공사비4"/>
      <sheetName val="6_금융비용4"/>
      <sheetName val="7_공사비집행현황(총괄)4"/>
      <sheetName val="11_1생산성4"/>
      <sheetName val="11_2인원산출4"/>
      <sheetName val="변경실행(2차)_4"/>
      <sheetName val="CC_Down_load_07164"/>
      <sheetName val="나_출고4"/>
      <sheetName val="나_입고4"/>
      <sheetName val="09년_인건비(속리산)4"/>
      <sheetName val="합산목표(감가+57_5)4"/>
      <sheetName val="__한국_AMP_ASP-23_판매가격__3"/>
      <sheetName val="제조원가_원단위_분석3"/>
      <sheetName val="종합표양식(품의_&amp;_입고)_23"/>
      <sheetName val="원가관리_(동월대비)3"/>
      <sheetName val="b_balju_(2)3"/>
      <sheetName val="2-2_매출분석3"/>
      <sheetName val="몰드시스템_리스트3"/>
      <sheetName val="7_(2)3"/>
      <sheetName val="11_외화채무증권(AFS,HTM)083"/>
      <sheetName val="13_감액TEST_083"/>
      <sheetName val="12년_CF(9월)3"/>
      <sheetName val="중기조종사_단위단가3"/>
      <sheetName val="6PILE__(돌출)3"/>
      <sheetName val="기성청구_공문4"/>
      <sheetName val="Sheet1_(2)3"/>
      <sheetName val="2_대외공문3"/>
      <sheetName val="表21_净利润调节表3"/>
      <sheetName val="sum1_(2)3"/>
      <sheetName val="3_바닥판설계3"/>
      <sheetName val="504전기실_동부하-L3"/>
      <sheetName val="2_총괄표3"/>
      <sheetName val="OUTER_AREA(겹침없음)3"/>
      <sheetName val="EL_표면적3"/>
      <sheetName val="P_M_별2"/>
      <sheetName val="입찰내역_발주처_양식1"/>
      <sheetName val="근거_및_가정"/>
      <sheetName val="09~10년_매출계획1"/>
      <sheetName val="2_카드채권(대출포함)"/>
      <sheetName val="전사_PL3"/>
      <sheetName val="자금_제외_PL3"/>
      <sheetName val="자금_PL3"/>
      <sheetName val="전사_BS3"/>
      <sheetName val="자금_제외_BS3"/>
      <sheetName val="자금_BS3"/>
      <sheetName val="BS_계정_설명3"/>
      <sheetName val="_Cash_Flow(전사)3"/>
      <sheetName val="_Cash_Flow(자금제외)3"/>
      <sheetName val="_Cash_Flow(자금)3"/>
      <sheetName val="ROIC_3"/>
      <sheetName val="인건비_명세3"/>
      <sheetName val="판관비_명세3"/>
      <sheetName val="OH_Cost경비(내역)3"/>
      <sheetName val="OH_Cost경비(배부기준)3"/>
      <sheetName val="기타수지&amp;특별손익_명세3"/>
      <sheetName val="입출재고현황_(2)1"/>
      <sheetName val="TRE_TABLE1"/>
      <sheetName val="Process_List2"/>
      <sheetName val="제시_손익계산서2"/>
      <sheetName val="업무연락_(2)2"/>
      <sheetName val="M_7회차_담금_계획2"/>
      <sheetName val="01_02월_성과급3"/>
      <sheetName val="97_사업추정(WEKI)1"/>
      <sheetName val="팀별_실적2"/>
      <sheetName val="팀별_실적_(환산)2"/>
      <sheetName val="6월_공정외주1"/>
      <sheetName val="1_차입금"/>
      <sheetName val="2_주요계수총괄1"/>
      <sheetName val="Data_Validation1"/>
      <sheetName val="1_본사계정별1"/>
      <sheetName val="부대시행1_(2)"/>
      <sheetName val="118_세금과공과1"/>
      <sheetName val="Tong_hop1"/>
      <sheetName val="95_1_1이후취득자산(숨기기상태)1"/>
      <sheetName val="1_MDF1공장1"/>
      <sheetName val="3_6_2남양주택배"/>
      <sheetName val="Project_Brief1"/>
      <sheetName val="Back_Data_11"/>
      <sheetName val="Facility_Information1"/>
      <sheetName val="단면_(2)1"/>
      <sheetName val="PAD_TR보호대기초"/>
      <sheetName val="1월_예산"/>
      <sheetName val="_견적서"/>
      <sheetName val="해외_기술훈련비_(합계)1"/>
      <sheetName val="#1)_투자_구분"/>
      <sheetName val="1__시공측량"/>
      <sheetName val="수종별수량_(2)"/>
      <sheetName val="Utility_Usage_YTN_TOWER"/>
      <sheetName val="B-1_기본정보"/>
      <sheetName val="설산1_나"/>
      <sheetName val="?"/>
      <sheetName val="설문_평가"/>
      <sheetName val="Weekly_Progress(계장)"/>
      <sheetName val="납부내역총괄표_(수정)"/>
      <sheetName val="전선_및_전선관"/>
      <sheetName val="KEY_CODE"/>
      <sheetName val="2013_2월_연결대상"/>
      <sheetName val="외주현황_wq1"/>
      <sheetName val="2-1_강사료,교통비_지급명세"/>
      <sheetName val="13_포장용역비표준"/>
      <sheetName val="9_가공부자재표준"/>
      <sheetName val="8_ROLL표준(TSW)"/>
      <sheetName val="4_톤당조관량표준"/>
      <sheetName val="5_조관부자재표준"/>
      <sheetName val="실행기성_갑지"/>
      <sheetName val="4__Inj_투자상세내역2"/>
      <sheetName val="3__Blow_투자_상세내역2"/>
      <sheetName val="Jul-Sep_Actual_cost_(2)"/>
      <sheetName val="요일_테이블2"/>
      <sheetName val="요일_테이블_(2)1"/>
      <sheetName val="TO_Data_Base10"/>
      <sheetName val="YTD_Summary9"/>
      <sheetName val="Month_Summary9"/>
      <sheetName val="Trial_Balance_MAY_20099"/>
      <sheetName val="TB_Pivot9"/>
      <sheetName val="total_per_LB_LB29"/>
      <sheetName val="Trial_Balance_Vlookup9"/>
      <sheetName val="Trial_Balance_APRIL_20099"/>
      <sheetName val="Roll_Out_AQ9"/>
      <sheetName val="Evolução_mandamentos9"/>
      <sheetName val="Planilha_resultados8"/>
      <sheetName val="Historico_20038"/>
      <sheetName val="Sig_Cycles_Accts_&amp;_Processes8"/>
      <sheetName val="3_ISo_YTD2"/>
      <sheetName val="E_法规NC2"/>
      <sheetName val="Données_LMU2"/>
      <sheetName val="Brazil_Sovereign2"/>
      <sheetName val="Resumen_Costo2"/>
      <sheetName val="Fixed_ZBB2"/>
      <sheetName val="5_12"/>
      <sheetName val="Extract_Loss2"/>
      <sheetName val="QA_跟踪记录表2"/>
      <sheetName val="RG_Depots2"/>
      <sheetName val="material_data2"/>
      <sheetName val="other_data2"/>
      <sheetName val="Como_Estamos2"/>
      <sheetName val="Database_(RUR)Mar_YTD2"/>
      <sheetName val="SKU_Mapping2"/>
      <sheetName val="Drop_Down2"/>
      <sheetName val="Raw_Data2"/>
      <sheetName val="EBM-2_GHQ2"/>
      <sheetName val="Base_PEF3"/>
      <sheetName val="Base_de_Dados2"/>
      <sheetName val="Testing_Template_Guidance2"/>
      <sheetName val="Test_Programs2"/>
      <sheetName val="Dados_BLP2"/>
      <sheetName val="Controls_data4"/>
      <sheetName val="FJJX_Bud_IB1"/>
      <sheetName val="look-up_data1"/>
      <sheetName val="JOB_PROFILE_-_LAS2"/>
      <sheetName val="ARdistr_(2)2"/>
      <sheetName val="Prd_Hierarchy(产品层级)1"/>
      <sheetName val="Com_(2PK)1"/>
      <sheetName val="Prd_Hierarchy(产品层次)1"/>
      <sheetName val="Project_Code1"/>
      <sheetName val="15년_BL_사계1"/>
      <sheetName val="_손익기01_XL1"/>
      <sheetName val="drop_down_list1"/>
      <sheetName val="[손익기01_XL_x005f_x0000__x005f_x0000_DePara1"/>
      <sheetName val="[손익기01_XL1"/>
      <sheetName val="Income_Stmt1"/>
      <sheetName val="Quarterly_LBO_Model1"/>
      <sheetName val="_손익기01_XL_x005f_x0000__x005f_x0000_DePara1"/>
      <sheetName val="Classification_分类"/>
      <sheetName val="Figures_Report"/>
      <sheetName val="Set_Up"/>
      <sheetName val="Fare_prices"/>
      <sheetName val="Hotel_prices"/>
      <sheetName val="tab_STATUS_DO_PROCESSO_"/>
      <sheetName val="Perf__Plan__Diário1"/>
      <sheetName val="In_(2)"/>
      <sheetName val="slide_24_cat_A"/>
      <sheetName val="slide_82_cat_b"/>
      <sheetName val="Incident_유형구분표"/>
      <sheetName val="CLASIFICACION_DE_AI"/>
      <sheetName val="Base_da_Datos"/>
      <sheetName val="Dados_dos_Produtos"/>
      <sheetName val="DD_list"/>
      <sheetName val="3YP2016-Bottom_up"/>
      <sheetName val="MASTER_APP"/>
      <sheetName val="Cond__Inseguros"/>
      <sheetName val="Comp__Inseguros"/>
      <sheetName val="Lista_de_datos"/>
      <sheetName val="Base_de_Datos"/>
      <sheetName val="_DD_List"/>
      <sheetName val="Share_Price_2002"/>
      <sheetName val="Clasif_"/>
      <sheetName val="Lista_CI"/>
      <sheetName val="Farol_Acciones"/>
      <sheetName val="Lista_de_Entrenamientos"/>
      <sheetName val="Supply_Cost_Centers"/>
      <sheetName val="BEP_加薪_KPI"/>
      <sheetName val="MTP"/>
      <sheetName val="기성현황집계표"/>
      <sheetName val="표시트"/>
      <sheetName val="カテゴリ表"/>
      <sheetName val="카드채권(대출포함)"/>
      <sheetName val="공통"/>
      <sheetName val="T6-6(7)"/>
      <sheetName val="중기일위대가"/>
      <sheetName val="기초정보 코드"/>
      <sheetName val="1. 작성방식"/>
      <sheetName val="계좌정보"/>
      <sheetName val="안산기계장치"/>
      <sheetName val="공시용PL"/>
      <sheetName val="97손익계획"/>
      <sheetName val="가정"/>
      <sheetName val="예산대실적_작성"/>
      <sheetName val="SALE"/>
      <sheetName val="조정분개"/>
      <sheetName val="이테크_손익"/>
      <sheetName val="군장_손익"/>
      <sheetName val="에스엠지_손익"/>
      <sheetName val="인프라_손익"/>
      <sheetName val="중국연결_손익"/>
      <sheetName val="사우디_손익"/>
      <sheetName val="말레이_손익"/>
      <sheetName val="인니_손익"/>
      <sheetName val="연결손익요약(기획차이)"/>
      <sheetName val="연결손익요약(보고용)"/>
      <sheetName val="연결재무"/>
      <sheetName val="이테크_재무"/>
      <sheetName val="군장_재무"/>
      <sheetName val="에스엠지_재무"/>
      <sheetName val="인프라_재무"/>
      <sheetName val="중국연결_재무"/>
      <sheetName val="사우디_재무"/>
      <sheetName val="말레이_재무"/>
      <sheetName val="인니_재무"/>
      <sheetName val="CE(공)"/>
      <sheetName val="연결손익"/>
      <sheetName val="building"/>
      <sheetName val="그룹자료"/>
      <sheetName val="임율자료"/>
      <sheetName val="전기자료"/>
      <sheetName val="Sheet10"/>
      <sheetName val="일위대가목차"/>
      <sheetName val="집계"/>
      <sheetName val="코드"/>
      <sheetName val="표)CFT장 조직별 배분"/>
      <sheetName val="기술분류체계"/>
      <sheetName val="Remark"/>
      <sheetName val="20180214 P&amp;T"/>
      <sheetName val="Ref. 중점 추진 과제별 상세"/>
      <sheetName val="작성요령"/>
      <sheetName val="선택지"/>
      <sheetName val="Congfig"/>
      <sheetName val="Bank code"/>
      <sheetName val="총수율"/>
      <sheetName val="11"/>
      <sheetName val="Drop-down RAW"/>
      <sheetName val="시험장S자로가로등공사"/>
      <sheetName val="드롭다운"/>
      <sheetName val="support"/>
      <sheetName val="000000"/>
      <sheetName val="목록!"/>
      <sheetName val="마스터0919"/>
      <sheetName val="공시용CF"/>
      <sheetName val="BM_NEW2"/>
      <sheetName val="pg15"/>
      <sheetName val="2.6 三无 (2)"/>
      <sheetName val="_x0018__"/>
      <sheetName val="노임단가(공사)"/>
      <sheetName val="RES"/>
      <sheetName val="Desal-E&amp;I"/>
      <sheetName val="数据有效性"/>
      <sheetName val="Worker List"/>
      <sheetName val="GB-IC Villingen GG"/>
      <sheetName val="MC&amp;다변화"/>
      <sheetName val="Library"/>
      <sheetName val="Month-Report"/>
      <sheetName val="10매출"/>
      <sheetName val="A(Rev.3)"/>
      <sheetName val="Sheet17"/>
      <sheetName val="_x005f_x005f_x005f_x0018__x005f_x005f_x005f_x0000_"/>
      <sheetName val="_x005f_x0018_?"/>
      <sheetName val="BATCH"/>
      <sheetName val="특수선일위대가"/>
      <sheetName val="산출"/>
      <sheetName val="일위대가(목록)"/>
      <sheetName val="재료비"/>
      <sheetName val="견적내역서"/>
      <sheetName val="2_실행ﶻĉ_x0000_"/>
      <sheetName val="2_실행䔭疖꜀"/>
      <sheetName val="2_실행ﶻ_x001e__x0000_"/>
      <sheetName val="입찰내역 Ĉ"/>
      <sheetName val="MEMO"/>
      <sheetName val="민감도분석"/>
      <sheetName val="LOG"/>
      <sheetName val="보고서 표"/>
      <sheetName val="0. 가정 및 결론"/>
      <sheetName val="1. 투자비"/>
      <sheetName val="2. Rent-roll"/>
      <sheetName val="3. Funding"/>
      <sheetName val="4. 운영수익"/>
      <sheetName val="5. 운영비용"/>
      <sheetName val="6.1 N+1년차 NOI 산정"/>
      <sheetName val="6. 부동산매각"/>
      <sheetName val="7. 보유세"/>
      <sheetName val="8. 교통유발부담금"/>
      <sheetName val="9. BS부속"/>
      <sheetName val="10. CF(M)"/>
      <sheetName val="11. IS(M)"/>
      <sheetName val="12. BS(M)"/>
      <sheetName val="14. IS(FY)"/>
      <sheetName val="13. CF(FY)"/>
      <sheetName val="15. BS(FY)"/>
      <sheetName val="16. RE(FY)"/>
      <sheetName val="M&amp;Q Lead"/>
      <sheetName val="코드관리"/>
      <sheetName val="Phieu trinh ky cấu tháp"/>
      <sheetName val="Phieu trinh ky VTP"/>
      <sheetName val="KS-VTP"/>
      <sheetName val="KS-VL rời"/>
      <sheetName val="BCCP"/>
      <sheetName val="Tai san"/>
      <sheetName val="Check dong tien"/>
      <sheetName val="Chi phí SDTS"/>
      <sheetName val="Check COST"/>
      <sheetName val="KHTC"/>
      <sheetName val="DATA HD"/>
      <sheetName val="THNC"/>
      <sheetName val="KEY"/>
      <sheetName val="NC"/>
      <sheetName val="2TM"/>
      <sheetName val="1TM"/>
      <sheetName val="Tong hop 1TM"/>
      <sheetName val="WBS"/>
      <sheetName val="DMKH"/>
      <sheetName val="NS Lán trại"/>
      <sheetName val="Check cong no NC"/>
      <sheetName val="4.1 월별 에너지 사용량"/>
      <sheetName val="1-2.설계변경요청서(갑지)"/>
      <sheetName val="사유집계"/>
      <sheetName val="설계변경내역서(주차관제)"/>
      <sheetName val="증감사유"/>
      <sheetName val="첨부1.(주차관제-.당공)"/>
      <sheetName val="첨부1-1.설계변경내역서(CCTV)"/>
      <sheetName val="첨부1-2.(주차관제-변공)"/>
      <sheetName val="2-6.변공량(추가공사)"/>
      <sheetName val=" 2-1.관제(물량산출서집계표)"/>
      <sheetName val=" 2-2.유도(물량산출서집계표)"/>
      <sheetName val="물량산출서(총괄)"/>
      <sheetName val="3-1.주차관제"/>
      <sheetName val="3-2.주차-광케이블"/>
      <sheetName val="3-3.층별LPR"/>
      <sheetName val="4-1.유도-광케이블"/>
      <sheetName val="4-2.주차키오스크"/>
      <sheetName val="4-3.4면카메라"/>
      <sheetName val="4-5.CCTV"/>
      <sheetName val="4-6.블럭유도등"/>
      <sheetName val="4-7.입구만차등"/>
      <sheetName val="4-8.비상벨"/>
      <sheetName val="6호기"/>
      <sheetName val="첨부#2.Cash Flow(현장작성)"/>
      <sheetName val="갑지1"/>
      <sheetName val="月度設定"/>
      <sheetName val="STRAT PLAN WKSHT"/>
      <sheetName val="Sales Plan &amp; other"/>
      <sheetName val="ConsolidateUSD"/>
      <sheetName val="STRAT_PLAN_WKSHT"/>
      <sheetName val="Sales_Plan_&amp;_other"/>
      <sheetName val="ref"/>
      <sheetName val="drop downs"/>
      <sheetName val="산자사 운전용품"/>
      <sheetName val="CODE生成机"/>
      <sheetName val="조직필터"/>
      <sheetName val="有型区分分类"/>
      <sheetName val="업무 분류(Category)"/>
      <sheetName val="견적을지"/>
      <sheetName val="단기차입금(200006)"/>
      <sheetName val="Exchange rate"/>
      <sheetName val="작성양식"/>
      <sheetName val="1-1"/>
      <sheetName val="wall"/>
      <sheetName val="_x005f_x0018__"/>
      <sheetName val="전기요금 산출내역"/>
      <sheetName val="오류항목"/>
      <sheetName val="기본일위"/>
      <sheetName val="3.일반사상"/>
      <sheetName val="외부자료"/>
      <sheetName val="슬래_xd800_"/>
      <sheetName val="STANDARD"/>
      <sheetName val="유효성검사"/>
      <sheetName val="7상품수"/>
      <sheetName val="DCY"/>
      <sheetName val="DHS"/>
      <sheetName val="HHJ"/>
      <sheetName val="SWS-1"/>
      <sheetName val="부재료 비교(11년 vs 10년)"/>
      <sheetName val="INDICE"/>
      <sheetName val="Dashboard Prevención Riesgos "/>
      <sheetName val="Seguimiento"/>
      <sheetName val="TOP KPIs MTM"/>
      <sheetName val="PLAN DE ACCION"/>
      <sheetName val="Faro de Indicadores"/>
      <sheetName val="ORGANIGRAMA"/>
      <sheetName val="Catalog_Zone"/>
      <sheetName val="DropList"/>
      <sheetName val="Unidades SAC-REVENDA"/>
      <sheetName val="FornecM Check"/>
      <sheetName val="下拉清单"/>
      <sheetName val="工伤分类"/>
      <sheetName val="菜单"/>
      <sheetName val="Hazards Analysis-隐患分析"/>
      <sheetName val="요일_테이블3"/>
      <sheetName val="요일_테이블_(2)2"/>
      <sheetName val="TO_Data_Base11"/>
      <sheetName val="YTD_Summary10"/>
      <sheetName val="Month_Summary10"/>
      <sheetName val="Trial_Balance_MAY_200910"/>
      <sheetName val="TB_Pivot10"/>
      <sheetName val="total_per_LB_LB210"/>
      <sheetName val="Trial_Balance_Vlookup10"/>
      <sheetName val="Trial_Balance_APRIL_200910"/>
      <sheetName val="Roll_Out_AQ10"/>
      <sheetName val="Evolução_mandamentos10"/>
      <sheetName val="Planilha_resultados9"/>
      <sheetName val="Historico_20039"/>
      <sheetName val="Sig_Cycles_Accts_&amp;_Processes9"/>
      <sheetName val="Fixed_ZBB3"/>
      <sheetName val="E_法规NC3"/>
      <sheetName val="3_ISo_YTD3"/>
      <sheetName val="Données_LMU3"/>
      <sheetName val="Brazil_Sovereign3"/>
      <sheetName val="Resumen_Costo3"/>
      <sheetName val="Base_de_Dados3"/>
      <sheetName val="Extract_Loss3"/>
      <sheetName val="5_13"/>
      <sheetName val="QA_跟踪记录表3"/>
      <sheetName val="RG_Depots3"/>
      <sheetName val="material_data3"/>
      <sheetName val="other_data3"/>
      <sheetName val="Como_Estamos3"/>
      <sheetName val="Database_(RUR)Mar_YTD3"/>
      <sheetName val="SKU_Mapping3"/>
      <sheetName val="Drop_Down3"/>
      <sheetName val="Raw_Data3"/>
      <sheetName val="EBM-2_GHQ3"/>
      <sheetName val="Base_PEF4"/>
      <sheetName val="Controls_data5"/>
      <sheetName val="Dados_BLP3"/>
      <sheetName val="Testing_Template_Guidance3"/>
      <sheetName val="Test_Programs3"/>
      <sheetName val="FJJX_Bud_IB2"/>
      <sheetName val="JOB_PROFILE_-_LAS3"/>
      <sheetName val="ARdistr_(2)3"/>
      <sheetName val="look-up_data2"/>
      <sheetName val="Prd_Hierarchy(产品层级)2"/>
      <sheetName val="Com_(2PK)2"/>
      <sheetName val="전사_PL4"/>
      <sheetName val="자금_제외_PL4"/>
      <sheetName val="자금_PL4"/>
      <sheetName val="전사_BS4"/>
      <sheetName val="자금_제외_BS4"/>
      <sheetName val="자금_BS4"/>
      <sheetName val="BS_계정_설명4"/>
      <sheetName val="_Cash_Flow(전사)4"/>
      <sheetName val="_Cash_Flow(자금제외)4"/>
      <sheetName val="_Cash_Flow(자금)4"/>
      <sheetName val="ROIC_4"/>
      <sheetName val="인건비_명세4"/>
      <sheetName val="판관비_명세4"/>
      <sheetName val="OH_Cost경비(내역)4"/>
      <sheetName val="OH_Cost경비(배부기준)4"/>
      <sheetName val="기타수지&amp;특별손익_명세4"/>
      <sheetName val="업무연락_(2)3"/>
      <sheetName val="제시_손익계산서3"/>
      <sheetName val="01_02월_성과급4"/>
      <sheetName val="M_7회차_담금_계획3"/>
      <sheetName val="팀별_실적3"/>
      <sheetName val="팀별_실적_(환산)3"/>
      <sheetName val="4__Inj_투자상세내역3"/>
      <sheetName val="3__Blow_투자_상세내역3"/>
      <sheetName val="Process_List3"/>
      <sheetName val="Prd_Hierarchy(产品层次)2"/>
      <sheetName val="Project_Code2"/>
      <sheetName val="_손익기01_XL2"/>
      <sheetName val="drop_down_list2"/>
      <sheetName val="[손익기01_XL_x005f_x0000__x005f_x0000_DePara2"/>
      <sheetName val="Income_Stmt2"/>
      <sheetName val="Quarterly_LBO_Model2"/>
      <sheetName val="[손익기01_XL2"/>
      <sheetName val="_손익기01_XL_x005f_x0000__x005f_x0000_DePara2"/>
      <sheetName val="15년_BL_사계2"/>
      <sheetName val="Classification_分类1"/>
      <sheetName val="Figures_Report1"/>
      <sheetName val="Set_Up2"/>
      <sheetName val="Fare_prices1"/>
      <sheetName val="Hotel_prices1"/>
      <sheetName val="tab_STATUS_DO_PROCESSO_1"/>
      <sheetName val="Perf__Plan__Diário11"/>
      <sheetName val="In_(2)1"/>
      <sheetName val="slide_24_cat_A1"/>
      <sheetName val="slide_82_cat_b1"/>
      <sheetName val="Incident_유형구분표1"/>
      <sheetName val="CLASIFICACION_DE_AI1"/>
      <sheetName val="Base_da_Datos1"/>
      <sheetName val="Dados_dos_Produtos1"/>
      <sheetName val="DD_list1"/>
      <sheetName val="F08 - Asia Pac Full Year Q3"/>
      <sheetName val="Actions"/>
      <sheetName val="Listco"/>
      <sheetName val="Intl"/>
      <sheetName val="Procurement"/>
      <sheetName val="Top Priorities"/>
      <sheetName val="SLOB"/>
      <sheetName val="Listco Stock"/>
      <sheetName val="SOH"/>
      <sheetName val="Intl Purchase"/>
      <sheetName val="GTME"/>
      <sheetName val="FY outlook"/>
      <sheetName val="CY outlook"/>
      <sheetName val="FY"/>
      <sheetName val="CY"/>
      <sheetName val="Cash metrics"/>
      <sheetName val="Listco-Tony"/>
      <sheetName val="Intl-Ming"/>
      <sheetName val="Procurement-Jeff"/>
      <sheetName val="Hierarchy"/>
      <sheetName val="P6 7"/>
      <sheetName val="Top_Priorities"/>
      <sheetName val="Listco_Stock"/>
      <sheetName val="Intl_Purchase"/>
      <sheetName val="FY_outlook"/>
      <sheetName val="CY_outlook"/>
      <sheetName val="Cash_metrics"/>
      <sheetName val="F08_-_Asia_Pac_Full_Year_Q3"/>
      <sheetName val="TABLA"/>
      <sheetName val="_ExportMetadata"/>
      <sheetName val="Valor_Actual_2002"/>
      <sheetName val="Vtas2000"/>
      <sheetName val="Liquidacion_Julio_2002"/>
      <sheetName val="icos0502"/>
      <sheetName val="pplay_load3"/>
      <sheetName val="tabla_fcst_unid"/>
      <sheetName val="P6_7"/>
      <sheetName val="DATOS BASE"/>
      <sheetName val="Estatus"/>
      <sheetName val="Info"/>
      <sheetName val="Estratificación AI"/>
      <sheetName val="Dashboard"/>
      <sheetName val="condicion inseguras"/>
      <sheetName val="Actos Inseguros"/>
      <sheetName val="Control de incidentes"/>
      <sheetName val="Plan de Acción"/>
      <sheetName val="备注"/>
      <sheetName val="_손익기01.XL_x005f_x005f_x005f_x0000__x005f_x005f_x0"/>
      <sheetName val="연료전력(군포)"/>
      <sheetName val="적립수신"/>
      <sheetName val="순수통장"/>
      <sheetName val="일별"/>
      <sheetName val="加薪规则排序"/>
      <sheetName val="Analysis"/>
      <sheetName val="索引表"/>
      <sheetName val="Control"/>
      <sheetName val="引用"/>
      <sheetName val="담당자Raw"/>
      <sheetName val="支柱模块源数据--请勿更改或删除"/>
      <sheetName val="MasterData"/>
      <sheetName val="条件表"/>
      <sheetName val="下拉菜单"/>
      <sheetName val="Issues List_Payments"/>
      <sheetName val="drop-down_lists"/>
      <sheetName val="数据库"/>
      <sheetName val="turnover reason퇴직사유"/>
      <sheetName val="Grafica Actos"/>
      <sheetName val="PGK-1610"/>
      <sheetName val="POC LIST"/>
      <sheetName val="Condiciones SyE"/>
      <sheetName val="DETALLE MENSUAL"/>
      <sheetName val="do not delete"/>
      <sheetName val="NA"/>
      <sheetName val="MidAm"/>
      <sheetName val="LAN"/>
      <sheetName val="LAS"/>
      <sheetName val="COPEC"/>
      <sheetName val="EUR"/>
      <sheetName val="Africa"/>
      <sheetName val="APAC S"/>
      <sheetName val="APAC N"/>
      <sheetName val="Slide output"/>
      <sheetName val="[손익기01.XL??DePara"/>
      <sheetName val="Farol Metas"/>
      <sheetName val="Preview2"/>
      <sheetName val="Agenda"/>
      <sheetName val="Cadastros"/>
      <sheetName val="Base_Cobertura_WP"/>
      <sheetName val="TOTAL_HL"/>
      <sheetName val="99"/>
      <sheetName val="BASE_APOIO"/>
      <sheetName val="AO"/>
      <sheetName val="2"/>
      <sheetName val="BG"/>
      <sheetName val="Farol"/>
      <sheetName val="Base_Farol_Manual_Consolidada"/>
      <sheetName val="Árvore"/>
      <sheetName val="Tela_Inicial"/>
      <sheetName val="XLR_NoRangeSheet"/>
      <sheetName val="GVs"/>
      <sheetName val="Cadastro_Comercial"/>
      <sheetName val="2-Instalações"/>
      <sheetName val="RESUMO_MC"/>
      <sheetName val="Organization"/>
      <sheetName val="EMPREGADOS"/>
      <sheetName val="4-Estrutura_da_Área_de_Vendas"/>
      <sheetName val="5-Vendas-5_4-5_5-5_6"/>
      <sheetName val="FE"/>
      <sheetName val="BD_-_Realizado"/>
      <sheetName val="Cadastro_de_Veículos"/>
      <sheetName val="3-Equipamentos_e_Meios"/>
      <sheetName val="Cálculo_TMEF-TMR"/>
      <sheetName val="Liberação_Juros_Set_2004"/>
      <sheetName val="Lista_de_Feriados"/>
      <sheetName val="BASE"/>
      <sheetName val="Base_Graf"/>
      <sheetName val="Aderencia_Algoritmo_SIV"/>
      <sheetName val="Árvore_3v"/>
      <sheetName val="Sistema"/>
      <sheetName val="Dados_Dev"/>
      <sheetName val="Cxs_Int"/>
      <sheetName val="Pilares"/>
      <sheetName val="IC's"/>
      <sheetName val="Rel_Histórico"/>
      <sheetName val="TMEF_-_TMR_151"/>
      <sheetName val="Entrada_de_Dados"/>
      <sheetName val="EI_Calc"/>
      <sheetName val="Produtos"/>
      <sheetName val="PV"/>
      <sheetName val="Base_Críticas_de_Pedidos"/>
      <sheetName val="REALxMETA_-_REFRI"/>
      <sheetName val="Planificador"/>
      <sheetName val="8-Procedimentos"/>
      <sheetName val="Gráfico_3"/>
      <sheetName val="Gráfico"/>
      <sheetName val="Gráfico_Anual"/>
      <sheetName val="GR"/>
      <sheetName val="Tabela_Preço"/>
      <sheetName val="Tab_Aux"/>
      <sheetName val="Produtos_e_Custos"/>
      <sheetName val="TI"/>
      <sheetName val="Plan2"/>
      <sheetName val="BASE_GV"/>
      <sheetName val="Matriz_Unidade"/>
      <sheetName val="Variavel"/>
      <sheetName val="Mod Relac."/>
      <sheetName val="Vlookup"/>
      <sheetName val="REALxMETA - CERVEJA"/>
      <sheetName val="REALxMETA - REFRI"/>
      <sheetName val="Catalogo"/>
      <sheetName val="MD"/>
      <sheetName val="Directrices de Metas 2017"/>
      <sheetName val="SKU Basic Data"/>
      <sheetName val="数据验证"/>
      <sheetName val="Лист2"/>
      <sheetName val="L1_L2_Lookup"/>
      <sheetName val="Entity Target"/>
      <sheetName val="条件"/>
      <sheetName val="Matriz"/>
      <sheetName val="Pareto"/>
      <sheetName val="Hoja5"/>
      <sheetName val="Personal"/>
      <sheetName val="VALIDACION DE DATOS"/>
      <sheetName val="Hoja4"/>
      <sheetName val="Drop-down List"/>
      <sheetName val="by DD"/>
      <sheetName val="Ba"/>
      <sheetName val="分类统计"/>
      <sheetName val="隐患分类"/>
      <sheetName val="Check Qualidade"/>
      <sheetName val="Lista"/>
      <sheetName val="De_Para"/>
      <sheetName val="De Para"/>
      <sheetName val="FornecM_Check"/>
      <sheetName val="Unidades_SAC-REVENDA2"/>
      <sheetName val="[손익기01_XL??DePara"/>
      <sheetName val="Farol_Metas"/>
      <sheetName val="Mod_Relac_"/>
      <sheetName val="Estratificación_AI"/>
      <sheetName val="condicion_inseguras"/>
      <sheetName val="Actos_Inseguros"/>
      <sheetName val="Control_de_incidentes"/>
      <sheetName val="Plan_de_Acción"/>
      <sheetName val="Feuil2"/>
      <sheetName val="Check Aderencia"/>
      <sheetName val="원부재료1"/>
      <sheetName val="지장물C"/>
      <sheetName val="TOWER 12TON"/>
      <sheetName val="TOWER 10TON"/>
      <sheetName val="JIB CRANE,HOIST"/>
      <sheetName val="1TL종점(1)"/>
      <sheetName val="협가표"/>
      <sheetName val="수정양식"/>
      <sheetName val="#1 Basic"/>
      <sheetName val="만기"/>
      <sheetName val="월별비교(물리)"/>
      <sheetName val="euc"/>
      <sheetName val="1공구산출내역서"/>
      <sheetName val="7_공사비집_x0000__x0000_Ā_x0000__x0005__x0000_翸_x0000_"/>
      <sheetName val="기성"/>
      <sheetName val="BQ"/>
      <sheetName val="Basic"/>
      <sheetName val="교량하부공"/>
      <sheetName val="1~9 하중계산"/>
      <sheetName val="정공공사"/>
      <sheetName val="월간공정표(04월))"/>
      <sheetName val="한계원가"/>
      <sheetName val="관리자"/>
      <sheetName val="받을어음"/>
      <sheetName val="구분 Table"/>
      <sheetName val="역T형옹벽(3.0)"/>
      <sheetName val="외상매출금현황-수정분 A2"/>
      <sheetName val="상불"/>
      <sheetName val="Assign"/>
      <sheetName val="합잔_역사"/>
      <sheetName val="01현금및현금성자산(ok)"/>
      <sheetName val="기준재고"/>
      <sheetName val="수액원료4"/>
      <sheetName val="필요면적"/>
      <sheetName val="가설공사내역"/>
      <sheetName val="401"/>
      <sheetName val="날개벽수량표"/>
      <sheetName val="문의내용 카테고리 분류(수정X)"/>
      <sheetName val="네고14"/>
      <sheetName val="관리1"/>
      <sheetName val="연체리스료"/>
      <sheetName val="대차대조표-공시형"/>
      <sheetName val="VNHA"/>
      <sheetName val="hiddenSheet"/>
      <sheetName val="기초단가"/>
      <sheetName val="파일의이용"/>
      <sheetName val="BSD (2)"/>
      <sheetName val="유리단가"/>
      <sheetName val="1.수인터널"/>
      <sheetName val="증감대비"/>
      <sheetName val="공종단가"/>
      <sheetName val="아산추가1220"/>
      <sheetName val="1_종합손익(도급)6"/>
      <sheetName val="1_종합손익(주택,개발)5"/>
      <sheetName val="2_실행예산5"/>
      <sheetName val="2_2과부족5"/>
      <sheetName val="2_3원가절감5"/>
      <sheetName val="8_외주비집행현황5"/>
      <sheetName val="9_자재비5"/>
      <sheetName val="10_현장집행5"/>
      <sheetName val="3_추가원가5"/>
      <sheetName val="3_추가원가_(2)5"/>
      <sheetName val="4_사전공사5"/>
      <sheetName val="5_추정공사비5"/>
      <sheetName val="6_금융비용5"/>
      <sheetName val="7_공사비집행현황(총괄)5"/>
      <sheetName val="11_1생산성5"/>
      <sheetName val="11_2인원산출5"/>
      <sheetName val="CC_Down_load_07165"/>
      <sheetName val="변경실행(2차)_5"/>
      <sheetName val="나_출고5"/>
      <sheetName val="나_입고5"/>
      <sheetName val="09년_인건비(속리산)5"/>
      <sheetName val="합산목표(감가+57_5)5"/>
      <sheetName val="__한국_AMP_ASP-23_판매가격__4"/>
      <sheetName val="제조원가_원단위_분석4"/>
      <sheetName val="종합표양식(품의_&amp;_입고)_24"/>
      <sheetName val="기성청구_공문5"/>
      <sheetName val="b_balju_(2)4"/>
      <sheetName val="중기조종사_단위단가4"/>
      <sheetName val="6PILE__(돌출)4"/>
      <sheetName val="원가관리_(동월대비)4"/>
      <sheetName val="2-2_매출분석4"/>
      <sheetName val="몰드시스템_리스트4"/>
      <sheetName val="7_(2)4"/>
      <sheetName val="11_외화채무증권(AFS,HTM)084"/>
      <sheetName val="13_감액TEST_084"/>
      <sheetName val="Sheet1_(2)4"/>
      <sheetName val="12년_CF(9월)4"/>
      <sheetName val="sum1_(2)4"/>
      <sheetName val="2_대외공문4"/>
      <sheetName val="表21_净利润调节表4"/>
      <sheetName val="3_바닥판설계4"/>
      <sheetName val="2_총괄표4"/>
      <sheetName val="입찰내역_발주처_양식2"/>
      <sheetName val="2_주요계수총괄2"/>
      <sheetName val="입출재고현황_(2)2"/>
      <sheetName val="Project_Brief2"/>
      <sheetName val="504전기실_동부하-L4"/>
      <sheetName val="TRE_TABLE2"/>
      <sheetName val="단면_(2)2"/>
      <sheetName val="OUTER_AREA(겹침없음)4"/>
      <sheetName val="EL_표면적4"/>
      <sheetName val="09~10년_매출계획2"/>
      <sheetName val="97_사업추정(WEKI)2"/>
      <sheetName val="6월_공정외주2"/>
      <sheetName val="Tong_hop2"/>
      <sheetName val="95_1_1이후취득자산(숨기기상태)2"/>
      <sheetName val="1_MDF1공장2"/>
      <sheetName val="Facility_Information2"/>
      <sheetName val="P_M_별3"/>
      <sheetName val="Data_Validation2"/>
      <sheetName val="PAD_TR보호대기초1"/>
      <sheetName val="1__시공측량1"/>
      <sheetName val="1_본사계정별2"/>
      <sheetName val="납부내역총괄표_(수정)1"/>
      <sheetName val="근거_및_가정1"/>
      <sheetName val="2_카드채권(대출포함)1"/>
      <sheetName val="118_세금과공과2"/>
      <sheetName val="수종별수량_(2)1"/>
      <sheetName val="1_차입금1"/>
      <sheetName val="부대시행1_(2)1"/>
      <sheetName val="3_6_2남양주택배1"/>
      <sheetName val="Back_Data_12"/>
      <sheetName val="1월_예산1"/>
      <sheetName val="_견적서1"/>
      <sheetName val="Weekly_Progress(계장)1"/>
      <sheetName val="해외_기술훈련비_(합계)2"/>
      <sheetName val="설문_평가1"/>
      <sheetName val="전선_및_전선관1"/>
      <sheetName val="설산1_나1"/>
      <sheetName val="#1)_투자_구분1"/>
      <sheetName val="2013_2월_연결대상1"/>
      <sheetName val="Utility_Usage_YTN_TOWER1"/>
      <sheetName val="B-1_기본정보1"/>
      <sheetName val="대투_보관자료_변경1"/>
      <sheetName val="G_R300경비"/>
      <sheetName val="AS포장복구_"/>
      <sheetName val="설_계"/>
      <sheetName val="수량산출서_갑지"/>
      <sheetName val="KEY_CODE1"/>
      <sheetName val="실행기성_갑지1"/>
      <sheetName val="Eq__Mobilization"/>
      <sheetName val="준검_내역서"/>
      <sheetName val="날개수량1_5"/>
      <sheetName val="Rev__Recon_1"/>
      <sheetName val="1_고객불만건수"/>
      <sheetName val="1_변경범위"/>
      <sheetName val="외주현황_wq11"/>
      <sheetName val="Jul-Sep_Actual_cost_(2)1"/>
      <sheetName val="3YP2016-Bottom_up1"/>
      <sheetName val="MASTER_APP1"/>
      <sheetName val="Cond__Inseguros1"/>
      <sheetName val="Comp__Inseguros1"/>
      <sheetName val="Lista_de_datos1"/>
      <sheetName val="Base_de_Datos1"/>
      <sheetName val="_DD_List1"/>
      <sheetName val="Share_Price_20021"/>
      <sheetName val="Clasif_1"/>
      <sheetName val="Lista_CI1"/>
      <sheetName val="Farol_Acciones1"/>
      <sheetName val="Lista_de_Entrenamientos1"/>
      <sheetName val="Supply_Cost_Centers1"/>
      <sheetName val="BEP_加薪_KPI1"/>
      <sheetName val="2-1_강사료,교통비_지급명세1"/>
      <sheetName val="13_포장용역비표준1"/>
      <sheetName val="9_가공부자재표준1"/>
      <sheetName val="8_ROLL표준(TSW)1"/>
      <sheetName val="4_톤당조관량표준1"/>
      <sheetName val="5_조관부자재표준1"/>
      <sheetName val="2-2_투자1"/>
      <sheetName val="Proj__Fin_1"/>
      <sheetName val="ITS_Assumptions"/>
      <sheetName val="Master_Data"/>
      <sheetName val="HQ_급여_"/>
      <sheetName val="OF_급여"/>
      <sheetName val="F_Ma급여"/>
      <sheetName val="SMT_급여"/>
      <sheetName val="QC_급여"/>
      <sheetName val="Sam_sung_급여"/>
      <sheetName val="Dlock_급여"/>
      <sheetName val="_thôi_việc_급여"/>
      <sheetName val="Công_smt"/>
      <sheetName val="Công_smt_(2)"/>
      <sheetName val="Detail_smt"/>
      <sheetName val="Công_QC"/>
      <sheetName val="Detail_QC_"/>
      <sheetName val="Công_SS"/>
      <sheetName val="Detail_SS"/>
      <sheetName val="Công_FMa"/>
      <sheetName val="Detail_FMa"/>
      <sheetName val="Công_OF"/>
      <sheetName val="Detail_OF"/>
      <sheetName val="Công_Dlock"/>
      <sheetName val="Detail_Dlock"/>
      <sheetName val="Công_thôi_việc"/>
      <sheetName val="Detail_thôi"/>
      <sheetName val="7_Utility_Analysis"/>
      <sheetName val="Operational_Activities"/>
      <sheetName val="F_월별기성수금현황_"/>
      <sheetName val="기초정보_코드"/>
      <sheetName val="1__작성방식"/>
      <sheetName val="조도계산서_(도서)"/>
      <sheetName val="C1_3_1"/>
      <sheetName val="입찰내역_Ĉᇆ"/>
      <sheetName val="입찰내역_Ĉᇆ"/>
      <sheetName val="6월_공嚺㓶가"/>
      <sheetName val="sum_x000a_"/>
      <sheetName val="_"/>
      <sheetName val="설비등록"/>
      <sheetName val="표)CFT장_조직별_배분"/>
      <sheetName val="20180214_P&amp;T"/>
      <sheetName val="Ref__중점_추진_과제별_상세"/>
      <sheetName val="2_6_三无_(2)"/>
      <sheetName val="Worker_List"/>
      <sheetName val="GB-IC_Villingen_GG"/>
      <sheetName val="A(Rev_3)"/>
      <sheetName val="총괄집계표"/>
      <sheetName val="합계표"/>
      <sheetName val="_x005f_x0000___x0000__x0000__x0005__x0000_㴐ኰ"/>
      <sheetName val="_x005f_x0000___x0000__x0000__x0005__x0000_움ᕕ"/>
      <sheetName val="공통비_x0000__x0000_ʯ"/>
      <sheetName val="공통비_x0000_í遘̩"/>
      <sheetName val="이름표"/>
      <sheetName val="미계약2"/>
      <sheetName val="시스템 개요 유효값"/>
      <sheetName val="640ꠌ᜹렀㣃씃"/>
      <sheetName val="640ꠏ᜹쀀씃"/>
      <sheetName val="Basic Information"/>
      <sheetName val="JT3.0견적-구1"/>
      <sheetName val="진행 DATA (2)"/>
      <sheetName val="_x005f_x005f_x005f_x0000__x005f_x005f_x005f_x0000_"/>
      <sheetName val="견적 맵"/>
      <sheetName val="Cntmrs"/>
      <sheetName val="Dropbox 목록"/>
      <sheetName val="DB"/>
      <sheetName val="생산성(2차)"/>
      <sheetName val="요약(1차)"/>
      <sheetName val="Sheet475"/>
      <sheetName val="Diesel Price "/>
      <sheetName val="$bhp"/>
      <sheetName val="업무분장 "/>
      <sheetName val="7300-1000.11"/>
      <sheetName val="7300-1000_11"/>
      <sheetName val="기준Data"/>
      <sheetName val="PJT 현황"/>
      <sheetName val="참고) 기준정보"/>
      <sheetName val="포지셔닝(유형별)"/>
      <sheetName val="채권(하반기)"/>
      <sheetName val="금액"/>
      <sheetName val="제품"/>
      <sheetName val="분류표"/>
      <sheetName val="Long Term Prices"/>
      <sheetName val="생산량"/>
      <sheetName val="BK_PPA"/>
      <sheetName val="간접비차이_PJT"/>
      <sheetName val="(참조)"/>
      <sheetName val="Investment Category"/>
      <sheetName val="1월"/>
      <sheetName val="회사전체"/>
      <sheetName val="_x005f_x005f_x005f_x0000__x005f"/>
      <sheetName val="소주(苏州)"/>
      <sheetName val="XREF"/>
      <sheetName val="Asset9809CAK"/>
      <sheetName val="PUR-12K"/>
      <sheetName val="TSCLFEB"/>
      <sheetName val="1o_Sem"/>
      <sheetName val="2o_Sem"/>
      <sheetName val="ID_Ano"/>
      <sheetName val="BaseReal"/>
      <sheetName val="Devolução_Cx_Mês"/>
      <sheetName val="Base_Fornec_M_AS_Hl"/>
      <sheetName val="Acompanhamento_Devolução"/>
      <sheetName val="Base_%_VD"/>
      <sheetName val="Ta_x0005_"/>
      <sheetName val="Base Farol"/>
      <sheetName val="Gerencial IL"/>
      <sheetName val="Ventas Campo"/>
      <sheetName val="Graficos"/>
      <sheetName val="FornecM_Check1"/>
      <sheetName val="Unidades_SAC-REVENDA3"/>
      <sheetName val="[손익기01_XL??DePara1"/>
      <sheetName val="Farol_Metas1"/>
      <sheetName val="Mod_Relac_1"/>
      <sheetName val="Estratificación_AI1"/>
      <sheetName val="condicion_inseguras1"/>
      <sheetName val="Actos_Inseguros1"/>
      <sheetName val="Control_de_incidentes1"/>
      <sheetName val="Plan_de_Acción1"/>
      <sheetName val="TOP_KPIs_MTM"/>
      <sheetName val="PLAN_DE_ACCION"/>
      <sheetName val="Faro_de_Indicadores"/>
      <sheetName val="Grafica_Actos"/>
      <sheetName val="Condiciones_SyE"/>
      <sheetName val="REALxMETA_-_CERVEJA2"/>
      <sheetName val="REALxMETA_-_REFRI2"/>
      <sheetName val="Dashboard_Prevención_Riesgos_"/>
      <sheetName val="POC_LIST"/>
      <sheetName val="Entity_Target"/>
      <sheetName val="Issues_List_Payments"/>
      <sheetName val="ACTOS POR RIESGO"/>
      <sheetName val="drop lists"/>
      <sheetName val="MRL NON SUPPLY URU"/>
      <sheetName val="AIIM - Empresas Ext 2012"/>
      <sheetName val="Blad2"/>
      <sheetName val="KPIs Hana"/>
      <sheetName val="CausasProblemasFolios"/>
      <sheetName val="Catalago de refacciones "/>
      <sheetName val="Existencias al 07-Nov-2012"/>
      <sheetName val="GAP"/>
      <sheetName val="Check GG"/>
      <sheetName val="요일_테이블4"/>
      <sheetName val="요일_테이블_(2)3"/>
      <sheetName val="TO_Data_Base12"/>
      <sheetName val="YTD_Summary11"/>
      <sheetName val="Month_Summary11"/>
      <sheetName val="Trial_Balance_MAY_200911"/>
      <sheetName val="TB_Pivot11"/>
      <sheetName val="total_per_LB_LB211"/>
      <sheetName val="Trial_Balance_Vlookup11"/>
      <sheetName val="Trial_Balance_APRIL_200911"/>
      <sheetName val="Roll_Out_AQ11"/>
      <sheetName val="Evolução_mandamentos11"/>
      <sheetName val="Planilha_resultados10"/>
      <sheetName val="Historico_200310"/>
      <sheetName val="Sig_Cycles_Accts_&amp;_Processes10"/>
      <sheetName val="Fixed_ZBB4"/>
      <sheetName val="E_法规NC4"/>
      <sheetName val="3_ISo_YTD4"/>
      <sheetName val="Données_LMU4"/>
      <sheetName val="Brazil_Sovereign4"/>
      <sheetName val="Resumen_Costo4"/>
      <sheetName val="Base_de_Dados4"/>
      <sheetName val="Extract_Loss4"/>
      <sheetName val="5_14"/>
      <sheetName val="QA_跟踪记录表4"/>
      <sheetName val="RG_Depots4"/>
      <sheetName val="material_data4"/>
      <sheetName val="other_data4"/>
      <sheetName val="Como_Estamos4"/>
      <sheetName val="Database_(RUR)Mar_YTD4"/>
      <sheetName val="SKU_Mapping4"/>
      <sheetName val="Drop_Down4"/>
      <sheetName val="Raw_Data4"/>
      <sheetName val="EBM-2_GHQ4"/>
      <sheetName val="Base_PEF5"/>
      <sheetName val="Controls_data6"/>
      <sheetName val="Dados_BLP4"/>
      <sheetName val="Testing_Template_Guidance4"/>
      <sheetName val="Test_Programs4"/>
      <sheetName val="FJJX_Bud_IB3"/>
      <sheetName val="JOB_PROFILE_-_LAS4"/>
      <sheetName val="ARdistr_(2)4"/>
      <sheetName val="look-up_data3"/>
      <sheetName val="Prd_Hierarchy(产品层级)3"/>
      <sheetName val="Com_(2PK)3"/>
      <sheetName val="전사_PL5"/>
      <sheetName val="자금_제외_PL5"/>
      <sheetName val="자금_PL5"/>
      <sheetName val="전사_BS5"/>
      <sheetName val="자금_제외_BS5"/>
      <sheetName val="자금_BS5"/>
      <sheetName val="BS_계정_설명5"/>
      <sheetName val="_Cash_Flow(전사)5"/>
      <sheetName val="_Cash_Flow(자금제외)5"/>
      <sheetName val="_Cash_Flow(자금)5"/>
      <sheetName val="ROIC_5"/>
      <sheetName val="인건비_명세5"/>
      <sheetName val="판관비_명세5"/>
      <sheetName val="OH_Cost경비(내역)5"/>
      <sheetName val="OH_Cost경비(배부기준)5"/>
      <sheetName val="기타수지&amp;특별손익_명세5"/>
      <sheetName val="업무연락_(2)4"/>
      <sheetName val="제시_손익계산서4"/>
      <sheetName val="01_02월_성과급5"/>
      <sheetName val="M_7회차_담금_계획4"/>
      <sheetName val="팀별_실적4"/>
      <sheetName val="팀별_실적_(환산)4"/>
      <sheetName val="4__Inj_투자상세내역4"/>
      <sheetName val="3__Blow_투자_상세내역4"/>
      <sheetName val="Process_List4"/>
      <sheetName val="Prd_Hierarchy(产品层次)3"/>
      <sheetName val="Project_Code3"/>
      <sheetName val="_손익기01_XL3"/>
      <sheetName val="drop_down_list3"/>
      <sheetName val="[손익기01_XL_x005f_x0000__x005f_x0000_DePara3"/>
      <sheetName val="Income_Stmt3"/>
      <sheetName val="Quarterly_LBO_Model3"/>
      <sheetName val="[손익기01_XL3"/>
      <sheetName val="_손익기01_XL_x005f_x0000__x005f_x0000_DePara3"/>
      <sheetName val="15년_BL_사계3"/>
      <sheetName val="Classification_分类2"/>
      <sheetName val="Figures_Report2"/>
      <sheetName val="Set_Up3"/>
      <sheetName val="Fare_prices2"/>
      <sheetName val="Hotel_prices2"/>
      <sheetName val="tab_STATUS_DO_PROCESSO_2"/>
      <sheetName val="Perf__Plan__Diário12"/>
      <sheetName val="In_(2)2"/>
      <sheetName val="slide_24_cat_A2"/>
      <sheetName val="slide_82_cat_b2"/>
      <sheetName val="Incident_유형구분표2"/>
      <sheetName val="CLASIFICACION_DE_AI2"/>
      <sheetName val="Base_da_Datos2"/>
      <sheetName val="Dados_dos_Produtos2"/>
      <sheetName val="DD_list2"/>
      <sheetName val="F08_-_Asia_Pac_Full_Year_Q31"/>
      <sheetName val="Top_Priorities1"/>
      <sheetName val="Listco_Stock1"/>
      <sheetName val="Intl_Purchase1"/>
      <sheetName val="FY_outlook1"/>
      <sheetName val="CY_outlook1"/>
      <sheetName val="Cash_metrics1"/>
      <sheetName val="P6_71"/>
      <sheetName val="DATOS_BASE"/>
      <sheetName val="Hazards_Analysis-隐患分析"/>
      <sheetName val="_손익기01_XL_x005f_x005f_x005f_x0000__x005f_x005f_x0"/>
      <sheetName val="turnover_reason퇴직사유"/>
      <sheetName val="SKU_Basic_Data"/>
      <sheetName val="DETALLE_MENSUAL"/>
      <sheetName val="do_not_delete"/>
      <sheetName val="APAC_S"/>
      <sheetName val="APAC_N"/>
      <sheetName val="Slide_output"/>
      <sheetName val="Directrices_de_Metas_2017"/>
      <sheetName val="구분"/>
      <sheetName val="요일_테이블5"/>
      <sheetName val="요일_테이블_(2)4"/>
      <sheetName val="TO_Data_Base13"/>
      <sheetName val="YTD_Summary12"/>
      <sheetName val="Month_Summary12"/>
      <sheetName val="Trial_Balance_MAY_200912"/>
      <sheetName val="TB_Pivot12"/>
      <sheetName val="total_per_LB_LB212"/>
      <sheetName val="Trial_Balance_Vlookup12"/>
      <sheetName val="Trial_Balance_APRIL_200912"/>
      <sheetName val="Roll_Out_AQ12"/>
      <sheetName val="Evolução_mandamentos12"/>
      <sheetName val="Planilha_resultados11"/>
      <sheetName val="Historico_200311"/>
      <sheetName val="Sig_Cycles_Accts_&amp;_Processes11"/>
      <sheetName val="Fixed_ZBB5"/>
      <sheetName val="E_法规NC5"/>
      <sheetName val="3_ISo_YTD5"/>
      <sheetName val="Données_LMU5"/>
      <sheetName val="Brazil_Sovereign5"/>
      <sheetName val="Resumen_Costo5"/>
      <sheetName val="Base_de_Dados5"/>
      <sheetName val="Extract_Loss5"/>
      <sheetName val="5_15"/>
      <sheetName val="QA_跟踪记录表5"/>
      <sheetName val="RG_Depots5"/>
      <sheetName val="material_data5"/>
      <sheetName val="other_data5"/>
      <sheetName val="Como_Estamos5"/>
      <sheetName val="Database_(RUR)Mar_YTD5"/>
      <sheetName val="SKU_Mapping5"/>
      <sheetName val="Drop_Down5"/>
      <sheetName val="Raw_Data5"/>
      <sheetName val="EBM-2_GHQ5"/>
      <sheetName val="Base_PEF6"/>
      <sheetName val="Controls_data7"/>
      <sheetName val="Dados_BLP5"/>
      <sheetName val="Testing_Template_Guidance5"/>
      <sheetName val="Test_Programs5"/>
      <sheetName val="FJJX_Bud_IB4"/>
      <sheetName val="JOB_PROFILE_-_LAS5"/>
      <sheetName val="ARdistr_(2)5"/>
      <sheetName val="look-up_data4"/>
      <sheetName val="Prd_Hierarchy(产品层级)4"/>
      <sheetName val="Com_(2PK)4"/>
      <sheetName val="전사_PL6"/>
      <sheetName val="자금_제외_PL6"/>
      <sheetName val="자금_PL6"/>
      <sheetName val="전사_BS6"/>
      <sheetName val="자금_제외_BS6"/>
      <sheetName val="자금_BS6"/>
      <sheetName val="BS_계정_설명6"/>
      <sheetName val="_Cash_Flow(전사)6"/>
      <sheetName val="_Cash_Flow(자금제외)6"/>
      <sheetName val="_Cash_Flow(자금)6"/>
      <sheetName val="ROIC_6"/>
      <sheetName val="인건비_명세6"/>
      <sheetName val="판관비_명세6"/>
      <sheetName val="OH_Cost경비(내역)6"/>
      <sheetName val="OH_Cost경비(배부기준)6"/>
      <sheetName val="기타수지&amp;특별손익_명세6"/>
      <sheetName val="업무연락_(2)5"/>
      <sheetName val="제시_손익계산서5"/>
      <sheetName val="01_02월_성과급6"/>
      <sheetName val="M_7회차_담금_계획5"/>
      <sheetName val="팀별_실적5"/>
      <sheetName val="팀별_실적_(환산)5"/>
      <sheetName val="4__Inj_투자상세내역5"/>
      <sheetName val="3__Blow_투자_상세내역5"/>
      <sheetName val="Process_List5"/>
      <sheetName val="7_(2)5"/>
      <sheetName val="Prd_Hierarchy(产品层次)4"/>
      <sheetName val="Project_Code4"/>
      <sheetName val="_손익기01_XL4"/>
      <sheetName val="drop_down_list4"/>
      <sheetName val="[손익기01_XL_x005f_x0000__x005f_x0000_DePara4"/>
      <sheetName val="Income_Stmt4"/>
      <sheetName val="Quarterly_LBO_Model4"/>
      <sheetName val="[손익기01_XL4"/>
      <sheetName val="_손익기01_XL_x005f_x0000__x005f_x0000_DePara4"/>
      <sheetName val="15년_BL_사계4"/>
      <sheetName val="Classification_分类3"/>
      <sheetName val="Figures_Report3"/>
      <sheetName val="Set_Up4"/>
      <sheetName val="Fare_prices3"/>
      <sheetName val="Hotel_prices3"/>
      <sheetName val="tab_STATUS_DO_PROCESSO_3"/>
      <sheetName val="Perf__Plan__Diário13"/>
      <sheetName val="In_(2)3"/>
      <sheetName val="slide_24_cat_A3"/>
      <sheetName val="slide_82_cat_b3"/>
      <sheetName val="09~10년_매출계획3"/>
      <sheetName val="1_MDF1공장3"/>
      <sheetName val="Incident_유형구분표3"/>
      <sheetName val="CLASIFICACION_DE_AI3"/>
      <sheetName val="Base_da_Datos3"/>
      <sheetName val="Dados_dos_Produtos3"/>
      <sheetName val="DD_list3"/>
      <sheetName val="3YP2016-Bottom_up2"/>
      <sheetName val="2_카드채권(대출포함)2"/>
      <sheetName val="MASTER_APP2"/>
      <sheetName val="Cond__Inseguros2"/>
      <sheetName val="Comp__Inseguros2"/>
      <sheetName val="Lista_de_datos2"/>
      <sheetName val="Base_de_Datos2"/>
      <sheetName val="_DD_List2"/>
      <sheetName val="Share_Price_20022"/>
      <sheetName val="Clasif_2"/>
      <sheetName val="Lista_CI2"/>
      <sheetName val="Farol_Acciones2"/>
      <sheetName val="Lista_de_Entrenamientos2"/>
      <sheetName val="Supply_Cost_Centers2"/>
      <sheetName val="F08_-_Asia_Pac_Full_Year_Q32"/>
      <sheetName val="Top_Priorities2"/>
      <sheetName val="Listco_Stock2"/>
      <sheetName val="Intl_Purchase2"/>
      <sheetName val="FY_outlook2"/>
      <sheetName val="CY_outlook2"/>
      <sheetName val="Cash_metrics2"/>
      <sheetName val="P6_72"/>
      <sheetName val="DATOS_BASE1"/>
      <sheetName val="Hazards_Analysis-隐患分析1"/>
      <sheetName val="_손익기01_XL_x005f_x005f_x005f_x0000__x005f_x005f_x1"/>
      <sheetName val="Dashboard_Prevención_Riesgos_1"/>
      <sheetName val="TOP_KPIs_MTM1"/>
      <sheetName val="PLAN_DE_ACCION1"/>
      <sheetName val="Faro_de_Indicadores1"/>
      <sheetName val="Issues_List_Payments1"/>
      <sheetName val="Grafica_Actos1"/>
      <sheetName val="Condiciones_SyE1"/>
      <sheetName val="turnover_reason퇴직사유1"/>
      <sheetName val="POC_LIST1"/>
      <sheetName val="SKU_Basic_Data1"/>
      <sheetName val="DETALLE_MENSUAL1"/>
      <sheetName val="do_not_delete1"/>
      <sheetName val="REALxMETA_-_CERVEJA3"/>
      <sheetName val="REALxMETA_-_REFRI3"/>
      <sheetName val="APAC_S1"/>
      <sheetName val="APAC_N1"/>
      <sheetName val="Slide_output1"/>
      <sheetName val="Directrices_de_Metas_20171"/>
      <sheetName val="Entity_Target1"/>
      <sheetName val="VALIDACION_DE_DATOS"/>
      <sheetName val="Drop-down_List"/>
      <sheetName val="by_DD"/>
      <sheetName val="_손익기01.XL_x005f_x0000__x0"/>
      <sheetName val="工作表2"/>
      <sheetName val="条件格式选项"/>
      <sheetName val="单位信息"/>
      <sheetName val="条件格式"/>
      <sheetName val="요일 테이블 "/>
      <sheetName val="Nombre de SOP"/>
      <sheetName val="Vermelha"/>
      <sheetName val="Список"/>
      <sheetName val="targets"/>
      <sheetName val=" mngt Pillar"/>
      <sheetName val="2. Indicadores"/>
      <sheetName val="Ta¨"/>
      <sheetName val="Ta "/>
      <sheetName val="Sheet3 (2)"/>
      <sheetName val="Hoegaarden"/>
      <sheetName val="Lao &amp; Cam"/>
      <sheetName val="Hoegaarden 2019"/>
      <sheetName val="Lao &amp; Cam 2019"/>
      <sheetName val="Malaysia"/>
      <sheetName val="Malaysia 2019"/>
      <sheetName val="Singapore"/>
      <sheetName val="Singapore 2019"/>
      <sheetName val="Sheet2 (2)"/>
      <sheetName val="下拉菜单选项"/>
      <sheetName val="Lookups"/>
      <sheetName val="Other Listings"/>
      <sheetName val="Registros"/>
      <sheetName val="Lista de Entrenamientos RSO"/>
      <sheetName val="Tablero SDG"/>
      <sheetName val="Lista Areas"/>
      <sheetName val="One Page"/>
      <sheetName val="Tablero_SDG"/>
      <sheetName val="Lista_Areas"/>
      <sheetName val="One_Page"/>
      <sheetName val="Tablero_SDG1"/>
      <sheetName val="Lista_Areas1"/>
      <sheetName val="One_Page1"/>
      <sheetName val="Sub-Productos HN"/>
      <sheetName val="SDG"/>
      <sheetName val="Eficiencia linea"/>
      <sheetName val="Tablero_SDG2"/>
      <sheetName val="Lista_Areas2"/>
      <sheetName val="One_Page2"/>
      <sheetName val="Sub-Productos_HN"/>
      <sheetName val="Capa"/>
      <sheetName val="Reference"/>
      <sheetName val="Dropdown"/>
      <sheetName val="[손익기01_XL_x0000__x0000_DePara2"/>
      <sheetName val="_손익기01_XL_x0000__x0000_DePara2"/>
      <sheetName val="[손익기01_XL_x0000__x0000_DePara1"/>
      <sheetName val="_손익기01_XL_x0000__x0000_DePara1"/>
      <sheetName val="有效性"/>
      <sheetName val="基础信息"/>
      <sheetName val="dd"/>
      <sheetName val="隐患统计图"/>
      <sheetName val="Refs"/>
      <sheetName val="Unidades_SAC-REVENDA4"/>
      <sheetName val="FornecM_Check2"/>
      <sheetName val="Mod_Relac_2"/>
      <sheetName val="[손익기01_XL??DePara2"/>
      <sheetName val="Farol_Metas2"/>
      <sheetName val="Estratificación_AI2"/>
      <sheetName val="condicion_inseguras2"/>
      <sheetName val="Actos_Inseguros2"/>
      <sheetName val="Control_de_incidentes2"/>
      <sheetName val="Plan_de_Acción2"/>
      <sheetName val="Check_Qualidade"/>
      <sheetName val="De_Para1"/>
      <sheetName val="Check_Aderencia"/>
      <sheetName val="Ta"/>
      <sheetName val="Base_Farol"/>
      <sheetName val="Ventas_Campo"/>
      <sheetName val="Gerencial_IL"/>
      <sheetName val="Ta_"/>
      <sheetName val="ACTOS_POR_RIESGO"/>
      <sheetName val="Nombre_de_SOP"/>
      <sheetName val="drop_lists"/>
      <sheetName val="Check_GG"/>
      <sheetName val="KPIs_Hana"/>
      <sheetName val="Catalago_de_refacciones_"/>
      <sheetName val="Existencias_al_07-Nov-2012"/>
      <sheetName val="MRL_NON_SUPPLY_URU"/>
      <sheetName val="AIIM_-_Empresas_Ext_2012"/>
      <sheetName val="Pauta RPS Distribuição"/>
      <sheetName val="BaseGrupo"/>
      <sheetName val="RProd"/>
      <sheetName val="Planilha1"/>
      <sheetName val="Planilha2"/>
      <sheetName val="Estoque"/>
      <sheetName val="Estoque (2)"/>
      <sheetName val="ajuda"/>
      <sheetName val="Adm"/>
      <sheetName val="Controls"/>
      <sheetName val="菜单联动"/>
      <sheetName val="不安全行为库"/>
      <sheetName val="KPI标准"/>
      <sheetName val="Motorista"/>
      <sheetName val="[손익기01_XL_x0000__x0000_DePara3"/>
      <sheetName val="_손익기01_XL_x0000__x0000_DePara3"/>
      <sheetName val="_손익기01.XL_x0000__x0"/>
      <sheetName val="[손익기01_XL_x0000__x0000_DePara4"/>
      <sheetName val="_손익기01_XL_x0000__x0000_DePara4"/>
      <sheetName val="_손익기01_XL_x005f_x0000__x0"/>
      <sheetName val="_손익기01_XL_x005f_x0000__x1"/>
      <sheetName val="Julio"/>
      <sheetName val="CONTADOR"/>
      <sheetName val="DROP"/>
      <sheetName val="INGRESO"/>
      <sheetName val="DATOS DE VALIDACIÓN"/>
      <sheetName val="clasificación"/>
      <sheetName val="Datos con"/>
      <sheetName val="Dato"/>
      <sheetName val="Enero(11)"/>
      <sheetName val="Respel-RAEE"/>
      <sheetName val="Asistencia"/>
      <sheetName val=" Datos Cond."/>
      <sheetName val="CRITERIOS"/>
      <sheetName val="참조용"/>
      <sheetName val="이상욱"/>
      <sheetName val="최창원"/>
      <sheetName val="권순오"/>
      <sheetName val="유윤선"/>
      <sheetName val="서유덕"/>
      <sheetName val="이창훈"/>
      <sheetName val="이도현"/>
      <sheetName val="진형수"/>
      <sheetName val="원영훈"/>
      <sheetName val="정진광"/>
      <sheetName val="강승권"/>
      <sheetName val="마민호"/>
      <sheetName val="주차통행료"/>
      <sheetName val="이상욱2"/>
      <sheetName val="Comp Inseguros"/>
      <sheetName val="BNR_2012 в ящике"/>
      <sheetName val="Legend"/>
      <sheetName val="INGRESO (2)"/>
      <sheetName val="PG-K1610 (UEN Areas)MNG"/>
      <sheetName val="DATOS GEN."/>
      <sheetName val="NUEVOS CRITERIOS"/>
      <sheetName val="Condiciones Agua"/>
      <sheetName val="筛选列表"/>
      <sheetName val="ETD"/>
      <sheetName val="Cons"/>
      <sheetName val="TO_Data_Base14"/>
      <sheetName val="YTD_Summary13"/>
      <sheetName val="Month_Summary13"/>
      <sheetName val="Trial_Balance_MAY_200913"/>
      <sheetName val="TB_Pivot13"/>
      <sheetName val="total_per_LB_LB213"/>
      <sheetName val="Trial_Balance_Vlookup13"/>
      <sheetName val="Trial_Balance_APRIL_200913"/>
      <sheetName val="Roll_Out_AQ13"/>
      <sheetName val="Evolução_mandamentos13"/>
      <sheetName val="Planilha_resultados12"/>
      <sheetName val="Historico_200312"/>
      <sheetName val="Sig_Cycles_Accts_&amp;_Processes12"/>
      <sheetName val="Fixed_ZBB6"/>
      <sheetName val="E_法规NC6"/>
      <sheetName val="3_ISo_YTD6"/>
      <sheetName val="Données_LMU6"/>
      <sheetName val="Brazil_Sovereign6"/>
      <sheetName val="Resumen_Costo6"/>
      <sheetName val="Extract_Loss6"/>
      <sheetName val="QA_跟踪记录表6"/>
      <sheetName val="5_16"/>
      <sheetName val="Base_de_Dados6"/>
      <sheetName val="Como_Estamos6"/>
      <sheetName val="Controls_data8"/>
      <sheetName val="RG_Depots6"/>
      <sheetName val="material_data6"/>
      <sheetName val="other_data6"/>
      <sheetName val="Database_(RUR)Mar_YTD6"/>
      <sheetName val="SKU_Mapping6"/>
      <sheetName val="Drop_Down6"/>
      <sheetName val="Raw_Data6"/>
      <sheetName val="EBM-2_GHQ6"/>
      <sheetName val="Base_PEF7"/>
      <sheetName val="Testing_Template_Guidance6"/>
      <sheetName val="Test_Programs6"/>
      <sheetName val="Dados_BLP6"/>
      <sheetName val="FJJX_Bud_IB5"/>
      <sheetName val="JOB_PROFILE_-_LAS6"/>
      <sheetName val="ARdistr_(2)6"/>
      <sheetName val="look-up_data5"/>
      <sheetName val="Prd_Hierarchy(产品层级)5"/>
      <sheetName val="Com_(2PK)5"/>
      <sheetName val="Project_Code5"/>
      <sheetName val="요일_테이블6"/>
      <sheetName val="요일_테이블_(2)5"/>
      <sheetName val="Prd_Hierarchy(产品层次)5"/>
      <sheetName val="전사_PL7"/>
      <sheetName val="자금_제외_PL7"/>
      <sheetName val="자금_PL7"/>
      <sheetName val="전사_BS7"/>
      <sheetName val="자금_제외_BS7"/>
      <sheetName val="자금_BS7"/>
      <sheetName val="BS_계정_설명7"/>
      <sheetName val="_Cash_Flow(전사)7"/>
      <sheetName val="_Cash_Flow(자금제외)7"/>
      <sheetName val="_Cash_Flow(자금)7"/>
      <sheetName val="ROIC_7"/>
      <sheetName val="인건비_명세7"/>
      <sheetName val="판관비_명세7"/>
      <sheetName val="OH_Cost경비(내역)7"/>
      <sheetName val="OH_Cost경비(배부기준)7"/>
      <sheetName val="기타수지&amp;특별손익_명세7"/>
      <sheetName val="업무연락_(2)6"/>
      <sheetName val="제시_손익계산서6"/>
      <sheetName val="01_02월_성과급7"/>
      <sheetName val="M_7회차_담금_계획6"/>
      <sheetName val="팀별_실적6"/>
      <sheetName val="팀별_실적_(환산)6"/>
      <sheetName val="4__Inj_투자상세내역6"/>
      <sheetName val="3__Blow_투자_상세내역6"/>
      <sheetName val="Process_List6"/>
      <sheetName val="7_(2)6"/>
      <sheetName val="_손익기01_XL5"/>
      <sheetName val="Income_Stmt5"/>
      <sheetName val="drop_down_list5"/>
      <sheetName val="[손익기01_XL_x005f_x0000__x005f_x0000_DePara5"/>
      <sheetName val="Quarterly_LBO_Model5"/>
      <sheetName val="Figures_Report4"/>
      <sheetName val="[손익기01_XL5"/>
      <sheetName val="_손익기01_XL_x005f_x0000__x005f_x0000_DePara5"/>
      <sheetName val="Fare_prices4"/>
      <sheetName val="Hotel_prices4"/>
      <sheetName val="Set_Up5"/>
      <sheetName val="15년_BL_사계5"/>
      <sheetName val="Classification_分类4"/>
      <sheetName val="tab_STATUS_DO_PROCESSO_4"/>
      <sheetName val="Perf__Plan__Diário14"/>
      <sheetName val="In_(2)4"/>
      <sheetName val="CLASIFICACION_DE_AI4"/>
      <sheetName val="Base_da_Datos4"/>
      <sheetName val="slide_24_cat_A4"/>
      <sheetName val="slide_82_cat_b4"/>
      <sheetName val="Dados_dos_Produtos4"/>
      <sheetName val="09~10년_매출계획4"/>
      <sheetName val="1_MDF1공장4"/>
      <sheetName val="Incident_유형구분표4"/>
      <sheetName val="3YP2016-Bottom_up3"/>
      <sheetName val="DD_list4"/>
      <sheetName val="Base_de_Datos3"/>
      <sheetName val="Clasif_3"/>
      <sheetName val="Supply_Cost_Centers3"/>
      <sheetName val="Cond__Inseguros3"/>
      <sheetName val="Comp__Inseguros3"/>
      <sheetName val="Lista_de_datos3"/>
      <sheetName val="MASTER_APP3"/>
      <sheetName val="2_카드채권(대출포함)3"/>
      <sheetName val="Lista_CI3"/>
      <sheetName val="Dashboard_Prevención_Riesgos_2"/>
      <sheetName val="TOP_KPIs_MTM2"/>
      <sheetName val="PLAN_DE_ACCION2"/>
      <sheetName val="Faro_de_Indicadores2"/>
      <sheetName val="Farol_Acciones3"/>
      <sheetName val="Lista_de_Entrenamientos3"/>
      <sheetName val="Share_Price_20023"/>
      <sheetName val="_DD_List3"/>
      <sheetName val="BEP_加薪_KPI2"/>
      <sheetName val="Issues_List_Payments2"/>
      <sheetName val="do_not_delete2"/>
      <sheetName val="Grafica_Actos2"/>
      <sheetName val="APAC_S2"/>
      <sheetName val="APAC_N2"/>
      <sheetName val="Slide_output2"/>
      <sheetName val="Condiciones_SyE2"/>
      <sheetName val="REALxMETA_-_CERVEJA4"/>
      <sheetName val="REALxMETA_-_REFRI4"/>
      <sheetName val="Directrices_de_Metas_20172"/>
      <sheetName val="_손익기01_XL_x005f_x005f_x005f_x0000__x005f_x005f_x2"/>
      <sheetName val="Hazards_Analysis-隐患分析2"/>
      <sheetName val="F08_-_Asia_Pac_Full_Year_Q33"/>
      <sheetName val="Top_Priorities3"/>
      <sheetName val="Listco_Stock3"/>
      <sheetName val="Intl_Purchase3"/>
      <sheetName val="FY_outlook3"/>
      <sheetName val="CY_outlook3"/>
      <sheetName val="Cash_metrics3"/>
      <sheetName val="P6_73"/>
      <sheetName val="DATOS_BASE2"/>
      <sheetName val="POC_LIST2"/>
      <sheetName val="turnover_reason퇴직사유2"/>
      <sheetName val="SKU_Basic_Data2"/>
      <sheetName val="Entity_Target2"/>
      <sheetName val="DETALLE_MENSUAL2"/>
      <sheetName val="Drop-down_List1"/>
      <sheetName val="by_DD1"/>
      <sheetName val="VALIDACION_DE_DATOS1"/>
      <sheetName val="부재료_비교(11년_vs_10년)"/>
      <sheetName val="Sheet3_(2)"/>
      <sheetName val="Lao_&amp;_Cam"/>
      <sheetName val="Hoegaarden_2019"/>
      <sheetName val="Lao_&amp;_Cam_2019"/>
      <sheetName val="Malaysia_2019"/>
      <sheetName val="Singapore_2019"/>
      <sheetName val="Sheet2_(2)"/>
      <sheetName val="요일_테이블_"/>
      <sheetName val="Other_Listings"/>
      <sheetName val="2__Indicadores"/>
      <sheetName val="Lista_de_Entrenamientos_RSO"/>
      <sheetName val="Tablero_SDG3"/>
      <sheetName val="Lista_Areas3"/>
      <sheetName val="One_Page3"/>
      <sheetName val="Sub-Productos_HN1"/>
      <sheetName val="Eficiencia_linea"/>
      <sheetName val="_mngt_Pillar"/>
      <sheetName val="Un"/>
      <sheetName val="Justificativas"/>
      <sheetName val="DO NOT MOVE"/>
      <sheetName val="PINC汇总"/>
      <sheetName val="Note"/>
      <sheetName val="物料主数据"/>
      <sheetName val="选项"/>
      <sheetName val="品牌填写下拉菜单"/>
      <sheetName val="Dropdown list"/>
      <sheetName val="Liste"/>
      <sheetName val="清单"/>
      <sheetName val="beerflow"/>
      <sheetName val="요일_테이블7"/>
      <sheetName val="요일_테이블_(2)6"/>
      <sheetName val="TO_Data_Base15"/>
      <sheetName val="YTD_Summary14"/>
      <sheetName val="Month_Summary14"/>
      <sheetName val="Trial_Balance_MAY_200914"/>
      <sheetName val="TB_Pivot14"/>
      <sheetName val="total_per_LB_LB214"/>
      <sheetName val="Trial_Balance_Vlookup14"/>
      <sheetName val="Trial_Balance_APRIL_200914"/>
      <sheetName val="Roll_Out_AQ14"/>
      <sheetName val="Evolução_mandamentos14"/>
      <sheetName val="Planilha_resultados13"/>
      <sheetName val="Historico_200313"/>
      <sheetName val="Sig_Cycles_Accts_&amp;_Processes13"/>
      <sheetName val="3_ISo_YTD7"/>
      <sheetName val="E_法规NC7"/>
      <sheetName val="Données_LMU7"/>
      <sheetName val="Brazil_Sovereign7"/>
      <sheetName val="Resumen_Costo7"/>
      <sheetName val="Fixed_ZBB7"/>
      <sheetName val="5_17"/>
      <sheetName val="Extract_Loss7"/>
      <sheetName val="QA_跟踪记录表7"/>
      <sheetName val="RG_Depots7"/>
      <sheetName val="material_data7"/>
      <sheetName val="other_data7"/>
      <sheetName val="Como_Estamos7"/>
      <sheetName val="Database_(RUR)Mar_YTD7"/>
      <sheetName val="SKU_Mapping7"/>
      <sheetName val="Drop_Down7"/>
      <sheetName val="Raw_Data7"/>
      <sheetName val="EBM-2_GHQ7"/>
      <sheetName val="Base_PEF8"/>
      <sheetName val="Base_de_Dados7"/>
      <sheetName val="Testing_Template_Guidance7"/>
      <sheetName val="Test_Programs7"/>
      <sheetName val="Dados_BLP7"/>
      <sheetName val="Controls_data9"/>
      <sheetName val="FJJX_Bud_IB6"/>
      <sheetName val="look-up_data6"/>
      <sheetName val="JOB_PROFILE_-_LAS7"/>
      <sheetName val="ARdistr_(2)7"/>
      <sheetName val="Prd_Hierarchy(产品层级)6"/>
      <sheetName val="Com_(2PK)6"/>
      <sheetName val="전사_PL8"/>
      <sheetName val="자금_제외_PL8"/>
      <sheetName val="자금_PL8"/>
      <sheetName val="전사_BS8"/>
      <sheetName val="자금_제외_BS8"/>
      <sheetName val="자금_BS8"/>
      <sheetName val="BS_계정_설명8"/>
      <sheetName val="_Cash_Flow(전사)8"/>
      <sheetName val="_Cash_Flow(자금제외)8"/>
      <sheetName val="_Cash_Flow(자금)8"/>
      <sheetName val="ROIC_8"/>
      <sheetName val="인건비_명세8"/>
      <sheetName val="판관비_명세8"/>
      <sheetName val="OH_Cost경비(내역)8"/>
      <sheetName val="OH_Cost경비(배부기준)8"/>
      <sheetName val="기타수지&amp;특별손익_명세8"/>
      <sheetName val="업무연락_(2)7"/>
      <sheetName val="제시_손익계산서7"/>
      <sheetName val="01_02월_성과급8"/>
      <sheetName val="M_7회차_담금_계획7"/>
      <sheetName val="팀별_실적7"/>
      <sheetName val="팀별_실적_(환산)7"/>
      <sheetName val="4__Inj_투자상세내역7"/>
      <sheetName val="3__Blow_투자_상세내역7"/>
      <sheetName val="Process_List7"/>
      <sheetName val="7_(2)7"/>
      <sheetName val="Prd_Hierarchy(产品层次)6"/>
      <sheetName val="Project_Code6"/>
      <sheetName val="_손익기01_XL6"/>
      <sheetName val="drop_down_list6"/>
      <sheetName val="[손익기01_XL_x005f_x0000__x005f_x0000_DePara6"/>
      <sheetName val="Income_Stmt6"/>
      <sheetName val="Quarterly_LBO_Model6"/>
      <sheetName val="_손익기01_XL_x005f_x0000__x005f_x0000_DePara6"/>
      <sheetName val="[손익기01_XL6"/>
      <sheetName val="15년_BL_사계6"/>
      <sheetName val="1_종합손익(주택,개발)6"/>
      <sheetName val="2_실행예산6"/>
      <sheetName val="2_2과부족6"/>
      <sheetName val="2_3원가절감6"/>
      <sheetName val="8_외주비집행현황6"/>
      <sheetName val="9_자재비6"/>
      <sheetName val="10_현장집행6"/>
      <sheetName val="3_추가원가6"/>
      <sheetName val="3_추가원가_(2)6"/>
      <sheetName val="4_사전공사6"/>
      <sheetName val="5_추정공사비6"/>
      <sheetName val="6_금융비용6"/>
      <sheetName val="7_공사비집행현황(총괄)6"/>
      <sheetName val="11_1생산성6"/>
      <sheetName val="11_2인원산출6"/>
      <sheetName val="Classification_分类5"/>
      <sheetName val="Figures_Report5"/>
      <sheetName val="Set_Up6"/>
      <sheetName val="Fare_prices5"/>
      <sheetName val="Hotel_prices5"/>
      <sheetName val="__한국_AMP_ASP-23_판매가격__5"/>
      <sheetName val="제조원가_원단위_분석5"/>
      <sheetName val="종합표양식(품의_&amp;_입고)_25"/>
      <sheetName val="원가관리_(동월대비)5"/>
      <sheetName val="b_balju_(2)5"/>
      <sheetName val="2-2_매출분석5"/>
      <sheetName val="몰드시스템_리스트5"/>
      <sheetName val="11_외화채무증권(AFS,HTM)085"/>
      <sheetName val="13_감액TEST_085"/>
      <sheetName val="12년_CF(9월)5"/>
      <sheetName val="중기조종사_단위단가5"/>
      <sheetName val="6PILE__(돌출)5"/>
      <sheetName val="Sheet1_(2)5"/>
      <sheetName val="09~10년_매출계획5"/>
      <sheetName val="1_MDF1공장5"/>
      <sheetName val="tab_STATUS_DO_PROCESSO_5"/>
      <sheetName val="Perf__Plan__Diário15"/>
      <sheetName val="In_(2)5"/>
      <sheetName val="slide_24_cat_A5"/>
      <sheetName val="slide_82_cat_b5"/>
      <sheetName val="Incident_유형구분표5"/>
      <sheetName val="CLASIFICACION_DE_AI5"/>
      <sheetName val="Base_da_Datos5"/>
      <sheetName val="Dados_dos_Produtos5"/>
      <sheetName val="DD_list5"/>
      <sheetName val="3YP2016-Bottom_up4"/>
      <sheetName val="2_카드채권(대출포함)4"/>
      <sheetName val="MASTER_APP4"/>
      <sheetName val="Cond__Inseguros4"/>
      <sheetName val="Comp__Inseguros4"/>
      <sheetName val="Lista_de_datos4"/>
      <sheetName val="Base_de_Datos4"/>
      <sheetName val="_DD_List4"/>
      <sheetName val="Share_Price_20024"/>
      <sheetName val="Clasif_4"/>
      <sheetName val="Lista_CI4"/>
      <sheetName val="Farol_Acciones4"/>
      <sheetName val="Lista_de_Entrenamientos4"/>
      <sheetName val="Supply_Cost_Centers4"/>
      <sheetName val="BEP_加薪_KPI3"/>
      <sheetName val="F08_-_Asia_Pac_Full_Year_Q34"/>
      <sheetName val="Top_Priorities4"/>
      <sheetName val="Listco_Stock4"/>
      <sheetName val="Intl_Purchase4"/>
      <sheetName val="FY_outlook4"/>
      <sheetName val="CY_outlook4"/>
      <sheetName val="Cash_metrics4"/>
      <sheetName val="P6_74"/>
      <sheetName val="DATOS_BASE3"/>
      <sheetName val="Unidades_SAC-REVENDA5"/>
      <sheetName val="FornecM_Check3"/>
      <sheetName val="Estratificación_AI3"/>
      <sheetName val="condicion_inseguras3"/>
      <sheetName val="Actos_Inseguros3"/>
      <sheetName val="Control_de_incidentes3"/>
      <sheetName val="Plan_de_Acción3"/>
      <sheetName val="Dashboard_Prevención_Riesgos_3"/>
      <sheetName val="TOP_KPIs_MTM3"/>
      <sheetName val="PLAN_DE_ACCION3"/>
      <sheetName val="Faro_de_Indicadores3"/>
      <sheetName val="Hazards_Analysis-隐患分析3"/>
      <sheetName val="_손익기01_XL_x005f_x005f_x005f_x0000__x005f_x005f_x3"/>
      <sheetName val="97_사업추정(WEKI)3"/>
      <sheetName val="Tong_hop3"/>
      <sheetName val="95_1_1이후취득자산(숨기기상태)3"/>
      <sheetName val="6월_공정외주3"/>
      <sheetName val="입출재고현황_(2)3"/>
      <sheetName val="TRE_TABLE3"/>
      <sheetName val="입찰내역_발주처_양식3"/>
      <sheetName val="Jul-Sep_Actual_cost_(2)2"/>
      <sheetName val="Issues_List_Payments3"/>
      <sheetName val="turnover_reason퇴직사유3"/>
      <sheetName val="Grafica_Actos3"/>
      <sheetName val="POC_LIST3"/>
      <sheetName val="부재료_비교(11년_vs_10년)1"/>
      <sheetName val="Condiciones_SyE3"/>
      <sheetName val="DETALLE_MENSUAL3"/>
      <sheetName val="do_not_delete3"/>
      <sheetName val="APAC_S3"/>
      <sheetName val="APAC_N3"/>
      <sheetName val="Slide_output3"/>
      <sheetName val="[손익기01_XL??DePara3"/>
      <sheetName val="Farol_Metas3"/>
      <sheetName val="Mod_Relac_3"/>
      <sheetName val="REALxMETA_-_CERVEJA5"/>
      <sheetName val="REALxMETA_-_REFRI5"/>
      <sheetName val="Directrices_de_Metas_20173"/>
      <sheetName val="Data_validation3"/>
      <sheetName val="SKU_Basic_Data3"/>
      <sheetName val="Entity_Target3"/>
      <sheetName val="VALIDACION_DE_DATOS2"/>
      <sheetName val="Drop-down_List2"/>
      <sheetName val="by_DD2"/>
      <sheetName val="Check_Qualidade1"/>
      <sheetName val="De_Para2"/>
      <sheetName val="Check_Aderencia1"/>
      <sheetName val="_손익기01_XL_x005f_x0000__x01"/>
      <sheetName val="Base_Farol1"/>
      <sheetName val="Gerencial_IL1"/>
      <sheetName val="Ventas_Campo1"/>
      <sheetName val="ACTOS_POR_RIESGO1"/>
      <sheetName val="drop_lists1"/>
      <sheetName val="MRL_NON_SUPPLY_URU1"/>
      <sheetName val="AIIM_-_Empresas_Ext_20121"/>
      <sheetName val="KPIs_Hana1"/>
      <sheetName val="Catalago_de_refacciones_1"/>
      <sheetName val="Existencias_al_07-Nov-20121"/>
      <sheetName val="Check_GG1"/>
      <sheetName val="Sheet3_(2)1"/>
      <sheetName val="요일_테이블_1"/>
      <sheetName val="Nombre_de_SOP1"/>
      <sheetName val="_mngt_Pillar1"/>
      <sheetName val="2__Indicadores1"/>
      <sheetName val="Ta_1"/>
      <sheetName val="Lao_&amp;_Cam1"/>
      <sheetName val="Hoegaarden_20191"/>
      <sheetName val="Lao_&amp;_Cam_20191"/>
      <sheetName val="Malaysia_20191"/>
      <sheetName val="Singapore_20191"/>
      <sheetName val="Sheet2_(2)1"/>
      <sheetName val="Other_Listings1"/>
      <sheetName val="Lista_de_Entrenamientos_RSO1"/>
      <sheetName val="Tablero_SDG4"/>
      <sheetName val="Lista_Areas4"/>
      <sheetName val="One_Page4"/>
      <sheetName val="Sub-Productos_HN2"/>
      <sheetName val="Eficiencia_linea1"/>
      <sheetName val="Pauta_RPS_Distribuição"/>
      <sheetName val="Estoque_(2)"/>
      <sheetName val="_손익기01_XL_x0"/>
      <sheetName val="Comp_Inseguros"/>
      <sheetName val="BNR_2012_в_ящике"/>
      <sheetName val="DATOS_DE_VALIDACIÓN"/>
      <sheetName val="Datos_con"/>
      <sheetName val="_Datos_Cond_"/>
      <sheetName val="DO_NOT_MOVE"/>
      <sheetName val="INGRESO_(2)"/>
      <sheetName val="PG-K1610_(UEN_Areas)MNG"/>
      <sheetName val="DATOS_GEN_"/>
      <sheetName val="NUEVOS_CRITERIOS"/>
      <sheetName val="Condiciones_Agua"/>
      <sheetName val="[손익기01_XLDePara5"/>
      <sheetName val="_손익기01_XLDePara5"/>
      <sheetName val="Control de Fallas"/>
      <sheetName val="Setup for Templates"/>
      <sheetName val="Datos emp"/>
      <sheetName val="Проверки"/>
      <sheetName val="Drop list"/>
      <sheetName val="FX Rates"/>
      <sheetName val="Proced."/>
      <sheetName val="PTN"/>
      <sheetName val="Cut Machine Summary"/>
      <sheetName val="Validation lists"/>
      <sheetName val="Planilha_relts_xdb75__xdb62_eos7"/>
      <sheetName val="Testing_Template_Huidance1"/>
      <sheetName val="  한국 AMP ASP-23 판㧤가격  "/>
      <sheetName val="11.䡸화채무줝ⴌ(AFS,HTM)08"/>
      <sheetName val="status"/>
      <sheetName val="TIPO DE ACTO"/>
      <sheetName val="Marcas"/>
      <sheetName val="Concentrado"/>
      <sheetName val="CRITICIDAD DE CI"/>
      <sheetName val="Catálogo de CI"/>
      <sheetName val="% CUMPLIMIENTO"/>
      <sheetName val="% cumplimiento "/>
      <sheetName val="CALIFICACIONES 2019"/>
      <sheetName val="Lev 4 360 deg check Crit Task"/>
      <sheetName val="Lev 4 Chk IC Stock Crit Task"/>
      <sheetName val="Lev 4 WMS Putaway Crit Task"/>
      <sheetName val="Final_Summary-All"/>
      <sheetName val="Auxiliary"/>
      <sheetName val="PREENCHIMENTO"/>
      <sheetName val="Vagas x Candidatos"/>
      <sheetName val="Listas y equipos a evaluar"/>
      <sheetName val="NH3"/>
      <sheetName val="Hoja7"/>
      <sheetName val="Data Reporte"/>
      <sheetName val="Read me"/>
      <sheetName val="_x0000__x0005__x0000__x0001__x0000__x0000__x0000_"/>
      <sheetName val="_x0000__x0005__x0000_ÿ_x000f__x0000_ÿ"/>
      <sheetName val="Imputs"/>
      <sheetName val="Champions List"/>
      <sheetName val="Guidelines"/>
      <sheetName val="NAZ Strategy"/>
      <sheetName val="Daily Dashboard"/>
      <sheetName val="TO_Data_Base16"/>
      <sheetName val="YTD_Summary15"/>
      <sheetName val="Month_Summary15"/>
      <sheetName val="Trial_Balance_MAY_200915"/>
      <sheetName val="TB_Pivot15"/>
      <sheetName val="total_per_LB_LB215"/>
      <sheetName val="Trial_Balance_Vlookup15"/>
      <sheetName val="Trial_Balance_APRIL_200915"/>
      <sheetName val="Roll_Out_AQ15"/>
      <sheetName val="Evolução_mandamentos15"/>
      <sheetName val="Planilha_resultados14"/>
      <sheetName val="Historico_200314"/>
      <sheetName val="Sig_Cycles_Accts_&amp;_Processes14"/>
      <sheetName val="Fixed_ZBB8"/>
      <sheetName val="Como_Estamos8"/>
      <sheetName val="3_ISo_YTD8"/>
      <sheetName val="E_法规NC8"/>
      <sheetName val="Données_LMU8"/>
      <sheetName val="Brazil_Sovereign8"/>
      <sheetName val="Resumen_Costo8"/>
      <sheetName val="Base_de_Dados8"/>
      <sheetName val="Extract_Loss8"/>
      <sheetName val="5_18"/>
      <sheetName val="QA_跟踪记录表8"/>
      <sheetName val="RG_Depots8"/>
      <sheetName val="material_data8"/>
      <sheetName val="other_data8"/>
      <sheetName val="JOB_PROFILE_-_LAS8"/>
      <sheetName val="Database_(RUR)Mar_YTD8"/>
      <sheetName val="SKU_Mapping8"/>
      <sheetName val="Drop_Down8"/>
      <sheetName val="Raw_Data8"/>
      <sheetName val="EBM-2_GHQ8"/>
      <sheetName val="Base_PEF9"/>
      <sheetName val="Testing_Template_Guidance8"/>
      <sheetName val="Test_Programs8"/>
      <sheetName val="Controls_data10"/>
      <sheetName val="Dados_BLP8"/>
      <sheetName val="FJJX_Bud_IB7"/>
      <sheetName val="ARdistr_(2)8"/>
      <sheetName val="look-up_data7"/>
      <sheetName val="Prd_Hierarchy(产品层级)7"/>
      <sheetName val="Com_(2PK)7"/>
      <sheetName val="요일_테이블8"/>
      <sheetName val="요일_테이블_(2)7"/>
      <sheetName val="Prd_Hierarchy(产品层次)7"/>
      <sheetName val="Project_Code7"/>
      <sheetName val="전사_PL9"/>
      <sheetName val="자금_제외_PL9"/>
      <sheetName val="자금_PL9"/>
      <sheetName val="전사_BS9"/>
      <sheetName val="자금_제외_BS9"/>
      <sheetName val="자금_BS9"/>
      <sheetName val="BS_계정_설명9"/>
      <sheetName val="_Cash_Flow(전사)9"/>
      <sheetName val="_Cash_Flow(자금제외)9"/>
      <sheetName val="_Cash_Flow(자금)9"/>
      <sheetName val="ROIC_9"/>
      <sheetName val="인건비_명세9"/>
      <sheetName val="판관비_명세9"/>
      <sheetName val="OH_Cost경비(내역)9"/>
      <sheetName val="OH_Cost경비(배부기준)9"/>
      <sheetName val="기타수지&amp;특별손익_명세9"/>
      <sheetName val="업무연락_(2)8"/>
      <sheetName val="제시_손익계산서8"/>
      <sheetName val="01_02월_성과급9"/>
      <sheetName val="M_7회차_담금_계획8"/>
      <sheetName val="팀별_실적8"/>
      <sheetName val="팀별_실적_(환산)8"/>
      <sheetName val="4__Inj_투자상세내역8"/>
      <sheetName val="3__Blow_투자_상세내역8"/>
      <sheetName val="Process_List8"/>
      <sheetName val="7_(2)8"/>
      <sheetName val="_손익기01_XL7"/>
      <sheetName val="drop_down_list7"/>
      <sheetName val="[손익기01_XL_x005f_x0000__x005f_x0000_DePara7"/>
      <sheetName val="Income_Stmt7"/>
      <sheetName val="Quarterly_LBO_Model7"/>
      <sheetName val="Figures_Report6"/>
      <sheetName val="Set_Up7"/>
      <sheetName val="[손익기01_XL7"/>
      <sheetName val="tab_STATUS_DO_PROCESSO_6"/>
      <sheetName val="_손익기01_XL_x005f_x0000__x005f_x0000_DePara7"/>
      <sheetName val="Perf__Plan__Diário16"/>
      <sheetName val="In_(2)6"/>
      <sheetName val="Fare_prices6"/>
      <sheetName val="Hotel_prices6"/>
      <sheetName val="15년_BL_사계7"/>
      <sheetName val="Classification_分类6"/>
      <sheetName val="1_종합손익(도급)7"/>
      <sheetName val="1_종합손익(주택,개발)7"/>
      <sheetName val="2_실행예산7"/>
      <sheetName val="2_2과부족7"/>
      <sheetName val="2_3원가절감7"/>
      <sheetName val="8_외주비집행현황7"/>
      <sheetName val="9_자재비7"/>
      <sheetName val="10_현장집행7"/>
      <sheetName val="3_추가원가7"/>
      <sheetName val="3_추가원가_(2)7"/>
      <sheetName val="4_사전공사7"/>
      <sheetName val="5_추정공사비7"/>
      <sheetName val="6_금융비용7"/>
      <sheetName val="7_공사비집행현황(총괄)7"/>
      <sheetName val="11_1생산성7"/>
      <sheetName val="11_2인원산출7"/>
      <sheetName val="Clasif_5"/>
      <sheetName val="Cond__Inseguros5"/>
      <sheetName val="Comp__Inseguros5"/>
      <sheetName val="Lista_de_datos5"/>
      <sheetName val="MASTER_APP5"/>
      <sheetName val="CLASIFICACION_DE_AI6"/>
      <sheetName val="Base_da_Datos6"/>
      <sheetName val="__한국_AMP_ASP-23_판매가격__6"/>
      <sheetName val="CC_Down_load_07166"/>
      <sheetName val="변경실행(2차)_6"/>
      <sheetName val="나_출고6"/>
      <sheetName val="나_입고6"/>
      <sheetName val="09년_인건비(속리산)6"/>
      <sheetName val="합산목표(감가+57_5)6"/>
      <sheetName val="제조원가_원단위_분석6"/>
      <sheetName val="종합표양식(품의_&amp;_입고)_26"/>
      <sheetName val="원가관리_(동월대비)6"/>
      <sheetName val="b_balju_(2)6"/>
      <sheetName val="2-2_매출분석6"/>
      <sheetName val="몰드시스템_리스트6"/>
      <sheetName val="11_외화채무증권(AFS,HTM)086"/>
      <sheetName val="13_감액TEST_086"/>
      <sheetName val="12년_CF(9월)6"/>
      <sheetName val="중기조종사_단위단가6"/>
      <sheetName val="6PILE__(돌출)6"/>
      <sheetName val="기성청구_공문6"/>
      <sheetName val="Sheet1_(2)6"/>
      <sheetName val="slide_24_cat_A6"/>
      <sheetName val="slide_82_cat_b6"/>
      <sheetName val="Dados_dos_Produtos6"/>
      <sheetName val="09~10년_매출계획6"/>
      <sheetName val="1_MDF1공장6"/>
      <sheetName val="Incident_유형구분표6"/>
      <sheetName val="3YP2016-Bottom_up5"/>
      <sheetName val="DD_list6"/>
      <sheetName val="Lista_CI5"/>
      <sheetName val="Base_de_Datos5"/>
      <sheetName val="Dashboard_Prevención_Riesgos_4"/>
      <sheetName val="TOP_KPIs_MTM4"/>
      <sheetName val="PLAN_DE_ACCION4"/>
      <sheetName val="Faro_de_Indicadores4"/>
      <sheetName val="2_카드채권(대출포함)5"/>
      <sheetName val="表21_净利润调节表5"/>
      <sheetName val="DETALLE_MENSUAL4"/>
      <sheetName val="Farol_Acciones5"/>
      <sheetName val="FornecM_Check4"/>
      <sheetName val="Unidades_SAC-REVENDA6"/>
      <sheetName val="Lista_de_Entrenamientos5"/>
      <sheetName val="Supply_Cost_Centers5"/>
      <sheetName val="Estratificación_AI4"/>
      <sheetName val="condicion_inseguras4"/>
      <sheetName val="Actos_Inseguros4"/>
      <sheetName val="Control_de_incidentes4"/>
      <sheetName val="Plan_de_Acción4"/>
      <sheetName val="_DD_List5"/>
      <sheetName val="Share_Price_20025"/>
      <sheetName val="Grafica_Actos4"/>
      <sheetName val="Condiciones_SyE4"/>
      <sheetName val="REALxMETA_-_CERVEJA6"/>
      <sheetName val="REALxMETA_-_REFRI6"/>
      <sheetName val="BEP_加薪_KPI4"/>
      <sheetName val="[손익기01_XL??DePara4"/>
      <sheetName val="Farol_Metas4"/>
      <sheetName val="Mod_Relac_4"/>
      <sheetName val="Issues_List_Payments4"/>
      <sheetName val="Directrices_de_Metas_20174"/>
      <sheetName val="POC_LIST4"/>
      <sheetName val="Entity_Target4"/>
      <sheetName val="F08_-_Asia_Pac_Full_Year_Q35"/>
      <sheetName val="Top_Priorities5"/>
      <sheetName val="Listco_Stock5"/>
      <sheetName val="Intl_Purchase5"/>
      <sheetName val="FY_outlook5"/>
      <sheetName val="CY_outlook5"/>
      <sheetName val="Cash_metrics5"/>
      <sheetName val="P6_75"/>
      <sheetName val="DATOS_BASE4"/>
      <sheetName val="Hazards_Analysis-隐患分析4"/>
      <sheetName val="_손익기01_XL_x005f_x005f_x005f_x0000__x005f_x005f_x4"/>
      <sheetName val="SKU_Basic_Data4"/>
      <sheetName val="97_사업추정(WEKI)4"/>
      <sheetName val="Tong_hop4"/>
      <sheetName val="95_1_1이후취득자산(숨기기상태)4"/>
      <sheetName val="6월_공정외주4"/>
      <sheetName val="입출재고현황_(2)4"/>
      <sheetName val="TRE_TABLE4"/>
      <sheetName val="입찰내역_발주처_양식4"/>
      <sheetName val="ACTOS_POR_RIESGO2"/>
      <sheetName val="do_not_delete4"/>
      <sheetName val="Check_Qualidade2"/>
      <sheetName val="De_Para3"/>
      <sheetName val="Nombre_de_SOP2"/>
      <sheetName val="drop_lists2"/>
      <sheetName val="APAC_S4"/>
      <sheetName val="APAC_N4"/>
      <sheetName val="Slide_output4"/>
      <sheetName val="turnover_reason퇴직사유4"/>
      <sheetName val="Data_validation4"/>
      <sheetName val="MRL_NON_SUPPLY_URU2"/>
      <sheetName val="Drop-down_List3"/>
      <sheetName val="by_DD3"/>
      <sheetName val="VALIDACION_DE_DATOS3"/>
      <sheetName val="Jul-Sep_Actual_cost_(2)3"/>
      <sheetName val="Check_Aderencia2"/>
      <sheetName val="Base_Farol2"/>
      <sheetName val="Gerencial_IL2"/>
      <sheetName val="Ventas_Campo2"/>
      <sheetName val="AIIM_-_Empresas_Ext_20122"/>
      <sheetName val="KPIs_Hana2"/>
      <sheetName val="Catalago_de_refacciones_2"/>
      <sheetName val="Existencias_al_07-Nov-20122"/>
      <sheetName val="Check_GG2"/>
      <sheetName val="Ta_2"/>
      <sheetName val="2__Indicadores2"/>
      <sheetName val="_손익기01_XL_x005f_x0000__x02"/>
      <sheetName val="부재료_비교(11년_vs_10년)2"/>
      <sheetName val="Sheet3_(2)2"/>
      <sheetName val="Lao_&amp;_Cam2"/>
      <sheetName val="Hoegaarden_20192"/>
      <sheetName val="Lao_&amp;_Cam_20192"/>
      <sheetName val="Malaysia_20192"/>
      <sheetName val="Singapore_20192"/>
      <sheetName val="Sheet2_(2)2"/>
      <sheetName val="Comp_Inseguros1"/>
      <sheetName val="Lista_de_Entrenamientos_RSO2"/>
      <sheetName val="_mngt_Pillar2"/>
      <sheetName val="Tablero_SDG5"/>
      <sheetName val="Lista_Areas5"/>
      <sheetName val="One_Page5"/>
      <sheetName val="Sub-Productos_HN3"/>
      <sheetName val="Eficiencia_linea2"/>
      <sheetName val="Pauta_RPS_Distribuição1"/>
      <sheetName val="Estoque_(2)1"/>
      <sheetName val="요일_테이블_2"/>
      <sheetName val="Other_Listings2"/>
      <sheetName val="BNR_2012_в_ящике1"/>
      <sheetName val="FX_Rates"/>
      <sheetName val="Vagas_x_Candidatos"/>
      <sheetName val="DO_NOT_MOVE1"/>
      <sheetName val="DATOS_DE_VALIDACIÓN1"/>
      <sheetName val="Datos_con1"/>
      <sheetName val="_Datos_Cond_1"/>
      <sheetName val="INGRESO_(2)1"/>
      <sheetName val="PG-K1610_(UEN_Areas)MNG1"/>
      <sheetName val="DATOS_GEN_1"/>
      <sheetName val="NUEVOS_CRITERIOS1"/>
      <sheetName val="Condiciones_Agua1"/>
      <sheetName val="__한국_AMP_ASP-23_판㧤가격__"/>
      <sheetName val="11_䡸화채무줝ⴌ(AFS,HTM)08"/>
      <sheetName val="Drop_list"/>
      <sheetName val="Dropdown_list"/>
      <sheetName val="Proced_"/>
      <sheetName val="Control_de_Fallas"/>
      <sheetName val="Setup_for_Templates"/>
      <sheetName val="Datos_emp"/>
      <sheetName val="TIPO_DE_ACTO"/>
      <sheetName val="%_cumplimiento_"/>
      <sheetName val="%_CUMPLIMIENTO"/>
      <sheetName val="Listas_y_equipos_a_evaluar"/>
      <sheetName val="CRITICIDAD_DE_CI"/>
      <sheetName val="Catálogo_de_CI"/>
      <sheetName val="Data_Reporte"/>
      <sheetName val="Read_me"/>
      <sheetName val="ÿÿ"/>
      <sheetName val="Validation_lists"/>
      <sheetName val="Cut_Machine_Summary"/>
      <sheetName val="Daily_Dashboard"/>
      <sheetName val="YTD_Summary16"/>
      <sheetName val="Month_Summary16"/>
      <sheetName val="Trial_Balance_MAY_200916"/>
      <sheetName val="TB_Pivot16"/>
      <sheetName val="total_per_LB_LB216"/>
      <sheetName val="Trial_Balance_Vlookup16"/>
      <sheetName val="Trial_Balance_APRIL_200916"/>
      <sheetName val="TO_Data_Base17"/>
      <sheetName val="Roll_Out_AQ16"/>
      <sheetName val="Evolução_mandamentos16"/>
      <sheetName val="Planilha_resultados15"/>
      <sheetName val="Historico_200315"/>
      <sheetName val="Sig_Cycles_Accts_&amp;_Processes15"/>
      <sheetName val="Fixed_ZBB9"/>
      <sheetName val="3_ISo_YTD9"/>
      <sheetName val="E_法规NC9"/>
      <sheetName val="Données_LMU9"/>
      <sheetName val="Brazil_Sovereign9"/>
      <sheetName val="Resumen_Costo9"/>
      <sheetName val="Extract_Loss9"/>
      <sheetName val="QA_跟踪记录表9"/>
      <sheetName val="5_19"/>
      <sheetName val="Como_Estamos9"/>
      <sheetName val="Base_de_Dados9"/>
      <sheetName val="RG_Depots9"/>
      <sheetName val="material_data9"/>
      <sheetName val="other_data9"/>
      <sheetName val="Database_(RUR)Mar_YTD9"/>
      <sheetName val="SKU_Mapping9"/>
      <sheetName val="Drop_Down9"/>
      <sheetName val="Raw_Data9"/>
      <sheetName val="EBM-2_GHQ9"/>
      <sheetName val="Base_PEF10"/>
      <sheetName val="Testing_Template_Guidance9"/>
      <sheetName val="Test_Programs9"/>
      <sheetName val="Controls_data11"/>
      <sheetName val="Dados_BLP9"/>
      <sheetName val="ARdistr_(2)9"/>
      <sheetName val="FJJX_Bud_IB8"/>
      <sheetName val="look-up_data8"/>
      <sheetName val="Prd_Hierarchy(产品层级)8"/>
      <sheetName val="Com_(2PK)8"/>
      <sheetName val="JOB_PROFILE_-_LAS9"/>
      <sheetName val="요일_테이블9"/>
      <sheetName val="요일_테이블_(2)8"/>
      <sheetName val="Prd_Hierarchy(产品层次)8"/>
      <sheetName val="Project_Code8"/>
      <sheetName val="전사_PL10"/>
      <sheetName val="자금_제외_PL10"/>
      <sheetName val="자금_PL10"/>
      <sheetName val="전사_BS10"/>
      <sheetName val="자금_제외_BS10"/>
      <sheetName val="자금_BS10"/>
      <sheetName val="BS_계정_설명10"/>
      <sheetName val="_Cash_Flow(전사)10"/>
      <sheetName val="_Cash_Flow(자금제외)10"/>
      <sheetName val="_Cash_Flow(자금)10"/>
      <sheetName val="ROIC_10"/>
      <sheetName val="인건비_명세10"/>
      <sheetName val="판관비_명세10"/>
      <sheetName val="OH_Cost경비(내역)10"/>
      <sheetName val="OH_Cost경비(배부기준)10"/>
      <sheetName val="기타수지&amp;특별손익_명세10"/>
      <sheetName val="업무연락_(2)9"/>
      <sheetName val="제시_손익계산서9"/>
      <sheetName val="01_02월_성과급10"/>
      <sheetName val="M_7회차_담금_계획9"/>
      <sheetName val="팀별_실적9"/>
      <sheetName val="팀별_실적_(환산)9"/>
      <sheetName val="4__Inj_투자상세내역9"/>
      <sheetName val="3__Blow_투자_상세내역9"/>
      <sheetName val="Process_List9"/>
      <sheetName val="7_(2)9"/>
      <sheetName val="_손익기01_XL8"/>
      <sheetName val="Income_Stmt8"/>
      <sheetName val="drop_down_list8"/>
      <sheetName val="Figures_Report7"/>
      <sheetName val="[손익기01_XL_x005f_x0000__x005f_x0000_DePara8"/>
      <sheetName val="Quarterly_LBO_Model8"/>
      <sheetName val="[손익기01_XL8"/>
      <sheetName val="_손익기01_XL_x005f_x0000__x005f_x0000_DePara8"/>
      <sheetName val="15년_BL_사계8"/>
      <sheetName val="1_종합손익(도급)8"/>
      <sheetName val="1_종합손익(주택,개발)8"/>
      <sheetName val="2_실행예산8"/>
      <sheetName val="2_2과부족8"/>
      <sheetName val="2_3원가절감8"/>
      <sheetName val="8_외주비집행현황8"/>
      <sheetName val="9_자재비8"/>
      <sheetName val="10_현장집행8"/>
      <sheetName val="3_추가원가8"/>
      <sheetName val="3_추가원가_(2)8"/>
      <sheetName val="4_사전공사8"/>
      <sheetName val="5_추정공사비8"/>
      <sheetName val="6_금융비용8"/>
      <sheetName val="7_공사비집행현황(총괄)8"/>
      <sheetName val="11_1생산성8"/>
      <sheetName val="11_2인원산출8"/>
      <sheetName val="Classification_分类7"/>
      <sheetName val="Set_Up8"/>
      <sheetName val="Fare_prices7"/>
      <sheetName val="Hotel_prices7"/>
      <sheetName val="tab_STATUS_DO_PROCESSO_7"/>
      <sheetName val="Perf__Plan__Diário17"/>
      <sheetName val="In_(2)7"/>
      <sheetName val="__한국_AMP_ASP-23_판매가격__7"/>
      <sheetName val="CC_Down_load_07167"/>
      <sheetName val="변경실행(2차)_7"/>
      <sheetName val="나_출고7"/>
      <sheetName val="나_입고7"/>
      <sheetName val="09년_인건비(속리산)7"/>
      <sheetName val="합산목표(감가+57_5)7"/>
      <sheetName val="제조원가_원단위_분석7"/>
      <sheetName val="종합표양식(품의_&amp;_입고)_27"/>
      <sheetName val="원가관리_(동월대비)7"/>
      <sheetName val="b_balju_(2)7"/>
      <sheetName val="2-2_매출분석7"/>
      <sheetName val="몰드시스템_리스트7"/>
      <sheetName val="11_외화채무증권(AFS,HTM)087"/>
      <sheetName val="13_감액TEST_087"/>
      <sheetName val="12년_CF(9월)7"/>
      <sheetName val="중기조종사_단위단가7"/>
      <sheetName val="6PILE__(돌출)7"/>
      <sheetName val="기성청구_공문7"/>
      <sheetName val="Sheet1_(2)7"/>
      <sheetName val="CLASIFICACION_DE_AI7"/>
      <sheetName val="Base_da_Datos7"/>
      <sheetName val="slide_24_cat_A7"/>
      <sheetName val="slide_82_cat_b7"/>
      <sheetName val="Dados_dos_Produtos7"/>
      <sheetName val="09~10년_매출계획7"/>
      <sheetName val="1_MDF1공장7"/>
      <sheetName val="Incident_유형구분표7"/>
      <sheetName val="3YP2016-Bottom_up6"/>
      <sheetName val="DD_list7"/>
      <sheetName val="Base_de_Datos6"/>
      <sheetName val="Supply_Cost_Centers6"/>
      <sheetName val="2_카드채권(대출포함)6"/>
      <sheetName val="表21_净利润调节表6"/>
      <sheetName val="Cond__Inseguros6"/>
      <sheetName val="Comp__Inseguros6"/>
      <sheetName val="Lista_de_datos6"/>
      <sheetName val="MASTER_APP6"/>
      <sheetName val="Clasif_6"/>
      <sheetName val="Farol_Acciones6"/>
      <sheetName val="Lista_de_Entrenamientos6"/>
      <sheetName val="Unidades_SAC-REVENDA7"/>
      <sheetName val="FornecM_Check5"/>
      <sheetName val="Lista_CI6"/>
      <sheetName val="Estratificación_AI5"/>
      <sheetName val="condicion_inseguras5"/>
      <sheetName val="Actos_Inseguros5"/>
      <sheetName val="Control_de_incidentes5"/>
      <sheetName val="Plan_de_Acción5"/>
      <sheetName val="_DD_List6"/>
      <sheetName val="Share_Price_20026"/>
      <sheetName val="Issues_List_Payments5"/>
      <sheetName val="BEP_加薪_KPI5"/>
      <sheetName val="Faro_de_Indicadores5"/>
      <sheetName val="TOP_KPIs_MTM5"/>
      <sheetName val="PLAN_DE_ACCION5"/>
      <sheetName val="Grafica_Actos5"/>
      <sheetName val="POC_LIST5"/>
      <sheetName val="Dashboard_Prevención_Riesgos_5"/>
      <sheetName val="APAC_S5"/>
      <sheetName val="APAC_N5"/>
      <sheetName val="Slide_output5"/>
      <sheetName val="do_not_delete5"/>
      <sheetName val="[손익기01_XL??DePara5"/>
      <sheetName val="Farol_Metas5"/>
      <sheetName val="Mod_Relac_5"/>
      <sheetName val="Condiciones_SyE5"/>
      <sheetName val="REALxMETA_-_CERVEJA7"/>
      <sheetName val="REALxMETA_-_REFRI7"/>
      <sheetName val="Directrices_de_Metas_20175"/>
      <sheetName val="F08_-_Asia_Pac_Full_Year_Q36"/>
      <sheetName val="Top_Priorities6"/>
      <sheetName val="Listco_Stock6"/>
      <sheetName val="Intl_Purchase6"/>
      <sheetName val="FY_outlook6"/>
      <sheetName val="CY_outlook6"/>
      <sheetName val="Cash_metrics6"/>
      <sheetName val="P6_76"/>
      <sheetName val="DATOS_BASE5"/>
      <sheetName val="DETALLE_MENSUAL5"/>
      <sheetName val="Entity_Target5"/>
      <sheetName val="VALIDACION_DE_DATOS4"/>
      <sheetName val="_손익기01_XL_x005f_x005f_x005f_x0000__x005f_x005f_x5"/>
      <sheetName val="Hazards_Analysis-隐患分析5"/>
      <sheetName val="97_사업추정(WEKI)5"/>
      <sheetName val="Tong_hop5"/>
      <sheetName val="95_1_1이후취득자산(숨기기상태)5"/>
      <sheetName val="sum1_(2)5"/>
      <sheetName val="3_바닥판설계5"/>
      <sheetName val="6월_공정외주5"/>
      <sheetName val="2_대외공문5"/>
      <sheetName val="2_총괄표5"/>
      <sheetName val="입출재고현황_(2)5"/>
      <sheetName val="504전기실_동부하-L5"/>
      <sheetName val="OUTER_AREA(겹침없음)5"/>
      <sheetName val="EL_표면적5"/>
      <sheetName val="TRE_TABLE5"/>
      <sheetName val="입찰내역_발주처_양식5"/>
      <sheetName val="Data_validation5"/>
      <sheetName val="turnover_reason퇴직사유5"/>
      <sheetName val="SKU_Basic_Data5"/>
      <sheetName val="Jul-Sep_Actual_cost_(2)4"/>
      <sheetName val="Drop-down_List4"/>
      <sheetName val="by_DD4"/>
      <sheetName val="Check_Qualidade3"/>
      <sheetName val="Check_Aderencia3"/>
      <sheetName val="De_Para4"/>
      <sheetName val="Base_Farol3"/>
      <sheetName val="Gerencial_IL3"/>
      <sheetName val="Ventas_Campo3"/>
      <sheetName val="ACTOS_POR_RIESGO3"/>
      <sheetName val="drop_lists3"/>
      <sheetName val="MRL_NON_SUPPLY_URU3"/>
      <sheetName val="AIIM_-_Empresas_Ext_20123"/>
      <sheetName val="KPIs_Hana3"/>
      <sheetName val="Catalago_de_refacciones_3"/>
      <sheetName val="Existencias_al_07-Nov-20123"/>
      <sheetName val="Check_GG3"/>
      <sheetName val="Nombre_de_SOP3"/>
      <sheetName val="Ta_3"/>
      <sheetName val="2__Indicadores3"/>
      <sheetName val="부재료_비교(11년_vs_10년)3"/>
      <sheetName val="_손익기01_XL_x005f_x0000__x03"/>
      <sheetName val="_mngt_Pillar3"/>
      <sheetName val="Sheet3_(2)3"/>
      <sheetName val="Lista_de_Entrenamientos_RSO3"/>
      <sheetName val="Tablero_SDG6"/>
      <sheetName val="Lista_Areas6"/>
      <sheetName val="One_Page6"/>
      <sheetName val="Sub-Productos_HN4"/>
      <sheetName val="Eficiencia_linea3"/>
      <sheetName val="요일_테이블_3"/>
      <sheetName val="Sheet2_(2)3"/>
      <sheetName val="Lao_&amp;_Cam3"/>
      <sheetName val="Hoegaarden_20193"/>
      <sheetName val="Lao_&amp;_Cam_20193"/>
      <sheetName val="Malaysia_20193"/>
      <sheetName val="Singapore_20193"/>
      <sheetName val="Other_Listings3"/>
      <sheetName val="Pauta_RPS_Distribuição2"/>
      <sheetName val="Estoque_(2)2"/>
      <sheetName val="Comp_Inseguros2"/>
      <sheetName val="BNR_2012_в_ящике2"/>
      <sheetName val="DATOS_DE_VALIDACIÓN2"/>
      <sheetName val="Datos_con2"/>
      <sheetName val="_Datos_Cond_2"/>
      <sheetName val="DO_NOT_MOVE2"/>
      <sheetName val="INGRESO_(2)2"/>
      <sheetName val="PG-K1610_(UEN_Areas)MNG2"/>
      <sheetName val="DATOS_GEN_2"/>
      <sheetName val="NUEVOS_CRITERIOS2"/>
      <sheetName val="Condiciones_Agua2"/>
      <sheetName val="Dropdown_list1"/>
      <sheetName val="FX_Rates1"/>
      <sheetName val="Vagas_x_Candidatos1"/>
      <sheetName val="__한국_AMP_ASP-23_판㧤가격__1"/>
      <sheetName val="11_䡸화채무줝ⴌ(AFS,HTM)081"/>
      <sheetName val="Drop_list1"/>
      <sheetName val="Proced_1"/>
      <sheetName val="Control_de_Fallas1"/>
      <sheetName val="Setup_for_Templates1"/>
      <sheetName val="Datos_emp1"/>
      <sheetName val="TIPO_DE_ACTO1"/>
      <sheetName val="%_cumplimiento_1"/>
      <sheetName val="%_CUMPLIMIENTO1"/>
      <sheetName val="Listas_y_equipos_a_evaluar1"/>
      <sheetName val="CRITICIDAD_DE_CI1"/>
      <sheetName val="Catálogo_de_CI1"/>
      <sheetName val="Data_Reporte1"/>
      <sheetName val="Read_me1"/>
      <sheetName val="Validation_lists1"/>
      <sheetName val="Cut_Machine_Summary1"/>
      <sheetName val="Daily_Dashboard1"/>
      <sheetName val="Champions_List"/>
      <sheetName val="_손익기01_XL_x0000__x1"/>
      <sheetName val="_손익기01_XL_x005f_x0000__x2"/>
      <sheetName val="费用指引"/>
      <sheetName val="进货时间"/>
      <sheetName val="参考字段（不许更改）"/>
      <sheetName val="Mapeo SKUs"/>
      <sheetName val="Vol.(Ds)"/>
      <sheetName val="Vol.(Ka)"/>
      <sheetName val="Vol.(Oth)"/>
      <sheetName val="Vol.(Oth) Cortesias"/>
      <sheetName val="INPUT-$Intervention(Ds)"/>
      <sheetName val="INPUT-ICO"/>
      <sheetName val="INPUT-Cust.Sugg.Margin(Ds)"/>
      <sheetName val="On Invoice"/>
      <sheetName val="INPUT-$Intervention(Ka)"/>
      <sheetName val="INPUT-Cust.Sugg.Margin(Ka)"/>
      <sheetName val="INPUT SKUs"/>
      <sheetName val="清單"/>
      <sheetName val="Brand P&amp;L"/>
      <sheetName val="MALTA"/>
      <sheetName val="SPARK"/>
      <sheetName val="SUPERMONT"/>
      <sheetName val="SUPERMONT P"/>
      <sheetName val="Mapeo_SKUs"/>
      <sheetName val="Vol_(Ds)"/>
      <sheetName val="Vol_(Ka)"/>
      <sheetName val="Vol_(Oth)"/>
      <sheetName val="Vol_(Oth)_Cortesias"/>
      <sheetName val="INPUT-Cust_Sugg_Margin(Ds)"/>
      <sheetName val="On_Invoice"/>
      <sheetName val="INPUT-Cust_Sugg_Margin(Ka)"/>
      <sheetName val="INPUT_SKUs"/>
      <sheetName val="Mapeo_SKUs1"/>
      <sheetName val="Vol_(Ds)1"/>
      <sheetName val="Vol_(Ka)1"/>
      <sheetName val="Vol_(Oth)1"/>
      <sheetName val="Vol_(Oth)_Cortesias1"/>
      <sheetName val="INPUT-Cust_Sugg_Margin(Ds)1"/>
      <sheetName val="On_Invoice1"/>
      <sheetName val="INPUT-Cust_Sugg_Margin(Ka)1"/>
      <sheetName val="INPUT_SKUs1"/>
      <sheetName val="유효성목록"/>
      <sheetName val="Data selection"/>
      <sheetName val="BMU_H"/>
      <sheetName val="1."/>
      <sheetName val="Customer &amp; SO"/>
      <sheetName val="Session Proposal"/>
      <sheetName val="社員リスト"/>
      <sheetName val="생산성"/>
      <sheetName val="Book1"/>
      <sheetName val="数据分类"/>
      <sheetName val="Dropdown Menu"/>
      <sheetName val="Territory"/>
      <sheetName val="MMR12活动类型"/>
      <sheetName val="经销商"/>
      <sheetName val="Region"/>
      <sheetName val="SalesPkg_TR_KHCode_TR_KHCode"/>
      <sheetName val="填写内容参考"/>
      <sheetName val="Análise Tempos"/>
      <sheetName val="Incentivo Automóvil"/>
      <sheetName val="EQR"/>
      <sheetName val="CNQ"/>
      <sheetName val="Справочник"/>
      <sheetName val="PDA BOP"/>
      <sheetName val="Referencias"/>
      <sheetName val="Códigos"/>
      <sheetName val="Validação de Dados"/>
      <sheetName val="No llenar "/>
      <sheetName val="0-info"/>
      <sheetName val="FAI分析"/>
      <sheetName val="미관리업소"/>
      <sheetName val="유류대 현황"/>
      <sheetName val="정평화"/>
      <sheetName val="김익성"/>
      <sheetName val="최일수"/>
      <sheetName val="정원구"/>
      <sheetName val="문공식"/>
      <sheetName val="박현일"/>
      <sheetName val="김진생"/>
      <sheetName val="Overdue(Feb)"/>
      <sheetName val="Overdue(Jan)"/>
      <sheetName val="취합"/>
      <sheetName val="PN+Extension"/>
      <sheetName val="1. 템플릿"/>
      <sheetName val="2. 작성 참고사항"/>
      <sheetName val="2월"/>
      <sheetName val="3월"/>
      <sheetName val="4월"/>
      <sheetName val="거리"/>
      <sheetName val="架构"/>
      <sheetName val="库存模板"/>
      <sheetName val="陈列明细"/>
      <sheetName val="mapping (2)"/>
      <sheetName val="Ref."/>
      <sheetName val="折扣类型"/>
      <sheetName val="目标SKU"/>
      <sheetName val="Backup"/>
      <sheetName val="匹配"/>
      <sheetName val="序列"/>
      <sheetName val="Lista de Motivos"/>
      <sheetName val="Ponto Crítico - Resp. Plano"/>
      <sheetName val="Lista Funcionários (2)"/>
      <sheetName val="PIRÂMIDE"/>
      <sheetName val="Consolidator"/>
      <sheetName val="2.3 Projects Status"/>
      <sheetName val="YTD_Summary17"/>
      <sheetName val="Month_Summary17"/>
      <sheetName val="Trial_Balance_MAY_200917"/>
      <sheetName val="TB_Pivot17"/>
      <sheetName val="total_per_LB_LB217"/>
      <sheetName val="Trial_Balance_Vlookup17"/>
      <sheetName val="Trial_Balance_APRIL_200917"/>
      <sheetName val="TO_Data_Base18"/>
      <sheetName val="Roll_Out_AQ17"/>
      <sheetName val="Evolução_mandamentos17"/>
      <sheetName val="Planilha_resultados16"/>
      <sheetName val="Historico_200316"/>
      <sheetName val="Sig_Cycles_Accts_&amp;_Processes16"/>
      <sheetName val="Fixed_ZBB10"/>
      <sheetName val="3_ISo_YTD10"/>
      <sheetName val="E_法规NC10"/>
      <sheetName val="Données_LMU10"/>
      <sheetName val="Brazil_Sovereign10"/>
      <sheetName val="Resumen_Costo10"/>
      <sheetName val="Extract_Loss10"/>
      <sheetName val="QA_跟踪记录表10"/>
      <sheetName val="5_110"/>
      <sheetName val="Como_Estamos10"/>
      <sheetName val="Base_de_Dados10"/>
      <sheetName val="RG_Depots10"/>
      <sheetName val="material_data10"/>
      <sheetName val="other_data10"/>
      <sheetName val="Database_(RUR)Mar_YTD10"/>
      <sheetName val="SKU_Mapping10"/>
      <sheetName val="Drop_Down10"/>
      <sheetName val="Raw_Data10"/>
      <sheetName val="EBM-2_GHQ10"/>
      <sheetName val="Base_PEF11"/>
      <sheetName val="Testing_Template_Guidance10"/>
      <sheetName val="Test_Programs10"/>
      <sheetName val="Controls_data12"/>
      <sheetName val="Dados_BLP10"/>
      <sheetName val="ARdistr_(2)10"/>
      <sheetName val="FJJX_Bud_IB9"/>
      <sheetName val="look-up_data9"/>
      <sheetName val="Prd_Hierarchy(产品层级)9"/>
      <sheetName val="Com_(2PK)9"/>
      <sheetName val="JOB_PROFILE_-_LAS10"/>
      <sheetName val="요일_테이블10"/>
      <sheetName val="요일_테이블_(2)9"/>
      <sheetName val="Prd_Hierarchy(产品层次)9"/>
      <sheetName val="Project_Code9"/>
      <sheetName val="전사_PL11"/>
      <sheetName val="자금_제외_PL11"/>
      <sheetName val="자금_PL11"/>
      <sheetName val="전사_BS11"/>
      <sheetName val="자금_제외_BS11"/>
      <sheetName val="자금_BS11"/>
      <sheetName val="BS_계정_설명11"/>
      <sheetName val="_Cash_Flow(전사)11"/>
      <sheetName val="_Cash_Flow(자금제외)11"/>
      <sheetName val="_Cash_Flow(자금)11"/>
      <sheetName val="ROIC_11"/>
      <sheetName val="인건비_명세11"/>
      <sheetName val="판관비_명세11"/>
      <sheetName val="OH_Cost경비(내역)11"/>
      <sheetName val="OH_Cost경비(배부기준)11"/>
      <sheetName val="기타수지&amp;특별손익_명세11"/>
      <sheetName val="업무연락_(2)10"/>
      <sheetName val="제시_손익계산서10"/>
      <sheetName val="01_02월_성과급11"/>
      <sheetName val="M_7회차_담금_계획10"/>
      <sheetName val="팀별_실적10"/>
      <sheetName val="팀별_실적_(환산)10"/>
      <sheetName val="4__Inj_투자상세내역10"/>
      <sheetName val="3__Blow_투자_상세내역10"/>
      <sheetName val="Process_List10"/>
      <sheetName val="7_(2)10"/>
      <sheetName val="_손익기01_XL9"/>
      <sheetName val="Income_Stmt9"/>
      <sheetName val="drop_down_list9"/>
      <sheetName val="Figures_Report8"/>
      <sheetName val="[손익기01_XL_x005f_x0000__x005f_x0000_DePara9"/>
      <sheetName val="Quarterly_LBO_Model9"/>
      <sheetName val="[손익기01_XL9"/>
      <sheetName val="_손익기01_XL_x005f_x0000__x005f_x0000_DePara9"/>
      <sheetName val="15년_BL_사계9"/>
      <sheetName val="1_종합손익(도급)9"/>
      <sheetName val="1_종합손익(주택,개발)9"/>
      <sheetName val="2_실행예산9"/>
      <sheetName val="2_2과부족9"/>
      <sheetName val="2_3원가절감9"/>
      <sheetName val="8_외주비집행현황9"/>
      <sheetName val="9_자재비9"/>
      <sheetName val="10_현장집행9"/>
      <sheetName val="3_추가원가9"/>
      <sheetName val="3_추가원가_(2)9"/>
      <sheetName val="4_사전공사9"/>
      <sheetName val="5_추정공사비9"/>
      <sheetName val="6_금융비용9"/>
      <sheetName val="7_공사비집행현황(총괄)9"/>
      <sheetName val="11_1생산성9"/>
      <sheetName val="11_2인원산출9"/>
      <sheetName val="Classification_分类8"/>
      <sheetName val="Set_Up9"/>
      <sheetName val="Fare_prices8"/>
      <sheetName val="Hotel_prices8"/>
      <sheetName val="tab_STATUS_DO_PROCESSO_8"/>
      <sheetName val="Perf__Plan__Diário18"/>
      <sheetName val="In_(2)8"/>
      <sheetName val="__한국_AMP_ASP-23_판매가격__8"/>
      <sheetName val="CC_Down_load_07168"/>
      <sheetName val="변경실행(2차)_8"/>
      <sheetName val="나_출고8"/>
      <sheetName val="나_입고8"/>
      <sheetName val="09년_인건비(속리산)8"/>
      <sheetName val="합산목표(감가+57_5)8"/>
      <sheetName val="제조원가_원단위_분석8"/>
      <sheetName val="종합표양식(품의_&amp;_입고)_28"/>
      <sheetName val="원가관리_(동월대비)8"/>
      <sheetName val="b_balju_(2)8"/>
      <sheetName val="2-2_매출분석8"/>
      <sheetName val="몰드시스템_리스트8"/>
      <sheetName val="11_외화채무증권(AFS,HTM)088"/>
      <sheetName val="13_감액TEST_088"/>
      <sheetName val="12년_CF(9월)8"/>
      <sheetName val="중기조종사_단위단가8"/>
      <sheetName val="6PILE__(돌출)8"/>
      <sheetName val="기성청구_공문8"/>
      <sheetName val="Sheet1_(2)8"/>
      <sheetName val="CLASIFICACION_DE_AI8"/>
      <sheetName val="Base_da_Datos8"/>
      <sheetName val="slide_24_cat_A8"/>
      <sheetName val="slide_82_cat_b8"/>
      <sheetName val="Dados_dos_Produtos8"/>
      <sheetName val="09~10년_매출계획8"/>
      <sheetName val="1_MDF1공장8"/>
      <sheetName val="Incident_유형구분표8"/>
      <sheetName val="3YP2016-Bottom_up7"/>
      <sheetName val="DD_list8"/>
      <sheetName val="Base_de_Datos7"/>
      <sheetName val="2_카드채권(대출포함)7"/>
      <sheetName val="表21_净利润调节表7"/>
      <sheetName val="MASTER_APP7"/>
      <sheetName val="Cond__Inseguros7"/>
      <sheetName val="Comp__Inseguros7"/>
      <sheetName val="Lista_de_datos7"/>
      <sheetName val="Supply_Cost_Centers7"/>
      <sheetName val="Clasif_7"/>
      <sheetName val="Farol_Acciones7"/>
      <sheetName val="Lista_de_Entrenamientos7"/>
      <sheetName val="Unidades_SAC-REVENDA8"/>
      <sheetName val="FornecM_Check6"/>
      <sheetName val="Lista_CI7"/>
      <sheetName val="Estratificación_AI6"/>
      <sheetName val="condicion_inseguras6"/>
      <sheetName val="Actos_Inseguros6"/>
      <sheetName val="Control_de_incidentes6"/>
      <sheetName val="Plan_de_Acción6"/>
      <sheetName val="_DD_List7"/>
      <sheetName val="Share_Price_20027"/>
      <sheetName val="BEP_加薪_KPI6"/>
      <sheetName val="F08_-_Asia_Pac_Full_Year_Q37"/>
      <sheetName val="Top_Priorities7"/>
      <sheetName val="Listco_Stock7"/>
      <sheetName val="Intl_Purchase7"/>
      <sheetName val="FY_outlook7"/>
      <sheetName val="CY_outlook7"/>
      <sheetName val="Cash_metrics7"/>
      <sheetName val="P6_77"/>
      <sheetName val="DATOS_BASE6"/>
      <sheetName val="Issues_List_Payments6"/>
      <sheetName val="Faro_de_Indicadores6"/>
      <sheetName val="TOP_KPIs_MTM6"/>
      <sheetName val="PLAN_DE_ACCION6"/>
      <sheetName val="Grafica_Actos6"/>
      <sheetName val="POC_LIST6"/>
      <sheetName val="Dashboard_Prevención_Riesgos_6"/>
      <sheetName val="APAC_S6"/>
      <sheetName val="APAC_N6"/>
      <sheetName val="Slide_output6"/>
      <sheetName val="do_not_delete6"/>
      <sheetName val="[손익기01_XL??DePara6"/>
      <sheetName val="Farol_Metas6"/>
      <sheetName val="Mod_Relac_6"/>
      <sheetName val="Condiciones_SyE6"/>
      <sheetName val="REALxMETA_-_CERVEJA8"/>
      <sheetName val="REALxMETA_-_REFRI8"/>
      <sheetName val="Directrices_de_Metas_20176"/>
      <sheetName val="DETALLE_MENSUAL6"/>
      <sheetName val="Entity_Target6"/>
      <sheetName val="VALIDACION_DE_DATOS5"/>
      <sheetName val="_손익기01_XL_x005f_x005f_x005f_x0000__x005f_x005f_x6"/>
      <sheetName val="Hazards_Analysis-隐患分析6"/>
      <sheetName val="97_사업추정(WEKI)6"/>
      <sheetName val="Tong_hop6"/>
      <sheetName val="95_1_1이후취득자산(숨기기상태)6"/>
      <sheetName val="sum1_(2)6"/>
      <sheetName val="3_바닥판설계6"/>
      <sheetName val="6월_공정외주6"/>
      <sheetName val="2_대외공문6"/>
      <sheetName val="2_총괄표6"/>
      <sheetName val="PAR"/>
      <sheetName val="订单追踪_信阳市区_0825"/>
      <sheetName val="Data_validation6"/>
      <sheetName val="입출재고현황_(2)6"/>
      <sheetName val="504전기실_동부하-L6"/>
      <sheetName val="OUTER_AREA(겹침없음)6"/>
      <sheetName val="EL_표면적6"/>
      <sheetName val="TRE_TABLE6"/>
      <sheetName val="입찰내역_발주처_양식6"/>
      <sheetName val="turnover_reason퇴직사유6"/>
      <sheetName val="SKU_Basic_Data6"/>
      <sheetName val="Check_Qualidade4"/>
      <sheetName val="De_Para5"/>
      <sheetName val="Check_Aderencia4"/>
      <sheetName val="Drop-down_List5"/>
      <sheetName val="by_DD5"/>
      <sheetName val="Jul-Sep_Actual_cost_(2)5"/>
      <sheetName val="Base_Farol4"/>
      <sheetName val="Gerencial_IL4"/>
      <sheetName val="Ventas_Campo4"/>
      <sheetName val="ACTOS_POR_RIESGO4"/>
      <sheetName val="drop_lists4"/>
      <sheetName val="MRL_NON_SUPPLY_URU4"/>
      <sheetName val="AIIM_-_Empresas_Ext_20124"/>
      <sheetName val="KPIs_Hana4"/>
      <sheetName val="Catalago_de_refacciones_4"/>
      <sheetName val="Existencias_al_07-Nov-20124"/>
      <sheetName val="Check_GG4"/>
      <sheetName val="Nombre_de_SOP4"/>
      <sheetName val="NAZ_Strategy"/>
      <sheetName val="Ta_4"/>
      <sheetName val="2__Indicadores4"/>
      <sheetName val="부재료_비교(11년_vs_10년)4"/>
      <sheetName val="_손익기01_XL_x005f_x0000__x04"/>
      <sheetName val="Lista_de_Entrenamientos_RSO4"/>
      <sheetName val="Tablero_SDG7"/>
      <sheetName val="Lista_Areas7"/>
      <sheetName val="One_Page7"/>
      <sheetName val="Sub-Productos_HN5"/>
      <sheetName val="Eficiencia_linea4"/>
      <sheetName val="_mngt_Pillar4"/>
      <sheetName val="Sheet3_(2)4"/>
      <sheetName val="요일_테이블_4"/>
      <sheetName val="Sheet2_(2)4"/>
      <sheetName val="Lao_&amp;_Cam4"/>
      <sheetName val="Hoegaarden_20194"/>
      <sheetName val="Lao_&amp;_Cam_20194"/>
      <sheetName val="Malaysia_20194"/>
      <sheetName val="Singapore_20194"/>
      <sheetName val="Other_Listings4"/>
      <sheetName val="Pauta_RPS_Distribuição3"/>
      <sheetName val="Estoque_(2)3"/>
      <sheetName val="Comp_Inseguros3"/>
      <sheetName val="BNR_2012_в_ящике3"/>
      <sheetName val="DATOS_DE_VALIDACIÓN3"/>
      <sheetName val="Datos_con3"/>
      <sheetName val="_Datos_Cond_3"/>
      <sheetName val="DO_NOT_MOVE3"/>
      <sheetName val="INGRESO_(2)3"/>
      <sheetName val="PG-K1610_(UEN_Areas)MNG3"/>
      <sheetName val="DATOS_GEN_3"/>
      <sheetName val="NUEVOS_CRITERIOS3"/>
      <sheetName val="Condiciones_Agua3"/>
      <sheetName val="Dropdown_list2"/>
      <sheetName val="Proced_2"/>
      <sheetName val="Drop_list2"/>
      <sheetName val="FX_Rates2"/>
      <sheetName val="Vagas_x_Candidatos2"/>
      <sheetName val="__한국_AMP_ASP-23_판㧤가격__2"/>
      <sheetName val="11_䡸화채무줝ⴌ(AFS,HTM)082"/>
      <sheetName val="Control_de_Fallas2"/>
      <sheetName val="Setup_for_Templates2"/>
      <sheetName val="Datos_emp2"/>
      <sheetName val="TIPO_DE_ACTO2"/>
      <sheetName val="%_cumplimiento_2"/>
      <sheetName val="%_CUMPLIMIENTO2"/>
      <sheetName val="Listas_y_equipos_a_evaluar2"/>
      <sheetName val="CRITICIDAD_DE_CI2"/>
      <sheetName val="Catálogo_de_CI2"/>
      <sheetName val="Data_Reporte2"/>
      <sheetName val="Read_me2"/>
      <sheetName val="Validation_lists2"/>
      <sheetName val="Cut_Machine_Summary2"/>
      <sheetName val="Daily_Dashboard2"/>
      <sheetName val="Champions_List1"/>
      <sheetName val="CALIFICACIONES_2019"/>
      <sheetName val="Lev_4_360_deg_check_Crit_Task"/>
      <sheetName val="Lev_4_Chk_IC_Stock_Crit_Task"/>
      <sheetName val="Lev_4_WMS_Putaway_Crit_Task"/>
      <sheetName val="Mapeo_SKUs2"/>
      <sheetName val="Vol_(Ds)2"/>
      <sheetName val="Vol_(Ka)2"/>
      <sheetName val="Vol_(Oth)2"/>
      <sheetName val="Vol_(Oth)_Cortesias2"/>
      <sheetName val="INPUT-Cust_Sugg_Margin(Ds)2"/>
      <sheetName val="On_Invoice2"/>
      <sheetName val="INPUT-Cust_Sugg_Margin(Ka)2"/>
      <sheetName val="INPUT_SKUs2"/>
      <sheetName val="Brand_P&amp;L"/>
      <sheetName val="SUPERMONT_P"/>
      <sheetName val="Data_selection"/>
      <sheetName val="1_"/>
      <sheetName val="Customer_&amp;_SO"/>
      <sheetName val="Session_Proposal"/>
      <sheetName val="PROCESS MD"/>
      <sheetName val="Table"/>
      <sheetName val="Consolidated_Project List"/>
      <sheetName val="Fixed Cost"/>
      <sheetName val="[손익기01_XL_x0000__x0000_DePara6"/>
      <sheetName val="_손익기01_XL_x0000__x0000_DePara6"/>
      <sheetName val="_손익기01_XL_x005f_x0000__x3"/>
      <sheetName val="_손익기01_XL_x0000__x01"/>
      <sheetName val="_손익기01_XL_x0000__x2"/>
      <sheetName val="_손익기01_XL_x0000__x3"/>
      <sheetName val="Project List"/>
      <sheetName val="概览"/>
      <sheetName val="Выпадающие списки"/>
      <sheetName val="Списки"/>
      <sheetName val="Listas desplegables"/>
      <sheetName val="Resumen General"/>
      <sheetName val="Cátalogo de CI"/>
      <sheetName val="Hoja2 (2)"/>
      <sheetName val="Technology check list"/>
      <sheetName val="Status de Usuario"/>
      <sheetName val="pel_nvo"/>
      <sheetName val="SST"/>
      <sheetName val="Actos y Condiciones "/>
      <sheetName val="Settings"/>
      <sheetName val="NO BORRAR"/>
      <sheetName val="CUMPLIMIENTO"/>
      <sheetName val="Formato checklist Lab"/>
      <sheetName val="SOP Freshness"/>
      <sheetName val="PAINEL RECOLHA CRÉDITO"/>
      <sheetName val="Gráficos - CDD"/>
      <sheetName val="Values"/>
      <sheetName val="Industries"/>
      <sheetName val="监控探头清单"/>
      <sheetName val="下拉选项"/>
      <sheetName val="不安全行为分类"/>
      <sheetName val="IQ_SALE_REAL_ESTATE_CF_FIN"/>
      <sheetName val="IQ_SALE_REAL_ESTATE_CF_INS"/>
      <sheetName val="IQ_SALE_REAL_ESTATE_CF_UTI"/>
      <sheetName val="IQ_SHORT_INTEREST_PERCENT"/>
      <sheetName val="IQ_TAX_EQUIV_NET_INT_INC"/>
      <sheetName val="IQ_TOTAL_DEBT_ISSUED_BNK"/>
      <sheetName val="IQ_TOTAL_DEBT_ISSUED_FIN"/>
      <sheetName val="IQ_TOTAL_DEBT_ISSUED_REIT"/>
      <sheetName val="IQ_TOTAL_DEBT_ISSUED_UTI"/>
      <sheetName val="IQ_TOTAL_DEBT_ISSUES_INS"/>
      <sheetName val="IQ_TOTAL_DEBT_OVER_EBITDA"/>
      <sheetName val="Text"/>
      <sheetName val="3. Training &amp; travel"/>
      <sheetName val="Mapeo_SKUs4"/>
      <sheetName val="Vol_(Ds)4"/>
      <sheetName val="Vol_(Ka)4"/>
      <sheetName val="Vol_(Oth)4"/>
      <sheetName val="Vol_(Oth)_Cortesias4"/>
      <sheetName val="INPUT-Cust_Sugg_Margin(Ds)4"/>
      <sheetName val="On_Invoice4"/>
      <sheetName val="INPUT-Cust_Sugg_Margin(Ka)4"/>
      <sheetName val="INPUT_SKUs4"/>
      <sheetName val="SUPERMONT_P2"/>
      <sheetName val="Brand_P&amp;L1"/>
      <sheetName val="Mapeo_SKUs3"/>
      <sheetName val="Vol_(Ds)3"/>
      <sheetName val="Vol_(Ka)3"/>
      <sheetName val="Vol_(Oth)3"/>
      <sheetName val="Vol_(Oth)_Cortesias3"/>
      <sheetName val="INPUT-Cust_Sugg_Margin(Ds)3"/>
      <sheetName val="On_Invoice3"/>
      <sheetName val="INPUT-Cust_Sugg_Margin(Ka)3"/>
      <sheetName val="INPUT_SKUs3"/>
      <sheetName val="SUPERMONT_P1"/>
      <sheetName val="Source"/>
      <sheetName val="Dimension IN Sheet1!D1912"/>
      <sheetName val="Dimension IN 1912"/>
      <sheetName val="Introduction"/>
      <sheetName val="Manage to Sustain"/>
      <sheetName val="Meeting List"/>
      <sheetName val="DropLists"/>
      <sheetName val="Packages Info"/>
      <sheetName val="Preferred Option"/>
      <sheetName val="TO_Data_Base19"/>
      <sheetName val="YTD_Summary18"/>
      <sheetName val="Month_Summary18"/>
      <sheetName val="Trial_Balance_MAY_200918"/>
      <sheetName val="TB_Pivot18"/>
      <sheetName val="total_per_LB_LB218"/>
      <sheetName val="Trial_Balance_Vlookup18"/>
      <sheetName val="Trial_Balance_APRIL_200918"/>
      <sheetName val="Roll_Out_AQ18"/>
      <sheetName val="Evolução_mandamentos18"/>
      <sheetName val="Planilha_resultados17"/>
      <sheetName val="Historico_200317"/>
      <sheetName val="Sig_Cycles_Accts_&amp;_Processes17"/>
      <sheetName val="Fixed_ZBB11"/>
      <sheetName val="E_法规NC11"/>
      <sheetName val="3_ISo_YTD11"/>
      <sheetName val="Données_LMU11"/>
      <sheetName val="Brazil_Sovereign11"/>
      <sheetName val="Resumen_Costo11"/>
      <sheetName val="Base_de_Dados11"/>
      <sheetName val="Extract_Loss11"/>
      <sheetName val="5_111"/>
      <sheetName val="QA_跟踪记录表11"/>
      <sheetName val="RG_Depots11"/>
      <sheetName val="material_data11"/>
      <sheetName val="other_data11"/>
      <sheetName val="Como_Estamos11"/>
      <sheetName val="Database_(RUR)Mar_YTD11"/>
      <sheetName val="SKU_Mapping11"/>
      <sheetName val="Drop_Down11"/>
      <sheetName val="Raw_Data11"/>
      <sheetName val="EBM-2_GHQ11"/>
      <sheetName val="Base_PEF12"/>
      <sheetName val="Controls_data13"/>
      <sheetName val="Testing_Template_Guidance11"/>
      <sheetName val="Test_Programs11"/>
      <sheetName val="Dados_BLP11"/>
      <sheetName val="JOB_PROFILE_-_LAS11"/>
      <sheetName val="ARdistr_(2)11"/>
      <sheetName val="FJJX_Bud_IB10"/>
      <sheetName val="look-up_data10"/>
      <sheetName val="Prd_Hierarchy(产品层级)10"/>
      <sheetName val="Com_(2PK)10"/>
      <sheetName val="Project_Code10"/>
      <sheetName val="[손익기01_XL10"/>
      <sheetName val="요일_테이블11"/>
      <sheetName val="요일_테이블_(2)10"/>
      <sheetName val="Prd_Hierarchy(产品层次)10"/>
      <sheetName val="전사_PL12"/>
      <sheetName val="자금_제외_PL12"/>
      <sheetName val="자금_PL12"/>
      <sheetName val="전사_BS12"/>
      <sheetName val="자금_제외_BS12"/>
      <sheetName val="자금_BS12"/>
      <sheetName val="BS_계정_설명12"/>
      <sheetName val="_Cash_Flow(전사)12"/>
      <sheetName val="_Cash_Flow(자금제외)12"/>
      <sheetName val="_Cash_Flow(자금)12"/>
      <sheetName val="ROIC_12"/>
      <sheetName val="인건비_명세12"/>
      <sheetName val="판관비_명세12"/>
      <sheetName val="OH_Cost경비(내역)12"/>
      <sheetName val="OH_Cost경비(배부기준)12"/>
      <sheetName val="기타수지&amp;특별손익_명세12"/>
      <sheetName val="업무연락_(2)11"/>
      <sheetName val="제시_손익계산서11"/>
      <sheetName val="01_02월_성과급12"/>
      <sheetName val="M_7회차_담금_계획11"/>
      <sheetName val="팀별_실적11"/>
      <sheetName val="팀별_실적_(환산)11"/>
      <sheetName val="4__Inj_투자상세내역11"/>
      <sheetName val="3__Blow_투자_상세내역11"/>
      <sheetName val="Process_List11"/>
      <sheetName val="7_(2)11"/>
      <sheetName val="_손익기01_XL10"/>
      <sheetName val="drop_down_list10"/>
      <sheetName val="Income_Stmt10"/>
      <sheetName val="[손익기01_XL_x005f_x0000__x005f_x0000_DePara10"/>
      <sheetName val="Quarterly_LBO_Model10"/>
      <sheetName val="_손익기01_XL_x005f_x0000__x005f_x0000_DePara10"/>
      <sheetName val="15년_BL_사계10"/>
      <sheetName val="1_종합손익(도급)10"/>
      <sheetName val="1_종합손익(주택,개발)10"/>
      <sheetName val="2_실행예산10"/>
      <sheetName val="2_2과부족10"/>
      <sheetName val="2_3원가절감10"/>
      <sheetName val="8_외주비집행현황10"/>
      <sheetName val="9_자재비10"/>
      <sheetName val="10_현장집행10"/>
      <sheetName val="3_추가원가10"/>
      <sheetName val="3_추가원가_(2)10"/>
      <sheetName val="4_사전공사10"/>
      <sheetName val="5_추정공사비10"/>
      <sheetName val="6_금융비용10"/>
      <sheetName val="7_공사비집행현황(총괄)10"/>
      <sheetName val="11_1생산성10"/>
      <sheetName val="11_2인원산출10"/>
      <sheetName val="Figures_Report9"/>
      <sheetName val="Classification_分类9"/>
      <sheetName val="Set_Up10"/>
      <sheetName val="Fare_prices9"/>
      <sheetName val="Hotel_prices9"/>
      <sheetName val="tab_STATUS_DO_PROCESSO_9"/>
      <sheetName val="slide_24_cat_A9"/>
      <sheetName val="slide_82_cat_b9"/>
      <sheetName val="__한국_AMP_ASP-23_판매가격__9"/>
      <sheetName val="CC_Down_load_07169"/>
      <sheetName val="변경실행(2차)_9"/>
      <sheetName val="나_출고9"/>
      <sheetName val="나_입고9"/>
      <sheetName val="09년_인건비(속리산)9"/>
      <sheetName val="합산목표(감가+57_5)9"/>
      <sheetName val="제조원가_원단위_분석9"/>
      <sheetName val="종합표양식(품의_&amp;_입고)_29"/>
      <sheetName val="원가관리_(동월대비)9"/>
      <sheetName val="b_balju_(2)9"/>
      <sheetName val="2-2_매출분석9"/>
      <sheetName val="몰드시스템_리스트9"/>
      <sheetName val="11_외화채무증권(AFS,HTM)089"/>
      <sheetName val="13_감액TEST_089"/>
      <sheetName val="12년_CF(9월)9"/>
      <sheetName val="중기조종사_단위단가9"/>
      <sheetName val="6PILE__(돌출)9"/>
      <sheetName val="기성청구_공문9"/>
      <sheetName val="Sheet1_(2)9"/>
      <sheetName val="Perf__Plan__Diário19"/>
      <sheetName val="In_(2)9"/>
      <sheetName val="CLASIFICACION_DE_AI9"/>
      <sheetName val="Base_da_Datos9"/>
      <sheetName val="Dados_dos_Produtos9"/>
      <sheetName val="09~10년_매출계획9"/>
      <sheetName val="1_MDF1공장9"/>
      <sheetName val="Incident_유형구분표9"/>
      <sheetName val="3YP2016-Bottom_up8"/>
      <sheetName val="DD_list9"/>
      <sheetName val="Base_de_Datos8"/>
      <sheetName val="Clasif_8"/>
      <sheetName val="Supply_Cost_Centers8"/>
      <sheetName val="Cond__Inseguros8"/>
      <sheetName val="Comp__Inseguros8"/>
      <sheetName val="Lista_de_datos8"/>
      <sheetName val="MASTER_APP8"/>
      <sheetName val="2_카드채권(대출포함)8"/>
      <sheetName val="表21_净利润调节表8"/>
      <sheetName val="Lista_CI8"/>
      <sheetName val="Dashboard_Prevención_Riesgos_7"/>
      <sheetName val="TOP_KPIs_MTM7"/>
      <sheetName val="PLAN_DE_ACCION7"/>
      <sheetName val="Faro_de_Indicadores7"/>
      <sheetName val="Farol_Acciones8"/>
      <sheetName val="Lista_de_Entrenamientos8"/>
      <sheetName val="Unidades_SAC-REVENDA9"/>
      <sheetName val="FornecM_Check7"/>
      <sheetName val="Share_Price_20028"/>
      <sheetName val="_DD_List8"/>
      <sheetName val="BEP_加薪_KPI7"/>
      <sheetName val="_손익기01_XL_x005f_x005f_x005f_x0000__x005f_x005f_x7"/>
      <sheetName val="F08_-_Asia_Pac_Full_Year_Q38"/>
      <sheetName val="Top_Priorities8"/>
      <sheetName val="Listco_Stock8"/>
      <sheetName val="Intl_Purchase8"/>
      <sheetName val="FY_outlook8"/>
      <sheetName val="CY_outlook8"/>
      <sheetName val="Cash_metrics8"/>
      <sheetName val="P6_78"/>
      <sheetName val="DATOS_BASE7"/>
      <sheetName val="Estratificación_AI7"/>
      <sheetName val="condicion_inseguras7"/>
      <sheetName val="Actos_Inseguros7"/>
      <sheetName val="Control_de_incidentes7"/>
      <sheetName val="Plan_de_Acción7"/>
      <sheetName val="Hazards_Analysis-隐患分析7"/>
      <sheetName val="97_사업추정(WEKI)7"/>
      <sheetName val="Tong_hop7"/>
      <sheetName val="95_1_1이후취득자산(숨기기상태)7"/>
      <sheetName val="sum1_(2)7"/>
      <sheetName val="3_바닥판설계7"/>
      <sheetName val="6월_공정외주7"/>
      <sheetName val="2_대외공문7"/>
      <sheetName val="2_총괄표7"/>
      <sheetName val="입출재고현황_(2)7"/>
      <sheetName val="504전기실_동부하-L7"/>
      <sheetName val="OUTER_AREA(겹침없음)7"/>
      <sheetName val="EL_표면적7"/>
      <sheetName val="TRE_TABLE7"/>
      <sheetName val="입찰내역_발주처_양식7"/>
      <sheetName val="Issues_List_Payments7"/>
      <sheetName val="turnover_reason퇴직사유7"/>
      <sheetName val="Grafica_Actos7"/>
      <sheetName val="POC_LIST7"/>
      <sheetName val="Condiciones_SyE7"/>
      <sheetName val="DETALLE_MENSUAL7"/>
      <sheetName val="SKU_Basic_Data7"/>
      <sheetName val="do_not_delete7"/>
      <sheetName val="APAC_S7"/>
      <sheetName val="APAC_N7"/>
      <sheetName val="Slide_output7"/>
      <sheetName val="[손익기01_XL??DePara7"/>
      <sheetName val="Farol_Metas7"/>
      <sheetName val="Mod_Relac_7"/>
      <sheetName val="REALxMETA_-_CERVEJA9"/>
      <sheetName val="REALxMETA_-_REFRI9"/>
      <sheetName val="Directrices_de_Metas_20177"/>
      <sheetName val="Data_validation7"/>
      <sheetName val="Drop-down_List6"/>
      <sheetName val="by_DD6"/>
      <sheetName val="VALIDACION_DE_DATOS6"/>
      <sheetName val="Entity_Target7"/>
      <sheetName val="Jul-Sep_Actual_cost_(2)6"/>
      <sheetName val="Check_Qualidade5"/>
      <sheetName val="De_Para6"/>
      <sheetName val="Check_Aderencia5"/>
      <sheetName val="부재료_비교(11년_vs_10년)5"/>
      <sheetName val="_손익기01_XL_x005f_x0000__x05"/>
      <sheetName val="Base_Farol5"/>
      <sheetName val="Gerencial_IL5"/>
      <sheetName val="Ventas_Campo5"/>
      <sheetName val="ACTOS_POR_RIESGO5"/>
      <sheetName val="drop_lists5"/>
      <sheetName val="MRL_NON_SUPPLY_URU5"/>
      <sheetName val="AIIM_-_Empresas_Ext_20125"/>
      <sheetName val="KPIs_Hana5"/>
      <sheetName val="Catalago_de_refacciones_5"/>
      <sheetName val="Existencias_al_07-Nov-20125"/>
      <sheetName val="Check_GG5"/>
      <sheetName val="Sheet3_(2)5"/>
      <sheetName val="Nombre_de_SOP5"/>
      <sheetName val="Lao_&amp;_Cam5"/>
      <sheetName val="Hoegaarden_20195"/>
      <sheetName val="Lao_&amp;_Cam_20195"/>
      <sheetName val="Malaysia_20195"/>
      <sheetName val="Singapore_20195"/>
      <sheetName val="_mngt_Pillar5"/>
      <sheetName val="2__Indicadores5"/>
      <sheetName val="Ta_5"/>
      <sheetName val="요일_테이블_5"/>
      <sheetName val="Sheet2_(2)5"/>
      <sheetName val="Other_Listings5"/>
      <sheetName val="Lista_de_Entrenamientos_RSO5"/>
      <sheetName val="Tablero_SDG8"/>
      <sheetName val="Lista_Areas8"/>
      <sheetName val="One_Page8"/>
      <sheetName val="Sub-Productos_HN6"/>
      <sheetName val="Eficiencia_linea5"/>
      <sheetName val="Pauta_RPS_Distribuição4"/>
      <sheetName val="Estoque_(2)4"/>
      <sheetName val="Comp_Inseguros4"/>
      <sheetName val="BNR_2012_в_ящике4"/>
      <sheetName val="DATOS_DE_VALIDACIÓN4"/>
      <sheetName val="Datos_con4"/>
      <sheetName val="_Datos_Cond_4"/>
      <sheetName val="DO_NOT_MOVE4"/>
      <sheetName val="INGRESO_(2)4"/>
      <sheetName val="PG-K1610_(UEN_Areas)MNG4"/>
      <sheetName val="DATOS_GEN_4"/>
      <sheetName val="NUEVOS_CRITERIOS4"/>
      <sheetName val="Condiciones_Agua4"/>
      <sheetName val="Dropdown_list3"/>
      <sheetName val="Proced_3"/>
      <sheetName val="Drop_list3"/>
      <sheetName val="FX_Rates3"/>
      <sheetName val="Cut_Machine_Summary3"/>
      <sheetName val="__한국_AMP_ASP-23_판㧤가격__3"/>
      <sheetName val="11_䡸화채무줝ⴌ(AFS,HTM)083"/>
      <sheetName val="Control_de_Fallas3"/>
      <sheetName val="Setup_for_Templates3"/>
      <sheetName val="Datos_emp3"/>
      <sheetName val="Validation_lists3"/>
      <sheetName val="TIPO_DE_ACTO3"/>
      <sheetName val="CRITICIDAD_DE_CI3"/>
      <sheetName val="Catálogo_de_CI3"/>
      <sheetName val="%_CUMPLIMIENTO3"/>
      <sheetName val="%_cumplimiento_3"/>
      <sheetName val="CALIFICACIONES_20191"/>
      <sheetName val="Lev_4_360_deg_check_Crit_Task1"/>
      <sheetName val="Lev_4_Chk_IC_Stock_Crit_Task1"/>
      <sheetName val="Lev_4_WMS_Putaway_Crit_Task1"/>
      <sheetName val="Data_selection1"/>
      <sheetName val="1_1"/>
      <sheetName val="Customer_&amp;_SO1"/>
      <sheetName val="Session_Proposal1"/>
      <sheetName val="Vagas_x_Candidatos3"/>
      <sheetName val="Listas_y_equipos_a_evaluar3"/>
      <sheetName val="Data_Reporte3"/>
      <sheetName val="Read_me3"/>
      <sheetName val="Champions_List2"/>
      <sheetName val="NAZ_Strategy1"/>
      <sheetName val="Daily_Dashboard3"/>
      <sheetName val="Dropdown_Menu"/>
      <sheetName val="Análise_Tempos"/>
      <sheetName val="PDA_BOP"/>
      <sheetName val="Validação_de_Dados"/>
      <sheetName val="No_llenar_"/>
      <sheetName val="Incentivo_Automóvil"/>
      <sheetName val="유류대_현황"/>
      <sheetName val="mapping_(2)"/>
      <sheetName val="Ref_"/>
      <sheetName val="2_3_Projects_Status"/>
      <sheetName val="Lista_de_Motivos"/>
      <sheetName val="Ponto_Crítico_-_Resp__Plano"/>
      <sheetName val="Lista_Funcionários_(2)"/>
      <sheetName val="Project_List"/>
      <sheetName val="PROCESS_MD"/>
      <sheetName val="Выпадающие_списки"/>
      <sheetName val="1__템플릿"/>
      <sheetName val="2__작성_참고사항"/>
      <sheetName val="Listas_desplegables"/>
      <sheetName val="Resumen_General"/>
      <sheetName val="Cátalogo_de_CI"/>
      <sheetName val="Hoja2_(2)"/>
      <sheetName val="Technology_check_list"/>
      <sheetName val="Status_de_Usuario"/>
      <sheetName val="Actos_y_Condiciones_"/>
      <sheetName val="NO_BORRAR"/>
      <sheetName val="Formato_checklist_Lab"/>
      <sheetName val="Consolidated_Project_List"/>
      <sheetName val="Fixed_Cost"/>
      <sheetName val="Supporting"/>
      <sheetName val="입문 트랜드(종합분석)"/>
      <sheetName val="Maestras"/>
      <sheetName val="Master CE"/>
      <sheetName val="CE_Final "/>
      <sheetName val="CALENDAR"/>
      <sheetName val="OL LIST"/>
      <sheetName val="YTD GUEST LIST"/>
      <sheetName val="Session Full list"/>
      <sheetName val="FOOD PAYMENT update JAN"/>
      <sheetName val="Rate card F19 "/>
      <sheetName val="Master Plan  (update)"/>
      <sheetName val="The KPI "/>
      <sheetName val="Mentor Plan "/>
      <sheetName val="Master Plan "/>
      <sheetName val="Tier 1 GOV_PC Networking "/>
      <sheetName val="Tier 1 LBO "/>
      <sheetName val="工作表7"/>
      <sheetName val="自定义"/>
      <sheetName val="[손익기01_XL_x0000__x0000_DePara7"/>
      <sheetName val="_손익기01_XL_x0000__x0000_DePara7"/>
      <sheetName val="_손익기01_XL_x0000__x02"/>
      <sheetName val="[손익기01_XL_x0000__x0000_DePara8"/>
      <sheetName val="_손익기01_XL_x0000__x0000_DePara8"/>
      <sheetName val="_손익기01_XL_x0000__x03"/>
      <sheetName val="[손익기01_XL_x0000__x0000_DePara9"/>
      <sheetName val="_손익기01_XL_x0000__x0000_DePara9"/>
      <sheetName val="_손익기01_XL_x0000__x04"/>
      <sheetName val="_손익기01_XL_x005f_x0000__x4"/>
      <sheetName val="_손익기01_XL_x005f_x0000__x5"/>
      <sheetName val="_손익기01_XL_x005f_x0000__x6"/>
      <sheetName val="链接数据"/>
      <sheetName val="类型"/>
      <sheetName val="2020 MMR12"/>
      <sheetName val="不安全行为分析"/>
      <sheetName val="Razão Social"/>
      <sheetName val="MOTOSxCONDUTOR"/>
      <sheetName val="Plan4"/>
      <sheetName val="filtros"/>
      <sheetName val="Relatorio"/>
      <sheetName val="Codes"/>
      <sheetName val="PAINEL_RECOLHA_CRÉDITO"/>
      <sheetName val="Gráficos_-_CDD"/>
      <sheetName val="YTD_Summary19"/>
      <sheetName val="Month_Summary19"/>
      <sheetName val="Trial_Balance_MAY_200919"/>
      <sheetName val="TB_Pivot19"/>
      <sheetName val="total_per_LB_LB219"/>
      <sheetName val="Trial_Balance_Vlookup19"/>
      <sheetName val="Trial_Balance_APRIL_200919"/>
      <sheetName val="TO_Data_Base20"/>
      <sheetName val="Roll_Out_AQ19"/>
      <sheetName val="Evolução_mandamentos19"/>
      <sheetName val="Planilha_resultados18"/>
      <sheetName val="Historico_200318"/>
      <sheetName val="Sig_Cycles_Accts_&amp;_Processes18"/>
      <sheetName val="Fixed_ZBB12"/>
      <sheetName val="3_ISo_YTD12"/>
      <sheetName val="E_法规NC12"/>
      <sheetName val="Données_LMU12"/>
      <sheetName val="Brazil_Sovereign12"/>
      <sheetName val="Resumen_Costo12"/>
      <sheetName val="Extract_Loss12"/>
      <sheetName val="QA_跟踪记录表12"/>
      <sheetName val="5_112"/>
      <sheetName val="Como_Estamos12"/>
      <sheetName val="Base_de_Dados12"/>
      <sheetName val="RG_Depots12"/>
      <sheetName val="material_data12"/>
      <sheetName val="other_data12"/>
      <sheetName val="Database_(RUR)Mar_YTD12"/>
      <sheetName val="SKU_Mapping12"/>
      <sheetName val="Drop_Down12"/>
      <sheetName val="Raw_Data12"/>
      <sheetName val="EBM-2_GHQ12"/>
      <sheetName val="Base_PEF13"/>
      <sheetName val="Testing_Template_Guidance12"/>
      <sheetName val="Test_Programs12"/>
      <sheetName val="Controls_data14"/>
      <sheetName val="Dados_BLP12"/>
      <sheetName val="ARdistr_(2)12"/>
      <sheetName val="FJJX_Bud_IB11"/>
      <sheetName val="look-up_data11"/>
      <sheetName val="Prd_Hierarchy(产品层级)11"/>
      <sheetName val="Com_(2PK)11"/>
      <sheetName val="JOB_PROFILE_-_LAS12"/>
      <sheetName val="요일_테이블12"/>
      <sheetName val="요일_테이블_(2)11"/>
      <sheetName val="Prd_Hierarchy(产品层次)11"/>
      <sheetName val="Project_Code11"/>
      <sheetName val="전사_PL13"/>
      <sheetName val="자금_제외_PL13"/>
      <sheetName val="자금_PL13"/>
      <sheetName val="전사_BS13"/>
      <sheetName val="자금_제외_BS13"/>
      <sheetName val="자금_BS13"/>
      <sheetName val="BS_계정_설명13"/>
      <sheetName val="_Cash_Flow(전사)13"/>
      <sheetName val="_Cash_Flow(자금제외)13"/>
      <sheetName val="_Cash_Flow(자금)13"/>
      <sheetName val="ROIC_13"/>
      <sheetName val="인건비_명세13"/>
      <sheetName val="판관비_명세13"/>
      <sheetName val="OH_Cost경비(내역)13"/>
      <sheetName val="OH_Cost경비(배부기준)13"/>
      <sheetName val="기타수지&amp;특별손익_명세13"/>
      <sheetName val="업무연락_(2)12"/>
      <sheetName val="제시_손익계산서12"/>
      <sheetName val="01_02월_성과급13"/>
      <sheetName val="M_7회차_담금_계획12"/>
      <sheetName val="팀별_실적12"/>
      <sheetName val="팀별_실적_(환산)12"/>
      <sheetName val="4__Inj_투자상세내역12"/>
      <sheetName val="3__Blow_투자_상세내역12"/>
      <sheetName val="Process_List12"/>
      <sheetName val="7_(2)12"/>
      <sheetName val="_손익기01_XL11"/>
      <sheetName val="Income_Stmt11"/>
      <sheetName val="drop_down_list11"/>
      <sheetName val="Figures_Report10"/>
      <sheetName val="[손익기01_XL_x005f_x0000__x005f_x0000_DePara11"/>
      <sheetName val="Quarterly_LBO_Model11"/>
      <sheetName val="[손익기01_XL11"/>
      <sheetName val="_손익기01_XL_x005f_x0000__x005f_x0000_DePara11"/>
      <sheetName val="15년_BL_사계11"/>
      <sheetName val="1_종합손익(도급)11"/>
      <sheetName val="1_종합손익(주택,개발)11"/>
      <sheetName val="2_실행예산11"/>
      <sheetName val="2_2과부족11"/>
      <sheetName val="2_3원가절감11"/>
      <sheetName val="8_외주비집행현황11"/>
      <sheetName val="9_자재비11"/>
      <sheetName val="10_현장집행11"/>
      <sheetName val="3_추가원가11"/>
      <sheetName val="3_추가원가_(2)11"/>
      <sheetName val="4_사전공사11"/>
      <sheetName val="5_추정공사비11"/>
      <sheetName val="6_금융비용11"/>
      <sheetName val="7_공사비집행현황(총괄)11"/>
      <sheetName val="11_1생산성11"/>
      <sheetName val="11_2인원산출11"/>
      <sheetName val="Classification_分类10"/>
      <sheetName val="Set_Up11"/>
      <sheetName val="Fare_prices10"/>
      <sheetName val="Hotel_prices10"/>
      <sheetName val="tab_STATUS_DO_PROCESSO_10"/>
      <sheetName val="Perf__Plan__Diário110"/>
      <sheetName val="In_(2)10"/>
      <sheetName val="__한국_AMP_ASP-23_판매가격__10"/>
      <sheetName val="CC_Down_load_071610"/>
      <sheetName val="변경실행(2차)_10"/>
      <sheetName val="나_출고10"/>
      <sheetName val="나_입고10"/>
      <sheetName val="09년_인건비(속리산)10"/>
      <sheetName val="합산목표(감가+57_5)10"/>
      <sheetName val="제조원가_원단위_분석10"/>
      <sheetName val="종합표양식(품의_&amp;_입고)_210"/>
      <sheetName val="원가관리_(동월대비)10"/>
      <sheetName val="b_balju_(2)10"/>
      <sheetName val="2-2_매출분석10"/>
      <sheetName val="몰드시스템_리스트10"/>
      <sheetName val="11_외화채무증권(AFS,HTM)0810"/>
      <sheetName val="13_감액TEST_0810"/>
      <sheetName val="12년_CF(9월)10"/>
      <sheetName val="중기조종사_단위단가10"/>
      <sheetName val="6PILE__(돌출)10"/>
      <sheetName val="기성청구_공문10"/>
      <sheetName val="Sheet1_(2)10"/>
      <sheetName val="CLASIFICACION_DE_AI10"/>
      <sheetName val="Base_da_Datos10"/>
      <sheetName val="slide_24_cat_A10"/>
      <sheetName val="slide_82_cat_b10"/>
      <sheetName val="Dados_dos_Produtos10"/>
      <sheetName val="09~10년_매출계획10"/>
      <sheetName val="1_MDF1공장10"/>
      <sheetName val="Incident_유형구분표10"/>
      <sheetName val="3YP2016-Bottom_up9"/>
      <sheetName val="DD_list10"/>
      <sheetName val="Base_de_Datos9"/>
      <sheetName val="Supply_Cost_Centers9"/>
      <sheetName val="2_카드채권(대출포함)9"/>
      <sheetName val="表21_净利润调节表9"/>
      <sheetName val="Cond__Inseguros9"/>
      <sheetName val="Comp__Inseguros9"/>
      <sheetName val="Lista_de_datos9"/>
      <sheetName val="MASTER_APP9"/>
      <sheetName val="Clasif_9"/>
      <sheetName val="Farol_Acciones9"/>
      <sheetName val="Lista_de_Entrenamientos9"/>
      <sheetName val="Unidades_SAC-REVENDA10"/>
      <sheetName val="FornecM_Check8"/>
      <sheetName val="Lista_CI9"/>
      <sheetName val="Estratificación_AI8"/>
      <sheetName val="condicion_inseguras8"/>
      <sheetName val="Actos_Inseguros8"/>
      <sheetName val="Control_de_incidentes8"/>
      <sheetName val="Plan_de_Acción8"/>
      <sheetName val="_DD_List9"/>
      <sheetName val="Share_Price_20029"/>
      <sheetName val="Issues_List_Payments8"/>
      <sheetName val="BEP_加薪_KPI8"/>
      <sheetName val="Faro_de_Indicadores8"/>
      <sheetName val="TOP_KPIs_MTM8"/>
      <sheetName val="PLAN_DE_ACCION8"/>
      <sheetName val="Grafica_Actos8"/>
      <sheetName val="POC_LIST8"/>
      <sheetName val="Dashboard_Prevención_Riesgos_8"/>
      <sheetName val="APAC_S8"/>
      <sheetName val="APAC_N8"/>
      <sheetName val="Slide_output8"/>
      <sheetName val="do_not_delete8"/>
      <sheetName val="[손익기01_XL??DePara8"/>
      <sheetName val="Farol_Metas8"/>
      <sheetName val="Mod_Relac_8"/>
      <sheetName val="Condiciones_SyE8"/>
      <sheetName val="REALxMETA_-_CERVEJA10"/>
      <sheetName val="REALxMETA_-_REFRI10"/>
      <sheetName val="Directrices_de_Metas_20178"/>
      <sheetName val="F08_-_Asia_Pac_Full_Year_Q39"/>
      <sheetName val="Top_Priorities9"/>
      <sheetName val="Listco_Stock9"/>
      <sheetName val="Intl_Purchase9"/>
      <sheetName val="FY_outlook9"/>
      <sheetName val="CY_outlook9"/>
      <sheetName val="Cash_metrics9"/>
      <sheetName val="P6_79"/>
      <sheetName val="DATOS_BASE8"/>
      <sheetName val="DETALLE_MENSUAL8"/>
      <sheetName val="Entity_Target8"/>
      <sheetName val="VALIDACION_DE_DATOS7"/>
      <sheetName val="_손익기01_XL_x005f_x005f_x005f_x0000__x005f_x005f_x8"/>
      <sheetName val="Hazards_Analysis-隐患分析8"/>
      <sheetName val="97_사업추정(WEKI)8"/>
      <sheetName val="Tong_hop8"/>
      <sheetName val="95_1_1이후취득자산(숨기기상태)8"/>
      <sheetName val="sum1_(2)8"/>
      <sheetName val="3_바닥판설계8"/>
      <sheetName val="6월_공정외주8"/>
      <sheetName val="2_대외공문8"/>
      <sheetName val="2_총괄표8"/>
      <sheetName val="입출재고현황_(2)8"/>
      <sheetName val="504전기실_동부하-L8"/>
      <sheetName val="OUTER_AREA(겹침없음)8"/>
      <sheetName val="EL_표면적8"/>
      <sheetName val="TRE_TABLE8"/>
      <sheetName val="입찰내역_발주처_양식8"/>
      <sheetName val="Data_validation8"/>
      <sheetName val="turnover_reason퇴직사유8"/>
      <sheetName val="SKU_Basic_Data8"/>
      <sheetName val="Jul-Sep_Actual_cost_(2)7"/>
      <sheetName val="Drop-down_List7"/>
      <sheetName val="by_DD7"/>
      <sheetName val="Check_Qualidade6"/>
      <sheetName val="Check_Aderencia6"/>
      <sheetName val="De_Para7"/>
      <sheetName val="Base_Farol6"/>
      <sheetName val="Gerencial_IL6"/>
      <sheetName val="Ventas_Campo6"/>
      <sheetName val="ACTOS_POR_RIESGO6"/>
      <sheetName val="drop_lists6"/>
      <sheetName val="MRL_NON_SUPPLY_URU6"/>
      <sheetName val="AIIM_-_Empresas_Ext_20126"/>
      <sheetName val="KPIs_Hana6"/>
      <sheetName val="Catalago_de_refacciones_6"/>
      <sheetName val="Existencias_al_07-Nov-20126"/>
      <sheetName val="Check_GG6"/>
      <sheetName val="Nombre_de_SOP6"/>
      <sheetName val="Ta_6"/>
      <sheetName val="2__Indicadores6"/>
      <sheetName val="부재료_비교(11년_vs_10년)6"/>
      <sheetName val="_손익기01_XL_x005f_x0000__x06"/>
      <sheetName val="Lista_de_Entrenamientos_RSO6"/>
      <sheetName val="Tablero_SDG9"/>
      <sheetName val="Lista_Areas9"/>
      <sheetName val="One_Page9"/>
      <sheetName val="Sub-Productos_HN7"/>
      <sheetName val="Eficiencia_linea6"/>
      <sheetName val="_mngt_Pillar6"/>
      <sheetName val="Sheet3_(2)6"/>
      <sheetName val="요일_테이블_6"/>
      <sheetName val="Sheet2_(2)6"/>
      <sheetName val="Lao_&amp;_Cam6"/>
      <sheetName val="Hoegaarden_20196"/>
      <sheetName val="Lao_&amp;_Cam_20196"/>
      <sheetName val="Malaysia_20196"/>
      <sheetName val="Singapore_20196"/>
      <sheetName val="Other_Listings6"/>
      <sheetName val="Pauta_RPS_Distribuição5"/>
      <sheetName val="Estoque_(2)5"/>
      <sheetName val="Comp_Inseguros5"/>
      <sheetName val="BNR_2012_в_ящике5"/>
      <sheetName val="DATOS_DE_VALIDACIÓN5"/>
      <sheetName val="Datos_con5"/>
      <sheetName val="_Datos_Cond_5"/>
      <sheetName val="DO_NOT_MOVE5"/>
      <sheetName val="INGRESO_(2)5"/>
      <sheetName val="PG-K1610_(UEN_Areas)MNG5"/>
      <sheetName val="DATOS_GEN_5"/>
      <sheetName val="NUEVOS_CRITERIOS5"/>
      <sheetName val="Condiciones_Agua5"/>
      <sheetName val="Dropdown_list4"/>
      <sheetName val="FX_Rates4"/>
      <sheetName val="Vagas_x_Candidatos4"/>
      <sheetName val="__한국_AMP_ASP-23_판㧤가격__4"/>
      <sheetName val="11_䡸화채무줝ⴌ(AFS,HTM)084"/>
      <sheetName val="Drop_list4"/>
      <sheetName val="Proced_4"/>
      <sheetName val="Control_de_Fallas4"/>
      <sheetName val="Setup_for_Templates4"/>
      <sheetName val="Datos_emp4"/>
      <sheetName val="TIPO_DE_ACTO4"/>
      <sheetName val="%_cumplimiento_4"/>
      <sheetName val="%_CUMPLIMIENTO4"/>
      <sheetName val="Listas_y_equipos_a_evaluar4"/>
      <sheetName val="CRITICIDAD_DE_CI4"/>
      <sheetName val="Catálogo_de_CI4"/>
      <sheetName val="Data_Reporte4"/>
      <sheetName val="Read_me4"/>
      <sheetName val="Validation_lists4"/>
      <sheetName val="Cut_Machine_Summary4"/>
      <sheetName val="Daily_Dashboard4"/>
      <sheetName val="Champions_List3"/>
      <sheetName val="NAZ_Strategy2"/>
      <sheetName val="CALIFICACIONES_20192"/>
      <sheetName val="Lev_4_360_deg_check_Crit_Task2"/>
      <sheetName val="Lev_4_Chk_IC_Stock_Crit_Task2"/>
      <sheetName val="Lev_4_WMS_Putaway_Crit_Task2"/>
      <sheetName val="Brand_P&amp;L2"/>
      <sheetName val="Data_selection2"/>
      <sheetName val="1_2"/>
      <sheetName val="Customer_&amp;_SO2"/>
      <sheetName val="Session_Proposal2"/>
      <sheetName val="Análise_Tempos1"/>
      <sheetName val="Validação_de_Dados1"/>
      <sheetName val="No_llenar_1"/>
      <sheetName val="PDA_BOP1"/>
      <sheetName val="Incentivo_Automóvil1"/>
      <sheetName val="PROCESS_MD1"/>
      <sheetName val="Lista_de_Motivos1"/>
      <sheetName val="Ponto_Crítico_-_Resp__Plano1"/>
      <sheetName val="Lista_Funcionários_(2)1"/>
      <sheetName val="PAINEL_RECOLHA_CRÉDITO1"/>
      <sheetName val="Gráficos_-_CDD1"/>
      <sheetName val="데이터유효성목록"/>
      <sheetName val="control sheet"/>
      <sheetName val="대환취급"/>
      <sheetName val="SS20"/>
      <sheetName val="SS10"/>
      <sheetName val="sum_x0008_"/>
      <sheetName val="OUTER_A՜_x0000_缀_x0000__x0000__x0000_尀빙끯"/>
      <sheetName val="부대공사총괄"/>
      <sheetName val="건축공사집계표"/>
      <sheetName val="방배동내역 (총괄)"/>
      <sheetName val="날개벽(시점좌측)"/>
      <sheetName val="철거산출근거"/>
      <sheetName val="01_02월_성B_x0000_"/>
      <sheetName val="gr_val"/>
      <sheetName val="gr_sum"/>
      <sheetName val="부대내역"/>
      <sheetName val="C1ㅇ"/>
      <sheetName val="단가조정"/>
      <sheetName val="나_출_x0000__x0000_"/>
      <sheetName val="입찰내역_Ĉ"/>
      <sheetName val="보고서_표"/>
      <sheetName val="0__가정_및_결론"/>
      <sheetName val="1__투자비"/>
      <sheetName val="2__Rent-roll"/>
      <sheetName val="3__Funding"/>
      <sheetName val="4__운영수익"/>
      <sheetName val="5__운영비용"/>
      <sheetName val="6_1_N+1년차_NOI_산정"/>
      <sheetName val="6__부동산매각"/>
      <sheetName val="7__보유세"/>
      <sheetName val="8__교통유발부담금"/>
      <sheetName val="9__BS부속"/>
      <sheetName val="10__CF(M)"/>
      <sheetName val="11__IS(M)"/>
      <sheetName val="12__BS(M)"/>
      <sheetName val="14__IS(FY)"/>
      <sheetName val="13__CF(FY)"/>
      <sheetName val="15__BS(FY)"/>
      <sheetName val="16__RE(FY)"/>
      <sheetName val="1_수인터널"/>
      <sheetName val="工완성공사율"/>
      <sheetName val="NKC (final)"/>
      <sheetName val="자판실행"/>
      <sheetName val="M&amp;Q_Lead"/>
      <sheetName val="Phieu_trinh_ky_cấu_tháp"/>
      <sheetName val="Phieu_trinh_ky_VTP"/>
      <sheetName val="KS-VL_rời"/>
      <sheetName val="Tai_san"/>
      <sheetName val="Check_dong_tien"/>
      <sheetName val="Chi_phí_SDTS"/>
      <sheetName val="Check_COST"/>
      <sheetName val="DATA_HD"/>
      <sheetName val="Tong_hop_1TM"/>
      <sheetName val="NS_Lán_trại"/>
      <sheetName val="Check_cong_no_NC"/>
      <sheetName val="4_1_월별_에너지_사용량"/>
      <sheetName val="첨부#2_Cash_Flow(현장작성)"/>
      <sheetName val="7_공사비집Ā翸"/>
      <sheetName val="Bank_code"/>
      <sheetName val="Drop-down_RAW"/>
      <sheetName val="NKC_(final)"/>
      <sheetName val="1-2_설계변경요청서(갑지)"/>
      <sheetName val="첨부1_(주차관제-_당공)"/>
      <sheetName val="첨부1-1_설계변경내역서(CCTV)"/>
      <sheetName val="첨부1-2_(주차관제-변공)"/>
      <sheetName val="2-6_변공량(추가공사)"/>
      <sheetName val="_2-1_관제(물량산출서집계표)"/>
      <sheetName val="_2-2_유도(물량산출서집계표)"/>
      <sheetName val="3-1_주차관제"/>
      <sheetName val="3-2_주차-광케이블"/>
      <sheetName val="3-3_층별LPR"/>
      <sheetName val="4-1_유도-광케이블"/>
      <sheetName val="4-2_주차키오스크"/>
      <sheetName val="4-3_4면카메라"/>
      <sheetName val="4-5_CCTV"/>
      <sheetName val="4-6_블럭유도등"/>
      <sheetName val="4-7_입구만차등"/>
      <sheetName val="4-8_비상벨"/>
      <sheetName val="항목(1)"/>
      <sheetName val="BOOK4"/>
      <sheetName val="건축갑지"/>
      <sheetName val="건축내역서"/>
      <sheetName val="견적보고서"/>
      <sheetName val="개발계획수립"/>
      <sheetName val="건축"/>
      <sheetName val="산근(목록)"/>
      <sheetName val="심사계산"/>
      <sheetName val="변수"/>
      <sheetName val="심사물량"/>
      <sheetName val="입력"/>
      <sheetName val="노임단"/>
      <sheetName val="단위수량"/>
      <sheetName val="예측단가간지"/>
      <sheetName val="환경일위대가"/>
      <sheetName val="1~69"/>
      <sheetName val="01_건설공사_투입인원수_산정"/>
      <sheetName val="운반공"/>
      <sheetName val="이형관중량"/>
      <sheetName val="일위목록"/>
      <sheetName val="자재단"/>
      <sheetName val="장비단"/>
      <sheetName val="고시단가"/>
      <sheetName val="지구단위계획"/>
      <sheetName val="단위모델"/>
      <sheetName val="PAD_TR보호대기초2"/>
      <sheetName val="1__시공측량2"/>
      <sheetName val="납부내역총괄표_(수정)2"/>
      <sheetName val="수종별수량_(2)2"/>
      <sheetName val="Weekly_Progress(계장)2"/>
      <sheetName val="근거_및_가정2"/>
      <sheetName val="1_차입금2"/>
      <sheetName val="부대시행1_(2)2"/>
      <sheetName val="3_6_2남양주택배2"/>
      <sheetName val="설산1_나2"/>
      <sheetName val="자금_제_x0000__x0000_Ԁ_x0000_"/>
      <sheetName val="_x005f_x0000_"/>
      <sheetName val="기타수지&amp;특별손익_ﹴÕ"/>
      <sheetName val="토공(우물통,기타) "/>
      <sheetName val="Macro3"/>
      <sheetName val="6F8"/>
      <sheetName val="NG Item"/>
      <sheetName val="_x005f_x005f_x005f_x005f_x005f_x005f_x005f_x0018__x005f"/>
      <sheetName val="_x005f_x005f_x005f_x0018__"/>
      <sheetName val="간접비"/>
      <sheetName val="504전기실_x0000__x0000__x0001_Ԁ_x0000_"/>
      <sheetName val="STRAT_PLAN_WKSHT1"/>
      <sheetName val="Sales_Plan_&amp;_other1"/>
      <sheetName val="drop_downs"/>
      <sheetName val="Basic_Information"/>
      <sheetName val="산자사_운전용품"/>
      <sheetName val="업무_분류(Category)"/>
      <sheetName val="3_일반사상"/>
      <sheetName val="Exchange_rate"/>
      <sheetName val="#1_Basic"/>
      <sheetName val="NCR_HEC_6 Opens"/>
      <sheetName val="NCR_HEC_4 Open &amp; Vendor_2 Opens"/>
      <sheetName val="지급제한자"/>
      <sheetName val="Project Count"/>
      <sheetName val="Index1"/>
      <sheetName val="손익계산서"/>
      <sheetName val="504전기실_Ç_x0000_Ԁ_x0000_瀀"/>
      <sheetName val="504전기실_Ç_x0000_Ԁ_x0000_退"/>
      <sheetName val="504전기실_壇멿︀ⳕԯ"/>
      <sheetName val="운반"/>
      <sheetName val="Ref. Spec Review 양식"/>
      <sheetName val="Ref. 시험항목 테이블"/>
      <sheetName val="Ref. Search Result 테이블"/>
      <sheetName val="견적서"/>
      <sheetName val="1711월"/>
      <sheetName val="OH _x000f__x0000__x000c__x0000__x0006__x0000__x0005__x0000__x000c__x0000_"/>
      <sheetName val="_x0000__x0004__x0000__x0002__x0000__x0002__x0000__x0005__x0000__x0008__x0000_"/>
      <sheetName val="ࠀ฀က฀Ԁ"/>
      <sheetName val="수량산출서 (2)"/>
      <sheetName val="_Cash_Flow(자_x0000__x0000_"/>
      <sheetName val="국내_x0000__x0000_"/>
      <sheetName val="공통부대비"/>
      <sheetName val="체신주조서"/>
      <sheetName val="생산"/>
      <sheetName val="단가조사표"/>
      <sheetName val="대구은행"/>
      <sheetName val="원재료"/>
      <sheetName val="비품"/>
      <sheetName val="PF 현황(11년12월)"/>
      <sheetName val="Sensitivity and GC Value"/>
      <sheetName val="지급어음"/>
      <sheetName val="중속정보"/>
      <sheetName val="실행예산SHEET도장재검토"/>
      <sheetName val="0901"/>
      <sheetName val="식문화"/>
      <sheetName val="SRS 월별 BS"/>
      <sheetName val="SRS"/>
      <sheetName val="중기매출"/>
      <sheetName val="제조비(신청)"/>
      <sheetName val="경쟁사생산량추이"/>
      <sheetName val="12매출실적Copy"/>
      <sheetName val="매출액"/>
      <sheetName val="경영현황"/>
      <sheetName val="4월실적"/>
      <sheetName val="C"/>
      <sheetName val="평가&amp;선급.미지급"/>
      <sheetName val="지질조사"/>
      <sheetName val="07년10~12월"/>
      <sheetName val="EXC IND"/>
      <sheetName val="SRS_월별_BS"/>
      <sheetName val="평가&amp;선급_미지급"/>
      <sheetName val="COLOR별 인쇄"/>
      <sheetName val="일정표"/>
      <sheetName val="FED"/>
      <sheetName val="급여인상효과-연간부담분"/>
      <sheetName val="Mot So Thuat Ngu EN-VI"/>
      <sheetName val="Mot_So_Thuat_Ngu_EN-VI"/>
      <sheetName val="오스피셔스제사차"/>
      <sheetName val="공종별집계"/>
      <sheetName val="무형자산 LS11"/>
      <sheetName val="Global"/>
      <sheetName val="3.공통공사대비"/>
      <sheetName val="2002년12월"/>
      <sheetName val="현장관리비 산출내역"/>
      <sheetName val="일일투입집계표"/>
      <sheetName val="평가데이터"/>
      <sheetName val="91"/>
      <sheetName val="생산1-2"/>
      <sheetName val="생산1-1"/>
      <sheetName val="매출계획"/>
      <sheetName val="품의서개정(갑)"/>
      <sheetName val="10.예산 및 원가 계획(02년)"/>
      <sheetName val="원가관리_(동월대-_x0000_Ԁ"/>
      <sheetName val="식재총괄"/>
      <sheetName val="입찰내역 _x0000__x0000__x0000__x0001_Ԁ_x0000_"/>
      <sheetName val="입찰내역 _x0000_⊍_x0000__x0000_∀的"/>
      <sheetName val="__Dscljh_c_EXCEL________1_96__2"/>
      <sheetName val="6PILE__(Y_x0000__x0000_"/>
      <sheetName val="합산목표(감가+5_x0000__x0000_Ԁ_x0000_䀀"/>
      <sheetName val="6PILE__(剙_x0010__x0000_"/>
      <sheetName val="공기연장현황"/>
      <sheetName val="001"/>
      <sheetName val="노원열병합  건축공사기성내역서"/>
      <sheetName val="7_공사비집"/>
      <sheetName val="참고3.DATA"/>
      <sheetName val="첨부1-2. 증감사유내역서(을)"/>
      <sheetName val="조도"/>
      <sheetName val="P-J"/>
      <sheetName val="유효성 목록"/>
      <sheetName val="드롭다운(수정금지)"/>
      <sheetName val="상반기손익차2총괄"/>
      <sheetName val="master(ZH)"/>
      <sheetName val="ALK_Chi tiết công nợ"/>
      <sheetName val="Parem"/>
      <sheetName val="CHITIET VL-NC-TT1p"/>
      <sheetName val="TONGKE3p"/>
      <sheetName val="골조"/>
      <sheetName val="tifico"/>
      <sheetName val="本月预计"/>
      <sheetName val="1)추진현황"/>
      <sheetName val="매출회전"/>
      <sheetName val="TMPA"/>
      <sheetName val="소방사항"/>
      <sheetName val="OH _x000f_"/>
      <sheetName val="____"/>
      <sheetName val="2.FM Fee_2차년도"/>
      <sheetName val="3.감가장비"/>
      <sheetName val="증감내역서"/>
      <sheetName val="공사"/>
      <sheetName val="단면치수"/>
      <sheetName val="OUTER_A՜"/>
      <sheetName val="_x005f_x0000__"/>
      <sheetName val="공통비"/>
      <sheetName val="자금_제"/>
      <sheetName val="504전기실"/>
      <sheetName val="총 원가계산"/>
      <sheetName val="FAB별"/>
      <sheetName val="1.설계기준"/>
      <sheetName val="신당동집계표"/>
      <sheetName val="변동률산출"/>
      <sheetName val="완성차 미수금"/>
      <sheetName val="원가관리_(동월대-"/>
      <sheetName val="경상직원"/>
      <sheetName val="통က_x0000_"/>
      <sheetName val="물가대비표"/>
      <sheetName val="4월25일실행"/>
      <sheetName val="경계석,골재외 (2)"/>
      <sheetName val="7_Utility_Analysis1"/>
      <sheetName val="Operational_Activities1"/>
      <sheetName val="종합표양식(품의좲_xdd02_쒥⠀쮎_x001d__x0000__x0000_"/>
      <sheetName val="제조원가_원단ၒ_x0000__x0000__x0000_"/>
      <sheetName val="제조원가_원단_x0000_좏_x0000__x0000_"/>
      <sheetName val="제조원가_원단_x0000_泀_x0000__x0000_"/>
      <sheetName val="제조원가_원단_x0010__x0000_༘֜"/>
      <sheetName val="제조원가_원단_x0000_ī_x0000_"/>
      <sheetName val="Ⅴ-2.공종별내역"/>
      <sheetName val="방배2E"/>
      <sheetName val="1.설계조건"/>
      <sheetName val="집계확_x0000_"/>
      <sheetName val="철거공사1"/>
      <sheetName val="Planilha_relts??eos7"/>
      <sheetName val="단가산출서"/>
      <sheetName val="설계내역양식"/>
      <sheetName val="Menu_Link"/>
      <sheetName val="간접경상비"/>
      <sheetName val="23기-3분기결산PL"/>
      <sheetName val="경영비율 "/>
      <sheetName val="계정정보"/>
      <sheetName val="기준정보基准信息参考"/>
      <sheetName val="FORM4"/>
      <sheetName val="FORM1"/>
      <sheetName val="FORM2"/>
      <sheetName val="FORM3"/>
      <sheetName val="FORM5"/>
      <sheetName val="FORM10"/>
      <sheetName val="FORM15"/>
      <sheetName val="FORM16"/>
      <sheetName val="4월 매출"/>
      <sheetName val="2005조관부자재표준"/>
      <sheetName val="2005공정별직접노무비표준"/>
      <sheetName val="2005공정별전력비표준"/>
      <sheetName val="2005도금부자재표준"/>
      <sheetName val="2005톤당조관량표준"/>
      <sheetName val="2005인발표준"/>
      <sheetName val="Stop"/>
      <sheetName val="Accueil"/>
      <sheetName val="C61X-BOM"/>
      <sheetName val="Sheet16"/>
      <sheetName val="B05"/>
      <sheetName val="B07"/>
      <sheetName val="A02"/>
      <sheetName val="A04"/>
      <sheetName val="A13"/>
      <sheetName val="B08"/>
      <sheetName val="B10"/>
      <sheetName val="공사비지급"/>
      <sheetName val="SPT vs PHI"/>
      <sheetName val="이자"/>
      <sheetName val="main"/>
      <sheetName val="무역한도관리"/>
      <sheetName val="STRAT_PLAN_WKSHT2"/>
      <sheetName val="Sales_Plan_&amp;_other2"/>
      <sheetName val="drop_downs1"/>
      <sheetName val="구분_Table"/>
      <sheetName val="역T형옹벽(3_0)"/>
      <sheetName val="외상매출금현황-수정분_A2"/>
      <sheetName val="Project_Count"/>
      <sheetName val="control_sheet"/>
      <sheetName val="PF_현황(11년12월)"/>
      <sheetName val="Diesel_Price_"/>
      <sheetName val="진행_DATA_(2)"/>
      <sheetName val="견적_맵"/>
      <sheetName val="업무분장_"/>
      <sheetName val="7300-1000_111"/>
      <sheetName val="PJT_현황"/>
      <sheetName val="참고)_기준정보"/>
      <sheetName val="Long_Term_Prices"/>
      <sheetName val="문의내용_카테고리_분류(수정X)"/>
      <sheetName val="Sensitivity_and_GC_Value"/>
      <sheetName val="사업단위"/>
      <sheetName val="품목리스트"/>
      <sheetName val="Insight MTD QTD YTD DATA"/>
      <sheetName val="Working (PivotTable)"/>
      <sheetName val="Essbase (53 Weeks)"/>
      <sheetName val="Essbase (52 Weeks)"/>
      <sheetName val="Store Listing"/>
      <sheetName val="COMP Working"/>
      <sheetName val="Q1"/>
      <sheetName val="Q2"/>
      <sheetName val="Q3"/>
      <sheetName val="COMP LLY Working"/>
      <sheetName val="주주명부&lt;끝&gt;"/>
      <sheetName val="지역개발"/>
      <sheetName val="매입매출(입력)"/>
      <sheetName val="상표권"/>
      <sheetName val="기본사항"/>
      <sheetName val="20년 동일기간 소테마"/>
      <sheetName val="PH 5"/>
      <sheetName val="bar chart-rev"/>
      <sheetName val="연결조정사항(2019)"/>
      <sheetName val="TLoss"/>
      <sheetName val="0304"/>
      <sheetName val="예총"/>
      <sheetName val="1__작성방식1"/>
      <sheetName val="표)CFT장_조직별_배분1"/>
      <sheetName val="20180214_P&amp;T1"/>
      <sheetName val="Ref__중점_추진_과제별_상세1"/>
      <sheetName val="Bank_code1"/>
      <sheetName val="Drop-down_RAW1"/>
      <sheetName val="Basic_Information1"/>
      <sheetName val="Exchange_rate1"/>
      <sheetName val="NG_Item"/>
      <sheetName val="Ref__Spec_Review_양식"/>
      <sheetName val="Ref__시험항목_테이블"/>
      <sheetName val="Ref__Search_Result_테이블"/>
      <sheetName val="TOWER_12TON"/>
      <sheetName val="TOWER_10TON"/>
      <sheetName val="JIB_CRANE,HOIST"/>
      <sheetName val="07.01"/>
      <sheetName val="P_M_별4"/>
      <sheetName val="Back_Data_13"/>
      <sheetName val="Facility_Information3"/>
      <sheetName val="1__작성방식2"/>
      <sheetName val="2_주요계수총괄3"/>
      <sheetName val="Project_Brief3"/>
      <sheetName val="Utility_Usage_YTN_TOWER2"/>
      <sheetName val="118_세금과공과3"/>
      <sheetName val="1_본사계정별3"/>
      <sheetName val="단면_(2)3"/>
      <sheetName val="표)CFT장_조직별_배분2"/>
      <sheetName val="20180214_P&amp;T2"/>
      <sheetName val="Ref__중점_추진_과제별_상세2"/>
      <sheetName val="Bank_code2"/>
      <sheetName val="B-1_기본정보2"/>
      <sheetName val="해외_기술훈련비_(합계)3"/>
      <sheetName val="_견적서2"/>
      <sheetName val="1월_예산2"/>
      <sheetName val="Drop-down_RAW2"/>
      <sheetName val="설문_평가2"/>
      <sheetName val="Basic_Information2"/>
      <sheetName val="외주현황_wq12"/>
      <sheetName val="대투_보관자료_변경2"/>
      <sheetName val="#1)_투자_구분2"/>
      <sheetName val="전선_및_전선관2"/>
      <sheetName val="Exchange_rate2"/>
      <sheetName val="실행기성_갑지2"/>
      <sheetName val="Eq__Mobilization1"/>
      <sheetName val="진행_DATA_(2)1"/>
      <sheetName val="Ref__Spec_Review_양식1"/>
      <sheetName val="Ref__시험항목_테이블1"/>
      <sheetName val="Ref__Search_Result_테이블1"/>
      <sheetName val="NG_Item1"/>
      <sheetName val="2013_2월_연결대상2"/>
      <sheetName val="Rev__Recon_11"/>
      <sheetName val="1_고객불만건수1"/>
      <sheetName val="1_변경범위1"/>
      <sheetName val="2-2_투자2"/>
      <sheetName val="Proj__Fin_2"/>
      <sheetName val="ITS_Assumptions1"/>
      <sheetName val="Master_Data1"/>
      <sheetName val="C1_3_11"/>
      <sheetName val="HQ_급여_1"/>
      <sheetName val="OF_급여1"/>
      <sheetName val="F_Ma급여1"/>
      <sheetName val="SMT_급여1"/>
      <sheetName val="QC_급여1"/>
      <sheetName val="Sam_sung_급여1"/>
      <sheetName val="Dlock_급여1"/>
      <sheetName val="_thôi_việc_급여1"/>
      <sheetName val="Công_smt1"/>
      <sheetName val="Công_smt_(2)1"/>
      <sheetName val="Detail_smt1"/>
      <sheetName val="Công_QC1"/>
      <sheetName val="Detail_QC_1"/>
      <sheetName val="Công_SS1"/>
      <sheetName val="Detail_SS1"/>
      <sheetName val="Công_FMa1"/>
      <sheetName val="Detail_FMa1"/>
      <sheetName val="Công_OF1"/>
      <sheetName val="Detail_OF1"/>
      <sheetName val="Công_Dlock1"/>
      <sheetName val="Detail_Dlock1"/>
      <sheetName val="Công_thôi_việc1"/>
      <sheetName val="Detail_thôi1"/>
      <sheetName val="2-1_강사료,교통비_지급명세2"/>
      <sheetName val="KEY_CODE2"/>
      <sheetName val="13_포장용역비표준2"/>
      <sheetName val="9_가공부자재표준2"/>
      <sheetName val="8_ROLL표준(TSW)2"/>
      <sheetName val="4_톤당조관량표준2"/>
      <sheetName val="5_조관부자재표준2"/>
      <sheetName val="F_월별기성수금현황_1"/>
      <sheetName val="준검_내역서1"/>
      <sheetName val="수량산출서_갑지1"/>
      <sheetName val="G_R300경비1"/>
      <sheetName val="AS포장복구_1"/>
      <sheetName val="설_계1"/>
      <sheetName val="조도계산서_(도서)1"/>
      <sheetName val="기초정보_코드1"/>
      <sheetName val="날개수량1_51"/>
      <sheetName val="6월_공嚺㓶가1"/>
      <sheetName val="2_6_三无_(2)1"/>
      <sheetName val="보고서_표1"/>
      <sheetName val="0__가정_및_결론1"/>
      <sheetName val="1__투자비1"/>
      <sheetName val="2__Rent-roll1"/>
      <sheetName val="3__Funding1"/>
      <sheetName val="4__운영수익1"/>
      <sheetName val="5__운영비용1"/>
      <sheetName val="6_1_N+1년차_NOI_산정1"/>
      <sheetName val="6__부동산매각1"/>
      <sheetName val="7__보유세1"/>
      <sheetName val="8__교통유발부담금1"/>
      <sheetName val="9__BS부속1"/>
      <sheetName val="10__CF(M)1"/>
      <sheetName val="11__IS(M)1"/>
      <sheetName val="12__BS(M)1"/>
      <sheetName val="14__IS(FY)1"/>
      <sheetName val="13__CF(FY)1"/>
      <sheetName val="15__BS(FY)1"/>
      <sheetName val="16__RE(FY)1"/>
      <sheetName val="4_1_월별_에너지_사용량1"/>
      <sheetName val="TOWER_12TON1"/>
      <sheetName val="TOWER_10TON1"/>
      <sheetName val="JIB_CRANE,HOIST1"/>
      <sheetName val="Worker_List1"/>
      <sheetName val="GB-IC_Villingen_GG1"/>
      <sheetName val="M&amp;Q_Lead1"/>
      <sheetName val="sum"/>
      <sheetName val="OH_"/>
      <sheetName val="경영비율_"/>
      <sheetName val="Dropbox_목록"/>
      <sheetName val="A(Rev_3)1"/>
      <sheetName val="1~9_하중계산"/>
      <sheetName val="504전기실Ԁ"/>
      <sheetName val="BSD_(2)"/>
      <sheetName val="시스템_개요_유효값"/>
      <sheetName val="전기요금_산출내역"/>
      <sheetName val="_x005f_x0000__㴐ኰ"/>
      <sheetName val="_x005f_x0000__움ᕕ"/>
      <sheetName val="2_실행ﶻ"/>
      <sheetName val="__한국_AMP_ASP-23_판매가격_롟"/>
      <sheetName val="기타코드"/>
      <sheetName val="1_종합손익(주택,绘ÿ헾⽊"/>
      <sheetName val="504전기실__x0000_Ԁ_x0000_"/>
      <sheetName val="504전기실__x0000_Ԁ_x0000_က"/>
      <sheetName val="암거날개벽"/>
      <sheetName val="합산목표(감가+5"/>
      <sheetName val="inter"/>
      <sheetName val="UPA(Part C,D,E,G,H)"/>
      <sheetName val="UPA(Part F)"/>
      <sheetName val="Materials"/>
      <sheetName val="일위대가 (Part C,D,E,G,H)"/>
      <sheetName val="Insulation_Utl_Off"/>
      <sheetName val="Note_Piping"/>
      <sheetName val="실행"/>
      <sheetName val="CERTIFICATE"/>
      <sheetName val="Process Li"/>
      <sheetName val="▶ 일일출역 집계_20210819143316"/>
      <sheetName val="견적 (2)"/>
      <sheetName val="ENE-CAL"/>
      <sheetName val="类别"/>
      <sheetName val="(실사조정)총괄"/>
      <sheetName val="ITB COST"/>
      <sheetName val="유림콘도"/>
      <sheetName val="장비명"/>
      <sheetName val="Ext. Stone-P"/>
      <sheetName val="Process Li 鸴"/>
      <sheetName val="T13(P68~72,78)"/>
      <sheetName val="입찰내역 "/>
      <sheetName val="504전기실_Ç"/>
      <sheetName val="sum "/>
      <sheetName val="3.판관비명세서"/>
      <sheetName val="토지평가조서(발송용)"/>
      <sheetName val="카테고리 분류 (수정X)"/>
      <sheetName val="퇴직사유"/>
      <sheetName val="sum_x0008__x0000_ _x0000__x0006__x0000_"/>
      <sheetName val="슬래?"/>
      <sheetName val="_x005f_x0000__x005f"/>
      <sheetName val="[손익기01_XL_x0000__x0000_DePara10"/>
      <sheetName val="_손익기01_XL_x0000__x0000_DePara10"/>
      <sheetName val="_손익기01_XL_x0000__x05"/>
      <sheetName val="_손익기01_XL_x0000__x4"/>
      <sheetName val="_손익기01_XL_x0000__x5"/>
      <sheetName val="_손익기01_XL_x0000__x6"/>
      <sheetName val="[손익기01_XL_x0000__x0000_DePara11"/>
      <sheetName val="_손익기01_XL_x0000__x0000_DePara11"/>
      <sheetName val="_손익기01_XL_x0000__x06"/>
      <sheetName val="_x0000___x0000__x0000__x0005__x0000_㴐ኰ"/>
      <sheetName val="_x0000___x0000__x0000__x0005__x0000_움ᕕ"/>
      <sheetName val="_x005f_x005f_x005f_x0018__x005f"/>
      <sheetName val="F4-F7"/>
      <sheetName val="Supplement2"/>
      <sheetName val="CD-실적"/>
      <sheetName val="목차 "/>
      <sheetName val="0. 물류비집계 rev1"/>
      <sheetName val="0. 물류비 집계"/>
      <sheetName val="(1-2) 국내 구간별 운송 견적 1"/>
      <sheetName val="(1-1) 국내 구간별 운송 실적  (2)"/>
      <sheetName val="(1) 국내 사이트 상세 주소 "/>
      <sheetName val="수입 건수 정리"/>
      <sheetName val="(2-1) 수출 해상 (LCL) "/>
      <sheetName val="(2-2) 수출 항공 "/>
      <sheetName val="(2-4) 수출 내륙 운송료"/>
      <sheetName val="(3-1) 수입 해상 (FCL)"/>
      <sheetName val="(3-2) 수입 해상 (LCL) "/>
      <sheetName val="(3-3) 수입 항공 "/>
      <sheetName val="(3-5) 수입 내륙 운송료"/>
      <sheetName val="물류비"/>
      <sheetName val="운송내역 "/>
      <sheetName val="기본값"/>
      <sheetName val="운영경비 세부작성근거"/>
      <sheetName val="단기대여금"/>
      <sheetName val="장기대여금"/>
      <sheetName val="경영혁신본부"/>
      <sheetName val="MTP1"/>
      <sheetName val="anaysis_sheet"/>
      <sheetName val="토지조서(원본)"/>
      <sheetName val="주관사업"/>
      <sheetName val="4Q주석"/>
      <sheetName val="BS준비"/>
      <sheetName val="7 _2_"/>
      <sheetName val="ALL"/>
      <sheetName val="LIDE"/>
      <sheetName val="7__2_"/>
      <sheetName val="부서실적"/>
      <sheetName val="xSeries255"/>
      <sheetName val="매출_비용"/>
      <sheetName val="조립지적"/>
      <sheetName val="1st"/>
      <sheetName val="krsec08"/>
      <sheetName val="Report Setup"/>
      <sheetName val="마력및원가표"/>
      <sheetName val="지성학원"/>
      <sheetName val="손익합산"/>
      <sheetName val="특정현금과예금"/>
      <sheetName val="현금과예금"/>
      <sheetName val="OWNER-1 (2)"/>
      <sheetName val="Sheet7"/>
      <sheetName val="유예기간"/>
      <sheetName val="07수주상세"/>
      <sheetName val="생산대일정"/>
      <sheetName val="pre-inv"/>
      <sheetName val="보조부문비배부"/>
      <sheetName val="1월말"/>
      <sheetName val="고객만족도 향상"/>
      <sheetName val="ScraRework"/>
      <sheetName val="생산계획"/>
      <sheetName val="판매계획"/>
      <sheetName val="IS_KGAAP"/>
      <sheetName val="통일"/>
      <sheetName val="3-3"/>
      <sheetName val="산출데이타(a)"/>
      <sheetName val="02"/>
      <sheetName val="3"/>
      <sheetName val="4"/>
      <sheetName val="08"/>
      <sheetName val="월확9601"/>
      <sheetName val="가격조사서"/>
      <sheetName val="108.수선비"/>
      <sheetName val="7__2_1"/>
      <sheetName val="Report_Setup"/>
      <sheetName val="OWNER-1_(2)"/>
      <sheetName val="MethodB"/>
      <sheetName val="제조부문배부"/>
      <sheetName val="자재코드"/>
      <sheetName val="DX220LC_M-BOM"/>
      <sheetName val="MethodC"/>
      <sheetName val="S225NLC-V"/>
      <sheetName val="S300V-MBOM"/>
      <sheetName val="WELDING"/>
      <sheetName val="프로젝트_LIST"/>
      <sheetName val="공정불량LIST"/>
      <sheetName val="입고단가기준"/>
      <sheetName val="7__2_2"/>
      <sheetName val="Report_Setup1"/>
      <sheetName val="#1_Basic1"/>
      <sheetName val="OWNER-1_(2)1"/>
      <sheetName val="BS준비.XLS"/>
      <sheetName val="BS%EC%A4%80%EB%B9%84.XLS"/>
      <sheetName val="ITEM-LIST"/>
      <sheetName val="출자한도"/>
      <sheetName val="기초데이타"/>
      <sheetName val="품의"/>
      <sheetName val="동해title"/>
      <sheetName val="3210이연법인세"/>
      <sheetName val="0212"/>
      <sheetName val="comm"/>
      <sheetName val="리드"/>
      <sheetName val="CashFlow(중간집계)"/>
      <sheetName val="현재"/>
      <sheetName val="퇴직금추계(04.9.30)"/>
      <sheetName val="세율등"/>
      <sheetName val="1.경제설계"/>
      <sheetName val="해외생산"/>
      <sheetName val="경수97.02"/>
      <sheetName val="업무분장(현행)"/>
      <sheetName val="현금명세"/>
      <sheetName val="1995년 섹터별 매출"/>
      <sheetName val="현금및현금등가물"/>
      <sheetName val="GA"/>
      <sheetName val="서울(안)"/>
      <sheetName val="Lead"/>
      <sheetName val="Links"/>
      <sheetName val="실적분석"/>
      <sheetName val="SALE&amp;COST"/>
      <sheetName val="44-2Q 주석.xlsx"/>
      <sheetName val="고상실행"/>
      <sheetName val="MCS"/>
      <sheetName val="종합표"/>
      <sheetName val="팀_업체별 월기성실적"/>
      <sheetName val="팀_업체별 시공의뢰"/>
      <sheetName val="Discipline별"/>
      <sheetName val="수정추가"/>
      <sheetName val="호선별"/>
      <sheetName val="업체별_기능별"/>
      <sheetName val="참고용(시공)"/>
      <sheetName val="참고용(실적)"/>
      <sheetName val="월별인력"/>
      <sheetName val="손익계산서(전사)"/>
      <sheetName val="xxxxxx"/>
      <sheetName val="A(1)"/>
      <sheetName val="A (3)"/>
      <sheetName val="2공구산출내역"/>
      <sheetName val="회사제시BS"/>
      <sheetName val="대차대조"/>
      <sheetName val="DL08 DF 모드"/>
      <sheetName val="CRITERIA1"/>
      <sheetName val="CRITERIA2"/>
      <sheetName val="CRITERIA3"/>
      <sheetName val="재료비_매출원가"/>
      <sheetName val="견적구분"/>
      <sheetName val="99금액"/>
      <sheetName val="원지 수급가"/>
      <sheetName val="현금경비중역"/>
      <sheetName val="2.상각보정명세"/>
      <sheetName val="현금흐름Ⅰ"/>
      <sheetName val="Table_K7"/>
      <sheetName val="부재료입고집계"/>
      <sheetName val="YOEMAGUM"/>
      <sheetName val="다목적갑"/>
      <sheetName val="Warranty"/>
      <sheetName val="4b Consolidated PL"/>
      <sheetName val="C200"/>
      <sheetName val="TT List"/>
      <sheetName val="실행내역서 "/>
      <sheetName val="KEBHANA(평균환율)"/>
      <sheetName val="SAP 검증(평균환율)"/>
      <sheetName val="KEBHANA(월말환율)"/>
      <sheetName val="SAP 검증(월말환율)"/>
      <sheetName val="환율"/>
      <sheetName val="작성방법"/>
      <sheetName val="전분기말 정산표(PQE)"/>
      <sheetName val="전년동기 정산표"/>
      <sheetName val="전기말 정산표(PYE)"/>
      <sheetName val="당기말 정산표(CPE)"/>
      <sheetName val="회사명"/>
      <sheetName val="목차(Contents)"/>
      <sheetName val="연결정산표"/>
      <sheetName val="범주별"/>
      <sheetName val="A01-1"/>
      <sheetName val="A01-2"/>
      <sheetName val="A01-3"/>
      <sheetName val="A01-3 조정내역"/>
      <sheetName val="A01-3 단순합산"/>
      <sheetName val="현금등"/>
      <sheetName val="A02-1"/>
      <sheetName val="A02-2"/>
      <sheetName val="CF_refer"/>
      <sheetName val="매출채권 및 금융자산"/>
      <sheetName val="A03-1"/>
      <sheetName val="A03-2"/>
      <sheetName val="A03-3"/>
      <sheetName val="A03-3 연결조정"/>
      <sheetName val="A04-1"/>
      <sheetName val="A04-2"/>
      <sheetName val="A04-3"/>
      <sheetName val="A04-4"/>
      <sheetName val="재고"/>
      <sheetName val="A05"/>
      <sheetName val="기타자산"/>
      <sheetName val="A06"/>
      <sheetName val="유형자산"/>
      <sheetName val="A07"/>
      <sheetName val="A07. 유형자산 차기이월, 미실현"/>
      <sheetName val="A07. 유형자산 감가상각"/>
      <sheetName val="A08"/>
      <sheetName val="A08. 연결 조정"/>
      <sheetName val="A09"/>
      <sheetName val="A09. 연결 조정"/>
      <sheetName val="A10"/>
      <sheetName val="A11"/>
      <sheetName val="차입금(완)"/>
      <sheetName val="B01-1"/>
      <sheetName val="B01-2"/>
      <sheetName val="B01-3"/>
      <sheetName val="B01-4"/>
      <sheetName val="B02"/>
      <sheetName val="B03"/>
      <sheetName val="B01 연결 조정"/>
      <sheetName val="순확정급여부채"/>
      <sheetName val="B04"/>
      <sheetName val="B04-1"/>
      <sheetName val="B04 연결 조정"/>
      <sheetName val="충당,계약부채"/>
      <sheetName val="B05 연결 조정"/>
      <sheetName val="B06"/>
      <sheetName val="납입자본(연결자본변동표 참조 작성)"/>
      <sheetName val="이익잉여금(연결자본변동표 참조 작성)"/>
      <sheetName val="기타포괄손익누계액(연결자본변동표 참조 작성)"/>
      <sheetName val="C01(신)"/>
      <sheetName val="C01(구)"/>
      <sheetName val="C02"/>
      <sheetName val="비용의성격"/>
      <sheetName val="D01-1"/>
      <sheetName val="D01-2"/>
      <sheetName val="D01 연결 조정"/>
      <sheetName val="판관비기타금융"/>
      <sheetName val="D02"/>
      <sheetName val="E01"/>
      <sheetName val="E02"/>
      <sheetName val="F01"/>
      <sheetName val="주당손익(개별파일 작성)"/>
      <sheetName val="우발약정"/>
      <sheetName val="G01"/>
      <sheetName val="G02"/>
      <sheetName val="G03"/>
      <sheetName val="G04"/>
      <sheetName val="특관자"/>
      <sheetName val="H01"/>
      <sheetName val="H02"/>
      <sheetName val="H03"/>
      <sheetName val="H04"/>
      <sheetName val="H05"/>
      <sheetName val="H06"/>
      <sheetName val="위험관리"/>
      <sheetName val="I01"/>
      <sheetName val="I02"/>
      <sheetName val="I03"/>
      <sheetName val="I04-1"/>
      <sheetName val="I04-2(내부거래)"/>
      <sheetName val="I04-3(내부거래)"/>
      <sheetName val="I04-4(내부거래)"/>
      <sheetName val="I04-5(장기리스)"/>
      <sheetName val="I05"/>
      <sheetName val="I06"/>
      <sheetName val="J01"/>
      <sheetName val="J01-1"/>
      <sheetName val="K01"/>
      <sheetName val="K02"/>
      <sheetName val="K03"/>
      <sheetName val="K03-1"/>
      <sheetName val="K04"/>
      <sheetName val=" Drop"/>
      <sheetName val="직종부호"/>
      <sheetName val="Quantity"/>
      <sheetName val="97노임단가"/>
      <sheetName val="입력란"/>
      <sheetName val="자료입력"/>
      <sheetName val="단양 00 아파트-세부내역"/>
      <sheetName val="입찰내역"/>
      <sheetName val="물가정보"/>
      <sheetName val="정부노임"/>
      <sheetName val="OH_Cost경비(배부呸2닑"/>
      <sheetName val="수량이동"/>
      <sheetName val="L형옹벽"/>
      <sheetName val="Rate Analysis"/>
      <sheetName val="EE-PROP"/>
      <sheetName val="집계표(OPTION)"/>
      <sheetName val="일위"/>
      <sheetName val="DRUM"/>
      <sheetName val="제조원가_원단_x0000_ǻ_x0000_"/>
      <sheetName val="_x005f_x005f_x005f_x0018_"/>
      <sheetName val="돈암사업"/>
      <sheetName val="Salary(해외)"/>
      <sheetName val="database"/>
      <sheetName val="⑤항목별2"/>
      <sheetName val="산출기준(파견전산실)"/>
      <sheetName val="보빈규격"/>
      <sheetName val="Cash2"/>
      <sheetName val="Z"/>
      <sheetName val="SAP_Role"/>
      <sheetName val="cctr"/>
      <sheetName val="계정_H100"/>
      <sheetName val="계정_1000"/>
      <sheetName val="계정_7000"/>
      <sheetName val="계정_8000"/>
      <sheetName val="AP_H100"/>
      <sheetName val="AP_1000"/>
      <sheetName val="AP_7000"/>
      <sheetName val="AP_8000"/>
      <sheetName val="예산관리대장"/>
      <sheetName val="Xunit (단위환산)"/>
      <sheetName val="책임준비금"/>
      <sheetName val="@공통코드"/>
      <sheetName val="CIP"/>
      <sheetName val="입찰내역 Ĉ_x005f_x0000__x005f_x0000_ᇆ"/>
      <sheetName val="입찰내역 Ĉ_x005f_x0000__x005f_x0000_ᇆ"/>
      <sheetName val="_x005f_x005f_x005f_x005f_x005f_x005f_x005f_x0000__x005f"/>
      <sheetName val="기준정보"/>
      <sheetName val="본사공가현황"/>
      <sheetName val="_Cash_Flo_x0000__x0000__x0000__x0000__x0000_"/>
      <sheetName val="원형1호맨홀토공수량"/>
      <sheetName val="TTL"/>
      <sheetName val="6PILE__(돌출_x0000_"/>
      <sheetName val="통က"/>
      <sheetName val="제조원가_원단"/>
      <sheetName val="제조원가_원단_x0010_"/>
      <sheetName val="2014"/>
      <sheetName val="2018"/>
      <sheetName val="시공비2"/>
      <sheetName val="DOOR"/>
      <sheetName val="STEEL"/>
      <sheetName val="비교표"/>
      <sheetName val="예산표 "/>
      <sheetName val="시공비"/>
      <sheetName val="M-UP"/>
      <sheetName val="상주비"/>
      <sheetName val="특수"/>
      <sheetName val="GLASS"/>
      <sheetName val="GRANITE"/>
      <sheetName val="PAINT (2)"/>
      <sheetName val="VOLUMN"/>
      <sheetName val="물량표 (2)"/>
      <sheetName val="MOCK-UP"/>
      <sheetName val="제주환경순환센터"/>
      <sheetName val="G2설비도급"/>
      <sheetName val="기준표"/>
      <sheetName val="총괄표_전체"/>
      <sheetName val="총괄표_기본"/>
      <sheetName val="총괄표_확장"/>
      <sheetName val="PAD_TR보호대기초3"/>
      <sheetName val="1__시공측량3"/>
      <sheetName val="근거_및_가정3"/>
      <sheetName val="설산1_나3"/>
      <sheetName val="1_차입금3"/>
      <sheetName val="수종별수량_(2)3"/>
      <sheetName val="납부내역총괄표_(수정)3"/>
      <sheetName val="부대시행1_(2)3"/>
      <sheetName val="3_6_2남양주택배3"/>
      <sheetName val="Weekly_Progress(계장)3"/>
      <sheetName val="입찰내역_Ĉ1"/>
      <sheetName val="1_수인터널1"/>
      <sheetName val="NCR_HEC_6_Opens"/>
      <sheetName val="NCR_HEC_4_Open_&amp;_Vendor_2_Opens"/>
      <sheetName val="JT3_0견적-구1"/>
      <sheetName val="방배동내역_(총괄)"/>
      <sheetName val="신우"/>
      <sheetName val="96보완계획7.12"/>
      <sheetName val="연간점유"/>
      <sheetName val="업무계획1"/>
      <sheetName val="금액집계(리포트)"/>
      <sheetName val="영업보증금"/>
      <sheetName val="HERO01"/>
      <sheetName val="인건비"/>
      <sheetName val="04_4월말_합병시_지분변동차액"/>
      <sheetName val="2007"/>
      <sheetName val="GL"/>
      <sheetName val="2003FX"/>
      <sheetName val="SS215065"/>
      <sheetName val="3_ReasonCode"/>
      <sheetName val="_손익기01.XL_x005f_x0000__x005f_x005f_x0"/>
      <sheetName val="pp"/>
      <sheetName val="YTD_Summary20"/>
      <sheetName val="Month_Summary20"/>
      <sheetName val="Trial_Balance_MAY_200920"/>
      <sheetName val="TB_Pivot20"/>
      <sheetName val="total_per_LB_LB220"/>
      <sheetName val="Trial_Balance_Vlookup20"/>
      <sheetName val="Trial_Balance_APRIL_200920"/>
      <sheetName val="TO_Data_Base21"/>
      <sheetName val="Roll_Out_AQ20"/>
      <sheetName val="Evolução_mandamentos20"/>
      <sheetName val="Planilha_resultados19"/>
      <sheetName val="Historico_200319"/>
      <sheetName val="Sig_Cycles_Accts_&amp;_Processes19"/>
      <sheetName val="Fixed_ZBB13"/>
      <sheetName val="3_ISo_YTD13"/>
      <sheetName val="E_法规NC13"/>
      <sheetName val="Données_LMU13"/>
      <sheetName val="Brazil_Sovereign13"/>
      <sheetName val="Resumen_Costo13"/>
      <sheetName val="Extract_Loss13"/>
      <sheetName val="QA_跟踪记录表13"/>
      <sheetName val="5_113"/>
      <sheetName val="Como_Estamos13"/>
      <sheetName val="Base_de_Dados13"/>
      <sheetName val="RG_Depots13"/>
      <sheetName val="material_data13"/>
      <sheetName val="other_data13"/>
      <sheetName val="Database_(RUR)Mar_YTD13"/>
      <sheetName val="SKU_Mapping13"/>
      <sheetName val="Drop_Down13"/>
      <sheetName val="Raw_Data13"/>
      <sheetName val="EBM-2_GHQ13"/>
      <sheetName val="Base_PEF14"/>
      <sheetName val="Testing_Template_Guidance13"/>
      <sheetName val="Test_Programs13"/>
      <sheetName val="Controls_data15"/>
      <sheetName val="Dados_BLP13"/>
      <sheetName val="ARdistr_(2)13"/>
      <sheetName val="FJJX_Bud_IB12"/>
      <sheetName val="look-up_data12"/>
      <sheetName val="Prd_Hierarchy(产品层级)12"/>
      <sheetName val="Com_(2PK)12"/>
      <sheetName val="JOB_PROFILE_-_LAS13"/>
      <sheetName val="요일_테이블13"/>
      <sheetName val="요일_테이블_(2)12"/>
      <sheetName val="Prd_Hierarchy(产品层次)12"/>
      <sheetName val="Project_Code12"/>
      <sheetName val="전사_PL14"/>
      <sheetName val="자금_제외_PL14"/>
      <sheetName val="자금_PL14"/>
      <sheetName val="전사_BS14"/>
      <sheetName val="자금_제외_BS14"/>
      <sheetName val="자금_BS14"/>
      <sheetName val="BS_계정_설명14"/>
      <sheetName val="_Cash_Flow(전사)14"/>
      <sheetName val="_Cash_Flow(자금제외)14"/>
      <sheetName val="_Cash_Flow(자금)14"/>
      <sheetName val="ROIC_14"/>
      <sheetName val="인건비_명세14"/>
      <sheetName val="판관비_명세14"/>
      <sheetName val="OH_Cost경비(내역)14"/>
      <sheetName val="OH_Cost경비(배부기준)14"/>
      <sheetName val="기타수지&amp;특별손익_명세14"/>
      <sheetName val="업무연락_(2)13"/>
      <sheetName val="제시_손익계산서13"/>
      <sheetName val="01_02월_성과급14"/>
      <sheetName val="M_7회차_담금_계획13"/>
      <sheetName val="팀별_실적13"/>
      <sheetName val="팀별_실적_(환산)13"/>
      <sheetName val="4__Inj_투자상세내역13"/>
      <sheetName val="3__Blow_투자_상세내역13"/>
      <sheetName val="Process_List13"/>
      <sheetName val="7_(2)13"/>
      <sheetName val="_손익기01_XL12"/>
      <sheetName val="Income_Stmt12"/>
      <sheetName val="drop_down_list12"/>
      <sheetName val="Figures_Report11"/>
      <sheetName val="[손익기01_XL_x005f_x0000__x005f_x0000_DePara12"/>
      <sheetName val="Quarterly_LBO_Model12"/>
      <sheetName val="[손익기01_XL12"/>
      <sheetName val="_손익기01_XL_x005f_x0000__x005f_x0000_DePara12"/>
      <sheetName val="15년_BL_사계12"/>
      <sheetName val="1_종합손익(도급)12"/>
      <sheetName val="1_종합손익(주택,개발)12"/>
      <sheetName val="2_실행예산12"/>
      <sheetName val="2_2과부족12"/>
      <sheetName val="2_3원가절감12"/>
      <sheetName val="8_외주비집행현황12"/>
      <sheetName val="9_자재비12"/>
      <sheetName val="10_현장집행12"/>
      <sheetName val="3_추가원가12"/>
      <sheetName val="3_추가원가_(2)12"/>
      <sheetName val="4_사전공사12"/>
      <sheetName val="5_추정공사비12"/>
      <sheetName val="6_금융비용12"/>
      <sheetName val="7_공사비집행현황(총괄)12"/>
      <sheetName val="11_1생산성12"/>
      <sheetName val="11_2인원산출12"/>
      <sheetName val="Classification_分类11"/>
      <sheetName val="Set_Up12"/>
      <sheetName val="Fare_prices11"/>
      <sheetName val="Hotel_prices11"/>
      <sheetName val="tab_STATUS_DO_PROCESSO_11"/>
      <sheetName val="Perf__Plan__Diário111"/>
      <sheetName val="In_(2)11"/>
      <sheetName val="__한국_AMP_ASP-23_판매가격__11"/>
      <sheetName val="CC_Down_load_071611"/>
      <sheetName val="변경실행(2차)_11"/>
      <sheetName val="나_출고11"/>
      <sheetName val="나_입고11"/>
      <sheetName val="09년_인건비(속리산)11"/>
      <sheetName val="합산목표(감가+57_5)11"/>
      <sheetName val="제조원가_원단위_분석11"/>
      <sheetName val="종합표양식(품의_&amp;_입고)_211"/>
      <sheetName val="원가관리_(동월대비)11"/>
      <sheetName val="b_balju_(2)11"/>
      <sheetName val="2-2_매출분석11"/>
      <sheetName val="몰드시스템_리스트11"/>
      <sheetName val="11_외화채무증권(AFS,HTM)0811"/>
      <sheetName val="13_감액TEST_0811"/>
      <sheetName val="12년_CF(9월)11"/>
      <sheetName val="중기조종사_단위단가11"/>
      <sheetName val="6PILE__(돌출)11"/>
      <sheetName val="기성청구_공문11"/>
      <sheetName val="Sheet1_(2)11"/>
      <sheetName val="CLASIFICACION_DE_AI11"/>
      <sheetName val="Base_da_Datos11"/>
      <sheetName val="slide_24_cat_A11"/>
      <sheetName val="slide_82_cat_b11"/>
      <sheetName val="Dados_dos_Produtos11"/>
      <sheetName val="09~10년_매출계획11"/>
      <sheetName val="1_MDF1공장11"/>
      <sheetName val="Incident_유형구분표11"/>
      <sheetName val="3YP2016-Bottom_up10"/>
      <sheetName val="DD_list11"/>
      <sheetName val="Base_de_Datos10"/>
      <sheetName val="2_카드채권(대출포함)10"/>
      <sheetName val="表21_净利润调节表10"/>
      <sheetName val="MASTER_APP10"/>
      <sheetName val="Cond__Inseguros10"/>
      <sheetName val="Comp__Inseguros10"/>
      <sheetName val="Lista_de_datos10"/>
      <sheetName val="Supply_Cost_Centers10"/>
      <sheetName val="Clasif_10"/>
      <sheetName val="Farol_Acciones10"/>
      <sheetName val="Lista_de_Entrenamientos10"/>
      <sheetName val="Unidades_SAC-REVENDA11"/>
      <sheetName val="FornecM_Check9"/>
      <sheetName val="Lista_CI10"/>
      <sheetName val="Estratificación_AI9"/>
      <sheetName val="condicion_inseguras9"/>
      <sheetName val="Actos_Inseguros9"/>
      <sheetName val="Control_de_incidentes9"/>
      <sheetName val="Plan_de_Acción9"/>
      <sheetName val="_DD_List10"/>
      <sheetName val="Share_Price_200210"/>
      <sheetName val="BEP_加薪_KPI9"/>
      <sheetName val="F08_-_Asia_Pac_Full_Year_Q310"/>
      <sheetName val="Top_Priorities10"/>
      <sheetName val="Listco_Stock10"/>
      <sheetName val="Intl_Purchase10"/>
      <sheetName val="FY_outlook10"/>
      <sheetName val="CY_outlook10"/>
      <sheetName val="Cash_metrics10"/>
      <sheetName val="P6_710"/>
      <sheetName val="DATOS_BASE9"/>
      <sheetName val="Issues_List_Payments9"/>
      <sheetName val="Faro_de_Indicadores9"/>
      <sheetName val="TOP_KPIs_MTM9"/>
      <sheetName val="PLAN_DE_ACCION9"/>
      <sheetName val="Grafica_Actos9"/>
      <sheetName val="POC_LIST9"/>
      <sheetName val="Dashboard_Prevención_Riesgos_9"/>
      <sheetName val="APAC_S9"/>
      <sheetName val="APAC_N9"/>
      <sheetName val="Slide_output9"/>
      <sheetName val="do_not_delete9"/>
      <sheetName val="[손익기01_XL??DePara9"/>
      <sheetName val="Farol_Metas9"/>
      <sheetName val="Mod_Relac_9"/>
      <sheetName val="Condiciones_SyE9"/>
      <sheetName val="REALxMETA_-_CERVEJA11"/>
      <sheetName val="REALxMETA_-_REFRI11"/>
      <sheetName val="Directrices_de_Metas_20179"/>
      <sheetName val="DETALLE_MENSUAL9"/>
      <sheetName val="Entity_Target9"/>
      <sheetName val="VALIDACION_DE_DATOS8"/>
      <sheetName val="_손익기01_XL_x005f_x005f_x005f_x0000__x005f_x005f_x9"/>
      <sheetName val="Hazards_Analysis-隐患分析9"/>
      <sheetName val="97_사업추정(WEKI)9"/>
      <sheetName val="Tong_hop9"/>
      <sheetName val="95_1_1이후취득자산(숨기기상태)9"/>
      <sheetName val="sum1_(2)9"/>
      <sheetName val="3_바닥판설계9"/>
      <sheetName val="6월_공정외주9"/>
      <sheetName val="2_대외공문9"/>
      <sheetName val="2_총괄표9"/>
      <sheetName val="입출재고현황_(2)9"/>
      <sheetName val="504전기실_동부하-L9"/>
      <sheetName val="OUTER_AREA(겹침없음)9"/>
      <sheetName val="EL_표면적9"/>
      <sheetName val="TRE_TABLE9"/>
      <sheetName val="입찰내역_발주처_양식9"/>
      <sheetName val="Data_validation9"/>
      <sheetName val="turnover_reason퇴직사유9"/>
      <sheetName val="SKU_Basic_Data9"/>
      <sheetName val="Jul-Sep_Actual_cost_(2)8"/>
      <sheetName val="Drop-down_List8"/>
      <sheetName val="by_DD8"/>
      <sheetName val="Check_Qualidade7"/>
      <sheetName val="Check_Aderencia7"/>
      <sheetName val="De_Para8"/>
      <sheetName val="Base_Farol7"/>
      <sheetName val="Gerencial_IL7"/>
      <sheetName val="Ventas_Campo7"/>
      <sheetName val="ACTOS_POR_RIESGO7"/>
      <sheetName val="drop_lists7"/>
      <sheetName val="MRL_NON_SUPPLY_URU7"/>
      <sheetName val="AIIM_-_Empresas_Ext_20127"/>
      <sheetName val="KPIs_Hana7"/>
      <sheetName val="Catalago_de_refacciones_7"/>
      <sheetName val="Existencias_al_07-Nov-20127"/>
      <sheetName val="Check_GG7"/>
      <sheetName val="Nombre_de_SOP7"/>
      <sheetName val="Ta_7"/>
      <sheetName val="2__Indicadores7"/>
      <sheetName val="부재료_비교(11년_vs_10년)7"/>
      <sheetName val="_손익기01_XL_x005f_x0000__x07"/>
      <sheetName val="_mngt_Pillar7"/>
      <sheetName val="Sheet3_(2)7"/>
      <sheetName val="Lista_de_Entrenamientos_RSO7"/>
      <sheetName val="Tablero_SDG10"/>
      <sheetName val="Lista_Areas10"/>
      <sheetName val="One_Page10"/>
      <sheetName val="Sub-Productos_HN8"/>
      <sheetName val="Eficiencia_linea7"/>
      <sheetName val="요일_테이블_7"/>
      <sheetName val="Sheet2_(2)7"/>
      <sheetName val="Lao_&amp;_Cam7"/>
      <sheetName val="Hoegaarden_20197"/>
      <sheetName val="Lao_&amp;_Cam_20197"/>
      <sheetName val="Malaysia_20197"/>
      <sheetName val="Singapore_20197"/>
      <sheetName val="Other_Listings7"/>
      <sheetName val="Pauta_RPS_Distribuição6"/>
      <sheetName val="Estoque_(2)6"/>
      <sheetName val="Comp_Inseguros6"/>
      <sheetName val="BNR_2012_в_ящике6"/>
      <sheetName val="DATOS_DE_VALIDACIÓN6"/>
      <sheetName val="Datos_con6"/>
      <sheetName val="_Datos_Cond_6"/>
      <sheetName val="DO_NOT_MOVE6"/>
      <sheetName val="INGRESO_(2)6"/>
      <sheetName val="PG-K1610_(UEN_Areas)MNG6"/>
      <sheetName val="DATOS_GEN_6"/>
      <sheetName val="NUEVOS_CRITERIOS6"/>
      <sheetName val="Condiciones_Agua6"/>
      <sheetName val="Dropdown_list5"/>
      <sheetName val="__한국_AMP_ASP-23_판㧤가격__5"/>
      <sheetName val="11_䡸화채무줝ⴌ(AFS,HTM)085"/>
      <sheetName val="Drop_list5"/>
      <sheetName val="FX_Rates5"/>
      <sheetName val="Vagas_x_Candidatos5"/>
      <sheetName val="Proced_5"/>
      <sheetName val="Cut_Machine_Summary5"/>
      <sheetName val="Control_de_Fallas5"/>
      <sheetName val="Setup_for_Templates5"/>
      <sheetName val="Datos_emp5"/>
      <sheetName val="Validation_lists5"/>
      <sheetName val="TIPO_DE_ACTO5"/>
      <sheetName val="CRITICIDAD_DE_CI5"/>
      <sheetName val="Catálogo_de_CI5"/>
      <sheetName val="%_CUMPLIMIENTO5"/>
      <sheetName val="%_cumplimiento_5"/>
      <sheetName val="CALIFICACIONES_20193"/>
      <sheetName val="Lev_4_360_deg_check_Crit_Task3"/>
      <sheetName val="Lev_4_Chk_IC_Stock_Crit_Task3"/>
      <sheetName val="Lev_4_WMS_Putaway_Crit_Task3"/>
      <sheetName val="Listas_y_equipos_a_evaluar5"/>
      <sheetName val="Data_Reporte5"/>
      <sheetName val="Read_me5"/>
      <sheetName val="NAZ_Strategy3"/>
      <sheetName val="Champions_List4"/>
      <sheetName val="Daily_Dashboard5"/>
      <sheetName val="Mapeo_SKUs5"/>
      <sheetName val="Vol_(Ds)5"/>
      <sheetName val="Vol_(Ka)5"/>
      <sheetName val="Vol_(Oth)5"/>
      <sheetName val="Vol_(Oth)_Cortesias5"/>
      <sheetName val="INPUT-Cust_Sugg_Margin(Ds)5"/>
      <sheetName val="On_Invoice5"/>
      <sheetName val="INPUT-Cust_Sugg_Margin(Ka)5"/>
      <sheetName val="INPUT_SKUs5"/>
      <sheetName val="Brand_P&amp;L3"/>
      <sheetName val="SUPERMONT_P3"/>
      <sheetName val="Data_selection3"/>
      <sheetName val="1_3"/>
      <sheetName val="Customer_&amp;_SO3"/>
      <sheetName val="Session_Proposal3"/>
      <sheetName val="Análise_Tempos2"/>
      <sheetName val="Validação_de_Dados2"/>
      <sheetName val="No_llenar_2"/>
      <sheetName val="PDA_BOP2"/>
      <sheetName val="Incentivo_Automóvil2"/>
      <sheetName val="PROCESS_MD2"/>
      <sheetName val="Lista_de_Motivos2"/>
      <sheetName val="Ponto_Crítico_-_Resp__Plano2"/>
      <sheetName val="Lista_Funcionários_(2)2"/>
      <sheetName val="PAINEL_RECOLHA_CRÉDITO2"/>
      <sheetName val="Gráficos_-_CDD2"/>
      <sheetName val="Dropdown_Menu1"/>
      <sheetName val="Project_List1"/>
      <sheetName val="Выпадающие_списки1"/>
      <sheetName val="SOP_Freshness"/>
      <sheetName val="Dimension_IN_Sheet1!D1912"/>
      <sheetName val="Dimension_IN_1912"/>
      <sheetName val="Admin"/>
      <sheetName val="DHEQSUPT"/>
      <sheetName val="CAL1"/>
      <sheetName val="7_공사비집_x0000_跇˜_x0000__x0000__x0000_Ā_x0000_"/>
      <sheetName val="PH_5"/>
      <sheetName val="bar_chart-rev"/>
      <sheetName val="1_설계조건"/>
      <sheetName val="수량산출서_(2)"/>
      <sheetName val="노원열병합__건축공사기성내역서"/>
      <sheetName val="Investment_Category"/>
      <sheetName val="유류대_현황1"/>
      <sheetName val="1__템플릿1"/>
      <sheetName val="2__작성_참고사항1"/>
      <sheetName val="mapping_(2)1"/>
      <sheetName val="Ref_1"/>
      <sheetName val="2_3_Projects_Status1"/>
      <sheetName val="Consolidated_Project_List1"/>
      <sheetName val="Fixed_Cost1"/>
      <sheetName val="Listas_desplegables1"/>
      <sheetName val="Resumen_General1"/>
      <sheetName val="Cátalogo_de_CI1"/>
      <sheetName val="Hoja2_(2)1"/>
      <sheetName val="Technology_check_list1"/>
      <sheetName val="Status_de_Usuario1"/>
      <sheetName val="Actos_y_Condiciones_1"/>
      <sheetName val="NO_BORRAR1"/>
      <sheetName val="Formato_checklist_Lab1"/>
      <sheetName val="3__Training_&amp;_travel"/>
      <sheetName val="Manage_to_Sustain"/>
      <sheetName val="Meeting_List"/>
      <sheetName val="Packages_Info"/>
      <sheetName val="Preferred_Option"/>
      <sheetName val="입문_트랜드(종합분석)"/>
      <sheetName val="Master_CE"/>
      <sheetName val="CE_Final_"/>
      <sheetName val="OL_LIST"/>
      <sheetName val="YTD_GUEST_LIST"/>
      <sheetName val="Session_Full_list"/>
      <sheetName val="FOOD_PAYMENT_update_JAN"/>
      <sheetName val="Rate_card_F19_"/>
      <sheetName val="Master_Plan__(update)"/>
      <sheetName val="The_KPI_"/>
      <sheetName val="Mentor_Plan_"/>
      <sheetName val="Master_Plan_"/>
      <sheetName val="Tier_1_GOV_PC_Networking_"/>
      <sheetName val="Tier_1_LBO_"/>
      <sheetName val="2020_MMR12"/>
      <sheetName val="Razão_Social"/>
      <sheetName val="2_FM_Fee_2차년도"/>
      <sheetName val="3_감가장비"/>
      <sheetName val="B"/>
      <sheetName val="member design"/>
      <sheetName val="design criteria"/>
      <sheetName val="working load at the btm ft."/>
      <sheetName val="plan&amp;section of foundation"/>
      <sheetName val="1) MALL"/>
      <sheetName val="SRS_월별_BS1"/>
      <sheetName val="평가&amp;선급_미지급1"/>
      <sheetName val="EXC_IND"/>
      <sheetName val="COLOR별_인쇄"/>
      <sheetName val="Mot_So_Thuat_Ngu_EN-VI1"/>
      <sheetName val="참고(3)고정비"/>
      <sheetName val="Requirement(Work Crew)"/>
      <sheetName val="매출내역"/>
      <sheetName val="Name"/>
      <sheetName val="가설전기별첨"/>
      <sheetName val="KPIs- TTP, PTP, People Turnover"/>
      <sheetName val="部门"/>
      <sheetName val="1월 목표"/>
      <sheetName val="FILIAL MINAS"/>
      <sheetName val="info for drop box"/>
      <sheetName val="_손익기01_XL_x005f_x0000__x7"/>
      <sheetName val="POCM 배송지"/>
      <sheetName val="IT_CHNG_01-K"/>
      <sheetName val="IPE"/>
      <sheetName val="GBP_BODS"/>
      <sheetName val="GFP_CFIN"/>
      <sheetName val="GDP_MDG"/>
      <sheetName val="GUP_SLT"/>
      <sheetName val="GAP_SOL"/>
      <sheetName val="GXP_PO"/>
      <sheetName val="%_Automation_Analysis_Business"/>
      <sheetName val="Curvas"/>
      <sheetName val="BD_Geral"/>
      <sheetName val="Produtos_e_Custos1"/>
      <sheetName val="EE"/>
      <sheetName val="BD_-_Realizado1"/>
      <sheetName val="Cadastro_de_Veículos1"/>
      <sheetName val="Sispec"/>
      <sheetName val="公式页面"/>
      <sheetName val="CC"/>
      <sheetName val="데이터 유효성 목록"/>
      <sheetName val="Mapping "/>
      <sheetName val="WS DB"/>
      <sheetName val="Region "/>
      <sheetName val="SKU DB"/>
      <sheetName val="SKU信息"/>
      <sheetName val="销售项费用项"/>
      <sheetName val="陈列描述"/>
      <sheetName val="大组压仓"/>
      <sheetName val="CPR用Rate&amp;Mix"/>
      <sheetName val="Pivot"/>
      <sheetName val="TO_Data_Base22"/>
      <sheetName val="YTD_Summary21"/>
      <sheetName val="Month_Summary21"/>
      <sheetName val="Trial_Balance_MAY_200921"/>
      <sheetName val="TB_Pivot21"/>
      <sheetName val="total_per_LB_LB221"/>
      <sheetName val="Trial_Balance_Vlookup21"/>
      <sheetName val="Trial_Balance_APRIL_200921"/>
      <sheetName val="Roll_Out_AQ21"/>
      <sheetName val="Evolução_mandamentos21"/>
      <sheetName val="Planilha_resultados20"/>
      <sheetName val="Historico_200320"/>
      <sheetName val="Sig_Cycles_Accts_&amp;_Processes20"/>
      <sheetName val="Fixed_ZBB14"/>
      <sheetName val="E_法规NC14"/>
      <sheetName val="3_ISo_YTD14"/>
      <sheetName val="Données_LMU14"/>
      <sheetName val="Brazil_Sovereign14"/>
      <sheetName val="Resumen_Costo14"/>
      <sheetName val="Extract_Loss14"/>
      <sheetName val="QA_跟踪记录表14"/>
      <sheetName val="5_114"/>
      <sheetName val="Base_de_Dados14"/>
      <sheetName val="Como_Estamos14"/>
      <sheetName val="Controls_data16"/>
      <sheetName val="RG_Depots14"/>
      <sheetName val="material_data14"/>
      <sheetName val="other_data14"/>
      <sheetName val="Database_(RUR)Mar_YTD14"/>
      <sheetName val="SKU_Mapping14"/>
      <sheetName val="Drop_Down14"/>
      <sheetName val="Raw_Data14"/>
      <sheetName val="EBM-2_GHQ14"/>
      <sheetName val="Base_PEF15"/>
      <sheetName val="Testing_Template_Guidance14"/>
      <sheetName val="Test_Programs14"/>
      <sheetName val="Dados_BLP14"/>
      <sheetName val="FJJX_Bud_IB13"/>
      <sheetName val="JOB_PROFILE_-_LAS14"/>
      <sheetName val="ARdistr_(2)14"/>
      <sheetName val="look-up_data13"/>
      <sheetName val="Prd_Hierarchy(产品层级)13"/>
      <sheetName val="Com_(2PK)13"/>
      <sheetName val="Project_Code13"/>
      <sheetName val="요일_테이블14"/>
      <sheetName val="요일_테이블_(2)13"/>
      <sheetName val="Prd_Hierarchy(产品层次)13"/>
      <sheetName val="전사_PL15"/>
      <sheetName val="자금_제외_PL15"/>
      <sheetName val="자금_PL15"/>
      <sheetName val="전사_BS15"/>
      <sheetName val="자금_제외_BS15"/>
      <sheetName val="자금_BS15"/>
      <sheetName val="BS_계정_설명15"/>
      <sheetName val="_Cash_Flow(전사)15"/>
      <sheetName val="_Cash_Flow(자금제외)15"/>
      <sheetName val="_Cash_Flow(자금)15"/>
      <sheetName val="ROIC_15"/>
      <sheetName val="인건비_명세15"/>
      <sheetName val="판관비_명세15"/>
      <sheetName val="OH_Cost경비(내역)15"/>
      <sheetName val="OH_Cost경비(배부기준)15"/>
      <sheetName val="기타수지&amp;특별손익_명세15"/>
      <sheetName val="업무연락_(2)14"/>
      <sheetName val="제시_손익계산서14"/>
      <sheetName val="01_02월_성과급15"/>
      <sheetName val="M_7회차_담금_계획14"/>
      <sheetName val="팀별_실적14"/>
      <sheetName val="팀별_실적_(환산)14"/>
      <sheetName val="4__Inj_투자상세내역14"/>
      <sheetName val="3__Blow_투자_상세내역14"/>
      <sheetName val="Process_List14"/>
      <sheetName val="7_(2)14"/>
      <sheetName val="_손익기01_XL13"/>
      <sheetName val="Income_Stmt13"/>
      <sheetName val="drop_down_list13"/>
      <sheetName val="[손익기01_XL_x005f_x0000__x005f_x0000_DePara13"/>
      <sheetName val="Quarterly_LBO_Model13"/>
      <sheetName val="Figures_Report12"/>
      <sheetName val="[손익기01_XL13"/>
      <sheetName val="_손익기01_XL_x005f_x0000__x005f_x0000_DePara13"/>
      <sheetName val="Fare_prices12"/>
      <sheetName val="Hotel_prices12"/>
      <sheetName val="Set_Up13"/>
      <sheetName val="15년_BL_사계13"/>
      <sheetName val="1_종합손익(도급)13"/>
      <sheetName val="1_종합손익(주택,개발)13"/>
      <sheetName val="2_실행예산13"/>
      <sheetName val="2_2과부족13"/>
      <sheetName val="2_3원가절감13"/>
      <sheetName val="8_외주비집행현황13"/>
      <sheetName val="9_자재비13"/>
      <sheetName val="10_현장집행13"/>
      <sheetName val="3_추가원가13"/>
      <sheetName val="3_추가원가_(2)13"/>
      <sheetName val="4_사전공사13"/>
      <sheetName val="5_추정공사비13"/>
      <sheetName val="6_금융비용13"/>
      <sheetName val="7_공사비집행현황(총괄)13"/>
      <sheetName val="11_1생산성13"/>
      <sheetName val="11_2인원산출13"/>
      <sheetName val="Classification_分类12"/>
      <sheetName val="tab_STATUS_DO_PROCESSO_12"/>
      <sheetName val="Perf__Plan__Diário112"/>
      <sheetName val="In_(2)12"/>
      <sheetName val="__한국_AMP_ASP-23_판매가격__12"/>
      <sheetName val="CC_Down_load_071612"/>
      <sheetName val="변경실행(2차)_12"/>
      <sheetName val="나_출고12"/>
      <sheetName val="나_입고12"/>
      <sheetName val="09년_인건비(속리산)12"/>
      <sheetName val="합산목표(감가+57_5)12"/>
      <sheetName val="제조원가_원단위_분석12"/>
      <sheetName val="종합표양식(품의_&amp;_입고)_212"/>
      <sheetName val="원가관리_(동월대비)12"/>
      <sheetName val="b_balju_(2)12"/>
      <sheetName val="2-2_매출분석12"/>
      <sheetName val="몰드시스템_리스트12"/>
      <sheetName val="11_외화채무증권(AFS,HTM)0812"/>
      <sheetName val="13_감액TEST_0812"/>
      <sheetName val="12년_CF(9월)12"/>
      <sheetName val="중기조종사_단위단가12"/>
      <sheetName val="6PILE__(돌출)12"/>
      <sheetName val="기성청구_공문12"/>
      <sheetName val="Sheet1_(2)12"/>
      <sheetName val="CLASIFICACION_DE_AI12"/>
      <sheetName val="Base_da_Datos12"/>
      <sheetName val="slide_24_cat_A12"/>
      <sheetName val="slide_82_cat_b12"/>
      <sheetName val="Dados_dos_Produtos12"/>
      <sheetName val="09~10년_매출계획12"/>
      <sheetName val="1_MDF1공장12"/>
      <sheetName val="Incident_유형구분표12"/>
      <sheetName val="3YP2016-Bottom_up11"/>
      <sheetName val="DD_list12"/>
      <sheetName val="Base_de_Datos11"/>
      <sheetName val="Clasif_11"/>
      <sheetName val="Supply_Cost_Centers11"/>
      <sheetName val="Cond__Inseguros11"/>
      <sheetName val="Comp__Inseguros11"/>
      <sheetName val="Lista_de_datos11"/>
      <sheetName val="MASTER_APP11"/>
      <sheetName val="2_카드채권(대출포함)11"/>
      <sheetName val="表21_净利润调节表11"/>
      <sheetName val="Lista_CI11"/>
      <sheetName val="Dashboard_Prevención_Riesgos_10"/>
      <sheetName val="TOP_KPIs_MTM10"/>
      <sheetName val="PLAN_DE_ACCION10"/>
      <sheetName val="Faro_de_Indicadores10"/>
      <sheetName val="Farol_Acciones11"/>
      <sheetName val="Lista_de_Entrenamientos11"/>
      <sheetName val="Unidades_SAC-REVENDA12"/>
      <sheetName val="FornecM_Check10"/>
      <sheetName val="Share_Price_200211"/>
      <sheetName val="_DD_List11"/>
      <sheetName val="BEP_加薪_KPI10"/>
      <sheetName val="Estratificación_AI10"/>
      <sheetName val="condicion_inseguras10"/>
      <sheetName val="Actos_Inseguros10"/>
      <sheetName val="Control_de_incidentes10"/>
      <sheetName val="Plan_de_Acción10"/>
      <sheetName val="Issues_List_Payments10"/>
      <sheetName val="do_not_delete10"/>
      <sheetName val="Grafica_Actos10"/>
      <sheetName val="APAC_S10"/>
      <sheetName val="APAC_N10"/>
      <sheetName val="Slide_output10"/>
      <sheetName val="[손익기01_XL??DePara10"/>
      <sheetName val="Farol_Metas10"/>
      <sheetName val="Mod_Relac_10"/>
      <sheetName val="Condiciones_SyE10"/>
      <sheetName val="REALxMETA_-_CERVEJA12"/>
      <sheetName val="REALxMETA_-_REFRI12"/>
      <sheetName val="Directrices_de_Metas_201710"/>
      <sheetName val="Data_validation10"/>
      <sheetName val="_손익기01_XL_x005f_x005f_x005f_x0000__x005f_x005f_10"/>
      <sheetName val="Hazards_Analysis-隐患分析10"/>
      <sheetName val="F08_-_Asia_Pac_Full_Year_Q311"/>
      <sheetName val="Top_Priorities11"/>
      <sheetName val="Listco_Stock11"/>
      <sheetName val="Intl_Purchase11"/>
      <sheetName val="FY_outlook11"/>
      <sheetName val="CY_outlook11"/>
      <sheetName val="Cash_metrics11"/>
      <sheetName val="P6_711"/>
      <sheetName val="DATOS_BASE10"/>
      <sheetName val="97_사업추정(WEKI)10"/>
      <sheetName val="Tong_hop10"/>
      <sheetName val="95_1_1이후취득자산(숨기기상태)10"/>
      <sheetName val="sum1_(2)10"/>
      <sheetName val="3_바닥판설계10"/>
      <sheetName val="6월_공정외주10"/>
      <sheetName val="2_대외공문10"/>
      <sheetName val="2_총괄표10"/>
      <sheetName val="입출재고현황_(2)10"/>
      <sheetName val="504전기실_동부하-L10"/>
      <sheetName val="OUTER_AREA(겹침없음)10"/>
      <sheetName val="EL_표면적10"/>
      <sheetName val="TRE_TABLE10"/>
      <sheetName val="입찰내역_발주처_양식10"/>
      <sheetName val="POC_LIST10"/>
      <sheetName val="turnover_reason퇴직사유10"/>
      <sheetName val="SKU_Basic_Data10"/>
      <sheetName val="Entity_Target10"/>
      <sheetName val="DETALLE_MENSUAL10"/>
      <sheetName val="Drop-down_List9"/>
      <sheetName val="by_DD9"/>
      <sheetName val="VALIDACION_DE_DATOS9"/>
      <sheetName val="Jul-Sep_Actual_cost_(2)9"/>
      <sheetName val="Check_Qualidade8"/>
      <sheetName val="De_Para9"/>
      <sheetName val="Check_Aderencia8"/>
      <sheetName val="_손익기01_XL_x005f_x0000__x08"/>
      <sheetName val="부재료_비교(11년_vs_10년)8"/>
      <sheetName val="Base_Farol8"/>
      <sheetName val="Gerencial_IL8"/>
      <sheetName val="Ventas_Campo8"/>
      <sheetName val="ACTOS_POR_RIESGO8"/>
      <sheetName val="drop_lists8"/>
      <sheetName val="MRL_NON_SUPPLY_URU8"/>
      <sheetName val="AIIM_-_Empresas_Ext_20128"/>
      <sheetName val="KPIs_Hana8"/>
      <sheetName val="Catalago_de_refacciones_8"/>
      <sheetName val="Existencias_al_07-Nov-20128"/>
      <sheetName val="Check_GG8"/>
      <sheetName val="Sheet3_(2)8"/>
      <sheetName val="Nombre_de_SOP8"/>
      <sheetName val="Lao_&amp;_Cam8"/>
      <sheetName val="Hoegaarden_20198"/>
      <sheetName val="Lao_&amp;_Cam_20198"/>
      <sheetName val="Malaysia_20198"/>
      <sheetName val="Singapore_20198"/>
      <sheetName val="Sheet2_(2)8"/>
      <sheetName val="요일_테이블_8"/>
      <sheetName val="Other_Listings8"/>
      <sheetName val="2__Indicadores8"/>
      <sheetName val="Ta_8"/>
      <sheetName val="Lista_de_Entrenamientos_RSO8"/>
      <sheetName val="Tablero_SDG11"/>
      <sheetName val="Lista_Areas11"/>
      <sheetName val="One_Page11"/>
      <sheetName val="Sub-Productos_HN9"/>
      <sheetName val="Eficiencia_linea8"/>
      <sheetName val="_mngt_Pillar8"/>
      <sheetName val="Pauta_RPS_Distribuição7"/>
      <sheetName val="Estoque_(2)7"/>
      <sheetName val="BNR_2012_в_ящике7"/>
      <sheetName val="Comp_Inseguros7"/>
      <sheetName val="DO_NOT_MOVE7"/>
      <sheetName val="DATOS_DE_VALIDACIÓN7"/>
      <sheetName val="Datos_con7"/>
      <sheetName val="_Datos_Cond_7"/>
      <sheetName val="INGRESO_(2)7"/>
      <sheetName val="PG-K1610_(UEN_Areas)MNG7"/>
      <sheetName val="DATOS_GEN_7"/>
      <sheetName val="NUEVOS_CRITERIOS7"/>
      <sheetName val="Condiciones_Agua7"/>
      <sheetName val="__한국_AMP_ASP-23_판㧤가격__6"/>
      <sheetName val="11_䡸화채무줝ⴌ(AFS,HTM)086"/>
      <sheetName val="Drop_list6"/>
      <sheetName val="FX_Rates6"/>
      <sheetName val="Dropdown_list6"/>
      <sheetName val="Vagas_x_Candidatos6"/>
      <sheetName val="Proced_6"/>
      <sheetName val="Cut_Machine_Summary6"/>
      <sheetName val="Control_de_Fallas6"/>
      <sheetName val="Setup_for_Templates6"/>
      <sheetName val="Datos_emp6"/>
      <sheetName val="Validation_lists6"/>
      <sheetName val="TIPO_DE_ACTO6"/>
      <sheetName val="CRITICIDAD_DE_CI6"/>
      <sheetName val="Catálogo_de_CI6"/>
      <sheetName val="%_CUMPLIMIENTO6"/>
      <sheetName val="%_cumplimiento_6"/>
      <sheetName val="CALIFICACIONES_20194"/>
      <sheetName val="Lev_4_360_deg_check_Crit_Task4"/>
      <sheetName val="Lev_4_Chk_IC_Stock_Crit_Task4"/>
      <sheetName val="Lev_4_WMS_Putaway_Crit_Task4"/>
      <sheetName val="Listas_y_equipos_a_evaluar6"/>
      <sheetName val="Data_Reporte6"/>
      <sheetName val="Read_me6"/>
      <sheetName val="NAZ_Strategy4"/>
      <sheetName val="Champions_List5"/>
      <sheetName val="Daily_Dashboard6"/>
      <sheetName val="Mapeo_SKUs6"/>
      <sheetName val="Vol_(Ds)6"/>
      <sheetName val="Vol_(Ka)6"/>
      <sheetName val="Vol_(Oth)6"/>
      <sheetName val="Vol_(Oth)_Cortesias6"/>
      <sheetName val="INPUT-Cust_Sugg_Margin(Ds)6"/>
      <sheetName val="On_Invoice6"/>
      <sheetName val="INPUT-Cust_Sugg_Margin(Ka)6"/>
      <sheetName val="INPUT_SKUs6"/>
      <sheetName val="Brand_P&amp;L4"/>
      <sheetName val="SUPERMONT_P4"/>
      <sheetName val="Data_selection4"/>
      <sheetName val="1_4"/>
      <sheetName val="Customer_&amp;_SO4"/>
      <sheetName val="Session_Proposal4"/>
      <sheetName val="Análise_Tempos3"/>
      <sheetName val="Incentivo_Automóvil3"/>
      <sheetName val="Dropdown_Menu2"/>
      <sheetName val="PDA_BOP3"/>
      <sheetName val="Validação_de_Dados3"/>
      <sheetName val="No_llenar_3"/>
      <sheetName val="PROCESS_MD3"/>
      <sheetName val="Lista_de_Motivos3"/>
      <sheetName val="Ponto_Crítico_-_Resp__Plano3"/>
      <sheetName val="Lista_Funcionários_(2)3"/>
      <sheetName val="PAINEL_RECOLHA_CRÉDITO3"/>
      <sheetName val="Gráficos_-_CDD3"/>
      <sheetName val="Project_List2"/>
      <sheetName val="Выпадающие_списки2"/>
      <sheetName val="SOP_Freshness1"/>
      <sheetName val="Dimension_IN_Sheet1!D19121"/>
      <sheetName val="Dimension_IN_19121"/>
      <sheetName val="辅助表格"/>
      <sheetName val="10 麦汁CIP清洗标准水量"/>
      <sheetName val="BU"/>
      <sheetName val="Tipo Viaje"/>
      <sheetName val="Flota y Personal"/>
      <sheetName val="_손익기01_XL_x0000__x7"/>
      <sheetName val="SAP info"/>
      <sheetName val="Target Book"/>
      <sheetName val="后台"/>
      <sheetName val="AL来源"/>
      <sheetName val="Name List"/>
      <sheetName val="Ref_New Contract Model"/>
      <sheetName val="Dec"/>
      <sheetName val="리스트용"/>
      <sheetName val="Mapeo_SKUs7"/>
      <sheetName val="Vol_(Ds)7"/>
      <sheetName val="Vol_(Ka)7"/>
      <sheetName val="Vol_(Oth)7"/>
      <sheetName val="Vol_(Oth)_Cortesias7"/>
      <sheetName val="INPUT-Cust_Sugg_Margin(Ds)7"/>
      <sheetName val="On_Invoice7"/>
      <sheetName val="INPUT-Cust_Sugg_Margin(Ka)7"/>
      <sheetName val="INPUT_SKUs7"/>
      <sheetName val="SUPERMONT_P5"/>
      <sheetName val="3__Training_&amp;_travel2"/>
      <sheetName val="3__Training_&amp;_travel1"/>
      <sheetName val="Mapeo_SKUs8"/>
      <sheetName val="Vol_(Ds)8"/>
      <sheetName val="Vol_(Ka)8"/>
      <sheetName val="Vol_(Oth)8"/>
      <sheetName val="Vol_(Oth)_Cortesias8"/>
      <sheetName val="INPUT-Cust_Sugg_Margin(Ds)8"/>
      <sheetName val="On_Invoice8"/>
      <sheetName val="INPUT-Cust_Sugg_Margin(Ka)8"/>
      <sheetName val="INPUT_SKUs8"/>
      <sheetName val="Brand_P&amp;L5"/>
      <sheetName val="SUPERMONT_P6"/>
      <sheetName val="3__Training_&amp;_travel3"/>
      <sheetName val="DIAGEO VENTURE"/>
      <sheetName val="Mapeo_SKUs9"/>
      <sheetName val="Vol_(Ds)9"/>
      <sheetName val="Vol_(Ka)9"/>
      <sheetName val="Vol_(Oth)9"/>
      <sheetName val="Vol_(Oth)_Cortesias9"/>
      <sheetName val="INPUT-Cust_Sugg_Margin(Ds)9"/>
      <sheetName val="On_Invoice9"/>
      <sheetName val="INPUT-Cust_Sugg_Margin(Ka)9"/>
      <sheetName val="INPUT_SKUs9"/>
      <sheetName val="Brand_P&amp;L6"/>
      <sheetName val="SUPERMONT_P7"/>
      <sheetName val="Data_selection5"/>
      <sheetName val="1_5"/>
      <sheetName val="3__Training_&amp;_travel4"/>
      <sheetName val="MAESTRO CODIGOS"/>
      <sheetName val="Por regional"/>
      <sheetName val="Por Proveedor"/>
      <sheetName val="X Categoria"/>
      <sheetName val="Por Vendedor"/>
      <sheetName val="Por Mayoristas"/>
      <sheetName val="Por Cliente"/>
      <sheetName val="Por producto"/>
      <sheetName val="Por producto cant."/>
      <sheetName val="Por producto cant. (2)"/>
      <sheetName val="Por Vendedor X Ciudad"/>
      <sheetName val="Act por cliente"/>
      <sheetName val="Act por Proveedor"/>
      <sheetName val="Act por producto"/>
      <sheetName val="Essbase"/>
      <sheetName val="1-11조직표"/>
      <sheetName val="97 사업추정(W؀_x0001__x0000__x0000_"/>
      <sheetName val="8호선 원가 투입내역"/>
      <sheetName val="일위목차"/>
      <sheetName val="0226"/>
      <sheetName val="투입계획서(변경)"/>
      <sheetName val="기안"/>
      <sheetName val="지하시설물작성"/>
      <sheetName val="사다리"/>
      <sheetName val="CO"/>
      <sheetName val="예산입력방법"/>
      <sheetName val="예산간사조직표"/>
      <sheetName val="특수,항공 부서코드표"/>
      <sheetName val="본부별예산편성총괄표"/>
      <sheetName val="집행부서별예산계획표"/>
      <sheetName val="집행부서별예산산출내역표"/>
      <sheetName val="본부별인원인건비총괄표"/>
      <sheetName val="부서별인원인건비계획"/>
      <sheetName val="용역인원인건비계획"/>
      <sheetName val="예산조정신청서 양식"/>
      <sheetName val="96예산신청을 위한 양식및 공문"/>
      <sheetName val="특수,항공_부서코드표"/>
      <sheetName val="예산조정신청서_양식"/>
      <sheetName val="96예산신청을_위한_양식및_공문"/>
      <sheetName val="세계수요종합OK"/>
      <sheetName val="사양조정"/>
      <sheetName val="투입분"/>
      <sheetName val="LASER"/>
      <sheetName val="PLASMA"/>
      <sheetName val="96예산신청을%20위한%20양식및%20공문.XLS"/>
      <sheetName val="96%EC%98%88%EC%82%B0%EC%8B%A0%E"/>
      <sheetName val="특수,항공_부서코드표1"/>
      <sheetName val="예산조정신청서_양식1"/>
      <sheetName val="96예산신청을_위한_양식및_공문1"/>
      <sheetName val="96예산신청을%20위한%20양식및%20공문_XLS"/>
      <sheetName val="특수,항공_부서코드표2"/>
      <sheetName val="예산조정신청서_양식2"/>
      <sheetName val="96예산신청을_위한_양식및_공문2"/>
      <sheetName val="표준공사비-조명제외x10%up"/>
      <sheetName val="#88"/>
      <sheetName val="#10"/>
      <sheetName val="#100"/>
      <sheetName val="#101"/>
      <sheetName val="#102"/>
      <sheetName val="#103"/>
      <sheetName val="#104"/>
      <sheetName val="#105"/>
      <sheetName val="#106"/>
      <sheetName val="#107"/>
      <sheetName val="#108"/>
      <sheetName val="#11"/>
      <sheetName val="#21"/>
      <sheetName val="#22"/>
      <sheetName val="#95"/>
      <sheetName val="#60"/>
      <sheetName val="#61"/>
      <sheetName val="#62"/>
      <sheetName val="#63"/>
      <sheetName val="#64"/>
      <sheetName val="#65"/>
      <sheetName val="#70"/>
      <sheetName val="#71"/>
      <sheetName val="#72"/>
      <sheetName val="#73"/>
      <sheetName val="#74"/>
      <sheetName val="#75"/>
      <sheetName val="#76"/>
      <sheetName val="#77"/>
      <sheetName val="#82"/>
      <sheetName val="#83"/>
      <sheetName val="#84"/>
      <sheetName val="#87"/>
      <sheetName val="#90"/>
      <sheetName val="#91"/>
      <sheetName val="#92"/>
      <sheetName val="#93"/>
      <sheetName val="#94"/>
      <sheetName val="#98"/>
      <sheetName val="2.Consideration sheet"/>
      <sheetName val="3. Export"/>
      <sheetName val="제임스짐 예상매출 for 2023B"/>
      <sheetName val="Noncurrent assets"/>
      <sheetName val="2장(1사업부)ERP"/>
      <sheetName val="설비등록ၒ_x0000_"/>
      <sheetName val="_x005f_x0000__x00_x0000__x0000__x0000_"/>
      <sheetName val="2)단가비교표"/>
      <sheetName val="SHEET"/>
      <sheetName val="Project_Brief4"/>
      <sheetName val="2_주요계수총괄4"/>
      <sheetName val="단면_(2)4"/>
      <sheetName val="P_M_별5"/>
      <sheetName val="1__시공측량4"/>
      <sheetName val="Facility_Information4"/>
      <sheetName val="1_본사계정별4"/>
      <sheetName val="PAD_TR보호대기초4"/>
      <sheetName val="근거_및_가정4"/>
      <sheetName val="118_세금과공과4"/>
      <sheetName val="수종별수량_(2)4"/>
      <sheetName val="납부내역총괄표_(수정)4"/>
      <sheetName val="Weekly_Progress(계장)4"/>
      <sheetName val="설산1_나4"/>
      <sheetName val="1_차입금4"/>
      <sheetName val="전선_및_전선관3"/>
      <sheetName val="해외_기술훈련비_(합계)4"/>
      <sheetName val="설문_평가3"/>
      <sheetName val="부대시행1_(2)4"/>
      <sheetName val="3_6_2남양주택배4"/>
      <sheetName val="Back_Data_14"/>
      <sheetName val="_견적서3"/>
      <sheetName val="1월_예산3"/>
      <sheetName val="#1)_투자_구분3"/>
      <sheetName val="실행기성_갑지3"/>
      <sheetName val="Eq__Mobilization2"/>
      <sheetName val="Utility_Usage_YTN_TOWER3"/>
      <sheetName val="수량산출서_갑지2"/>
      <sheetName val="B-1_기본정보3"/>
      <sheetName val="대투_보관자료_변경3"/>
      <sheetName val="KEY_CODE3"/>
      <sheetName val="준검_내역서2"/>
      <sheetName val="2013_2월_연결대상3"/>
      <sheetName val="G_R300경비2"/>
      <sheetName val="AS포장복구_2"/>
      <sheetName val="설_계2"/>
      <sheetName val="외주현황_wq13"/>
      <sheetName val="2-1_강사료,교통비_지급명세3"/>
      <sheetName val="13_포장용역비표준3"/>
      <sheetName val="9_가공부자재표준3"/>
      <sheetName val="8_ROLL표준(TSW)3"/>
      <sheetName val="4_톤당조관량표준3"/>
      <sheetName val="5_조관부자재표준3"/>
      <sheetName val="날개수량1_52"/>
      <sheetName val="Rev__Recon_12"/>
      <sheetName val="1_고객불만건수2"/>
      <sheetName val="1_변경범위2"/>
      <sheetName val="2-2_투자3"/>
      <sheetName val="Proj__Fin_3"/>
      <sheetName val="ITS_Assumptions2"/>
      <sheetName val="Master_Data2"/>
      <sheetName val="HQ_급여_2"/>
      <sheetName val="OF_급여2"/>
      <sheetName val="F_Ma급여2"/>
      <sheetName val="SMT_급여2"/>
      <sheetName val="QC_급여2"/>
      <sheetName val="Sam_sung_급여2"/>
      <sheetName val="Dlock_급여2"/>
      <sheetName val="_thôi_việc_급여2"/>
      <sheetName val="Công_smt2"/>
      <sheetName val="Công_smt_(2)2"/>
      <sheetName val="Detail_smt2"/>
      <sheetName val="Công_QC2"/>
      <sheetName val="Detail_QC_2"/>
      <sheetName val="Công_SS2"/>
      <sheetName val="Detail_SS2"/>
      <sheetName val="Công_FMa2"/>
      <sheetName val="Detail_FMa2"/>
      <sheetName val="Công_OF2"/>
      <sheetName val="Detail_OF2"/>
      <sheetName val="Công_Dlock2"/>
      <sheetName val="Detail_Dlock2"/>
      <sheetName val="Công_thôi_việc2"/>
      <sheetName val="Detail_thôi2"/>
      <sheetName val="F_월별기성수금현황_2"/>
      <sheetName val="조도계산서_(도서)2"/>
      <sheetName val="C1_3_12"/>
      <sheetName val="7_Utility_Analysis2"/>
      <sheetName val="Operational_Activities2"/>
      <sheetName val="6월_공嚺㓶가2"/>
      <sheetName val="기초정보_코드2"/>
      <sheetName val="1__작성방식3"/>
      <sheetName val="A(Rev_3)2"/>
      <sheetName val="BSD_(2)1"/>
      <sheetName val="표)CFT장_조직별_배분3"/>
      <sheetName val="20180214_P&amp;T3"/>
      <sheetName val="Ref__중점_추진_과제별_상세3"/>
      <sheetName val="2_6_三无_(2)2"/>
      <sheetName val="Worker_List2"/>
      <sheetName val="GB-IC_Villingen_GG2"/>
      <sheetName val="입찰내역_Ĉ2"/>
      <sheetName val="보고서_표2"/>
      <sheetName val="0__가정_및_결론2"/>
      <sheetName val="1__투자비2"/>
      <sheetName val="2__Rent-roll2"/>
      <sheetName val="3__Funding2"/>
      <sheetName val="4__운영수익2"/>
      <sheetName val="5__운영비용2"/>
      <sheetName val="6_1_N+1년차_NOI_산정2"/>
      <sheetName val="6__부동산매각2"/>
      <sheetName val="7__보유세2"/>
      <sheetName val="8__교통유발부담금2"/>
      <sheetName val="9__BS부속2"/>
      <sheetName val="10__CF(M)2"/>
      <sheetName val="11__IS(M)2"/>
      <sheetName val="12__BS(M)2"/>
      <sheetName val="14__IS(FY)2"/>
      <sheetName val="13__CF(FY)2"/>
      <sheetName val="15__BS(FY)2"/>
      <sheetName val="16__RE(FY)2"/>
      <sheetName val="M&amp;Q_Lead2"/>
      <sheetName val="Phieu_trinh_ky_cấu_tháp1"/>
      <sheetName val="Phieu_trinh_ky_VTP1"/>
      <sheetName val="KS-VL_rời1"/>
      <sheetName val="Tai_san1"/>
      <sheetName val="Check_dong_tien1"/>
      <sheetName val="Chi_phí_SDTS1"/>
      <sheetName val="Check_COST1"/>
      <sheetName val="DATA_HD1"/>
      <sheetName val="Tong_hop_1TM1"/>
      <sheetName val="NS_Lán_trại1"/>
      <sheetName val="Check_cong_no_NC1"/>
      <sheetName val="4_1_월별_에너지_사용량2"/>
      <sheetName val="1-2_설계변경요청서(갑지)1"/>
      <sheetName val="첨부1_(주차관제-_당공)1"/>
      <sheetName val="첨부1-1_설계변경내역서(CCTV)1"/>
      <sheetName val="첨부1-2_(주차관제-변공)1"/>
      <sheetName val="2-6_변공량(추가공사)1"/>
      <sheetName val="_2-1_관제(물량산출서집계표)1"/>
      <sheetName val="_2-2_유도(물량산출서집계표)1"/>
      <sheetName val="3-1_주차관제1"/>
      <sheetName val="3-2_주차-광케이블1"/>
      <sheetName val="3-3_층별LPR1"/>
      <sheetName val="4-1_유도-광케이블1"/>
      <sheetName val="4-2_주차키오스크1"/>
      <sheetName val="4-3_4면카메라1"/>
      <sheetName val="4-5_CCTV1"/>
      <sheetName val="4-6_블럭유도등1"/>
      <sheetName val="4-7_입구만차등1"/>
      <sheetName val="4-8_비상벨1"/>
      <sheetName val="1~9_하중계산1"/>
      <sheetName val="방배동내역_(총괄)1"/>
      <sheetName val="Bank_code3"/>
      <sheetName val="Drop-down_RAW3"/>
      <sheetName val="첨부#2_Cash_Flow(현장작성)1"/>
      <sheetName val="진행_DATA_(2)2"/>
      <sheetName val="견적_맵1"/>
      <sheetName val="JT3_0견적-구11"/>
      <sheetName val="Dropbox_목록1"/>
      <sheetName val="3_공통공사대비"/>
      <sheetName val="현장관리비_산출내역"/>
      <sheetName val="1_수인터널2"/>
      <sheetName val="#1_Basic2"/>
      <sheetName val="산자사_운전용품1"/>
      <sheetName val="Exchange_rate3"/>
      <sheetName val="업무_분류(Category)1"/>
      <sheetName val="3_일반사상1"/>
      <sheetName val="Basic_Information3"/>
      <sheetName val="NG_Item2"/>
      <sheetName val="시스템_개요_유효값1"/>
      <sheetName val="STRAT_PLAN_WKSHT3"/>
      <sheetName val="Sales_Plan_&amp;_other3"/>
      <sheetName val="drop_downs2"/>
      <sheetName val="NKC_(final)1"/>
      <sheetName val="토공(우물통,기타)_"/>
      <sheetName val="전기요금_산출내역1"/>
      <sheetName val="TOWER_12TON2"/>
      <sheetName val="TOWER_10TON2"/>
      <sheetName val="JIB_CRANE,HOIST2"/>
      <sheetName val="구분_Table1"/>
      <sheetName val="역T형옹벽(3_0)1"/>
      <sheetName val="외상매출금현황-수정분_A21"/>
      <sheetName val="문의내용_카테고리_분류(수정X)1"/>
      <sheetName val="Diesel_Price_1"/>
      <sheetName val="업무분장_1"/>
      <sheetName val="7300-1000_112"/>
      <sheetName val="PJT_현황1"/>
      <sheetName val="참고)_기준정보1"/>
      <sheetName val="Long_Term_Prices1"/>
      <sheetName val="control_sheet1"/>
      <sheetName val="NCR_HEC_6_Opens1"/>
      <sheetName val="NCR_HEC_4_Open_&amp;_Vendor_2_Open1"/>
      <sheetName val="첨부1-2__증감사유내역서(을)"/>
      <sheetName val="Ref__Spec_Review_양식2"/>
      <sheetName val="Ref__시험항목_테이블2"/>
      <sheetName val="Ref__Search_Result_테이블2"/>
      <sheetName val="10_예산_및_원가_계획(02년)"/>
      <sheetName val="입찰내역_Ԁ"/>
      <sheetName val="Project_Count1"/>
      <sheetName val="PF_현황(11년12월)1"/>
      <sheetName val="Sensitivity_and_GC_Value1"/>
      <sheetName val="무형자산_LS11"/>
      <sheetName val="ALK_Chi_tiết_công_nợ"/>
      <sheetName val="CHITIET_VL-NC-TT1p"/>
      <sheetName val="유효성_목록"/>
      <sheetName val="총_원가계산"/>
      <sheetName val="1_설계기준"/>
      <sheetName val="6PILE__(剙"/>
      <sheetName val="참고3_DATA"/>
      <sheetName val="입찰내역_⊍∀的"/>
      <sheetName val="Ⅴ-2_공종별내역"/>
      <sheetName val="경계석,골재외_(2)"/>
      <sheetName val="경영비율_1"/>
      <sheetName val="카테고리_분류_(수정X)"/>
      <sheetName val="SPT_vs_PHI"/>
      <sheetName val="07_01"/>
      <sheetName val="20년_동일기간_소테마"/>
      <sheetName val="3_판관비명세서"/>
      <sheetName val="제조원가_원단༘֜"/>
      <sheetName val="▶_일일출역_집계_20210819143316"/>
      <sheetName val="sum_"/>
      <sheetName val="UPA(Part_C,D,E,G,H)"/>
      <sheetName val="UPA(Part_F)"/>
      <sheetName val="일위대가_(Part_C,D,E,G,H)"/>
      <sheetName val="4월_매출"/>
      <sheetName val="Insight_MTD_QTD_YTD_DATA"/>
      <sheetName val="Working_(PivotTable)"/>
      <sheetName val="Essbase_(53_Weeks)"/>
      <sheetName val="Essbase_(52_Weeks)"/>
      <sheetName val="Store_Listing"/>
      <sheetName val="COMP_Working"/>
      <sheetName val="COMP_LLY_Working"/>
      <sheetName val="완성차_미수금"/>
      <sheetName val="견적_(2)"/>
      <sheetName val="ITB_COST"/>
      <sheetName val="입찰내역_"/>
      <sheetName val="종합표양식(품의좲쒥⠀쮎"/>
      <sheetName val="Process_Li"/>
      <sheetName val="_㴐ኰ"/>
      <sheetName val="_움ᕕ"/>
      <sheetName val="단양_00_아파트-세부내역"/>
      <sheetName val="목차_"/>
      <sheetName val="0__물류비집계_rev1"/>
      <sheetName val="0__물류비_집계"/>
      <sheetName val="(1-2)_국내_구간별_운송_견적_1"/>
      <sheetName val="(1-1)_국내_구간별_운송_실적__(2)"/>
      <sheetName val="(1)_국내_사이트_상세_주소_"/>
      <sheetName val="수입_건수_정리"/>
      <sheetName val="(2-1)_수출_해상_(LCL)_"/>
      <sheetName val="(2-2)_수출_항공_"/>
      <sheetName val="(2-4)_수출_내륙_운송료"/>
      <sheetName val="(3-1)_수입_해상_(FCL)"/>
      <sheetName val="(3-2)_수입_해상_(LCL)_"/>
      <sheetName val="(3-3)_수입_항공_"/>
      <sheetName val="(3-5)_수입_내륙_운송료"/>
      <sheetName val="운송내역_"/>
      <sheetName val="운영경비_세부작성근거"/>
      <sheetName val="7__2_3"/>
      <sheetName val="Report_Setup2"/>
      <sheetName val="OWNER-1_(2)2"/>
      <sheetName val="고객만족도_향상"/>
      <sheetName val="108_수선비"/>
      <sheetName val="BS준비_XLS"/>
      <sheetName val="BS%EC%A4%80%EB%B9%84_XLS"/>
      <sheetName val="퇴직금추계(04_9_30)"/>
      <sheetName val="1_경제설계"/>
      <sheetName val="경수97_02"/>
      <sheetName val="1995년_섹터별_매출"/>
      <sheetName val="44-2Q_주석_xlsx"/>
      <sheetName val="팀_업체별_월기성실적"/>
      <sheetName val="팀_업체별_시공의뢰"/>
      <sheetName val="A_(3)"/>
      <sheetName val="DL08_DF_모드"/>
      <sheetName val="원지_수급가"/>
      <sheetName val="2_상각보정명세"/>
      <sheetName val="4b_Consolidated_PL"/>
      <sheetName val="TT_List"/>
      <sheetName val="실행내역서_"/>
      <sheetName val="SAP_검증(평균환율)"/>
      <sheetName val="SAP_검증(월말환율)"/>
      <sheetName val="전분기말_정산표(PQE)"/>
      <sheetName val="전년동기_정산표"/>
      <sheetName val="전기말_정산표(PYE)"/>
      <sheetName val="당기말_정산표(CPE)"/>
      <sheetName val="A01-3_조정내역"/>
      <sheetName val="A01-3_단순합산"/>
      <sheetName val="매출채권_및_금융자산"/>
      <sheetName val="A03-3_연결조정"/>
      <sheetName val="A07__유형자산_차기이월,_미실현"/>
      <sheetName val="A07__유형자산_감가상각"/>
      <sheetName val="A08__연결_조정"/>
      <sheetName val="A09__연결_조정"/>
      <sheetName val="B01_연결_조정"/>
      <sheetName val="B04_연결_조정"/>
      <sheetName val="B05_연결_조정"/>
      <sheetName val="납입자본(연결자본변동표_참조_작성)"/>
      <sheetName val="이익잉여금(연결자본변동표_참조_작성)"/>
      <sheetName val="기타포괄손익누계액(연결자본변동표_참조_작성)"/>
      <sheetName val="D01_연결_조정"/>
      <sheetName val="주당손익(개별파일_작성)"/>
      <sheetName val="_Drop"/>
      <sheetName val="96보완계획7_12"/>
      <sheetName val="DESBAST"/>
      <sheetName val="07~08 PL"/>
      <sheetName val="목록구분"/>
      <sheetName val="VS P-Q"/>
      <sheetName val="MAIN_TABLE"/>
      <sheetName val="表21_净利润釘×㜀࠷"/>
      <sheetName val="COVER-P"/>
      <sheetName val="_REF"/>
      <sheetName val="H.P견적(참조)"/>
      <sheetName val="공사예산하조서(O.K)"/>
      <sheetName val="ACTIVITY CODE &amp; AREA LIST"/>
      <sheetName val="변경내역대비표(2)"/>
      <sheetName val="표건"/>
      <sheetName val="계정code"/>
      <sheetName val="선택옵션"/>
      <sheetName val="옵션"/>
      <sheetName val="CriteriaUpdate"/>
      <sheetName val="주간남10대순위1"/>
      <sheetName val="주간여30대순위1"/>
      <sheetName val="건강_미결"/>
      <sheetName val="ASALTOTA"/>
      <sheetName val="국민연금"/>
      <sheetName val="504전기실_"/>
      <sheetName val="건축개요_"/>
      <sheetName val="제조원가_원단_x0000_궰_x0000__x0000_"/>
      <sheetName val="제조원가_원단_x0000_聏_x0000__x0000_"/>
      <sheetName val="단독빌딩 총합계본"/>
      <sheetName val="화기9901매출"/>
      <sheetName val="Act vs. budget"/>
      <sheetName val="PC%계산"/>
      <sheetName val="2_Consideration_sheet"/>
      <sheetName val="3__Export"/>
      <sheetName val="_손익기01.XL__DePara"/>
      <sheetName val="_손익기01_XL__DePara"/>
      <sheetName val="부가가치"/>
      <sheetName val="2021 KPI_SD (대표이사)"/>
      <sheetName val="기성및원가"/>
      <sheetName val="북마크"/>
      <sheetName val="일위대가목록"/>
      <sheetName val="중기단가목록"/>
      <sheetName val="12년_CF౮_x0002_저殑"/>
      <sheetName val="6PILE__(_xddf4_ㆥ堀"/>
      <sheetName val="6PILE__(౮_x0002_저"/>
      <sheetName val="견적내역서(산출근거)"/>
      <sheetName val="천마갑지"/>
      <sheetName val="argl(1)"/>
      <sheetName val="추정99"/>
      <sheetName val="TEMP2"/>
      <sheetName val="해외_기술훈련비_(합계)5"/>
      <sheetName val="P_M_별6"/>
      <sheetName val="Facility_Information5"/>
      <sheetName val="118_세금과공과5"/>
      <sheetName val="2_주요계수총괄5"/>
      <sheetName val="1_본사계정별5"/>
      <sheetName val="B-1_기본정보4"/>
      <sheetName val="Utility_Usage_YTN_TOWER4"/>
      <sheetName val="Project_Brief5"/>
      <sheetName val="단면_(2)5"/>
      <sheetName val="Back_Data_15"/>
      <sheetName val="1월_예산4"/>
      <sheetName val="전선_및_전선관4"/>
      <sheetName val="설문_평가4"/>
      <sheetName val="외주현황_wq14"/>
      <sheetName val="_견적서4"/>
      <sheetName val="대투_보관자료_변경4"/>
      <sheetName val="#1)_투자_구분4"/>
      <sheetName val="Rev__Recon_13"/>
      <sheetName val="1_고객불만건수3"/>
      <sheetName val="1_변경범위3"/>
      <sheetName val="2013_2월_연결대상4"/>
      <sheetName val="Proj__Fin_4"/>
      <sheetName val="2-2_투자4"/>
      <sheetName val="ITS_Assumptions3"/>
      <sheetName val="Master_Data3"/>
      <sheetName val="HQ_급여_3"/>
      <sheetName val="OF_급여3"/>
      <sheetName val="F_Ma급여3"/>
      <sheetName val="SMT_급여3"/>
      <sheetName val="QC_급여3"/>
      <sheetName val="Sam_sung_급여3"/>
      <sheetName val="Dlock_급여3"/>
      <sheetName val="_thôi_việc_급여3"/>
      <sheetName val="Công_smt3"/>
      <sheetName val="Công_smt_(2)3"/>
      <sheetName val="Detail_smt3"/>
      <sheetName val="Công_QC3"/>
      <sheetName val="Detail_QC_3"/>
      <sheetName val="Công_SS3"/>
      <sheetName val="Detail_SS3"/>
      <sheetName val="Công_FMa3"/>
      <sheetName val="Detail_FMa3"/>
      <sheetName val="Công_OF3"/>
      <sheetName val="Detail_OF3"/>
      <sheetName val="Công_Dlock3"/>
      <sheetName val="Detail_Dlock3"/>
      <sheetName val="Công_thôi_việc3"/>
      <sheetName val="Detail_thôi3"/>
      <sheetName val="2-1_강사료,교통비_지급명세4"/>
      <sheetName val="C1_3_13"/>
      <sheetName val="7_Utility_Analysis3"/>
      <sheetName val="Operational_Activities3"/>
      <sheetName val="13_포장용역비표준4"/>
      <sheetName val="9_가공부자재표준4"/>
      <sheetName val="8_ROLL표준(TSW)4"/>
      <sheetName val="4_톤당조관량표준4"/>
      <sheetName val="5_조관부자재표준4"/>
      <sheetName val="KEY_CODE4"/>
      <sheetName val="산자사_운전용품2"/>
      <sheetName val="1__작성방식4"/>
      <sheetName val="표)CFT장_조직별_배분4"/>
      <sheetName val="20180214_P&amp;T4"/>
      <sheetName val="Ref__중점_추진_과제별_상세4"/>
      <sheetName val="Bank_code4"/>
      <sheetName val="Drop-down_RAW4"/>
      <sheetName val="실행기성_갑지4"/>
      <sheetName val="Eq__Mobilization3"/>
      <sheetName val="날개수량1_53"/>
      <sheetName val="2_6_三无_(2)3"/>
      <sheetName val="수량산출서_갑지3"/>
      <sheetName val="G_R300경비3"/>
      <sheetName val="AS포장복구_3"/>
      <sheetName val="설_계3"/>
      <sheetName val="Worker_List3"/>
      <sheetName val="GB-IC_Villingen_GG3"/>
      <sheetName val="Exchange_rate4"/>
      <sheetName val="업무_분류(Category)2"/>
      <sheetName val="진행_DATA_(2)3"/>
      <sheetName val="기초정보_코드3"/>
      <sheetName val="보고서_표3"/>
      <sheetName val="0__가정_및_결론3"/>
      <sheetName val="1__투자비3"/>
      <sheetName val="2__Rent-roll3"/>
      <sheetName val="3__Funding3"/>
      <sheetName val="4__운영수익3"/>
      <sheetName val="5__운영비용3"/>
      <sheetName val="6_1_N+1년차_NOI_산정3"/>
      <sheetName val="6__부동산매각3"/>
      <sheetName val="7__보유세3"/>
      <sheetName val="8__교통유발부담금3"/>
      <sheetName val="9__BS부속3"/>
      <sheetName val="10__CF(M)3"/>
      <sheetName val="11__IS(M)3"/>
      <sheetName val="12__BS(M)3"/>
      <sheetName val="14__IS(FY)3"/>
      <sheetName val="13__CF(FY)3"/>
      <sheetName val="15__BS(FY)3"/>
      <sheetName val="16__RE(FY)3"/>
      <sheetName val="4_1_월별_에너지_사용량3"/>
      <sheetName val="M&amp;Q_Lead3"/>
      <sheetName val="Basic_Information4"/>
      <sheetName val="3_일반사상2"/>
      <sheetName val="준검_내역서3"/>
      <sheetName val="6월_공嚺㓶가3"/>
      <sheetName val="조도계산서_(도서)3"/>
      <sheetName val="F_월별기성수금현황_3"/>
      <sheetName val="첨부#2_Cash_Flow(현장작성)2"/>
      <sheetName val="TOWER_12TON3"/>
      <sheetName val="TOWER_10TON3"/>
      <sheetName val="JIB_CRANE,HOIST3"/>
      <sheetName val="Investment_Category1"/>
      <sheetName val="Mot_So_Thuat_Ngu_EN-VI2"/>
      <sheetName val="노원열병합__건축공사기성내역서1"/>
      <sheetName val="NG_Item3"/>
      <sheetName val="Ref__Spec_Review_양식3"/>
      <sheetName val="Ref__시험항목_테이블3"/>
      <sheetName val="Ref__Search_Result_테이블3"/>
      <sheetName val="SRS_월별_BS2"/>
      <sheetName val="평가&amp;선급_미지급2"/>
      <sheetName val="EXC_IND1"/>
      <sheetName val="COLOR별_인쇄1"/>
      <sheetName val="유류대_현황2"/>
      <sheetName val="1__템플릿2"/>
      <sheetName val="2__작성_참고사항2"/>
      <sheetName val="mapping_(2)2"/>
      <sheetName val="Ref_2"/>
      <sheetName val="2_3_Projects_Status2"/>
      <sheetName val="Consolidated_Project_List2"/>
      <sheetName val="Fixed_Cost2"/>
      <sheetName val="Listas_desplegables2"/>
      <sheetName val="Resumen_General2"/>
      <sheetName val="Cátalogo_de_CI2"/>
      <sheetName val="Hoja2_(2)2"/>
      <sheetName val="Technology_check_list2"/>
      <sheetName val="Status_de_Usuario2"/>
      <sheetName val="Actos_y_Condiciones_2"/>
      <sheetName val="NO_BORRAR2"/>
      <sheetName val="Formato_checklist_Lab2"/>
      <sheetName val="Manage_to_Sustain1"/>
      <sheetName val="Meeting_List1"/>
      <sheetName val="Packages_Info1"/>
      <sheetName val="Preferred_Option1"/>
      <sheetName val="입문_트랜드(종합분석)1"/>
      <sheetName val="Master_CE1"/>
      <sheetName val="CE_Final_1"/>
      <sheetName val="OL_LIST1"/>
      <sheetName val="YTD_GUEST_LIST1"/>
      <sheetName val="Session_Full_list1"/>
      <sheetName val="FOOD_PAYMENT_update_JAN1"/>
      <sheetName val="Rate_card_F19_1"/>
      <sheetName val="Master_Plan__(update)1"/>
      <sheetName val="The_KPI_1"/>
      <sheetName val="Mentor_Plan_1"/>
      <sheetName val="Master_Plan_1"/>
      <sheetName val="Tier_1_GOV_PC_Networking_1"/>
      <sheetName val="Tier_1_LBO_1"/>
      <sheetName val="2020_MMR121"/>
      <sheetName val="Razão_Social1"/>
      <sheetName val="운영경비_세부작성근거1"/>
      <sheetName val="20년_동일기간_소테마1"/>
      <sheetName val="Dropbox_목록2"/>
      <sheetName val="3_공통공사대비1"/>
      <sheetName val="현장관리비_산출내역1"/>
      <sheetName val="무형자산_LS111"/>
      <sheetName val="10_예산_및_원가_계획(02년)1"/>
      <sheetName val="경영비율_2"/>
      <sheetName val="07_011"/>
      <sheetName val="수량산출서_(2)1"/>
      <sheetName val="2_FM_Fee_2차년도1"/>
      <sheetName val="3_감가장비1"/>
      <sheetName val="下拉框选项"/>
      <sheetName val="Criteria List"/>
      <sheetName val="应收帐款(외상매출금)"/>
      <sheetName val="0405比较_查询"/>
      <sheetName val="8月水电燃使用表"/>
      <sheetName val="자산LIST"/>
      <sheetName val="해외출자현황(원본틀)"/>
      <sheetName val="2담당0113"/>
      <sheetName val="1담당0113"/>
      <sheetName val="DATA SHEET(절대삭제 금지)"/>
      <sheetName val="방법론선택및업로드"/>
      <sheetName val="생산"/>
      <sheetName val="구매대행이행율(2)"/>
      <sheetName val="FB150’980123"/>
      <sheetName val="category대응"/>
      <sheetName val="대출 상환액 산출표"/>
      <sheetName val="사외외주 9월 현황"/>
      <sheetName val="GRACE"/>
      <sheetName val="Ⅱ.추정종합"/>
      <sheetName val="제조원가_원단샀_x000e__x0000__x0000_"/>
      <sheetName val="공사직종별노임"/>
      <sheetName val="7_공사비집_x0000__x0000__x0000__x0000_⽐ʇ_x0000_"/>
      <sheetName val="Tr.C 당일자금판"/>
      <sheetName val="내역서(토목)"/>
      <sheetName val="NON SLIP"/>
      <sheetName val="나_출؀_x0001_"/>
      <sheetName val="종합"/>
      <sheetName val="1_종합손익(주택,&quot;_x0000__x0000__x0000_"/>
      <sheetName val="제조원가_원단뿰朮_x0000__x0000_"/>
      <sheetName val="제조원가_원단뽰_x0000__x0000_"/>
      <sheetName val="제조원가_원단뽀ᚔ_x0000__x0000_"/>
      <sheetName val="챤넬"/>
      <sheetName val="제작LIST"/>
      <sheetName val="3BL공동구 수량"/>
      <sheetName val="1_종합손익탬됊혁酧_x0000__x0000_ꠀⅱ"/>
      <sheetName val="1_종합손익훬酧_x0000__x0000_怀ꇨ吖ᑌ"/>
      <sheetName val="1_종합손익훬酧_x0000__x0000_㠀ᥖ吨ᑌ"/>
      <sheetName val="1_종합손익(_x0000__x0000_ᥨᗊ"/>
      <sheetName val="1_종합손익(葔ǯૐŖ"/>
      <sheetName val="1_종합손익(_x0000__x0000__x0005__x0000_"/>
      <sheetName val="청산공사"/>
      <sheetName val="운반거리(0.7km)"/>
      <sheetName val="종합표양식(품의_&amp;¾_x0000__x0000__x0000__x0000_漁ן"/>
      <sheetName val="12년_CF(9월_x0000_"/>
      <sheetName val="플랜트 설치"/>
      <sheetName val="분류기준"/>
      <sheetName val="별제권_정리담보권"/>
      <sheetName val="C.S.A"/>
      <sheetName val="Rate"/>
      <sheetName val="Sch.6"/>
      <sheetName val="말뚝지지력산정"/>
      <sheetName val="리드14"/>
      <sheetName val="a.연결정리"/>
      <sheetName val="loading"/>
      <sheetName val="backdata"/>
      <sheetName val="Spreadsheet Information"/>
      <sheetName val="major"/>
      <sheetName val="총괄집계 "/>
      <sheetName val="자본금99(수)"/>
      <sheetName val="8월현금흐름표"/>
      <sheetName val="품목코드"/>
      <sheetName val="감가상각비(2002)"/>
      <sheetName val="표지 (3)"/>
      <sheetName val="KENworth"/>
      <sheetName val="범한여행"/>
      <sheetName val="1차)기초데이터_인건비월별추정"/>
      <sheetName val="07~08_PL"/>
      <sheetName val="_x005f_x0000__x00_x0000__x0000_Ԁ"/>
      <sheetName val="기성내역"/>
      <sheetName val="동력"/>
      <sheetName val="변압기"/>
      <sheetName val="단"/>
      <sheetName val="일위대가D"/>
      <sheetName val="중기사용료"/>
      <sheetName val="입찰내역서(통합)A3"/>
      <sheetName val="입찰내역서(기본)"/>
      <sheetName val="입찰내역서(확장)"/>
      <sheetName val="2.하중산정"/>
      <sheetName val="TinhGiaNC"/>
      <sheetName val="Thiet Bi"/>
      <sheetName val="Arch"/>
      <sheetName val="주식"/>
      <sheetName val="Assumption List"/>
      <sheetName val="schbhn"/>
      <sheetName val="schalt"/>
      <sheetName val="schtng"/>
      <sheetName val="PSV2701F"/>
      <sheetName val="할증 "/>
      <sheetName val="다이꾸"/>
      <sheetName val="타견적(을)"/>
      <sheetName val="Ext__Stone-P"/>
      <sheetName val="Process_Li 鸴"/>
      <sheetName val="Rate_Analysis"/>
      <sheetName val="개산견적원본"/>
      <sheetName val="로우프"/>
      <sheetName val="변경전"/>
      <sheetName val="Template"/>
      <sheetName val="구의33고"/>
      <sheetName val="총괄갑 "/>
      <sheetName val="Sheet376"/>
      <sheetName val="12월시산표"/>
      <sheetName val="손익계산서(출력)"/>
      <sheetName val="매출원가"/>
      <sheetName val="NOZZLE제작단가"/>
      <sheetName val="Electrical Load List"/>
      <sheetName val="월별"/>
      <sheetName val="목공사품의서"/>
      <sheetName val="Sheet⤖_x0000_崒"/>
      <sheetName val="간접비 총괄표"/>
      <sheetName val="단독빌딩_총합계본"/>
      <sheetName val="온라인 계수 기준표"/>
      <sheetName val="1.현금예금"/>
      <sheetName val="利润表"/>
      <sheetName val="정산표Y_E(10년-4Q)"/>
      <sheetName val="资产负债"/>
      <sheetName val="scoreY_E(10년-4Q)"/>
      <sheetName val="利润表FY10"/>
      <sheetName val="Data추가sheet"/>
      <sheetName val="시설이용권명세서"/>
      <sheetName val="NBCF"/>
      <sheetName val="INVDAYS"/>
      <sheetName val="개요"/>
      <sheetName val="C_d"/>
      <sheetName val="STROPEZ"/>
      <sheetName val="D"/>
      <sheetName val="act98"/>
      <sheetName val="건설중인"/>
      <sheetName val="대지급(한미)"/>
      <sheetName val="Piping Design Data"/>
      <sheetName val="DANHPHAP"/>
      <sheetName val="CHITIET VL-NC-TT -1p"/>
      <sheetName val="CHITIET VL-NC-TT-3p"/>
      <sheetName val="TONG HOP VL-NC TT"/>
      <sheetName val="TDTKP1"/>
      <sheetName val="KPVC-BD "/>
      <sheetName val="Xunit_(단위환산)"/>
      <sheetName val="특수,항공_부서코드표3"/>
      <sheetName val="예산조정신청서_양식3"/>
      <sheetName val="96예산신청을_위한_양식및_공문3"/>
      <sheetName val="96예산신청을%20위한%20양식및%20공문_XLS1"/>
      <sheetName val="#1_Basic3"/>
      <sheetName val="STRAT_PLAN_WKSHT4"/>
      <sheetName val="Sales_Plan_&amp;_other4"/>
      <sheetName val="drop_downs3"/>
      <sheetName val="견적_맵2"/>
      <sheetName val="7300-1000_113"/>
      <sheetName val="PJT_현황2"/>
      <sheetName val="참고)_기준정보2"/>
      <sheetName val="Long_Term_Prices2"/>
      <sheetName val="업무분장_2"/>
      <sheetName val="구분_Table2"/>
      <sheetName val="문의내용_카테고리_분류(수정X)2"/>
      <sheetName val="Diesel_Price_2"/>
      <sheetName val="Phieu_trinh_ky_cấu_tháp2"/>
      <sheetName val="Phieu_trinh_ky_VTP2"/>
      <sheetName val="KS-VL_rời2"/>
      <sheetName val="Tai_san2"/>
      <sheetName val="Check_dong_tien2"/>
      <sheetName val="Chi_phí_SDTS2"/>
      <sheetName val="Check_COST2"/>
      <sheetName val="DATA_HD2"/>
      <sheetName val="Tong_hop_1TM2"/>
      <sheetName val="NS_Lán_trại2"/>
      <sheetName val="Check_cong_no_NC2"/>
      <sheetName val="목차_1"/>
      <sheetName val="0__물류비집계_rev11"/>
      <sheetName val="0__물류비_집계1"/>
      <sheetName val="(1-2)_국내_구간별_운송_견적_11"/>
      <sheetName val="(1-1)_국내_구간별_운송_실적__(2)1"/>
      <sheetName val="(1)_국내_사이트_상세_주소_1"/>
      <sheetName val="수입_건수_정리1"/>
      <sheetName val="(2-1)_수출_해상_(LCL)_1"/>
      <sheetName val="(2-2)_수출_항공_1"/>
      <sheetName val="(2-4)_수출_내륙_운송료1"/>
      <sheetName val="(3-1)_수입_해상_(FCL)1"/>
      <sheetName val="(3-2)_수입_해상_(LCL)_1"/>
      <sheetName val="(3-3)_수입_항공_1"/>
      <sheetName val="(3-5)_수입_내륙_운송료1"/>
      <sheetName val="운송내역_1"/>
      <sheetName val="Project_Count2"/>
      <sheetName val="역T형옹벽(3_0)2"/>
      <sheetName val="외상매출금현황-수정분_A22"/>
      <sheetName val="control_sheet2"/>
      <sheetName val="SPT_vs_PHI1"/>
      <sheetName val="1-2_설계변경요청서(갑지)2"/>
      <sheetName val="첨부1_(주차관제-_당공)2"/>
      <sheetName val="첨부1-1_설계변경내역서(CCTV)2"/>
      <sheetName val="첨부1-2_(주차관제-변공)2"/>
      <sheetName val="2-6_변공량(추가공사)2"/>
      <sheetName val="_2-1_관제(물량산출서집계표)2"/>
      <sheetName val="_2-2_유도(물량산출서집계표)2"/>
      <sheetName val="3-1_주차관제2"/>
      <sheetName val="3-2_주차-광케이블2"/>
      <sheetName val="3-3_층별LPR2"/>
      <sheetName val="4-1_유도-광케이블2"/>
      <sheetName val="4-2_주차키오스크2"/>
      <sheetName val="4-3_4면카메라2"/>
      <sheetName val="4-5_CCTV2"/>
      <sheetName val="4-6_블럭유도등2"/>
      <sheetName val="4-7_입구만차등2"/>
      <sheetName val="4-8_비상벨2"/>
      <sheetName val="NKC_(final)2"/>
      <sheetName val="PF_현황(11년12월)2"/>
      <sheetName val="Sensitivity_and_GC_Value2"/>
      <sheetName val="참고3_DATA1"/>
      <sheetName val="입찰내역_1"/>
      <sheetName val="토공(우물통,기타)_1"/>
      <sheetName val="Insight_MTD_QTD_YTD_DATA1"/>
      <sheetName val="Working_(PivotTable)1"/>
      <sheetName val="Essbase_(53_Weeks)1"/>
      <sheetName val="Essbase_(52_Weeks)1"/>
      <sheetName val="Store_Listing1"/>
      <sheetName val="COMP_Working1"/>
      <sheetName val="COMP_LLY_Working1"/>
      <sheetName val="ALK_Chi_tiết_công_nợ1"/>
      <sheetName val="CHITIET_VL-NC-TT1p1"/>
      <sheetName val="PH_51"/>
      <sheetName val="bar_chart-rev1"/>
      <sheetName val="Xunit_(단위환산)1"/>
      <sheetName val="4월_매출1"/>
      <sheetName val="SAP_검증(평균환율)1"/>
      <sheetName val="SAP_검증(월말환율)1"/>
      <sheetName val="전분기말_정산표(PQE)1"/>
      <sheetName val="전년동기_정산표1"/>
      <sheetName val="전기말_정산표(PYE)1"/>
      <sheetName val="당기말_정산표(CPE)1"/>
      <sheetName val="A01-3_조정내역1"/>
      <sheetName val="A01-3_단순합산1"/>
      <sheetName val="매출채권_및_금융자산1"/>
      <sheetName val="A03-3_연결조정1"/>
      <sheetName val="A07__유형자산_차기이월,_미실현1"/>
      <sheetName val="A07__유형자산_감가상각1"/>
      <sheetName val="A08__연결_조정1"/>
      <sheetName val="A09__연결_조정1"/>
      <sheetName val="B01_연결_조정1"/>
      <sheetName val="B04_연결_조정1"/>
      <sheetName val="B05_연결_조정1"/>
      <sheetName val="납입자본(연결자본변동표_참조_작성)1"/>
      <sheetName val="이익잉여금(연결자본변동표_참조_작성)1"/>
      <sheetName val="기타포괄손익누계액(연결자본변동표_참조_작성)1"/>
      <sheetName val="D01_연결_조정1"/>
      <sheetName val="주당손익(개별파일_작성)1"/>
      <sheetName val="_Drop1"/>
      <sheetName val="7__2_4"/>
      <sheetName val="Report_Setup3"/>
      <sheetName val="OWNER-1_(2)3"/>
      <sheetName val="고객만족도_향상1"/>
      <sheetName val="108_수선비1"/>
      <sheetName val="BS준비_XLS1"/>
      <sheetName val="BS%EC%A4%80%EB%B9%84_XLS1"/>
      <sheetName val="퇴직금추계(04_9_30)1"/>
      <sheetName val="1_경제설계1"/>
      <sheetName val="경수97_021"/>
      <sheetName val="1995년_섹터별_매출1"/>
      <sheetName val="44-2Q_주석_xlsx1"/>
      <sheetName val="팀_업체별_월기성실적1"/>
      <sheetName val="팀_업체별_시공의뢰1"/>
      <sheetName val="A_(3)1"/>
      <sheetName val="DL08_DF_모드1"/>
      <sheetName val="원지_수급가1"/>
      <sheetName val="2_상각보정명세1"/>
      <sheetName val="특수,항공_부서코드표4"/>
      <sheetName val="예산조정신청서_양식4"/>
      <sheetName val="96예산신청을_위한_양식및_공문4"/>
      <sheetName val="96예산신청을%20위한%20양식및%20공문_XLS2"/>
      <sheetName val="4b_Consolidated_PL1"/>
      <sheetName val="TT_List1"/>
      <sheetName val="1-8"/>
      <sheetName val="HK1.83站合力改善 "/>
      <sheetName val="실토지와투자자12.6.30"/>
      <sheetName val="계획대비 실적_조정후"/>
      <sheetName val="콘크리트타설집계표"/>
      <sheetName val="투자비 상세(180117_김인태+2F 리모델링 추가)"/>
      <sheetName val="대비"/>
      <sheetName val="1_설계조건1"/>
      <sheetName val="Requirement(Work_Crew)"/>
      <sheetName val="_손익기01_XL_x005f_x0000__x005f_x005f_x0"/>
      <sheetName val="예산표_"/>
      <sheetName val="PAINT_(2)"/>
      <sheetName val="물량표_(2)"/>
      <sheetName val="member_design"/>
      <sheetName val="design_criteria"/>
      <sheetName val="working_load_at_the_btm_ft_"/>
      <sheetName val="plan&amp;section_of_foundation"/>
      <sheetName val="8호선_원가_투입내역"/>
      <sheetName val="입찰내역_Ĉ_x005f_x0000__x005f_x0000_ᇆ"/>
      <sheetName val="입찰내역_Ĉ_x005f_x0000__x005f_x0000_ᇆ"/>
      <sheetName val="H_P견적(참조)"/>
      <sheetName val="공사예산하조서(O_K)"/>
      <sheetName val="일위대가1"/>
      <sheetName val="※유형구분분류 (2)"/>
      <sheetName val="Ref1"/>
      <sheetName val="제조원가"/>
      <sheetName val="원료 CODE"/>
      <sheetName val="계열사현황종합"/>
      <sheetName val="12"/>
      <sheetName val="은아수_05월 주간 및 요일별 평균매출"/>
      <sheetName val="공사설계서"/>
      <sheetName val="직노"/>
      <sheetName val="D1300 자삽"/>
      <sheetName val="1_종합손익(도급)14"/>
      <sheetName val="1_종합손익(주택,개발)14"/>
      <sheetName val="2_실행예산14"/>
      <sheetName val="2_2과부족14"/>
      <sheetName val="2_3원가절감14"/>
      <sheetName val="8_외주비집행현황14"/>
      <sheetName val="9_자재비14"/>
      <sheetName val="10_현장집행14"/>
      <sheetName val="3_추가원가14"/>
      <sheetName val="3_추가원가_(2)14"/>
      <sheetName val="4_사전공사14"/>
      <sheetName val="5_추정공사비14"/>
      <sheetName val="6_금융비용14"/>
      <sheetName val="7_공사비집행현황(총괄)14"/>
      <sheetName val="11_1생산성14"/>
      <sheetName val="11_2인원산출14"/>
      <sheetName val="CC_Down_load_071613"/>
      <sheetName val="변경실행(2차)_13"/>
      <sheetName val="__한국_AMP_ASP-23_판매가격__13"/>
      <sheetName val="나_출고13"/>
      <sheetName val="나_입고13"/>
      <sheetName val="09년_인건비(속리산)13"/>
      <sheetName val="합산목표(감가+57_5)13"/>
      <sheetName val="b_balju_(2)13"/>
      <sheetName val="제조원가_원단위_분석13"/>
      <sheetName val="종합표양식(품의_&amp;_입고)_213"/>
      <sheetName val="원가관리_(동월대비)13"/>
      <sheetName val="중기조종사_단위단가13"/>
      <sheetName val="2-2_매출분석13"/>
      <sheetName val="6PILE__(돌출)13"/>
      <sheetName val="기성청구_공문13"/>
      <sheetName val="몰드시스템_리스트13"/>
      <sheetName val="11_외화채무증권(AFS,HTM)0813"/>
      <sheetName val="13_감액TEST_0813"/>
      <sheetName val="7_(2)15"/>
      <sheetName val="12년_CF(9월)13"/>
      <sheetName val="Sheet1_(2)13"/>
      <sheetName val="2_총괄표11"/>
      <sheetName val="sum1_(2)11"/>
      <sheetName val="504전기실_동부하-L11"/>
      <sheetName val="2_대외공문11"/>
      <sheetName val="表21_净利润调节表12"/>
      <sheetName val="입출재고현황_(2)11"/>
      <sheetName val="Facility_Information6"/>
      <sheetName val="2_주요계수총괄6"/>
      <sheetName val="3_바닥판설계11"/>
      <sheetName val="입찰내역_발주처_양식11"/>
      <sheetName val="P_M_별7"/>
      <sheetName val="TRE_TABLE11"/>
      <sheetName val="OUTER_AREA(겹침없음)11"/>
      <sheetName val="EL_표면적11"/>
      <sheetName val="Project_Brief6"/>
      <sheetName val="PAD_TR보호대기초5"/>
      <sheetName val="단면_(2)6"/>
      <sheetName val="근거_및_가정5"/>
      <sheetName val="09~10년_매출계획13"/>
      <sheetName val="2_카드채권(대출포함)12"/>
      <sheetName val="전사_PL16"/>
      <sheetName val="자금_제외_PL16"/>
      <sheetName val="자금_PL16"/>
      <sheetName val="전사_BS16"/>
      <sheetName val="자금_제외_BS16"/>
      <sheetName val="자금_BS16"/>
      <sheetName val="BS_계정_설명16"/>
      <sheetName val="_Cash_Flow(전사)16"/>
      <sheetName val="_Cash_Flow(자금제외)16"/>
      <sheetName val="_Cash_Flow(자금)16"/>
      <sheetName val="ROIC_16"/>
      <sheetName val="인건비_명세16"/>
      <sheetName val="판관비_명세16"/>
      <sheetName val="OH_Cost경비(내역)16"/>
      <sheetName val="OH_Cost경비(배부기준)16"/>
      <sheetName val="기타수지&amp;특별손익_명세16"/>
      <sheetName val="Process_List15"/>
      <sheetName val="제시_손익계산서15"/>
      <sheetName val="업무연락_(2)15"/>
      <sheetName val="M_7회차_담금_계획15"/>
      <sheetName val="01_02월_성과급16"/>
      <sheetName val="97_사업추정(WEKI)11"/>
      <sheetName val="팀별_실적15"/>
      <sheetName val="팀별_실적_(환산)15"/>
      <sheetName val="6월_공정외주11"/>
      <sheetName val="1_차입금5"/>
      <sheetName val="118_세금과공과6"/>
      <sheetName val="Tong_hop11"/>
      <sheetName val="95_1_1이후취득자산(숨기기상태)11"/>
      <sheetName val="1_MDF1공장13"/>
      <sheetName val="1__시공측량5"/>
      <sheetName val="1_본사계정별6"/>
      <sheetName val="부대시행1_(2)5"/>
      <sheetName val="3_6_2남양주택배5"/>
      <sheetName val="Back_Data_16"/>
      <sheetName val="해외_기술훈련비_(합계)6"/>
      <sheetName val="수종별수량_(2)5"/>
      <sheetName val="전선_및_전선관5"/>
      <sheetName val="1월_예산5"/>
      <sheetName val="_견적서5"/>
      <sheetName val="#1)_투자_구분5"/>
      <sheetName val="Weekly_Progress(계장)5"/>
      <sheetName val="설산1_나5"/>
      <sheetName val="납부내역총괄표_(수정)5"/>
      <sheetName val="설문_평가5"/>
      <sheetName val="Utility_Usage_YTN_TOWER5"/>
      <sheetName val="B-1_기본정보5"/>
      <sheetName val="대투_보관자료_변경5"/>
      <sheetName val="G_R300경비4"/>
      <sheetName val="AS포장복구_4"/>
      <sheetName val="설_계4"/>
      <sheetName val="2013_2월_연결대상5"/>
      <sheetName val="Rev__Recon_14"/>
      <sheetName val="1_고객불만건수4"/>
      <sheetName val="1_변경범위4"/>
      <sheetName val="외주현황_wq15"/>
      <sheetName val="수량산출서_갑지4"/>
      <sheetName val="실행기성_갑지5"/>
      <sheetName val="Eq__Mobilization4"/>
      <sheetName val="KEY_CODE5"/>
      <sheetName val="2-1_강사료,교통비_지급명세5"/>
      <sheetName val="13_포장용역비표준5"/>
      <sheetName val="9_가공부자재표준5"/>
      <sheetName val="8_ROLL표준(TSW)5"/>
      <sheetName val="4_톤당조관량표준5"/>
      <sheetName val="5_조관부자재표준5"/>
      <sheetName val="4__Inj_투자상세내역15"/>
      <sheetName val="3__Blow_투자_상세내역15"/>
      <sheetName val="Jul-Sep_Actual_cost_(2)10"/>
      <sheetName val="요일_테이블15"/>
      <sheetName val="요일_테이블_(2)14"/>
      <sheetName val="TO_Data_Base23"/>
      <sheetName val="YTD_Summary22"/>
      <sheetName val="Month_Summary22"/>
      <sheetName val="Trial_Balance_MAY_200922"/>
      <sheetName val="TB_Pivot22"/>
      <sheetName val="total_per_LB_LB222"/>
      <sheetName val="Trial_Balance_Vlookup22"/>
      <sheetName val="Trial_Balance_APRIL_200922"/>
      <sheetName val="Roll_Out_AQ22"/>
      <sheetName val="Evolução_mandamentos22"/>
      <sheetName val="Planilha_resultados21"/>
      <sheetName val="Historico_200321"/>
      <sheetName val="Sig_Cycles_Accts_&amp;_Processes21"/>
      <sheetName val="3_ISo_YTD15"/>
      <sheetName val="E_法规NC15"/>
      <sheetName val="Données_LMU15"/>
      <sheetName val="Brazil_Sovereign15"/>
      <sheetName val="Resumen_Costo15"/>
      <sheetName val="Fixed_ZBB15"/>
      <sheetName val="5_115"/>
      <sheetName val="Extract_Loss15"/>
      <sheetName val="QA_跟踪记录表15"/>
      <sheetName val="RG_Depots15"/>
      <sheetName val="material_data15"/>
      <sheetName val="other_data15"/>
      <sheetName val="Como_Estamos15"/>
      <sheetName val="Database_(RUR)Mar_YTD15"/>
      <sheetName val="SKU_Mapping15"/>
      <sheetName val="Drop_Down15"/>
      <sheetName val="Raw_Data15"/>
      <sheetName val="EBM-2_GHQ15"/>
      <sheetName val="Base_PEF16"/>
      <sheetName val="Base_de_Dados15"/>
      <sheetName val="Testing_Template_Guidance15"/>
      <sheetName val="Test_Programs15"/>
      <sheetName val="Dados_BLP15"/>
      <sheetName val="Controls_data17"/>
      <sheetName val="FJJX_Bud_IB14"/>
      <sheetName val="look-up_data14"/>
      <sheetName val="JOB_PROFILE_-_LAS15"/>
      <sheetName val="ARdistr_(2)15"/>
      <sheetName val="Prd_Hierarchy(产品层级)14"/>
      <sheetName val="Com_(2PK)14"/>
      <sheetName val="Prd_Hierarchy(产品层次)14"/>
      <sheetName val="Project_Code14"/>
      <sheetName val="15년_BL_사계14"/>
      <sheetName val="_손익기01_XL14"/>
      <sheetName val="drop_down_list14"/>
      <sheetName val="[손익기01_XL_x005f_x0000__x005f_x0000_DePara14"/>
      <sheetName val="[손익기01_XL14"/>
      <sheetName val="Income_Stmt14"/>
      <sheetName val="Quarterly_LBO_Model14"/>
      <sheetName val="_손익기01_XL_x005f_x0000__x005f_x0000_DePara14"/>
      <sheetName val="Classification_分类13"/>
      <sheetName val="Figures_Report13"/>
      <sheetName val="Set_Up14"/>
      <sheetName val="Fare_prices13"/>
      <sheetName val="Hotel_prices13"/>
      <sheetName val="tab_STATUS_DO_PROCESSO_13"/>
      <sheetName val="Perf__Plan__Diário113"/>
      <sheetName val="In_(2)13"/>
      <sheetName val="slide_24_cat_A13"/>
      <sheetName val="slide_82_cat_b13"/>
      <sheetName val="Incident_유형구분표13"/>
      <sheetName val="CLASIFICACION_DE_AI13"/>
      <sheetName val="Base_da_Datos13"/>
      <sheetName val="Dados_dos_Produtos13"/>
      <sheetName val="DD_list13"/>
      <sheetName val="3YP2016-Bottom_up12"/>
      <sheetName val="MASTER_APP12"/>
      <sheetName val="Cond__Inseguros12"/>
      <sheetName val="Comp__Inseguros12"/>
      <sheetName val="Lista_de_datos12"/>
      <sheetName val="Base_de_Datos12"/>
      <sheetName val="_DD_List12"/>
      <sheetName val="Share_Price_200212"/>
      <sheetName val="Clasif_12"/>
      <sheetName val="Lista_CI12"/>
      <sheetName val="Farol_Acciones12"/>
      <sheetName val="Lista_de_Entrenamientos12"/>
      <sheetName val="Supply_Cost_Centers12"/>
      <sheetName val="BEP_加薪_KPI11"/>
      <sheetName val="2-2_투자5"/>
      <sheetName val="Proj__Fin_5"/>
      <sheetName val="ITS_Assumptions4"/>
      <sheetName val="Master_Data4"/>
      <sheetName val="HQ_급여_4"/>
      <sheetName val="OF_급여4"/>
      <sheetName val="F_Ma급여4"/>
      <sheetName val="SMT_급여4"/>
      <sheetName val="QC_급여4"/>
      <sheetName val="Sam_sung_급여4"/>
      <sheetName val="Dlock_급여4"/>
      <sheetName val="_thôi_việc_급여4"/>
      <sheetName val="Công_smt4"/>
      <sheetName val="Công_smt_(2)4"/>
      <sheetName val="Detail_smt4"/>
      <sheetName val="Công_QC4"/>
      <sheetName val="Detail_QC_4"/>
      <sheetName val="Công_SS4"/>
      <sheetName val="Detail_SS4"/>
      <sheetName val="Công_FMa4"/>
      <sheetName val="Detail_FMa4"/>
      <sheetName val="Công_OF4"/>
      <sheetName val="Detail_OF4"/>
      <sheetName val="Công_Dlock4"/>
      <sheetName val="Detail_Dlock4"/>
      <sheetName val="Công_thôi_việc4"/>
      <sheetName val="Detail_thôi4"/>
      <sheetName val="7_Utility_Analysis4"/>
      <sheetName val="Operational_Activities4"/>
      <sheetName val="기초정보_코드4"/>
      <sheetName val="1__작성방식5"/>
      <sheetName val="조도계산서_(도서)4"/>
      <sheetName val="C1_3_14"/>
      <sheetName val="준검_내역서4"/>
      <sheetName val="F_월별기성수금현황_4"/>
      <sheetName val="A(Rev_3)3"/>
      <sheetName val="날개수량1_54"/>
      <sheetName val="표)CFT장_조직별_배분5"/>
      <sheetName val="20180214_P&amp;T5"/>
      <sheetName val="Ref__중점_추진_과제별_상세5"/>
      <sheetName val="2_6_三无_(2)4"/>
      <sheetName val="Worker_List4"/>
      <sheetName val="GB-IC_Villingen_GG4"/>
      <sheetName val="입찰내역_Ĉ3"/>
      <sheetName val="6월_공嚺㓶가4"/>
      <sheetName val="보고서_표4"/>
      <sheetName val="0__가정_및_결론4"/>
      <sheetName val="1__투자비4"/>
      <sheetName val="2__Rent-roll4"/>
      <sheetName val="3__Funding4"/>
      <sheetName val="4__운영수익4"/>
      <sheetName val="5__운영비용4"/>
      <sheetName val="6_1_N+1년차_NOI_산정4"/>
      <sheetName val="6__부동산매각4"/>
      <sheetName val="7__보유세4"/>
      <sheetName val="8__교통유발부담금4"/>
      <sheetName val="9__BS부속4"/>
      <sheetName val="10__CF(M)4"/>
      <sheetName val="11__IS(M)4"/>
      <sheetName val="12__BS(M)4"/>
      <sheetName val="14__IS(FY)4"/>
      <sheetName val="13__CF(FY)4"/>
      <sheetName val="15__BS(FY)4"/>
      <sheetName val="16__RE(FY)4"/>
      <sheetName val="M&amp;Q_Lead4"/>
      <sheetName val="4_1_월별_에너지_사용량4"/>
      <sheetName val="Bank_code5"/>
      <sheetName val="Drop-down_RAW5"/>
      <sheetName val="산자사_운전용품3"/>
      <sheetName val="업무_분류(Category)3"/>
      <sheetName val="전기요금_산출내역2"/>
      <sheetName val="3_일반사상3"/>
      <sheetName val="부재료_비교(11년_vs_10년)9"/>
      <sheetName val="Dashboard_Prevención_Riesgos_11"/>
      <sheetName val="TOP_KPIs_MTM11"/>
      <sheetName val="PLAN_DE_ACCION11"/>
      <sheetName val="Faro_de_Indicadores11"/>
      <sheetName val="Unidades_SAC-REVENDA13"/>
      <sheetName val="FornecM_Check11"/>
      <sheetName val="Hazards_Analysis-隐患分析11"/>
      <sheetName val="F08_-_Asia_Pac_Full_Year_Q312"/>
      <sheetName val="Top_Priorities12"/>
      <sheetName val="Listco_Stock12"/>
      <sheetName val="Intl_Purchase12"/>
      <sheetName val="FY_outlook12"/>
      <sheetName val="CY_outlook12"/>
      <sheetName val="Cash_metrics12"/>
      <sheetName val="P6_712"/>
      <sheetName val="DATOS_BASE11"/>
      <sheetName val="Estratificación_AI11"/>
      <sheetName val="condicion_inseguras11"/>
      <sheetName val="Actos_Inseguros11"/>
      <sheetName val="Control_de_incidentes11"/>
      <sheetName val="Plan_de_Acción11"/>
      <sheetName val="_손익기01_XL_x005f_x005f_x005f_x0000__x005f_x005f_11"/>
      <sheetName val="Issues_List_Payments11"/>
      <sheetName val="turnover_reason퇴직사유11"/>
      <sheetName val="Grafica_Actos11"/>
      <sheetName val="POC_LIST11"/>
      <sheetName val="Condiciones_SyE11"/>
      <sheetName val="DETALLE_MENSUAL11"/>
      <sheetName val="do_not_delete11"/>
      <sheetName val="APAC_S11"/>
      <sheetName val="APAC_N11"/>
      <sheetName val="Slide_output11"/>
      <sheetName val="[손익기01_XL??DePara11"/>
      <sheetName val="Farol_Metas11"/>
      <sheetName val="Mod_Relac_11"/>
      <sheetName val="REALxMETA_-_CERVEJA13"/>
      <sheetName val="REALxMETA_-_REFRI13"/>
      <sheetName val="Directrices_de_Metas_201711"/>
      <sheetName val="SKU_Basic_Data11"/>
      <sheetName val="Entity_Target11"/>
      <sheetName val="VALIDACION_DE_DATOS10"/>
      <sheetName val="Drop-down_List10"/>
      <sheetName val="by_DD10"/>
      <sheetName val="Check_Qualidade9"/>
      <sheetName val="De_Para10"/>
      <sheetName val="Check_Aderencia9"/>
      <sheetName val="Exchange_rate5"/>
      <sheetName val="TOWER_12TON4"/>
      <sheetName val="TOWER_10TON4"/>
      <sheetName val="JIB_CRANE,HOIST4"/>
      <sheetName val="첨부#2_Cash_Flow(현장작성)3"/>
      <sheetName val="1~9_하중계산2"/>
      <sheetName val="1_수인터널3"/>
      <sheetName val="시스템_개요_유효값2"/>
      <sheetName val="Basic_Information5"/>
      <sheetName val="JT3_0견적-구12"/>
      <sheetName val="진행_DATA_(2)4"/>
      <sheetName val="Dropbox_목록3"/>
      <sheetName val="Investment_Category2"/>
      <sheetName val="Base_Farol9"/>
      <sheetName val="Gerencial_IL9"/>
      <sheetName val="Ventas_Campo9"/>
      <sheetName val="ACTOS_POR_RIESGO9"/>
      <sheetName val="drop_lists9"/>
      <sheetName val="MRL_NON_SUPPLY_URU9"/>
      <sheetName val="AIIM_-_Empresas_Ext_20129"/>
      <sheetName val="KPIs_Hana9"/>
      <sheetName val="Catalago_de_refacciones_9"/>
      <sheetName val="Existencias_al_07-Nov-20129"/>
      <sheetName val="Check_GG9"/>
      <sheetName val="_손익기01_XL_x005f_x0000__x09"/>
      <sheetName val="요일_테이블_9"/>
      <sheetName val="Nombre_de_SOP9"/>
      <sheetName val="_mngt_Pillar9"/>
      <sheetName val="2__Indicadores9"/>
      <sheetName val="Ta_9"/>
      <sheetName val="Sheet3_(2)9"/>
      <sheetName val="Lao_&amp;_Cam9"/>
      <sheetName val="Hoegaarden_20199"/>
      <sheetName val="Lao_&amp;_Cam_20199"/>
      <sheetName val="Malaysia_20199"/>
      <sheetName val="Singapore_20199"/>
      <sheetName val="Sheet2_(2)9"/>
      <sheetName val="Other_Listings9"/>
      <sheetName val="Lista_de_Entrenamientos_RSO9"/>
      <sheetName val="Tablero_SDG12"/>
      <sheetName val="Lista_Areas12"/>
      <sheetName val="One_Page12"/>
      <sheetName val="Sub-Productos_HN10"/>
      <sheetName val="Eficiencia_linea9"/>
      <sheetName val="Pauta_RPS_Distribuição8"/>
      <sheetName val="Estoque_(2)8"/>
      <sheetName val="DATOS_DE_VALIDACIÓN8"/>
      <sheetName val="Datos_con8"/>
      <sheetName val="_Datos_Cond_8"/>
      <sheetName val="Comp_Inseguros8"/>
      <sheetName val="BNR_2012_в_ящике8"/>
      <sheetName val="INGRESO_(2)8"/>
      <sheetName val="PG-K1610_(UEN_Areas)MNG8"/>
      <sheetName val="DATOS_GEN_8"/>
      <sheetName val="NUEVOS_CRITERIOS8"/>
      <sheetName val="Condiciones_Agua8"/>
      <sheetName val="DO_NOT_MOVE8"/>
      <sheetName val="Dropdown_list7"/>
      <sheetName val="Control_de_Fallas7"/>
      <sheetName val="Setup_for_Templates7"/>
      <sheetName val="Datos_emp7"/>
      <sheetName val="Drop_list7"/>
      <sheetName val="FX_Rates7"/>
      <sheetName val="Proced_7"/>
      <sheetName val="Cut_Machine_Summary7"/>
      <sheetName val="Validation_lists7"/>
      <sheetName val="__한국_AMP_ASP-23_판㧤가격__7"/>
      <sheetName val="11_䡸화채무줝ⴌ(AFS,HTM)087"/>
      <sheetName val="TIPO_DE_ACTO7"/>
      <sheetName val="CRITICIDAD_DE_CI7"/>
      <sheetName val="Catálogo_de_CI7"/>
      <sheetName val="%_CUMPLIMIENTO7"/>
      <sheetName val="%_cumplimiento_7"/>
      <sheetName val="CALIFICACIONES_20195"/>
      <sheetName val="Lev_4_360_deg_check_Crit_Task5"/>
      <sheetName val="Lev_4_Chk_IC_Stock_Crit_Task5"/>
      <sheetName val="Lev_4_WMS_Putaway_Crit_Task5"/>
      <sheetName val="Vagas_x_Candidatos7"/>
      <sheetName val="Listas_y_equipos_a_evaluar7"/>
      <sheetName val="Data_Reporte7"/>
      <sheetName val="Read_me7"/>
      <sheetName val="Champions_List6"/>
      <sheetName val="NAZ_Strategy5"/>
      <sheetName val="Daily_Dashboard7"/>
      <sheetName val="Mapeo_SKUs10"/>
      <sheetName val="Vol_(Ds)10"/>
      <sheetName val="Vol_(Ka)10"/>
      <sheetName val="Vol_(Oth)10"/>
      <sheetName val="Vol_(Oth)_Cortesias10"/>
      <sheetName val="INPUT-Cust_Sugg_Margin(Ds)10"/>
      <sheetName val="On_Invoice10"/>
      <sheetName val="INPUT-Cust_Sugg_Margin(Ka)10"/>
      <sheetName val="INPUT_SKUs10"/>
      <sheetName val="Brand_P&amp;L7"/>
      <sheetName val="SUPERMONT_P8"/>
      <sheetName val="Data_selection6"/>
      <sheetName val="1_6"/>
      <sheetName val="Customer_&amp;_SO5"/>
      <sheetName val="Session_Proposal5"/>
      <sheetName val="Dropdown_Menu3"/>
      <sheetName val="Análise_Tempos4"/>
      <sheetName val="Incentivo_Automóvil4"/>
      <sheetName val="PDA_BOP4"/>
      <sheetName val="Validação_de_Dados4"/>
      <sheetName val="No_llenar_4"/>
      <sheetName val="유류대_현황3"/>
      <sheetName val="1__템플릿3"/>
      <sheetName val="2__작성_참고사항3"/>
      <sheetName val="mapping_(2)3"/>
      <sheetName val="Ref_3"/>
      <sheetName val="Lista_de_Motivos4"/>
      <sheetName val="Ponto_Crítico_-_Resp__Plano4"/>
      <sheetName val="Lista_Funcionários_(2)4"/>
      <sheetName val="2_3_Projects_Status3"/>
      <sheetName val="PROCESS_MD4"/>
      <sheetName val="Consolidated_Project_List3"/>
      <sheetName val="Fixed_Cost3"/>
      <sheetName val="Project_List3"/>
      <sheetName val="Выпадающие_списки3"/>
      <sheetName val="Listas_desplegables3"/>
      <sheetName val="Resumen_General3"/>
      <sheetName val="Cátalogo_de_CI3"/>
      <sheetName val="Hoja2_(2)3"/>
      <sheetName val="Technology_check_list3"/>
      <sheetName val="Status_de_Usuario3"/>
      <sheetName val="Actos_y_Condiciones_3"/>
      <sheetName val="NO_BORRAR3"/>
      <sheetName val="Formato_checklist_Lab3"/>
      <sheetName val="SOP_Freshness2"/>
      <sheetName val="PAINEL_RECOLHA_CRÉDITO4"/>
      <sheetName val="Gráficos_-_CDD4"/>
      <sheetName val="3__Training_&amp;_travel5"/>
      <sheetName val="Dimension_IN_Sheet1!D19122"/>
      <sheetName val="Dimension_IN_19122"/>
      <sheetName val="Manage_to_Sustain2"/>
      <sheetName val="Meeting_List2"/>
      <sheetName val="Packages_Info2"/>
      <sheetName val="Preferred_Option2"/>
      <sheetName val="입문_트랜드(종합분석)2"/>
      <sheetName val="Master_CE2"/>
      <sheetName val="CE_Final_2"/>
      <sheetName val="OL_LIST2"/>
      <sheetName val="YTD_GUEST_LIST2"/>
      <sheetName val="Session_Full_list2"/>
      <sheetName val="FOOD_PAYMENT_update_JAN2"/>
      <sheetName val="Rate_card_F19_2"/>
      <sheetName val="Master_Plan__(update)2"/>
      <sheetName val="The_KPI_2"/>
      <sheetName val="Mentor_Plan_2"/>
      <sheetName val="Master_Plan_2"/>
      <sheetName val="Tier_1_GOV_PC_Networking_2"/>
      <sheetName val="Tier_1_LBO_2"/>
      <sheetName val="2020_MMR122"/>
      <sheetName val="Razão_Social2"/>
      <sheetName val="방배동내역_(총괄)2"/>
      <sheetName val="BSD_(2)2"/>
      <sheetName val="SRS_월별_BS3"/>
      <sheetName val="평가&amp;선급_미지급3"/>
      <sheetName val="EXC_IND2"/>
      <sheetName val="COLOR별_인쇄2"/>
      <sheetName val="Mot_So_Thuat_Ngu_EN-VI3"/>
      <sheetName val="노원열병합__건축공사기성내역서2"/>
      <sheetName val="3_공통공사대비2"/>
      <sheetName val="현장관리비_산출내역2"/>
      <sheetName val="무형자산_LS112"/>
      <sheetName val="NG_Item4"/>
      <sheetName val="NCR_HEC_6_Opens2"/>
      <sheetName val="NCR_HEC_4_Open_&amp;_Vendor_2_Open2"/>
      <sheetName val="수량산출서_(2)2"/>
      <sheetName val="첨부1-2__증감사유내역서(을)1"/>
      <sheetName val="경계석,골재외_(2)1"/>
      <sheetName val="Ref__Spec_Review_양식4"/>
      <sheetName val="Ref__시험항목_테이블4"/>
      <sheetName val="Ref__Search_Result_테이블4"/>
      <sheetName val="2_FM_Fee_2차년도2"/>
      <sheetName val="3_감가장비2"/>
      <sheetName val="10_예산_및_원가_계획(02년)2"/>
      <sheetName val="경영비율_3"/>
      <sheetName val="20년_동일기간_소테마2"/>
      <sheetName val="07_012"/>
      <sheetName val="3_판관비명세서1"/>
      <sheetName val="유효성_목록1"/>
      <sheetName val="총_원가계산1"/>
      <sheetName val="1_설계기준1"/>
      <sheetName val="UPA(Part_C,D,E,G,H)1"/>
      <sheetName val="UPA(Part_F)1"/>
      <sheetName val="일위대가_(Part_C,D,E,G,H)1"/>
      <sheetName val="완성차_미수금1"/>
      <sheetName val="Process_Li1"/>
      <sheetName val="sum_1"/>
      <sheetName val="운영경비_세부작성근거2"/>
      <sheetName val="카테고리_분류_(수정X)1"/>
      <sheetName val="▶_일일출역_집계_202108191433161"/>
      <sheetName val="Ⅴ-2_공종별내역1"/>
      <sheetName val="ITB_COST1"/>
      <sheetName val="견적_(2)1"/>
      <sheetName val="실행내역서_1"/>
      <sheetName val="단양_00_아파트-세부내역1"/>
      <sheetName val="KPIs-_TTP,_PTP,_People_Turnover"/>
      <sheetName val="1월_목표"/>
      <sheetName val="FILIAL_MINAS"/>
      <sheetName val="info_for_drop_box"/>
      <sheetName val="POCM_배송지"/>
      <sheetName val="데이터_유효성_목록"/>
      <sheetName val="Mapping_"/>
      <sheetName val="WS_DB"/>
      <sheetName val="Region_"/>
      <sheetName val="SKU_DB"/>
      <sheetName val="10_麦汁CIP清洗标准水量"/>
      <sheetName val="Tipo_Viaje"/>
      <sheetName val="Flota_y_Personal"/>
      <sheetName val="SAP_info"/>
      <sheetName val="Target_Book"/>
      <sheetName val="Name_List"/>
      <sheetName val="Ref_New_Contract_Model"/>
      <sheetName val="DIAGEO_VENTURE"/>
      <sheetName val="MAESTRO_CODIGOS"/>
      <sheetName val="Por_regional"/>
      <sheetName val="Por_Proveedor"/>
      <sheetName val="X_Categoria"/>
      <sheetName val="Por_Vendedor"/>
      <sheetName val="Por_Mayoristas"/>
      <sheetName val="Por_Cliente"/>
      <sheetName val="Por_producto"/>
      <sheetName val="Por_producto_cant_"/>
      <sheetName val="Por_producto_cant__(2)"/>
      <sheetName val="Por_Vendedor_X_Ciudad"/>
      <sheetName val="Act_por_cliente"/>
      <sheetName val="Act_por_Proveedor"/>
      <sheetName val="Act_por_producto"/>
      <sheetName val="제임스짐_예상매출_for_2023B"/>
      <sheetName val="ACTIVITY_CODE_&amp;_AREA_LIST"/>
      <sheetName val="Noncurrent_assets"/>
      <sheetName val="1)_MALL"/>
      <sheetName val="2_Consideration_sheet1"/>
      <sheetName val="3__Export1"/>
      <sheetName val="표지_(3)"/>
      <sheetName val="Act_vs__budget"/>
      <sheetName val="a_연결정리"/>
      <sheetName val="2021_KPI_SD_(대표이사)"/>
      <sheetName val="_손익기01_XL__DePara1"/>
      <sheetName val="Ⅱ_추정종합"/>
      <sheetName val="96보완계획7_121"/>
      <sheetName val="97_사업추정(W؀"/>
      <sheetName val="3BL공동구_수량"/>
      <sheetName val="NON_SLIP"/>
      <sheetName val="Criteria_List"/>
      <sheetName val="DATA_SHEET(절대삭제_금지)"/>
      <sheetName val="Spreadsheet_Information"/>
      <sheetName val="VS_P-Q"/>
      <sheetName val="Electrical_Load_List"/>
      <sheetName val="_손익기01_XL_x005f_x0000__x8"/>
      <sheetName val="_x0000__x005f"/>
      <sheetName val="_x005f_x0018__x005f"/>
      <sheetName val="[손익기01_XL_x0000__x0000_DePara12"/>
      <sheetName val="_손익기01_XL_x0000__x0000_DePara12"/>
      <sheetName val="_손익기01_XL_x005f_x0000__x9"/>
      <sheetName val="_손익기01_XL_x0000__x07"/>
      <sheetName val="[손익기01_XL_x0000__x0000_DePara13"/>
      <sheetName val="_손익기01_XL_x0000__x0000_DePara13"/>
      <sheetName val="_손익기01_XL_x005f_x0000__10"/>
      <sheetName val="_손익기01_XL_x0000__x08"/>
      <sheetName val="종합표양식(품의좲?쒥⠀쮎_x001d__x0000__x0000_"/>
      <sheetName val="_x0000__x00_x0000__x0000__x0000_"/>
      <sheetName val="[손익기01_XL_x0000__x0000_DePara14"/>
      <sheetName val="_손익기01_XL_x0000__x0000_DePara14"/>
      <sheetName val="_손익기01_XL_x005f_x0000__11"/>
      <sheetName val="_손익기01_XL_x0000__x09"/>
      <sheetName val="6PILE__(?ㆥ堀"/>
      <sheetName val="차도부연장현황"/>
      <sheetName val="인제내역"/>
      <sheetName val="OUTER_AREA(_x0000__x0000_Ԁ_x0000_ "/>
      <sheetName val="OUTER_AREA(_x0000__x0000_Ԁ_x0000_퀀"/>
      <sheetName val="OUTER_AREA(_x0000__x0000_Ԁ_x0000_ꀀ"/>
      <sheetName val="OUTER_AREA(_x0000__x0000_Ԁ_x0000_䀀"/>
      <sheetName val="총제품수불"/>
      <sheetName val="재고선1"/>
      <sheetName val="연차일수"/>
      <sheetName val="기본자료"/>
      <sheetName val="Attach 4-18"/>
      <sheetName val="_손익기01_XL__DePara2"/>
      <sheetName val="_손익기01_XL__DePara3"/>
      <sheetName val="_손익기01_XL__DePara4"/>
      <sheetName val="_손익기01_XL__DePara5"/>
      <sheetName val="_손익기01_XL__DePara6"/>
      <sheetName val="_손익기01_XL__DePara7"/>
      <sheetName val="_손익기01_XL__DePara8"/>
      <sheetName val="Planilha_relts__eos7"/>
      <sheetName val="_손익기01_XL__DePara9"/>
      <sheetName val="슬래_"/>
      <sheetName val="_손익기01_XL__DePara10"/>
      <sheetName val="95년12월말"/>
      <sheetName val="수리결과"/>
      <sheetName val="Notes"/>
      <sheetName val="적용단가표 (2)"/>
      <sheetName val="을"/>
      <sheetName val="생계99ST"/>
      <sheetName val="SHAFT"/>
      <sheetName val="수량집계"/>
      <sheetName val="개요DATA, 인건비 변경(화성비봉)"/>
      <sheetName val="단위세대 마감(용인역북)"/>
      <sheetName val="승강기 산출 data ( 화성비봉)"/>
      <sheetName val="특화 DATA(화성비봉"/>
      <sheetName val="경관심의 검토"/>
      <sheetName val="심의관련 추가"/>
      <sheetName val="광주용두-대비"/>
      <sheetName val="세대 (1단지)"/>
      <sheetName val="대비 (2)"/>
      <sheetName val="업무연덽_(2)9"/>
      <sheetName val="일위_파일"/>
      <sheetName val="REQUEST"/>
      <sheetName val="VC"/>
      <sheetName val="XL4Poppy"/>
      <sheetName val="_x0000_ "/>
      <sheetName val="_x0000__x0009_"/>
      <sheetName val="실행간萹_x0014_旄"/>
      <sheetName val="실행간萹į㿔"/>
      <sheetName val="실행간萹⼴"/>
      <sheetName val="실행간萹%ㄤ"/>
      <sheetName val="실행간萹ç⽄"/>
      <sheetName val="실행간萹Ľ≌"/>
      <sheetName val="실행간萹Ăㇴ"/>
      <sheetName val="실행간萹à⌌"/>
      <sheetName val="실행간萹Ó㋄"/>
      <sheetName val="실행간萹Ĭ㈤"/>
      <sheetName val="실행간_x0000__x0000__x0005_"/>
      <sheetName val="Report"/>
      <sheetName val="손익(11)_수출포_x0000_"/>
      <sheetName val="영업.일1"/>
      <sheetName val="제조원가계산"/>
      <sheetName val="품목별매출"/>
      <sheetName val="A-41"/>
      <sheetName val="주요지표"/>
      <sheetName val=" PL"/>
      <sheetName val="매출액명세"/>
      <sheetName val="매출원가명세"/>
      <sheetName val="매출이익명세"/>
      <sheetName val="판관비-공통"/>
      <sheetName val="판관비-기타경비명세"/>
      <sheetName val="기타&amp;특별수지 명세"/>
      <sheetName val="매출채권산출"/>
      <sheetName val="재고자산산출"/>
      <sheetName val="수입계획"/>
      <sheetName val="매입채무산출"/>
      <sheetName val="이자비용"/>
      <sheetName val="BS계정"/>
      <sheetName val="ROIC"/>
      <sheetName val=" Cash Flow"/>
      <sheetName val="Sensible Indicator"/>
      <sheetName val="원가계산"/>
      <sheetName val="2001Org"/>
      <sheetName val="신규단가 #1"/>
      <sheetName val="외장판넬 내역서"/>
      <sheetName val="가압장(토목)"/>
      <sheetName val="투찰가"/>
      <sheetName val="____01_XL_x005f_x005f_x005f_x0000__x005f_x005f__2"/>
      <sheetName val="____01_XL_x005f_x005f_x005f_x0000__x005f_x005f__3"/>
      <sheetName val="____01_XL_x005f_x005f_x005f_x0000__x005f_x005f__4"/>
      <sheetName val="____01_XL_x005f_x005f_x005f_x0000__x005f_x005f__5"/>
      <sheetName val="____01_XL_x005f_x005f_x005f_x0000__x005f_x005f__6"/>
      <sheetName val="____01_XL_x005f_x005f_x005f_x0000__x005f_x005f__7"/>
      <sheetName val="U-TYPE(1)"/>
      <sheetName val="_손익기01_XL_x005f_x0000__x005f_x005f_x1"/>
      <sheetName val="_손익기01_XL_x005f_x0000__x005f_x005f_x2"/>
      <sheetName val="_손익기01_XL_x005f_x0000__x005f_x005f_x3"/>
      <sheetName val="Planilha_relts?eos7"/>
      <sheetName val="_손익기01_XL_x005f_x0000__x005f_x005f_x4"/>
      <sheetName val="_손익기01_XL_x005f_x0000__x005f_x005f_x5"/>
      <sheetName val="_손익기01_XL_x005f_x0000__x005f_x005f_x6"/>
      <sheetName val="_손익기01_XL_x005f_x0000__x005f_x005f_x7"/>
      <sheetName val="_손익기01_XL_x005f_x0000__x005f_x005f_x8"/>
      <sheetName val="_손익기01_XL_x005f_x0000__x005f_x005f_x9"/>
      <sheetName val="_손익기01_XL_x005f_x0000__x005f_x005f_10"/>
      <sheetName val="변동인Ã"/>
      <sheetName val="변동인´"/>
      <sheetName val="변동인Ý"/>
      <sheetName val="전체공정표"/>
      <sheetName val="익산"/>
      <sheetName val="anti-termite"/>
      <sheetName val="Manpower costs + data"/>
      <sheetName val="10.Linkway"/>
      <sheetName val="Project Name"/>
      <sheetName val="Deliver Date"/>
      <sheetName val="Staff"/>
      <sheetName val="Prelim"/>
      <sheetName val="SUMMARY(S)"/>
      <sheetName val="96.12"/>
      <sheetName val="신규공종"/>
      <sheetName val="Field"/>
      <sheetName val="TA10"/>
      <sheetName val="Ma CV"/>
      <sheetName val="샤워실위생"/>
      <sheetName val="※ 코드"/>
      <sheetName val="0201"/>
      <sheetName val="공통자료"/>
      <sheetName val="C&amp;C유형"/>
      <sheetName val="C021(SEAT ASSY) "/>
      <sheetName val="PCS"/>
      <sheetName val="인천제철"/>
      <sheetName val="7_공사비집记ଯ_x0000_ᤅ೟翷_x0000_"/>
      <sheetName val="스테인리스 (일위대가)"/>
      <sheetName val="스테인리스 (일위대가) 요약"/>
      <sheetName val="기성청구°_x0000__x0000__x0000_"/>
      <sheetName val="0000"/>
      <sheetName val="장비 (2)"/>
      <sheetName val="총괄BOQ"/>
      <sheetName val="Prime"/>
      <sheetName val="Subprime"/>
      <sheetName val="Auswahl"/>
      <sheetName val="이자율"/>
      <sheetName val="계림(함평)"/>
      <sheetName val="계림(장성)"/>
      <sheetName val="종현황"/>
      <sheetName val="단가비교표"/>
      <sheetName val="몰드시스_x0000__x0000_ɧ_x0000__x0000__x0000_"/>
      <sheetName val="소상 &quot;1&quot;"/>
      <sheetName val="자재 집계표"/>
      <sheetName val="5_추정_x0000__x0000__x0000__x0000_"/>
      <sheetName val="材料费"/>
      <sheetName val="FORM-0"/>
      <sheetName val="공정-일반MG"/>
      <sheetName val="아파트진행률"/>
      <sheetName val="운행일지"/>
      <sheetName val="상품보조수불"/>
      <sheetName val="design load"/>
      <sheetName val="stability check"/>
      <sheetName val="설계기준"/>
      <sheetName val="내역1"/>
      <sheetName val="AN-01"/>
      <sheetName val="기준액"/>
      <sheetName val="내역서(재노경)"/>
      <sheetName val="부하"/>
      <sheetName val="Sheet420"/>
      <sheetName val="안성 주기장 개발"/>
      <sheetName val="입찰내역 ︀폕ԯ_x0000_缀_x0000_"/>
      <sheetName val="ARP"/>
      <sheetName val="1-1.교육 일정표(지점도약)"/>
      <sheetName val="전체"/>
      <sheetName val="토목내역"/>
      <sheetName val="EL_표剱_x0010_"/>
      <sheetName val="수량증감"/>
      <sheetName val="b_balju_(2_x0000_"/>
      <sheetName val="b_balju_(2_xdc80_"/>
      <sheetName val="MOTOR"/>
      <sheetName val="5.전사투자계획종함안"/>
      <sheetName val="계약변경요청서"/>
      <sheetName val="Default"/>
      <sheetName val="dongia (2)"/>
      <sheetName val="1_종합손익탬됊혁酧"/>
      <sheetName val="1_종합손익훬酧"/>
      <sheetName val="1_종합손익("/>
      <sheetName val="종합표양식(품의_&amp;¾"/>
      <sheetName val="갑 지 (비계미포함)"/>
      <sheetName val="3. GROUNDING SYSTEM"/>
      <sheetName val="단가입력창"/>
      <sheetName val="주식배당"/>
      <sheetName val="재료집계"/>
      <sheetName val="K55수출"/>
      <sheetName val="表21_净利润_xdac0_㹛+"/>
      <sheetName val="공예을"/>
      <sheetName val="전산품의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/>
      <sheetData sheetId="1214"/>
      <sheetData sheetId="1215"/>
      <sheetData sheetId="1216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/>
      <sheetData sheetId="1414"/>
      <sheetData sheetId="1415"/>
      <sheetData sheetId="1416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/>
      <sheetData sheetId="1425" refreshError="1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/>
      <sheetData sheetId="1787" refreshError="1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/>
      <sheetData sheetId="2106"/>
      <sheetData sheetId="2107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/>
      <sheetData sheetId="2434"/>
      <sheetData sheetId="2435"/>
      <sheetData sheetId="2436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/>
      <sheetData sheetId="2524"/>
      <sheetData sheetId="2525"/>
      <sheetData sheetId="2526"/>
      <sheetData sheetId="2527"/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/>
      <sheetData sheetId="2665" refreshError="1"/>
      <sheetData sheetId="2666" refreshError="1"/>
      <sheetData sheetId="2667" refreshError="1"/>
      <sheetData sheetId="2668" refreshError="1"/>
      <sheetData sheetId="2669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/>
      <sheetData sheetId="2716"/>
      <sheetData sheetId="2717"/>
      <sheetData sheetId="2718" refreshError="1"/>
      <sheetData sheetId="2719" refreshError="1"/>
      <sheetData sheetId="2720" refreshError="1"/>
      <sheetData sheetId="2721" refreshError="1"/>
      <sheetData sheetId="2722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/>
      <sheetData sheetId="2799"/>
      <sheetData sheetId="2800"/>
      <sheetData sheetId="2801"/>
      <sheetData sheetId="2802"/>
      <sheetData sheetId="2803"/>
      <sheetData sheetId="2804"/>
      <sheetData sheetId="2805"/>
      <sheetData sheetId="2806"/>
      <sheetData sheetId="2807"/>
      <sheetData sheetId="2808"/>
      <sheetData sheetId="2809"/>
      <sheetData sheetId="2810"/>
      <sheetData sheetId="281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/>
      <sheetData sheetId="2838"/>
      <sheetData sheetId="2839"/>
      <sheetData sheetId="2840"/>
      <sheetData sheetId="2841"/>
      <sheetData sheetId="2842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/>
      <sheetData sheetId="2877"/>
      <sheetData sheetId="2878"/>
      <sheetData sheetId="2879"/>
      <sheetData sheetId="2880"/>
      <sheetData sheetId="2881"/>
      <sheetData sheetId="2882"/>
      <sheetData sheetId="2883"/>
      <sheetData sheetId="2884"/>
      <sheetData sheetId="2885"/>
      <sheetData sheetId="2886"/>
      <sheetData sheetId="2887"/>
      <sheetData sheetId="2888"/>
      <sheetData sheetId="2889"/>
      <sheetData sheetId="2890"/>
      <sheetData sheetId="2891"/>
      <sheetData sheetId="2892"/>
      <sheetData sheetId="2893"/>
      <sheetData sheetId="2894"/>
      <sheetData sheetId="2895"/>
      <sheetData sheetId="2896"/>
      <sheetData sheetId="2897"/>
      <sheetData sheetId="2898"/>
      <sheetData sheetId="2899"/>
      <sheetData sheetId="2900"/>
      <sheetData sheetId="2901"/>
      <sheetData sheetId="2902"/>
      <sheetData sheetId="2903"/>
      <sheetData sheetId="2904"/>
      <sheetData sheetId="2905"/>
      <sheetData sheetId="2906"/>
      <sheetData sheetId="2907"/>
      <sheetData sheetId="2908"/>
      <sheetData sheetId="2909"/>
      <sheetData sheetId="2910"/>
      <sheetData sheetId="2911"/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/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/>
      <sheetData sheetId="2947"/>
      <sheetData sheetId="2948"/>
      <sheetData sheetId="2949"/>
      <sheetData sheetId="2950"/>
      <sheetData sheetId="2951"/>
      <sheetData sheetId="2952"/>
      <sheetData sheetId="2953"/>
      <sheetData sheetId="2954"/>
      <sheetData sheetId="2955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/>
      <sheetData sheetId="2968"/>
      <sheetData sheetId="2969"/>
      <sheetData sheetId="2970"/>
      <sheetData sheetId="2971"/>
      <sheetData sheetId="2972"/>
      <sheetData sheetId="2973"/>
      <sheetData sheetId="2974"/>
      <sheetData sheetId="2975"/>
      <sheetData sheetId="2976"/>
      <sheetData sheetId="2977"/>
      <sheetData sheetId="2978"/>
      <sheetData sheetId="2979"/>
      <sheetData sheetId="2980"/>
      <sheetData sheetId="2981"/>
      <sheetData sheetId="2982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/>
      <sheetData sheetId="2999"/>
      <sheetData sheetId="3000"/>
      <sheetData sheetId="300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/>
      <sheetData sheetId="3019" refreshError="1"/>
      <sheetData sheetId="3020" refreshError="1"/>
      <sheetData sheetId="3021" refreshError="1"/>
      <sheetData sheetId="3022" refreshError="1"/>
      <sheetData sheetId="3023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/>
      <sheetData sheetId="3032"/>
      <sheetData sheetId="3033"/>
      <sheetData sheetId="3034"/>
      <sheetData sheetId="3035"/>
      <sheetData sheetId="3036"/>
      <sheetData sheetId="3037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/>
      <sheetData sheetId="3114"/>
      <sheetData sheetId="3115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/>
      <sheetData sheetId="3125" refreshError="1"/>
      <sheetData sheetId="3126" refreshError="1"/>
      <sheetData sheetId="3127" refreshError="1"/>
      <sheetData sheetId="3128" refreshError="1"/>
      <sheetData sheetId="3129"/>
      <sheetData sheetId="3130"/>
      <sheetData sheetId="3131" refreshError="1"/>
      <sheetData sheetId="3132" refreshError="1"/>
      <sheetData sheetId="3133" refreshError="1"/>
      <sheetData sheetId="3134" refreshError="1"/>
      <sheetData sheetId="3135"/>
      <sheetData sheetId="3136"/>
      <sheetData sheetId="3137"/>
      <sheetData sheetId="3138" refreshError="1"/>
      <sheetData sheetId="3139"/>
      <sheetData sheetId="3140"/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/>
      <sheetData sheetId="3150"/>
      <sheetData sheetId="3151"/>
      <sheetData sheetId="3152"/>
      <sheetData sheetId="3153"/>
      <sheetData sheetId="3154"/>
      <sheetData sheetId="3155"/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/>
      <sheetData sheetId="3167"/>
      <sheetData sheetId="3168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/>
      <sheetData sheetId="3215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/>
      <sheetData sheetId="3226"/>
      <sheetData sheetId="3227"/>
      <sheetData sheetId="3228"/>
      <sheetData sheetId="3229"/>
      <sheetData sheetId="3230"/>
      <sheetData sheetId="3231"/>
      <sheetData sheetId="3232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/>
      <sheetData sheetId="3242"/>
      <sheetData sheetId="3243"/>
      <sheetData sheetId="3244"/>
      <sheetData sheetId="3245"/>
      <sheetData sheetId="3246"/>
      <sheetData sheetId="3247"/>
      <sheetData sheetId="3248"/>
      <sheetData sheetId="3249"/>
      <sheetData sheetId="3250"/>
      <sheetData sheetId="3251"/>
      <sheetData sheetId="3252"/>
      <sheetData sheetId="3253"/>
      <sheetData sheetId="3254"/>
      <sheetData sheetId="3255"/>
      <sheetData sheetId="3256"/>
      <sheetData sheetId="3257"/>
      <sheetData sheetId="3258"/>
      <sheetData sheetId="3259"/>
      <sheetData sheetId="3260"/>
      <sheetData sheetId="3261"/>
      <sheetData sheetId="3262"/>
      <sheetData sheetId="3263"/>
      <sheetData sheetId="3264"/>
      <sheetData sheetId="3265"/>
      <sheetData sheetId="3266"/>
      <sheetData sheetId="3267"/>
      <sheetData sheetId="3268"/>
      <sheetData sheetId="3269"/>
      <sheetData sheetId="3270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/>
      <sheetData sheetId="3284"/>
      <sheetData sheetId="3285"/>
      <sheetData sheetId="3286"/>
      <sheetData sheetId="3287"/>
      <sheetData sheetId="3288"/>
      <sheetData sheetId="3289"/>
      <sheetData sheetId="3290"/>
      <sheetData sheetId="3291"/>
      <sheetData sheetId="3292"/>
      <sheetData sheetId="3293"/>
      <sheetData sheetId="3294"/>
      <sheetData sheetId="3295"/>
      <sheetData sheetId="3296"/>
      <sheetData sheetId="3297"/>
      <sheetData sheetId="3298"/>
      <sheetData sheetId="3299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/>
      <sheetData sheetId="3306"/>
      <sheetData sheetId="3307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/>
      <sheetData sheetId="3408"/>
      <sheetData sheetId="3409"/>
      <sheetData sheetId="3410"/>
      <sheetData sheetId="3411"/>
      <sheetData sheetId="3412"/>
      <sheetData sheetId="3413"/>
      <sheetData sheetId="3414"/>
      <sheetData sheetId="3415"/>
      <sheetData sheetId="3416"/>
      <sheetData sheetId="3417"/>
      <sheetData sheetId="3418"/>
      <sheetData sheetId="3419"/>
      <sheetData sheetId="3420"/>
      <sheetData sheetId="3421"/>
      <sheetData sheetId="3422"/>
      <sheetData sheetId="3423"/>
      <sheetData sheetId="3424"/>
      <sheetData sheetId="3425"/>
      <sheetData sheetId="3426"/>
      <sheetData sheetId="3427"/>
      <sheetData sheetId="3428"/>
      <sheetData sheetId="3429"/>
      <sheetData sheetId="3430"/>
      <sheetData sheetId="343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/>
      <sheetData sheetId="3520"/>
      <sheetData sheetId="3521"/>
      <sheetData sheetId="3522"/>
      <sheetData sheetId="3523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/>
      <sheetData sheetId="3533"/>
      <sheetData sheetId="3534"/>
      <sheetData sheetId="3535"/>
      <sheetData sheetId="3536"/>
      <sheetData sheetId="3537"/>
      <sheetData sheetId="3538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/>
      <sheetData sheetId="3548"/>
      <sheetData sheetId="3549"/>
      <sheetData sheetId="3550"/>
      <sheetData sheetId="3551"/>
      <sheetData sheetId="3552"/>
      <sheetData sheetId="3553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/>
      <sheetData sheetId="3560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/>
      <sheetData sheetId="3572"/>
      <sheetData sheetId="3573"/>
      <sheetData sheetId="3574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/>
      <sheetData sheetId="3643"/>
      <sheetData sheetId="3644"/>
      <sheetData sheetId="3645"/>
      <sheetData sheetId="3646"/>
      <sheetData sheetId="3647"/>
      <sheetData sheetId="3648"/>
      <sheetData sheetId="3649"/>
      <sheetData sheetId="3650"/>
      <sheetData sheetId="3651"/>
      <sheetData sheetId="3652"/>
      <sheetData sheetId="3653"/>
      <sheetData sheetId="3654"/>
      <sheetData sheetId="3655"/>
      <sheetData sheetId="3656"/>
      <sheetData sheetId="3657"/>
      <sheetData sheetId="3658"/>
      <sheetData sheetId="3659"/>
      <sheetData sheetId="3660"/>
      <sheetData sheetId="3661"/>
      <sheetData sheetId="3662"/>
      <sheetData sheetId="3663"/>
      <sheetData sheetId="3664"/>
      <sheetData sheetId="3665"/>
      <sheetData sheetId="3666"/>
      <sheetData sheetId="3667"/>
      <sheetData sheetId="3668"/>
      <sheetData sheetId="3669"/>
      <sheetData sheetId="3670"/>
      <sheetData sheetId="3671"/>
      <sheetData sheetId="3672"/>
      <sheetData sheetId="3673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/>
      <sheetData sheetId="3688"/>
      <sheetData sheetId="3689"/>
      <sheetData sheetId="3690"/>
      <sheetData sheetId="3691"/>
      <sheetData sheetId="3692"/>
      <sheetData sheetId="3693"/>
      <sheetData sheetId="3694"/>
      <sheetData sheetId="3695"/>
      <sheetData sheetId="3696"/>
      <sheetData sheetId="3697"/>
      <sheetData sheetId="3698"/>
      <sheetData sheetId="3699"/>
      <sheetData sheetId="3700"/>
      <sheetData sheetId="3701"/>
      <sheetData sheetId="3702"/>
      <sheetData sheetId="3703"/>
      <sheetData sheetId="3704"/>
      <sheetData sheetId="3705"/>
      <sheetData sheetId="3706"/>
      <sheetData sheetId="3707"/>
      <sheetData sheetId="3708"/>
      <sheetData sheetId="3709"/>
      <sheetData sheetId="3710"/>
      <sheetData sheetId="3711"/>
      <sheetData sheetId="3712"/>
      <sheetData sheetId="3713"/>
      <sheetData sheetId="3714"/>
      <sheetData sheetId="3715"/>
      <sheetData sheetId="3716"/>
      <sheetData sheetId="3717"/>
      <sheetData sheetId="3718"/>
      <sheetData sheetId="3719"/>
      <sheetData sheetId="3720"/>
      <sheetData sheetId="3721"/>
      <sheetData sheetId="3722"/>
      <sheetData sheetId="3723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/>
      <sheetData sheetId="3764"/>
      <sheetData sheetId="3765"/>
      <sheetData sheetId="3766"/>
      <sheetData sheetId="3767"/>
      <sheetData sheetId="3768"/>
      <sheetData sheetId="3769"/>
      <sheetData sheetId="3770"/>
      <sheetData sheetId="3771"/>
      <sheetData sheetId="3772"/>
      <sheetData sheetId="3773"/>
      <sheetData sheetId="3774"/>
      <sheetData sheetId="3775"/>
      <sheetData sheetId="3776"/>
      <sheetData sheetId="3777"/>
      <sheetData sheetId="3778"/>
      <sheetData sheetId="3779"/>
      <sheetData sheetId="3780"/>
      <sheetData sheetId="3781"/>
      <sheetData sheetId="3782"/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/>
      <sheetData sheetId="3799"/>
      <sheetData sheetId="3800"/>
      <sheetData sheetId="3801"/>
      <sheetData sheetId="3802"/>
      <sheetData sheetId="3803"/>
      <sheetData sheetId="3804"/>
      <sheetData sheetId="3805"/>
      <sheetData sheetId="3806"/>
      <sheetData sheetId="3807"/>
      <sheetData sheetId="3808"/>
      <sheetData sheetId="3809"/>
      <sheetData sheetId="3810"/>
      <sheetData sheetId="3811"/>
      <sheetData sheetId="3812"/>
      <sheetData sheetId="3813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/>
      <sheetData sheetId="3874"/>
      <sheetData sheetId="3875"/>
      <sheetData sheetId="3876"/>
      <sheetData sheetId="3877"/>
      <sheetData sheetId="3878"/>
      <sheetData sheetId="3879"/>
      <sheetData sheetId="3880"/>
      <sheetData sheetId="3881"/>
      <sheetData sheetId="3882"/>
      <sheetData sheetId="3883"/>
      <sheetData sheetId="3884"/>
      <sheetData sheetId="3885"/>
      <sheetData sheetId="3886"/>
      <sheetData sheetId="3887"/>
      <sheetData sheetId="3888"/>
      <sheetData sheetId="3889"/>
      <sheetData sheetId="3890"/>
      <sheetData sheetId="389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/>
      <sheetData sheetId="3904"/>
      <sheetData sheetId="3905"/>
      <sheetData sheetId="3906"/>
      <sheetData sheetId="3907"/>
      <sheetData sheetId="3908"/>
      <sheetData sheetId="3909"/>
      <sheetData sheetId="3910"/>
      <sheetData sheetId="3911"/>
      <sheetData sheetId="3912"/>
      <sheetData sheetId="3913"/>
      <sheetData sheetId="3914"/>
      <sheetData sheetId="3915"/>
      <sheetData sheetId="3916"/>
      <sheetData sheetId="3917"/>
      <sheetData sheetId="3918"/>
      <sheetData sheetId="3919"/>
      <sheetData sheetId="3920"/>
      <sheetData sheetId="3921"/>
      <sheetData sheetId="3922"/>
      <sheetData sheetId="3923"/>
      <sheetData sheetId="3924"/>
      <sheetData sheetId="3925"/>
      <sheetData sheetId="3926"/>
      <sheetData sheetId="3927"/>
      <sheetData sheetId="3928"/>
      <sheetData sheetId="3929"/>
      <sheetData sheetId="3930"/>
      <sheetData sheetId="3931"/>
      <sheetData sheetId="3932"/>
      <sheetData sheetId="3933"/>
      <sheetData sheetId="3934"/>
      <sheetData sheetId="3935"/>
      <sheetData sheetId="3936"/>
      <sheetData sheetId="3937"/>
      <sheetData sheetId="3938"/>
      <sheetData sheetId="3939"/>
      <sheetData sheetId="3940"/>
      <sheetData sheetId="3941"/>
      <sheetData sheetId="3942"/>
      <sheetData sheetId="3943"/>
      <sheetData sheetId="3944"/>
      <sheetData sheetId="3945"/>
      <sheetData sheetId="3946"/>
      <sheetData sheetId="3947"/>
      <sheetData sheetId="3948"/>
      <sheetData sheetId="3949"/>
      <sheetData sheetId="3950"/>
      <sheetData sheetId="3951"/>
      <sheetData sheetId="3952"/>
      <sheetData sheetId="3953"/>
      <sheetData sheetId="3954"/>
      <sheetData sheetId="3955"/>
      <sheetData sheetId="3956"/>
      <sheetData sheetId="3957"/>
      <sheetData sheetId="3958"/>
      <sheetData sheetId="3959"/>
      <sheetData sheetId="3960"/>
      <sheetData sheetId="3961"/>
      <sheetData sheetId="3962"/>
      <sheetData sheetId="3963"/>
      <sheetData sheetId="3964"/>
      <sheetData sheetId="3965"/>
      <sheetData sheetId="3966"/>
      <sheetData sheetId="3967"/>
      <sheetData sheetId="3968"/>
      <sheetData sheetId="3969"/>
      <sheetData sheetId="3970"/>
      <sheetData sheetId="3971"/>
      <sheetData sheetId="3972"/>
      <sheetData sheetId="3973"/>
      <sheetData sheetId="3974"/>
      <sheetData sheetId="3975"/>
      <sheetData sheetId="3976"/>
      <sheetData sheetId="3977"/>
      <sheetData sheetId="3978"/>
      <sheetData sheetId="3979"/>
      <sheetData sheetId="3980"/>
      <sheetData sheetId="3981"/>
      <sheetData sheetId="3982"/>
      <sheetData sheetId="3983"/>
      <sheetData sheetId="3984"/>
      <sheetData sheetId="3985"/>
      <sheetData sheetId="3986"/>
      <sheetData sheetId="3987"/>
      <sheetData sheetId="3988"/>
      <sheetData sheetId="3989"/>
      <sheetData sheetId="3990"/>
      <sheetData sheetId="3991"/>
      <sheetData sheetId="3992"/>
      <sheetData sheetId="3993"/>
      <sheetData sheetId="3994"/>
      <sheetData sheetId="3995"/>
      <sheetData sheetId="3996"/>
      <sheetData sheetId="3997"/>
      <sheetData sheetId="3998"/>
      <sheetData sheetId="3999"/>
      <sheetData sheetId="4000"/>
      <sheetData sheetId="4001"/>
      <sheetData sheetId="4002"/>
      <sheetData sheetId="4003"/>
      <sheetData sheetId="4004"/>
      <sheetData sheetId="4005"/>
      <sheetData sheetId="4006"/>
      <sheetData sheetId="4007"/>
      <sheetData sheetId="4008"/>
      <sheetData sheetId="4009"/>
      <sheetData sheetId="4010"/>
      <sheetData sheetId="4011"/>
      <sheetData sheetId="4012"/>
      <sheetData sheetId="4013"/>
      <sheetData sheetId="4014"/>
      <sheetData sheetId="4015"/>
      <sheetData sheetId="4016"/>
      <sheetData sheetId="4017"/>
      <sheetData sheetId="4018"/>
      <sheetData sheetId="4019"/>
      <sheetData sheetId="4020"/>
      <sheetData sheetId="4021"/>
      <sheetData sheetId="4022"/>
      <sheetData sheetId="4023"/>
      <sheetData sheetId="4024"/>
      <sheetData sheetId="4025"/>
      <sheetData sheetId="4026"/>
      <sheetData sheetId="4027"/>
      <sheetData sheetId="4028"/>
      <sheetData sheetId="4029"/>
      <sheetData sheetId="4030"/>
      <sheetData sheetId="4031"/>
      <sheetData sheetId="4032"/>
      <sheetData sheetId="4033"/>
      <sheetData sheetId="4034"/>
      <sheetData sheetId="4035"/>
      <sheetData sheetId="4036"/>
      <sheetData sheetId="4037"/>
      <sheetData sheetId="4038"/>
      <sheetData sheetId="4039"/>
      <sheetData sheetId="4040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/>
      <sheetData sheetId="4051"/>
      <sheetData sheetId="4052"/>
      <sheetData sheetId="4053"/>
      <sheetData sheetId="4054"/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/>
      <sheetData sheetId="4064"/>
      <sheetData sheetId="4065"/>
      <sheetData sheetId="4066"/>
      <sheetData sheetId="4067"/>
      <sheetData sheetId="4068"/>
      <sheetData sheetId="4069"/>
      <sheetData sheetId="4070"/>
      <sheetData sheetId="4071"/>
      <sheetData sheetId="4072"/>
      <sheetData sheetId="4073"/>
      <sheetData sheetId="4074"/>
      <sheetData sheetId="4075"/>
      <sheetData sheetId="4076"/>
      <sheetData sheetId="4077"/>
      <sheetData sheetId="4078"/>
      <sheetData sheetId="4079"/>
      <sheetData sheetId="4080"/>
      <sheetData sheetId="4081"/>
      <sheetData sheetId="4082"/>
      <sheetData sheetId="4083"/>
      <sheetData sheetId="4084"/>
      <sheetData sheetId="4085"/>
      <sheetData sheetId="4086"/>
      <sheetData sheetId="4087"/>
      <sheetData sheetId="4088"/>
      <sheetData sheetId="4089"/>
      <sheetData sheetId="4090"/>
      <sheetData sheetId="4091"/>
      <sheetData sheetId="4092"/>
      <sheetData sheetId="4093"/>
      <sheetData sheetId="4094"/>
      <sheetData sheetId="4095"/>
      <sheetData sheetId="4096"/>
      <sheetData sheetId="4097"/>
      <sheetData sheetId="4098"/>
      <sheetData sheetId="4099"/>
      <sheetData sheetId="4100"/>
      <sheetData sheetId="4101"/>
      <sheetData sheetId="4102"/>
      <sheetData sheetId="4103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/>
      <sheetData sheetId="4126"/>
      <sheetData sheetId="4127"/>
      <sheetData sheetId="4128"/>
      <sheetData sheetId="4129"/>
      <sheetData sheetId="4130"/>
      <sheetData sheetId="4131"/>
      <sheetData sheetId="4132"/>
      <sheetData sheetId="4133"/>
      <sheetData sheetId="4134"/>
      <sheetData sheetId="4135"/>
      <sheetData sheetId="4136"/>
      <sheetData sheetId="4137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/>
      <sheetData sheetId="4178"/>
      <sheetData sheetId="4179"/>
      <sheetData sheetId="4180"/>
      <sheetData sheetId="4181"/>
      <sheetData sheetId="4182"/>
      <sheetData sheetId="4183"/>
      <sheetData sheetId="4184"/>
      <sheetData sheetId="4185"/>
      <sheetData sheetId="4186"/>
      <sheetData sheetId="4187"/>
      <sheetData sheetId="4188"/>
      <sheetData sheetId="4189"/>
      <sheetData sheetId="4190"/>
      <sheetData sheetId="4191"/>
      <sheetData sheetId="4192"/>
      <sheetData sheetId="4193"/>
      <sheetData sheetId="4194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  <sheetData sheetId="4233"/>
      <sheetData sheetId="4234"/>
      <sheetData sheetId="4235"/>
      <sheetData sheetId="4236"/>
      <sheetData sheetId="4237"/>
      <sheetData sheetId="4238"/>
      <sheetData sheetId="4239"/>
      <sheetData sheetId="4240"/>
      <sheetData sheetId="4241"/>
      <sheetData sheetId="4242"/>
      <sheetData sheetId="4243" refreshError="1"/>
      <sheetData sheetId="4244" refreshError="1"/>
      <sheetData sheetId="4245" refreshError="1"/>
      <sheetData sheetId="4246" refreshError="1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/>
      <sheetData sheetId="4255"/>
      <sheetData sheetId="4256"/>
      <sheetData sheetId="4257" refreshError="1"/>
      <sheetData sheetId="4258" refreshError="1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/>
      <sheetData sheetId="4280"/>
      <sheetData sheetId="4281"/>
      <sheetData sheetId="4282"/>
      <sheetData sheetId="4283"/>
      <sheetData sheetId="4284"/>
      <sheetData sheetId="4285"/>
      <sheetData sheetId="4286"/>
      <sheetData sheetId="4287"/>
      <sheetData sheetId="4288"/>
      <sheetData sheetId="4289"/>
      <sheetData sheetId="4290"/>
      <sheetData sheetId="4291"/>
      <sheetData sheetId="4292"/>
      <sheetData sheetId="4293"/>
      <sheetData sheetId="4294"/>
      <sheetData sheetId="4295"/>
      <sheetData sheetId="4296"/>
      <sheetData sheetId="4297"/>
      <sheetData sheetId="4298"/>
      <sheetData sheetId="4299"/>
      <sheetData sheetId="4300"/>
      <sheetData sheetId="4301"/>
      <sheetData sheetId="4302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/>
      <sheetData sheetId="4312"/>
      <sheetData sheetId="4313"/>
      <sheetData sheetId="4314"/>
      <sheetData sheetId="4315"/>
      <sheetData sheetId="4316"/>
      <sheetData sheetId="4317"/>
      <sheetData sheetId="4318"/>
      <sheetData sheetId="4319"/>
      <sheetData sheetId="4320"/>
      <sheetData sheetId="4321"/>
      <sheetData sheetId="4322"/>
      <sheetData sheetId="4323"/>
      <sheetData sheetId="4324"/>
      <sheetData sheetId="4325"/>
      <sheetData sheetId="4326"/>
      <sheetData sheetId="4327"/>
      <sheetData sheetId="4328"/>
      <sheetData sheetId="4329"/>
      <sheetData sheetId="4330"/>
      <sheetData sheetId="4331"/>
      <sheetData sheetId="4332"/>
      <sheetData sheetId="4333"/>
      <sheetData sheetId="4334"/>
      <sheetData sheetId="4335"/>
      <sheetData sheetId="4336"/>
      <sheetData sheetId="4337"/>
      <sheetData sheetId="4338"/>
      <sheetData sheetId="4339"/>
      <sheetData sheetId="4340"/>
      <sheetData sheetId="4341"/>
      <sheetData sheetId="4342"/>
      <sheetData sheetId="4343"/>
      <sheetData sheetId="4344"/>
      <sheetData sheetId="4345"/>
      <sheetData sheetId="4346"/>
      <sheetData sheetId="4347"/>
      <sheetData sheetId="4348"/>
      <sheetData sheetId="4349"/>
      <sheetData sheetId="4350"/>
      <sheetData sheetId="4351"/>
      <sheetData sheetId="4352"/>
      <sheetData sheetId="4353"/>
      <sheetData sheetId="4354"/>
      <sheetData sheetId="4355"/>
      <sheetData sheetId="4356"/>
      <sheetData sheetId="4357"/>
      <sheetData sheetId="4358"/>
      <sheetData sheetId="4359"/>
      <sheetData sheetId="4360"/>
      <sheetData sheetId="4361"/>
      <sheetData sheetId="4362"/>
      <sheetData sheetId="4363"/>
      <sheetData sheetId="4364"/>
      <sheetData sheetId="4365"/>
      <sheetData sheetId="4366"/>
      <sheetData sheetId="4367"/>
      <sheetData sheetId="4368"/>
      <sheetData sheetId="4369"/>
      <sheetData sheetId="4370"/>
      <sheetData sheetId="4371"/>
      <sheetData sheetId="4372"/>
      <sheetData sheetId="4373"/>
      <sheetData sheetId="4374"/>
      <sheetData sheetId="4375"/>
      <sheetData sheetId="4376"/>
      <sheetData sheetId="4377"/>
      <sheetData sheetId="4378"/>
      <sheetData sheetId="4379"/>
      <sheetData sheetId="4380"/>
      <sheetData sheetId="4381"/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/>
      <sheetData sheetId="4391"/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/>
      <sheetData sheetId="4408"/>
      <sheetData sheetId="4409"/>
      <sheetData sheetId="4410"/>
      <sheetData sheetId="4411"/>
      <sheetData sheetId="4412"/>
      <sheetData sheetId="4413"/>
      <sheetData sheetId="4414"/>
      <sheetData sheetId="4415"/>
      <sheetData sheetId="4416"/>
      <sheetData sheetId="4417"/>
      <sheetData sheetId="4418"/>
      <sheetData sheetId="4419"/>
      <sheetData sheetId="4420"/>
      <sheetData sheetId="4421"/>
      <sheetData sheetId="4422"/>
      <sheetData sheetId="4423"/>
      <sheetData sheetId="4424"/>
      <sheetData sheetId="4425"/>
      <sheetData sheetId="4426"/>
      <sheetData sheetId="4427"/>
      <sheetData sheetId="4428"/>
      <sheetData sheetId="4429"/>
      <sheetData sheetId="4430"/>
      <sheetData sheetId="4431"/>
      <sheetData sheetId="4432"/>
      <sheetData sheetId="4433"/>
      <sheetData sheetId="4434"/>
      <sheetData sheetId="4435"/>
      <sheetData sheetId="4436"/>
      <sheetData sheetId="4437"/>
      <sheetData sheetId="4438"/>
      <sheetData sheetId="4439"/>
      <sheetData sheetId="4440"/>
      <sheetData sheetId="4441"/>
      <sheetData sheetId="4442"/>
      <sheetData sheetId="4443"/>
      <sheetData sheetId="4444"/>
      <sheetData sheetId="4445"/>
      <sheetData sheetId="4446"/>
      <sheetData sheetId="4447"/>
      <sheetData sheetId="4448"/>
      <sheetData sheetId="4449"/>
      <sheetData sheetId="4450"/>
      <sheetData sheetId="4451"/>
      <sheetData sheetId="4452"/>
      <sheetData sheetId="4453"/>
      <sheetData sheetId="4454"/>
      <sheetData sheetId="4455"/>
      <sheetData sheetId="4456" refreshError="1"/>
      <sheetData sheetId="4457" refreshError="1"/>
      <sheetData sheetId="4458"/>
      <sheetData sheetId="4459"/>
      <sheetData sheetId="4460"/>
      <sheetData sheetId="4461"/>
      <sheetData sheetId="4462"/>
      <sheetData sheetId="4463"/>
      <sheetData sheetId="4464"/>
      <sheetData sheetId="4465"/>
      <sheetData sheetId="4466"/>
      <sheetData sheetId="4467"/>
      <sheetData sheetId="4468"/>
      <sheetData sheetId="4469"/>
      <sheetData sheetId="4470"/>
      <sheetData sheetId="4471"/>
      <sheetData sheetId="4472"/>
      <sheetData sheetId="4473"/>
      <sheetData sheetId="4474"/>
      <sheetData sheetId="4475"/>
      <sheetData sheetId="4476"/>
      <sheetData sheetId="4477"/>
      <sheetData sheetId="4478"/>
      <sheetData sheetId="4479"/>
      <sheetData sheetId="4480"/>
      <sheetData sheetId="4481"/>
      <sheetData sheetId="4482"/>
      <sheetData sheetId="4483"/>
      <sheetData sheetId="4484"/>
      <sheetData sheetId="4485"/>
      <sheetData sheetId="4486"/>
      <sheetData sheetId="4487"/>
      <sheetData sheetId="4488"/>
      <sheetData sheetId="4489"/>
      <sheetData sheetId="4490"/>
      <sheetData sheetId="4491"/>
      <sheetData sheetId="4492"/>
      <sheetData sheetId="4493"/>
      <sheetData sheetId="4494"/>
      <sheetData sheetId="4495"/>
      <sheetData sheetId="4496"/>
      <sheetData sheetId="4497"/>
      <sheetData sheetId="4498"/>
      <sheetData sheetId="4499"/>
      <sheetData sheetId="4500"/>
      <sheetData sheetId="4501"/>
      <sheetData sheetId="4502"/>
      <sheetData sheetId="4503"/>
      <sheetData sheetId="4504"/>
      <sheetData sheetId="4505"/>
      <sheetData sheetId="4506"/>
      <sheetData sheetId="4507"/>
      <sheetData sheetId="4508"/>
      <sheetData sheetId="4509"/>
      <sheetData sheetId="4510"/>
      <sheetData sheetId="4511"/>
      <sheetData sheetId="4512"/>
      <sheetData sheetId="4513"/>
      <sheetData sheetId="4514"/>
      <sheetData sheetId="4515"/>
      <sheetData sheetId="4516"/>
      <sheetData sheetId="4517"/>
      <sheetData sheetId="4518"/>
      <sheetData sheetId="4519"/>
      <sheetData sheetId="4520"/>
      <sheetData sheetId="4521"/>
      <sheetData sheetId="4522"/>
      <sheetData sheetId="4523"/>
      <sheetData sheetId="4524"/>
      <sheetData sheetId="4525"/>
      <sheetData sheetId="4526"/>
      <sheetData sheetId="4527"/>
      <sheetData sheetId="4528"/>
      <sheetData sheetId="4529"/>
      <sheetData sheetId="4530"/>
      <sheetData sheetId="4531"/>
      <sheetData sheetId="4532"/>
      <sheetData sheetId="4533"/>
      <sheetData sheetId="4534"/>
      <sheetData sheetId="4535"/>
      <sheetData sheetId="4536"/>
      <sheetData sheetId="4537"/>
      <sheetData sheetId="4538"/>
      <sheetData sheetId="4539"/>
      <sheetData sheetId="4540"/>
      <sheetData sheetId="4541"/>
      <sheetData sheetId="4542"/>
      <sheetData sheetId="4543"/>
      <sheetData sheetId="4544"/>
      <sheetData sheetId="4545"/>
      <sheetData sheetId="4546"/>
      <sheetData sheetId="4547"/>
      <sheetData sheetId="4548"/>
      <sheetData sheetId="4549"/>
      <sheetData sheetId="4550"/>
      <sheetData sheetId="4551"/>
      <sheetData sheetId="4552"/>
      <sheetData sheetId="4553"/>
      <sheetData sheetId="4554"/>
      <sheetData sheetId="4555"/>
      <sheetData sheetId="4556"/>
      <sheetData sheetId="4557"/>
      <sheetData sheetId="4558"/>
      <sheetData sheetId="4559"/>
      <sheetData sheetId="4560" refreshError="1"/>
      <sheetData sheetId="4561" refreshError="1"/>
      <sheetData sheetId="4562" refreshError="1"/>
      <sheetData sheetId="4563" refreshError="1"/>
      <sheetData sheetId="4564"/>
      <sheetData sheetId="4565"/>
      <sheetData sheetId="4566"/>
      <sheetData sheetId="4567"/>
      <sheetData sheetId="4568"/>
      <sheetData sheetId="4569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/>
      <sheetData sheetId="4609"/>
      <sheetData sheetId="4610"/>
      <sheetData sheetId="4611"/>
      <sheetData sheetId="4612"/>
      <sheetData sheetId="4613"/>
      <sheetData sheetId="4614"/>
      <sheetData sheetId="4615"/>
      <sheetData sheetId="4616"/>
      <sheetData sheetId="4617"/>
      <sheetData sheetId="4618"/>
      <sheetData sheetId="4619"/>
      <sheetData sheetId="4620"/>
      <sheetData sheetId="4621"/>
      <sheetData sheetId="4622"/>
      <sheetData sheetId="4623"/>
      <sheetData sheetId="4624"/>
      <sheetData sheetId="4625"/>
      <sheetData sheetId="4626"/>
      <sheetData sheetId="4627"/>
      <sheetData sheetId="4628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 refreshError="1"/>
      <sheetData sheetId="4728" refreshError="1"/>
      <sheetData sheetId="4729" refreshError="1"/>
      <sheetData sheetId="4730" refreshError="1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 refreshError="1"/>
      <sheetData sheetId="4738" refreshError="1"/>
      <sheetData sheetId="4739" refreshError="1"/>
      <sheetData sheetId="4740" refreshError="1"/>
      <sheetData sheetId="4741" refreshError="1"/>
      <sheetData sheetId="4742" refreshError="1"/>
      <sheetData sheetId="4743" refreshError="1"/>
      <sheetData sheetId="4744" refreshError="1"/>
      <sheetData sheetId="4745" refreshError="1"/>
      <sheetData sheetId="4746" refreshError="1"/>
      <sheetData sheetId="4747" refreshError="1"/>
      <sheetData sheetId="4748" refreshError="1"/>
      <sheetData sheetId="4749" refreshError="1"/>
      <sheetData sheetId="4750" refreshError="1"/>
      <sheetData sheetId="4751" refreshError="1"/>
      <sheetData sheetId="4752" refreshError="1"/>
      <sheetData sheetId="4753" refreshError="1"/>
      <sheetData sheetId="4754" refreshError="1"/>
      <sheetData sheetId="4755" refreshError="1"/>
      <sheetData sheetId="4756" refreshError="1"/>
      <sheetData sheetId="4757" refreshError="1"/>
      <sheetData sheetId="4758" refreshError="1"/>
      <sheetData sheetId="4759" refreshError="1"/>
      <sheetData sheetId="4760" refreshError="1"/>
      <sheetData sheetId="4761" refreshError="1"/>
      <sheetData sheetId="4762" refreshError="1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 refreshError="1"/>
      <sheetData sheetId="4780" refreshError="1"/>
      <sheetData sheetId="4781" refreshError="1"/>
      <sheetData sheetId="4782" refreshError="1"/>
      <sheetData sheetId="4783" refreshError="1"/>
      <sheetData sheetId="4784" refreshError="1"/>
      <sheetData sheetId="4785" refreshError="1"/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 refreshError="1"/>
      <sheetData sheetId="4876" refreshError="1"/>
      <sheetData sheetId="4877" refreshError="1"/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 refreshError="1"/>
      <sheetData sheetId="4885" refreshError="1"/>
      <sheetData sheetId="4886" refreshError="1"/>
      <sheetData sheetId="4887" refreshError="1"/>
      <sheetData sheetId="4888" refreshError="1"/>
      <sheetData sheetId="4889" refreshError="1"/>
      <sheetData sheetId="4890" refreshError="1"/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 refreshError="1"/>
      <sheetData sheetId="4911" refreshError="1"/>
      <sheetData sheetId="4912" refreshError="1"/>
      <sheetData sheetId="4913" refreshError="1"/>
      <sheetData sheetId="4914" refreshError="1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 refreshError="1"/>
      <sheetData sheetId="4929" refreshError="1"/>
      <sheetData sheetId="4930" refreshError="1"/>
      <sheetData sheetId="4931" refreshError="1"/>
      <sheetData sheetId="4932" refreshError="1"/>
      <sheetData sheetId="4933" refreshError="1"/>
      <sheetData sheetId="4934" refreshError="1"/>
      <sheetData sheetId="4935" refreshError="1"/>
      <sheetData sheetId="4936" refreshError="1"/>
      <sheetData sheetId="4937" refreshError="1"/>
      <sheetData sheetId="4938" refreshError="1"/>
      <sheetData sheetId="4939" refreshError="1"/>
      <sheetData sheetId="4940" refreshError="1"/>
      <sheetData sheetId="4941" refreshError="1"/>
      <sheetData sheetId="4942" refreshError="1"/>
      <sheetData sheetId="4943" refreshError="1"/>
      <sheetData sheetId="4944" refreshError="1"/>
      <sheetData sheetId="4945" refreshError="1"/>
      <sheetData sheetId="4946" refreshError="1"/>
      <sheetData sheetId="4947" refreshError="1"/>
      <sheetData sheetId="4948" refreshError="1"/>
      <sheetData sheetId="4949" refreshError="1"/>
      <sheetData sheetId="4950" refreshError="1"/>
      <sheetData sheetId="4951" refreshError="1"/>
      <sheetData sheetId="4952" refreshError="1"/>
      <sheetData sheetId="4953" refreshError="1"/>
      <sheetData sheetId="4954" refreshError="1"/>
      <sheetData sheetId="4955" refreshError="1"/>
      <sheetData sheetId="4956" refreshError="1"/>
      <sheetData sheetId="4957" refreshError="1"/>
      <sheetData sheetId="4958"/>
      <sheetData sheetId="4959"/>
      <sheetData sheetId="4960"/>
      <sheetData sheetId="4961"/>
      <sheetData sheetId="4962"/>
      <sheetData sheetId="4963"/>
      <sheetData sheetId="4964"/>
      <sheetData sheetId="4965"/>
      <sheetData sheetId="4966"/>
      <sheetData sheetId="4967"/>
      <sheetData sheetId="4968"/>
      <sheetData sheetId="4969"/>
      <sheetData sheetId="4970"/>
      <sheetData sheetId="4971"/>
      <sheetData sheetId="4972" refreshError="1"/>
      <sheetData sheetId="4973" refreshError="1"/>
      <sheetData sheetId="4974"/>
      <sheetData sheetId="4975"/>
      <sheetData sheetId="4976"/>
      <sheetData sheetId="4977"/>
      <sheetData sheetId="4978"/>
      <sheetData sheetId="4979"/>
      <sheetData sheetId="4980"/>
      <sheetData sheetId="4981"/>
      <sheetData sheetId="4982"/>
      <sheetData sheetId="4983"/>
      <sheetData sheetId="4984"/>
      <sheetData sheetId="4985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/>
      <sheetData sheetId="4997"/>
      <sheetData sheetId="4998"/>
      <sheetData sheetId="4999"/>
      <sheetData sheetId="5000"/>
      <sheetData sheetId="5001"/>
      <sheetData sheetId="5002"/>
      <sheetData sheetId="5003"/>
      <sheetData sheetId="5004"/>
      <sheetData sheetId="5005"/>
      <sheetData sheetId="5006"/>
      <sheetData sheetId="5007"/>
      <sheetData sheetId="5008"/>
      <sheetData sheetId="5009"/>
      <sheetData sheetId="5010"/>
      <sheetData sheetId="5011"/>
      <sheetData sheetId="5012"/>
      <sheetData sheetId="5013"/>
      <sheetData sheetId="5014"/>
      <sheetData sheetId="5015"/>
      <sheetData sheetId="5016"/>
      <sheetData sheetId="5017"/>
      <sheetData sheetId="5018"/>
      <sheetData sheetId="5019"/>
      <sheetData sheetId="5020"/>
      <sheetData sheetId="5021"/>
      <sheetData sheetId="5022"/>
      <sheetData sheetId="5023"/>
      <sheetData sheetId="5024"/>
      <sheetData sheetId="5025"/>
      <sheetData sheetId="5026"/>
      <sheetData sheetId="5027"/>
      <sheetData sheetId="5028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/>
      <sheetData sheetId="5061"/>
      <sheetData sheetId="5062"/>
      <sheetData sheetId="5063"/>
      <sheetData sheetId="5064"/>
      <sheetData sheetId="5065"/>
      <sheetData sheetId="5066"/>
      <sheetData sheetId="5067"/>
      <sheetData sheetId="5068"/>
      <sheetData sheetId="5069"/>
      <sheetData sheetId="5070"/>
      <sheetData sheetId="5071"/>
      <sheetData sheetId="5072"/>
      <sheetData sheetId="5073"/>
      <sheetData sheetId="5074"/>
      <sheetData sheetId="5075"/>
      <sheetData sheetId="5076"/>
      <sheetData sheetId="5077"/>
      <sheetData sheetId="5078"/>
      <sheetData sheetId="5079"/>
      <sheetData sheetId="5080"/>
      <sheetData sheetId="5081"/>
      <sheetData sheetId="5082"/>
      <sheetData sheetId="5083"/>
      <sheetData sheetId="5084"/>
      <sheetData sheetId="5085"/>
      <sheetData sheetId="5086"/>
      <sheetData sheetId="5087"/>
      <sheetData sheetId="5088"/>
      <sheetData sheetId="5089"/>
      <sheetData sheetId="5090"/>
      <sheetData sheetId="5091"/>
      <sheetData sheetId="5092"/>
      <sheetData sheetId="5093"/>
      <sheetData sheetId="5094"/>
      <sheetData sheetId="5095"/>
      <sheetData sheetId="5096"/>
      <sheetData sheetId="5097"/>
      <sheetData sheetId="5098"/>
      <sheetData sheetId="5099"/>
      <sheetData sheetId="5100"/>
      <sheetData sheetId="5101"/>
      <sheetData sheetId="5102"/>
      <sheetData sheetId="5103"/>
      <sheetData sheetId="5104"/>
      <sheetData sheetId="5105"/>
      <sheetData sheetId="5106"/>
      <sheetData sheetId="5107"/>
      <sheetData sheetId="5108"/>
      <sheetData sheetId="5109"/>
      <sheetData sheetId="5110"/>
      <sheetData sheetId="5111"/>
      <sheetData sheetId="5112"/>
      <sheetData sheetId="5113"/>
      <sheetData sheetId="5114"/>
      <sheetData sheetId="5115"/>
      <sheetData sheetId="5116"/>
      <sheetData sheetId="5117"/>
      <sheetData sheetId="5118"/>
      <sheetData sheetId="5119"/>
      <sheetData sheetId="5120"/>
      <sheetData sheetId="5121"/>
      <sheetData sheetId="5122"/>
      <sheetData sheetId="5123"/>
      <sheetData sheetId="5124"/>
      <sheetData sheetId="5125"/>
      <sheetData sheetId="5126"/>
      <sheetData sheetId="5127"/>
      <sheetData sheetId="5128"/>
      <sheetData sheetId="5129"/>
      <sheetData sheetId="5130"/>
      <sheetData sheetId="5131"/>
      <sheetData sheetId="5132"/>
      <sheetData sheetId="5133"/>
      <sheetData sheetId="5134"/>
      <sheetData sheetId="5135"/>
      <sheetData sheetId="5136"/>
      <sheetData sheetId="5137"/>
      <sheetData sheetId="5138"/>
      <sheetData sheetId="5139"/>
      <sheetData sheetId="5140"/>
      <sheetData sheetId="5141"/>
      <sheetData sheetId="5142"/>
      <sheetData sheetId="5143"/>
      <sheetData sheetId="5144"/>
      <sheetData sheetId="5145"/>
      <sheetData sheetId="5146"/>
      <sheetData sheetId="5147"/>
      <sheetData sheetId="5148"/>
      <sheetData sheetId="5149"/>
      <sheetData sheetId="5150"/>
      <sheetData sheetId="5151"/>
      <sheetData sheetId="5152"/>
      <sheetData sheetId="5153"/>
      <sheetData sheetId="5154"/>
      <sheetData sheetId="5155"/>
      <sheetData sheetId="5156"/>
      <sheetData sheetId="5157"/>
      <sheetData sheetId="5158"/>
      <sheetData sheetId="5159"/>
      <sheetData sheetId="5160"/>
      <sheetData sheetId="5161"/>
      <sheetData sheetId="5162"/>
      <sheetData sheetId="5163"/>
      <sheetData sheetId="5164"/>
      <sheetData sheetId="5165"/>
      <sheetData sheetId="5166"/>
      <sheetData sheetId="5167"/>
      <sheetData sheetId="5168"/>
      <sheetData sheetId="5169"/>
      <sheetData sheetId="5170"/>
      <sheetData sheetId="5171"/>
      <sheetData sheetId="5172"/>
      <sheetData sheetId="5173"/>
      <sheetData sheetId="5174"/>
      <sheetData sheetId="5175"/>
      <sheetData sheetId="5176"/>
      <sheetData sheetId="5177"/>
      <sheetData sheetId="5178"/>
      <sheetData sheetId="5179"/>
      <sheetData sheetId="5180"/>
      <sheetData sheetId="5181"/>
      <sheetData sheetId="5182"/>
      <sheetData sheetId="5183"/>
      <sheetData sheetId="5184"/>
      <sheetData sheetId="5185"/>
      <sheetData sheetId="5186"/>
      <sheetData sheetId="5187"/>
      <sheetData sheetId="5188"/>
      <sheetData sheetId="5189"/>
      <sheetData sheetId="5190"/>
      <sheetData sheetId="5191"/>
      <sheetData sheetId="5192"/>
      <sheetData sheetId="5193"/>
      <sheetData sheetId="5194"/>
      <sheetData sheetId="5195"/>
      <sheetData sheetId="5196"/>
      <sheetData sheetId="5197"/>
      <sheetData sheetId="5198"/>
      <sheetData sheetId="5199"/>
      <sheetData sheetId="5200"/>
      <sheetData sheetId="5201"/>
      <sheetData sheetId="5202"/>
      <sheetData sheetId="5203"/>
      <sheetData sheetId="5204"/>
      <sheetData sheetId="5205"/>
      <sheetData sheetId="5206"/>
      <sheetData sheetId="5207"/>
      <sheetData sheetId="5208"/>
      <sheetData sheetId="5209"/>
      <sheetData sheetId="5210"/>
      <sheetData sheetId="5211"/>
      <sheetData sheetId="5212"/>
      <sheetData sheetId="5213"/>
      <sheetData sheetId="5214"/>
      <sheetData sheetId="5215"/>
      <sheetData sheetId="5216"/>
      <sheetData sheetId="5217"/>
      <sheetData sheetId="5218"/>
      <sheetData sheetId="5219"/>
      <sheetData sheetId="5220"/>
      <sheetData sheetId="5221"/>
      <sheetData sheetId="5222"/>
      <sheetData sheetId="5223"/>
      <sheetData sheetId="5224"/>
      <sheetData sheetId="5225"/>
      <sheetData sheetId="5226"/>
      <sheetData sheetId="5227"/>
      <sheetData sheetId="5228"/>
      <sheetData sheetId="5229"/>
      <sheetData sheetId="5230"/>
      <sheetData sheetId="5231"/>
      <sheetData sheetId="5232"/>
      <sheetData sheetId="5233"/>
      <sheetData sheetId="5234"/>
      <sheetData sheetId="5235"/>
      <sheetData sheetId="5236"/>
      <sheetData sheetId="5237"/>
      <sheetData sheetId="5238"/>
      <sheetData sheetId="5239"/>
      <sheetData sheetId="5240"/>
      <sheetData sheetId="5241"/>
      <sheetData sheetId="5242"/>
      <sheetData sheetId="5243"/>
      <sheetData sheetId="5244"/>
      <sheetData sheetId="5245"/>
      <sheetData sheetId="5246"/>
      <sheetData sheetId="5247"/>
      <sheetData sheetId="5248"/>
      <sheetData sheetId="5249"/>
      <sheetData sheetId="5250"/>
      <sheetData sheetId="5251"/>
      <sheetData sheetId="5252"/>
      <sheetData sheetId="5253"/>
      <sheetData sheetId="5254"/>
      <sheetData sheetId="5255"/>
      <sheetData sheetId="5256"/>
      <sheetData sheetId="5257"/>
      <sheetData sheetId="5258"/>
      <sheetData sheetId="5259"/>
      <sheetData sheetId="5260"/>
      <sheetData sheetId="5261"/>
      <sheetData sheetId="5262"/>
      <sheetData sheetId="5263"/>
      <sheetData sheetId="5264"/>
      <sheetData sheetId="5265"/>
      <sheetData sheetId="5266"/>
      <sheetData sheetId="5267"/>
      <sheetData sheetId="5268"/>
      <sheetData sheetId="5269"/>
      <sheetData sheetId="5270"/>
      <sheetData sheetId="5271"/>
      <sheetData sheetId="5272"/>
      <sheetData sheetId="5273"/>
      <sheetData sheetId="5274"/>
      <sheetData sheetId="5275"/>
      <sheetData sheetId="5276"/>
      <sheetData sheetId="5277"/>
      <sheetData sheetId="5278"/>
      <sheetData sheetId="5279"/>
      <sheetData sheetId="5280"/>
      <sheetData sheetId="5281"/>
      <sheetData sheetId="5282"/>
      <sheetData sheetId="5283"/>
      <sheetData sheetId="5284"/>
      <sheetData sheetId="5285"/>
      <sheetData sheetId="5286"/>
      <sheetData sheetId="5287"/>
      <sheetData sheetId="5288"/>
      <sheetData sheetId="5289"/>
      <sheetData sheetId="5290"/>
      <sheetData sheetId="5291"/>
      <sheetData sheetId="5292"/>
      <sheetData sheetId="5293"/>
      <sheetData sheetId="5294"/>
      <sheetData sheetId="5295"/>
      <sheetData sheetId="5296"/>
      <sheetData sheetId="5297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 refreshError="1"/>
      <sheetData sheetId="5304" refreshError="1"/>
      <sheetData sheetId="5305" refreshError="1"/>
      <sheetData sheetId="5306" refreshError="1"/>
      <sheetData sheetId="5307" refreshError="1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/>
      <sheetData sheetId="5342"/>
      <sheetData sheetId="5343"/>
      <sheetData sheetId="5344"/>
      <sheetData sheetId="5345"/>
      <sheetData sheetId="5346"/>
      <sheetData sheetId="5347"/>
      <sheetData sheetId="5348"/>
      <sheetData sheetId="5349"/>
      <sheetData sheetId="5350"/>
      <sheetData sheetId="5351"/>
      <sheetData sheetId="5352"/>
      <sheetData sheetId="5353"/>
      <sheetData sheetId="5354"/>
      <sheetData sheetId="5355"/>
      <sheetData sheetId="5356"/>
      <sheetData sheetId="5357"/>
      <sheetData sheetId="5358"/>
      <sheetData sheetId="5359"/>
      <sheetData sheetId="5360"/>
      <sheetData sheetId="5361"/>
      <sheetData sheetId="5362"/>
      <sheetData sheetId="5363"/>
      <sheetData sheetId="5364"/>
      <sheetData sheetId="5365"/>
      <sheetData sheetId="5366"/>
      <sheetData sheetId="5367"/>
      <sheetData sheetId="5368"/>
      <sheetData sheetId="5369"/>
      <sheetData sheetId="5370"/>
      <sheetData sheetId="5371"/>
      <sheetData sheetId="5372"/>
      <sheetData sheetId="5373"/>
      <sheetData sheetId="5374"/>
      <sheetData sheetId="5375"/>
      <sheetData sheetId="5376" refreshError="1"/>
      <sheetData sheetId="5377" refreshError="1"/>
      <sheetData sheetId="5378" refreshError="1"/>
      <sheetData sheetId="5379" refreshError="1"/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 refreshError="1"/>
      <sheetData sheetId="5398" refreshError="1"/>
      <sheetData sheetId="5399" refreshError="1"/>
      <sheetData sheetId="5400" refreshError="1"/>
      <sheetData sheetId="5401" refreshError="1"/>
      <sheetData sheetId="5402" refreshError="1"/>
      <sheetData sheetId="5403" refreshError="1"/>
      <sheetData sheetId="5404" refreshError="1"/>
      <sheetData sheetId="5405" refreshError="1"/>
      <sheetData sheetId="5406" refreshError="1"/>
      <sheetData sheetId="5407" refreshError="1"/>
      <sheetData sheetId="5408" refreshError="1"/>
      <sheetData sheetId="5409"/>
      <sheetData sheetId="5410"/>
      <sheetData sheetId="5411"/>
      <sheetData sheetId="5412" refreshError="1"/>
      <sheetData sheetId="5413" refreshError="1"/>
      <sheetData sheetId="5414" refreshError="1"/>
      <sheetData sheetId="5415" refreshError="1"/>
      <sheetData sheetId="5416" refreshError="1"/>
      <sheetData sheetId="5417" refreshError="1"/>
      <sheetData sheetId="5418" refreshError="1"/>
      <sheetData sheetId="5419" refreshError="1"/>
      <sheetData sheetId="5420" refreshError="1"/>
      <sheetData sheetId="5421"/>
      <sheetData sheetId="5422" refreshError="1"/>
      <sheetData sheetId="5423"/>
      <sheetData sheetId="5424"/>
      <sheetData sheetId="5425"/>
      <sheetData sheetId="5426"/>
      <sheetData sheetId="5427"/>
      <sheetData sheetId="5428"/>
      <sheetData sheetId="5429"/>
      <sheetData sheetId="5430"/>
      <sheetData sheetId="543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/>
      <sheetData sheetId="5439"/>
      <sheetData sheetId="5440"/>
      <sheetData sheetId="5441" refreshError="1"/>
      <sheetData sheetId="5442" refreshError="1"/>
      <sheetData sheetId="5443" refreshError="1"/>
      <sheetData sheetId="5444" refreshError="1"/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/>
      <sheetData sheetId="5482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 refreshError="1"/>
      <sheetData sheetId="5545" refreshError="1"/>
      <sheetData sheetId="5546" refreshError="1"/>
      <sheetData sheetId="5547" refreshError="1"/>
      <sheetData sheetId="5548" refreshError="1"/>
      <sheetData sheetId="5549" refreshError="1"/>
      <sheetData sheetId="5550" refreshError="1"/>
      <sheetData sheetId="5551" refreshError="1"/>
      <sheetData sheetId="5552" refreshError="1"/>
      <sheetData sheetId="5553" refreshError="1"/>
      <sheetData sheetId="5554" refreshError="1"/>
      <sheetData sheetId="5555" refreshError="1"/>
      <sheetData sheetId="5556" refreshError="1"/>
      <sheetData sheetId="5557" refreshError="1"/>
      <sheetData sheetId="5558" refreshError="1"/>
      <sheetData sheetId="5559"/>
      <sheetData sheetId="5560"/>
      <sheetData sheetId="556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 refreshError="1"/>
      <sheetData sheetId="5612"/>
      <sheetData sheetId="5613"/>
      <sheetData sheetId="5614"/>
      <sheetData sheetId="5615"/>
      <sheetData sheetId="5616"/>
      <sheetData sheetId="5617"/>
      <sheetData sheetId="5618"/>
      <sheetData sheetId="5619"/>
      <sheetData sheetId="5620"/>
      <sheetData sheetId="5621"/>
      <sheetData sheetId="5622"/>
      <sheetData sheetId="5623"/>
      <sheetData sheetId="5624"/>
      <sheetData sheetId="5625"/>
      <sheetData sheetId="5626"/>
      <sheetData sheetId="5627"/>
      <sheetData sheetId="5628"/>
      <sheetData sheetId="5629"/>
      <sheetData sheetId="5630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 refreshError="1"/>
      <sheetData sheetId="5665" refreshError="1"/>
      <sheetData sheetId="5666" refreshError="1"/>
      <sheetData sheetId="5667" refreshError="1"/>
      <sheetData sheetId="5668" refreshError="1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 refreshError="1"/>
      <sheetData sheetId="5683" refreshError="1"/>
      <sheetData sheetId="5684" refreshError="1"/>
      <sheetData sheetId="5685" refreshError="1"/>
      <sheetData sheetId="5686" refreshError="1"/>
      <sheetData sheetId="5687" refreshError="1"/>
      <sheetData sheetId="5688" refreshError="1"/>
      <sheetData sheetId="5689" refreshError="1"/>
      <sheetData sheetId="5690" refreshError="1"/>
      <sheetData sheetId="5691" refreshError="1"/>
      <sheetData sheetId="5692" refreshError="1"/>
      <sheetData sheetId="5693" refreshError="1"/>
      <sheetData sheetId="5694" refreshError="1"/>
      <sheetData sheetId="5695" refreshError="1"/>
      <sheetData sheetId="5696" refreshError="1"/>
      <sheetData sheetId="5697" refreshError="1"/>
      <sheetData sheetId="5698" refreshError="1"/>
      <sheetData sheetId="5699" refreshError="1"/>
      <sheetData sheetId="5700" refreshError="1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 refreshError="1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 refreshError="1"/>
      <sheetData sheetId="5741" refreshError="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 refreshError="1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 refreshError="1"/>
      <sheetData sheetId="5757" refreshError="1"/>
      <sheetData sheetId="5758" refreshError="1"/>
      <sheetData sheetId="5759" refreshError="1"/>
      <sheetData sheetId="5760" refreshError="1"/>
      <sheetData sheetId="5761" refreshError="1"/>
      <sheetData sheetId="5762" refreshError="1"/>
      <sheetData sheetId="5763" refreshError="1"/>
      <sheetData sheetId="5764" refreshError="1"/>
      <sheetData sheetId="5765" refreshError="1"/>
      <sheetData sheetId="5766" refreshError="1"/>
      <sheetData sheetId="5767" refreshError="1"/>
      <sheetData sheetId="5768" refreshError="1"/>
      <sheetData sheetId="5769" refreshError="1"/>
      <sheetData sheetId="5770" refreshError="1"/>
      <sheetData sheetId="5771" refreshError="1"/>
      <sheetData sheetId="5772" refreshError="1"/>
      <sheetData sheetId="5773" refreshError="1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 refreshError="1"/>
      <sheetData sheetId="5782" refreshError="1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 refreshError="1"/>
      <sheetData sheetId="5805" refreshError="1"/>
      <sheetData sheetId="5806" refreshError="1"/>
      <sheetData sheetId="5807" refreshError="1"/>
      <sheetData sheetId="5808" refreshError="1"/>
      <sheetData sheetId="5809" refreshError="1"/>
      <sheetData sheetId="5810" refreshError="1"/>
      <sheetData sheetId="5811" refreshError="1"/>
      <sheetData sheetId="5812" refreshError="1"/>
      <sheetData sheetId="5813" refreshError="1"/>
      <sheetData sheetId="5814" refreshError="1"/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/>
      <sheetData sheetId="5822" refreshError="1"/>
      <sheetData sheetId="5823"/>
      <sheetData sheetId="5824" refreshError="1"/>
      <sheetData sheetId="5825" refreshError="1"/>
      <sheetData sheetId="5826" refreshError="1"/>
      <sheetData sheetId="5827" refreshError="1"/>
      <sheetData sheetId="5828" refreshError="1"/>
      <sheetData sheetId="5829" refreshError="1"/>
      <sheetData sheetId="5830" refreshError="1"/>
      <sheetData sheetId="5831" refreshError="1"/>
      <sheetData sheetId="5832" refreshError="1"/>
      <sheetData sheetId="5833" refreshError="1"/>
      <sheetData sheetId="5834" refreshError="1"/>
      <sheetData sheetId="5835" refreshError="1"/>
      <sheetData sheetId="5836" refreshError="1"/>
      <sheetData sheetId="5837" refreshError="1"/>
      <sheetData sheetId="5838" refreshError="1"/>
      <sheetData sheetId="5839" refreshError="1"/>
      <sheetData sheetId="5840" refreshError="1"/>
      <sheetData sheetId="5841" refreshError="1"/>
      <sheetData sheetId="5842" refreshError="1"/>
      <sheetData sheetId="5843" refreshError="1"/>
      <sheetData sheetId="5844" refreshError="1"/>
      <sheetData sheetId="5845" refreshError="1"/>
      <sheetData sheetId="5846"/>
      <sheetData sheetId="5847"/>
      <sheetData sheetId="5848"/>
      <sheetData sheetId="5849"/>
      <sheetData sheetId="5850"/>
      <sheetData sheetId="5851"/>
      <sheetData sheetId="5852"/>
      <sheetData sheetId="5853"/>
      <sheetData sheetId="5854"/>
      <sheetData sheetId="5855"/>
      <sheetData sheetId="5856"/>
      <sheetData sheetId="5857"/>
      <sheetData sheetId="5858"/>
      <sheetData sheetId="5859"/>
      <sheetData sheetId="5860"/>
      <sheetData sheetId="5861"/>
      <sheetData sheetId="5862" refreshError="1"/>
      <sheetData sheetId="5863" refreshError="1"/>
      <sheetData sheetId="5864" refreshError="1"/>
      <sheetData sheetId="5865" refreshError="1"/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 refreshError="1"/>
      <sheetData sheetId="5873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 refreshError="1"/>
      <sheetData sheetId="5907" refreshError="1"/>
      <sheetData sheetId="5908" refreshError="1"/>
      <sheetData sheetId="5909" refreshError="1"/>
      <sheetData sheetId="5910" refreshError="1"/>
      <sheetData sheetId="5911" refreshError="1"/>
      <sheetData sheetId="5912" refreshError="1"/>
      <sheetData sheetId="5913" refreshError="1"/>
      <sheetData sheetId="5914" refreshError="1"/>
      <sheetData sheetId="5915" refreshError="1"/>
      <sheetData sheetId="5916" refreshError="1"/>
      <sheetData sheetId="5917" refreshError="1"/>
      <sheetData sheetId="5918" refreshError="1"/>
      <sheetData sheetId="5919" refreshError="1"/>
      <sheetData sheetId="5920" refreshError="1"/>
      <sheetData sheetId="5921" refreshError="1"/>
      <sheetData sheetId="5922" refreshError="1"/>
      <sheetData sheetId="5923" refreshError="1"/>
      <sheetData sheetId="5924" refreshError="1"/>
      <sheetData sheetId="5925" refreshError="1"/>
      <sheetData sheetId="5926" refreshError="1"/>
      <sheetData sheetId="5927" refreshError="1"/>
      <sheetData sheetId="5928" refreshError="1"/>
      <sheetData sheetId="5929" refreshError="1"/>
      <sheetData sheetId="5930" refreshError="1"/>
      <sheetData sheetId="5931" refreshError="1"/>
      <sheetData sheetId="5932" refreshError="1"/>
      <sheetData sheetId="5933" refreshError="1"/>
      <sheetData sheetId="5934" refreshError="1"/>
      <sheetData sheetId="5935" refreshError="1"/>
      <sheetData sheetId="5936" refreshError="1"/>
      <sheetData sheetId="5937" refreshError="1"/>
      <sheetData sheetId="5938" refreshError="1"/>
      <sheetData sheetId="5939" refreshError="1"/>
      <sheetData sheetId="5940" refreshError="1"/>
      <sheetData sheetId="5941" refreshError="1"/>
      <sheetData sheetId="5942" refreshError="1"/>
      <sheetData sheetId="5943" refreshError="1"/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 refreshError="1"/>
      <sheetData sheetId="5953" refreshError="1"/>
      <sheetData sheetId="5954" refreshError="1"/>
      <sheetData sheetId="5955" refreshError="1"/>
      <sheetData sheetId="5956" refreshError="1"/>
      <sheetData sheetId="5957" refreshError="1"/>
      <sheetData sheetId="5958" refreshError="1"/>
      <sheetData sheetId="5959" refreshError="1"/>
      <sheetData sheetId="5960" refreshError="1"/>
      <sheetData sheetId="5961" refreshError="1"/>
      <sheetData sheetId="5962" refreshError="1"/>
      <sheetData sheetId="5963" refreshError="1"/>
      <sheetData sheetId="5964" refreshError="1"/>
      <sheetData sheetId="5965" refreshError="1"/>
      <sheetData sheetId="5966" refreshError="1"/>
      <sheetData sheetId="5967" refreshError="1"/>
      <sheetData sheetId="5968"/>
      <sheetData sheetId="5969" refreshError="1"/>
      <sheetData sheetId="5970" refreshError="1"/>
      <sheetData sheetId="5971" refreshError="1"/>
      <sheetData sheetId="5972" refreshError="1"/>
      <sheetData sheetId="5973" refreshError="1"/>
      <sheetData sheetId="5974" refreshError="1"/>
      <sheetData sheetId="5975" refreshError="1"/>
      <sheetData sheetId="5976" refreshError="1"/>
      <sheetData sheetId="5977" refreshError="1"/>
      <sheetData sheetId="5978" refreshError="1"/>
      <sheetData sheetId="5979" refreshError="1"/>
      <sheetData sheetId="5980" refreshError="1"/>
      <sheetData sheetId="5981" refreshError="1"/>
      <sheetData sheetId="5982" refreshError="1"/>
      <sheetData sheetId="5983" refreshError="1"/>
      <sheetData sheetId="5984" refreshError="1"/>
      <sheetData sheetId="5985" refreshError="1"/>
      <sheetData sheetId="5986" refreshError="1"/>
      <sheetData sheetId="5987" refreshError="1"/>
      <sheetData sheetId="5988" refreshError="1"/>
      <sheetData sheetId="5989" refreshError="1"/>
      <sheetData sheetId="5990" refreshError="1"/>
      <sheetData sheetId="5991" refreshError="1"/>
      <sheetData sheetId="5992" refreshError="1"/>
      <sheetData sheetId="5993" refreshError="1"/>
      <sheetData sheetId="5994" refreshError="1"/>
      <sheetData sheetId="5995" refreshError="1"/>
      <sheetData sheetId="5996" refreshError="1"/>
      <sheetData sheetId="5997" refreshError="1"/>
      <sheetData sheetId="5998"/>
      <sheetData sheetId="5999"/>
      <sheetData sheetId="6000"/>
      <sheetData sheetId="6001"/>
      <sheetData sheetId="6002"/>
      <sheetData sheetId="6003"/>
      <sheetData sheetId="6004"/>
      <sheetData sheetId="6005"/>
      <sheetData sheetId="6006"/>
      <sheetData sheetId="6007"/>
      <sheetData sheetId="6008"/>
      <sheetData sheetId="6009"/>
      <sheetData sheetId="6010"/>
      <sheetData sheetId="6011"/>
      <sheetData sheetId="6012"/>
      <sheetData sheetId="6013"/>
      <sheetData sheetId="6014"/>
      <sheetData sheetId="6015"/>
      <sheetData sheetId="6016"/>
      <sheetData sheetId="6017"/>
      <sheetData sheetId="6018"/>
      <sheetData sheetId="6019"/>
      <sheetData sheetId="6020"/>
      <sheetData sheetId="6021"/>
      <sheetData sheetId="6022"/>
      <sheetData sheetId="6023"/>
      <sheetData sheetId="6024"/>
      <sheetData sheetId="6025"/>
      <sheetData sheetId="6026"/>
      <sheetData sheetId="6027"/>
      <sheetData sheetId="6028"/>
      <sheetData sheetId="6029"/>
      <sheetData sheetId="6030"/>
      <sheetData sheetId="6031"/>
      <sheetData sheetId="6032"/>
      <sheetData sheetId="6033"/>
      <sheetData sheetId="6034"/>
      <sheetData sheetId="6035"/>
      <sheetData sheetId="6036"/>
      <sheetData sheetId="6037"/>
      <sheetData sheetId="6038"/>
      <sheetData sheetId="6039"/>
      <sheetData sheetId="6040"/>
      <sheetData sheetId="6041"/>
      <sheetData sheetId="6042"/>
      <sheetData sheetId="6043"/>
      <sheetData sheetId="6044"/>
      <sheetData sheetId="6045"/>
      <sheetData sheetId="6046"/>
      <sheetData sheetId="6047"/>
      <sheetData sheetId="6048"/>
      <sheetData sheetId="6049"/>
      <sheetData sheetId="6050"/>
      <sheetData sheetId="6051"/>
      <sheetData sheetId="6052"/>
      <sheetData sheetId="6053"/>
      <sheetData sheetId="6054"/>
      <sheetData sheetId="6055"/>
      <sheetData sheetId="6056"/>
      <sheetData sheetId="6057"/>
      <sheetData sheetId="6058"/>
      <sheetData sheetId="6059"/>
      <sheetData sheetId="6060"/>
      <sheetData sheetId="6061"/>
      <sheetData sheetId="6062"/>
      <sheetData sheetId="6063"/>
      <sheetData sheetId="6064"/>
      <sheetData sheetId="6065"/>
      <sheetData sheetId="6066"/>
      <sheetData sheetId="6067"/>
      <sheetData sheetId="6068"/>
      <sheetData sheetId="6069"/>
      <sheetData sheetId="6070"/>
      <sheetData sheetId="6071"/>
      <sheetData sheetId="6072"/>
      <sheetData sheetId="6073"/>
      <sheetData sheetId="6074"/>
      <sheetData sheetId="6075"/>
      <sheetData sheetId="6076"/>
      <sheetData sheetId="6077"/>
      <sheetData sheetId="6078"/>
      <sheetData sheetId="6079"/>
      <sheetData sheetId="6080"/>
      <sheetData sheetId="6081"/>
      <sheetData sheetId="6082"/>
      <sheetData sheetId="6083"/>
      <sheetData sheetId="6084"/>
      <sheetData sheetId="6085"/>
      <sheetData sheetId="6086"/>
      <sheetData sheetId="6087"/>
      <sheetData sheetId="6088"/>
      <sheetData sheetId="6089"/>
      <sheetData sheetId="6090"/>
      <sheetData sheetId="6091"/>
      <sheetData sheetId="6092"/>
      <sheetData sheetId="6093"/>
      <sheetData sheetId="6094"/>
      <sheetData sheetId="6095"/>
      <sheetData sheetId="6096"/>
      <sheetData sheetId="6097"/>
      <sheetData sheetId="6098"/>
      <sheetData sheetId="6099"/>
      <sheetData sheetId="6100"/>
      <sheetData sheetId="6101"/>
      <sheetData sheetId="6102"/>
      <sheetData sheetId="6103"/>
      <sheetData sheetId="6104"/>
      <sheetData sheetId="6105" refreshError="1"/>
      <sheetData sheetId="6106" refreshError="1"/>
      <sheetData sheetId="6107" refreshError="1"/>
      <sheetData sheetId="6108" refreshError="1"/>
      <sheetData sheetId="6109" refreshError="1"/>
      <sheetData sheetId="6110" refreshError="1"/>
      <sheetData sheetId="6111" refreshError="1"/>
      <sheetData sheetId="6112" refreshError="1"/>
      <sheetData sheetId="6113" refreshError="1"/>
      <sheetData sheetId="6114" refreshError="1"/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 refreshError="1"/>
      <sheetData sheetId="6131" refreshError="1"/>
      <sheetData sheetId="6132" refreshError="1"/>
      <sheetData sheetId="6133"/>
      <sheetData sheetId="6134"/>
      <sheetData sheetId="6135"/>
      <sheetData sheetId="6136"/>
      <sheetData sheetId="6137"/>
      <sheetData sheetId="6138"/>
      <sheetData sheetId="6139"/>
      <sheetData sheetId="6140"/>
      <sheetData sheetId="6141"/>
      <sheetData sheetId="6142"/>
      <sheetData sheetId="6143" refreshError="1"/>
      <sheetData sheetId="6144" refreshError="1"/>
      <sheetData sheetId="6145" refreshError="1"/>
      <sheetData sheetId="6146" refreshError="1"/>
      <sheetData sheetId="6147" refreshError="1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/>
      <sheetData sheetId="6154" refreshError="1"/>
      <sheetData sheetId="6155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/>
      <sheetData sheetId="6163"/>
      <sheetData sheetId="6164"/>
      <sheetData sheetId="6165"/>
      <sheetData sheetId="6166"/>
      <sheetData sheetId="6167"/>
      <sheetData sheetId="6168"/>
      <sheetData sheetId="6169"/>
      <sheetData sheetId="6170"/>
      <sheetData sheetId="6171"/>
      <sheetData sheetId="6172"/>
      <sheetData sheetId="6173"/>
      <sheetData sheetId="6174"/>
      <sheetData sheetId="6175"/>
      <sheetData sheetId="6176"/>
      <sheetData sheetId="6177" refreshError="1"/>
      <sheetData sheetId="6178" refreshError="1"/>
      <sheetData sheetId="6179" refreshError="1"/>
      <sheetData sheetId="6180" refreshError="1"/>
      <sheetData sheetId="6181" refreshError="1"/>
      <sheetData sheetId="6182" refreshError="1"/>
      <sheetData sheetId="6183"/>
      <sheetData sheetId="6184"/>
      <sheetData sheetId="6185"/>
      <sheetData sheetId="6186"/>
      <sheetData sheetId="6187"/>
      <sheetData sheetId="6188"/>
      <sheetData sheetId="6189"/>
      <sheetData sheetId="6190"/>
      <sheetData sheetId="6191"/>
      <sheetData sheetId="6192"/>
      <sheetData sheetId="6193"/>
      <sheetData sheetId="6194"/>
      <sheetData sheetId="6195"/>
      <sheetData sheetId="6196"/>
      <sheetData sheetId="6197"/>
      <sheetData sheetId="6198"/>
      <sheetData sheetId="6199" refreshError="1"/>
      <sheetData sheetId="6200" refreshError="1"/>
      <sheetData sheetId="6201" refreshError="1"/>
      <sheetData sheetId="6202" refreshError="1"/>
      <sheetData sheetId="6203" refreshError="1"/>
      <sheetData sheetId="6204" refreshError="1"/>
      <sheetData sheetId="6205" refreshError="1"/>
      <sheetData sheetId="6206" refreshError="1"/>
      <sheetData sheetId="6207" refreshError="1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 refreshError="1"/>
      <sheetData sheetId="6242" refreshError="1"/>
      <sheetData sheetId="6243" refreshError="1"/>
      <sheetData sheetId="6244" refreshError="1"/>
      <sheetData sheetId="6245" refreshError="1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 refreshError="1"/>
      <sheetData sheetId="6255" refreshError="1"/>
      <sheetData sheetId="6256" refreshError="1"/>
      <sheetData sheetId="6257" refreshError="1"/>
      <sheetData sheetId="6258" refreshError="1"/>
      <sheetData sheetId="6259" refreshError="1"/>
      <sheetData sheetId="6260" refreshError="1"/>
      <sheetData sheetId="6261" refreshError="1"/>
      <sheetData sheetId="6262" refreshError="1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 refreshError="1"/>
      <sheetData sheetId="6269" refreshError="1"/>
      <sheetData sheetId="6270" refreshError="1"/>
      <sheetData sheetId="6271" refreshError="1"/>
      <sheetData sheetId="6272" refreshError="1"/>
      <sheetData sheetId="6273" refreshError="1"/>
      <sheetData sheetId="6274" refreshError="1"/>
      <sheetData sheetId="6275" refreshError="1"/>
      <sheetData sheetId="6276" refreshError="1"/>
      <sheetData sheetId="6277" refreshError="1"/>
      <sheetData sheetId="6278" refreshError="1"/>
      <sheetData sheetId="6279" refreshError="1"/>
      <sheetData sheetId="6280" refreshError="1"/>
      <sheetData sheetId="6281" refreshError="1"/>
      <sheetData sheetId="6282" refreshError="1"/>
      <sheetData sheetId="6283" refreshError="1"/>
      <sheetData sheetId="6284" refreshError="1"/>
      <sheetData sheetId="6285" refreshError="1"/>
      <sheetData sheetId="6286" refreshError="1"/>
      <sheetData sheetId="6287" refreshError="1"/>
      <sheetData sheetId="6288" refreshError="1"/>
      <sheetData sheetId="6289" refreshError="1"/>
      <sheetData sheetId="6290" refreshError="1"/>
      <sheetData sheetId="6291" refreshError="1"/>
      <sheetData sheetId="6292" refreshError="1"/>
      <sheetData sheetId="6293" refreshError="1"/>
      <sheetData sheetId="6294" refreshError="1"/>
      <sheetData sheetId="6295" refreshError="1"/>
      <sheetData sheetId="6296" refreshError="1"/>
      <sheetData sheetId="6297" refreshError="1"/>
      <sheetData sheetId="6298" refreshError="1"/>
      <sheetData sheetId="6299" refreshError="1"/>
      <sheetData sheetId="6300" refreshError="1"/>
      <sheetData sheetId="6301" refreshError="1"/>
      <sheetData sheetId="6302" refreshError="1"/>
      <sheetData sheetId="6303" refreshError="1"/>
      <sheetData sheetId="6304" refreshError="1"/>
      <sheetData sheetId="6305" refreshError="1"/>
      <sheetData sheetId="6306" refreshError="1"/>
      <sheetData sheetId="6307" refreshError="1"/>
      <sheetData sheetId="6308" refreshError="1"/>
      <sheetData sheetId="6309" refreshError="1"/>
      <sheetData sheetId="6310" refreshError="1"/>
      <sheetData sheetId="6311" refreshError="1"/>
      <sheetData sheetId="6312" refreshError="1"/>
      <sheetData sheetId="6313" refreshError="1"/>
      <sheetData sheetId="6314" refreshError="1"/>
      <sheetData sheetId="6315" refreshError="1"/>
      <sheetData sheetId="6316" refreshError="1"/>
      <sheetData sheetId="6317" refreshError="1"/>
      <sheetData sheetId="6318" refreshError="1"/>
      <sheetData sheetId="6319" refreshError="1"/>
      <sheetData sheetId="6320" refreshError="1"/>
      <sheetData sheetId="6321" refreshError="1"/>
      <sheetData sheetId="6322" refreshError="1"/>
      <sheetData sheetId="6323" refreshError="1"/>
      <sheetData sheetId="6324" refreshError="1"/>
      <sheetData sheetId="6325" refreshError="1"/>
      <sheetData sheetId="6326" refreshError="1"/>
      <sheetData sheetId="6327" refreshError="1"/>
      <sheetData sheetId="6328" refreshError="1"/>
      <sheetData sheetId="6329" refreshError="1"/>
      <sheetData sheetId="6330" refreshError="1"/>
      <sheetData sheetId="6331" refreshError="1"/>
      <sheetData sheetId="6332" refreshError="1"/>
      <sheetData sheetId="6333" refreshError="1"/>
      <sheetData sheetId="6334" refreshError="1"/>
      <sheetData sheetId="6335" refreshError="1"/>
      <sheetData sheetId="6336" refreshError="1"/>
      <sheetData sheetId="6337" refreshError="1"/>
      <sheetData sheetId="6338" refreshError="1"/>
      <sheetData sheetId="6339" refreshError="1"/>
      <sheetData sheetId="6340" refreshError="1"/>
      <sheetData sheetId="6341" refreshError="1"/>
      <sheetData sheetId="6342" refreshError="1"/>
      <sheetData sheetId="6343" refreshError="1"/>
      <sheetData sheetId="6344" refreshError="1"/>
      <sheetData sheetId="6345" refreshError="1"/>
      <sheetData sheetId="6346" refreshError="1"/>
      <sheetData sheetId="6347" refreshError="1"/>
      <sheetData sheetId="6348" refreshError="1"/>
      <sheetData sheetId="6349" refreshError="1"/>
      <sheetData sheetId="6350" refreshError="1"/>
      <sheetData sheetId="6351" refreshError="1"/>
      <sheetData sheetId="6352" refreshError="1"/>
      <sheetData sheetId="6353" refreshError="1"/>
      <sheetData sheetId="6354" refreshError="1"/>
      <sheetData sheetId="6355" refreshError="1"/>
      <sheetData sheetId="6356" refreshError="1"/>
      <sheetData sheetId="6357" refreshError="1"/>
      <sheetData sheetId="6358" refreshError="1"/>
      <sheetData sheetId="6359" refreshError="1"/>
      <sheetData sheetId="6360" refreshError="1"/>
      <sheetData sheetId="6361" refreshError="1"/>
      <sheetData sheetId="6362" refreshError="1"/>
      <sheetData sheetId="6363" refreshError="1"/>
      <sheetData sheetId="6364" refreshError="1"/>
      <sheetData sheetId="6365" refreshError="1"/>
      <sheetData sheetId="6366" refreshError="1"/>
      <sheetData sheetId="6367" refreshError="1"/>
      <sheetData sheetId="6368" refreshError="1"/>
      <sheetData sheetId="6369" refreshError="1"/>
      <sheetData sheetId="6370" refreshError="1"/>
      <sheetData sheetId="6371" refreshError="1"/>
      <sheetData sheetId="6372" refreshError="1"/>
      <sheetData sheetId="6373" refreshError="1"/>
      <sheetData sheetId="6374" refreshError="1"/>
      <sheetData sheetId="6375" refreshError="1"/>
      <sheetData sheetId="6376" refreshError="1"/>
      <sheetData sheetId="6377" refreshError="1"/>
      <sheetData sheetId="6378" refreshError="1"/>
      <sheetData sheetId="6379" refreshError="1"/>
      <sheetData sheetId="6380" refreshError="1"/>
      <sheetData sheetId="6381" refreshError="1"/>
      <sheetData sheetId="6382" refreshError="1"/>
      <sheetData sheetId="6383" refreshError="1"/>
      <sheetData sheetId="6384" refreshError="1"/>
      <sheetData sheetId="6385" refreshError="1"/>
      <sheetData sheetId="6386" refreshError="1"/>
      <sheetData sheetId="6387" refreshError="1"/>
      <sheetData sheetId="6388" refreshError="1"/>
      <sheetData sheetId="6389" refreshError="1"/>
      <sheetData sheetId="6390" refreshError="1"/>
      <sheetData sheetId="6391" refreshError="1"/>
      <sheetData sheetId="6392" refreshError="1"/>
      <sheetData sheetId="6393" refreshError="1"/>
      <sheetData sheetId="6394" refreshError="1"/>
      <sheetData sheetId="6395" refreshError="1"/>
      <sheetData sheetId="6396" refreshError="1"/>
      <sheetData sheetId="6397" refreshError="1"/>
      <sheetData sheetId="6398" refreshError="1"/>
      <sheetData sheetId="6399" refreshError="1"/>
      <sheetData sheetId="6400" refreshError="1"/>
      <sheetData sheetId="6401" refreshError="1"/>
      <sheetData sheetId="6402" refreshError="1"/>
      <sheetData sheetId="6403" refreshError="1"/>
      <sheetData sheetId="6404" refreshError="1"/>
      <sheetData sheetId="6405" refreshError="1"/>
      <sheetData sheetId="6406" refreshError="1"/>
      <sheetData sheetId="6407" refreshError="1"/>
      <sheetData sheetId="6408" refreshError="1"/>
      <sheetData sheetId="6409" refreshError="1"/>
      <sheetData sheetId="6410" refreshError="1"/>
      <sheetData sheetId="6411" refreshError="1"/>
      <sheetData sheetId="6412" refreshError="1"/>
      <sheetData sheetId="6413" refreshError="1"/>
      <sheetData sheetId="6414" refreshError="1"/>
      <sheetData sheetId="6415" refreshError="1"/>
      <sheetData sheetId="6416" refreshError="1"/>
      <sheetData sheetId="6417" refreshError="1"/>
      <sheetData sheetId="6418" refreshError="1"/>
      <sheetData sheetId="6419" refreshError="1"/>
      <sheetData sheetId="6420" refreshError="1"/>
      <sheetData sheetId="6421" refreshError="1"/>
      <sheetData sheetId="6422" refreshError="1"/>
      <sheetData sheetId="6423" refreshError="1"/>
      <sheetData sheetId="6424" refreshError="1"/>
      <sheetData sheetId="6425" refreshError="1"/>
      <sheetData sheetId="6426" refreshError="1"/>
      <sheetData sheetId="6427" refreshError="1"/>
      <sheetData sheetId="6428" refreshError="1"/>
      <sheetData sheetId="6429" refreshError="1"/>
      <sheetData sheetId="6430" refreshError="1"/>
      <sheetData sheetId="6431" refreshError="1"/>
      <sheetData sheetId="6432" refreshError="1"/>
      <sheetData sheetId="6433" refreshError="1"/>
      <sheetData sheetId="6434" refreshError="1"/>
      <sheetData sheetId="6435" refreshError="1"/>
      <sheetData sheetId="6436" refreshError="1"/>
      <sheetData sheetId="6437" refreshError="1"/>
      <sheetData sheetId="6438" refreshError="1"/>
      <sheetData sheetId="6439" refreshError="1"/>
      <sheetData sheetId="6440" refreshError="1"/>
      <sheetData sheetId="6441" refreshError="1"/>
      <sheetData sheetId="6442" refreshError="1"/>
      <sheetData sheetId="6443" refreshError="1"/>
      <sheetData sheetId="6444" refreshError="1"/>
      <sheetData sheetId="6445" refreshError="1"/>
      <sheetData sheetId="6446" refreshError="1"/>
      <sheetData sheetId="6447" refreshError="1"/>
      <sheetData sheetId="6448" refreshError="1"/>
      <sheetData sheetId="6449" refreshError="1"/>
      <sheetData sheetId="6450" refreshError="1"/>
      <sheetData sheetId="6451" refreshError="1"/>
      <sheetData sheetId="6452" refreshError="1"/>
      <sheetData sheetId="6453" refreshError="1"/>
      <sheetData sheetId="6454" refreshError="1"/>
      <sheetData sheetId="6455" refreshError="1"/>
      <sheetData sheetId="6456" refreshError="1"/>
      <sheetData sheetId="6457" refreshError="1"/>
      <sheetData sheetId="6458" refreshError="1"/>
      <sheetData sheetId="6459" refreshError="1"/>
      <sheetData sheetId="6460" refreshError="1"/>
      <sheetData sheetId="6461" refreshError="1"/>
      <sheetData sheetId="6462" refreshError="1"/>
      <sheetData sheetId="6463" refreshError="1"/>
      <sheetData sheetId="6464" refreshError="1"/>
      <sheetData sheetId="6465" refreshError="1"/>
      <sheetData sheetId="6466" refreshError="1"/>
      <sheetData sheetId="6467" refreshError="1"/>
      <sheetData sheetId="6468" refreshError="1"/>
      <sheetData sheetId="6469" refreshError="1"/>
      <sheetData sheetId="6470" refreshError="1"/>
      <sheetData sheetId="6471" refreshError="1"/>
      <sheetData sheetId="6472" refreshError="1"/>
      <sheetData sheetId="6473" refreshError="1"/>
      <sheetData sheetId="6474" refreshError="1"/>
      <sheetData sheetId="6475" refreshError="1"/>
      <sheetData sheetId="6476" refreshError="1"/>
      <sheetData sheetId="6477" refreshError="1"/>
      <sheetData sheetId="6478" refreshError="1"/>
      <sheetData sheetId="6479" refreshError="1"/>
      <sheetData sheetId="6480" refreshError="1"/>
      <sheetData sheetId="6481" refreshError="1"/>
      <sheetData sheetId="6482" refreshError="1"/>
      <sheetData sheetId="6483" refreshError="1"/>
      <sheetData sheetId="6484" refreshError="1"/>
      <sheetData sheetId="6485" refreshError="1"/>
      <sheetData sheetId="6486" refreshError="1"/>
      <sheetData sheetId="6487" refreshError="1"/>
      <sheetData sheetId="6488" refreshError="1"/>
      <sheetData sheetId="6489" refreshError="1"/>
      <sheetData sheetId="6490" refreshError="1"/>
      <sheetData sheetId="6491" refreshError="1"/>
      <sheetData sheetId="6492" refreshError="1"/>
      <sheetData sheetId="6493" refreshError="1"/>
      <sheetData sheetId="6494" refreshError="1"/>
      <sheetData sheetId="6495" refreshError="1"/>
      <sheetData sheetId="6496" refreshError="1"/>
      <sheetData sheetId="6497" refreshError="1"/>
      <sheetData sheetId="6498" refreshError="1"/>
      <sheetData sheetId="6499" refreshError="1"/>
      <sheetData sheetId="6500" refreshError="1"/>
      <sheetData sheetId="6501" refreshError="1"/>
      <sheetData sheetId="6502" refreshError="1"/>
      <sheetData sheetId="6503" refreshError="1"/>
      <sheetData sheetId="6504" refreshError="1"/>
      <sheetData sheetId="6505" refreshError="1"/>
      <sheetData sheetId="6506" refreshError="1"/>
      <sheetData sheetId="6507" refreshError="1"/>
      <sheetData sheetId="6508" refreshError="1"/>
      <sheetData sheetId="6509" refreshError="1"/>
      <sheetData sheetId="6510" refreshError="1"/>
      <sheetData sheetId="6511" refreshError="1"/>
      <sheetData sheetId="6512" refreshError="1"/>
      <sheetData sheetId="6513" refreshError="1"/>
      <sheetData sheetId="6514" refreshError="1"/>
      <sheetData sheetId="6515" refreshError="1"/>
      <sheetData sheetId="6516" refreshError="1"/>
      <sheetData sheetId="6517" refreshError="1"/>
      <sheetData sheetId="6518" refreshError="1"/>
      <sheetData sheetId="6519" refreshError="1"/>
      <sheetData sheetId="6520" refreshError="1"/>
      <sheetData sheetId="6521" refreshError="1"/>
      <sheetData sheetId="6522" refreshError="1"/>
      <sheetData sheetId="6523" refreshError="1"/>
      <sheetData sheetId="6524" refreshError="1"/>
      <sheetData sheetId="6525" refreshError="1"/>
      <sheetData sheetId="6526" refreshError="1"/>
      <sheetData sheetId="6527" refreshError="1"/>
      <sheetData sheetId="6528" refreshError="1"/>
      <sheetData sheetId="6529" refreshError="1"/>
      <sheetData sheetId="6530" refreshError="1"/>
      <sheetData sheetId="6531" refreshError="1"/>
      <sheetData sheetId="6532" refreshError="1"/>
      <sheetData sheetId="6533" refreshError="1"/>
      <sheetData sheetId="6534" refreshError="1"/>
      <sheetData sheetId="6535" refreshError="1"/>
      <sheetData sheetId="6536" refreshError="1"/>
      <sheetData sheetId="6537" refreshError="1"/>
      <sheetData sheetId="6538" refreshError="1"/>
      <sheetData sheetId="6539" refreshError="1"/>
      <sheetData sheetId="6540" refreshError="1"/>
      <sheetData sheetId="6541" refreshError="1"/>
      <sheetData sheetId="6542" refreshError="1"/>
      <sheetData sheetId="6543" refreshError="1"/>
      <sheetData sheetId="6544" refreshError="1"/>
      <sheetData sheetId="6545" refreshError="1"/>
      <sheetData sheetId="6546" refreshError="1"/>
      <sheetData sheetId="6547" refreshError="1"/>
      <sheetData sheetId="6548" refreshError="1"/>
      <sheetData sheetId="6549" refreshError="1"/>
      <sheetData sheetId="6550" refreshError="1"/>
      <sheetData sheetId="6551" refreshError="1"/>
      <sheetData sheetId="6552" refreshError="1"/>
      <sheetData sheetId="6553" refreshError="1"/>
      <sheetData sheetId="6554" refreshError="1"/>
      <sheetData sheetId="6555" refreshError="1"/>
      <sheetData sheetId="6556" refreshError="1"/>
      <sheetData sheetId="6557" refreshError="1"/>
      <sheetData sheetId="6558" refreshError="1"/>
      <sheetData sheetId="6559" refreshError="1"/>
      <sheetData sheetId="6560" refreshError="1"/>
      <sheetData sheetId="6561" refreshError="1"/>
      <sheetData sheetId="6562" refreshError="1"/>
      <sheetData sheetId="6563" refreshError="1"/>
      <sheetData sheetId="6564" refreshError="1"/>
      <sheetData sheetId="6565" refreshError="1"/>
      <sheetData sheetId="6566" refreshError="1"/>
      <sheetData sheetId="6567" refreshError="1"/>
      <sheetData sheetId="6568" refreshError="1"/>
      <sheetData sheetId="6569" refreshError="1"/>
      <sheetData sheetId="6570" refreshError="1"/>
      <sheetData sheetId="6571" refreshError="1"/>
      <sheetData sheetId="6572" refreshError="1"/>
      <sheetData sheetId="6573" refreshError="1"/>
      <sheetData sheetId="6574" refreshError="1"/>
      <sheetData sheetId="6575" refreshError="1"/>
      <sheetData sheetId="6576" refreshError="1"/>
      <sheetData sheetId="6577" refreshError="1"/>
      <sheetData sheetId="6578" refreshError="1"/>
      <sheetData sheetId="6579" refreshError="1"/>
      <sheetData sheetId="6580" refreshError="1"/>
      <sheetData sheetId="6581" refreshError="1"/>
      <sheetData sheetId="6582" refreshError="1"/>
      <sheetData sheetId="6583" refreshError="1"/>
      <sheetData sheetId="6584" refreshError="1"/>
      <sheetData sheetId="6585" refreshError="1"/>
      <sheetData sheetId="6586" refreshError="1"/>
      <sheetData sheetId="6587"/>
      <sheetData sheetId="6588"/>
      <sheetData sheetId="6589"/>
      <sheetData sheetId="6590"/>
      <sheetData sheetId="6591"/>
      <sheetData sheetId="6592" refreshError="1"/>
      <sheetData sheetId="6593" refreshError="1"/>
      <sheetData sheetId="6594" refreshError="1"/>
      <sheetData sheetId="6595" refreshError="1"/>
      <sheetData sheetId="6596" refreshError="1"/>
      <sheetData sheetId="6597" refreshError="1"/>
      <sheetData sheetId="6598" refreshError="1"/>
      <sheetData sheetId="6599" refreshError="1"/>
      <sheetData sheetId="6600" refreshError="1"/>
      <sheetData sheetId="6601" refreshError="1"/>
      <sheetData sheetId="6602" refreshError="1"/>
      <sheetData sheetId="6603" refreshError="1"/>
      <sheetData sheetId="6604" refreshError="1"/>
      <sheetData sheetId="6605" refreshError="1"/>
      <sheetData sheetId="6606" refreshError="1"/>
      <sheetData sheetId="6607" refreshError="1"/>
      <sheetData sheetId="6608" refreshError="1"/>
      <sheetData sheetId="6609" refreshError="1"/>
      <sheetData sheetId="6610" refreshError="1"/>
      <sheetData sheetId="6611" refreshError="1"/>
      <sheetData sheetId="6612" refreshError="1"/>
      <sheetData sheetId="6613" refreshError="1"/>
      <sheetData sheetId="6614" refreshError="1"/>
      <sheetData sheetId="6615" refreshError="1"/>
      <sheetData sheetId="6616" refreshError="1"/>
      <sheetData sheetId="6617" refreshError="1"/>
      <sheetData sheetId="6618" refreshError="1"/>
      <sheetData sheetId="6619" refreshError="1"/>
      <sheetData sheetId="6620" refreshError="1"/>
      <sheetData sheetId="6621" refreshError="1"/>
      <sheetData sheetId="6622" refreshError="1"/>
      <sheetData sheetId="6623" refreshError="1"/>
      <sheetData sheetId="6624" refreshError="1"/>
      <sheetData sheetId="6625" refreshError="1"/>
      <sheetData sheetId="6626" refreshError="1"/>
      <sheetData sheetId="6627" refreshError="1"/>
      <sheetData sheetId="6628" refreshError="1"/>
      <sheetData sheetId="6629" refreshError="1"/>
      <sheetData sheetId="6630" refreshError="1"/>
      <sheetData sheetId="6631" refreshError="1"/>
      <sheetData sheetId="6632" refreshError="1"/>
      <sheetData sheetId="6633" refreshError="1"/>
      <sheetData sheetId="6634" refreshError="1"/>
      <sheetData sheetId="6635" refreshError="1"/>
      <sheetData sheetId="6636" refreshError="1"/>
      <sheetData sheetId="6637" refreshError="1"/>
      <sheetData sheetId="6638" refreshError="1"/>
      <sheetData sheetId="6639" refreshError="1"/>
      <sheetData sheetId="6640" refreshError="1"/>
      <sheetData sheetId="6641" refreshError="1"/>
      <sheetData sheetId="6642" refreshError="1"/>
      <sheetData sheetId="6643" refreshError="1"/>
      <sheetData sheetId="6644" refreshError="1"/>
      <sheetData sheetId="6645" refreshError="1"/>
      <sheetData sheetId="6646" refreshError="1"/>
      <sheetData sheetId="6647" refreshError="1"/>
      <sheetData sheetId="6648" refreshError="1"/>
      <sheetData sheetId="6649" refreshError="1"/>
      <sheetData sheetId="6650" refreshError="1"/>
      <sheetData sheetId="6651" refreshError="1"/>
      <sheetData sheetId="6652" refreshError="1"/>
      <sheetData sheetId="6653" refreshError="1"/>
      <sheetData sheetId="6654" refreshError="1"/>
      <sheetData sheetId="6655" refreshError="1"/>
      <sheetData sheetId="6656" refreshError="1"/>
      <sheetData sheetId="6657" refreshError="1"/>
      <sheetData sheetId="6658" refreshError="1"/>
      <sheetData sheetId="6659" refreshError="1"/>
      <sheetData sheetId="6660" refreshError="1"/>
      <sheetData sheetId="6661" refreshError="1"/>
      <sheetData sheetId="6662" refreshError="1"/>
      <sheetData sheetId="6663" refreshError="1"/>
      <sheetData sheetId="6664" refreshError="1"/>
      <sheetData sheetId="6665" refreshError="1"/>
      <sheetData sheetId="6666" refreshError="1"/>
      <sheetData sheetId="6667" refreshError="1"/>
      <sheetData sheetId="6668" refreshError="1"/>
      <sheetData sheetId="6669" refreshError="1"/>
      <sheetData sheetId="6670" refreshError="1"/>
      <sheetData sheetId="6671" refreshError="1"/>
      <sheetData sheetId="6672" refreshError="1"/>
      <sheetData sheetId="6673" refreshError="1"/>
      <sheetData sheetId="6674" refreshError="1"/>
      <sheetData sheetId="6675" refreshError="1"/>
      <sheetData sheetId="6676" refreshError="1"/>
      <sheetData sheetId="6677" refreshError="1"/>
      <sheetData sheetId="6678" refreshError="1"/>
      <sheetData sheetId="6679" refreshError="1"/>
      <sheetData sheetId="6680" refreshError="1"/>
      <sheetData sheetId="6681" refreshError="1"/>
      <sheetData sheetId="6682" refreshError="1"/>
      <sheetData sheetId="6683" refreshError="1"/>
      <sheetData sheetId="6684" refreshError="1"/>
      <sheetData sheetId="6685" refreshError="1"/>
      <sheetData sheetId="6686" refreshError="1"/>
      <sheetData sheetId="6687" refreshError="1"/>
      <sheetData sheetId="6688" refreshError="1"/>
      <sheetData sheetId="6689" refreshError="1"/>
      <sheetData sheetId="6690" refreshError="1"/>
      <sheetData sheetId="6691" refreshError="1"/>
      <sheetData sheetId="6692" refreshError="1"/>
      <sheetData sheetId="6693" refreshError="1"/>
      <sheetData sheetId="6694" refreshError="1"/>
      <sheetData sheetId="6695" refreshError="1"/>
      <sheetData sheetId="6696" refreshError="1"/>
      <sheetData sheetId="6697" refreshError="1"/>
      <sheetData sheetId="6698" refreshError="1"/>
      <sheetData sheetId="6699" refreshError="1"/>
      <sheetData sheetId="6700" refreshError="1"/>
      <sheetData sheetId="6701" refreshError="1"/>
      <sheetData sheetId="6702" refreshError="1"/>
      <sheetData sheetId="6703" refreshError="1"/>
      <sheetData sheetId="6704" refreshError="1"/>
      <sheetData sheetId="6705" refreshError="1"/>
      <sheetData sheetId="6706" refreshError="1"/>
      <sheetData sheetId="6707" refreshError="1"/>
      <sheetData sheetId="6708" refreshError="1"/>
      <sheetData sheetId="6709" refreshError="1"/>
      <sheetData sheetId="6710" refreshError="1"/>
      <sheetData sheetId="6711" refreshError="1"/>
      <sheetData sheetId="6712" refreshError="1"/>
      <sheetData sheetId="6713" refreshError="1"/>
      <sheetData sheetId="6714" refreshError="1"/>
      <sheetData sheetId="6715" refreshError="1"/>
      <sheetData sheetId="6716" refreshError="1"/>
      <sheetData sheetId="6717" refreshError="1"/>
      <sheetData sheetId="6718" refreshError="1"/>
      <sheetData sheetId="6719" refreshError="1"/>
      <sheetData sheetId="6720" refreshError="1"/>
      <sheetData sheetId="6721" refreshError="1"/>
      <sheetData sheetId="6722" refreshError="1"/>
      <sheetData sheetId="6723" refreshError="1"/>
      <sheetData sheetId="6724" refreshError="1"/>
      <sheetData sheetId="6725" refreshError="1"/>
      <sheetData sheetId="6726" refreshError="1"/>
      <sheetData sheetId="6727" refreshError="1"/>
      <sheetData sheetId="6728" refreshError="1"/>
      <sheetData sheetId="6729" refreshError="1"/>
      <sheetData sheetId="6730" refreshError="1"/>
      <sheetData sheetId="6731" refreshError="1"/>
      <sheetData sheetId="6732" refreshError="1"/>
      <sheetData sheetId="6733" refreshError="1"/>
      <sheetData sheetId="6734" refreshError="1"/>
      <sheetData sheetId="6735" refreshError="1"/>
      <sheetData sheetId="6736" refreshError="1"/>
      <sheetData sheetId="6737" refreshError="1"/>
      <sheetData sheetId="6738" refreshError="1"/>
      <sheetData sheetId="6739" refreshError="1"/>
      <sheetData sheetId="6740" refreshError="1"/>
      <sheetData sheetId="6741" refreshError="1"/>
      <sheetData sheetId="6742" refreshError="1"/>
      <sheetData sheetId="6743" refreshError="1"/>
      <sheetData sheetId="6744" refreshError="1"/>
      <sheetData sheetId="6745" refreshError="1"/>
      <sheetData sheetId="6746" refreshError="1"/>
      <sheetData sheetId="6747" refreshError="1"/>
      <sheetData sheetId="6748" refreshError="1"/>
      <sheetData sheetId="6749" refreshError="1"/>
      <sheetData sheetId="6750" refreshError="1"/>
      <sheetData sheetId="6751" refreshError="1"/>
      <sheetData sheetId="6752" refreshError="1"/>
      <sheetData sheetId="6753" refreshError="1"/>
      <sheetData sheetId="6754" refreshError="1"/>
      <sheetData sheetId="6755" refreshError="1"/>
      <sheetData sheetId="6756" refreshError="1"/>
      <sheetData sheetId="6757" refreshError="1"/>
      <sheetData sheetId="6758" refreshError="1"/>
      <sheetData sheetId="6759" refreshError="1"/>
      <sheetData sheetId="6760" refreshError="1"/>
      <sheetData sheetId="6761" refreshError="1"/>
      <sheetData sheetId="6762" refreshError="1"/>
      <sheetData sheetId="6763" refreshError="1"/>
      <sheetData sheetId="6764" refreshError="1"/>
      <sheetData sheetId="6765" refreshError="1"/>
      <sheetData sheetId="6766" refreshError="1"/>
      <sheetData sheetId="6767" refreshError="1"/>
      <sheetData sheetId="6768" refreshError="1"/>
      <sheetData sheetId="6769" refreshError="1"/>
      <sheetData sheetId="6770" refreshError="1"/>
      <sheetData sheetId="6771" refreshError="1"/>
      <sheetData sheetId="6772" refreshError="1"/>
      <sheetData sheetId="6773" refreshError="1"/>
      <sheetData sheetId="6774" refreshError="1"/>
      <sheetData sheetId="6775" refreshError="1"/>
      <sheetData sheetId="6776" refreshError="1"/>
      <sheetData sheetId="6777" refreshError="1"/>
      <sheetData sheetId="6778" refreshError="1"/>
      <sheetData sheetId="6779" refreshError="1"/>
      <sheetData sheetId="6780" refreshError="1"/>
      <sheetData sheetId="6781" refreshError="1"/>
      <sheetData sheetId="6782" refreshError="1"/>
      <sheetData sheetId="6783" refreshError="1"/>
      <sheetData sheetId="6784" refreshError="1"/>
      <sheetData sheetId="6785" refreshError="1"/>
      <sheetData sheetId="6786" refreshError="1"/>
      <sheetData sheetId="6787" refreshError="1"/>
      <sheetData sheetId="6788" refreshError="1"/>
      <sheetData sheetId="6789" refreshError="1"/>
      <sheetData sheetId="6790" refreshError="1"/>
      <sheetData sheetId="6791" refreshError="1"/>
      <sheetData sheetId="6792" refreshError="1"/>
      <sheetData sheetId="6793" refreshError="1"/>
      <sheetData sheetId="6794" refreshError="1"/>
      <sheetData sheetId="6795" refreshError="1"/>
      <sheetData sheetId="6796" refreshError="1"/>
      <sheetData sheetId="6797" refreshError="1"/>
      <sheetData sheetId="6798" refreshError="1"/>
      <sheetData sheetId="6799" refreshError="1"/>
      <sheetData sheetId="6800" refreshError="1"/>
      <sheetData sheetId="6801" refreshError="1"/>
      <sheetData sheetId="6802" refreshError="1"/>
      <sheetData sheetId="6803" refreshError="1"/>
      <sheetData sheetId="6804" refreshError="1"/>
      <sheetData sheetId="6805" refreshError="1"/>
      <sheetData sheetId="6806" refreshError="1"/>
      <sheetData sheetId="6807" refreshError="1"/>
      <sheetData sheetId="6808" refreshError="1"/>
      <sheetData sheetId="6809" refreshError="1"/>
      <sheetData sheetId="6810" refreshError="1"/>
      <sheetData sheetId="6811" refreshError="1"/>
      <sheetData sheetId="6812" refreshError="1"/>
      <sheetData sheetId="6813" refreshError="1"/>
      <sheetData sheetId="6814" refreshError="1"/>
      <sheetData sheetId="6815" refreshError="1"/>
      <sheetData sheetId="6816" refreshError="1"/>
      <sheetData sheetId="6817" refreshError="1"/>
      <sheetData sheetId="6818" refreshError="1"/>
      <sheetData sheetId="6819" refreshError="1"/>
      <sheetData sheetId="6820" refreshError="1"/>
      <sheetData sheetId="6821" refreshError="1"/>
      <sheetData sheetId="6822" refreshError="1"/>
      <sheetData sheetId="6823" refreshError="1"/>
      <sheetData sheetId="6824" refreshError="1"/>
      <sheetData sheetId="6825" refreshError="1"/>
      <sheetData sheetId="6826" refreshError="1"/>
      <sheetData sheetId="6827" refreshError="1"/>
      <sheetData sheetId="6828" refreshError="1"/>
      <sheetData sheetId="6829" refreshError="1"/>
      <sheetData sheetId="6830" refreshError="1"/>
      <sheetData sheetId="6831" refreshError="1"/>
      <sheetData sheetId="6832" refreshError="1"/>
      <sheetData sheetId="6833" refreshError="1"/>
      <sheetData sheetId="6834" refreshError="1"/>
      <sheetData sheetId="6835" refreshError="1"/>
      <sheetData sheetId="6836" refreshError="1"/>
      <sheetData sheetId="6837" refreshError="1"/>
      <sheetData sheetId="6838" refreshError="1"/>
      <sheetData sheetId="6839" refreshError="1"/>
      <sheetData sheetId="6840" refreshError="1"/>
      <sheetData sheetId="6841" refreshError="1"/>
      <sheetData sheetId="6842" refreshError="1"/>
      <sheetData sheetId="6843" refreshError="1"/>
      <sheetData sheetId="6844" refreshError="1"/>
      <sheetData sheetId="6845" refreshError="1"/>
      <sheetData sheetId="6846" refreshError="1"/>
      <sheetData sheetId="6847" refreshError="1"/>
      <sheetData sheetId="6848" refreshError="1"/>
      <sheetData sheetId="6849" refreshError="1"/>
      <sheetData sheetId="6850" refreshError="1"/>
      <sheetData sheetId="6851" refreshError="1"/>
      <sheetData sheetId="6852" refreshError="1"/>
      <sheetData sheetId="6853" refreshError="1"/>
      <sheetData sheetId="6854" refreshError="1"/>
      <sheetData sheetId="6855" refreshError="1"/>
      <sheetData sheetId="6856" refreshError="1"/>
      <sheetData sheetId="6857" refreshError="1"/>
      <sheetData sheetId="6858" refreshError="1"/>
      <sheetData sheetId="6859" refreshError="1"/>
      <sheetData sheetId="6860" refreshError="1"/>
      <sheetData sheetId="6861" refreshError="1"/>
      <sheetData sheetId="6862" refreshError="1"/>
      <sheetData sheetId="6863" refreshError="1"/>
      <sheetData sheetId="6864" refreshError="1"/>
      <sheetData sheetId="6865" refreshError="1"/>
      <sheetData sheetId="6866" refreshError="1"/>
      <sheetData sheetId="6867" refreshError="1"/>
      <sheetData sheetId="6868" refreshError="1"/>
      <sheetData sheetId="6869" refreshError="1"/>
      <sheetData sheetId="6870" refreshError="1"/>
      <sheetData sheetId="6871" refreshError="1"/>
      <sheetData sheetId="6872" refreshError="1"/>
      <sheetData sheetId="6873" refreshError="1"/>
      <sheetData sheetId="6874" refreshError="1"/>
      <sheetData sheetId="6875" refreshError="1"/>
      <sheetData sheetId="6876" refreshError="1"/>
      <sheetData sheetId="6877" refreshError="1"/>
      <sheetData sheetId="6878" refreshError="1"/>
      <sheetData sheetId="6879" refreshError="1"/>
      <sheetData sheetId="6880" refreshError="1"/>
      <sheetData sheetId="6881" refreshError="1"/>
      <sheetData sheetId="6882" refreshError="1"/>
      <sheetData sheetId="6883" refreshError="1"/>
      <sheetData sheetId="6884" refreshError="1"/>
      <sheetData sheetId="6885" refreshError="1"/>
      <sheetData sheetId="6886" refreshError="1"/>
      <sheetData sheetId="6887" refreshError="1"/>
      <sheetData sheetId="6888" refreshError="1"/>
      <sheetData sheetId="6889" refreshError="1"/>
      <sheetData sheetId="6890" refreshError="1"/>
      <sheetData sheetId="6891" refreshError="1"/>
      <sheetData sheetId="6892" refreshError="1"/>
      <sheetData sheetId="6893" refreshError="1"/>
      <sheetData sheetId="6894" refreshError="1"/>
      <sheetData sheetId="6895" refreshError="1"/>
      <sheetData sheetId="6896" refreshError="1"/>
      <sheetData sheetId="6897" refreshError="1"/>
      <sheetData sheetId="6898" refreshError="1"/>
      <sheetData sheetId="6899" refreshError="1"/>
      <sheetData sheetId="6900" refreshError="1"/>
      <sheetData sheetId="6901" refreshError="1"/>
      <sheetData sheetId="6902" refreshError="1"/>
      <sheetData sheetId="6903" refreshError="1"/>
      <sheetData sheetId="6904" refreshError="1"/>
      <sheetData sheetId="6905" refreshError="1"/>
      <sheetData sheetId="6906" refreshError="1"/>
      <sheetData sheetId="6907" refreshError="1"/>
      <sheetData sheetId="6908" refreshError="1"/>
      <sheetData sheetId="6909" refreshError="1"/>
      <sheetData sheetId="6910" refreshError="1"/>
      <sheetData sheetId="6911" refreshError="1"/>
      <sheetData sheetId="6912" refreshError="1"/>
      <sheetData sheetId="6913" refreshError="1"/>
      <sheetData sheetId="6914" refreshError="1"/>
      <sheetData sheetId="6915" refreshError="1"/>
      <sheetData sheetId="6916" refreshError="1"/>
      <sheetData sheetId="6917" refreshError="1"/>
      <sheetData sheetId="6918" refreshError="1"/>
      <sheetData sheetId="6919" refreshError="1"/>
      <sheetData sheetId="6920" refreshError="1"/>
      <sheetData sheetId="6921" refreshError="1"/>
      <sheetData sheetId="6922" refreshError="1"/>
      <sheetData sheetId="6923" refreshError="1"/>
      <sheetData sheetId="6924" refreshError="1"/>
      <sheetData sheetId="6925" refreshError="1"/>
      <sheetData sheetId="6926" refreshError="1"/>
      <sheetData sheetId="6927" refreshError="1"/>
      <sheetData sheetId="6928" refreshError="1"/>
      <sheetData sheetId="6929" refreshError="1"/>
      <sheetData sheetId="6930" refreshError="1"/>
      <sheetData sheetId="6931" refreshError="1"/>
      <sheetData sheetId="6932" refreshError="1"/>
      <sheetData sheetId="6933" refreshError="1"/>
      <sheetData sheetId="6934" refreshError="1"/>
      <sheetData sheetId="6935" refreshError="1"/>
      <sheetData sheetId="6936" refreshError="1"/>
      <sheetData sheetId="6937" refreshError="1"/>
      <sheetData sheetId="6938" refreshError="1"/>
      <sheetData sheetId="6939" refreshError="1"/>
      <sheetData sheetId="6940" refreshError="1"/>
      <sheetData sheetId="6941" refreshError="1"/>
      <sheetData sheetId="6942" refreshError="1"/>
      <sheetData sheetId="6943" refreshError="1"/>
      <sheetData sheetId="6944" refreshError="1"/>
      <sheetData sheetId="6945" refreshError="1"/>
      <sheetData sheetId="6946" refreshError="1"/>
      <sheetData sheetId="6947" refreshError="1"/>
      <sheetData sheetId="6948" refreshError="1"/>
      <sheetData sheetId="6949" refreshError="1"/>
      <sheetData sheetId="6950" refreshError="1"/>
      <sheetData sheetId="6951" refreshError="1"/>
      <sheetData sheetId="6952" refreshError="1"/>
      <sheetData sheetId="6953" refreshError="1"/>
      <sheetData sheetId="6954" refreshError="1"/>
      <sheetData sheetId="6955" refreshError="1"/>
      <sheetData sheetId="6956" refreshError="1"/>
      <sheetData sheetId="6957" refreshError="1"/>
      <sheetData sheetId="6958" refreshError="1"/>
      <sheetData sheetId="6959" refreshError="1"/>
      <sheetData sheetId="6960" refreshError="1"/>
      <sheetData sheetId="6961" refreshError="1"/>
      <sheetData sheetId="6962" refreshError="1"/>
      <sheetData sheetId="6963" refreshError="1"/>
      <sheetData sheetId="6964" refreshError="1"/>
      <sheetData sheetId="6965" refreshError="1"/>
      <sheetData sheetId="6966" refreshError="1"/>
      <sheetData sheetId="6967" refreshError="1"/>
      <sheetData sheetId="6968" refreshError="1"/>
      <sheetData sheetId="6969" refreshError="1"/>
      <sheetData sheetId="6970" refreshError="1"/>
      <sheetData sheetId="6971" refreshError="1"/>
      <sheetData sheetId="6972" refreshError="1"/>
      <sheetData sheetId="6973" refreshError="1"/>
      <sheetData sheetId="6974" refreshError="1"/>
      <sheetData sheetId="6975" refreshError="1"/>
      <sheetData sheetId="6976" refreshError="1"/>
      <sheetData sheetId="6977" refreshError="1"/>
      <sheetData sheetId="6978" refreshError="1"/>
      <sheetData sheetId="6979" refreshError="1"/>
      <sheetData sheetId="6980" refreshError="1"/>
      <sheetData sheetId="6981" refreshError="1"/>
      <sheetData sheetId="6982" refreshError="1"/>
      <sheetData sheetId="6983" refreshError="1"/>
      <sheetData sheetId="6984" refreshError="1"/>
      <sheetData sheetId="6985" refreshError="1"/>
      <sheetData sheetId="6986" refreshError="1"/>
      <sheetData sheetId="6987" refreshError="1"/>
      <sheetData sheetId="6988" refreshError="1"/>
      <sheetData sheetId="6989" refreshError="1"/>
      <sheetData sheetId="6990" refreshError="1"/>
      <sheetData sheetId="6991" refreshError="1"/>
      <sheetData sheetId="6992" refreshError="1"/>
      <sheetData sheetId="6993" refreshError="1"/>
      <sheetData sheetId="6994" refreshError="1"/>
      <sheetData sheetId="6995" refreshError="1"/>
      <sheetData sheetId="6996" refreshError="1"/>
      <sheetData sheetId="6997" refreshError="1"/>
      <sheetData sheetId="6998" refreshError="1"/>
      <sheetData sheetId="6999" refreshError="1"/>
      <sheetData sheetId="7000" refreshError="1"/>
      <sheetData sheetId="7001" refreshError="1"/>
      <sheetData sheetId="7002" refreshError="1"/>
      <sheetData sheetId="7003" refreshError="1"/>
      <sheetData sheetId="7004" refreshError="1"/>
      <sheetData sheetId="7005" refreshError="1"/>
      <sheetData sheetId="7006" refreshError="1"/>
      <sheetData sheetId="7007" refreshError="1"/>
      <sheetData sheetId="7008" refreshError="1"/>
      <sheetData sheetId="7009" refreshError="1"/>
      <sheetData sheetId="7010" refreshError="1"/>
      <sheetData sheetId="7011" refreshError="1"/>
      <sheetData sheetId="7012" refreshError="1"/>
      <sheetData sheetId="7013" refreshError="1"/>
      <sheetData sheetId="7014" refreshError="1"/>
      <sheetData sheetId="7015" refreshError="1"/>
      <sheetData sheetId="7016" refreshError="1"/>
      <sheetData sheetId="7017" refreshError="1"/>
      <sheetData sheetId="7018" refreshError="1"/>
      <sheetData sheetId="7019" refreshError="1"/>
      <sheetData sheetId="7020" refreshError="1"/>
      <sheetData sheetId="7021" refreshError="1"/>
      <sheetData sheetId="7022" refreshError="1"/>
      <sheetData sheetId="7023" refreshError="1"/>
      <sheetData sheetId="7024" refreshError="1"/>
      <sheetData sheetId="7025" refreshError="1"/>
      <sheetData sheetId="7026" refreshError="1"/>
      <sheetData sheetId="7027" refreshError="1"/>
      <sheetData sheetId="7028" refreshError="1"/>
      <sheetData sheetId="7029" refreshError="1"/>
      <sheetData sheetId="7030" refreshError="1"/>
      <sheetData sheetId="7031" refreshError="1"/>
      <sheetData sheetId="7032" refreshError="1"/>
      <sheetData sheetId="7033" refreshError="1"/>
      <sheetData sheetId="7034" refreshError="1"/>
      <sheetData sheetId="7035" refreshError="1"/>
      <sheetData sheetId="7036" refreshError="1"/>
      <sheetData sheetId="7037" refreshError="1"/>
      <sheetData sheetId="7038" refreshError="1"/>
      <sheetData sheetId="7039" refreshError="1"/>
      <sheetData sheetId="7040" refreshError="1"/>
      <sheetData sheetId="7041" refreshError="1"/>
      <sheetData sheetId="7042" refreshError="1"/>
      <sheetData sheetId="7043" refreshError="1"/>
      <sheetData sheetId="7044" refreshError="1"/>
      <sheetData sheetId="7045" refreshError="1"/>
      <sheetData sheetId="7046" refreshError="1"/>
      <sheetData sheetId="7047" refreshError="1"/>
      <sheetData sheetId="7048" refreshError="1"/>
      <sheetData sheetId="7049" refreshError="1"/>
      <sheetData sheetId="7050" refreshError="1"/>
      <sheetData sheetId="7051" refreshError="1"/>
      <sheetData sheetId="7052" refreshError="1"/>
      <sheetData sheetId="7053" refreshError="1"/>
      <sheetData sheetId="7054" refreshError="1"/>
      <sheetData sheetId="7055" refreshError="1"/>
      <sheetData sheetId="7056" refreshError="1"/>
      <sheetData sheetId="7057" refreshError="1"/>
      <sheetData sheetId="7058" refreshError="1"/>
      <sheetData sheetId="7059" refreshError="1"/>
      <sheetData sheetId="7060" refreshError="1"/>
      <sheetData sheetId="7061" refreshError="1"/>
      <sheetData sheetId="7062" refreshError="1"/>
      <sheetData sheetId="7063" refreshError="1"/>
      <sheetData sheetId="7064" refreshError="1"/>
      <sheetData sheetId="7065" refreshError="1"/>
      <sheetData sheetId="7066" refreshError="1"/>
      <sheetData sheetId="7067" refreshError="1"/>
      <sheetData sheetId="7068" refreshError="1"/>
      <sheetData sheetId="7069" refreshError="1"/>
      <sheetData sheetId="7070" refreshError="1"/>
      <sheetData sheetId="7071" refreshError="1"/>
      <sheetData sheetId="7072" refreshError="1"/>
      <sheetData sheetId="7073" refreshError="1"/>
      <sheetData sheetId="7074" refreshError="1"/>
      <sheetData sheetId="7075" refreshError="1"/>
      <sheetData sheetId="7076" refreshError="1"/>
      <sheetData sheetId="7077" refreshError="1"/>
      <sheetData sheetId="7078" refreshError="1"/>
      <sheetData sheetId="7079" refreshError="1"/>
      <sheetData sheetId="7080" refreshError="1"/>
      <sheetData sheetId="7081" refreshError="1"/>
      <sheetData sheetId="7082" refreshError="1"/>
      <sheetData sheetId="7083" refreshError="1"/>
      <sheetData sheetId="7084" refreshError="1"/>
      <sheetData sheetId="7085" refreshError="1"/>
      <sheetData sheetId="7086" refreshError="1"/>
      <sheetData sheetId="7087" refreshError="1"/>
      <sheetData sheetId="7088" refreshError="1"/>
      <sheetData sheetId="7089" refreshError="1"/>
      <sheetData sheetId="7090" refreshError="1"/>
      <sheetData sheetId="7091" refreshError="1"/>
      <sheetData sheetId="7092" refreshError="1"/>
      <sheetData sheetId="7093" refreshError="1"/>
      <sheetData sheetId="7094" refreshError="1"/>
      <sheetData sheetId="7095" refreshError="1"/>
      <sheetData sheetId="7096" refreshError="1"/>
      <sheetData sheetId="7097" refreshError="1"/>
      <sheetData sheetId="7098"/>
      <sheetData sheetId="7099" refreshError="1"/>
      <sheetData sheetId="7100" refreshError="1"/>
      <sheetData sheetId="7101" refreshError="1"/>
      <sheetData sheetId="7102" refreshError="1"/>
      <sheetData sheetId="7103" refreshError="1"/>
      <sheetData sheetId="7104"/>
      <sheetData sheetId="7105"/>
      <sheetData sheetId="7106"/>
      <sheetData sheetId="7107"/>
      <sheetData sheetId="7108"/>
      <sheetData sheetId="7109"/>
      <sheetData sheetId="7110"/>
      <sheetData sheetId="7111"/>
      <sheetData sheetId="7112"/>
      <sheetData sheetId="7113"/>
      <sheetData sheetId="7114"/>
      <sheetData sheetId="7115"/>
      <sheetData sheetId="7116"/>
      <sheetData sheetId="7117"/>
      <sheetData sheetId="7118"/>
      <sheetData sheetId="7119"/>
      <sheetData sheetId="7120"/>
      <sheetData sheetId="7121"/>
      <sheetData sheetId="7122"/>
      <sheetData sheetId="7123"/>
      <sheetData sheetId="7124"/>
      <sheetData sheetId="7125"/>
      <sheetData sheetId="7126"/>
      <sheetData sheetId="7127"/>
      <sheetData sheetId="7128"/>
      <sheetData sheetId="7129"/>
      <sheetData sheetId="7130"/>
      <sheetData sheetId="7131"/>
      <sheetData sheetId="7132"/>
      <sheetData sheetId="7133"/>
      <sheetData sheetId="7134"/>
      <sheetData sheetId="7135"/>
      <sheetData sheetId="7136"/>
      <sheetData sheetId="7137"/>
      <sheetData sheetId="7138"/>
      <sheetData sheetId="7139"/>
      <sheetData sheetId="7140"/>
      <sheetData sheetId="7141"/>
      <sheetData sheetId="7142"/>
      <sheetData sheetId="7143"/>
      <sheetData sheetId="7144"/>
      <sheetData sheetId="7145"/>
      <sheetData sheetId="7146"/>
      <sheetData sheetId="7147"/>
      <sheetData sheetId="7148"/>
      <sheetData sheetId="7149"/>
      <sheetData sheetId="7150"/>
      <sheetData sheetId="7151"/>
      <sheetData sheetId="7152"/>
      <sheetData sheetId="7153"/>
      <sheetData sheetId="7154"/>
      <sheetData sheetId="7155"/>
      <sheetData sheetId="7156"/>
      <sheetData sheetId="7157"/>
      <sheetData sheetId="7158"/>
      <sheetData sheetId="7159"/>
      <sheetData sheetId="7160"/>
      <sheetData sheetId="7161"/>
      <sheetData sheetId="7162"/>
      <sheetData sheetId="7163"/>
      <sheetData sheetId="7164"/>
      <sheetData sheetId="7165"/>
      <sheetData sheetId="7166"/>
      <sheetData sheetId="7167"/>
      <sheetData sheetId="7168"/>
      <sheetData sheetId="7169"/>
      <sheetData sheetId="7170"/>
      <sheetData sheetId="7171"/>
      <sheetData sheetId="7172"/>
      <sheetData sheetId="7173"/>
      <sheetData sheetId="7174"/>
      <sheetData sheetId="7175"/>
      <sheetData sheetId="7176"/>
      <sheetData sheetId="7177"/>
      <sheetData sheetId="7178"/>
      <sheetData sheetId="7179"/>
      <sheetData sheetId="7180"/>
      <sheetData sheetId="7181"/>
      <sheetData sheetId="7182"/>
      <sheetData sheetId="7183"/>
      <sheetData sheetId="7184"/>
      <sheetData sheetId="7185"/>
      <sheetData sheetId="7186"/>
      <sheetData sheetId="7187"/>
      <sheetData sheetId="7188"/>
      <sheetData sheetId="7189"/>
      <sheetData sheetId="7190"/>
      <sheetData sheetId="7191"/>
      <sheetData sheetId="7192"/>
      <sheetData sheetId="7193"/>
      <sheetData sheetId="7194"/>
      <sheetData sheetId="7195"/>
      <sheetData sheetId="7196"/>
      <sheetData sheetId="7197"/>
      <sheetData sheetId="7198"/>
      <sheetData sheetId="7199"/>
      <sheetData sheetId="7200"/>
      <sheetData sheetId="7201"/>
      <sheetData sheetId="7202"/>
      <sheetData sheetId="7203"/>
      <sheetData sheetId="7204"/>
      <sheetData sheetId="7205"/>
      <sheetData sheetId="7206"/>
      <sheetData sheetId="7207"/>
      <sheetData sheetId="7208"/>
      <sheetData sheetId="7209"/>
      <sheetData sheetId="7210"/>
      <sheetData sheetId="7211"/>
      <sheetData sheetId="7212"/>
      <sheetData sheetId="7213"/>
      <sheetData sheetId="7214"/>
      <sheetData sheetId="7215"/>
      <sheetData sheetId="7216"/>
      <sheetData sheetId="7217"/>
      <sheetData sheetId="7218"/>
      <sheetData sheetId="7219"/>
      <sheetData sheetId="7220"/>
      <sheetData sheetId="7221"/>
      <sheetData sheetId="7222"/>
      <sheetData sheetId="7223"/>
      <sheetData sheetId="7224"/>
      <sheetData sheetId="7225"/>
      <sheetData sheetId="7226"/>
      <sheetData sheetId="7227"/>
      <sheetData sheetId="7228"/>
      <sheetData sheetId="7229"/>
      <sheetData sheetId="7230"/>
      <sheetData sheetId="7231"/>
      <sheetData sheetId="7232"/>
      <sheetData sheetId="7233"/>
      <sheetData sheetId="7234"/>
      <sheetData sheetId="7235"/>
      <sheetData sheetId="7236"/>
      <sheetData sheetId="7237"/>
      <sheetData sheetId="7238"/>
      <sheetData sheetId="7239"/>
      <sheetData sheetId="7240"/>
      <sheetData sheetId="7241"/>
      <sheetData sheetId="7242"/>
      <sheetData sheetId="7243"/>
      <sheetData sheetId="7244"/>
      <sheetData sheetId="7245"/>
      <sheetData sheetId="7246"/>
      <sheetData sheetId="7247"/>
      <sheetData sheetId="7248"/>
      <sheetData sheetId="7249"/>
      <sheetData sheetId="7250"/>
      <sheetData sheetId="7251"/>
      <sheetData sheetId="7252"/>
      <sheetData sheetId="7253"/>
      <sheetData sheetId="7254"/>
      <sheetData sheetId="7255"/>
      <sheetData sheetId="7256"/>
      <sheetData sheetId="7257"/>
      <sheetData sheetId="7258"/>
      <sheetData sheetId="7259"/>
      <sheetData sheetId="7260"/>
      <sheetData sheetId="7261"/>
      <sheetData sheetId="7262"/>
      <sheetData sheetId="7263"/>
      <sheetData sheetId="7264"/>
      <sheetData sheetId="7265"/>
      <sheetData sheetId="7266"/>
      <sheetData sheetId="7267"/>
      <sheetData sheetId="7268"/>
      <sheetData sheetId="7269"/>
      <sheetData sheetId="7270"/>
      <sheetData sheetId="7271"/>
      <sheetData sheetId="7272"/>
      <sheetData sheetId="7273"/>
      <sheetData sheetId="7274"/>
      <sheetData sheetId="7275"/>
      <sheetData sheetId="7276"/>
      <sheetData sheetId="7277"/>
      <sheetData sheetId="7278"/>
      <sheetData sheetId="7279"/>
      <sheetData sheetId="7280"/>
      <sheetData sheetId="7281"/>
      <sheetData sheetId="7282"/>
      <sheetData sheetId="7283"/>
      <sheetData sheetId="7284"/>
      <sheetData sheetId="7285"/>
      <sheetData sheetId="7286"/>
      <sheetData sheetId="7287"/>
      <sheetData sheetId="7288"/>
      <sheetData sheetId="7289"/>
      <sheetData sheetId="7290"/>
      <sheetData sheetId="7291"/>
      <sheetData sheetId="7292"/>
      <sheetData sheetId="7293"/>
      <sheetData sheetId="7294"/>
      <sheetData sheetId="7295"/>
      <sheetData sheetId="7296"/>
      <sheetData sheetId="7297"/>
      <sheetData sheetId="7298"/>
      <sheetData sheetId="7299"/>
      <sheetData sheetId="7300"/>
      <sheetData sheetId="7301"/>
      <sheetData sheetId="7302"/>
      <sheetData sheetId="7303"/>
      <sheetData sheetId="7304"/>
      <sheetData sheetId="7305"/>
      <sheetData sheetId="7306"/>
      <sheetData sheetId="7307"/>
      <sheetData sheetId="7308"/>
      <sheetData sheetId="7309"/>
      <sheetData sheetId="7310"/>
      <sheetData sheetId="7311"/>
      <sheetData sheetId="7312"/>
      <sheetData sheetId="7313"/>
      <sheetData sheetId="7314"/>
      <sheetData sheetId="7315"/>
      <sheetData sheetId="7316"/>
      <sheetData sheetId="7317"/>
      <sheetData sheetId="7318"/>
      <sheetData sheetId="7319"/>
      <sheetData sheetId="7320"/>
      <sheetData sheetId="7321"/>
      <sheetData sheetId="7322"/>
      <sheetData sheetId="7323"/>
      <sheetData sheetId="7324"/>
      <sheetData sheetId="7325"/>
      <sheetData sheetId="7326"/>
      <sheetData sheetId="7327"/>
      <sheetData sheetId="7328"/>
      <sheetData sheetId="7329"/>
      <sheetData sheetId="7330"/>
      <sheetData sheetId="7331"/>
      <sheetData sheetId="7332"/>
      <sheetData sheetId="7333"/>
      <sheetData sheetId="7334"/>
      <sheetData sheetId="7335"/>
      <sheetData sheetId="7336"/>
      <sheetData sheetId="7337"/>
      <sheetData sheetId="7338"/>
      <sheetData sheetId="7339"/>
      <sheetData sheetId="7340"/>
      <sheetData sheetId="7341"/>
      <sheetData sheetId="7342"/>
      <sheetData sheetId="7343"/>
      <sheetData sheetId="7344"/>
      <sheetData sheetId="7345"/>
      <sheetData sheetId="7346"/>
      <sheetData sheetId="7347"/>
      <sheetData sheetId="7348"/>
      <sheetData sheetId="7349"/>
      <sheetData sheetId="7350"/>
      <sheetData sheetId="7351"/>
      <sheetData sheetId="7352"/>
      <sheetData sheetId="7353"/>
      <sheetData sheetId="7354"/>
      <sheetData sheetId="7355"/>
      <sheetData sheetId="7356"/>
      <sheetData sheetId="7357"/>
      <sheetData sheetId="7358"/>
      <sheetData sheetId="7359"/>
      <sheetData sheetId="7360"/>
      <sheetData sheetId="7361"/>
      <sheetData sheetId="7362"/>
      <sheetData sheetId="7363"/>
      <sheetData sheetId="7364"/>
      <sheetData sheetId="7365"/>
      <sheetData sheetId="7366"/>
      <sheetData sheetId="7367"/>
      <sheetData sheetId="7368"/>
      <sheetData sheetId="7369"/>
      <sheetData sheetId="7370"/>
      <sheetData sheetId="7371"/>
      <sheetData sheetId="7372"/>
      <sheetData sheetId="7373"/>
      <sheetData sheetId="7374"/>
      <sheetData sheetId="7375"/>
      <sheetData sheetId="7376"/>
      <sheetData sheetId="7377"/>
      <sheetData sheetId="7378"/>
      <sheetData sheetId="7379"/>
      <sheetData sheetId="7380"/>
      <sheetData sheetId="7381"/>
      <sheetData sheetId="7382"/>
      <sheetData sheetId="7383"/>
      <sheetData sheetId="7384"/>
      <sheetData sheetId="7385"/>
      <sheetData sheetId="7386"/>
      <sheetData sheetId="7387"/>
      <sheetData sheetId="7388"/>
      <sheetData sheetId="7389"/>
      <sheetData sheetId="7390"/>
      <sheetData sheetId="7391"/>
      <sheetData sheetId="7392"/>
      <sheetData sheetId="7393"/>
      <sheetData sheetId="7394"/>
      <sheetData sheetId="7395"/>
      <sheetData sheetId="7396" refreshError="1"/>
      <sheetData sheetId="7397" refreshError="1"/>
      <sheetData sheetId="7398" refreshError="1"/>
      <sheetData sheetId="7399" refreshError="1"/>
      <sheetData sheetId="7400" refreshError="1"/>
      <sheetData sheetId="7401" refreshError="1"/>
      <sheetData sheetId="7402" refreshError="1"/>
      <sheetData sheetId="7403" refreshError="1"/>
      <sheetData sheetId="7404" refreshError="1"/>
      <sheetData sheetId="7405" refreshError="1"/>
      <sheetData sheetId="7406" refreshError="1"/>
      <sheetData sheetId="7407" refreshError="1"/>
      <sheetData sheetId="7408" refreshError="1"/>
      <sheetData sheetId="7409" refreshError="1"/>
      <sheetData sheetId="7410" refreshError="1"/>
      <sheetData sheetId="7411" refreshError="1"/>
      <sheetData sheetId="7412" refreshError="1"/>
      <sheetData sheetId="7413" refreshError="1"/>
      <sheetData sheetId="7414" refreshError="1"/>
      <sheetData sheetId="7415" refreshError="1"/>
      <sheetData sheetId="7416" refreshError="1"/>
      <sheetData sheetId="7417" refreshError="1"/>
      <sheetData sheetId="7418" refreshError="1"/>
      <sheetData sheetId="7419" refreshError="1"/>
      <sheetData sheetId="7420" refreshError="1"/>
      <sheetData sheetId="7421" refreshError="1"/>
      <sheetData sheetId="7422" refreshError="1"/>
      <sheetData sheetId="7423" refreshError="1"/>
      <sheetData sheetId="7424" refreshError="1"/>
      <sheetData sheetId="7425" refreshError="1"/>
      <sheetData sheetId="7426"/>
      <sheetData sheetId="7427"/>
      <sheetData sheetId="7428" refreshError="1"/>
      <sheetData sheetId="7429" refreshError="1"/>
      <sheetData sheetId="7430" refreshError="1"/>
      <sheetData sheetId="7431" refreshError="1"/>
      <sheetData sheetId="7432" refreshError="1"/>
      <sheetData sheetId="7433"/>
      <sheetData sheetId="7434" refreshError="1"/>
      <sheetData sheetId="7435" refreshError="1"/>
      <sheetData sheetId="7436" refreshError="1"/>
      <sheetData sheetId="7437" refreshError="1"/>
      <sheetData sheetId="7438" refreshError="1"/>
      <sheetData sheetId="7439" refreshError="1"/>
      <sheetData sheetId="7440" refreshError="1"/>
      <sheetData sheetId="7441" refreshError="1"/>
      <sheetData sheetId="7442" refreshError="1"/>
      <sheetData sheetId="7443" refreshError="1"/>
      <sheetData sheetId="7444"/>
      <sheetData sheetId="7445"/>
      <sheetData sheetId="7446"/>
      <sheetData sheetId="7447"/>
      <sheetData sheetId="7448"/>
      <sheetData sheetId="7449"/>
      <sheetData sheetId="7450"/>
      <sheetData sheetId="7451"/>
      <sheetData sheetId="7452"/>
      <sheetData sheetId="7453"/>
      <sheetData sheetId="7454"/>
      <sheetData sheetId="7455"/>
      <sheetData sheetId="7456"/>
      <sheetData sheetId="7457"/>
      <sheetData sheetId="7458"/>
      <sheetData sheetId="7459"/>
      <sheetData sheetId="7460"/>
      <sheetData sheetId="7461"/>
      <sheetData sheetId="7462"/>
      <sheetData sheetId="7463"/>
      <sheetData sheetId="7464"/>
      <sheetData sheetId="7465"/>
      <sheetData sheetId="7466"/>
      <sheetData sheetId="7467"/>
      <sheetData sheetId="7468"/>
      <sheetData sheetId="7469"/>
      <sheetData sheetId="7470"/>
      <sheetData sheetId="7471"/>
      <sheetData sheetId="7472"/>
      <sheetData sheetId="7473"/>
      <sheetData sheetId="7474"/>
      <sheetData sheetId="7475"/>
      <sheetData sheetId="7476"/>
      <sheetData sheetId="7477"/>
      <sheetData sheetId="7478"/>
      <sheetData sheetId="7479"/>
      <sheetData sheetId="7480"/>
      <sheetData sheetId="7481"/>
      <sheetData sheetId="7482"/>
      <sheetData sheetId="7483"/>
      <sheetData sheetId="7484"/>
      <sheetData sheetId="7485"/>
      <sheetData sheetId="7486"/>
      <sheetData sheetId="7487"/>
      <sheetData sheetId="7488"/>
      <sheetData sheetId="7489"/>
      <sheetData sheetId="7490"/>
      <sheetData sheetId="7491"/>
      <sheetData sheetId="7492"/>
      <sheetData sheetId="7493"/>
      <sheetData sheetId="7494"/>
      <sheetData sheetId="7495"/>
      <sheetData sheetId="7496"/>
      <sheetData sheetId="7497"/>
      <sheetData sheetId="7498"/>
      <sheetData sheetId="7499"/>
      <sheetData sheetId="7500"/>
      <sheetData sheetId="7501"/>
      <sheetData sheetId="7502"/>
      <sheetData sheetId="7503"/>
      <sheetData sheetId="7504"/>
      <sheetData sheetId="7505"/>
      <sheetData sheetId="7506"/>
      <sheetData sheetId="7507"/>
      <sheetData sheetId="7508"/>
      <sheetData sheetId="7509"/>
      <sheetData sheetId="7510"/>
      <sheetData sheetId="7511"/>
      <sheetData sheetId="7512"/>
      <sheetData sheetId="7513"/>
      <sheetData sheetId="7514"/>
      <sheetData sheetId="7515"/>
      <sheetData sheetId="7516"/>
      <sheetData sheetId="7517"/>
      <sheetData sheetId="7518"/>
      <sheetData sheetId="7519"/>
      <sheetData sheetId="7520"/>
      <sheetData sheetId="7521"/>
      <sheetData sheetId="7522"/>
      <sheetData sheetId="7523"/>
      <sheetData sheetId="7524"/>
      <sheetData sheetId="7525"/>
      <sheetData sheetId="7526"/>
      <sheetData sheetId="7527"/>
      <sheetData sheetId="7528"/>
      <sheetData sheetId="7529"/>
      <sheetData sheetId="7530"/>
      <sheetData sheetId="7531"/>
      <sheetData sheetId="7532"/>
      <sheetData sheetId="7533"/>
      <sheetData sheetId="7534"/>
      <sheetData sheetId="7535"/>
      <sheetData sheetId="7536"/>
      <sheetData sheetId="7537"/>
      <sheetData sheetId="7538"/>
      <sheetData sheetId="7539"/>
      <sheetData sheetId="7540"/>
      <sheetData sheetId="7541"/>
      <sheetData sheetId="7542"/>
      <sheetData sheetId="7543"/>
      <sheetData sheetId="7544"/>
      <sheetData sheetId="7545"/>
      <sheetData sheetId="7546"/>
      <sheetData sheetId="7547"/>
      <sheetData sheetId="7548"/>
      <sheetData sheetId="7549"/>
      <sheetData sheetId="7550"/>
      <sheetData sheetId="7551"/>
      <sheetData sheetId="7552"/>
      <sheetData sheetId="7553"/>
      <sheetData sheetId="7554"/>
      <sheetData sheetId="7555"/>
      <sheetData sheetId="7556"/>
      <sheetData sheetId="7557"/>
      <sheetData sheetId="7558"/>
      <sheetData sheetId="7559"/>
      <sheetData sheetId="7560"/>
      <sheetData sheetId="7561"/>
      <sheetData sheetId="7562"/>
      <sheetData sheetId="7563"/>
      <sheetData sheetId="7564"/>
      <sheetData sheetId="7565"/>
      <sheetData sheetId="7566"/>
      <sheetData sheetId="7567"/>
      <sheetData sheetId="7568"/>
      <sheetData sheetId="7569"/>
      <sheetData sheetId="7570"/>
      <sheetData sheetId="7571"/>
      <sheetData sheetId="7572"/>
      <sheetData sheetId="7573"/>
      <sheetData sheetId="7574"/>
      <sheetData sheetId="7575"/>
      <sheetData sheetId="7576"/>
      <sheetData sheetId="7577"/>
      <sheetData sheetId="7578"/>
      <sheetData sheetId="7579"/>
      <sheetData sheetId="7580"/>
      <sheetData sheetId="7581"/>
      <sheetData sheetId="7582"/>
      <sheetData sheetId="7583"/>
      <sheetData sheetId="7584"/>
      <sheetData sheetId="7585"/>
      <sheetData sheetId="7586"/>
      <sheetData sheetId="7587"/>
      <sheetData sheetId="7588"/>
      <sheetData sheetId="7589"/>
      <sheetData sheetId="7590"/>
      <sheetData sheetId="7591"/>
      <sheetData sheetId="7592"/>
      <sheetData sheetId="7593"/>
      <sheetData sheetId="7594"/>
      <sheetData sheetId="7595"/>
      <sheetData sheetId="7596"/>
      <sheetData sheetId="7597"/>
      <sheetData sheetId="7598"/>
      <sheetData sheetId="7599"/>
      <sheetData sheetId="7600"/>
      <sheetData sheetId="7601"/>
      <sheetData sheetId="7602"/>
      <sheetData sheetId="7603"/>
      <sheetData sheetId="7604"/>
      <sheetData sheetId="7605"/>
      <sheetData sheetId="7606"/>
      <sheetData sheetId="7607"/>
      <sheetData sheetId="7608"/>
      <sheetData sheetId="7609"/>
      <sheetData sheetId="7610"/>
      <sheetData sheetId="7611"/>
      <sheetData sheetId="7612"/>
      <sheetData sheetId="7613"/>
      <sheetData sheetId="7614"/>
      <sheetData sheetId="7615" refreshError="1"/>
      <sheetData sheetId="7616" refreshError="1"/>
      <sheetData sheetId="7617" refreshError="1"/>
      <sheetData sheetId="7618" refreshError="1"/>
      <sheetData sheetId="7619" refreshError="1"/>
      <sheetData sheetId="7620" refreshError="1"/>
      <sheetData sheetId="7621" refreshError="1"/>
      <sheetData sheetId="7622" refreshError="1"/>
      <sheetData sheetId="7623" refreshError="1"/>
      <sheetData sheetId="7624" refreshError="1"/>
      <sheetData sheetId="7625" refreshError="1"/>
      <sheetData sheetId="7626" refreshError="1"/>
      <sheetData sheetId="7627" refreshError="1"/>
      <sheetData sheetId="7628" refreshError="1"/>
      <sheetData sheetId="7629" refreshError="1"/>
      <sheetData sheetId="7630" refreshError="1"/>
      <sheetData sheetId="7631" refreshError="1"/>
      <sheetData sheetId="7632" refreshError="1"/>
      <sheetData sheetId="7633" refreshError="1"/>
      <sheetData sheetId="7634" refreshError="1"/>
      <sheetData sheetId="7635" refreshError="1"/>
      <sheetData sheetId="7636" refreshError="1"/>
      <sheetData sheetId="7637" refreshError="1"/>
      <sheetData sheetId="7638" refreshError="1"/>
      <sheetData sheetId="7639" refreshError="1"/>
      <sheetData sheetId="7640" refreshError="1"/>
      <sheetData sheetId="7641" refreshError="1"/>
      <sheetData sheetId="7642" refreshError="1"/>
      <sheetData sheetId="7643" refreshError="1"/>
      <sheetData sheetId="7644" refreshError="1"/>
      <sheetData sheetId="7645" refreshError="1"/>
      <sheetData sheetId="7646" refreshError="1"/>
      <sheetData sheetId="7647" refreshError="1"/>
      <sheetData sheetId="7648" refreshError="1"/>
      <sheetData sheetId="7649" refreshError="1"/>
      <sheetData sheetId="7650" refreshError="1"/>
      <sheetData sheetId="7651" refreshError="1"/>
      <sheetData sheetId="7652" refreshError="1"/>
      <sheetData sheetId="7653" refreshError="1"/>
      <sheetData sheetId="7654" refreshError="1"/>
      <sheetData sheetId="7655" refreshError="1"/>
      <sheetData sheetId="7656" refreshError="1"/>
      <sheetData sheetId="7657" refreshError="1"/>
      <sheetData sheetId="7658" refreshError="1"/>
      <sheetData sheetId="7659" refreshError="1"/>
      <sheetData sheetId="7660" refreshError="1"/>
      <sheetData sheetId="7661" refreshError="1"/>
      <sheetData sheetId="7662" refreshError="1"/>
      <sheetData sheetId="7663" refreshError="1"/>
      <sheetData sheetId="7664" refreshError="1"/>
      <sheetData sheetId="7665" refreshError="1"/>
      <sheetData sheetId="7666" refreshError="1"/>
      <sheetData sheetId="7667" refreshError="1"/>
      <sheetData sheetId="7668" refreshError="1"/>
      <sheetData sheetId="7669" refreshError="1"/>
      <sheetData sheetId="7670" refreshError="1"/>
      <sheetData sheetId="7671" refreshError="1"/>
      <sheetData sheetId="7672" refreshError="1"/>
      <sheetData sheetId="7673" refreshError="1"/>
      <sheetData sheetId="7674" refreshError="1"/>
      <sheetData sheetId="7675" refreshError="1"/>
      <sheetData sheetId="7676" refreshError="1"/>
      <sheetData sheetId="7677" refreshError="1"/>
      <sheetData sheetId="7678" refreshError="1"/>
      <sheetData sheetId="7679" refreshError="1"/>
      <sheetData sheetId="7680" refreshError="1"/>
      <sheetData sheetId="7681"/>
      <sheetData sheetId="7682" refreshError="1"/>
      <sheetData sheetId="7683" refreshError="1"/>
      <sheetData sheetId="7684" refreshError="1"/>
      <sheetData sheetId="7685" refreshError="1"/>
      <sheetData sheetId="7686" refreshError="1"/>
      <sheetData sheetId="7687" refreshError="1"/>
      <sheetData sheetId="7688" refreshError="1"/>
      <sheetData sheetId="7689"/>
      <sheetData sheetId="7690"/>
      <sheetData sheetId="7691"/>
      <sheetData sheetId="7692" refreshError="1"/>
      <sheetData sheetId="7693" refreshError="1"/>
      <sheetData sheetId="7694" refreshError="1"/>
      <sheetData sheetId="7695" refreshError="1"/>
      <sheetData sheetId="7696" refreshError="1"/>
      <sheetData sheetId="7697" refreshError="1"/>
      <sheetData sheetId="7698" refreshError="1"/>
      <sheetData sheetId="7699" refreshError="1"/>
      <sheetData sheetId="7700" refreshError="1"/>
      <sheetData sheetId="7701" refreshError="1"/>
      <sheetData sheetId="7702" refreshError="1"/>
      <sheetData sheetId="7703" refreshError="1"/>
      <sheetData sheetId="7704" refreshError="1"/>
      <sheetData sheetId="7705"/>
      <sheetData sheetId="7706"/>
      <sheetData sheetId="7707"/>
      <sheetData sheetId="7708" refreshError="1"/>
      <sheetData sheetId="7709" refreshError="1"/>
      <sheetData sheetId="7710" refreshError="1"/>
      <sheetData sheetId="7711" refreshError="1"/>
      <sheetData sheetId="7712" refreshError="1"/>
      <sheetData sheetId="7713" refreshError="1"/>
      <sheetData sheetId="7714"/>
      <sheetData sheetId="7715" refreshError="1"/>
      <sheetData sheetId="7716" refreshError="1"/>
      <sheetData sheetId="7717" refreshError="1"/>
      <sheetData sheetId="7718" refreshError="1"/>
      <sheetData sheetId="7719" refreshError="1"/>
      <sheetData sheetId="7720" refreshError="1"/>
      <sheetData sheetId="7721" refreshError="1"/>
      <sheetData sheetId="7722" refreshError="1"/>
      <sheetData sheetId="7723" refreshError="1"/>
      <sheetData sheetId="7724"/>
      <sheetData sheetId="7725" refreshError="1"/>
      <sheetData sheetId="7726" refreshError="1"/>
      <sheetData sheetId="7727" refreshError="1"/>
      <sheetData sheetId="7728" refreshError="1"/>
      <sheetData sheetId="7729" refreshError="1"/>
      <sheetData sheetId="7730" refreshError="1"/>
      <sheetData sheetId="7731" refreshError="1"/>
      <sheetData sheetId="7732" refreshError="1"/>
      <sheetData sheetId="7733" refreshError="1"/>
      <sheetData sheetId="7734" refreshError="1"/>
      <sheetData sheetId="7735" refreshError="1"/>
      <sheetData sheetId="7736" refreshError="1"/>
      <sheetData sheetId="7737" refreshError="1"/>
      <sheetData sheetId="7738" refreshError="1"/>
      <sheetData sheetId="7739" refreshError="1"/>
      <sheetData sheetId="7740" refreshError="1"/>
      <sheetData sheetId="7741" refreshError="1"/>
      <sheetData sheetId="7742" refreshError="1"/>
      <sheetData sheetId="7743" refreshError="1"/>
      <sheetData sheetId="7744" refreshError="1"/>
      <sheetData sheetId="7745" refreshError="1"/>
      <sheetData sheetId="7746" refreshError="1"/>
      <sheetData sheetId="7747" refreshError="1"/>
      <sheetData sheetId="7748"/>
      <sheetData sheetId="7749"/>
      <sheetData sheetId="7750"/>
      <sheetData sheetId="7751"/>
      <sheetData sheetId="7752"/>
      <sheetData sheetId="7753"/>
      <sheetData sheetId="7754"/>
      <sheetData sheetId="7755"/>
      <sheetData sheetId="7756"/>
      <sheetData sheetId="7757"/>
      <sheetData sheetId="7758"/>
      <sheetData sheetId="7759"/>
      <sheetData sheetId="7760"/>
      <sheetData sheetId="7761"/>
      <sheetData sheetId="7762"/>
      <sheetData sheetId="7763"/>
      <sheetData sheetId="7764"/>
      <sheetData sheetId="7765"/>
      <sheetData sheetId="7766"/>
      <sheetData sheetId="7767"/>
      <sheetData sheetId="7768"/>
      <sheetData sheetId="7769"/>
      <sheetData sheetId="7770"/>
      <sheetData sheetId="7771"/>
      <sheetData sheetId="7772"/>
      <sheetData sheetId="7773"/>
      <sheetData sheetId="7774"/>
      <sheetData sheetId="7775"/>
      <sheetData sheetId="7776"/>
      <sheetData sheetId="7777"/>
      <sheetData sheetId="7778"/>
      <sheetData sheetId="7779"/>
      <sheetData sheetId="7780"/>
      <sheetData sheetId="7781"/>
      <sheetData sheetId="7782"/>
      <sheetData sheetId="7783"/>
      <sheetData sheetId="7784"/>
      <sheetData sheetId="7785"/>
      <sheetData sheetId="7786"/>
      <sheetData sheetId="7787"/>
      <sheetData sheetId="7788"/>
      <sheetData sheetId="7789"/>
      <sheetData sheetId="7790"/>
      <sheetData sheetId="7791"/>
      <sheetData sheetId="7792"/>
      <sheetData sheetId="7793"/>
      <sheetData sheetId="7794"/>
      <sheetData sheetId="7795"/>
      <sheetData sheetId="7796"/>
      <sheetData sheetId="7797"/>
      <sheetData sheetId="7798"/>
      <sheetData sheetId="7799"/>
      <sheetData sheetId="7800"/>
      <sheetData sheetId="7801"/>
      <sheetData sheetId="7802"/>
      <sheetData sheetId="7803"/>
      <sheetData sheetId="7804"/>
      <sheetData sheetId="7805"/>
      <sheetData sheetId="7806"/>
      <sheetData sheetId="7807"/>
      <sheetData sheetId="7808"/>
      <sheetData sheetId="7809"/>
      <sheetData sheetId="7810"/>
      <sheetData sheetId="7811"/>
      <sheetData sheetId="7812"/>
      <sheetData sheetId="7813"/>
      <sheetData sheetId="7814"/>
      <sheetData sheetId="7815"/>
      <sheetData sheetId="7816"/>
      <sheetData sheetId="7817"/>
      <sheetData sheetId="7818"/>
      <sheetData sheetId="7819"/>
      <sheetData sheetId="7820"/>
      <sheetData sheetId="7821"/>
      <sheetData sheetId="7822"/>
      <sheetData sheetId="7823"/>
      <sheetData sheetId="7824"/>
      <sheetData sheetId="7825"/>
      <sheetData sheetId="7826"/>
      <sheetData sheetId="7827"/>
      <sheetData sheetId="7828"/>
      <sheetData sheetId="7829"/>
      <sheetData sheetId="7830"/>
      <sheetData sheetId="7831"/>
      <sheetData sheetId="7832"/>
      <sheetData sheetId="7833"/>
      <sheetData sheetId="7834"/>
      <sheetData sheetId="7835"/>
      <sheetData sheetId="7836"/>
      <sheetData sheetId="7837"/>
      <sheetData sheetId="7838"/>
      <sheetData sheetId="7839"/>
      <sheetData sheetId="7840"/>
      <sheetData sheetId="7841"/>
      <sheetData sheetId="7842"/>
      <sheetData sheetId="7843"/>
      <sheetData sheetId="7844"/>
      <sheetData sheetId="7845"/>
      <sheetData sheetId="7846"/>
      <sheetData sheetId="7847"/>
      <sheetData sheetId="7848"/>
      <sheetData sheetId="7849"/>
      <sheetData sheetId="7850"/>
      <sheetData sheetId="7851"/>
      <sheetData sheetId="7852"/>
      <sheetData sheetId="7853"/>
      <sheetData sheetId="7854"/>
      <sheetData sheetId="7855"/>
      <sheetData sheetId="7856"/>
      <sheetData sheetId="7857"/>
      <sheetData sheetId="7858"/>
      <sheetData sheetId="7859"/>
      <sheetData sheetId="7860"/>
      <sheetData sheetId="7861"/>
      <sheetData sheetId="7862"/>
      <sheetData sheetId="7863"/>
      <sheetData sheetId="7864"/>
      <sheetData sheetId="7865"/>
      <sheetData sheetId="7866"/>
      <sheetData sheetId="7867"/>
      <sheetData sheetId="7868"/>
      <sheetData sheetId="7869"/>
      <sheetData sheetId="7870"/>
      <sheetData sheetId="7871"/>
      <sheetData sheetId="7872"/>
      <sheetData sheetId="7873"/>
      <sheetData sheetId="7874"/>
      <sheetData sheetId="7875"/>
      <sheetData sheetId="7876"/>
      <sheetData sheetId="7877"/>
      <sheetData sheetId="7878"/>
      <sheetData sheetId="7879"/>
      <sheetData sheetId="7880"/>
      <sheetData sheetId="7881"/>
      <sheetData sheetId="7882" refreshError="1"/>
      <sheetData sheetId="7883" refreshError="1"/>
      <sheetData sheetId="7884" refreshError="1"/>
      <sheetData sheetId="7885" refreshError="1"/>
      <sheetData sheetId="7886" refreshError="1"/>
      <sheetData sheetId="7887" refreshError="1"/>
      <sheetData sheetId="7888" refreshError="1"/>
      <sheetData sheetId="7889"/>
      <sheetData sheetId="7890"/>
      <sheetData sheetId="7891"/>
      <sheetData sheetId="7892"/>
      <sheetData sheetId="7893"/>
      <sheetData sheetId="7894"/>
      <sheetData sheetId="7895"/>
      <sheetData sheetId="7896"/>
      <sheetData sheetId="7897"/>
      <sheetData sheetId="7898"/>
      <sheetData sheetId="7899"/>
      <sheetData sheetId="7900"/>
      <sheetData sheetId="7901"/>
      <sheetData sheetId="7902"/>
      <sheetData sheetId="7903"/>
      <sheetData sheetId="7904" refreshError="1"/>
      <sheetData sheetId="7905" refreshError="1"/>
      <sheetData sheetId="7906" refreshError="1"/>
      <sheetData sheetId="7907" refreshError="1"/>
      <sheetData sheetId="7908" refreshError="1"/>
      <sheetData sheetId="7909" refreshError="1"/>
      <sheetData sheetId="7910" refreshError="1"/>
      <sheetData sheetId="7911" refreshError="1"/>
      <sheetData sheetId="7912" refreshError="1"/>
      <sheetData sheetId="7913" refreshError="1"/>
      <sheetData sheetId="7914" refreshError="1"/>
      <sheetData sheetId="7915"/>
      <sheetData sheetId="7916"/>
      <sheetData sheetId="7917"/>
      <sheetData sheetId="7918"/>
      <sheetData sheetId="7919"/>
      <sheetData sheetId="7920"/>
      <sheetData sheetId="7921"/>
      <sheetData sheetId="7922"/>
      <sheetData sheetId="7923"/>
      <sheetData sheetId="7924"/>
      <sheetData sheetId="7925"/>
      <sheetData sheetId="7926"/>
      <sheetData sheetId="7927"/>
      <sheetData sheetId="7928"/>
      <sheetData sheetId="7929"/>
      <sheetData sheetId="7930"/>
      <sheetData sheetId="7931"/>
      <sheetData sheetId="7932"/>
      <sheetData sheetId="7933"/>
      <sheetData sheetId="7934"/>
      <sheetData sheetId="7935"/>
      <sheetData sheetId="7936"/>
      <sheetData sheetId="7937"/>
      <sheetData sheetId="7938"/>
      <sheetData sheetId="7939"/>
      <sheetData sheetId="7940"/>
      <sheetData sheetId="7941"/>
      <sheetData sheetId="7942"/>
      <sheetData sheetId="7943"/>
      <sheetData sheetId="7944"/>
      <sheetData sheetId="7945"/>
      <sheetData sheetId="7946"/>
      <sheetData sheetId="7947"/>
      <sheetData sheetId="7948"/>
      <sheetData sheetId="7949"/>
      <sheetData sheetId="7950"/>
      <sheetData sheetId="7951"/>
      <sheetData sheetId="7952"/>
      <sheetData sheetId="7953"/>
      <sheetData sheetId="7954"/>
      <sheetData sheetId="7955"/>
      <sheetData sheetId="7956"/>
      <sheetData sheetId="7957"/>
      <sheetData sheetId="7958"/>
      <sheetData sheetId="7959"/>
      <sheetData sheetId="7960"/>
      <sheetData sheetId="7961"/>
      <sheetData sheetId="7962"/>
      <sheetData sheetId="7963"/>
      <sheetData sheetId="7964"/>
      <sheetData sheetId="7965"/>
      <sheetData sheetId="7966"/>
      <sheetData sheetId="7967"/>
      <sheetData sheetId="7968"/>
      <sheetData sheetId="7969"/>
      <sheetData sheetId="7970"/>
      <sheetData sheetId="7971"/>
      <sheetData sheetId="7972"/>
      <sheetData sheetId="7973"/>
      <sheetData sheetId="7974"/>
      <sheetData sheetId="7975"/>
      <sheetData sheetId="7976"/>
      <sheetData sheetId="7977"/>
      <sheetData sheetId="7978"/>
      <sheetData sheetId="7979"/>
      <sheetData sheetId="7980"/>
      <sheetData sheetId="7981"/>
      <sheetData sheetId="7982"/>
      <sheetData sheetId="7983"/>
      <sheetData sheetId="7984"/>
      <sheetData sheetId="7985"/>
      <sheetData sheetId="7986"/>
      <sheetData sheetId="7987"/>
      <sheetData sheetId="7988"/>
      <sheetData sheetId="7989"/>
      <sheetData sheetId="7990"/>
      <sheetData sheetId="7991"/>
      <sheetData sheetId="7992"/>
      <sheetData sheetId="7993"/>
      <sheetData sheetId="7994"/>
      <sheetData sheetId="7995"/>
      <sheetData sheetId="7996"/>
      <sheetData sheetId="7997"/>
      <sheetData sheetId="7998"/>
      <sheetData sheetId="7999"/>
      <sheetData sheetId="8000"/>
      <sheetData sheetId="8001"/>
      <sheetData sheetId="8002"/>
      <sheetData sheetId="8003"/>
      <sheetData sheetId="8004"/>
      <sheetData sheetId="8005"/>
      <sheetData sheetId="8006"/>
      <sheetData sheetId="8007"/>
      <sheetData sheetId="8008"/>
      <sheetData sheetId="8009"/>
      <sheetData sheetId="8010"/>
      <sheetData sheetId="8011"/>
      <sheetData sheetId="8012"/>
      <sheetData sheetId="8013"/>
      <sheetData sheetId="8014"/>
      <sheetData sheetId="8015"/>
      <sheetData sheetId="8016"/>
      <sheetData sheetId="8017"/>
      <sheetData sheetId="8018"/>
      <sheetData sheetId="8019"/>
      <sheetData sheetId="8020"/>
      <sheetData sheetId="8021"/>
      <sheetData sheetId="8022"/>
      <sheetData sheetId="8023"/>
      <sheetData sheetId="8024"/>
      <sheetData sheetId="8025"/>
      <sheetData sheetId="8026"/>
      <sheetData sheetId="8027"/>
      <sheetData sheetId="8028"/>
      <sheetData sheetId="8029"/>
      <sheetData sheetId="8030"/>
      <sheetData sheetId="8031"/>
      <sheetData sheetId="8032"/>
      <sheetData sheetId="8033"/>
      <sheetData sheetId="8034"/>
      <sheetData sheetId="8035"/>
      <sheetData sheetId="8036"/>
      <sheetData sheetId="8037"/>
      <sheetData sheetId="8038"/>
      <sheetData sheetId="8039"/>
      <sheetData sheetId="8040"/>
      <sheetData sheetId="8041"/>
      <sheetData sheetId="8042"/>
      <sheetData sheetId="8043"/>
      <sheetData sheetId="8044"/>
      <sheetData sheetId="8045"/>
      <sheetData sheetId="8046"/>
      <sheetData sheetId="8047"/>
      <sheetData sheetId="8048"/>
      <sheetData sheetId="8049"/>
      <sheetData sheetId="8050"/>
      <sheetData sheetId="8051"/>
      <sheetData sheetId="8052"/>
      <sheetData sheetId="8053"/>
      <sheetData sheetId="8054"/>
      <sheetData sheetId="8055"/>
      <sheetData sheetId="8056"/>
      <sheetData sheetId="8057"/>
      <sheetData sheetId="8058"/>
      <sheetData sheetId="8059"/>
      <sheetData sheetId="8060"/>
      <sheetData sheetId="8061"/>
      <sheetData sheetId="8062"/>
      <sheetData sheetId="8063"/>
      <sheetData sheetId="8064"/>
      <sheetData sheetId="8065"/>
      <sheetData sheetId="8066"/>
      <sheetData sheetId="8067"/>
      <sheetData sheetId="8068"/>
      <sheetData sheetId="8069"/>
      <sheetData sheetId="8070"/>
      <sheetData sheetId="8071"/>
      <sheetData sheetId="8072"/>
      <sheetData sheetId="8073"/>
      <sheetData sheetId="8074"/>
      <sheetData sheetId="8075"/>
      <sheetData sheetId="8076"/>
      <sheetData sheetId="8077"/>
      <sheetData sheetId="8078"/>
      <sheetData sheetId="8079"/>
      <sheetData sheetId="8080"/>
      <sheetData sheetId="8081"/>
      <sheetData sheetId="8082"/>
      <sheetData sheetId="8083"/>
      <sheetData sheetId="8084"/>
      <sheetData sheetId="8085"/>
      <sheetData sheetId="8086"/>
      <sheetData sheetId="8087"/>
      <sheetData sheetId="8088"/>
      <sheetData sheetId="8089"/>
      <sheetData sheetId="8090"/>
      <sheetData sheetId="8091"/>
      <sheetData sheetId="8092"/>
      <sheetData sheetId="8093"/>
      <sheetData sheetId="8094"/>
      <sheetData sheetId="8095"/>
      <sheetData sheetId="8096"/>
      <sheetData sheetId="8097"/>
      <sheetData sheetId="8098"/>
      <sheetData sheetId="8099"/>
      <sheetData sheetId="8100"/>
      <sheetData sheetId="8101"/>
      <sheetData sheetId="8102"/>
      <sheetData sheetId="8103"/>
      <sheetData sheetId="8104"/>
      <sheetData sheetId="8105"/>
      <sheetData sheetId="8106"/>
      <sheetData sheetId="8107"/>
      <sheetData sheetId="8108"/>
      <sheetData sheetId="8109"/>
      <sheetData sheetId="8110"/>
      <sheetData sheetId="8111"/>
      <sheetData sheetId="8112"/>
      <sheetData sheetId="8113"/>
      <sheetData sheetId="8114"/>
      <sheetData sheetId="8115"/>
      <sheetData sheetId="8116"/>
      <sheetData sheetId="8117"/>
      <sheetData sheetId="8118"/>
      <sheetData sheetId="8119"/>
      <sheetData sheetId="8120"/>
      <sheetData sheetId="8121"/>
      <sheetData sheetId="8122"/>
      <sheetData sheetId="8123"/>
      <sheetData sheetId="8124"/>
      <sheetData sheetId="8125"/>
      <sheetData sheetId="8126"/>
      <sheetData sheetId="8127"/>
      <sheetData sheetId="8128"/>
      <sheetData sheetId="8129"/>
      <sheetData sheetId="8130"/>
      <sheetData sheetId="8131"/>
      <sheetData sheetId="8132"/>
      <sheetData sheetId="8133"/>
      <sheetData sheetId="8134"/>
      <sheetData sheetId="8135"/>
      <sheetData sheetId="8136"/>
      <sheetData sheetId="8137"/>
      <sheetData sheetId="8138"/>
      <sheetData sheetId="8139"/>
      <sheetData sheetId="8140"/>
      <sheetData sheetId="8141"/>
      <sheetData sheetId="8142"/>
      <sheetData sheetId="8143"/>
      <sheetData sheetId="8144"/>
      <sheetData sheetId="8145"/>
      <sheetData sheetId="8146"/>
      <sheetData sheetId="8147"/>
      <sheetData sheetId="8148"/>
      <sheetData sheetId="8149"/>
      <sheetData sheetId="8150"/>
      <sheetData sheetId="8151"/>
      <sheetData sheetId="8152"/>
      <sheetData sheetId="8153"/>
      <sheetData sheetId="8154"/>
      <sheetData sheetId="8155"/>
      <sheetData sheetId="8156"/>
      <sheetData sheetId="8157"/>
      <sheetData sheetId="8158"/>
      <sheetData sheetId="8159"/>
      <sheetData sheetId="8160"/>
      <sheetData sheetId="8161"/>
      <sheetData sheetId="8162"/>
      <sheetData sheetId="8163"/>
      <sheetData sheetId="8164"/>
      <sheetData sheetId="8165"/>
      <sheetData sheetId="8166"/>
      <sheetData sheetId="8167"/>
      <sheetData sheetId="8168"/>
      <sheetData sheetId="8169"/>
      <sheetData sheetId="8170"/>
      <sheetData sheetId="8171"/>
      <sheetData sheetId="8172"/>
      <sheetData sheetId="8173"/>
      <sheetData sheetId="8174"/>
      <sheetData sheetId="8175"/>
      <sheetData sheetId="8176"/>
      <sheetData sheetId="8177"/>
      <sheetData sheetId="8178"/>
      <sheetData sheetId="8179"/>
      <sheetData sheetId="8180"/>
      <sheetData sheetId="8181"/>
      <sheetData sheetId="8182"/>
      <sheetData sheetId="8183"/>
      <sheetData sheetId="8184"/>
      <sheetData sheetId="8185"/>
      <sheetData sheetId="8186"/>
      <sheetData sheetId="8187"/>
      <sheetData sheetId="8188"/>
      <sheetData sheetId="8189"/>
      <sheetData sheetId="8190"/>
      <sheetData sheetId="8191"/>
      <sheetData sheetId="8192"/>
      <sheetData sheetId="8193"/>
      <sheetData sheetId="8194"/>
      <sheetData sheetId="8195"/>
      <sheetData sheetId="8196"/>
      <sheetData sheetId="8197"/>
      <sheetData sheetId="8198"/>
      <sheetData sheetId="8199"/>
      <sheetData sheetId="8200"/>
      <sheetData sheetId="8201"/>
      <sheetData sheetId="8202"/>
      <sheetData sheetId="8203"/>
      <sheetData sheetId="8204"/>
      <sheetData sheetId="8205"/>
      <sheetData sheetId="8206"/>
      <sheetData sheetId="8207"/>
      <sheetData sheetId="8208"/>
      <sheetData sheetId="8209"/>
      <sheetData sheetId="8210"/>
      <sheetData sheetId="8211"/>
      <sheetData sheetId="8212"/>
      <sheetData sheetId="8213"/>
      <sheetData sheetId="8214"/>
      <sheetData sheetId="8215"/>
      <sheetData sheetId="8216"/>
      <sheetData sheetId="8217"/>
      <sheetData sheetId="8218"/>
      <sheetData sheetId="8219"/>
      <sheetData sheetId="8220"/>
      <sheetData sheetId="8221"/>
      <sheetData sheetId="8222"/>
      <sheetData sheetId="8223"/>
      <sheetData sheetId="8224"/>
      <sheetData sheetId="8225"/>
      <sheetData sheetId="8226"/>
      <sheetData sheetId="8227"/>
      <sheetData sheetId="8228"/>
      <sheetData sheetId="8229"/>
      <sheetData sheetId="8230"/>
      <sheetData sheetId="8231"/>
      <sheetData sheetId="8232"/>
      <sheetData sheetId="8233"/>
      <sheetData sheetId="8234"/>
      <sheetData sheetId="8235"/>
      <sheetData sheetId="8236"/>
      <sheetData sheetId="8237"/>
      <sheetData sheetId="8238"/>
      <sheetData sheetId="8239"/>
      <sheetData sheetId="8240"/>
      <sheetData sheetId="8241"/>
      <sheetData sheetId="8242"/>
      <sheetData sheetId="8243"/>
      <sheetData sheetId="8244"/>
      <sheetData sheetId="8245"/>
      <sheetData sheetId="8246"/>
      <sheetData sheetId="8247"/>
      <sheetData sheetId="8248"/>
      <sheetData sheetId="8249"/>
      <sheetData sheetId="8250"/>
      <sheetData sheetId="8251"/>
      <sheetData sheetId="8252"/>
      <sheetData sheetId="8253"/>
      <sheetData sheetId="8254"/>
      <sheetData sheetId="8255"/>
      <sheetData sheetId="8256"/>
      <sheetData sheetId="8257"/>
      <sheetData sheetId="8258"/>
      <sheetData sheetId="8259"/>
      <sheetData sheetId="8260"/>
      <sheetData sheetId="8261"/>
      <sheetData sheetId="8262"/>
      <sheetData sheetId="8263"/>
      <sheetData sheetId="8264"/>
      <sheetData sheetId="8265"/>
      <sheetData sheetId="8266"/>
      <sheetData sheetId="8267"/>
      <sheetData sheetId="8268"/>
      <sheetData sheetId="8269"/>
      <sheetData sheetId="8270"/>
      <sheetData sheetId="8271"/>
      <sheetData sheetId="8272"/>
      <sheetData sheetId="8273"/>
      <sheetData sheetId="8274"/>
      <sheetData sheetId="8275"/>
      <sheetData sheetId="8276"/>
      <sheetData sheetId="8277"/>
      <sheetData sheetId="8278"/>
      <sheetData sheetId="8279"/>
      <sheetData sheetId="8280"/>
      <sheetData sheetId="8281"/>
      <sheetData sheetId="8282"/>
      <sheetData sheetId="8283"/>
      <sheetData sheetId="8284"/>
      <sheetData sheetId="8285"/>
      <sheetData sheetId="8286"/>
      <sheetData sheetId="8287"/>
      <sheetData sheetId="8288"/>
      <sheetData sheetId="8289"/>
      <sheetData sheetId="8290"/>
      <sheetData sheetId="8291"/>
      <sheetData sheetId="8292"/>
      <sheetData sheetId="8293"/>
      <sheetData sheetId="8294"/>
      <sheetData sheetId="8295"/>
      <sheetData sheetId="8296"/>
      <sheetData sheetId="8297"/>
      <sheetData sheetId="8298"/>
      <sheetData sheetId="8299"/>
      <sheetData sheetId="8300"/>
      <sheetData sheetId="8301"/>
      <sheetData sheetId="8302"/>
      <sheetData sheetId="8303"/>
      <sheetData sheetId="8304"/>
      <sheetData sheetId="8305"/>
      <sheetData sheetId="8306"/>
      <sheetData sheetId="8307"/>
      <sheetData sheetId="8308"/>
      <sheetData sheetId="8309"/>
      <sheetData sheetId="8310"/>
      <sheetData sheetId="8311"/>
      <sheetData sheetId="8312"/>
      <sheetData sheetId="8313"/>
      <sheetData sheetId="8314"/>
      <sheetData sheetId="8315"/>
      <sheetData sheetId="8316"/>
      <sheetData sheetId="8317"/>
      <sheetData sheetId="8318"/>
      <sheetData sheetId="8319"/>
      <sheetData sheetId="8320"/>
      <sheetData sheetId="8321"/>
      <sheetData sheetId="8322"/>
      <sheetData sheetId="8323"/>
      <sheetData sheetId="8324"/>
      <sheetData sheetId="8325"/>
      <sheetData sheetId="8326"/>
      <sheetData sheetId="8327"/>
      <sheetData sheetId="8328"/>
      <sheetData sheetId="8329"/>
      <sheetData sheetId="8330"/>
      <sheetData sheetId="8331"/>
      <sheetData sheetId="8332"/>
      <sheetData sheetId="8333"/>
      <sheetData sheetId="8334"/>
      <sheetData sheetId="8335"/>
      <sheetData sheetId="8336"/>
      <sheetData sheetId="8337"/>
      <sheetData sheetId="8338"/>
      <sheetData sheetId="8339"/>
      <sheetData sheetId="8340"/>
      <sheetData sheetId="8341"/>
      <sheetData sheetId="8342"/>
      <sheetData sheetId="8343"/>
      <sheetData sheetId="8344"/>
      <sheetData sheetId="8345"/>
      <sheetData sheetId="8346"/>
      <sheetData sheetId="8347"/>
      <sheetData sheetId="8348"/>
      <sheetData sheetId="8349"/>
      <sheetData sheetId="8350"/>
      <sheetData sheetId="8351"/>
      <sheetData sheetId="8352"/>
      <sheetData sheetId="8353"/>
      <sheetData sheetId="8354"/>
      <sheetData sheetId="8355"/>
      <sheetData sheetId="8356"/>
      <sheetData sheetId="8357"/>
      <sheetData sheetId="8358"/>
      <sheetData sheetId="8359"/>
      <sheetData sheetId="8360"/>
      <sheetData sheetId="8361"/>
      <sheetData sheetId="8362"/>
      <sheetData sheetId="8363"/>
      <sheetData sheetId="8364"/>
      <sheetData sheetId="8365"/>
      <sheetData sheetId="8366"/>
      <sheetData sheetId="8367"/>
      <sheetData sheetId="8368"/>
      <sheetData sheetId="8369"/>
      <sheetData sheetId="8370"/>
      <sheetData sheetId="8371"/>
      <sheetData sheetId="8372"/>
      <sheetData sheetId="8373"/>
      <sheetData sheetId="8374"/>
      <sheetData sheetId="8375"/>
      <sheetData sheetId="8376"/>
      <sheetData sheetId="8377"/>
      <sheetData sheetId="8378"/>
      <sheetData sheetId="8379"/>
      <sheetData sheetId="8380"/>
      <sheetData sheetId="8381"/>
      <sheetData sheetId="8382"/>
      <sheetData sheetId="8383"/>
      <sheetData sheetId="8384"/>
      <sheetData sheetId="8385"/>
      <sheetData sheetId="8386"/>
      <sheetData sheetId="8387"/>
      <sheetData sheetId="8388"/>
      <sheetData sheetId="8389"/>
      <sheetData sheetId="8390"/>
      <sheetData sheetId="8391"/>
      <sheetData sheetId="8392"/>
      <sheetData sheetId="8393"/>
      <sheetData sheetId="8394"/>
      <sheetData sheetId="8395"/>
      <sheetData sheetId="8396"/>
      <sheetData sheetId="8397"/>
      <sheetData sheetId="8398"/>
      <sheetData sheetId="8399"/>
      <sheetData sheetId="8400"/>
      <sheetData sheetId="8401"/>
      <sheetData sheetId="8402"/>
      <sheetData sheetId="8403"/>
      <sheetData sheetId="8404"/>
      <sheetData sheetId="8405"/>
      <sheetData sheetId="8406"/>
      <sheetData sheetId="8407"/>
      <sheetData sheetId="8408"/>
      <sheetData sheetId="8409"/>
      <sheetData sheetId="8410"/>
      <sheetData sheetId="8411"/>
      <sheetData sheetId="8412"/>
      <sheetData sheetId="8413"/>
      <sheetData sheetId="8414"/>
      <sheetData sheetId="8415"/>
      <sheetData sheetId="8416"/>
      <sheetData sheetId="8417"/>
      <sheetData sheetId="8418"/>
      <sheetData sheetId="8419"/>
      <sheetData sheetId="8420"/>
      <sheetData sheetId="8421"/>
      <sheetData sheetId="8422"/>
      <sheetData sheetId="8423"/>
      <sheetData sheetId="8424"/>
      <sheetData sheetId="8425"/>
      <sheetData sheetId="8426"/>
      <sheetData sheetId="8427"/>
      <sheetData sheetId="8428"/>
      <sheetData sheetId="8429"/>
      <sheetData sheetId="8430"/>
      <sheetData sheetId="8431"/>
      <sheetData sheetId="8432"/>
      <sheetData sheetId="8433"/>
      <sheetData sheetId="8434"/>
      <sheetData sheetId="8435"/>
      <sheetData sheetId="8436"/>
      <sheetData sheetId="8437"/>
      <sheetData sheetId="8438"/>
      <sheetData sheetId="8439"/>
      <sheetData sheetId="8440"/>
      <sheetData sheetId="8441"/>
      <sheetData sheetId="8442"/>
      <sheetData sheetId="8443"/>
      <sheetData sheetId="8444"/>
      <sheetData sheetId="8445"/>
      <sheetData sheetId="8446"/>
      <sheetData sheetId="8447"/>
      <sheetData sheetId="8448"/>
      <sheetData sheetId="8449"/>
      <sheetData sheetId="8450"/>
      <sheetData sheetId="8451"/>
      <sheetData sheetId="8452"/>
      <sheetData sheetId="8453"/>
      <sheetData sheetId="8454"/>
      <sheetData sheetId="8455"/>
      <sheetData sheetId="8456"/>
      <sheetData sheetId="8457"/>
      <sheetData sheetId="8458"/>
      <sheetData sheetId="8459"/>
      <sheetData sheetId="8460"/>
      <sheetData sheetId="8461"/>
      <sheetData sheetId="8462"/>
      <sheetData sheetId="8463"/>
      <sheetData sheetId="8464"/>
      <sheetData sheetId="8465"/>
      <sheetData sheetId="8466"/>
      <sheetData sheetId="8467"/>
      <sheetData sheetId="8468"/>
      <sheetData sheetId="8469"/>
      <sheetData sheetId="8470"/>
      <sheetData sheetId="8471"/>
      <sheetData sheetId="8472"/>
      <sheetData sheetId="8473"/>
      <sheetData sheetId="8474"/>
      <sheetData sheetId="8475"/>
      <sheetData sheetId="8476"/>
      <sheetData sheetId="8477"/>
      <sheetData sheetId="8478"/>
      <sheetData sheetId="8479"/>
      <sheetData sheetId="8480"/>
      <sheetData sheetId="8481"/>
      <sheetData sheetId="8482"/>
      <sheetData sheetId="8483"/>
      <sheetData sheetId="8484"/>
      <sheetData sheetId="8485"/>
      <sheetData sheetId="8486"/>
      <sheetData sheetId="8487"/>
      <sheetData sheetId="8488"/>
      <sheetData sheetId="8489"/>
      <sheetData sheetId="8490"/>
      <sheetData sheetId="8491"/>
      <sheetData sheetId="8492"/>
      <sheetData sheetId="8493"/>
      <sheetData sheetId="8494"/>
      <sheetData sheetId="8495" refreshError="1"/>
      <sheetData sheetId="8496" refreshError="1"/>
      <sheetData sheetId="8497" refreshError="1"/>
      <sheetData sheetId="8498" refreshError="1"/>
      <sheetData sheetId="8499" refreshError="1"/>
      <sheetData sheetId="8500" refreshError="1"/>
      <sheetData sheetId="8501" refreshError="1"/>
      <sheetData sheetId="8502" refreshError="1"/>
      <sheetData sheetId="8503" refreshError="1"/>
      <sheetData sheetId="8504" refreshError="1"/>
      <sheetData sheetId="8505" refreshError="1"/>
      <sheetData sheetId="8506" refreshError="1"/>
      <sheetData sheetId="8507" refreshError="1"/>
      <sheetData sheetId="8508" refreshError="1"/>
      <sheetData sheetId="8509" refreshError="1"/>
      <sheetData sheetId="8510" refreshError="1"/>
      <sheetData sheetId="8511" refreshError="1"/>
      <sheetData sheetId="8512" refreshError="1"/>
      <sheetData sheetId="8513" refreshError="1"/>
      <sheetData sheetId="8514" refreshError="1"/>
      <sheetData sheetId="8515" refreshError="1"/>
      <sheetData sheetId="8516" refreshError="1"/>
      <sheetData sheetId="8517" refreshError="1"/>
      <sheetData sheetId="8518" refreshError="1"/>
      <sheetData sheetId="8519" refreshError="1"/>
      <sheetData sheetId="8520" refreshError="1"/>
      <sheetData sheetId="8521" refreshError="1"/>
      <sheetData sheetId="8522" refreshError="1"/>
      <sheetData sheetId="8523" refreshError="1"/>
      <sheetData sheetId="8524" refreshError="1"/>
      <sheetData sheetId="8525" refreshError="1"/>
      <sheetData sheetId="8526" refreshError="1"/>
      <sheetData sheetId="8527" refreshError="1"/>
      <sheetData sheetId="8528" refreshError="1"/>
      <sheetData sheetId="8529" refreshError="1"/>
      <sheetData sheetId="8530" refreshError="1"/>
      <sheetData sheetId="8531" refreshError="1"/>
      <sheetData sheetId="8532" refreshError="1"/>
      <sheetData sheetId="8533" refreshError="1"/>
      <sheetData sheetId="8534" refreshError="1"/>
      <sheetData sheetId="8535" refreshError="1"/>
      <sheetData sheetId="8536" refreshError="1"/>
      <sheetData sheetId="8537" refreshError="1"/>
      <sheetData sheetId="8538" refreshError="1"/>
      <sheetData sheetId="8539" refreshError="1"/>
      <sheetData sheetId="8540" refreshError="1"/>
      <sheetData sheetId="8541" refreshError="1"/>
      <sheetData sheetId="8542" refreshError="1"/>
      <sheetData sheetId="8543" refreshError="1"/>
      <sheetData sheetId="8544" refreshError="1"/>
      <sheetData sheetId="8545" refreshError="1"/>
      <sheetData sheetId="8546" refreshError="1"/>
      <sheetData sheetId="8547" refreshError="1"/>
      <sheetData sheetId="8548" refreshError="1"/>
      <sheetData sheetId="8549" refreshError="1"/>
      <sheetData sheetId="8550" refreshError="1"/>
      <sheetData sheetId="8551" refreshError="1"/>
      <sheetData sheetId="8552"/>
      <sheetData sheetId="8553" refreshError="1"/>
      <sheetData sheetId="8554" refreshError="1"/>
      <sheetData sheetId="8555" refreshError="1"/>
      <sheetData sheetId="8556" refreshError="1"/>
      <sheetData sheetId="8557" refreshError="1"/>
      <sheetData sheetId="8558" refreshError="1"/>
      <sheetData sheetId="8559"/>
      <sheetData sheetId="8560"/>
      <sheetData sheetId="8561"/>
      <sheetData sheetId="8562"/>
      <sheetData sheetId="8563"/>
      <sheetData sheetId="8564"/>
      <sheetData sheetId="8565"/>
      <sheetData sheetId="8566"/>
      <sheetData sheetId="8567"/>
      <sheetData sheetId="8568"/>
      <sheetData sheetId="8569"/>
      <sheetData sheetId="8570" refreshError="1"/>
      <sheetData sheetId="8571" refreshError="1"/>
      <sheetData sheetId="8572" refreshError="1"/>
      <sheetData sheetId="8573" refreshError="1"/>
      <sheetData sheetId="8574" refreshError="1"/>
      <sheetData sheetId="8575" refreshError="1"/>
      <sheetData sheetId="8576"/>
      <sheetData sheetId="8577"/>
      <sheetData sheetId="8578"/>
      <sheetData sheetId="8579"/>
      <sheetData sheetId="8580"/>
      <sheetData sheetId="8581"/>
      <sheetData sheetId="8582"/>
      <sheetData sheetId="8583"/>
      <sheetData sheetId="8584"/>
      <sheetData sheetId="8585"/>
      <sheetData sheetId="8586"/>
      <sheetData sheetId="8587"/>
      <sheetData sheetId="8588"/>
      <sheetData sheetId="8589"/>
      <sheetData sheetId="8590"/>
      <sheetData sheetId="8591"/>
      <sheetData sheetId="8592"/>
      <sheetData sheetId="8593" refreshError="1"/>
      <sheetData sheetId="8594" refreshError="1"/>
      <sheetData sheetId="8595" refreshError="1"/>
      <sheetData sheetId="8596" refreshError="1"/>
      <sheetData sheetId="8597" refreshError="1"/>
      <sheetData sheetId="8598" refreshError="1"/>
      <sheetData sheetId="8599" refreshError="1"/>
      <sheetData sheetId="8600" refreshError="1"/>
      <sheetData sheetId="8601" refreshError="1"/>
      <sheetData sheetId="8602" refreshError="1"/>
      <sheetData sheetId="8603" refreshError="1"/>
      <sheetData sheetId="8604" refreshError="1"/>
      <sheetData sheetId="8605" refreshError="1"/>
      <sheetData sheetId="8606"/>
      <sheetData sheetId="8607"/>
      <sheetData sheetId="8608"/>
      <sheetData sheetId="8609"/>
      <sheetData sheetId="8610"/>
      <sheetData sheetId="8611"/>
      <sheetData sheetId="8612"/>
      <sheetData sheetId="8613"/>
      <sheetData sheetId="8614"/>
      <sheetData sheetId="8615"/>
      <sheetData sheetId="8616"/>
      <sheetData sheetId="8617" refreshError="1"/>
      <sheetData sheetId="8618" refreshError="1"/>
      <sheetData sheetId="8619" refreshError="1"/>
      <sheetData sheetId="8620" refreshError="1"/>
      <sheetData sheetId="8621" refreshError="1"/>
      <sheetData sheetId="8622" refreshError="1"/>
      <sheetData sheetId="8623" refreshError="1"/>
      <sheetData sheetId="8624" refreshError="1"/>
      <sheetData sheetId="8625" refreshError="1"/>
      <sheetData sheetId="8626" refreshError="1"/>
      <sheetData sheetId="8627" refreshError="1"/>
      <sheetData sheetId="8628" refreshError="1"/>
      <sheetData sheetId="8629" refreshError="1"/>
      <sheetData sheetId="8630" refreshError="1"/>
      <sheetData sheetId="8631" refreshError="1"/>
      <sheetData sheetId="8632" refreshError="1"/>
      <sheetData sheetId="8633" refreshError="1"/>
      <sheetData sheetId="8634" refreshError="1"/>
      <sheetData sheetId="8635" refreshError="1"/>
      <sheetData sheetId="8636"/>
      <sheetData sheetId="8637"/>
      <sheetData sheetId="8638" refreshError="1"/>
      <sheetData sheetId="8639" refreshError="1"/>
      <sheetData sheetId="8640" refreshError="1"/>
      <sheetData sheetId="8641" refreshError="1"/>
      <sheetData sheetId="8642" refreshError="1"/>
      <sheetData sheetId="8643" refreshError="1"/>
      <sheetData sheetId="8644" refreshError="1"/>
      <sheetData sheetId="8645" refreshError="1"/>
      <sheetData sheetId="8646" refreshError="1"/>
      <sheetData sheetId="8647"/>
      <sheetData sheetId="8648" refreshError="1"/>
      <sheetData sheetId="8649" refreshError="1"/>
      <sheetData sheetId="8650" refreshError="1"/>
      <sheetData sheetId="8651" refreshError="1"/>
      <sheetData sheetId="8652" refreshError="1"/>
      <sheetData sheetId="8653" refreshError="1"/>
      <sheetData sheetId="8654" refreshError="1"/>
      <sheetData sheetId="8655" refreshError="1"/>
      <sheetData sheetId="8656" refreshError="1"/>
      <sheetData sheetId="8657" refreshError="1"/>
      <sheetData sheetId="8658" refreshError="1"/>
      <sheetData sheetId="8659" refreshError="1"/>
      <sheetData sheetId="8660" refreshError="1"/>
      <sheetData sheetId="8661" refreshError="1"/>
      <sheetData sheetId="8662" refreshError="1"/>
      <sheetData sheetId="8663" refreshError="1"/>
      <sheetData sheetId="8664" refreshError="1"/>
      <sheetData sheetId="8665" refreshError="1"/>
      <sheetData sheetId="8666" refreshError="1"/>
      <sheetData sheetId="8667" refreshError="1"/>
      <sheetData sheetId="8668" refreshError="1"/>
      <sheetData sheetId="8669" refreshError="1"/>
      <sheetData sheetId="8670" refreshError="1"/>
      <sheetData sheetId="8671" refreshError="1"/>
      <sheetData sheetId="8672" refreshError="1"/>
      <sheetData sheetId="8673" refreshError="1"/>
      <sheetData sheetId="8674" refreshError="1"/>
      <sheetData sheetId="8675" refreshError="1"/>
      <sheetData sheetId="8676"/>
      <sheetData sheetId="8677" refreshError="1"/>
      <sheetData sheetId="8678" refreshError="1"/>
      <sheetData sheetId="8679" refreshError="1"/>
      <sheetData sheetId="8680" refreshError="1"/>
      <sheetData sheetId="8681" refreshError="1"/>
      <sheetData sheetId="8682" refreshError="1"/>
      <sheetData sheetId="8683" refreshError="1"/>
      <sheetData sheetId="8684" refreshError="1"/>
      <sheetData sheetId="8685" refreshError="1"/>
      <sheetData sheetId="8686" refreshError="1"/>
      <sheetData sheetId="8687" refreshError="1"/>
      <sheetData sheetId="8688" refreshError="1"/>
      <sheetData sheetId="8689" refreshError="1"/>
      <sheetData sheetId="8690" refreshError="1"/>
      <sheetData sheetId="8691" refreshError="1"/>
      <sheetData sheetId="8692" refreshError="1"/>
      <sheetData sheetId="8693" refreshError="1"/>
      <sheetData sheetId="8694" refreshError="1"/>
      <sheetData sheetId="8695" refreshError="1"/>
      <sheetData sheetId="8696" refreshError="1"/>
      <sheetData sheetId="8697" refreshError="1"/>
      <sheetData sheetId="8698" refreshError="1"/>
      <sheetData sheetId="8699" refreshError="1"/>
      <sheetData sheetId="8700" refreshError="1"/>
      <sheetData sheetId="8701" refreshError="1"/>
      <sheetData sheetId="8702" refreshError="1"/>
      <sheetData sheetId="8703" refreshError="1"/>
      <sheetData sheetId="870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조도"/>
      <sheetName val="부하"/>
      <sheetName val="동력"/>
      <sheetName val="변압기"/>
      <sheetName val="발전기"/>
      <sheetName val="임피던스-1"/>
      <sheetName val="간선"/>
      <sheetName val="APT"/>
      <sheetName val="도체종-상수표"/>
      <sheetName val="임피던스"/>
      <sheetName val="CABLE SIZE"/>
      <sheetName val="접지"/>
      <sheetName val="수변전"/>
      <sheetName val="허용전류"/>
      <sheetName val="차단기"/>
      <sheetName val="Sheet12"/>
      <sheetName val="Sheet13"/>
      <sheetName val="Sheet14"/>
      <sheetName val="Sheet15"/>
      <sheetName val="Sheet16"/>
      <sheetName val="data"/>
      <sheetName val="ELP-27"/>
      <sheetName val="P-J"/>
      <sheetName val="부속동"/>
      <sheetName val="LE"/>
      <sheetName val="변압기 "/>
      <sheetName val="bDATA"/>
      <sheetName val="2007전기자료"/>
      <sheetName val="기계실동력"/>
      <sheetName val="동지붕"/>
      <sheetName val="아파트동L-E"/>
      <sheetName val="부속동부하"/>
      <sheetName val="EMCC-PH1"/>
      <sheetName val="DUT-BAT1"/>
      <sheetName val="#REF"/>
      <sheetName val="주차장동력-2"/>
      <sheetName val="변압기(일반L-PNL)"/>
      <sheetName val="변압기  (2)"/>
      <sheetName val="504전기실 동부하-L"/>
      <sheetName val="VXXXXX"/>
      <sheetName val="부속동동력"/>
      <sheetName val="EMCC-B6A"/>
      <sheetName val="주차장동력-1"/>
      <sheetName val="ELP-9"/>
      <sheetName val="Sheet10"/>
      <sheetName val="주차장"/>
      <sheetName val="코아별부하"/>
      <sheetName val="전기자료"/>
      <sheetName val="GEN"/>
      <sheetName val="MCC-B6B"/>
      <sheetName val="MCC-B6C"/>
      <sheetName val="주차장동력"/>
      <sheetName val="내역서"/>
      <sheetName val="조명시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말뚝지지력산정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적표"/>
      <sheetName val="토공집계표"/>
      <sheetName val="토공분석표"/>
      <sheetName val="집계표"/>
      <sheetName val="자재대"/>
      <sheetName val="간지"/>
      <sheetName val="표지"/>
      <sheetName val="1.설계조건"/>
      <sheetName val="대로근거"/>
      <sheetName val="중로근거"/>
      <sheetName val="내역서 "/>
      <sheetName val="단가"/>
      <sheetName val="토목"/>
      <sheetName val="70%"/>
      <sheetName val="입찰안"/>
      <sheetName val="철근단면적"/>
      <sheetName val="하도금액분계"/>
      <sheetName val="견적990322"/>
      <sheetName val="danga"/>
      <sheetName val="ilch"/>
      <sheetName val="참조"/>
      <sheetName val="분석"/>
      <sheetName val="산출근거"/>
      <sheetName val="DATA"/>
      <sheetName val="기둥(원형)"/>
      <sheetName val="플랜트 설치"/>
      <sheetName val="갑지(추정)"/>
      <sheetName val="8.PILE  (돌출)"/>
      <sheetName val="지구단위계획"/>
      <sheetName val="hvac(제어동)"/>
      <sheetName val="교각1"/>
      <sheetName val="ABUT수량-A1"/>
      <sheetName val="guard(mac)"/>
      <sheetName val="가도공"/>
      <sheetName val="DATE"/>
      <sheetName val="SLAB&quot;1&quot;"/>
      <sheetName val="원형맨홀수량"/>
      <sheetName val="#REF"/>
      <sheetName val="전기"/>
      <sheetName val="보온자재단가표"/>
      <sheetName val="자료"/>
      <sheetName val="COPING"/>
      <sheetName val="노임이"/>
      <sheetName val="전체"/>
      <sheetName val="CODE"/>
      <sheetName val="Y-WORK"/>
      <sheetName val="코드표"/>
      <sheetName val="물량표S"/>
      <sheetName val="단면가정"/>
      <sheetName val="내역서"/>
      <sheetName val="시설물기초"/>
      <sheetName val="단가산출서1"/>
      <sheetName val="식재총괄"/>
      <sheetName val="을"/>
      <sheetName val="좌측"/>
      <sheetName val="대비"/>
      <sheetName val="구조물철거타공정이월"/>
      <sheetName val="합계금액"/>
      <sheetName val="방음벽기초(H=4m)"/>
      <sheetName val="input"/>
      <sheetName val="9GNG운반"/>
      <sheetName val="대전21토목내역서"/>
      <sheetName val="Macro1"/>
      <sheetName val="ITEM"/>
      <sheetName val="용산1(해보)"/>
      <sheetName val="터파기및재료"/>
      <sheetName val="WVAL"/>
      <sheetName val="1"/>
      <sheetName val="송라터널총괄"/>
      <sheetName val="내역서_"/>
      <sheetName val="몰탈재료산출"/>
      <sheetName val="일위대가(가설)"/>
      <sheetName val="노임단가"/>
      <sheetName val="데이타"/>
      <sheetName val="Front"/>
      <sheetName val="wall"/>
      <sheetName val="INPUT(덕도방향-시점)"/>
      <sheetName val="마산방향철근집계"/>
      <sheetName val="진주방향"/>
      <sheetName val="마산방향"/>
      <sheetName val="일위대가(계측기설치)"/>
      <sheetName val="한강운반비"/>
      <sheetName val="DATA 입력란"/>
      <sheetName val="CPM챠트"/>
      <sheetName val="hvac내역서(제어동)"/>
      <sheetName val="조작대(1연)"/>
      <sheetName val="식생블럭단위수량"/>
      <sheetName val="설직재-1"/>
      <sheetName val="전기일위대가"/>
      <sheetName val="Macro(전선)"/>
      <sheetName val="산출내역서집계표"/>
      <sheetName val="총집계"/>
      <sheetName val="Sheet1"/>
      <sheetName val="TYPE-A"/>
      <sheetName val="단위수량"/>
      <sheetName val="총괄표"/>
      <sheetName val="1,2,3,4,5단위수량"/>
      <sheetName val="철근량"/>
      <sheetName val="일위대가표"/>
      <sheetName val="sw1"/>
      <sheetName val="W3단면"/>
      <sheetName val="금액내역서"/>
      <sheetName val="설계예산"/>
      <sheetName val="업체별기성내역"/>
      <sheetName val="연령현황"/>
      <sheetName val="주차구획선수량"/>
      <sheetName val="단면 (2)"/>
      <sheetName val="일위대가9803"/>
      <sheetName val="자재단가"/>
      <sheetName val="수량BOQ"/>
      <sheetName val="노임"/>
      <sheetName val="설계조건"/>
      <sheetName val="관리,공감"/>
      <sheetName val="PAINT"/>
      <sheetName val="SUMMARY"/>
      <sheetName val="물량표"/>
      <sheetName val="물량표(신)"/>
      <sheetName val="지장물C"/>
      <sheetName val="원형1호맨홀토공수량"/>
      <sheetName val="본체"/>
      <sheetName val="H-pile(298x299)"/>
      <sheetName val="H-pile(250x250)"/>
      <sheetName val="식재일위대가"/>
      <sheetName val="일위대가1"/>
      <sheetName val="수입"/>
      <sheetName val="조경"/>
      <sheetName val="SILICATE"/>
      <sheetName val="TB-내역서"/>
      <sheetName val="역T형"/>
      <sheetName val="3.하중산정4.지지력"/>
      <sheetName val="표지 (2)"/>
      <sheetName val="차액보증"/>
      <sheetName val="99노임기준"/>
      <sheetName val="설명서 "/>
      <sheetName val="금융비용"/>
      <sheetName val="주경기-오배수"/>
      <sheetName val="가중치"/>
      <sheetName val="2호맨홀공제수량"/>
      <sheetName val="토공총괄집계"/>
      <sheetName val="하수급견적대비"/>
      <sheetName val="1.설계기준"/>
      <sheetName val="설계내역서"/>
      <sheetName val="기기리스트"/>
      <sheetName val="수량산출"/>
      <sheetName val="Total"/>
      <sheetName val="Sheet2"/>
      <sheetName val="뚝토공"/>
      <sheetName val="세목전체"/>
      <sheetName val="20관리비율"/>
      <sheetName val="찍기"/>
      <sheetName val="정부노임단가"/>
      <sheetName val="견적조건"/>
      <sheetName val="개략"/>
      <sheetName val="WORK"/>
      <sheetName val="우수공"/>
      <sheetName val="실행철강하도"/>
      <sheetName val="물가자료"/>
      <sheetName val="개산공사비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3BL공동구 수량"/>
      <sheetName val="안산기계장치"/>
      <sheetName val="6PILE  (돌출)"/>
      <sheetName val="crude.SLAB RE-bar"/>
      <sheetName val="CRUDE RE-bar"/>
      <sheetName val="TEL"/>
      <sheetName val="신표지1"/>
      <sheetName val="표  지"/>
      <sheetName val="안정계산"/>
      <sheetName val="단면검토"/>
      <sheetName val="신규 수주분(사용자 정의)"/>
      <sheetName val="DATA2000"/>
      <sheetName val="내력서"/>
      <sheetName val="가로등내역서"/>
      <sheetName val="1.우편집중내역서"/>
      <sheetName val="배수통관(좌)"/>
      <sheetName val="약품공급2"/>
      <sheetName val="2011.(4)"/>
      <sheetName val="갑지"/>
      <sheetName val="일반부표"/>
      <sheetName val="N賃率-職"/>
      <sheetName val="제직재"/>
      <sheetName val="제-노임"/>
      <sheetName val="Sheet1 (2)"/>
      <sheetName val="기계경비(시간당)"/>
      <sheetName val="램머"/>
      <sheetName val="품셈TABLE"/>
      <sheetName val="식재인부"/>
      <sheetName val="내역표지"/>
      <sheetName val="법면"/>
      <sheetName val="부대공"/>
      <sheetName val="구조물공"/>
      <sheetName val="중기일위대가"/>
      <sheetName val="포장공"/>
      <sheetName val="토공"/>
      <sheetName val="배수공1"/>
      <sheetName val="데리네이타현황"/>
      <sheetName val="1TL종점(1)"/>
      <sheetName val="도로경계블럭연장조서"/>
      <sheetName val="98수문일위"/>
      <sheetName val="날개벽수량표"/>
      <sheetName val="덕전리"/>
      <sheetName val="토적계산서"/>
      <sheetName val="슬래브"/>
      <sheetName val="2000용수잠관-수량집계"/>
      <sheetName val="내역"/>
      <sheetName val="총괄내역서"/>
      <sheetName val="BID"/>
      <sheetName val="토목품셈"/>
      <sheetName val="내역및총괄"/>
      <sheetName val="절취및터파기"/>
      <sheetName val="음료실행"/>
      <sheetName val="공통가설"/>
      <sheetName val="관경별우수관집계"/>
      <sheetName val="현장일반사항"/>
      <sheetName val="맨홀수량"/>
      <sheetName val="토사(PE)"/>
      <sheetName val="DIAPHRAGM"/>
      <sheetName val="2.가정단면"/>
      <sheetName val="공사비예산서(토목분)"/>
      <sheetName val="원형측구(B-type)"/>
      <sheetName val="토공총괄표"/>
      <sheetName val="교각계산"/>
      <sheetName val="신우"/>
      <sheetName val="현황산출서"/>
      <sheetName val="시행후면적"/>
      <sheetName val="토공(우물통,기타) "/>
      <sheetName val="COMPARISON TABLE"/>
      <sheetName val="부대공Ⅱ"/>
      <sheetName val="견적대비"/>
      <sheetName val="단가조사서"/>
      <sheetName val="목차"/>
      <sheetName val="통영LNG입찰현황"/>
      <sheetName val="2.입력sheet"/>
      <sheetName val="M1"/>
      <sheetName val="직공비"/>
      <sheetName val="(3.품질관리 시험 총괄표)"/>
      <sheetName val="지급자재"/>
      <sheetName val="토량1-1"/>
      <sheetName val="토목주소"/>
      <sheetName val="프랜트면허"/>
      <sheetName val="별표 "/>
      <sheetName val="조명율표"/>
      <sheetName val="단가조사-2"/>
      <sheetName val="VE절감"/>
      <sheetName val="2000년1차"/>
      <sheetName val="대비표"/>
      <sheetName val="공량산출서"/>
      <sheetName val="교대(A1)"/>
      <sheetName val="총괄"/>
      <sheetName val="건축공사"/>
      <sheetName val="물가시세표"/>
      <sheetName val="1.2.1 마루높이결정"/>
      <sheetName val="상시"/>
      <sheetName val="Sheet3"/>
      <sheetName val="산근(PE,300)"/>
      <sheetName val="특2호하천산근"/>
      <sheetName val="특2호부관하천산근"/>
      <sheetName val="Pier 3"/>
      <sheetName val="옥룡잡비"/>
      <sheetName val="정렬"/>
      <sheetName val="※참고자료※"/>
      <sheetName val="원하도급내역서(당초)"/>
      <sheetName val="견적서"/>
      <sheetName val="손익분석"/>
      <sheetName val="일위대가(건축)"/>
      <sheetName val="전력"/>
      <sheetName val="UEC영화관본공사내역"/>
      <sheetName val="대운산출"/>
      <sheetName val="세부내역"/>
      <sheetName val="소방현물"/>
      <sheetName val="도장수량(하1)"/>
      <sheetName val="주형"/>
      <sheetName val="옹벽"/>
      <sheetName val="거래처등록"/>
      <sheetName val="BOX전기내역"/>
      <sheetName val="소운반"/>
      <sheetName val="단가(1)"/>
      <sheetName val="원가계산서"/>
      <sheetName val="보차도경계석"/>
      <sheetName val="수로단위수량"/>
      <sheetName val="기초일위"/>
      <sheetName val="수목단가"/>
      <sheetName val="시설수량표"/>
      <sheetName val="시설일위"/>
      <sheetName val="식재수량표"/>
      <sheetName val="식재일위"/>
      <sheetName val="1. 설계조건 2.단면가정 3. 하중계산"/>
      <sheetName val=" 냉각수펌프"/>
      <sheetName val="Sheet5"/>
      <sheetName val="인명부"/>
      <sheetName val="계단"/>
      <sheetName val="1062-X방향 "/>
      <sheetName val="개요"/>
      <sheetName val="PAD TR보호대기초"/>
      <sheetName val="가로등기초"/>
      <sheetName val="중기사용료산출근거"/>
      <sheetName val="단가 및 재료비"/>
      <sheetName val="전력구구조물산근"/>
      <sheetName val="변경후-SHEET"/>
      <sheetName val="지주목시비량산출서"/>
      <sheetName val="단가조사"/>
      <sheetName val="참조M"/>
      <sheetName val="CON포장수량"/>
      <sheetName val="CONUNIT"/>
      <sheetName val="용수량(생활용수)"/>
      <sheetName val="COL"/>
      <sheetName val="설계변경원가계산총괄표"/>
      <sheetName val="간지9)"/>
      <sheetName val="7.PILE  (돌출)"/>
      <sheetName val="기안"/>
      <sheetName val="수량집계표"/>
      <sheetName val="자재목록"/>
      <sheetName val="입력"/>
      <sheetName val="BOX(1.5X1.5)"/>
      <sheetName val="U-TYPE(1)"/>
      <sheetName val="전선 및 전선관"/>
      <sheetName val="시선유도표지집계표"/>
      <sheetName val="설계명세"/>
      <sheetName val="유림골조"/>
      <sheetName val="증감내역서"/>
      <sheetName val="예산작성기준(전기)"/>
      <sheetName val="일반공사"/>
      <sheetName val="웅진교-S2"/>
      <sheetName val="방음벽기초"/>
      <sheetName val="입찰보고"/>
      <sheetName val="PD-5(직선)"/>
      <sheetName val="통합"/>
      <sheetName val="BOILING검토"/>
      <sheetName val="WEON"/>
      <sheetName val="차선도색현황"/>
      <sheetName val="o현장경비"/>
      <sheetName val="토목내역"/>
      <sheetName val="관경"/>
      <sheetName val="시가지우회도로공내역서"/>
      <sheetName val="각사별공사비분개 "/>
      <sheetName val="기계경비일람"/>
      <sheetName val="기계시공"/>
      <sheetName val="설계예산서"/>
      <sheetName val="바닥판(1)"/>
      <sheetName val="포장복구집계"/>
      <sheetName val="단가일람"/>
      <sheetName val="단위량당중기"/>
      <sheetName val="P3"/>
      <sheetName val="기초공"/>
      <sheetName val="단가산출"/>
      <sheetName val="MOTOR"/>
      <sheetName val="부하계산서"/>
      <sheetName val="XL4Poppy"/>
      <sheetName val="재집"/>
      <sheetName val="직재"/>
      <sheetName val="costing_CV"/>
      <sheetName val="ITB COST"/>
      <sheetName val="costing_ESDV"/>
      <sheetName val="costing_Misc"/>
      <sheetName val="costing_MOV"/>
      <sheetName val="costing_Press"/>
      <sheetName val="A-4"/>
      <sheetName val="품의"/>
      <sheetName val="상수도공-간지"/>
      <sheetName val="2공구산출내역"/>
      <sheetName val="소업1교"/>
      <sheetName val="산근"/>
      <sheetName val="하중"/>
      <sheetName val="지급자재조서"/>
      <sheetName val="단가(반정1교-원주)"/>
      <sheetName val="Sheet10"/>
      <sheetName val="실행대비"/>
      <sheetName val="SLIDES"/>
      <sheetName val="종배수관(신)"/>
      <sheetName val="적용단위길이"/>
      <sheetName val="자료입력"/>
      <sheetName val="종배수관면벽신"/>
      <sheetName val="수량산출근거"/>
      <sheetName val="기둥"/>
      <sheetName val="저판(버림100)"/>
      <sheetName val="계화배수"/>
      <sheetName val="(A)내역서"/>
      <sheetName val="공사내역서(을)실행"/>
      <sheetName val="1_설계조건"/>
      <sheetName val="plan&amp;section_of_foundation"/>
      <sheetName val="working_load_at_the_btm_ft_"/>
      <sheetName val="stability_check"/>
      <sheetName val="design_criteria"/>
      <sheetName val="design_load"/>
      <sheetName val="배수철근"/>
      <sheetName val="spiral"/>
      <sheetName val="간선계산"/>
      <sheetName val="별총"/>
      <sheetName val="BID9697"/>
      <sheetName val="우수관"/>
      <sheetName val="날개벽(시점좌측)"/>
      <sheetName val="설계기준"/>
      <sheetName val="기둥(하중)"/>
      <sheetName val="ENE-CAL 1"/>
      <sheetName val="자압"/>
      <sheetName val="&lt;목록&gt;"/>
      <sheetName val="횡배수관"/>
      <sheetName val="Baby일위대가"/>
      <sheetName val="주식"/>
      <sheetName val="기자재비"/>
      <sheetName val="갑지1"/>
      <sheetName val="6호기"/>
      <sheetName val="공사내역"/>
      <sheetName val="집계표(육상)"/>
      <sheetName val="조건표"/>
      <sheetName val="Sheet15"/>
      <sheetName val="-몰탈콘크리트"/>
      <sheetName val="ACUNIT"/>
      <sheetName val="내역서(전기)"/>
      <sheetName val="산근목록"/>
      <sheetName val="배수내역"/>
      <sheetName val="공내역"/>
      <sheetName val="woo(mac)"/>
      <sheetName val="수량집계"/>
      <sheetName val="type-F"/>
      <sheetName val="BOX-1515"/>
      <sheetName val="BOX-1510"/>
      <sheetName val="맨홀수량산출"/>
      <sheetName val="맨홀토공수량"/>
      <sheetName val="Macro(차단기)"/>
      <sheetName val="터널조도"/>
      <sheetName val="도급예산내역서봉투"/>
      <sheetName val="공사원가계산서"/>
      <sheetName val="도급예산내역서총괄표"/>
      <sheetName val="분전함신설"/>
      <sheetName val="설계산출표지"/>
      <sheetName val="을부담운반비"/>
      <sheetName val="운반비산출"/>
      <sheetName val="접지1종"/>
      <sheetName val="공정별 수량산출서"/>
      <sheetName val="일반시방서"/>
      <sheetName val="일위대가(조경)"/>
      <sheetName val="자재 및 폐기물견적(2008)"/>
      <sheetName val="상승요인분석"/>
      <sheetName val="배수공"/>
      <sheetName val="측구공"/>
      <sheetName val="수정내역서"/>
      <sheetName val="2000전체분"/>
      <sheetName val="인천제철"/>
      <sheetName val="대림경상68억"/>
      <sheetName val="노무비계"/>
      <sheetName val="sheeet2"/>
      <sheetName val="단면 _2_"/>
      <sheetName val="재료"/>
      <sheetName val="날개벽"/>
      <sheetName val="예상"/>
      <sheetName val="2002년12월"/>
      <sheetName val="주요자재집계표"/>
      <sheetName val="맨홀평균높이"/>
      <sheetName val="결과조달"/>
      <sheetName val="대정2공구"/>
      <sheetName val="터널구조물산근"/>
      <sheetName val="유림총괄"/>
      <sheetName val="설계기준 및 하중계산"/>
      <sheetName val="11.자재단가"/>
      <sheetName val="공종별수량집계"/>
      <sheetName val="역T형(H=6.0) (2)"/>
      <sheetName val="중기집계"/>
      <sheetName val="예산대비"/>
      <sheetName val="코드"/>
      <sheetName val="1호맨홀토공"/>
      <sheetName val="CTEMCOST"/>
      <sheetName val="현장관리비"/>
      <sheetName val="공사비산출내역"/>
      <sheetName val="은행"/>
      <sheetName val="입력시트"/>
      <sheetName val="공사현황"/>
      <sheetName val="계산서(곡선부)"/>
      <sheetName val="-치수표(곡선부)"/>
      <sheetName val="설정"/>
      <sheetName val="전차선로 물량표"/>
      <sheetName val="기계경비"/>
      <sheetName val="포장물량집계"/>
      <sheetName val="기계내역"/>
      <sheetName val="슬래브(유곡)"/>
      <sheetName val="품셈총괄표"/>
      <sheetName val="FOOTING단면력"/>
      <sheetName val="0226"/>
      <sheetName val="GAEYO"/>
      <sheetName val="SUMDO"/>
      <sheetName val="ENDDO"/>
      <sheetName val="PLDB"/>
      <sheetName val="AAA"/>
      <sheetName val="M-HOUR"/>
      <sheetName val="공기"/>
      <sheetName val="집계"/>
      <sheetName val="포장직선구간"/>
      <sheetName val="원가입력"/>
      <sheetName val="00000"/>
      <sheetName val="Dike for 49T03 &amp; 49T04"/>
      <sheetName val="Dike for 49T02, 05~07, 19 (1)"/>
      <sheetName val="수량산출서 갑지"/>
      <sheetName val="3CHBDC"/>
      <sheetName val="사급자재"/>
      <sheetName val="CAT_5"/>
      <sheetName val="간접비내역-1"/>
      <sheetName val="inter"/>
      <sheetName val="준검 내역서"/>
      <sheetName val="Sheet6"/>
      <sheetName val="북방3터널"/>
      <sheetName val="실행"/>
      <sheetName val="예산내역서"/>
      <sheetName val="ASP"/>
      <sheetName val="석축"/>
      <sheetName val="전계가"/>
      <sheetName val="수목표준대가"/>
      <sheetName val="공구"/>
      <sheetName val="음봉방향"/>
      <sheetName val="추정공사비_산출내역1.xlsx"/>
      <sheetName val="cable data1"/>
      <sheetName val="공통부대비"/>
      <sheetName val="M_DB"/>
      <sheetName val="TYPE"/>
      <sheetName val="costing_FE"/>
      <sheetName val="공종집계"/>
      <sheetName val="Model"/>
      <sheetName val="CONSTRUCTION COMPONENT"/>
      <sheetName val="접속 SLAB,BRACKET 설계"/>
      <sheetName val="우수"/>
      <sheetName val="CAL"/>
      <sheetName val="2000년하반기"/>
      <sheetName val="기초(중마오수)"/>
      <sheetName val="안정검토"/>
      <sheetName val="단면설계"/>
      <sheetName val="주beam"/>
      <sheetName val="평균터파기"/>
      <sheetName val="국공유지및사유지"/>
      <sheetName val="내역(전체)"/>
      <sheetName val="가정급수관"/>
      <sheetName val="EP0618"/>
      <sheetName val="견적대비 견적서"/>
      <sheetName val="배수내역 (2)"/>
      <sheetName val="화단 철거"/>
      <sheetName val="수지예산"/>
      <sheetName val="예정(3)"/>
      <sheetName val="Sheet16"/>
      <sheetName val="Sheet14"/>
      <sheetName val="부하"/>
      <sheetName val="APT"/>
      <sheetName val="Sheet13"/>
      <sheetName val="최적단면"/>
      <sheetName val="1호-아(오)0.4"/>
      <sheetName val="점수계산1-2"/>
      <sheetName val="경산"/>
      <sheetName val="부속동"/>
      <sheetName val="변화치수"/>
      <sheetName val="밸브설치"/>
      <sheetName val="DESCRIPTION"/>
      <sheetName val="중기비"/>
      <sheetName val="CABLE SIZE-3"/>
      <sheetName val="대치판정"/>
      <sheetName val="인건비"/>
      <sheetName val="중동공구"/>
      <sheetName val="입력값"/>
      <sheetName val="소비자가"/>
      <sheetName val="옥내아파트(전기)"/>
      <sheetName val="2. 공원조도"/>
      <sheetName val="COPING-1"/>
      <sheetName val="역T형교대-2수량"/>
      <sheetName val="장비사양"/>
      <sheetName val="빙장비사양"/>
      <sheetName val="Tables"/>
      <sheetName val="결재갑지"/>
      <sheetName val="간접비계산"/>
      <sheetName val="TYPE1"/>
      <sheetName val="공사비집계"/>
      <sheetName val="일위대가목차"/>
      <sheetName val="자재 집계표"/>
      <sheetName val="약품설비"/>
      <sheetName val="1-1"/>
      <sheetName val="기본DATA"/>
      <sheetName val="관로토공"/>
      <sheetName val="명세서"/>
      <sheetName val="BOQ"/>
      <sheetName val="wk prgs"/>
      <sheetName val="Berm"/>
      <sheetName val="내역서_1"/>
      <sheetName val="6PILE__(돌출)"/>
      <sheetName val="플랜트_설치"/>
      <sheetName val="설명서_"/>
      <sheetName val="8_PILE__(돌출)"/>
      <sheetName val="1_설계기준"/>
      <sheetName val="3BL공동구_수량"/>
      <sheetName val="단면_(2)"/>
      <sheetName val="crude_SLAB_RE-bar"/>
      <sheetName val="CRUDE_RE-bar"/>
      <sheetName val="신규_수주분(사용자_정의)"/>
      <sheetName val="BOX(1_5X1_5)"/>
      <sheetName val="pile_bearing_capa_&amp;_arrenge"/>
      <sheetName val="DATA_입력란"/>
      <sheetName val="2_입력sheet"/>
      <sheetName val="(3_품질관리_시험_총괄표)"/>
      <sheetName val="별표_"/>
      <sheetName val="2_가정단면"/>
      <sheetName val="토공(우물통,기타)_"/>
      <sheetName val="7_PILE__(돌출)"/>
      <sheetName val="COMPARISON_TABLE"/>
      <sheetName val="CTG"/>
      <sheetName val="2.2 S-Curve"/>
      <sheetName val="대포2교접속"/>
      <sheetName val="천방교접속"/>
      <sheetName val="돌담교 상부수량"/>
      <sheetName val="H-PILE수량집계"/>
      <sheetName val="수량-가로등"/>
      <sheetName val="가시설수량"/>
      <sheetName val="우수받이"/>
      <sheetName val="제원및배치"/>
      <sheetName val="돌담교_상부수량"/>
      <sheetName val="해평견적"/>
      <sheetName val="CON기초"/>
      <sheetName val="역T형교대(말뚝기초)"/>
      <sheetName val="SAP_INPUT"/>
      <sheetName val="1단계"/>
      <sheetName val="테이블"/>
      <sheetName val="건축"/>
      <sheetName val="8.석축단위(H=1.5M)"/>
      <sheetName val="원가계산"/>
      <sheetName val="장비집계"/>
      <sheetName val="자재집계표"/>
      <sheetName val="구천"/>
      <sheetName val="평가데이터"/>
      <sheetName val="청천내"/>
      <sheetName val="일위"/>
      <sheetName val="산출금액내역"/>
      <sheetName val="현장예산"/>
      <sheetName val="예총"/>
      <sheetName val="요율"/>
      <sheetName val="조경내역서"/>
      <sheetName val="공사기본내용입력"/>
      <sheetName val="동원인원"/>
      <sheetName val="2공구하도급내역서"/>
      <sheetName val="3.공통공사대비"/>
      <sheetName val="TOTAL_BOQ"/>
      <sheetName val="범례표"/>
      <sheetName val="옹벽일반수량"/>
      <sheetName val="품셈집계표"/>
      <sheetName val="자재조사표"/>
      <sheetName val="연결관암거"/>
      <sheetName val="현장경비"/>
      <sheetName val="방배동내역(리라)"/>
      <sheetName val="건축공사집계표"/>
      <sheetName val="방배동내역 (총괄)"/>
      <sheetName val="부대공사총괄"/>
      <sheetName val="원본(갑지)"/>
      <sheetName val="단열-자재"/>
      <sheetName val="공제수량총집계표"/>
      <sheetName val="임금단가"/>
      <sheetName val="총투입계"/>
      <sheetName val="대창(함평)"/>
      <sheetName val="대창(장성)"/>
      <sheetName val="대창(함평)-창열"/>
      <sheetName val="원가"/>
      <sheetName val="연습"/>
      <sheetName val="설계서을"/>
      <sheetName val="견적"/>
      <sheetName val="수량3"/>
      <sheetName val="이토변실(A3-LINE)"/>
      <sheetName val="골재산출"/>
      <sheetName val="바닥판"/>
      <sheetName val="입력DATA"/>
      <sheetName val="흥양2교토공집계표"/>
      <sheetName val="공동구수량"/>
      <sheetName val="차수공개요"/>
      <sheetName val="96정변2"/>
      <sheetName val="당초"/>
      <sheetName val="총수량집계표"/>
      <sheetName val="BOX수량"/>
      <sheetName val="PIPING"/>
      <sheetName val="#3_일위대가목록"/>
      <sheetName val="#2_일위대가목록"/>
      <sheetName val="기초단가"/>
      <sheetName val="중기손료"/>
      <sheetName val="공사개요"/>
      <sheetName val="설계예시"/>
      <sheetName val="설계명세서"/>
      <sheetName val="입력자료"/>
      <sheetName val="내역서1999.8최종"/>
      <sheetName val="내역서 제출"/>
      <sheetName val="FILE1"/>
      <sheetName val="견적단가"/>
      <sheetName val="CON'C"/>
      <sheetName val="철거산출근거"/>
      <sheetName val="건축내역"/>
      <sheetName val="I一般比"/>
      <sheetName val="건축명"/>
      <sheetName val="기계명"/>
      <sheetName val="전기명"/>
      <sheetName val="토목명"/>
      <sheetName val="내역1"/>
      <sheetName val="단중표"/>
      <sheetName val="구체"/>
      <sheetName val="좌측날개벽"/>
      <sheetName val="우측날개벽"/>
      <sheetName val="setup"/>
      <sheetName val="12호기내역서(건축분)"/>
      <sheetName val="환경기계공정표 (3)"/>
      <sheetName val="시설물단가표"/>
      <sheetName val="노무비단가표"/>
      <sheetName val="기초자료입력"/>
      <sheetName val="파형강관집계"/>
      <sheetName val="설비"/>
      <sheetName val="품셈"/>
      <sheetName val="인부임"/>
      <sheetName val="원가+내역"/>
      <sheetName val="가압장(토목)"/>
      <sheetName val="배관배선 단가조사"/>
      <sheetName val="일위대가집계"/>
      <sheetName val="선정요령"/>
      <sheetName val="입력란"/>
      <sheetName val="97노임단가"/>
      <sheetName val="본선차로수량집계표"/>
      <sheetName val="SANBAISU"/>
      <sheetName val="96보완계획7.12"/>
      <sheetName val="중기사용료"/>
      <sheetName val="2002하반기노임기준"/>
      <sheetName val="9.정착구 보강"/>
      <sheetName val="단가 (2)"/>
      <sheetName val="심사공종"/>
      <sheetName val="절대삭제금지"/>
      <sheetName val="시운전연료"/>
      <sheetName val="b_balju"/>
      <sheetName val="수량증감표"/>
      <sheetName val="터파기운반비산출"/>
      <sheetName val="산적토운반비산출"/>
      <sheetName val="적용단가"/>
      <sheetName val="비교1"/>
      <sheetName val="Sheet4"/>
      <sheetName val="구의33고"/>
      <sheetName val="연장및면적(좌측)"/>
      <sheetName val="구조물터파기수량집계"/>
      <sheetName val="배수공 시멘트 및 골재량 산출"/>
      <sheetName val="공량(1월22일)"/>
      <sheetName val="측구터파기공수량집계"/>
      <sheetName val="빗물받이(910-510-410)"/>
      <sheetName val="우수맨홀공제단위수량"/>
      <sheetName val="일반수량"/>
      <sheetName val="총집계표"/>
      <sheetName val="slurrywall설계가"/>
      <sheetName val="1차 내역서"/>
      <sheetName val="할증"/>
      <sheetName val="실행내역서"/>
      <sheetName val="확약서"/>
      <sheetName val="SORCE1"/>
      <sheetName val="물가대비표"/>
      <sheetName val="Sheet2 (2)"/>
      <sheetName val="변경비교-을"/>
      <sheetName val="건축내역서 (경제상무실)"/>
      <sheetName val="마산월령동골조물량변경"/>
      <sheetName val="수산(당)"/>
      <sheetName val="을지"/>
      <sheetName val="화설내"/>
      <sheetName val="기초코드"/>
      <sheetName val="본사공가현황"/>
      <sheetName val="토목검측서"/>
      <sheetName val="초기화면"/>
      <sheetName val="관급자재"/>
      <sheetName val="9811"/>
      <sheetName val="위치조서"/>
      <sheetName val="SG"/>
      <sheetName val="신호등일위대가"/>
      <sheetName val="흄관기초"/>
      <sheetName val="내역서단가산출용"/>
      <sheetName val="하조서"/>
      <sheetName val="현장경상비"/>
      <sheetName val="database"/>
      <sheetName val="15"/>
      <sheetName val="준공평가"/>
      <sheetName val="98NS-N"/>
      <sheetName val="200"/>
      <sheetName val="몰탈"/>
      <sheetName val="집수정(600-700)"/>
      <sheetName val="부대내역"/>
      <sheetName val="내역서01"/>
      <sheetName val="1.수인터널"/>
      <sheetName val="오수주요자재"/>
      <sheetName val="조건"/>
      <sheetName val="T13(P68~72,78)"/>
      <sheetName val="MAT"/>
      <sheetName val="연도별cash"/>
      <sheetName val="공통가설공사"/>
      <sheetName val="항목등록"/>
      <sheetName val="102역사"/>
      <sheetName val="신고조서"/>
      <sheetName val="공사비총괄표"/>
      <sheetName val="101동"/>
      <sheetName val="기초자료"/>
      <sheetName val="총괄내역"/>
      <sheetName val="97년 추정"/>
      <sheetName val="추가예산"/>
      <sheetName val="월말"/>
      <sheetName val="간접1"/>
      <sheetName val="직접공사비"/>
      <sheetName val="0506생활권구적"/>
      <sheetName val="공정코드"/>
      <sheetName val="우수내용"/>
      <sheetName val="내역_ver1.0"/>
      <sheetName val="산출내역서"/>
      <sheetName val="기성내역"/>
      <sheetName val="99총공사내역서"/>
      <sheetName val="차수"/>
      <sheetName val="노무비"/>
      <sheetName val="단양 00 아파트-세부내역"/>
      <sheetName val="일위대가목록"/>
      <sheetName val="적용토목"/>
      <sheetName val="재료집계표"/>
      <sheetName val="신천3호용수로"/>
      <sheetName val="각종양식"/>
      <sheetName val="암거단위"/>
      <sheetName val="오동"/>
      <sheetName val="대조"/>
      <sheetName val="나한"/>
      <sheetName val="단가표"/>
      <sheetName val="RAMP 단면(R2)"/>
      <sheetName val="업무분장"/>
      <sheetName val="재료비"/>
      <sheetName val="토목내역서 (도급단가)"/>
      <sheetName val="예산M11A"/>
      <sheetName val="목차 "/>
      <sheetName val="중기"/>
      <sheetName val="NYS"/>
      <sheetName val="도로경계단위"/>
      <sheetName val="4.2유효폭의 계산"/>
      <sheetName val="시중노임단가"/>
      <sheetName val="발주내역"/>
      <sheetName val="세골재  T2 변경 현황"/>
      <sheetName val="0.단가"/>
      <sheetName val="토공 total"/>
      <sheetName val="PSCbeam설계"/>
      <sheetName val="내역서중"/>
      <sheetName val="접지수량"/>
      <sheetName val="공사착공계"/>
      <sheetName val="EQT-ESTN"/>
      <sheetName val="직노"/>
      <sheetName val="실행내역"/>
      <sheetName val="양식3"/>
      <sheetName val="세부내역서(전기)"/>
      <sheetName val="3련 BOX"/>
      <sheetName val="CC16-내역서"/>
      <sheetName val="이토변실"/>
      <sheetName val="단위단가"/>
      <sheetName val="건축공사실행"/>
      <sheetName val="식재가격"/>
      <sheetName val="일위목록"/>
      <sheetName val="조명일위"/>
      <sheetName val="기본1"/>
      <sheetName val="수정일위대가"/>
      <sheetName val="MAIN_TABLE"/>
      <sheetName val="자재단가비교표"/>
      <sheetName val="4. 주형설계"/>
      <sheetName val="1,2공구원가계산서"/>
      <sheetName val="1공구산출내역서"/>
      <sheetName val="수량집"/>
      <sheetName val="골조"/>
      <sheetName val="2.단면가정"/>
      <sheetName val="수우미양가(Vlookup)"/>
      <sheetName val="집계표(OPTION)"/>
      <sheetName val="지중자재단가"/>
      <sheetName val="계수시트"/>
      <sheetName val="입력변수"/>
      <sheetName val="개인"/>
      <sheetName val="인수공규격"/>
      <sheetName val="노무비 근거"/>
      <sheetName val="MAIN"/>
      <sheetName val="지장물_data"/>
      <sheetName val="ATM기초철가"/>
      <sheetName val="CIVIL4"/>
      <sheetName val=" 총괄표"/>
      <sheetName val="내역서적용수량"/>
      <sheetName val="수안보-MBR1"/>
      <sheetName val="도수로수량산출"/>
      <sheetName val="단가비교표_공통1"/>
      <sheetName val="제경비"/>
      <sheetName val="Customer Databas"/>
      <sheetName val="대부예산서"/>
      <sheetName val="표준차도부연장집계-ASP"/>
      <sheetName val="종배수관면벽구"/>
      <sheetName val="종배수관위치조서"/>
      <sheetName val="1련박스"/>
      <sheetName val="조경일람"/>
      <sheetName val="일위(수원)"/>
      <sheetName val="바닥판의 설계"/>
      <sheetName val="전체제잡비"/>
      <sheetName val="미드수량"/>
      <sheetName val="보도단위"/>
      <sheetName val="배수장토목공사비"/>
      <sheetName val="건축-물가변동"/>
      <sheetName val="건축집계"/>
      <sheetName val="일위대가_호표"/>
      <sheetName val="일위대가_호표 (계약)"/>
      <sheetName val="세부내역서"/>
      <sheetName val="6공구(당초)"/>
      <sheetName val="도"/>
      <sheetName val="IMPEADENCE MAP 취수장"/>
      <sheetName val="항목"/>
      <sheetName val="DNW"/>
      <sheetName val="EQ"/>
      <sheetName val="단가대비표"/>
      <sheetName val="현장별계약현황('98.10.31)"/>
      <sheetName val="집수정"/>
      <sheetName val="설계개요"/>
      <sheetName val="pvc연결관"/>
      <sheetName val="J直材4"/>
      <sheetName val="깨기"/>
      <sheetName val="1_우편집중내역서"/>
      <sheetName val="Sheet1_(2)"/>
      <sheetName val="3_하중산정4_지지력"/>
      <sheetName val="표__지"/>
      <sheetName val="표지_(2)"/>
      <sheetName val="물가시세"/>
      <sheetName val="빌딩 안내"/>
      <sheetName val="대우단가(풍산)"/>
      <sheetName val="공사비증감"/>
      <sheetName val="단지조성공(가포)"/>
      <sheetName val="BSD (2)"/>
      <sheetName val="종단계산"/>
      <sheetName val="구조물공위치조서"/>
      <sheetName val="영동(D)"/>
      <sheetName val="AC포장수량"/>
      <sheetName val="예가표"/>
      <sheetName val="아스콘단위"/>
      <sheetName val="tggwan(mac)"/>
      <sheetName val="일반수량총괄집계"/>
      <sheetName val="계약ITEM"/>
      <sheetName val="Chiet tinh dz35"/>
      <sheetName val="RFP002"/>
      <sheetName val="01"/>
      <sheetName val="Rooms"/>
      <sheetName val="TABLE DB"/>
      <sheetName val="쌍용 data base"/>
      <sheetName val="escon"/>
      <sheetName val="code HTT Thap"/>
      <sheetName val="Notes"/>
      <sheetName val="GIAVLIEU"/>
      <sheetName val="SAP"/>
      <sheetName val="Mall"/>
      <sheetName val="D&amp;W def."/>
      <sheetName val="FitOutConfCentre"/>
      <sheetName val="GVL"/>
      <sheetName val="RAB AR&amp;STR"/>
      <sheetName val="6MONTHS"/>
      <sheetName val="4-Lane bridge"/>
      <sheetName val="Z"/>
      <sheetName val="chitimc"/>
      <sheetName val="dongia (2)"/>
      <sheetName val="giathanh1"/>
      <sheetName val="t-h HA THE"/>
      <sheetName val="lam-moi"/>
      <sheetName val="THPDMoi  (2)"/>
      <sheetName val="gtrinh"/>
      <sheetName val="phuluc1"/>
      <sheetName val="DONGIA"/>
      <sheetName val="thao-go"/>
      <sheetName val="DON GIA"/>
      <sheetName val="TONGKE-HT"/>
      <sheetName val="DG"/>
      <sheetName val="dtxl"/>
      <sheetName val="CHITIET VL-NC-TT -1p"/>
      <sheetName val="TONG HOP VL-NC TT"/>
      <sheetName val="TH XL"/>
      <sheetName val="VC"/>
      <sheetName val="chitiet"/>
      <sheetName val="Tiepdia"/>
      <sheetName val="CHITIET VL-NC-TT-3p"/>
      <sheetName val="TDTKP"/>
      <sheetName val="TDTKP1"/>
      <sheetName val="KPVC-BD "/>
      <sheetName val="CHITIET VL-NC"/>
      <sheetName val="B3A - TOWER A"/>
      <sheetName val="FAB별"/>
      <sheetName val="Thuc thanh"/>
      <sheetName val="264"/>
      <sheetName val="DB"/>
      <sheetName val="물류최종8월7"/>
      <sheetName val="Quantity"/>
      <sheetName val="침하계"/>
      <sheetName val="6PILE__(돌출)1"/>
      <sheetName val="1_설계조건1"/>
      <sheetName val="2_2_S-Curve"/>
      <sheetName val="1_2_1_마루높이결정"/>
      <sheetName val="3BL공동구_수량1"/>
      <sheetName val="Pier_3"/>
      <sheetName val="돌담교_상부수량1"/>
      <sheetName val="8_석축단위(H=1_5M)"/>
      <sheetName val="준검_내역서"/>
      <sheetName val="3_공통공사대비"/>
      <sheetName val="방배동내역_(총괄)"/>
      <sheetName val="PAD_TR보호대기초"/>
      <sheetName val="DI-ESTI"/>
      <sheetName val="일위대가표(유단가)"/>
      <sheetName val="Civil. Sub-Station 1"/>
      <sheetName val="Coax Designer"/>
      <sheetName val="tong du toan"/>
      <sheetName val="DAF-2"/>
      <sheetName val="TOSHIBA-Structure"/>
      <sheetName val="MAIN GATE HOUSE"/>
      <sheetName val="수리결과"/>
      <sheetName val="Rebar"/>
      <sheetName val="Bảng mã VT"/>
      <sheetName val="편입용지조서"/>
      <sheetName val="경비_원본"/>
      <sheetName val="LKVL-CK-HT-GD1"/>
      <sheetName val="수량"/>
      <sheetName val="N10(미지급) "/>
      <sheetName val="(평균)"/>
      <sheetName val="단면A-A(TR)"/>
      <sheetName val="단위중량"/>
      <sheetName val="업무"/>
      <sheetName val="배수개거"/>
      <sheetName val="특수선일위대가"/>
      <sheetName val="개방1"/>
      <sheetName val="포장재료집계표"/>
      <sheetName val="전체내역서"/>
      <sheetName val="-배수구조물공토공"/>
      <sheetName val="횡배수관재료-"/>
      <sheetName val="계산서(직선부)"/>
      <sheetName val="종배수관"/>
      <sheetName val="I.설계조건"/>
      <sheetName val="수문보고"/>
      <sheetName val="농로수량집계"/>
      <sheetName val="농로토공집계"/>
      <sheetName val="현금및현금등가물1"/>
      <sheetName val="지장물총괄표"/>
      <sheetName val="수량명세서"/>
      <sheetName val="S0"/>
      <sheetName val="단면__2_"/>
      <sheetName val="Dike_for_49T03_&amp;_49T04"/>
      <sheetName val="Dike_for_49T02,_05~07,_19_(1)"/>
      <sheetName val="11_자재단가"/>
      <sheetName val="목표세부명세"/>
      <sheetName val="중간간지 (2)"/>
      <sheetName val="경비"/>
      <sheetName val="간접경상비"/>
      <sheetName val="정읍농소"/>
      <sheetName val="설직재_1"/>
      <sheetName val="목록"/>
      <sheetName val="5지구단위"/>
      <sheetName val="노임단가기준"/>
      <sheetName val="암거공"/>
      <sheetName val="변실"/>
      <sheetName val="이음부"/>
      <sheetName val="성곽내역서"/>
      <sheetName val="주소록2000(전화번호부)"/>
      <sheetName val="6.단면검토"/>
      <sheetName val="2.단면가정 "/>
      <sheetName val="Multi-dims"/>
      <sheetName val="단면치수"/>
      <sheetName val="배수관산출"/>
      <sheetName val="하중계산"/>
      <sheetName val="암거 제원표"/>
      <sheetName val="BG"/>
      <sheetName val="실행내역서 "/>
      <sheetName val="접속도로"/>
      <sheetName val="제수"/>
      <sheetName val="경영상태"/>
      <sheetName val="252K444"/>
      <sheetName val="Macro(전동기)"/>
      <sheetName val="사각맨홀"/>
      <sheetName val="汇总表"/>
      <sheetName val="수로교총재료집계"/>
      <sheetName val="지하시설물작성"/>
      <sheetName val="자재단가대비표"/>
      <sheetName val="배수공BOQ"/>
      <sheetName val="허용전류"/>
      <sheetName val="우각부보강"/>
      <sheetName val="97 사업추정(WEKI)"/>
      <sheetName val="Contents"/>
      <sheetName val="7월천안현장 집계표"/>
      <sheetName val="장비.자재"/>
      <sheetName val="장비명세서"/>
      <sheetName val=" 노무집계"/>
      <sheetName val="일용노무비"/>
      <sheetName val="직접인건비"/>
      <sheetName val="단위수량산출"/>
      <sheetName val="화산경계"/>
      <sheetName val="Project Brief"/>
      <sheetName val="AILC004"/>
      <sheetName val="상세"/>
      <sheetName val="공문"/>
      <sheetName val="D-철근총괄"/>
      <sheetName val="BOX"/>
      <sheetName val="단가산출총괄표"/>
      <sheetName val="dnc4"/>
      <sheetName val="토공구역구분(출력안함)"/>
      <sheetName val="간지02)"/>
      <sheetName val="직접구매"/>
      <sheetName val="간지03 )"/>
      <sheetName val="주요자재xxxxxx"/>
      <sheetName val="1.레미콘"/>
      <sheetName val="2.관집계"/>
      <sheetName val="3.제수밸브"/>
      <sheetName val="4.각종주철제"/>
      <sheetName val="5.유량계"/>
      <sheetName val="1.골재집계"/>
      <sheetName val="2.철근집계"/>
      <sheetName val="3.관세척"/>
      <sheetName val="4.분기관"/>
      <sheetName val="간지04)"/>
      <sheetName val="총괄자재집계표"/>
      <sheetName val="간지05)"/>
      <sheetName val="상수공 토공집계표"/>
      <sheetName val="우수공자재집계표"/>
      <sheetName val="시모자"/>
      <sheetName val="PAINT (2)"/>
      <sheetName val="수량산출서"/>
      <sheetName val="STRA2"/>
      <sheetName val="EQUIP-H"/>
      <sheetName val="내역서_2"/>
      <sheetName val="8_PILE__(돌출)1"/>
      <sheetName val="플랜트_설치1"/>
      <sheetName val="1_설계기준1"/>
      <sheetName val="DATA_입력란1"/>
      <sheetName val="3_하중산정4_지지력1"/>
      <sheetName val="표지_(2)1"/>
      <sheetName val="plan&amp;section_of_foundation1"/>
      <sheetName val="pile_bearing_capa_&amp;_arrenge1"/>
      <sheetName val="design_load1"/>
      <sheetName val="working_load_at_the_btm_ft_1"/>
      <sheetName val="stability_check1"/>
      <sheetName val="design_criteria1"/>
      <sheetName val="신규_수주분(사용자_정의)1"/>
      <sheetName val="Sheet1_(2)1"/>
      <sheetName val="설명서_1"/>
      <sheetName val="2_가정단면1"/>
      <sheetName val="단면_(2)1"/>
      <sheetName val="7_PILE__(돌출)1"/>
      <sheetName val="crude_SLAB_RE-bar1"/>
      <sheetName val="CRUDE_RE-bar1"/>
      <sheetName val="COMPARISON_TABLE1"/>
      <sheetName val="2_입력sheet1"/>
      <sheetName val="(3_품질관리_시험_총괄표)1"/>
      <sheetName val="별표_1"/>
      <sheetName val="토공(우물통,기타)_1"/>
      <sheetName val="표__지1"/>
      <sheetName val="1_우편집중내역서1"/>
      <sheetName val="BOX(1_5X1_5)1"/>
      <sheetName val="전선_및_전선관"/>
      <sheetName val="ENE-CAL_1"/>
      <sheetName val="ITB_COST"/>
      <sheetName val="_냉각수펌프"/>
      <sheetName val="2011_(4)"/>
      <sheetName val="설계기준_및_하중계산"/>
      <sheetName val="1062-X방향_"/>
      <sheetName val="역T형(H=6_0)_(2)"/>
      <sheetName val="각사별공사비분개_"/>
      <sheetName val="1__설계조건_2_단면가정_3__하중계산"/>
      <sheetName val="전차선로_물량표"/>
      <sheetName val="단가_및_재료비"/>
      <sheetName val="추정공사비_산출내역1_xlsx"/>
      <sheetName val="수량산출서_갑지"/>
      <sheetName val="견적대비_견적서"/>
      <sheetName val="1호-아(오)0_4"/>
      <sheetName val="CONSTRUCTION_COMPONENT"/>
      <sheetName val="접속_SLAB,BRACKET_설계"/>
      <sheetName val="빌딩_안내"/>
      <sheetName val="공정별_수량산출서"/>
      <sheetName val="자재_및_폐기물견적(2008)"/>
      <sheetName val="화단_철거"/>
      <sheetName val="CABLE_SIZE-3"/>
      <sheetName val="cable_data1"/>
      <sheetName val="wk_prgs"/>
      <sheetName val="자재_집계표"/>
      <sheetName val="IMPEADENCE_MAP_취수장"/>
      <sheetName val="일위대가_호표_(계약)"/>
      <sheetName val="2__공원조도"/>
      <sheetName val="1.폐기물집계표"/>
      <sheetName val="Bìa"/>
      <sheetName val="Bảng KLHT"/>
      <sheetName val="RC WORK"/>
      <sheetName val="6PILE__(돌출)2"/>
      <sheetName val="1_설계조건2"/>
      <sheetName val="돌담교_상부수량2"/>
      <sheetName val="8_석축단위(H=1_5M)1"/>
      <sheetName val="3BL공동구_수량2"/>
      <sheetName val="준검_내역서1"/>
      <sheetName val="3_공통공사대비1"/>
      <sheetName val="방배동내역_(총괄)1"/>
      <sheetName val="1_2_1_마루높이결정1"/>
      <sheetName val="Pier_31"/>
      <sheetName val="2_2_S-Curve1"/>
      <sheetName val="PAD_TR보호대기초1"/>
      <sheetName val="Chiet_tinh_dz35"/>
      <sheetName val="TABLE_DB"/>
      <sheetName val="쌍용_data_base"/>
      <sheetName val="code_HTT_Thap"/>
      <sheetName val="dongia_(2)"/>
      <sheetName val="RAB_AR&amp;STR"/>
      <sheetName val="Civil__Sub-Station_1"/>
      <sheetName val="실행내역서_"/>
      <sheetName val="Thuc_thanh"/>
      <sheetName val="D&amp;W_def_"/>
      <sheetName val="4-Lane_bridge"/>
      <sheetName val="PKKK"/>
      <sheetName val="Kính"/>
      <sheetName val="Bảng Phân Tích Chi Phí"/>
      <sheetName val="차선도색수량집계"/>
      <sheetName val="가감수량"/>
      <sheetName val="S.중기사용료"/>
      <sheetName val="깨기수량집계"/>
      <sheetName val="MTP"/>
      <sheetName val="Gia VL,NC,M"/>
      <sheetName val="Phan chung"/>
      <sheetName val="Names"/>
      <sheetName val="Tom tat gia du thau"/>
      <sheetName val="1_MV"/>
      <sheetName val="MTC"/>
      <sheetName val="Tien do TV"/>
      <sheetName val="Ts"/>
      <sheetName val="QD957"/>
      <sheetName val="Config"/>
      <sheetName val="CP Du phong"/>
      <sheetName val="THCP Lap dat"/>
      <sheetName val="THCP xay dung"/>
      <sheetName val="Tong hop kinh phi"/>
      <sheetName val="Earthwork"/>
      <sheetName val="CFS3"/>
      <sheetName val="SITE-E"/>
      <sheetName val="BLOCK(1)"/>
      <sheetName val="총괄설계내역서"/>
      <sheetName val="예산서"/>
      <sheetName val="지장물조서"/>
      <sheetName val="내역서(토목)"/>
      <sheetName val="부재치수입력"/>
      <sheetName val="공사계약현황"/>
      <sheetName val="설계"/>
      <sheetName val="수문일1"/>
      <sheetName val="입찰견적보고서"/>
      <sheetName val="대전노은1차_조적_집계표"/>
      <sheetName val="Bao cao hao hut VT-TR"/>
      <sheetName val="125x125"/>
      <sheetName val="tifico"/>
      <sheetName val="Du toan"/>
      <sheetName val="Items"/>
      <sheetName val="Detail"/>
      <sheetName val="¥ "/>
      <sheetName val="KLall"/>
      <sheetName val="DTTC CHI TIET"/>
      <sheetName val="SP10"/>
      <sheetName val="BechLab"/>
      <sheetName val="Rates"/>
      <sheetName val="당진1,2호기전선관설치및접지4차공사내역서-을지"/>
      <sheetName val="실행(ALT1)"/>
      <sheetName val="금액"/>
      <sheetName val="조직"/>
      <sheetName val="Currency Rate"/>
      <sheetName val="MTO REV.2(ARMOR)"/>
      <sheetName val="TEN CONG TRINH"/>
      <sheetName val="VXXXXXX"/>
      <sheetName val="파일의이용"/>
      <sheetName val="이름정의"/>
      <sheetName val="교대철근집계"/>
      <sheetName val="계양가시설"/>
      <sheetName val="일위단위"/>
      <sheetName val="고유코드_설계"/>
      <sheetName val="PROJECT BRIEF(EX.NEW)"/>
      <sheetName val="Site Expenses"/>
      <sheetName val="실행견적"/>
      <sheetName val="현장관리비참조"/>
      <sheetName val="다곡2교"/>
      <sheetName val="s"/>
      <sheetName val="용역비내역-진짜"/>
      <sheetName val="1000 DB구축 부표"/>
      <sheetName val="환율CHANGE"/>
      <sheetName val="EACT10"/>
      <sheetName val="현금흐름"/>
      <sheetName val="상 부"/>
      <sheetName val="9-1차이내역"/>
      <sheetName val="내역갑지"/>
      <sheetName val="D+W"/>
      <sheetName val="INFOR-ST"/>
      <sheetName val="kpxlc"/>
      <sheetName val="kpxld"/>
      <sheetName val="VTu"/>
      <sheetName val="D_MUC"/>
      <sheetName val="Unit price"/>
      <sheetName val="p"/>
      <sheetName val="Define finishing"/>
      <sheetName val="SEX"/>
      <sheetName val="BIDDING-SUM"/>
      <sheetName val="PTĐG"/>
      <sheetName val="RATE"/>
      <sheetName val="MA"/>
      <sheetName val="Tiến độ  Rev1 (phói hợp)"/>
      <sheetName val="Level 2"/>
      <sheetName val="VT190111"/>
      <sheetName val="TH-XL"/>
      <sheetName val="PNT-QUOT-#3"/>
      <sheetName val="Keothep"/>
      <sheetName val="Re-bar"/>
      <sheetName val="HS"/>
      <sheetName val="Cst Pkg-Eden"/>
      <sheetName val="Chi tiết cấu tạo giá (2)"/>
      <sheetName val="SUMMARY-HT Thô"/>
      <sheetName val="02.PHAT SINH TANG"/>
      <sheetName val="DT"/>
      <sheetName val="TONG HOP XIN GIA"/>
      <sheetName val="Bảng_mã_VT"/>
      <sheetName val="tong_du_toan"/>
      <sheetName val="Cover"/>
      <sheetName val="Sheet"/>
      <sheetName val="DANHMUC"/>
      <sheetName val="電気設備表"/>
      <sheetName val="1.R18 BF"/>
      <sheetName val="A"/>
      <sheetName val="G"/>
      <sheetName val="F-B"/>
      <sheetName val="H-J"/>
      <sheetName val="6.External works-R18"/>
      <sheetName val="May"/>
      <sheetName val="Profile"/>
      <sheetName val="bill 3 - D Wall"/>
      <sheetName val="KHOI LUONG15-4"/>
      <sheetName val="NC"/>
      <sheetName val="Tro giup"/>
      <sheetName val="Villa A"/>
      <sheetName val="Div26 - Elect"/>
      <sheetName val="CPTNo"/>
      <sheetName val="COAT&amp;WRAP-QIOT-#3"/>
      <sheetName val="Parem"/>
      <sheetName val="Ref"/>
      <sheetName val="VO"/>
      <sheetName val="Xuly Data"/>
      <sheetName val="CSVC LD"/>
      <sheetName val="Ten_NVKD"/>
      <sheetName val="Setting"/>
      <sheetName val="dtct cong"/>
      <sheetName val="Buy vs. Lease Car"/>
      <sheetName val="BQ"/>
      <sheetName val="Costmaster"/>
      <sheetName val="Cash Flow bulanan"/>
      <sheetName val="Isolasi Luar Dalam"/>
      <sheetName val="Isolasi Luar"/>
      <sheetName val="8521"/>
      <sheetName val="Y_WORK"/>
      <sheetName val="運転条件一覧"/>
      <sheetName val="4)유동표"/>
      <sheetName val="수량이동"/>
      <sheetName val="8. 안정검토"/>
      <sheetName val="배수관접합및부설  "/>
      <sheetName val="CAUDIT"/>
      <sheetName val="CALCULATION"/>
      <sheetName val="static.cal"/>
      <sheetName val="현황"/>
      <sheetName val="C.배수관공"/>
      <sheetName val="1.일반수량산출근거"/>
      <sheetName val="판"/>
      <sheetName val="DI_전처리 단가집(GP1 실적가)"/>
      <sheetName val="XXXXXX"/>
      <sheetName val="조도"/>
      <sheetName val="동력"/>
      <sheetName val="변압기"/>
      <sheetName val="발전기"/>
      <sheetName val="간선"/>
      <sheetName val="도체종-상수표"/>
      <sheetName val="Sheet8"/>
      <sheetName val="Sheet9"/>
      <sheetName val="Sheet11"/>
      <sheetName val="Sheet12"/>
      <sheetName val="전기자료"/>
      <sheetName val="DUT-BAT1"/>
      <sheetName val="GEN"/>
      <sheetName val="합천내역"/>
      <sheetName val="노동부"/>
      <sheetName val="구성비"/>
      <sheetName val="Financial impact"/>
      <sheetName val="Sch7a (토요일)"/>
      <sheetName val="일반수량총괄집계표"/>
      <sheetName val="화재 탐지 설비"/>
      <sheetName val=""/>
      <sheetName val="계획집계"/>
      <sheetName val="N10(미지급)_"/>
      <sheetName val="N10(미지급)_1"/>
      <sheetName val="기준Data"/>
      <sheetName val="의왕F사"/>
      <sheetName val="가공사"/>
      <sheetName val="참조영역"/>
      <sheetName val="신구계정대사표"/>
      <sheetName val="Total Progress (2)"/>
      <sheetName val="단가산출서"/>
      <sheetName val="본장"/>
      <sheetName val="건설성적"/>
      <sheetName val="폐기물집계표"/>
      <sheetName val="재료집계(분수관)"/>
      <sheetName val="조은나오스빌"/>
      <sheetName val="내역서 (2)"/>
      <sheetName val="b_balju_cho"/>
      <sheetName val="计算稿"/>
      <sheetName val="산거각호표"/>
      <sheetName val="Hydrant"/>
      <sheetName val="표 지"/>
      <sheetName val="인사자료총집계"/>
      <sheetName val="대전(세창동)"/>
      <sheetName val="공사비 증감 내역서"/>
      <sheetName val="기본"/>
      <sheetName val="수주추정"/>
      <sheetName val="흙쌓기도수로설치현황"/>
      <sheetName val="시점교대"/>
      <sheetName val="소보"/>
      <sheetName val="포장면적집계"/>
      <sheetName val="수로BOX"/>
      <sheetName val="신규보류입력"/>
      <sheetName val="POL6차-PIPING"/>
      <sheetName val="토공개요C"/>
      <sheetName val="정공공사"/>
      <sheetName val="안전장치"/>
      <sheetName val="예산명세서"/>
      <sheetName val="Macro2"/>
      <sheetName val="년도별노임표"/>
      <sheetName val="중기목록표"/>
      <sheetName val="건축계약내역"/>
      <sheetName val="대전가오_견출_집계표"/>
      <sheetName val="공사"/>
      <sheetName val="도로"/>
      <sheetName val="노무비단가"/>
      <sheetName val="관급자재대"/>
      <sheetName val="2.토목공사"/>
      <sheetName val="노임,재료비"/>
      <sheetName val="골조시행"/>
      <sheetName val="건물철거"/>
      <sheetName val="기타배수구조물깨기-단위수량"/>
      <sheetName val="초"/>
      <sheetName val="관경별내역서"/>
      <sheetName val="원가&amp;하도급원가"/>
      <sheetName val="설계설명서"/>
      <sheetName val="개별직종노임단가(2003.9)"/>
      <sheetName val="청주(철골발주의뢰서)"/>
      <sheetName val="2-1. 경관조명 내역총괄표"/>
      <sheetName val="각형맨홀"/>
      <sheetName val="pier-1"/>
      <sheetName val="건축내역서"/>
      <sheetName val="설비내역서"/>
      <sheetName val="전기내역서"/>
      <sheetName val="II손익관리"/>
      <sheetName val="기본단가표"/>
      <sheetName val="노임단가 (2)"/>
      <sheetName val="적용기준"/>
      <sheetName val="내역을"/>
      <sheetName val="AS포장복구 "/>
      <sheetName val="문산방향-교대(A2)"/>
      <sheetName val="건축일위"/>
      <sheetName val="그라우팅일위"/>
      <sheetName val="설계변경총괄표(계산식)"/>
      <sheetName val="운임료"/>
      <sheetName val="작업입력"/>
      <sheetName val="2003상반기노임기준"/>
      <sheetName val="날개벽(TYPE2)"/>
      <sheetName val="보도교산출근거"/>
      <sheetName val="토공개요"/>
      <sheetName val="토공(1)"/>
      <sheetName val="공종별자재"/>
      <sheetName val="준공조서"/>
      <sheetName val="공사준공계"/>
      <sheetName val="준공검사보고서"/>
      <sheetName val="투찰"/>
      <sheetName val="L_RPTB02_01"/>
      <sheetName val="A2"/>
      <sheetName val=" 상부공통집계(총괄)"/>
      <sheetName val="방수"/>
      <sheetName val="포장자재집계표"/>
      <sheetName val="EQUIP LIST"/>
      <sheetName val="기본일위"/>
      <sheetName val="중기단가LIST"/>
      <sheetName val="산출기준"/>
      <sheetName val="개별직종노임"/>
      <sheetName val="엔지니어링노임"/>
      <sheetName val="2"/>
      <sheetName val="터파기단면도(보도)"/>
      <sheetName val="격점수량"/>
      <sheetName val="기존건물 깨기원단위"/>
      <sheetName val="시장성초안camera"/>
      <sheetName val="장비종합부표"/>
      <sheetName val="집계표_식재"/>
      <sheetName val="부표"/>
      <sheetName val="기본데이타입력"/>
      <sheetName val="단가산출2"/>
      <sheetName val="HVAC"/>
      <sheetName val="대공종"/>
      <sheetName val="실행내역(10.13)"/>
      <sheetName val="도급"/>
      <sheetName val="1구간FRP수량산출"/>
      <sheetName val="JUCKEYK"/>
      <sheetName val="노.표-조"/>
      <sheetName val="단관데이터"/>
      <sheetName val="이형관데이터"/>
      <sheetName val="가설공사비"/>
      <sheetName val="도로구조공사비"/>
      <sheetName val="도로토공공사비"/>
      <sheetName val="여수토공사비"/>
      <sheetName val="철거현황"/>
      <sheetName val="준공정산"/>
      <sheetName val="2000노임기준"/>
      <sheetName val="노무자도장2"/>
      <sheetName val="목포방향"/>
      <sheetName val="식재"/>
      <sheetName val="시설물"/>
      <sheetName val="식재출력용"/>
      <sheetName val="유지관리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토목공사일반"/>
      <sheetName val="unitpric"/>
      <sheetName val="noyim"/>
      <sheetName val="99노임단가"/>
      <sheetName val="준비공"/>
      <sheetName val="목교수량산출"/>
      <sheetName val="물가단가"/>
      <sheetName val="제표일위대가"/>
      <sheetName val="208-238"/>
      <sheetName val="철근량 산정"/>
      <sheetName val="구분표"/>
      <sheetName val="개거산출내역"/>
      <sheetName val="연동내역"/>
      <sheetName val="슬래브 -연속(3경간)"/>
      <sheetName val="고창방향"/>
      <sheetName val="토공분배표"/>
      <sheetName val="산출3-동력"/>
      <sheetName val="산출4-전등"/>
      <sheetName val="종배수단위_CON기초"/>
      <sheetName val="터널굴착단산"/>
      <sheetName val="총 원가계산"/>
      <sheetName val="위생"/>
      <sheetName val="산출2-전력"/>
      <sheetName val="산출9-TRAY"/>
      <sheetName val="DATE2001"/>
      <sheetName val="사  업  비  수  지  예  산  서"/>
      <sheetName val="배수공수집"/>
      <sheetName val="참여현황 (직원)"/>
      <sheetName val="종형증설공"/>
      <sheetName val="시노501"/>
      <sheetName val="D"/>
      <sheetName val="일위대가_가설_"/>
      <sheetName val="공사설명서"/>
      <sheetName val="PI"/>
      <sheetName val="간접"/>
      <sheetName val="원가계산하도"/>
      <sheetName val="설내역서 "/>
      <sheetName val="현장소운반"/>
      <sheetName val="관구보호몰탈"/>
      <sheetName val="청 구"/>
      <sheetName val="설계산출기초"/>
      <sheetName val="전기단가조사서"/>
      <sheetName val="토목(용인)"/>
      <sheetName val="도기류"/>
      <sheetName val="남양내역"/>
      <sheetName val="원가서"/>
      <sheetName val="출장내역"/>
      <sheetName val="연결임시"/>
      <sheetName val="11.1 단면hwp"/>
      <sheetName val="흙막이 개산견적"/>
      <sheetName val="GI-LIST"/>
      <sheetName val="음성방향"/>
      <sheetName val="산출기준자료"/>
      <sheetName val="구역화물"/>
      <sheetName val="단위목록"/>
      <sheetName val="직접경비"/>
      <sheetName val="평내중"/>
      <sheetName val="차선도색-연장,수량(1)"/>
      <sheetName val="하도급 검토"/>
      <sheetName val="3.하중계산"/>
      <sheetName val="내역(신례)"/>
      <sheetName val="호프"/>
      <sheetName val="재료비단가"/>
      <sheetName val="탄성1"/>
      <sheetName val="산수배수"/>
      <sheetName val="(당평)자재"/>
      <sheetName val="당초명세(평)"/>
      <sheetName val="A-8 PD(도로중앙)"/>
      <sheetName val="보도포장연장조서-표준차도부"/>
      <sheetName val="표준차도부연장조서-ASP"/>
      <sheetName val="감액총괄표"/>
      <sheetName val="설계가"/>
      <sheetName val="단가조정표"/>
      <sheetName val="배수공 주요자재 집계표"/>
      <sheetName val="실행간접비용"/>
      <sheetName val="옹벽공 수량집계표"/>
      <sheetName val="순공사비"/>
      <sheetName val="앵커구조계산"/>
      <sheetName val="관접합및부설"/>
      <sheetName val="사통"/>
      <sheetName val="내역_FILE"/>
      <sheetName val="계림(함평)"/>
      <sheetName val="계림(장성)"/>
      <sheetName val="인원투입"/>
      <sheetName val="포장공자재집계표"/>
      <sheetName val="슬래브수량"/>
      <sheetName val="일위대가(1)"/>
      <sheetName val="구조물공집계"/>
      <sheetName val="상행-교대(A1-A2)"/>
      <sheetName val="부표총괄"/>
      <sheetName val="VII-2현장경비"/>
      <sheetName val="Ⅴ-2.공종별내역"/>
      <sheetName val="출력X"/>
      <sheetName val="06 일위대가목록"/>
      <sheetName val="옹벽수량집계"/>
      <sheetName val="4.내진설계"/>
      <sheetName val=" ｹ-ﾌﾞﾙ"/>
      <sheetName val="공사비"/>
      <sheetName val="연도손익"/>
      <sheetName val="회수금"/>
      <sheetName val="대체용지"/>
      <sheetName val="건자이자"/>
      <sheetName val="내부매출원가"/>
      <sheetName val="지구 리스트"/>
      <sheetName val="용지비"/>
      <sheetName val="총괄서"/>
      <sheetName val="용역단가"/>
      <sheetName val="효성CB 1P기초"/>
      <sheetName val="조견표"/>
      <sheetName val="공용(현대건설공구)"/>
      <sheetName val="현대건설공구(UNIT)"/>
      <sheetName val="상호참고자료"/>
      <sheetName val="발주처자료입력"/>
      <sheetName val="회사기본자료"/>
      <sheetName val="하자보증자료"/>
      <sheetName val="기술자관련자료"/>
      <sheetName val="시점경사로"/>
      <sheetName val="9_정착구_보강"/>
      <sheetName val="단가_(2)"/>
      <sheetName val="1차_내역서"/>
      <sheetName val="배관배선_단가조사"/>
      <sheetName val="환경기계공정표_(3)"/>
      <sheetName val="BSD_(2)"/>
      <sheetName val="배수공_시멘트_및_골재량_산출"/>
      <sheetName val="96보완계획7_12"/>
      <sheetName val="사__업__비__수__지__예__산__서"/>
      <sheetName val="1차"/>
      <sheetName val="1.CB"/>
      <sheetName val="변수"/>
      <sheetName val="교사기준면적(중)"/>
      <sheetName val="반포2차"/>
      <sheetName val="첨"/>
      <sheetName val="낙석방지수량"/>
      <sheetName val="1차설계변경내역"/>
      <sheetName val="시화점실행"/>
      <sheetName val="전 기"/>
      <sheetName val="설계내역"/>
      <sheetName val="해외(원화)"/>
      <sheetName val="토목공사"/>
      <sheetName val="포장공수량집계표"/>
      <sheetName val="사유서제출현황-2"/>
      <sheetName val="콘크리트타설집계표"/>
      <sheetName val="제경비율"/>
      <sheetName val="공사명입력"/>
      <sheetName val="근로자자료입력"/>
      <sheetName val="참고자료"/>
      <sheetName val="단"/>
      <sheetName val="원유_BANK"/>
      <sheetName val="공사분석"/>
      <sheetName val="GR"/>
      <sheetName val="폐기물"/>
      <sheetName val="공사품의서"/>
      <sheetName val="45,46"/>
      <sheetName val="부대tu"/>
      <sheetName val="HRSG SMALL07220"/>
      <sheetName val="수질정화시설"/>
      <sheetName val="ELECTRIC"/>
      <sheetName val="자재"/>
      <sheetName val="공비현2"/>
      <sheetName val="도급내역"/>
      <sheetName val="물집"/>
      <sheetName val="도급금액"/>
      <sheetName val="재노경"/>
      <sheetName val="집수A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중요"/>
      <sheetName val="총내역서"/>
      <sheetName val="수량산출서-2"/>
      <sheetName val="인부노임"/>
      <sheetName val="4.2.1 마루높이 검토"/>
      <sheetName val="List"/>
      <sheetName val="단가산출서(기계)"/>
      <sheetName val="배관단가조사서"/>
      <sheetName val="참고사항"/>
      <sheetName val="설계명세서(종합)"/>
      <sheetName val="소요자재"/>
      <sheetName val="노무산출서"/>
      <sheetName val="특별교실"/>
      <sheetName val="낙찰표"/>
      <sheetName val="단 box"/>
      <sheetName val="기계"/>
      <sheetName val="sub"/>
      <sheetName val="내역전기"/>
      <sheetName val="중강당 내역"/>
      <sheetName val="단가조건(02년)"/>
      <sheetName val="05-원가계산"/>
      <sheetName val="골재집계"/>
      <sheetName val="-레미콘집계"/>
      <sheetName val="자갈,시멘트,모래산출"/>
      <sheetName val="-철근집계"/>
      <sheetName val="포장재료(1)"/>
      <sheetName val="-흄관집계"/>
      <sheetName val="안전시설"/>
      <sheetName val="세금자료"/>
      <sheetName val="가열로SW"/>
      <sheetName val="청_구"/>
      <sheetName val="1_수인터널"/>
      <sheetName val="상_부"/>
      <sheetName val="공사비_증감_내역서"/>
      <sheetName val="Sheet2_(2)"/>
      <sheetName val="Customer_Databas"/>
      <sheetName val="PROJECT_BRIEF(EX_NEW)"/>
      <sheetName val="Site_Expenses"/>
      <sheetName val="기존포장깨기"/>
      <sheetName val="석축헐기"/>
      <sheetName val="sst,stl창호"/>
      <sheetName val="ETC"/>
      <sheetName val="A4"/>
      <sheetName val="연속벽현황"/>
      <sheetName val="산근(1)"/>
      <sheetName val="2_단면가정"/>
      <sheetName val="맨홀수량산출(A-LINE)"/>
      <sheetName val="03전반노무비"/>
      <sheetName val="08-공사비총괄표"/>
      <sheetName val="01-적용기준"/>
      <sheetName val="지장물 철거 물량 산출서"/>
      <sheetName val="민감도"/>
      <sheetName val="달서천-대비"/>
      <sheetName val="소방"/>
      <sheetName val="공통비(전체)"/>
      <sheetName val="노면및방향"/>
      <sheetName val="A4288"/>
      <sheetName val="포장공수량집계"/>
      <sheetName val="일위_파일"/>
      <sheetName val="P4-C"/>
      <sheetName val="J형측구단위수량"/>
      <sheetName val="설-원가"/>
      <sheetName val="일위대가-1"/>
      <sheetName val="협력업체"/>
      <sheetName val="지급(1)"/>
      <sheetName val="산출내역(K2)"/>
      <sheetName val="이음개소"/>
      <sheetName val="견적대비표"/>
      <sheetName val="기계경비및산출근거서"/>
      <sheetName val="집행안"/>
      <sheetName val="7-2"/>
      <sheetName val="중기손료집계(1209)"/>
      <sheetName val="가계부"/>
      <sheetName val="제품목록"/>
      <sheetName val="매입매출관리"/>
      <sheetName val="골막이(야매)"/>
      <sheetName val="말뚝기초(안정검토)-외측"/>
      <sheetName val="기흥하도용"/>
      <sheetName val="가격조사서"/>
      <sheetName val="암거"/>
      <sheetName val="총괄-1"/>
      <sheetName val="암거 제원표-1단계"/>
      <sheetName val="분뇨"/>
      <sheetName val="상-교대(A1-A2)"/>
      <sheetName val="집기손료"/>
      <sheetName val="WING3"/>
      <sheetName val="수요개발과판매량"/>
      <sheetName val="지질조사"/>
      <sheetName val="소도3교"/>
      <sheetName val="2.건축"/>
      <sheetName val="연돌일위집계"/>
      <sheetName val="여과지동"/>
      <sheetName val="교량"/>
      <sheetName val="제잡비"/>
      <sheetName val="문학간접"/>
      <sheetName val="보증수수료산출"/>
      <sheetName val="건축기계설비표선정수장"/>
      <sheetName val="지점별강우량"/>
      <sheetName val="절대지우지말것"/>
      <sheetName val="도장수량"/>
      <sheetName val="내역서(우)"/>
      <sheetName val="설계서(갑지)"/>
      <sheetName val="D200"/>
      <sheetName val="INTRO.(X)"/>
      <sheetName val="laroux"/>
      <sheetName val="H-P규격"/>
      <sheetName val="S-P규격"/>
      <sheetName val="H-P＋토류판 수량산출"/>
      <sheetName val="S-P수량산출"/>
      <sheetName val="H-P수량집계"/>
      <sheetName val="총괄H-P수량집계 "/>
      <sheetName val="S-P수량집계"/>
      <sheetName val="총괄S-P수량집계"/>
      <sheetName val="평균h"/>
      <sheetName val="지반개량"/>
      <sheetName val="Cover (x)"/>
      <sheetName val="SORT"/>
      <sheetName val="Cor Apt"/>
      <sheetName val="DTCT"/>
      <sheetName val="2.1 受電設備棟"/>
      <sheetName val="2.2 受・防火水槽"/>
      <sheetName val="2.3 排水処理設備棟"/>
      <sheetName val="2.4 倉庫棟"/>
      <sheetName val="2.5 守衛棟"/>
      <sheetName val="daf-3(OK)"/>
      <sheetName val="daf-7(OK)"/>
      <sheetName val="Cash Flow"/>
      <sheetName val="Yield"/>
      <sheetName val="CPBTXM-THUONG"/>
      <sheetName val="Xunit (단위환산)"/>
      <sheetName val="고객사 관리 코드"/>
      <sheetName val="연부97-1"/>
      <sheetName val="울산자동제어"/>
      <sheetName val="Xunit_(단위환산)"/>
      <sheetName val="고객사_관리_코드"/>
      <sheetName val="인상효1"/>
      <sheetName val="HE SO DIEU CHINH"/>
      <sheetName val="VCV-BE-TONG"/>
      <sheetName val="6PILE__(돌출)3"/>
      <sheetName val="내역서_3"/>
      <sheetName val="1_설계조건3"/>
      <sheetName val="2_2_S-Curve2"/>
      <sheetName val="RAB_AR&amp;STR1"/>
      <sheetName val="8_PILE__(돌출)2"/>
      <sheetName val="Chiet_tinh_dz351"/>
      <sheetName val="TABLE_DB1"/>
      <sheetName val="쌍용_data_base1"/>
      <sheetName val="플랜트_설치2"/>
      <sheetName val="단면_(2)2"/>
      <sheetName val="code_HTT_Thap1"/>
      <sheetName val="4-Lane_bridge1"/>
      <sheetName val="dongia_(2)1"/>
      <sheetName val="t-h_HA_THE"/>
      <sheetName val="THPDMoi__(2)"/>
      <sheetName val="DON_GIA"/>
      <sheetName val="CHITIET_VL-NC-TT_-1p"/>
      <sheetName val="TONG_HOP_VL-NC_TT"/>
      <sheetName val="TH_XL"/>
      <sheetName val="CHITIET_VL-NC-TT-3p"/>
      <sheetName val="KPVC-BD_"/>
      <sheetName val="CHITIET_VL-NC"/>
      <sheetName val="B3A_-_TOWER_A"/>
      <sheetName val="D&amp;W_def_1"/>
      <sheetName val="돌담교_상부수량3"/>
      <sheetName val="8_석축단위(H=1_5M)2"/>
      <sheetName val="3BL공동구_수량3"/>
      <sheetName val="준검_내역서2"/>
      <sheetName val="3_공통공사대비2"/>
      <sheetName val="방배동내역_(총괄)2"/>
      <sheetName val="설명서_2"/>
      <sheetName val="COMPARISON_TABLE2"/>
      <sheetName val="crude_SLAB_RE-bar2"/>
      <sheetName val="CRUDE_RE-bar2"/>
      <sheetName val="1_설계기준2"/>
      <sheetName val="신규_수주분(사용자_정의)2"/>
      <sheetName val="1_2_1_마루높이결정2"/>
      <sheetName val="3_하중산정4_지지력2"/>
      <sheetName val="표지_(2)2"/>
      <sheetName val="2_입력sheet2"/>
      <sheetName val="DATA_입력란2"/>
      <sheetName val="1_우편집중내역서2"/>
      <sheetName val="Pier_32"/>
      <sheetName val="2_가정단면2"/>
      <sheetName val="7_PILE__(돌출)2"/>
      <sheetName val="plan&amp;section_of_foundation2"/>
      <sheetName val="pile_bearing_capa_&amp;_arrenge2"/>
      <sheetName val="design_load2"/>
      <sheetName val="working_load_at_the_btm_ft_2"/>
      <sheetName val="stability_check2"/>
      <sheetName val="design_criteria2"/>
      <sheetName val="Thuc_thanh1"/>
      <sheetName val="(3_품질관리_시험_총괄표)2"/>
      <sheetName val="PAD_TR보호대기초2"/>
      <sheetName val="Civil__Sub-Station_11"/>
      <sheetName val="Coax_Designer"/>
      <sheetName val="MAIN_GATE_HOUSE"/>
      <sheetName val="Gia_VL,NC,M"/>
      <sheetName val="Phan_chung"/>
      <sheetName val="Tom_tat_gia_du_thau"/>
      <sheetName val="Bảng_Phân_Tích_Chi_Phí"/>
      <sheetName val="실행내역서_1"/>
      <sheetName val="Tien_do_TV"/>
      <sheetName val="CP_Du_phong"/>
      <sheetName val="THCP_Lap_dat"/>
      <sheetName val="THCP_xay_dung"/>
      <sheetName val="Tong_hop_kinh_phi"/>
      <sheetName val="Bảng_KLHT"/>
      <sheetName val="RC_WORK"/>
      <sheetName val="배수내역_(2)"/>
      <sheetName val="Bao_cao_hao_hut_VT-TR"/>
      <sheetName val="¥_"/>
      <sheetName val="DTTC_CHI_TIET"/>
      <sheetName val="Du_toan"/>
      <sheetName val="MTO_REV_2(ARMOR)"/>
      <sheetName val="TEN_CONG_TRINH"/>
      <sheetName val="건축내역서_(경제상무실)"/>
      <sheetName val="내역서1999_8최종"/>
      <sheetName val="1000_DB구축_부표"/>
      <sheetName val="Cash_Flow_bulanan"/>
      <sheetName val="Currency_Rate"/>
      <sheetName val="MU"/>
      <sheetName val="tra VL"/>
      <sheetName val="8.3해석단면 선정"/>
      <sheetName val="관보호공단위수량"/>
      <sheetName val="관경결정"/>
      <sheetName val="KLDT DIEN"/>
      <sheetName val="PTVT DIEN"/>
      <sheetName val="t-h_HA_THE1"/>
      <sheetName val="THPDMoi__(2)1"/>
      <sheetName val="DON_GIA1"/>
      <sheetName val="CHITIET_VL-NC-TT_-1p1"/>
      <sheetName val="TONG_HOP_VL-NC_TT1"/>
      <sheetName val="TH_XL1"/>
      <sheetName val="CHITIET_VL-NC-TT-3p1"/>
      <sheetName val="KPVC-BD_1"/>
      <sheetName val="CHITIET_VL-NC1"/>
      <sheetName val="B3A_-_TOWER_A1"/>
      <sheetName val="Coax_Designer1"/>
      <sheetName val="MAIN_GATE_HOUSE1"/>
      <sheetName val="Bảng_Phân_Tích_Chi_Phí1"/>
      <sheetName val="tong_du_toan1"/>
      <sheetName val="Gia_VL,NC,M1"/>
      <sheetName val="Phan_chung1"/>
      <sheetName val="Tom_tat_gia_du_thau1"/>
      <sheetName val="Tien_do_TV1"/>
      <sheetName val="CP_Du_phong1"/>
      <sheetName val="THCP_Lap_dat1"/>
      <sheetName val="THCP_xay_dung1"/>
      <sheetName val="Tong_hop_kinh_phi1"/>
      <sheetName val="Bảng_mã_VT1"/>
      <sheetName val="Bao_cao_hao_hut_VT-TR1"/>
      <sheetName val="Lookups"/>
      <sheetName val="Add cost08"/>
      <sheetName val="SumBricks08"/>
      <sheetName val="SCOPE OF WORK"/>
      <sheetName val="Gia"/>
      <sheetName val="PH 5"/>
      <sheetName val="Dầm -4.7m"/>
      <sheetName val="Phu cap"/>
      <sheetName val="CE(E)"/>
      <sheetName val="CE(M)"/>
      <sheetName val="Project Data"/>
      <sheetName val="수정시산표"/>
      <sheetName val="FD"/>
      <sheetName val="GI"/>
      <sheetName val="EE (3)"/>
      <sheetName val="PAVEMENT"/>
      <sheetName val="TRAFFIC"/>
      <sheetName val="NOTE"/>
      <sheetName val="Cấu tạo giá"/>
      <sheetName val="KUNGDEVI"/>
      <sheetName val="마감사양"/>
      <sheetName val="DFA"/>
      <sheetName val="StaffList-OLD"/>
      <sheetName val="Budget Code"/>
      <sheetName val="TinhGiaNC"/>
      <sheetName val="Thiet Bi"/>
      <sheetName val="VCBo"/>
      <sheetName val="Phan tich"/>
      <sheetName val="TH Vat tu"/>
      <sheetName val="TH Kinh phi"/>
      <sheetName val="BocXep"/>
      <sheetName val="TinhGiaMTC"/>
      <sheetName val="TH MTC"/>
      <sheetName val="TH N.Cong"/>
      <sheetName val="Bang KL"/>
      <sheetName val="VCThuy"/>
      <sheetName val="Cover page"/>
      <sheetName val="Inputs_Sens"/>
      <sheetName val="IS_Sum_CM"/>
      <sheetName val="Daf 1"/>
      <sheetName val="TOWER 12TON"/>
      <sheetName val="JIB CRANE,HOIST"/>
      <sheetName val="TOWER 10TON"/>
      <sheetName val="백암비스타내역"/>
      <sheetName val="조도계산서 (도서)"/>
      <sheetName val="남양시작동자105노65기1.3화1.2"/>
      <sheetName val="工程量计算书"/>
      <sheetName val="카니발(자105노60)"/>
      <sheetName val="TRE TABLE"/>
      <sheetName val="FAB"/>
      <sheetName val="Data&amp;Result"/>
      <sheetName val="삼홍테크"/>
      <sheetName val="2BOX본체"/>
      <sheetName val="Alat"/>
      <sheetName val="Analisa Gabungan"/>
      <sheetName val="bar"/>
      <sheetName val="table1"/>
      <sheetName val="SGC RATE"/>
      <sheetName val="KINH PHI TONG HOP"/>
      <sheetName val="Dinh muc CP KTCB khac"/>
      <sheetName val="TEN HANG MUC "/>
      <sheetName val="Cash2"/>
      <sheetName val="콘크리트측구연장"/>
      <sheetName val="SLAB"/>
      <sheetName val="2000_x0000__x0000__x0005__x0000_"/>
      <sheetName val="작성"/>
      <sheetName val="안정성검토"/>
      <sheetName val="정화조"/>
      <sheetName val="견적및기타"/>
      <sheetName val="단가산출목록"/>
      <sheetName val="Bang gia"/>
      <sheetName val="HRG BHN"/>
      <sheetName val="조선용암면"/>
      <sheetName val="BAOCHE A"/>
      <sheetName val="Takeoff"/>
      <sheetName val="負荷集計（断熱不燃）"/>
      <sheetName val="Đơn Giá "/>
      <sheetName val="Para"/>
      <sheetName val="Duc_bk"/>
      <sheetName val="전체 내역서(통합)"/>
      <sheetName val="ESTI."/>
      <sheetName val="학생내역"/>
      <sheetName val="入力作成表"/>
      <sheetName val="Ma TP"/>
      <sheetName val="2_1_受電設備棟"/>
      <sheetName val="2_2_受・防火水槽"/>
      <sheetName val="2_3_排水処理設備棟"/>
      <sheetName val="2_4_倉庫棟"/>
      <sheetName val="2_5_守衛棟"/>
      <sheetName val="Xunit_(단위환산)1"/>
      <sheetName val="고객사_관리_코드1"/>
      <sheetName val="SCOPE_OF_WORK"/>
      <sheetName val="Dầm_-4_7m"/>
      <sheetName val="PH_5"/>
      <sheetName val="ESTI_"/>
      <sheetName val="Internal Finish"/>
      <sheetName val="Bill2-Sum-A"/>
      <sheetName val="Bill4-Sum-A"/>
      <sheetName val="Bill5-Sum-A"/>
      <sheetName val="EARTH WORKS"/>
      <sheetName val="Level_2"/>
      <sheetName val="Cst_Pkg-Eden"/>
      <sheetName val="Define_finishing"/>
      <sheetName val="Tiến_độ__Rev1_(phói_hợp)"/>
      <sheetName val="Chi_tiết_cấu_tạo_giá_(2)"/>
      <sheetName val="SUMMARY-HT_Thô"/>
      <sheetName val="02_PHAT_SINH_TANG"/>
      <sheetName val="Unit_price"/>
      <sheetName val="TONG_HOP_XIN_GIA"/>
      <sheetName val="1_R18_BF"/>
      <sheetName val="6_External_works-R18"/>
      <sheetName val="bill_3_-_D_Wall"/>
      <sheetName val="KHOI_LUONG15-4"/>
      <sheetName val="Tro_giup"/>
      <sheetName val="Villa_A"/>
      <sheetName val="Div26_-_Elect"/>
      <sheetName val="Xuly_Data"/>
      <sheetName val="CSVC_LD"/>
      <sheetName val="dtct_cong"/>
      <sheetName val="Buy_vs__Lease_Car"/>
      <sheetName val="tra_VL"/>
      <sheetName val="8_3해석단면_선정"/>
      <sheetName val="Ⅴ-2_공종별내역"/>
      <sheetName val="Bill No.01"/>
      <sheetName val="Breakdown (B)"/>
      <sheetName val="THVT"/>
      <sheetName val="현장별"/>
      <sheetName val="IBASE"/>
      <sheetName val="NKC6"/>
      <sheetName val="DeluxeVilla 4"/>
      <sheetName val="Index"/>
      <sheetName val="공사원가 (3)"/>
      <sheetName val="내역서-2"/>
      <sheetName val="업무처리전"/>
      <sheetName val="Summary - Budget"/>
      <sheetName val="Khoi luong"/>
      <sheetName val="BQ-E20-02(Rp)"/>
      <sheetName val="PTdam"/>
      <sheetName val="기계내역서"/>
      <sheetName val="Drop Down"/>
      <sheetName val="Project, methods &amp; costs"/>
      <sheetName val="Ind. costs. &amp; Closing"/>
      <sheetName val="Main risks"/>
      <sheetName val="Item-DATA"/>
      <sheetName val="NSA fr Revit"/>
      <sheetName val="Main_Mech"/>
      <sheetName val="Sub_Mech"/>
      <sheetName val="LEGEND"/>
      <sheetName val="Markup"/>
      <sheetName val="EFR30696"/>
      <sheetName val="PHG"/>
      <sheetName val="HỆ SỐ"/>
      <sheetName val="설산1.나"/>
      <sheetName val="본사S"/>
      <sheetName val="7. 교좌받침부검토(연속교)"/>
      <sheetName val="공사원가"/>
      <sheetName val="당초토량산출서"/>
      <sheetName val="변경토량산출서"/>
      <sheetName val="봉양~조차장간고하개명(신설)"/>
      <sheetName val="맨홀토_x0000__x0000__x0005_"/>
      <sheetName val="2. 2공구"/>
      <sheetName val="배수관공"/>
      <sheetName val="동원(3)"/>
      <sheetName val="P.M 별"/>
      <sheetName val="공조"/>
      <sheetName val="토공(우물통,기타)_2"/>
      <sheetName val="별표_2"/>
      <sheetName val="_냉각수펌프1"/>
      <sheetName val="11_자재단가1"/>
      <sheetName val="Sheet1_(2)2"/>
      <sheetName val="단면__2_1"/>
      <sheetName val="Dike_for_49T03_&amp;_49T041"/>
      <sheetName val="Dike_for_49T02,_05~07,_19_(1)1"/>
      <sheetName val="BOX(1_5X1_5)2"/>
      <sheetName val="표__지2"/>
      <sheetName val="2011_(4)1"/>
      <sheetName val="ITB_COST1"/>
      <sheetName val="공정별_수량산출서1"/>
      <sheetName val="자재_및_폐기물견적(2008)1"/>
      <sheetName val="전선_및_전선관1"/>
      <sheetName val="1__설계조건_2_단면가정_3__하중계산1"/>
      <sheetName val="ENE-CAL_11"/>
      <sheetName val="1062-X방향_1"/>
      <sheetName val="수량산출서_갑지1"/>
      <sheetName val="cable_data11"/>
      <sheetName val="설계기준_및_하중계산1"/>
      <sheetName val="전차선로_물량표1"/>
      <sheetName val="역T형(H=6_0)_(2)1"/>
      <sheetName val="각사별공사비분개_1"/>
      <sheetName val="화단_철거1"/>
      <sheetName val="단가_및_재료비1"/>
      <sheetName val="CONSTRUCTION_COMPONENT1"/>
      <sheetName val="1호-아(오)0_41"/>
      <sheetName val="추정공사비_산출내역1_xlsx1"/>
      <sheetName val="견적대비_견적서1"/>
      <sheetName val="CABLE_SIZE-31"/>
      <sheetName val="자재_집계표1"/>
      <sheetName val="접속_SLAB,BRACKET_설계1"/>
      <sheetName val="IMPEADENCE_MAP_취수장1"/>
      <sheetName val="2__공원조도1"/>
      <sheetName val="wk_prgs1"/>
      <sheetName val="일위대가_호표_(계약)1"/>
      <sheetName val="현장별계약현황('98_10_31)"/>
      <sheetName val="중간간지_(2)"/>
      <sheetName val="빌딩_안내1"/>
      <sheetName val="내역서_제출"/>
      <sheetName val="97년_추정"/>
      <sheetName val="내역_ver1_0"/>
      <sheetName val="단양_00_아파트-세부내역"/>
      <sheetName val="RAMP_단면(R2)"/>
      <sheetName val="토목내역서_(도급단가)"/>
      <sheetName val="목차_"/>
      <sheetName val="4_2유효폭의_계산"/>
      <sheetName val="세골재__T2_변경_현황"/>
      <sheetName val="0_단가"/>
      <sheetName val="토공_total"/>
      <sheetName val="3련_BOX"/>
      <sheetName val="4__주형설계"/>
      <sheetName val="노무비_근거"/>
      <sheetName val="_총괄표"/>
      <sheetName val="바닥판의_설계"/>
      <sheetName val="암거_제원표"/>
      <sheetName val="2_단면가정_"/>
      <sheetName val="DI_전처리_단가집(GP1_실적가)"/>
      <sheetName val="PAINT_(2)"/>
      <sheetName val="자재(원원+원대)"/>
      <sheetName val="PROCURE"/>
      <sheetName val="MATRLDATA"/>
      <sheetName val="Matls"/>
      <sheetName val="Labor"/>
      <sheetName val="DTICH_OLD"/>
      <sheetName val="07.HT PODIUM"/>
      <sheetName val="04.KC HAM"/>
      <sheetName val="05.KC THAN_OK"/>
      <sheetName val="08.HT CANHO_OK"/>
      <sheetName val="DMVT"/>
      <sheetName val="Loose"/>
      <sheetName val="Table"/>
      <sheetName val="Actual data"/>
      <sheetName val="4.경비 5.영업외수지"/>
      <sheetName val="교대(A1-A2)"/>
      <sheetName val="화해(함평)"/>
      <sheetName val="화해(장성)"/>
      <sheetName val="투찰추정"/>
      <sheetName val="5수지"/>
      <sheetName val="투입비"/>
      <sheetName val="pier(각형)"/>
      <sheetName val="A 견적"/>
      <sheetName val="BJJIN"/>
      <sheetName val="아파트 내역"/>
      <sheetName val="계측제어설비"/>
      <sheetName val="토공정보"/>
      <sheetName val="노임 및 중기단가"/>
      <sheetName val="4차원가계산서"/>
      <sheetName val="Sheet22"/>
      <sheetName val="화전내"/>
      <sheetName val="전기혼잡제경비(45)"/>
      <sheetName val="소방사항"/>
      <sheetName val="앵커설치(590)"/>
      <sheetName val="횡배수관집현황(2공구)"/>
      <sheetName val="쇠(1)"/>
      <sheetName val="가격(3)"/>
      <sheetName val="금호"/>
      <sheetName val="3"/>
      <sheetName val="4"/>
      <sheetName val="6"/>
      <sheetName val="단가목록"/>
      <sheetName val="일위집계표"/>
      <sheetName val="예산"/>
      <sheetName val="자재테이블"/>
      <sheetName val="코스모공장 (어음)"/>
      <sheetName val="적용(기계)"/>
      <sheetName val="1-1평균터파기고(1)"/>
      <sheetName val="공통가설(기준안)"/>
      <sheetName val="가설"/>
      <sheetName val="일람표"/>
      <sheetName val="90.03실행 "/>
      <sheetName val="1차기성"/>
      <sheetName val="어음수표추가테스트"/>
      <sheetName val="품종별월계"/>
      <sheetName val="전신환매도율"/>
      <sheetName val="자재비"/>
      <sheetName val="공정data"/>
      <sheetName val="설계내역2"/>
      <sheetName val="공종단가"/>
      <sheetName val="증감대비"/>
      <sheetName val="본문"/>
      <sheetName val="포집"/>
      <sheetName val="원가계산서 "/>
      <sheetName val="공사비_NDE"/>
      <sheetName val="15-1)VE제안서(유형2,4)"/>
      <sheetName val="개별직종노임단가(2005.1)"/>
      <sheetName val="1공구내역서(1)"/>
      <sheetName val="법면단"/>
      <sheetName val="쌍송교"/>
      <sheetName val="가로등설치"/>
      <sheetName val="노단"/>
      <sheetName val="단산"/>
      <sheetName val="명세"/>
      <sheetName val="일대"/>
      <sheetName val="수토공단위당"/>
      <sheetName val="신축(단위)"/>
      <sheetName val="배수관토공산출"/>
      <sheetName val="비품"/>
      <sheetName val="자재표"/>
      <sheetName val="배지거총재료집계표"/>
      <sheetName val="1.1설계기준"/>
      <sheetName val="inputdata"/>
      <sheetName val="DATA입력"/>
      <sheetName val="토공(본관-토사)"/>
      <sheetName val="토공(분기관-토사)"/>
      <sheetName val="토공(분기관-암)"/>
      <sheetName val="토공(본관-암)"/>
      <sheetName val="값"/>
      <sheetName val="인건비 "/>
      <sheetName val="예정공정표"/>
      <sheetName val="교통대책내역"/>
      <sheetName val="1_CB"/>
      <sheetName val="옹벽공_수량집계표"/>
      <sheetName val="A-8_PD(도로중앙)"/>
      <sheetName val="Flaer_Area"/>
      <sheetName val="설내역서_"/>
      <sheetName val="일위산출"/>
      <sheetName val="입력장소"/>
      <sheetName val="약전설비"/>
      <sheetName val="토공사B동추가"/>
      <sheetName val="난방방식분류"/>
      <sheetName val="공사정보입력"/>
      <sheetName val="보안등"/>
      <sheetName val="단가조사표"/>
      <sheetName val="설계내역서(기계)"/>
      <sheetName val="1.3.1절점좌표"/>
      <sheetName val="6차2회변경내역서"/>
      <sheetName val="제경비최종"/>
      <sheetName val="단가산출서 (2)"/>
      <sheetName val="새공통(96임금인상기준)"/>
      <sheetName val="2.대외공문"/>
      <sheetName val="이름"/>
      <sheetName val="급여표"/>
      <sheetName val="직원투입계획"/>
      <sheetName val="(2)자금(신용)"/>
      <sheetName val="細目"/>
      <sheetName val="지장물헐기조서"/>
      <sheetName val="입출재고현황 (2)"/>
      <sheetName val="형질변경"/>
      <sheetName val="하도급계획"/>
      <sheetName val="관일"/>
      <sheetName val="공사설계"/>
      <sheetName val="심사물량"/>
      <sheetName val="4 공통갑지"/>
      <sheetName val="ESC (공정표기준)"/>
      <sheetName val="중기조종사 단위단가"/>
      <sheetName val="금속및금속창호"/>
      <sheetName val="중단원본"/>
      <sheetName val="업체별담당"/>
      <sheetName val="gyun"/>
      <sheetName val="포장면적산출"/>
      <sheetName val="포장수량집계"/>
      <sheetName val="일위대가 "/>
      <sheetName val="내역- CCTV"/>
      <sheetName val="설비공사(4)"/>
      <sheetName val="사본 _ b_balju"/>
      <sheetName val="36+45-113-18+19+20I"/>
      <sheetName val="대총괄"/>
      <sheetName val="투입비분석표"/>
      <sheetName val="암거단위-1련"/>
      <sheetName val="견적보고"/>
      <sheetName val="DHEQSUPT"/>
      <sheetName val="캔개발배경"/>
      <sheetName val="캔판매목표"/>
      <sheetName val="시장"/>
      <sheetName val="손익"/>
      <sheetName val="일정표"/>
      <sheetName val="마케팅"/>
      <sheetName val="추정손익"/>
      <sheetName val="할당"/>
      <sheetName val="실적"/>
      <sheetName val="제목"/>
      <sheetName val="원가,목표"/>
      <sheetName val="판매"/>
      <sheetName val="판촉"/>
      <sheetName val="협조"/>
      <sheetName val="CONCRETE"/>
      <sheetName val="정의"/>
      <sheetName val="Động cơ"/>
      <sheetName val="L_RPTB16_05"/>
      <sheetName val="중기목록"/>
      <sheetName val="CAP"/>
      <sheetName val="Var."/>
      <sheetName val="R"/>
      <sheetName val="정리"/>
      <sheetName val="dV&amp;Cl"/>
      <sheetName val="name"/>
      <sheetName val="PC, G.Slab"/>
      <sheetName val="CB"/>
      <sheetName val="XZLC004_PART2"/>
      <sheetName val="수량분개내역"/>
      <sheetName val="Tool"/>
      <sheetName val="그림"/>
      <sheetName val="F4-F7"/>
      <sheetName val="율촌법률사무소2내역"/>
      <sheetName val="중기근거"/>
      <sheetName val="특별땅고르기"/>
      <sheetName val="설치조서"/>
      <sheetName val="배수공집계표"/>
      <sheetName val="일위-1"/>
      <sheetName val="소요자재명세서"/>
      <sheetName val="노무비명세서"/>
      <sheetName val="교수설계"/>
      <sheetName val="연결관수량 (2)"/>
      <sheetName val="사다리"/>
      <sheetName val="철집"/>
      <sheetName val="재료할증"/>
      <sheetName val="원가계산서구조조정"/>
      <sheetName val="영창26"/>
      <sheetName val="상수도토공집계표"/>
      <sheetName val="봉방동근생"/>
      <sheetName val="라멘수량"/>
      <sheetName val="부경대총괄내역서"/>
      <sheetName val="주차장(T4)"/>
      <sheetName val="산출근거1"/>
      <sheetName val="40총괄"/>
      <sheetName val="40집계"/>
      <sheetName val="변경내역"/>
      <sheetName val="보도공제면적"/>
      <sheetName val="수습"/>
      <sheetName val="노임,기계경비"/>
      <sheetName val="토공집계(rp)"/>
      <sheetName val="앵커(3안)"/>
      <sheetName val="차압계산"/>
      <sheetName val="1.수량집계"/>
      <sheetName val="AIR SHOWER(3인용)"/>
      <sheetName val="포장공사"/>
      <sheetName val="합계"/>
      <sheetName val="archi(본사)"/>
      <sheetName val="알맹이"/>
      <sheetName val="총공사내역서"/>
      <sheetName val="공사직종별노임"/>
      <sheetName val="48전력선로일위"/>
      <sheetName val="면적산출근거(실측)"/>
      <sheetName val="내역기준"/>
      <sheetName val="유효폭의 계산"/>
      <sheetName val="암거날개벽"/>
      <sheetName val="전기일위목록"/>
      <sheetName val="국도접속 차도부수량"/>
      <sheetName val="입상내역"/>
      <sheetName val="기타 정보통신공사"/>
      <sheetName val="FAB4생산"/>
      <sheetName val="직원자료입력"/>
      <sheetName val="인부신상자료"/>
      <sheetName val="재료단가"/>
      <sheetName val="기존단가 (2)"/>
      <sheetName val="우수공,맨홀,집수정"/>
      <sheetName val="집계표(용역원실배기)"/>
      <sheetName val="실정보사유서"/>
      <sheetName val="원가계산서 과기원"/>
      <sheetName val="0.내역서  갑지"/>
      <sheetName val="1.내역서 "/>
      <sheetName val="2-1.수량산출근거"/>
      <sheetName val="2-2.노무비산출근거"/>
      <sheetName val="3.단가조사표"/>
      <sheetName val="3.단가대비표"/>
      <sheetName val="4.설변사유"/>
      <sheetName val="2-7.인건비산출근거"/>
      <sheetName val="3-1.설변사유"/>
      <sheetName val="3-2.공사비증감"/>
      <sheetName val="3-3.내역서"/>
      <sheetName val="3-4.단가대비표(기존)"/>
      <sheetName val="3-5.단가대비표(신규)"/>
      <sheetName val="3-6.일위대가목록"/>
      <sheetName val="3-7.일위대가"/>
      <sheetName val="3-8.물량산출근거"/>
      <sheetName val="3-9.인건비산출근거"/>
      <sheetName val="고강도 지수판 스리브업체선정"/>
      <sheetName val="업체구매견적서"/>
      <sheetName val="3.단가대비표 "/>
      <sheetName val="3.단가적용현황"/>
      <sheetName val="기성청구서"/>
      <sheetName val="기성검사원"/>
      <sheetName val="노면표시단위수량(안전지대및노상장애물)"/>
      <sheetName val="노면표시단위수량(방향및방면지시)"/>
      <sheetName val="노면표시단위수량(문자및기타기호)"/>
      <sheetName val="노면표시단위수량(차선)"/>
      <sheetName val="노면표시단위수량(횡단보도)"/>
      <sheetName val="계약서"/>
      <sheetName val="수량산출표"/>
      <sheetName val="포장(수량)-관로부"/>
      <sheetName val="공기압축기실"/>
      <sheetName val="도근좌표"/>
      <sheetName val="자재일람"/>
      <sheetName val="환율"/>
      <sheetName val="백호우계수"/>
      <sheetName val="건축원가계산서"/>
      <sheetName val="현장설명"/>
      <sheetName val="환경보전비B"/>
      <sheetName val="가옥철거(지장물조서)"/>
      <sheetName val="종배수관설치현황"/>
      <sheetName val="증감대비표"/>
      <sheetName val="4.하중산정"/>
      <sheetName val="6월 출고 일일보고"/>
      <sheetName val="기성부분 내역집계표-기계공사"/>
      <sheetName val="1호토공"/>
      <sheetName val="1Month+Sheet2!"/>
      <sheetName val="수량분배표"/>
      <sheetName val="DATA 입력부"/>
      <sheetName val="내역서(중수)"/>
      <sheetName val="8설7발"/>
      <sheetName val="BOX 본체"/>
      <sheetName val="제수변 수량집계표(보통)"/>
      <sheetName val="양수장(기계)"/>
      <sheetName val="중간"/>
      <sheetName val="접합수량(피벗)"/>
      <sheetName val="Toolbox"/>
      <sheetName val="신림자금"/>
      <sheetName val="하도급원가계산총괄표(식재)"/>
      <sheetName val="단가파주4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7-1.인건비"/>
      <sheetName val="지하"/>
      <sheetName val="7급줄떼공"/>
      <sheetName val="당정동공통이수"/>
      <sheetName val="당정동경상이수"/>
      <sheetName val="지역"/>
      <sheetName val="CABLE"/>
      <sheetName val="건축공사집계"/>
      <sheetName val="오수공수량집계표"/>
      <sheetName val="B"/>
      <sheetName val="전기내역"/>
      <sheetName val="상부집계표"/>
      <sheetName val="관급"/>
      <sheetName val="초기화면1"/>
      <sheetName val="유별자산배수"/>
      <sheetName val="2.2.2입적표"/>
      <sheetName val="Sheet17"/>
      <sheetName val="단가산출1"/>
      <sheetName val="입력(K0)"/>
      <sheetName val="장비"/>
      <sheetName val="포장집계"/>
      <sheetName val="포장연장"/>
      <sheetName val="견적1"/>
      <sheetName val="지수"/>
      <sheetName val="인제내역"/>
      <sheetName val="1~9 하중계산"/>
      <sheetName val="학습율"/>
      <sheetName val="PL단가산정"/>
      <sheetName val="그림2"/>
      <sheetName val="아파트"/>
      <sheetName val="부대시설"/>
      <sheetName val="대3류 "/>
      <sheetName val="견적갑지"/>
      <sheetName val="물량내역"/>
      <sheetName val="단가(자재)"/>
      <sheetName val="단가(노임)"/>
      <sheetName val="기초목록"/>
      <sheetName val="노임DB"/>
      <sheetName val="1.토공"/>
      <sheetName val="산출3-유도등"/>
      <sheetName val="산출2-동력"/>
      <sheetName val="산출2-피뢰침"/>
      <sheetName val="001"/>
      <sheetName val="2F 회의실견적(5_14 일대)"/>
      <sheetName val="총_구조물공"/>
      <sheetName val="(X)품셈집계"/>
      <sheetName val="대구은행"/>
      <sheetName val="2_토목공사"/>
      <sheetName val="_상부공통집계(총괄)"/>
      <sheetName val="검측감리공제요율"/>
      <sheetName val="시공감리공제요율"/>
      <sheetName val="책임감리공제요율"/>
      <sheetName val="단가비교표"/>
      <sheetName val="건설사업관리 공제요율"/>
      <sheetName val="건설공사 감리원 배치기준"/>
      <sheetName val="책임감리 공제요율"/>
      <sheetName val="01노임적용기준"/>
      <sheetName val="3-구교-오리지날"/>
      <sheetName val="경율산정.XLS"/>
      <sheetName val="GT 1050x650"/>
      <sheetName val="분전반계산서(석관)"/>
      <sheetName val="잡비계산"/>
      <sheetName val="총정리"/>
      <sheetName val="기초수량자료"/>
      <sheetName val="산정표"/>
      <sheetName val="주공 갑지"/>
      <sheetName val="검사원"/>
      <sheetName val="과거자료"/>
      <sheetName val="전등수량산출"/>
      <sheetName val="자재단가_사급"/>
      <sheetName val="중기적산목록"/>
      <sheetName val="내역서(도급)"/>
      <sheetName val="BS2"/>
      <sheetName val="1.견적보고서"/>
      <sheetName val="노임자재단가"/>
      <sheetName val="준공조서갑지"/>
      <sheetName val="시설국장자료"/>
      <sheetName val="설계서(동안동)"/>
      <sheetName val="간이(갑)"/>
      <sheetName val="Bldg Brkdown"/>
      <sheetName val="교대"/>
      <sheetName val="노임단가표"/>
      <sheetName val="가로등"/>
      <sheetName val="공사일위대가"/>
      <sheetName val="5사남"/>
      <sheetName val="15)VE제안서(유형1)"/>
      <sheetName val="12)아이디어 목록 및 개략평가"/>
      <sheetName val="11)VE 예비검토서"/>
      <sheetName val="15-3)VE제안서(가치향상 등)"/>
      <sheetName val="15-2)VE제안서(유형3)"/>
      <sheetName val="단위집계표"/>
      <sheetName val="노임단가(직종번호 순)"/>
      <sheetName val="기초수량산출서"/>
      <sheetName val="대창토공"/>
      <sheetName val="가시설(TYPE-A)"/>
      <sheetName val="포장수량"/>
      <sheetName val="산출서-1"/>
      <sheetName val="산출서-수식"/>
      <sheetName val="상부수량"/>
      <sheetName val="EQUIP_LIST"/>
      <sheetName val="실행내역(10_13)"/>
      <sheetName val="산출집계표"/>
      <sheetName val="참조자료"/>
      <sheetName val="기계경비산출기준"/>
      <sheetName val="기계경비목록"/>
      <sheetName val="건설기계가격1"/>
      <sheetName val="회사기초자료"/>
      <sheetName val="2-1__경관조명_내역총괄표"/>
      <sheetName val="AS포장복구_"/>
      <sheetName val="개별직종노임단가(2003_9)"/>
      <sheetName val="총_원가계산"/>
      <sheetName val="기존건물_깨기원단위"/>
      <sheetName val="철근량_산정"/>
      <sheetName val="슬래브_-연속(3경간)"/>
      <sheetName val="노임단가_(2)"/>
      <sheetName val="참여현황_(직원)"/>
      <sheetName val="노_표-조"/>
      <sheetName val="2F_회의실견적(5_14_일대)"/>
      <sheetName val="대3류_"/>
      <sheetName val="내역-_CCTV"/>
      <sheetName val="건설사업관리_공제요율"/>
      <sheetName val="건설공사_감리원_배치기준"/>
      <sheetName val="책임감리_공제요율"/>
      <sheetName val="1~9_하중계산"/>
      <sheetName val="단가산출서_(2)"/>
      <sheetName val="부대공수량산출"/>
      <sheetName val="공통갑지"/>
      <sheetName val="기성청구조서"/>
      <sheetName val="기초계산(Pmax)"/>
      <sheetName val="수량간지코드"/>
      <sheetName val="수량목차코드"/>
      <sheetName val="1.RAMP-A"/>
      <sheetName val="BOJUNGGM"/>
      <sheetName val="금전출납"/>
      <sheetName val="직영명부"/>
      <sheetName val="방화도료"/>
      <sheetName val="10동"/>
      <sheetName val="한일양산"/>
      <sheetName val="계약내역서"/>
      <sheetName val="계정"/>
      <sheetName val="서울대규장각(가시설흙막이)"/>
      <sheetName val="2.관대집계표"/>
      <sheetName val="수불계획서(전체)"/>
      <sheetName val="형식 - 1-2-3"/>
      <sheetName val="정부노임"/>
      <sheetName val="지수980731이후"/>
      <sheetName val="공정추가"/>
      <sheetName val="일위(PN)"/>
      <sheetName val="203"/>
      <sheetName val="9_정착구_보강1"/>
      <sheetName val="단가_(2)1"/>
      <sheetName val="환경기계공정표_(3)1"/>
      <sheetName val="1차_내역서1"/>
      <sheetName val="BSD_(2)1"/>
      <sheetName val="배관배선_단가조사1"/>
      <sheetName val="옹벽공_수량집계표1"/>
      <sheetName val="배수공_시멘트_및_골재량_산출1"/>
      <sheetName val="96보완계획7_121"/>
      <sheetName val="사__업__비__수__지__예__산__서1"/>
      <sheetName val="11_1_단면hwp"/>
      <sheetName val="Sheet2_(2)1"/>
      <sheetName val="Customer_Databas1"/>
      <sheetName val="상_부1"/>
      <sheetName val="A-8_PD(도로중앙)1"/>
      <sheetName val="청_구1"/>
      <sheetName val="설내역서_1"/>
      <sheetName val="건축내역서_(경제상무실)1"/>
      <sheetName val="1_수인터널1"/>
      <sheetName val="배수공_주요자재_집계표"/>
      <sheetName val="내역서1999_8최종1"/>
      <sheetName val="06_일위대가목록"/>
      <sheetName val="PROJECT_BRIEF(EX_NEW)1"/>
      <sheetName val="Site_Expenses1"/>
      <sheetName val="내역서_(2)"/>
      <sheetName val="전_기"/>
      <sheetName val="공사비_증감_내역서1"/>
      <sheetName val="4_내진설계"/>
      <sheetName val="_ｹ-ﾌﾞﾙ"/>
      <sheetName val="지구_리스트"/>
      <sheetName val="효성CB_1P기초"/>
      <sheetName val="1_CB1"/>
      <sheetName val="Flaer_Area1"/>
      <sheetName val="하도급_검토"/>
      <sheetName val="지장물_철거_물량_산출서"/>
      <sheetName val="4_2_1_마루높이_검토"/>
      <sheetName val="3_하중계산"/>
      <sheetName val="단_box"/>
      <sheetName val="중강당_내역"/>
      <sheetName val="HRSG_SMALL07220"/>
      <sheetName val="아파트_내역"/>
      <sheetName val="노임_및_중기단가"/>
      <sheetName val="2_대외공문"/>
      <sheetName val="인건비_"/>
      <sheetName val="공통자료"/>
      <sheetName val="99노임단_x0007_"/>
      <sheetName val="99노임단쌇"/>
      <sheetName val="documentation"/>
      <sheetName val="IW-LIST"/>
      <sheetName val="5CHBDC"/>
      <sheetName val="노무DB"/>
      <sheetName val="산근(목록)"/>
      <sheetName val="이형관중량"/>
      <sheetName val="터널전기"/>
      <sheetName val="6_단면검토"/>
      <sheetName val="1_폐기물집계표"/>
      <sheetName val="7월천안현장_집계표"/>
      <sheetName val="장비_자재"/>
      <sheetName val="_노무집계"/>
      <sheetName val="RCMinput"/>
      <sheetName val="광통신 견적내역서1"/>
      <sheetName val="투찰(하수)"/>
      <sheetName val="케이블수량재료"/>
      <sheetName val="6PILE__(돌출)4"/>
      <sheetName val="내역서_4"/>
      <sheetName val="1_설계조건4"/>
      <sheetName val="2_2_S-Curve3"/>
      <sheetName val="8_PILE__(돌출)3"/>
      <sheetName val="Chiet_tinh_dz352"/>
      <sheetName val="TABLE_DB2"/>
      <sheetName val="쌍용_data_base2"/>
      <sheetName val="플랜트_설치3"/>
      <sheetName val="단면_(2)3"/>
      <sheetName val="dongia_(2)2"/>
      <sheetName val="t-h_HA_THE2"/>
      <sheetName val="THPDMoi__(2)2"/>
      <sheetName val="DON_GIA2"/>
      <sheetName val="CHITIET_VL-NC-TT_-1p2"/>
      <sheetName val="TONG_HOP_VL-NC_TT2"/>
      <sheetName val="TH_XL2"/>
      <sheetName val="CHITIET_VL-NC-TT-3p2"/>
      <sheetName val="KPVC-BD_2"/>
      <sheetName val="CHITIET_VL-NC2"/>
      <sheetName val="code_HTT_Thap2"/>
      <sheetName val="B3A_-_TOWER_A2"/>
      <sheetName val="RAB_AR&amp;STR2"/>
      <sheetName val="D&amp;W_def_2"/>
      <sheetName val="COMPARISON_TABLE3"/>
      <sheetName val="crude_SLAB_RE-bar3"/>
      <sheetName val="CRUDE_RE-bar3"/>
      <sheetName val="1_설계기준3"/>
      <sheetName val="신규_수주분(사용자_정의)3"/>
      <sheetName val="설명서_3"/>
      <sheetName val="1_2_1_마루높이결정3"/>
      <sheetName val="3_하중산정4_지지력3"/>
      <sheetName val="표지_(2)3"/>
      <sheetName val="3BL공동구_수량4"/>
      <sheetName val="2_입력sheet3"/>
      <sheetName val="DATA_입력란3"/>
      <sheetName val="1_우편집중내역서3"/>
      <sheetName val="Pier_33"/>
      <sheetName val="2_가정단면3"/>
      <sheetName val="7_PILE__(돌출)3"/>
      <sheetName val="plan&amp;section_of_foundation3"/>
      <sheetName val="pile_bearing_capa_&amp;_arrenge3"/>
      <sheetName val="design_load3"/>
      <sheetName val="working_load_at_the_btm_ft_3"/>
      <sheetName val="stability_check3"/>
      <sheetName val="design_criteria3"/>
      <sheetName val="돌담교_상부수량4"/>
      <sheetName val="8_석축단위(H=1_5M)3"/>
      <sheetName val="준검_내역서3"/>
      <sheetName val="3_공통공사대비3"/>
      <sheetName val="방배동내역_(총괄)3"/>
      <sheetName val="MAIN_GATE_HOUSE2"/>
      <sheetName val="4-Lane_bridge2"/>
      <sheetName val="Coax_Designer2"/>
      <sheetName val="tong_du_toan2"/>
      <sheetName val="(3_품질관리_시험_총괄표)3"/>
      <sheetName val="PAD_TR보호대기초3"/>
      <sheetName val="Civil__Sub-Station_12"/>
      <sheetName val="실행내역서_2"/>
      <sheetName val="Thuc_thanh2"/>
      <sheetName val="Bảng_Phân_Tích_Chi_Phí2"/>
      <sheetName val="Gia_VL,NC,M2"/>
      <sheetName val="Phan_chung2"/>
      <sheetName val="Tom_tat_gia_du_thau2"/>
      <sheetName val="Tien_do_TV2"/>
      <sheetName val="CP_Du_phong2"/>
      <sheetName val="THCP_Lap_dat2"/>
      <sheetName val="THCP_xay_dung2"/>
      <sheetName val="Tong_hop_kinh_phi2"/>
      <sheetName val="Bảng_mã_VT2"/>
      <sheetName val="Bảng_KLHT1"/>
      <sheetName val="RC_WORK1"/>
      <sheetName val="배수내역_(2)1"/>
      <sheetName val="Bao_cao_hao_hut_VT-TR2"/>
      <sheetName val="¥_1"/>
      <sheetName val="DTTC_CHI_TIET1"/>
      <sheetName val="Du_toan1"/>
      <sheetName val="MTO_REV_2(ARMOR)1"/>
      <sheetName val="TEN_CONG_TRINH1"/>
      <sheetName val="1000_DB구축_부표1"/>
      <sheetName val="Currency_Rate1"/>
      <sheetName val="Cash_Flow_bulanan1"/>
      <sheetName val="Isolasi_Luar_Dalam"/>
      <sheetName val="Isolasi_Luar"/>
      <sheetName val="Cash_Flow"/>
      <sheetName val="HE_SO_DIEU_CHINH"/>
      <sheetName val="Cover_(x)"/>
      <sheetName val="Cor_Apt"/>
      <sheetName val="Cấu_tạo_giá"/>
      <sheetName val="Cover_page"/>
      <sheetName val="Add_cost08"/>
      <sheetName val="Phu_cap"/>
      <sheetName val="Project_Data"/>
      <sheetName val="EE_(3)"/>
      <sheetName val="KLDT_DIEN"/>
      <sheetName val="PTVT_DIEN"/>
      <sheetName val="Budget_Code"/>
      <sheetName val="Thiet_Bi"/>
      <sheetName val="Phan_tich"/>
      <sheetName val="TH_Vat_tu"/>
      <sheetName val="TH_Kinh_phi"/>
      <sheetName val="TH_MTC"/>
      <sheetName val="TH_N_Cong"/>
      <sheetName val="Bang_KL"/>
      <sheetName val="Daf_1"/>
      <sheetName val="6PILE__(돌출)5"/>
      <sheetName val="내역서_5"/>
      <sheetName val="1_설계조건5"/>
      <sheetName val="2_2_S-Curve4"/>
      <sheetName val="돌담교_상부수량5"/>
      <sheetName val="8_석축단위(H=1_5M)4"/>
      <sheetName val="3BL공동구_수량5"/>
      <sheetName val="준검_내역서4"/>
      <sheetName val="3_공통공사대비4"/>
      <sheetName val="방배동내역_(총괄)4"/>
      <sheetName val="설명서_4"/>
      <sheetName val="플랜트_설치4"/>
      <sheetName val="8_PILE__(돌출)4"/>
      <sheetName val="COMPARISON_TABLE4"/>
      <sheetName val="crude_SLAB_RE-bar4"/>
      <sheetName val="CRUDE_RE-bar4"/>
      <sheetName val="1_설계기준4"/>
      <sheetName val="신규_수주분(사용자_정의)4"/>
      <sheetName val="단면_(2)4"/>
      <sheetName val="1_2_1_마루높이결정4"/>
      <sheetName val="3_하중산정4_지지력4"/>
      <sheetName val="표지_(2)4"/>
      <sheetName val="2_입력sheet4"/>
      <sheetName val="DATA_입력란4"/>
      <sheetName val="1_우편집중내역서4"/>
      <sheetName val="Pier_34"/>
      <sheetName val="2_가정단면4"/>
      <sheetName val="7_PILE__(돌출)4"/>
      <sheetName val="plan&amp;section_of_foundation4"/>
      <sheetName val="pile_bearing_capa_&amp;_arrenge4"/>
      <sheetName val="design_load4"/>
      <sheetName val="working_load_at_the_btm_ft_4"/>
      <sheetName val="stability_check4"/>
      <sheetName val="design_criteria4"/>
      <sheetName val="(3_품질관리_시험_총괄표)4"/>
      <sheetName val="별표_3"/>
      <sheetName val="토공(우물통,기타)_3"/>
      <sheetName val="Chiet_tinh_dz353"/>
      <sheetName val="TABLE_DB3"/>
      <sheetName val="쌍용_data_base3"/>
      <sheetName val="PAD_TR보호대기초4"/>
      <sheetName val="code_HTT_Thap3"/>
      <sheetName val="RAB_AR&amp;STR3"/>
      <sheetName val="dongia_(2)3"/>
      <sheetName val="Civil__Sub-Station_13"/>
      <sheetName val="실행내역서_3"/>
      <sheetName val="Thuc_thanh3"/>
      <sheetName val="D&amp;W_def_3"/>
      <sheetName val="4-Lane_bridge3"/>
      <sheetName val="t-h_HA_THE3"/>
      <sheetName val="THPDMoi__(2)3"/>
      <sheetName val="DON_GIA3"/>
      <sheetName val="CHITIET_VL-NC-TT_-1p3"/>
      <sheetName val="TONG_HOP_VL-NC_TT3"/>
      <sheetName val="TH_XL3"/>
      <sheetName val="CHITIET_VL-NC-TT-3p3"/>
      <sheetName val="KPVC-BD_3"/>
      <sheetName val="CHITIET_VL-NC3"/>
      <sheetName val="B3A_-_TOWER_A3"/>
      <sheetName val="Coax_Designer3"/>
      <sheetName val="MAIN_GATE_HOUSE3"/>
      <sheetName val="_냉각수펌프2"/>
      <sheetName val="1062-X방향_2"/>
      <sheetName val="Sheet1_(2)3"/>
      <sheetName val="BOX(1_5X1_5)3"/>
      <sheetName val="전선_및_전선관2"/>
      <sheetName val="표__지3"/>
      <sheetName val="단면__2_2"/>
      <sheetName val="ENE-CAL_12"/>
      <sheetName val="ITB_COST2"/>
      <sheetName val="2011_(4)2"/>
      <sheetName val="11_자재단가2"/>
      <sheetName val="Dike_for_49T03_&amp;_49T042"/>
      <sheetName val="Dike_for_49T02,_05~07,_19_(1)2"/>
      <sheetName val="설계기준_및_하중계산2"/>
      <sheetName val="역T형(H=6_0)_(2)2"/>
      <sheetName val="1__설계조건_2_단면가정_3__하중계산2"/>
      <sheetName val="단가_및_재료비2"/>
      <sheetName val="각사별공사비분개_2"/>
      <sheetName val="전차선로_물량표2"/>
      <sheetName val="Bảng_KLHT2"/>
      <sheetName val="RC_WORK2"/>
      <sheetName val="배수내역_(2)2"/>
      <sheetName val="tong_du_toan3"/>
      <sheetName val="Bảng_Phân_Tích_Chi_Phí3"/>
      <sheetName val="Tien_do_TV3"/>
      <sheetName val="CP_Du_phong3"/>
      <sheetName val="THCP_Lap_dat3"/>
      <sheetName val="THCP_xay_dung3"/>
      <sheetName val="Tong_hop_kinh_phi3"/>
      <sheetName val="Gia_VL,NC,M3"/>
      <sheetName val="Phan_chung3"/>
      <sheetName val="Tom_tat_gia_du_thau3"/>
      <sheetName val="Bảng_mã_VT3"/>
      <sheetName val="Bao_cao_hao_hut_VT-TR3"/>
      <sheetName val="Currency_Rate2"/>
      <sheetName val="TEN_CONG_TRINH2"/>
      <sheetName val="¥_2"/>
      <sheetName val="DTTC_CHI_TIET2"/>
      <sheetName val="Du_toan2"/>
      <sheetName val="Cash_Flow_bulanan2"/>
      <sheetName val="수량산출서_갑지2"/>
      <sheetName val="CONSTRUCTION_COMPONENT2"/>
      <sheetName val="추정공사비_산출내역1_xlsx2"/>
      <sheetName val="견적대비_견적서2"/>
      <sheetName val="접속_SLAB,BRACKET_설계2"/>
      <sheetName val="공정별_수량산출서2"/>
      <sheetName val="자재_및_폐기물견적(2008)2"/>
      <sheetName val="IMPEADENCE_MAP_취수장2"/>
      <sheetName val="화단_철거2"/>
      <sheetName val="1호-아(오)0_42"/>
      <sheetName val="MTO_REV_2(ARMOR)2"/>
      <sheetName val="Isolasi_Luar_Dalam1"/>
      <sheetName val="Isolasi_Luar1"/>
      <sheetName val="환경기계공정표_(3)2"/>
      <sheetName val="배관배선_단가조사2"/>
      <sheetName val="9_정착구_보강2"/>
      <sheetName val="단가_(2)2"/>
      <sheetName val="96보완계획7_122"/>
      <sheetName val="배수공_시멘트_및_골재량_산출2"/>
      <sheetName val="1차_내역서2"/>
      <sheetName val="1_수인터널2"/>
      <sheetName val="Sheet2_(2)2"/>
      <sheetName val="건축내역서_(경제상무실)2"/>
      <sheetName val="BSD_(2)2"/>
      <sheetName val="내역서1999_8최종2"/>
      <sheetName val="PROJECT_BRIEF(EX_NEW)2"/>
      <sheetName val="Site_Expenses2"/>
      <sheetName val="1000_DB구축_부표2"/>
      <sheetName val="상_부2"/>
      <sheetName val="Cash_Flow1"/>
      <sheetName val="Unit_price1"/>
      <sheetName val="Define_finishing1"/>
      <sheetName val="Tiến_độ__Rev1_(phói_hợp)1"/>
      <sheetName val="Level_21"/>
      <sheetName val="Cst_Pkg-Eden1"/>
      <sheetName val="Chi_tiết_cấu_tạo_giá_(2)1"/>
      <sheetName val="SUMMARY-HT_Thô1"/>
      <sheetName val="02_PHAT_SINH_TANG1"/>
      <sheetName val="TONG_HOP_XIN_GIA1"/>
      <sheetName val="1_R18_BF1"/>
      <sheetName val="6_External_works-R181"/>
      <sheetName val="bill_3_-_D_Wall1"/>
      <sheetName val="KHOI_LUONG15-41"/>
      <sheetName val="Tro_giup1"/>
      <sheetName val="Villa_A1"/>
      <sheetName val="Div26_-_Elect1"/>
      <sheetName val="Xuly_Data1"/>
      <sheetName val="CSVC_LD1"/>
      <sheetName val="HE_SO_DIEU_CHINH1"/>
      <sheetName val="dtct_cong1"/>
      <sheetName val="Buy_vs__Lease_Car1"/>
      <sheetName val="2_1_受電設備棟1"/>
      <sheetName val="2_2_受・防火水槽1"/>
      <sheetName val="2_3_排水処理設備棟1"/>
      <sheetName val="2_4_倉庫棟1"/>
      <sheetName val="2_5_守衛棟1"/>
      <sheetName val="cable_data12"/>
      <sheetName val="CABLE_SIZE-32"/>
      <sheetName val="wk_prgs2"/>
      <sheetName val="현장별계약현황('98_10_31)1"/>
      <sheetName val="일위대가_호표_(계약)2"/>
      <sheetName val="내역서_제출1"/>
      <sheetName val="97년_추정1"/>
      <sheetName val="내역_ver1_01"/>
      <sheetName val="단양_00_아파트-세부내역1"/>
      <sheetName val="RAMP_단면(R2)1"/>
      <sheetName val="토목내역서_(도급단가)1"/>
      <sheetName val="목차_1"/>
      <sheetName val="4_2유효폭의_계산1"/>
      <sheetName val="세골재__T2_변경_현황1"/>
      <sheetName val="0_단가1"/>
      <sheetName val="토공_total1"/>
      <sheetName val="3련_BOX1"/>
      <sheetName val="4__주형설계1"/>
      <sheetName val="2_단면가정1"/>
      <sheetName val="노무비_근거1"/>
      <sheetName val="_총괄표1"/>
      <sheetName val="바닥판의_설계1"/>
      <sheetName val="Cover_(x)1"/>
      <sheetName val="Cor_Apt1"/>
      <sheetName val="Cấu_tạo_giá1"/>
      <sheetName val="Cover_page1"/>
      <sheetName val="tra_VL1"/>
      <sheetName val="8_3해석단면_선정1"/>
      <sheetName val="Ⅴ-2_공종별내역1"/>
      <sheetName val="Add_cost081"/>
      <sheetName val="SCOPE_OF_WORK1"/>
      <sheetName val="Xunit_(단위환산)2"/>
      <sheetName val="고객사_관리_코드2"/>
      <sheetName val="PH_51"/>
      <sheetName val="Dầm_-4_7m1"/>
      <sheetName val="Phu_cap1"/>
      <sheetName val="Project_Data1"/>
      <sheetName val="EE_(3)1"/>
      <sheetName val="중간간지_(2)1"/>
      <sheetName val="6_단면검토1"/>
      <sheetName val="암거_제원표1"/>
      <sheetName val="2_단면가정_1"/>
      <sheetName val="7월천안현장_집계표1"/>
      <sheetName val="장비_자재1"/>
      <sheetName val="_노무집계1"/>
      <sheetName val="KLDT_DIEN1"/>
      <sheetName val="PTVT_DIEN1"/>
      <sheetName val="Budget_Code1"/>
      <sheetName val="Thiet_Bi1"/>
      <sheetName val="Phan_tich1"/>
      <sheetName val="TH_Vat_tu1"/>
      <sheetName val="TH_Kinh_phi1"/>
      <sheetName val="TH_MTC1"/>
      <sheetName val="TH_N_Cong1"/>
      <sheetName val="Bang_KL1"/>
      <sheetName val="Daf_11"/>
      <sheetName val="경비2내역"/>
      <sheetName val="공사개요-C"/>
      <sheetName val="Variable"/>
      <sheetName val="DATA-2 장비LIST"/>
      <sheetName val="간지1"/>
      <sheetName val="1.사유서"/>
      <sheetName val="간지2"/>
      <sheetName val="간지3"/>
      <sheetName val="부재별집계표"/>
      <sheetName val="도면"/>
      <sheetName val="COA-17"/>
      <sheetName val="C-18"/>
      <sheetName val="목공사품의서"/>
      <sheetName val="IMPEADENCE H_x0000_Ԁ_x0000_怀ȅ㨍"/>
      <sheetName val="IMPEADENCE é_x0000_Ԁ_x0000__x0000_ᛅ_xde17_"/>
      <sheetName val="정보매체A동"/>
      <sheetName val="N10(미지급)_2"/>
      <sheetName val="간지03_)"/>
      <sheetName val="1_레미콘"/>
      <sheetName val="2_관집계"/>
      <sheetName val="3_제수밸브"/>
      <sheetName val="4_각종주철제"/>
      <sheetName val="5_유량계"/>
      <sheetName val="1_골재집계"/>
      <sheetName val="2_철근집계"/>
      <sheetName val="3_관세척"/>
      <sheetName val="4_분기관"/>
      <sheetName val="상수공_토공집계표"/>
      <sheetName val="S_중기사용료"/>
      <sheetName val="I_설계조건"/>
      <sheetName val="Project_Brief"/>
      <sheetName val="static_cal"/>
      <sheetName val="Total_Progress_(2)"/>
      <sheetName val="1_일반수량산출근거"/>
      <sheetName val="Financial_impact"/>
      <sheetName val="Sch7a_(토요일)"/>
      <sheetName val="남양시작동자105노65기1_3화1_2"/>
      <sheetName val="TRE_TABLE"/>
      <sheetName val="흙막이_개산견적"/>
      <sheetName val="암거_제원표-1단계"/>
      <sheetName val="C_배수관공"/>
      <sheetName val="2_건축"/>
      <sheetName val="97_사업추정(WEKI)"/>
      <sheetName val="출하생산일보"/>
      <sheetName val="HSA"/>
      <sheetName val="INPUT_TABLE"/>
      <sheetName val="말뚝물량"/>
      <sheetName val="CODE1"/>
      <sheetName val="CODE2"/>
      <sheetName val="견"/>
      <sheetName val=" "/>
      <sheetName val="무근깨기"/>
      <sheetName val="인원계획-미화"/>
      <sheetName val="SPEC"/>
      <sheetName val="토공계산서(부체도로)"/>
      <sheetName val="VXXXXXXX"/>
      <sheetName val="토공유동표"/>
      <sheetName val="SGC_RATE"/>
      <sheetName val="Bang_gia"/>
      <sheetName val="HRG_BHN"/>
      <sheetName val="NSA_fr_Revit"/>
      <sheetName val="BXLDL"/>
      <sheetName val="DM.ChiPhi"/>
      <sheetName val="May TC"/>
      <sheetName val="Nhan cong"/>
      <sheetName val="Area Cal"/>
      <sheetName val="DTICH (Full)"/>
      <sheetName val="DGG"/>
      <sheetName val="DTICH(FDC)"/>
      <sheetName val="CP3-DI"/>
      <sheetName val="Bldg"/>
      <sheetName val="첨부2"/>
      <sheetName val="계산중"/>
      <sheetName val="횡배위치"/>
      <sheetName val="Take-Off"/>
      <sheetName val="CostDB"/>
      <sheetName val="견적의뢰"/>
      <sheetName val="사각수로관단수"/>
      <sheetName val="집수정단위수량산출"/>
      <sheetName val="중기(목록)"/>
      <sheetName val="일위대가(목록)"/>
      <sheetName val="관전식시설제원"/>
      <sheetName val="구조물공(집계)"/>
      <sheetName val="자재 및 폐기물견적(20È됀"/>
      <sheetName val="Macr_x0000__x0000__x0005__x0000_纠瀝"/>
      <sheetName val="운반"/>
      <sheetName val="제출계산서"/>
      <sheetName val="확산동"/>
      <sheetName val="위치"/>
      <sheetName val="총체보활공정표"/>
      <sheetName val="그레이더"/>
      <sheetName val="TOT"/>
      <sheetName val="공통부대"/>
      <sheetName val="국가별"/>
      <sheetName val="수액원료"/>
      <sheetName val="시산표"/>
      <sheetName val="공정"/>
      <sheetName val="종목코드"/>
      <sheetName val="linehaul cost model (2)"/>
      <sheetName val="규준틀"/>
      <sheetName val="역T형옹벽(3.0)"/>
      <sheetName val="FOOTING단면¬"/>
      <sheetName val="THKP957"/>
      <sheetName val="Tính giá NC"/>
      <sheetName val="Đầu vào"/>
      <sheetName val="Tiên lượng"/>
      <sheetName val="SL cước"/>
      <sheetName val="BAC THO"/>
      <sheetName val="DINHMU-DONGIA"/>
      <sheetName val="CAP NGAM HA THE"/>
      <sheetName val="CPVL CHIEU SANG"/>
      <sheetName val="BTK TT3P"/>
      <sheetName val="BANG KE TRU"/>
      <sheetName val="DGVL"/>
      <sheetName val="버스운행안내"/>
      <sheetName val="근태계획서"/>
      <sheetName val="BS"/>
      <sheetName val="CC Down load 0716"/>
      <sheetName val="아주기계"/>
      <sheetName val="HX"/>
      <sheetName val="제경비산출서"/>
      <sheetName val="(C)원내역"/>
      <sheetName val="Eq. Mobilization"/>
      <sheetName val="전동기"/>
      <sheetName val="기초도면제작"/>
      <sheetName val="load"/>
      <sheetName val="#4 PSV"/>
      <sheetName val="조직표"/>
      <sheetName val="기본파일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사유서"/>
      <sheetName val="자재집계 (2)"/>
      <sheetName val="(1)본선수량집계"/>
      <sheetName val="옥외등신설"/>
      <sheetName val="저케CV22신설"/>
      <sheetName val="저케CV38신설"/>
      <sheetName val="저케CV8신설"/>
      <sheetName val="접지3종"/>
      <sheetName val="정거장 설계조건"/>
      <sheetName val="노면표지 수량"/>
      <sheetName val="토공사"/>
      <sheetName val="AIR_SHOWER(3인용)"/>
      <sheetName val="시간당중기사용료"/>
      <sheetName val="asd"/>
      <sheetName val="인공산출"/>
      <sheetName val="매원개착터널총괄"/>
      <sheetName val="가시설단위수량"/>
      <sheetName val="2_토목공사1"/>
      <sheetName val="AS포장복구_1"/>
      <sheetName val="2-1__경관조명_내역총괄표1"/>
      <sheetName val="개별직종노임단가(2003_9)1"/>
      <sheetName val="_상부공통집계(총괄)1"/>
      <sheetName val="실행내역(10_13)1"/>
      <sheetName val="참여현황_(직원)1"/>
      <sheetName val="노임단가_(2)1"/>
      <sheetName val="기존건물_깨기원단위1"/>
      <sheetName val="EQUIP_LIST1"/>
      <sheetName val="철근량_산정1"/>
      <sheetName val="총_원가계산1"/>
      <sheetName val="슬래브_-연속(3경간)1"/>
      <sheetName val="1~9_하중계산1"/>
      <sheetName val="노_표-조1"/>
      <sheetName val="1_토공"/>
      <sheetName val="2F_회의실견적(5_14_일대)1"/>
      <sheetName val="대3류_1"/>
      <sheetName val="내역-_CCTV1"/>
      <sheetName val="건설사업관리_공제요율1"/>
      <sheetName val="건설공사_감리원_배치기준1"/>
      <sheetName val="책임감리_공제요율1"/>
      <sheetName val="경율산정_XLS"/>
      <sheetName val="GT_1050x650"/>
      <sheetName val="주공_갑지"/>
      <sheetName val="1_견적보고서"/>
      <sheetName val="Bldg_Brkdown"/>
      <sheetName val="12)아이디어_목록_및_개략평가"/>
      <sheetName val="11)VE_예비검토서"/>
      <sheetName val="15-3)VE제안서(가치향상_등)"/>
      <sheetName val="단가산출서_(2)1"/>
      <sheetName val="노임단가(직종번호_순)"/>
      <sheetName val="11_1_단면hwp1"/>
      <sheetName val="4_공통갑지"/>
      <sheetName val="설내역서_2"/>
      <sheetName val="청_구2"/>
      <sheetName val="공사비_증감_내역서2"/>
      <sheetName val="Customer_Databas2"/>
      <sheetName val="배수공_주요자재_집계표1"/>
      <sheetName val="전_기1"/>
      <sheetName val="내역서_(2)1"/>
      <sheetName val="사__업__비__수__지__예__산__서2"/>
      <sheetName val="옹벽공_수량집계표2"/>
      <sheetName val="A-8_PD(도로중앙)2"/>
      <sheetName val="06_일위대가목록1"/>
      <sheetName val="4_내진설계1"/>
      <sheetName val="_ｹ-ﾌﾞﾙ1"/>
      <sheetName val="지구_리스트1"/>
      <sheetName val="효성CB_1P기초1"/>
      <sheetName val="1_CB2"/>
      <sheetName val="Flaer_Area2"/>
      <sheetName val="4_2_1_마루높이_검토1"/>
      <sheetName val="하도급_검토1"/>
      <sheetName val="3_하중계산1"/>
      <sheetName val="단_box1"/>
      <sheetName val="중강당_내역1"/>
      <sheetName val="지장물_철거_물량_산출서1"/>
      <sheetName val="HRSG_SMALL072201"/>
      <sheetName val="90_03실행_"/>
      <sheetName val="코스모공장_(어음)"/>
      <sheetName val="노임_및_중기단가1"/>
      <sheetName val="개별직종노임단가(2005_1)"/>
      <sheetName val="아파트_내역1"/>
      <sheetName val="A_견적"/>
      <sheetName val="1_3_1절점좌표"/>
      <sheetName val="1_1설계기준"/>
      <sheetName val="인건비_1"/>
      <sheetName val="원가계산서_"/>
      <sheetName val="2_대외공문1"/>
      <sheetName val="입출재고현황_(2)"/>
      <sheetName val="1_RAMP-A"/>
      <sheetName val="사본___b_balju"/>
      <sheetName val="ESC_(공정표기준)"/>
      <sheetName val="중기조종사_단위단가"/>
      <sheetName val="일위대가_"/>
      <sheetName val="2_관대집계표"/>
      <sheetName val="형식_-_1-2-3"/>
      <sheetName val="99노임단"/>
      <sheetName val="암거_제원표-1단계1"/>
      <sheetName val="C_배수관공1"/>
      <sheetName val="연결관수량_(2)"/>
      <sheetName val="1_수량집계"/>
      <sheetName val="AIR_SHOWER(3인용)1"/>
      <sheetName val="유효폭의_계산"/>
      <sheetName val="국도접속_차도부수량"/>
      <sheetName val="기타_정보통신공사"/>
      <sheetName val="기존단가_(2)"/>
      <sheetName val="원가계산서_과기원"/>
      <sheetName val="0_내역서__갑지"/>
      <sheetName val="1_내역서_"/>
      <sheetName val="2-1_수량산출근거"/>
      <sheetName val="2-2_노무비산출근거"/>
      <sheetName val="3_단가조사표"/>
      <sheetName val="3_단가대비표"/>
      <sheetName val="4_설변사유"/>
      <sheetName val="2-7_인건비산출근거"/>
      <sheetName val="3-1_설변사유"/>
      <sheetName val="3-2_공사비증감"/>
      <sheetName val="3-3_내역서"/>
      <sheetName val="3-4_단가대비표(기존)"/>
      <sheetName val="3-5_단가대비표(신규)"/>
      <sheetName val="3-6_일위대가목록"/>
      <sheetName val="3-7_일위대가"/>
      <sheetName val="3-8_물량산출근거"/>
      <sheetName val="3-9_인건비산출근거"/>
      <sheetName val="고강도_지수판_스리브업체선정"/>
      <sheetName val="3_단가대비표_"/>
      <sheetName val="3_단가적용현황"/>
      <sheetName val="4_하중산정"/>
      <sheetName val="6월_출고_일일보고"/>
      <sheetName val="기성부분_내역집계표-기계공사"/>
      <sheetName val="DATA_입력부"/>
      <sheetName val="BOX_본체"/>
      <sheetName val="제수변_수량집계표(보통)"/>
      <sheetName val="일위대가56-1_"/>
      <sheetName val="일위대가71-1_"/>
      <sheetName val="일위대가74-1_"/>
      <sheetName val="7-1_인건비"/>
      <sheetName val="2_2_2입적표"/>
      <sheetName val="Eq__Mobilization"/>
      <sheetName val="#4_PSV"/>
      <sheetName val="일위대가76-1_"/>
      <sheetName val="일위대가77-1_"/>
      <sheetName val="일위대가78-1_"/>
      <sheetName val="자재집계_(2)"/>
      <sheetName val="정거장_설계조건"/>
      <sheetName val="노면표지_수량"/>
      <sheetName val="직접노무"/>
      <sheetName val="직접재료"/>
      <sheetName val="직종표"/>
      <sheetName val="집"/>
      <sheetName val="일위총괄"/>
      <sheetName val="출력"/>
      <sheetName val="근로자명단"/>
      <sheetName val="친환경주택"/>
      <sheetName val="6.7현장운영"/>
      <sheetName val="자단"/>
      <sheetName val="48일위"/>
      <sheetName val="48수량"/>
      <sheetName val="22수량"/>
      <sheetName val="49일위"/>
      <sheetName val="22일위"/>
      <sheetName val="49수량"/>
      <sheetName val="내역(포장)"/>
      <sheetName val="01 Summary"/>
      <sheetName val="CW,HW,NW"/>
      <sheetName val="SAN"/>
      <sheetName val="03 Rev.Log"/>
      <sheetName val="설비(제출)"/>
      <sheetName val="주요자재집계"/>
      <sheetName val="횡배수관수량집계"/>
      <sheetName val="횡배수관기초"/>
      <sheetName val="수량산출(음암)"/>
      <sheetName val="결재"/>
      <sheetName val="식재(예송)"/>
      <sheetName val="G2설비도급"/>
      <sheetName val="Requirement(Work Crew)"/>
      <sheetName val="주요재료비(원본)"/>
      <sheetName val="2000.05"/>
      <sheetName val="적요"/>
      <sheetName val="식생블럭"/>
      <sheetName val="용소리교"/>
      <sheetName val="CABLE SIZE-1"/>
      <sheetName val="전통건설"/>
      <sheetName val="49"/>
      <sheetName val="전력간선(신설)"/>
      <sheetName val="기초입력 DATA"/>
      <sheetName val="포장공총괄수량집계표"/>
      <sheetName val="판매시설"/>
      <sheetName val="길어깨단위"/>
      <sheetName val="9509"/>
      <sheetName val="STEEL BOX 단면설계(SEC.8)"/>
      <sheetName val="절대건들지마시오"/>
      <sheetName val="케이블트레이"/>
      <sheetName val="토목내역서(변경1)"/>
      <sheetName val="keyword"/>
      <sheetName val="4.2내역서"/>
      <sheetName val="_____________hb___1___________2"/>
      <sheetName val="2000"/>
      <sheetName val="가시설총괄"/>
      <sheetName val="총중목"/>
      <sheetName val="Macro(_x0000__x0000__x0005__x0000_"/>
      <sheetName val="맨홀토"/>
      <sheetName val="단가비교표 (계측제어)"/>
      <sheetName val="입찰내역"/>
      <sheetName val="IMPEADENCE H"/>
      <sheetName val="IMPEADENCE é"/>
      <sheetName val="밸è欀N"/>
      <sheetName val="단가(마감)"/>
      <sheetName val="Gia vat tu"/>
      <sheetName val="PhÇnCK"/>
      <sheetName val="Tongke"/>
      <sheetName val="Annex B"/>
      <sheetName val="Analisa_Gabungan"/>
      <sheetName val="KINH_PHI_TONG_HOP"/>
      <sheetName val="Dinh_muc_CP_KTCB_khac"/>
      <sheetName val="TEN_HANG_MUC_"/>
      <sheetName val="BAOCHE_A"/>
      <sheetName val="Đơn_Giá_"/>
      <sheetName val="Macro(缈ď헾⼕"/>
      <sheetName val="Be跀璕"/>
      <sheetName val="Be"/>
      <sheetName val="삼성전기"/>
      <sheetName val="조은인력명세서"/>
      <sheetName val="노무비산정"/>
      <sheetName val="간접비"/>
      <sheetName val="자재 집羘ↈ"/>
      <sheetName val="Personnaliser votre facture"/>
      <sheetName val="BOX(1_5X1°_x0000__x0000_"/>
      <sheetName val="022᠀"/>
      <sheetName val="분양가표"/>
      <sheetName val="자재 집_x0000_꟣"/>
      <sheetName val="잡철물"/>
      <sheetName val="Chi phi khac 4.3KH-CP"/>
      <sheetName val="Project Name"/>
      <sheetName val="Deliver Date"/>
      <sheetName val="Staff"/>
      <sheetName val="Quotation"/>
      <sheetName val="영업소실적"/>
      <sheetName val="SH-F"/>
      <sheetName val="02"/>
      <sheetName val=" 03"/>
      <sheetName val="04"/>
      <sheetName val="05"/>
      <sheetName val="06"/>
      <sheetName val="07"/>
      <sheetName val="08"/>
      <sheetName val="09"/>
      <sheetName val="public area"/>
      <sheetName val="electrical"/>
      <sheetName val="THIET DAT"/>
      <sheetName val="DU LIEU"/>
      <sheetName val="CTGT"/>
      <sheetName val="CBD-PRICE"/>
      <sheetName val="TAIKHOAN"/>
      <sheetName val="tra_vat_lieu"/>
      <sheetName val="Ma_TP"/>
      <sheetName val="tuong"/>
      <sheetName val="SUMMARY QUANTITIES"/>
      <sheetName val="chiettinh"/>
      <sheetName val="비교표"/>
      <sheetName val="배수량"/>
      <sheetName val="비탈면보호공수량산출"/>
      <sheetName val="노견단위수량"/>
      <sheetName val="하부철근수량"/>
      <sheetName val="7단가"/>
      <sheetName val="수자재단위당"/>
      <sheetName val="BDATA"/>
      <sheetName val="변압기 및 발전기 용량"/>
      <sheetName val="TH thiet bi"/>
      <sheetName val="TH may TC"/>
      <sheetName val="DM Chi phi"/>
      <sheetName val="Bang khoi luong"/>
      <sheetName val="bridge # 1"/>
      <sheetName val="XNT7"/>
      <sheetName val="Areas"/>
      <sheetName val="149-2"/>
      <sheetName val="BQMPALOC"/>
      <sheetName val="SPL4"/>
      <sheetName val="proj"/>
      <sheetName val="Analisa"/>
      <sheetName val="Macro(뛠Ŕ殺0"/>
      <sheetName val="C_DATA"/>
      <sheetName val="2000_x0000__x0000__x0019__x0000_"/>
      <sheetName val="V.c noi bo"/>
      <sheetName val="노원열병합  건축공사기성내역서"/>
      <sheetName val="갑지 "/>
      <sheetName val="집1"/>
      <sheetName val="-15.0"/>
      <sheetName val="96갑지"/>
      <sheetName val="접속 SLAB,_x0000_밢Ȳ_x0000__x0000__x0000_Ā_x0000_뮰ᖸ"/>
      <sheetName val="설계예산서0"/>
      <sheetName val="4.하중"/>
      <sheetName val="0.9x0.9"/>
      <sheetName val="L측형구집계"/>
      <sheetName val="suk(mac)"/>
      <sheetName val="고양동1"/>
      <sheetName val="0.9토공"/>
      <sheetName val="사용성검토"/>
      <sheetName val="우배수"/>
      <sheetName val="BOX-15_x0000__x0000_"/>
      <sheetName val="전체철근집계"/>
      <sheetName val="CTEMCఁ♠_x0000_"/>
      <sheetName val="LOADS"/>
      <sheetName val="REINF."/>
      <sheetName val="단지조성공(_x0000__x0000__x0005_"/>
      <sheetName val="단지조성공(_x0000__x0000_ﾈ"/>
      <sheetName val="Macr"/>
      <sheetName val="Macro("/>
      <sheetName val="현장식당(1)"/>
      <sheetName val="동일대내"/>
      <sheetName val="직접비"/>
      <sheetName val="노임목록"/>
      <sheetName val="Lr"/>
      <sheetName val="산업"/>
      <sheetName val="2.재료비"/>
      <sheetName val="12.보오링"/>
      <sheetName val="18.공내수압탄성자연"/>
      <sheetName val="NN"/>
      <sheetName val="매인"/>
      <sheetName val="c_balju"/>
      <sheetName val="1호맨홀수량산출"/>
      <sheetName val="공사요율"/>
      <sheetName val="결재란"/>
      <sheetName val="2.견적조건 정보"/>
      <sheetName val="공간분류체계"/>
      <sheetName val="부위별항목"/>
      <sheetName val="영향요인"/>
      <sheetName val="궤도연장(종합)"/>
      <sheetName val="궤도연장(2단계)"/>
      <sheetName val="궤도연장(1단계)"/>
      <sheetName val="궤도부설연장1단계"/>
      <sheetName val="산근cad용"/>
      <sheetName val="산근(계단)"/>
      <sheetName val="슬래브일반(포항방향 B=12.3m)"/>
      <sheetName val="일반수량산출"/>
      <sheetName val="건설기계가격"/>
      <sheetName val="보고서"/>
      <sheetName val="건설기계"/>
      <sheetName val="산림조사비"/>
      <sheetName val="요율표"/>
      <sheetName val="신고분기설정참고"/>
      <sheetName val="거래처자료등록"/>
      <sheetName val="중기가격"/>
      <sheetName val="현장관리비 산출내역"/>
      <sheetName val="5정거장"/>
      <sheetName val="1-3길내기"/>
      <sheetName val="C1.공사개요"/>
      <sheetName val="A1.스케쥴"/>
      <sheetName val="PIER토수량"/>
      <sheetName val="설명"/>
      <sheetName val="부가세별도"/>
      <sheetName val="업체자료"/>
      <sheetName val="97(US,EP,PCT,KR)"/>
      <sheetName val="블록(들고리8개)"/>
      <sheetName val="FAB计算式"/>
      <sheetName val="CUB结算式"/>
      <sheetName val="FAB B01计算式"/>
      <sheetName val="室外计算式"/>
      <sheetName val="5.물량산출서"/>
      <sheetName val="산출근거(9)"/>
      <sheetName val="입력용"/>
      <sheetName val="입력용집계"/>
      <sheetName val="폐기물발생(처리)내역-1"/>
      <sheetName val="빙축열"/>
      <sheetName val="절단표"/>
      <sheetName val="UNIT"/>
      <sheetName val="모래기초"/>
      <sheetName val="신푝지1"/>
      <sheetName val="3.2주형지지보"/>
      <sheetName val="상수도내역서"/>
      <sheetName val="1. 총괄 집계표"/>
      <sheetName val="공조기휀"/>
      <sheetName val="본선 토공 분배표"/>
      <sheetName val="기계설비품셈"/>
      <sheetName val="기시공토적"/>
      <sheetName val="공정자료2"/>
      <sheetName val="표지(예시)"/>
      <sheetName val="설계서"/>
      <sheetName val="콘크스"/>
      <sheetName val="협력업체기성(첨부)"/>
      <sheetName val="HC-04"/>
      <sheetName val="개소별수량산출"/>
      <sheetName val="나.설계조건"/>
      <sheetName val="5.장비(안)"/>
      <sheetName val="입찰품의서"/>
      <sheetName val="견적가"/>
      <sheetName val="2012노임단가"/>
      <sheetName val="스파이더산출근거"/>
      <sheetName val="본댐설계"/>
      <sheetName val="SCHE"/>
      <sheetName val="설계총괄표"/>
      <sheetName val="공사품旼ã"/>
      <sheetName val="신평리 권리자명부"/>
      <sheetName val="산출"/>
      <sheetName val="자동제어"/>
      <sheetName val="수주현황2월"/>
      <sheetName val="PIPE(UG)내역"/>
      <sheetName val="변수값"/>
      <sheetName val="0"/>
      <sheetName val="1.취수장"/>
      <sheetName val="(참고)지급수수료"/>
      <sheetName val="점검총괄"/>
      <sheetName val="공사내역서"/>
      <sheetName val="표준내역"/>
      <sheetName val="PILE"/>
      <sheetName val="LOPCALC"/>
      <sheetName val="스톱로그내역"/>
      <sheetName val="품목납기"/>
      <sheetName val="SANTOGO"/>
      <sheetName val="공종목록표"/>
      <sheetName val="전국현황"/>
      <sheetName val="현장청취복명서"/>
      <sheetName val="전산output"/>
      <sheetName val="구분자"/>
      <sheetName val="도면명"/>
      <sheetName val="100만평"/>
      <sheetName val="내역단위"/>
      <sheetName val="코드명"/>
      <sheetName val="구조물단위표"/>
      <sheetName val="관포설품"/>
      <sheetName val="동원단위"/>
      <sheetName val="구조물절단규격"/>
      <sheetName val="거리별운반단가"/>
      <sheetName val="돈암사업"/>
      <sheetName val="노임산출서"/>
      <sheetName val="單價表단가표"/>
      <sheetName val="FAB消防报警"/>
      <sheetName val="설계예산서(2_소천우회토목)"/>
      <sheetName val="취수탑"/>
      <sheetName val="현황판"/>
      <sheetName val="상부"/>
      <sheetName val="맨홀공수량집계"/>
      <sheetName val="1호맨홀수량집계"/>
      <sheetName val="2호맨홀수량집계"/>
      <sheetName val="3호맨홀수량집계"/>
      <sheetName val="맨홀뚜껑단위수량"/>
      <sheetName val="설계공통자료입력"/>
      <sheetName val="품셈표"/>
      <sheetName val="공사개별자료입력"/>
      <sheetName val="공사비예산서"/>
      <sheetName val="광장"/>
      <sheetName val="주소"/>
      <sheetName val="국소별공정"/>
      <sheetName val="조_x0000__x0000__x0005_"/>
      <sheetName val="작업 반복"/>
      <sheetName val="적용단가표"/>
      <sheetName val="변경당시노임단가표"/>
      <sheetName val="설계서(7)"/>
      <sheetName val="참고"/>
      <sheetName val="2006계약"/>
      <sheetName val="배수공 내역서 적용수량"/>
      <sheetName val="개비온집계"/>
      <sheetName val="개비온 단위"/>
      <sheetName val="상하차비용(기계상차)"/>
      <sheetName val="수간보호"/>
      <sheetName val="운반비"/>
      <sheetName val="총괄집계표(통합)"/>
      <sheetName val="일식견적목록표"/>
      <sheetName val="1단계 (2)"/>
      <sheetName val="환경평가"/>
      <sheetName val="인구"/>
      <sheetName val="원"/>
      <sheetName val="교통안전시설집계표"/>
      <sheetName val="안양동교 1안"/>
      <sheetName val="진입로 지세할증산출(다사분기)"/>
      <sheetName val=" FURNACE현설"/>
      <sheetName val="물푸기"/>
      <sheetName val="eq_data"/>
      <sheetName val="실행(1)"/>
      <sheetName val="C3"/>
      <sheetName val="유림콘도"/>
      <sheetName val="인원배치"/>
      <sheetName val="선수금"/>
      <sheetName val="부하자료"/>
      <sheetName val="Manmonth(입력)"/>
      <sheetName val="제잡비계산"/>
      <sheetName val="총괄BOQ"/>
      <sheetName val="16-1"/>
      <sheetName val="인입관수량총괄"/>
      <sheetName val="집 계 표"/>
      <sheetName val="내역서1"/>
      <sheetName val="FORM-0"/>
      <sheetName val="직접경비호표"/>
      <sheetName val="1공구원가계산서"/>
      <sheetName val="지역별수출"/>
      <sheetName val="효동종합건설(주)"/>
      <sheetName val="공사비예"/>
      <sheetName val="6.간접공사비 外"/>
      <sheetName val="RE9604"/>
      <sheetName val="토목-물가"/>
      <sheetName val="산출서양식01"/>
      <sheetName val="일용노무비지급명세서(7)"/>
      <sheetName val="중기가동(7)"/>
      <sheetName val="유입량"/>
      <sheetName val="직접재료비데이타"/>
      <sheetName val="부대단위수량"/>
      <sheetName val="조경수목"/>
      <sheetName val="퇴직공제부금"/>
      <sheetName val="평균노임"/>
      <sheetName val="기본가정"/>
      <sheetName val="기별(종합)"/>
      <sheetName val="참조 (2)"/>
      <sheetName val="1공구 건정토건 토공"/>
      <sheetName val="발주참고#"/>
      <sheetName val="기준단가현황"/>
      <sheetName val="공사개요(입력)"/>
      <sheetName val="마스터"/>
      <sheetName val="출자한도"/>
      <sheetName val="산출근거(수정)"/>
      <sheetName val="간접비 총괄표"/>
      <sheetName val="옥외외등집계표"/>
      <sheetName val="1안"/>
      <sheetName val="2004일위대가"/>
      <sheetName val="일용노임단가"/>
      <sheetName val="기본사항"/>
      <sheetName val="적정심사"/>
      <sheetName val="터파기_x0000__x0000_료"/>
      <sheetName val="출력표-본사"/>
      <sheetName val="기계경비집계"/>
      <sheetName val="단가산출 (2)"/>
      <sheetName val="시중노임"/>
      <sheetName val="설비비3"/>
      <sheetName val="본실행경비"/>
      <sheetName val="건축일"/>
      <sheetName val="수납장배치도"/>
      <sheetName val="울산자금"/>
      <sheetName val="단가결정"/>
      <sheetName val="현관비DATA"/>
      <sheetName val="2@ BOX"/>
      <sheetName val="DB구축"/>
      <sheetName val="BEND LOSS"/>
      <sheetName val="배수관토공"/>
      <sheetName val="맨홀접합조서"/>
      <sheetName val="TOTAL3"/>
      <sheetName val="2월 노임대장"/>
      <sheetName val="물가"/>
      <sheetName val="강관 및 부속"/>
      <sheetName val="피벗테이블데이터분석"/>
      <sheetName val="REACTION(USE평시)"/>
      <sheetName val="REACTION(USD지진시)"/>
      <sheetName val="배력철근"/>
      <sheetName val="소분류목록"/>
      <sheetName val="Output"/>
      <sheetName val="기자재수량"/>
      <sheetName val="선금급신청서"/>
      <sheetName val="설비비4"/>
      <sheetName val="타공종포장공제집계표"/>
      <sheetName val="공틀공사"/>
      <sheetName val="5-3.지급자재수불현황"/>
      <sheetName val="유리"/>
      <sheetName val="공통"/>
      <sheetName val="옹벽1"/>
      <sheetName val="건축(을)"/>
      <sheetName val="인건-측정"/>
      <sheetName val="설치자재"/>
      <sheetName val="단중"/>
      <sheetName val="산근1"/>
      <sheetName val="노무"/>
      <sheetName val="L집(수평부)"/>
      <sheetName val="L집(성토부)"/>
      <sheetName val="STAND20"/>
      <sheetName val="기성부분액내역서(국고)"/>
      <sheetName val="관로수량총괄집계표"/>
      <sheetName val="준공정산보고서"/>
      <sheetName val="부대"/>
      <sheetName val="도로구조물산근"/>
      <sheetName val="우수맨홀 수량 및 높이 집계"/>
      <sheetName val="우수맨홀(차도측2호)"/>
      <sheetName val="특2호각형맨홀(차도측)"/>
      <sheetName val="특3호각형맨홀(차도측)"/>
      <sheetName val="특4호각형맨홀(차도측)"/>
      <sheetName val="우수맨홀(보도측2호)"/>
      <sheetName val="특2호각형맨홀(보도측)"/>
      <sheetName val="암거맨홀(차도측)"/>
      <sheetName val="터파기"/>
      <sheetName val="FPA"/>
      <sheetName val="순수개발"/>
      <sheetName val="L_RPTB~1"/>
      <sheetName val="견적기준"/>
      <sheetName val="E총"/>
      <sheetName val="SKETCH"/>
      <sheetName val="내역(중앙)"/>
      <sheetName val="내역(창신)"/>
      <sheetName val="건축토목내역"/>
      <sheetName val="단가산출_(2)"/>
      <sheetName val="A1"/>
      <sheetName val="터파기_x005f_x0000__x005f_x0000_료"/>
      <sheetName val="보완토적"/>
      <sheetName val="설계변경내역서"/>
      <sheetName val="공사내역(2003년)"/>
      <sheetName val="CCS"/>
      <sheetName val="역T형옹벽단위수량"/>
      <sheetName val="변수2"/>
      <sheetName val="저항"/>
      <sheetName val="슬래브(PF)(하류)"/>
      <sheetName val="11"/>
      <sheetName val="상수구조화편집부표"/>
      <sheetName val="FB25JN"/>
      <sheetName val="본공사"/>
      <sheetName val="수로교"/>
      <sheetName val="날개수량1.5"/>
      <sheetName val="지수적용공사비내역서"/>
      <sheetName val="가설공사"/>
      <sheetName val="심사"/>
      <sheetName val="2_단면_x0000__x0000_"/>
      <sheetName val="연속벽¼_x0000_"/>
      <sheetName val="U형개거"/>
      <sheetName val="일용직내역"/>
      <sheetName val="1SPAN"/>
      <sheetName val="(당氐⿾_x0000__x0000_"/>
      <sheetName val="(당_x0000__x0000__x0005__x0000_"/>
      <sheetName val="토량산출서"/>
      <sheetName val="차도,토사-150"/>
      <sheetName val="차도,풍화암-150"/>
      <sheetName val="차도,발파암-150"/>
      <sheetName val="차도,토사-200"/>
      <sheetName val="차도,풍화암-200"/>
      <sheetName val="차도,발파암-200"/>
      <sheetName val="차도,토사-300"/>
      <sheetName val="차도,풍화암-300"/>
      <sheetName val="차도,발파암-300"/>
      <sheetName val="차도,토사-400"/>
      <sheetName val="차도,풍화암-400"/>
      <sheetName val="차도,발파암-400"/>
      <sheetName val="상수관연장조서"/>
      <sheetName val="포장자재총집계"/>
      <sheetName val="포장수량총괄표"/>
      <sheetName val="아스콘포장(대로1류)"/>
      <sheetName val="아스콘포장(대로2.3류)"/>
      <sheetName val="아스콘포장(중2,3로)"/>
      <sheetName val="아스콘포장(소로)"/>
      <sheetName val="L형 측구하부(대1류)"/>
      <sheetName val="L형 측구하부(대2.3류)"/>
      <sheetName val="L형 측구하부(중1.2.3류)"/>
      <sheetName val="L형 측구하부(소로)"/>
      <sheetName val="투수콘포장"/>
      <sheetName val="고압브럭포장"/>
      <sheetName val="유도.점자블럭포장"/>
      <sheetName val="L형측구및경계석단위수량"/>
      <sheetName val="L형측구.대로(우수받이부)"/>
      <sheetName val="L형측구.중로(우수받이부)"/>
      <sheetName val="L형측구소로(우수받이부)"/>
      <sheetName val="자전거도로경계석"/>
      <sheetName val="대지경계블럭"/>
      <sheetName val="가로수분단위수량"/>
      <sheetName val="표지판재료단위수량"/>
      <sheetName val="과속방지턱단위수량"/>
      <sheetName val="볼라드단위수량"/>
      <sheetName val="면적입력"/>
      <sheetName val="D-3109"/>
      <sheetName val="내역서 (변경단가)"/>
      <sheetName val="상촌2교-일반수량집계"/>
      <sheetName val="포장절단"/>
      <sheetName val="5.2.6~7공사요율"/>
      <sheetName val="일 위 대 가 표"/>
      <sheetName val="고상실행"/>
      <sheetName val="1袼ࣉ"/>
      <sheetName val="시멘,골재"/>
      <sheetName val="콘크집계"/>
      <sheetName val="낙차공"/>
      <sheetName val="자재집계1"/>
      <sheetName val="측구날개벽"/>
      <sheetName val="노무비지급명세"/>
      <sheetName val="기성내역서"/>
      <sheetName val="13후반노무비"/>
      <sheetName val="1.설계기준 "/>
      <sheetName val="부대집계"/>
      <sheetName val="공정율"/>
      <sheetName val="90.0_x0000_"/>
      <sheetName val="지지력"/>
      <sheetName val="매출현황"/>
      <sheetName val="입력정보"/>
      <sheetName val="일위집계"/>
      <sheetName val="퇴직금(울산천상)"/>
      <sheetName val="정산"/>
      <sheetName val="5"/>
      <sheetName val="선그높이산정"/>
      <sheetName val="공제단위수량"/>
      <sheetName val="공제"/>
      <sheetName val="날개1.5"/>
      <sheetName val="날개토공1.5"/>
      <sheetName val="접속도로물량"/>
      <sheetName val="sum1 (2)"/>
      <sheetName val="도급양식"/>
      <sheetName val="5월급여"/>
      <sheetName val="공종구간"/>
      <sheetName val="ELEC"/>
      <sheetName val="관로조서"/>
      <sheetName val="P4-3"/>
      <sheetName val="DATA1"/>
      <sheetName val="GGJ0824"/>
      <sheetName val="가설배관"/>
      <sheetName val="97년추정손익계산서"/>
      <sheetName val="Dircet Buried"/>
      <sheetName val="Duct Bank"/>
      <sheetName val="철거공-조경"/>
      <sheetName val="장문교(대전)"/>
      <sheetName val="단면_(_x0000__x0000_"/>
      <sheetName val="콘크리트 블록 유형별 수량"/>
      <sheetName val="Div2"/>
      <sheetName val="평균토피고"/>
      <sheetName val="JOKUN"/>
      <sheetName val="BOX(1_5X1_瘠·"/>
      <sheetName val="변경내역대비표(2)"/>
      <sheetName val="최灩辏ퟝ"/>
      <sheetName val="KLHT"/>
      <sheetName val="做法表"/>
      <sheetName val="sub struc-Omission"/>
      <sheetName val="比率"/>
      <sheetName val="数据库"/>
      <sheetName val="Giathanh1m3BT"/>
      <sheetName val="SPS"/>
      <sheetName val="DGiaDZ"/>
      <sheetName val="TT"/>
      <sheetName val="DGXDCB_DD"/>
      <sheetName val="Don gia III"/>
      <sheetName val="Don gia CT"/>
      <sheetName val="Macr_x0000__x0000__x0005__x0000_旐ƽ"/>
      <sheetName val="CONSTRUCTION Cၒ_x0000__x0000__x0000__x0000__x0000_Ā_x0000_"/>
      <sheetName val="Be_x0000_䇪"/>
      <sheetName val="단면_(☈⣇"/>
      <sheetName val="단면_(턠̓"/>
      <sheetName val="단면_(ᖠ㋭"/>
      <sheetName val="단면_(䑰ᑻ"/>
      <sheetName val="매입(1~3월)"/>
      <sheetName val="매입(10~12월)"/>
      <sheetName val="매입(4~6월)"/>
      <sheetName val="매입(7~9월)"/>
      <sheetName val="기계공사"/>
      <sheetName val="공사비총"/>
      <sheetName val="내역서2안"/>
      <sheetName val="패널"/>
      <sheetName val="대비2"/>
      <sheetName val="2000년 공정표"/>
      <sheetName val="대가목록"/>
      <sheetName val="01AC"/>
      <sheetName val="도로포장면적산출(1)"/>
      <sheetName val="우수관연장및터파기고"/>
      <sheetName val="단가비교"/>
      <sheetName val="할증 "/>
      <sheetName val="구조물토적"/>
      <sheetName val="중간부"/>
      <sheetName val="CAL(1)."/>
      <sheetName val="견적산출"/>
      <sheetName val="3.1.1 마루높이결정"/>
      <sheetName val="콘_재료분리(1)"/>
      <sheetName val="내역-1"/>
      <sheetName val="샤워실위생"/>
      <sheetName val="교량전기"/>
      <sheetName val="기성 (2)"/>
      <sheetName val="실행갑지"/>
      <sheetName val="총(신설)"/>
      <sheetName val="노임단가자료"/>
      <sheetName val="정보요약"/>
      <sheetName val="BEND_LOSS"/>
      <sheetName val="2월_노임대장"/>
      <sheetName val="강관_및_부속"/>
      <sheetName val="2@_BOX"/>
      <sheetName val="현장"/>
      <sheetName val="3.바닥판  "/>
      <sheetName val="작업내용 (종합)"/>
      <sheetName val="작업사항(추가)"/>
      <sheetName val="계좌입금의뢰서(서암)"/>
      <sheetName val="청구집계"/>
      <sheetName val="계좌입금의뢰서(장안)"/>
      <sheetName val="계좌입금의뢰서(장안) (출력용)"/>
      <sheetName val="1.노무비(직영)-서암"/>
      <sheetName val="1.노무비(직영)-장안"/>
      <sheetName val="노무대장(직영)-서암"/>
      <sheetName val="노무대장(직영)-장안"/>
      <sheetName val="노무대장(직영)-장안(직영)"/>
      <sheetName val="노무대장(직영)-장안(제초)"/>
      <sheetName val="노무대장(직영)-장안(예초)"/>
      <sheetName val="1.노무비 (대영)"/>
      <sheetName val="노무대장(대영)"/>
      <sheetName val="노무대장(직영)-장안 (직영)"/>
      <sheetName val="노무대장(직영)-장안 (제초 및 잔디)"/>
      <sheetName val="노무대장(직영)-장안 (예초)"/>
      <sheetName val="재료비(세부) "/>
      <sheetName val="3.외주비"/>
      <sheetName val="4.운반비"/>
      <sheetName val="4-1운반비기안문서"/>
      <sheetName val="4-2주간운반비"/>
      <sheetName val="5.장비비"/>
      <sheetName val="장비사용내역"/>
      <sheetName val="6.현장관리비"/>
      <sheetName val="전도금사용내역서"/>
      <sheetName val="7.안전관리비"/>
      <sheetName val="7-1안전관리비상세"/>
      <sheetName val="8.간접노무비"/>
      <sheetName val="9.기타경비"/>
      <sheetName val="기타경비 세부"/>
      <sheetName val="적용건축"/>
      <sheetName val="단가입력"/>
      <sheetName val="최종전사PL"/>
      <sheetName val="접속도로집계"/>
      <sheetName val="터파기??료"/>
      <sheetName val="CAL."/>
      <sheetName val="설비비2"/>
      <sheetName val="설비비5"/>
      <sheetName val="설비비6"/>
      <sheetName val="설비비1"/>
      <sheetName val="가로등위치"/>
      <sheetName val="공제량"/>
      <sheetName val="지장물건일위대가"/>
      <sheetName val="자판실행"/>
      <sheetName val="신당동집계표"/>
      <sheetName val="1.일위대가"/>
      <sheetName val="부안일위"/>
      <sheetName val="일반전기(가설, 접지)"/>
      <sheetName val="99년하반기"/>
      <sheetName val="4.1DNR기계(공법)"/>
      <sheetName val="설원"/>
      <sheetName val="TEST1"/>
      <sheetName val="노임 단가"/>
      <sheetName val="집행내역(190403)"/>
      <sheetName val="데이터"/>
      <sheetName val="사업총괄"/>
      <sheetName val="전등설비"/>
      <sheetName val="Macro"/>
      <sheetName val="LD TX"/>
      <sheetName val="신공항A-9(원가수정)"/>
      <sheetName val="junggi"/>
      <sheetName val="수목조서 "/>
      <sheetName val="제수,우수,통신,소화전물건조서"/>
      <sheetName val="한전주물건조서"/>
      <sheetName val="지장물적용유무"/>
      <sheetName val="RDP2"/>
      <sheetName val="12CGOU"/>
      <sheetName val="SP-B1"/>
      <sheetName val="base"/>
      <sheetName val="계획금액"/>
      <sheetName val="분석대장"/>
      <sheetName val="단가조사표(노무비)"/>
      <sheetName val="제수변수량"/>
      <sheetName val="제조원가"/>
      <sheetName val="설비원가"/>
      <sheetName val="L_RPTB03_01"/>
      <sheetName val="A5"/>
      <sheetName val="주안3차A-A"/>
      <sheetName val="1호맨홀가감수량"/>
      <sheetName val="______PROJECT_hb___1__________2"/>
      <sheetName val="환율및유가"/>
      <sheetName val="총괄철근집계표"/>
      <sheetName val="현장관리"/>
      <sheetName val="앉음벽 (2)"/>
      <sheetName val="전체_1설계"/>
      <sheetName val="공정증감대ㅈ표"/>
      <sheetName val="단면계수(상부)"/>
      <sheetName val="휴지통"/>
      <sheetName val="도담구내 개소별 명세"/>
      <sheetName val="산출서"/>
      <sheetName val="인버트단위수량"/>
      <sheetName val="2.1  노무비 평균단가산출"/>
      <sheetName val="Resource2"/>
      <sheetName val="표준건축비"/>
      <sheetName val="작성방법"/>
      <sheetName val="4.전기"/>
      <sheetName val="적점"/>
      <sheetName val="반중력식옹벽"/>
      <sheetName val="98지급계획"/>
      <sheetName val="기성갑지"/>
      <sheetName val="동물이동통로"/>
      <sheetName val="토사절취"/>
      <sheetName val="우석문틀"/>
      <sheetName val="접속도수량집계표"/>
      <sheetName val="YOEMAGUM"/>
      <sheetName val="TYPE-1"/>
      <sheetName val="치수표"/>
      <sheetName val="포장공집"/>
      <sheetName val="AS복구"/>
      <sheetName val="중기터파기"/>
      <sheetName val="중기상차"/>
      <sheetName val="편입토지조서"/>
      <sheetName val="내역(가지)"/>
      <sheetName val="수량산출서집계"/>
      <sheetName val="우수받이수량산출"/>
      <sheetName val="집수정수량집계"/>
      <sheetName val="각종측구수량집계"/>
      <sheetName val="옹벽철근집계표"/>
      <sheetName val="5. 현장관리비(new) "/>
      <sheetName val="1-3.조건,바닥판 "/>
      <sheetName val="재적표"/>
      <sheetName val="401"/>
      <sheetName val="NAI"/>
      <sheetName val="공사비총괄"/>
      <sheetName val="상반기손익차2총괄"/>
      <sheetName val="95년12월말"/>
      <sheetName val="DA"/>
      <sheetName val="관로토공(보통암)"/>
      <sheetName val="관로토공(연암)"/>
      <sheetName val="관로토공(토사)"/>
      <sheetName val="관로토공(풍화암)"/>
      <sheetName val="리핑암"/>
      <sheetName val="보통암"/>
      <sheetName val="연결관조서 (토사)"/>
      <sheetName val="연결관수량"/>
      <sheetName val="연암"/>
      <sheetName val="우수받이BOX토공"/>
      <sheetName val="우수받이관로토공"/>
      <sheetName val="토사"/>
      <sheetName val="집수정단면도 (2)"/>
      <sheetName val="도색집계"/>
      <sheetName val="접속도로1"/>
      <sheetName val="수량산출목록표"/>
      <sheetName val="공종별예산조서"/>
      <sheetName val="만년달력"/>
      <sheetName val="퍼스트"/>
      <sheetName val="예산총괄"/>
      <sheetName val="0303"/>
      <sheetName val="spc 배관견적"/>
      <sheetName val="앉음벽_(2)"/>
      <sheetName val="도담구내_개소별_명세"/>
      <sheetName val="2_1__노무비_평균단가산출"/>
      <sheetName val="4_전기"/>
      <sheetName val="P_M_별"/>
      <sheetName val="설산1_나"/>
      <sheetName val="5__현장관리비(new)_"/>
      <sheetName val="1_취수장"/>
      <sheetName val="1-3_조건,바닥판_"/>
      <sheetName val="안양동교_1안"/>
      <sheetName val="연결관조서_(토사)"/>
      <sheetName val="관리비비계상"/>
      <sheetName val="예가내역서"/>
      <sheetName val="검토"/>
      <sheetName val="LG제품"/>
      <sheetName val="cable _x0003_謀䀃읋戂"/>
      <sheetName val="음_x0000__x0000_Ԁ"/>
      <sheetName val="항_x0000_"/>
      <sheetName val="CONSTRUCTION COMPON³_x0000_Ԁ"/>
      <sheetName val="공사내역서(을)실¬"/>
      <sheetName val="재정비내역"/>
      <sheetName val="지적고시내역"/>
      <sheetName val="판정1교토공"/>
      <sheetName val="간노_콘"/>
      <sheetName val="수목데이타 "/>
      <sheetName val="원가총괄"/>
      <sheetName val="A LINE"/>
      <sheetName val="현장조사"/>
      <sheetName val="총괄집계표"/>
      <sheetName val="맨홀조서"/>
      <sheetName val="오수표시테이프단위수량"/>
      <sheetName val="공사비증감(P4) "/>
      <sheetName val="기구조직"/>
      <sheetName val="TOTAL1"/>
      <sheetName val="수목데이타"/>
      <sheetName val=" 토목 처리장도급내역서 "/>
      <sheetName val="수목보호틀연장조서"/>
      <sheetName val="콘크리트포장철거"/>
      <sheetName val="공종검토(1순위4공종)"/>
      <sheetName val="공종검토(4순위8공종) "/>
      <sheetName val="공종검토(7순위3공종)"/>
      <sheetName val="공종검토(8순위9공종)"/>
      <sheetName val="공종검토(27순위24공종)"/>
      <sheetName val="제원입력"/>
      <sheetName val="재"/>
      <sheetName val="자"/>
      <sheetName val="실적(휴양)"/>
      <sheetName val="투찰내역서"/>
      <sheetName val="터널패턴구성"/>
      <sheetName val="Macro(조도)"/>
      <sheetName val="받이700"/>
      <sheetName val="분기관표식단위수량"/>
      <sheetName val="sand토적"/>
      <sheetName val="토목수량(공정)"/>
      <sheetName val="자금청구"/>
      <sheetName val="新철폐복2"/>
      <sheetName val="新철폐복3"/>
      <sheetName val="주공기준"/>
      <sheetName val="99 조정금액"/>
      <sheetName val="동일리 권리자명부"/>
      <sheetName val="면적평당공사비"/>
      <sheetName val="말고개터널조명전압강하"/>
      <sheetName val="부관맨홀조서"/>
      <sheetName val="신대방33(적용)"/>
      <sheetName val="시설물일위"/>
      <sheetName val="시멘트 및 골재량산출"/>
      <sheetName val="영업권조서"/>
      <sheetName val="토지조서"/>
      <sheetName val="노임단"/>
      <sheetName val="증명지번목록"/>
      <sheetName val="3연box"/>
      <sheetName val="물건조서"/>
      <sheetName val="계정별실적"/>
      <sheetName val="안정검토(온1)"/>
      <sheetName val="투찰금액"/>
      <sheetName val="추정설계"/>
      <sheetName val="2설계 (웅촌고연)"/>
      <sheetName val="토목내역서"/>
      <sheetName val="작업금지"/>
      <sheetName val="가압장구체수량산출서"/>
      <sheetName val="유입수문철근집계"/>
      <sheetName val="7급줄떼"/>
      <sheetName val="별첨4_전담운영PM(1)"/>
      <sheetName val="보호공"/>
      <sheetName val="원가계산 (2)"/>
      <sheetName val="주현(해보)"/>
      <sheetName val="주현(영광)"/>
      <sheetName val="포장총괄집계표"/>
      <sheetName val="5.정산서"/>
      <sheetName val="이설도로유용토"/>
      <sheetName val="구간별"/>
      <sheetName val="자가"/>
      <sheetName val="공양식"/>
      <sheetName val="이름표"/>
      <sheetName val="토지가격산출기초"/>
      <sheetName val="공시지가"/>
      <sheetName val="내역서(기성청구)"/>
      <sheetName val="5지진시"/>
      <sheetName val="여비"/>
      <sheetName val="규격"/>
      <sheetName val="교각"/>
      <sheetName val="2공종별예산조서"/>
      <sheetName val="노무단가"/>
      <sheetName val="호안공재료집계표"/>
      <sheetName val="A1(토공)"/>
      <sheetName val="A1(구조물)"/>
      <sheetName val="수량집계(1)"/>
      <sheetName val="철근집계표"/>
      <sheetName val="토공산근"/>
      <sheetName val="봉산운반"/>
      <sheetName val="24분기"/>
      <sheetName val="총괄내역서(도급)"/>
      <sheetName val="00임금"/>
      <sheetName val="복주일위대가"/>
      <sheetName val="8.1.에너지"/>
      <sheetName val="덧씌우기구간수량산출1"/>
      <sheetName val="新철폐복"/>
      <sheetName val="중사"/>
      <sheetName val="재료값"/>
      <sheetName val="3_공통공사_x0000_隒"/>
      <sheetName val="건공요율"/>
      <sheetName val="공종별내역서"/>
      <sheetName val="2019 단가내역"/>
      <sheetName val="신규일위대가목록"/>
      <sheetName val="신규일위대가"/>
      <sheetName val="신규자재단가조서"/>
      <sheetName val="현황사진"/>
      <sheetName val="수량-1순위(2차)TOTAL"/>
      <sheetName val="본관 관리동 공동구 1순위"/>
      <sheetName val="3계열 침전지 공동구 1순위"/>
      <sheetName val="착수정 공동구 1순위"/>
      <sheetName val="송수실 공동구 1순위"/>
      <sheetName val="1(자양배관실)"/>
      <sheetName val="1(자양계단실)"/>
      <sheetName val="1(자양외벽)"/>
      <sheetName val="직접시공계획서"/>
      <sheetName val="공사기본자료"/>
      <sheetName val="자재집게표 "/>
      <sheetName val="수배전반"/>
      <sheetName val="의뢰서"/>
      <sheetName val="전체공내역서"/>
      <sheetName val="마포토정"/>
      <sheetName val="1.시험비"/>
      <sheetName val="산출근거#2-3"/>
      <sheetName val=" 갑  지 "/>
      <sheetName val="기단"/>
      <sheetName val="10"/>
      <sheetName val="12"/>
      <sheetName val="13"/>
      <sheetName val="14"/>
      <sheetName val="16"/>
      <sheetName val="7"/>
      <sheetName val="8"/>
      <sheetName val="9"/>
      <sheetName val="투자비"/>
      <sheetName val="사업비"/>
      <sheetName val="조성원가DATA"/>
      <sheetName val="공구원가계산"/>
      <sheetName val="BM"/>
      <sheetName val="Elec LG"/>
      <sheetName val="TOYO"/>
      <sheetName val="사업량총괄"/>
      <sheetName val="UNIT-QT"/>
      <sheetName val="JUCK"/>
      <sheetName val="합의경상"/>
      <sheetName val="MEXICO-C"/>
      <sheetName val="송장"/>
      <sheetName val="장비내역서"/>
      <sheetName val="부하LOAD"/>
      <sheetName val="날개벽(TYPE3)"/>
      <sheetName val="2공구수량"/>
      <sheetName val="부하(반월)"/>
      <sheetName val="청구내역(9807)"/>
      <sheetName val="유동표(변경)"/>
      <sheetName val="가설건물"/>
      <sheetName val="공통(20-91)"/>
      <sheetName val="공용시설내역"/>
      <sheetName val="변경실행(2차) "/>
      <sheetName val="L-type"/>
      <sheetName val="부하(성남)"/>
      <sheetName val="외천교"/>
      <sheetName val="자재수량"/>
      <sheetName val="Macro(AT)"/>
      <sheetName val="동력부하(도산)"/>
      <sheetName val="MACRO(MCC)"/>
      <sheetName val="토공A"/>
      <sheetName val="5. 차단기 용량계산"/>
      <sheetName val="CA지입"/>
      <sheetName val="관리사무소"/>
      <sheetName val="다이꾸"/>
      <sheetName val="cost"/>
      <sheetName val="품의서"/>
      <sheetName val="FEXS"/>
      <sheetName val="7.1유효폭"/>
      <sheetName val="기계실"/>
      <sheetName val="입고장부 (4)"/>
      <sheetName val="EJ"/>
      <sheetName val="W-현원가"/>
      <sheetName val="조명율데이타"/>
      <sheetName val="매크로"/>
      <sheetName val="외주가공"/>
      <sheetName val="대구실행"/>
      <sheetName val="현장지지물물량"/>
      <sheetName val="현장관리비내역서"/>
      <sheetName val="J"/>
      <sheetName val="협조전"/>
      <sheetName val="지진시"/>
      <sheetName val="맨홀수량집계"/>
      <sheetName val="MBR9"/>
      <sheetName val="전력구구조물산근2구간"/>
      <sheetName val="BQ(실행)"/>
      <sheetName val="유동표"/>
      <sheetName val="LOAD-AY"/>
      <sheetName val="bearing"/>
      <sheetName val="굴착현장"/>
      <sheetName val="1공구(을)"/>
      <sheetName val="Cost bd-&quot;A&quot;"/>
      <sheetName val="L_RPTA05_목록"/>
      <sheetName val="IMP(MAIN)"/>
      <sheetName val="IMP (REACTOR)"/>
      <sheetName val="환률"/>
      <sheetName val="RAHMEN"/>
      <sheetName val="Languages"/>
      <sheetName val="명단원자료(이전)"/>
      <sheetName val="옹벽기초자료"/>
      <sheetName val="경상비"/>
      <sheetName val="실행예산"/>
      <sheetName val="현금"/>
      <sheetName val="부하(도서)"/>
      <sheetName val="E.P.T수량산출서"/>
      <sheetName val="타공종이기"/>
      <sheetName val="????"/>
      <sheetName val="Process"/>
      <sheetName val="C1ㅇ"/>
      <sheetName val="DG-LAP6"/>
      <sheetName val="工완성공사율"/>
      <sheetName val="96작생능"/>
      <sheetName val="견적정보"/>
      <sheetName val="토공(완충)"/>
      <sheetName val="가로등제어반 설치공사(수량)"/>
      <sheetName val="발신정보"/>
      <sheetName val="단가표 "/>
      <sheetName val="K"/>
      <sheetName val="내역서비교"/>
      <sheetName val="기성집계"/>
      <sheetName val="설계서(설치)"/>
      <sheetName val="Picture"/>
      <sheetName val="직원동원SCH"/>
      <sheetName val="전압강하계산"/>
      <sheetName val="양식"/>
      <sheetName val="ROOF(ALKALI)"/>
      <sheetName val="정산입력"/>
      <sheetName val="계산근거"/>
      <sheetName val="내역(2000년)"/>
      <sheetName val="Dae_Jiju"/>
      <sheetName val="Sikje_ingun"/>
      <sheetName val="TREE_D"/>
      <sheetName val="원데이타"/>
      <sheetName val="22-2M단"/>
      <sheetName val="22-1소단"/>
      <sheetName val="CATV"/>
      <sheetName val="조명률표"/>
      <sheetName val="설계자료"/>
      <sheetName val="아산추가1220"/>
      <sheetName val="교량명원본"/>
      <sheetName val="BOX제원원본"/>
      <sheetName val="표지판현황"/>
      <sheetName val="회사99"/>
      <sheetName val="노원열병합__건축공사기성내역서"/>
      <sheetName val="철근정산"/>
      <sheetName val="호안공"/>
      <sheetName val="TYPE-B 평균H"/>
      <sheetName val="실행품의서"/>
      <sheetName val="OZ049E"/>
      <sheetName val="토공및부대2차"/>
      <sheetName val="단위내역서"/>
      <sheetName val="처리단락"/>
      <sheetName val="LD"/>
      <sheetName val="약전닥트"/>
      <sheetName val="건축부하"/>
      <sheetName val="일지-H"/>
      <sheetName val="FA설치명세"/>
      <sheetName val="김포IO"/>
      <sheetName val="물량산출_LP-1"/>
      <sheetName val="물량산출_LP-2"/>
      <sheetName val="물량산출_LP-3"/>
      <sheetName val="물량산출_LP-4"/>
      <sheetName val="LXLIST1"/>
      <sheetName val="와동25-3(변경)"/>
      <sheetName val="96수출"/>
      <sheetName val="내역(정지)"/>
      <sheetName val="L형측구단위수량"/>
      <sheetName val="L형측구연장조서"/>
      <sheetName val="도로경계블럭단위수량"/>
      <sheetName val="도로경계블럭단위토공"/>
      <sheetName val="단가산출집계"/>
      <sheetName val="주사무실종합"/>
      <sheetName val="SRC-B3U2"/>
      <sheetName val="비대칭계수"/>
      <sheetName val="전동기 SPEC"/>
      <sheetName val="일반맨홀수량집계(A-7 LINE)"/>
      <sheetName val="변경실행(2차)_"/>
      <sheetName val="토공산출(주차장)"/>
      <sheetName val="매입"/>
      <sheetName val="토공산출 (아파트)"/>
      <sheetName val="운용방안"/>
      <sheetName val="월선수금"/>
      <sheetName val="8. 내진해석"/>
      <sheetName val="LEVEL0~4"/>
      <sheetName val="__Isyou_c_PJT_2000_R_6_____Fi_2"/>
      <sheetName val="PROJECT COST ESTIMATE (cont)"/>
      <sheetName val="일위대가(원본)"/>
      <sheetName val="집행(2-1)"/>
      <sheetName val="조명율"/>
      <sheetName val="Cost_bd-&quot;A&quot;"/>
      <sheetName val="사용자정의"/>
      <sheetName val="제품표준규격"/>
      <sheetName val="환율-LIBOR"/>
      <sheetName val="견적시담(송포2공구)"/>
      <sheetName val="출근부"/>
      <sheetName val="견적내역서"/>
      <sheetName val="견적접수"/>
      <sheetName val="오산갈곳"/>
      <sheetName val="#230,#235"/>
      <sheetName val="5공철탑검토표"/>
      <sheetName val="4공철탑검토"/>
      <sheetName val="설계내역(2001)"/>
      <sheetName val="아파트 "/>
      <sheetName val="잡비"/>
      <sheetName val="SE-611"/>
      <sheetName val="1을"/>
      <sheetName val="장비당단가 (1)"/>
      <sheetName val="선로정수계산"/>
      <sheetName val="관세,통관수수료,운반비"/>
      <sheetName val="경영혁신본부"/>
      <sheetName val="nomi "/>
      <sheetName val="3-1.CB"/>
      <sheetName val="MCC제원"/>
      <sheetName val="SUM (INQNO."/>
      <sheetName val="99.6"/>
      <sheetName val="자료(통합)"/>
      <sheetName val="대상공사(조달청)"/>
      <sheetName val="토목변경"/>
      <sheetName val="집수정단"/>
      <sheetName val="총계"/>
      <sheetName val="99관저"/>
      <sheetName val="관람석제출"/>
      <sheetName val="시설C"/>
      <sheetName val="사진"/>
      <sheetName val="2.내역서"/>
      <sheetName val="6.교좌면보강"/>
      <sheetName val="수로집계"/>
      <sheetName val="1차증가원가계산"/>
      <sheetName val="STORAGE"/>
      <sheetName val="TYPE-U800"/>
      <sheetName val="구동"/>
      <sheetName val="TOTAL인원"/>
      <sheetName val="Design Q'ty"/>
      <sheetName val="설계내"/>
      <sheetName val="조도계산(가로등NEW)"/>
      <sheetName val="L형옹벽측구"/>
      <sheetName val="MFAB"/>
      <sheetName val="MFRT"/>
      <sheetName val="MPKG"/>
      <sheetName val="MPRD"/>
      <sheetName val="전기설계변경"/>
      <sheetName val="참조(2)"/>
      <sheetName val="BR.1(원)"/>
      <sheetName val="예산서(6)"/>
      <sheetName val="COMPRESSOR"/>
      <sheetName val="WIND-EQ"/>
      <sheetName val="견적업체"/>
      <sheetName val="02 SLAB"/>
      <sheetName val="05 BOX"/>
      <sheetName val="---FAB#1업무일지---"/>
      <sheetName val="06_공정표"/>
      <sheetName val="D-3503"/>
      <sheetName val="물량산출근거"/>
      <sheetName val="FACTOR"/>
      <sheetName val="GRDBS"/>
      <sheetName val="전기품산출"/>
      <sheetName val="방음벽 기초 일반수량"/>
      <sheetName val="G.R300경비"/>
      <sheetName val="K1자재(3차등)"/>
      <sheetName val="____"/>
      <sheetName val="card1"/>
      <sheetName val="분석가정"/>
      <sheetName val="ATS단가"/>
      <sheetName val=" 내역"/>
      <sheetName val="순환펌프"/>
      <sheetName val="저수조"/>
      <sheetName val="급,배기팬"/>
      <sheetName val="급탕순환펌프"/>
      <sheetName val="4b Consolidated PL"/>
      <sheetName val="Proposal"/>
      <sheetName val="Oper Amount"/>
      <sheetName val="DATA(BAC)"/>
      <sheetName val="주형지지보"/>
      <sheetName val="현황CODE"/>
      <sheetName val="손익현황"/>
      <sheetName val="PLAN_FEB97"/>
      <sheetName val="LAB"/>
      <sheetName val="노원열병합__건축공사기성내역서1"/>
      <sheetName val="조도계산서_(도서)"/>
      <sheetName val="입고장부_(4)"/>
      <sheetName val="IMP_(REACTOR)"/>
      <sheetName val="7_1유효폭"/>
      <sheetName val="5__차단기_용량계산"/>
      <sheetName val="가로등제어반_설치공사(수량)"/>
      <sheetName val="E_P_T수량산출서"/>
      <sheetName val="단가표_"/>
      <sheetName val="3-1_CB"/>
      <sheetName val="2월가격표-ESG-1월"/>
      <sheetName val="가설경비"/>
      <sheetName val="여흥"/>
      <sheetName val="Sheet16 (2)"/>
      <sheetName val="일반수량총괄"/>
      <sheetName val="통신부문노무임"/>
      <sheetName val="5. 설계명세서"/>
      <sheetName val="SELTDATA"/>
      <sheetName val="구리토평1전기"/>
      <sheetName val="지표"/>
      <sheetName val="교량하부공"/>
      <sheetName val="21301동"/>
      <sheetName val="공종별 집계"/>
      <sheetName val="횡배수관단위수량"/>
      <sheetName val="L형옹벽(key)"/>
      <sheetName val="샘플표지"/>
      <sheetName val="총공사집계"/>
      <sheetName val="대가집계(1)"/>
      <sheetName val="대가집계"/>
      <sheetName val="집계(1)"/>
      <sheetName val="단가산출(1)"/>
      <sheetName val="대가표"/>
      <sheetName val="대가"/>
      <sheetName val="사토정산현황"/>
      <sheetName val="위치도"/>
      <sheetName val="단가대비표(미첨부)"/>
      <sheetName val="토적표(길명리)"/>
      <sheetName val="사토(토사)"/>
      <sheetName val="사토(리핑)"/>
      <sheetName val="사토(발파)"/>
      <sheetName val="사토(발파) (2)"/>
      <sheetName val="운반거리표"/>
      <sheetName val="자금총괄"/>
      <sheetName val="현장별청구"/>
      <sheetName val="자금집행집계표"/>
      <sheetName val="장비비"/>
      <sheetName val="미불금청구내역(민)"/>
      <sheetName val="카메라"/>
      <sheetName val="카메라2"/>
      <sheetName val="1회"/>
      <sheetName val="1회분"/>
      <sheetName val="2회"/>
      <sheetName val="2회분"/>
      <sheetName val="3회"/>
      <sheetName val="3회분"/>
      <sheetName val="4회"/>
      <sheetName val="4회분"/>
      <sheetName val="5회"/>
      <sheetName val="5회분"/>
      <sheetName val="6회"/>
      <sheetName val="6회분"/>
      <sheetName val="회"/>
      <sheetName val="회분"/>
      <sheetName val="1~5회분"/>
      <sheetName val="현장별집행"/>
      <sheetName val="10월식대(직영)"/>
      <sheetName val="9월철근공"/>
      <sheetName val="10월철근공 "/>
      <sheetName val="9월목공 "/>
      <sheetName val="10월목공 "/>
      <sheetName val="10월식대"/>
      <sheetName val="11월식대"/>
      <sheetName val="식대(5회)"/>
      <sheetName val="자금총괄(민)"/>
      <sheetName val="현장별자금청구(10)"/>
      <sheetName val="현장별청구(민)"/>
      <sheetName val="자금청구집계표"/>
      <sheetName val="자금청구집계표(민)"/>
      <sheetName val="자금청구(민2)"/>
      <sheetName val="하도자기성고(갑)"/>
      <sheetName val="하도자기성고(을)"/>
      <sheetName val="유류대"/>
      <sheetName val="중기가동"/>
      <sheetName val="미불금청구내역"/>
      <sheetName val="미불금(민)"/>
      <sheetName val="공사별 사정분석표-ㅌ"/>
      <sheetName val="자금청구내역"/>
      <sheetName val="자금청구서"/>
      <sheetName val="월기성검토서"/>
      <sheetName val="부대대비"/>
      <sheetName val="냉연집계"/>
      <sheetName val="2011년"/>
      <sheetName val="내역서(총)"/>
      <sheetName val="예산M12A"/>
      <sheetName val="BOQ건축"/>
      <sheetName val="beam"/>
      <sheetName val="APT내역"/>
      <sheetName val="감가상각"/>
      <sheetName val="CI_GL Mapping"/>
      <sheetName val="3본사"/>
      <sheetName val="운영 비용(Infra)-원가"/>
      <sheetName val="금액집계"/>
      <sheetName val="평형공사비"/>
      <sheetName val="NEWDRAW"/>
      <sheetName val="영업.일"/>
      <sheetName val="매부산출"/>
      <sheetName val="현관"/>
      <sheetName val="WORKSHOP"/>
      <sheetName val="동해title"/>
      <sheetName val="예산M2"/>
      <sheetName val="기성내역서표지"/>
      <sheetName val="예산변경사항"/>
      <sheetName val="분양금할인"/>
      <sheetName val="충주"/>
      <sheetName val="제출내역 (2)"/>
      <sheetName val="영업.일1"/>
      <sheetName val="coll#"/>
      <sheetName val="경상비내역"/>
      <sheetName val="총요약서"/>
      <sheetName val="저"/>
      <sheetName val="일반관리비"/>
      <sheetName val="1월"/>
      <sheetName val="사토(발파)_(2)"/>
      <sheetName val="10월철근공_"/>
      <sheetName val="9월목공_"/>
      <sheetName val="10월목공_"/>
      <sheetName val="공사별_사정분석표-ㅌ"/>
      <sheetName val="CI_GL_Mapping"/>
      <sheetName val="운영_비용(Infra)-원가"/>
      <sheetName val="최초침전지집계표"/>
      <sheetName val="Macro1 (2)"/>
      <sheetName val="Constant"/>
      <sheetName val="명단"/>
      <sheetName val="Code03"/>
      <sheetName val="입력그림"/>
      <sheetName val="3_공통공사_x0000_庘"/>
      <sheetName val="사기성 (2)"/>
      <sheetName val="기준비용"/>
      <sheetName val="MAT_N048"/>
      <sheetName val="견적(02.07)"/>
      <sheetName val="개인토지"/>
      <sheetName val="IMF Code"/>
      <sheetName val="Gia VLNCMTC"/>
      <sheetName val="WT-LIST"/>
      <sheetName val="스케즐"/>
      <sheetName val="VALUATESheet13"/>
      <sheetName val="L형집계"/>
      <sheetName val="전도금정산집계"/>
      <sheetName val="은행코드"/>
      <sheetName val="게비온"/>
      <sheetName val="관정"/>
      <sheetName val="배수관 날개벽"/>
      <sheetName val="box날개"/>
      <sheetName val="방호벽"/>
      <sheetName val="절단"/>
      <sheetName val="아스팔트포장"/>
      <sheetName val="U형측구"/>
      <sheetName val="J형측구"/>
      <sheetName val="진입로"/>
      <sheetName val="판매.DAT"/>
      <sheetName val="4.04건축(건축-주계약내역서)"/>
      <sheetName val="예정공정표 "/>
      <sheetName val="4.고용보험"/>
      <sheetName val="암센터"/>
      <sheetName val="수정계획3"/>
      <sheetName val="부재별산출서"/>
      <sheetName val="구체단위"/>
      <sheetName val="수목일위"/>
      <sheetName val="1호맨홀자연토공"/>
      <sheetName val="월별수입"/>
      <sheetName val="k2 foundation"/>
      <sheetName val="노면표시1"/>
      <sheetName val="산출3-전등"/>
      <sheetName val="산출4-조명제어"/>
      <sheetName val="산출5-전열"/>
      <sheetName val="산출7-유도등"/>
      <sheetName val="15-3)VE제안서(가치향_x0000_隒_x0000__x0000_"/>
      <sheetName val="01_Summary"/>
      <sheetName val="03_Rev_Log"/>
      <sheetName val="FAB_B01计算式"/>
      <sheetName val="5_물량산출서"/>
      <sheetName val="2_재료비"/>
      <sheetName val="12_보오링"/>
      <sheetName val="18_공내수압탄성자연"/>
      <sheetName val="2_견적조건_정보"/>
      <sheetName val="슬래브일반(포항방향_B=12_3m)"/>
      <sheetName val="6_7현장운영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단면(RW1)"/>
      <sheetName val="YES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2000.11월설계내역"/>
      <sheetName val="소야공정계획표"/>
      <sheetName val="기숙사"/>
      <sheetName val="화장실"/>
      <sheetName val="총집계-1"/>
      <sheetName val="총집계-2"/>
      <sheetName val="원가-1"/>
      <sheetName val="원가-2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복구량산정 및 전용회선 사용"/>
      <sheetName val="호계"/>
      <sheetName val="제암"/>
      <sheetName val="월마트"/>
      <sheetName val="월드컵"/>
      <sheetName val="Sheet7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내역(설계)"/>
      <sheetName val="부대공사비"/>
      <sheetName val="현장관리비집계표"/>
      <sheetName val="주상도"/>
      <sheetName val="- INFORMATION -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JJ"/>
      <sheetName val="설 계"/>
      <sheetName val="ASP포장"/>
      <sheetName val="에너지동"/>
      <sheetName val="견적조건(을지)"/>
      <sheetName val="3차설계"/>
      <sheetName val="3.바닥판설계"/>
      <sheetName val="일위대가표 (2)"/>
      <sheetName val="Testing"/>
      <sheetName val="IP좌표"/>
      <sheetName val="부재력정리"/>
      <sheetName val="NEYOK"/>
      <sheetName val="NOMUBI"/>
      <sheetName val="원가계산서 (총괄)"/>
      <sheetName val="원가계산서 (건축)"/>
      <sheetName val="(총괄집계)"/>
      <sheetName val="단위세대"/>
      <sheetName val="가설공사내역"/>
      <sheetName val="General Data"/>
      <sheetName val="차도조도계산"/>
      <sheetName val="자재단가표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0.집계"/>
      <sheetName val="가로등부표"/>
      <sheetName val="매립"/>
      <sheetName val="BID-도로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©Áö"/>
      <sheetName val="°ßÀû¼­"/>
      <sheetName val="³»¿ª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ÀÏÀ§´ë°¡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기계경비시간당손료목록"/>
      <sheetName val="돌망태단위수량"/>
      <sheetName val="공사원가계산서)"/>
      <sheetName val="내역집계표"/>
      <sheetName val="대가집계표"/>
      <sheetName val="대가전기"/>
      <sheetName val="집계표(관급)"/>
      <sheetName val="전기내역관급"/>
      <sheetName val="도급예정1199"/>
      <sheetName val="외주대비"/>
      <sheetName val="수정실행"/>
      <sheetName val="단가산출근거"/>
      <sheetName val="현장인원투입"/>
      <sheetName val="장비투입계획"/>
      <sheetName val="외주대비-구조물"/>
      <sheetName val="외주대비 -석축"/>
      <sheetName val="외주대비-구조물 (2)"/>
      <sheetName val="견적표지 (3)"/>
      <sheetName val="정태현"/>
      <sheetName val="입찰결과(DATA)"/>
      <sheetName val="발주설계서(당초)"/>
      <sheetName val="일위대가 집계표"/>
      <sheetName val="횡배수관토공수량"/>
      <sheetName val="제원.설계조건"/>
      <sheetName val="가공비"/>
      <sheetName val="투자효율분석"/>
      <sheetName val="단락전류-A"/>
      <sheetName val="DPRKMHDT"/>
      <sheetName val="출력-내역서"/>
      <sheetName val="날개벽(TYPE1)"/>
      <sheetName val="견적서세부내용"/>
      <sheetName val="견적내용입력"/>
      <sheetName val="일반맨홀수량집계"/>
      <sheetName val="EUPDAT2"/>
      <sheetName val="공사비내역서"/>
      <sheetName val="공사비 내역 (가)"/>
      <sheetName val="Top PO"/>
      <sheetName val="공종"/>
      <sheetName val="방송노임"/>
      <sheetName val="날개벽(좌,우=45도,75도)"/>
      <sheetName val="모델링"/>
      <sheetName val="mcc일위대가"/>
      <sheetName val="원본"/>
      <sheetName val="2006기계경비산출표"/>
      <sheetName val="고창터널(고창방향)"/>
      <sheetName val="아파트기별"/>
      <sheetName val="공리일"/>
      <sheetName val="예산갑지"/>
      <sheetName val="토목원가계산서"/>
      <sheetName val="토목원가"/>
      <sheetName val="집계장"/>
      <sheetName val="제외공종"/>
      <sheetName val="기계원가계산서"/>
      <sheetName val="기계원가"/>
      <sheetName val="가설내역"/>
      <sheetName val="갑지(가로)"/>
      <sheetName val="표지목차간지"/>
      <sheetName val="예산조서-총괄"/>
      <sheetName val="예산조서-신공항1"/>
      <sheetName val="가설물"/>
      <sheetName val="내역구성"/>
      <sheetName val="4원가"/>
      <sheetName val="임시급식"/>
      <sheetName val="옥외가스"/>
      <sheetName val="임시급식 (2)"/>
      <sheetName val="unit 4"/>
      <sheetName val="Summary Sheets"/>
      <sheetName val="일위목록-기"/>
      <sheetName val="6동"/>
      <sheetName val="Chart1"/>
      <sheetName val="단위내역목록"/>
      <sheetName val="원가(1)"/>
      <sheetName val="원가(2)"/>
      <sheetName val="통장출금액"/>
      <sheetName val="VA_code"/>
      <sheetName val="공종별원가계산"/>
      <sheetName val="연결관산출조서"/>
      <sheetName val="외주"/>
      <sheetName val="BASIC (2)"/>
      <sheetName val="참조-(1)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일집"/>
      <sheetName val="Tot-sum"/>
      <sheetName val="노원열병합  건축렀こ렀䡟ԯ_x0000_缀"/>
      <sheetName val="노원열병합  건축렀䡟ԯ_x0000_缀_x0000__x0000_"/>
      <sheetName val="노원열병합  건축︀ᇕ԰_x0000_缀_x0000__x0000_"/>
      <sheetName val="노원열병합  건축ﻕᇕ԰_x0000_缀_x0000__x0000_"/>
      <sheetName val="2.노무비명세서(난간대)"/>
      <sheetName val="2.사진대지"/>
      <sheetName val=" 견적서"/>
      <sheetName val="(2)"/>
      <sheetName val="3.사진대지"/>
      <sheetName val="22단가(철거)"/>
      <sheetName val="49단가"/>
      <sheetName val="49단가(철거)"/>
      <sheetName val="22단가"/>
      <sheetName val="적용공정"/>
      <sheetName val="금리계산"/>
      <sheetName val="맨홀"/>
      <sheetName val="49-119"/>
      <sheetName val="관로"/>
      <sheetName val="공기변수량"/>
      <sheetName val="PO-BOQ"/>
      <sheetName val="의왕내역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검사조서"/>
      <sheetName val="집계(총괄)"/>
      <sheetName val="실적보고"/>
      <sheetName val="표준안전집계"/>
      <sheetName val="표준안전내역"/>
      <sheetName val="A갑지"/>
      <sheetName val="보도경계블럭"/>
      <sheetName val="L형옹벽"/>
      <sheetName val="내부부하"/>
      <sheetName val="Mc1"/>
      <sheetName val="2000,9월 일위"/>
      <sheetName val="과천MAIN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고등학교"/>
      <sheetName val="제1장"/>
      <sheetName val="제2장"/>
      <sheetName val="제3장"/>
      <sheetName val="견적내역"/>
      <sheetName val="주관사업"/>
      <sheetName val="진우+대광"/>
      <sheetName val="옥외"/>
      <sheetName val="가드레일산근"/>
      <sheetName val="적용2002"/>
      <sheetName val="본선토량운반계산서(1)0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정화조동내역"/>
      <sheetName val="배"/>
      <sheetName val="단위별 일위대가표"/>
      <sheetName val="제4장"/>
      <sheetName val="5장공내역서"/>
      <sheetName val="제6장"/>
      <sheetName val="직불동의서"/>
      <sheetName val="전자입찰"/>
      <sheetName val="7작업장인수인계서"/>
      <sheetName val="3특기시방서"/>
      <sheetName val="일위대가목록(1)"/>
      <sheetName val="단가대비표(1)"/>
      <sheetName val="금액결정"/>
      <sheetName val="견적의뢰서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배수문수량산출(3)"/>
      <sheetName val="기본단가"/>
      <sheetName val="LP-S"/>
      <sheetName val="보합"/>
      <sheetName val="1.¼öº¯Àü¼³ºñ"/>
      <sheetName val="2.Àü·Â°£¼±"/>
      <sheetName val="3.µ¿·Â"/>
      <sheetName val="4.Àüµî"/>
      <sheetName val="5.Àü¿­"/>
      <sheetName val="6.¾àÀü"/>
      <sheetName val="7.¼Ò¹æ"/>
      <sheetName val="8.¹æ¼Û"/>
      <sheetName val="9.Á¶¸íÁ¦¾î"/>
      <sheetName val="10.Ã¶°Å°ø»ç"/>
      <sheetName val="³²¾ç½ÃÀÛµ¿ÀÚ105³ë65±â1.3È­1.2"/>
      <sheetName val="À»"/>
      <sheetName val="ºÎÇÏ°è»ê¼­"/>
      <sheetName val="À»Áö"/>
      <sheetName val="Á¶µµ°è»ê¼­ (µµ¼­)"/>
      <sheetName val="°ßÀûÁ¶°Ç"/>
      <sheetName val="°ßÀûÁ¶°Ç(À»Áö)"/>
      <sheetName val="Á÷³ë"/>
      <sheetName val="½ÇÇà³»¿ª"/>
      <sheetName val="철거집계"/>
      <sheetName val="12월31일"/>
      <sheetName val="EQUIPMENT -2"/>
      <sheetName val="고분전시관"/>
      <sheetName val="공비대비"/>
      <sheetName val="전기2005"/>
      <sheetName val="통신2005"/>
      <sheetName val="계산식"/>
      <sheetName val="1._x0018_변전설비"/>
      <sheetName val="Macro3"/>
      <sheetName val="대구-교대(A1-A2)"/>
      <sheetName val="3.자재비(총괄)"/>
      <sheetName val="LD일"/>
      <sheetName val="SULKEA"/>
      <sheetName val="아파트건축"/>
      <sheetName val="잔수량(작성)"/>
      <sheetName val="BOQ(전체)"/>
      <sheetName val="48평단가"/>
      <sheetName val="57단가"/>
      <sheetName val="54평단가"/>
      <sheetName val="66평단가"/>
      <sheetName val="61단가"/>
      <sheetName val="89평단가"/>
      <sheetName val="84평단가"/>
      <sheetName val="적상기초자료"/>
      <sheetName val="효동"/>
      <sheetName val="CIVIL"/>
      <sheetName val="자  재"/>
      <sheetName val="°ø»ç¿ø°¡°è»ê¼­"/>
      <sheetName val="ÃÑ³»¿ª¼­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µ¿¿ø(3)"/>
      <sheetName val="¿¹Á¤(3)"/>
      <sheetName val="ÁÖÇü"/>
      <sheetName val="재정비직인"/>
      <sheetName val="시공계획"/>
      <sheetName val="현장설명서"/>
      <sheetName val="견적조건서"/>
      <sheetName val="시공일반사항"/>
      <sheetName val="현장설명서갑지"/>
      <sheetName val="하도급선정의뢰서(습식공사)"/>
      <sheetName val="36신설수량"/>
      <sheetName val="제품별"/>
      <sheetName val="사전공사"/>
      <sheetName val="소포내역 (2)"/>
      <sheetName val="특수기호강도거푸집"/>
      <sheetName val="성서방향-교대(A2)"/>
      <sheetName val="상행-교대(A1)"/>
      <sheetName val="매매"/>
      <sheetName val="전신"/>
      <sheetName val="기간등록"/>
      <sheetName val="신공"/>
      <sheetName val="저리조양"/>
      <sheetName val="기자재대비표"/>
      <sheetName val="경산(을)"/>
      <sheetName val="정화조방수미장"/>
      <sheetName val="접속슬라브"/>
      <sheetName val="공사별 가중치 산출근거(토목)"/>
      <sheetName val="가중치근거(조경)"/>
      <sheetName val="Inquiry"/>
      <sheetName val="제진기"/>
      <sheetName val="1.범위"/>
      <sheetName val="2.편성"/>
      <sheetName val="3개요"/>
      <sheetName val="5내역"/>
      <sheetName val="6.GAS"/>
      <sheetName val="7임급실"/>
      <sheetName val="미제출"/>
      <sheetName val="소방1"/>
      <sheetName val="소방2"/>
      <sheetName val="왜UP"/>
      <sheetName val="적현로"/>
      <sheetName val="산출(전주P7)"/>
      <sheetName val="H PILE수량"/>
      <sheetName val="철근량 검토"/>
      <sheetName val="TC표지"/>
      <sheetName val="유기공정"/>
      <sheetName val="변경서식"/>
      <sheetName val="STBOX"/>
      <sheetName val="공사진행"/>
      <sheetName val="Piping Design Data"/>
      <sheetName val="연습장소"/>
      <sheetName val="MACRO(전선관)"/>
      <sheetName val="기준액"/>
      <sheetName val="상세내역,전력산출서"/>
      <sheetName val="Ampecity Data"/>
      <sheetName val="3_바닥판설계"/>
      <sheetName val="교통량조사"/>
      <sheetName val="EQ-R1"/>
      <sheetName val="품목"/>
      <sheetName val="기성"/>
      <sheetName val="기성내역 진짜"/>
      <sheetName val="2회기성사정"/>
      <sheetName val="3회기성갑지"/>
      <sheetName val="3회총괄"/>
      <sheetName val="3회기성"/>
      <sheetName val="Á¡°ËÃÑ°ý"/>
      <sheetName val="»ó¼öµµÅä°øÁý°èÇ¥"/>
      <sheetName val="°ßÀû´ëºñ"/>
      <sheetName val="ÀÏÀ§´ë°¡Ç¥(À¯´Ü°¡)"/>
      <sheetName val="ÀÚÀç¸ñ·Ï"/>
      <sheetName val="20°ü¸®ºñÀ²"/>
      <sheetName val="담장산출"/>
      <sheetName val="일위대가(출입)"/>
      <sheetName val="현장관리비 "/>
      <sheetName val="aa"/>
      <sheetName val="시멘트"/>
      <sheetName val="★도급내역"/>
      <sheetName val="과세표준율-2"/>
      <sheetName val="면적분양가"/>
      <sheetName val="분양면적(1123)"/>
      <sheetName val="출력소스"/>
      <sheetName val="평교-내역"/>
      <sheetName val="노임(1차)"/>
      <sheetName val="관리,부대비"/>
      <sheetName val="실행(표지,갑,을)"/>
      <sheetName val="basic"/>
      <sheetName val="메서,변+증"/>
      <sheetName val="공사별 가중치 산출근거(건축)"/>
      <sheetName val="FAX"/>
      <sheetName val="건축개요"/>
      <sheetName val="예방접종계획"/>
      <sheetName val="MIJIBI"/>
      <sheetName val="건축직"/>
      <sheetName val="과세내역(세부)"/>
      <sheetName val="기타시설"/>
      <sheetName val="주민복지관"/>
      <sheetName val="지하주차장"/>
      <sheetName val="SCHEDULE"/>
      <sheetName val="2000_11월설계내역"/>
      <sheetName val="대,유,램"/>
      <sheetName val="목동1절주.bh01"/>
      <sheetName val="송우내역서"/>
      <sheetName val="증감분석"/>
      <sheetName val="견적서(대외) (2)"/>
      <sheetName val="__MAIN"/>
      <sheetName val="°úÃµMAIN"/>
      <sheetName val="ÅÍ³ÎÁ¶µµ"/>
      <sheetName val="1.¼³°è±âÁØ"/>
      <sheetName val="3Â÷¼³°è"/>
      <sheetName val="³ëÀÓ"/>
      <sheetName val="ÇöÈ²CODE"/>
      <sheetName val="¼ÕÀÍÇöÈ²"/>
      <sheetName val="±âµÕ(¿øÇü)"/>
      <sheetName val="¿Ëº®"/>
      <sheetName val="´Ü°¡ºñ±³Ç¥"/>
      <sheetName val="ABUT¼ö·®-A1"/>
      <sheetName val="¹ëºê¼³Ä¡"/>
      <sheetName val="3.¹Ù´ÚÆÇ¼³°è"/>
      <sheetName val="Á¶°Ç"/>
      <sheetName val="¿©Èï"/>
      <sheetName val="tÇü"/>
      <sheetName val="1.¼öº¯Àü¼³ºñ°ø»ç"/>
      <sheetName val="2. µ¿·Â¼³ºñ °ø»ç"/>
      <sheetName val="3. Á¶¸í¼³ºñ°ø»ç"/>
      <sheetName val="4. Á¢Áö¼³ºñ°ø»ç"/>
      <sheetName val="5. Åë½Å¼³ºñ °ø»ç"/>
      <sheetName val="6. Àü±â¹æ½Ä¼³ºñ°ø»ç"/>
      <sheetName val="6.Àü±â¹æ½Ä ¼³ºñ°ø»ç(2)"/>
      <sheetName val="7.¹æÈ£¼³ºñ°ø»ç"/>
      <sheetName val="8.°¡¼³Àü±â°ø»ç"/>
      <sheetName val="»êÃâ±Ù°Å"/>
      <sheetName val="Á¡¼ö°è»ê1-2"/>
      <sheetName val="ÃÑ°è"/>
      <sheetName val="¼ö¾Èº¸-MBR1"/>
      <sheetName val="ÀÔ·ÂDATA"/>
      <sheetName val="8. ¾ÈÁ¤°ËÅä"/>
      <sheetName val="ÇöÀåÁöÁö¹°¹°·®"/>
      <sheetName val="9GNG¿î¹Ý"/>
      <sheetName val="¿µ¾÷¼Ò½ÇÀû"/>
      <sheetName val="°ø»çÁøÇà"/>
      <sheetName val="°ßÀû¼­(´ë¿Ü) (2)"/>
      <sheetName val="ÀÎ°Ç-ÃøÁ¤"/>
      <sheetName val="6PILE  (µ¹Ãâ)"/>
      <sheetName val="산재 안전"/>
      <sheetName val="노무비 경비"/>
      <sheetName val="T6-6(2)"/>
      <sheetName val="Upgrades pricing"/>
      <sheetName val="주방환기"/>
      <sheetName val="경상직원"/>
      <sheetName val="1_수변전설비공사"/>
      <sheetName val="2__동력설비_공사"/>
      <sheetName val="3__조명설비공사"/>
      <sheetName val="4__접지설비공사"/>
      <sheetName val="5__통신설비_공사"/>
      <sheetName val="6__전기방식설비공사"/>
      <sheetName val="6_전기방식_설비공사(2)"/>
      <sheetName val="7_방호설비공사"/>
      <sheetName val="8_가설전기공사"/>
      <sheetName val="복구량산정_및_전용회선_사용"/>
      <sheetName val="4월_실적추정(건축+토목)"/>
      <sheetName val="4월_실적추정(건축)"/>
      <sheetName val="수목데이타_"/>
      <sheetName val="변압기_및_발전기_용량"/>
      <sheetName val="-_INFORMATION_-"/>
      <sheetName val="1_수변전설비"/>
      <sheetName val="2_전력간선"/>
      <sheetName val="3_동력"/>
      <sheetName val="4_전등"/>
      <sheetName val="5_전열"/>
      <sheetName val="6_약전"/>
      <sheetName val="7_소방"/>
      <sheetName val="8_방송"/>
      <sheetName val="9_조명제어"/>
      <sheetName val="10_철거공사"/>
      <sheetName val="사원등록"/>
      <sheetName val="호봉 (2)"/>
      <sheetName val="하도급변경대비표"/>
      <sheetName val="경상"/>
      <sheetName val="3.내역서"/>
      <sheetName val="통신물량"/>
      <sheetName val="매입세"/>
      <sheetName val="표층포설및다짐"/>
      <sheetName val="별표"/>
      <sheetName val="균열"/>
      <sheetName val="암거날개벽재료집계"/>
      <sheetName val="단가및재료비"/>
      <sheetName val="노᠀⁷"/>
      <sheetName val="1공구(입찰내역)"/>
      <sheetName val="유첨#2"/>
      <sheetName val="교각별수량"/>
      <sheetName val="원가산출서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CS2"/>
      <sheetName val="실행예산서"/>
      <sheetName val="급명"/>
      <sheetName val="단  가  대  비  표"/>
      <sheetName val="일  위  대  가  목  록"/>
      <sheetName val="교각별철근수량집계표"/>
      <sheetName val="const."/>
      <sheetName val="변경내역을"/>
      <sheetName val="펌프장수량산출(토)"/>
      <sheetName val="남양구조시험동"/>
      <sheetName val="본부소개"/>
      <sheetName val="통합내역"/>
      <sheetName val="대외공문"/>
      <sheetName val="DWPM"/>
      <sheetName val="자재집계"/>
      <sheetName val="투입(관수_건축)"/>
      <sheetName val="투입(APT500)"/>
      <sheetName val="투입(분당)"/>
      <sheetName val="작성지침서2)"/>
      <sheetName val="투입스케쥴양식"/>
      <sheetName val="투입(APT1200)"/>
      <sheetName val="투입(평촌)"/>
      <sheetName val="투입(APT1000)"/>
      <sheetName val="계약내역서(을지)"/>
      <sheetName val="가시설흙막이"/>
      <sheetName val="전선"/>
      <sheetName val="강북라우터"/>
      <sheetName val="노무비산출"/>
      <sheetName val="보할공정"/>
      <sheetName val="220 (2)"/>
      <sheetName val="총인원"/>
      <sheetName val="직급인원"/>
      <sheetName val="차종별"/>
      <sheetName val="OPGW기별"/>
      <sheetName val="관기성공.내"/>
      <sheetName val="중동상가"/>
      <sheetName val="평균높이산출근거"/>
      <sheetName val="횡배수관위치조서"/>
      <sheetName val="기본설계도급항목"/>
      <sheetName val="8.현장관리비"/>
      <sheetName val="견적율"/>
      <sheetName val="승용"/>
      <sheetName val="Recovered_Sheet1"/>
      <sheetName val="원가상세내역"/>
      <sheetName val="2004경영(비목별)"/>
      <sheetName val="2004경영"/>
      <sheetName val="입적표"/>
      <sheetName val="단가조사-1"/>
      <sheetName val="Man Power &amp; Comp"/>
      <sheetName val="손익집계(공장별)"/>
      <sheetName val="설계명세서(선로)"/>
      <sheetName val="현장관리비데이타"/>
      <sheetName val="1)fs"/>
      <sheetName val="구조     ."/>
      <sheetName val="본부장"/>
      <sheetName val="공조기"/>
      <sheetName val="대림산업"/>
      <sheetName val="EKOG10건축"/>
      <sheetName val="내역서(전체)"/>
      <sheetName val="내역(토목)"/>
      <sheetName val="5.공종별예산내역서"/>
      <sheetName val="두앙"/>
      <sheetName val="깨기수량"/>
      <sheetName val="하중산정"/>
      <sheetName val="세부견적서(DAS Call Back)"/>
      <sheetName val="단중표-ST"/>
      <sheetName val="PIPE"/>
      <sheetName val="VALVE"/>
      <sheetName val="투찰내역"/>
      <sheetName val="COVER-P"/>
      <sheetName val="Piping(Methanol)"/>
      <sheetName val="재료집계"/>
      <sheetName val="인수공총괄"/>
      <sheetName val="덕소내역"/>
      <sheetName val="종합기별"/>
      <sheetName val="개보수공사BM"/>
      <sheetName val="CLAUSE"/>
      <sheetName val="약품설︀"/>
      <sheetName val="1공구 건정토건 철콘"/>
      <sheetName val="건축내역(진해석동)"/>
      <sheetName val="KMT물량"/>
      <sheetName val="Working(wo WTs)"/>
      <sheetName val="주조정실"/>
      <sheetName val="Requirements"/>
      <sheetName val="loading"/>
      <sheetName val="단가보완"/>
      <sheetName val="단위가격"/>
      <sheetName val="P-산#1-1(WOWA1)"/>
      <sheetName val="인공(100P,배선반)"/>
      <sheetName val="전기공사"/>
      <sheetName val="납부서"/>
      <sheetName val="일위대가(여기까지)"/>
      <sheetName val="단위_xdc00_ὗ␀"/>
      <sheetName val="수성페인트도장 내역서"/>
      <sheetName val="도급내역5+800"/>
      <sheetName val="변경내역서"/>
      <sheetName val="전체도급"/>
      <sheetName val="입찰"/>
      <sheetName val="현경"/>
      <sheetName val="전화번호DATA (2001)"/>
      <sheetName val="106C0300"/>
      <sheetName val="통로box전기"/>
      <sheetName val="밧데리"/>
      <sheetName val="진접"/>
      <sheetName val="사급자재(1단계)"/>
      <sheetName val="조명투자및환수계획"/>
      <sheetName val="제조중간결과"/>
      <sheetName val="J01"/>
      <sheetName val="공내ᰖ"/>
      <sheetName val="단면"/>
      <sheetName val="탑(을지)"/>
      <sheetName val="열린교실"/>
      <sheetName val="경산锼_x0013_閄"/>
      <sheetName val="단면瑌)"/>
      <sheetName val="22단"/>
      <sheetName val="22단锼"/>
      <sheetName val="기초자료입력및 K치 확인"/>
      <sheetName val="AS_x0005__x0000_"/>
      <sheetName val="진주䈀ᅪ"/>
      <sheetName val="사업수지"/>
      <sheetName val="기계경비단가"/>
      <sheetName val="지주설치제원"/>
      <sheetName val="역집계1"/>
      <sheetName val="삼보지질"/>
      <sheetName val="7.전산해석결과"/>
      <sheetName val="우각부검토"/>
      <sheetName val="기초입력"/>
      <sheetName val="공주-교대(A1)"/>
      <sheetName val="단가 "/>
      <sheetName val="보호"/>
      <sheetName val="성남여성복지내역"/>
      <sheetName val="안양1공구_건축"/>
      <sheetName val="기술자료 (연수)"/>
      <sheetName val="등록업체"/>
      <sheetName val="esc"/>
      <sheetName val="영흥TL(UP,DOWN) "/>
      <sheetName val="sheets"/>
      <sheetName val="내역아"/>
      <sheetName val="울타리"/>
      <sheetName val="2002계약현황"/>
      <sheetName val="w't table"/>
      <sheetName val="UR2-Calculation"/>
      <sheetName val="노임변동률"/>
      <sheetName val="품종별-이름"/>
      <sheetName val="부서현황"/>
      <sheetName val="Option"/>
      <sheetName val="사업계획1안"/>
      <sheetName val="VENDOR LIST"/>
      <sheetName val="공통비"/>
      <sheetName val="도장 및 용접 수량"/>
      <sheetName val="경율산정"/>
      <sheetName val="위성"/>
      <sheetName val="Vari by Vendor"/>
      <sheetName val="원내역서3"/>
      <sheetName val="3도로"/>
      <sheetName val="세동별비상"/>
      <sheetName val="대비내역"/>
      <sheetName val="9."/>
      <sheetName val="견적서1"/>
      <sheetName val="가CP"/>
      <sheetName val="기초및구체공"/>
      <sheetName val="금긋기 및 절단"/>
      <sheetName val="변경품셈총괄"/>
      <sheetName val="내역."/>
      <sheetName val="기계설비"/>
      <sheetName val="설계변경내역 98"/>
      <sheetName val="공제구간조서"/>
      <sheetName val="설계일반"/>
      <sheetName val="수압집계"/>
      <sheetName val="결합부검토"/>
      <sheetName val="신규 품"/>
      <sheetName val="변수데이타"/>
      <sheetName val="15100"/>
      <sheetName val="예산M6-B"/>
      <sheetName val="동원인원산출"/>
      <sheetName val="품셈기준"/>
      <sheetName val="대,怀፵"/>
      <sheetName val="기자재׃"/>
      <sheetName val="갑지(0_x0000_"/>
      <sheetName val="단0_x0000_退"/>
      <sheetName val="갑지(렀뚣瘉"/>
      <sheetName val="갑지(_x0000_뎰瘇"/>
      <sheetName val="단면별연장"/>
      <sheetName val="분수공별 면적"/>
      <sheetName val="관로조직표"/>
      <sheetName val="기자재_x0000_"/>
      <sheetName val="전기 원가계산서"/>
      <sheetName val="단0_x0000__x0000_"/>
      <sheetName val="단ူ_x0000_䠀"/>
      <sheetName val="기자재_x0010_"/>
      <sheetName val="기자재壸"/>
      <sheetName val="기자재嬨"/>
      <sheetName val="기자재蔈"/>
      <sheetName val="견적대ﱀ"/>
      <sheetName val="견적대₨"/>
      <sheetName val="기자재游"/>
      <sheetName val="기자재೨"/>
      <sheetName val="기자재箘"/>
      <sheetName val="기자재"/>
      <sheetName val="기자재à"/>
      <sheetName val="기자재灰"/>
      <sheetName val="집계표(공종별)"/>
      <sheetName val="22단헾"/>
      <sheetName val="단가적용(터널)"/>
      <sheetName val="단위가격_할증"/>
      <sheetName val="전선_및_전선ࠝ"/>
      <sheetName val="연동내역서"/>
      <sheetName val="제"/>
      <sheetName val="총괄집䠄ᡏ"/>
      <sheetName val="산출2-기기동력"/>
      <sheetName val="통신단가조사"/>
      <sheetName val="105,106,107동"/>
      <sheetName val="수로교총재료齘_x0013_"/>
      <sheetName val="산출및내역"/>
      <sheetName val="적용(기尜_x0013_"/>
      <sheetName val="1-11조직표"/>
      <sheetName val="96.12"/>
      <sheetName val="22단丵"/>
      <sheetName val="광혁기성"/>
      <sheetName val="일반부표집계표"/>
      <sheetName val="매출단가"/>
      <sheetName val="M-EQPT-Z"/>
      <sheetName val="현장대리인계"/>
      <sheetName val="2000,_x0010__x0000_退˘踇"/>
      <sheetName val="2000,_x0010__x0000_蒘Ȭ踇"/>
      <sheetName val="2000,_x0000__x0000_ᓐ_x0000__x0000_"/>
      <sheetName val="2000,_x0000__x0000_︸_x0000__x0000_"/>
      <sheetName val="2000,_x0000__x0000_Ẩ_x0000__x0000_"/>
      <sheetName val="2000,到_x0016_剼_x0016_徸"/>
      <sheetName val="2000,徸⽝_x0005__x0000_"/>
      <sheetName val="1호인버트수량"/>
      <sheetName val="석축설면"/>
      <sheetName val="copy"/>
      <sheetName val="서식"/>
      <sheetName val="2000,咘೿踇⽟_x0000_"/>
      <sheetName val="2000,ﳨǬ踇⾣_x0000_"/>
      <sheetName val="실행변경(1차)"/>
      <sheetName val="2000,缈,罌,헾"/>
      <sheetName val="2000,薸!藼!헾"/>
      <sheetName val="2000,螨_x0013_蟬_x0013_헾"/>
      <sheetName val="2000,午_x0013_꾈ૂ䡲"/>
      <sheetName val="2000,午_x0013_ॢ䡲"/>
      <sheetName val="전체내저፺"/>
      <sheetName val="인건비堀"/>
      <sheetName val="전체내堀᎟"/>
      <sheetName val="전체내︀ᇕ"/>
      <sheetName val="전체내怀፵"/>
      <sheetName val="변경비鰀፰"/>
      <sheetName val="㰀"/>
      <sheetName val="전체내ᓈባ"/>
      <sheetName val="전체내죃፺"/>
      <sheetName val="주관锼_x0013_"/>
      <sheetName val="전체내쀀ፐ"/>
      <sheetName val="堀"/>
      <sheetName val="주관사堀"/>
      <sheetName val="전체내壈᎟"/>
      <sheetName val="전체내惇፵"/>
      <sheetName val="주관사저"/>
      <sheetName val="견적ꀀፐ"/>
      <sheetName val="전체내惈፵"/>
      <sheetName val="일위대가(계측ꀀፐቇ"/>
      <sheetName val="경ꀀፐ"/>
      <sheetName val="전체내죈፺"/>
      <sheetName val="교육종류"/>
      <sheetName val="견적堀᎟"/>
      <sheetName val="4렀቟԰"/>
      <sheetName val="4︀ᇕ԰"/>
      <sheetName val="자재조사표(참고용)"/>
      <sheetName val="제품"/>
      <sheetName val="3련 B姨#"/>
      <sheetName val="경로,구간현황"/>
      <sheetName val="자탐수량산출서"/>
      <sheetName val="CAPVC"/>
      <sheetName val="일반수량집계"/>
      <sheetName val="OCM"/>
      <sheetName val="AH-1 "/>
      <sheetName val="OHU"/>
      <sheetName val="형식별 개략공사비"/>
      <sheetName val="01_ 원가계산서"/>
      <sheetName val="등록׃】"/>
      <sheetName val="등록_x0010__x0000_"/>
      <sheetName val="PART_DISCOUNT"/>
      <sheetName val="등록_x0000__x0000_"/>
      <sheetName val="소상 &quot;1&quot;"/>
      <sheetName val="매입세율"/>
      <sheetName val="회로내역(승인)"/>
      <sheetName val="»êÃ렀䡟ԯ_x0000_缀"/>
      <sheetName val="»êÃ︀ᇕ԰_x0000_缀"/>
      <sheetName val="갈현동"/>
      <sheetName val="4/_x0000_䠀"/>
      <sheetName val="4쌇栅/"/>
      <sheetName val="4က_x0000_က"/>
      <sheetName val="증栀ᙿ가"/>
      <sheetName val="수안보-헾】_x0005__x0000_"/>
      <sheetName val="일위목차"/>
      <sheetName val="견적사양비교표"/>
      <sheetName val="송전재료비"/>
      <sheetName val="FIN TUBE"/>
      <sheetName val="HED. &amp; PIPE"/>
      <sheetName val="PUMP SHT"/>
      <sheetName val="한전고리-을"/>
      <sheetName val="MW-BM"/>
      <sheetName val="평가내역"/>
      <sheetName val="사리부설"/>
      <sheetName val="임대견적서"/>
      <sheetName val="36신丵〒_x0005_"/>
      <sheetName val="물량집계"/>
      <sheetName val="현장설က_x0000_蠀ᛟ"/>
      <sheetName val="환"/>
      <sheetName val="적용기준표(98년상반기)"/>
      <sheetName val="설계명세_x0005_"/>
      <sheetName val="DATA 입᠒ᎍ"/>
      <sheetName val="설계명세揄"/>
      <sheetName val="설계명세䡲"/>
      <sheetName val="견적서(1)"/>
      <sheetName val="2234"/>
      <sheetName val="조립1부실적"/>
      <sheetName val="5월"/>
      <sheetName val="능률"/>
      <sheetName val="Despacho (c.civil)"/>
      <sheetName val="인원"/>
      <sheetName val="견적의ᰀ፜"/>
      <sheetName val="사각맨᠜"/>
      <sheetName val="공기԰_x0000_缀"/>
      <sheetName val="설계睮め_x0005_"/>
      <sheetName val="사각맨0"/>
      <sheetName val="오억미만"/>
      <sheetName val="사각맨퀀"/>
      <sheetName val="사각맨堀"/>
      <sheetName val="사각맨䈀"/>
      <sheetName val="CF"/>
      <sheetName val="거푸집물량"/>
      <sheetName val="UPDATA"/>
      <sheetName val="원가계산서(남측)"/>
      <sheetName val="제조 경영"/>
      <sheetName val="금광1터널"/>
      <sheetName val="세부狇譈"/>
      <sheetName val="사각맨ﻇ"/>
      <sheetName val="몰탈재븧܊"/>
      <sheetName val="견적의"/>
      <sheetName val="견적의烇彰"/>
      <sheetName val="하도급선정의뢰서(습식공_x0000__x0000_"/>
      <sheetName val="2터널시점"/>
      <sheetName val="짉譥"/>
      <sheetName val="ᣉᎍ"/>
      <sheetName val="금액내렀቟"/>
      <sheetName val="금액내԰_x0000_"/>
      <sheetName val="성내동"/>
      <sheetName val="인원계획"/>
      <sheetName val="시행예산"/>
      <sheetName val="자압1"/>
      <sheetName val="조경내역"/>
      <sheetName val="물墸᎟鰀"/>
      <sheetName val="화재 탐지_x0005__x0000_"/>
      <sheetName val="전신환매도徸"/>
      <sheetName val="BabyÀÏÀ§´ë°¡"/>
      <sheetName val="NìüëÒ-òÅ"/>
      <sheetName val="°£¼±°è»ê"/>
      <sheetName val="´ë±¸½ÇÇà"/>
      <sheetName val="0.Áý°è"/>
      <sheetName val="Ç¥Áö (2)"/>
      <sheetName val="¸Å¸³"/>
      <sheetName val="¿ø°¡°è»ê"/>
      <sheetName val="1.ÀüÂ÷¼±Á¶Á¤"/>
      <sheetName val="2.Á¶°¡¼±Á¶Á¤"/>
      <sheetName val="3.±ÞÀü¼±½Å¼³"/>
      <sheetName val="4.±ÞÀü¼±Ã¶°Å"/>
      <sheetName val="5.°í¹è¼±Ã¶°Å"/>
      <sheetName val="6.°í¾ÐÄÉÀÌºí½Å¼³"/>
      <sheetName val="7.ºñÀý¿¬¼±Á¶Á¤"/>
      <sheetName val="8.°¡µ¿ºê·¡Å°Æ®ÀÌ¼³"/>
      <sheetName val="9.HÇü°­ÁÖ½Å¼³(9m)"/>
      <sheetName val="10.°­°üÁÖ½Å¼³(9m)"/>
      <sheetName val="11.H°­ÁÖÃ¶°Å(11m)"/>
      <sheetName val="11.HÇü°­±âÃÊ"/>
      <sheetName val="13.°­°üÁÖ±âÃÊ"/>
      <sheetName val="14.Àå·ÂÁ¶Á¤ÀåÄ¡½Å¼³"/>
      <sheetName val="15.Àå·ÂÁ¶Á¤ÀåÄ¡Ã¶°Å   "/>
      <sheetName val="16.ÄÜÁÖÃ¶°Å(9m)"/>
      <sheetName val="17.Áö¼±½Å¼³(º¸Åë)"/>
      <sheetName val="18.Áö¼±½Å¼³(vÇü)"/>
      <sheetName val="19.Áö¼±Ã¶°Å"/>
      <sheetName val="20.±âÁß°³Æó±â½Å¼³"/>
      <sheetName val="의정부문예회관변경내역"/>
      <sheetName val="±âÃÊ´Ü°¡"/>
      <sheetName val="¾Æ»êÃß°¡1220"/>
      <sheetName val="98Áö±Þ°èÈ¹"/>
      <sheetName val="´çÃÊ"/>
      <sheetName val="1.¼³°èÁ¶°Ç"/>
      <sheetName val="Àç·á"/>
      <sheetName val="°¡·ÎµîºÎÇ¥"/>
      <sheetName val="Á¦°æºñÀ²"/>
      <sheetName val="³»¿ª(¼³°è)"/>
      <sheetName val="½Ä»ýºí·°´ÜÀ§¼ö·®"/>
      <sheetName val="Á¤ºÎ³ëÀÓ´Ü°¡"/>
      <sheetName val="Pricelist TAC AB"/>
      <sheetName val="물가정보자료"/>
      <sheetName val="萀⅜"/>
      <sheetName val="貭♘"/>
      <sheetName val="산#2-1 (2)"/>
      <sheetName val="자재목록표"/>
      <sheetName val="2002상반기노임기준"/>
      <sheetName val="단중聀"/>
      <sheetName val="예산조서(무선)"/>
      <sheetName val="사급자재총괄"/>
      <sheetName val="구성1"/>
      <sheetName val="구성2"/>
      <sheetName val="구성3"/>
      <sheetName val="구성4"/>
      <sheetName val="69.03%"/>
      <sheetName val="변경내역100%"/>
      <sheetName val="변경내역98%"/>
      <sheetName val="변경내역96%"/>
      <sheetName val="변경내역92%"/>
      <sheetName val="변경내역88%"/>
      <sheetName val="변경내역84.52%"/>
      <sheetName val="산출0"/>
      <sheetName val="5.공종별尜_x0013_層_x0013_闰"/>
      <sheetName val="평3"/>
      <sheetName val="2.펌프장(사급자재)"/>
      <sheetName val="A1_본체_수량산출서"/>
      <sheetName val="내역총괄"/>
      <sheetName val="내역서(삼호)"/>
      <sheetName val="지하1층"/>
      <sheetName val="공비대䠚"/>
      <sheetName val="금액내㔀቎"/>
      <sheetName val="본사인상전"/>
      <sheetName val="단가산출-기,교"/>
      <sheetName val="당사"/>
      <sheetName val="내역총괄2"/>
      <sheetName val="내역총괄3"/>
      <sheetName val="0001(arch)"/>
      <sheetName val="FO"/>
      <sheetName val="Summary Sheet"/>
      <sheetName val="일위대가내역"/>
      <sheetName val="대전-교대(A1-A2)"/>
      <sheetName val="만수배관단가"/>
      <sheetName val="FRP배관단가(만수)"/>
      <sheetName val="STD"/>
      <sheetName val="10월"/>
      <sheetName val="연면적"/>
      <sheetName val="991029UTP용 M.D.F"/>
      <sheetName val="현장점검 1"/>
      <sheetName val="상가을 "/>
      <sheetName val="3.사용전검사(1000KW이상)(본동-수정)"/>
      <sheetName val="계획예산입력자료"/>
      <sheetName val="전압"/>
      <sheetName val="가공2원도"/>
      <sheetName val="일(4)"/>
      <sheetName val="1F"/>
      <sheetName val="손익계산서"/>
      <sheetName val="대차대조표"/>
      <sheetName val="폐토수익화 "/>
      <sheetName val="수량산출1"/>
      <sheetName val="수전기기DATA"/>
      <sheetName val="(전체발주,금회3차공사)내역서"/>
      <sheetName val="정산내역서"/>
      <sheetName val="98수금사업"/>
      <sheetName val="FRT_O"/>
      <sheetName val="FAB_I"/>
      <sheetName val="RING WALL"/>
      <sheetName val="공사비PK5월"/>
      <sheetName val="간접비(1)"/>
      <sheetName val="터널(토공)"/>
      <sheetName val="리터팬내장형"/>
      <sheetName val="내역총괄표"/>
      <sheetName val="5차설계"/>
      <sheetName val="경비산출"/>
      <sheetName val="FUSE_MCB"/>
      <sheetName val="full (2)"/>
      <sheetName val="BREAKDOWN"/>
      <sheetName val="IPS0823"/>
      <sheetName val="공조기(삭제)"/>
      <sheetName val="1_전차선조정"/>
      <sheetName val="2_조가선조정"/>
      <sheetName val="3_급전선신설"/>
      <sheetName val="4_급전선철거"/>
      <sheetName val="5_고배선철거"/>
      <sheetName val="6_고압케이블신설"/>
      <sheetName val="7_비절연선조정"/>
      <sheetName val="8_가동브래키트이설"/>
      <sheetName val="9_H형강주신설(9m)"/>
      <sheetName val="10_강관주신설(9m)"/>
      <sheetName val="11_H강주철거(11m)"/>
      <sheetName val="11_H형강기초"/>
      <sheetName val="13_강관주기초"/>
      <sheetName val="산출목록표"/>
      <sheetName val="수원공"/>
      <sheetName val="DATA-UPS"/>
      <sheetName val="건설장비기초단가"/>
      <sheetName val="9-1차이내역."/>
      <sheetName val="총괄표(1)"/>
      <sheetName val="공종별집계표"/>
      <sheetName val="부산4"/>
      <sheetName val="계약표지"/>
      <sheetName val="내역서-전체낙찰율"/>
      <sheetName val="개봉3동하수관"/>
      <sheetName val="장비부하"/>
      <sheetName val="내역5"/>
      <sheetName val="역간(덕_동)"/>
      <sheetName val="역간(의-덕)"/>
      <sheetName val="단가대비표(SYS)"/>
      <sheetName val="제조노임"/>
      <sheetName val="변품8-37"/>
      <sheetName val="현장일보"/>
      <sheetName val="보집계표"/>
      <sheetName val="ISBL-CIV"/>
      <sheetName val="단가대비"/>
      <sheetName val="전류"/>
      <sheetName val="일위단가"/>
      <sheetName val="일위(설)"/>
      <sheetName val="전기공사일위대가"/>
      <sheetName val="일위대가표_(2)"/>
      <sheetName val="General_Data"/>
      <sheetName val="5호광장_(만점)"/>
      <sheetName val="인천국제_(만점)_(2)"/>
      <sheetName val="설_계"/>
      <sheetName val="방음벽_기초_일반수량"/>
      <sheetName val="sum1_(2)"/>
      <sheetName val="원가계산서_(총괄)"/>
      <sheetName val="원가계산서_(건축)"/>
      <sheetName val="제원_설계조건"/>
      <sheetName val="14_장력조정장치신설"/>
      <sheetName val="15_장력조정장치철거___"/>
      <sheetName val="16_콘주철거(9m)"/>
      <sheetName val="17_지선신설(보통)"/>
      <sheetName val="18_지선신설(v형)"/>
      <sheetName val="19_지선철거"/>
      <sheetName val="20_기중개폐기신설"/>
      <sheetName val="0_집계"/>
      <sheetName val="º¹±¸·®»êÁ¤_¹×_Àü¿ëÈ¸¼±_»ç¿ë"/>
      <sheetName val="4¿ù_½ÇÀûÃßÁ¤(°ÇÃà+Åä¸ñ)"/>
      <sheetName val="4¿ù_½ÇÀûÃßÁ¤(°ÇÃà)"/>
      <sheetName val="2000_11¿ù¼³°è³»¿ª"/>
      <sheetName val="Àü¼±_¹×_Àü¼±°ü"/>
      <sheetName val="ÁØ°Ë_³»¿ª¼­"/>
      <sheetName val="¼ö¸ñµ¥ÀÌÅ¸_"/>
      <sheetName val="º¯¾Ð±â_¹×_¹ßÀü±â_¿ë·®"/>
      <sheetName val="1_¼öÀÎÅÍ³Î"/>
      <sheetName val="외주대비_-석축"/>
      <sheetName val="외주대비-구조물_(2)"/>
      <sheetName val="견적표지_(3)"/>
      <sheetName val="일위대가_집계표"/>
      <sheetName val="공사비_내역_(가)"/>
      <sheetName val="임시급식_(2)"/>
      <sheetName val="unit_4"/>
      <sheetName val="Summary_Sheets"/>
      <sheetName val="5_정산서"/>
      <sheetName val="맨홀물량"/>
      <sheetName val="열차제어동"/>
      <sheetName val="전기성능동"/>
      <sheetName val="차량시스템인자"/>
      <sheetName val="차량부품동"/>
      <sheetName val="신.분"/>
      <sheetName val="96노임기준"/>
      <sheetName val="시중노임(공사)"/>
      <sheetName val="기성공제요청서"/>
      <sheetName val="하도기성내역 수정"/>
      <sheetName val="기성공제 동의서"/>
      <sheetName val="기성공제 합의서(쓰레기처리비)"/>
      <sheetName val="정보"/>
      <sheetName val="현대물량"/>
      <sheetName val="한화 둔산 내역서"/>
      <sheetName val="적격점수&lt;300억미만&gt;"/>
      <sheetName val="간이영수증"/>
      <sheetName val="발전기용량-1"/>
      <sheetName val="발전기용량-2"/>
      <sheetName val="출력전에보세요"/>
      <sheetName val="전력간선(일반)"/>
      <sheetName val="전력간선(동력)"/>
      <sheetName val="MCC-B-A"/>
      <sheetName val="MCC-B-B"/>
      <sheetName val="MCC-B-C"/>
      <sheetName val="ACCOUNT(RECEP)"/>
      <sheetName val="부하(동력)"/>
      <sheetName val="ILLUMINANCE"/>
      <sheetName val="계산DATA"/>
      <sheetName val="데이터북"/>
      <sheetName val="조명참고자료"/>
      <sheetName val="Cable schedule"/>
      <sheetName val="V-data"/>
      <sheetName val="L-data"/>
      <sheetName val="P-data"/>
      <sheetName val="pbs_lambda"/>
      <sheetName val="Matériel embarqué PVC"/>
      <sheetName val="기지국"/>
      <sheetName val="4월"/>
      <sheetName val="8월"/>
      <sheetName val="12월"/>
      <sheetName val="2월"/>
      <sheetName val="7월"/>
      <sheetName val="6월"/>
      <sheetName val="3월"/>
      <sheetName val="11월"/>
      <sheetName val="9월"/>
      <sheetName val="교실"/>
      <sheetName val="꣈፺"/>
      <sheetName val="¼ö·®»êÃÈ"/>
      <sheetName val="저፺"/>
      <sheetName val="¼ö·®»êÃX"/>
      <sheetName val="壈᎟"/>
      <sheetName val="쀀ፐ"/>
      <sheetName val="죈፺"/>
      <sheetName val="惈፵"/>
      <sheetName val="48신설수량"/>
      <sheetName val="품셈(기초)"/>
      <sheetName val="대가단최종"/>
      <sheetName val="부丵〒"/>
      <sheetName val="부司2"/>
      <sheetName val="성원계약"/>
      <sheetName val="2000.11¿ù¼³餀㢘ԯ_x0000_缀_x0000_"/>
      <sheetName val="총괄집렇♑"/>
      <sheetName val="아산경희980422"/>
      <sheetName val="총괄집桶青"/>
      <sheetName val="01상노임"/>
      <sheetName val="Instruction"/>
      <sheetName val="22단가(철完9"/>
      <sheetName val="T1"/>
      <sheetName val="1차배부(JB포함)"/>
      <sheetName val="원내역서 그대로"/>
      <sheetName val="설계내역일위"/>
      <sheetName val="969910( R)"/>
      <sheetName val="전장품(관리용)"/>
      <sheetName val="박스토공"/>
      <sheetName val="남대문빌딩"/>
      <sheetName val="PUMP"/>
      <sheetName val="각종장비전압강하계산"/>
      <sheetName val="거래명세서"/>
      <sheetName val="3.설계예산내역서(예산서)"/>
      <sheetName val="2.예정공정표"/>
      <sheetName val="4.설계예산내역서"/>
      <sheetName val="6.관급자재조서"/>
      <sheetName val="사업성분석"/>
      <sheetName val="22신설수량"/>
      <sheetName val="계약원가"/>
      <sheetName val="1.설계설명서"/>
      <sheetName val="3.예정공정표"/>
      <sheetName val="4.설계예산서"/>
      <sheetName val="재경"/>
      <sheetName val="5.일위대가"/>
      <sheetName val="6.철거발생품예정조서"/>
      <sheetName val="7.지급자재조서"/>
      <sheetName val="8.가격조사서"/>
      <sheetName val="준설량산정표"/>
      <sheetName val="01하반기노임"/>
      <sheetName val="울진항공등화 내역서"/>
      <sheetName val="단가견적조사표"/>
      <sheetName val="공무공A"/>
      <sheetName val="36신설수翇"/>
      <sheetName val="36신설수︀"/>
      <sheetName val="견적꓀᥻"/>
      <sheetName val="수안보-_x0005__x0000__x0000_"/>
      <sheetName val="36신설수Ç"/>
      <sheetName val="36신설수資"/>
      <sheetName val="수안보-徸〒_x0005__x0000_"/>
      <sheetName val="비목군분류일위"/>
      <sheetName val="입출재고현⩿〚_x0005__x0000_"/>
      <sheetName val="º¯°æ»çÀ_x0000_"/>
      <sheetName val="백호헾】_x0005_"/>
      <sheetName val="수안보-娐&gt;闰⿑"/>
      <sheetName val="수안보-ꮸ⿥_x0005__x0000_"/>
      <sheetName val="백호丵〒_x0005_"/>
      <sheetName val="공작물조직표(용배수)"/>
      <sheetName val="투찰가"/>
      <sheetName val="구조대가"/>
      <sheetName val="포설대가1"/>
      <sheetName val="부대대가"/>
      <sheetName val="철근총괄집계표"/>
      <sheetName val="홈통받이수량"/>
      <sheetName val="공사수행방안"/>
      <sheetName val="Data2"/>
      <sheetName val="참조 DATA"/>
      <sheetName val="program"/>
      <sheetName val="studbolt no."/>
      <sheetName val="studbolt size"/>
      <sheetName val="item sort no"/>
      <sheetName val="기준"/>
      <sheetName val="파이프"/>
      <sheetName val="8__안정검토"/>
      <sheetName val="철근량_검토"/>
      <sheetName val="기술자료_(연수)"/>
      <sheetName val="실행비교"/>
      <sheetName val="지입재료비"/>
      <sheetName val="산출명세서"/>
      <sheetName val="조정내역"/>
      <sheetName val="조정_x0014__x0008_"/>
      <sheetName val="_x0000__x0008__x0000__x0008__x0000__x0006__x0000__x0004_"/>
      <sheetName val="상가지급현황"/>
      <sheetName val="13LPMCC"/>
      <sheetName val="마장"/>
      <sheetName val="3_바닥판설계1"/>
      <sheetName val="Piping_Design_Data"/>
      <sheetName val="H_PILE수량"/>
      <sheetName val="Ampecity_Data"/>
      <sheetName val="BASIC_(2)"/>
      <sheetName val="견적서(대외)_(2)"/>
      <sheetName val="1_¼³°è±âÁØ"/>
      <sheetName val="3_¹Ù´ÚÆÇ¼³°è"/>
      <sheetName val="1_¼öº¯Àü¼³ºñ°ø»ç"/>
      <sheetName val="2__µ¿·Â¼³ºñ_°ø»ç"/>
      <sheetName val="3__Á¶¸í¼³ºñ°ø»ç"/>
      <sheetName val="4__Á¢Áö¼³ºñ°ø»ç"/>
      <sheetName val="5__Åë½Å¼³ºñ_°ø»ç"/>
      <sheetName val="6__Àü±â¹æ½Ä¼³ºñ°ø»ç"/>
      <sheetName val="6_Àü±â¹æ½Ä_¼³ºñ°ø»ç(2)"/>
      <sheetName val="7_¹æÈ£¼³ºñ°ø»ç"/>
      <sheetName val="8_°¡¼³Àü±â°ø»ç"/>
      <sheetName val="8__¾ÈÁ¤°ËÅä"/>
      <sheetName val="°ßÀû¼­(´ë¿Ü)_(2)"/>
      <sheetName val="6PILE__(µ¹Ãâ)"/>
      <sheetName val="Upgrades_pricing"/>
      <sheetName val="2000,9월_일위"/>
      <sheetName val="산재_안전"/>
      <sheetName val="노무비_경비"/>
      <sheetName val="소상_&quot;1&quot;"/>
      <sheetName val="개요입력"/>
      <sheetName val="수량기준"/>
      <sheetName val="단가기준"/>
      <sheetName val="결재판"/>
      <sheetName val="변경총괄지(1)"/>
      <sheetName val="기계경비(旉る_x0000__x0000_"/>
      <sheetName val="기계경비(贘_x0013_짘ࣅ"/>
      <sheetName val="MANUFACTORY"/>
      <sheetName val="일위대가서식"/>
      <sheetName val="일위대가양식"/>
      <sheetName val="O＆P"/>
      <sheetName val="결재판(삭제하지말아주세요)"/>
      <sheetName val="케이블"/>
      <sheetName val="유첨䈀ᅪ"/>
      <sheetName val="토공,기초"/>
      <sheetName val="자재 단가표"/>
      <sheetName val="주간계획"/>
      <sheetName val="선택"/>
      <sheetName val="총괄원가 "/>
      <sheetName val="TG9504"/>
      <sheetName val="1995년 섹터별 매출"/>
      <sheetName val="master(total)"/>
      <sheetName val="99년신청"/>
      <sheetName val="아수배전(1회)"/>
      <sheetName val="인건비_조사"/>
      <sheetName val="일위1"/>
      <sheetName val="공사설계서"/>
      <sheetName val="층"/>
      <sheetName val="배수내역(총수량)"/>
      <sheetName val="3련 B_x0005__x0000_"/>
      <sheetName val="기성수금(단단위)"/>
      <sheetName val="원가매출(단단위)"/>
      <sheetName val="설치 일위대가(4԰_x0000_缀_x0000__x0000__x0000_"/>
      <sheetName val="프로젝트"/>
      <sheetName val="0217상가미분양자산"/>
      <sheetName val="BOQ-Summary_Form A1"/>
      <sheetName val="BOQ-Summary_Form A2"/>
      <sheetName val="BOQ-Summary_Form A3"/>
      <sheetName val="Attachment_A"/>
      <sheetName val="elect QC"/>
      <sheetName val="Quezon"/>
      <sheetName val="bulcan"/>
      <sheetName val="Bulacan"/>
      <sheetName val="10현장조직"/>
      <sheetName val="3-1-12"/>
      <sheetName val="3-1-3"/>
      <sheetName val="Condition"/>
      <sheetName val="choose"/>
      <sheetName val="별표(48~75)"/>
      <sheetName val="제3장 기술업무"/>
      <sheetName val="일반전기C"/>
      <sheetName val="POOM_MOTO"/>
      <sheetName val="기초코徸"/>
      <sheetName val="예산조서(︀ᇕ԰"/>
      <sheetName val="205동"/>
      <sheetName val="과세면세표"/>
      <sheetName val="PARAMETER"/>
      <sheetName val="세부내역(직접인건비)"/>
      <sheetName val="현장지䀀ኀ㠀ኃ"/>
      <sheetName val="건축원가"/>
      <sheetName val="집계(세부총괄)"/>
      <sheetName val="물가변동잔여물량세부내역서"/>
      <sheetName val="신규(방류시설)"/>
      <sheetName val="덤프트럭계수"/>
      <sheetName val="미지급내역"/>
      <sheetName val="첨부1"/>
      <sheetName val="재료표"/>
      <sheetName val="금액결揄"/>
      <sheetName val="공사비 내역"/>
      <sheetName val="매입내역 "/>
      <sheetName val="거래처별지출내역"/>
      <sheetName val="㩷"/>
      <sheetName val="렀ⵘ"/>
      <sheetName val="֭_x0000_"/>
      <sheetName val="Param"/>
      <sheetName val="입찰보Ⳡ"/>
      <sheetName val="총(철거)"/>
      <sheetName val="RangeObject"/>
      <sheetName val="등록자료"/>
      <sheetName val="방음벽기초(H_xd8d4_ㆂᰀㆃ"/>
      <sheetName val="입찰준비계획안(부대)"/>
      <sheetName val="입찰준비계획안(외주)"/>
      <sheetName val="입찰준비계획안(기타견적)"/>
      <sheetName val="장항선4공구직접비집계"/>
      <sheetName val="용수간선"/>
      <sheetName val="노무비(첨부4-4)"/>
      <sheetName val="왕십리방향"/>
      <sheetName val="︀ᇕ"/>
      <sheetName val="怀፵"/>
      <sheetName val="주사무실︀ᇕ"/>
      <sheetName val="주사무실ꠀ፺"/>
      <sheetName val="BOX ꠀ፺"/>
      <sheetName val="㗈቎"/>
      <sheetName val="¼ö·®»êÃ¨"/>
      <sheetName val="주관사_x0000_"/>
      <sheetName val="주관사提"/>
      <sheetName val="주관사㌈"/>
      <sheetName val="주관사㧨"/>
      <sheetName val="전부인쇄"/>
      <sheetName val="1.외주공사"/>
      <sheetName val="2.직영공사"/>
      <sheetName val="첨부"/>
      <sheetName val="계산DATA입력"/>
      <sheetName val="계좌번호"/>
      <sheetName val="청하배수"/>
      <sheetName val="원가집계"/>
      <sheetName val="파이프류"/>
      <sheetName val="점검내역서(data) (2)"/>
      <sheetName val="2.주요계수총괄"/>
      <sheetName val="입찰사유서 제4공종 (흙깎기)"/>
      <sheetName val="D16"/>
      <sheetName val="D25"/>
      <sheetName val="D22"/>
      <sheetName val="단위세대물량"/>
      <sheetName val="변경품셈"/>
      <sheetName val="OCT.FDN"/>
      <sheetName val="HANDHOLE(2)"/>
      <sheetName val="N頀ᚃ"/>
      <sheetName val="N"/>
      <sheetName val="AHU집계"/>
      <sheetName val="B부대공"/>
      <sheetName val="분양가격표"/>
      <sheetName val="일목"/>
      <sheetName val="기준표"/>
      <sheetName val="º¯°æ»çÀþ"/>
      <sheetName val="제수변︀ᇕ"/>
      <sheetName val="결과조Ⴚ"/>
      <sheetName val="결과조º"/>
      <sheetName val="º¯°æ»çÀ¸"/>
      <sheetName val="º¯°æ»çÀ5"/>
      <sheetName val="º¯°æ»çÀ "/>
      <sheetName val="제수변﹔ᇕ"/>
      <sheetName val="º¯°æ»çÀB"/>
      <sheetName val="단가일䊱"/>
      <sheetName val="전체내ﰀ⁗"/>
      <sheetName val="제수변䊱ᅪ"/>
      <sheetName val="A(Rev.3)"/>
      <sheetName val="부총"/>
      <sheetName val="원가계墬ᥓ"/>
      <sheetName val="원가계Ⴌ_x0000_"/>
      <sheetName val="관로토공집계표"/>
      <sheetName val="토 적 표"/>
      <sheetName val="3회기성헾】"/>
      <sheetName val="변경비교헾】"/>
      <sheetName val="몰탈㔀቎԰_x0000_"/>
      <sheetName val="몰탈䠊ፓ倀놡"/>
      <sheetName val="몰탈䠋ፓ頀뫻"/>
      <sheetName val="몰탈䠠ፓ瀀멗"/>
      <sheetName val="몰탈䠊ፓ "/>
      <sheetName val="몰탈䠉ፓ退"/>
      <sheetName val="몰탈䠉ፓ退ꠍ"/>
      <sheetName val="몰탈䠑ፓ뀀짅"/>
      <sheetName val="TOEC"/>
      <sheetName val="몰탈䠊ፓ㠀擞"/>
      <sheetName val="bdata-출력안함"/>
      <sheetName val="공리공제"/>
      <sheetName val="자재ᰀ፜搀"/>
      <sheetName val="부대공집계표"/>
      <sheetName val="노무비(DB)_이후 출력XXXXXX"/>
      <sheetName val="3회기성䃸〒"/>
      <sheetName val="3회기성_x0005__x0000_"/>
      <sheetName val="3회기성吸("/>
      <sheetName val="3회기성ⱂ⿌"/>
      <sheetName val="3회기성埀0"/>
      <sheetName val="철거산출헾】"/>
      <sheetName val="철거산출午_x0013_"/>
      <sheetName val="평균터파기고(1-2,ASP)"/>
      <sheetName val="남양주부대"/>
      <sheetName val="단위목헾"/>
      <sheetName val="지입집계"/>
      <sheetName val="11+040(통로)"/>
      <sheetName val="일별1"/>
      <sheetName val="기성부분검사원"/>
      <sheetName val="업체별기성금액"/>
      <sheetName val="2회기성각사별배분표"/>
      <sheetName val="기성공문 (2)"/>
      <sheetName val="기성공문"/>
      <sheetName val="계좌입금의뢰서"/>
      <sheetName val="도급각서"/>
      <sheetName val="철콘기성청구서 (2)"/>
      <sheetName val="공종별집계표(건축) (2)"/>
      <sheetName val="형틀공사기성 (2)"/>
      <sheetName val="철콘기성청구서"/>
      <sheetName val="공종별집계표(건축)"/>
      <sheetName val="형틀공사기성"/>
      <sheetName val="조적기성청구서  "/>
      <sheetName val="공종별집계표(조적) "/>
      <sheetName val="조적공사"/>
      <sheetName val="미장기성청구서 "/>
      <sheetName val="공종별집계표(미장.방수)"/>
      <sheetName val="미장공사"/>
      <sheetName val="하도급각서 (2)"/>
      <sheetName val="하도급계좌입금의뢰서 "/>
      <sheetName val="용산3(영광)"/>
      <sheetName val="지불내역1"/>
      <sheetName val="집수정(1)"/>
      <sheetName val="공사비명세서"/>
      <sheetName val="PAC"/>
      <sheetName val="행거,슈,볼트,펌프,잡재"/>
      <sheetName val="을-ATYPE"/>
      <sheetName val="동력부하계산"/>
      <sheetName val="단가표 (2)"/>
      <sheetName val="소각장스케줄"/>
      <sheetName val="단__가__대__비__표"/>
      <sheetName val="일__위__대__가__목__록"/>
      <sheetName val="페인트"/>
      <sheetName val="30신설일위대가"/>
      <sheetName val="30집계표"/>
      <sheetName val="00노임기준"/>
      <sheetName val="소일위대가코드표"/>
      <sheetName val="일위대가(가설԰"/>
      <sheetName val="TYPE집계표"/>
      <sheetName val="포쐀䑣"/>
      <sheetName val="포䠟⥏"/>
      <sheetName val="포䠠⥏"/>
      <sheetName val="포䈀㙪"/>
      <sheetName val="栍ᾆ"/>
      <sheetName val="시초1교"/>
      <sheetName val="대구-교대(A1)"/>
      <sheetName val="ꀀ"/>
      <sheetName val="공정량산출내역서 "/>
      <sheetName val="제철"/>
      <sheetName val="조정금액결과표 (차수별)"/>
      <sheetName val="토공실행"/>
      <sheetName val="구간산출"/>
      <sheetName val="Ext. Stone-P"/>
      <sheetName val="단위_x0000__x0000_尀"/>
      <sheetName val="단위ࠀᎄ䰀"/>
      <sheetName val="단위倀❹缀"/>
      <sheetName val="단위耀ὡ"/>
      <sheetName val="호표"/>
      <sheetName val="B767"/>
      <sheetName val="0.갑지"/>
      <sheetName val="건축공사 집계표"/>
      <sheetName val="토공대가"/>
      <sheetName val="B.O.M"/>
      <sheetName val="설변물량"/>
      <sheetName val="예비품"/>
      <sheetName val="제丵"/>
      <sheetName val="PW3"/>
      <sheetName val="PW4"/>
      <sheetName val="SC1"/>
      <sheetName val="PE"/>
      <sheetName val="PM"/>
      <sheetName val="TR"/>
      <sheetName val="금호산업"/>
      <sheetName val="총괄갑 "/>
      <sheetName val="5.동별횡주관경"/>
      <sheetName val="154TW"/>
      <sheetName val="수주실적0709"/>
      <sheetName val="제4절-1"/>
      <sheetName val="PANEL"/>
      <sheetName val="일위(시설)"/>
      <sheetName val="조건입력"/>
      <sheetName val="조건입력(2)"/>
      <sheetName val="장비선정"/>
      <sheetName val="공통대가"/>
      <sheetName val="특기사항"/>
      <sheetName val="하도내역 (철콘)"/>
      <sheetName val="대가 (보완)"/>
      <sheetName val="토목원가계窨_x0013_"/>
      <sheetName val="신공항A-9헾】_x0005__x0000__x0000_"/>
      <sheetName val="기존구조물철거집계계표"/>
      <sheetName val="내역서(교량)전체"/>
      <sheetName val="장비경비"/>
      <sheetName val="건공실"/>
      <sheetName val="총괄집㸁䧾"/>
      <sheetName val="허용전류-IEC DATA"/>
      <sheetName val="배관내역"/>
      <sheetName val="POWER"/>
      <sheetName val="교대일반수량"/>
      <sheetName val="WO"/>
      <sheetName val="비용"/>
      <sheetName val="적용환율"/>
      <sheetName val="DS-최종"/>
      <sheetName val="PREFACE"/>
      <sheetName val="DATA-1"/>
      <sheetName val="간접총괄"/>
      <sheetName val="960318-1"/>
      <sheetName val="2006기계䈌ᅪ԰_x0000_缀"/>
      <sheetName val="기타공"/>
      <sheetName val="재원표"/>
      <sheetName val="FCU (2)"/>
      <sheetName val="장비분석"/>
      <sheetName val="석재장조사"/>
      <sheetName val="기성청구현황"/>
      <sheetName val="JUCK֕_x0000_缀"/>
      <sheetName val="전체실적"/>
      <sheetName val="도급FORM"/>
      <sheetName val="귀래방향"/>
      <sheetName val="운반비산정"/>
      <sheetName val="을 2"/>
      <sheetName val="을 1"/>
      <sheetName val="재1"/>
      <sheetName val="장비가동"/>
      <sheetName val="IN"/>
      <sheetName val="CT "/>
      <sheetName val="정거장"/>
      <sheetName val="길내기"/>
      <sheetName val="강관산출"/>
      <sheetName val="master(2차)"/>
      <sheetName val="내역통합"/>
      <sheetName val="성토도수로현황"/>
      <sheetName val="구조물"/>
      <sheetName val="당사실시1"/>
      <sheetName val="하도급선정의뢰_x0000__x0000_螨_x0000__x0000__x0000_ۈ"/>
      <sheetName val="48전력선로일挔"/>
      <sheetName val="콘센트신설"/>
      <sheetName val="FWBS7000,8000"/>
      <sheetName val="ANALYSER"/>
      <sheetName val="ring wall thickness"/>
      <sheetName val="Change rate"/>
      <sheetName val="B3.PERSONEL-Ucret"/>
      <sheetName val="공정표(전체)"/>
      <sheetName val="무전표"/>
      <sheetName val="NOTE ALL"/>
      <sheetName val="내역서(당초변경)"/>
      <sheetName val="2.조명기구철거(일괄철거분)"/>
      <sheetName val="대운반(철재)"/>
      <sheetName val="설계수량"/>
      <sheetName val="3.2.1 마루높이결정"/>
      <sheetName val="제품橂"/>
      <sheetName val="피스표"/>
      <sheetName val="산업개발안내서"/>
      <sheetName val="작성양식"/>
      <sheetName val="품-(주)코①"/>
      <sheetName val="자재단가리스트"/>
      <sheetName val="공사내역(총괄)"/>
      <sheetName val="대보~세기"/>
      <sheetName val="8.수량산출 (2)"/>
      <sheetName val="일위대가표 (⠋ᡏ"/>
      <sheetName val="일위대가표 (䀀⅒"/>
      <sheetName val="ÀÏÀ§´ë°¡Ç¥(1@"/>
      <sheetName val="일위대가표 (ԯ_x0000_"/>
      <sheetName val="관헾"/>
      <sheetName val="원가(1︀"/>
      <sheetName val="원가(1䠀"/>
      <sheetName val="관聈"/>
      <sheetName val="관_x0005_"/>
      <sheetName val="제수午_x0013_ὐ"/>
      <sheetName val="수안보-墰5壼5"/>
      <sheetName val="5.3 단면가정"/>
      <sheetName val="시추주상도"/>
      <sheetName val="일위집계(기존)"/>
      <sheetName val="북제주-표지"/>
      <sheetName val="COVERSHEET"/>
      <sheetName val="[YES.XLS][YES.XLS]4/_x0000_䠀"/>
      <sheetName val="[YES.XLS][YES.XLS]4쌇栅/"/>
      <sheetName val="05년"/>
      <sheetName val="내역서(총괄)"/>
      <sheetName val="공종별 집계표"/>
      <sheetName val="철콘집계"/>
      <sheetName val="5회기성03월"/>
      <sheetName val="공통가설_8"/>
      <sheetName val="아파트_9"/>
      <sheetName val="직접공사비집계표_7"/>
      <sheetName val="GTG TR PIT"/>
      <sheetName val="BLR-S"/>
      <sheetName val="일위대가표(무)"/>
      <sheetName val="일위대가산출기초"/>
      <sheetName val="장비명"/>
      <sheetName val="cable-data"/>
      <sheetName val="1._x005f_x0018_변전설비"/>
      <sheetName val="입렀"/>
      <sheetName val="입栀"/>
      <sheetName val="입ꠀ"/>
      <sheetName val="평균환율-USD"/>
      <sheetName val="인원동원계획"/>
      <sheetName val="입︀"/>
      <sheetName val=" 소방공사 산출근거"/>
      <sheetName val="YES.XLS"/>
      <sheetName val="물량증감"/>
      <sheetName val="9902"/>
      <sheetName val="적격"/>
      <sheetName val="롤러"/>
      <sheetName val="BH"/>
      <sheetName val="펌프차타설"/>
      <sheetName val="방음벽 기초_x0005__x0000__x0000__x0000_"/>
      <sheetName val="foxz"/>
      <sheetName val="실㔀቎԰"/>
      <sheetName val="실︀껕ԯ"/>
      <sheetName val="실ԯ_x0000_缀"/>
      <sheetName val="금리׉"/>
      <sheetName val="실頀▀_xdc00_"/>
      <sheetName val="제㗇"/>
      <sheetName val="주차구丵〒_x0005__x0000_"/>
      <sheetName val="역삼"/>
      <sheetName val="배수관연장산출서"/>
      <sheetName val="기초ա_x0000_"/>
      <sheetName val="물량尜"/>
      <sheetName val="토공,철콘"/>
      <sheetName val="변경비丵〒_x0005_"/>
      <sheetName val="물량丵"/>
      <sheetName val="AILC005"/>
      <sheetName val="AILC00_x0000_"/>
      <sheetName val="AILC00_x0010_"/>
      <sheetName val="우,오수"/>
      <sheetName val="팔당터널(1공구)"/>
      <sheetName val="흙쌓기도수로설치현황(1)"/>
      <sheetName val="식재-외주 (2)"/>
      <sheetName val="자(3.0m)"/>
      <sheetName val="옹벽수량萘_x0013_"/>
      <sheetName val="수"/>
      <sheetName val="관리_x0000__x0000_Ԁ"/>
      <sheetName val="관리ﻇᇕ԰"/>
      <sheetName val="관리᠀㹓㔀"/>
      <sheetName val="관리Ç_x0000_Ԁ"/>
      <sheetName val="관리裇⁒㔀"/>
      <sheetName val="관리㗇ぎԯ"/>
      <sheetName val="관리㔀ぎԯ"/>
      <sheetName val="관리㉓Ⰰ"/>
      <sheetName val="신표鎐)"/>
      <sheetName val="신표司/"/>
      <sheetName val="신표丵⾒"/>
      <sheetName val="신표丵⽀"/>
      <sheetName val="신표錰!"/>
      <sheetName val="신표鋐_x0014_"/>
      <sheetName val="신표丵⼣"/>
      <sheetName val="신표鍀#"/>
      <sheetName val="신표_x0000__x0000_"/>
      <sheetName val="신표丵⾲"/>
      <sheetName val="신표券&quot;"/>
      <sheetName val="자재노임단가"/>
      <sheetName val="크레인5ton"/>
      <sheetName val="단가산출-2"/>
      <sheetName val="기초수량-1"/>
      <sheetName val="단가산출-1"/>
      <sheetName val="작용하중산정"/>
      <sheetName val="倀ᑙ"/>
      <sheetName val="1x"/>
      <sheetName val="栈᲋"/>
      <sheetName val="_xd810_᱓"/>
      <sheetName val="자재단가_x0005_"/>
      <sheetName val="물塠"/>
      <sheetName val="물徸"/>
      <sheetName val="guard(mac¸"/>
      <sheetName val="물嬼"/>
      <sheetName val="물闰"/>
      <sheetName val="guard(macð"/>
      <sheetName val="물呈"/>
      <sheetName val="guard(macH"/>
      <sheetName val="[YES.XLS][YES.XLS]신표司/"/>
      <sheetName val="변경비_x0000__x0000_Ѡ"/>
      <sheetName val="°ø»ç¿ø°¡°è牨-犬-"/>
      <sheetName val="전체내역갑지"/>
      <sheetName val="실행내역서 (조경)"/>
      <sheetName val="형틀공사"/>
      <sheetName val="주소록"/>
      <sheetName val="전체내ꀀፐ"/>
      <sheetName val="교대(A1挔"/>
      <sheetName val="부대헾】"/>
      <sheetName val="교대(A1窨"/>
      <sheetName val="부대窨_x0013_"/>
      <sheetName val="하수급견적대窨"/>
      <sheetName val="하수급견적대_x0005_"/>
      <sheetName val="교대(A1_x0005_"/>
      <sheetName val="부대_x0005__x0000_"/>
      <sheetName val="전체내㗈቎"/>
      <sheetName val="전체내׃_x0000_"/>
      <sheetName val="9-1㔀቎԰_x0000_"/>
      <sheetName val="9-1԰_x0000_缀_x0000_"/>
      <sheetName val="전체내㠀ᎍ"/>
      <sheetName val="하수급견적대齘"/>
      <sheetName val="교대(A1竈"/>
      <sheetName val="하수급견적대헾"/>
      <sheetName val="하수급견적대竈"/>
      <sheetName val="전체내䋈ᅪ"/>
      <sheetName val="전체내֬_x0000_"/>
      <sheetName val="전체내ﻈ䓕"/>
      <sheetName val="교대(A1헾"/>
      <sheetName val="하수급견적대鷸"/>
      <sheetName val="전체내棈᎜"/>
      <sheetName val="전체내䠀ᖞ"/>
      <sheetName val="하수급견적대鬘"/>
      <sheetName val="하수급견적대風"/>
      <sheetName val="하수급견적대肘"/>
      <sheetName val="부대芈+"/>
      <sheetName val="하수급견적대芈"/>
      <sheetName val="전체내︀嗕"/>
      <sheetName val="부대헾⼴"/>
      <sheetName val="하수급견적대飘"/>
      <sheetName val="강교(Sub)"/>
      <sheetName val="일반토공견적"/>
      <sheetName val="전체내ꠀ፺"/>
      <sheetName val="??????"/>
      <sheetName val="[YES.XLS][YES.XLS][YES.XLS]신표司/"/>
      <sheetName val="[YES.XLS]신표司/"/>
      <sheetName val="총괄분 설계서용지"/>
      <sheetName val="업체별 금액"/>
      <sheetName val="참조용쉬트"/>
      <sheetName val="청구서"/>
      <sheetName val="공동_집계표"/>
      <sheetName val="분담_집계표"/>
      <sheetName val="분담_대보"/>
      <sheetName val="분담_DB"/>
      <sheetName val="분담_동우"/>
      <sheetName val="대총괄내역서"/>
      <sheetName val="중총괄내역서"/>
      <sheetName val="소총괄내역서"/>
      <sheetName val="내역서_영상검지기"/>
      <sheetName val="내역서_레이더"/>
      <sheetName val="내역서_AVI"/>
      <sheetName val="내역서_CCTV"/>
      <sheetName val="내역서_지하차도CCTV"/>
      <sheetName val="내역서_VMS"/>
      <sheetName val="내역서_신호"/>
      <sheetName val="내역서_광통신장비"/>
      <sheetName val="내역서_주정차단속"/>
      <sheetName val="내역서_교통"/>
      <sheetName val="내역서_예비품"/>
      <sheetName val="내역서_전산"/>
      <sheetName val="내역서_정보통신"/>
      <sheetName val="내역서_전기"/>
      <sheetName val="내역서_토목"/>
      <sheetName val="내역서_기타(건축,소방)"/>
      <sheetName val="내역서_설계비및부대임대료"/>
      <sheetName val="세부내역_영상"/>
      <sheetName val="세부내역_레이더"/>
      <sheetName val="세부내역_AVI"/>
      <sheetName val="세부내역_CCTV"/>
      <sheetName val="세부내역_지하CCTV"/>
      <sheetName val="세부내역_VMS"/>
      <sheetName val="세부내역_신호"/>
      <sheetName val="세부내역_광통신"/>
      <sheetName val="세부내역_주정차"/>
      <sheetName val="세부내역_교통"/>
      <sheetName val="세부내역_예비품"/>
      <sheetName val="세부내역_전산"/>
      <sheetName val="세부내역_통신"/>
      <sheetName val="세부내역_전기"/>
      <sheetName val="세부내역_토목"/>
      <sheetName val="일위대가_건축구조(1)"/>
      <sheetName val="일위대가_건축토목(1)"/>
      <sheetName val="일위대가_SW"/>
      <sheetName val="SW개발비_산정기준"/>
      <sheetName val="세부내역_건축"/>
      <sheetName val="Macro(부하)"/>
      <sheetName val="밀양노선별공사비명세서"/>
      <sheetName val="일위산출근거"/>
      <sheetName val="적격심사표"/>
      <sheetName val="실내건축일위대가"/>
      <sheetName val="5.전사투자계획종함안"/>
      <sheetName val="기성신청"/>
      <sheetName val="방음벽 기초 일반헾】"/>
      <sheetName val="카렌스센터계량기설치공사"/>
      <sheetName val="지입자재"/>
      <sheetName val="배전반용량계산"/>
      <sheetName val="세정탑 설계"/>
      <sheetName val="기계설비-물가변동"/>
      <sheetName val="[YES.XLS][YES.XLS][YES.XLS]4/_x0000_䠀"/>
      <sheetName val="[YES.XLS][YES.XLS][YES.XLS]4쌇栅/"/>
      <sheetName val="교사기준면적(초등)"/>
      <sheetName val="새공통"/>
      <sheetName val="3절_CheckList_구분"/>
      <sheetName val="적정성평가표(8번)(1순위)"/>
      <sheetName val="적정성평가표(12번)(6순위)"/>
      <sheetName val="가옥조"/>
      <sheetName val="기계경비산출"/>
      <sheetName val="1_x0005_"/>
      <sheetName val="도면자료제출일정"/>
      <sheetName val="시공계_x0005_"/>
      <sheetName val="변경비_x0005__x0000_"/>
      <sheetName val="교대시점"/>
      <sheetName val="8. 안_x0000__x0000__x0005_"/>
      <sheetName val="경비공통"/>
      <sheetName val="동원인원계획표"/>
      <sheetName val="총괄집ᨈꥬ"/>
      <sheetName val="총괄집_x0000__x0000_"/>
      <sheetName val="VS P-Q"/>
      <sheetName val="KSHAHU-6"/>
      <sheetName val="LANGUAGE"/>
      <sheetName val="전기내역서(총계)"/>
      <sheetName val="1-최종안"/>
      <sheetName val="사업분석-분양가결정"/>
      <sheetName val="할丵〒"/>
      <sheetName val="부하집계"/>
      <sheetName val="영구峤"/>
      <sheetName val="단가_x0005__x0000_"/>
      <sheetName val="영구_x0005_"/>
      <sheetName val="영구射"/>
      <sheetName val="영구嶄"/>
      <sheetName val="설계(안)"/>
      <sheetName val="수량산출(AFC)"/>
      <sheetName val="수량산출(CCTV)"/>
      <sheetName val="수량_작성"/>
      <sheetName val="수량산출(방송)"/>
      <sheetName val="수량산출(임시AFC)"/>
      <sheetName val="수량산출(임시CCTV)"/>
      <sheetName val="수량산출(임시TV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장애자)"/>
      <sheetName val="수량산출(본통신)"/>
      <sheetName val="수량산출(TDI)"/>
      <sheetName val="수량집계(본역사)"/>
      <sheetName val="수량집계(임시역사)"/>
      <sheetName val="견적 (2)"/>
      <sheetName val="수곡내역"/>
      <sheetName val="전체내역 (2)"/>
      <sheetName val="Formulas &amp; Tables"/>
      <sheetName val="±âÀÚÀç´ëºñÇ¥"/>
      <sheetName val="¿¬°áÀÓ½Ã"/>
      <sheetName val="°ü±Þ"/>
      <sheetName val="일위대가 (PM)"/>
      <sheetName val="임시전기공사설계서"/>
      <sheetName val="토적계산"/>
      <sheetName val="96 능제취입"/>
      <sheetName val="M+1"/>
      <sheetName val="광,철광석 사용량(2000)"/>
      <sheetName val="포,철광석 사용량(2000)"/>
      <sheetName val="91,92황산"/>
      <sheetName val="도급단가-아파트"/>
      <sheetName val="BREAKDOWN(철거설치)"/>
      <sheetName val="변경후원본2"/>
      <sheetName val="LABTOTAL"/>
      <sheetName val="경성자금"/>
      <sheetName val="SUB일위대가"/>
      <sheetName val="평자재단가"/>
      <sheetName val="DRAIN DRUM PIT D-301"/>
      <sheetName val="목록1"/>
      <sheetName val="목록2"/>
      <sheetName val="요약"/>
      <sheetName val="전체총괄"/>
      <sheetName val="세목별"/>
      <sheetName val="소개"/>
      <sheetName val="#REF!"/>
      <sheetName val="계열사현황종합"/>
      <sheetName val="basic_info"/>
      <sheetName val="총공사비"/>
      <sheetName val="INS-SHEET"/>
      <sheetName val="shtOpr"/>
      <sheetName val="증감䈀ᅪ"/>
      <sheetName val="원가계산(2)"/>
      <sheetName val="/_x0000_"/>
      <sheetName val="က_x0000_"/>
      <sheetName val="포장쌅"/>
      <sheetName val="예산내역"/>
      <sheetName val="총괄수지표"/>
      <sheetName val="9GN邷㭘"/>
      <sheetName val="¹׃】_x0000_"/>
      <sheetName val="전등부하"/>
      <sheetName val="_x0005__x0006__x0008__x0003_"/>
      <sheetName val="_x0000_ _x0000__x0006__x0000__x0006_"/>
      <sheetName val="날개벽(좌,우=60도-4개)"/>
      <sheetName val="건0_x0000_蠀"/>
      <sheetName val="금0_x0000_䠀"/>
      <sheetName val="금蠣㡎耀"/>
      <sheetName val="재료집계표3"/>
      <sheetName val="범용개발순소요비용"/>
      <sheetName val="산#3-1"/>
      <sheetName val="산#3-2"/>
      <sheetName val="배관BM(일반)"/>
      <sheetName val="산#3-2-2"/>
      <sheetName val="수출가격"/>
      <sheetName val="IBL-C"/>
      <sheetName val="Architecture Work"/>
      <sheetName val="6.2.1 지하차도 조도계산"/>
      <sheetName val="8공구 강재 수량"/>
      <sheetName val="EVALUATE물량산출서"/>
      <sheetName val="스라브"/>
      <sheetName val="Stem Footing"/>
      <sheetName val="변경_x0005__x0006__x0004__x0004_"/>
      <sheetName val="_x0000__x0002__x0000__x0007__x0000__x0004__x0000__x0007__x0000_"/>
      <sheetName val="(14)전기품셈정산"/>
      <sheetName val="(12)전기경비"/>
      <sheetName val="8. _x0005__x0000__x0000_"/>
      <sheetName val="바이오"/>
      <sheetName val="도급내역서"/>
      <sheetName val="지급자재대"/>
      <sheetName val="5."/>
      <sheetName val="12."/>
      <sheetName val="14."/>
      <sheetName val="7."/>
      <sheetName val="8."/>
      <sheetName val="10."/>
      <sheetName val="PI蒨9"/>
      <sheetName val="겉장"/>
      <sheetName val="율림"/>
      <sheetName val="화진"/>
      <sheetName val="가설(내부수평비계)"/>
      <sheetName val="건축물현장정리"/>
      <sheetName val="공통가설공사(공통)"/>
      <sheetName val="골재대"/>
      <sheetName val="폐기물 (2)"/>
      <sheetName val="경로당내역건축"/>
      <sheetName val="노임단가(08.01)"/>
      <sheetName val="몰탈단가"/>
      <sheetName val="기능공인적사항"/>
      <sheetName val="5.단가대비표"/>
      <sheetName val="노임,자재"/>
      <sheetName val="기계경비(맨홀)"/>
      <sheetName val="4.일위대가목차"/>
      <sheetName val="가도䠀"/>
      <sheetName val="가도ԯ"/>
      <sheetName val="가도저"/>
      <sheetName val="절감계산"/>
      <sheetName val="ML"/>
      <sheetName val="기초"/>
      <sheetName val="가시설"/>
      <sheetName val="´_x0005__x0000_"/>
      <sheetName val="103동"/>
      <sheetName val="D.B"/>
      <sheetName val="기계경비(시"/>
      <sheetName val="ÀÏÀ§´ë헾】_x0005__x0000__x0000__x0000_"/>
      <sheetName val="고창터널(고창방향䈀"/>
      <sheetName val="영구청af헾"/>
      <sheetName val="영구청af薸"/>
      <sheetName val="fitting"/>
      <sheetName val="Look-Up"/>
      <sheetName val="Units"/>
      <sheetName val="노임9월"/>
      <sheetName val="洊⍩"/>
      <sheetName val="_xd808_⢉"/>
      <sheetName val="砈ẋ"/>
      <sheetName val="하중재하"/>
      <sheetName val="단목"/>
      <sheetName val="토목수량"/>
      <sheetName val="Cover Sht"/>
      <sheetName val="자재단가壠"/>
      <sheetName val="자재단가厘"/>
      <sheetName val="하남내역"/>
      <sheetName val="[YES.XLS]4/_x0000_䠀"/>
      <sheetName val="[YES.XLS]4쌇栅/"/>
      <sheetName val="단위"/>
      <sheetName val="총괄집계 "/>
      <sheetName val="기본자료"/>
      <sheetName val="기က_x0000_退"/>
      <sheetName val="_x0001__x0000_"/>
      <sheetName val="1-"/>
      <sheetName val="1"/>
      <sheetName val="1_x0008_"/>
      <sheetName val="1þ"/>
      <sheetName val="1¨"/>
      <sheetName val="1g"/>
      <sheetName val="㠈⎗"/>
      <sheetName val="⢔"/>
      <sheetName val="᠇Ẓ"/>
      <sheetName val="1ì"/>
      <sheetName val="1º"/>
      <sheetName val="謂ⷄ"/>
      <sheetName val="ꠀ⢄"/>
      <sheetName val="⠊⢌"/>
      <sheetName val="ꠀ฀"/>
      <sheetName val="了"/>
      <sheetName val="1"/>
      <sheetName val="1_x0018_"/>
      <sheetName val="1ð"/>
      <sheetName val="栉ᶆ"/>
      <sheetName val=" ᧡"/>
      <sheetName val="1P"/>
      <sheetName val="1("/>
      <sheetName val="1@"/>
      <sheetName val="1 "/>
      <sheetName val="⠖㔺"/>
      <sheetName val="砖㖌"/>
      <sheetName val="1è"/>
      <sheetName val="1_x001e_"/>
      <sheetName val="1`"/>
      <sheetName val="1"/>
      <sheetName val="1°"/>
      <sheetName val="갑지(0_x0000_頀"/>
      <sheetName val="갑지(저妶瘍"/>
      <sheetName val="갑지(濪瘊"/>
      <sheetName val="갑지(᐀ባ혀"/>
      <sheetName val="입출재고현황 (2_x0010_"/>
      <sheetName val="갑지(᠀̨瘗"/>
      <sheetName val="갑지(栀ৢ瘊"/>
      <sheetName val="갑지(ꀀ㱹瘆"/>
      <sheetName val="2.노무비명세서頀塔攀๦0_x0000_뀀"/>
      <sheetName val="2.노무비명세서Ç_x0000__x0000__x0000_ꨀ"/>
      <sheetName val="노임2"/>
      <sheetName val="단가(추가)"/>
      <sheetName val="일위대가(추가)"/>
      <sheetName val="2.노무비명세서Ç_x0000_렀_x0013__x0000__x0000_砀"/>
      <sheetName val="갑지(쐂饣/"/>
      <sheetName val="갑지(쐃/"/>
      <sheetName val="갑지(쐎/"/>
      <sheetName val="귀래 설계 공내역서"/>
      <sheetName val="목창호"/>
      <sheetName val="5.2코핑"/>
      <sheetName val="전체내԰_x0000_"/>
      <sheetName val="원안"/>
      <sheetName val="암거치수표"/>
      <sheetName val="재료집계표빽업"/>
      <sheetName val="암거수리계산서"/>
      <sheetName val="◀암거위치"/>
      <sheetName val="최종단면▶"/>
      <sheetName val="◀평균높이▶"/>
      <sheetName val="전체내저ᚙ"/>
      <sheetName val="전체내ꠀ᪘"/>
      <sheetName val="주관⩿〚"/>
      <sheetName val="1¸"/>
      <sheetName val="b_balju_ch"/>
      <sheetName val="b_balju_chÈ"/>
      <sheetName val="b_balju_ch_x0005_"/>
      <sheetName val="b_balju_chÛ"/>
      <sheetName val="b_balju_ch("/>
      <sheetName val="N賃率_職"/>
      <sheetName val="기본DATԯ"/>
      <sheetName val="기본DAT頀"/>
      <sheetName val="REDUCER"/>
      <sheetName val="WE'T"/>
      <sheetName val="실︀ԯ"/>
      <sheetName val="하수급견적대䧨"/>
      <sheetName val="SHUTDOWN VALVE"/>
      <sheetName val="실资䈀"/>
      <sheetName val="실㠀赫䈀"/>
      <sheetName val="실蠀艆䈀"/>
      <sheetName val="실退艬_xdc00_"/>
      <sheetName val="실ꠀ⑬餀"/>
      <sheetName val="실頀몁_xdc00_"/>
      <sheetName val="하수급견적대䪘"/>
      <sheetName val="하수급견적대桑"/>
      <sheetName val="하수급견적대䗸"/>
      <sheetName val="하수급견적대汈"/>
      <sheetName val="하수급견적대䫘"/>
      <sheetName val="하수급견적대烐"/>
      <sheetName val="하수급견적대䠸"/>
      <sheetName val="하수급견적대溈"/>
      <sheetName val="실舀鐟ԯ"/>
      <sheetName val="하수급견적대靨"/>
      <sheetName val="하수급견적대䝸"/>
      <sheetName val="실렀齈_xdb00_"/>
      <sheetName val="실ࠀ齯_xdb00_"/>
      <sheetName val="단_xd800_镊ἀ"/>
      <sheetName val="단镰Ⰰ"/>
      <sheetName val="실저비_xdb00_"/>
      <sheetName val="실᠀㙋䈀"/>
      <sheetName val="실⠀텊䈀"/>
      <sheetName val="실态吣԰"/>
      <sheetName val="실저칄怀"/>
      <sheetName val="실퀀칪ᰀ"/>
      <sheetName val="하수급견적대炠"/>
      <sheetName val="하수급견적대䞘"/>
      <sheetName val="공사예산하조서(O.K)"/>
      <sheetName val="Summar헾】_x0005__x0000__x0000__x0000__x0000_"/>
      <sheetName val="부대공(집계)"/>
      <sheetName val="포장단면별단위수량"/>
      <sheetName val="공사비집_x0005_"/>
      <sheetName val="bCord공정"/>
      <sheetName val="d수량"/>
      <sheetName val="e대가"/>
      <sheetName val="g단가"/>
      <sheetName val="h집계"/>
      <sheetName val="8.일위대가표(1)"/>
      <sheetName val="8.일위대가표(2)"/>
      <sheetName val="7.청제공기계기구조서"/>
      <sheetName val="횡분배정리(DB)"/>
      <sheetName val="방음벽기초-수량"/>
      <sheetName val="수량산출기초(케블등)"/>
      <sheetName val="2.노무비명세서(수직보垰7埼"/>
      <sheetName val="제안서"/>
      <sheetName val="행정표준(1)"/>
      <sheetName val="행정표준(2)"/>
      <sheetName val="수량산출내역1115"/>
      <sheetName val="아파트저᝾"/>
      <sheetName val="아파트㾅"/>
      <sheetName val="관급원내역"/>
      <sheetName val="7.경제성결과"/>
      <sheetName val=" 갑지"/>
      <sheetName val="하도급선정의뢰_x0005__x0000__x0000__x0000__x0000_恐"/>
      <sheetName val="하도급선정의뢰煘_x0013_橂⿜_x0005__x0000_"/>
      <sheetName val="하도급선정의뢰聸_x0013_헾⾧_x0005__x0000_"/>
      <sheetName val="4신규비목발생사유서"/>
      <sheetName val="하도급선정의뢰颙〒_x0005__x0000__x0000__x0000_"/>
      <sheetName val="하도급선정의뢰_x0000__x0000_ರ_x0000__x0000__x0000_Ÿ"/>
      <sheetName val="하도급선정의뢰_x0000__x0000_ꢈ_x0000__x0000__x0000_Ÿ"/>
      <sheetName val="하도급선정의뢰_x0000__x0000_㇀_x0000__x0000__x0000_Ÿ"/>
      <sheetName val="하도급선정의뢰_x0000__x0000_䭠_x0000__x0000__x0000_欓"/>
      <sheetName val="하도급선정의뢰_x0010__x0000_ﻠֲ׃⽣_x0000_"/>
      <sheetName val="하도급선정의뢰_x0000__x0000_枨_x0000__x0000__x0000_"/>
      <sheetName val="하도급선정의뢰_x0000__x0000_优_x0000__x0000__x0000_"/>
      <sheetName val="하도급선정의뢰_x0010__x0000__xdfc0_࡝׃⼫_x0000_"/>
      <sheetName val="하도급선정의뢰佘/ߍ恽⿹_x0000_"/>
      <sheetName val="하수실행"/>
      <sheetName val="자재단가徸"/>
      <sheetName val="수안보-๿〚_x0005__x0000_"/>
      <sheetName val="금액내역헾"/>
      <sheetName val="자재단가尜"/>
      <sheetName val="NAIL단가산출"/>
      <sheetName val="수안보-挔_x0012_竖め"/>
      <sheetName val="자재단가헾"/>
      <sheetName val="자재단가丵"/>
      <sheetName val="수량산출(통신선로)"/>
      <sheetName val="수량산출(여객장치)"/>
      <sheetName val="수량산출(전화)"/>
      <sheetName val="사업부배부A"/>
      <sheetName val="입력값1"/>
      <sheetName val="insulation"/>
      <sheetName val="PipWT"/>
      <sheetName val="뜃맟뭁돽띿맟?-BLDG"/>
      <sheetName val="PBS"/>
      <sheetName val="검색"/>
      <sheetName val="INSTR"/>
      <sheetName val="수지표"/>
      <sheetName val="셀명"/>
      <sheetName val="공통단가"/>
      <sheetName val="1.동력공사"/>
      <sheetName val="청주-교대(A1)"/>
      <sheetName val="감시제어"/>
      <sheetName val="목차임시"/>
      <sheetName val="선로의 %임피던스 "/>
      <sheetName val="동력배선"/>
      <sheetName val="본선동력배선"/>
      <sheetName val="본선조명"/>
      <sheetName val="전력간선배선"/>
      <sheetName val="전열배선"/>
      <sheetName val="전체-원가분리내역"/>
      <sheetName val="계화배수(3대)"/>
      <sheetName val="익산"/>
      <sheetName val="가격표"/>
      <sheetName val="건축외주"/>
      <sheetName val="Sheet1(X)"/>
      <sheetName val="인원조직표"/>
      <sheetName val="냉천부속동"/>
      <sheetName val="국별인원"/>
      <sheetName val="산출기초"/>
      <sheetName val="DATA(광속)"/>
      <sheetName val="REACTION芨.헾⿁_x0005__x0000_"/>
      <sheetName val="REACTION鴘E鵜E헾⼼_x0005_"/>
      <sheetName val="정산내역"/>
      <sheetName val="변경ᛅ⾒_x0005_"/>
      <sheetName val="무시"/>
      <sheetName val="電磁弁LIST"/>
      <sheetName val="PLG"/>
      <sheetName val="외자배분"/>
      <sheetName val="외자내역"/>
      <sheetName val="관리비"/>
      <sheetName val="3-1.일위대가집계표(교통시설물1)"/>
      <sheetName val="직_x0005__x0000_"/>
      <sheetName val="임시급식ֿ_x0000_缀_x0000_"/>
      <sheetName val="직원자료"/>
      <sheetName val="업종분류"/>
      <sheetName val="장비분류"/>
      <sheetName val="단가산출목록표"/>
      <sheetName val="정문내역"/>
      <sheetName val="도시가스현황"/>
      <sheetName val="2차공사"/>
      <sheetName val="Imp-Data"/>
      <sheetName val="내역서 (1차)"/>
      <sheetName val="¿¹Á¤(3က"/>
      <sheetName val="SAMPLE"/>
      <sheetName val="건축공정"/>
      <sheetName val="방진공정"/>
      <sheetName val="조경공정"/>
      <sheetName val="전자"/>
      <sheetName val="환산"/>
      <sheetName val="금강견적"/>
      <sheetName val="D-RMIL"/>
      <sheetName val="3차준공"/>
      <sheetName val="옹벽수량집계표"/>
      <sheetName val="수종별인자"/>
      <sheetName val="BH-1 (2)"/>
      <sheetName val="공종코드"/>
      <sheetName val="가시설공(광장부)"/>
      <sheetName val="ÀÏÀ§´ë°¡Ç¥(_x0005__x0000_"/>
      <sheetName val="일위藨-헾"/>
      <sheetName val="AHU-1"/>
      <sheetName val="급탕설비"/>
      <sheetName val="화장실배기팬"/>
      <sheetName val="직급별"/>
      <sheetName val="S1099기장선행WOP"/>
      <sheetName val="방지책개소별명세"/>
      <sheetName val="단위량"/>
      <sheetName val="재료집계표2"/>
      <sheetName val="토적집계표"/>
      <sheetName val="복구량산정_및_전용회선_사용1"/>
      <sheetName val="4월_실적추정(건축+토목)1"/>
      <sheetName val="4월_실적추정(건축)1"/>
      <sheetName val="1_수변전설비1"/>
      <sheetName val="2_전력간선1"/>
      <sheetName val="3_동력1"/>
      <sheetName val="4_전등1"/>
      <sheetName val="5_전열1"/>
      <sheetName val="6_약전1"/>
      <sheetName val="7_소방1"/>
      <sheetName val="8_방송1"/>
      <sheetName val="9_조명제어1"/>
      <sheetName val="10_철거공사1"/>
      <sheetName val="1_전차선조정1"/>
      <sheetName val="2_조가선조정1"/>
      <sheetName val="3_급전선신설1"/>
      <sheetName val="4_급전선철거1"/>
      <sheetName val="5_고배선철거1"/>
      <sheetName val="6_고압케이블신설1"/>
      <sheetName val="7_비절연선조정1"/>
      <sheetName val="8_가동브래키트이설1"/>
      <sheetName val="9_H형강주신설(9m)1"/>
      <sheetName val="10_강관주신설(9m)1"/>
      <sheetName val="11_H강주철거(11m)1"/>
      <sheetName val="11_H형강기초1"/>
      <sheetName val="13_강관주기초1"/>
      <sheetName val="14_장력조정장치신설1"/>
      <sheetName val="15_장력조정장치철거___1"/>
      <sheetName val="16_콘주철거(9m)1"/>
      <sheetName val="17_지선신설(보통)1"/>
      <sheetName val="18_지선신설(v형)1"/>
      <sheetName val="19_지선철거1"/>
      <sheetName val="20_기중개폐기신설1"/>
      <sheetName val="남양시작동자105노65기1_3화1_21"/>
      <sheetName val="0_집계1"/>
      <sheetName val="1_수변전설비공사1"/>
      <sheetName val="조도계산서_(도서)1"/>
      <sheetName val="3-1_CB1"/>
      <sheetName val="3_내역서"/>
      <sheetName val="EQUIPMENT_-2"/>
      <sheetName val="1_변전설비"/>
      <sheetName val="1_¼öº¯Àü¼³ºñ"/>
      <sheetName val="2_Àü·Â°£¼±"/>
      <sheetName val="3_µ¿·Â"/>
      <sheetName val="4_Àüµî"/>
      <sheetName val="5_Àü¿­"/>
      <sheetName val="6_¾àÀü"/>
      <sheetName val="7_¼Ò¹æ"/>
      <sheetName val="8_¹æ¼Û"/>
      <sheetName val="9_Á¶¸íÁ¦¾î"/>
      <sheetName val="10_Ã¶°Å°ø»ç"/>
      <sheetName val="³²¾ç½ÃÀÛµ¿ÀÚ105³ë65±â1_3È­1_2"/>
      <sheetName val="Á¶µµ°è»ê¼­_(µµ¼­)"/>
      <sheetName val="Man_Power_&amp;_Comp"/>
      <sheetName val="자동_철거"/>
      <sheetName val="자동_설치"/>
      <sheetName val="토목_철주"/>
      <sheetName val="철거_일위대가(1-19)"/>
      <sheetName val="철거_일위대가(20-22)"/>
      <sheetName val="설치_일위대가(23-45호)"/>
      <sheetName val="설치_일위대가(46~78호)"/>
      <sheetName val="const_"/>
      <sheetName val="220_(2)"/>
      <sheetName val="1공구_건정토건_토공"/>
      <sheetName val="2000년_공정표"/>
      <sheetName val="화재_탐지_설비"/>
      <sheetName val="호봉_(2)"/>
      <sheetName val="69_03%"/>
      <sheetName val="변경내역84_52%"/>
      <sheetName val="_견적서"/>
      <sheetName val="5_공종별예산내역서"/>
      <sheetName val="단가_"/>
      <sheetName val="총괄원가_"/>
      <sheetName val="_갑__지_"/>
      <sheetName val="기성내역_진짜"/>
      <sheetName val="할증_"/>
      <sheetName val="PUMP_SHT"/>
      <sheetName val="FIN_TUBE"/>
      <sheetName val="HED__&amp;_PIPE"/>
      <sheetName val="0_Áý°è"/>
      <sheetName val="Ç¥Áö_(2)"/>
      <sheetName val="9_"/>
      <sheetName val="세부견적서(DAS_Call_Back)"/>
      <sheetName val="2_펌프장(사급자재)"/>
      <sheetName val="5_"/>
      <sheetName val="12_"/>
      <sheetName val="14_"/>
      <sheetName val="7_"/>
      <sheetName val="8_"/>
      <sheetName val="10_"/>
      <sheetName val="추천서"/>
      <sheetName val="설계변경내역"/>
      <sheetName val="월별"/>
      <sheetName val="48산출"/>
      <sheetName val="단가대조"/>
      <sheetName val="INMD1198"/>
      <sheetName val="INFG1198"/>
      <sheetName val="M5_S"/>
      <sheetName val="M6_S"/>
      <sheetName val="SRAM_CHIP"/>
      <sheetName val="SRAM_생산"/>
      <sheetName val="YLD"/>
      <sheetName val="설치 일위대가(46~԰_x0000_缀_x0000_"/>
      <sheetName val="라멘교일반수량"/>
      <sheetName val="타견적(을)"/>
      <sheetName val="기성내역(건축)"/>
      <sheetName val="Á¤»ê¹°·®︀웕"/>
      <sheetName val="조도계산서1"/>
      <sheetName val="5.1단가조사"/>
      <sheetName val="배수설비"/>
      <sheetName val="표준ፙ렀ᑟ"/>
      <sheetName val="7.3.1 전력간선 굵기"/>
      <sheetName val="1단계_견적내역서"/>
      <sheetName val="내부수지예산"/>
      <sheetName val="15.공량산출근거서"/>
      <sheetName val="교각토공"/>
      <sheetName val="data_dci"/>
      <sheetName val="data_mci"/>
      <sheetName val="behind"/>
      <sheetName val="2.노무비명세서(수직보_x0005__x0000_"/>
      <sheetName val="2.노무비명세서(수직보丵⿰_x0005_"/>
      <sheetName val="1_노무비명세서(해동)"/>
      <sheetName val="1_노무비명세서(토목)"/>
      <sheetName val="2_노무비명세서(해동)"/>
      <sheetName val="2_노무비명세서(수직보垰7埼"/>
      <sheetName val="2_노무비명세서(수직보호망)"/>
      <sheetName val="2_노무비명세서(난간대)"/>
      <sheetName val="2_사진대지"/>
      <sheetName val="3_사진대지"/>
      <sheetName val="2_노무비명세서(수직보"/>
      <sheetName val="2007일위_"/>
      <sheetName val="토목일위_(83~)"/>
      <sheetName val="노무비_"/>
      <sheetName val="2_노무비명세서(수직보丵⿰"/>
      <sheetName val="combi(wall)"/>
      <sheetName val="제잡비(주공종)"/>
      <sheetName val="유첨헾】"/>
      <sheetName val="철탑공사"/>
      <sheetName val="시점부교대"/>
      <sheetName val="48전력선_x0002__x0000_㣸"/>
      <sheetName val="주사무실ֳ_x0000_"/>
      <sheetName val="¼ö·®»êÃ "/>
      <sheetName val="¼ö·®»êÃ_x0005_"/>
      <sheetName val="거실통로등"/>
      <sheetName val="주사무실墳᎟"/>
      <sheetName val="BOX ︀ᇕ"/>
      <sheetName val="BOX 저፺"/>
      <sheetName val="䋈ᅪ"/>
      <sheetName val="주사무실԰_x0000_"/>
      <sheetName val="BOX ︀釕"/>
      <sheetName val="위치︀釕"/>
      <sheetName val="BOX ᢝ"/>
      <sheetName val="︀動"/>
      <sheetName val="ﻈ䓕"/>
      <sheetName val="ꠀ፺"/>
      <sheetName val="BOX ᠀ᶛ"/>
      <sheetName val="위치᠀ᶛ"/>
      <sheetName val="저ᚙ"/>
      <sheetName val="위치ꠀ᪘"/>
      <sheetName val="BOX ︀鷕"/>
      <sheetName val="주사무실頀▀"/>
      <sheetName val="BOX 頀▀"/>
      <sheetName val="주사무실蠀⮂"/>
      <sheetName val="위치蠀⮂"/>
      <sheetName val="BOX 蠀⮂"/>
      <sheetName val="︀嗕"/>
      <sheetName val="위치︀㓕"/>
      <sheetName val="주사무실︀㓕"/>
      <sheetName val="위치_xd800_ᢘ"/>
      <sheetName val="내역서(사업소)"/>
      <sheetName val="유역면적"/>
      <sheetName val="펌프장수량ԯ_x0000_缀_x0000__x0000_"/>
      <sheetName val="YES-T"/>
      <sheetName val="흄관수량"/>
      <sheetName val="주재료비"/>
      <sheetName val="설계요율"/>
      <sheetName val="유첨_x0005__x0000_"/>
      <sheetName val="일_x0007__x0006__x0003__x0004__x0007_"/>
      <sheetName val="_x0000__x0005__x0000__x0004__x0000__x0008__x0000__x0005__x0000__x0008_"/>
      <sheetName val="간이연락"/>
      <sheetName val="견적을지"/>
      <sheetName val="불변현금흐름표"/>
      <sheetName val="기타유틸리티설비"/>
      <sheetName val="PANEL 내역"/>
      <sheetName val="ALINE"/>
      <sheetName val="횡배수관설치현황"/>
      <sheetName val="96월별PL"/>
      <sheetName val="양식(직판용)"/>
      <sheetName val="본사업"/>
      <sheetName val="수장"/>
      <sheetName val="단가표(전산)"/>
      <sheetName val="2219-SPOOL BOM"/>
      <sheetName val="설명서"/>
      <sheetName val="x주형보 설계(3차로)"/>
      <sheetName val="은평작업지시대장"/>
      <sheetName val="옥외배관기본공량"/>
      <sheetName val="선우통상(을)"/>
      <sheetName val="견적서-골조공사"/>
      <sheetName val="건축2"/>
      <sheetName val="3-4호기 내역서"/>
      <sheetName val="토공검토G"/>
      <sheetName val="미지급금"/>
      <sheetName val="CABdata"/>
      <sheetName val="기별수량산출서"/>
      <sheetName val="광양방향"/>
      <sheetName val="남양시작동010313100%"/>
      <sheetName val="98비정기소모"/>
      <sheetName val="도급및 실행내역"/>
      <sheetName val="참고자료등록"/>
      <sheetName val="하자보수보증자료"/>
      <sheetName val="재료-CODE"/>
      <sheetName val="9.2단가산출서"/>
      <sheetName val="손료"/>
      <sheetName val="General DaS_x0000_"/>
      <sheetName val="설비공사"/>
      <sheetName val="원가계산서 (2)"/>
      <sheetName val="내역(설계,도급)정이준"/>
      <sheetName val="실행단가철(ems코드적용)"/>
      <sheetName val="기초대가"/>
      <sheetName val="차도부연장현황"/>
      <sheetName val="원곡IC교 내진성능보강공사 실시설계 용역.xlsx"/>
      <sheetName val="キ⩙"/>
      <sheetName val="첨부파일"/>
      <sheetName val="도장"/>
      <sheetName val="1._x005f_x005f_x005f_x0018_변전설비"/>
      <sheetName val="부대토목"/>
      <sheetName val="토목공종세부"/>
      <sheetName val="견적회신"/>
      <sheetName val="1. 가로등 설비 공사(산출)"/>
      <sheetName val="일대-1"/>
      <sheetName val="종료분석"/>
      <sheetName val="중질쓰레기"/>
      <sheetName val="장비단가"/>
      <sheetName val="1.관로"/>
      <sheetName val="입찰결과(DATA_x0000_"/>
      <sheetName val="화재 颮㍓씀넖ԯ"/>
      <sheetName val="SPM(13.84)"/>
      <sheetName val="ᰀ፜"/>
      <sheetName val="N炬≹"/>
      <sheetName val="KS-301_WBS"/>
      <sheetName val="MixBed"/>
      <sheetName val="CondPol"/>
      <sheetName val="ꠀ᪘"/>
      <sheetName val="︀盕"/>
      <sheetName val="ᓈባ"/>
      <sheetName val="壈▞"/>
      <sheetName val="대창(장ԯ_x0000_"/>
      <sheetName val="전기일ꙭÀ_x0000_"/>
      <sheetName val="전체내蠀ᒗ"/>
      <sheetName val="전체내︀盕"/>
      <sheetName val="일위대가(계측︩盕ԯ_x0000_"/>
      <sheetName val="전체내壈▞"/>
      <sheetName val="1호철근량"/>
      <sheetName val="진행 DATA (2)"/>
      <sheetName val="외화계약"/>
      <sheetName val="J直_x0004__x0005_"/>
      <sheetName val="ༀༀ̀ఀЀ"/>
      <sheetName val="³²¾ç½ÃÀÛµ¿ÀÚ105³ë65±_x0000__x0000__x0005__x0000_慀ȡ_x0000__x0000__x0000_"/>
      <sheetName val="단  가  垨4奜4睮⿩_x0005_"/>
      <sheetName val="1._x0018_변︀ᇕ԰"/>
      <sheetName val="골재丵〒"/>
      <sheetName val="내역총渀腷"/>
      <sheetName val="현지검측내역"/>
      <sheetName val="구주,중아,CIS"/>
      <sheetName val="EL90"/>
      <sheetName val="역T형교대栄⿇_x0000__x0000_庨_x0000_"/>
      <sheetName val="역T형교대栄⿇_x0000__x0000__x0000_"/>
      <sheetName val="펌프장수량䈀嵪ԯ_x0000_缀"/>
      <sheetName val="펌프장수량㔀቎԰_x0000_缀"/>
      <sheetName val="교량현황"/>
      <sheetName val="커튼월(pfg)"/>
      <sheetName val="ࠀ᎚"/>
      <sheetName val="평균물량산출서"/>
      <sheetName val="합의서"/>
      <sheetName val="낙석방지책"/>
      <sheetName val="금액︀⣕"/>
      <sheetName val="상수도토공_x0005__x0000_"/>
      <sheetName val="설직재0_x0000_"/>
      <sheetName val="설직재餀㒘"/>
      <sheetName val="싱가폴(실지급+인상율)"/>
      <sheetName val="UB2"/>
      <sheetName val="b_gunmul"/>
      <sheetName val="b_balju (2)"/>
      <sheetName val="갑(전기)"/>
      <sheetName val="갑(계장)"/>
      <sheetName val="010101"/>
      <sheetName val="심의대상"/>
      <sheetName val="내역금액적용"/>
      <sheetName val="비목코드"/>
      <sheetName val="철거산출徸〒"/>
      <sheetName val="신안설계"/>
      <sheetName val="업체선정"/>
      <sheetName val="실행집계장"/>
      <sheetName val="투찰집계장"/>
      <sheetName val="토목총괄내역서"/>
      <sheetName val="총괄집계"/>
      <sheetName val="하도사항"/>
      <sheetName val="실행별지"/>
      <sheetName val="하도잡비"/>
      <sheetName val="토공부대"/>
      <sheetName val="철콘부대"/>
      <sheetName val="연약부대"/>
      <sheetName val="철골부대"/>
      <sheetName val="철공견갑"/>
      <sheetName val="철골견적"/>
      <sheetName val="토공견갑"/>
      <sheetName val="토공견적"/>
      <sheetName val="철콘견갑"/>
      <sheetName val="철콘견적"/>
      <sheetName val="연약견갑"/>
      <sheetName val="연약견적"/>
      <sheetName val="부대샘플"/>
      <sheetName val="777"/>
      <sheetName val="cross beam"/>
      <sheetName val="가속도응답스펙트럼(Sa)및속도응답스펙트럼(Sv)"/>
      <sheetName val="4,5,6,7,8"/>
      <sheetName val="설계흐름도"/>
      <sheetName val="배수및구조물공1"/>
      <sheetName val="앨범표지"/>
      <sheetName val="B1(반포1차)"/>
      <sheetName val="esc(건축)"/>
      <sheetName val="일위대가집계표"/>
      <sheetName val="공예을"/>
      <sheetName val="골재및자재집계표"/>
      <sheetName val="현장유지관리비"/>
      <sheetName val="수안보-纈!헾『"/>
      <sheetName val="수안보-丵〒_x0005__x0000_"/>
      <sheetName val="수안보-橂】_x0005__x0000_"/>
      <sheetName val="9-1차_x0005__x0000_"/>
      <sheetName val="변경비懸_x0013_颙"/>
      <sheetName val="변경비颙〒_x0005_"/>
      <sheetName val="일위집԰_x0000_"/>
      <sheetName val="변경비窨_x0013_竬"/>
      <sheetName val="시공계ⱂ"/>
      <sheetName val="조명시헾"/>
      <sheetName val="8. 안吐呜"/>
      <sheetName val="전선관"/>
      <sheetName val="5.정산ﵠ"/>
      <sheetName val="실행내역 "/>
      <sheetName val="교량data"/>
      <sheetName val="파일구성"/>
      <sheetName val="분전반"/>
      <sheetName val="Priorities"/>
      <sheetName val="Paint,Fire-Proof,Insul(48)"/>
      <sheetName val="No.2LAB Unit"/>
      <sheetName val="약ྀ︁"/>
      <sheetName val="1.1 본체"/>
      <sheetName val="March"/>
      <sheetName val="토목 (2)"/>
      <sheetName val="인력터파기"/>
      <sheetName val="9G࠯_x0015__x0000__x0000_"/>
      <sheetName val="94"/>
      <sheetName val="20-25"/>
      <sheetName val="몰탈쐀/_x0000_"/>
      <sheetName val="실행ࠏE"/>
      <sheetName val="실행ဏ_x0000_"/>
      <sheetName val="시멘트,모래"/>
      <sheetName val="CHIP_O"/>
      <sheetName val="FAB_O"/>
      <sheetName val="PKG_I"/>
      <sheetName val="FT_금액"/>
      <sheetName val="Key assumption"/>
      <sheetName val="토목׃⿄"/>
      <sheetName val="토목׃⽴"/>
      <sheetName val="토목嘘_x001b_"/>
      <sheetName val="토목ꮸ⽤"/>
      <sheetName val="토목垐%"/>
      <sheetName val="토목狈6"/>
      <sheetName val="토목妀6"/>
      <sheetName val="토목枵〛"/>
      <sheetName val="의왕실행"/>
      <sheetName val="LCS-SEAT"/>
      <sheetName val="집계표(건축전기)"/>
      <sheetName val="품목현황"/>
      <sheetName val="PO-BOB"/>
      <sheetName val="보차도경계석수량"/>
      <sheetName val="48일위(기존)"/>
      <sheetName val="하도급선정의뢰_x0005__x0000__x0000__x0000__x0000_吝"/>
      <sheetName val="하도급선정의뢰唈_x001f_ᛅ⾠_x0005__x0000_"/>
      <sheetName val="하도급선정의뢰ᛅ⼝_x0005__x0000__x0000__x0000_"/>
      <sheetName val="음성(cable)"/>
      <sheetName val="제조부문배부"/>
      <sheetName val="XREF"/>
      <sheetName val="시공업체명부"/>
      <sheetName val="Direct (공사비대비)"/>
      <sheetName val="제출"/>
      <sheetName val="공사비예비관리공감측설산출내역"/>
      <sheetName val="TCDB"/>
      <sheetName val="1À"/>
      <sheetName val="1 "/>
      <sheetName val="ꀀ㇞"/>
      <sheetName val="1r"/>
      <sheetName val="　⮒"/>
      <sheetName val="산출서집계"/>
      <sheetName val="집계표(수정)"/>
      <sheetName val="잔여공사월별내역"/>
      <sheetName val="대비(최종이사회)"/>
      <sheetName val="표지세로"/>
      <sheetName val="5.소모재료비"/>
      <sheetName val="က"/>
      <sheetName val="⠈ⱒ"/>
      <sheetName val="1Ø"/>
      <sheetName val="1_x0004_"/>
      <sheetName val="MEMBER"/>
      <sheetName val="공사별 가중치0_x0000_ꀀâ_x0000__x0000_鬀ӊ㰞"/>
      <sheetName val="제수_x0000__x0000_"/>
      <sheetName val="제수午_x0013_뺨"/>
      <sheetName val="제수午_x0013_㸀"/>
      <sheetName val="제수午_x0013_㐨"/>
      <sheetName val="제수午_x0013_㺨"/>
      <sheetName val="제수午_x0013_绠"/>
      <sheetName val="제수午_x0013_떰"/>
      <sheetName val="제수午_x0013_"/>
      <sheetName val="옥내소화전계산서"/>
      <sheetName val="심사계산"/>
      <sheetName val="기타"/>
      <sheetName val="BID FORM"/>
      <sheetName val="Form of Bid"/>
      <sheetName val="이관문서목록표"/>
      <sheetName val="국내"/>
      <sheetName val="member design"/>
      <sheetName val="soil bearing check"/>
      <sheetName val="도급,하도급 예정금액"/>
      <sheetName val="산출(전기)"/>
      <sheetName val="DWG-CAB-I"/>
      <sheetName val="공감비"/>
      <sheetName val="재무가정"/>
      <sheetName val="건물현황"/>
      <sheetName val="대목"/>
      <sheetName val="간접재료비산출표-27-30"/>
      <sheetName val="공사원가계산蚘_x0013_"/>
      <sheetName val="도급예정1ီ_x0000_䀀"/>
      <sheetName val="도급예정1犢呄/"/>
      <sheetName val="도급예정1犢/"/>
      <sheetName val="도급예정1Ⴂ_x0000_䀀"/>
      <sheetName val="도급예정1ﻰᇕ԰"/>
      <sheetName val="도급예정1犢ፄ/"/>
      <sheetName val="도급예정1ჰ_x0000_䀀"/>
      <sheetName val="도급예정1ၪ_x0000_　"/>
      <sheetName val="도급예정1Ⴕ_x0000_"/>
      <sheetName val="도급예정1႒_x0000_က"/>
      <sheetName val="Macr_x0010__x0000_ፈদ䑲⼚"/>
      <sheetName val="Macr枵〺_x0000__x0000_揰_x0000_"/>
      <sheetName val="Macr枵〺_x0000__x0000_丸_x0000_"/>
      <sheetName val="Macr枵〺_x0000__x0000_㦠_x0000_"/>
      <sheetName val="Macr㑘_x001b_둠੆枵⿚"/>
      <sheetName val="Macr㑘_x001b_ञ枵⿚"/>
      <sheetName val="단위ה_x0000_"/>
      <sheetName val="__HAIWOOK_____hb___1__________2"/>
      <sheetName val="옥상바닥산출서"/>
      <sheetName val="외부비계산출서"/>
      <sheetName val="단열재산출서"/>
      <sheetName val="지하외부비계산출서"/>
      <sheetName val="내부강관비계산출서"/>
      <sheetName val="내부수평비계산출서"/>
      <sheetName val="내역집계(전체)"/>
      <sheetName val="0. 인명부"/>
      <sheetName val="사용설명서"/>
      <sheetName val="근로자명부"/>
      <sheetName val="출력작업일보"/>
      <sheetName val="전공종통합-퇴직공제부"/>
      <sheetName val="전공종통합-퇴직공제부1"/>
      <sheetName val="퇴직공제부금1"/>
      <sheetName val="노임총괄"/>
      <sheetName val="복사기본시트(삭제금지)"/>
      <sheetName val="관리(삭제금지)"/>
      <sheetName val="직영(삭제금지)"/>
      <sheetName val="용역"/>
      <sheetName val="노무신고용"/>
      <sheetName val="p-master"/>
      <sheetName val="YANG"/>
      <sheetName val="Team 종합"/>
      <sheetName val="수량산출서 (2)"/>
      <sheetName val="동방설계서"/>
      <sheetName val="2-2.매출분석"/>
      <sheetName val="수수료율표"/>
      <sheetName val="비주거용"/>
      <sheetName val="load(지하층)"/>
      <sheetName val="우수공,맨홀,집수_x0000_"/>
      <sheetName val="콘크리트"/>
      <sheetName val="Rate Analysis"/>
      <sheetName val="산출내역서_IWC"/>
      <sheetName val="진단세부현황"/>
      <sheetName val="임대손익"/>
      <sheetName val="토지산정"/>
      <sheetName val="구조물집계"/>
      <sheetName val="토공집계"/>
      <sheetName val="제잡비(전체)"/>
      <sheetName val="배관단가"/>
      <sheetName val="이자율"/>
      <sheetName val="기본자료 "/>
      <sheetName val="      "/>
      <sheetName val="전기실-1"/>
      <sheetName val="경비대가"/>
      <sheetName val="광양 3기 유입수"/>
      <sheetName val="SHEET PILE단가"/>
      <sheetName val="노 무 비"/>
      <sheetName val="양식기준표"/>
      <sheetName val="자재_계약일(2013_09_16)"/>
      <sheetName val="공통_계약일(2013_09_16)"/>
      <sheetName val="노임대장"/>
      <sheetName val="하도급Ć_x0000__x0000_"/>
      <sheetName val="01후반노무비"/>
      <sheetName val="역T형옹벽(3_0)"/>
      <sheetName val="STEEL_BOX_단면설계(SEC_8)"/>
      <sheetName val="기초입력_DATA"/>
      <sheetName val="2000_05"/>
      <sheetName val="CABLE_SIZE-1"/>
      <sheetName val="1__총괄_집계표"/>
      <sheetName val="본선_토공_분배표"/>
      <sheetName val="Requirement(Work_Crew)"/>
      <sheetName val="나_설계조건"/>
      <sheetName val="5_장비(안)"/>
      <sheetName val="3_2주형지지보"/>
      <sheetName val="작업_반복"/>
      <sheetName val="공정분류"/>
      <sheetName val="보고"/>
      <sheetName val="2_단면ﾈȋ"/>
      <sheetName val="배수공_시멘트_및_골재량__x0000_辴"/>
      <sheetName val="Ⅶ-2.현장경비산출"/>
      <sheetName val="내역서(폐기물) "/>
      <sheetName val="15 문제점"/>
      <sheetName val="일H35Y4"/>
      <sheetName val="11-1.주택공급(공공분양,공공임대)"/>
      <sheetName val="11-2.국민임대"/>
      <sheetName val="5-1.취득(간선정리)"/>
      <sheetName val="11-3.분양전환"/>
      <sheetName val="11-4.상가"/>
      <sheetName val="7-1.토지공급"/>
      <sheetName val="BOX복구단위수량"/>
      <sheetName val="SR97-1"/>
      <sheetName val="건설기술표준원"/>
      <sheetName val="3국민주택채권_부동산등기"/>
      <sheetName val="방송(체육관)"/>
      <sheetName val="전압강하"/>
      <sheetName val="상부공"/>
      <sheetName val="아스팔트 포장총괄집계표"/>
      <sheetName val="일위총괄표"/>
      <sheetName val="간지(5.04)"/>
      <sheetName val="식대장부"/>
      <sheetName val="편성절차"/>
      <sheetName val="슬리브수량"/>
      <sheetName val="인공LIST"/>
      <sheetName val="8)중점관리장비현황"/>
      <sheetName val="망미"/>
      <sheetName val="_토목_처리장도급내역서_"/>
      <sheetName val="su1"/>
      <sheetName val="6.2 제거공"/>
      <sheetName val="6.2.1"/>
      <sheetName val="6.2.2"/>
      <sheetName val="백룡교차로"/>
      <sheetName val="산정교차로"/>
      <sheetName val="신영교차로"/>
      <sheetName val="일위대가LIST"/>
      <sheetName val="상행선"/>
      <sheetName val="전체공정"/>
      <sheetName val="조립공정"/>
      <sheetName val="FC"/>
      <sheetName val="현금예금"/>
      <sheetName val="광주방향"/>
      <sheetName val="뒷채움잡석"/>
      <sheetName val="장비 (2)"/>
      <sheetName val="거래선"/>
      <sheetName val=" 2호맨홀단위수량(차도)"/>
      <sheetName val=" 2호맨홀단위수량(농수로)"/>
      <sheetName val=" 2호맨홀단위수량(보도)"/>
      <sheetName val="1.건설폐기물"/>
      <sheetName val="제출문"/>
      <sheetName val="제경집계"/>
      <sheetName val="내역서을지"/>
      <sheetName val="수종"/>
      <sheetName val="도급,하도급_예정금액"/>
      <sheetName val="도급원가"/>
      <sheetName val="보험료산출"/>
      <sheetName val="산출내역(4월)"/>
      <sheetName val="산출내역(5월) (2)"/>
      <sheetName val="조달일반"/>
      <sheetName val="영산"/>
      <sheetName val="충남종건"/>
      <sheetName val="충남종건 (2)"/>
      <sheetName val="태백시"/>
      <sheetName val="인천공항"/>
      <sheetName val="성남시 (2)"/>
      <sheetName val="성남시"/>
      <sheetName val="서대구인입"/>
      <sheetName val="여암교"/>
      <sheetName val="인쇄"/>
      <sheetName val="변경"/>
      <sheetName val="차수별계약"/>
      <sheetName val="차수별계약 (4차2회)"/>
      <sheetName val="4차분1회계약"/>
      <sheetName val="4차분요약"/>
      <sheetName val="4차분2회변경"/>
      <sheetName val="잡비 (4차2회)"/>
      <sheetName val="98신규단가(4차2회)"/>
      <sheetName val="차수별수량 (4차2회)"/>
      <sheetName val="5차분1회변경"/>
      <sheetName val="잡비 (5차1회)"/>
      <sheetName val="신규단가(5차1회)"/>
      <sheetName val="설계서갑지"/>
      <sheetName val="설계서갑지(결제)"/>
      <sheetName val="목차3차"/>
      <sheetName val="주요자재(4차2회)"/>
      <sheetName val="주요자재(전체3회변경)"/>
      <sheetName val="예정공정"/>
      <sheetName val="내역서갑지"/>
      <sheetName val="3회변경내역"/>
      <sheetName val="잡비 (3회4차)"/>
      <sheetName val="98신규단가(3회)"/>
      <sheetName val="차수별수량"/>
      <sheetName val="단가조견 (3회)"/>
      <sheetName val="단가조견"/>
      <sheetName val="각종갑지"/>
      <sheetName val="수량갑지1"/>
      <sheetName val="수량갑지2"/>
      <sheetName val="수량갑지3"/>
      <sheetName val="바인더갑지"/>
      <sheetName val="변경공사개요"/>
      <sheetName val="현황B (3)"/>
      <sheetName val="실정진행현황"/>
      <sheetName val="차수변경요약"/>
      <sheetName val="전체변경요약"/>
      <sheetName val="실정보고"/>
      <sheetName val="변경현황"/>
      <sheetName val="현황(전체3회)"/>
      <sheetName val="현황(전체2회)"/>
      <sheetName val="현황(전체1회)"/>
      <sheetName val="관로토공산출근거"/>
      <sheetName val="단가조정"/>
      <sheetName val="맨홀되메우기"/>
      <sheetName val="Data Vol"/>
      <sheetName val="신규품목일위대가"/>
      <sheetName val="적용노임"/>
      <sheetName val="일반자재"/>
      <sheetName val="배수공수량집계"/>
      <sheetName val="단재적표"/>
      <sheetName val="시간계산"/>
      <sheetName val="⑻동원인원산출서⑧"/>
      <sheetName val="49수량(소화물)"/>
      <sheetName val="22수량(소화물)"/>
      <sheetName val="관경별단위수량"/>
      <sheetName val="단가구성 (2)"/>
      <sheetName val="2.교량(신설)"/>
      <sheetName val="1.수량집계표"/>
      <sheetName val="도로경계ꆾᶩ"/>
      <sheetName val="전도품의"/>
      <sheetName val="A-Presale Payment Schedule"/>
      <sheetName val="2. 공원䠀愇"/>
      <sheetName val="2. 공원䠀꜇"/>
      <sheetName val="2. 공원㄂䉆"/>
      <sheetName val="역T형교대-2봇"/>
      <sheetName val="역T형교대-2ヂ봅"/>
      <sheetName val="역T형교대-2☇"/>
      <sheetName val="역T형교대-2샂龣"/>
      <sheetName val="역T형교대-2ࣂ캂"/>
      <sheetName val="master"/>
      <sheetName val="2_가_x0000__x0000__x0000_"/>
      <sheetName val="costing_堀ⷔ"/>
      <sheetName val="costing_ꧧ"/>
      <sheetName val="costing_栀蓂"/>
      <sheetName val="OVERALL SUM."/>
      <sheetName val="FOOTINㅜȩ称⹣"/>
      <sheetName val="R.C RAHMEN 해석"/>
      <sheetName val="입찰내역 발주처 양식"/>
      <sheetName val="시설장비"/>
      <sheetName val="15-3)VE제안서(가치향_x0000_庘ɝ_x0000_"/>
      <sheetName val="큰다리교깨기"/>
      <sheetName val="아파트 기성내역서"/>
      <sheetName val="15-3)VE제안서(가치향"/>
      <sheetName val="기계경跠㴯¢_x0000_弲"/>
      <sheetName val="conclusion"/>
      <sheetName val="comparables"/>
      <sheetName val="Deduction"/>
      <sheetName val="other"/>
      <sheetName val="전익자재"/>
      <sheetName val="공통비총괄표"/>
      <sheetName val="보할최종(준공)only"/>
      <sheetName val="데크수량산출"/>
      <sheetName val="노원열병합  건축렀こ렀䡟ԯ"/>
      <sheetName val="노원열병합  건축렀䡟ԯ"/>
      <sheetName val="노원열병합  건축︀ᇕ԰"/>
      <sheetName val="노원열병합  건축ﻕᇕ԰"/>
      <sheetName val="갑지(0"/>
      <sheetName val="갑지("/>
      <sheetName val="단ူ"/>
      <sheetName val="2000,_x0010_"/>
      <sheetName val="2000,"/>
      <sheetName val="2000,徸⽝_x0005_"/>
      <sheetName val="»êÃ렀䡟ԯ"/>
      <sheetName val="»êÃ︀ᇕ԰"/>
      <sheetName val="4/"/>
      <sheetName val="4က"/>
      <sheetName val="현장설က"/>
      <sheetName val="화재 탐지_x0005_"/>
      <sheetName val="2000.11¿ù¼³餀㢘ԯ"/>
      <sheetName val="입출재고현⩿〚_x0005_"/>
      <sheetName val="설치 일위대가(4԰"/>
      <sheetName val="신공항A-9헾】_x0005_"/>
      <sheetName val="2006기계䈌ᅪ԰"/>
      <sheetName val="JUCK֕"/>
      <sheetName val="하도급선정의뢰"/>
      <sheetName val="[YES.XLS][YES.XLS]4/"/>
      <sheetName val="방음벽 기초_x0005_"/>
      <sheetName val="실ԯ"/>
      <sheetName val="관리"/>
      <sheetName val="관리Ç"/>
      <sheetName val="변경비"/>
      <sheetName val="9-1԰"/>
      <sheetName val="[YES.XLS][YES.XLS][YES.XLS]4/"/>
      <sheetName val="변경비_x0005_"/>
      <sheetName val="8. 안"/>
      <sheetName val="단가_x0005_"/>
      <sheetName val="건0"/>
      <sheetName val="금0"/>
      <sheetName val="8. _x0005_"/>
      <sheetName val="´_x0005_"/>
      <sheetName val="ÀÏÀ§´ë헾】_x0005_"/>
      <sheetName val="[YES.XLS]4/"/>
      <sheetName val="기က"/>
      <sheetName val="2.노무비명세서頀塔攀๦0"/>
      <sheetName val="2.노무비명세서Ç"/>
      <sheetName val="Summar헾】_x0005_"/>
      <sheetName val="하도급선정의뢰_x0005_"/>
      <sheetName val="하도급선정의뢰煘_x0013_橂⿜_x0005_"/>
      <sheetName val="하도급선정의뢰聸_x0013_헾⾧_x0005_"/>
      <sheetName val="하도급선정의뢰颙〒_x0005_"/>
      <sheetName val="하도급선정의뢰_x0010_"/>
      <sheetName val="REACTION芨.헾⿁_x0005_"/>
      <sheetName val="임시급식ֿ"/>
      <sheetName val="설치 일위대가(46~԰"/>
      <sheetName val="2.노무비명세서(수직보_x0005_"/>
      <sheetName val="48전력선_x0002_"/>
      <sheetName val="펌프장수량ԯ"/>
      <sheetName val="³²¾ç½ÃÀÛµ¿ÀÚ105³ë65±"/>
      <sheetName val="역T형교대栄⿇"/>
      <sheetName val="펌프장수량䈀嵪ԯ"/>
      <sheetName val="펌프장수량㔀቎԰"/>
      <sheetName val="상수도토공_x0005_"/>
      <sheetName val="9-1차_x0005_"/>
      <sheetName val="하도급선정의뢰唈_x001f_ᛅ⾠_x0005_"/>
      <sheetName val="하도급선정의뢰ᛅ⼝_x0005_"/>
      <sheetName val="공사별 가중치0"/>
      <sheetName val="도급예정1ီ"/>
      <sheetName val="도급예정1Ⴂ"/>
      <sheetName val="도급예정1ჰ"/>
      <sheetName val="도급예정1ၪ"/>
      <sheetName val="도급예정1Ⴕ"/>
      <sheetName val="도급예정1႒"/>
      <sheetName val="Macr_x0010_"/>
      <sheetName val="Macr枵〺"/>
      <sheetName val="건가"/>
      <sheetName val="중목"/>
      <sheetName val="검색결과시트"/>
      <sheetName val="(당평)자_x0000_"/>
      <sheetName val="(당평)자ꙭ"/>
      <sheetName val="3_2_집기비품교체주기"/>
      <sheetName val="unitx_x0000__x0000__x0000_"/>
      <sheetName val="입력데이타"/>
      <sheetName val="문10"/>
      <sheetName val="CODE(2)"/>
      <sheetName val="(당"/>
      <sheetName val="각형우수맨홀"/>
      <sheetName val="4.장비손료"/>
      <sheetName val="11.인공산출"/>
      <sheetName val="6.일위대가목록"/>
      <sheetName val="가스내역서"/>
      <sheetName val="산출근거-배전"/>
      <sheetName val="___________hb___1_____________2"/>
      <sheetName val="회사정보"/>
      <sheetName val="배관배선__x0000__x0000_Ԁ_x0000_"/>
      <sheetName val="___________hb___1_____________3"/>
      <sheetName val="노䀜"/>
      <sheetName val="노飔"/>
      <sheetName val="노뛰"/>
      <sheetName val="토질조사"/>
      <sheetName val="공수관리"/>
      <sheetName val="작업지시"/>
      <sheetName val="건축내역(동해조인)"/>
      <sheetName val="별표집계"/>
      <sheetName val="99노임단_x005f_x0007_"/>
      <sheetName val="조"/>
      <sheetName val="3_공통공사"/>
      <sheetName val="지급어음(일별)"/>
      <sheetName val="내역서-토목"/>
      <sheetName val="건물"/>
      <sheetName val="ANCHOR1단"/>
      <sheetName val="조사금액"/>
      <sheetName val="토공대비"/>
      <sheetName val="철콘대비"/>
      <sheetName val="견적토갑"/>
      <sheetName val="견적토공(경동)"/>
      <sheetName val="견적철갑"/>
      <sheetName val="견적철콘(경동)"/>
      <sheetName val="하도급사항"/>
      <sheetName val="하도급사항(빈)"/>
      <sheetName val="내역 (7)"/>
      <sheetName val="내역 (3)"/>
      <sheetName val="견적토공"/>
      <sheetName val="견적철콘"/>
      <sheetName val="키스톤옹벽"/>
      <sheetName val="파일공,가시설"/>
      <sheetName val="강교설치"/>
      <sheetName val="안전시설공"/>
      <sheetName val="내역 (4)"/>
      <sheetName val="내역 (5)"/>
      <sheetName val="증감내용"/>
      <sheetName val="밀양(투찰)"/>
      <sheetName val="3차토목내역"/>
      <sheetName val="WELDING"/>
      <sheetName val=" 안전관리비 작성(협력사용).xlsx"/>
      <sheetName val="일위대가9803.xls"/>
      <sheetName val="공사현황표"/>
      <sheetName val="1차 매출원가"/>
      <sheetName val="DK-KH"/>
      <sheetName val="NNgung"/>
      <sheetName val="실행예산-변경분"/>
      <sheetName val="발안전력구"/>
      <sheetName val="구조해석"/>
      <sheetName val="FRP PIPING 일위대가"/>
      <sheetName val="배합비(99-05-25)"/>
      <sheetName val="Field2"/>
      <sheetName val="Field1"/>
      <sheetName val="150227 Master"/>
      <sheetName val="범한여행"/>
      <sheetName val="2__x0000__x0000_Ԁ_x0000_"/>
      <sheetName val="石炭性状"/>
      <sheetName val="일위부표01"/>
      <sheetName val="보온자_x0000__x0000__x0005__x0000_"/>
      <sheetName val="1-2.Sum_elemental"/>
      <sheetName val="2.실행예산내역서"/>
      <sheetName val="집_계_표"/>
      <sheetName val="1단계_(2)"/>
      <sheetName val="집계표(총괄)"/>
      <sheetName val="선급비용"/>
      <sheetName val="설계명_x0000_⃇"/>
      <sheetName val="설계명Ć_x0000_"/>
      <sheetName val="9-1차이내㐈"/>
      <sheetName val="FRP내역서"/>
      <sheetName val="원가계산서(변경)"/>
      <sheetName val="민감도분석"/>
      <sheetName val="6_간접공사비_外"/>
      <sheetName val="진입로_지세할증산출(다사분기)"/>
      <sheetName val="_FURNACE현설"/>
      <sheetName val="일반전기(가설,_접지)"/>
      <sheetName val="간접비_총괄표"/>
      <sheetName val="4_1DNR기계(공법)"/>
      <sheetName val="노임_단가"/>
      <sheetName val="LD_TX"/>
      <sheetName val="터파기,되메우기,램머,코아"/>
      <sheetName val="절단,포장깨기"/>
      <sheetName val="연결관수량_(2)1"/>
      <sheetName val="국도접속_차도부수량1"/>
      <sheetName val="TOWER_12TON"/>
      <sheetName val="TOWER_10TON"/>
      <sheetName val="참조_(2)"/>
      <sheetName val="장비_(2)"/>
      <sheetName val="2-2_매출분석"/>
      <sheetName val="3_자재비(총괄)"/>
      <sheetName val="광양_3기_유입수"/>
      <sheetName val="Team_종합"/>
      <sheetName val="CC_Down_load_0716"/>
      <sheetName val="수량산출서_(2)"/>
      <sheetName val="1_사유서"/>
      <sheetName val="ET2TOT"/>
      <sheetName val="진급관련DATA"/>
      <sheetName val="0417"/>
      <sheetName val="_____________hb___1___________3"/>
      <sheetName val="지(2)"/>
      <sheetName val="내역서_6"/>
      <sheetName val="DATA_입력란5"/>
      <sheetName val="1_설계조건6"/>
      <sheetName val="8_PILE__(돌출)5"/>
      <sheetName val="1_설계기준5"/>
      <sheetName val="단면_(2)5"/>
      <sheetName val="2_입력sheet5"/>
      <sheetName val="설명서_5"/>
      <sheetName val="(3_품질관리_시험_총괄표)5"/>
      <sheetName val="별표_4"/>
      <sheetName val="플랜트_설치5"/>
      <sheetName val="6PILE__(돌출)6"/>
      <sheetName val="2_가정단면5"/>
      <sheetName val="3BL공동구_수량6"/>
      <sheetName val="crude_SLAB_RE-bar5"/>
      <sheetName val="CRUDE_RE-bar5"/>
      <sheetName val="토공(우물통,기타)_4"/>
      <sheetName val="COMPARISON_TABLE5"/>
      <sheetName val="plan&amp;section_of_foundation5"/>
      <sheetName val="pile_bearing_capa_&amp;_arrenge5"/>
      <sheetName val="working_load_at_the_btm_ft_5"/>
      <sheetName val="stability_check5"/>
      <sheetName val="design_criteria5"/>
      <sheetName val="design_load5"/>
      <sheetName val="신규_수주분(사용자_정의)5"/>
      <sheetName val="1_2_1_마루높이결정5"/>
      <sheetName val="3_하중산정4_지지력5"/>
      <sheetName val="표지_(2)5"/>
      <sheetName val="1_우편집중내역서5"/>
      <sheetName val="Pier_35"/>
      <sheetName val="7_PILE__(돌출)5"/>
      <sheetName val="BOX(1_5X1_5)4"/>
      <sheetName val="전선_및_전선관3"/>
      <sheetName val="표__지4"/>
      <sheetName val="Sheet1_(2)4"/>
      <sheetName val="PAD_TR보호대기초5"/>
      <sheetName val="단면__2_3"/>
      <sheetName val="ENE-CAL_13"/>
      <sheetName val="ITB_COST3"/>
      <sheetName val="2011_(4)3"/>
      <sheetName val="_냉각수펌프3"/>
      <sheetName val="1062-X방향_3"/>
      <sheetName val="설계기준_및_하중계산3"/>
      <sheetName val="11_자재단가3"/>
      <sheetName val="역T형(H=6_0)_(2)3"/>
      <sheetName val="각사별공사비분개_3"/>
      <sheetName val="1__설계조건_2_단면가정_3__하중계산3"/>
      <sheetName val="전차선로_물량표3"/>
      <sheetName val="단가_및_재료비3"/>
      <sheetName val="Dike_for_49T03_&amp;_49T043"/>
      <sheetName val="Dike_for_49T02,_05~07,_19_(1)3"/>
      <sheetName val="CONSTRUCTION_COMPONENT3"/>
      <sheetName val="접속_SLAB,BRACKET_설계3"/>
      <sheetName val="수량산출서_갑지3"/>
      <sheetName val="추정공사비_산출내역1_xlsx3"/>
      <sheetName val="준검_내역서5"/>
      <sheetName val="견적대비_견적서3"/>
      <sheetName val="공정별_수량산출서3"/>
      <sheetName val="자재_및_폐기물견적(2008)3"/>
      <sheetName val="IMPEADENCE_MAP_취수장3"/>
      <sheetName val="화단_철거3"/>
      <sheetName val="1호-아(오)0_43"/>
      <sheetName val="cable_data13"/>
      <sheetName val="빌딩_안내2"/>
      <sheetName val="자재_집계표2"/>
      <sheetName val="wk_prgs3"/>
      <sheetName val="2__공원조도2"/>
      <sheetName val="CABLE_SIZE-33"/>
      <sheetName val="현장별계약현황('98_10_31)2"/>
      <sheetName val="일위대가_호표_(계약)3"/>
      <sheetName val="BSD_(2)3"/>
      <sheetName val="Chiet_tinh_dz354"/>
      <sheetName val="TABLE_DB4"/>
      <sheetName val="쌍용_data_base4"/>
      <sheetName val="2_2_S-Curve5"/>
      <sheetName val="돌담교_상부수량6"/>
      <sheetName val="8_석축단위(H=1_5M)5"/>
      <sheetName val="배수내역_(2)3"/>
      <sheetName val="3_공통공사대비5"/>
      <sheetName val="방배동내역_(총괄)5"/>
      <sheetName val="N10(미지급)_3"/>
      <sheetName val="code_HTT_Thap4"/>
      <sheetName val="dongia_(2)4"/>
      <sheetName val="RAB_AR&amp;STR4"/>
      <sheetName val="Civil__Sub-Station_14"/>
      <sheetName val="실행내역서_4"/>
      <sheetName val="Thuc_thanh4"/>
      <sheetName val="D&amp;W_def_4"/>
      <sheetName val="4-Lane_bridge4"/>
      <sheetName val="2_단면가정_2"/>
      <sheetName val="암거_제원표2"/>
      <sheetName val="중간간지_(2)2"/>
      <sheetName val="6_단면검토2"/>
      <sheetName val="t-h_HA_THE4"/>
      <sheetName val="THPDMoi__(2)4"/>
      <sheetName val="DON_GIA4"/>
      <sheetName val="CHITIET_VL-NC-TT_-1p4"/>
      <sheetName val="TONG_HOP_VL-NC_TT4"/>
      <sheetName val="TH_XL4"/>
      <sheetName val="CHITIET_VL-NC-TT-3p4"/>
      <sheetName val="KPVC-BD_4"/>
      <sheetName val="CHITIET_VL-NC4"/>
      <sheetName val="B3A_-_TOWER_A4"/>
      <sheetName val="Coax_Designer4"/>
      <sheetName val="tong_du_toan4"/>
      <sheetName val="MAIN_GATE_HOUSE4"/>
      <sheetName val="Bảng_mã_VT4"/>
      <sheetName val="7월천안현장_집계표2"/>
      <sheetName val="장비_자재2"/>
      <sheetName val="_노무집계2"/>
      <sheetName val="3련_BOX2"/>
      <sheetName val="Bảng_KLHT3"/>
      <sheetName val="RC_WORK3"/>
      <sheetName val="Bảng_Phân_Tích_Chi_Phí4"/>
      <sheetName val="PAINT_(2)1"/>
      <sheetName val="내역서1999_8최종3"/>
      <sheetName val="내역서_제출2"/>
      <sheetName val="환경기계공정표_(3)3"/>
      <sheetName val="배관배선_단가조사3"/>
      <sheetName val="96보완계획7_123"/>
      <sheetName val="9_정착구_보강3"/>
      <sheetName val="단가_(2)3"/>
      <sheetName val="배수공_시멘트_및_골재량_산출3"/>
      <sheetName val="1차_내역서3"/>
      <sheetName val="Sheet2_(2)3"/>
      <sheetName val="건축내역서_(경제상무실)3"/>
      <sheetName val="1_수인터널3"/>
      <sheetName val="97년_추정2"/>
      <sheetName val="내역_ver1_02"/>
      <sheetName val="단양_00_아파트-세부내역2"/>
      <sheetName val="RAMP_단면(R2)2"/>
      <sheetName val="토목내역서_(도급단가)2"/>
      <sheetName val="목차_2"/>
      <sheetName val="4_2유효폭의_계산2"/>
      <sheetName val="세골재__T2_변경_현황2"/>
      <sheetName val="0_단가2"/>
      <sheetName val="토공_total2"/>
      <sheetName val="4__주형설계2"/>
      <sheetName val="2_단면가정2"/>
      <sheetName val="노무비_근거2"/>
      <sheetName val="_총괄표2"/>
      <sheetName val="바닥판의_설계2"/>
      <sheetName val="1_폐기물집계표1"/>
      <sheetName val="DI_전처리_단가집(GP1_실적가)1"/>
      <sheetName val="Gia_VL,NC,M4"/>
      <sheetName val="Phan_chung4"/>
      <sheetName val="Tom_tat_gia_du_thau4"/>
      <sheetName val="Currency_Rate3"/>
      <sheetName val="Tien_do_TV4"/>
      <sheetName val="CP_Du_phong4"/>
      <sheetName val="THCP_Lap_dat4"/>
      <sheetName val="THCP_xay_dung4"/>
      <sheetName val="Tong_hop_kinh_phi4"/>
      <sheetName val="Cash_Flow_bulanan3"/>
      <sheetName val="Bao_cao_hao_hut_VT-TR4"/>
      <sheetName val="I_설계조건1"/>
      <sheetName val="간지03_)1"/>
      <sheetName val="1_레미콘1"/>
      <sheetName val="2_관집계1"/>
      <sheetName val="3_제수밸브1"/>
      <sheetName val="4_각종주철제1"/>
      <sheetName val="5_유량계1"/>
      <sheetName val="1_골재집계1"/>
      <sheetName val="2_철근집계1"/>
      <sheetName val="3_관세척1"/>
      <sheetName val="4_분기관1"/>
      <sheetName val="상수공_토공집계표1"/>
      <sheetName val="Project_Brief1"/>
      <sheetName val="Total_Progress_(2)1"/>
      <sheetName val="S_중기사용료1"/>
      <sheetName val="¥_3"/>
      <sheetName val="DTTC_CHI_TIET3"/>
      <sheetName val="Du_toan3"/>
      <sheetName val="TEN_CONG_TRINH3"/>
      <sheetName val="MTO_REV_2(ARMOR)3"/>
      <sheetName val="Unit_price2"/>
      <sheetName val="Define_finishing2"/>
      <sheetName val="Tiến_độ__Rev1_(phói_hợp)2"/>
      <sheetName val="Level_22"/>
      <sheetName val="Cst_Pkg-Eden2"/>
      <sheetName val="Chi_tiết_cấu_tạo_giá_(2)2"/>
      <sheetName val="SUMMARY-HT_Thô2"/>
      <sheetName val="02_PHAT_SINH_TANG2"/>
      <sheetName val="TONG_HOP_XIN_GIA2"/>
      <sheetName val="1_R18_BF2"/>
      <sheetName val="6_External_works-R182"/>
      <sheetName val="bill_3_-_D_Wall2"/>
      <sheetName val="KHOI_LUONG15-42"/>
      <sheetName val="Tro_giup2"/>
      <sheetName val="Villa_A2"/>
      <sheetName val="Div26_-_Elect2"/>
      <sheetName val="Xuly_Data2"/>
      <sheetName val="CSVC_LD2"/>
      <sheetName val="PROJECT_BRIEF(EX_NEW)3"/>
      <sheetName val="Site_Expenses3"/>
      <sheetName val="1000_DB구축_부표3"/>
      <sheetName val="상_부3"/>
      <sheetName val="Cover_(x)2"/>
      <sheetName val="Cor_Apt2"/>
      <sheetName val="Isolasi_Luar_Dalam2"/>
      <sheetName val="Isolasi_Luar2"/>
      <sheetName val="dtct_cong2"/>
      <sheetName val="Buy_vs__Lease_Car2"/>
      <sheetName val="2_1_受電設備棟2"/>
      <sheetName val="2_2_受・防火水槽2"/>
      <sheetName val="2_3_排水処理設備棟2"/>
      <sheetName val="2_4_倉庫棟2"/>
      <sheetName val="2_5_守衛棟2"/>
      <sheetName val="Cash_Flow2"/>
      <sheetName val="Xunit_(단위환산)3"/>
      <sheetName val="고객사_관리_코드3"/>
      <sheetName val="HE_SO_DIEU_CHINH2"/>
      <sheetName val="흙막이_개산견적1"/>
      <sheetName val="Ⅴ-2_공종별내역2"/>
      <sheetName val="2_건축1"/>
      <sheetName val="static_cal1"/>
      <sheetName val="1_일반수량산출근거1"/>
      <sheetName val="97_사업추정(WEKI)1"/>
      <sheetName val="Financial_impact1"/>
      <sheetName val="Sch7a_(토요일)1"/>
      <sheetName val="TRE_TABLE1"/>
      <sheetName val="Cấu_tạo_giá2"/>
      <sheetName val="tra_VL2"/>
      <sheetName val="8_3해석단면_선정2"/>
      <sheetName val="Cover_page2"/>
      <sheetName val="Budget_Code2"/>
      <sheetName val="Phu_cap2"/>
      <sheetName val="Project_Data2"/>
      <sheetName val="EE_(3)2"/>
      <sheetName val="Add_cost082"/>
      <sheetName val="SCOPE_OF_WORK2"/>
      <sheetName val="PH_52"/>
      <sheetName val="Dầm_-4_7m2"/>
      <sheetName val="Thiet_Bi2"/>
      <sheetName val="Phan_tich2"/>
      <sheetName val="TH_Vat_tu2"/>
      <sheetName val="TH_Kinh_phi2"/>
      <sheetName val="TH_MTC2"/>
      <sheetName val="TH_N_Cong2"/>
      <sheetName val="Bang_KL2"/>
      <sheetName val="KLDT_DIEN2"/>
      <sheetName val="PTVT_DIEN2"/>
      <sheetName val="Daf_12"/>
      <sheetName val="전체_내역서(통합)"/>
      <sheetName val="배수관접합및부설__"/>
      <sheetName val="표_지"/>
      <sheetName val="INTRO_(X)"/>
      <sheetName val="JIB_CRANE,HOIST"/>
      <sheetName val="H-P＋토류판_수량산출"/>
      <sheetName val="총괄H-P수량집계_"/>
      <sheetName val="7__교좌받침부검토(연속교)"/>
      <sheetName val="ESTI_1"/>
      <sheetName val="Internal_Finish"/>
      <sheetName val="EARTH_WORKS"/>
      <sheetName val="Bill_No_01"/>
      <sheetName val="Breakdown_(B)"/>
      <sheetName val="DeluxeVilla_4"/>
      <sheetName val="공사원가_(3)"/>
      <sheetName val="Summary_-_Budget"/>
      <sheetName val="Khoi_luong"/>
      <sheetName val="Drop_Down"/>
      <sheetName val="Project,_methods_&amp;_costs"/>
      <sheetName val="Ind__costs__&amp;_Closing"/>
      <sheetName val="Main_risks"/>
      <sheetName val="HỆ_SỐ"/>
      <sheetName val="Var_"/>
      <sheetName val="07_HT_PODIUM"/>
      <sheetName val="04_KC_HAM"/>
      <sheetName val="05_KC_THAN_OK"/>
      <sheetName val="08_HT_CANHO_OK"/>
      <sheetName val="Động_cơ"/>
      <sheetName val="2__2공구"/>
      <sheetName val="광통신_견적내역서1"/>
      <sheetName val="Actual_data"/>
      <sheetName val="4_경비_5_영업외수지"/>
      <sheetName val="IMPEADENCE_HԀ怀ȅ㨍"/>
      <sheetName val="IMPEADENCE_éԀᛅ"/>
      <sheetName val="DATA-2_장비LIST"/>
      <sheetName val="PC,_G_Slab"/>
      <sheetName val="K5-1"/>
      <sheetName val="소k_x0000_Ԁ"/>
      <sheetName val="Depreciation"/>
      <sheetName val="BS(Don't Prt)"/>
      <sheetName val="맨홀토_x005f_x0000__x005f_x0000__x005f_x0005_"/>
      <sheetName val="IMPEADENCE H_x005f_x0000_Ԁ_x005f_x0000_怀ȅ㨍"/>
      <sheetName val="BOX¶_x0000_䬀_x0000__x0000_"/>
      <sheetName val="BOX$_x0000_䬀_x0000__x0000_"/>
      <sheetName val="BOX/_x0000_䰀_x0000__x0000_"/>
      <sheetName val="BOX$_x0000_뼀_x0000__x0000_"/>
      <sheetName val="BOX$_x0000_吀_x0000__x0000_"/>
      <sheetName val="접속 SLAB,"/>
      <sheetName val="단지조성공("/>
      <sheetName val="적용대가산출근거"/>
      <sheetName val="Rev.A"/>
      <sheetName val="H.Satuan"/>
      <sheetName val="인천킏賗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/>
      <sheetData sheetId="919"/>
      <sheetData sheetId="920"/>
      <sheetData sheetId="921"/>
      <sheetData sheetId="922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/>
      <sheetData sheetId="948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/>
      <sheetData sheetId="1040"/>
      <sheetData sheetId="1041"/>
      <sheetData sheetId="1042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>
        <row r="1">
          <cell r="A1" t="str">
            <v>시멘트,모래,자갈 산출표</v>
          </cell>
        </row>
      </sheetData>
      <sheetData sheetId="1108"/>
      <sheetData sheetId="1109"/>
      <sheetData sheetId="1110"/>
      <sheetData sheetId="1111"/>
      <sheetData sheetId="1112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>
        <row r="1">
          <cell r="A1" t="str">
            <v>시멘트,모래,자갈 산출표</v>
          </cell>
        </row>
      </sheetData>
      <sheetData sheetId="1138"/>
      <sheetData sheetId="1139"/>
      <sheetData sheetId="1140"/>
      <sheetData sheetId="1141"/>
      <sheetData sheetId="1142"/>
      <sheetData sheetId="1143"/>
      <sheetData sheetId="1144"/>
      <sheetData sheetId="1145">
        <row r="1">
          <cell r="A1" t="str">
            <v>시멘트,모래,자갈 산출표</v>
          </cell>
        </row>
      </sheetData>
      <sheetData sheetId="1146">
        <row r="1">
          <cell r="A1" t="str">
            <v>시멘트,모래,자갈 산출표</v>
          </cell>
        </row>
      </sheetData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 refreshError="1"/>
      <sheetData sheetId="1180"/>
      <sheetData sheetId="1181"/>
      <sheetData sheetId="1182"/>
      <sheetData sheetId="1183"/>
      <sheetData sheetId="1184"/>
      <sheetData sheetId="1185">
        <row r="1">
          <cell r="A1" t="str">
            <v>시멘트,모래,자갈 산출표</v>
          </cell>
        </row>
      </sheetData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/>
      <sheetData sheetId="1285"/>
      <sheetData sheetId="1286"/>
      <sheetData sheetId="1287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/>
      <sheetData sheetId="1629"/>
      <sheetData sheetId="1630"/>
      <sheetData sheetId="1631"/>
      <sheetData sheetId="1632"/>
      <sheetData sheetId="1633" refreshError="1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/>
      <sheetData sheetId="1670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/>
      <sheetData sheetId="1747"/>
      <sheetData sheetId="1748"/>
      <sheetData sheetId="1749"/>
      <sheetData sheetId="1750"/>
      <sheetData sheetId="1751" refreshError="1"/>
      <sheetData sheetId="1752"/>
      <sheetData sheetId="1753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/>
      <sheetData sheetId="1977" refreshError="1"/>
      <sheetData sheetId="1978"/>
      <sheetData sheetId="1979"/>
      <sheetData sheetId="1980"/>
      <sheetData sheetId="1981" refreshError="1"/>
      <sheetData sheetId="1982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/>
      <sheetData sheetId="2060"/>
      <sheetData sheetId="2061"/>
      <sheetData sheetId="2062"/>
      <sheetData sheetId="2063"/>
      <sheetData sheetId="2064"/>
      <sheetData sheetId="2065"/>
      <sheetData sheetId="2066"/>
      <sheetData sheetId="2067"/>
      <sheetData sheetId="2068"/>
      <sheetData sheetId="2069"/>
      <sheetData sheetId="2070"/>
      <sheetData sheetId="2071"/>
      <sheetData sheetId="2072"/>
      <sheetData sheetId="2073"/>
      <sheetData sheetId="2074">
        <row r="1">
          <cell r="A1" t="str">
            <v>시멘트,모래,자갈 산출표</v>
          </cell>
        </row>
      </sheetData>
      <sheetData sheetId="2075"/>
      <sheetData sheetId="2076"/>
      <sheetData sheetId="2077"/>
      <sheetData sheetId="2078"/>
      <sheetData sheetId="2079"/>
      <sheetData sheetId="2080"/>
      <sheetData sheetId="2081"/>
      <sheetData sheetId="2082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 refreshError="1"/>
      <sheetData sheetId="2101"/>
      <sheetData sheetId="2102"/>
      <sheetData sheetId="2103" refreshError="1"/>
      <sheetData sheetId="2104"/>
      <sheetData sheetId="2105"/>
      <sheetData sheetId="2106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>
        <row r="1">
          <cell r="A1" t="str">
            <v>시멘트,모래,자갈 산출표</v>
          </cell>
        </row>
      </sheetData>
      <sheetData sheetId="2177">
        <row r="1">
          <cell r="A1" t="str">
            <v>시멘트,모래,자갈 산출표</v>
          </cell>
        </row>
      </sheetData>
      <sheetData sheetId="2178"/>
      <sheetData sheetId="2179"/>
      <sheetData sheetId="2180"/>
      <sheetData sheetId="2181">
        <row r="1">
          <cell r="A1" t="str">
            <v>시멘트,모래,자갈 산출표</v>
          </cell>
        </row>
      </sheetData>
      <sheetData sheetId="2182"/>
      <sheetData sheetId="2183"/>
      <sheetData sheetId="2184"/>
      <sheetData sheetId="2185">
        <row r="1">
          <cell r="A1" t="str">
            <v>시멘트,모래,자갈 산출표</v>
          </cell>
        </row>
      </sheetData>
      <sheetData sheetId="2186"/>
      <sheetData sheetId="2187"/>
      <sheetData sheetId="2188">
        <row r="1">
          <cell r="A1" t="str">
            <v>시멘트,모래,자갈 산출표</v>
          </cell>
        </row>
      </sheetData>
      <sheetData sheetId="2189">
        <row r="1">
          <cell r="A1" t="str">
            <v>시멘트,모래,자갈 산출표</v>
          </cell>
        </row>
      </sheetData>
      <sheetData sheetId="2190">
        <row r="1">
          <cell r="A1" t="str">
            <v>시멘트,모래,자갈 산출표</v>
          </cell>
        </row>
      </sheetData>
      <sheetData sheetId="2191">
        <row r="1">
          <cell r="A1" t="str">
            <v>시멘트,모래,자갈 산출표</v>
          </cell>
        </row>
      </sheetData>
      <sheetData sheetId="2192"/>
      <sheetData sheetId="2193"/>
      <sheetData sheetId="2194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>
        <row r="1">
          <cell r="A1" t="str">
            <v>시멘트,모래,자갈 산출표</v>
          </cell>
        </row>
      </sheetData>
      <sheetData sheetId="2424">
        <row r="1">
          <cell r="A1" t="str">
            <v>시멘트,모래,자갈 산출표</v>
          </cell>
        </row>
      </sheetData>
      <sheetData sheetId="2425">
        <row r="1">
          <cell r="A1" t="str">
            <v>시멘트,모래,자갈 산출표</v>
          </cell>
        </row>
      </sheetData>
      <sheetData sheetId="2426">
        <row r="1">
          <cell r="A1" t="str">
            <v>시멘트,모래,자갈 산출표</v>
          </cell>
        </row>
      </sheetData>
      <sheetData sheetId="2427">
        <row r="1">
          <cell r="A1" t="str">
            <v>시멘트,모래,자갈 산출표</v>
          </cell>
        </row>
      </sheetData>
      <sheetData sheetId="2428">
        <row r="1">
          <cell r="A1" t="str">
            <v>시멘트,모래,자갈 산출표</v>
          </cell>
        </row>
      </sheetData>
      <sheetData sheetId="2429">
        <row r="1">
          <cell r="A1" t="str">
            <v>시멘트,모래,자갈 산출표</v>
          </cell>
        </row>
      </sheetData>
      <sheetData sheetId="2430"/>
      <sheetData sheetId="2431">
        <row r="1">
          <cell r="A1" t="str">
            <v>시멘트,모래,자갈 산출표</v>
          </cell>
        </row>
      </sheetData>
      <sheetData sheetId="2432"/>
      <sheetData sheetId="2433">
        <row r="1">
          <cell r="A1" t="str">
            <v>시멘트,모래,자갈 산출표</v>
          </cell>
        </row>
      </sheetData>
      <sheetData sheetId="2434"/>
      <sheetData sheetId="2435">
        <row r="1">
          <cell r="A1" t="str">
            <v>시멘트,모래,자갈 산출표</v>
          </cell>
        </row>
      </sheetData>
      <sheetData sheetId="2436"/>
      <sheetData sheetId="2437">
        <row r="1">
          <cell r="A1" t="str">
            <v>시멘트,모래,자갈 산출표</v>
          </cell>
        </row>
      </sheetData>
      <sheetData sheetId="2438">
        <row r="1">
          <cell r="A1" t="str">
            <v>시멘트,모래,자갈 산출표</v>
          </cell>
        </row>
      </sheetData>
      <sheetData sheetId="2439"/>
      <sheetData sheetId="2440"/>
      <sheetData sheetId="2441">
        <row r="1">
          <cell r="A1" t="str">
            <v>시멘트,모래,자갈 산출표</v>
          </cell>
        </row>
      </sheetData>
      <sheetData sheetId="2442"/>
      <sheetData sheetId="2443"/>
      <sheetData sheetId="2444"/>
      <sheetData sheetId="2445"/>
      <sheetData sheetId="2446"/>
      <sheetData sheetId="2447"/>
      <sheetData sheetId="2448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/>
      <sheetData sheetId="2577" refreshError="1"/>
      <sheetData sheetId="2578" refreshError="1"/>
      <sheetData sheetId="2579" refreshError="1"/>
      <sheetData sheetId="2580" refreshError="1"/>
      <sheetData sheetId="258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/>
      <sheetData sheetId="2607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/>
      <sheetData sheetId="2659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>
        <row r="1">
          <cell r="A1" t="str">
            <v>시멘트,모래,자갈 산출표</v>
          </cell>
        </row>
      </sheetData>
      <sheetData sheetId="2680"/>
      <sheetData sheetId="2681"/>
      <sheetData sheetId="2682">
        <row r="1">
          <cell r="A1" t="str">
            <v>시멘트,모래,자갈 산출표</v>
          </cell>
        </row>
      </sheetData>
      <sheetData sheetId="2683">
        <row r="1">
          <cell r="A1" t="str">
            <v>시멘트,모래,자갈 산출표</v>
          </cell>
        </row>
      </sheetData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/>
      <sheetData sheetId="2763"/>
      <sheetData sheetId="2764"/>
      <sheetData sheetId="2765"/>
      <sheetData sheetId="2766"/>
      <sheetData sheetId="2767" refreshError="1"/>
      <sheetData sheetId="2768" refreshError="1"/>
      <sheetData sheetId="2769" refreshError="1"/>
      <sheetData sheetId="2770" refreshError="1"/>
      <sheetData sheetId="2771"/>
      <sheetData sheetId="2772"/>
      <sheetData sheetId="2773">
        <row r="1">
          <cell r="A1" t="str">
            <v>시멘트,모래,자갈 산출표</v>
          </cell>
        </row>
      </sheetData>
      <sheetData sheetId="2774">
        <row r="1">
          <cell r="A1" t="str">
            <v>시멘트,모래,자갈 산출표</v>
          </cell>
        </row>
      </sheetData>
      <sheetData sheetId="2775">
        <row r="1">
          <cell r="A1" t="str">
            <v>시멘트,모래,자갈 산출표</v>
          </cell>
        </row>
      </sheetData>
      <sheetData sheetId="2776">
        <row r="1">
          <cell r="A1" t="str">
            <v>시멘트,모래,자갈 산출표</v>
          </cell>
        </row>
      </sheetData>
      <sheetData sheetId="2777">
        <row r="1">
          <cell r="A1" t="str">
            <v>시멘트,모래,자갈 산출표</v>
          </cell>
        </row>
      </sheetData>
      <sheetData sheetId="2778"/>
      <sheetData sheetId="2779"/>
      <sheetData sheetId="2780"/>
      <sheetData sheetId="2781"/>
      <sheetData sheetId="2782"/>
      <sheetData sheetId="2783"/>
      <sheetData sheetId="2784">
        <row r="1">
          <cell r="A1" t="str">
            <v>시멘트,모래,자갈 산출표</v>
          </cell>
        </row>
      </sheetData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>
        <row r="1">
          <cell r="A1" t="str">
            <v>시멘트,모래,자갈 산출표</v>
          </cell>
        </row>
      </sheetData>
      <sheetData sheetId="2799"/>
      <sheetData sheetId="2800"/>
      <sheetData sheetId="2801">
        <row r="1">
          <cell r="A1" t="str">
            <v>시멘트,모래,자갈 산출표</v>
          </cell>
        </row>
      </sheetData>
      <sheetData sheetId="2802"/>
      <sheetData sheetId="2803"/>
      <sheetData sheetId="2804"/>
      <sheetData sheetId="2805"/>
      <sheetData sheetId="2806"/>
      <sheetData sheetId="2807"/>
      <sheetData sheetId="2808"/>
      <sheetData sheetId="2809"/>
      <sheetData sheetId="2810"/>
      <sheetData sheetId="281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/>
      <sheetData sheetId="2838"/>
      <sheetData sheetId="2839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/>
      <sheetData sheetId="2877"/>
      <sheetData sheetId="2878"/>
      <sheetData sheetId="2879"/>
      <sheetData sheetId="2880"/>
      <sheetData sheetId="2881"/>
      <sheetData sheetId="2882"/>
      <sheetData sheetId="2883"/>
      <sheetData sheetId="2884"/>
      <sheetData sheetId="2885"/>
      <sheetData sheetId="2886"/>
      <sheetData sheetId="2887"/>
      <sheetData sheetId="2888"/>
      <sheetData sheetId="2889"/>
      <sheetData sheetId="2890"/>
      <sheetData sheetId="2891"/>
      <sheetData sheetId="2892"/>
      <sheetData sheetId="2893"/>
      <sheetData sheetId="2894"/>
      <sheetData sheetId="2895"/>
      <sheetData sheetId="2896"/>
      <sheetData sheetId="2897"/>
      <sheetData sheetId="2898"/>
      <sheetData sheetId="2899"/>
      <sheetData sheetId="2900"/>
      <sheetData sheetId="2901"/>
      <sheetData sheetId="2902"/>
      <sheetData sheetId="2903"/>
      <sheetData sheetId="2904"/>
      <sheetData sheetId="2905"/>
      <sheetData sheetId="2906"/>
      <sheetData sheetId="2907"/>
      <sheetData sheetId="2908"/>
      <sheetData sheetId="2909"/>
      <sheetData sheetId="2910"/>
      <sheetData sheetId="2911"/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/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>
        <row r="1">
          <cell r="A1" t="str">
            <v>시멘트,모래,자갈 산출표</v>
          </cell>
        </row>
      </sheetData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/>
      <sheetData sheetId="2947"/>
      <sheetData sheetId="2948"/>
      <sheetData sheetId="2949"/>
      <sheetData sheetId="2950"/>
      <sheetData sheetId="2951"/>
      <sheetData sheetId="2952"/>
      <sheetData sheetId="2953"/>
      <sheetData sheetId="2954"/>
      <sheetData sheetId="2955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/>
      <sheetData sheetId="2968"/>
      <sheetData sheetId="2969"/>
      <sheetData sheetId="2970"/>
      <sheetData sheetId="2971"/>
      <sheetData sheetId="2972"/>
      <sheetData sheetId="2973"/>
      <sheetData sheetId="2974"/>
      <sheetData sheetId="2975"/>
      <sheetData sheetId="2976"/>
      <sheetData sheetId="2977"/>
      <sheetData sheetId="2978"/>
      <sheetData sheetId="2979"/>
      <sheetData sheetId="2980"/>
      <sheetData sheetId="2981"/>
      <sheetData sheetId="2982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/>
      <sheetData sheetId="2994"/>
      <sheetData sheetId="2995"/>
      <sheetData sheetId="2996"/>
      <sheetData sheetId="2997"/>
      <sheetData sheetId="2998">
        <row r="1">
          <cell r="A1" t="str">
            <v>시멘트,모래,자갈 산출표</v>
          </cell>
        </row>
      </sheetData>
      <sheetData sheetId="2999"/>
      <sheetData sheetId="3000"/>
      <sheetData sheetId="3001"/>
      <sheetData sheetId="3002"/>
      <sheetData sheetId="3003"/>
      <sheetData sheetId="3004"/>
      <sheetData sheetId="3005"/>
      <sheetData sheetId="3006"/>
      <sheetData sheetId="3007"/>
      <sheetData sheetId="3008"/>
      <sheetData sheetId="3009"/>
      <sheetData sheetId="3010"/>
      <sheetData sheetId="3011"/>
      <sheetData sheetId="3012"/>
      <sheetData sheetId="3013"/>
      <sheetData sheetId="3014"/>
      <sheetData sheetId="3015"/>
      <sheetData sheetId="3016"/>
      <sheetData sheetId="3017"/>
      <sheetData sheetId="3018"/>
      <sheetData sheetId="3019"/>
      <sheetData sheetId="3020"/>
      <sheetData sheetId="3021"/>
      <sheetData sheetId="3022"/>
      <sheetData sheetId="3023"/>
      <sheetData sheetId="3024"/>
      <sheetData sheetId="3025"/>
      <sheetData sheetId="3026"/>
      <sheetData sheetId="3027"/>
      <sheetData sheetId="3028"/>
      <sheetData sheetId="3029"/>
      <sheetData sheetId="3030"/>
      <sheetData sheetId="3031"/>
      <sheetData sheetId="3032"/>
      <sheetData sheetId="3033"/>
      <sheetData sheetId="3034"/>
      <sheetData sheetId="3035"/>
      <sheetData sheetId="3036"/>
      <sheetData sheetId="3037"/>
      <sheetData sheetId="3038"/>
      <sheetData sheetId="3039"/>
      <sheetData sheetId="3040"/>
      <sheetData sheetId="3041"/>
      <sheetData sheetId="3042"/>
      <sheetData sheetId="3043"/>
      <sheetData sheetId="3044"/>
      <sheetData sheetId="3045"/>
      <sheetData sheetId="3046"/>
      <sheetData sheetId="3047"/>
      <sheetData sheetId="3048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/>
      <sheetData sheetId="3058"/>
      <sheetData sheetId="3059"/>
      <sheetData sheetId="3060"/>
      <sheetData sheetId="3061"/>
      <sheetData sheetId="3062"/>
      <sheetData sheetId="3063"/>
      <sheetData sheetId="3064"/>
      <sheetData sheetId="3065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>
        <row r="1">
          <cell r="A1" t="str">
            <v>시멘트,모래,자갈 산출표</v>
          </cell>
        </row>
      </sheetData>
      <sheetData sheetId="3088"/>
      <sheetData sheetId="3089" refreshError="1"/>
      <sheetData sheetId="3090" refreshError="1"/>
      <sheetData sheetId="3091" refreshError="1"/>
      <sheetData sheetId="3092" refreshError="1"/>
      <sheetData sheetId="3093"/>
      <sheetData sheetId="3094"/>
      <sheetData sheetId="3095"/>
      <sheetData sheetId="3096"/>
      <sheetData sheetId="3097"/>
      <sheetData sheetId="3098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/>
      <sheetData sheetId="3106"/>
      <sheetData sheetId="3107"/>
      <sheetData sheetId="3108"/>
      <sheetData sheetId="3109"/>
      <sheetData sheetId="3110"/>
      <sheetData sheetId="3111"/>
      <sheetData sheetId="3112">
        <row r="1">
          <cell r="A1" t="str">
            <v>시멘트,모래,자갈 산출표</v>
          </cell>
        </row>
      </sheetData>
      <sheetData sheetId="3113">
        <row r="1">
          <cell r="A1" t="str">
            <v>시멘트,모래,자갈 산출표</v>
          </cell>
        </row>
      </sheetData>
      <sheetData sheetId="3114"/>
      <sheetData sheetId="3115"/>
      <sheetData sheetId="3116">
        <row r="1">
          <cell r="A1" t="str">
            <v>시멘트,모래,자갈 산출표</v>
          </cell>
        </row>
      </sheetData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/>
      <sheetData sheetId="3147"/>
      <sheetData sheetId="3148"/>
      <sheetData sheetId="3149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>
        <row r="1">
          <cell r="A1" t="str">
            <v>시멘트,모래,자갈 산출표</v>
          </cell>
        </row>
      </sheetData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>
        <row r="1">
          <cell r="A1" t="str">
            <v>시멘트,모래,자갈 산출표</v>
          </cell>
        </row>
      </sheetData>
      <sheetData sheetId="3245"/>
      <sheetData sheetId="3246"/>
      <sheetData sheetId="3247"/>
      <sheetData sheetId="3248">
        <row r="1">
          <cell r="A1" t="str">
            <v>시멘트,모래,자갈 산출표</v>
          </cell>
        </row>
      </sheetData>
      <sheetData sheetId="3249"/>
      <sheetData sheetId="3250"/>
      <sheetData sheetId="3251"/>
      <sheetData sheetId="3252"/>
      <sheetData sheetId="3253"/>
      <sheetData sheetId="3254"/>
      <sheetData sheetId="3255"/>
      <sheetData sheetId="3256"/>
      <sheetData sheetId="3257"/>
      <sheetData sheetId="3258">
        <row r="1">
          <cell r="A1" t="str">
            <v>시멘트,모래,자갈 산출표</v>
          </cell>
        </row>
      </sheetData>
      <sheetData sheetId="3259">
        <row r="1">
          <cell r="A1" t="str">
            <v>시멘트,모래,자갈 산출표</v>
          </cell>
        </row>
      </sheetData>
      <sheetData sheetId="3260">
        <row r="1">
          <cell r="A1" t="str">
            <v>시멘트,모래,자갈 산출표</v>
          </cell>
        </row>
      </sheetData>
      <sheetData sheetId="3261">
        <row r="1">
          <cell r="A1" t="str">
            <v>시멘트,모래,자갈 산출표</v>
          </cell>
        </row>
      </sheetData>
      <sheetData sheetId="3262"/>
      <sheetData sheetId="3263">
        <row r="1">
          <cell r="A1" t="str">
            <v>시멘트,모래,자갈 산출표</v>
          </cell>
        </row>
      </sheetData>
      <sheetData sheetId="3264"/>
      <sheetData sheetId="3265">
        <row r="1">
          <cell r="A1" t="str">
            <v>시멘트,모래,자갈 산출표</v>
          </cell>
        </row>
      </sheetData>
      <sheetData sheetId="3266">
        <row r="1">
          <cell r="A1" t="str">
            <v>시멘트,모래,자갈 산출표</v>
          </cell>
        </row>
      </sheetData>
      <sheetData sheetId="3267">
        <row r="1">
          <cell r="A1" t="str">
            <v>시멘트,모래,자갈 산출표</v>
          </cell>
        </row>
      </sheetData>
      <sheetData sheetId="3268">
        <row r="1">
          <cell r="A1" t="str">
            <v>시멘트,모래,자갈 산출표</v>
          </cell>
        </row>
      </sheetData>
      <sheetData sheetId="3269">
        <row r="1">
          <cell r="A1" t="str">
            <v>시멘트,모래,자갈 산출표</v>
          </cell>
        </row>
      </sheetData>
      <sheetData sheetId="3270"/>
      <sheetData sheetId="3271">
        <row r="1">
          <cell r="A1" t="str">
            <v>시멘트,모래,자갈 산출표</v>
          </cell>
        </row>
      </sheetData>
      <sheetData sheetId="3272"/>
      <sheetData sheetId="3273">
        <row r="1">
          <cell r="A1" t="str">
            <v>시멘트,모래,자갈 산출표</v>
          </cell>
        </row>
      </sheetData>
      <sheetData sheetId="3274">
        <row r="1">
          <cell r="A1" t="str">
            <v>시멘트,모래,자갈 산출표</v>
          </cell>
        </row>
      </sheetData>
      <sheetData sheetId="3275"/>
      <sheetData sheetId="3276"/>
      <sheetData sheetId="3277">
        <row r="1">
          <cell r="A1" t="str">
            <v>시멘트,모래,자갈 산출표</v>
          </cell>
        </row>
      </sheetData>
      <sheetData sheetId="3278"/>
      <sheetData sheetId="3279"/>
      <sheetData sheetId="3280">
        <row r="1">
          <cell r="A1" t="str">
            <v>시멘트,모래,자갈 산출표</v>
          </cell>
        </row>
      </sheetData>
      <sheetData sheetId="3281"/>
      <sheetData sheetId="3282">
        <row r="1">
          <cell r="A1" t="str">
            <v>시멘트,모래,자갈 산출표</v>
          </cell>
        </row>
      </sheetData>
      <sheetData sheetId="3283"/>
      <sheetData sheetId="3284"/>
      <sheetData sheetId="3285"/>
      <sheetData sheetId="3286"/>
      <sheetData sheetId="3287"/>
      <sheetData sheetId="3288"/>
      <sheetData sheetId="3289"/>
      <sheetData sheetId="3290"/>
      <sheetData sheetId="3291"/>
      <sheetData sheetId="3292"/>
      <sheetData sheetId="3293"/>
      <sheetData sheetId="3294"/>
      <sheetData sheetId="3295"/>
      <sheetData sheetId="3296"/>
      <sheetData sheetId="3297">
        <row r="1">
          <cell r="A1" t="str">
            <v>시멘트,모래,자갈 산출표</v>
          </cell>
        </row>
      </sheetData>
      <sheetData sheetId="3298"/>
      <sheetData sheetId="3299"/>
      <sheetData sheetId="3300"/>
      <sheetData sheetId="3301"/>
      <sheetData sheetId="3302"/>
      <sheetData sheetId="3303"/>
      <sheetData sheetId="3304"/>
      <sheetData sheetId="3305"/>
      <sheetData sheetId="3306"/>
      <sheetData sheetId="3307"/>
      <sheetData sheetId="3308"/>
      <sheetData sheetId="3309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>
        <row r="1">
          <cell r="A1" t="str">
            <v>시멘트,모래,자갈 산출표</v>
          </cell>
        </row>
      </sheetData>
      <sheetData sheetId="3325"/>
      <sheetData sheetId="3326"/>
      <sheetData sheetId="3327"/>
      <sheetData sheetId="3328">
        <row r="1">
          <cell r="A1" t="str">
            <v>시멘트,모래,자갈 산출표</v>
          </cell>
        </row>
      </sheetData>
      <sheetData sheetId="3329"/>
      <sheetData sheetId="3330"/>
      <sheetData sheetId="3331"/>
      <sheetData sheetId="3332"/>
      <sheetData sheetId="3333"/>
      <sheetData sheetId="3334"/>
      <sheetData sheetId="3335">
        <row r="1">
          <cell r="A1" t="str">
            <v>시멘트,모래,자갈 산출표</v>
          </cell>
        </row>
      </sheetData>
      <sheetData sheetId="3336"/>
      <sheetData sheetId="3337"/>
      <sheetData sheetId="3338"/>
      <sheetData sheetId="3339">
        <row r="1">
          <cell r="A1" t="str">
            <v>시멘트,모래,자갈 산출표</v>
          </cell>
        </row>
      </sheetData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>
        <row r="1">
          <cell r="A1" t="str">
            <v>시멘트,모래,자갈 산출표</v>
          </cell>
        </row>
      </sheetData>
      <sheetData sheetId="3389">
        <row r="1">
          <cell r="A1" t="str">
            <v>시멘트,모래,자갈 산출표</v>
          </cell>
        </row>
      </sheetData>
      <sheetData sheetId="3390">
        <row r="1">
          <cell r="A1" t="str">
            <v>시멘트,모래,자갈 산출표</v>
          </cell>
        </row>
      </sheetData>
      <sheetData sheetId="3391">
        <row r="1">
          <cell r="A1" t="str">
            <v>시멘트,모래,자갈 산출표</v>
          </cell>
        </row>
      </sheetData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/>
      <sheetData sheetId="3438"/>
      <sheetData sheetId="3439"/>
      <sheetData sheetId="3440"/>
      <sheetData sheetId="3441"/>
      <sheetData sheetId="3442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/>
      <sheetData sheetId="3830" refreshError="1"/>
      <sheetData sheetId="383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/>
      <sheetData sheetId="4033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/>
      <sheetData sheetId="4137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  <sheetData sheetId="4233" refreshError="1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 refreshError="1"/>
      <sheetData sheetId="4255" refreshError="1"/>
      <sheetData sheetId="4256"/>
      <sheetData sheetId="4257" refreshError="1"/>
      <sheetData sheetId="4258" refreshError="1"/>
      <sheetData sheetId="4259" refreshError="1"/>
      <sheetData sheetId="4260" refreshError="1"/>
      <sheetData sheetId="4261" refreshError="1"/>
      <sheetData sheetId="4262" refreshError="1"/>
      <sheetData sheetId="4263" refreshError="1"/>
      <sheetData sheetId="4264" refreshError="1"/>
      <sheetData sheetId="4265" refreshError="1"/>
      <sheetData sheetId="4266" refreshError="1"/>
      <sheetData sheetId="4267" refreshError="1"/>
      <sheetData sheetId="4268" refreshError="1"/>
      <sheetData sheetId="4269" refreshError="1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 refreshError="1"/>
      <sheetData sheetId="4283" refreshError="1"/>
      <sheetData sheetId="4284" refreshError="1"/>
      <sheetData sheetId="4285" refreshError="1"/>
      <sheetData sheetId="4286" refreshError="1"/>
      <sheetData sheetId="4287" refreshError="1"/>
      <sheetData sheetId="4288" refreshError="1"/>
      <sheetData sheetId="4289" refreshError="1"/>
      <sheetData sheetId="4290" refreshError="1"/>
      <sheetData sheetId="4291"/>
      <sheetData sheetId="4292"/>
      <sheetData sheetId="4293" refreshError="1"/>
      <sheetData sheetId="4294" refreshError="1"/>
      <sheetData sheetId="4295" refreshError="1"/>
      <sheetData sheetId="4296" refreshError="1"/>
      <sheetData sheetId="4297" refreshError="1"/>
      <sheetData sheetId="4298" refreshError="1"/>
      <sheetData sheetId="4299" refreshError="1"/>
      <sheetData sheetId="4300" refreshError="1"/>
      <sheetData sheetId="4301" refreshError="1"/>
      <sheetData sheetId="4302" refreshError="1"/>
      <sheetData sheetId="4303" refreshError="1"/>
      <sheetData sheetId="4304" refreshError="1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 refreshError="1"/>
      <sheetData sheetId="4311" refreshError="1"/>
      <sheetData sheetId="4312" refreshError="1"/>
      <sheetData sheetId="4313" refreshError="1"/>
      <sheetData sheetId="4314" refreshError="1"/>
      <sheetData sheetId="4315" refreshError="1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/>
      <sheetData sheetId="4378" refreshError="1"/>
      <sheetData sheetId="4379" refreshError="1"/>
      <sheetData sheetId="4380" refreshError="1"/>
      <sheetData sheetId="4381" refreshError="1"/>
      <sheetData sheetId="4382" refreshError="1"/>
      <sheetData sheetId="4383" refreshError="1"/>
      <sheetData sheetId="4384" refreshError="1"/>
      <sheetData sheetId="4385" refreshError="1"/>
      <sheetData sheetId="4386" refreshError="1"/>
      <sheetData sheetId="4387" refreshError="1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 refreshError="1"/>
      <sheetData sheetId="4397" refreshError="1"/>
      <sheetData sheetId="4398" refreshError="1"/>
      <sheetData sheetId="4399" refreshError="1"/>
      <sheetData sheetId="4400" refreshError="1"/>
      <sheetData sheetId="4401" refreshError="1"/>
      <sheetData sheetId="4402" refreshError="1"/>
      <sheetData sheetId="4403" refreshError="1"/>
      <sheetData sheetId="4404" refreshError="1"/>
      <sheetData sheetId="4405" refreshError="1"/>
      <sheetData sheetId="4406" refreshError="1"/>
      <sheetData sheetId="4407" refreshError="1"/>
      <sheetData sheetId="4408" refreshError="1"/>
      <sheetData sheetId="4409" refreshError="1"/>
      <sheetData sheetId="4410"/>
      <sheetData sheetId="4411" refreshError="1"/>
      <sheetData sheetId="4412" refreshError="1"/>
      <sheetData sheetId="4413" refreshError="1"/>
      <sheetData sheetId="4414" refreshError="1"/>
      <sheetData sheetId="4415" refreshError="1"/>
      <sheetData sheetId="4416" refreshError="1"/>
      <sheetData sheetId="4417" refreshError="1"/>
      <sheetData sheetId="4418"/>
      <sheetData sheetId="4419" refreshError="1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 refreshError="1"/>
      <sheetData sheetId="4469" refreshError="1"/>
      <sheetData sheetId="4470" refreshError="1"/>
      <sheetData sheetId="4471" refreshError="1"/>
      <sheetData sheetId="4472" refreshError="1"/>
      <sheetData sheetId="4473" refreshError="1"/>
      <sheetData sheetId="4474" refreshError="1"/>
      <sheetData sheetId="4475" refreshError="1"/>
      <sheetData sheetId="4476" refreshError="1"/>
      <sheetData sheetId="4477" refreshError="1"/>
      <sheetData sheetId="4478" refreshError="1"/>
      <sheetData sheetId="4479" refreshError="1"/>
      <sheetData sheetId="4480" refreshError="1"/>
      <sheetData sheetId="4481" refreshError="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 refreshError="1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 refreshError="1"/>
      <sheetData sheetId="4728" refreshError="1"/>
      <sheetData sheetId="4729" refreshError="1"/>
      <sheetData sheetId="4730" refreshError="1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>
        <row r="1">
          <cell r="A1" t="str">
            <v>시멘트,모래,자갈 산출표</v>
          </cell>
        </row>
      </sheetData>
      <sheetData sheetId="4738"/>
      <sheetData sheetId="4739"/>
      <sheetData sheetId="4740">
        <row r="1">
          <cell r="A1" t="str">
            <v>시멘트,모래,자갈 산출표</v>
          </cell>
        </row>
      </sheetData>
      <sheetData sheetId="4741"/>
      <sheetData sheetId="4742"/>
      <sheetData sheetId="4743" refreshError="1"/>
      <sheetData sheetId="4744" refreshError="1"/>
      <sheetData sheetId="4745" refreshError="1"/>
      <sheetData sheetId="4746" refreshError="1"/>
      <sheetData sheetId="4747" refreshError="1"/>
      <sheetData sheetId="4748"/>
      <sheetData sheetId="4749"/>
      <sheetData sheetId="4750">
        <row r="1">
          <cell r="A1" t="str">
            <v>시멘트,모래,자갈 산출표</v>
          </cell>
        </row>
      </sheetData>
      <sheetData sheetId="4751">
        <row r="1">
          <cell r="A1" t="str">
            <v>시멘트,모래,자갈 산출표</v>
          </cell>
        </row>
      </sheetData>
      <sheetData sheetId="4752"/>
      <sheetData sheetId="4753"/>
      <sheetData sheetId="4754">
        <row r="1">
          <cell r="A1" t="str">
            <v>시멘트,모래,자갈 산출표</v>
          </cell>
        </row>
      </sheetData>
      <sheetData sheetId="4755"/>
      <sheetData sheetId="4756"/>
      <sheetData sheetId="4757"/>
      <sheetData sheetId="4758"/>
      <sheetData sheetId="4759"/>
      <sheetData sheetId="4760"/>
      <sheetData sheetId="4761" refreshError="1"/>
      <sheetData sheetId="4762" refreshError="1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/>
      <sheetData sheetId="4780" refreshError="1"/>
      <sheetData sheetId="4781" refreshError="1"/>
      <sheetData sheetId="4782" refreshError="1"/>
      <sheetData sheetId="4783" refreshError="1"/>
      <sheetData sheetId="4784" refreshError="1"/>
      <sheetData sheetId="4785" refreshError="1"/>
      <sheetData sheetId="4786" refreshError="1"/>
      <sheetData sheetId="4787" refreshError="1"/>
      <sheetData sheetId="4788" refreshError="1"/>
      <sheetData sheetId="4789"/>
      <sheetData sheetId="4790" refreshError="1"/>
      <sheetData sheetId="4791"/>
      <sheetData sheetId="4792"/>
      <sheetData sheetId="4793"/>
      <sheetData sheetId="4794"/>
      <sheetData sheetId="4795"/>
      <sheetData sheetId="4796"/>
      <sheetData sheetId="4797"/>
      <sheetData sheetId="4798"/>
      <sheetData sheetId="4799"/>
      <sheetData sheetId="4800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/>
      <sheetData sheetId="4827"/>
      <sheetData sheetId="4828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 refreshError="1"/>
      <sheetData sheetId="4853" refreshError="1"/>
      <sheetData sheetId="4854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 refreshError="1"/>
      <sheetData sheetId="4876" refreshError="1"/>
      <sheetData sheetId="4877" refreshError="1"/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 refreshError="1"/>
      <sheetData sheetId="4885" refreshError="1"/>
      <sheetData sheetId="4886" refreshError="1"/>
      <sheetData sheetId="4887" refreshError="1"/>
      <sheetData sheetId="4888" refreshError="1"/>
      <sheetData sheetId="4889" refreshError="1"/>
      <sheetData sheetId="4890" refreshError="1"/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 refreshError="1"/>
      <sheetData sheetId="4911" refreshError="1"/>
      <sheetData sheetId="4912" refreshError="1"/>
      <sheetData sheetId="4913" refreshError="1"/>
      <sheetData sheetId="4914" refreshError="1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 refreshError="1"/>
      <sheetData sheetId="4929" refreshError="1"/>
      <sheetData sheetId="4930" refreshError="1"/>
      <sheetData sheetId="4931" refreshError="1"/>
      <sheetData sheetId="4932" refreshError="1"/>
      <sheetData sheetId="4933" refreshError="1"/>
      <sheetData sheetId="4934" refreshError="1"/>
      <sheetData sheetId="4935" refreshError="1"/>
      <sheetData sheetId="4936" refreshError="1"/>
      <sheetData sheetId="4937" refreshError="1"/>
      <sheetData sheetId="4938" refreshError="1"/>
      <sheetData sheetId="4939" refreshError="1"/>
      <sheetData sheetId="4940" refreshError="1"/>
      <sheetData sheetId="4941" refreshError="1"/>
      <sheetData sheetId="4942" refreshError="1"/>
      <sheetData sheetId="4943" refreshError="1"/>
      <sheetData sheetId="4944" refreshError="1"/>
      <sheetData sheetId="4945" refreshError="1"/>
      <sheetData sheetId="4946" refreshError="1"/>
      <sheetData sheetId="4947" refreshError="1"/>
      <sheetData sheetId="4948" refreshError="1"/>
      <sheetData sheetId="4949" refreshError="1"/>
      <sheetData sheetId="4950" refreshError="1"/>
      <sheetData sheetId="4951" refreshError="1"/>
      <sheetData sheetId="4952" refreshError="1"/>
      <sheetData sheetId="4953" refreshError="1"/>
      <sheetData sheetId="4954" refreshError="1"/>
      <sheetData sheetId="4955" refreshError="1"/>
      <sheetData sheetId="4956" refreshError="1"/>
      <sheetData sheetId="4957" refreshError="1"/>
      <sheetData sheetId="4958" refreshError="1"/>
      <sheetData sheetId="4959" refreshError="1"/>
      <sheetData sheetId="4960" refreshError="1"/>
      <sheetData sheetId="4961" refreshError="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 refreshError="1"/>
      <sheetData sheetId="4981" refreshError="1"/>
      <sheetData sheetId="4982" refreshError="1"/>
      <sheetData sheetId="4983" refreshError="1"/>
      <sheetData sheetId="4984" refreshError="1"/>
      <sheetData sheetId="4985" refreshError="1"/>
      <sheetData sheetId="4986" refreshError="1"/>
      <sheetData sheetId="4987"/>
      <sheetData sheetId="4988"/>
      <sheetData sheetId="4989"/>
      <sheetData sheetId="4990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/>
      <sheetData sheetId="4997"/>
      <sheetData sheetId="4998"/>
      <sheetData sheetId="4999"/>
      <sheetData sheetId="5000" refreshError="1"/>
      <sheetData sheetId="5001" refreshError="1"/>
      <sheetData sheetId="5002"/>
      <sheetData sheetId="5003" refreshError="1"/>
      <sheetData sheetId="5004" refreshError="1"/>
      <sheetData sheetId="5005"/>
      <sheetData sheetId="5006" refreshError="1"/>
      <sheetData sheetId="5007"/>
      <sheetData sheetId="5008"/>
      <sheetData sheetId="5009"/>
      <sheetData sheetId="5010"/>
      <sheetData sheetId="5011"/>
      <sheetData sheetId="5012"/>
      <sheetData sheetId="5013"/>
      <sheetData sheetId="5014" refreshError="1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 refreshError="1"/>
      <sheetData sheetId="5022" refreshError="1"/>
      <sheetData sheetId="5023" refreshError="1"/>
      <sheetData sheetId="5024" refreshError="1"/>
      <sheetData sheetId="5025" refreshError="1"/>
      <sheetData sheetId="5026" refreshError="1"/>
      <sheetData sheetId="5027" refreshError="1"/>
      <sheetData sheetId="5028" refreshError="1"/>
      <sheetData sheetId="5029" refreshError="1"/>
      <sheetData sheetId="5030" refreshError="1"/>
      <sheetData sheetId="5031" refreshError="1"/>
      <sheetData sheetId="5032" refreshError="1"/>
      <sheetData sheetId="5033" refreshError="1"/>
      <sheetData sheetId="5034" refreshError="1"/>
      <sheetData sheetId="5035" refreshError="1"/>
      <sheetData sheetId="5036" refreshError="1"/>
      <sheetData sheetId="5037" refreshError="1"/>
      <sheetData sheetId="5038" refreshError="1"/>
      <sheetData sheetId="5039" refreshError="1"/>
      <sheetData sheetId="5040" refreshError="1"/>
      <sheetData sheetId="5041" refreshError="1"/>
      <sheetData sheetId="5042" refreshError="1"/>
      <sheetData sheetId="5043" refreshError="1"/>
      <sheetData sheetId="5044"/>
      <sheetData sheetId="5045"/>
      <sheetData sheetId="5046"/>
      <sheetData sheetId="5047"/>
      <sheetData sheetId="5048" refreshError="1"/>
      <sheetData sheetId="5049" refreshError="1"/>
      <sheetData sheetId="5050" refreshError="1"/>
      <sheetData sheetId="5051" refreshError="1"/>
      <sheetData sheetId="5052"/>
      <sheetData sheetId="5053"/>
      <sheetData sheetId="5054" refreshError="1"/>
      <sheetData sheetId="5055" refreshError="1"/>
      <sheetData sheetId="5056" refreshError="1"/>
      <sheetData sheetId="5057" refreshError="1"/>
      <sheetData sheetId="5058" refreshError="1"/>
      <sheetData sheetId="5059" refreshError="1"/>
      <sheetData sheetId="5060" refreshError="1"/>
      <sheetData sheetId="5061" refreshError="1"/>
      <sheetData sheetId="5062" refreshError="1"/>
      <sheetData sheetId="5063" refreshError="1"/>
      <sheetData sheetId="5064" refreshError="1"/>
      <sheetData sheetId="5065" refreshError="1"/>
      <sheetData sheetId="5066" refreshError="1"/>
      <sheetData sheetId="5067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 refreshError="1"/>
      <sheetData sheetId="5078" refreshError="1"/>
      <sheetData sheetId="5079" refreshError="1"/>
      <sheetData sheetId="5080" refreshError="1"/>
      <sheetData sheetId="5081" refreshError="1"/>
      <sheetData sheetId="5082"/>
      <sheetData sheetId="5083" refreshError="1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 refreshError="1"/>
      <sheetData sheetId="5111" refreshError="1"/>
      <sheetData sheetId="5112" refreshError="1"/>
      <sheetData sheetId="5113" refreshError="1"/>
      <sheetData sheetId="5114" refreshError="1"/>
      <sheetData sheetId="5115" refreshError="1"/>
      <sheetData sheetId="5116" refreshError="1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 refreshError="1"/>
      <sheetData sheetId="5226" refreshError="1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 refreshError="1"/>
      <sheetData sheetId="5235" refreshError="1"/>
      <sheetData sheetId="5236" refreshError="1"/>
      <sheetData sheetId="5237" refreshError="1"/>
      <sheetData sheetId="5238" refreshError="1"/>
      <sheetData sheetId="5239"/>
      <sheetData sheetId="5240"/>
      <sheetData sheetId="524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 refreshError="1"/>
      <sheetData sheetId="5252" refreshError="1"/>
      <sheetData sheetId="5253"/>
      <sheetData sheetId="5254" refreshError="1"/>
      <sheetData sheetId="5255" refreshError="1"/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 refreshError="1"/>
      <sheetData sheetId="5269" refreshError="1"/>
      <sheetData sheetId="5270" refreshError="1"/>
      <sheetData sheetId="5271" refreshError="1"/>
      <sheetData sheetId="5272"/>
      <sheetData sheetId="5273" refreshError="1"/>
      <sheetData sheetId="5274" refreshError="1"/>
      <sheetData sheetId="5275" refreshError="1"/>
      <sheetData sheetId="5276" refreshError="1"/>
      <sheetData sheetId="5277" refreshError="1"/>
      <sheetData sheetId="5278" refreshError="1"/>
      <sheetData sheetId="5279" refreshError="1"/>
      <sheetData sheetId="5280" refreshError="1"/>
      <sheetData sheetId="5281" refreshError="1"/>
      <sheetData sheetId="5282" refreshError="1"/>
      <sheetData sheetId="5283" refreshError="1"/>
      <sheetData sheetId="5284" refreshError="1"/>
      <sheetData sheetId="5285" refreshError="1"/>
      <sheetData sheetId="5286" refreshError="1"/>
      <sheetData sheetId="5287" refreshError="1"/>
      <sheetData sheetId="5288" refreshError="1"/>
      <sheetData sheetId="5289" refreshError="1"/>
      <sheetData sheetId="5290" refreshError="1"/>
      <sheetData sheetId="5291" refreshError="1"/>
      <sheetData sheetId="5292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 refreshError="1"/>
      <sheetData sheetId="5304" refreshError="1"/>
      <sheetData sheetId="5305" refreshError="1"/>
      <sheetData sheetId="5306" refreshError="1"/>
      <sheetData sheetId="5307" refreshError="1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 refreshError="1"/>
      <sheetData sheetId="5348" refreshError="1"/>
      <sheetData sheetId="5349" refreshError="1"/>
      <sheetData sheetId="5350" refreshError="1"/>
      <sheetData sheetId="5351" refreshError="1"/>
      <sheetData sheetId="5352" refreshError="1"/>
      <sheetData sheetId="5353" refreshError="1"/>
      <sheetData sheetId="5354" refreshError="1"/>
      <sheetData sheetId="5355" refreshError="1"/>
      <sheetData sheetId="5356" refreshError="1"/>
      <sheetData sheetId="5357" refreshError="1"/>
      <sheetData sheetId="5358" refreshError="1"/>
      <sheetData sheetId="5359" refreshError="1"/>
      <sheetData sheetId="5360" refreshError="1"/>
      <sheetData sheetId="5361" refreshError="1"/>
      <sheetData sheetId="5362" refreshError="1"/>
      <sheetData sheetId="5363" refreshError="1"/>
      <sheetData sheetId="5364"/>
      <sheetData sheetId="5365" refreshError="1"/>
      <sheetData sheetId="5366" refreshError="1"/>
      <sheetData sheetId="5367" refreshError="1"/>
      <sheetData sheetId="5368" refreshError="1"/>
      <sheetData sheetId="5369" refreshError="1"/>
      <sheetData sheetId="5370" refreshError="1"/>
      <sheetData sheetId="5371" refreshError="1"/>
      <sheetData sheetId="5372" refreshError="1"/>
      <sheetData sheetId="5373" refreshError="1"/>
      <sheetData sheetId="5374" refreshError="1"/>
      <sheetData sheetId="5375" refreshError="1"/>
      <sheetData sheetId="5376" refreshError="1"/>
      <sheetData sheetId="5377" refreshError="1"/>
      <sheetData sheetId="5378" refreshError="1"/>
      <sheetData sheetId="5379" refreshError="1"/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/>
      <sheetData sheetId="5386" refreshError="1"/>
      <sheetData sheetId="5387" refreshError="1"/>
      <sheetData sheetId="5388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 refreshError="1"/>
      <sheetData sheetId="5398" refreshError="1"/>
      <sheetData sheetId="5399" refreshError="1"/>
      <sheetData sheetId="5400" refreshError="1"/>
      <sheetData sheetId="5401" refreshError="1"/>
      <sheetData sheetId="5402" refreshError="1"/>
      <sheetData sheetId="5403" refreshError="1"/>
      <sheetData sheetId="5404" refreshError="1"/>
      <sheetData sheetId="5405" refreshError="1"/>
      <sheetData sheetId="5406" refreshError="1"/>
      <sheetData sheetId="5407" refreshError="1"/>
      <sheetData sheetId="5408" refreshError="1"/>
      <sheetData sheetId="5409" refreshError="1"/>
      <sheetData sheetId="5410" refreshError="1"/>
      <sheetData sheetId="5411" refreshError="1"/>
      <sheetData sheetId="5412" refreshError="1"/>
      <sheetData sheetId="5413" refreshError="1"/>
      <sheetData sheetId="5414" refreshError="1"/>
      <sheetData sheetId="5415" refreshError="1"/>
      <sheetData sheetId="5416" refreshError="1"/>
      <sheetData sheetId="5417" refreshError="1"/>
      <sheetData sheetId="5418" refreshError="1"/>
      <sheetData sheetId="5419" refreshError="1"/>
      <sheetData sheetId="5420" refreshError="1"/>
      <sheetData sheetId="5421" refreshError="1"/>
      <sheetData sheetId="5422" refreshError="1"/>
      <sheetData sheetId="5423" refreshError="1"/>
      <sheetData sheetId="5424" refreshError="1"/>
      <sheetData sheetId="5425" refreshError="1"/>
      <sheetData sheetId="5426" refreshError="1"/>
      <sheetData sheetId="5427" refreshError="1"/>
      <sheetData sheetId="5428" refreshError="1"/>
      <sheetData sheetId="5429" refreshError="1"/>
      <sheetData sheetId="5430" refreshError="1"/>
      <sheetData sheetId="5431" refreshError="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 refreshError="1"/>
      <sheetData sheetId="5441" refreshError="1"/>
      <sheetData sheetId="5442" refreshError="1"/>
      <sheetData sheetId="5443" refreshError="1"/>
      <sheetData sheetId="5444" refreshError="1"/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 refreshError="1"/>
      <sheetData sheetId="5545" refreshError="1"/>
      <sheetData sheetId="5546" refreshError="1"/>
      <sheetData sheetId="5547" refreshError="1"/>
      <sheetData sheetId="5548" refreshError="1"/>
      <sheetData sheetId="5549" refreshError="1"/>
      <sheetData sheetId="5550" refreshError="1"/>
      <sheetData sheetId="5551" refreshError="1"/>
      <sheetData sheetId="5552" refreshError="1"/>
      <sheetData sheetId="5553" refreshError="1"/>
      <sheetData sheetId="5554" refreshError="1"/>
      <sheetData sheetId="5555" refreshError="1"/>
      <sheetData sheetId="5556" refreshError="1"/>
      <sheetData sheetId="5557" refreshError="1"/>
      <sheetData sheetId="5558" refreshError="1"/>
      <sheetData sheetId="5559" refreshError="1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 refreshError="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 refreshError="1"/>
      <sheetData sheetId="5665" refreshError="1"/>
      <sheetData sheetId="5666" refreshError="1"/>
      <sheetData sheetId="5667" refreshError="1"/>
      <sheetData sheetId="5668" refreshError="1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 refreshError="1"/>
      <sheetData sheetId="5683" refreshError="1"/>
      <sheetData sheetId="5684" refreshError="1"/>
      <sheetData sheetId="5685" refreshError="1"/>
      <sheetData sheetId="5686" refreshError="1"/>
      <sheetData sheetId="5687" refreshError="1"/>
      <sheetData sheetId="5688" refreshError="1"/>
      <sheetData sheetId="5689" refreshError="1"/>
      <sheetData sheetId="5690" refreshError="1"/>
      <sheetData sheetId="5691" refreshError="1"/>
      <sheetData sheetId="5692" refreshError="1"/>
      <sheetData sheetId="5693" refreshError="1"/>
      <sheetData sheetId="5694" refreshError="1"/>
      <sheetData sheetId="5695" refreshError="1"/>
      <sheetData sheetId="5696" refreshError="1"/>
      <sheetData sheetId="5697" refreshError="1"/>
      <sheetData sheetId="5698" refreshError="1"/>
      <sheetData sheetId="5699" refreshError="1"/>
      <sheetData sheetId="5700" refreshError="1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 refreshError="1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 refreshError="1"/>
      <sheetData sheetId="5741" refreshError="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 refreshError="1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 refreshError="1"/>
      <sheetData sheetId="5757" refreshError="1"/>
      <sheetData sheetId="5758" refreshError="1"/>
      <sheetData sheetId="5759" refreshError="1"/>
      <sheetData sheetId="5760" refreshError="1"/>
      <sheetData sheetId="5761" refreshError="1"/>
      <sheetData sheetId="5762" refreshError="1"/>
      <sheetData sheetId="5763" refreshError="1"/>
      <sheetData sheetId="5764" refreshError="1"/>
      <sheetData sheetId="5765" refreshError="1"/>
      <sheetData sheetId="5766" refreshError="1"/>
      <sheetData sheetId="5767" refreshError="1"/>
      <sheetData sheetId="5768" refreshError="1"/>
      <sheetData sheetId="5769" refreshError="1"/>
      <sheetData sheetId="5770" refreshError="1"/>
      <sheetData sheetId="5771" refreshError="1"/>
      <sheetData sheetId="5772" refreshError="1"/>
      <sheetData sheetId="5773" refreshError="1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 refreshError="1"/>
      <sheetData sheetId="5782" refreshError="1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 refreshError="1"/>
      <sheetData sheetId="5805" refreshError="1"/>
      <sheetData sheetId="5806" refreshError="1"/>
      <sheetData sheetId="5807" refreshError="1"/>
      <sheetData sheetId="5808" refreshError="1"/>
      <sheetData sheetId="5809" refreshError="1"/>
      <sheetData sheetId="5810" refreshError="1"/>
      <sheetData sheetId="5811" refreshError="1"/>
      <sheetData sheetId="5812" refreshError="1"/>
      <sheetData sheetId="5813" refreshError="1"/>
      <sheetData sheetId="5814" refreshError="1"/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 refreshError="1"/>
      <sheetData sheetId="5822" refreshError="1"/>
      <sheetData sheetId="5823" refreshError="1"/>
      <sheetData sheetId="5824" refreshError="1"/>
      <sheetData sheetId="5825" refreshError="1"/>
      <sheetData sheetId="5826" refreshError="1"/>
      <sheetData sheetId="5827" refreshError="1"/>
      <sheetData sheetId="5828" refreshError="1"/>
      <sheetData sheetId="5829" refreshError="1"/>
      <sheetData sheetId="5830" refreshError="1"/>
      <sheetData sheetId="5831" refreshError="1"/>
      <sheetData sheetId="5832" refreshError="1"/>
      <sheetData sheetId="5833"/>
      <sheetData sheetId="5834"/>
      <sheetData sheetId="5835" refreshError="1"/>
      <sheetData sheetId="5836" refreshError="1"/>
      <sheetData sheetId="5837" refreshError="1"/>
      <sheetData sheetId="5838" refreshError="1"/>
      <sheetData sheetId="5839" refreshError="1"/>
      <sheetData sheetId="5840" refreshError="1"/>
      <sheetData sheetId="5841" refreshError="1"/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 refreshError="1"/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 refreshError="1"/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 refreshError="1"/>
      <sheetData sheetId="5873" refreshError="1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 refreshError="1"/>
      <sheetData sheetId="5907" refreshError="1"/>
      <sheetData sheetId="5908" refreshError="1"/>
      <sheetData sheetId="5909" refreshError="1"/>
      <sheetData sheetId="5910" refreshError="1"/>
      <sheetData sheetId="5911" refreshError="1"/>
      <sheetData sheetId="5912" refreshError="1"/>
      <sheetData sheetId="5913" refreshError="1"/>
      <sheetData sheetId="5914" refreshError="1"/>
      <sheetData sheetId="5915" refreshError="1"/>
      <sheetData sheetId="5916" refreshError="1"/>
      <sheetData sheetId="5917" refreshError="1"/>
      <sheetData sheetId="5918" refreshError="1"/>
      <sheetData sheetId="5919" refreshError="1"/>
      <sheetData sheetId="5920" refreshError="1"/>
      <sheetData sheetId="5921" refreshError="1"/>
      <sheetData sheetId="5922" refreshError="1"/>
      <sheetData sheetId="5923" refreshError="1"/>
      <sheetData sheetId="5924" refreshError="1"/>
      <sheetData sheetId="5925" refreshError="1"/>
      <sheetData sheetId="5926" refreshError="1"/>
      <sheetData sheetId="5927" refreshError="1"/>
      <sheetData sheetId="5928" refreshError="1"/>
      <sheetData sheetId="5929" refreshError="1"/>
      <sheetData sheetId="5930" refreshError="1"/>
      <sheetData sheetId="5931" refreshError="1"/>
      <sheetData sheetId="5932" refreshError="1"/>
      <sheetData sheetId="5933" refreshError="1"/>
      <sheetData sheetId="5934" refreshError="1"/>
      <sheetData sheetId="5935" refreshError="1"/>
      <sheetData sheetId="5936" refreshError="1"/>
      <sheetData sheetId="5937" refreshError="1"/>
      <sheetData sheetId="5938" refreshError="1"/>
      <sheetData sheetId="5939" refreshError="1"/>
      <sheetData sheetId="5940" refreshError="1"/>
      <sheetData sheetId="5941" refreshError="1"/>
      <sheetData sheetId="5942" refreshError="1"/>
      <sheetData sheetId="5943" refreshError="1"/>
      <sheetData sheetId="5944" refreshError="1"/>
      <sheetData sheetId="5945"/>
      <sheetData sheetId="5946"/>
      <sheetData sheetId="5947"/>
      <sheetData sheetId="5948"/>
      <sheetData sheetId="5949" refreshError="1"/>
      <sheetData sheetId="5950" refreshError="1"/>
      <sheetData sheetId="5951" refreshError="1"/>
      <sheetData sheetId="5952" refreshError="1"/>
      <sheetData sheetId="5953" refreshError="1"/>
      <sheetData sheetId="5954" refreshError="1"/>
      <sheetData sheetId="5955" refreshError="1"/>
      <sheetData sheetId="5956" refreshError="1"/>
      <sheetData sheetId="5957" refreshError="1"/>
      <sheetData sheetId="5958" refreshError="1"/>
      <sheetData sheetId="5959" refreshError="1"/>
      <sheetData sheetId="5960" refreshError="1"/>
      <sheetData sheetId="5961" refreshError="1"/>
      <sheetData sheetId="5962" refreshError="1"/>
      <sheetData sheetId="5963" refreshError="1"/>
      <sheetData sheetId="5964" refreshError="1"/>
      <sheetData sheetId="5965" refreshError="1"/>
      <sheetData sheetId="5966" refreshError="1"/>
      <sheetData sheetId="5967" refreshError="1"/>
      <sheetData sheetId="5968" refreshError="1"/>
      <sheetData sheetId="5969" refreshError="1"/>
      <sheetData sheetId="5970" refreshError="1"/>
      <sheetData sheetId="5971" refreshError="1"/>
      <sheetData sheetId="5972" refreshError="1"/>
      <sheetData sheetId="5973" refreshError="1"/>
      <sheetData sheetId="5974" refreshError="1"/>
      <sheetData sheetId="5975" refreshError="1"/>
      <sheetData sheetId="5976" refreshError="1"/>
      <sheetData sheetId="5977" refreshError="1"/>
      <sheetData sheetId="5978" refreshError="1"/>
      <sheetData sheetId="5979" refreshError="1"/>
      <sheetData sheetId="5980" refreshError="1"/>
      <sheetData sheetId="5981" refreshError="1"/>
      <sheetData sheetId="5982" refreshError="1"/>
      <sheetData sheetId="5983" refreshError="1"/>
      <sheetData sheetId="5984" refreshError="1"/>
      <sheetData sheetId="5985" refreshError="1"/>
      <sheetData sheetId="5986" refreshError="1"/>
      <sheetData sheetId="5987" refreshError="1"/>
      <sheetData sheetId="5988" refreshError="1"/>
      <sheetData sheetId="5989" refreshError="1"/>
      <sheetData sheetId="5990" refreshError="1"/>
      <sheetData sheetId="5991" refreshError="1"/>
      <sheetData sheetId="5992" refreshError="1"/>
      <sheetData sheetId="5993" refreshError="1"/>
      <sheetData sheetId="5994" refreshError="1"/>
      <sheetData sheetId="5995" refreshError="1"/>
      <sheetData sheetId="5996" refreshError="1"/>
      <sheetData sheetId="5997" refreshError="1"/>
      <sheetData sheetId="5998" refreshError="1"/>
      <sheetData sheetId="5999" refreshError="1"/>
      <sheetData sheetId="6000" refreshError="1"/>
      <sheetData sheetId="6001" refreshError="1"/>
      <sheetData sheetId="6002" refreshError="1"/>
      <sheetData sheetId="6003" refreshError="1"/>
      <sheetData sheetId="6004" refreshError="1"/>
      <sheetData sheetId="6005" refreshError="1"/>
      <sheetData sheetId="6006" refreshError="1"/>
      <sheetData sheetId="6007" refreshError="1"/>
      <sheetData sheetId="6008" refreshError="1"/>
      <sheetData sheetId="6009" refreshError="1"/>
      <sheetData sheetId="6010" refreshError="1"/>
      <sheetData sheetId="6011" refreshError="1"/>
      <sheetData sheetId="6012" refreshError="1"/>
      <sheetData sheetId="6013" refreshError="1"/>
      <sheetData sheetId="6014" refreshError="1"/>
      <sheetData sheetId="6015" refreshError="1"/>
      <sheetData sheetId="6016" refreshError="1"/>
      <sheetData sheetId="6017" refreshError="1"/>
      <sheetData sheetId="6018" refreshError="1"/>
      <sheetData sheetId="6019" refreshError="1"/>
      <sheetData sheetId="6020" refreshError="1"/>
      <sheetData sheetId="6021" refreshError="1"/>
      <sheetData sheetId="6022" refreshError="1"/>
      <sheetData sheetId="6023" refreshError="1"/>
      <sheetData sheetId="6024" refreshError="1"/>
      <sheetData sheetId="6025" refreshError="1"/>
      <sheetData sheetId="6026" refreshError="1"/>
      <sheetData sheetId="6027" refreshError="1"/>
      <sheetData sheetId="6028" refreshError="1"/>
      <sheetData sheetId="6029" refreshError="1"/>
      <sheetData sheetId="6030" refreshError="1"/>
      <sheetData sheetId="6031" refreshError="1"/>
      <sheetData sheetId="6032" refreshError="1"/>
      <sheetData sheetId="6033" refreshError="1"/>
      <sheetData sheetId="6034" refreshError="1"/>
      <sheetData sheetId="6035" refreshError="1"/>
      <sheetData sheetId="6036" refreshError="1"/>
      <sheetData sheetId="6037" refreshError="1"/>
      <sheetData sheetId="6038" refreshError="1"/>
      <sheetData sheetId="6039" refreshError="1"/>
      <sheetData sheetId="6040" refreshError="1"/>
      <sheetData sheetId="6041" refreshError="1"/>
      <sheetData sheetId="6042" refreshError="1"/>
      <sheetData sheetId="6043" refreshError="1"/>
      <sheetData sheetId="6044" refreshError="1"/>
      <sheetData sheetId="6045" refreshError="1"/>
      <sheetData sheetId="6046" refreshError="1"/>
      <sheetData sheetId="6047" refreshError="1"/>
      <sheetData sheetId="6048" refreshError="1"/>
      <sheetData sheetId="6049" refreshError="1"/>
      <sheetData sheetId="6050" refreshError="1"/>
      <sheetData sheetId="6051" refreshError="1"/>
      <sheetData sheetId="6052" refreshError="1"/>
      <sheetData sheetId="6053"/>
      <sheetData sheetId="6054" refreshError="1"/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 refreshError="1"/>
      <sheetData sheetId="6063" refreshError="1"/>
      <sheetData sheetId="6064" refreshError="1"/>
      <sheetData sheetId="6065" refreshError="1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 refreshError="1"/>
      <sheetData sheetId="6085" refreshError="1"/>
      <sheetData sheetId="6086" refreshError="1"/>
      <sheetData sheetId="6087" refreshError="1"/>
      <sheetData sheetId="6088" refreshError="1"/>
      <sheetData sheetId="6089" refreshError="1"/>
      <sheetData sheetId="6090" refreshError="1"/>
      <sheetData sheetId="6091" refreshError="1"/>
      <sheetData sheetId="6092" refreshError="1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 refreshError="1"/>
      <sheetData sheetId="6102" refreshError="1"/>
      <sheetData sheetId="6103" refreshError="1"/>
      <sheetData sheetId="6104" refreshError="1"/>
      <sheetData sheetId="6105" refreshError="1"/>
      <sheetData sheetId="6106" refreshError="1"/>
      <sheetData sheetId="6107" refreshError="1"/>
      <sheetData sheetId="6108" refreshError="1"/>
      <sheetData sheetId="6109" refreshError="1"/>
      <sheetData sheetId="6110" refreshError="1"/>
      <sheetData sheetId="6111" refreshError="1"/>
      <sheetData sheetId="6112" refreshError="1"/>
      <sheetData sheetId="6113" refreshError="1"/>
      <sheetData sheetId="6114" refreshError="1"/>
      <sheetData sheetId="6115" refreshError="1"/>
      <sheetData sheetId="6116" refreshError="1"/>
      <sheetData sheetId="6117" refreshError="1"/>
      <sheetData sheetId="6118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 refreshError="1"/>
      <sheetData sheetId="6131" refreshError="1"/>
      <sheetData sheetId="6132" refreshError="1"/>
      <sheetData sheetId="6133" refreshError="1"/>
      <sheetData sheetId="6134" refreshError="1"/>
      <sheetData sheetId="6135" refreshError="1"/>
      <sheetData sheetId="6136" refreshError="1"/>
      <sheetData sheetId="6137" refreshError="1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 refreshError="1"/>
      <sheetData sheetId="6147" refreshError="1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 refreshError="1"/>
      <sheetData sheetId="6169" refreshError="1"/>
      <sheetData sheetId="6170" refreshError="1"/>
      <sheetData sheetId="6171" refreshError="1"/>
      <sheetData sheetId="6172" refreshError="1"/>
      <sheetData sheetId="6173" refreshError="1"/>
      <sheetData sheetId="6174" refreshError="1"/>
      <sheetData sheetId="6175" refreshError="1"/>
      <sheetData sheetId="6176" refreshError="1"/>
      <sheetData sheetId="6177" refreshError="1"/>
      <sheetData sheetId="6178" refreshError="1"/>
      <sheetData sheetId="6179" refreshError="1"/>
      <sheetData sheetId="6180" refreshError="1"/>
      <sheetData sheetId="6181" refreshError="1"/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 refreshError="1"/>
      <sheetData sheetId="6202" refreshError="1"/>
      <sheetData sheetId="6203" refreshError="1"/>
      <sheetData sheetId="6204" refreshError="1"/>
      <sheetData sheetId="6205" refreshError="1"/>
      <sheetData sheetId="6206" refreshError="1"/>
      <sheetData sheetId="6207" refreshError="1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 refreshError="1"/>
      <sheetData sheetId="6242" refreshError="1"/>
      <sheetData sheetId="6243" refreshError="1"/>
      <sheetData sheetId="6244" refreshError="1"/>
      <sheetData sheetId="6245" refreshError="1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 refreshError="1"/>
      <sheetData sheetId="6255" refreshError="1"/>
      <sheetData sheetId="6256" refreshError="1"/>
      <sheetData sheetId="6257" refreshError="1"/>
      <sheetData sheetId="6258" refreshError="1"/>
      <sheetData sheetId="6259" refreshError="1"/>
      <sheetData sheetId="6260" refreshError="1"/>
      <sheetData sheetId="6261" refreshError="1"/>
      <sheetData sheetId="6262" refreshError="1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 refreshError="1"/>
      <sheetData sheetId="6269" refreshError="1"/>
      <sheetData sheetId="6270" refreshError="1"/>
      <sheetData sheetId="6271" refreshError="1"/>
      <sheetData sheetId="6272" refreshError="1"/>
      <sheetData sheetId="6273" refreshError="1"/>
      <sheetData sheetId="6274" refreshError="1"/>
      <sheetData sheetId="6275" refreshError="1"/>
      <sheetData sheetId="6276" refreshError="1"/>
      <sheetData sheetId="6277" refreshError="1"/>
      <sheetData sheetId="6278" refreshError="1"/>
      <sheetData sheetId="6279" refreshError="1"/>
      <sheetData sheetId="6280" refreshError="1"/>
      <sheetData sheetId="6281" refreshError="1"/>
      <sheetData sheetId="6282" refreshError="1"/>
      <sheetData sheetId="6283" refreshError="1"/>
      <sheetData sheetId="6284" refreshError="1"/>
      <sheetData sheetId="6285" refreshError="1"/>
      <sheetData sheetId="6286" refreshError="1"/>
      <sheetData sheetId="6287" refreshError="1"/>
      <sheetData sheetId="6288" refreshError="1"/>
      <sheetData sheetId="6289" refreshError="1"/>
      <sheetData sheetId="6290" refreshError="1"/>
      <sheetData sheetId="6291" refreshError="1"/>
      <sheetData sheetId="6292" refreshError="1"/>
      <sheetData sheetId="6293" refreshError="1"/>
      <sheetData sheetId="6294" refreshError="1"/>
      <sheetData sheetId="6295" refreshError="1"/>
      <sheetData sheetId="6296" refreshError="1"/>
      <sheetData sheetId="6297" refreshError="1"/>
      <sheetData sheetId="6298" refreshError="1"/>
      <sheetData sheetId="6299" refreshError="1"/>
      <sheetData sheetId="6300" refreshError="1"/>
      <sheetData sheetId="6301" refreshError="1"/>
      <sheetData sheetId="6302" refreshError="1"/>
      <sheetData sheetId="6303" refreshError="1"/>
      <sheetData sheetId="6304" refreshError="1"/>
      <sheetData sheetId="6305" refreshError="1"/>
      <sheetData sheetId="6306" refreshError="1"/>
      <sheetData sheetId="6307" refreshError="1"/>
      <sheetData sheetId="6308" refreshError="1"/>
      <sheetData sheetId="6309" refreshError="1"/>
      <sheetData sheetId="6310" refreshError="1"/>
      <sheetData sheetId="6311" refreshError="1"/>
      <sheetData sheetId="6312" refreshError="1"/>
      <sheetData sheetId="6313" refreshError="1"/>
      <sheetData sheetId="6314" refreshError="1"/>
      <sheetData sheetId="6315" refreshError="1"/>
      <sheetData sheetId="6316" refreshError="1"/>
      <sheetData sheetId="6317" refreshError="1"/>
      <sheetData sheetId="6318" refreshError="1"/>
      <sheetData sheetId="6319" refreshError="1"/>
      <sheetData sheetId="6320" refreshError="1"/>
      <sheetData sheetId="6321" refreshError="1"/>
      <sheetData sheetId="6322" refreshError="1"/>
      <sheetData sheetId="6323" refreshError="1"/>
      <sheetData sheetId="6324" refreshError="1"/>
      <sheetData sheetId="6325" refreshError="1"/>
      <sheetData sheetId="6326" refreshError="1"/>
      <sheetData sheetId="6327" refreshError="1"/>
      <sheetData sheetId="6328" refreshError="1"/>
      <sheetData sheetId="6329" refreshError="1"/>
      <sheetData sheetId="6330" refreshError="1"/>
      <sheetData sheetId="6331" refreshError="1"/>
      <sheetData sheetId="6332" refreshError="1"/>
      <sheetData sheetId="6333" refreshError="1"/>
      <sheetData sheetId="6334" refreshError="1"/>
      <sheetData sheetId="6335" refreshError="1"/>
      <sheetData sheetId="6336" refreshError="1"/>
      <sheetData sheetId="6337" refreshError="1"/>
      <sheetData sheetId="6338" refreshError="1"/>
      <sheetData sheetId="6339" refreshError="1"/>
      <sheetData sheetId="6340"/>
      <sheetData sheetId="6341" refreshError="1"/>
      <sheetData sheetId="6342" refreshError="1"/>
      <sheetData sheetId="6343" refreshError="1"/>
      <sheetData sheetId="6344" refreshError="1"/>
      <sheetData sheetId="6345" refreshError="1"/>
      <sheetData sheetId="6346" refreshError="1"/>
      <sheetData sheetId="6347" refreshError="1"/>
      <sheetData sheetId="6348" refreshError="1"/>
      <sheetData sheetId="6349" refreshError="1"/>
      <sheetData sheetId="6350" refreshError="1"/>
      <sheetData sheetId="6351" refreshError="1"/>
      <sheetData sheetId="6352" refreshError="1"/>
      <sheetData sheetId="6353" refreshError="1"/>
      <sheetData sheetId="6354" refreshError="1"/>
      <sheetData sheetId="6355" refreshError="1"/>
      <sheetData sheetId="6356" refreshError="1"/>
      <sheetData sheetId="6357" refreshError="1"/>
      <sheetData sheetId="6358" refreshError="1"/>
      <sheetData sheetId="6359" refreshError="1"/>
      <sheetData sheetId="6360"/>
      <sheetData sheetId="6361" refreshError="1"/>
      <sheetData sheetId="6362" refreshError="1"/>
      <sheetData sheetId="6363" refreshError="1"/>
      <sheetData sheetId="6364" refreshError="1"/>
      <sheetData sheetId="6365" refreshError="1"/>
      <sheetData sheetId="6366" refreshError="1"/>
      <sheetData sheetId="6367" refreshError="1"/>
      <sheetData sheetId="6368" refreshError="1"/>
      <sheetData sheetId="6369" refreshError="1"/>
      <sheetData sheetId="6370" refreshError="1"/>
      <sheetData sheetId="6371" refreshError="1"/>
      <sheetData sheetId="6372" refreshError="1"/>
      <sheetData sheetId="6373" refreshError="1"/>
      <sheetData sheetId="6374"/>
      <sheetData sheetId="6375" refreshError="1"/>
      <sheetData sheetId="6376" refreshError="1"/>
      <sheetData sheetId="6377" refreshError="1"/>
      <sheetData sheetId="6378" refreshError="1"/>
      <sheetData sheetId="6379" refreshError="1"/>
      <sheetData sheetId="6380" refreshError="1"/>
      <sheetData sheetId="6381" refreshError="1"/>
      <sheetData sheetId="6382" refreshError="1"/>
      <sheetData sheetId="6383" refreshError="1"/>
      <sheetData sheetId="6384" refreshError="1"/>
      <sheetData sheetId="6385" refreshError="1"/>
      <sheetData sheetId="6386" refreshError="1"/>
      <sheetData sheetId="6387" refreshError="1"/>
      <sheetData sheetId="6388" refreshError="1"/>
      <sheetData sheetId="6389" refreshError="1"/>
      <sheetData sheetId="6390" refreshError="1"/>
      <sheetData sheetId="6391" refreshError="1"/>
      <sheetData sheetId="6392" refreshError="1"/>
      <sheetData sheetId="6393" refreshError="1"/>
      <sheetData sheetId="6394" refreshError="1"/>
      <sheetData sheetId="6395" refreshError="1"/>
      <sheetData sheetId="6396" refreshError="1"/>
      <sheetData sheetId="6397" refreshError="1"/>
      <sheetData sheetId="6398" refreshError="1"/>
      <sheetData sheetId="6399" refreshError="1"/>
      <sheetData sheetId="6400" refreshError="1"/>
      <sheetData sheetId="6401" refreshError="1"/>
      <sheetData sheetId="6402" refreshError="1"/>
      <sheetData sheetId="6403" refreshError="1"/>
      <sheetData sheetId="6404" refreshError="1"/>
      <sheetData sheetId="6405" refreshError="1"/>
      <sheetData sheetId="6406" refreshError="1"/>
      <sheetData sheetId="6407" refreshError="1"/>
      <sheetData sheetId="6408" refreshError="1"/>
      <sheetData sheetId="6409" refreshError="1"/>
      <sheetData sheetId="6410" refreshError="1"/>
      <sheetData sheetId="6411" refreshError="1"/>
      <sheetData sheetId="6412" refreshError="1"/>
      <sheetData sheetId="6413" refreshError="1"/>
      <sheetData sheetId="6414" refreshError="1"/>
      <sheetData sheetId="6415" refreshError="1"/>
      <sheetData sheetId="6416" refreshError="1"/>
      <sheetData sheetId="6417" refreshError="1"/>
      <sheetData sheetId="6418" refreshError="1"/>
      <sheetData sheetId="6419" refreshError="1"/>
      <sheetData sheetId="6420" refreshError="1"/>
      <sheetData sheetId="6421" refreshError="1"/>
      <sheetData sheetId="6422" refreshError="1"/>
      <sheetData sheetId="6423" refreshError="1"/>
      <sheetData sheetId="6424" refreshError="1"/>
      <sheetData sheetId="6425" refreshError="1"/>
      <sheetData sheetId="6426" refreshError="1"/>
      <sheetData sheetId="6427" refreshError="1"/>
      <sheetData sheetId="6428" refreshError="1"/>
      <sheetData sheetId="6429" refreshError="1"/>
      <sheetData sheetId="6430" refreshError="1"/>
      <sheetData sheetId="6431" refreshError="1"/>
      <sheetData sheetId="6432" refreshError="1"/>
      <sheetData sheetId="6433" refreshError="1"/>
      <sheetData sheetId="6434" refreshError="1"/>
      <sheetData sheetId="6435" refreshError="1"/>
      <sheetData sheetId="6436" refreshError="1"/>
      <sheetData sheetId="6437" refreshError="1"/>
      <sheetData sheetId="6438" refreshError="1"/>
      <sheetData sheetId="6439" refreshError="1"/>
      <sheetData sheetId="6440" refreshError="1"/>
      <sheetData sheetId="6441" refreshError="1"/>
      <sheetData sheetId="6442" refreshError="1"/>
      <sheetData sheetId="6443" refreshError="1"/>
      <sheetData sheetId="6444" refreshError="1"/>
      <sheetData sheetId="6445" refreshError="1"/>
      <sheetData sheetId="6446" refreshError="1"/>
      <sheetData sheetId="6447"/>
      <sheetData sheetId="6448" refreshError="1"/>
      <sheetData sheetId="6449" refreshError="1"/>
      <sheetData sheetId="6450" refreshError="1"/>
      <sheetData sheetId="6451" refreshError="1"/>
      <sheetData sheetId="6452" refreshError="1"/>
      <sheetData sheetId="6453" refreshError="1"/>
      <sheetData sheetId="6454" refreshError="1"/>
      <sheetData sheetId="6455" refreshError="1"/>
      <sheetData sheetId="6456" refreshError="1"/>
      <sheetData sheetId="6457" refreshError="1"/>
      <sheetData sheetId="6458" refreshError="1"/>
      <sheetData sheetId="6459" refreshError="1"/>
      <sheetData sheetId="6460" refreshError="1"/>
      <sheetData sheetId="6461" refreshError="1"/>
      <sheetData sheetId="6462" refreshError="1"/>
      <sheetData sheetId="6463" refreshError="1"/>
      <sheetData sheetId="6464" refreshError="1"/>
      <sheetData sheetId="6465" refreshError="1"/>
      <sheetData sheetId="6466" refreshError="1"/>
      <sheetData sheetId="6467" refreshError="1"/>
      <sheetData sheetId="6468" refreshError="1"/>
      <sheetData sheetId="6469" refreshError="1"/>
      <sheetData sheetId="6470" refreshError="1"/>
      <sheetData sheetId="6471" refreshError="1"/>
      <sheetData sheetId="6472" refreshError="1"/>
      <sheetData sheetId="6473" refreshError="1"/>
      <sheetData sheetId="6474" refreshError="1"/>
      <sheetData sheetId="6475" refreshError="1"/>
      <sheetData sheetId="6476" refreshError="1"/>
      <sheetData sheetId="6477" refreshError="1"/>
      <sheetData sheetId="6478" refreshError="1"/>
      <sheetData sheetId="6479" refreshError="1"/>
      <sheetData sheetId="6480" refreshError="1"/>
      <sheetData sheetId="6481" refreshError="1"/>
      <sheetData sheetId="6482" refreshError="1"/>
      <sheetData sheetId="6483" refreshError="1"/>
      <sheetData sheetId="6484" refreshError="1"/>
      <sheetData sheetId="6485" refreshError="1"/>
      <sheetData sheetId="6486" refreshError="1"/>
      <sheetData sheetId="6487" refreshError="1"/>
      <sheetData sheetId="6488" refreshError="1"/>
      <sheetData sheetId="6489" refreshError="1"/>
      <sheetData sheetId="6490" refreshError="1"/>
      <sheetData sheetId="6491" refreshError="1"/>
      <sheetData sheetId="6492" refreshError="1"/>
      <sheetData sheetId="6493" refreshError="1"/>
      <sheetData sheetId="6494" refreshError="1"/>
      <sheetData sheetId="6495" refreshError="1"/>
      <sheetData sheetId="6496" refreshError="1"/>
      <sheetData sheetId="6497" refreshError="1"/>
      <sheetData sheetId="6498" refreshError="1"/>
      <sheetData sheetId="6499" refreshError="1"/>
      <sheetData sheetId="6500" refreshError="1"/>
      <sheetData sheetId="6501" refreshError="1"/>
      <sheetData sheetId="6502" refreshError="1"/>
      <sheetData sheetId="6503" refreshError="1"/>
      <sheetData sheetId="6504" refreshError="1"/>
      <sheetData sheetId="6505" refreshError="1"/>
      <sheetData sheetId="6506" refreshError="1"/>
      <sheetData sheetId="6507" refreshError="1"/>
      <sheetData sheetId="6508" refreshError="1"/>
      <sheetData sheetId="6509" refreshError="1"/>
      <sheetData sheetId="6510" refreshError="1"/>
      <sheetData sheetId="6511" refreshError="1"/>
      <sheetData sheetId="6512" refreshError="1"/>
      <sheetData sheetId="6513" refreshError="1"/>
      <sheetData sheetId="6514" refreshError="1"/>
      <sheetData sheetId="6515" refreshError="1"/>
      <sheetData sheetId="6516" refreshError="1"/>
      <sheetData sheetId="6517" refreshError="1"/>
      <sheetData sheetId="6518" refreshError="1"/>
      <sheetData sheetId="6519" refreshError="1"/>
      <sheetData sheetId="6520" refreshError="1"/>
      <sheetData sheetId="6521" refreshError="1"/>
      <sheetData sheetId="6522" refreshError="1"/>
      <sheetData sheetId="6523" refreshError="1"/>
      <sheetData sheetId="6524" refreshError="1"/>
      <sheetData sheetId="6525" refreshError="1"/>
      <sheetData sheetId="6526" refreshError="1"/>
      <sheetData sheetId="6527" refreshError="1"/>
      <sheetData sheetId="6528" refreshError="1"/>
      <sheetData sheetId="6529" refreshError="1"/>
      <sheetData sheetId="6530" refreshError="1"/>
      <sheetData sheetId="6531" refreshError="1"/>
      <sheetData sheetId="6532" refreshError="1"/>
      <sheetData sheetId="6533" refreshError="1"/>
      <sheetData sheetId="6534" refreshError="1"/>
      <sheetData sheetId="6535" refreshError="1"/>
      <sheetData sheetId="6536" refreshError="1"/>
      <sheetData sheetId="6537" refreshError="1"/>
      <sheetData sheetId="6538" refreshError="1"/>
      <sheetData sheetId="6539" refreshError="1"/>
      <sheetData sheetId="6540" refreshError="1"/>
      <sheetData sheetId="6541" refreshError="1"/>
      <sheetData sheetId="6542" refreshError="1"/>
      <sheetData sheetId="6543" refreshError="1"/>
      <sheetData sheetId="6544" refreshError="1"/>
      <sheetData sheetId="6545" refreshError="1"/>
      <sheetData sheetId="6546" refreshError="1"/>
      <sheetData sheetId="6547" refreshError="1"/>
      <sheetData sheetId="6548" refreshError="1"/>
      <sheetData sheetId="6549" refreshError="1"/>
      <sheetData sheetId="6550" refreshError="1"/>
      <sheetData sheetId="6551" refreshError="1"/>
      <sheetData sheetId="6552" refreshError="1"/>
      <sheetData sheetId="6553" refreshError="1"/>
      <sheetData sheetId="6554" refreshError="1"/>
      <sheetData sheetId="6555" refreshError="1"/>
      <sheetData sheetId="6556" refreshError="1"/>
      <sheetData sheetId="6557" refreshError="1"/>
      <sheetData sheetId="6558" refreshError="1"/>
      <sheetData sheetId="6559" refreshError="1"/>
      <sheetData sheetId="6560" refreshError="1"/>
      <sheetData sheetId="6561" refreshError="1"/>
      <sheetData sheetId="6562" refreshError="1"/>
      <sheetData sheetId="6563" refreshError="1"/>
      <sheetData sheetId="6564" refreshError="1"/>
      <sheetData sheetId="6565" refreshError="1"/>
      <sheetData sheetId="6566" refreshError="1"/>
      <sheetData sheetId="6567" refreshError="1"/>
      <sheetData sheetId="6568" refreshError="1"/>
      <sheetData sheetId="6569" refreshError="1"/>
      <sheetData sheetId="6570" refreshError="1"/>
      <sheetData sheetId="6571" refreshError="1"/>
      <sheetData sheetId="6572" refreshError="1"/>
      <sheetData sheetId="6573" refreshError="1"/>
      <sheetData sheetId="6574" refreshError="1"/>
      <sheetData sheetId="6575" refreshError="1"/>
      <sheetData sheetId="6576" refreshError="1"/>
      <sheetData sheetId="6577" refreshError="1"/>
      <sheetData sheetId="6578" refreshError="1"/>
      <sheetData sheetId="6579" refreshError="1"/>
      <sheetData sheetId="6580" refreshError="1"/>
      <sheetData sheetId="6581" refreshError="1"/>
      <sheetData sheetId="6582" refreshError="1"/>
      <sheetData sheetId="6583" refreshError="1"/>
      <sheetData sheetId="6584" refreshError="1"/>
      <sheetData sheetId="6585" refreshError="1"/>
      <sheetData sheetId="6586" refreshError="1"/>
      <sheetData sheetId="6587" refreshError="1"/>
      <sheetData sheetId="6588" refreshError="1"/>
      <sheetData sheetId="6589" refreshError="1"/>
      <sheetData sheetId="6590" refreshError="1"/>
      <sheetData sheetId="6591" refreshError="1"/>
      <sheetData sheetId="6592" refreshError="1"/>
      <sheetData sheetId="6593" refreshError="1"/>
      <sheetData sheetId="6594" refreshError="1"/>
      <sheetData sheetId="6595" refreshError="1"/>
      <sheetData sheetId="6596" refreshError="1"/>
      <sheetData sheetId="6597" refreshError="1"/>
      <sheetData sheetId="6598" refreshError="1"/>
      <sheetData sheetId="6599" refreshError="1"/>
      <sheetData sheetId="6600" refreshError="1"/>
      <sheetData sheetId="6601" refreshError="1"/>
      <sheetData sheetId="6602" refreshError="1"/>
      <sheetData sheetId="6603" refreshError="1"/>
      <sheetData sheetId="6604" refreshError="1"/>
      <sheetData sheetId="6605" refreshError="1"/>
      <sheetData sheetId="6606" refreshError="1"/>
      <sheetData sheetId="6607" refreshError="1"/>
      <sheetData sheetId="6608" refreshError="1"/>
      <sheetData sheetId="6609" refreshError="1"/>
      <sheetData sheetId="6610" refreshError="1"/>
      <sheetData sheetId="6611" refreshError="1"/>
      <sheetData sheetId="6612" refreshError="1"/>
      <sheetData sheetId="6613" refreshError="1"/>
      <sheetData sheetId="6614" refreshError="1"/>
      <sheetData sheetId="6615" refreshError="1"/>
      <sheetData sheetId="6616" refreshError="1"/>
      <sheetData sheetId="6617" refreshError="1"/>
      <sheetData sheetId="6618" refreshError="1"/>
      <sheetData sheetId="6619" refreshError="1"/>
      <sheetData sheetId="6620" refreshError="1"/>
      <sheetData sheetId="6621" refreshError="1"/>
      <sheetData sheetId="6622" refreshError="1"/>
      <sheetData sheetId="6623" refreshError="1"/>
      <sheetData sheetId="6624" refreshError="1"/>
      <sheetData sheetId="6625" refreshError="1"/>
      <sheetData sheetId="6626" refreshError="1"/>
      <sheetData sheetId="6627" refreshError="1"/>
      <sheetData sheetId="6628" refreshError="1"/>
      <sheetData sheetId="6629" refreshError="1"/>
      <sheetData sheetId="6630" refreshError="1"/>
      <sheetData sheetId="6631" refreshError="1"/>
      <sheetData sheetId="6632" refreshError="1"/>
      <sheetData sheetId="6633" refreshError="1"/>
      <sheetData sheetId="6634" refreshError="1"/>
      <sheetData sheetId="6635" refreshError="1"/>
      <sheetData sheetId="6636" refreshError="1"/>
      <sheetData sheetId="6637" refreshError="1"/>
      <sheetData sheetId="6638" refreshError="1"/>
      <sheetData sheetId="6639" refreshError="1"/>
      <sheetData sheetId="6640" refreshError="1"/>
      <sheetData sheetId="6641" refreshError="1"/>
      <sheetData sheetId="6642" refreshError="1"/>
      <sheetData sheetId="6643" refreshError="1"/>
      <sheetData sheetId="6644" refreshError="1"/>
      <sheetData sheetId="6645" refreshError="1"/>
      <sheetData sheetId="6646" refreshError="1"/>
      <sheetData sheetId="6647" refreshError="1"/>
      <sheetData sheetId="6648" refreshError="1"/>
      <sheetData sheetId="6649" refreshError="1"/>
      <sheetData sheetId="6650" refreshError="1"/>
      <sheetData sheetId="6651" refreshError="1"/>
      <sheetData sheetId="6652" refreshError="1"/>
      <sheetData sheetId="6653" refreshError="1"/>
      <sheetData sheetId="6654" refreshError="1"/>
      <sheetData sheetId="6655" refreshError="1"/>
      <sheetData sheetId="6656" refreshError="1"/>
      <sheetData sheetId="6657" refreshError="1"/>
      <sheetData sheetId="6658" refreshError="1"/>
      <sheetData sheetId="6659" refreshError="1"/>
      <sheetData sheetId="6660" refreshError="1"/>
      <sheetData sheetId="6661" refreshError="1"/>
      <sheetData sheetId="6662" refreshError="1"/>
      <sheetData sheetId="6663" refreshError="1"/>
      <sheetData sheetId="6664" refreshError="1"/>
      <sheetData sheetId="6665" refreshError="1"/>
      <sheetData sheetId="6666" refreshError="1"/>
      <sheetData sheetId="6667" refreshError="1"/>
      <sheetData sheetId="6668" refreshError="1"/>
      <sheetData sheetId="6669" refreshError="1"/>
      <sheetData sheetId="6670" refreshError="1"/>
      <sheetData sheetId="6671" refreshError="1"/>
      <sheetData sheetId="6672" refreshError="1"/>
      <sheetData sheetId="6673" refreshError="1"/>
      <sheetData sheetId="6674" refreshError="1"/>
      <sheetData sheetId="6675" refreshError="1"/>
      <sheetData sheetId="6676" refreshError="1"/>
      <sheetData sheetId="6677" refreshError="1"/>
      <sheetData sheetId="6678" refreshError="1"/>
      <sheetData sheetId="6679" refreshError="1"/>
      <sheetData sheetId="6680" refreshError="1"/>
      <sheetData sheetId="6681" refreshError="1"/>
      <sheetData sheetId="6682" refreshError="1"/>
      <sheetData sheetId="6683" refreshError="1"/>
      <sheetData sheetId="6684" refreshError="1"/>
      <sheetData sheetId="6685" refreshError="1"/>
      <sheetData sheetId="6686" refreshError="1"/>
      <sheetData sheetId="6687" refreshError="1"/>
      <sheetData sheetId="6688" refreshError="1"/>
      <sheetData sheetId="6689" refreshError="1"/>
      <sheetData sheetId="6690" refreshError="1"/>
      <sheetData sheetId="6691" refreshError="1"/>
      <sheetData sheetId="6692" refreshError="1"/>
      <sheetData sheetId="6693" refreshError="1"/>
      <sheetData sheetId="6694" refreshError="1"/>
      <sheetData sheetId="6695" refreshError="1"/>
      <sheetData sheetId="6696" refreshError="1"/>
      <sheetData sheetId="6697" refreshError="1"/>
      <sheetData sheetId="6698" refreshError="1"/>
      <sheetData sheetId="6699" refreshError="1"/>
      <sheetData sheetId="6700" refreshError="1"/>
      <sheetData sheetId="6701" refreshError="1"/>
      <sheetData sheetId="6702" refreshError="1"/>
      <sheetData sheetId="6703" refreshError="1"/>
      <sheetData sheetId="6704" refreshError="1"/>
      <sheetData sheetId="6705" refreshError="1"/>
      <sheetData sheetId="6706" refreshError="1"/>
      <sheetData sheetId="6707" refreshError="1"/>
      <sheetData sheetId="6708" refreshError="1"/>
      <sheetData sheetId="6709" refreshError="1"/>
      <sheetData sheetId="6710" refreshError="1"/>
      <sheetData sheetId="6711" refreshError="1"/>
      <sheetData sheetId="6712" refreshError="1"/>
      <sheetData sheetId="6713" refreshError="1"/>
      <sheetData sheetId="6714" refreshError="1"/>
      <sheetData sheetId="6715" refreshError="1"/>
      <sheetData sheetId="6716" refreshError="1"/>
      <sheetData sheetId="6717" refreshError="1"/>
      <sheetData sheetId="6718" refreshError="1"/>
      <sheetData sheetId="6719" refreshError="1"/>
      <sheetData sheetId="6720" refreshError="1"/>
      <sheetData sheetId="6721" refreshError="1"/>
      <sheetData sheetId="6722" refreshError="1"/>
      <sheetData sheetId="6723" refreshError="1"/>
      <sheetData sheetId="6724" refreshError="1"/>
      <sheetData sheetId="6725" refreshError="1"/>
      <sheetData sheetId="6726" refreshError="1"/>
      <sheetData sheetId="6727" refreshError="1"/>
      <sheetData sheetId="6728" refreshError="1"/>
      <sheetData sheetId="6729"/>
      <sheetData sheetId="6730" refreshError="1"/>
      <sheetData sheetId="6731" refreshError="1"/>
      <sheetData sheetId="6732" refreshError="1"/>
      <sheetData sheetId="6733" refreshError="1"/>
      <sheetData sheetId="6734" refreshError="1"/>
      <sheetData sheetId="6735" refreshError="1"/>
      <sheetData sheetId="6736" refreshError="1"/>
      <sheetData sheetId="6737" refreshError="1"/>
      <sheetData sheetId="6738" refreshError="1"/>
      <sheetData sheetId="6739" refreshError="1"/>
      <sheetData sheetId="6740" refreshError="1"/>
      <sheetData sheetId="6741" refreshError="1"/>
      <sheetData sheetId="6742" refreshError="1"/>
      <sheetData sheetId="6743" refreshError="1"/>
      <sheetData sheetId="6744" refreshError="1"/>
      <sheetData sheetId="6745" refreshError="1"/>
      <sheetData sheetId="6746" refreshError="1"/>
      <sheetData sheetId="6747" refreshError="1"/>
      <sheetData sheetId="6748" refreshError="1"/>
      <sheetData sheetId="6749" refreshError="1"/>
      <sheetData sheetId="6750" refreshError="1"/>
      <sheetData sheetId="6751" refreshError="1"/>
      <sheetData sheetId="6752" refreshError="1"/>
      <sheetData sheetId="6753" refreshError="1"/>
      <sheetData sheetId="6754" refreshError="1"/>
      <sheetData sheetId="6755" refreshError="1"/>
      <sheetData sheetId="6756" refreshError="1"/>
      <sheetData sheetId="6757" refreshError="1"/>
      <sheetData sheetId="6758" refreshError="1"/>
      <sheetData sheetId="6759" refreshError="1"/>
      <sheetData sheetId="6760" refreshError="1"/>
      <sheetData sheetId="6761" refreshError="1"/>
      <sheetData sheetId="6762" refreshError="1"/>
      <sheetData sheetId="6763" refreshError="1"/>
      <sheetData sheetId="6764" refreshError="1"/>
      <sheetData sheetId="6765" refreshError="1"/>
      <sheetData sheetId="6766" refreshError="1"/>
      <sheetData sheetId="6767" refreshError="1"/>
      <sheetData sheetId="6768" refreshError="1"/>
      <sheetData sheetId="6769" refreshError="1"/>
      <sheetData sheetId="6770" refreshError="1"/>
      <sheetData sheetId="6771" refreshError="1"/>
      <sheetData sheetId="6772" refreshError="1"/>
      <sheetData sheetId="6773" refreshError="1"/>
      <sheetData sheetId="6774" refreshError="1"/>
      <sheetData sheetId="6775" refreshError="1"/>
      <sheetData sheetId="6776" refreshError="1"/>
      <sheetData sheetId="6777"/>
      <sheetData sheetId="6778" refreshError="1"/>
      <sheetData sheetId="6779" refreshError="1"/>
      <sheetData sheetId="6780" refreshError="1"/>
      <sheetData sheetId="6781" refreshError="1"/>
      <sheetData sheetId="6782" refreshError="1"/>
      <sheetData sheetId="6783" refreshError="1"/>
      <sheetData sheetId="6784" refreshError="1"/>
      <sheetData sheetId="6785" refreshError="1"/>
      <sheetData sheetId="6786" refreshError="1"/>
      <sheetData sheetId="6787" refreshError="1"/>
      <sheetData sheetId="6788" refreshError="1"/>
      <sheetData sheetId="6789" refreshError="1"/>
      <sheetData sheetId="6790" refreshError="1"/>
      <sheetData sheetId="6791" refreshError="1"/>
      <sheetData sheetId="6792" refreshError="1"/>
      <sheetData sheetId="6793" refreshError="1"/>
      <sheetData sheetId="6794"/>
      <sheetData sheetId="6795" refreshError="1"/>
      <sheetData sheetId="6796" refreshError="1"/>
      <sheetData sheetId="6797" refreshError="1"/>
      <sheetData sheetId="6798" refreshError="1"/>
      <sheetData sheetId="6799" refreshError="1"/>
      <sheetData sheetId="6800" refreshError="1"/>
      <sheetData sheetId="6801" refreshError="1"/>
      <sheetData sheetId="6802" refreshError="1"/>
      <sheetData sheetId="6803" refreshError="1"/>
      <sheetData sheetId="6804" refreshError="1"/>
      <sheetData sheetId="6805" refreshError="1"/>
      <sheetData sheetId="6806" refreshError="1"/>
      <sheetData sheetId="6807" refreshError="1"/>
      <sheetData sheetId="6808" refreshError="1"/>
      <sheetData sheetId="6809" refreshError="1"/>
      <sheetData sheetId="6810" refreshError="1"/>
      <sheetData sheetId="6811" refreshError="1"/>
      <sheetData sheetId="6812" refreshError="1"/>
      <sheetData sheetId="6813" refreshError="1"/>
      <sheetData sheetId="6814" refreshError="1"/>
      <sheetData sheetId="6815" refreshError="1"/>
      <sheetData sheetId="6816" refreshError="1"/>
      <sheetData sheetId="6817" refreshError="1"/>
      <sheetData sheetId="6818" refreshError="1"/>
      <sheetData sheetId="6819" refreshError="1"/>
      <sheetData sheetId="6820" refreshError="1"/>
      <sheetData sheetId="6821" refreshError="1"/>
      <sheetData sheetId="6822" refreshError="1"/>
      <sheetData sheetId="6823" refreshError="1"/>
      <sheetData sheetId="6824" refreshError="1"/>
      <sheetData sheetId="6825" refreshError="1"/>
      <sheetData sheetId="6826" refreshError="1"/>
      <sheetData sheetId="6827" refreshError="1"/>
      <sheetData sheetId="6828" refreshError="1"/>
      <sheetData sheetId="6829" refreshError="1"/>
      <sheetData sheetId="6830" refreshError="1"/>
      <sheetData sheetId="6831" refreshError="1"/>
      <sheetData sheetId="6832" refreshError="1"/>
      <sheetData sheetId="6833" refreshError="1"/>
      <sheetData sheetId="6834" refreshError="1"/>
      <sheetData sheetId="6835" refreshError="1"/>
      <sheetData sheetId="6836" refreshError="1"/>
      <sheetData sheetId="6837" refreshError="1"/>
      <sheetData sheetId="6838" refreshError="1"/>
      <sheetData sheetId="6839" refreshError="1"/>
      <sheetData sheetId="6840" refreshError="1"/>
      <sheetData sheetId="6841" refreshError="1"/>
      <sheetData sheetId="6842" refreshError="1"/>
      <sheetData sheetId="6843" refreshError="1"/>
      <sheetData sheetId="6844" refreshError="1"/>
      <sheetData sheetId="6845" refreshError="1"/>
      <sheetData sheetId="6846" refreshError="1"/>
      <sheetData sheetId="6847" refreshError="1"/>
      <sheetData sheetId="6848" refreshError="1"/>
      <sheetData sheetId="6849" refreshError="1"/>
      <sheetData sheetId="6850" refreshError="1"/>
      <sheetData sheetId="6851" refreshError="1"/>
      <sheetData sheetId="6852" refreshError="1"/>
      <sheetData sheetId="6853"/>
      <sheetData sheetId="6854"/>
      <sheetData sheetId="6855"/>
      <sheetData sheetId="6856" refreshError="1"/>
      <sheetData sheetId="6857" refreshError="1"/>
      <sheetData sheetId="6858" refreshError="1"/>
      <sheetData sheetId="6859"/>
      <sheetData sheetId="6860"/>
      <sheetData sheetId="6861"/>
      <sheetData sheetId="6862"/>
      <sheetData sheetId="6863" refreshError="1"/>
      <sheetData sheetId="6864" refreshError="1"/>
      <sheetData sheetId="6865" refreshError="1"/>
      <sheetData sheetId="6866" refreshError="1"/>
      <sheetData sheetId="6867"/>
      <sheetData sheetId="6868" refreshError="1"/>
      <sheetData sheetId="6869" refreshError="1"/>
      <sheetData sheetId="6870" refreshError="1"/>
      <sheetData sheetId="6871" refreshError="1"/>
      <sheetData sheetId="6872" refreshError="1"/>
      <sheetData sheetId="6873" refreshError="1"/>
      <sheetData sheetId="6874" refreshError="1"/>
      <sheetData sheetId="6875" refreshError="1"/>
      <sheetData sheetId="6876" refreshError="1"/>
      <sheetData sheetId="6877" refreshError="1"/>
      <sheetData sheetId="6878" refreshError="1"/>
      <sheetData sheetId="6879" refreshError="1"/>
      <sheetData sheetId="6880" refreshError="1"/>
      <sheetData sheetId="6881" refreshError="1"/>
      <sheetData sheetId="6882" refreshError="1"/>
      <sheetData sheetId="6883" refreshError="1"/>
      <sheetData sheetId="6884" refreshError="1"/>
      <sheetData sheetId="6885" refreshError="1"/>
      <sheetData sheetId="6886" refreshError="1"/>
      <sheetData sheetId="6887" refreshError="1"/>
      <sheetData sheetId="6888" refreshError="1"/>
      <sheetData sheetId="6889" refreshError="1"/>
      <sheetData sheetId="6890" refreshError="1"/>
      <sheetData sheetId="6891" refreshError="1"/>
      <sheetData sheetId="6892" refreshError="1"/>
      <sheetData sheetId="6893" refreshError="1"/>
      <sheetData sheetId="6894" refreshError="1"/>
      <sheetData sheetId="6895" refreshError="1"/>
      <sheetData sheetId="6896" refreshError="1"/>
      <sheetData sheetId="6897" refreshError="1"/>
      <sheetData sheetId="6898" refreshError="1"/>
      <sheetData sheetId="6899" refreshError="1"/>
      <sheetData sheetId="6900" refreshError="1"/>
      <sheetData sheetId="6901" refreshError="1"/>
      <sheetData sheetId="6902" refreshError="1"/>
      <sheetData sheetId="6903" refreshError="1"/>
      <sheetData sheetId="6904" refreshError="1"/>
      <sheetData sheetId="6905" refreshError="1"/>
      <sheetData sheetId="6906" refreshError="1"/>
      <sheetData sheetId="6907" refreshError="1"/>
      <sheetData sheetId="6908" refreshError="1"/>
      <sheetData sheetId="6909" refreshError="1"/>
      <sheetData sheetId="6910" refreshError="1"/>
      <sheetData sheetId="6911" refreshError="1"/>
      <sheetData sheetId="6912" refreshError="1"/>
      <sheetData sheetId="6913" refreshError="1"/>
      <sheetData sheetId="6914" refreshError="1"/>
      <sheetData sheetId="6915" refreshError="1"/>
      <sheetData sheetId="6916" refreshError="1"/>
      <sheetData sheetId="6917" refreshError="1"/>
      <sheetData sheetId="6918" refreshError="1"/>
      <sheetData sheetId="6919" refreshError="1"/>
      <sheetData sheetId="6920" refreshError="1"/>
      <sheetData sheetId="6921" refreshError="1"/>
      <sheetData sheetId="6922" refreshError="1"/>
      <sheetData sheetId="6923" refreshError="1"/>
      <sheetData sheetId="6924" refreshError="1"/>
      <sheetData sheetId="6925" refreshError="1"/>
      <sheetData sheetId="6926" refreshError="1"/>
      <sheetData sheetId="6927" refreshError="1"/>
      <sheetData sheetId="6928" refreshError="1"/>
      <sheetData sheetId="6929" refreshError="1"/>
      <sheetData sheetId="6930" refreshError="1"/>
      <sheetData sheetId="6931" refreshError="1"/>
      <sheetData sheetId="6932" refreshError="1"/>
      <sheetData sheetId="6933" refreshError="1"/>
      <sheetData sheetId="6934" refreshError="1"/>
      <sheetData sheetId="6935" refreshError="1"/>
      <sheetData sheetId="6936" refreshError="1"/>
      <sheetData sheetId="6937" refreshError="1"/>
      <sheetData sheetId="6938" refreshError="1"/>
      <sheetData sheetId="6939" refreshError="1"/>
      <sheetData sheetId="6940" refreshError="1"/>
      <sheetData sheetId="6941" refreshError="1"/>
      <sheetData sheetId="6942" refreshError="1"/>
      <sheetData sheetId="6943" refreshError="1"/>
      <sheetData sheetId="6944" refreshError="1"/>
      <sheetData sheetId="6945" refreshError="1"/>
      <sheetData sheetId="6946" refreshError="1"/>
      <sheetData sheetId="6947" refreshError="1"/>
      <sheetData sheetId="6948" refreshError="1"/>
      <sheetData sheetId="6949" refreshError="1"/>
      <sheetData sheetId="6950" refreshError="1"/>
      <sheetData sheetId="6951" refreshError="1"/>
      <sheetData sheetId="6952" refreshError="1"/>
      <sheetData sheetId="6953" refreshError="1"/>
      <sheetData sheetId="6954" refreshError="1"/>
      <sheetData sheetId="6955" refreshError="1"/>
      <sheetData sheetId="6956" refreshError="1"/>
      <sheetData sheetId="6957" refreshError="1"/>
      <sheetData sheetId="6958" refreshError="1"/>
      <sheetData sheetId="6959" refreshError="1"/>
      <sheetData sheetId="6960" refreshError="1"/>
      <sheetData sheetId="6961" refreshError="1"/>
      <sheetData sheetId="6962" refreshError="1"/>
      <sheetData sheetId="6963" refreshError="1"/>
      <sheetData sheetId="6964" refreshError="1"/>
      <sheetData sheetId="6965" refreshError="1"/>
      <sheetData sheetId="6966" refreshError="1"/>
      <sheetData sheetId="6967" refreshError="1"/>
      <sheetData sheetId="6968" refreshError="1"/>
      <sheetData sheetId="6969" refreshError="1"/>
      <sheetData sheetId="6970" refreshError="1"/>
      <sheetData sheetId="6971" refreshError="1"/>
      <sheetData sheetId="6972" refreshError="1"/>
      <sheetData sheetId="6973" refreshError="1"/>
      <sheetData sheetId="6974" refreshError="1"/>
      <sheetData sheetId="6975" refreshError="1"/>
      <sheetData sheetId="6976" refreshError="1"/>
      <sheetData sheetId="6977" refreshError="1"/>
      <sheetData sheetId="6978" refreshError="1"/>
      <sheetData sheetId="6979" refreshError="1"/>
      <sheetData sheetId="6980" refreshError="1"/>
      <sheetData sheetId="6981" refreshError="1"/>
      <sheetData sheetId="6982" refreshError="1"/>
      <sheetData sheetId="6983" refreshError="1"/>
      <sheetData sheetId="6984" refreshError="1"/>
      <sheetData sheetId="6985" refreshError="1"/>
      <sheetData sheetId="6986" refreshError="1"/>
      <sheetData sheetId="6987" refreshError="1"/>
      <sheetData sheetId="6988" refreshError="1"/>
      <sheetData sheetId="6989" refreshError="1"/>
      <sheetData sheetId="6990" refreshError="1"/>
      <sheetData sheetId="6991" refreshError="1"/>
      <sheetData sheetId="6992" refreshError="1"/>
      <sheetData sheetId="6993" refreshError="1"/>
      <sheetData sheetId="6994" refreshError="1"/>
      <sheetData sheetId="6995" refreshError="1"/>
      <sheetData sheetId="6996" refreshError="1"/>
      <sheetData sheetId="6997" refreshError="1"/>
      <sheetData sheetId="6998" refreshError="1"/>
      <sheetData sheetId="6999" refreshError="1"/>
      <sheetData sheetId="7000" refreshError="1"/>
      <sheetData sheetId="7001" refreshError="1"/>
      <sheetData sheetId="7002" refreshError="1"/>
      <sheetData sheetId="7003" refreshError="1"/>
      <sheetData sheetId="7004" refreshError="1"/>
      <sheetData sheetId="7005" refreshError="1"/>
      <sheetData sheetId="7006" refreshError="1"/>
      <sheetData sheetId="7007" refreshError="1"/>
      <sheetData sheetId="7008" refreshError="1"/>
      <sheetData sheetId="7009" refreshError="1"/>
      <sheetData sheetId="7010" refreshError="1"/>
      <sheetData sheetId="7011" refreshError="1"/>
      <sheetData sheetId="7012" refreshError="1"/>
      <sheetData sheetId="7013" refreshError="1"/>
      <sheetData sheetId="7014" refreshError="1"/>
      <sheetData sheetId="7015" refreshError="1"/>
      <sheetData sheetId="7016" refreshError="1"/>
      <sheetData sheetId="7017" refreshError="1"/>
      <sheetData sheetId="7018" refreshError="1"/>
      <sheetData sheetId="7019" refreshError="1"/>
      <sheetData sheetId="7020" refreshError="1"/>
      <sheetData sheetId="7021" refreshError="1"/>
      <sheetData sheetId="7022" refreshError="1"/>
      <sheetData sheetId="7023" refreshError="1"/>
      <sheetData sheetId="7024" refreshError="1"/>
      <sheetData sheetId="7025" refreshError="1"/>
      <sheetData sheetId="7026" refreshError="1"/>
      <sheetData sheetId="7027" refreshError="1"/>
      <sheetData sheetId="7028" refreshError="1"/>
      <sheetData sheetId="7029" refreshError="1"/>
      <sheetData sheetId="7030" refreshError="1"/>
      <sheetData sheetId="7031" refreshError="1"/>
      <sheetData sheetId="7032" refreshError="1"/>
      <sheetData sheetId="7033" refreshError="1"/>
      <sheetData sheetId="7034" refreshError="1"/>
      <sheetData sheetId="7035" refreshError="1"/>
      <sheetData sheetId="7036" refreshError="1"/>
      <sheetData sheetId="7037" refreshError="1"/>
      <sheetData sheetId="7038" refreshError="1"/>
      <sheetData sheetId="7039" refreshError="1"/>
      <sheetData sheetId="7040" refreshError="1"/>
      <sheetData sheetId="7041" refreshError="1"/>
      <sheetData sheetId="7042"/>
      <sheetData sheetId="7043"/>
      <sheetData sheetId="7044" refreshError="1"/>
      <sheetData sheetId="7045" refreshError="1"/>
      <sheetData sheetId="7046" refreshError="1"/>
      <sheetData sheetId="7047" refreshError="1"/>
      <sheetData sheetId="7048" refreshError="1"/>
      <sheetData sheetId="7049" refreshError="1"/>
      <sheetData sheetId="7050" refreshError="1"/>
      <sheetData sheetId="7051" refreshError="1"/>
      <sheetData sheetId="7052" refreshError="1"/>
      <sheetData sheetId="7053" refreshError="1"/>
      <sheetData sheetId="7054" refreshError="1"/>
      <sheetData sheetId="7055" refreshError="1"/>
      <sheetData sheetId="7056" refreshError="1"/>
      <sheetData sheetId="7057" refreshError="1"/>
      <sheetData sheetId="7058" refreshError="1"/>
      <sheetData sheetId="7059" refreshError="1"/>
      <sheetData sheetId="7060" refreshError="1"/>
      <sheetData sheetId="7061" refreshError="1"/>
      <sheetData sheetId="7062" refreshError="1"/>
      <sheetData sheetId="7063" refreshError="1"/>
      <sheetData sheetId="7064" refreshError="1"/>
      <sheetData sheetId="7065" refreshError="1"/>
      <sheetData sheetId="7066" refreshError="1"/>
      <sheetData sheetId="7067" refreshError="1"/>
      <sheetData sheetId="7068" refreshError="1"/>
      <sheetData sheetId="7069" refreshError="1"/>
      <sheetData sheetId="7070" refreshError="1"/>
      <sheetData sheetId="7071" refreshError="1"/>
      <sheetData sheetId="7072" refreshError="1"/>
      <sheetData sheetId="7073" refreshError="1"/>
      <sheetData sheetId="7074" refreshError="1"/>
      <sheetData sheetId="7075" refreshError="1"/>
      <sheetData sheetId="7076" refreshError="1"/>
      <sheetData sheetId="7077" refreshError="1"/>
      <sheetData sheetId="7078" refreshError="1"/>
      <sheetData sheetId="7079" refreshError="1"/>
      <sheetData sheetId="7080" refreshError="1"/>
      <sheetData sheetId="7081" refreshError="1"/>
      <sheetData sheetId="7082" refreshError="1"/>
      <sheetData sheetId="7083" refreshError="1"/>
      <sheetData sheetId="7084" refreshError="1"/>
      <sheetData sheetId="7085" refreshError="1"/>
      <sheetData sheetId="7086" refreshError="1"/>
      <sheetData sheetId="7087" refreshError="1"/>
      <sheetData sheetId="7088" refreshError="1"/>
      <sheetData sheetId="7089" refreshError="1"/>
      <sheetData sheetId="7090" refreshError="1"/>
      <sheetData sheetId="7091" refreshError="1"/>
      <sheetData sheetId="7092"/>
      <sheetData sheetId="7093" refreshError="1"/>
      <sheetData sheetId="7094" refreshError="1"/>
      <sheetData sheetId="7095" refreshError="1"/>
      <sheetData sheetId="7096" refreshError="1"/>
      <sheetData sheetId="7097" refreshError="1"/>
      <sheetData sheetId="7098" refreshError="1"/>
      <sheetData sheetId="7099" refreshError="1"/>
      <sheetData sheetId="7100" refreshError="1"/>
      <sheetData sheetId="7101" refreshError="1"/>
      <sheetData sheetId="7102" refreshError="1"/>
      <sheetData sheetId="7103" refreshError="1"/>
      <sheetData sheetId="7104" refreshError="1"/>
      <sheetData sheetId="7105" refreshError="1"/>
      <sheetData sheetId="7106" refreshError="1"/>
      <sheetData sheetId="7107" refreshError="1"/>
      <sheetData sheetId="7108" refreshError="1"/>
      <sheetData sheetId="7109" refreshError="1"/>
      <sheetData sheetId="7110" refreshError="1"/>
      <sheetData sheetId="7111" refreshError="1"/>
      <sheetData sheetId="7112" refreshError="1"/>
      <sheetData sheetId="7113" refreshError="1"/>
      <sheetData sheetId="7114" refreshError="1"/>
      <sheetData sheetId="7115" refreshError="1"/>
      <sheetData sheetId="7116" refreshError="1"/>
      <sheetData sheetId="7117" refreshError="1"/>
      <sheetData sheetId="7118" refreshError="1"/>
      <sheetData sheetId="7119" refreshError="1"/>
      <sheetData sheetId="7120" refreshError="1"/>
      <sheetData sheetId="7121" refreshError="1"/>
      <sheetData sheetId="7122" refreshError="1"/>
      <sheetData sheetId="7123" refreshError="1"/>
      <sheetData sheetId="7124"/>
      <sheetData sheetId="7125" refreshError="1"/>
      <sheetData sheetId="7126" refreshError="1"/>
      <sheetData sheetId="7127" refreshError="1"/>
      <sheetData sheetId="7128" refreshError="1"/>
      <sheetData sheetId="7129" refreshError="1"/>
      <sheetData sheetId="7130" refreshError="1"/>
      <sheetData sheetId="7131" refreshError="1"/>
      <sheetData sheetId="7132" refreshError="1"/>
      <sheetData sheetId="7133" refreshError="1"/>
      <sheetData sheetId="7134" refreshError="1"/>
      <sheetData sheetId="7135" refreshError="1"/>
      <sheetData sheetId="7136" refreshError="1"/>
      <sheetData sheetId="7137" refreshError="1"/>
      <sheetData sheetId="7138" refreshError="1"/>
      <sheetData sheetId="7139" refreshError="1"/>
      <sheetData sheetId="7140" refreshError="1"/>
      <sheetData sheetId="7141" refreshError="1"/>
      <sheetData sheetId="7142" refreshError="1"/>
      <sheetData sheetId="7143" refreshError="1"/>
      <sheetData sheetId="7144" refreshError="1"/>
      <sheetData sheetId="7145" refreshError="1"/>
      <sheetData sheetId="7146" refreshError="1"/>
      <sheetData sheetId="7147" refreshError="1"/>
      <sheetData sheetId="7148" refreshError="1"/>
      <sheetData sheetId="7149" refreshError="1"/>
      <sheetData sheetId="7150" refreshError="1"/>
      <sheetData sheetId="7151" refreshError="1"/>
      <sheetData sheetId="7152" refreshError="1"/>
      <sheetData sheetId="7153" refreshError="1"/>
      <sheetData sheetId="7154" refreshError="1"/>
      <sheetData sheetId="7155" refreshError="1"/>
      <sheetData sheetId="7156" refreshError="1"/>
      <sheetData sheetId="7157" refreshError="1"/>
      <sheetData sheetId="7158" refreshError="1"/>
      <sheetData sheetId="7159" refreshError="1"/>
      <sheetData sheetId="7160" refreshError="1"/>
      <sheetData sheetId="7161" refreshError="1"/>
      <sheetData sheetId="7162" refreshError="1"/>
      <sheetData sheetId="7163" refreshError="1"/>
      <sheetData sheetId="7164" refreshError="1"/>
      <sheetData sheetId="7165" refreshError="1"/>
      <sheetData sheetId="7166" refreshError="1"/>
      <sheetData sheetId="7167" refreshError="1"/>
      <sheetData sheetId="7168" refreshError="1"/>
      <sheetData sheetId="7169" refreshError="1"/>
      <sheetData sheetId="7170" refreshError="1"/>
      <sheetData sheetId="7171" refreshError="1"/>
      <sheetData sheetId="7172" refreshError="1"/>
      <sheetData sheetId="7173" refreshError="1"/>
      <sheetData sheetId="7174"/>
      <sheetData sheetId="7175" refreshError="1"/>
      <sheetData sheetId="7176" refreshError="1"/>
      <sheetData sheetId="7177" refreshError="1"/>
      <sheetData sheetId="7178" refreshError="1"/>
      <sheetData sheetId="7179" refreshError="1"/>
      <sheetData sheetId="7180" refreshError="1"/>
      <sheetData sheetId="7181" refreshError="1"/>
      <sheetData sheetId="7182" refreshError="1"/>
      <sheetData sheetId="7183" refreshError="1"/>
      <sheetData sheetId="7184" refreshError="1"/>
      <sheetData sheetId="7185" refreshError="1"/>
      <sheetData sheetId="7186" refreshError="1"/>
      <sheetData sheetId="7187" refreshError="1"/>
      <sheetData sheetId="7188" refreshError="1"/>
      <sheetData sheetId="7189" refreshError="1"/>
      <sheetData sheetId="7190" refreshError="1"/>
      <sheetData sheetId="7191" refreshError="1"/>
      <sheetData sheetId="7192" refreshError="1"/>
      <sheetData sheetId="7193" refreshError="1"/>
      <sheetData sheetId="7194" refreshError="1"/>
      <sheetData sheetId="7195" refreshError="1"/>
      <sheetData sheetId="7196" refreshError="1"/>
      <sheetData sheetId="7197" refreshError="1"/>
      <sheetData sheetId="7198" refreshError="1"/>
      <sheetData sheetId="7199" refreshError="1"/>
      <sheetData sheetId="7200" refreshError="1"/>
      <sheetData sheetId="7201" refreshError="1"/>
      <sheetData sheetId="7202" refreshError="1"/>
      <sheetData sheetId="7203" refreshError="1"/>
      <sheetData sheetId="7204" refreshError="1"/>
      <sheetData sheetId="7205" refreshError="1"/>
      <sheetData sheetId="7206" refreshError="1"/>
      <sheetData sheetId="7207" refreshError="1"/>
      <sheetData sheetId="7208" refreshError="1"/>
      <sheetData sheetId="7209" refreshError="1"/>
      <sheetData sheetId="7210" refreshError="1"/>
      <sheetData sheetId="7211" refreshError="1"/>
      <sheetData sheetId="7212" refreshError="1"/>
      <sheetData sheetId="7213" refreshError="1"/>
      <sheetData sheetId="7214" refreshError="1"/>
      <sheetData sheetId="7215" refreshError="1"/>
      <sheetData sheetId="7216" refreshError="1"/>
      <sheetData sheetId="7217" refreshError="1"/>
      <sheetData sheetId="7218" refreshError="1"/>
      <sheetData sheetId="7219" refreshError="1"/>
      <sheetData sheetId="7220" refreshError="1"/>
      <sheetData sheetId="7221" refreshError="1"/>
      <sheetData sheetId="7222" refreshError="1"/>
      <sheetData sheetId="7223" refreshError="1"/>
      <sheetData sheetId="7224" refreshError="1"/>
      <sheetData sheetId="7225" refreshError="1"/>
      <sheetData sheetId="7226" refreshError="1"/>
      <sheetData sheetId="7227" refreshError="1"/>
      <sheetData sheetId="7228" refreshError="1"/>
      <sheetData sheetId="7229" refreshError="1"/>
      <sheetData sheetId="7230" refreshError="1"/>
      <sheetData sheetId="7231" refreshError="1"/>
      <sheetData sheetId="7232" refreshError="1"/>
      <sheetData sheetId="7233" refreshError="1"/>
      <sheetData sheetId="7234" refreshError="1"/>
      <sheetData sheetId="7235" refreshError="1"/>
      <sheetData sheetId="7236" refreshError="1"/>
      <sheetData sheetId="7237" refreshError="1"/>
      <sheetData sheetId="7238" refreshError="1"/>
      <sheetData sheetId="7239" refreshError="1"/>
      <sheetData sheetId="7240" refreshError="1"/>
      <sheetData sheetId="7241" refreshError="1"/>
      <sheetData sheetId="7242" refreshError="1"/>
      <sheetData sheetId="7243" refreshError="1"/>
      <sheetData sheetId="7244" refreshError="1"/>
      <sheetData sheetId="7245" refreshError="1"/>
      <sheetData sheetId="7246" refreshError="1"/>
      <sheetData sheetId="7247" refreshError="1"/>
      <sheetData sheetId="7248" refreshError="1"/>
      <sheetData sheetId="7249" refreshError="1"/>
      <sheetData sheetId="7250" refreshError="1"/>
      <sheetData sheetId="7251" refreshError="1"/>
      <sheetData sheetId="7252" refreshError="1"/>
      <sheetData sheetId="7253"/>
      <sheetData sheetId="7254"/>
      <sheetData sheetId="7255" refreshError="1"/>
      <sheetData sheetId="7256" refreshError="1"/>
      <sheetData sheetId="7257" refreshError="1"/>
      <sheetData sheetId="7258" refreshError="1"/>
      <sheetData sheetId="7259" refreshError="1"/>
      <sheetData sheetId="7260" refreshError="1"/>
      <sheetData sheetId="7261" refreshError="1"/>
      <sheetData sheetId="7262" refreshError="1"/>
      <sheetData sheetId="7263" refreshError="1"/>
      <sheetData sheetId="7264" refreshError="1"/>
      <sheetData sheetId="7265" refreshError="1"/>
      <sheetData sheetId="7266" refreshError="1"/>
      <sheetData sheetId="7267" refreshError="1"/>
      <sheetData sheetId="7268" refreshError="1"/>
      <sheetData sheetId="7269" refreshError="1"/>
      <sheetData sheetId="7270" refreshError="1"/>
      <sheetData sheetId="7271" refreshError="1"/>
      <sheetData sheetId="7272" refreshError="1"/>
      <sheetData sheetId="7273" refreshError="1"/>
      <sheetData sheetId="7274" refreshError="1"/>
      <sheetData sheetId="7275" refreshError="1"/>
      <sheetData sheetId="7276" refreshError="1"/>
      <sheetData sheetId="7277" refreshError="1"/>
      <sheetData sheetId="7278" refreshError="1"/>
      <sheetData sheetId="7279" refreshError="1"/>
      <sheetData sheetId="7280" refreshError="1"/>
      <sheetData sheetId="7281" refreshError="1"/>
      <sheetData sheetId="7282" refreshError="1"/>
      <sheetData sheetId="7283" refreshError="1"/>
      <sheetData sheetId="7284" refreshError="1"/>
      <sheetData sheetId="7285" refreshError="1"/>
      <sheetData sheetId="7286" refreshError="1"/>
      <sheetData sheetId="7287" refreshError="1"/>
      <sheetData sheetId="7288" refreshError="1"/>
      <sheetData sheetId="7289" refreshError="1"/>
      <sheetData sheetId="7290" refreshError="1"/>
      <sheetData sheetId="7291" refreshError="1"/>
      <sheetData sheetId="7292" refreshError="1"/>
      <sheetData sheetId="7293" refreshError="1"/>
      <sheetData sheetId="7294" refreshError="1"/>
      <sheetData sheetId="7295" refreshError="1"/>
      <sheetData sheetId="7296" refreshError="1"/>
      <sheetData sheetId="7297" refreshError="1"/>
      <sheetData sheetId="7298" refreshError="1"/>
      <sheetData sheetId="7299" refreshError="1"/>
      <sheetData sheetId="7300" refreshError="1"/>
      <sheetData sheetId="7301" refreshError="1"/>
      <sheetData sheetId="7302" refreshError="1"/>
      <sheetData sheetId="7303" refreshError="1"/>
      <sheetData sheetId="7304" refreshError="1"/>
      <sheetData sheetId="7305" refreshError="1"/>
      <sheetData sheetId="7306" refreshError="1"/>
      <sheetData sheetId="7307" refreshError="1"/>
      <sheetData sheetId="7308" refreshError="1"/>
      <sheetData sheetId="7309" refreshError="1"/>
      <sheetData sheetId="7310" refreshError="1"/>
      <sheetData sheetId="7311" refreshError="1"/>
      <sheetData sheetId="7312" refreshError="1"/>
      <sheetData sheetId="7313" refreshError="1"/>
      <sheetData sheetId="7314" refreshError="1"/>
      <sheetData sheetId="7315" refreshError="1"/>
      <sheetData sheetId="7316" refreshError="1"/>
      <sheetData sheetId="7317" refreshError="1"/>
      <sheetData sheetId="7318" refreshError="1"/>
      <sheetData sheetId="7319" refreshError="1"/>
      <sheetData sheetId="7320" refreshError="1"/>
      <sheetData sheetId="7321" refreshError="1"/>
      <sheetData sheetId="7322" refreshError="1"/>
      <sheetData sheetId="7323" refreshError="1"/>
      <sheetData sheetId="7324" refreshError="1"/>
      <sheetData sheetId="7325" refreshError="1"/>
      <sheetData sheetId="7326" refreshError="1"/>
      <sheetData sheetId="7327" refreshError="1"/>
      <sheetData sheetId="7328" refreshError="1"/>
      <sheetData sheetId="7329" refreshError="1"/>
      <sheetData sheetId="7330" refreshError="1"/>
      <sheetData sheetId="7331" refreshError="1"/>
      <sheetData sheetId="7332" refreshError="1"/>
      <sheetData sheetId="7333" refreshError="1"/>
      <sheetData sheetId="7334" refreshError="1"/>
      <sheetData sheetId="7335" refreshError="1"/>
      <sheetData sheetId="7336" refreshError="1"/>
      <sheetData sheetId="7337" refreshError="1"/>
      <sheetData sheetId="7338" refreshError="1"/>
      <sheetData sheetId="7339" refreshError="1"/>
      <sheetData sheetId="7340" refreshError="1"/>
      <sheetData sheetId="7341" refreshError="1"/>
      <sheetData sheetId="7342" refreshError="1"/>
      <sheetData sheetId="7343" refreshError="1"/>
      <sheetData sheetId="7344" refreshError="1"/>
      <sheetData sheetId="7345" refreshError="1"/>
      <sheetData sheetId="7346" refreshError="1"/>
      <sheetData sheetId="7347" refreshError="1"/>
      <sheetData sheetId="7348" refreshError="1"/>
      <sheetData sheetId="7349" refreshError="1"/>
      <sheetData sheetId="7350" refreshError="1"/>
      <sheetData sheetId="7351" refreshError="1"/>
      <sheetData sheetId="7352" refreshError="1"/>
      <sheetData sheetId="7353" refreshError="1"/>
      <sheetData sheetId="7354" refreshError="1"/>
      <sheetData sheetId="7355" refreshError="1"/>
      <sheetData sheetId="7356" refreshError="1"/>
      <sheetData sheetId="7357" refreshError="1"/>
      <sheetData sheetId="7358" refreshError="1"/>
      <sheetData sheetId="7359" refreshError="1"/>
      <sheetData sheetId="7360" refreshError="1"/>
      <sheetData sheetId="7361" refreshError="1"/>
      <sheetData sheetId="7362" refreshError="1"/>
      <sheetData sheetId="7363" refreshError="1"/>
      <sheetData sheetId="7364" refreshError="1"/>
      <sheetData sheetId="7365" refreshError="1"/>
      <sheetData sheetId="7366" refreshError="1"/>
      <sheetData sheetId="7367" refreshError="1"/>
      <sheetData sheetId="7368" refreshError="1"/>
      <sheetData sheetId="7369" refreshError="1"/>
      <sheetData sheetId="7370" refreshError="1"/>
      <sheetData sheetId="7371" refreshError="1"/>
      <sheetData sheetId="7372" refreshError="1"/>
      <sheetData sheetId="7373" refreshError="1"/>
      <sheetData sheetId="7374" refreshError="1"/>
      <sheetData sheetId="7375" refreshError="1"/>
      <sheetData sheetId="7376" refreshError="1"/>
      <sheetData sheetId="7377" refreshError="1"/>
      <sheetData sheetId="7378" refreshError="1"/>
      <sheetData sheetId="7379" refreshError="1"/>
      <sheetData sheetId="7380" refreshError="1"/>
      <sheetData sheetId="7381" refreshError="1"/>
      <sheetData sheetId="7382" refreshError="1"/>
      <sheetData sheetId="7383" refreshError="1"/>
      <sheetData sheetId="7384" refreshError="1"/>
      <sheetData sheetId="7385" refreshError="1"/>
      <sheetData sheetId="7386" refreshError="1"/>
      <sheetData sheetId="7387" refreshError="1"/>
      <sheetData sheetId="7388" refreshError="1"/>
      <sheetData sheetId="7389" refreshError="1"/>
      <sheetData sheetId="7390" refreshError="1"/>
      <sheetData sheetId="7391" refreshError="1"/>
      <sheetData sheetId="7392" refreshError="1"/>
      <sheetData sheetId="7393" refreshError="1"/>
      <sheetData sheetId="7394" refreshError="1"/>
      <sheetData sheetId="7395" refreshError="1"/>
      <sheetData sheetId="7396" refreshError="1"/>
      <sheetData sheetId="7397" refreshError="1"/>
      <sheetData sheetId="7398" refreshError="1"/>
      <sheetData sheetId="7399" refreshError="1"/>
      <sheetData sheetId="7400" refreshError="1"/>
      <sheetData sheetId="7401" refreshError="1"/>
      <sheetData sheetId="7402" refreshError="1"/>
      <sheetData sheetId="7403" refreshError="1"/>
      <sheetData sheetId="7404" refreshError="1"/>
      <sheetData sheetId="7405" refreshError="1"/>
      <sheetData sheetId="7406" refreshError="1"/>
      <sheetData sheetId="7407" refreshError="1"/>
      <sheetData sheetId="7408" refreshError="1"/>
      <sheetData sheetId="7409" refreshError="1"/>
      <sheetData sheetId="7410" refreshError="1"/>
      <sheetData sheetId="7411" refreshError="1"/>
      <sheetData sheetId="7412" refreshError="1"/>
      <sheetData sheetId="7413" refreshError="1"/>
      <sheetData sheetId="7414" refreshError="1"/>
      <sheetData sheetId="7415" refreshError="1"/>
      <sheetData sheetId="7416" refreshError="1"/>
      <sheetData sheetId="7417" refreshError="1"/>
      <sheetData sheetId="7418" refreshError="1"/>
      <sheetData sheetId="7419" refreshError="1"/>
      <sheetData sheetId="7420" refreshError="1"/>
      <sheetData sheetId="7421"/>
      <sheetData sheetId="7422"/>
      <sheetData sheetId="7423" refreshError="1"/>
      <sheetData sheetId="7424" refreshError="1"/>
      <sheetData sheetId="7425" refreshError="1"/>
      <sheetData sheetId="7426"/>
      <sheetData sheetId="7427"/>
      <sheetData sheetId="7428"/>
      <sheetData sheetId="7429" refreshError="1"/>
      <sheetData sheetId="7430" refreshError="1"/>
      <sheetData sheetId="7431" refreshError="1"/>
      <sheetData sheetId="7432" refreshError="1"/>
      <sheetData sheetId="7433" refreshError="1"/>
      <sheetData sheetId="7434" refreshError="1"/>
      <sheetData sheetId="7435" refreshError="1"/>
      <sheetData sheetId="7436" refreshError="1"/>
      <sheetData sheetId="7437" refreshError="1"/>
      <sheetData sheetId="7438" refreshError="1"/>
      <sheetData sheetId="7439"/>
      <sheetData sheetId="7440" refreshError="1"/>
      <sheetData sheetId="7441" refreshError="1"/>
      <sheetData sheetId="7442" refreshError="1"/>
      <sheetData sheetId="7443" refreshError="1"/>
      <sheetData sheetId="7444" refreshError="1"/>
      <sheetData sheetId="7445" refreshError="1"/>
      <sheetData sheetId="7446" refreshError="1"/>
      <sheetData sheetId="7447" refreshError="1"/>
      <sheetData sheetId="7448" refreshError="1"/>
      <sheetData sheetId="7449" refreshError="1"/>
      <sheetData sheetId="7450" refreshError="1"/>
      <sheetData sheetId="7451" refreshError="1"/>
      <sheetData sheetId="7452" refreshError="1"/>
      <sheetData sheetId="7453" refreshError="1"/>
      <sheetData sheetId="7454" refreshError="1"/>
      <sheetData sheetId="7455" refreshError="1"/>
      <sheetData sheetId="7456"/>
      <sheetData sheetId="7457" refreshError="1"/>
      <sheetData sheetId="7458" refreshError="1"/>
      <sheetData sheetId="7459" refreshError="1"/>
      <sheetData sheetId="7460" refreshError="1"/>
      <sheetData sheetId="7461" refreshError="1"/>
      <sheetData sheetId="7462" refreshError="1"/>
      <sheetData sheetId="7463" refreshError="1"/>
      <sheetData sheetId="7464" refreshError="1"/>
      <sheetData sheetId="7465" refreshError="1"/>
      <sheetData sheetId="7466" refreshError="1"/>
      <sheetData sheetId="7467" refreshError="1"/>
      <sheetData sheetId="7468" refreshError="1"/>
      <sheetData sheetId="7469" refreshError="1"/>
      <sheetData sheetId="7470" refreshError="1"/>
      <sheetData sheetId="7471" refreshError="1"/>
      <sheetData sheetId="7472" refreshError="1"/>
      <sheetData sheetId="7473" refreshError="1"/>
      <sheetData sheetId="7474" refreshError="1"/>
      <sheetData sheetId="7475" refreshError="1"/>
      <sheetData sheetId="7476" refreshError="1"/>
      <sheetData sheetId="7477" refreshError="1"/>
      <sheetData sheetId="7478" refreshError="1"/>
      <sheetData sheetId="7479" refreshError="1"/>
      <sheetData sheetId="7480" refreshError="1"/>
      <sheetData sheetId="7481" refreshError="1"/>
      <sheetData sheetId="7482" refreshError="1"/>
      <sheetData sheetId="7483" refreshError="1"/>
      <sheetData sheetId="7484" refreshError="1"/>
      <sheetData sheetId="7485" refreshError="1"/>
      <sheetData sheetId="7486" refreshError="1"/>
      <sheetData sheetId="7487" refreshError="1"/>
      <sheetData sheetId="7488" refreshError="1"/>
      <sheetData sheetId="7489"/>
      <sheetData sheetId="7490"/>
      <sheetData sheetId="7491" refreshError="1"/>
      <sheetData sheetId="7492" refreshError="1"/>
      <sheetData sheetId="7493" refreshError="1"/>
      <sheetData sheetId="7494" refreshError="1"/>
      <sheetData sheetId="7495" refreshError="1"/>
      <sheetData sheetId="7496" refreshError="1"/>
      <sheetData sheetId="7497" refreshError="1"/>
      <sheetData sheetId="7498" refreshError="1"/>
      <sheetData sheetId="7499" refreshError="1"/>
      <sheetData sheetId="7500" refreshError="1"/>
      <sheetData sheetId="7501" refreshError="1"/>
      <sheetData sheetId="7502" refreshError="1"/>
      <sheetData sheetId="7503" refreshError="1"/>
      <sheetData sheetId="7504" refreshError="1"/>
      <sheetData sheetId="7505" refreshError="1"/>
      <sheetData sheetId="7506" refreshError="1"/>
      <sheetData sheetId="7507"/>
      <sheetData sheetId="7508" refreshError="1"/>
      <sheetData sheetId="7509" refreshError="1"/>
      <sheetData sheetId="7510" refreshError="1"/>
      <sheetData sheetId="7511" refreshError="1"/>
      <sheetData sheetId="7512" refreshError="1"/>
      <sheetData sheetId="7513" refreshError="1"/>
      <sheetData sheetId="7514" refreshError="1"/>
      <sheetData sheetId="7515" refreshError="1"/>
      <sheetData sheetId="7516" refreshError="1"/>
      <sheetData sheetId="7517" refreshError="1"/>
      <sheetData sheetId="7518" refreshError="1"/>
      <sheetData sheetId="7519"/>
      <sheetData sheetId="7520"/>
      <sheetData sheetId="7521"/>
      <sheetData sheetId="7522"/>
      <sheetData sheetId="7523"/>
      <sheetData sheetId="7524"/>
      <sheetData sheetId="7525"/>
      <sheetData sheetId="7526"/>
      <sheetData sheetId="7527"/>
      <sheetData sheetId="7528" refreshError="1"/>
      <sheetData sheetId="7529" refreshError="1"/>
      <sheetData sheetId="7530" refreshError="1"/>
      <sheetData sheetId="7531" refreshError="1"/>
      <sheetData sheetId="7532" refreshError="1"/>
      <sheetData sheetId="7533" refreshError="1"/>
      <sheetData sheetId="7534" refreshError="1"/>
      <sheetData sheetId="7535" refreshError="1"/>
      <sheetData sheetId="7536" refreshError="1"/>
      <sheetData sheetId="7537" refreshError="1"/>
      <sheetData sheetId="7538" refreshError="1"/>
      <sheetData sheetId="7539" refreshError="1"/>
      <sheetData sheetId="7540" refreshError="1"/>
      <sheetData sheetId="7541" refreshError="1"/>
      <sheetData sheetId="7542" refreshError="1"/>
      <sheetData sheetId="7543" refreshError="1"/>
      <sheetData sheetId="7544" refreshError="1"/>
      <sheetData sheetId="7545" refreshError="1"/>
      <sheetData sheetId="7546" refreshError="1"/>
      <sheetData sheetId="7547" refreshError="1"/>
      <sheetData sheetId="7548" refreshError="1"/>
      <sheetData sheetId="7549" refreshError="1"/>
      <sheetData sheetId="7550" refreshError="1"/>
      <sheetData sheetId="7551" refreshError="1"/>
      <sheetData sheetId="7552" refreshError="1"/>
      <sheetData sheetId="7553" refreshError="1"/>
      <sheetData sheetId="7554" refreshError="1"/>
      <sheetData sheetId="7555" refreshError="1"/>
      <sheetData sheetId="7556" refreshError="1"/>
      <sheetData sheetId="7557" refreshError="1"/>
      <sheetData sheetId="7558" refreshError="1"/>
      <sheetData sheetId="7559" refreshError="1"/>
      <sheetData sheetId="7560" refreshError="1"/>
      <sheetData sheetId="7561" refreshError="1"/>
      <sheetData sheetId="7562" refreshError="1"/>
      <sheetData sheetId="7563" refreshError="1"/>
      <sheetData sheetId="7564" refreshError="1"/>
      <sheetData sheetId="7565" refreshError="1"/>
      <sheetData sheetId="7566" refreshError="1"/>
      <sheetData sheetId="7567" refreshError="1"/>
      <sheetData sheetId="7568" refreshError="1"/>
      <sheetData sheetId="7569" refreshError="1"/>
      <sheetData sheetId="7570" refreshError="1"/>
      <sheetData sheetId="7571" refreshError="1"/>
      <sheetData sheetId="7572" refreshError="1"/>
      <sheetData sheetId="7573" refreshError="1"/>
      <sheetData sheetId="7574" refreshError="1"/>
      <sheetData sheetId="7575" refreshError="1"/>
      <sheetData sheetId="7576" refreshError="1"/>
      <sheetData sheetId="7577" refreshError="1"/>
      <sheetData sheetId="7578" refreshError="1"/>
      <sheetData sheetId="7579" refreshError="1"/>
      <sheetData sheetId="7580" refreshError="1"/>
      <sheetData sheetId="7581" refreshError="1"/>
      <sheetData sheetId="7582" refreshError="1"/>
      <sheetData sheetId="7583" refreshError="1"/>
      <sheetData sheetId="7584" refreshError="1"/>
      <sheetData sheetId="7585" refreshError="1"/>
      <sheetData sheetId="7586" refreshError="1"/>
      <sheetData sheetId="7587" refreshError="1"/>
      <sheetData sheetId="7588" refreshError="1"/>
      <sheetData sheetId="7589" refreshError="1"/>
      <sheetData sheetId="7590" refreshError="1"/>
      <sheetData sheetId="7591" refreshError="1"/>
      <sheetData sheetId="7592" refreshError="1"/>
      <sheetData sheetId="7593" refreshError="1"/>
      <sheetData sheetId="7594" refreshError="1"/>
      <sheetData sheetId="7595" refreshError="1"/>
      <sheetData sheetId="7596" refreshError="1"/>
      <sheetData sheetId="7597" refreshError="1"/>
      <sheetData sheetId="7598" refreshError="1"/>
      <sheetData sheetId="7599" refreshError="1"/>
      <sheetData sheetId="7600" refreshError="1"/>
      <sheetData sheetId="7601" refreshError="1"/>
      <sheetData sheetId="7602" refreshError="1"/>
      <sheetData sheetId="7603" refreshError="1"/>
      <sheetData sheetId="7604"/>
      <sheetData sheetId="7605" refreshError="1"/>
      <sheetData sheetId="7606" refreshError="1"/>
      <sheetData sheetId="7607" refreshError="1"/>
      <sheetData sheetId="7608" refreshError="1"/>
      <sheetData sheetId="7609" refreshError="1"/>
      <sheetData sheetId="7610" refreshError="1"/>
      <sheetData sheetId="7611" refreshError="1"/>
      <sheetData sheetId="7612" refreshError="1"/>
      <sheetData sheetId="7613" refreshError="1"/>
      <sheetData sheetId="7614" refreshError="1"/>
      <sheetData sheetId="7615" refreshError="1"/>
      <sheetData sheetId="7616" refreshError="1"/>
      <sheetData sheetId="7617" refreshError="1"/>
      <sheetData sheetId="7618" refreshError="1"/>
      <sheetData sheetId="7619" refreshError="1"/>
      <sheetData sheetId="7620" refreshError="1"/>
      <sheetData sheetId="7621" refreshError="1"/>
      <sheetData sheetId="7622" refreshError="1"/>
      <sheetData sheetId="7623" refreshError="1"/>
      <sheetData sheetId="7624" refreshError="1"/>
      <sheetData sheetId="7625" refreshError="1"/>
      <sheetData sheetId="7626" refreshError="1"/>
      <sheetData sheetId="7627" refreshError="1"/>
      <sheetData sheetId="7628" refreshError="1"/>
      <sheetData sheetId="7629" refreshError="1"/>
      <sheetData sheetId="7630"/>
      <sheetData sheetId="7631" refreshError="1"/>
      <sheetData sheetId="7632" refreshError="1"/>
      <sheetData sheetId="7633" refreshError="1"/>
      <sheetData sheetId="7634" refreshError="1"/>
      <sheetData sheetId="7635"/>
      <sheetData sheetId="7636"/>
      <sheetData sheetId="7637"/>
      <sheetData sheetId="7638"/>
      <sheetData sheetId="7639"/>
      <sheetData sheetId="7640"/>
      <sheetData sheetId="7641"/>
      <sheetData sheetId="7642"/>
      <sheetData sheetId="7643"/>
      <sheetData sheetId="7644"/>
      <sheetData sheetId="7645"/>
      <sheetData sheetId="7646"/>
      <sheetData sheetId="7647"/>
      <sheetData sheetId="7648"/>
      <sheetData sheetId="7649"/>
      <sheetData sheetId="7650"/>
      <sheetData sheetId="7651"/>
      <sheetData sheetId="7652"/>
      <sheetData sheetId="7653"/>
      <sheetData sheetId="7654"/>
      <sheetData sheetId="7655"/>
      <sheetData sheetId="7656"/>
      <sheetData sheetId="7657"/>
      <sheetData sheetId="7658"/>
      <sheetData sheetId="7659"/>
      <sheetData sheetId="7660"/>
      <sheetData sheetId="7661"/>
      <sheetData sheetId="7662"/>
      <sheetData sheetId="7663"/>
      <sheetData sheetId="7664"/>
      <sheetData sheetId="7665"/>
      <sheetData sheetId="7666"/>
      <sheetData sheetId="7667"/>
      <sheetData sheetId="7668" refreshError="1"/>
      <sheetData sheetId="7669" refreshError="1"/>
      <sheetData sheetId="7670" refreshError="1"/>
      <sheetData sheetId="7671" refreshError="1"/>
      <sheetData sheetId="7672" refreshError="1"/>
      <sheetData sheetId="7673" refreshError="1"/>
      <sheetData sheetId="7674" refreshError="1"/>
      <sheetData sheetId="7675" refreshError="1"/>
      <sheetData sheetId="7676" refreshError="1"/>
      <sheetData sheetId="7677" refreshError="1"/>
      <sheetData sheetId="7678" refreshError="1"/>
      <sheetData sheetId="7679" refreshError="1"/>
      <sheetData sheetId="7680" refreshError="1"/>
      <sheetData sheetId="7681" refreshError="1"/>
      <sheetData sheetId="7682" refreshError="1"/>
      <sheetData sheetId="7683" refreshError="1"/>
      <sheetData sheetId="7684" refreshError="1"/>
      <sheetData sheetId="7685" refreshError="1"/>
      <sheetData sheetId="7686" refreshError="1"/>
      <sheetData sheetId="7687"/>
      <sheetData sheetId="7688" refreshError="1"/>
      <sheetData sheetId="7689" refreshError="1"/>
      <sheetData sheetId="7690" refreshError="1"/>
      <sheetData sheetId="7691" refreshError="1"/>
      <sheetData sheetId="7692" refreshError="1"/>
      <sheetData sheetId="7693" refreshError="1"/>
      <sheetData sheetId="7694" refreshError="1"/>
      <sheetData sheetId="7695" refreshError="1"/>
      <sheetData sheetId="7696" refreshError="1"/>
      <sheetData sheetId="7697" refreshError="1"/>
      <sheetData sheetId="7698" refreshError="1"/>
      <sheetData sheetId="7699" refreshError="1"/>
      <sheetData sheetId="7700" refreshError="1"/>
      <sheetData sheetId="7701" refreshError="1"/>
      <sheetData sheetId="7702" refreshError="1"/>
      <sheetData sheetId="7703" refreshError="1"/>
      <sheetData sheetId="7704" refreshError="1"/>
      <sheetData sheetId="7705" refreshError="1"/>
      <sheetData sheetId="7706" refreshError="1"/>
      <sheetData sheetId="7707" refreshError="1"/>
      <sheetData sheetId="7708" refreshError="1"/>
      <sheetData sheetId="7709" refreshError="1"/>
      <sheetData sheetId="7710" refreshError="1"/>
      <sheetData sheetId="7711" refreshError="1"/>
      <sheetData sheetId="7712" refreshError="1"/>
      <sheetData sheetId="7713" refreshError="1"/>
      <sheetData sheetId="7714" refreshError="1"/>
      <sheetData sheetId="7715" refreshError="1"/>
      <sheetData sheetId="7716" refreshError="1"/>
      <sheetData sheetId="7717" refreshError="1"/>
      <sheetData sheetId="7718" refreshError="1"/>
      <sheetData sheetId="7719" refreshError="1"/>
      <sheetData sheetId="7720" refreshError="1"/>
      <sheetData sheetId="7721" refreshError="1"/>
      <sheetData sheetId="7722" refreshError="1"/>
      <sheetData sheetId="7723" refreshError="1"/>
      <sheetData sheetId="7724" refreshError="1"/>
      <sheetData sheetId="7725" refreshError="1"/>
      <sheetData sheetId="7726" refreshError="1"/>
      <sheetData sheetId="7727" refreshError="1"/>
      <sheetData sheetId="7728" refreshError="1"/>
      <sheetData sheetId="7729" refreshError="1"/>
      <sheetData sheetId="7730" refreshError="1"/>
      <sheetData sheetId="7731" refreshError="1"/>
      <sheetData sheetId="7732" refreshError="1"/>
      <sheetData sheetId="7733" refreshError="1"/>
      <sheetData sheetId="7734" refreshError="1"/>
      <sheetData sheetId="7735" refreshError="1"/>
      <sheetData sheetId="7736" refreshError="1"/>
      <sheetData sheetId="7737" refreshError="1"/>
      <sheetData sheetId="7738" refreshError="1"/>
      <sheetData sheetId="7739" refreshError="1"/>
      <sheetData sheetId="7740" refreshError="1"/>
      <sheetData sheetId="7741" refreshError="1"/>
      <sheetData sheetId="7742" refreshError="1"/>
      <sheetData sheetId="7743" refreshError="1"/>
      <sheetData sheetId="7744" refreshError="1"/>
      <sheetData sheetId="7745" refreshError="1"/>
      <sheetData sheetId="7746" refreshError="1"/>
      <sheetData sheetId="7747" refreshError="1"/>
      <sheetData sheetId="7748" refreshError="1"/>
      <sheetData sheetId="7749" refreshError="1"/>
      <sheetData sheetId="7750" refreshError="1"/>
      <sheetData sheetId="7751" refreshError="1"/>
      <sheetData sheetId="7752" refreshError="1"/>
      <sheetData sheetId="7753" refreshError="1"/>
      <sheetData sheetId="7754" refreshError="1"/>
      <sheetData sheetId="7755" refreshError="1"/>
      <sheetData sheetId="7756" refreshError="1"/>
      <sheetData sheetId="7757" refreshError="1"/>
      <sheetData sheetId="7758" refreshError="1"/>
      <sheetData sheetId="7759" refreshError="1"/>
      <sheetData sheetId="7760" refreshError="1"/>
      <sheetData sheetId="7761" refreshError="1"/>
      <sheetData sheetId="7762" refreshError="1"/>
      <sheetData sheetId="7763" refreshError="1"/>
      <sheetData sheetId="7764" refreshError="1"/>
      <sheetData sheetId="7765" refreshError="1"/>
      <sheetData sheetId="7766" refreshError="1"/>
      <sheetData sheetId="7767" refreshError="1"/>
      <sheetData sheetId="7768" refreshError="1"/>
      <sheetData sheetId="7769" refreshError="1"/>
      <sheetData sheetId="7770" refreshError="1"/>
      <sheetData sheetId="7771" refreshError="1"/>
      <sheetData sheetId="7772" refreshError="1"/>
      <sheetData sheetId="7773" refreshError="1"/>
      <sheetData sheetId="7774" refreshError="1"/>
      <sheetData sheetId="7775" refreshError="1"/>
      <sheetData sheetId="7776" refreshError="1"/>
      <sheetData sheetId="7777" refreshError="1"/>
      <sheetData sheetId="7778" refreshError="1"/>
      <sheetData sheetId="7779" refreshError="1"/>
      <sheetData sheetId="7780" refreshError="1"/>
      <sheetData sheetId="7781" refreshError="1"/>
      <sheetData sheetId="7782" refreshError="1"/>
      <sheetData sheetId="7783" refreshError="1"/>
      <sheetData sheetId="7784" refreshError="1"/>
      <sheetData sheetId="7785" refreshError="1"/>
      <sheetData sheetId="7786" refreshError="1"/>
      <sheetData sheetId="7787" refreshError="1"/>
      <sheetData sheetId="7788" refreshError="1"/>
      <sheetData sheetId="7789" refreshError="1"/>
      <sheetData sheetId="7790" refreshError="1"/>
      <sheetData sheetId="7791" refreshError="1"/>
      <sheetData sheetId="7792" refreshError="1"/>
      <sheetData sheetId="7793" refreshError="1"/>
      <sheetData sheetId="7794" refreshError="1"/>
      <sheetData sheetId="7795" refreshError="1"/>
      <sheetData sheetId="7796" refreshError="1"/>
      <sheetData sheetId="7797" refreshError="1"/>
      <sheetData sheetId="7798" refreshError="1"/>
      <sheetData sheetId="7799" refreshError="1"/>
      <sheetData sheetId="7800" refreshError="1"/>
      <sheetData sheetId="7801" refreshError="1"/>
      <sheetData sheetId="7802" refreshError="1"/>
      <sheetData sheetId="7803" refreshError="1"/>
      <sheetData sheetId="7804" refreshError="1"/>
      <sheetData sheetId="7805" refreshError="1"/>
      <sheetData sheetId="7806" refreshError="1"/>
      <sheetData sheetId="7807" refreshError="1"/>
      <sheetData sheetId="7808" refreshError="1"/>
      <sheetData sheetId="7809" refreshError="1"/>
      <sheetData sheetId="7810" refreshError="1"/>
      <sheetData sheetId="7811" refreshError="1"/>
      <sheetData sheetId="7812" refreshError="1"/>
      <sheetData sheetId="7813" refreshError="1"/>
      <sheetData sheetId="7814" refreshError="1"/>
      <sheetData sheetId="7815" refreshError="1"/>
      <sheetData sheetId="7816" refreshError="1"/>
      <sheetData sheetId="7817" refreshError="1"/>
      <sheetData sheetId="7818" refreshError="1"/>
      <sheetData sheetId="7819" refreshError="1"/>
      <sheetData sheetId="7820" refreshError="1"/>
      <sheetData sheetId="7821" refreshError="1"/>
      <sheetData sheetId="7822" refreshError="1"/>
      <sheetData sheetId="7823" refreshError="1"/>
      <sheetData sheetId="7824" refreshError="1"/>
      <sheetData sheetId="7825" refreshError="1"/>
      <sheetData sheetId="7826" refreshError="1"/>
      <sheetData sheetId="7827" refreshError="1"/>
      <sheetData sheetId="7828" refreshError="1"/>
      <sheetData sheetId="7829" refreshError="1"/>
      <sheetData sheetId="7830" refreshError="1"/>
      <sheetData sheetId="7831" refreshError="1"/>
      <sheetData sheetId="7832" refreshError="1"/>
      <sheetData sheetId="7833" refreshError="1"/>
      <sheetData sheetId="7834" refreshError="1"/>
      <sheetData sheetId="7835" refreshError="1"/>
      <sheetData sheetId="7836" refreshError="1"/>
      <sheetData sheetId="7837" refreshError="1"/>
      <sheetData sheetId="7838" refreshError="1"/>
      <sheetData sheetId="7839" refreshError="1"/>
      <sheetData sheetId="7840" refreshError="1"/>
      <sheetData sheetId="7841" refreshError="1"/>
      <sheetData sheetId="7842" refreshError="1"/>
      <sheetData sheetId="7843" refreshError="1"/>
      <sheetData sheetId="7844" refreshError="1"/>
      <sheetData sheetId="7845" refreshError="1"/>
      <sheetData sheetId="7846" refreshError="1"/>
      <sheetData sheetId="7847" refreshError="1"/>
      <sheetData sheetId="7848" refreshError="1"/>
      <sheetData sheetId="7849" refreshError="1"/>
      <sheetData sheetId="7850" refreshError="1"/>
      <sheetData sheetId="7851" refreshError="1"/>
      <sheetData sheetId="7852" refreshError="1"/>
      <sheetData sheetId="7853" refreshError="1"/>
      <sheetData sheetId="7854" refreshError="1"/>
      <sheetData sheetId="7855" refreshError="1"/>
      <sheetData sheetId="7856" refreshError="1"/>
      <sheetData sheetId="7857" refreshError="1"/>
      <sheetData sheetId="7858" refreshError="1"/>
      <sheetData sheetId="7859" refreshError="1"/>
      <sheetData sheetId="7860" refreshError="1"/>
      <sheetData sheetId="7861" refreshError="1"/>
      <sheetData sheetId="7862" refreshError="1"/>
      <sheetData sheetId="7863" refreshError="1"/>
      <sheetData sheetId="7864" refreshError="1"/>
      <sheetData sheetId="7865" refreshError="1"/>
      <sheetData sheetId="7866" refreshError="1"/>
      <sheetData sheetId="7867" refreshError="1"/>
      <sheetData sheetId="7868" refreshError="1"/>
      <sheetData sheetId="7869" refreshError="1"/>
      <sheetData sheetId="7870" refreshError="1"/>
      <sheetData sheetId="7871" refreshError="1"/>
      <sheetData sheetId="7872" refreshError="1"/>
      <sheetData sheetId="7873" refreshError="1"/>
      <sheetData sheetId="7874" refreshError="1"/>
      <sheetData sheetId="7875" refreshError="1"/>
      <sheetData sheetId="7876" refreshError="1"/>
      <sheetData sheetId="7877" refreshError="1"/>
      <sheetData sheetId="7878" refreshError="1"/>
      <sheetData sheetId="7879" refreshError="1"/>
      <sheetData sheetId="7880" refreshError="1"/>
      <sheetData sheetId="7881" refreshError="1"/>
      <sheetData sheetId="7882" refreshError="1"/>
      <sheetData sheetId="7883" refreshError="1"/>
      <sheetData sheetId="7884" refreshError="1"/>
      <sheetData sheetId="7885"/>
      <sheetData sheetId="7886" refreshError="1"/>
      <sheetData sheetId="7887" refreshError="1"/>
      <sheetData sheetId="7888" refreshError="1"/>
      <sheetData sheetId="7889"/>
      <sheetData sheetId="7890"/>
      <sheetData sheetId="7891" refreshError="1"/>
      <sheetData sheetId="7892" refreshError="1"/>
      <sheetData sheetId="7893" refreshError="1"/>
      <sheetData sheetId="7894" refreshError="1"/>
      <sheetData sheetId="7895" refreshError="1"/>
      <sheetData sheetId="7896" refreshError="1"/>
      <sheetData sheetId="7897" refreshError="1"/>
      <sheetData sheetId="7898" refreshError="1"/>
      <sheetData sheetId="7899"/>
      <sheetData sheetId="7900"/>
      <sheetData sheetId="7901"/>
      <sheetData sheetId="7902"/>
      <sheetData sheetId="7903"/>
      <sheetData sheetId="7904"/>
      <sheetData sheetId="7905"/>
      <sheetData sheetId="7906"/>
      <sheetData sheetId="7907" refreshError="1"/>
      <sheetData sheetId="7908" refreshError="1"/>
      <sheetData sheetId="7909"/>
      <sheetData sheetId="7910"/>
      <sheetData sheetId="7911"/>
      <sheetData sheetId="7912"/>
      <sheetData sheetId="7913"/>
      <sheetData sheetId="7914"/>
      <sheetData sheetId="7915"/>
      <sheetData sheetId="7916"/>
      <sheetData sheetId="7917"/>
      <sheetData sheetId="7918"/>
      <sheetData sheetId="7919"/>
      <sheetData sheetId="7920"/>
      <sheetData sheetId="7921"/>
      <sheetData sheetId="7922" refreshError="1"/>
      <sheetData sheetId="7923" refreshError="1"/>
      <sheetData sheetId="7924" refreshError="1"/>
      <sheetData sheetId="7925"/>
      <sheetData sheetId="7926" refreshError="1"/>
      <sheetData sheetId="7927"/>
      <sheetData sheetId="7928"/>
      <sheetData sheetId="7929"/>
      <sheetData sheetId="7930"/>
      <sheetData sheetId="7931"/>
      <sheetData sheetId="7932"/>
      <sheetData sheetId="7933"/>
      <sheetData sheetId="7934"/>
      <sheetData sheetId="7935"/>
      <sheetData sheetId="7936"/>
      <sheetData sheetId="7937"/>
      <sheetData sheetId="7938"/>
      <sheetData sheetId="7939"/>
      <sheetData sheetId="7940"/>
      <sheetData sheetId="7941"/>
      <sheetData sheetId="7942"/>
      <sheetData sheetId="7943"/>
      <sheetData sheetId="7944"/>
      <sheetData sheetId="7945"/>
      <sheetData sheetId="7946"/>
      <sheetData sheetId="7947"/>
      <sheetData sheetId="7948"/>
      <sheetData sheetId="7949"/>
      <sheetData sheetId="7950"/>
      <sheetData sheetId="7951"/>
      <sheetData sheetId="7952"/>
      <sheetData sheetId="7953"/>
      <sheetData sheetId="7954"/>
      <sheetData sheetId="7955"/>
      <sheetData sheetId="7956"/>
      <sheetData sheetId="7957"/>
      <sheetData sheetId="7958"/>
      <sheetData sheetId="7959"/>
      <sheetData sheetId="7960"/>
      <sheetData sheetId="7961"/>
      <sheetData sheetId="7962"/>
      <sheetData sheetId="7963"/>
      <sheetData sheetId="7964"/>
      <sheetData sheetId="7965"/>
      <sheetData sheetId="7966"/>
      <sheetData sheetId="7967"/>
      <sheetData sheetId="7968"/>
      <sheetData sheetId="7969"/>
      <sheetData sheetId="7970"/>
      <sheetData sheetId="7971"/>
      <sheetData sheetId="7972"/>
      <sheetData sheetId="7973"/>
      <sheetData sheetId="7974"/>
      <sheetData sheetId="7975"/>
      <sheetData sheetId="7976"/>
      <sheetData sheetId="7977"/>
      <sheetData sheetId="7978"/>
      <sheetData sheetId="7979"/>
      <sheetData sheetId="7980"/>
      <sheetData sheetId="7981"/>
      <sheetData sheetId="7982"/>
      <sheetData sheetId="7983"/>
      <sheetData sheetId="7984"/>
      <sheetData sheetId="7985"/>
      <sheetData sheetId="7986"/>
      <sheetData sheetId="7987"/>
      <sheetData sheetId="7988"/>
      <sheetData sheetId="7989"/>
      <sheetData sheetId="7990"/>
      <sheetData sheetId="7991"/>
      <sheetData sheetId="7992"/>
      <sheetData sheetId="7993"/>
      <sheetData sheetId="7994"/>
      <sheetData sheetId="7995"/>
      <sheetData sheetId="7996"/>
      <sheetData sheetId="7997"/>
      <sheetData sheetId="7998"/>
      <sheetData sheetId="7999"/>
      <sheetData sheetId="8000"/>
      <sheetData sheetId="8001"/>
      <sheetData sheetId="8002"/>
      <sheetData sheetId="8003"/>
      <sheetData sheetId="8004"/>
      <sheetData sheetId="8005"/>
      <sheetData sheetId="8006"/>
      <sheetData sheetId="8007"/>
      <sheetData sheetId="8008"/>
      <sheetData sheetId="8009"/>
      <sheetData sheetId="8010"/>
      <sheetData sheetId="8011"/>
      <sheetData sheetId="8012"/>
      <sheetData sheetId="8013"/>
      <sheetData sheetId="8014"/>
      <sheetData sheetId="8015"/>
      <sheetData sheetId="8016"/>
      <sheetData sheetId="8017"/>
      <sheetData sheetId="8018"/>
      <sheetData sheetId="8019"/>
      <sheetData sheetId="8020"/>
      <sheetData sheetId="8021"/>
      <sheetData sheetId="8022"/>
      <sheetData sheetId="8023"/>
      <sheetData sheetId="8024"/>
      <sheetData sheetId="8025"/>
      <sheetData sheetId="8026"/>
      <sheetData sheetId="8027"/>
      <sheetData sheetId="8028"/>
      <sheetData sheetId="8029"/>
      <sheetData sheetId="8030"/>
      <sheetData sheetId="8031"/>
      <sheetData sheetId="8032"/>
      <sheetData sheetId="8033"/>
      <sheetData sheetId="8034"/>
      <sheetData sheetId="8035"/>
      <sheetData sheetId="8036"/>
      <sheetData sheetId="8037"/>
      <sheetData sheetId="8038"/>
      <sheetData sheetId="8039"/>
      <sheetData sheetId="8040"/>
      <sheetData sheetId="8041"/>
      <sheetData sheetId="8042"/>
      <sheetData sheetId="8043"/>
      <sheetData sheetId="8044"/>
      <sheetData sheetId="8045"/>
      <sheetData sheetId="8046"/>
      <sheetData sheetId="8047"/>
      <sheetData sheetId="8048"/>
      <sheetData sheetId="8049"/>
      <sheetData sheetId="8050"/>
      <sheetData sheetId="8051"/>
      <sheetData sheetId="8052"/>
      <sheetData sheetId="8053"/>
      <sheetData sheetId="8054"/>
      <sheetData sheetId="8055"/>
      <sheetData sheetId="8056"/>
      <sheetData sheetId="8057"/>
      <sheetData sheetId="8058"/>
      <sheetData sheetId="8059"/>
      <sheetData sheetId="8060"/>
      <sheetData sheetId="8061"/>
      <sheetData sheetId="8062"/>
      <sheetData sheetId="8063"/>
      <sheetData sheetId="8064"/>
      <sheetData sheetId="8065"/>
      <sheetData sheetId="8066"/>
      <sheetData sheetId="8067"/>
      <sheetData sheetId="8068"/>
      <sheetData sheetId="8069"/>
      <sheetData sheetId="8070"/>
      <sheetData sheetId="8071"/>
      <sheetData sheetId="8072"/>
      <sheetData sheetId="8073"/>
      <sheetData sheetId="8074"/>
      <sheetData sheetId="8075"/>
      <sheetData sheetId="8076"/>
      <sheetData sheetId="8077"/>
      <sheetData sheetId="8078"/>
      <sheetData sheetId="8079"/>
      <sheetData sheetId="8080"/>
      <sheetData sheetId="8081"/>
      <sheetData sheetId="8082"/>
      <sheetData sheetId="8083"/>
      <sheetData sheetId="8084"/>
      <sheetData sheetId="8085"/>
      <sheetData sheetId="8086"/>
      <sheetData sheetId="8087"/>
      <sheetData sheetId="8088"/>
      <sheetData sheetId="8089"/>
      <sheetData sheetId="8090"/>
      <sheetData sheetId="8091"/>
      <sheetData sheetId="8092"/>
      <sheetData sheetId="8093"/>
      <sheetData sheetId="8094"/>
      <sheetData sheetId="8095"/>
      <sheetData sheetId="8096"/>
      <sheetData sheetId="8097"/>
      <sheetData sheetId="8098"/>
      <sheetData sheetId="8099"/>
      <sheetData sheetId="8100"/>
      <sheetData sheetId="8101"/>
      <sheetData sheetId="8102"/>
      <sheetData sheetId="8103"/>
      <sheetData sheetId="8104"/>
      <sheetData sheetId="8105"/>
      <sheetData sheetId="8106"/>
      <sheetData sheetId="8107"/>
      <sheetData sheetId="8108"/>
      <sheetData sheetId="8109"/>
      <sheetData sheetId="8110"/>
      <sheetData sheetId="8111"/>
      <sheetData sheetId="8112"/>
      <sheetData sheetId="8113"/>
      <sheetData sheetId="8114"/>
      <sheetData sheetId="8115"/>
      <sheetData sheetId="8116"/>
      <sheetData sheetId="8117"/>
      <sheetData sheetId="8118"/>
      <sheetData sheetId="8119"/>
      <sheetData sheetId="8120"/>
      <sheetData sheetId="8121"/>
      <sheetData sheetId="8122"/>
      <sheetData sheetId="8123"/>
      <sheetData sheetId="8124"/>
      <sheetData sheetId="8125"/>
      <sheetData sheetId="8126"/>
      <sheetData sheetId="8127"/>
      <sheetData sheetId="8128"/>
      <sheetData sheetId="8129"/>
      <sheetData sheetId="8130"/>
      <sheetData sheetId="8131"/>
      <sheetData sheetId="8132"/>
      <sheetData sheetId="8133"/>
      <sheetData sheetId="8134"/>
      <sheetData sheetId="8135"/>
      <sheetData sheetId="8136"/>
      <sheetData sheetId="8137"/>
      <sheetData sheetId="8138"/>
      <sheetData sheetId="8139"/>
      <sheetData sheetId="8140"/>
      <sheetData sheetId="8141"/>
      <sheetData sheetId="8142"/>
      <sheetData sheetId="8143"/>
      <sheetData sheetId="8144"/>
      <sheetData sheetId="8145"/>
      <sheetData sheetId="8146"/>
      <sheetData sheetId="8147"/>
      <sheetData sheetId="8148"/>
      <sheetData sheetId="8149"/>
      <sheetData sheetId="8150"/>
      <sheetData sheetId="8151"/>
      <sheetData sheetId="8152"/>
      <sheetData sheetId="8153"/>
      <sheetData sheetId="8154"/>
      <sheetData sheetId="8155"/>
      <sheetData sheetId="8156"/>
      <sheetData sheetId="8157"/>
      <sheetData sheetId="8158"/>
      <sheetData sheetId="8159"/>
      <sheetData sheetId="8160"/>
      <sheetData sheetId="8161"/>
      <sheetData sheetId="8162"/>
      <sheetData sheetId="8163"/>
      <sheetData sheetId="8164"/>
      <sheetData sheetId="8165"/>
      <sheetData sheetId="8166"/>
      <sheetData sheetId="8167"/>
      <sheetData sheetId="8168"/>
      <sheetData sheetId="8169"/>
      <sheetData sheetId="8170"/>
      <sheetData sheetId="8171"/>
      <sheetData sheetId="8172"/>
      <sheetData sheetId="8173"/>
      <sheetData sheetId="8174"/>
      <sheetData sheetId="8175"/>
      <sheetData sheetId="8176"/>
      <sheetData sheetId="8177"/>
      <sheetData sheetId="8178"/>
      <sheetData sheetId="8179"/>
      <sheetData sheetId="8180"/>
      <sheetData sheetId="8181"/>
      <sheetData sheetId="8182"/>
      <sheetData sheetId="8183"/>
      <sheetData sheetId="8184"/>
      <sheetData sheetId="8185"/>
      <sheetData sheetId="8186"/>
      <sheetData sheetId="8187"/>
      <sheetData sheetId="8188"/>
      <sheetData sheetId="8189"/>
      <sheetData sheetId="8190"/>
      <sheetData sheetId="8191"/>
      <sheetData sheetId="8192"/>
      <sheetData sheetId="8193"/>
      <sheetData sheetId="8194"/>
      <sheetData sheetId="8195"/>
      <sheetData sheetId="8196"/>
      <sheetData sheetId="8197"/>
      <sheetData sheetId="8198"/>
      <sheetData sheetId="8199"/>
      <sheetData sheetId="8200"/>
      <sheetData sheetId="8201"/>
      <sheetData sheetId="8202"/>
      <sheetData sheetId="8203"/>
      <sheetData sheetId="8204"/>
      <sheetData sheetId="8205"/>
      <sheetData sheetId="8206" refreshError="1"/>
      <sheetData sheetId="8207" refreshError="1"/>
      <sheetData sheetId="8208" refreshError="1"/>
      <sheetData sheetId="8209" refreshError="1"/>
      <sheetData sheetId="8210" refreshError="1"/>
      <sheetData sheetId="8211" refreshError="1"/>
      <sheetData sheetId="8212" refreshError="1"/>
      <sheetData sheetId="8213" refreshError="1"/>
      <sheetData sheetId="8214" refreshError="1"/>
      <sheetData sheetId="8215" refreshError="1"/>
      <sheetData sheetId="8216" refreshError="1"/>
      <sheetData sheetId="8217" refreshError="1"/>
      <sheetData sheetId="8218" refreshError="1"/>
      <sheetData sheetId="8219" refreshError="1"/>
      <sheetData sheetId="8220" refreshError="1"/>
      <sheetData sheetId="8221" refreshError="1"/>
      <sheetData sheetId="822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직재"/>
      <sheetName val="20관리비율"/>
      <sheetName val="일위대가(가설)"/>
      <sheetName val="데리네이타현황"/>
      <sheetName val="수량산출"/>
      <sheetName val="예산서"/>
      <sheetName val="실행철강하도"/>
      <sheetName val="실행단가철(ems코드적용)"/>
      <sheetName val="차액보증"/>
      <sheetName val="입력"/>
      <sheetName val="C-노임단가"/>
      <sheetName val="노임단가"/>
      <sheetName val="부대내역"/>
      <sheetName val="Util&amp; Real"/>
      <sheetName val="Total"/>
      <sheetName val="공사"/>
      <sheetName val="설-원가"/>
      <sheetName val="특수선일위대가"/>
      <sheetName val="내역서"/>
      <sheetName val="집계표"/>
      <sheetName val="Sheet1 (2)"/>
      <sheetName val="코드"/>
      <sheetName val="조명시설"/>
      <sheetName val="I一般比"/>
      <sheetName val="단가산출"/>
      <sheetName val="간지"/>
      <sheetName val="건축내역"/>
      <sheetName val="#REF"/>
      <sheetName val="갑지(추정)"/>
      <sheetName val="J直材4"/>
      <sheetName val="8.PILE  (돌출)"/>
      <sheetName val="PLT8500"/>
      <sheetName val="1단계"/>
      <sheetName val="⑻동원인원산출서⑧"/>
      <sheetName val="E총15"/>
      <sheetName val="9GNG운반"/>
      <sheetName val="설계서"/>
      <sheetName val="직노"/>
      <sheetName val="기계공사"/>
      <sheetName val="관급자재"/>
      <sheetName val="자재"/>
      <sheetName val="Sheet1"/>
      <sheetName val="인건비"/>
      <sheetName val="갑지"/>
      <sheetName val="코드표"/>
      <sheetName val="DATE"/>
      <sheetName val="산출내역서집계표"/>
      <sheetName val="슬래브(PF)(하류)"/>
      <sheetName val="설계내역"/>
      <sheetName val="백호우계수"/>
      <sheetName val="날개벽수량표"/>
      <sheetName val="노임"/>
      <sheetName val="포장공"/>
      <sheetName val="배수공"/>
      <sheetName val="실행내역서 "/>
      <sheetName val="VXXXXXXX"/>
      <sheetName val="공사비집계"/>
      <sheetName val="예총"/>
      <sheetName val="비교1"/>
      <sheetName val="APT"/>
      <sheetName val="인상효1"/>
      <sheetName val="시행후면적"/>
      <sheetName val="내역"/>
      <sheetName val="증감내역서"/>
      <sheetName val="일위대가표"/>
      <sheetName val="99 조정금액"/>
      <sheetName val="기본일위"/>
      <sheetName val="s"/>
      <sheetName val="단"/>
      <sheetName val="전기일위대가"/>
      <sheetName val="입찰안"/>
      <sheetName val="관일"/>
      <sheetName val="Galaxy 소비자가격표"/>
      <sheetName val="기초코드"/>
      <sheetName val="덕전리"/>
      <sheetName val="토공"/>
      <sheetName val="총집계표"/>
      <sheetName val="동원(3)"/>
      <sheetName val="일반수량총괄집계"/>
      <sheetName val="수지예산"/>
      <sheetName val="설계서을"/>
      <sheetName val="98수문일위"/>
      <sheetName val="Sheet5"/>
      <sheetName val="T13(P68~72,78)"/>
      <sheetName val="0"/>
      <sheetName val="Macro(조도)"/>
      <sheetName val="금융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수량산출"/>
      <sheetName val="차액보증"/>
      <sheetName val="관리비"/>
      <sheetName val="기둥(원형)"/>
      <sheetName val="J直材4"/>
      <sheetName val="#REF"/>
      <sheetName val="20관리비율"/>
      <sheetName val="터파기및재료"/>
      <sheetName val="기초공"/>
      <sheetName val="을"/>
      <sheetName val="직노"/>
      <sheetName val="견적서 (2)"/>
      <sheetName val="제-노임"/>
      <sheetName val="단가표 "/>
      <sheetName val="ABUT수량-A1"/>
      <sheetName val="PUMP"/>
      <sheetName val="I一般比"/>
      <sheetName val="데이타"/>
      <sheetName val="DATA"/>
      <sheetName val="BSD (2)"/>
      <sheetName val="COVER"/>
      <sheetName val="eq_data"/>
      <sheetName val="요약서"/>
      <sheetName val="TEL"/>
      <sheetName val="수량산출서"/>
      <sheetName val="SANBAISU"/>
      <sheetName val="견적서_(2)"/>
      <sheetName val="설직재-1"/>
      <sheetName val="직재"/>
      <sheetName val=" 견적서"/>
      <sheetName val="신우"/>
      <sheetName val="1.설계조건"/>
      <sheetName val="조명시설"/>
      <sheetName val="말뚝물량"/>
      <sheetName val="목차"/>
      <sheetName val="Galaxy 소비자가격표"/>
      <sheetName val="설계조건"/>
      <sheetName val="ITEM"/>
      <sheetName val="내역서"/>
      <sheetName val="진주방향"/>
      <sheetName val="식재인부"/>
      <sheetName val="물가"/>
      <sheetName val="일위대가"/>
      <sheetName val="전기일위대가"/>
      <sheetName val="danga"/>
      <sheetName val="ilch"/>
      <sheetName val="단가"/>
      <sheetName val="물가자료"/>
      <sheetName val="단위수량"/>
      <sheetName val="암거공"/>
      <sheetName val="부대집계1"/>
      <sheetName val="교각1"/>
      <sheetName val="편입토지조서"/>
      <sheetName val="1단계"/>
      <sheetName val="재1"/>
      <sheetName val="노임단가"/>
      <sheetName val="설계내역(2001)"/>
      <sheetName val="견적내용입력"/>
      <sheetName val="발신정보"/>
      <sheetName val="CP-E2 (품셈표)"/>
      <sheetName val="Sheet1"/>
      <sheetName val="일위"/>
      <sheetName val="입찰안"/>
      <sheetName val="BID"/>
      <sheetName val="저판(버림100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대업체순서"/>
      <sheetName val="값"/>
      <sheetName val="차액보증"/>
      <sheetName val="수량산출"/>
      <sheetName val="부대순서"/>
      <sheetName val="데이타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호안공"/>
      <sheetName val="Sheet3"/>
      <sheetName val="수량산출"/>
      <sheetName val="20관리비율"/>
      <sheetName val="#REF"/>
      <sheetName val="통합"/>
      <sheetName val="ABUT수량-A1"/>
      <sheetName val="직재"/>
      <sheetName val="제-노임"/>
      <sheetName val="제직재"/>
      <sheetName val="차액보증"/>
      <sheetName val="Sheet1"/>
      <sheetName val="단가표 "/>
      <sheetName val="J直材4"/>
      <sheetName val="3BL공동구 수량"/>
      <sheetName val="3련 BOX"/>
      <sheetName val="공사비내역서"/>
      <sheetName val="도급양식"/>
      <sheetName val="공사비 내역 (가)"/>
      <sheetName val="원가"/>
      <sheetName val="N賃率_職"/>
      <sheetName val="준검 내역서"/>
      <sheetName val="BSD (2)"/>
      <sheetName val="포장절단"/>
      <sheetName val="자재집계표"/>
      <sheetName val="터파기및재료"/>
      <sheetName val="MOTOR"/>
      <sheetName val="물량표"/>
      <sheetName val="사용자정의"/>
      <sheetName val="제품표준규격"/>
      <sheetName val="기초공"/>
      <sheetName val="기둥(원형)"/>
      <sheetName val="2.대외공문"/>
      <sheetName val="Data Vol"/>
      <sheetName val="일위"/>
      <sheetName val="특2호부관하천산근"/>
      <sheetName val="설계조건"/>
      <sheetName val="안정계산"/>
      <sheetName val="단면검토"/>
      <sheetName val="변화치수"/>
      <sheetName val="일위대가"/>
      <sheetName val="전기일위대가"/>
      <sheetName val="danga"/>
      <sheetName val="ilch"/>
      <sheetName val="을"/>
      <sheetName val="단가"/>
      <sheetName val="물가자료"/>
      <sheetName val="단위수량"/>
      <sheetName val="암거공"/>
      <sheetName val="부대집계1"/>
      <sheetName val="BLOCK(1)"/>
      <sheetName val="코드표"/>
      <sheetName val="대로근거"/>
      <sheetName val="단면(RW1)"/>
      <sheetName val="SE-611"/>
      <sheetName val="안정검토"/>
      <sheetName val="토목"/>
      <sheetName val="노임단가"/>
      <sheetName val="현금"/>
      <sheetName val="목차"/>
      <sheetName val="경비2내역"/>
      <sheetName val="일위대가1"/>
      <sheetName val="깨기"/>
      <sheetName val="PILE  (돌출)"/>
      <sheetName val="2.설계제원"/>
      <sheetName val="CONCRETE"/>
      <sheetName val="기초분물량표"/>
      <sheetName val="rate analysis"/>
      <sheetName val="CAL"/>
      <sheetName val="6PILE  (돌출)"/>
      <sheetName val="말뚝지지력산정"/>
      <sheetName val="조명시설"/>
      <sheetName val="wall"/>
      <sheetName val="감가상각"/>
      <sheetName val="I一般比"/>
      <sheetName val="간접재료비산출표-27-30"/>
      <sheetName val="화산경계"/>
      <sheetName val="내역서(요금설치총괄)"/>
      <sheetName val="내역서"/>
      <sheetName val="단가산출서"/>
      <sheetName val="자재단가"/>
      <sheetName val="입찰내역 발주처 양식"/>
      <sheetName val="[N賃率-職.xls]__KMS_______OFFICE_2"/>
      <sheetName val="[N賃率-職.xls]__KMS_______OFFICE_3"/>
      <sheetName val="[N賃率-職.xls]__KMS_______OFFICE_4"/>
      <sheetName val="실행철강하도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9회로"/>
      <sheetName val="9회로-1"/>
      <sheetName val="8회로 전기"/>
      <sheetName val="8회로-1"/>
      <sheetName val="7회로"/>
      <sheetName val="6회로"/>
      <sheetName val="6회로-1"/>
      <sheetName val="5회로"/>
      <sheetName val="3회로"/>
      <sheetName val="2회로"/>
      <sheetName val="조명3전기2"/>
      <sheetName val="#REF"/>
      <sheetName val="3련 BOX"/>
      <sheetName val="7.1유효폭"/>
      <sheetName val="N賃率-職"/>
      <sheetName val="7회로 15DIM 3RD"/>
      <sheetName val="35DIM 3D (2)"/>
      <sheetName val="18회로"/>
      <sheetName val="9회로 (2)"/>
      <sheetName val="10회로 조명"/>
      <sheetName val="7회로 조명"/>
      <sheetName val="조명3전기4 신형 (2)"/>
      <sheetName val="4회로"/>
      <sheetName val="조명3전기2 신형"/>
      <sheetName val="11CH50DIM6RD5"/>
      <sheetName val="14CH32DIM6RD5 (2)"/>
      <sheetName val="28회로"/>
      <sheetName val="8회로신형"/>
      <sheetName val="부산시사상구청"/>
      <sheetName val="18DIM5CH3D"/>
      <sheetName val="18DIM4CH3D (2)"/>
      <sheetName val="14DIM3DIR"/>
      <sheetName val="전기3회로dim8"/>
      <sheetName val="전기2회로dim9 (3)"/>
      <sheetName val="전기2회로dim8 (4)"/>
      <sheetName val="5CH8DIM3D"/>
      <sheetName val="5CH10DIM3D (2)"/>
      <sheetName val="18DIM6CH3D (2)"/>
      <sheetName val="전기산출근거"/>
      <sheetName val="일위(설)"/>
      <sheetName val="일위대가(계측기설치)"/>
      <sheetName val="9811"/>
      <sheetName val="8회로 25DIM 4RD (2)"/>
      <sheetName val="9회로 22DIM 3D "/>
      <sheetName val="조명5전기1(2)"/>
      <sheetName val="6DIM12CH2D (3)"/>
      <sheetName val="내역서"/>
      <sheetName val="과천MAIN"/>
      <sheetName val="부하계산서"/>
      <sheetName val="부하(성남)"/>
      <sheetName val="I一般比"/>
      <sheetName val="LEGEND"/>
      <sheetName val="Sheet5"/>
      <sheetName val="내역표지"/>
      <sheetName val="손익분석"/>
      <sheetName val="VXXXXXXX"/>
      <sheetName val="신우"/>
      <sheetName val="Y-WORK"/>
      <sheetName val="견적990322"/>
      <sheetName val="지급자재"/>
      <sheetName val="품목"/>
      <sheetName val="DATA"/>
      <sheetName val="데이타"/>
      <sheetName val="Sheet1"/>
      <sheetName val="집계표"/>
      <sheetName val="청천내"/>
      <sheetName val="물가시세"/>
      <sheetName val="노임단가"/>
      <sheetName val="__"/>
      <sheetName val="일위대가목록"/>
      <sheetName val="원가"/>
      <sheetName val="수로교총재료집계"/>
      <sheetName val="보온자재단가표"/>
      <sheetName val="TOTAL"/>
      <sheetName val="EQUIP-H"/>
      <sheetName val="BM"/>
      <sheetName val="간선계산"/>
      <sheetName val="LOPCALC"/>
      <sheetName val="1. 통합배선설비"/>
      <sheetName val="갑지"/>
      <sheetName val="PROJECT BRIEF(EX.NEW)"/>
      <sheetName val="일위대가(가설)"/>
      <sheetName val="단가비교표"/>
      <sheetName val="직재"/>
      <sheetName val="조명시설"/>
      <sheetName val="가설공사"/>
      <sheetName val="별표 "/>
      <sheetName val="집계"/>
      <sheetName val="기본일위"/>
      <sheetName val="내역서2안"/>
      <sheetName val="직노"/>
      <sheetName val="실행내역"/>
      <sheetName val="말뚝지지력산정"/>
      <sheetName val="2F 회의실견적(5_14 일대)"/>
      <sheetName val="일위대가"/>
      <sheetName val="guard(mac)"/>
      <sheetName val="공통(20-91)"/>
      <sheetName val="기성금내역서"/>
      <sheetName val="기준자료"/>
      <sheetName val="계화배수"/>
      <sheetName val="기성총"/>
      <sheetName val="조건표"/>
      <sheetName val="BASIC (2)"/>
      <sheetName val="U-TYPE(1)"/>
      <sheetName val="내역"/>
      <sheetName val="JUCK"/>
      <sheetName val="공사비예산서(토목분)"/>
      <sheetName val="제직재"/>
      <sheetName val="설직재-1"/>
      <sheetName val="제-노임"/>
      <sheetName val="GEN"/>
      <sheetName val="수량산출"/>
      <sheetName val="부서현황"/>
      <sheetName val=" HIT-&gt;HMC 견적(3900)"/>
      <sheetName val="양천현"/>
      <sheetName val="20관리비율"/>
      <sheetName val="MOTOR"/>
      <sheetName val="노원열병합  건축공사기성내역서"/>
      <sheetName val="성곽내역서"/>
      <sheetName val="말뚝물량"/>
      <sheetName val="단가산출-기,교"/>
      <sheetName val="일위목록-기"/>
      <sheetName val="요율"/>
      <sheetName val="발신정보"/>
      <sheetName val="기초대가"/>
      <sheetName val="단가"/>
      <sheetName val="Carepaq"/>
      <sheetName val="민속촌메뉴"/>
      <sheetName val="J直材4"/>
      <sheetName val="금액내역서"/>
      <sheetName val="내역서1"/>
      <sheetName val="일위목록"/>
      <sheetName val="IMPEADENCE MAP 취수장"/>
      <sheetName val="적용률"/>
      <sheetName val="EQUIPMENT -2"/>
      <sheetName val="노임"/>
      <sheetName val="터널조도"/>
      <sheetName val="sw1"/>
      <sheetName val="NOMUBI"/>
      <sheetName val="A갑지"/>
      <sheetName val="좌측"/>
      <sheetName val="입찰안"/>
      <sheetName val="#3E1_GCR"/>
      <sheetName val="관급"/>
      <sheetName val="중량산출"/>
      <sheetName val="건축내역"/>
      <sheetName val="제2~7호표"/>
      <sheetName val="전신환매도율"/>
      <sheetName val="날개벽(시점좌측)"/>
      <sheetName val="환율"/>
      <sheetName val="JUCKEYK"/>
      <sheetName val="실행대비"/>
      <sheetName val="무시"/>
      <sheetName val="차선도색현황"/>
      <sheetName val="설계조건"/>
      <sheetName val="단면 (2)"/>
      <sheetName val="현대물량"/>
      <sheetName val="슬래브(유곡)"/>
      <sheetName val="토 적 표"/>
      <sheetName val="물가"/>
      <sheetName val="9509"/>
      <sheetName val="보할공정"/>
      <sheetName val="Sheet3"/>
      <sheetName val="교각1"/>
      <sheetName val="하중"/>
      <sheetName val="전선 및 전선관"/>
      <sheetName val="설비"/>
      <sheetName val="관급단가"/>
      <sheetName val="포장직선구간"/>
      <sheetName val="단가산출"/>
      <sheetName val="전장품(관리용)"/>
      <sheetName val="기계내역"/>
      <sheetName val="Sheet1 (2)"/>
      <sheetName val="원내역"/>
      <sheetName val="주방환기"/>
      <sheetName val="공사내역"/>
      <sheetName val="1. 설계조건 2.단면가정 3. 하중계산"/>
      <sheetName val="DATA 입력란"/>
      <sheetName val="양수장(기계)"/>
      <sheetName val="처리단락"/>
      <sheetName val="부표총괄"/>
      <sheetName val="전선"/>
      <sheetName val="공사원가계산서"/>
      <sheetName val="맨홀"/>
      <sheetName val="cable-data"/>
      <sheetName val="발전계획"/>
      <sheetName val="P.M 별"/>
      <sheetName val="삼성전기"/>
      <sheetName val="주식"/>
      <sheetName val="차액보증"/>
      <sheetName val="자재"/>
      <sheetName val="노무"/>
      <sheetName val="부대공"/>
      <sheetName val="구조물공"/>
      <sheetName val="중기일위대가"/>
      <sheetName val="포장공"/>
      <sheetName val="토공"/>
      <sheetName val="배수공1"/>
      <sheetName val="법면"/>
      <sheetName val="설계변경원가계산총괄표"/>
      <sheetName val="BSD (2)"/>
      <sheetName val="총괄집계표"/>
      <sheetName val="참조"/>
      <sheetName val="총괄표"/>
      <sheetName val="사전공사"/>
      <sheetName val="견"/>
      <sheetName val="2.대외공문"/>
      <sheetName val="BID"/>
      <sheetName val="Summary Sheets"/>
      <sheetName val="간접재료비산출표-27-30"/>
      <sheetName val="6호기"/>
      <sheetName val="Care"/>
      <sheetName val="OPT7"/>
      <sheetName val="SV7"/>
      <sheetName val="NM2"/>
      <sheetName val="NW1"/>
      <sheetName val="NW2"/>
      <sheetName val="PW3"/>
      <sheetName val="PW4"/>
      <sheetName val="SC1"/>
      <sheetName val="DNW"/>
      <sheetName val="NE"/>
      <sheetName val="PE"/>
      <sheetName val="PM"/>
      <sheetName val="대공종"/>
      <sheetName val="단가표"/>
      <sheetName val="인건-측정"/>
      <sheetName val="DB"/>
      <sheetName val="을"/>
      <sheetName val="PAN"/>
      <sheetName val="인부임"/>
      <sheetName val="전체"/>
      <sheetName val="설 계"/>
      <sheetName val="수입"/>
      <sheetName val="AP1"/>
      <sheetName val="품셈기준"/>
      <sheetName val="9902"/>
      <sheetName val="율촌법률사무소2내역"/>
      <sheetName val="단가산출2"/>
      <sheetName val="예정(3)"/>
      <sheetName val="동원(3)"/>
      <sheetName val="환산"/>
      <sheetName val="견적"/>
      <sheetName val="21301동"/>
      <sheetName val="EQUIP LIST"/>
      <sheetName val="노임조서"/>
      <sheetName val="표지"/>
      <sheetName val="전기공사 산출집계"/>
      <sheetName val="전기공사 산출"/>
      <sheetName val="ITEM"/>
      <sheetName val="단중표"/>
      <sheetName val="수량산출서"/>
      <sheetName val="전기일위대가"/>
      <sheetName val="DATE"/>
      <sheetName val="별표집계"/>
      <sheetName val="산출"/>
      <sheetName val="김포IO"/>
      <sheetName val="FD"/>
      <sheetName val="약전닥트"/>
      <sheetName val="건축부하"/>
      <sheetName val="99관저"/>
      <sheetName val="일지-H"/>
      <sheetName val="LD"/>
      <sheetName val="FA설치명세"/>
      <sheetName val="토목-물가"/>
      <sheetName val="WORK"/>
      <sheetName val="노임이"/>
      <sheetName val="단가조사"/>
      <sheetName val="단가조사표"/>
      <sheetName val="70%"/>
      <sheetName val="단면가정"/>
      <sheetName val="1안"/>
      <sheetName val="식재인부"/>
      <sheetName val="프랜트면허"/>
      <sheetName val="합천내역"/>
      <sheetName val="실행철강하도"/>
      <sheetName val="Sheet2"/>
      <sheetName val="을지"/>
      <sheetName val="포장절단"/>
      <sheetName val="T1"/>
      <sheetName val="20120814100131_0_003_bm내역서(건축)2"/>
      <sheetName val="작성기준"/>
      <sheetName val="컨텍리포트"/>
      <sheetName val="1007공사세부내역서"/>
      <sheetName val="1007전기내역서(리빙)"/>
      <sheetName val="일위"/>
      <sheetName val="EACT10"/>
      <sheetName val="재료집계"/>
      <sheetName val="1.설계조건"/>
      <sheetName val="광혁기성"/>
      <sheetName val="터파기및재료"/>
      <sheetName val="대비"/>
      <sheetName val="도급예산내역서봉투"/>
      <sheetName val="기계경비(시간당)"/>
      <sheetName val="설계산출기초"/>
      <sheetName val="설계산출표지"/>
      <sheetName val="도급예산내역서총괄표"/>
      <sheetName val="램머"/>
      <sheetName val="Baby일위대가"/>
      <sheetName val="분전함신설"/>
      <sheetName val="자재단가"/>
      <sheetName val="을부담운반비"/>
      <sheetName val="운반비산출"/>
      <sheetName val="접지1종"/>
      <sheetName val="조명율표"/>
      <sheetName val="Macro(차단기)"/>
      <sheetName val="전차선로 물량표"/>
      <sheetName val="목차"/>
      <sheetName val="CABLE SIZE-1"/>
      <sheetName val="DATA1"/>
      <sheetName val="DATA2"/>
      <sheetName val="몰탈콘크리트"/>
      <sheetName val="철근집계"/>
      <sheetName val="예산대비"/>
      <sheetName val="품목코드"/>
      <sheetName val="연습"/>
      <sheetName val="OPT"/>
      <sheetName val="SV"/>
      <sheetName val="정부노임단가"/>
      <sheetName val="실행예산서"/>
      <sheetName val="982월원안"/>
      <sheetName val="낙찰표"/>
      <sheetName val="계측"/>
      <sheetName val="부하LOAD"/>
      <sheetName val="CABLE SIZE-3"/>
      <sheetName val="수량이동"/>
      <sheetName val="INPUT"/>
      <sheetName val="단가조사서"/>
      <sheetName val="일위_파일"/>
      <sheetName val="관급_File"/>
      <sheetName val="연결임시"/>
      <sheetName val="SPEC"/>
      <sheetName val="UR2-Calculation"/>
      <sheetName val="CIVIL4"/>
      <sheetName val="노무비"/>
      <sheetName val="점수계산1-2"/>
      <sheetName val="UNIT"/>
      <sheetName val="옥외"/>
      <sheetName val="가도공"/>
      <sheetName val="전화TV"/>
      <sheetName val="LANGUAGE"/>
      <sheetName val="설치공사"/>
      <sheetName val="CA지입"/>
      <sheetName val="Lookup Table"/>
      <sheetName val="BBT RRP V45"/>
      <sheetName val="Annex"/>
      <sheetName val="Rental_RRP V45"/>
      <sheetName val="danga"/>
      <sheetName val="원본(갑지)"/>
      <sheetName val="자재집계표"/>
      <sheetName val="3BL공동구 수량"/>
      <sheetName val="A-4"/>
      <sheetName val="산출내역서집계표"/>
      <sheetName val="현장지지물물량"/>
      <sheetName val="LinerWt"/>
      <sheetName val="산출(홀전등6)"/>
      <sheetName val="산출(AV배관)"/>
      <sheetName val="산출근거"/>
      <sheetName val="토목주소"/>
      <sheetName val="CTEMCOST"/>
      <sheetName val="CODE"/>
      <sheetName val="약품공급2"/>
      <sheetName val="내역서(부대공사)"/>
      <sheetName val="견적서"/>
      <sheetName val="건축내역서"/>
      <sheetName val="소상 &quot;1&quot;"/>
      <sheetName val="일 위 대 가 표 "/>
      <sheetName val="개요"/>
      <sheetName val="보활"/>
      <sheetName val="샘플표지"/>
      <sheetName val="토사(PE)"/>
      <sheetName val="내역을"/>
      <sheetName val="경비_원본"/>
      <sheetName val="날개벽"/>
      <sheetName val="공종별집계표"/>
      <sheetName val="하조서"/>
      <sheetName val="물량표"/>
      <sheetName val="CABLE"/>
      <sheetName val="변압94"/>
      <sheetName val="현장관리비집계표"/>
      <sheetName val="COPING-1"/>
      <sheetName val="역T형교대-2수량"/>
      <sheetName val="인건비 "/>
      <sheetName val="VENT"/>
      <sheetName val="제품별 MC"/>
      <sheetName val="CODE2"/>
      <sheetName val="CODE1"/>
      <sheetName val="base"/>
      <sheetName val="ABUT수량-A1"/>
      <sheetName val="선로정수계산"/>
      <sheetName val="건축2"/>
      <sheetName val="Macro1"/>
      <sheetName val="Macro2"/>
      <sheetName val="현장관리비"/>
      <sheetName val="Sheet17"/>
      <sheetName val="Oper Amount"/>
      <sheetName val="보수공사일정표"/>
      <sheetName val="한전공사"/>
      <sheetName val="공사비내역서"/>
      <sheetName val="일위대가목록표"/>
      <sheetName val="일위대가표"/>
      <sheetName val="공량산출근거"/>
      <sheetName val="단가조사서 (2)"/>
      <sheetName val="Galaxy 소비자가격표"/>
      <sheetName val="토공(우물통,기타) "/>
      <sheetName val="조내역"/>
      <sheetName val="품셈"/>
      <sheetName val="허용전류-IEC DATA"/>
      <sheetName val="MCC제원"/>
      <sheetName val="기초"/>
      <sheetName val="단면적"/>
      <sheetName val="MCC"/>
      <sheetName val="관로토공집계표"/>
      <sheetName val="98비정기소모"/>
      <sheetName val="F5"/>
      <sheetName val="시중노임단가"/>
      <sheetName val="잡철물"/>
      <sheetName val="예비품"/>
      <sheetName val="업무"/>
      <sheetName val="도"/>
      <sheetName val="POL설치공정"/>
      <sheetName val="홍보비디오"/>
      <sheetName val="금액"/>
      <sheetName val="재집"/>
      <sheetName val="가로내역"/>
      <sheetName val="발전기"/>
      <sheetName val="Sheet13"/>
      <sheetName val="Sheet14"/>
      <sheetName val="진주방향"/>
      <sheetName val="공사현황"/>
      <sheetName val="부안일위"/>
      <sheetName val="STORAGE"/>
      <sheetName val="단"/>
      <sheetName val="원가계산서"/>
      <sheetName val="h-013211-2"/>
      <sheetName val="asd"/>
      <sheetName val="횡배수관토공수량"/>
      <sheetName val="TB-내역서"/>
      <sheetName val="표지 (2)"/>
      <sheetName val="부서별비교표_1"/>
      <sheetName val="041125(분야별)"/>
      <sheetName val="041203(분야별))"/>
      <sheetName val="위치조서"/>
      <sheetName val="4-3 보온 기본물량집계"/>
      <sheetName val="대로근거"/>
      <sheetName val="중로근거"/>
      <sheetName val="969910( R)"/>
      <sheetName val="견적대비 견적서"/>
      <sheetName val="FB25JN"/>
      <sheetName val="품셈TABLE"/>
      <sheetName val="hvac(제어동)"/>
      <sheetName val="예산내역서"/>
      <sheetName val="설계예산서"/>
      <sheetName val="6.Base"/>
      <sheetName val="YS_A"/>
      <sheetName val="대치판정"/>
      <sheetName val="당진1,2호기전선관설치및접지4차공사내역서-을지"/>
      <sheetName val="Macro(전선)"/>
      <sheetName val="분석"/>
      <sheetName val="정산내역"/>
      <sheetName val="Sheet6"/>
      <sheetName val="공사개요"/>
      <sheetName val="매입세율"/>
      <sheetName val="송중자재"/>
      <sheetName val="토목"/>
      <sheetName val="담장산출"/>
      <sheetName val="매크로"/>
      <sheetName val="한일양산"/>
      <sheetName val="산출근거목록"/>
      <sheetName val="일대목록"/>
      <sheetName val="교각별수량"/>
      <sheetName val="찍기"/>
      <sheetName val="전기일위목록"/>
      <sheetName val="단가대비표"/>
      <sheetName val="건설기계_목록(10)"/>
      <sheetName val="물가대비표"/>
      <sheetName val="XL4Poppy"/>
      <sheetName val="phuluc1"/>
      <sheetName val="조명율"/>
      <sheetName val="IW-LIST"/>
      <sheetName val="취수탑"/>
      <sheetName val="방음벽기초"/>
      <sheetName val="2000년1차"/>
      <sheetName val="부속동"/>
      <sheetName val="갑지(추정)"/>
      <sheetName val="서울산업대(토)"/>
      <sheetName val="노임단가(0.3)"/>
      <sheetName val="BALIK201"/>
      <sheetName val="일위대가-1"/>
      <sheetName val="배수공"/>
      <sheetName val="수량(건축)"/>
      <sheetName val="시멘트"/>
      <sheetName val="자료"/>
      <sheetName val="CATV"/>
      <sheetName val="일위대가(목록)"/>
      <sheetName val="재료비"/>
      <sheetName val="아스팔트 포장총괄집계표"/>
      <sheetName val="검수고1-1층"/>
      <sheetName val="방송일위대가"/>
      <sheetName val="뚝토공"/>
      <sheetName val="수량산출(교량)"/>
      <sheetName val="기존단가 (2)"/>
      <sheetName val="연부97-1"/>
      <sheetName val="갑지1"/>
      <sheetName val="4)유동표"/>
      <sheetName val="SG"/>
      <sheetName val="차단용량계산서"/>
      <sheetName val="가격산출기초"/>
      <sheetName val="EQ"/>
      <sheetName val="#3_일위대가목록"/>
      <sheetName val="간선"/>
      <sheetName val="9GNG운반"/>
      <sheetName val="지급자재조서"/>
      <sheetName val="1.우편집중내역서"/>
      <sheetName val="TEL"/>
      <sheetName val="설산1.나"/>
      <sheetName val="본사S"/>
      <sheetName val="기본DATA"/>
      <sheetName val="MEXICO-C"/>
      <sheetName val="PBS"/>
      <sheetName val="SRC-B3U2"/>
      <sheetName val="choose"/>
      <sheetName val="type-F"/>
      <sheetName val="인건비"/>
      <sheetName val="집계표(3자)"/>
      <sheetName val="내역서(관급)"/>
      <sheetName val="원가계산서(통신공사)"/>
      <sheetName val="시행후면적"/>
      <sheetName val="수지예산"/>
      <sheetName val="단가 및 재료비"/>
      <sheetName val="설계명세서"/>
      <sheetName val="준공내역"/>
      <sheetName val="인수공규격"/>
      <sheetName val="건축"/>
      <sheetName val="개요입력"/>
      <sheetName val="수량기준"/>
      <sheetName val="단가기준"/>
      <sheetName val="Macro(전기)"/>
      <sheetName val="가로등기초"/>
      <sheetName val="샌딩 에폭시 도장"/>
      <sheetName val="스텐문틀설치"/>
      <sheetName val="일반문틀 설치"/>
      <sheetName val="철근단면적"/>
      <sheetName val="PI"/>
      <sheetName val="기초일위"/>
      <sheetName val="시설일위"/>
      <sheetName val="조명일위"/>
      <sheetName val="양수장내역"/>
      <sheetName val="내역서(교량)전체"/>
      <sheetName val="조도계산서 (도서)"/>
      <sheetName val="B부대공"/>
      <sheetName val="P-J"/>
      <sheetName val="¼³°è¿¹»ê¼­"/>
      <sheetName val="¿¹»ê³»¿ª¼­"/>
      <sheetName val="Inputs"/>
      <sheetName val="Cost Inputs"/>
      <sheetName val="설계개요"/>
      <sheetName val="산_3_2"/>
      <sheetName val="산_3_1"/>
      <sheetName val="_REF"/>
      <sheetName val="산_3_2_2"/>
      <sheetName val="민감도"/>
      <sheetName val="경산"/>
      <sheetName val="Paint,Fire-Proof,Insul(48)"/>
      <sheetName val="FANDBS"/>
      <sheetName val="GRDATA"/>
      <sheetName val="SHAFTDBSE"/>
      <sheetName val="빌딩 안내"/>
      <sheetName val="Sheet4"/>
      <sheetName val="VV보온LINK"/>
      <sheetName val="FIT보온LINK"/>
      <sheetName val="Carepack"/>
      <sheetName val="TRE TABLE"/>
      <sheetName val="시화점실행"/>
      <sheetName val="소요자재"/>
      <sheetName val="정산내역서"/>
      <sheetName val="설계내역서"/>
      <sheetName val="C Model"/>
      <sheetName val="2연BOX"/>
      <sheetName val="기준 "/>
      <sheetName val="허용전류"/>
      <sheetName val="일위대가목차"/>
      <sheetName val="일위산출"/>
      <sheetName val="PIPE"/>
      <sheetName val="FLANGE"/>
      <sheetName val="VALVE"/>
      <sheetName val="시공계획공정"/>
      <sheetName val="통신물량"/>
      <sheetName val="소비자가"/>
      <sheetName val="1F"/>
      <sheetName val="실행비교"/>
      <sheetName val="교각계산"/>
      <sheetName val="유기공정"/>
      <sheetName val="버스운행안내"/>
      <sheetName val="예방접종계획"/>
      <sheetName val="근태계획서"/>
      <sheetName val="기둥(하중)"/>
      <sheetName val="총체보활공정표"/>
      <sheetName val="ilch"/>
      <sheetName val="허용전류-IEC"/>
      <sheetName val="BDATA"/>
      <sheetName val="기계실냉난방"/>
      <sheetName val="대극장-하부단가"/>
      <sheetName val="NEYOK"/>
      <sheetName val="입찰견적보고서"/>
      <sheetName val="공량산출서"/>
      <sheetName val="MEMBER"/>
      <sheetName val="견적내역서"/>
      <sheetName val="평가데이터"/>
      <sheetName val="일반공사"/>
      <sheetName val="EP0618"/>
      <sheetName val="예가표"/>
      <sheetName val="중강당 내역"/>
      <sheetName val="1.수인터널"/>
      <sheetName val="날개벽수량표"/>
      <sheetName val="덕전리"/>
      <sheetName val="견적을지"/>
      <sheetName val="단위세대물량"/>
      <sheetName val="인사자료총집계"/>
      <sheetName val="출력X"/>
      <sheetName val="입출재고현황 (2)"/>
      <sheetName val="점검총괄"/>
      <sheetName val="자판실행"/>
      <sheetName val="2-4.총괄관급재비내역집계표"/>
      <sheetName val="2-3.공사비내역서"/>
      <sheetName val="도체종-상수표"/>
      <sheetName val="8.PILE  (돌출)"/>
      <sheetName val="장비명"/>
      <sheetName val="소업1교"/>
      <sheetName val="세부내역"/>
      <sheetName val="2.ㄱ)교량"/>
      <sheetName val="배수관접합및부설  "/>
      <sheetName val="000000"/>
      <sheetName val="토공집계"/>
      <sheetName val="가로등내역서"/>
      <sheetName val="98수문일위"/>
      <sheetName val="수문일1"/>
      <sheetName val="CCTV"/>
      <sheetName val="음성"/>
      <sheetName val="cost"/>
      <sheetName val="예산조서(전송)"/>
      <sheetName val="예산M11A"/>
      <sheetName val="수목데이타"/>
      <sheetName val="Calc V1.2"/>
      <sheetName val="Calc V1.2 (2)"/>
      <sheetName val="AS복구"/>
      <sheetName val="중기터파기"/>
      <sheetName val="변수값"/>
      <sheetName val="중기상차"/>
      <sheetName val="EKOG10건축"/>
      <sheetName val="내역서(1)"/>
      <sheetName val="insulation"/>
      <sheetName val="총괄"/>
      <sheetName val="계산중"/>
      <sheetName val="횡배위치"/>
      <sheetName val="현금"/>
      <sheetName val="단위수량"/>
      <sheetName val="wall"/>
      <sheetName val="입찰내역"/>
      <sheetName val="제경비율"/>
      <sheetName val="단가산출1"/>
      <sheetName val="10.25"/>
      <sheetName val="PROCESS"/>
      <sheetName val="45,46"/>
      <sheetName val="소일위대가코드표"/>
      <sheetName val="홈통받이수량"/>
      <sheetName val="프로젝트"/>
      <sheetName val="제진기"/>
      <sheetName val="계화배수(3대)"/>
      <sheetName val="당초수문"/>
      <sheetName val="영동(D)"/>
      <sheetName val="Supplement2"/>
      <sheetName val="입찰보고"/>
      <sheetName val="계약ITEM"/>
      <sheetName val="COVER"/>
      <sheetName val="세부내역(직접인건비)"/>
      <sheetName val="tggwan(mac)"/>
      <sheetName val="자갈,시멘트,모래산출"/>
      <sheetName val="중기조종사 단위단가"/>
      <sheetName val="폐기물산출"/>
      <sheetName val="신광초조도계선사업"/>
      <sheetName val="1차ESC적용"/>
      <sheetName val="잡비"/>
      <sheetName val="2004노형교"/>
      <sheetName val="공통가설"/>
      <sheetName val="11.자재단가"/>
      <sheetName val="YM-IL1"/>
      <sheetName val="일보"/>
      <sheetName val="역T형옹벽단위수량"/>
      <sheetName val="유림골조"/>
      <sheetName val="공통비(전체)"/>
      <sheetName val="토목공사"/>
      <sheetName val="새공통(96임금인상기준)"/>
      <sheetName val="비교1"/>
      <sheetName val="유림총괄"/>
      <sheetName val="내역서(2)"/>
      <sheetName val="갑  지"/>
      <sheetName val="101동"/>
      <sheetName val="설계"/>
      <sheetName val="접속 SLAB,BRACKET 설계"/>
      <sheetName val="쌍송교"/>
      <sheetName val="EG-09"/>
      <sheetName val="간지"/>
      <sheetName val="금액집계"/>
      <sheetName val="8회로_전기"/>
      <sheetName val="7회로_15DIM_3RD"/>
      <sheetName val="35DIM_3D_(2)"/>
      <sheetName val="9회로_(2)"/>
      <sheetName val="10회로_조명"/>
      <sheetName val="7회로_조명"/>
      <sheetName val="조명3전기4_신형_(2)"/>
      <sheetName val="조명3전기2_신형"/>
      <sheetName val="14CH32DIM6RD5_(2)"/>
      <sheetName val="18DIM4CH3D_(2)"/>
      <sheetName val="전기2회로dim9_(3)"/>
      <sheetName val="전기2회로dim8_(4)"/>
      <sheetName val="5CH10DIM3D_(2)"/>
      <sheetName val="18DIM6CH3D_(2)"/>
      <sheetName val="8회로_25DIM_4RD_(2)"/>
      <sheetName val="9회로_22DIM_3D_"/>
      <sheetName val="6DIM12CH2D_(3)"/>
      <sheetName val="_HIT-&gt;HMC_견적(3900)"/>
      <sheetName val="1__통합배선설비"/>
      <sheetName val="PROJECT_BRIEF(EX_NEW)"/>
      <sheetName val="2F_회의실견적(5_14_일대)"/>
      <sheetName val="EQUIPMENT_-2"/>
      <sheetName val="별표_"/>
      <sheetName val="기초INPUT"/>
      <sheetName val="물량산출서"/>
      <sheetName val="지주목시비량산출서"/>
      <sheetName val="매립"/>
      <sheetName val="제잡비"/>
      <sheetName val="FAX"/>
      <sheetName val="골재집계"/>
      <sheetName val="호안공"/>
      <sheetName val="중기사용료산출근거"/>
      <sheetName val="1.원가계산서"/>
      <sheetName val="단가비교표 (계측제어)"/>
      <sheetName val="-배수구조총재료"/>
      <sheetName val="순공사비"/>
      <sheetName val="BAU"/>
      <sheetName val="실행"/>
      <sheetName val="102역사"/>
      <sheetName val="설치공사2"/>
      <sheetName val="일위(PN)"/>
      <sheetName val="k-103경고문"/>
      <sheetName val="발주서"/>
      <sheetName val="산경"/>
      <sheetName val="품의서"/>
      <sheetName val="정보매체A동"/>
      <sheetName val="품셈0_x0000_"/>
      <sheetName val=""/>
      <sheetName val="공사비총"/>
      <sheetName val="F4-F7"/>
      <sheetName val="DUT-BAT1"/>
      <sheetName val="조작대(1연)"/>
      <sheetName val="96작생능"/>
      <sheetName val="자재테이블"/>
      <sheetName val="수량(5)"/>
      <sheetName val="sum"/>
      <sheetName val="주차유도배관"/>
      <sheetName val="Sheet9"/>
      <sheetName val="수로단위수량"/>
      <sheetName val="노무비(첨부4-4)"/>
      <sheetName val="암거단위-1련"/>
      <sheetName val="STA.0"/>
      <sheetName val="내력서"/>
      <sheetName val="5차설계"/>
      <sheetName val="역T형"/>
      <sheetName val="SLAB"/>
      <sheetName val="LSB-산출근거"/>
      <sheetName val="노임1"/>
      <sheetName val="FORM-0"/>
      <sheetName val="설계서을"/>
      <sheetName val="각형맨홀"/>
      <sheetName val="100%"/>
      <sheetName val="영창26"/>
      <sheetName val="1TL종점(1)"/>
      <sheetName val="원가&amp;하도급원가"/>
      <sheetName val="산출2-기기동력"/>
      <sheetName val="산출3-유도등"/>
      <sheetName val="산출2-동력"/>
      <sheetName val="산출2-피뢰침"/>
      <sheetName val="C-직노1"/>
      <sheetName val="D-경비1"/>
      <sheetName val="광통신 견적내역서1"/>
      <sheetName val="설계명세서(선로)"/>
      <sheetName val="방송(2)"/>
      <sheetName val="시공_x0000__x0000__x0005__x0000_"/>
      <sheetName val="대가목록"/>
      <sheetName val="신천3호용수로"/>
      <sheetName val="Dae_Jiju"/>
      <sheetName val="Sikje_ingun"/>
      <sheetName val="TREE_D"/>
      <sheetName val="회사정보"/>
      <sheetName val="1 자원총괄"/>
      <sheetName val="계산서(곡선부)"/>
      <sheetName val="-치수표(곡선부)"/>
      <sheetName val="조명율데이타"/>
      <sheetName val="조도계산(가로등NEW)"/>
      <sheetName val="전력"/>
      <sheetName val="PAINT"/>
      <sheetName val="공문"/>
      <sheetName val="국공유지및사유지"/>
      <sheetName val="건축집계표(2)"/>
      <sheetName val="내역서(3)"/>
      <sheetName val="5전기집계"/>
      <sheetName val="5-1전기내역"/>
      <sheetName val="6.설비집계"/>
      <sheetName val="6PILE  (돌출)"/>
      <sheetName val="총괄내역서"/>
      <sheetName val="Paint,Fire-P+_x0000__x0000__x0001_Ԁ_x0000__x0000__x0000__x0000_┙⪹_x0002_怀際"/>
      <sheetName val="다심-cable"/>
      <sheetName val="1C-cable"/>
      <sheetName val="교실"/>
      <sheetName val="외자내역"/>
      <sheetName val="외자배분"/>
      <sheetName val="Customer Databas"/>
      <sheetName val="Sheet15"/>
      <sheetName val="fursys"/>
      <sheetName val="총계"/>
      <sheetName val="견적대비"/>
      <sheetName val="퇴비산출근거"/>
      <sheetName val="교통대책내역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/>
      <sheetData sheetId="806"/>
      <sheetData sheetId="807"/>
      <sheetData sheetId="808"/>
      <sheetData sheetId="809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터널조도"/>
      <sheetName val="전압강하-상행"/>
      <sheetName val="전압강하-하행"/>
      <sheetName val="&quot;u&quot; TYPE 구간 조명"/>
      <sheetName val="&quot;U&quot;TYPE 전압강하"/>
      <sheetName val="TR용량"/>
      <sheetName val="TR용량 (2)"/>
      <sheetName val="GEN"/>
      <sheetName val="UPS"/>
      <sheetName val="간선굵기 설명"/>
      <sheetName val="간선굵기"/>
      <sheetName val="접지"/>
      <sheetName val="IMPEADENCE"/>
      <sheetName val="직류전원"/>
      <sheetName val="Sheet5"/>
      <sheetName val="불평형 계산식"/>
      <sheetName val="계산1"/>
      <sheetName val="계산2"/>
      <sheetName val="laroux"/>
      <sheetName val="DATA"/>
      <sheetName val="흥양2교토공집계표"/>
      <sheetName val="실행철강하도"/>
      <sheetName val="LX-CAL"/>
      <sheetName val="Sheet1"/>
      <sheetName val="수안보-MBR1"/>
      <sheetName val="Graph (LGEN)"/>
      <sheetName val="out_prog"/>
      <sheetName val="선적schedule (2)"/>
      <sheetName val="단면치수"/>
      <sheetName val="사용성검토"/>
      <sheetName val="공사비집계"/>
      <sheetName val="BQ(실행)"/>
      <sheetName val="우각부보강"/>
      <sheetName val="설계"/>
      <sheetName val="계수시트"/>
      <sheetName val="원가계산서"/>
      <sheetName val="동해title"/>
      <sheetName val="????"/>
      <sheetName val="LOPCALC"/>
      <sheetName val="Macro(차단기)"/>
      <sheetName val="5.모델링"/>
      <sheetName val="COPING"/>
      <sheetName val="외천교"/>
      <sheetName val="Cost bd-&quot;A&quot;"/>
      <sheetName val="내역서"/>
      <sheetName val="공종단가"/>
      <sheetName val="UNIT"/>
      <sheetName val="세부내역서"/>
      <sheetName val="PROJECT BRIEF(EX.NEW)"/>
      <sheetName val="기기리스트"/>
      <sheetName val="CONCRETE"/>
      <sheetName val="ELECTRIC"/>
      <sheetName val="감가상각"/>
      <sheetName val="Pjny"/>
      <sheetName val="교대"/>
      <sheetName val="내역"/>
      <sheetName val="Total"/>
      <sheetName val="와동25-3(변경)"/>
      <sheetName val="NA"/>
      <sheetName val="자압"/>
      <sheetName val="Macro1"/>
      <sheetName val="준검 내역서"/>
      <sheetName val="ÅÍ³ÎÁ¶µµ"/>
      <sheetName val="Àü¾Ð°­ÇÏ-»óÇà"/>
      <sheetName val="Àü¾Ð°­ÇÏ-ÇÏÇà"/>
      <sheetName val="&quot;u&quot; TYPE ±¸°£ Á¶¸í"/>
      <sheetName val="&quot;U&quot;TYPE Àü¾Ð°­ÇÏ"/>
      <sheetName val="TR¿ë·®"/>
      <sheetName val="TR¿ë·® (2)"/>
      <sheetName val="°£¼±±½±â ¼³¸í"/>
      <sheetName val="°£¼±±½±â"/>
      <sheetName val="Á¢Áö"/>
      <sheetName val="Á÷·ùÀü¿ø"/>
      <sheetName val="ºÒÆòÇü °è»ê½Ä"/>
      <sheetName val="°è»ê1"/>
      <sheetName val="°è»ê2"/>
      <sheetName val="»ç¿ë¼º°ËÅä"/>
      <sheetName val="1.설계조건"/>
      <sheetName val="#REF"/>
      <sheetName val="가설건물"/>
      <sheetName val="¼³°è"/>
      <sheetName val="¼ö¾Èº¸-MBR1"/>
      <sheetName val="´Ü¸éÄ¡¼ö"/>
      <sheetName val="°ø»çºñÁý°è"/>
      <sheetName val="BQ(½ÇÇà)"/>
      <sheetName val="¿ì°¢ºÎº¸°­"/>
      <sheetName val="½ÇÇàÃ¶°­ÇÏµµ"/>
      <sheetName val="현금"/>
      <sheetName val="DATE"/>
      <sheetName val="Dae_Jiju"/>
      <sheetName val="Sikje_ingun"/>
      <sheetName val="TREE_D"/>
      <sheetName val="MOTOR"/>
      <sheetName val="회로내역(승인)"/>
      <sheetName val="환율적용표"/>
      <sheetName val="2.단면가정"/>
      <sheetName val="표지 (2)"/>
      <sheetName val="부대내역"/>
      <sheetName val="노임"/>
      <sheetName val="PIPE내역(FCN)"/>
      <sheetName val="JUCKEYK"/>
      <sheetName val="유동표(변경)"/>
      <sheetName val="매입세"/>
      <sheetName val="6PILE  (돌출)"/>
      <sheetName val="청구내역(9807)"/>
      <sheetName val="기계내역"/>
      <sheetName val="플랜트 설치"/>
      <sheetName val="약품설비"/>
      <sheetName val="소상 &quot;1&quot;"/>
      <sheetName val="Sheet7"/>
      <sheetName val="10.1"/>
      <sheetName val="집수정(600-700)"/>
      <sheetName val="Sheet17"/>
      <sheetName val="목차"/>
      <sheetName val="공사기본자료"/>
      <sheetName val="공사개요"/>
      <sheetName val="MOTOR3"/>
      <sheetName val="TNHCHINH"/>
      <sheetName val="표지(1)"/>
      <sheetName val="c_balju"/>
      <sheetName val="POOM_MOTO"/>
      <sheetName val="JUCK"/>
      <sheetName val="EP0618"/>
      <sheetName val="정산내임"/>
      <sheetName val="수량산출"/>
      <sheetName val="copy"/>
      <sheetName val="1을"/>
      <sheetName val="장비내역서"/>
      <sheetName val="일반공사"/>
      <sheetName val="Y-WORK"/>
      <sheetName val="A-4"/>
      <sheetName val="상세내역,전력산출서"/>
      <sheetName val="가도공"/>
      <sheetName val="일위대가목차"/>
      <sheetName val="대치판정"/>
      <sheetName val="SELTDATA"/>
      <sheetName val="S0"/>
      <sheetName val="Sheet3"/>
      <sheetName val="배수내역"/>
      <sheetName val="명세서"/>
      <sheetName val="입력DATA"/>
      <sheetName val="h-013211-2"/>
      <sheetName val="VESSEL Sh. 1"/>
      <sheetName val="Macro2"/>
      <sheetName val="BID"/>
      <sheetName val="특별교실"/>
      <sheetName val="동원(3)"/>
      <sheetName val="예정(3)"/>
      <sheetName val="지급자재"/>
      <sheetName val="Data&amp;Result"/>
      <sheetName val="ABUT수량-A1"/>
      <sheetName val="입찰보고"/>
      <sheetName val="Parem"/>
      <sheetName val="2.손익계산서"/>
      <sheetName val="부하(반월)"/>
      <sheetName val="TARGET"/>
      <sheetName val="Factor"/>
      <sheetName val="공용시설내역"/>
      <sheetName val="교각계산"/>
      <sheetName val="G.R300경비"/>
      <sheetName val="b_balju_cho"/>
      <sheetName val="ITEM"/>
      <sheetName val="경상비"/>
      <sheetName val="말뚝지지력산정"/>
      <sheetName val="부하LOAD"/>
      <sheetName val="정부노임단가"/>
      <sheetName val="INPUT"/>
      <sheetName val="본선 토공 분배표"/>
      <sheetName val="입찰내역서"/>
      <sheetName val="차액보증"/>
      <sheetName val="배수공 주요자재 집계표"/>
      <sheetName val="포설list원본"/>
      <sheetName val="MFAB"/>
      <sheetName val="MFRT"/>
      <sheetName val="MPKG"/>
      <sheetName val="MPRD"/>
      <sheetName val="설계조건"/>
      <sheetName val="1공구(을)"/>
      <sheetName val="6호기"/>
      <sheetName val="EQT-ESTN"/>
      <sheetName val="설계가"/>
      <sheetName val="A"/>
      <sheetName val="3련 BOX"/>
      <sheetName val="001"/>
      <sheetName val="지수"/>
      <sheetName val="KL HSMT tinh thieu"/>
      <sheetName val="참고"/>
      <sheetName val="IN"/>
      <sheetName val="ⴭⴭⴭⴭ"/>
      <sheetName val="데이타"/>
      <sheetName val="일위대가"/>
      <sheetName val="일위대가목록"/>
      <sheetName val="단가대비표"/>
      <sheetName val="22-2M단"/>
      <sheetName val="22-1소단"/>
      <sheetName val="BSD (2)"/>
      <sheetName val="인원투입계획"/>
      <sheetName val="공사개요(사업승인변경)"/>
      <sheetName val="L형 옹벽"/>
      <sheetName val="공통(20-91)"/>
      <sheetName val="봉양~조차장간고하개명(신설)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쌍송교"/>
      <sheetName val="기술자료 (광화문)"/>
      <sheetName val="TABLE"/>
      <sheetName val="³»¿ª¼­"/>
      <sheetName val="Çö±Ý"/>
      <sheetName val="±â±â¸®½ºÆ®"/>
      <sheetName val="Èï¾ç2±³Åä°øÁý°èÇ¥"/>
      <sheetName val="°è¼ö½ÃÆ®"/>
      <sheetName val="¿ø°¡°è»ê¼­"/>
      <sheetName val="µ¿ÇØtitle"/>
      <sheetName val="5.¸ðµ¨¸µ"/>
      <sheetName val="¿ÜÃµ±³"/>
      <sheetName val="¼±Àûschedule (2)"/>
      <sheetName val="Macro(Â÷´Ü±â)"/>
      <sheetName val="±â°è³»¿ª"/>
      <sheetName val="¼Ò»ó &quot;1&quot;"/>
      <sheetName val="ÁØ°Ë ³»¿ª¼­"/>
      <sheetName val="ÀÚ¾Ð"/>
      <sheetName val="1.¼³°èÁ¶°Ç"/>
      <sheetName val="°¡¼³°Ç¹°"/>
      <sheetName val="°¨°¡»ó°¢"/>
      <sheetName val="Á¤ºÎ³ëÀÓ´Ü°¡"/>
      <sheetName val="°øÁ¾´Ü°¡"/>
      <sheetName val="PIPE³»¿ª(FCN)"/>
      <sheetName val="설계서(설치)"/>
      <sheetName val="단가"/>
      <sheetName val="총괄내역"/>
      <sheetName val="진로도급"/>
      <sheetName val="구의33고"/>
      <sheetName val="&quot;u&quot;_TYPE_구간_조명"/>
      <sheetName val="&quot;U&quot;TYPE_전압강하"/>
      <sheetName val="TR용량_(2)"/>
      <sheetName val="간선굵기_설명"/>
      <sheetName val="불평형_계산식"/>
      <sheetName val="Cost_bd-&quot;A&quot;"/>
      <sheetName val="5_모델링"/>
      <sheetName val="준검_내역서"/>
      <sheetName val="Sheet6"/>
      <sheetName val="자압1"/>
      <sheetName val="입고장부 (4)"/>
      <sheetName val="List(rev.B)"/>
      <sheetName val="월선수금"/>
      <sheetName val="수질정화시설"/>
      <sheetName val="공량산출서"/>
      <sheetName val="입찰안"/>
      <sheetName val="TSS Part List"/>
      <sheetName val="cost"/>
      <sheetName val="노임단가"/>
      <sheetName val="매입세율"/>
      <sheetName val="부하계산서"/>
      <sheetName val="우배수"/>
      <sheetName val="계산식"/>
      <sheetName val="2000전체분"/>
      <sheetName val="2000년1차"/>
      <sheetName val="20관리비율"/>
      <sheetName val="투찰"/>
      <sheetName val="산출근거"/>
      <sheetName val="list"/>
      <sheetName val="을지"/>
      <sheetName val="SG"/>
      <sheetName val="1-1"/>
      <sheetName val="STORAGE"/>
      <sheetName val="현관"/>
      <sheetName val="슬래브1"/>
      <sheetName val="L_RPTA05_목록"/>
      <sheetName val="LG제품"/>
      <sheetName val="품셈(기초)"/>
      <sheetName val="동력부하(도산)"/>
      <sheetName val="조도계산"/>
      <sheetName val="표지판단위"/>
      <sheetName val="토공A"/>
      <sheetName val="왕십리방향"/>
      <sheetName val="____"/>
      <sheetName val="전기"/>
      <sheetName val="전차선로 물량표"/>
      <sheetName val="한강운반비"/>
      <sheetName val="시설일위"/>
      <sheetName val="조명율데이타"/>
      <sheetName val="부하(성남)"/>
      <sheetName val="Key assumption"/>
      <sheetName val="종배수관"/>
      <sheetName val="과천MAIN"/>
      <sheetName val="SRC-B3U2"/>
      <sheetName val="노무비"/>
      <sheetName val="토공집계"/>
      <sheetName val="tggwan(mac)"/>
      <sheetName val="총괄집계표"/>
      <sheetName val="N賃率-職"/>
      <sheetName val="MAT"/>
      <sheetName val="견적정보"/>
      <sheetName val="조정금액결과표 (차수별)"/>
      <sheetName val="Summary - Budget"/>
      <sheetName val="내역(정지)"/>
      <sheetName val="토사(PE)"/>
      <sheetName val="일위대가(계측기설치)"/>
      <sheetName val="터파기및재료"/>
      <sheetName val="MEXICO-C"/>
      <sheetName val="05년"/>
      <sheetName val="매입부가세율(동림)"/>
      <sheetName val="품셈집계표"/>
      <sheetName val="자재조사표(참고용)"/>
      <sheetName val="일반부표집계표"/>
      <sheetName val="총괄내역서"/>
      <sheetName val="변수값"/>
      <sheetName val="중기상차"/>
      <sheetName val="AS복구"/>
      <sheetName val="중기터파기"/>
      <sheetName val="토목"/>
      <sheetName val="공종별집계표"/>
      <sheetName val="일위대가 "/>
      <sheetName val="신관(1)"/>
      <sheetName val="환경기계공정표 (3)"/>
      <sheetName val="금액내역서"/>
      <sheetName val="대로근거"/>
      <sheetName val="중로근거"/>
      <sheetName val="BACK DATA"/>
      <sheetName val="C3"/>
      <sheetName val="잡비"/>
      <sheetName val="#2_일위대가목록"/>
      <sheetName val="indirect"/>
      <sheetName val="cable-data"/>
      <sheetName val="견적기준"/>
      <sheetName val="일위대가-1"/>
      <sheetName val="가로등제어반 설치공사(수량)"/>
      <sheetName val="EPro"/>
      <sheetName val="의왕"/>
      <sheetName val="견적사양비교표"/>
      <sheetName val="기계-설변"/>
      <sheetName val="CALCULATION"/>
      <sheetName val="단중표-ST"/>
      <sheetName val="piping"/>
      <sheetName val="수량산출서"/>
      <sheetName val="Site Expenses"/>
      <sheetName val="ilch"/>
      <sheetName val="1"/>
      <sheetName val="GRACE"/>
      <sheetName val="분석가정"/>
      <sheetName val="2000년하반기"/>
      <sheetName val="우수공"/>
      <sheetName val="안정검토(온1)"/>
      <sheetName val="정산K산출"/>
      <sheetName val="수입"/>
      <sheetName val="주형"/>
      <sheetName val="입력정보"/>
      <sheetName val="Data &amp; Result"/>
      <sheetName val="토목내역서"/>
      <sheetName val="설비내역서"/>
      <sheetName val="WORK"/>
      <sheetName val="철골수량"/>
      <sheetName val="L형측구단위수량"/>
      <sheetName val="L형측구연장조서"/>
      <sheetName val="도로경계블럭단위수량"/>
      <sheetName val="도로경계블럭단위토공"/>
      <sheetName val="집계표"/>
      <sheetName val="OZ049E"/>
      <sheetName val="배수개거재(신)"/>
      <sheetName val="품셈TABLE"/>
      <sheetName val="우수"/>
      <sheetName val="토공사"/>
      <sheetName val="&quot;u&quot;_TYPE_구간_조명1"/>
      <sheetName val="&quot;U&quot;TYPE_전압강하1"/>
      <sheetName val="TR용량_(2)1"/>
      <sheetName val="간선굵기_설명1"/>
      <sheetName val="불평형_계산식1"/>
      <sheetName val="선급법인세 (2)"/>
      <sheetName val="1-최종안"/>
      <sheetName val="사업분석-분양가결정"/>
      <sheetName val="REDUCER"/>
      <sheetName val="WE'T"/>
      <sheetName val="구조물철거타공정이월"/>
      <sheetName val="최종"/>
      <sheetName val="PROJECT BRIEF_EX_NEW_"/>
      <sheetName val="공통가설"/>
      <sheetName val="자재수량"/>
      <sheetName val="인건-측정"/>
      <sheetName val="411-00 외화장기"/>
      <sheetName val="견적"/>
      <sheetName val="중동상가"/>
      <sheetName val="UPDATA"/>
      <sheetName val="토공집계표"/>
      <sheetName val="설계명세서"/>
      <sheetName val="예산명세서"/>
      <sheetName val="자료입력"/>
      <sheetName val="포장복구집계"/>
      <sheetName val="부대토목"/>
      <sheetName val="96작생능"/>
      <sheetName val="실행비교"/>
      <sheetName val="WC96709"/>
      <sheetName val="갑지"/>
      <sheetName val="건축내역서"/>
      <sheetName val="(A)내역서"/>
      <sheetName val="타공종이기"/>
      <sheetName val="하수BOX이설"/>
      <sheetName val="TYPE-1"/>
      <sheetName val="밸브설치"/>
      <sheetName val="노무비 "/>
      <sheetName val="Graph_(LGEN)"/>
      <sheetName val="선적schedule_(2)"/>
      <sheetName val="&quot;u&quot;_TYPE_±¸°£_Á¶¸í"/>
      <sheetName val="&quot;U&quot;TYPE_Àü¾Ð°­ÇÏ"/>
      <sheetName val="TR¿ë·®_(2)"/>
      <sheetName val="°£¼±±½±â_¼³¸í"/>
      <sheetName val="ºÒÆòÇü_°è»ê½Ä"/>
      <sheetName val="1_설계조건"/>
      <sheetName val="6PILE__(돌출)"/>
      <sheetName val="2_단면가정"/>
      <sheetName val="표지_(2)"/>
      <sheetName val="PROJECT_BRIEF(EX_NEW)"/>
      <sheetName val="유동표"/>
      <sheetName val="9.3 단면력집계"/>
      <sheetName val="2. 설계단면"/>
      <sheetName val="No-&gt;Code"/>
      <sheetName val="2월가격"/>
      <sheetName val="통합"/>
      <sheetName val="1,2공구원가계산서"/>
      <sheetName val="2공구산출내역"/>
      <sheetName val="1공구산출내역서"/>
      <sheetName val="실행내역서 "/>
      <sheetName val="기초계산(Pmax)"/>
      <sheetName val="기계경비(시간당)"/>
      <sheetName val="램머"/>
      <sheetName val="평가데이터"/>
      <sheetName val="청천내"/>
      <sheetName val="식재총괄"/>
      <sheetName val="일위목록"/>
      <sheetName val="Param"/>
      <sheetName val="HVAC"/>
      <sheetName val="설산1.나"/>
      <sheetName val="본사S"/>
      <sheetName val="적격"/>
      <sheetName val="단가 "/>
      <sheetName val="일위총괄표"/>
      <sheetName val="당초"/>
      <sheetName val="CAT_5"/>
      <sheetName val="P-산#1-1(WOWA1)"/>
      <sheetName val="BJJIN"/>
      <sheetName val="의왕F사"/>
      <sheetName val="가공사"/>
      <sheetName val="TONG HOP VL-NC TT"/>
      <sheetName val="CHITIET VL-NC-TT -1p"/>
      <sheetName val="TDTKP1"/>
      <sheetName val="KPVC-BD "/>
      <sheetName val="세부내역서(소방)"/>
      <sheetName val="sw1"/>
      <sheetName val="NOMUBI"/>
      <sheetName val="견적조건"/>
      <sheetName val="조도계산서 (도서)"/>
      <sheetName val="도담구내 개소별 명세"/>
      <sheetName val="현황산출서"/>
      <sheetName val="옹벽기초자료"/>
      <sheetName val="집1"/>
      <sheetName val="담당자"/>
      <sheetName val="3.하중산정4.지지력"/>
      <sheetName val="현장관리비 산출내역"/>
      <sheetName val="기계경비"/>
      <sheetName val="연결관암거"/>
      <sheetName val="154TW"/>
      <sheetName val="시설물일위"/>
      <sheetName val="Licences"/>
      <sheetName val="골조시행"/>
      <sheetName val="2월가격표-ESG-1월"/>
      <sheetName val="SPEC"/>
      <sheetName val="바닥판"/>
      <sheetName val="1.Pre"/>
      <sheetName val="Food court "/>
      <sheetName val="직원동원계획"/>
      <sheetName val="기초자료입력"/>
      <sheetName val="가로등내역서"/>
      <sheetName val="약품공급2"/>
      <sheetName val="기준"/>
      <sheetName val="학생내역"/>
      <sheetName val="전기내역서"/>
      <sheetName val="LAB"/>
      <sheetName val="수문일1"/>
      <sheetName val="원가"/>
      <sheetName val="건축내역"/>
      <sheetName val="간접비"/>
      <sheetName val="현황CODE"/>
      <sheetName val="손익현황"/>
      <sheetName val="2F 회의실견적(5_14 일대)"/>
      <sheetName val="충주"/>
      <sheetName val="자재"/>
      <sheetName val="CT "/>
      <sheetName val="중갑지"/>
      <sheetName val="기본DATA"/>
      <sheetName val="0001(arch)"/>
      <sheetName val="배선DATA"/>
      <sheetName val="역삼"/>
      <sheetName val="자재단가"/>
      <sheetName val="2000상반기노임"/>
      <sheetName val="문학간접"/>
      <sheetName val="간접"/>
      <sheetName val="보차도경계석"/>
      <sheetName val="적용기준"/>
      <sheetName val="토공(완충)"/>
      <sheetName val="계산근거"/>
      <sheetName val="입력"/>
      <sheetName val="총괄표"/>
      <sheetName val="적용단위길이"/>
      <sheetName val="종배수관(신)"/>
      <sheetName val="3BL공동구 수량"/>
      <sheetName val="FOOTING단면력"/>
      <sheetName val="적정심사"/>
      <sheetName val="단위내역서"/>
      <sheetName val="20110404_JRL_성수서비스 Specificatio"/>
      <sheetName val="직재"/>
      <sheetName val="COVER"/>
      <sheetName val="부재치수입력"/>
      <sheetName val="출근부"/>
      <sheetName val="문화재 시굴조사비(표지)"/>
      <sheetName val="9902"/>
      <sheetName val="전기일위목록"/>
      <sheetName val="07피뢰침설비공사"/>
      <sheetName val="대포2교접속"/>
      <sheetName val="조명율표"/>
      <sheetName val="ROOF(ALKALI)"/>
      <sheetName val="물량산출근거"/>
      <sheetName val="교대시점"/>
      <sheetName val="산출내역서"/>
      <sheetName val="XXXXXX"/>
      <sheetName val="유기공정"/>
      <sheetName val="산출근거(통합감시)"/>
      <sheetName val="관접합및부설"/>
      <sheetName val="CAL"/>
      <sheetName val="적용단가"/>
      <sheetName val="원형1호맨홀토공수량"/>
      <sheetName val="경계석"/>
      <sheetName val="표지"/>
      <sheetName val="단가산출"/>
      <sheetName val="401"/>
      <sheetName val="장비집계"/>
      <sheetName val="세부내역서(전기)"/>
      <sheetName val="세부내역"/>
      <sheetName val="작성"/>
      <sheetName val="외자배분"/>
      <sheetName val="다이꾸"/>
      <sheetName val="계정"/>
      <sheetName val="노무자 명단"/>
      <sheetName val="기계경비일람"/>
      <sheetName val="KD율"/>
      <sheetName val="철거산출근거"/>
      <sheetName val="1SPAN"/>
      <sheetName val="플랜트_설치"/>
      <sheetName val="소상_&quot;1&quot;"/>
      <sheetName val="VESSEL_Sh__1"/>
      <sheetName val="10_1"/>
      <sheetName val="보고"/>
      <sheetName val="LX-CAL.XLS"/>
      <sheetName val="내역표지"/>
      <sheetName val="재료비"/>
      <sheetName val="1NYS(당)"/>
      <sheetName val="남양시작동자105노65기1.3화1.2"/>
      <sheetName val="대림산업"/>
      <sheetName val="옹벽"/>
      <sheetName val="상세내역"/>
      <sheetName val="장비경비"/>
      <sheetName val="인부신상자료"/>
      <sheetName val="인건비"/>
      <sheetName val="관급원내역"/>
      <sheetName val="Macro(MCC-1)"/>
      <sheetName val="역T형교대(말뚝기초)"/>
      <sheetName val="3-1.CB"/>
      <sheetName val="토공"/>
      <sheetName val="단면"/>
      <sheetName val="용산1(해보)"/>
      <sheetName val="별표 "/>
      <sheetName val="인부노임"/>
      <sheetName val="빌딩 안내"/>
      <sheetName val="200"/>
      <sheetName val="토량산출서"/>
      <sheetName val="설 계"/>
      <sheetName val="Languages"/>
      <sheetName val="전기일위대가"/>
      <sheetName val="제수"/>
      <sheetName val="공기"/>
      <sheetName val="계획조정"/>
      <sheetName val="기계"/>
      <sheetName val="제출내역 (2)"/>
      <sheetName val="DHEQSUPT"/>
      <sheetName val="E01-02(EV-1-LBS)"/>
      <sheetName val="품의서"/>
      <sheetName val="업체별기성내역"/>
      <sheetName val="기초단가"/>
      <sheetName val="APT내역"/>
      <sheetName val="날개벽"/>
      <sheetName val="제수변수량H2.15"/>
      <sheetName val="_공기변수량"/>
      <sheetName val="공사비증감"/>
      <sheetName val="중기일위대가"/>
      <sheetName val="코드"/>
      <sheetName val="도급"/>
      <sheetName val="내역(전체)"/>
      <sheetName val="간지"/>
      <sheetName val="견적지침"/>
      <sheetName val="9.품셈"/>
      <sheetName val="물가시세"/>
      <sheetName val="실행"/>
      <sheetName val="wall"/>
      <sheetName val="Front"/>
      <sheetName val="할증 "/>
      <sheetName val="1.동력공사"/>
      <sheetName val="U-TYPE(1)"/>
      <sheetName val="정비손익"/>
      <sheetName val="투찰내역"/>
      <sheetName val="nomi "/>
      <sheetName val="슬래브"/>
      <sheetName val="C"/>
      <sheetName val="본사업"/>
      <sheetName val="잡철물"/>
      <sheetName val="참조"/>
      <sheetName val="수압집계"/>
      <sheetName val="집수정단"/>
      <sheetName val="01"/>
      <sheetName val="갑지(추정)"/>
      <sheetName val="송장"/>
      <sheetName val="DATA1"/>
      <sheetName val="4.2유효폭의 계산"/>
      <sheetName val="VXXXXX"/>
      <sheetName val="결재판"/>
      <sheetName val="손익분석"/>
      <sheetName val="9GNG운반"/>
      <sheetName val="내역1"/>
      <sheetName val="SHEET 19"/>
      <sheetName val="CMTD"/>
      <sheetName val="Cover Sheet"/>
      <sheetName val="설계예산서"/>
      <sheetName val="총계"/>
      <sheetName val="예산내역서"/>
      <sheetName val="General Data"/>
      <sheetName val="전력구구조물산근"/>
      <sheetName val="Arch"/>
      <sheetName val="기준액"/>
      <sheetName val="DB"/>
      <sheetName val="단가비교표_공통1"/>
      <sheetName val="의정부문예회관변경내역"/>
      <sheetName val="Tool"/>
      <sheetName val="공사원가계산서"/>
      <sheetName val="입찰결과보고"/>
      <sheetName val="정렬"/>
      <sheetName val="계산서(곡선부)"/>
      <sheetName val="포장재료집계표"/>
      <sheetName val="을"/>
      <sheetName val="TYPE A"/>
      <sheetName val="기본일위"/>
      <sheetName val="단가산출(문안수정)"/>
      <sheetName val="총괄"/>
      <sheetName val="설계산출표지"/>
      <sheetName val="2.대외공문"/>
      <sheetName val="Lists"/>
      <sheetName val="실행내역"/>
      <sheetName val="0.갑지"/>
      <sheetName val="8.현장관리비"/>
      <sheetName val="7.안전관리비"/>
      <sheetName val="I一般比"/>
      <sheetName val="RING WALL"/>
      <sheetName val="8.1"/>
      <sheetName val="calculation-1"/>
      <sheetName val="CombinedFooting_F3"/>
      <sheetName val="장비단가 (2차) 수로준설,케이싱"/>
      <sheetName val="프랜트면허"/>
      <sheetName val="토목주소"/>
      <sheetName val="재무가정"/>
      <sheetName val="타견적(을)"/>
      <sheetName val="전압강하계산"/>
      <sheetName val="CTEMCOST"/>
      <sheetName val="아파트 "/>
      <sheetName val="견적단가"/>
      <sheetName val="RAHMEN"/>
      <sheetName val="안정계산"/>
      <sheetName val="단면검토"/>
      <sheetName val="주간계획"/>
      <sheetName val="단가표"/>
      <sheetName val="신규일위대가"/>
      <sheetName val="4월가격"/>
      <sheetName val="노무비 근거"/>
      <sheetName val="일위대가표"/>
      <sheetName val="연동 내역서"/>
      <sheetName val="__Isyou_c_PJT_97_R_SUWONJ_REP_2"/>
      <sheetName val="호남2"/>
      <sheetName val="공사개요 (2)"/>
      <sheetName val="인계"/>
      <sheetName val="본선_토공_분배표"/>
      <sheetName val="5_¸ðµ¨¸µ"/>
      <sheetName val="¼±Àûschedule_(2)"/>
      <sheetName val="¼Ò»ó_&quot;1&quot;"/>
      <sheetName val="ÁØ°Ë_³»¿ª¼­"/>
      <sheetName val="1_¼³°èÁ¶°Ç"/>
      <sheetName val="KL_HSMT_tinh_thieu"/>
      <sheetName val="2_손익계산서"/>
      <sheetName val="BSD_(2)"/>
      <sheetName val="기술자료_(광화문)"/>
      <sheetName val="입고장부_(4)"/>
      <sheetName val="List(rev_B)"/>
      <sheetName val="Cost_bd-&quot;A&quot;1"/>
      <sheetName val="Graph_(LGEN)1"/>
      <sheetName val="선적schedule_(2)1"/>
      <sheetName val="5_모델링1"/>
      <sheetName val="PROJECT_BRIEF(EX_NEW)1"/>
      <sheetName val="소상_&quot;1&quot;1"/>
      <sheetName val="준검_내역서1"/>
      <sheetName val="&quot;u&quot;_TYPE_±¸°£_Á¶¸í1"/>
      <sheetName val="&quot;U&quot;TYPE_Àü¾Ð°­ÇÏ1"/>
      <sheetName val="TR¿ë·®_(2)1"/>
      <sheetName val="°£¼±±½±â_¼³¸í1"/>
      <sheetName val="ºÒÆòÇü_°è»ê½Ä1"/>
      <sheetName val="1_설계조건1"/>
      <sheetName val="2_단면가정1"/>
      <sheetName val="표지_(2)1"/>
      <sheetName val="6PILE__(돌출)1"/>
      <sheetName val="BSD_(2)1"/>
      <sheetName val="KL_HSMT_tinh_thieu1"/>
      <sheetName val="플랜트_설치1"/>
      <sheetName val="기술자료_(광화문)1"/>
      <sheetName val="본선_토공_분배표1"/>
      <sheetName val="5_¸ðµ¨¸µ1"/>
      <sheetName val="¼±Àûschedule_(2)1"/>
      <sheetName val="¼Ò»ó_&quot;1&quot;1"/>
      <sheetName val="ÁØ°Ë_³»¿ª¼­1"/>
      <sheetName val="1_¼³°èÁ¶°Ç1"/>
      <sheetName val="2_손익계산서1"/>
      <sheetName val="입고장부_(4)1"/>
      <sheetName val="List(rev_B)1"/>
      <sheetName val="10_11"/>
      <sheetName val="VESSEL_Sh__11"/>
      <sheetName val="도면자료제출일정"/>
      <sheetName val="VXXXXXXX"/>
      <sheetName val="원본"/>
      <sheetName val="LD"/>
      <sheetName val="일보"/>
      <sheetName val="투입인력"/>
      <sheetName val="진접"/>
      <sheetName val="SUN 2000. 10 가격"/>
      <sheetName val="양식"/>
      <sheetName val="경비"/>
      <sheetName val="특수선일위대가"/>
      <sheetName val="WIND-EQ"/>
      <sheetName val="단가 및 재료비"/>
      <sheetName val="중기사용료산출근거"/>
      <sheetName val="소계정"/>
      <sheetName val="단위중량"/>
      <sheetName val="본댐"/>
      <sheetName val="도수"/>
      <sheetName val="ssb"/>
      <sheetName val="증감"/>
      <sheetName val="국고"/>
      <sheetName val="발전"/>
      <sheetName val="건축"/>
      <sheetName val="통신"/>
      <sheetName val="집계"/>
      <sheetName val="챠트"/>
      <sheetName val="물가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1"/>
      <sheetName val="일위"/>
      <sheetName val="TYPE1"/>
      <sheetName val="철근량"/>
      <sheetName val="FB25JN"/>
      <sheetName val="기계단가"/>
      <sheetName val="8.일위"/>
      <sheetName val="경산"/>
      <sheetName val="지진시"/>
      <sheetName val="지표"/>
      <sheetName val="SLAB"/>
      <sheetName val="폐토수익화 "/>
      <sheetName val="__Isyou_c_PJT_97_R_SUWONJ_REP_3"/>
      <sheetName val="APT"/>
      <sheetName val="DUT-BAT1"/>
      <sheetName val="신우"/>
      <sheetName val="실행내역서"/>
      <sheetName val="인천제철"/>
      <sheetName val="아주기계"/>
      <sheetName val="DATA-3"/>
      <sheetName val="허용전류-IEC DATA"/>
      <sheetName val="대구실행"/>
      <sheetName val="PumpSpec"/>
      <sheetName val="개요"/>
      <sheetName val="Baby일위대가"/>
      <sheetName val="백암비스타내역"/>
      <sheetName val="원가서"/>
      <sheetName val="새공통(96임금인상기준)"/>
      <sheetName val="직노"/>
      <sheetName val="COMPRESSOR"/>
      <sheetName val="제진기"/>
      <sheetName val="POOM_MOTO2"/>
      <sheetName val="보활"/>
      <sheetName val="결재판(삭제하지말아주세요)"/>
      <sheetName val="건축집계"/>
      <sheetName val="원가계산"/>
      <sheetName val="기초대가"/>
      <sheetName val="노임단가(2000하반기)"/>
      <sheetName val="info"/>
      <sheetName val="조명시설"/>
      <sheetName val="new급여T(4을-운전)"/>
      <sheetName val="총괄표 (2)"/>
      <sheetName val="AHU집계"/>
      <sheetName val="공조기휀"/>
      <sheetName val="공조기"/>
      <sheetName val="포장공자재집계표"/>
      <sheetName val="L형옹벽측구"/>
      <sheetName val="코드표"/>
      <sheetName val="수주추정"/>
      <sheetName val="가격정보"/>
      <sheetName val="횡배위치"/>
      <sheetName val="연결 주간달력"/>
      <sheetName val="Formulas"/>
      <sheetName val="내역서(을지)_2-1공구"/>
      <sheetName val="5. 차단기 용량계산"/>
      <sheetName val="X17-TOTAL"/>
      <sheetName val="가압장(토목)"/>
      <sheetName val="날개벽수량표"/>
      <sheetName val="J直材4"/>
      <sheetName val="E.P.T수량산출서"/>
      <sheetName val="자재 집계표"/>
      <sheetName val="조정율"/>
      <sheetName val="중기임차료"/>
      <sheetName val="중기경유공제"/>
      <sheetName val="중기잡유공제"/>
      <sheetName val="중기경유지급대장"/>
      <sheetName val="중기잡유지급대장"/>
      <sheetName val="결과조달"/>
      <sheetName val="교각1"/>
      <sheetName val="2"/>
      <sheetName val="3"/>
      <sheetName val="4"/>
      <sheetName val="5"/>
      <sheetName val="접속도로1"/>
      <sheetName val="접속도로"/>
      <sheetName val="재정비직인"/>
      <sheetName val="재정비내역"/>
      <sheetName val="지적고시내역"/>
      <sheetName val="INMD1198"/>
      <sheetName val="INFG1198"/>
      <sheetName val="안정검토(온1_x0000_"/>
      <sheetName val="중기손료"/>
      <sheetName val="도"/>
      <sheetName val="가옥철거조서"/>
      <sheetName val="품목납기"/>
      <sheetName val="직공비"/>
      <sheetName val="일반전기"/>
      <sheetName val="견적대비"/>
      <sheetName val="__Isyou_c_PJT_97_R_SUWONJ_REP_4"/>
      <sheetName val="__Isyou_c_PJT_97_R_SUWONJ_REP_5"/>
      <sheetName val="합의경상"/>
      <sheetName val="#REF!"/>
      <sheetName val="Ekog10"/>
      <sheetName val="일위대가(건축)"/>
      <sheetName val="공사비내역서"/>
      <sheetName val="도급양식"/>
      <sheetName val="BID-도로"/>
      <sheetName val="전기일위_x0000__x0000_"/>
      <sheetName val="식재인부"/>
      <sheetName val="골재집계"/>
      <sheetName val="PART_DISCOUNT"/>
      <sheetName val="평균높이산출근거"/>
      <sheetName val="횡배수관위치조서"/>
      <sheetName val="내역서1999.8최종"/>
      <sheetName val="TIE-INS"/>
      <sheetName val="FAB별"/>
      <sheetName val="TOP ROLLER"/>
      <sheetName val="C급보 "/>
      <sheetName val="Setup"/>
      <sheetName val="C.배수관공"/>
      <sheetName val="설계명세서(선로)"/>
      <sheetName val="자재단가표"/>
      <sheetName val="골조대비(고층) (2)"/>
      <sheetName val="Vendor"/>
      <sheetName val="DCL(발전)"/>
      <sheetName val="6동"/>
      <sheetName val="More &amp; Less work record"/>
      <sheetName val="설계내역서"/>
      <sheetName val="Benutzungshinweise"/>
      <sheetName val="적용률"/>
      <sheetName val="계측 내역서"/>
      <sheetName val="Borrower"/>
      <sheetName val="PVC 판"/>
      <sheetName val="연습"/>
      <sheetName val="산출서"/>
      <sheetName val="골조"/>
      <sheetName val="Sheet1 (2)"/>
      <sheetName val="건축원가"/>
      <sheetName val="1일기성(실행)"/>
      <sheetName val="갑"/>
      <sheetName val="대비"/>
      <sheetName val="유림골조"/>
      <sheetName val="목표세부명세"/>
      <sheetName val="예가표"/>
      <sheetName val="__Isyou_c_PJT_97_R_SUWONJ_REP_6"/>
      <sheetName val="IMP(MAIN)"/>
      <sheetName val="IMP (REACTOR)"/>
      <sheetName val="예산"/>
      <sheetName val="BOQ"/>
      <sheetName val="마산방향철근집계"/>
      <sheetName val="진주방향"/>
      <sheetName val="마산방향"/>
      <sheetName val="토공(우물통,기타) "/>
      <sheetName val="광양 3기 유입수"/>
      <sheetName val="원가계산서 "/>
      <sheetName val="Summary_-_Budget"/>
      <sheetName val="조정금액결과표_(차수별)"/>
      <sheetName val="3련_BOX"/>
      <sheetName val="G_R300경비"/>
      <sheetName val="배수공_주요자재_집계표"/>
      <sheetName val="토목내역"/>
      <sheetName val="내역집계"/>
      <sheetName val="덕전리"/>
      <sheetName val="일위대가(원본)"/>
      <sheetName val="경비2내역"/>
      <sheetName val="참조-(2)"/>
      <sheetName val="참조-(1)"/>
      <sheetName val="산출근거#2-3"/>
      <sheetName val="일위대가6瘠·ㅔ"/>
      <sheetName val="일위대가6_x0000_矒Ǫ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/>
      <sheetData sheetId="933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결과"/>
      <sheetName val="목차"/>
      <sheetName val="간지"/>
      <sheetName val="청총괄"/>
      <sheetName val="재료비&lt;표1&gt;"/>
      <sheetName val="재료비&lt;표2&gt;"/>
      <sheetName val="재료비&lt;표3&gt;"/>
      <sheetName val="청기본"/>
      <sheetName val="청수당"/>
      <sheetName val="청상여"/>
      <sheetName val="청퇴직"/>
      <sheetName val="인건비"/>
      <sheetName val="청경비"/>
      <sheetName val="청감가"/>
      <sheetName val="청복리"/>
      <sheetName val="청보험"/>
      <sheetName val="청외주"/>
      <sheetName val="수량산출"/>
      <sheetName val="I一般比"/>
      <sheetName val="터널조도"/>
      <sheetName val="중간부"/>
      <sheetName val="ABUT수량-A1"/>
      <sheetName val="화재 탐지 설비"/>
      <sheetName val="C-노임단가"/>
      <sheetName val="교각계산"/>
      <sheetName val="이토변실(A3-LINE)"/>
      <sheetName val="충주"/>
      <sheetName val="코드표"/>
      <sheetName val="9.설치품셈"/>
      <sheetName val="2000전체분"/>
      <sheetName val="2000년1차"/>
      <sheetName val="건축"/>
      <sheetName val="노임단가"/>
      <sheetName val="단위수량산출"/>
      <sheetName val="물집"/>
      <sheetName val="자갈,시멘트,모래산출"/>
      <sheetName val="tggwan(mac)"/>
      <sheetName val="노임단가 (2)"/>
      <sheetName val="6PILE  (돌출)"/>
      <sheetName val="직재"/>
      <sheetName val="강남(1)"/>
      <sheetName val="실행내역서 "/>
      <sheetName val="과천MAIN"/>
      <sheetName val="OPT7"/>
      <sheetName val="유기공정"/>
      <sheetName val="원가계산서"/>
      <sheetName val="CT "/>
      <sheetName val="위치조서"/>
      <sheetName val="터파기및재료"/>
      <sheetName val="부산4"/>
      <sheetName val="설계기준 및 하중계산"/>
      <sheetName val="N賃率-職"/>
      <sheetName val="설직재-1"/>
      <sheetName val="CP-E2 (품셈표)"/>
      <sheetName val="제직재"/>
      <sheetName val="실행철강하도"/>
      <sheetName val="제출내역 (2)"/>
      <sheetName val="입고장부 (4)"/>
      <sheetName val="하이스캔(내수용)"/>
      <sheetName val="내역서"/>
      <sheetName val="세원견적서"/>
      <sheetName val="작업설단가"/>
      <sheetName val="일위대가"/>
      <sheetName val="Macro(차단기)"/>
      <sheetName val="플랜트 설치"/>
      <sheetName val="H4-발주"/>
      <sheetName val="순성토"/>
      <sheetName val="연동 내역서"/>
      <sheetName val="총집계표"/>
      <sheetName val="NOMUBI"/>
      <sheetName val="설계예산서"/>
      <sheetName val="Upgrades pricing"/>
      <sheetName val="실행내역서_"/>
      <sheetName val="골조시행"/>
      <sheetName val="중동상가"/>
      <sheetName val="0001new"/>
      <sheetName val="BID"/>
      <sheetName val="부하계산서"/>
      <sheetName val="공량산출서"/>
      <sheetName val="J直材4"/>
      <sheetName val="사업수지"/>
      <sheetName val="집계표1"/>
      <sheetName val="토목"/>
      <sheetName val="EXPENSE"/>
      <sheetName val="우수"/>
      <sheetName val="기준"/>
      <sheetName val="차액보증"/>
      <sheetName val="내역"/>
      <sheetName val="갑지-1"/>
      <sheetName val="내역-1"/>
      <sheetName val="갑지1"/>
      <sheetName val="노임"/>
      <sheetName val="간접비계산"/>
      <sheetName val="예산내역서"/>
      <sheetName val="총계"/>
      <sheetName val="Sheet1"/>
      <sheetName val="데이타"/>
      <sheetName val="DATA"/>
      <sheetName val="전기일위대가"/>
      <sheetName val="Sheet1 (2)"/>
      <sheetName val="직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목차"/>
      <sheetName val="비율"/>
      <sheetName val="간지"/>
      <sheetName val="결과"/>
      <sheetName val="총괄"/>
      <sheetName val="재료계"/>
      <sheetName val="직재비"/>
      <sheetName val="소요량"/>
      <sheetName val="소요량 (2)"/>
      <sheetName val="소요량 (3)"/>
      <sheetName val="곡면산"/>
      <sheetName val="제품도면"/>
      <sheetName val="간재"/>
      <sheetName val="소모품배부액"/>
      <sheetName val="작업설"/>
      <sheetName val="수율"/>
      <sheetName val="노무집"/>
      <sheetName val="직간노"/>
      <sheetName val="공수-경계석"/>
      <sheetName val="공수-판재"/>
      <sheetName val="공정별시간 (1)"/>
      <sheetName val="공정별시간(2)"/>
      <sheetName val="작업인원"/>
      <sheetName val="생산량"/>
      <sheetName val="99생산량"/>
      <sheetName val="99생산량 (2)"/>
      <sheetName val="곡면산 (2)"/>
      <sheetName val="노임단가"/>
      <sheetName val="간노율"/>
      <sheetName val="경비집"/>
      <sheetName val="경비"/>
      <sheetName val="천-경배부"/>
      <sheetName val="천-경조정"/>
      <sheetName val="운반비"/>
      <sheetName val="일반관리비율"/>
      <sheetName val="99자료요청"/>
      <sheetName val="2000자료요청"/>
      <sheetName val="천연임금"/>
      <sheetName val="천-소모"/>
      <sheetName val="수량산출"/>
      <sheetName val="N賃率-職"/>
      <sheetName val="순성토"/>
      <sheetName val="07석재조합-석제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전기일위대가"/>
      <sheetName val="단가"/>
      <sheetName val="금액내역서"/>
      <sheetName val="Baby일위대가"/>
      <sheetName val="산출2-기기동력"/>
      <sheetName val="산출3-유도등"/>
      <sheetName val="산출2-동력"/>
      <sheetName val="산출2-피뢰침"/>
      <sheetName val="공통자료"/>
      <sheetName val="200"/>
      <sheetName val="덤프"/>
      <sheetName val="당초"/>
      <sheetName val="BOX 본체"/>
      <sheetName val="배수유공블럭"/>
      <sheetName val="말뚝지지력산정"/>
      <sheetName val="ELECTRIC"/>
      <sheetName val="CTEMCOST"/>
      <sheetName val="SCHEDULE"/>
      <sheetName val="경영상태"/>
      <sheetName val="대림경상68억"/>
      <sheetName val="공사비예산서(토목분)"/>
      <sheetName val="내역서"/>
      <sheetName val="공사비집계"/>
      <sheetName val="C-직노1"/>
      <sheetName val="결과조달"/>
      <sheetName val="DATE"/>
      <sheetName val="DANGA"/>
      <sheetName val="가격조사서"/>
      <sheetName val="단면 (2)"/>
      <sheetName val="N賃率-職"/>
      <sheetName val="직재"/>
      <sheetName val="40총괄"/>
      <sheetName val="40집계"/>
      <sheetName val="단가 "/>
      <sheetName val="일위대가 (PM)"/>
      <sheetName val="노임"/>
      <sheetName val="관급자재집계표"/>
      <sheetName val="#REF"/>
      <sheetName val="S003031"/>
      <sheetName val="여과지동"/>
      <sheetName val="기초자료"/>
      <sheetName val="하수BOX이설"/>
      <sheetName val="Supplement2"/>
      <sheetName val="설치공사"/>
      <sheetName val="견적990322"/>
      <sheetName val="날개벽(시점좌측)"/>
      <sheetName val="노임단가"/>
      <sheetName val="수목표준대가"/>
      <sheetName val="일위대가(계측기설치)"/>
      <sheetName val="간선계산"/>
      <sheetName val="산정표"/>
      <sheetName val="노무비 경비"/>
      <sheetName val="산재 안전"/>
      <sheetName val="노무비 근거"/>
      <sheetName val="3.공통공사대비"/>
      <sheetName val="40단가산출서"/>
      <sheetName val="SG"/>
      <sheetName val="구조물철거타공정이월"/>
      <sheetName val="COVER"/>
      <sheetName val="Y-WORK"/>
      <sheetName val="입찰안"/>
      <sheetName val="data2"/>
      <sheetName val="중기일위대가"/>
      <sheetName val="골조시행"/>
      <sheetName val="Macro(전선)"/>
      <sheetName val="MCC제원"/>
      <sheetName val="원형맨홀수량"/>
      <sheetName val="woo(mac)"/>
      <sheetName val="단위수량"/>
      <sheetName val="Sheet1"/>
      <sheetName val="기초일위"/>
      <sheetName val="수목단가"/>
      <sheetName val="시설수량표"/>
      <sheetName val="시설일위"/>
      <sheetName val="식재수량표"/>
      <sheetName val="식재일위"/>
      <sheetName val="수량이동"/>
      <sheetName val="교각1"/>
      <sheetName val="BOQ(전체)"/>
      <sheetName val="__"/>
      <sheetName val="총괄내역서"/>
      <sheetName val="Sheet1 (2)"/>
      <sheetName val="설직재-1"/>
      <sheetName val="양수장(기계)"/>
      <sheetName val="Sheet13"/>
      <sheetName val="Sheet14"/>
      <sheetName val="P-J"/>
      <sheetName val="수량산출서(전기계장)"/>
      <sheetName val="설계명세서"/>
      <sheetName val="일위대가목차"/>
      <sheetName val="EKOG10건축"/>
      <sheetName val="자료입력"/>
      <sheetName val="전기"/>
      <sheetName val="A-4"/>
      <sheetName val="지급자재"/>
      <sheetName val="표지"/>
      <sheetName val="할증"/>
      <sheetName val="내역"/>
      <sheetName val="조명시설"/>
      <sheetName val="인건-측정"/>
      <sheetName val="모델링"/>
      <sheetName val="하중계산"/>
      <sheetName val="단가대비표"/>
      <sheetName val="투찰금액"/>
      <sheetName val="처리단락"/>
      <sheetName val="Macro(차단기)"/>
      <sheetName val="DATA"/>
      <sheetName val="데이타"/>
      <sheetName val="물가대비표"/>
      <sheetName val="제직재"/>
      <sheetName val="archi(본사)"/>
      <sheetName val="토목"/>
      <sheetName val="PAD TR보호대기초"/>
      <sheetName val="가로등기초"/>
      <sheetName val="HANDHOLE(2)"/>
      <sheetName val="EQ-R1"/>
      <sheetName val="일집"/>
      <sheetName val="일위"/>
      <sheetName val="관로토공집계표"/>
      <sheetName val="환경기계공정표 (3)"/>
      <sheetName val="예가표"/>
      <sheetName val="개요"/>
      <sheetName val="집계"/>
      <sheetName val="기본일위"/>
      <sheetName val="내역서2안"/>
      <sheetName val="패널"/>
      <sheetName val="직노"/>
      <sheetName val="실행내역"/>
      <sheetName val="교각토공"/>
      <sheetName val="Sheet6"/>
      <sheetName val="1.수인터널"/>
      <sheetName val="방조제+선착장+배수갑문+부대공+1-2방조제"/>
      <sheetName val="연돌일위집계"/>
      <sheetName val="표지 (2)"/>
      <sheetName val="표지 (3)"/>
      <sheetName val="표지 (4)"/>
      <sheetName val="표지 (5)"/>
      <sheetName val="목차"/>
      <sheetName val="요약"/>
      <sheetName val="목적"/>
      <sheetName val="전제"/>
      <sheetName val="계산기준"/>
      <sheetName val="간지"/>
      <sheetName val="일위(PN)"/>
      <sheetName val="약품공급2"/>
      <sheetName val="1단계"/>
      <sheetName val="Sheet9"/>
      <sheetName val="Sheet10"/>
      <sheetName val="간선"/>
      <sheetName val="발전기"/>
      <sheetName val="GEN"/>
      <sheetName val="하부철근수량"/>
      <sheetName val="수량산출서"/>
      <sheetName val="집계표(OPTION)"/>
      <sheetName val="계산근거"/>
      <sheetName val="설계내역서"/>
      <sheetName val="점수계산1-2"/>
      <sheetName val="견적서"/>
      <sheetName val="VXXXXX"/>
      <sheetName val="입출재고현황 (2)"/>
      <sheetName val="TYPE A"/>
      <sheetName val="1.설계조건"/>
      <sheetName val="옵션"/>
      <sheetName val="합산자재"/>
      <sheetName val="일대목차"/>
      <sheetName val="노임근거"/>
      <sheetName val="원가계산서"/>
      <sheetName val="목표세부명세"/>
      <sheetName val="D-경비1"/>
      <sheetName val="조명율표"/>
      <sheetName val="hvac(제어동)"/>
      <sheetName val="단가산출2"/>
      <sheetName val="토공A"/>
      <sheetName val="총괄표"/>
      <sheetName val="BOX전기내역"/>
      <sheetName val="기성내역서"/>
      <sheetName val="2F 회의실견적(5_14 일대)"/>
      <sheetName val="전체철근집계"/>
      <sheetName val="T13(P68~72,78)"/>
      <sheetName val="252K444"/>
      <sheetName val="장비"/>
      <sheetName val="노무"/>
      <sheetName val="설계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1062-X방향 "/>
      <sheetName val="교통신호등"/>
      <sheetName val="터파기및재료"/>
      <sheetName val="plan&amp;section of foundation"/>
      <sheetName val="design criteria"/>
      <sheetName val="일위목록"/>
      <sheetName val="노무비"/>
      <sheetName val="자재단가"/>
      <sheetName val="Sheet2"/>
      <sheetName val="BweData"/>
      <sheetName val="저"/>
      <sheetName val="●내역"/>
      <sheetName val="건축단가"/>
      <sheetName val="Recovered_Sheet22"/>
      <sheetName val="Recovered_Sheet21"/>
      <sheetName val="Recovered_Sheet37"/>
      <sheetName val="기계내역"/>
      <sheetName val="준검 내역서"/>
      <sheetName val="공종별집계표"/>
      <sheetName val="공종별세부사항"/>
      <sheetName val="공종별내역서(견적용)"/>
      <sheetName val="철거산출근거"/>
      <sheetName val="평가데이터"/>
      <sheetName val="직공비"/>
      <sheetName val="H-pile(298x299)"/>
      <sheetName val="H-pile(250x250)"/>
      <sheetName val="예산변경사항"/>
      <sheetName val="FILE1"/>
      <sheetName val="정공공사"/>
      <sheetName val="2000,9월 일위"/>
      <sheetName val="공통단가"/>
      <sheetName val="단가조사"/>
      <sheetName val="단위단가"/>
      <sheetName val="경상직원"/>
      <sheetName val="조건"/>
      <sheetName val="코드표"/>
      <sheetName val="재료비"/>
      <sheetName val="단가일람"/>
      <sheetName val="조경일람"/>
      <sheetName val="운반비"/>
      <sheetName val="단가표"/>
      <sheetName val="전체도급"/>
      <sheetName val="부대대비"/>
      <sheetName val="냉연집계"/>
      <sheetName val="ENE-CAL 1"/>
      <sheetName val="단가산출서"/>
      <sheetName val="인건비"/>
      <sheetName val="TEST1"/>
      <sheetName val="SULKEA"/>
      <sheetName val="잔수량(작성)"/>
      <sheetName val="도급"/>
      <sheetName val="2.단면가정"/>
      <sheetName val="input (2)"/>
      <sheetName val="심부구속"/>
      <sheetName val="1"/>
      <sheetName val="기초계산 (2)"/>
      <sheetName val="구조계산"/>
      <sheetName val="말뚝기초"/>
      <sheetName val="공내역"/>
      <sheetName val="내역및총괄"/>
      <sheetName val="노원열병합  건축공사기성내역서"/>
      <sheetName val="Sheet4"/>
      <sheetName val="CODE"/>
      <sheetName val="원가(총괄-4단지)"/>
      <sheetName val="6PILE  (돌출)"/>
      <sheetName val="사급자재"/>
      <sheetName val="설계내역"/>
      <sheetName val="총괄"/>
      <sheetName val="2006기계경비산출표"/>
      <sheetName val="MOTOR"/>
      <sheetName val="철근단면적"/>
      <sheetName val="옹벽"/>
      <sheetName val="기계경비(시간당)"/>
      <sheetName val="램머"/>
      <sheetName val="000000"/>
      <sheetName val="실행분개"/>
      <sheetName val="집계표"/>
      <sheetName val="토공정보"/>
      <sheetName val="기둥(원형)"/>
      <sheetName val="ABUT수량-A1"/>
      <sheetName val="포장공"/>
      <sheetName val="esc"/>
      <sheetName val="제-노임"/>
      <sheetName val="제경비율"/>
      <sheetName val="변경내역대비표(2)"/>
      <sheetName val="내역분개"/>
      <sheetName val="I一般比"/>
      <sheetName val="30신설일위대가"/>
      <sheetName val="30집계표"/>
      <sheetName val="공사비증감"/>
      <sheetName val="토공계산서(부체도로)"/>
      <sheetName val="토공사"/>
      <sheetName val="수량산출서 갑지"/>
      <sheetName val="MAIN"/>
      <sheetName val="96까지"/>
      <sheetName val="97년"/>
      <sheetName val="98이후"/>
      <sheetName val="결재란"/>
      <sheetName val="내역서(당초변경)"/>
      <sheetName val="견적"/>
      <sheetName val="SLAB&quot;1&quot;"/>
      <sheetName val="단"/>
      <sheetName val="IW-LIST"/>
      <sheetName val="BOX_본체"/>
      <sheetName val="대운산출"/>
      <sheetName val="DATA98"/>
      <sheetName val="1호맨홀토공"/>
      <sheetName val="IMPEADENCE MAP 취수장"/>
      <sheetName val="6호기"/>
      <sheetName val="배수공 주요자재 집계표"/>
      <sheetName val="가도공"/>
      <sheetName val="Pier 3"/>
      <sheetName val="INPUT"/>
      <sheetName val="E01-02(EV-1-LBS)"/>
      <sheetName val="공사원가"/>
      <sheetName val="공량산출서"/>
      <sheetName val="홍보비디오"/>
      <sheetName val="경산"/>
      <sheetName val="설비단가표"/>
      <sheetName val="단가산출"/>
      <sheetName val="1.0표준품셈"/>
      <sheetName val="1.0계산품셈"/>
      <sheetName val="J直材4"/>
      <sheetName val="공사원가계산서"/>
      <sheetName val="1.우편집중내역서"/>
      <sheetName val="공종별내역서"/>
      <sheetName val="자료"/>
      <sheetName val="교각계산"/>
      <sheetName val="주방환기"/>
      <sheetName val="1.설계기준"/>
      <sheetName val="공사내역"/>
      <sheetName val="EP0618"/>
      <sheetName val="아파트기별"/>
      <sheetName val="공리일"/>
      <sheetName val="결재판"/>
      <sheetName val="Total"/>
      <sheetName val="연습"/>
      <sheetName val="배관단가조사서"/>
      <sheetName val="중기비"/>
      <sheetName val="변화치수"/>
      <sheetName val="단락전류-A"/>
      <sheetName val="공예을"/>
      <sheetName val="현장관리비 산출내역"/>
      <sheetName val="일반공사"/>
      <sheetName val="자재단가비교표"/>
      <sheetName val="외주현황9905"/>
      <sheetName val="별표"/>
      <sheetName val="자재조사표"/>
      <sheetName val="대비"/>
      <sheetName val="수질정화시설"/>
      <sheetName val="내역표지"/>
      <sheetName val="국공유지및사유지"/>
      <sheetName val="방배동내역(리라)"/>
      <sheetName val="공통가설"/>
      <sheetName val="부대공사총괄"/>
      <sheetName val="현장경비"/>
      <sheetName val="건축공사집계표"/>
      <sheetName val="방배동내역 (총괄)"/>
      <sheetName val="대비표"/>
      <sheetName val="W-현원가"/>
      <sheetName val="DATE2001"/>
      <sheetName val="신우"/>
      <sheetName val="금호"/>
      <sheetName val="을"/>
      <sheetName val="laroux"/>
      <sheetName val="반포-봉암"/>
      <sheetName val="조건표"/>
      <sheetName val="Module1"/>
      <sheetName val="차액보증"/>
      <sheetName val="★도급내역"/>
      <sheetName val="1공구 건정토건 토공"/>
      <sheetName val="밸브설치"/>
      <sheetName val="부대공사비"/>
      <sheetName val="적격"/>
      <sheetName val="공용정보"/>
      <sheetName val="sum1 (2)"/>
      <sheetName val="일위대가(가설)"/>
      <sheetName val="일위대가표"/>
      <sheetName val="유림골조"/>
      <sheetName val="공통부대비"/>
      <sheetName val="4.전기"/>
      <sheetName val="공사비총괄표"/>
      <sheetName val="asd"/>
      <sheetName val="01"/>
      <sheetName val="COPING"/>
      <sheetName val="D-3109"/>
      <sheetName val="부하(성남)"/>
      <sheetName val="장기차입금"/>
      <sheetName val="산출내역서집계표"/>
      <sheetName val="내역서 "/>
      <sheetName val="연결임시"/>
      <sheetName val="1995년 섹터별 매출"/>
      <sheetName val="Curves"/>
      <sheetName val="Tables"/>
      <sheetName val="DATA2000"/>
      <sheetName val="전계가"/>
      <sheetName val="설산1.나"/>
      <sheetName val="본사S"/>
      <sheetName val="부속동"/>
      <sheetName val="J01"/>
      <sheetName val="사전공사"/>
      <sheetName val="SP-B1"/>
      <sheetName val="4-3 보온 기본물량집계"/>
      <sheetName val="단면가정"/>
      <sheetName val="대전21토목내역서"/>
      <sheetName val="교량전기"/>
      <sheetName val="고창방향"/>
      <sheetName val="기본"/>
      <sheetName val="sw1"/>
      <sheetName val="의뢰서"/>
      <sheetName val=""/>
      <sheetName val="Sheet15"/>
      <sheetName val="일위대가 (PMIS)"/>
      <sheetName val="전기공사-공종구분"/>
      <sheetName val="전기자료"/>
      <sheetName val="관급자재"/>
      <sheetName val="이전비"/>
      <sheetName val="3지구단위"/>
      <sheetName val="_REF"/>
      <sheetName val="노임조정"/>
      <sheetName val="품셈TABLE"/>
      <sheetName val="기초공"/>
      <sheetName val="전체"/>
      <sheetName val="원가계산서_"/>
      <sheetName val="1st"/>
      <sheetName val="TYPE-A"/>
      <sheetName val="BID"/>
      <sheetName val="AP1"/>
      <sheetName val="계화총괄"/>
      <sheetName val="계화배수(3대)"/>
      <sheetName val="c_balju"/>
      <sheetName val="산근"/>
      <sheetName val="H-PILE 박기"/>
      <sheetName val="3.하중산정4.지지력"/>
      <sheetName val="정부노임단가"/>
      <sheetName val="MATRLDATA"/>
      <sheetName val="ilch"/>
      <sheetName val="99노임기준"/>
      <sheetName val="수로단위수량"/>
      <sheetName val="I.설계조건"/>
      <sheetName val="주형"/>
      <sheetName val="3.바닥판설계"/>
      <sheetName val="취수탑"/>
      <sheetName val="CAB_OD"/>
      <sheetName val="자재"/>
      <sheetName val="산근1"/>
      <sheetName val="변경공종별내역서"/>
      <sheetName val="B"/>
      <sheetName val="FORM-0"/>
      <sheetName val="프랜트면허"/>
      <sheetName val="토목주소"/>
      <sheetName val="화전내"/>
      <sheetName val="WORK"/>
      <sheetName val="문학간접"/>
      <sheetName val="단면_(2)"/>
      <sheetName val="준검_내역서"/>
      <sheetName val="간접비"/>
      <sheetName val="시멘트"/>
      <sheetName val="U-TYPE(1)"/>
      <sheetName val="J형측구단위수량"/>
      <sheetName val="APT"/>
      <sheetName val="결재갑지"/>
      <sheetName val="일위대가(건축)"/>
      <sheetName val="견적대비표"/>
      <sheetName val="금융"/>
      <sheetName val="DIRECT WORK"/>
      <sheetName val="chitimc"/>
      <sheetName val="출자한도"/>
      <sheetName val="본사공가현황"/>
      <sheetName val="노단"/>
      <sheetName val="설계예산서"/>
      <sheetName val="COST"/>
      <sheetName val="맨홀수량"/>
      <sheetName val="REINF."/>
      <sheetName val="지수"/>
      <sheetName val="설계개요"/>
      <sheetName val="금융비용"/>
      <sheetName val="총괄원가계산서"/>
      <sheetName val="총괄원가계산서 (업체제공)"/>
      <sheetName val="MEXICO-C"/>
      <sheetName val="DATA1"/>
      <sheetName val="소야공정계획표"/>
      <sheetName val="9"/>
      <sheetName val="마감사양"/>
      <sheetName val="전력구구조물산근"/>
      <sheetName val="식생블럭단위수량"/>
      <sheetName val="손익분석"/>
      <sheetName val="플랜트 설치"/>
      <sheetName val="부대공Ⅱ"/>
      <sheetName val="기초단가"/>
      <sheetName val="합천내역"/>
      <sheetName val="부하계산서"/>
      <sheetName val="설명서 "/>
      <sheetName val="총괄집계표"/>
      <sheetName val="귀래 설계 공내역서"/>
      <sheetName val="하수급견적대비"/>
      <sheetName val="예산내역서"/>
      <sheetName val="E01_02_EV_1_LBS_"/>
      <sheetName val="EQUIPMENT -2"/>
      <sheetName val="건내역(초)"/>
      <sheetName val="횡배수관토공수량"/>
      <sheetName val="품"/>
      <sheetName val="1 자원총괄"/>
      <sheetName val="1.2단락전류"/>
      <sheetName val="하천제원"/>
      <sheetName val="인건비 "/>
      <sheetName val="자재단가표"/>
      <sheetName val="UNIT"/>
      <sheetName val="갑지(추정)"/>
      <sheetName val="0226"/>
      <sheetName val="1공구산출"/>
      <sheetName val="일위대가(공원,광장)"/>
      <sheetName val="공원.광장집계"/>
      <sheetName val="일위대가(가로등1공구)"/>
      <sheetName val="1공구집계"/>
      <sheetName val="일위대가(가로등지구외공구)"/>
      <sheetName val="지구외집계"/>
      <sheetName val="일위대가산출근거-1"/>
      <sheetName val=" 상부공통집계(총괄)"/>
      <sheetName val="COVERSHEET"/>
      <sheetName val="주경기-오배수"/>
      <sheetName val="교대(A1-A2)"/>
      <sheetName val="내역서(펌프장)"/>
      <sheetName val="실행"/>
      <sheetName val="퇴비산출근거"/>
      <sheetName val="예정(3)"/>
      <sheetName val="동원(3)"/>
      <sheetName val="집"/>
      <sheetName val="대포2교접속"/>
      <sheetName val="산출및내역"/>
      <sheetName val="수량산출"/>
      <sheetName val="단가 및 재료비"/>
      <sheetName val="신당동집계표"/>
      <sheetName val="참조(X)"/>
      <sheetName val="허용전류-IEC DATA"/>
      <sheetName val="2. 차단기 용량계산"/>
      <sheetName val="3.3 전력간선 굵기"/>
      <sheetName val="1.4 부하계산서(환산계수)"/>
      <sheetName val="2.  단락전류의 계산"/>
      <sheetName val="1.2 부하계산서"/>
      <sheetName val="설계명세서(선로)"/>
      <sheetName val="연장산출서"/>
      <sheetName val="관기초단위수량( type A)"/>
      <sheetName val="관기초단위수량( type B)"/>
      <sheetName val="관기초단위수량(type C)"/>
      <sheetName val="관기초단위수량(type D"/>
      <sheetName val="관기초단위수량(type E)"/>
      <sheetName val="적용기준"/>
      <sheetName val="L형옹벽단위수량(35)"/>
      <sheetName val="L형옹벽단위수량(25)"/>
      <sheetName val="견적단가"/>
      <sheetName val="수입"/>
      <sheetName val="설직재_1"/>
      <sheetName val="배관내역"/>
      <sheetName val="guard(mac)"/>
      <sheetName val="단면치수"/>
      <sheetName val="적용단가"/>
      <sheetName val="LOAD 5 Wind "/>
      <sheetName val="설계조건"/>
      <sheetName val="VS P-Q"/>
      <sheetName val="2.단가산출서(총괄)"/>
      <sheetName val="5.일위대가"/>
      <sheetName val="8.PILE  (돌출)"/>
      <sheetName val="원가계산서구조조정"/>
      <sheetName val="분전반"/>
      <sheetName val="XZLC004_PART2"/>
      <sheetName val="YES-T"/>
      <sheetName val="bm(CIcable)"/>
      <sheetName val="LD"/>
      <sheetName val="약전닥트"/>
      <sheetName val="건축부하"/>
      <sheetName val="일지-H"/>
      <sheetName val="FA설치명세"/>
      <sheetName val="김포IO"/>
      <sheetName val="내역_FILE"/>
      <sheetName val="일위_FILE"/>
      <sheetName val="일위대가_수정"/>
      <sheetName val="공정"/>
      <sheetName val="산출계산"/>
      <sheetName val="계산"/>
      <sheetName val="양식_일위대가"/>
      <sheetName val="양식_자재"/>
      <sheetName val="양식_동원인원"/>
      <sheetName val="양식_공구손료"/>
      <sheetName val="양식_내역서"/>
      <sheetName val="설계설명"/>
      <sheetName val="예정공정"/>
      <sheetName val="동원"/>
      <sheetName val="총(관로+케이블)"/>
      <sheetName val="총공사"/>
      <sheetName val="준공내역서(총괄)"/>
      <sheetName val="준공내역서"/>
      <sheetName val="지입자재"/>
      <sheetName val="일위대가 (2)"/>
      <sheetName val="자재근거"/>
      <sheetName val="일위대가산출근거"/>
      <sheetName val="공구손료"/>
      <sheetName val="소요노력"/>
      <sheetName val="MdlSul"/>
      <sheetName val="공정코드"/>
      <sheetName val="9.2단가산출서"/>
      <sheetName val="손료"/>
      <sheetName val="부대"/>
      <sheetName val="일위CODE"/>
      <sheetName val="재료-CODE"/>
      <sheetName val="하조서"/>
      <sheetName val="토목단가"/>
      <sheetName val="물가"/>
      <sheetName val="제경비(3차분)"/>
      <sheetName val="발주수량표"/>
      <sheetName val="우,오수"/>
      <sheetName val="전동기 SPEC"/>
      <sheetName val="자판실행"/>
      <sheetName val="2002상반기노임기준"/>
      <sheetName val="각형맨홀"/>
      <sheetName val="CCTV내역서"/>
      <sheetName val="단가산근"/>
      <sheetName val="7.PILE  (돌출)"/>
      <sheetName val="계산중"/>
      <sheetName val="횡배위치"/>
      <sheetName val="입찰보고"/>
      <sheetName val="사진대지"/>
      <sheetName val="PIPE"/>
      <sheetName val="FLANGE"/>
      <sheetName val="VALVE"/>
      <sheetName val="0708"/>
      <sheetName val="가설공사내역"/>
      <sheetName val="401"/>
      <sheetName val="원형1호맨홀토공수량"/>
      <sheetName val="산업"/>
      <sheetName val="원형측구(B-type)"/>
      <sheetName val="기별"/>
      <sheetName val="AAA"/>
      <sheetName val="부안일위"/>
      <sheetName val="관개"/>
      <sheetName val="건축내역서"/>
      <sheetName val="설비내역서"/>
      <sheetName val="전기내역서"/>
      <sheetName val="부대내역"/>
      <sheetName val="6.2.1 지하차도 조도계산"/>
      <sheetName val="단가_"/>
      <sheetName val="일위대가_(PM)"/>
      <sheetName val="단면_(2)1"/>
      <sheetName val="BOX_본체1"/>
      <sheetName val="단가_1"/>
      <sheetName val="일위대가_(PM)1"/>
      <sheetName val="오산운암4-2BL  기성세부"/>
      <sheetName val="할증 "/>
      <sheetName val="관일"/>
      <sheetName val="J__TEAM_5_My_Documents_dacom__2"/>
      <sheetName val="J__TEAM_5_My_Documents_dacom__3"/>
      <sheetName val="J__TEAM_5_My_Documents_dacom__4"/>
      <sheetName val="AS포장복구 "/>
      <sheetName val="삭제금지단가"/>
      <sheetName val="J__TEAM_5_My_Documents_dacom__5"/>
      <sheetName val="J__TEAM_5_My_Documents_dacom__6"/>
      <sheetName val="J__TEAM_5_My_Documents_dacom__7"/>
      <sheetName val="J__TEAM_5_My_Documents_dacom__8"/>
      <sheetName val="J__TEAM_5_My_Documents_dacom__9"/>
      <sheetName val="산출1(확장)"/>
      <sheetName val="산출1(신설)"/>
      <sheetName val="산출4"/>
      <sheetName val="일위(설)"/>
      <sheetName val="Sheet1_(2)"/>
      <sheetName val="노무비_경비"/>
      <sheetName val="산재_안전"/>
      <sheetName val="표지_(2)"/>
      <sheetName val="표지_(3)"/>
      <sheetName val="표지_(4)"/>
      <sheetName val="표지_(5)"/>
      <sheetName val="PAD_TR보호대기초"/>
      <sheetName val="3_공통공사대비"/>
      <sheetName val="환경기계공정표_(3)"/>
      <sheetName val="1_수인터널"/>
      <sheetName val="6PILE__(돌출)"/>
      <sheetName val="2F_회의실견적(5_14_일대)"/>
      <sheetName val="수량산출서_갑지"/>
      <sheetName val="노무비_근거"/>
      <sheetName val="1_0표준품셈"/>
      <sheetName val="1_0계산품셈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ENE-CAL_1"/>
      <sheetName val="plan&amp;section_of_foundation"/>
      <sheetName val="design_criteria"/>
      <sheetName val="IMPEADENCE_MAP_취수장"/>
      <sheetName val="현장관리비_산출내역"/>
      <sheetName val="1_설계조건"/>
      <sheetName val="1062-X방향_"/>
      <sheetName val="2_단면가정"/>
      <sheetName val="input_(2)"/>
      <sheetName val="기초계산_(2)"/>
      <sheetName val="노원열병합__건축공사기성내역서"/>
      <sheetName val="방배동내역_(총괄)"/>
      <sheetName val="배수공_주요자재_집계표"/>
      <sheetName val="1공구_건정토건_토공"/>
      <sheetName val="sum1_(2)"/>
      <sheetName val="4_전기"/>
      <sheetName val="입출재고현황_(2)"/>
      <sheetName val="TYPE_A"/>
      <sheetName val="내역서_"/>
      <sheetName val="1995년_섹터별_매출"/>
      <sheetName val="설산1_나"/>
      <sheetName val="양수장내역"/>
      <sheetName val="표지설명"/>
      <sheetName val="9509"/>
      <sheetName val="DB"/>
      <sheetName val="집 계 표"/>
      <sheetName val="도"/>
      <sheetName val="조도계산(1)"/>
      <sheetName val="공통"/>
      <sheetName val="판가반영"/>
      <sheetName val="경제성분석"/>
      <sheetName val="유화"/>
      <sheetName val="HISTORICAL"/>
      <sheetName val="FORECASTING"/>
      <sheetName val="hGH정제"/>
      <sheetName val="95월별매출"/>
      <sheetName val="TYPE별집계"/>
      <sheetName val="토목수량(공정)"/>
      <sheetName val="공종단가"/>
      <sheetName val="증감대비"/>
      <sheetName val="품셈(기초)"/>
      <sheetName val="설계예산내역서"/>
      <sheetName val="보차도경계석"/>
      <sheetName val="설계예산2"/>
      <sheetName val="현장지지물물량"/>
      <sheetName val="실행기성 갑지"/>
      <sheetName val="장비명"/>
      <sheetName val="입력시트"/>
      <sheetName val="수안보-MBR1"/>
      <sheetName val="청산공사"/>
      <sheetName val="PRD투입장비계획"/>
      <sheetName val="1SPAN"/>
      <sheetName val="CAT_5"/>
      <sheetName val="맨홀수량산출"/>
      <sheetName val="AC포장수량"/>
      <sheetName val="원가서"/>
      <sheetName val="FRP내역서"/>
      <sheetName val="건축"/>
      <sheetName val="산출근거"/>
      <sheetName val="건설기계"/>
      <sheetName val="FD"/>
      <sheetName val="물량표S"/>
      <sheetName val="Laser Alignment Target Spec"/>
      <sheetName val="Laser Focus Spec"/>
      <sheetName val="도면자료제출일정"/>
      <sheetName val="사통"/>
      <sheetName val="내역서을지"/>
      <sheetName val="LOADS"/>
      <sheetName val="SKETCH"/>
      <sheetName val="CHECK1"/>
      <sheetName val="DHEQSUPT"/>
      <sheetName val="DDD"/>
      <sheetName val="2.대외공문"/>
      <sheetName val="직재산"/>
      <sheetName val="b_balju"/>
      <sheetName val="투찰"/>
      <sheetName val="03.내 역 서"/>
      <sheetName val="02.집 계 표"/>
      <sheetName val="04.일위대가목록표"/>
      <sheetName val="CON포장수량"/>
      <sheetName val="CONUNIT"/>
      <sheetName val="개별직종노임단가(2005.1)"/>
      <sheetName val="구천"/>
      <sheetName val="환율"/>
      <sheetName val="3BL공동구 수량"/>
      <sheetName val="계산서(곡선부)"/>
      <sheetName val="포장재료집계표"/>
      <sheetName val="MACRO(MCC)"/>
      <sheetName val="공주-교대(A1)"/>
      <sheetName val="석축단"/>
      <sheetName val="법면수집"/>
      <sheetName val="안정계산"/>
      <sheetName val="단면검토"/>
      <sheetName val="1호인버트수량"/>
      <sheetName val="석축설면"/>
      <sheetName val="법면단"/>
      <sheetName val="순공사비산출서"/>
      <sheetName val="단가비교표"/>
      <sheetName val="J__TEAM_5_My_Documents_dacom_10"/>
      <sheetName val="J__TEAM_5_My_Documents_dacom_11"/>
      <sheetName val="INPUT(덕도방향-시점)"/>
      <sheetName val="BOX-1510"/>
      <sheetName val="장비집계"/>
      <sheetName val="3련 BOX"/>
      <sheetName val="220 (2)"/>
      <sheetName val="FAB별"/>
      <sheetName val="배수내역"/>
      <sheetName val="1-12월"/>
      <sheetName val="산출내역서"/>
      <sheetName val="안산기계장치"/>
      <sheetName val="준검_내역서1"/>
      <sheetName val="Pier_3"/>
      <sheetName val="1_우편집중내역서"/>
      <sheetName val="4-3_보온_기본물량집계"/>
      <sheetName val="3_하중산정4_지지력"/>
      <sheetName val="1_설계기준"/>
      <sheetName val="I_설계조건"/>
      <sheetName val="3_바닥판설계"/>
      <sheetName val="EQUIPMENT_-2"/>
      <sheetName val="H-PILE_박기"/>
      <sheetName val="_상부공통집계(총괄)"/>
      <sheetName val="REINF_"/>
      <sheetName val="플랜트_설치"/>
      <sheetName val="분석"/>
      <sheetName val="노무비1"/>
      <sheetName val="해전배수"/>
      <sheetName val="VS_P-Q"/>
      <sheetName val="총괄원가계산서_(업체제공)"/>
      <sheetName val="98수문일위"/>
      <sheetName val="2000년1차"/>
      <sheetName val="아파트 "/>
      <sheetName val="목공"/>
      <sheetName val="형틀위임장_전창목"/>
      <sheetName val="철근"/>
      <sheetName val="철근위임장_강천석"/>
      <sheetName val="용역"/>
      <sheetName val="날1"/>
      <sheetName val="대조표(0108)"/>
      <sheetName val="DIRECT_WORK"/>
      <sheetName val="귀래_설계_공내역서"/>
      <sheetName val="일위대가_(2)"/>
      <sheetName val="9_2단가산출서"/>
      <sheetName val="일위대가_(PMIS)"/>
      <sheetName val="관기초단위수량(_type_A)"/>
      <sheetName val="관기초단위수량(_type_B)"/>
      <sheetName val="관기초단위수량(type_C)"/>
      <sheetName val="관기초단위수량(type_D"/>
      <sheetName val="관기초단위수량(type_E)"/>
      <sheetName val="원가계산서砀烩㌁Ḍ"/>
      <sheetName val="거동"/>
      <sheetName val="단가산출서 (2)"/>
      <sheetName val="손익"/>
      <sheetName val="교대(A1)"/>
      <sheetName val="갑지1"/>
      <sheetName val="총인원"/>
      <sheetName val="직급인원"/>
      <sheetName val="역T형(H=6.0) (2)"/>
      <sheetName val="토사(PE)"/>
      <sheetName val="변경집계표"/>
      <sheetName val="f4-f7"/>
      <sheetName val="최적단면"/>
      <sheetName val="와동25-3(변경)"/>
      <sheetName val="구조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/>
      <sheetData sheetId="633"/>
      <sheetData sheetId="634"/>
      <sheetData sheetId="635"/>
      <sheetData sheetId="636" refreshError="1"/>
      <sheetData sheetId="637"/>
      <sheetData sheetId="638"/>
      <sheetData sheetId="639"/>
      <sheetData sheetId="640"/>
      <sheetData sheetId="641"/>
      <sheetData sheetId="642"/>
      <sheetData sheetId="643" refreshError="1"/>
      <sheetData sheetId="644" refreshError="1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 refreshError="1"/>
      <sheetData sheetId="670" refreshError="1"/>
      <sheetData sheetId="671" refreshError="1"/>
      <sheetData sheetId="672"/>
      <sheetData sheetId="673"/>
      <sheetData sheetId="674" refreshError="1"/>
      <sheetData sheetId="675" refreshError="1"/>
      <sheetData sheetId="676" refreshError="1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 refreshError="1"/>
      <sheetData sheetId="689" refreshError="1"/>
      <sheetData sheetId="690"/>
      <sheetData sheetId="691" refreshError="1"/>
      <sheetData sheetId="692"/>
      <sheetData sheetId="693"/>
      <sheetData sheetId="694"/>
      <sheetData sheetId="695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/>
      <sheetData sheetId="732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/>
      <sheetData sheetId="746" refreshError="1"/>
      <sheetData sheetId="747" refreshError="1"/>
      <sheetData sheetId="748" refreshError="1"/>
      <sheetData sheetId="749"/>
      <sheetData sheetId="750" refreshError="1"/>
      <sheetData sheetId="75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/>
      <sheetData sheetId="784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 refreshError="1"/>
      <sheetData sheetId="834" refreshError="1"/>
      <sheetData sheetId="835" refreshError="1"/>
      <sheetData sheetId="836"/>
      <sheetData sheetId="837" refreshError="1"/>
      <sheetData sheetId="838" refreshError="1"/>
      <sheetData sheetId="839"/>
      <sheetData sheetId="840"/>
      <sheetData sheetId="841"/>
      <sheetData sheetId="842"/>
      <sheetData sheetId="843" refreshError="1"/>
      <sheetData sheetId="844" refreshError="1"/>
      <sheetData sheetId="845" refreshError="1"/>
      <sheetData sheetId="846" refreshError="1"/>
      <sheetData sheetId="84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설(토.철)"/>
      <sheetName val="토공견적서"/>
      <sheetName val="철콘견적서"/>
      <sheetName val="배수내역"/>
      <sheetName val="실행철강하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N賃率-職"/>
      <sheetName val="#REF"/>
      <sheetName val="약품공급2"/>
      <sheetName val="DATE"/>
      <sheetName val="ABUT수량-A1"/>
      <sheetName val="COPING"/>
      <sheetName val="가도공"/>
      <sheetName val="사통"/>
      <sheetName val="공사원가계산서"/>
      <sheetName val="P-산#1-1(WOWA1)"/>
      <sheetName val="DATA"/>
      <sheetName val="구조물철거타공정이월"/>
      <sheetName val="I一般比"/>
      <sheetName val="직노"/>
      <sheetName val="01"/>
      <sheetName val="일위"/>
      <sheetName val="자재단가표"/>
      <sheetName val="토공총괄표"/>
      <sheetName val="내역서1999.8최종"/>
      <sheetName val="소일위대가코드표"/>
      <sheetName val="수량산출(VMS)"/>
      <sheetName val="C3"/>
      <sheetName val="유기공정"/>
      <sheetName val="B.O.M"/>
      <sheetName val="98연계표"/>
      <sheetName val="제일"/>
      <sheetName val="남양구조시험동"/>
      <sheetName val="J直材4"/>
      <sheetName val="금액내역서"/>
      <sheetName val="9GNG운반"/>
      <sheetName val="EP0618"/>
      <sheetName val="중기일위대가"/>
      <sheetName val="배수공1"/>
      <sheetName val="노임단가"/>
      <sheetName val="신우"/>
      <sheetName val="Macro상수"/>
      <sheetName val="집수정(600-700)"/>
      <sheetName val="내역서1"/>
      <sheetName val="교각계산"/>
      <sheetName val="제-노임"/>
      <sheetName val="제직재"/>
      <sheetName val="직재"/>
      <sheetName val="경"/>
      <sheetName val="과천MAIN"/>
      <sheetName val="노임"/>
      <sheetName val="감가상각"/>
      <sheetName val="K-SET1"/>
      <sheetName val="CT "/>
      <sheetName val="토적표"/>
      <sheetName val="견"/>
      <sheetName val="건축일위"/>
      <sheetName val="그라우팅일위"/>
      <sheetName val="48일위(기존)"/>
      <sheetName val="Sheet3"/>
      <sheetName val="건축집계"/>
      <sheetName val="갑지(추정)"/>
      <sheetName val="HD01"/>
      <sheetName val="총괄집계표"/>
      <sheetName val="BID"/>
      <sheetName val="PRJE(CRJE)"/>
      <sheetName val="PAJE(CAJE)"/>
      <sheetName val="TB"/>
      <sheetName val="XREF"/>
      <sheetName val="유림골조"/>
      <sheetName val="상 부"/>
      <sheetName val="양식"/>
      <sheetName val="터파기및재료"/>
      <sheetName val="신규일위대가"/>
      <sheetName val="2F 회의실견적(5_14 일대)"/>
      <sheetName val="S0"/>
      <sheetName val="직공비"/>
      <sheetName val="개요"/>
      <sheetName val="2000전체분"/>
      <sheetName val="2000년1차"/>
      <sheetName val="원가 (2)"/>
      <sheetName val="N賃率_職"/>
      <sheetName val="Sheet2"/>
      <sheetName val="중기사용료"/>
      <sheetName val="연습"/>
      <sheetName val="한강운반비"/>
      <sheetName val="대치판정"/>
      <sheetName val="설직재-1"/>
      <sheetName val="Sheet1"/>
      <sheetName val="품셈TABLE"/>
      <sheetName val="Total"/>
      <sheetName val="참조자료"/>
      <sheetName val="낙찰표"/>
      <sheetName val="인건-측정"/>
      <sheetName val="20관리비율"/>
      <sheetName val="심사계산"/>
      <sheetName val="심사물량"/>
      <sheetName val="일위대가"/>
      <sheetName val="HW일위"/>
      <sheetName val="밸브설치"/>
      <sheetName val="3.하중산정4.지지력"/>
      <sheetName val="원가계산"/>
      <sheetName val="일위대가목록"/>
      <sheetName val="97"/>
      <sheetName val="DATA-UPS"/>
      <sheetName val="용연"/>
      <sheetName val="기기리스트"/>
      <sheetName val="일위(PN)"/>
      <sheetName val="NOMUBI"/>
      <sheetName val="Macro(차단기)"/>
      <sheetName val="실행철강하도"/>
      <sheetName val="table"/>
      <sheetName val="기초자료입력"/>
      <sheetName val="1.설계조건"/>
      <sheetName val="1.동력공사"/>
      <sheetName val="입력DATA"/>
      <sheetName val="바닥판"/>
      <sheetName val="Sheet22"/>
      <sheetName val="설계명세서"/>
      <sheetName val="예산명세서"/>
      <sheetName val="자료입력"/>
      <sheetName val="BLOCK(1)"/>
      <sheetName val="제출내역 (2)"/>
      <sheetName val="현장지지물물량"/>
      <sheetName val="1.31"/>
      <sheetName val="견적"/>
      <sheetName val="HVAC"/>
      <sheetName val="철거현황"/>
      <sheetName val="추가공량"/>
      <sheetName val="rate"/>
      <sheetName val="환율"/>
      <sheetName val="X17-TOTAL"/>
      <sheetName val="참조영역"/>
      <sheetName val="CAT_5"/>
      <sheetName val="날개벽수량표"/>
      <sheetName val="집계"/>
      <sheetName val="경비산출"/>
      <sheetName val="Sheet5(실지급)"/>
      <sheetName val="__MAIN"/>
      <sheetName val="수목단가"/>
      <sheetName val="시설수량표"/>
      <sheetName val="식재수량표"/>
      <sheetName val="자재단가"/>
      <sheetName val="건축내역"/>
      <sheetName val="내역서(기성청구)"/>
      <sheetName val="토 적 표"/>
      <sheetName val="천방교접속"/>
      <sheetName val="Link"/>
      <sheetName val="X3"/>
      <sheetName val="부하계산서"/>
      <sheetName val="MODELING"/>
      <sheetName val="예가비교표"/>
      <sheetName val="지수"/>
      <sheetName val="FB25JN"/>
      <sheetName val="woo(mac)"/>
      <sheetName val="PANEL_중량산출"/>
      <sheetName val="슬래브"/>
      <sheetName val="배관배선 단가조사"/>
      <sheetName val="일위대가집계"/>
      <sheetName val="인부신상자료"/>
      <sheetName val="UNIT"/>
      <sheetName val="하조서"/>
      <sheetName val="원본(갑지)"/>
      <sheetName val="기본일위"/>
      <sheetName val="집계표"/>
      <sheetName val="TYPE-A"/>
      <sheetName val="단"/>
      <sheetName val="입찰안"/>
      <sheetName val="원가_(2)"/>
      <sheetName val="매출피벗"/>
      <sheetName val="인건비"/>
      <sheetName val="200"/>
      <sheetName val="전신환매도율"/>
      <sheetName val="견적서"/>
      <sheetName val="부하"/>
      <sheetName val="DB"/>
      <sheetName val="공사개요"/>
      <sheetName val="품셈총괄표"/>
      <sheetName val="단가산출2"/>
      <sheetName val="물량산출"/>
      <sheetName val="1안"/>
      <sheetName val="총괄"/>
      <sheetName val="맨홀"/>
      <sheetName val="월별수입"/>
      <sheetName val="1.수인터널"/>
      <sheetName val="현금흐름표"/>
      <sheetName val="소요자재"/>
      <sheetName val="평자재단가"/>
      <sheetName val="SANTOGO"/>
      <sheetName val="인사자료총집계"/>
      <sheetName val="현금예금"/>
      <sheetName val="일위대가1"/>
      <sheetName val="조명시설"/>
      <sheetName val="외주현황.wq1"/>
      <sheetName val="지하"/>
      <sheetName val="도면명"/>
      <sheetName val="49455"/>
      <sheetName val="EQT-ESTN"/>
      <sheetName val="FA설치명세"/>
      <sheetName val="맨홀수량산출"/>
      <sheetName val="단위수량"/>
      <sheetName val="m당 단위수량"/>
      <sheetName val="터파기표준도(관로)"/>
      <sheetName val="예정(3)"/>
      <sheetName val="자재"/>
      <sheetName val="전기"/>
      <sheetName val="연결관암거"/>
      <sheetName val="수량산출서"/>
      <sheetName val="내역갑지"/>
      <sheetName val="방화도료산출근거"/>
      <sheetName val="cost"/>
      <sheetName val="마산월령동골조물량변경"/>
      <sheetName val="공종별자재"/>
      <sheetName val="내역"/>
      <sheetName val="기계경비(시간당)"/>
      <sheetName val="램머"/>
      <sheetName val="단락전류-A"/>
      <sheetName val="SANBAISU"/>
      <sheetName val="MAT_N048"/>
      <sheetName val="EL90"/>
    </sheetNames>
    <sheetDataSet>
      <sheetData sheetId="0">
        <row r="1">
          <cell r="A1">
            <v>1</v>
          </cell>
        </row>
      </sheetData>
      <sheetData sheetId="1">
        <row r="1">
          <cell r="A1">
            <v>1</v>
          </cell>
        </row>
      </sheetData>
      <sheetData sheetId="2">
        <row r="1">
          <cell r="A1">
            <v>1</v>
          </cell>
        </row>
      </sheetData>
      <sheetData sheetId="3">
        <row r="1">
          <cell r="A1">
            <v>1</v>
          </cell>
        </row>
      </sheetData>
      <sheetData sheetId="4">
        <row r="1">
          <cell r="A1">
            <v>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"/>
      <sheetName val="U-10"/>
      <sheetName val="U-20"/>
      <sheetName val="감가상각"/>
      <sheetName val="처분"/>
      <sheetName val="취득"/>
      <sheetName val="XREF"/>
      <sheetName val="Tickmarks"/>
      <sheetName val="총괄"/>
      <sheetName val="X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주주현황"/>
      <sheetName val="U"/>
      <sheetName val="X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본간지 (3)"/>
      <sheetName val="기본목차"/>
      <sheetName val="결과"/>
      <sheetName val="업체집계"/>
      <sheetName val="원가집계"/>
      <sheetName val="총괄표"/>
      <sheetName val="재집계"/>
      <sheetName val="부품별집계"/>
      <sheetName val="회로MC"/>
      <sheetName val="기구MC"/>
      <sheetName val="직재비(기타)"/>
      <sheetName val="간재비"/>
      <sheetName val="금형비"/>
      <sheetName val="노무집계"/>
      <sheetName val="노무비"/>
      <sheetName val="소요공수"/>
      <sheetName val="노임단가명세"/>
      <sheetName val="간노율"/>
      <sheetName val="임금"/>
      <sheetName val="경비"/>
      <sheetName val="경비배부액"/>
      <sheetName val="경비조정"/>
      <sheetName val="개발비"/>
      <sheetName val="외주가공비"/>
      <sheetName val="일반관리비율"/>
      <sheetName val="IS"/>
      <sheetName val="MS"/>
      <sheetName val="총괄(차로)"/>
      <sheetName val="총괄(부스)"/>
      <sheetName val="설치재료"/>
      <sheetName val="집계표(차로)"/>
      <sheetName val="성남(차로)"/>
      <sheetName val="청계(차로)"/>
      <sheetName val="판교(차로)"/>
      <sheetName val="성남(부스)"/>
      <sheetName val="청계(부스)"/>
      <sheetName val="판교(부스)"/>
      <sheetName val="설노집계"/>
      <sheetName val="설치노무"/>
      <sheetName val="설치간노비"/>
      <sheetName val="02간노율"/>
      <sheetName val="일위집계"/>
      <sheetName val="일위대가"/>
      <sheetName val="설노임단가 (2)"/>
      <sheetName val="工경비"/>
      <sheetName val="02경비율"/>
      <sheetName val="운반비"/>
      <sheetName val="SW개발비"/>
      <sheetName val="개발인건"/>
      <sheetName val="1차인건"/>
      <sheetName val="step"/>
      <sheetName val="SW제경"/>
      <sheetName val="기술료"/>
      <sheetName val="직접경비"/>
      <sheetName val="SW목록"/>
      <sheetName val="시스템요약data"/>
      <sheetName val="정산서버상세data"/>
      <sheetName val="수량산출"/>
      <sheetName val="정부노임단가"/>
      <sheetName val="터파기및재료"/>
      <sheetName val="N賃率-職"/>
      <sheetName val="갑지"/>
      <sheetName val="물량산출근거"/>
      <sheetName val="#REF"/>
      <sheetName val="내역서2안"/>
      <sheetName val="을"/>
      <sheetName val="설계서"/>
      <sheetName val="20관리비율"/>
      <sheetName val="내역서1999.8최종"/>
      <sheetName val="94"/>
      <sheetName val="집계표"/>
      <sheetName val="Sheet5"/>
      <sheetName val="데이타"/>
      <sheetName val="6호기"/>
      <sheetName val="공사설명서외"/>
      <sheetName val="내역"/>
      <sheetName val="설비"/>
      <sheetName val="식재인부"/>
      <sheetName val="집계"/>
      <sheetName val="기본일위"/>
      <sheetName val="직노"/>
      <sheetName val="실행내역"/>
      <sheetName val="패널"/>
      <sheetName val="A-4"/>
      <sheetName val="일위"/>
      <sheetName val="LEGEND"/>
      <sheetName val="과천MAIN"/>
      <sheetName val="Galaxy 소비자가격표"/>
      <sheetName val="내역서"/>
      <sheetName val="공조기"/>
      <sheetName val="조명율"/>
      <sheetName val="토적표"/>
      <sheetName val="산출기준자료"/>
      <sheetName val="C3"/>
      <sheetName val="J直材4"/>
      <sheetName val="9.설치품셈"/>
      <sheetName val="품셈총괄"/>
      <sheetName val="기본DATA Sheet"/>
      <sheetName val="수량총괄"/>
      <sheetName val="언양휴게소배수관 흄관설치"/>
      <sheetName val="I一般比"/>
      <sheetName val="1호맨홀가감수량"/>
      <sheetName val="가시설(TYPE-A)"/>
      <sheetName val="1-1평균터파기고(1)"/>
      <sheetName val="1호맨홀수량산출"/>
      <sheetName val="가시설단위수량"/>
      <sheetName val="SORCE1"/>
      <sheetName val="단위수량"/>
      <sheetName val="Sheet1"/>
      <sheetName val="인제내역"/>
      <sheetName val="총계"/>
      <sheetName val="설산1.나"/>
      <sheetName val="본사S"/>
      <sheetName val="강교(Sub)"/>
      <sheetName val="일반토공견적"/>
      <sheetName val="현금예금"/>
      <sheetName val="설직재-1"/>
      <sheetName val="제직재"/>
      <sheetName val="홍보비디오"/>
      <sheetName val="경산"/>
      <sheetName val="토사(PE)"/>
      <sheetName val="차액보증"/>
      <sheetName val="감액총괄표"/>
      <sheetName val="대창(함평)"/>
      <sheetName val="대창(장성)"/>
      <sheetName val="대창(함평)-창열"/>
      <sheetName val="직재"/>
      <sheetName val="제-노임"/>
      <sheetName val="3BL공동구 수량"/>
      <sheetName val="단가표 "/>
      <sheetName val="원가 (2)"/>
      <sheetName val="수량산출서"/>
      <sheetName val="식재"/>
      <sheetName val="시설물"/>
      <sheetName val="식재출력용"/>
      <sheetName val="유지관리"/>
      <sheetName val="단가"/>
      <sheetName val="목재동바리"/>
      <sheetName val="Customer Databas"/>
      <sheetName val="내역서1-2"/>
      <sheetName val="토목"/>
      <sheetName val="1안"/>
      <sheetName val="소비자가"/>
      <sheetName val="중기사용료"/>
      <sheetName val="노임단가"/>
      <sheetName val="CP-E2 (품셈표)"/>
      <sheetName val="발신정보"/>
      <sheetName val="견적서"/>
      <sheetName val="원가계산서"/>
      <sheetName val="Sheet3"/>
      <sheetName val="File_관급"/>
      <sheetName val="공정집계"/>
      <sheetName val="품질 및 특성 보정계수"/>
      <sheetName val="MOTOR"/>
      <sheetName val="WORK"/>
      <sheetName val="실행철강하도"/>
      <sheetName val="단가 "/>
      <sheetName val="을지"/>
      <sheetName val="C앤C원가계산"/>
      <sheetName val="플랜트 설치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수량산출"/>
      <sheetName val="수량산출(음암)"/>
      <sheetName val="성북내역서(종합)"/>
      <sheetName val="건축일위"/>
      <sheetName val="그라우팅일위"/>
      <sheetName val="노임"/>
      <sheetName val="설계기준"/>
      <sheetName val="내역1"/>
      <sheetName val="신우"/>
      <sheetName val="철거산출근거"/>
      <sheetName val="1안"/>
      <sheetName val="노임단가"/>
      <sheetName val="갑지"/>
      <sheetName val="수목단가"/>
      <sheetName val="시설수량표"/>
      <sheetName val="식재수량표"/>
      <sheetName val="일위목록"/>
      <sheetName val="전기"/>
      <sheetName val="공사개요"/>
      <sheetName val="현장관리비"/>
      <sheetName val="TEL"/>
      <sheetName val="N賃率-職"/>
      <sheetName val="단가 및 재료비"/>
      <sheetName val="단가산출2"/>
      <sheetName val="일위대가"/>
      <sheetName val="00노임기준"/>
      <sheetName val="I一般比"/>
      <sheetName val="기본일위"/>
      <sheetName val="자재단가"/>
      <sheetName val="94"/>
      <sheetName val="Sheet1"/>
      <sheetName val="#REF"/>
      <sheetName val="소비자가"/>
      <sheetName val="건축"/>
      <sheetName val="제잡비"/>
      <sheetName val="데이타"/>
      <sheetName val="토사(PE)"/>
      <sheetName val="기계경비산출기준"/>
      <sheetName val="원가계산서"/>
      <sheetName val="총 원가계산"/>
      <sheetName val="설직재-1"/>
      <sheetName val="면간거리&amp;사거리"/>
      <sheetName val="관급자재대"/>
      <sheetName val="단가표"/>
      <sheetName val="일(4)"/>
      <sheetName val="재료비"/>
      <sheetName val="식재인부"/>
      <sheetName val="금액내역서"/>
      <sheetName val="6호기"/>
      <sheetName val="공량서"/>
      <sheetName val="내역서1-2"/>
      <sheetName val="기본단가표"/>
      <sheetName val="골조시행"/>
      <sheetName val="기타경비"/>
      <sheetName val="실행(ALT1)"/>
      <sheetName val="단가"/>
      <sheetName val="DATA-UPS"/>
      <sheetName val="지급자재"/>
      <sheetName val="집계표"/>
      <sheetName val="내역서2안"/>
      <sheetName val="내역서1999_8최종"/>
      <sheetName val="단가_및_재료비"/>
      <sheetName val="설계명세서"/>
      <sheetName val="덕전리"/>
      <sheetName val="중기사용료"/>
      <sheetName val="경비분해1차"/>
      <sheetName val="임금"/>
      <sheetName val="내역서"/>
      <sheetName val="토적표"/>
      <sheetName val="정부노임"/>
      <sheetName val="방화산출"/>
      <sheetName val="품셈표"/>
      <sheetName val="설계내역서"/>
      <sheetName val="T13(P68~72,78)"/>
      <sheetName val="산출내역서"/>
      <sheetName val="H-PILE수량집계"/>
      <sheetName val="교육시설"/>
      <sheetName val="1.일위대가"/>
      <sheetName val="사업성분석"/>
      <sheetName val="실행철강하도"/>
      <sheetName val="A2"/>
      <sheetName val="DATA"/>
      <sheetName val="역T형교대(말뚝기초)"/>
      <sheetName val="실행내역(10.13)"/>
      <sheetName val="설명"/>
      <sheetName val="내역"/>
      <sheetName val="연결관산출조서"/>
      <sheetName val="RangeObject"/>
      <sheetName val="가도공"/>
      <sheetName val="2000년1차"/>
      <sheetName val="2000전체분"/>
      <sheetName val="대포2교접속"/>
      <sheetName val="천방교접속"/>
      <sheetName val="대치판정"/>
      <sheetName val="Macro(전선)"/>
      <sheetName val="건축내역"/>
      <sheetName val="개산공사비"/>
      <sheetName val="부대내역"/>
      <sheetName val="안전장치"/>
      <sheetName val="정공공사"/>
      <sheetName val="간이(갑)"/>
      <sheetName val="자료"/>
      <sheetName val="간선"/>
      <sheetName val="전압"/>
      <sheetName val="조도"/>
      <sheetName val="동력"/>
      <sheetName val="Sheet14"/>
      <sheetName val="건축명"/>
      <sheetName val="기계명"/>
      <sheetName val="전기명"/>
      <sheetName val="토목명"/>
      <sheetName val="Sheet13"/>
      <sheetName val="기초자료입력"/>
      <sheetName val="예총"/>
      <sheetName val="강교(Sub)"/>
      <sheetName val="내역서 제출"/>
      <sheetName val="준공조서"/>
      <sheetName val="공사준공계"/>
      <sheetName val="준공검사보고서"/>
      <sheetName val="Total"/>
      <sheetName val="21"/>
      <sheetName val="24"/>
      <sheetName val="13~19"/>
      <sheetName val="20"/>
      <sheetName val="4"/>
      <sheetName val="1"/>
      <sheetName val="3"/>
      <sheetName val="5~9"/>
      <sheetName val="10~12"/>
      <sheetName val="22"/>
      <sheetName val="설비"/>
      <sheetName val="준공정산"/>
      <sheetName val="말뚝지지력산정"/>
      <sheetName val="Sheet1 (2)"/>
      <sheetName val="데리네이타현황"/>
      <sheetName val="setup"/>
      <sheetName val="집계"/>
      <sheetName val="간지2"/>
      <sheetName val="원가"/>
      <sheetName val="간지3"/>
      <sheetName val="간지4"/>
      <sheetName val="재집"/>
      <sheetName val="직재"/>
      <sheetName val="소요량"/>
      <sheetName val="간재"/>
      <sheetName val="기타소모"/>
      <sheetName val="간지5"/>
      <sheetName val="노집"/>
      <sheetName val="직노"/>
      <sheetName val="노무공수"/>
      <sheetName val="임률"/>
      <sheetName val="상여금"/>
      <sheetName val="간노비율"/>
      <sheetName val="임금대장"/>
      <sheetName val="간지6"/>
      <sheetName val="경비"/>
      <sheetName val="배부"/>
      <sheetName val="조정액"/>
      <sheetName val="간지7"/>
      <sheetName val="일반"/>
      <sheetName val="일반비율"/>
      <sheetName val="간지8"/>
      <sheetName val="이윤"/>
      <sheetName val="이윤비율"/>
      <sheetName val="간지9"/>
      <sheetName val="운반비"/>
      <sheetName val="간지10"/>
      <sheetName val="재무"/>
      <sheetName val="손익"/>
      <sheetName val="제조"/>
      <sheetName val="기업"/>
      <sheetName val="운임표"/>
      <sheetName val="14.1부"/>
      <sheetName val="2-1. 경관조명 내역총괄표"/>
      <sheetName val="배수공수집"/>
      <sheetName val="8.석축단위(H=1.5M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/>
      <sheetData sheetId="144"/>
      <sheetData sheetId="145"/>
      <sheetData sheetId="146">
        <row r="2">
          <cell r="A2" t="str">
            <v>총괄표</v>
          </cell>
        </row>
      </sheetData>
      <sheetData sheetId="147">
        <row r="2">
          <cell r="A2" t="str">
            <v>총괄표</v>
          </cell>
        </row>
      </sheetData>
      <sheetData sheetId="148">
        <row r="2">
          <cell r="A2" t="str">
            <v>총괄표</v>
          </cell>
        </row>
      </sheetData>
      <sheetData sheetId="149">
        <row r="2">
          <cell r="A2" t="str">
            <v>총괄표</v>
          </cell>
        </row>
      </sheetData>
      <sheetData sheetId="150">
        <row r="2">
          <cell r="A2" t="str">
            <v>총괄표</v>
          </cell>
        </row>
      </sheetData>
      <sheetData sheetId="151">
        <row r="2">
          <cell r="A2" t="str">
            <v>총괄표</v>
          </cell>
        </row>
      </sheetData>
      <sheetData sheetId="152">
        <row r="2">
          <cell r="A2" t="str">
            <v>총괄표</v>
          </cell>
        </row>
      </sheetData>
      <sheetData sheetId="153">
        <row r="2">
          <cell r="A2" t="str">
            <v>총괄표</v>
          </cell>
        </row>
      </sheetData>
      <sheetData sheetId="154">
        <row r="2">
          <cell r="A2" t="str">
            <v>총괄표</v>
          </cell>
        </row>
      </sheetData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본댐"/>
      <sheetName val="도수"/>
      <sheetName val="ssb"/>
      <sheetName val="증감"/>
      <sheetName val="토목"/>
      <sheetName val="국고"/>
      <sheetName val="발전"/>
      <sheetName val="건축"/>
      <sheetName val="건축내역"/>
      <sheetName val="기계"/>
      <sheetName val="전기"/>
      <sheetName val="통신"/>
      <sheetName val="집계"/>
      <sheetName val="챠트"/>
      <sheetName val="물가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1"/>
      <sheetName val="일위"/>
      <sheetName val="수량산출"/>
      <sheetName val="단가표"/>
      <sheetName val="기본단가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목차"/>
      <sheetName val="비율"/>
      <sheetName val="간지"/>
      <sheetName val="결과"/>
      <sheetName val="총괄"/>
      <sheetName val="재료계"/>
      <sheetName val="직재비"/>
      <sheetName val="소요량"/>
      <sheetName val="소요량 (2)"/>
      <sheetName val="소요량 (3)"/>
      <sheetName val="곡면산"/>
      <sheetName val="제품도면"/>
      <sheetName val="간재"/>
      <sheetName val="소모품배부액"/>
      <sheetName val="작업설"/>
      <sheetName val="수율"/>
      <sheetName val="노무집"/>
      <sheetName val="직간노"/>
      <sheetName val="공수-경계석"/>
      <sheetName val="공수-판재"/>
      <sheetName val="공정별시간 (1)"/>
      <sheetName val="공정별시간(2)"/>
      <sheetName val="작업인원"/>
      <sheetName val="생산량"/>
      <sheetName val="99생산량"/>
      <sheetName val="99생산량 (2)"/>
      <sheetName val="곡면산 (2)"/>
      <sheetName val="노임단가"/>
      <sheetName val="간노율"/>
      <sheetName val="경비집"/>
      <sheetName val="경비"/>
      <sheetName val="천-경배부"/>
      <sheetName val="천-경조정"/>
      <sheetName val="운반비"/>
      <sheetName val="일반관리비율"/>
      <sheetName val="99자료요청"/>
      <sheetName val="2000자료요청"/>
      <sheetName val="천연임금"/>
      <sheetName val="천-소모"/>
      <sheetName val="인건비 "/>
      <sheetName val="DATA"/>
      <sheetName val="데이타"/>
      <sheetName val="내역서1999.8최종"/>
      <sheetName val="N賃率-職"/>
      <sheetName val="제직재"/>
      <sheetName val="설직재-1"/>
      <sheetName val="제-노임"/>
      <sheetName val="경산"/>
      <sheetName val="토사(PE)"/>
      <sheetName val="I一般比"/>
      <sheetName val="수량산출"/>
      <sheetName val="전기"/>
      <sheetName val="일위대가목록"/>
      <sheetName val="단가산출목록표"/>
      <sheetName val="#REF"/>
      <sheetName val="기본일위"/>
      <sheetName val="내역서2안"/>
      <sheetName val="패널"/>
      <sheetName val="직노"/>
      <sheetName val="실행내역"/>
      <sheetName val="6. 직접경비"/>
      <sheetName val="직재"/>
      <sheetName val="Sheet1"/>
      <sheetName val="일위"/>
      <sheetName val="식재"/>
      <sheetName val="시설물"/>
      <sheetName val="식재출력용"/>
      <sheetName val="유지관리"/>
      <sheetName val="단가"/>
      <sheetName val="9509"/>
      <sheetName val="철거산출근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실행대비"/>
      <sheetName val="일반수량"/>
      <sheetName val="돌담교 상부수량"/>
      <sheetName val="SLAB&quot;1&quot;"/>
      <sheetName val="H-PILE수량집계"/>
      <sheetName val="수량-가로등"/>
      <sheetName val="단가"/>
      <sheetName val="말뚝지지력산정"/>
      <sheetName val="기안"/>
      <sheetName val="토적표"/>
      <sheetName val="우수받이"/>
      <sheetName val="1단계"/>
      <sheetName val="건축"/>
      <sheetName val="원가계산"/>
      <sheetName val="SAP_INPUT"/>
      <sheetName val="산근"/>
      <sheetName val="일위대가9803"/>
      <sheetName val="노무비단가"/>
      <sheetName val="2.토목공사"/>
      <sheetName val="역T형교대(말뚝기초)"/>
      <sheetName val="해평견적"/>
      <sheetName val="개산공사비"/>
      <sheetName val="단위수량"/>
      <sheetName val="데리네이타현황"/>
      <sheetName val="전기"/>
      <sheetName val="총괄"/>
      <sheetName val="기초단가"/>
      <sheetName val="중기손료"/>
      <sheetName val="산출근거"/>
      <sheetName val="노임이"/>
      <sheetName val="실행철강하도"/>
      <sheetName val="수량산출"/>
      <sheetName val="공사개요"/>
      <sheetName val="설계예시"/>
      <sheetName val="설계명세서"/>
      <sheetName val="입력자료"/>
      <sheetName val="내역서1999.8최종"/>
      <sheetName val="내역서 제출"/>
      <sheetName val="용수량(생활용수)"/>
      <sheetName val="#REF"/>
      <sheetName val="DATE"/>
      <sheetName val="FILE1"/>
      <sheetName val="입찰안"/>
      <sheetName val="ABUT수량-A1"/>
      <sheetName val="제원및배치"/>
      <sheetName val="돌담교_상부수량"/>
      <sheetName val="CON기초"/>
      <sheetName val="토목주소"/>
      <sheetName val="가시설수량"/>
      <sheetName val="3BL공동구 수량"/>
      <sheetName val="8.석축단위(H=1.5M)"/>
      <sheetName val="견적단가"/>
      <sheetName val="테이블"/>
      <sheetName val="6PILE  (돌출)"/>
      <sheetName val="6호기"/>
      <sheetName val="CON'C"/>
      <sheetName val="철거산출근거"/>
      <sheetName val="소비자가"/>
      <sheetName val="건축내역"/>
      <sheetName val="자재단가"/>
      <sheetName val="노임단가"/>
      <sheetName val="I一般比"/>
      <sheetName val="건축명"/>
      <sheetName val="기계명"/>
      <sheetName val="전기명"/>
      <sheetName val="토목명"/>
      <sheetName val="Sheet5"/>
      <sheetName val="BID"/>
      <sheetName val="내역"/>
      <sheetName val="8.PILE  (돌출)"/>
      <sheetName val="원가계산서"/>
      <sheetName val="날개벽수량표"/>
      <sheetName val="덕전리"/>
      <sheetName val="설계기준"/>
      <sheetName val="내역1"/>
      <sheetName val="데이타"/>
      <sheetName val="식재인부"/>
      <sheetName val="단중표"/>
      <sheetName val="구체"/>
      <sheetName val="좌측날개벽"/>
      <sheetName val="우측날개벽"/>
      <sheetName val="Sheet3"/>
      <sheetName val="setup"/>
      <sheetName val="연결관암거"/>
      <sheetName val="2공구산출내역"/>
      <sheetName val="식재가격"/>
      <sheetName val="식재총괄"/>
      <sheetName val="일위목록"/>
      <sheetName val="Sheet1"/>
      <sheetName val="교각1"/>
      <sheetName val="단가산출서1"/>
      <sheetName val="바닥판"/>
      <sheetName val="입력DATA"/>
      <sheetName val="총괄내역서"/>
      <sheetName val="신천3호용수로"/>
      <sheetName val="터파기및재료"/>
      <sheetName val="3련 BOX"/>
      <sheetName val="총괄표"/>
      <sheetName val="내역서"/>
      <sheetName val="CC16-내역서"/>
      <sheetName val="4.2유효폭의 계산"/>
      <sheetName val="이토변실"/>
      <sheetName val="단위단가"/>
      <sheetName val="교대(A1)"/>
      <sheetName val="건축공사실행"/>
      <sheetName val="예산명세서"/>
      <sheetName val="자료입력"/>
      <sheetName val="도로"/>
      <sheetName val="방음벽기초"/>
      <sheetName val="INPUT"/>
      <sheetName val="POL6차-PIPING"/>
      <sheetName val="b_balju_cho"/>
      <sheetName val="2호맨홀공제수량"/>
      <sheetName val="2.가정단면"/>
      <sheetName val="사급자재"/>
      <sheetName val="BOX-1510"/>
      <sheetName val="건물철거"/>
      <sheetName val="기타배수구조물깨기-단위수량"/>
      <sheetName val="단가대비표"/>
      <sheetName val="갑지(추정)"/>
      <sheetName val="정부노임단가"/>
      <sheetName val="2000전체분"/>
      <sheetName val="2000년1차"/>
      <sheetName val="관급자재대"/>
      <sheetName val="기계경비(시간당)"/>
      <sheetName val="램머"/>
      <sheetName val="청주(철골발주의뢰서)"/>
      <sheetName val="일위대가표"/>
      <sheetName val="실행"/>
      <sheetName val="수목단가"/>
      <sheetName val="시설수량표"/>
      <sheetName val="식재수량표"/>
      <sheetName val="내역표지"/>
      <sheetName val="99노임기준"/>
      <sheetName val="신규보류입력"/>
      <sheetName val="이름정의"/>
      <sheetName val="1.설계조건"/>
      <sheetName val="Macro2"/>
      <sheetName val="설명서 "/>
      <sheetName val="토목"/>
      <sheetName val="년도별노임표"/>
      <sheetName val="중기목록표"/>
      <sheetName val="대림경상68억"/>
      <sheetName val="구조물철거타공정이월"/>
      <sheetName val="골조시행"/>
      <sheetName val="건축계약내역"/>
      <sheetName val="수량산출서"/>
      <sheetName val="대전가오_견출_집계표"/>
      <sheetName val="공사"/>
      <sheetName val="안전장치"/>
      <sheetName val="맨홀수량"/>
      <sheetName val="수로BOX"/>
      <sheetName val="초"/>
      <sheetName val="가도공"/>
      <sheetName val="토공개요C"/>
      <sheetName val="정공공사"/>
      <sheetName val="공사비 증감 내역서"/>
      <sheetName val="관경별내역서"/>
      <sheetName val="작업입력"/>
      <sheetName val="Macro1"/>
      <sheetName val="노임"/>
      <sheetName val="2003상반기노임기준"/>
      <sheetName val="중기단가LIST"/>
      <sheetName val="산출기준"/>
      <sheetName val="개별직종노임"/>
      <sheetName val="엔지니어링노임"/>
      <sheetName val="종형증설공"/>
      <sheetName val="노임단가 (2)"/>
      <sheetName val="차액보증"/>
      <sheetName val="Sheet2"/>
      <sheetName val="집수정(600-700)"/>
      <sheetName val="노임,재료비"/>
      <sheetName val="T13(P68~72,78)"/>
      <sheetName val="단가조사서"/>
      <sheetName val="간지"/>
      <sheetName val="철거현황"/>
      <sheetName val="중동공구"/>
      <sheetName val="DATA"/>
      <sheetName val="교각계산"/>
      <sheetName val="문산방향-교대(A2)"/>
      <sheetName val="건축내역서"/>
      <sheetName val="설비내역서"/>
      <sheetName val="전기내역서"/>
      <sheetName val="집계표"/>
      <sheetName val="견적서"/>
      <sheetName val="원가&amp;하도급원가"/>
      <sheetName val="설계설명서"/>
      <sheetName val="실행(ALT1)"/>
      <sheetName val="양식3"/>
      <sheetName val="일위대가목차"/>
      <sheetName val="대비"/>
      <sheetName val="pier-1"/>
      <sheetName val="BOX(1.5X1.5)"/>
      <sheetName val="단면치수"/>
      <sheetName val="수량"/>
      <sheetName val="갑지"/>
      <sheetName val="건축일위"/>
      <sheetName val="그라우팅일위"/>
      <sheetName val="투찰"/>
      <sheetName val="내역을"/>
      <sheetName val="2-1. 경관조명 내역총괄표"/>
      <sheetName val="물가시세"/>
      <sheetName val="단가 및 재료비"/>
      <sheetName val="중기사용료산출근거"/>
      <sheetName val="기본일위"/>
      <sheetName val="표지"/>
      <sheetName val="계단"/>
      <sheetName val=" 상부공통집계(총괄)"/>
      <sheetName val="대창(함평)"/>
      <sheetName val="대창(장성)"/>
      <sheetName val="대창(함평)-창열"/>
      <sheetName val="COPING"/>
      <sheetName val="입력"/>
      <sheetName val="초기화면"/>
      <sheetName val="7.PILE  (돌출)"/>
      <sheetName val="격점수량"/>
      <sheetName val="II손익관리"/>
      <sheetName val="L_RPTB02_01"/>
      <sheetName val="A2"/>
      <sheetName val="개별직종노임단가(2003.9)"/>
      <sheetName val="Total"/>
      <sheetName val="각형맨홀"/>
      <sheetName val="제경비"/>
      <sheetName val="실적"/>
      <sheetName val="입력(K0)"/>
      <sheetName val="장비"/>
      <sheetName val="노무비"/>
      <sheetName val="부속동"/>
      <sheetName val="우수공"/>
      <sheetName val="도급"/>
      <sheetName val="조작대(1연)"/>
      <sheetName val="설계변경총괄표(계산식)"/>
      <sheetName val="가감수량"/>
      <sheetName val="맨홀수량산출"/>
      <sheetName val="날개벽(TYPE2)"/>
      <sheetName val="적용기준"/>
      <sheetName val="대로근거"/>
      <sheetName val="중로근거"/>
      <sheetName val="집계"/>
      <sheetName val="터파기단면도(보도)"/>
      <sheetName val="공사원가계산서"/>
      <sheetName val="도급예산내역서총괄표"/>
      <sheetName val="실행내역(10.13)"/>
      <sheetName val="부대내역"/>
      <sheetName val="토공"/>
      <sheetName val="일위"/>
      <sheetName val="경비_원본"/>
      <sheetName val="산출내역서집계표"/>
      <sheetName val="기본단가표"/>
      <sheetName val="증감내역서"/>
      <sheetName val="HVAC"/>
      <sheetName val="참여현황 (직원)"/>
      <sheetName val="AS포장복구 "/>
      <sheetName val="FAB별"/>
      <sheetName val="N賃率-職"/>
      <sheetName val="운임료"/>
      <sheetName val="공구"/>
      <sheetName val="관로토공"/>
      <sheetName val="준공조서"/>
      <sheetName val="공사준공계"/>
      <sheetName val="준공검사보고서"/>
      <sheetName val="단가산출2"/>
      <sheetName val="기존건물 깨기원단위"/>
      <sheetName val="시장성초안camera"/>
      <sheetName val="토공개요"/>
      <sheetName val="토공(1)"/>
      <sheetName val="산출3-동력"/>
      <sheetName val="산출4-전등"/>
      <sheetName val="Sheet1 (2)"/>
      <sheetName val="대공종"/>
      <sheetName val="원가"/>
      <sheetName val="종배수단위_CON기초"/>
      <sheetName val="시설일위"/>
      <sheetName val="식재일위"/>
      <sheetName val="기본데이타입력"/>
      <sheetName val="보도교산출근거"/>
      <sheetName val="tggwan(mac)"/>
      <sheetName val="EQUIP LIST"/>
      <sheetName val="역T형"/>
      <sheetName val="재료비"/>
      <sheetName val="1구간FRP수량산출"/>
      <sheetName val="2"/>
      <sheetName val="장비종합부표"/>
      <sheetName val="집계표_식재"/>
      <sheetName val="부표"/>
      <sheetName val="공종별자재"/>
      <sheetName val="환경기계공정표 (3)"/>
      <sheetName val="방수"/>
      <sheetName val="포장자재집계표"/>
      <sheetName val="unitpric"/>
      <sheetName val="noyim"/>
      <sheetName val="99노임단가"/>
      <sheetName val="설계내역서"/>
      <sheetName val="준비공"/>
      <sheetName val="목교수량산출"/>
      <sheetName val="물가단가"/>
      <sheetName val="제표일위대가"/>
      <sheetName val="208-238"/>
      <sheetName val="터널굴착단산"/>
      <sheetName val="터널구조물산근"/>
      <sheetName val="COVER"/>
      <sheetName val="철근량 산정"/>
      <sheetName val="구분표"/>
      <sheetName val="원형맨홀수량"/>
      <sheetName val="개거산출내역"/>
      <sheetName val="총 원가계산"/>
      <sheetName val="위생"/>
      <sheetName val="산출2-전력"/>
      <sheetName val="산출9-TRAY"/>
      <sheetName val="DATE2001"/>
      <sheetName val="평가데이터"/>
      <sheetName val="밸브설치"/>
      <sheetName val="Macro(차단기)"/>
      <sheetName val="프랜트면허"/>
      <sheetName val="JUCKEYK"/>
      <sheetName val="Front"/>
      <sheetName val="wall"/>
      <sheetName val="사  업  비  수  지  예  산  서"/>
      <sheetName val="sw1"/>
      <sheetName val="목포방향"/>
      <sheetName val="노무자도장2"/>
      <sheetName val="각사별공사비분개 "/>
      <sheetName val="슬래브 -연속(3경간)"/>
      <sheetName val="배수공수집"/>
      <sheetName val="배수관산출"/>
      <sheetName val="type-F"/>
      <sheetName val="시노501"/>
      <sheetName val="포장집계"/>
      <sheetName val="포장연장"/>
      <sheetName val="빗물받이(910-510-410)"/>
      <sheetName val="견적1"/>
      <sheetName val="장비집계"/>
      <sheetName val="기초자료입력"/>
      <sheetName val="준공정산"/>
      <sheetName val="토사(PE)"/>
      <sheetName val="지수"/>
      <sheetName val="건축공사"/>
      <sheetName val="기계경비"/>
      <sheetName val="우수"/>
      <sheetName val="을지"/>
      <sheetName val="단가비교표"/>
      <sheetName val="전등수량산출"/>
      <sheetName val="교대철근집계"/>
      <sheetName val="단가산출1"/>
      <sheetName val="인제내역"/>
      <sheetName val="1~9 하중계산"/>
      <sheetName val="인부신상자료"/>
      <sheetName val="2000노임기준"/>
      <sheetName val="학습율"/>
      <sheetName val="PL단가산정"/>
      <sheetName val="그림"/>
      <sheetName val="그림2"/>
      <sheetName val="아파트"/>
      <sheetName val="부대시설"/>
      <sheetName val="노.표-조"/>
      <sheetName val="단관데이터"/>
      <sheetName val="이형관데이터"/>
      <sheetName val="입력란"/>
      <sheetName val="97노임단가"/>
      <sheetName val="가설공사비"/>
      <sheetName val="도로구조공사비"/>
      <sheetName val="도로토공공사비"/>
      <sheetName val="여수토공사비"/>
      <sheetName val="산정표"/>
      <sheetName val="캔개발배경"/>
      <sheetName val="캔판매목표"/>
      <sheetName val="시장"/>
      <sheetName val="손익"/>
      <sheetName val="일정표"/>
      <sheetName val="개요"/>
      <sheetName val="마케팅"/>
      <sheetName val="목차"/>
      <sheetName val="추정손익"/>
      <sheetName val="할당"/>
      <sheetName val="제목"/>
      <sheetName val="원가,목표"/>
      <sheetName val="판매"/>
      <sheetName val="판촉"/>
      <sheetName val="협조"/>
      <sheetName val="노임단가(직종번호 순)"/>
      <sheetName val="DHEQSUPT"/>
      <sheetName val="(X)품셈집계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0226"/>
      <sheetName val="터널조도"/>
      <sheetName val="001"/>
      <sheetName val="ITEM"/>
      <sheetName val="ilch"/>
      <sheetName val="Sheet4"/>
      <sheetName val="2F 회의실견적(5_14 일대)"/>
      <sheetName val="을"/>
      <sheetName val="토공(우물통,기타) "/>
      <sheetName val="Y-WORK"/>
      <sheetName val="공통가설"/>
      <sheetName val="1-1"/>
      <sheetName val="총_구조물공"/>
      <sheetName val="대3류 "/>
      <sheetName val="원형1호맨홀토공수량"/>
      <sheetName val="내역- CCTV"/>
      <sheetName val="내역서적용수량"/>
      <sheetName val="지급자재"/>
      <sheetName val="식재"/>
      <sheetName val="시설물"/>
      <sheetName val="식재출력용"/>
      <sheetName val="유지관리"/>
      <sheetName val="토목공사일반"/>
      <sheetName val="공사비산출내역"/>
      <sheetName val="woo(mac)"/>
      <sheetName val="설치조서"/>
      <sheetName val="배수공집계표"/>
      <sheetName val="예정공정표"/>
      <sheetName val="연동내역"/>
      <sheetName val="건설성적"/>
      <sheetName val="고창방향"/>
      <sheetName val="토공분배표"/>
      <sheetName val="설계개요"/>
      <sheetName val="건설사업관리 공제요율"/>
      <sheetName val="건설공사 감리원 배치기준"/>
      <sheetName val="책임감리 공제요율"/>
      <sheetName val="소방"/>
      <sheetName val="D"/>
      <sheetName val="설비공사(4)"/>
      <sheetName val="01노임적용기준"/>
      <sheetName val="3-구교-오리지날"/>
      <sheetName val="본문"/>
      <sheetName val="참조"/>
      <sheetName val="2.대외공문"/>
      <sheetName val="경율산정.XLS"/>
      <sheetName val="CONCRETE"/>
      <sheetName val="정의"/>
      <sheetName val="견적갑지"/>
      <sheetName val="물량내역"/>
      <sheetName val="대구은행"/>
      <sheetName val="GT 1050x650"/>
      <sheetName val="분전반계산서(석관)"/>
      <sheetName val="잡비계산"/>
      <sheetName val="산출3-유도등"/>
      <sheetName val="산출2-동력"/>
      <sheetName val="산출2-피뢰침"/>
      <sheetName val="준검 내역서"/>
      <sheetName val="주공 갑지"/>
      <sheetName val="진주방향"/>
      <sheetName val="일위대가(가설)"/>
      <sheetName val="총정리"/>
      <sheetName val="INPUTDATA"/>
      <sheetName val="돌담교_상부수량1"/>
      <sheetName val="3BL공동구_수량"/>
      <sheetName val="내역서1999_8최종"/>
      <sheetName val="8_석축단위(H=1_5M)"/>
      <sheetName val="2_가정단면"/>
      <sheetName val="6PILE__(돌출)"/>
      <sheetName val="2_토목공사"/>
      <sheetName val="_상부공통집계(총괄)"/>
      <sheetName val="기초수량자료"/>
      <sheetName val="우각부보강"/>
      <sheetName val="단위량당중기"/>
      <sheetName val="단가(자재)"/>
      <sheetName val="단가(노임)"/>
      <sheetName val="기초목록"/>
      <sheetName val="단위중량"/>
      <sheetName val="노임DB"/>
      <sheetName val="간접"/>
      <sheetName val="1.토공"/>
      <sheetName val="BSD (2)"/>
      <sheetName val="자재단가_사급"/>
      <sheetName val="중기적산목록"/>
      <sheetName val="간이(갑)"/>
      <sheetName val="단가산출서 (2)"/>
      <sheetName val="단가산출서"/>
      <sheetName val="세목전체"/>
      <sheetName val="기초수량산출서"/>
      <sheetName val="변화치수"/>
      <sheetName val="코드표"/>
      <sheetName val="검측감리공제요율"/>
      <sheetName val="시공감리공제요율"/>
      <sheetName val="책임감리공제요율"/>
      <sheetName val="가로등"/>
      <sheetName val="4.2.1 마루높이 검토"/>
      <sheetName val="설계"/>
      <sheetName val="내역서(도급)"/>
      <sheetName val="계수시트"/>
      <sheetName val="제잡비"/>
      <sheetName val="단가조사"/>
      <sheetName val="BS2"/>
      <sheetName val="1.견적보고서"/>
      <sheetName val="날개벽"/>
      <sheetName val="지점별강우량"/>
      <sheetName val="노임자재단가"/>
      <sheetName val="현장경비"/>
      <sheetName val="노임단가표"/>
      <sheetName val="예총"/>
      <sheetName val="Bldg Brkdown"/>
      <sheetName val="건축집계"/>
      <sheetName val="거래처등록"/>
      <sheetName val="참고자료"/>
      <sheetName val="검사원"/>
      <sheetName val="준공조서갑지"/>
      <sheetName val="식생블럭단위수량"/>
      <sheetName val="공량산출서"/>
      <sheetName val="공사비예산서(토목분)"/>
      <sheetName val="설계서(동안동)"/>
      <sheetName val="기초자료"/>
      <sheetName val="금액"/>
      <sheetName val="자단"/>
      <sheetName val="48일위"/>
      <sheetName val="48수량"/>
      <sheetName val="22수량"/>
      <sheetName val="49일위"/>
      <sheetName val="22일위"/>
      <sheetName val="49수량"/>
      <sheetName val="15)VE제안서(유형1)"/>
      <sheetName val="12)아이디어 목록 및 개략평가"/>
      <sheetName val="11)VE 예비검토서"/>
      <sheetName val="15-3)VE제안서(가치향상 등)"/>
      <sheetName val="15-2)VE제안서(유형3)"/>
      <sheetName val="단위집계표"/>
      <sheetName val="5사남"/>
      <sheetName val="과거자료"/>
      <sheetName val="매인"/>
      <sheetName val="재료집계표"/>
      <sheetName val="수목표준대가"/>
      <sheetName val="소요자재명세서"/>
      <sheetName val="98수문일위"/>
      <sheetName val="단가표"/>
      <sheetName val="Sheet17"/>
      <sheetName val="대창토공"/>
      <sheetName val="1호맨홀토공"/>
      <sheetName val="3.하중산정4.지지력"/>
      <sheetName val="공사일위대가"/>
      <sheetName val="산출서-1"/>
      <sheetName val="산출서-수식"/>
      <sheetName val="TOTAL_BOQ"/>
      <sheetName val="설계내역"/>
      <sheetName val="직재"/>
      <sheetName val="재집"/>
      <sheetName val="부대공수량산출"/>
      <sheetName val="공사비"/>
      <sheetName val="산출집계표"/>
      <sheetName val="설계예산서"/>
      <sheetName val="상부수량"/>
      <sheetName val="내역서_제출"/>
      <sheetName val="8_PILE__(돌출)"/>
      <sheetName val="EQUIP_LIST"/>
      <sheetName val="BOX(1_5X1_5)"/>
      <sheetName val="7_PILE__(돌출)"/>
      <sheetName val="공사비_증감_내역서"/>
      <sheetName val="실행내역(10_13)"/>
      <sheetName val="단가목록"/>
      <sheetName val="포장수량"/>
      <sheetName val="시설국장자료"/>
      <sheetName val="플랜트 설치"/>
      <sheetName val="노무비계"/>
      <sheetName val="참조자료"/>
      <sheetName val="출력"/>
      <sheetName val="근로자명단"/>
      <sheetName val="설계내역2"/>
      <sheetName val="7월천안현장 집계표"/>
      <sheetName val="장비.자재"/>
      <sheetName val="장비명세서"/>
      <sheetName val=" 노무집계"/>
      <sheetName val="일용노무비"/>
      <sheetName val="매원개착터널총괄"/>
      <sheetName val="교대"/>
      <sheetName val=""/>
      <sheetName val="기계경비산출기준"/>
      <sheetName val="기계경비목록"/>
      <sheetName val="건설기계가격1"/>
      <sheetName val="회사기초자료"/>
      <sheetName val="가시설(TYPE-A)"/>
      <sheetName val="토목검측서"/>
      <sheetName val="BOQ"/>
      <sheetName val="c_balju"/>
      <sheetName val="가시설단위수량"/>
      <sheetName val="약품공급2"/>
      <sheetName val="횡배수관수량집계"/>
      <sheetName val="횡배수관기초"/>
      <sheetName val="수량산출(음암)"/>
      <sheetName val="수지예산"/>
      <sheetName val="데크수량산출"/>
      <sheetName val="TYPE-A"/>
      <sheetName val="단면 (2)"/>
      <sheetName val="토지조서"/>
      <sheetName val="설명서_"/>
      <sheetName val="내역(포장)"/>
      <sheetName val="01 Summary"/>
      <sheetName val="CW,HW,NW"/>
      <sheetName val="SAN"/>
      <sheetName val="03 Rev.Log"/>
      <sheetName val="설비(제출)"/>
      <sheetName val="포장공집계"/>
      <sheetName val="주요자재집계"/>
      <sheetName val="일반수량산출"/>
      <sheetName val="천방교접속"/>
      <sheetName val="식재(예송)"/>
      <sheetName val="2.재료비"/>
      <sheetName val="12.보오링"/>
      <sheetName val="18.공내수압탄성자연"/>
      <sheetName val="음료실행"/>
      <sheetName val="CTEMCOST"/>
      <sheetName val="수량산출서-2"/>
      <sheetName val="산업"/>
      <sheetName val="4)유동표"/>
      <sheetName val="설직재-1"/>
      <sheetName val="동일대내"/>
      <sheetName val="결재란"/>
      <sheetName val="2.견적조건 정보"/>
      <sheetName val="공간분류체계"/>
      <sheetName val="부위별항목"/>
      <sheetName val="영향요인"/>
      <sheetName val="산출근거(9)"/>
      <sheetName val="구역화물"/>
      <sheetName val="건설기계가격"/>
      <sheetName val="PIER토수량"/>
      <sheetName val="결재갑지"/>
      <sheetName val="직접비"/>
      <sheetName val="NN"/>
      <sheetName val="토공구역구분(출력안함)"/>
      <sheetName val="간지02)"/>
      <sheetName val="직접구매"/>
      <sheetName val="간지03 )"/>
      <sheetName val="주요자재xxxxxx"/>
      <sheetName val="1.레미콘"/>
      <sheetName val="2.관집계"/>
      <sheetName val="3.제수밸브"/>
      <sheetName val="4.각종주철제"/>
      <sheetName val="5.유량계"/>
      <sheetName val="1.골재집계"/>
      <sheetName val="2.철근집계"/>
      <sheetName val="3.관세척"/>
      <sheetName val="4.분기관"/>
      <sheetName val="간지04)"/>
      <sheetName val="총괄자재집계표"/>
      <sheetName val="간지05)"/>
      <sheetName val="상수공 토공집계표"/>
      <sheetName val="우수공자재집계표"/>
      <sheetName val="시모자"/>
      <sheetName val="1_설계조건"/>
      <sheetName val="3련_BOX"/>
      <sheetName val="2-1__경관조명_내역총괄표"/>
      <sheetName val="단가_및_재료비"/>
      <sheetName val="4_2유효폭의_계산"/>
      <sheetName val="AS포장복구_"/>
      <sheetName val="개별직종노임단가(2003_9)"/>
      <sheetName val="총_원가계산"/>
      <sheetName val="Sheet1_(2)"/>
      <sheetName val="기존건물_깨기원단위"/>
      <sheetName val="철근량_산정"/>
      <sheetName val="사__업__비__수__지__예__산__서"/>
      <sheetName val="환경기계공정표_(3)"/>
      <sheetName val="각사별공사비분개_"/>
      <sheetName val="슬래브_-연속(3경간)"/>
      <sheetName val="노임단가_(2)"/>
      <sheetName val="참여현황_(직원)"/>
      <sheetName val="노_표-조"/>
      <sheetName val="2F_회의실견적(5_14_일대)"/>
      <sheetName val="토공(우물통,기타)_"/>
      <sheetName val="대3류_"/>
      <sheetName val="내역-_CCTV"/>
      <sheetName val="건설사업관리_공제요율"/>
      <sheetName val="건설공사_감리원_배치기준"/>
      <sheetName val="책임감리_공제요율"/>
      <sheetName val="1~9_하중계산"/>
      <sheetName val="단가산출서_(2)"/>
      <sheetName val="C1.공사개요"/>
      <sheetName val="A1.스케쥴"/>
      <sheetName val="수량집계"/>
      <sheetName val="공사요율"/>
      <sheetName val="인부노임"/>
      <sheetName val="중기비"/>
      <sheetName val="자재목록"/>
      <sheetName val="노임목록"/>
      <sheetName val="용산1(해보)"/>
      <sheetName val="궤도연장(종합)"/>
      <sheetName val="궤도연장(2단계)"/>
      <sheetName val="궤도연장(1단계)"/>
      <sheetName val="궤도부설연장1단계"/>
      <sheetName val="슬래브일반(포항방향 B=12.3m)"/>
      <sheetName val="친환경주택"/>
      <sheetName val="1호맨홀수량산출"/>
      <sheetName val="Lr"/>
      <sheetName val="시행후면적"/>
      <sheetName val="준검_내역서"/>
      <sheetName val="12)아이디어_목록_및_개략평가"/>
      <sheetName val="11)VE_예비검토서"/>
      <sheetName val="15-3)VE제안서(가치향상_등)"/>
      <sheetName val="cal"/>
      <sheetName val="6.7현장운영"/>
      <sheetName val="97(US,EP,PCT,KR)"/>
      <sheetName val="설계조건"/>
      <sheetName val="b_balju"/>
      <sheetName val="블록(들고리8개)"/>
      <sheetName val="자재 집계표"/>
      <sheetName val="부가세별도"/>
      <sheetName val="업체자료"/>
      <sheetName val="FAB计算式"/>
      <sheetName val="CUB结算式"/>
      <sheetName val="FAB B01计算式"/>
      <sheetName val="室外计算式"/>
      <sheetName val="PROCURE"/>
      <sheetName val="5.물량산출서"/>
      <sheetName val="UNIT"/>
      <sheetName val="산근cad용"/>
      <sheetName val="산근(계단)"/>
      <sheetName val="공문"/>
      <sheetName val="기초코드"/>
      <sheetName val="주차구획선수량"/>
      <sheetName val="돌담교_상부수량2"/>
      <sheetName val="내역서1999_8최종1"/>
      <sheetName val="2_토목공사1"/>
      <sheetName val="3BL공동구_수량1"/>
      <sheetName val="8_석축단위(H=1_5M)1"/>
      <sheetName val="2_가정단면1"/>
      <sheetName val="6PILE__(돌출)1"/>
      <sheetName val="_상부공통집계(총괄)1"/>
      <sheetName val="주공_갑지"/>
      <sheetName val="경율산정_XLS"/>
      <sheetName val="2_대외공문"/>
      <sheetName val="1_토공"/>
      <sheetName val="GT_1050x650"/>
      <sheetName val="Bldg_Brkdown"/>
      <sheetName val="결재"/>
      <sheetName val="건설기계"/>
      <sheetName val="단가산출"/>
      <sheetName val="산림조사비"/>
      <sheetName val="요율표"/>
      <sheetName val="보고서"/>
      <sheetName val="EQT-ESTN"/>
      <sheetName val="COST"/>
      <sheetName val="4.04건축(건축-주계약내역서)"/>
      <sheetName val="예정공정표 "/>
      <sheetName val="신당동집계표"/>
      <sheetName val="마산방향철근집계"/>
      <sheetName val="마산방향"/>
      <sheetName val="설명"/>
      <sheetName val="중기목록"/>
      <sheetName val="중기가격"/>
      <sheetName val="도급예산내역서봉투"/>
      <sheetName val="설계산출표지"/>
      <sheetName val="을부담운반비"/>
      <sheetName val="설계산출기초"/>
      <sheetName val="운반비산출"/>
      <sheetName val="현장관리비 산출내역"/>
      <sheetName val="신고분기설정참고"/>
      <sheetName val="거래처자료등록"/>
      <sheetName val="순공사비"/>
      <sheetName val="5정거장"/>
      <sheetName val="1-3길내기"/>
      <sheetName val="절단표"/>
      <sheetName val="기둥(원형)"/>
      <sheetName val="산출3-전등"/>
      <sheetName val="산출4-조명제어"/>
      <sheetName val="산출5-전열"/>
      <sheetName val="산출7-유도등"/>
      <sheetName val="구체단위"/>
      <sheetName val="RDP2"/>
      <sheetName val="junggi"/>
      <sheetName val="산출금액내역"/>
      <sheetName val="단가조사표(노무비)"/>
      <sheetName val="신공항A-9(원가수정)"/>
      <sheetName val="대치판정"/>
      <sheetName val="1.일위대가"/>
      <sheetName val="부안일위"/>
      <sheetName val="코드"/>
      <sheetName val="지장물조서"/>
      <sheetName val="수목조서 "/>
      <sheetName val="제수,우수,통신,소화전물건조서"/>
      <sheetName val="한전주물건조서"/>
      <sheetName val="지장물적용유무"/>
      <sheetName val="게비온"/>
      <sheetName val="관정"/>
      <sheetName val="배수관 날개벽"/>
      <sheetName val="box"/>
      <sheetName val="box날개"/>
      <sheetName val="방호벽"/>
      <sheetName val="절단"/>
      <sheetName val="아스팔트포장"/>
      <sheetName val="U형측구"/>
      <sheetName val="J형측구"/>
      <sheetName val="진입로"/>
      <sheetName val="입력용"/>
      <sheetName val="입력용집계"/>
      <sheetName val="VALUATESheet13"/>
      <sheetName val="물량표"/>
      <sheetName val="공사비집계"/>
      <sheetName val="base"/>
      <sheetName val="계획금액"/>
      <sheetName val="분석대장"/>
      <sheetName val="판매시설"/>
      <sheetName val="폐기물발생(처리)내역-1"/>
      <sheetName val="빙축열"/>
      <sheetName val="식재일위대가"/>
      <sheetName val="개인토지"/>
      <sheetName val="SP-B1"/>
      <sheetName val="자재단가비교표"/>
      <sheetName val="단위목록"/>
      <sheetName val="일위대가목록"/>
      <sheetName val="현장관리비"/>
      <sheetName val="코스모공장 (어음)"/>
      <sheetName val="총괄내역서(도급)"/>
      <sheetName val="중기조종사 단위단가"/>
      <sheetName val="판매.DAT"/>
      <sheetName val="시중노임"/>
      <sheetName val="00000"/>
      <sheetName val="1호맨홀자연토공"/>
      <sheetName val="12CGOU"/>
      <sheetName val="00임금"/>
      <sheetName val="STEEL BOX 단면설계(SEC.8)"/>
      <sheetName val="수로단위수량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방음벽 기초 일반수량"/>
      <sheetName val="I.설계조건"/>
      <sheetName val="BQ"/>
      <sheetName val="WORK"/>
      <sheetName val="기계내역"/>
      <sheetName val="단면(RW1)"/>
      <sheetName val="전기일위대가"/>
      <sheetName val="시설물일위"/>
      <sheetName val="날개벽(TYPE3)"/>
      <sheetName val="비교표"/>
      <sheetName val="YES"/>
      <sheetName val="A-4"/>
      <sheetName val="맨홀수량집계"/>
      <sheetName val="경비2내역"/>
      <sheetName val="토공계산서(부체도로)"/>
      <sheetName val="DATA1"/>
      <sheetName val="IMP(MAIN)"/>
      <sheetName val="IMP (REACTOR)"/>
      <sheetName val="현장관리비내역서"/>
      <sheetName val="오산갈곳"/>
      <sheetName val="안정계산"/>
      <sheetName val="단면검토"/>
      <sheetName val="보차도경계석"/>
      <sheetName val="단가산출집계"/>
      <sheetName val="BLOCK(1)"/>
      <sheetName val="포장복구집계"/>
      <sheetName val="SORCE1"/>
      <sheetName val="XXXXXX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점수계산1-2"/>
      <sheetName val="STORAGE"/>
      <sheetName val="가로등내역서"/>
      <sheetName val="2000.11월설계내역"/>
      <sheetName val="조명율표"/>
      <sheetName val="전선 및 전선관"/>
      <sheetName val="내역서2안"/>
      <sheetName val="소야공정계획표"/>
      <sheetName val="특별교실"/>
      <sheetName val="기숙사"/>
      <sheetName val="화장실"/>
      <sheetName val="총집계-1"/>
      <sheetName val="총집계-2"/>
      <sheetName val="원가-1"/>
      <sheetName val="원가-2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복구량산정 및 전용회선 사용"/>
      <sheetName val="호계"/>
      <sheetName val="제암"/>
      <sheetName val="월마트"/>
      <sheetName val="월드컵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내역(설계)"/>
      <sheetName val="부대공사비"/>
      <sheetName val="현장관리비집계표"/>
      <sheetName val="봉양~조차장간고하개명(신설)"/>
      <sheetName val="주상도"/>
      <sheetName val="하조서"/>
      <sheetName val="보증수수료산출"/>
      <sheetName val="1.수인터널"/>
      <sheetName val="수목데이타 "/>
      <sheetName val="변압기 및 발전기 용량"/>
      <sheetName val="JUCK"/>
      <sheetName val="본선차로수량집계표"/>
      <sheetName val="일반공사"/>
      <sheetName val="일위대가(목록)"/>
      <sheetName val="참고"/>
      <sheetName val="- INFORMATION -"/>
      <sheetName val="예산변경사항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직노"/>
      <sheetName val="실행내역"/>
      <sheetName val="200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조건표"/>
      <sheetName val="JJ"/>
      <sheetName val="설 계"/>
      <sheetName val="ASP포장"/>
      <sheetName val="내역서(전기)"/>
      <sheetName val="단가산출서(기계)"/>
      <sheetName val="표지 (2)"/>
      <sheetName val="에너지동"/>
      <sheetName val="연습"/>
      <sheetName val="MOTOR"/>
      <sheetName val="부하계산서"/>
      <sheetName val="견적조건"/>
      <sheetName val="견적조건(을지)"/>
      <sheetName val="예정(3)"/>
      <sheetName val="동원(3)"/>
      <sheetName val="1.설계기준"/>
      <sheetName val="현황CODE"/>
      <sheetName val="손익현황"/>
      <sheetName val="3차설계"/>
      <sheetName val="주형"/>
      <sheetName val="옹벽"/>
      <sheetName val="3.바닥판설계"/>
      <sheetName val="REACTION(USD지진시)"/>
      <sheetName val="안정검토"/>
      <sheetName val="REACTION(USE평시)"/>
      <sheetName val="일위대가표 (2)"/>
      <sheetName val="Testing"/>
      <sheetName val="IP좌표"/>
      <sheetName val="단면가정"/>
      <sheetName val="토목내역"/>
      <sheetName val="D-3503"/>
      <sheetName val="계화배수"/>
      <sheetName val="물량산출근거"/>
      <sheetName val="부재력정리"/>
      <sheetName val="노원열병합  건축공사기성내역서"/>
      <sheetName val="NEYOK"/>
      <sheetName val="Macro(전선)"/>
      <sheetName val="NOMUBI"/>
      <sheetName val="계산근거"/>
      <sheetName val="품의서"/>
      <sheetName val="물가자료"/>
      <sheetName val="SG"/>
      <sheetName val="전신환매도율"/>
      <sheetName val="EACT10"/>
      <sheetName val="원가계산서 (총괄)"/>
      <sheetName val="원가계산서 (건축)"/>
      <sheetName val="(총괄집계)"/>
      <sheetName val="방음벽기초(H=4m)"/>
      <sheetName val="단위세대"/>
      <sheetName val="일용노임단가"/>
      <sheetName val="가설공사내역"/>
      <sheetName val="401"/>
      <sheetName val="지장물C"/>
      <sheetName val="General Data"/>
      <sheetName val="전압강하계산"/>
      <sheetName val="차도조도계산"/>
      <sheetName val="월선수금"/>
      <sheetName val="TABLE"/>
      <sheetName val="전체"/>
      <sheetName val="설산1.나"/>
      <sheetName val="본사S"/>
      <sheetName val="연령현황"/>
      <sheetName val="Site Expenses"/>
      <sheetName val="자재단가표"/>
      <sheetName val="간선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대구실행"/>
      <sheetName val="Baby일위대가"/>
      <sheetName val="0.집계"/>
      <sheetName val="가로등부표"/>
      <sheetName val="총계"/>
      <sheetName val="매립"/>
      <sheetName val="조도계산서 (도서)"/>
      <sheetName val="LOPCALC"/>
      <sheetName val="재료"/>
      <sheetName val="제경비율"/>
      <sheetName val="MAIN_TABLE"/>
      <sheetName val="입찰보고"/>
      <sheetName val="1차설계변경내역"/>
      <sheetName val="수주현황2월"/>
      <sheetName val="토공유동표"/>
      <sheetName val="XL4Poppy"/>
      <sheetName val="요율"/>
      <sheetName val="아산추가1220"/>
      <sheetName val="당초"/>
      <sheetName val="3-1.CB"/>
      <sheetName val="98지급계획"/>
      <sheetName val="본공사"/>
      <sheetName val="DANGA"/>
      <sheetName val="실행내역서"/>
      <sheetName val="인건비"/>
      <sheetName val="BID-도로"/>
      <sheetName val="내력서"/>
      <sheetName val="90.03실행 "/>
      <sheetName val="3.공통공사대비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©Áö"/>
      <sheetName val="°ßÀû¼­"/>
      <sheetName val="³»¿ª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ÀÏÀ§´ë°¡"/>
      <sheetName val="소요자재"/>
      <sheetName val="노무산출서"/>
      <sheetName val="ETC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기계경비시간당손료목록"/>
      <sheetName val="동력부하(도산)"/>
      <sheetName val="신우"/>
      <sheetName val="돌망태단위수량"/>
      <sheetName val="말뚝물량"/>
      <sheetName val="우수맨홀공제단위수량"/>
      <sheetName val="스톱로그내역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외주대비-구조물"/>
      <sheetName val="외주대비 -석축"/>
      <sheetName val="외주대비-구조물 (2)"/>
      <sheetName val="견적표지 (3)"/>
      <sheetName val="정태현"/>
      <sheetName val="공구원가계산"/>
      <sheetName val="입찰결과(DATA)"/>
      <sheetName val="일위대가표(유단가)"/>
      <sheetName val="CABLE SIZE-3"/>
      <sheetName val="EQUIP-H"/>
      <sheetName val="하수급견적대비"/>
      <sheetName val="발주설계서(당초)"/>
      <sheetName val="일위대가 집계표"/>
      <sheetName val="9GNG운반"/>
      <sheetName val="횡배수관토공수량"/>
      <sheetName val="수문일1"/>
      <sheetName val="품셈TABLE"/>
      <sheetName val="제원.설계조건"/>
      <sheetName val="SLAB"/>
      <sheetName val="관람석제출"/>
      <sheetName val="소업1교"/>
      <sheetName val="가공비"/>
      <sheetName val="가설공사"/>
      <sheetName val="기초공"/>
      <sheetName val="96수출"/>
      <sheetName val="기자재비"/>
      <sheetName val="투자효율분석"/>
      <sheetName val="sum1 (2)"/>
      <sheetName val="DATA(BAC)"/>
      <sheetName val="단락전류-A"/>
      <sheetName val="DPRKMHDT"/>
      <sheetName val="공통부대비"/>
      <sheetName val="출력-내역서"/>
      <sheetName val="공통(20-91)"/>
      <sheetName val="SE-611"/>
      <sheetName val="단가표 "/>
      <sheetName val="분전함신설"/>
      <sheetName val="날개벽(TYPE1)"/>
      <sheetName val="견적서세부내용"/>
      <sheetName val="견적내용입력"/>
      <sheetName val="발신정보"/>
      <sheetName val="집1"/>
      <sheetName val="설계내역(2001)"/>
      <sheetName val="일반맨홀수량집계"/>
      <sheetName val="EUPDAT2"/>
      <sheetName val="주경기-오배수"/>
      <sheetName val="J直材4"/>
      <sheetName val="건축원가계산서"/>
      <sheetName val="공사비내역서"/>
      <sheetName val="공사비 내역 (가)"/>
      <sheetName val="내역서(총)"/>
      <sheetName val="토공(완충)"/>
      <sheetName val="횡배수관"/>
      <sheetName val="IMPEADENCE MAP 취수장"/>
      <sheetName val="IMF Code"/>
      <sheetName val="TEL"/>
      <sheetName val="Top PO"/>
      <sheetName val="공종"/>
      <sheetName val="특수선일위대가"/>
      <sheetName val="맨홀토공수량"/>
      <sheetName val="방송노임"/>
      <sheetName val="날개벽(좌,우=45도,75도)"/>
      <sheetName val="입찰견적보고서"/>
      <sheetName val="hvac내역서(제어동)"/>
      <sheetName val="모델링"/>
      <sheetName val="하중계산"/>
      <sheetName val="견적접수"/>
      <sheetName val="견적내역서"/>
      <sheetName val="mcc일위대가"/>
      <sheetName val="ITB COST"/>
      <sheetName val="원본"/>
      <sheetName val="2006기계경비산출표"/>
      <sheetName val="48전력선로일위"/>
      <sheetName val="총괄집계표"/>
      <sheetName val="고창터널(고창방향)"/>
      <sheetName val="제-노임"/>
      <sheetName val="제직재"/>
      <sheetName val="아파트기별"/>
      <sheetName val="공리일"/>
      <sheetName val="AILC004"/>
      <sheetName val="점검총괄"/>
      <sheetName val="20관리비율"/>
      <sheetName val="예산갑지"/>
      <sheetName val="토목원가계산서"/>
      <sheetName val="토목원가"/>
      <sheetName val="집계장"/>
      <sheetName val="제외공종"/>
      <sheetName val="기계원가계산서"/>
      <sheetName val="기계원가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내역구성"/>
      <sheetName val="4원가"/>
      <sheetName val="임시급식"/>
      <sheetName val="옥외가스"/>
      <sheetName val="임시급식 (2)"/>
      <sheetName val="단가일람"/>
      <sheetName val="unit 4"/>
      <sheetName val="Summary Sheets"/>
      <sheetName val="일위목록-기"/>
      <sheetName val="6동"/>
      <sheetName val="부대공Ⅱ"/>
      <sheetName val="Chart1"/>
      <sheetName val="단위내역목록"/>
      <sheetName val="단위내역서"/>
      <sheetName val="원가(1)"/>
      <sheetName val="원가(2)"/>
      <sheetName val="간접1"/>
      <sheetName val="5.정산서"/>
      <sheetName val="1차증가원가계산"/>
      <sheetName val="통장출금액"/>
      <sheetName val="VA_code"/>
      <sheetName val="공종별원가계산"/>
      <sheetName val="말고개터널조명전압강하"/>
      <sheetName val="연결관산출조서"/>
      <sheetName val="외주"/>
      <sheetName val="BOX전기내역"/>
      <sheetName val="BASIC (2)"/>
      <sheetName val="간접비"/>
      <sheetName val="토량1-1"/>
      <sheetName val="참조-(1)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노무비 근거"/>
      <sheetName val="일집"/>
      <sheetName val="노무"/>
      <sheetName val="Proposal"/>
      <sheetName val="Tot-sum"/>
      <sheetName val="ATS단가"/>
      <sheetName val="내역(전체)"/>
      <sheetName val="design criteria"/>
      <sheetName val="plan&amp;section of foundation"/>
      <sheetName val="협조전"/>
      <sheetName val="노원열병합  건축렀こ렀䡟ԯ_x0000_缀"/>
      <sheetName val="노원열병합  건축렀䡟ԯ_x0000_缀_x0000__x0000_"/>
      <sheetName val="노원열병합  건축︀ᇕ԰_x0000_缀_x0000__x0000_"/>
      <sheetName val="노원열병합  건축ﻕᇕ԰_x0000_缀_x0000__x0000_"/>
      <sheetName val="차수"/>
      <sheetName val="2.노무비명세서(난간대)"/>
      <sheetName val="2.사진대지"/>
      <sheetName val=" 견적서"/>
      <sheetName val="(2)"/>
      <sheetName val="예산서"/>
      <sheetName val="3.사진대지"/>
      <sheetName val="설계기준 및 하중계산"/>
      <sheetName val="입력값"/>
      <sheetName val="22단가(철거)"/>
      <sheetName val="49단가"/>
      <sheetName val="49단가(철거)"/>
      <sheetName val="부표총괄"/>
      <sheetName val="8. 내진해석"/>
      <sheetName val="22단가"/>
      <sheetName val="9-1차이내역"/>
      <sheetName val="금액내역서"/>
      <sheetName val="AIR SHOWER(3인용)"/>
      <sheetName val="손익분석"/>
      <sheetName val="포장공"/>
      <sheetName val="가설건물"/>
      <sheetName val="품셈"/>
      <sheetName val="인건-측정"/>
      <sheetName val="적용공정"/>
      <sheetName val="금리계산"/>
      <sheetName val="우배수"/>
      <sheetName val="맨홀"/>
      <sheetName val="금호"/>
      <sheetName val="부하(성남)"/>
      <sheetName val="96보완계획7.12"/>
      <sheetName val="C3"/>
      <sheetName val="연부97-1"/>
      <sheetName val="갑지1"/>
      <sheetName val="49-119"/>
      <sheetName val="적용(기계)"/>
      <sheetName val="옹벽수량집계"/>
      <sheetName val="관로"/>
      <sheetName val="제수변수량"/>
      <sheetName val="공기변수량"/>
      <sheetName val="상수도토공집계표"/>
      <sheetName val="PO-BOQ"/>
      <sheetName val="일반수량총괄"/>
      <sheetName val="의왕내역"/>
      <sheetName val="입출재고현황 (2)"/>
      <sheetName val="변경비교-을"/>
      <sheetName val="인건비 "/>
      <sheetName val="공종별내역서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검사조서"/>
      <sheetName val="집계(총괄)"/>
      <sheetName val="구성비"/>
      <sheetName val="실적보고"/>
      <sheetName val="표준안전집계"/>
      <sheetName val="표준안전내역"/>
      <sheetName val="A갑지"/>
      <sheetName val="공정"/>
      <sheetName val="견"/>
      <sheetName val="보도경계블럭"/>
      <sheetName val="L형옹벽"/>
      <sheetName val="내부부하"/>
      <sheetName val="Mc1"/>
      <sheetName val="2000,9월 일위"/>
      <sheetName val="guard(mac)"/>
      <sheetName val="과천MAIN"/>
      <sheetName val="조건"/>
      <sheetName val="여흥"/>
      <sheetName val="설계가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율촌법률사무소2내역"/>
      <sheetName val="지주목시비량산출서"/>
      <sheetName val="99총공사내역서"/>
      <sheetName val="고등학교"/>
      <sheetName val="제1장"/>
      <sheetName val="제2장"/>
      <sheetName val="제3장"/>
      <sheetName val="경산"/>
      <sheetName val="견적내역"/>
      <sheetName val="직공비"/>
      <sheetName val="주관사업"/>
      <sheetName val="진우+대광"/>
      <sheetName val="견적대비"/>
      <sheetName val="옥외"/>
      <sheetName val="가드레일산근"/>
      <sheetName val="수량집계표"/>
      <sheetName val="단가비교"/>
      <sheetName val="적용2002"/>
      <sheetName val="중기"/>
      <sheetName val="45,46"/>
      <sheetName val="교대(A1-A2)"/>
      <sheetName val="구조물공"/>
      <sheetName val="부대공"/>
      <sheetName val="배수공"/>
      <sheetName val="본선토량운반계산서(1)0"/>
      <sheetName val="1SPAN"/>
      <sheetName val="조경일람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정화조동내역"/>
      <sheetName val="P.M 별"/>
      <sheetName val="설계변경내역서"/>
      <sheetName val="배"/>
      <sheetName val="단위별 일위대가표"/>
      <sheetName val="IMP_(REACTOR)"/>
      <sheetName val="제4장"/>
      <sheetName val="5장공내역서"/>
      <sheetName val="제6장"/>
      <sheetName val="직불동의서"/>
      <sheetName val="확약서"/>
      <sheetName val="전자입찰"/>
      <sheetName val="7작업장인수인계서"/>
      <sheetName val="3특기시방서"/>
      <sheetName val="일위대가목록(1)"/>
      <sheetName val="단가대비표(1)"/>
      <sheetName val="수질정화시설"/>
      <sheetName val="LEGEND"/>
      <sheetName val="일위집계표"/>
      <sheetName val="금액결정"/>
      <sheetName val="견적의뢰서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8. 안정검토"/>
      <sheetName val="지진시"/>
      <sheetName val="98NS-N"/>
      <sheetName val="일위_파일"/>
      <sheetName val="다이꾸"/>
      <sheetName val="SKETCH"/>
      <sheetName val="배수문수량산출(3)"/>
      <sheetName val="MFAB"/>
      <sheetName val="MFRT"/>
      <sheetName val="MPKG"/>
      <sheetName val="MPRD"/>
      <sheetName val="할증 "/>
      <sheetName val="제수"/>
      <sheetName val="공기"/>
      <sheetName val="기본단가"/>
      <sheetName val="약품설비"/>
      <sheetName val="LP-S"/>
      <sheetName val="전기혼잡제경비(45)"/>
      <sheetName val="MEXICO-C"/>
      <sheetName val="보합"/>
      <sheetName val="내역서 (2)"/>
      <sheetName val="토량산출서"/>
      <sheetName val="L_RPTA05_목록"/>
      <sheetName val="1.¼öº¯Àü¼³ºñ"/>
      <sheetName val="2.Àü·Â°£¼±"/>
      <sheetName val="3.µ¿·Â"/>
      <sheetName val="4.Àüµî"/>
      <sheetName val="5.Àü¿­"/>
      <sheetName val="6.¾àÀü"/>
      <sheetName val="7.¼Ò¹æ"/>
      <sheetName val="8.¹æ¼Û"/>
      <sheetName val="9.Á¶¸íÁ¦¾î"/>
      <sheetName val="10.Ã¶°Å°ø»ç"/>
      <sheetName val="³²¾ç½ÃÀÛµ¿ÀÚ105³ë65±â1.3È­1.2"/>
      <sheetName val="À»"/>
      <sheetName val="ºÎÇÏ°è»ê¼­"/>
      <sheetName val="À»Áö"/>
      <sheetName val="Á¶µµ°è»ê¼­ (µµ¼­)"/>
      <sheetName val="°ßÀûÁ¶°Ç"/>
      <sheetName val="°ßÀûÁ¶°Ç(À»Áö)"/>
      <sheetName val="Á÷³ë"/>
      <sheetName val="½ÇÇà³»¿ª"/>
      <sheetName val="철거집계"/>
      <sheetName val="전차선로 물량표"/>
      <sheetName val="한강운반비"/>
      <sheetName val="자재"/>
      <sheetName val="12월31일"/>
      <sheetName val="Apt내역"/>
      <sheetName val="EQUIPMENT -2"/>
      <sheetName val="고분전시관"/>
      <sheetName val="설비"/>
      <sheetName val="빌딩 안내"/>
      <sheetName val="MBR9"/>
      <sheetName val="공비대비"/>
      <sheetName val="전기2005"/>
      <sheetName val="통신2005"/>
      <sheetName val="연결임시"/>
      <sheetName val="계산식"/>
      <sheetName val="1._x0018_변전설비"/>
      <sheetName val="현장예산"/>
      <sheetName val="Macro3"/>
      <sheetName val="대구-교대(A1-A2)"/>
      <sheetName val="3.자재비(총괄)"/>
      <sheetName val="실행예산"/>
      <sheetName val="실행갑지"/>
      <sheetName val="견적990322"/>
      <sheetName val="LD일"/>
      <sheetName val="FA설치명세"/>
      <sheetName val="FD"/>
      <sheetName val="증감대비"/>
      <sheetName val="공종단가"/>
      <sheetName val="중기일위대가"/>
      <sheetName val="관접합및부설"/>
      <sheetName val="U-TYPE(1)"/>
      <sheetName val="SULKEA"/>
      <sheetName val="아파트건축"/>
      <sheetName val="잔수량(작성)"/>
      <sheetName val="BOQ(전체)"/>
      <sheetName val="48평단가"/>
      <sheetName val="57단가"/>
      <sheetName val="54평단가"/>
      <sheetName val="66평단가"/>
      <sheetName val="61단가"/>
      <sheetName val="89평단가"/>
      <sheetName val="84평단가"/>
      <sheetName val="1공구(을)"/>
      <sheetName val="적상기초자료"/>
      <sheetName val="화재 탐지 설비"/>
      <sheetName val="주사무실종합"/>
      <sheetName val="효동"/>
      <sheetName val="여과지동"/>
      <sheetName val="전체철근집계"/>
      <sheetName val="토목공사"/>
      <sheetName val="토공산출(주차장)"/>
      <sheetName val="CIVIL"/>
      <sheetName val="자  재"/>
      <sheetName val="관리사무소"/>
      <sheetName val="수안보-MBR1"/>
      <sheetName val="°ø»ç¿ø°¡°è»ê¼­"/>
      <sheetName val="ÃÑ³»¿ª¼­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µ¿¿ø(3)"/>
      <sheetName val="¿¹Á¤(3)"/>
      <sheetName val="ÁÖÇü"/>
      <sheetName val="재정비직인"/>
      <sheetName val="재정비내역"/>
      <sheetName val="지적고시내역"/>
      <sheetName val="BJJIN"/>
      <sheetName val="시공계획"/>
      <sheetName val="현장설명서"/>
      <sheetName val="견적조건서"/>
      <sheetName val="시공일반사항"/>
      <sheetName val="현장설명서갑지"/>
      <sheetName val="하도급선정의뢰서(습식공사)"/>
      <sheetName val="36신설수량"/>
      <sheetName val="제품별"/>
      <sheetName val="사전공사"/>
      <sheetName val="소포내역 (2)"/>
      <sheetName val="암거단위"/>
      <sheetName val="DATA 입력란"/>
      <sheetName val="적용단위길이"/>
      <sheetName val="피벗테이블데이터분석"/>
      <sheetName val="특수기호강도거푸집"/>
      <sheetName val="종배수관면벽신"/>
      <sheetName val="종배수관(신)"/>
      <sheetName val="유림골조"/>
      <sheetName val="성서방향-교대(A2)"/>
      <sheetName val="상행-교대(A1)"/>
      <sheetName val="매매"/>
      <sheetName val="전신"/>
      <sheetName val="기간등록"/>
      <sheetName val="신공"/>
      <sheetName val="저리조양"/>
      <sheetName val="기자재대비표"/>
      <sheetName val="몰탈재료산출"/>
      <sheetName val="관급"/>
      <sheetName val="백호우계수"/>
      <sheetName val="경산(을)"/>
      <sheetName val="선정요령"/>
      <sheetName val="정화조방수미장"/>
      <sheetName val="15"/>
      <sheetName val="부하LOAD"/>
      <sheetName val="접속슬라브"/>
      <sheetName val="수로교총재료집계"/>
      <sheetName val="공사별 가중치 산출근거(토목)"/>
      <sheetName val="가중치근거(조경)"/>
      <sheetName val="내역서비교"/>
      <sheetName val="세부내역"/>
      <sheetName val="LAB"/>
      <sheetName val="Inquiry"/>
      <sheetName val="1. 설계조건 2.단면가정 3. 하중계산"/>
      <sheetName val="제진기"/>
      <sheetName val="1"/>
      <sheetName val="목록"/>
      <sheetName val="1.범위"/>
      <sheetName val="2.편성"/>
      <sheetName val="3개요"/>
      <sheetName val="5내역"/>
      <sheetName val="6.GAS"/>
      <sheetName val="7임급실"/>
      <sheetName val="미제출"/>
      <sheetName val="소방1"/>
      <sheetName val="소방2"/>
      <sheetName val="왜UP"/>
      <sheetName val="샤워실위생"/>
      <sheetName val="적현로"/>
      <sheetName val="산출(전주P7)"/>
      <sheetName val="H PILE수량"/>
      <sheetName val="철근량 검토"/>
      <sheetName val="통합"/>
      <sheetName val="TC표지"/>
      <sheetName val="현금"/>
      <sheetName val="현장"/>
      <sheetName val="유기공정"/>
      <sheetName val="변경서식"/>
      <sheetName val="영업소실적"/>
      <sheetName val="STBOX"/>
      <sheetName val="nys"/>
      <sheetName val="공사진행"/>
      <sheetName val="70%"/>
      <sheetName val="본체"/>
      <sheetName val="Piping Design Data"/>
      <sheetName val="종배수관"/>
      <sheetName val="工완성공사율"/>
      <sheetName val="현장지지물물량"/>
      <sheetName val="품셈표"/>
      <sheetName val="부대대비"/>
      <sheetName val="냉연집계"/>
      <sheetName val="산출내역서"/>
      <sheetName val="저"/>
      <sheetName val="경상비"/>
      <sheetName val="연습장소"/>
      <sheetName val="MACRO(전선관)"/>
      <sheetName val="기준액"/>
      <sheetName val="상세내역,전력산출서"/>
      <sheetName val="7.1유효폭"/>
      <sheetName val="Ampecity Data"/>
      <sheetName val="MCC제원"/>
      <sheetName val="공사기본자료"/>
      <sheetName val="날개벽(시점좌측)"/>
      <sheetName val="3_바닥판설계"/>
      <sheetName val="TYPE-B 평균H"/>
      <sheetName val="교통량조사"/>
      <sheetName val="효성CB 1P기초"/>
      <sheetName val="EQ-R1"/>
      <sheetName val="품목"/>
      <sheetName val="기성"/>
      <sheetName val="기성내역 진짜"/>
      <sheetName val="기성갑지"/>
      <sheetName val="2회기성사정"/>
      <sheetName val="3회기성갑지"/>
      <sheetName val="3회총괄"/>
      <sheetName val="3회기성"/>
      <sheetName val="일위대가(계측기설치)"/>
      <sheetName val="MACRO(MCC)"/>
      <sheetName val="Á¡°ËÃÑ°ý"/>
      <sheetName val="»ó¼öµµÅä°øÁý°èÇ¥"/>
      <sheetName val="°ßÀû´ëºñ"/>
      <sheetName val="ÀÏÀ§´ë°¡Ç¥(À¯´Ü°¡)"/>
      <sheetName val="ÀÚÀç¸ñ·Ï"/>
      <sheetName val="20°ü¸®ºñÀ²"/>
      <sheetName val="담장산출"/>
      <sheetName val="Data&amp;Result"/>
      <sheetName val="일위대가(출입)"/>
      <sheetName val="현장관리비 "/>
      <sheetName val="구리토평1전기"/>
      <sheetName val="aa"/>
      <sheetName val="현금흐름"/>
      <sheetName val="시멘트"/>
      <sheetName val="Customer Databas"/>
      <sheetName val="사각맨홀"/>
      <sheetName val="출력X"/>
      <sheetName val="★도급내역"/>
      <sheetName val="가격조사서"/>
      <sheetName val="과세표준율-2"/>
      <sheetName val="면적분양가"/>
      <sheetName val="분양면적(1123)"/>
      <sheetName val="출력소스"/>
      <sheetName val="평교-내역"/>
      <sheetName val="단면설계"/>
      <sheetName val="신표지1"/>
      <sheetName val="노임(1차)"/>
      <sheetName val="준공평가"/>
      <sheetName val="실행간접비용"/>
      <sheetName val="관리,부대비"/>
      <sheetName val="공내역"/>
      <sheetName val="접속도로1"/>
      <sheetName val="실행(표지,갑,을)"/>
      <sheetName val="basic"/>
      <sheetName val="메서,변+증"/>
      <sheetName val="공사별 가중치 산출근거(건축)"/>
      <sheetName val="집수A"/>
      <sheetName val="기계경비일람"/>
      <sheetName val="FAX"/>
      <sheetName val="건축개요"/>
      <sheetName val="버스운행안내"/>
      <sheetName val="예방접종계획"/>
      <sheetName val="근태계획서"/>
      <sheetName val="MIJIBI"/>
      <sheetName val="건축직"/>
      <sheetName val="과세내역(세부)"/>
      <sheetName val="기타시설"/>
      <sheetName val="주민복지관"/>
      <sheetName val="지하주차장"/>
      <sheetName val="SCHEDULE"/>
      <sheetName val="2000_11월설계내역"/>
      <sheetName val="AS복구"/>
      <sheetName val="중기터파기"/>
      <sheetName val="변수값"/>
      <sheetName val="중기상차"/>
      <sheetName val="중간부"/>
      <sheetName val="대,유,램"/>
      <sheetName val="목동1절주.bh01"/>
      <sheetName val="송우내역서"/>
      <sheetName val="증감분석"/>
      <sheetName val="인사자료총집계"/>
      <sheetName val="견적서(대외) (2)"/>
      <sheetName val="__MAIN"/>
      <sheetName val="°úÃµMAIN"/>
      <sheetName val="ÅÍ³ÎÁ¶µµ"/>
      <sheetName val="1.¼³°è±âÁØ"/>
      <sheetName val="3Â÷¼³°è"/>
      <sheetName val="³ëÀÓ"/>
      <sheetName val="ÇöÈ²CODE"/>
      <sheetName val="¼ÕÀÍÇöÈ²"/>
      <sheetName val="±âµÕ(¿øÇü)"/>
      <sheetName val="¿Ëº®"/>
      <sheetName val="´Ü°¡ºñ±³Ç¥"/>
      <sheetName val="ABUT¼ö·®-A1"/>
      <sheetName val="¹ëºê¼³Ä¡"/>
      <sheetName val="3.¹Ù´ÚÆÇ¼³°è"/>
      <sheetName val="Á¶°Ç"/>
      <sheetName val="¿©Èï"/>
      <sheetName val="tÇü"/>
      <sheetName val="1.¼öº¯Àü¼³ºñ°ø»ç"/>
      <sheetName val="2. µ¿·Â¼³ºñ °ø»ç"/>
      <sheetName val="3. Á¶¸í¼³ºñ°ø»ç"/>
      <sheetName val="4. Á¢Áö¼³ºñ°ø»ç"/>
      <sheetName val="5. Åë½Å¼³ºñ °ø»ç"/>
      <sheetName val="6. Àü±â¹æ½Ä¼³ºñ°ø»ç"/>
      <sheetName val="6.Àü±â¹æ½Ä ¼³ºñ°ø»ç(2)"/>
      <sheetName val="7.¹æÈ£¼³ºñ°ø»ç"/>
      <sheetName val="8.°¡¼³Àü±â°ø»ç"/>
      <sheetName val="»êÃâ±Ù°Å"/>
      <sheetName val="Á¡¼ö°è»ê1-2"/>
      <sheetName val="ÃÑ°è"/>
      <sheetName val="¼ö¾Èº¸-MBR1"/>
      <sheetName val="ÀÔ·ÂDATA"/>
      <sheetName val="8. ¾ÈÁ¤°ËÅä"/>
      <sheetName val="ÇöÀåÁöÁö¹°¹°·®"/>
      <sheetName val="9GNG¿î¹Ý"/>
      <sheetName val="¿µ¾÷¼Ò½ÇÀû"/>
      <sheetName val="°ø»çÁøÇà"/>
      <sheetName val="°ßÀû¼­(´ë¿Ü) (2)"/>
      <sheetName val="ÀÎ°Ç-ÃøÁ¤"/>
      <sheetName val="6PILE  (µ¹Ãâ)"/>
      <sheetName val="산재 안전"/>
      <sheetName val="노무비 경비"/>
      <sheetName val="공사비총괄표"/>
      <sheetName val="BQ(실행)"/>
      <sheetName val="교량하부공"/>
      <sheetName val="와동25-3(변경)"/>
      <sheetName val="기계"/>
      <sheetName val="T6-6(2)"/>
      <sheetName val="Upgrades pricing"/>
      <sheetName val="내역(가지)"/>
      <sheetName val="GI-LIST"/>
      <sheetName val="주방환기"/>
      <sheetName val="내역서(토목)"/>
      <sheetName val="경상직원"/>
      <sheetName val="전력구구조물산근"/>
      <sheetName val="전선_및_전선관"/>
      <sheetName val="1_수변전설비공사"/>
      <sheetName val="2__동력설비_공사"/>
      <sheetName val="3__조명설비공사"/>
      <sheetName val="4__접지설비공사"/>
      <sheetName val="5__통신설비_공사"/>
      <sheetName val="6__전기방식설비공사"/>
      <sheetName val="6_전기방식_설비공사(2)"/>
      <sheetName val="7_방호설비공사"/>
      <sheetName val="8_가설전기공사"/>
      <sheetName val="복구량산정_및_전용회선_사용"/>
      <sheetName val="4월_실적추정(건축+토목)"/>
      <sheetName val="4월_실적추정(건축)"/>
      <sheetName val="1_수인터널"/>
      <sheetName val="수목데이타_"/>
      <sheetName val="변압기_및_발전기_용량"/>
      <sheetName val="-_INFORMATION_-"/>
      <sheetName val="1_수변전설비"/>
      <sheetName val="2_전력간선"/>
      <sheetName val="3_동력"/>
      <sheetName val="4_전등"/>
      <sheetName val="5_전열"/>
      <sheetName val="6_약전"/>
      <sheetName val="7_소방"/>
      <sheetName val="8_방송"/>
      <sheetName val="9_조명제어"/>
      <sheetName val="10_철거공사"/>
      <sheetName val="남양시작동자105노65기1_3화1_2"/>
      <sheetName val="표지_(2)"/>
      <sheetName val="사원등록"/>
      <sheetName val="호봉 (2)"/>
      <sheetName val="하도급변경대비표"/>
      <sheetName val="2000용수잠관-수량집계"/>
      <sheetName val="공사내역"/>
      <sheetName val="WEON"/>
      <sheetName val="경상"/>
      <sheetName val="가설"/>
      <sheetName val="3.내역서"/>
      <sheetName val="총수량집계표"/>
      <sheetName val="통신물량"/>
      <sheetName val="전체내역서"/>
      <sheetName val="별표 "/>
      <sheetName val="기본DATA"/>
      <sheetName val="청천내"/>
      <sheetName val="문학간접"/>
      <sheetName val="매입세"/>
      <sheetName val="표층포설및다짐"/>
      <sheetName val="CODE"/>
      <sheetName val="별표"/>
      <sheetName val="균열"/>
      <sheetName val="암거날개벽재료집계"/>
      <sheetName val="단가및재료비"/>
      <sheetName val="노᠀⁷"/>
      <sheetName val="1공구(입찰내역)"/>
      <sheetName val="유첨#2"/>
      <sheetName val="교각별수량"/>
      <sheetName val="원가산출서"/>
      <sheetName val="Dae_Jiju"/>
      <sheetName val="Sikje_ingun"/>
      <sheetName val="TREE_D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96정변2"/>
      <sheetName val="CB"/>
      <sheetName val="CS2"/>
      <sheetName val="1,2공구원가계산서"/>
      <sheetName val="1공구산출내역서"/>
      <sheetName val="오동"/>
      <sheetName val="대조"/>
      <sheetName val="나한"/>
      <sheetName val="INPUT(덕도방향-시점)"/>
      <sheetName val="실행예산서"/>
      <sheetName val="유동표(변경)"/>
      <sheetName val="급명"/>
      <sheetName val="단  가  대  비  표"/>
      <sheetName val="일  위  대  가  목  록"/>
      <sheetName val="2000년 공정표"/>
      <sheetName val="교각별철근수량집계표"/>
      <sheetName val="L형옹벽측구"/>
      <sheetName val="const."/>
      <sheetName val="동해title"/>
      <sheetName val="변경내역을"/>
      <sheetName val="펌프장수량산출(토)"/>
      <sheetName val="남양구조시험동"/>
      <sheetName val="본부소개"/>
      <sheetName val="현관"/>
      <sheetName val="기기리스트"/>
      <sheetName val="통합내역"/>
      <sheetName val="HRSG SMALL07220"/>
      <sheetName val="CHITIET VL-NC-TT -1p"/>
      <sheetName val="TDTKP1"/>
      <sheetName val="bearing"/>
      <sheetName val="CA지입"/>
      <sheetName val="대외공문"/>
      <sheetName val="DWPM"/>
      <sheetName val="백암비스타내역"/>
      <sheetName val="DB"/>
      <sheetName val="1공구 건정토건 토공"/>
      <sheetName val=" 총괄표"/>
      <sheetName val="자재집계"/>
      <sheetName val="LIST"/>
      <sheetName val="투입(관수_건축)"/>
      <sheetName val="투입(APT500)"/>
      <sheetName val="투입(분당)"/>
      <sheetName val="작성지침서2)"/>
      <sheetName val="투입스케쥴양식"/>
      <sheetName val="투입(APT1200)"/>
      <sheetName val="투입(평촌)"/>
      <sheetName val="투입(APT1000)"/>
      <sheetName val="계약내역서(을지)"/>
      <sheetName val="TOT"/>
      <sheetName val="가시설흙막이"/>
      <sheetName val="전선"/>
      <sheetName val="CABLE"/>
      <sheetName val="강북라우터"/>
      <sheetName val="노무비산출"/>
      <sheetName val="합천내역"/>
      <sheetName val="단"/>
      <sheetName val="교통대책내역"/>
      <sheetName val="보할공정"/>
      <sheetName val="220 (2)"/>
      <sheetName val="총인원"/>
      <sheetName val="직급인원"/>
      <sheetName val="차종별"/>
      <sheetName val="OPGW기별"/>
      <sheetName val="관기성공.내"/>
      <sheetName val="중동상가"/>
      <sheetName val="FOOTING단면력"/>
      <sheetName val="01AC"/>
      <sheetName val="조명율데이타"/>
      <sheetName val="평균높이산출근거"/>
      <sheetName val="횡배수관위치조서"/>
      <sheetName val="1.우편집중내역서"/>
      <sheetName val="기본설계도급항목"/>
      <sheetName val="8.현장관리비"/>
      <sheetName val="7.안전관리비"/>
      <sheetName val="01"/>
      <sheetName val="연돌일위집계"/>
      <sheetName val="BEND LOSS"/>
      <sheetName val="견적율"/>
      <sheetName val="물가"/>
      <sheetName val="소방사항"/>
      <sheetName val="TRE TABLE"/>
      <sheetName val="총집계표"/>
      <sheetName val="명세서"/>
      <sheetName val="공사내역서(을)실행"/>
      <sheetName val="견적"/>
      <sheetName val="화설내"/>
      <sheetName val="기초일위"/>
      <sheetName val="조명일위"/>
      <sheetName val="DATA 입력부"/>
      <sheetName val="승용"/>
      <sheetName val="Recovered_Sheet1"/>
      <sheetName val="원가상세내역"/>
      <sheetName val="2004경영(비목별)"/>
      <sheetName val="2004경영"/>
      <sheetName val="s"/>
      <sheetName val="입적표"/>
      <sheetName val="ELECTRIC"/>
      <sheetName val="직원동원SCH"/>
      <sheetName val="단가조사-1"/>
      <sheetName val="단가조사-2"/>
      <sheetName val="Man Power &amp; Comp"/>
      <sheetName val="변경후-SHEET"/>
      <sheetName val="도급양식"/>
      <sheetName val="손익집계(공장별)"/>
      <sheetName val="설계명세서(선로)"/>
      <sheetName val="접지수량"/>
      <sheetName val="현장별계약현황('98.10.31)"/>
      <sheetName val="현장관리비데이타"/>
      <sheetName val="1)fs"/>
      <sheetName val="구조     ."/>
      <sheetName val="2002하반기노임기준"/>
      <sheetName val="본부장"/>
      <sheetName val="구동"/>
      <sheetName val="공조기"/>
      <sheetName val="대림산업"/>
      <sheetName val="EKOG10건축"/>
      <sheetName val="경비"/>
      <sheetName val="TYPE-1"/>
      <sheetName val="내역서(전체)"/>
      <sheetName val="내역(토목)"/>
      <sheetName val="위치조서"/>
      <sheetName val="5.공종별예산내역서"/>
      <sheetName val="PROJECT BRIEF"/>
      <sheetName val="토공정보"/>
      <sheetName val="두앙"/>
      <sheetName val="깨기수량"/>
      <sheetName val="하중산정"/>
      <sheetName val="세부견적서(DAS Call Back)"/>
      <sheetName val="단중표-ST"/>
      <sheetName val="COMPRESSOR"/>
      <sheetName val="PIPE"/>
      <sheetName val="VALVE"/>
      <sheetName val="9811"/>
      <sheetName val="투찰내역"/>
      <sheetName val="COVER-P"/>
      <sheetName val="Piping(Methanol)"/>
      <sheetName val="도로경계블럭단위수량"/>
      <sheetName val="도로경계블럭단위토공"/>
      <sheetName val="L형측구단위수량"/>
      <sheetName val="L형측구연장조서"/>
      <sheetName val="충주"/>
      <sheetName val="재료집계"/>
      <sheetName val="인수공총괄"/>
      <sheetName val="내역서01"/>
      <sheetName val="덕소내역"/>
      <sheetName val="종합기별"/>
      <sheetName val="노무비명세서"/>
      <sheetName val="개보수공사BM"/>
      <sheetName val="장문교(대전)"/>
      <sheetName val="내역(중앙)"/>
      <sheetName val="내역(창신)"/>
      <sheetName val="CLAUSE"/>
      <sheetName val="약품설︀"/>
      <sheetName val="결과조달"/>
      <sheetName val="1공구 건정토건 철콘"/>
      <sheetName val="2공구하도급내역서"/>
      <sheetName val="도급내역"/>
      <sheetName val="투찰추정"/>
      <sheetName val="건축내역(진해석동)"/>
      <sheetName val="KMT물량"/>
      <sheetName val="Working(wo WTs)"/>
      <sheetName val="주조정실"/>
      <sheetName val="Requirements"/>
      <sheetName val="loading"/>
      <sheetName val="단가보완"/>
      <sheetName val="단위가격"/>
      <sheetName val="Rates"/>
      <sheetName val="P-산#1-1(WOWA1)"/>
      <sheetName val="웅진교-S2"/>
      <sheetName val="배수관토공"/>
      <sheetName val="차수공개요"/>
      <sheetName val="인공(100P,배선반)"/>
      <sheetName val="설내역서 "/>
      <sheetName val="전기공사"/>
      <sheetName val="납부서"/>
      <sheetName val="기흥하도용"/>
      <sheetName val="일위대가(여기까지)"/>
      <sheetName val="J"/>
      <sheetName val="단위_xdc00_ὗ␀"/>
      <sheetName val="인상효1"/>
      <sheetName val="수성페인트도장 내역서"/>
      <sheetName val="도급내역5+800"/>
      <sheetName val="도급금액"/>
      <sheetName val="재노경"/>
      <sheetName val="변경내역서"/>
      <sheetName val="일위대가(1)"/>
      <sheetName val="관급자재"/>
      <sheetName val="총공사내역서"/>
      <sheetName val="토공사"/>
      <sheetName val="정렬"/>
      <sheetName val="계약내역서"/>
      <sheetName val="전체도급"/>
      <sheetName val="본선 토공 분배표"/>
      <sheetName val="제출내역 (2)"/>
      <sheetName val="6공구(당초)"/>
      <sheetName val="산근1"/>
      <sheetName val="관리,공감"/>
      <sheetName val="입찰"/>
      <sheetName val="현경"/>
      <sheetName val="전화번호DATA (2001)"/>
      <sheetName val="자압"/>
      <sheetName val="106C0300"/>
      <sheetName val="건축내역서 (경제상무실)"/>
      <sheetName val="통로box전기"/>
      <sheetName val="밧데리"/>
      <sheetName val="진접"/>
      <sheetName val="사급자재(1단계)"/>
      <sheetName val="조명투자및환수계획"/>
      <sheetName val="제조중간결과"/>
      <sheetName val="시중노임단가"/>
      <sheetName val="구조물터파기수량집계"/>
      <sheetName val="배수공 시멘트 및 골재량 산출"/>
      <sheetName val="J01"/>
      <sheetName val="집수정"/>
      <sheetName val="공내ᰖ"/>
      <sheetName val="수량이동"/>
      <sheetName val="단면"/>
      <sheetName val="탑(을지)"/>
      <sheetName val="열린교실"/>
      <sheetName val="경산锼_x0013_閄"/>
      <sheetName val="합의경상"/>
      <sheetName val="단면瑌)"/>
      <sheetName val="22단"/>
      <sheetName val="22단锼"/>
      <sheetName val="기초자료입력및 K치 확인"/>
      <sheetName val="AS_x0005__x0000_"/>
      <sheetName val="진주䈀ᅪ"/>
      <sheetName val="2공구수량"/>
      <sheetName val="화해(함평)"/>
      <sheetName val="화해(장성)"/>
      <sheetName val="2BOX본체"/>
      <sheetName val="도장수량(하1)"/>
      <sheetName val="사업수지"/>
      <sheetName val="기계경비단가"/>
      <sheetName val="지주설치제원"/>
      <sheetName val="경영상태"/>
      <sheetName val="토공A"/>
      <sheetName val="전체공내역서"/>
      <sheetName val="퍼스트"/>
      <sheetName val="역집계1"/>
      <sheetName val="명단원자료(이전)"/>
      <sheetName val="영동(D)"/>
      <sheetName val="원가서"/>
      <sheetName val="용소리교"/>
      <sheetName val="단가(반정1교-원주)"/>
      <sheetName val="삼보지질"/>
      <sheetName val="7.전산해석결과"/>
      <sheetName val="4.하중"/>
      <sheetName val="우각부검토"/>
      <sheetName val="기초입력"/>
      <sheetName val="기성내역서표지"/>
      <sheetName val="공주-교대(A1)"/>
      <sheetName val="중기사용료"/>
      <sheetName val="단가 "/>
      <sheetName val="design load"/>
      <sheetName val="working load at the btm ft."/>
      <sheetName val="stability check"/>
      <sheetName val="보호"/>
      <sheetName val="개소별수량산출"/>
      <sheetName val="성남여성복지내역"/>
      <sheetName val="(A)내역서"/>
      <sheetName val="안양1공구_건축"/>
      <sheetName val="북방3터널"/>
      <sheetName val="기술자료 (연수)"/>
      <sheetName val="등록업체"/>
      <sheetName val="esc"/>
      <sheetName val="영흥TL(UP,DOWN) "/>
      <sheetName val="96작생능"/>
      <sheetName val="sheets"/>
      <sheetName val="단가결정"/>
      <sheetName val="내역아"/>
      <sheetName val="울타리"/>
      <sheetName val="3CHBDC"/>
      <sheetName val="2002계약현황"/>
      <sheetName val="내역기준"/>
      <sheetName val="설-원가"/>
      <sheetName val="전체_1설계"/>
      <sheetName val="자재일람"/>
      <sheetName val="Factor"/>
      <sheetName val="w't table"/>
      <sheetName val="UR2-Calculation"/>
      <sheetName val="Main"/>
      <sheetName val="노임변동률"/>
      <sheetName val="4차원가계산서"/>
      <sheetName val="예산M12A"/>
      <sheetName val="환율-LIBOR"/>
      <sheetName val="품종별-이름"/>
      <sheetName val=" 갑  지 "/>
      <sheetName val="Y_WORK"/>
      <sheetName val="부서현황"/>
      <sheetName val="1안"/>
      <sheetName val="총괄서"/>
      <sheetName val="Option"/>
      <sheetName val="판"/>
      <sheetName val="실행내역서 "/>
      <sheetName val="사업계획1안"/>
      <sheetName val="VENDOR LIST"/>
      <sheetName val="공통비"/>
      <sheetName val="월별수입"/>
      <sheetName val="도장 및 용접 수량"/>
      <sheetName val="경율산정"/>
      <sheetName val="위성"/>
      <sheetName val="GAEYO"/>
      <sheetName val="Vari by Vendor"/>
      <sheetName val="공용시설내역"/>
      <sheetName val="97 사업추정(WEKI)"/>
      <sheetName val="기계경비및산출근거서"/>
      <sheetName val="Languages"/>
      <sheetName val="원내역서3"/>
      <sheetName val="101동"/>
      <sheetName val="3도로"/>
      <sheetName val="세동별비상"/>
      <sheetName val="세부내역서(전기)"/>
      <sheetName val="대비내역"/>
      <sheetName val="기존단가 (2)"/>
      <sheetName val="9."/>
      <sheetName val="견적서1"/>
      <sheetName val="자재테이블"/>
      <sheetName val="EP0618"/>
      <sheetName val="기본사항"/>
      <sheetName val="토목내역서 (도급단가)"/>
      <sheetName val="현황산출서"/>
      <sheetName val="내역서단가산출용"/>
      <sheetName val="가CP"/>
      <sheetName val="청구내역(9807)"/>
      <sheetName val="기초및구체공"/>
      <sheetName val="금긋기 및 절단"/>
      <sheetName val="감액총괄표"/>
      <sheetName val="변경품셈총괄"/>
      <sheetName val="내역."/>
      <sheetName val="부대"/>
      <sheetName val="실행(1)"/>
      <sheetName val="1차 내역서"/>
      <sheetName val="기계설비"/>
      <sheetName val="2.1  노무비 평균단가산출"/>
      <sheetName val="콘_재료분리(1)"/>
      <sheetName val="음성방향"/>
      <sheetName val="설계변경내역 98"/>
      <sheetName val="공제구간조서"/>
      <sheetName val="견적대비표"/>
      <sheetName val="설계일반"/>
      <sheetName val="수압집계"/>
      <sheetName val="결합부검토"/>
      <sheetName val="유림총괄"/>
      <sheetName val="신규 품"/>
      <sheetName val="단산"/>
      <sheetName val="변수데이타"/>
      <sheetName val="INDEX"/>
      <sheetName val="15100"/>
      <sheetName val="MAT"/>
      <sheetName val="예산M6-B"/>
      <sheetName val="동원인원산출"/>
      <sheetName val="품셈기준"/>
      <sheetName val="총(신설)"/>
      <sheetName val="대,怀፵"/>
      <sheetName val="산근(목록)"/>
      <sheetName val="이형관중량"/>
      <sheetName val="기자재׃"/>
      <sheetName val="갑지(0_x0000_"/>
      <sheetName val="단0_x0000_退"/>
      <sheetName val="갑지(렀뚣瘉"/>
      <sheetName val="갑지(_x0000_뎰瘇"/>
      <sheetName val="단면별연장"/>
      <sheetName val="분수공별 면적"/>
      <sheetName val="관로조직표"/>
      <sheetName val="기자재_x0000_"/>
      <sheetName val="전기 원가계산서"/>
      <sheetName val="단0_x0000__x0000_"/>
      <sheetName val="단ူ_x0000_䠀"/>
      <sheetName val="기자재_x0010_"/>
      <sheetName val="기자재壸"/>
      <sheetName val="기자재嬨"/>
      <sheetName val="기자재蔈"/>
      <sheetName val="견적대ﱀ"/>
      <sheetName val="견적대₨"/>
      <sheetName val="기자재游"/>
      <sheetName val="기자재೨"/>
      <sheetName val="기자재箘"/>
      <sheetName val="기자재"/>
      <sheetName val="기자재à"/>
      <sheetName val="기자재灰"/>
      <sheetName val="집계표(공종별)"/>
      <sheetName val="스케즐"/>
      <sheetName val="PAINT"/>
      <sheetName val="NAMES"/>
      <sheetName val="시운전연료"/>
      <sheetName val="22단헾"/>
      <sheetName val="상 부"/>
      <sheetName val="차선도색현황"/>
      <sheetName val="단가적용(터널)"/>
      <sheetName val="단위가격_할증"/>
      <sheetName val="전선_및_전선ࠝ"/>
      <sheetName val="연동내역서"/>
      <sheetName val="일위대가 "/>
      <sheetName val="제"/>
      <sheetName val="총괄집䠄ᡏ"/>
      <sheetName val="산출2-기기동력"/>
      <sheetName val="통신단가조사"/>
      <sheetName val="105,106,107동"/>
      <sheetName val="수로교총재료齘_x0013_"/>
      <sheetName val="산출및내역"/>
      <sheetName val="내역전기"/>
      <sheetName val="적용(기尜_x0013_"/>
      <sheetName val="1-11조직표"/>
      <sheetName val="96.12"/>
      <sheetName val="22단丵"/>
      <sheetName val="SLIDES"/>
      <sheetName val="광혁기성"/>
      <sheetName val="정산입력"/>
      <sheetName val="전력"/>
      <sheetName val="eq_data"/>
      <sheetName val="품셈집계표"/>
      <sheetName val="자재조사표"/>
      <sheetName val="일반부표집계표"/>
      <sheetName val="매출단가"/>
      <sheetName val="M-EQPT-Z"/>
      <sheetName val="현장대리인계"/>
      <sheetName val="2000,_x0010__x0000_退˘踇"/>
      <sheetName val="조경"/>
      <sheetName val="2000,_x0010__x0000_蒘Ȭ踇"/>
      <sheetName val="2000,_x0000__x0000_ᓐ_x0000__x0000_"/>
      <sheetName val="2000,_x0000__x0000_︸_x0000__x0000_"/>
      <sheetName val="2000,_x0000__x0000_Ẩ_x0000__x0000_"/>
      <sheetName val="2000,到_x0016_剼_x0016_徸"/>
      <sheetName val="2000,徸⽝_x0005__x0000_"/>
      <sheetName val="1호인버트수량"/>
      <sheetName val="석축설면"/>
      <sheetName val="법면단"/>
      <sheetName val="copy"/>
      <sheetName val="서식"/>
      <sheetName val="2000,咘೿踇⽟_x0000_"/>
      <sheetName val="2000,ﳨǬ踇⾣_x0000_"/>
      <sheetName val="실행변경(1차)"/>
      <sheetName val="2000,缈,罌,헾"/>
      <sheetName val="2000,薸!藼!헾"/>
      <sheetName val="2000,螨_x0013_蟬_x0013_헾"/>
      <sheetName val="E.P.T수량산출서"/>
      <sheetName val="2000,午_x0013_꾈ૂ䡲"/>
      <sheetName val="2000,午_x0013_ॢ䡲"/>
      <sheetName val="동원인원"/>
      <sheetName val="SANBAISU"/>
      <sheetName val="전체내저፺"/>
      <sheetName val="인건비堀"/>
      <sheetName val="전체내堀᎟"/>
      <sheetName val="전체내︀ᇕ"/>
      <sheetName val="전체내怀፵"/>
      <sheetName val="변경비鰀፰"/>
      <sheetName val="㰀"/>
      <sheetName val="전체내ᓈባ"/>
      <sheetName val="전체내죃፺"/>
      <sheetName val="주관锼_x0013_"/>
      <sheetName val="전체내쀀ፐ"/>
      <sheetName val="堀"/>
      <sheetName val="주관사堀"/>
      <sheetName val="전체내壈᎟"/>
      <sheetName val="전체내惇፵"/>
      <sheetName val="주관사저"/>
      <sheetName val="견적ꀀፐ"/>
      <sheetName val="전체내惈፵"/>
      <sheetName val="일위대가(계측ꀀፐቇ"/>
      <sheetName val="경ꀀፐ"/>
      <sheetName val="전체내죈፺"/>
      <sheetName val="교육종류"/>
      <sheetName val="견적堀᎟"/>
      <sheetName val="4렀቟԰"/>
      <sheetName val="4︀ᇕ԰"/>
      <sheetName val="자재조사표(참고용)"/>
      <sheetName val="접지1종"/>
      <sheetName val="제품"/>
      <sheetName val="참조M"/>
      <sheetName val="BOX 본체"/>
      <sheetName val="포장공자재집계표"/>
      <sheetName val="3련 B姨#"/>
      <sheetName val="경로,구간현황"/>
      <sheetName val="시가지우회도로공내역서"/>
      <sheetName val="1_설계기준"/>
      <sheetName val="Pier 3"/>
      <sheetName val="NAI"/>
      <sheetName val="자탐수량산출서"/>
      <sheetName val="예산"/>
      <sheetName val="회사99"/>
      <sheetName val="CAPVC"/>
      <sheetName val="방배동내역(리라)"/>
      <sheetName val="건축공사집계표"/>
      <sheetName val="방배동내역 (총괄)"/>
      <sheetName val="부대공사총괄"/>
      <sheetName val="변수2"/>
      <sheetName val="저항"/>
      <sheetName val="일반수량집계"/>
      <sheetName val="OCM"/>
      <sheetName val="사용자정의"/>
      <sheetName val="제품표준규격"/>
      <sheetName val="전기설계변경"/>
      <sheetName val="AH-1 "/>
      <sheetName val="OHU"/>
      <sheetName val="형식별 개략공사비"/>
      <sheetName val="01_ 원가계산서"/>
      <sheetName val="작성"/>
      <sheetName val="CAT_5"/>
      <sheetName val="등록׃】"/>
      <sheetName val="등록_x0010__x0000_"/>
      <sheetName val="PART_DISCOUNT"/>
      <sheetName val="등록_x0000__x0000_"/>
      <sheetName val="민감도"/>
      <sheetName val="RAHMEN"/>
      <sheetName val="소상 &quot;1&quot;"/>
      <sheetName val="적점"/>
      <sheetName val="Cost bd-&quot;A&quot;"/>
      <sheetName val="Macro(AT)"/>
      <sheetName val="CALCULATION"/>
      <sheetName val="원가총괄"/>
      <sheetName val="매입세율"/>
      <sheetName val="회로내역(승인)"/>
      <sheetName val="IBASE"/>
      <sheetName val="»êÃ렀䡟ԯ_x0000_缀"/>
      <sheetName val="»êÃ︀ᇕ԰_x0000_缀"/>
      <sheetName val="갈현동"/>
      <sheetName val="예산대비"/>
      <sheetName val="4/_x0000_䠀"/>
      <sheetName val="4쌇栅/"/>
      <sheetName val="4က_x0000_က"/>
      <sheetName val="증栀ᙿ가"/>
      <sheetName val="수안보-헾】_x0005__x0000_"/>
      <sheetName val="국공유지및사유지"/>
      <sheetName val="총괄-1"/>
      <sheetName val="이토변실(A3-LINE)"/>
      <sheetName val="9509"/>
      <sheetName val="일위목차"/>
      <sheetName val="견적사양비교표"/>
      <sheetName val="시설물기초"/>
      <sheetName val="송전재료비"/>
      <sheetName val="FIN TUBE"/>
      <sheetName val="HED. &amp; PIPE"/>
      <sheetName val="PUMP SHT"/>
      <sheetName val="FEXS"/>
      <sheetName val="한전고리-을"/>
      <sheetName val=" ｹ-ﾌﾞﾙ"/>
      <sheetName val="MW-BM"/>
      <sheetName val="암거공"/>
      <sheetName val="평가내역"/>
      <sheetName val="직접인건비"/>
      <sheetName val="2.2.2입적표"/>
      <sheetName val="접속도로"/>
      <sheetName val="-15.0"/>
      <sheetName val="사리부설"/>
      <sheetName val="1월"/>
      <sheetName val="임대견적서"/>
      <sheetName val="36신丵〒_x0005_"/>
      <sheetName val="물량집계"/>
      <sheetName val="단가조사표"/>
      <sheetName val="설계내역서(기계)"/>
      <sheetName val="현장설က_x0000_蠀ᛟ"/>
      <sheetName val="학생내역"/>
      <sheetName val="기성내역"/>
      <sheetName val="환"/>
      <sheetName val="적용기준표(98년상반기)"/>
      <sheetName val="예산내역서"/>
      <sheetName val="설계명세_x0005_"/>
      <sheetName val="DATA 입᠒ᎍ"/>
      <sheetName val="가계부"/>
      <sheetName val="제품목록"/>
      <sheetName val="매입매출관리"/>
      <sheetName val="설계명세_x0000_"/>
      <sheetName val="설계명세揄"/>
      <sheetName val="설계명세䡲"/>
      <sheetName val="적용토목"/>
      <sheetName val="명세"/>
      <sheetName val="견적서(1)"/>
      <sheetName val="2234"/>
      <sheetName val="조립1부실적"/>
      <sheetName val="5월"/>
      <sheetName val="능률"/>
      <sheetName val="Despacho (c.civil)"/>
      <sheetName val="1을"/>
      <sheetName val="감가상각"/>
      <sheetName val="인원"/>
      <sheetName val="견적의ᰀ፜"/>
      <sheetName val="사각맨᠜"/>
      <sheetName val="공기԰_x0000_缀"/>
      <sheetName val="설계睮め_x0005_"/>
      <sheetName val="사각맨0"/>
      <sheetName val="오억미만"/>
      <sheetName val="사각맨퀀"/>
      <sheetName val="사각맨堀"/>
      <sheetName val="사각맨䈀"/>
      <sheetName val="CF"/>
      <sheetName val="A 견적"/>
      <sheetName val="전기일위목록"/>
      <sheetName val="RE9604"/>
      <sheetName val="거푸집물량"/>
      <sheetName val="자재비"/>
      <sheetName val="UPDATA"/>
      <sheetName val="원가계산서(남측)"/>
      <sheetName val="제조 경영"/>
      <sheetName val="금광1터널"/>
      <sheetName val="G.R300경비"/>
      <sheetName val="세부狇譈"/>
      <sheetName val="사각맨ﻇ"/>
      <sheetName val="몰탈재븧܊"/>
      <sheetName val="견적의"/>
      <sheetName val="견적의烇彰"/>
      <sheetName val="토공집계표"/>
      <sheetName val="하도급선정의뢰서(습식공_x0000__x0000_"/>
      <sheetName val="앉음벽 (2)"/>
      <sheetName val="L-type"/>
      <sheetName val="2터널시점"/>
      <sheetName val="기본"/>
      <sheetName val="짉譥"/>
      <sheetName val="ᣉᎍ"/>
      <sheetName val="일위산출"/>
      <sheetName val="Oper Amount"/>
      <sheetName val="금액내렀቟"/>
      <sheetName val="금액내԰_x0000_"/>
      <sheetName val="E총"/>
      <sheetName val="성내동"/>
      <sheetName val="공종목록표"/>
      <sheetName val="인부임"/>
      <sheetName val="인원계획"/>
      <sheetName val="시행예산"/>
      <sheetName val="자압1"/>
      <sheetName val="조경내역"/>
      <sheetName val="물墸᎟鰀"/>
      <sheetName val="화재 탐지_x0005__x0000_"/>
      <sheetName val="단가비교표_공통1"/>
      <sheetName val="전신환매도徸"/>
      <sheetName val="업체별기성내역"/>
      <sheetName val="BabyÀÏÀ§´ë°¡"/>
      <sheetName val="NìüëÒ-òÅ"/>
      <sheetName val="°£¼±°è»ê"/>
      <sheetName val="´ë±¸½ÇÇà"/>
      <sheetName val="0.Áý°è"/>
      <sheetName val="Ç¥Áö (2)"/>
      <sheetName val="¸Å¸³"/>
      <sheetName val="¿ø°¡°è»ê"/>
      <sheetName val="1.ÀüÂ÷¼±Á¶Á¤"/>
      <sheetName val="2.Á¶°¡¼±Á¶Á¤"/>
      <sheetName val="3.±ÞÀü¼±½Å¼³"/>
      <sheetName val="4.±ÞÀü¼±Ã¶°Å"/>
      <sheetName val="5.°í¹è¼±Ã¶°Å"/>
      <sheetName val="6.°í¾ÐÄÉÀÌºí½Å¼³"/>
      <sheetName val="7.ºñÀý¿¬¼±Á¶Á¤"/>
      <sheetName val="8.°¡µ¿ºê·¡Å°Æ®ÀÌ¼³"/>
      <sheetName val="9.HÇü°­ÁÖ½Å¼³(9m)"/>
      <sheetName val="10.°­°üÁÖ½Å¼³(9m)"/>
      <sheetName val="11.H°­ÁÖÃ¶°Å(11m)"/>
      <sheetName val="11.HÇü°­±âÃÊ"/>
      <sheetName val="13.°­°üÁÖ±âÃÊ"/>
      <sheetName val="14.Àå·ÂÁ¶Á¤ÀåÄ¡½Å¼³"/>
      <sheetName val="15.Àå·ÂÁ¶Á¤ÀåÄ¡Ã¶°Å   "/>
      <sheetName val="16.ÄÜÁÖÃ¶°Å(9m)"/>
      <sheetName val="17.Áö¼±½Å¼³(º¸Åë)"/>
      <sheetName val="18.Áö¼±½Å¼³(vÇü)"/>
      <sheetName val="19.Áö¼±Ã¶°Å"/>
      <sheetName val="20.±âÁß°³Æó±â½Å¼³"/>
      <sheetName val="의정부문예회관변경내역"/>
      <sheetName val="±âÃÊ´Ü°¡"/>
      <sheetName val="¾Æ»êÃß°¡1220"/>
      <sheetName val="98Áö±Þ°èÈ¹"/>
      <sheetName val="´çÃÊ"/>
      <sheetName val="1.¼³°èÁ¶°Ç"/>
      <sheetName val="Àç·á"/>
      <sheetName val="°¡·ÎµîºÎÇ¥"/>
      <sheetName val="Á¦°æºñÀ²"/>
      <sheetName val="³»¿ª(¼³°è)"/>
      <sheetName val="½Ä»ýºí·°´ÜÀ§¼ö·®"/>
      <sheetName val="Á¤ºÎ³ëÀÓ´Ü°¡"/>
      <sheetName val="Pricelist TAC AB"/>
      <sheetName val="물가정보자료"/>
      <sheetName val="萀⅜"/>
      <sheetName val="貭♘"/>
      <sheetName val="기계실"/>
      <sheetName val="산#2-1 (2)"/>
      <sheetName val="일위대가(건축)"/>
      <sheetName val="골재산출"/>
      <sheetName val="자재목록표"/>
      <sheetName val="2002상반기노임기준"/>
      <sheetName val="단중聀"/>
      <sheetName val="예산조서(무선)"/>
      <sheetName val="사급자재총괄"/>
      <sheetName val="당정동경상이수"/>
      <sheetName val="당정동공통이수"/>
      <sheetName val="예산M11A"/>
      <sheetName val="APT"/>
      <sheetName val="WING3"/>
      <sheetName val=" 냉각수펌프"/>
      <sheetName val="구분자"/>
      <sheetName val="구성1"/>
      <sheetName val="구성2"/>
      <sheetName val="구성3"/>
      <sheetName val="구성4"/>
      <sheetName val="69.03%"/>
      <sheetName val="변경내역100%"/>
      <sheetName val="변경내역98%"/>
      <sheetName val="변경내역96%"/>
      <sheetName val="변경내역92%"/>
      <sheetName val="변경내역88%"/>
      <sheetName val="변경내역84.52%"/>
      <sheetName val="소운반"/>
      <sheetName val="공종구간"/>
      <sheetName val="산출0"/>
      <sheetName val="5.공종별尜_x0013_層_x0013_闰"/>
      <sheetName val="평3"/>
      <sheetName val="2.펌프장(사급자재)"/>
      <sheetName val="A1_본체_수량산출서"/>
      <sheetName val="내역총괄"/>
      <sheetName val="역T형옹벽(3.0)"/>
      <sheetName val="내역서(삼호)"/>
      <sheetName val="지하1층"/>
      <sheetName val="공비대䠚"/>
      <sheetName val="금액내㔀቎"/>
      <sheetName val="옹벽기초자료"/>
      <sheetName val="본사인상전"/>
      <sheetName val="단가산출-기,교"/>
      <sheetName val="당사"/>
      <sheetName val="내역총괄2"/>
      <sheetName val="내역총괄3"/>
      <sheetName val="가중치"/>
      <sheetName val="주식"/>
      <sheetName val="0001(arch)"/>
      <sheetName val="FO"/>
      <sheetName val="Summary Sheet"/>
      <sheetName val="일위대가내역"/>
      <sheetName val="대전-교대(A1-A2)"/>
      <sheetName val="만수배관단가"/>
      <sheetName val="FRP배관단가(만수)"/>
      <sheetName val="건축토목내역"/>
      <sheetName val="금액집계"/>
      <sheetName val="단양 00 아파트-세부내역"/>
      <sheetName val="C1ㅇ"/>
      <sheetName val="STD"/>
      <sheetName val="물가대비표"/>
      <sheetName val="10월"/>
      <sheetName val="연면적"/>
      <sheetName val="991029UTP용 M.D.F"/>
      <sheetName val="현장점검 1"/>
      <sheetName val="상가을 "/>
      <sheetName val="3.사용전검사(1000KW이상)(본동-수정)"/>
      <sheetName val="계획예산입력자료"/>
      <sheetName val="3본사"/>
      <sheetName val="세부내역서"/>
      <sheetName val="간선"/>
      <sheetName val="전압"/>
      <sheetName val="조도"/>
      <sheetName val="동력"/>
      <sheetName val="가공2원도"/>
      <sheetName val="COL"/>
      <sheetName val="일(4)"/>
      <sheetName val="투입비"/>
      <sheetName val="1F"/>
      <sheetName val="11.자재단가"/>
      <sheetName val="손익계산서"/>
      <sheetName val="대차대조표"/>
      <sheetName val="폐토수익화 "/>
      <sheetName val="수량산출1"/>
      <sheetName val="수전기기DATA"/>
      <sheetName val="(전체발주,금회3차공사)내역서"/>
      <sheetName val="49"/>
      <sheetName val="정산내역서"/>
      <sheetName val="설계서"/>
      <sheetName val="98수금사업"/>
      <sheetName val="FRT_O"/>
      <sheetName val="FAB_I"/>
      <sheetName val="RING WALL"/>
      <sheetName val="공사비PK5월"/>
      <sheetName val="간접비(1)"/>
      <sheetName val="터널(토공)"/>
      <sheetName val="리터팬내장형"/>
      <sheetName val="내역총괄표"/>
      <sheetName val="5차설계"/>
      <sheetName val="경비산출"/>
      <sheetName val="FUSE_MCB"/>
      <sheetName val="full (2)"/>
      <sheetName val="BREAKDOWN"/>
      <sheetName val="REINF."/>
      <sheetName val="IPS0823"/>
      <sheetName val="공조기(삭제)"/>
      <sheetName val="1_전차선조정"/>
      <sheetName val="2_조가선조정"/>
      <sheetName val="3_급전선신설"/>
      <sheetName val="4_급전선철거"/>
      <sheetName val="5_고배선철거"/>
      <sheetName val="6_고압케이블신설"/>
      <sheetName val="7_비절연선조정"/>
      <sheetName val="8_가동브래키트이설"/>
      <sheetName val="9_H형강주신설(9m)"/>
      <sheetName val="10_강관주신설(9m)"/>
      <sheetName val="11_H강주철거(11m)"/>
      <sheetName val="11_H형강기초"/>
      <sheetName val="13_강관주기초"/>
      <sheetName val="산출목록표"/>
      <sheetName val="수원공"/>
      <sheetName val="입고장부 (4)"/>
      <sheetName val="DATA-UPS"/>
      <sheetName val="건설장비기초단가"/>
      <sheetName val="샘플표지"/>
      <sheetName val="토공 total"/>
      <sheetName val="일반맨홀수량집계(A-7 LINE)"/>
      <sheetName val="옹벽1"/>
      <sheetName val="찍기"/>
      <sheetName val="공종별 집계"/>
      <sheetName val="일위(PN)"/>
      <sheetName val="Macro"/>
      <sheetName val="산출"/>
      <sheetName val="9-1차이내역."/>
      <sheetName val="Sheet22"/>
      <sheetName val="총괄표(1)"/>
      <sheetName val="공종별집계표"/>
      <sheetName val="부산4"/>
      <sheetName val="기준비용"/>
      <sheetName val="계약표지"/>
      <sheetName val="내역서-전체낙찰율"/>
      <sheetName val="개봉3동하수관"/>
      <sheetName val="일위대가-1"/>
      <sheetName val="장비부하"/>
      <sheetName val="조도계산(가로등NEW)"/>
      <sheetName val="내역5"/>
      <sheetName val="역간(덕_동)"/>
      <sheetName val="역간(의-덕)"/>
      <sheetName val="골조"/>
      <sheetName val="단가대비표(SYS)"/>
      <sheetName val="제조노임"/>
      <sheetName val="변품8-37"/>
      <sheetName val="참조(2)"/>
      <sheetName val="현장일보"/>
      <sheetName val="보집계표"/>
      <sheetName val="월말"/>
      <sheetName val="원본(갑지)"/>
      <sheetName val="ISBL-CIV"/>
      <sheetName val="단가대비"/>
      <sheetName val="99 조정금액"/>
      <sheetName val="전류"/>
      <sheetName val="포장절단"/>
      <sheetName val="일위단가"/>
      <sheetName val="일위(설)"/>
      <sheetName val="전기공사일위대가"/>
      <sheetName val="일위대가표_(2)"/>
      <sheetName val="General_Data"/>
      <sheetName val="5호광장_(만점)"/>
      <sheetName val="인천국제_(만점)_(2)"/>
      <sheetName val="설_계"/>
      <sheetName val="방음벽_기초_일반수량"/>
      <sheetName val="I_설계조건"/>
      <sheetName val="설산1_나"/>
      <sheetName val="sum1_(2)"/>
      <sheetName val="원가계산서_(총괄)"/>
      <sheetName val="원가계산서_(건축)"/>
      <sheetName val="Site_Expenses"/>
      <sheetName val="제원_설계조건"/>
      <sheetName val="노원열병합__건축공사기성내역서"/>
      <sheetName val="플랜트_설치"/>
      <sheetName val="14_장력조정장치신설"/>
      <sheetName val="15_장력조정장치철거___"/>
      <sheetName val="16_콘주철거(9m)"/>
      <sheetName val="17_지선신설(보통)"/>
      <sheetName val="18_지선신설(v형)"/>
      <sheetName val="19_지선철거"/>
      <sheetName val="20_기중개폐기신설"/>
      <sheetName val="0_집계"/>
      <sheetName val="조도계산서_(도서)"/>
      <sheetName val="단면_(2)"/>
      <sheetName val="3-1_CB"/>
      <sheetName val="90_03실행_"/>
      <sheetName val="3_공통공사대비"/>
      <sheetName val="º¹±¸·®»êÁ¤_¹×_Àü¿ëÈ¸¼±_»ç¿ë"/>
      <sheetName val="4¿ù_½ÇÀûÃßÁ¤(°ÇÃà+Åä¸ñ)"/>
      <sheetName val="4¿ù_½ÇÀûÃßÁ¤(°ÇÃà)"/>
      <sheetName val="2000_11¿ù¼³°è³»¿ª"/>
      <sheetName val="Àü¼±_¹×_Àü¼±°ü"/>
      <sheetName val="ÁØ°Ë_³»¿ª¼­"/>
      <sheetName val="¼ö¸ñµ¥ÀÌÅ¸_"/>
      <sheetName val="º¯¾Ð±â_¹×_¹ßÀü±â_¿ë·®"/>
      <sheetName val="1_¼öÀÎÅÍ³Î"/>
      <sheetName val="외주대비_-석축"/>
      <sheetName val="외주대비-구조물_(2)"/>
      <sheetName val="견적표지_(3)"/>
      <sheetName val="CABLE_SIZE-3"/>
      <sheetName val="일위대가_집계표"/>
      <sheetName val="ITB_COST"/>
      <sheetName val="노무비_근거"/>
      <sheetName val="design_criteria"/>
      <sheetName val="plan&amp;section_of_foundation"/>
      <sheetName val="단가표_"/>
      <sheetName val="공사비_내역_(가)"/>
      <sheetName val="임시급식_(2)"/>
      <sheetName val="unit_4"/>
      <sheetName val="Summary_Sheets"/>
      <sheetName val="5_정산서"/>
      <sheetName val="맨홀물량"/>
      <sheetName val="추가예산"/>
      <sheetName val="열차제어동"/>
      <sheetName val="전기성능동"/>
      <sheetName val="차량시스템인자"/>
      <sheetName val="차량부품동"/>
      <sheetName val="신.분"/>
      <sheetName val="96노임기준"/>
      <sheetName val="시중노임(공사)"/>
      <sheetName val="기성공제요청서"/>
      <sheetName val="하도기성내역 수정"/>
      <sheetName val="기성공제 동의서"/>
      <sheetName val="기성공제 합의서(쓰레기처리비)"/>
      <sheetName val="암거"/>
      <sheetName val="정보"/>
      <sheetName val="간접경상비"/>
      <sheetName val="현대물량"/>
      <sheetName val="한화 둔산 내역서"/>
      <sheetName val="적격점수&lt;300억미만&gt;"/>
      <sheetName val="간이영수증"/>
      <sheetName val="Ⅴ-2.공종별내역"/>
      <sheetName val="가로등제어반 설치공사(수량)"/>
      <sheetName val="변압기"/>
      <sheetName val="발전기용량-1"/>
      <sheetName val="발전기용량-2"/>
      <sheetName val="출력전에보세요"/>
      <sheetName val="전력간선(일반)"/>
      <sheetName val="전력간선(동력)"/>
      <sheetName val="MCC-B-A"/>
      <sheetName val="MCC-B-B"/>
      <sheetName val="MCC-B-C"/>
      <sheetName val="ACCOUNT(RECEP)"/>
      <sheetName val="부하(동력)"/>
      <sheetName val="ILLUMINANCE"/>
      <sheetName val="계산DATA"/>
      <sheetName val="데이터북"/>
      <sheetName val="조명참고자료"/>
      <sheetName val="Cable schedule"/>
      <sheetName val="V-data"/>
      <sheetName val="L-data"/>
      <sheetName val="P-data"/>
      <sheetName val="미드수량"/>
      <sheetName val="pbs_lambda"/>
      <sheetName val="Matériel embarqué PVC"/>
      <sheetName val="내역(정지)"/>
      <sheetName val="기지국"/>
      <sheetName val="약전닥트"/>
      <sheetName val="건축부하"/>
      <sheetName val="4월"/>
      <sheetName val="8월"/>
      <sheetName val="12월"/>
      <sheetName val="2월"/>
      <sheetName val="7월"/>
      <sheetName val="6월"/>
      <sheetName val="3월"/>
      <sheetName val="11월"/>
      <sheetName val="9월"/>
      <sheetName val="교실"/>
      <sheetName val="꣈፺"/>
      <sheetName val="¼ö·®»êÃÈ"/>
      <sheetName val="저፺"/>
      <sheetName val="¼ö·®»êÃX"/>
      <sheetName val="壈᎟"/>
      <sheetName val="쀀ፐ"/>
      <sheetName val="죈፺"/>
      <sheetName val="惈፵"/>
      <sheetName val="내역서 "/>
      <sheetName val="48신설수량"/>
      <sheetName val="품셈(기초)"/>
      <sheetName val="대가단최종"/>
      <sheetName val="부丵〒"/>
      <sheetName val="부司2"/>
      <sheetName val="성원계약"/>
      <sheetName val="2000.11¿ù¼³餀㢘ԯ_x0000_缀_x0000_"/>
      <sheetName val="총괄집렇♑"/>
      <sheetName val="아산경희980422"/>
      <sheetName val="대비표"/>
      <sheetName val="총괄집桶青"/>
      <sheetName val="01상노임"/>
      <sheetName val="Instruction"/>
      <sheetName val="22단가(철完9"/>
      <sheetName val="지질조사"/>
      <sheetName val="T1"/>
      <sheetName val="총체보활공정표"/>
      <sheetName val="1차배부(JB포함)"/>
      <sheetName val="원내역서 그대로"/>
      <sheetName val="설계내역일위"/>
      <sheetName val="969910( R)"/>
      <sheetName val="전장품(관리용)"/>
      <sheetName val="박스토공"/>
      <sheetName val="남대문빌딩"/>
      <sheetName val="PUMP"/>
      <sheetName val="각종장비전압강하계산"/>
      <sheetName val="거래명세서"/>
      <sheetName val="3.설계예산내역서(예산서)"/>
      <sheetName val="2.예정공정표"/>
      <sheetName val="4.설계예산내역서"/>
      <sheetName val="6.관급자재조서"/>
      <sheetName val="사업성분석"/>
      <sheetName val="22신설수량"/>
      <sheetName val="계약원가"/>
      <sheetName val="인공산출"/>
      <sheetName val="1.설계설명서"/>
      <sheetName val="3.예정공정표"/>
      <sheetName val="4.설계예산서"/>
      <sheetName val="공사원가"/>
      <sheetName val="재경"/>
      <sheetName val="5.일위대가"/>
      <sheetName val="6.철거발생품예정조서"/>
      <sheetName val="7.지급자재조서"/>
      <sheetName val="8.가격조사서"/>
      <sheetName val="준설량산정표"/>
      <sheetName val="22-1소단"/>
      <sheetName val="22-2M단"/>
      <sheetName val="01하반기노임"/>
      <sheetName val="울진항공등화 내역서"/>
      <sheetName val="단가견적조사표"/>
      <sheetName val="안정검토(온1)"/>
      <sheetName val="공무공A"/>
      <sheetName val="36신설수翇"/>
      <sheetName val="36신설수︀"/>
      <sheetName val="견적꓀᥻"/>
      <sheetName val="수안보-_x0005__x0000__x0000_"/>
      <sheetName val="36신설수Ç"/>
      <sheetName val="36신설수資"/>
      <sheetName val="공사비증감"/>
      <sheetName val="수안보-徸〒_x0005__x0000_"/>
      <sheetName val="비목군분류일위"/>
      <sheetName val="입출재고현⩿〚_x0005__x0000_"/>
      <sheetName val="º¯°æ»çÀ_x0000_"/>
      <sheetName val="백호헾】_x0005_"/>
      <sheetName val="수안보-娐&gt;闰⿑"/>
      <sheetName val="수안보-ꮸ⿥_x0005__x0000_"/>
      <sheetName val="백호丵〒_x0005_"/>
      <sheetName val="내역서(기성청구)"/>
      <sheetName val="위치"/>
      <sheetName val="공작물조직표(용배수)"/>
      <sheetName val="날개수량1.5"/>
      <sheetName val="투찰가"/>
      <sheetName val="구조대가"/>
      <sheetName val="포설대가1"/>
      <sheetName val="부대대가"/>
      <sheetName val="철근총괄집계표"/>
      <sheetName val="홈통받이수량"/>
      <sheetName val="공통가설공사"/>
      <sheetName val="공사수행방안"/>
      <sheetName val=" 토목 처리장도급내역서 "/>
      <sheetName val="Data2"/>
      <sheetName val="공사착공계"/>
      <sheetName val="참조 DATA"/>
      <sheetName val="spec"/>
      <sheetName val="program"/>
      <sheetName val="studbolt no."/>
      <sheetName val="studbolt size"/>
      <sheetName val="item sort no"/>
      <sheetName val="정보매체A동"/>
      <sheetName val="기준"/>
      <sheetName val="파이프"/>
      <sheetName val="8__안정검토"/>
      <sheetName val="철근량_검토"/>
      <sheetName val="기술자료_(연수)"/>
      <sheetName val="실행비교"/>
      <sheetName val="지입재료비"/>
      <sheetName val="산출명세서"/>
      <sheetName val="적요"/>
      <sheetName val="조정내역"/>
      <sheetName val="조정_x0014__x0008_"/>
      <sheetName val="_x0000__x0008__x0000__x0008__x0000__x0006__x0000__x0004_"/>
      <sheetName val="상가지급현황"/>
      <sheetName val="D-3109"/>
      <sheetName val="부하"/>
      <sheetName val="도체종-상수표"/>
      <sheetName val="SRC-B3U2"/>
      <sheetName val="초기화면1"/>
      <sheetName val="13LPMCC"/>
      <sheetName val="sub"/>
      <sheetName val="마장"/>
      <sheetName val="3_바닥판설계1"/>
      <sheetName val="Piping_Design_Data"/>
      <sheetName val="H_PILE수량"/>
      <sheetName val="BSD_(2)"/>
      <sheetName val="7_1유효폭"/>
      <sheetName val="Ampecity_Data"/>
      <sheetName val="BASIC_(2)"/>
      <sheetName val="중기조종사_단위단가"/>
      <sheetName val="견적서(대외)_(2)"/>
      <sheetName val="1_¼³°è±âÁØ"/>
      <sheetName val="3_¹Ù´ÚÆÇ¼³°è"/>
      <sheetName val="1_¼öº¯Àü¼³ºñ°ø»ç"/>
      <sheetName val="2__µ¿·Â¼³ºñ_°ø»ç"/>
      <sheetName val="3__Á¶¸í¼³ºñ°ø»ç"/>
      <sheetName val="4__Á¢Áö¼³ºñ°ø»ç"/>
      <sheetName val="5__Åë½Å¼³ºñ_°ø»ç"/>
      <sheetName val="6__Àü±â¹æ½Ä¼³ºñ°ø»ç"/>
      <sheetName val="6_Àü±â¹æ½Ä_¼³ºñ°ø»ç(2)"/>
      <sheetName val="7_¹æÈ£¼³ºñ°ø»ç"/>
      <sheetName val="8_°¡¼³Àü±â°ø»ç"/>
      <sheetName val="8__¾ÈÁ¤°ËÅä"/>
      <sheetName val="°ßÀû¼­(´ë¿Ü)_(2)"/>
      <sheetName val="6PILE__(µ¹Ãâ)"/>
      <sheetName val="Upgrades_pricing"/>
      <sheetName val="2000,9월_일위"/>
      <sheetName val="산재_안전"/>
      <sheetName val="노무비_경비"/>
      <sheetName val="소상_&quot;1&quot;"/>
      <sheetName val="개요입력"/>
      <sheetName val="수량기준"/>
      <sheetName val="단가기준"/>
      <sheetName val="40총괄"/>
      <sheetName val="40집계"/>
      <sheetName val="결재판"/>
      <sheetName val="사다리"/>
      <sheetName val="변경총괄지(1)"/>
      <sheetName val="기계경비(旉る_x0000__x0000_"/>
      <sheetName val="기계경비(贘_x0013_짘ࣅ"/>
      <sheetName val="파형강관집계"/>
      <sheetName val="성곽내역서"/>
      <sheetName val="MANUFACTORY"/>
      <sheetName val="16-1"/>
      <sheetName val="장비당단가 (1)"/>
      <sheetName val="일위대가서식"/>
      <sheetName val="일위대가양식"/>
      <sheetName val="O＆P"/>
      <sheetName val="결재판(삭제하지말아주세요)"/>
      <sheetName val="케이블"/>
      <sheetName val="유첨䈀ᅪ"/>
      <sheetName val="토공,기초"/>
      <sheetName val="자재 단가표"/>
      <sheetName val="주간계획"/>
      <sheetName val="PIPING"/>
      <sheetName val="선택"/>
      <sheetName val="총괄원가 "/>
      <sheetName val="TG9504"/>
      <sheetName val="1995년 섹터별 매출"/>
      <sheetName val="ROOF(ALKALI)"/>
      <sheetName val="master(total)"/>
      <sheetName val="99년신청"/>
      <sheetName val="대가목록"/>
      <sheetName val="아수배전(1회)"/>
      <sheetName val="인건비_조사"/>
      <sheetName val="일위1"/>
      <sheetName val="공사설계서"/>
      <sheetName val="OZ049E"/>
      <sheetName val="층"/>
      <sheetName val="배수내역(총수량)"/>
      <sheetName val="3련 B_x0005__x0000_"/>
      <sheetName val="기성수금(단단위)"/>
      <sheetName val="원가매출(단단위)"/>
      <sheetName val="적용건축"/>
      <sheetName val="설치 일위대가(4԰_x0000_缀_x0000__x0000__x0000_"/>
      <sheetName val="프로젝트"/>
      <sheetName val="0217상가미분양자산"/>
      <sheetName val="BOQ-Summary_Form A1"/>
      <sheetName val="BOQ-Summary_Form A2"/>
      <sheetName val="BOQ-Summary_Form A3"/>
      <sheetName val="Attachment_A"/>
      <sheetName val="elect QC"/>
      <sheetName val="Quezon"/>
      <sheetName val="bulcan"/>
      <sheetName val="Bulacan"/>
      <sheetName val="10현장조직"/>
      <sheetName val="3-1-12"/>
      <sheetName val="3-1-3"/>
      <sheetName val="21301동"/>
      <sheetName val="TB-내역서"/>
      <sheetName val="costing_CV"/>
      <sheetName val="costing_ESDV"/>
      <sheetName val="costing_FE"/>
      <sheetName val="Condition"/>
      <sheetName val="costing_Misc"/>
      <sheetName val="costing_MOV"/>
      <sheetName val="costing_Press"/>
      <sheetName val="choose"/>
      <sheetName val="별표(48~75)"/>
      <sheetName val="공사내역(2003년)"/>
      <sheetName val="본댐설계"/>
      <sheetName val="주beam"/>
      <sheetName val="음봉방향"/>
      <sheetName val="자료(통합)"/>
      <sheetName val="발주내역"/>
      <sheetName val="제3장 기술업무"/>
      <sheetName val="대포2교접속"/>
      <sheetName val="일반전기C"/>
      <sheetName val="POOM_MOTO"/>
      <sheetName val="기초코徸"/>
      <sheetName val="예산조서(︀ᇕ԰"/>
      <sheetName val="205동"/>
      <sheetName val="과세면세표"/>
      <sheetName val="PARAMETER"/>
      <sheetName val="세부내역(직접인건비)"/>
      <sheetName val="사통"/>
      <sheetName val="현장지䀀ኀ㠀ኃ"/>
      <sheetName val="건축원가"/>
      <sheetName val="집계(세부총괄)"/>
      <sheetName val="2000년하반기"/>
      <sheetName val="물가변동잔여물량세부내역서"/>
      <sheetName val="신규(방류시설)"/>
      <sheetName val="덤프트럭계수"/>
      <sheetName val="카메라"/>
      <sheetName val="미지급내역"/>
      <sheetName val="집계표(육상)"/>
      <sheetName val="102역사"/>
      <sheetName val="1.취수장"/>
      <sheetName val="상-교대(A1-A2)"/>
      <sheetName val="첨부1"/>
      <sheetName val="재료표"/>
      <sheetName val="금액결揄"/>
      <sheetName val="공사비 내역"/>
      <sheetName val="매입내역 "/>
      <sheetName val="거래처별지출내역"/>
      <sheetName val="2000_x0005__x0000__x0000_"/>
      <sheetName val="㩷"/>
      <sheetName val="렀ⵘ"/>
      <sheetName val="֭_x0000_"/>
      <sheetName val="Param"/>
      <sheetName val="입찰보Ⳡ"/>
      <sheetName val="자재표"/>
      <sheetName val="총(철거)"/>
      <sheetName val="RangeObject"/>
      <sheetName val="분뇨"/>
      <sheetName val="등록자료"/>
      <sheetName val="입력정보"/>
      <sheetName val="H-pile(250x250)"/>
      <sheetName val="H-pile(298x299)"/>
      <sheetName val="쌍송교"/>
      <sheetName val="방음벽기초(H_xd8d4_ㆂᰀㆃ"/>
      <sheetName val="일위대가(원본)"/>
      <sheetName val="입찰준비계획안(부대)"/>
      <sheetName val="입찰준비계획안(외주)"/>
      <sheetName val="입찰준비계획안(기타견적)"/>
      <sheetName val="장항선4공구직접비집계"/>
      <sheetName val="공사기본내용입력"/>
      <sheetName val="원하도급내역서(당초)"/>
      <sheetName val="용수간선"/>
      <sheetName val="노무비(첨부4-4)"/>
      <sheetName val="일반부표"/>
      <sheetName val="왕십리방향"/>
      <sheetName val="TYPE1"/>
      <sheetName val="철근량"/>
      <sheetName val="자금청구"/>
      <sheetName val="︀ᇕ"/>
      <sheetName val="怀፵"/>
      <sheetName val="주사무실︀ᇕ"/>
      <sheetName val="주사무실ꠀ፺"/>
      <sheetName val="BOX ꠀ፺"/>
      <sheetName val="㗈቎"/>
      <sheetName val="¼ö·®»êÃ¨"/>
      <sheetName val="주관사_x0000_"/>
      <sheetName val="주관사提"/>
      <sheetName val="주관사㌈"/>
      <sheetName val="주관사㧨"/>
      <sheetName val="gvl"/>
      <sheetName val="전부인쇄"/>
      <sheetName val="1.외주공사"/>
      <sheetName val="2.직영공사"/>
      <sheetName val="첨부"/>
      <sheetName val="계산DATA입력"/>
      <sheetName val="계좌번호"/>
      <sheetName val="품종별월계"/>
      <sheetName val="청하배수"/>
      <sheetName val="다곡2교"/>
      <sheetName val="정화조"/>
      <sheetName val="원가집계"/>
      <sheetName val="견적시담(송포2공구)"/>
      <sheetName val="교량전기"/>
      <sheetName val="금융비용"/>
      <sheetName val="파이프류"/>
      <sheetName val="점검내역서(data) (2)"/>
      <sheetName val="2.주요계수총괄"/>
      <sheetName val="하부철근수량"/>
      <sheetName val="입찰사유서 제4공종 (흙깎기)"/>
      <sheetName val="D16"/>
      <sheetName val="D25"/>
      <sheetName val="D22"/>
      <sheetName val="자판실행"/>
      <sheetName val="단위세대물량"/>
      <sheetName val="낙찰표"/>
      <sheetName val="변경품셈"/>
      <sheetName val="WIND-EQ"/>
      <sheetName val="OCT.FDN"/>
      <sheetName val="기성내역서"/>
      <sheetName val="PAD TR보호대기초"/>
      <sheetName val="가로등기초"/>
      <sheetName val="HANDHOLE(2)"/>
      <sheetName val="N頀ᚃ"/>
      <sheetName val="N"/>
      <sheetName val="AHU집계"/>
      <sheetName val="공조기휀"/>
      <sheetName val="계양가시설"/>
      <sheetName val="삼성전기"/>
      <sheetName val="B부대공"/>
      <sheetName val="분양가격표"/>
      <sheetName val="일목"/>
      <sheetName val="기준표"/>
      <sheetName val="보호공"/>
      <sheetName val="º¯°æ»çÀþ"/>
      <sheetName val="제수변︀ᇕ"/>
      <sheetName val="결과조Ⴚ"/>
      <sheetName val="결과조º"/>
      <sheetName val="º¯°æ»çÀ¸"/>
      <sheetName val="º¯°æ»çÀ5"/>
      <sheetName val="º¯°æ»çÀ "/>
      <sheetName val="제수변﹔ᇕ"/>
      <sheetName val="º¯°æ»çÀB"/>
      <sheetName val="단가일䊱"/>
      <sheetName val="K1자재(3차등)"/>
      <sheetName val="전체내ﰀ⁗"/>
      <sheetName val="제수변䊱ᅪ"/>
      <sheetName val="A(Rev.3)"/>
      <sheetName val="부총"/>
      <sheetName val="재료단가"/>
      <sheetName val="원가계墬ᥓ"/>
      <sheetName val="원가계Ⴌ_x0000_"/>
      <sheetName val="관로토공집계표"/>
      <sheetName val="토 적 표"/>
      <sheetName val="3회기성헾】"/>
      <sheetName val="변경비교헾】"/>
      <sheetName val="횡배위치"/>
      <sheetName val="계산중"/>
      <sheetName val="몰탈㔀቎԰_x0000_"/>
      <sheetName val="몰탈䠊ፓ倀놡"/>
      <sheetName val="몰탈䠋ፓ頀뫻"/>
      <sheetName val="몰탈䠠ፓ瀀멗"/>
      <sheetName val="몰탈䠊ፓ "/>
      <sheetName val="몰탈䠉ፓ退"/>
      <sheetName val="몰탈䠉ፓ退ꠍ"/>
      <sheetName val="몰탈䠑ፓ뀀짅"/>
      <sheetName val="TOEC"/>
      <sheetName val="몰탈䠊ፓ㠀擞"/>
      <sheetName val="bdata-출력안함"/>
      <sheetName val="공리공제"/>
      <sheetName val="자재ᰀ፜搀"/>
      <sheetName val="발전기"/>
      <sheetName val="GEN"/>
      <sheetName val="부대공집계표"/>
      <sheetName val="관일"/>
      <sheetName val="노무비(DB)_이후 출력XXXXXX"/>
      <sheetName val="3회기성䃸〒"/>
      <sheetName val="3회기성_x0005__x0000_"/>
      <sheetName val="3회기성吸("/>
      <sheetName val="3회기성ⱂ⿌"/>
      <sheetName val="3회기성埀0"/>
      <sheetName val="철거산출헾】"/>
      <sheetName val="철거산출午_x0013_"/>
      <sheetName val="공정코드"/>
      <sheetName val="평균터파기고(1-2,ASP)"/>
      <sheetName val="남양주부대"/>
      <sheetName val="단위목헾"/>
      <sheetName val="산출내역(K2)"/>
      <sheetName val="전체제잡비"/>
      <sheetName val="지입집계"/>
      <sheetName val="용역비내역-진짜"/>
      <sheetName val="계림(함평)"/>
      <sheetName val="계림(장성)"/>
      <sheetName val="11+040(통로)"/>
      <sheetName val="일별1"/>
      <sheetName val="집행(2-1)"/>
      <sheetName val="기성부분검사원"/>
      <sheetName val="업체별기성금액"/>
      <sheetName val="2회기성각사별배분표"/>
      <sheetName val="기성공문 (2)"/>
      <sheetName val="기성공문"/>
      <sheetName val="계좌입금의뢰서"/>
      <sheetName val="도급각서"/>
      <sheetName val="철콘기성청구서 (2)"/>
      <sheetName val="공종별집계표(건축) (2)"/>
      <sheetName val="형틀공사기성 (2)"/>
      <sheetName val="철콘기성청구서"/>
      <sheetName val="공종별집계표(건축)"/>
      <sheetName val="형틀공사기성"/>
      <sheetName val="조적기성청구서  "/>
      <sheetName val="공종별집계표(조적) "/>
      <sheetName val="조적공사"/>
      <sheetName val="미장기성청구서 "/>
      <sheetName val="공종별집계표(미장.방수)"/>
      <sheetName val="미장공사"/>
      <sheetName val="하도급각서 (2)"/>
      <sheetName val="하도급계좌입금의뢰서 "/>
      <sheetName val="용산3(영광)"/>
      <sheetName val="지불내역1"/>
      <sheetName val="집수정(1)"/>
      <sheetName val="환률"/>
      <sheetName val="공사비명세서"/>
      <sheetName val="사용성검토"/>
      <sheetName val="PAC"/>
      <sheetName val="행거,슈,볼트,펌프,잡재"/>
      <sheetName val="을-ATYPE"/>
      <sheetName val="동력부하계산"/>
      <sheetName val="단가표 (2)"/>
      <sheetName val="안양동교 1안"/>
      <sheetName val="소각장스케줄"/>
      <sheetName val="단__가__대__비__표"/>
      <sheetName val="일__위__대__가__목__록"/>
      <sheetName val="페인트"/>
      <sheetName val="30신설일위대가"/>
      <sheetName val="30집계표"/>
      <sheetName val="지구단위계획"/>
      <sheetName val="00노임기준"/>
      <sheetName val="소일위대가코드표"/>
      <sheetName val="일위대가(가설԰"/>
      <sheetName val="TYPE집계표"/>
      <sheetName val="포쐀䑣"/>
      <sheetName val="포䠟⥏"/>
      <sheetName val="포䠠⥏"/>
      <sheetName val="포䈀㙪"/>
      <sheetName val="栍ᾆ"/>
      <sheetName val="Sheet16 (2)"/>
      <sheetName val="시초1교"/>
      <sheetName val="대구-교대(A1)"/>
      <sheetName val="C.배수관공"/>
      <sheetName val="ꀀ"/>
      <sheetName val="목표세부명세"/>
      <sheetName val="본사공가현황"/>
      <sheetName val="공정량산출내역서 "/>
      <sheetName val="제철"/>
      <sheetName val="조정금액결과표 (차수별)"/>
      <sheetName val="토공실행"/>
      <sheetName val="구간산출"/>
      <sheetName val="Ext. Stone-P"/>
      <sheetName val="원가계산하도"/>
      <sheetName val="단위_x0000__x0000_尀"/>
      <sheetName val="단위ࠀᎄ䰀"/>
      <sheetName val="단위倀❹缀"/>
      <sheetName val="단위耀ὡ"/>
      <sheetName val="변경실행(2차) "/>
      <sheetName val="호표"/>
      <sheetName val="B767"/>
      <sheetName val="0.갑지"/>
      <sheetName val="구의33고"/>
      <sheetName val="건축공사 집계표"/>
      <sheetName val="토공대가"/>
      <sheetName val="B.O.M"/>
      <sheetName val="화전내"/>
      <sheetName val="설변물량"/>
      <sheetName val="예비품"/>
      <sheetName val="제丵"/>
      <sheetName val="PW3"/>
      <sheetName val="PW4"/>
      <sheetName val="SC1"/>
      <sheetName val="PE"/>
      <sheetName val="PM"/>
      <sheetName val="TR"/>
      <sheetName val="금호산업"/>
      <sheetName val="총괄갑 "/>
      <sheetName val="견적정보"/>
      <sheetName val="5.동별횡주관경"/>
      <sheetName val="154TW"/>
      <sheetName val="수주실적0709"/>
      <sheetName val="제4절-1"/>
      <sheetName val="PANEL"/>
      <sheetName val="표 지"/>
      <sheetName val="일위(시설)"/>
      <sheetName val="조건입력"/>
      <sheetName val="조건입력(2)"/>
      <sheetName val="장비선정"/>
      <sheetName val="공통대가"/>
      <sheetName val="암센터"/>
      <sheetName val="특기사항"/>
      <sheetName val="하도내역 (철콘)"/>
      <sheetName val="대가 (보완)"/>
      <sheetName val="토목원가계窨_x0013_"/>
      <sheetName val="신공항A-9헾】_x0005__x0000__x0000_"/>
      <sheetName val="기존구조물철거집계계표"/>
      <sheetName val="내역서(교량)전체"/>
      <sheetName val="장비경비"/>
      <sheetName val="건공실"/>
      <sheetName val="총괄집㸁䧾"/>
      <sheetName val="치수표"/>
      <sheetName val="허용전류-IEC DATA"/>
      <sheetName val="TYPE-U800"/>
      <sheetName val="배관내역"/>
      <sheetName val="POWER"/>
      <sheetName val="교대일반수량"/>
      <sheetName val="WO"/>
      <sheetName val="비용"/>
      <sheetName val="기둥"/>
      <sheetName val="저판(버림100)"/>
      <sheetName val="2.내역서"/>
      <sheetName val="적용환율"/>
      <sheetName val="대상공사(조달청)"/>
      <sheetName val="CRUDE RE-bar"/>
      <sheetName val="BID9697"/>
      <sheetName val="DS-최종"/>
      <sheetName val="PREFACE"/>
      <sheetName val="DATA-1"/>
      <sheetName val="간접총괄"/>
      <sheetName val="960318-1"/>
      <sheetName val="2006기계䈌ᅪ԰_x0000_缀"/>
      <sheetName val="배수관공"/>
      <sheetName val="기타공"/>
      <sheetName val="재원표"/>
      <sheetName val="FCU (2)"/>
      <sheetName val="장비분석"/>
      <sheetName val="석재장조사"/>
      <sheetName val="파일의이용"/>
      <sheetName val="유동표"/>
      <sheetName val="기성청구현황"/>
      <sheetName val="집"/>
      <sheetName val="JUCK֕_x0000_缀"/>
      <sheetName val="내역_FILE"/>
      <sheetName val="0"/>
      <sheetName val="전체실적"/>
      <sheetName val="도급FORM"/>
      <sheetName val="귀래방향"/>
      <sheetName val="운반비산정"/>
      <sheetName val="을 2"/>
      <sheetName val="을 1"/>
      <sheetName val="재1"/>
      <sheetName val="장비가동"/>
      <sheetName val="IN"/>
      <sheetName val="CT "/>
      <sheetName val="정거장"/>
      <sheetName val="길내기"/>
      <sheetName val="강관산출"/>
      <sheetName val="master(2차)"/>
      <sheetName val="내역통합"/>
      <sheetName val="성토도수로현황"/>
      <sheetName val="인수공규격"/>
      <sheetName val="구조물"/>
      <sheetName val="당사실시1"/>
      <sheetName val="하도급선정의뢰_x0000__x0000_螨_x0000__x0000__x0000_ۈ"/>
      <sheetName val="48전력선로일挔"/>
      <sheetName val="콘센트신설"/>
      <sheetName val="FWBS7000,8000"/>
      <sheetName val="ANALYSER"/>
      <sheetName val="ring wall thickness"/>
      <sheetName val="Change rate"/>
      <sheetName val="B3.PERSONEL-Ucret"/>
      <sheetName val="nomi "/>
      <sheetName val="공정표(전체)"/>
      <sheetName val="무전표"/>
      <sheetName val="NOTE ALL"/>
      <sheetName val="VXXXXXXX"/>
      <sheetName val="내역서(당초변경)"/>
      <sheetName val="2.조명기구철거(일괄철거분)"/>
      <sheetName val="대운반(철재)"/>
      <sheetName val="시점교대"/>
      <sheetName val="설계수량"/>
      <sheetName val="3.2.1 마루높이결정"/>
      <sheetName val="hvac(제어동)"/>
      <sheetName val="제품橂"/>
      <sheetName val="피스표"/>
      <sheetName val="산업개발안내서"/>
      <sheetName val="ATM기초철가"/>
      <sheetName val="작성양식"/>
      <sheetName val="품-(주)코①"/>
      <sheetName val="자재단가리스트"/>
      <sheetName val="공사내역(총괄)"/>
      <sheetName val="대보~세기"/>
      <sheetName val="8.수량산출 (2)"/>
      <sheetName val="일위대가표 (⠋ᡏ"/>
      <sheetName val="일위대가표 (䀀⅒"/>
      <sheetName val="ÀÏÀ§´ë°¡Ç¥(1@"/>
      <sheetName val="일위대가표 (ԯ_x0000_"/>
      <sheetName val="직원자료입력"/>
      <sheetName val="1,2,3,4,5단위수량"/>
      <sheetName val="배관단가조사서"/>
      <sheetName val="조견표"/>
      <sheetName val="관헾"/>
      <sheetName val="원가(1︀"/>
      <sheetName val="원가(1䠀"/>
      <sheetName val="관聈"/>
      <sheetName val="관_x0005_"/>
      <sheetName val="제수午_x0013_ὐ"/>
      <sheetName val="암거단위-1련"/>
      <sheetName val="수안보-墰5壼5"/>
      <sheetName val="5.3 단면가정"/>
      <sheetName val="시추주상도"/>
      <sheetName val="케이블트레이"/>
      <sheetName val="일위집계(기존)"/>
      <sheetName val="북제주-표지"/>
      <sheetName val="COVERSHEET"/>
      <sheetName val="[YES.XLS][YES.XLS]4/_x0000_䠀"/>
      <sheetName val="[YES.XLS][YES.XLS]4쌇栅/"/>
      <sheetName val="뚝토공"/>
      <sheetName val="05년"/>
      <sheetName val="내역서(총괄)"/>
      <sheetName val="공종별 집계표"/>
      <sheetName val="철콘집계"/>
      <sheetName val="5회기성03월"/>
      <sheetName val="공통가설_8"/>
      <sheetName val="아파트_9"/>
      <sheetName val="직접공사비집계표_7"/>
      <sheetName val="GTG TR PIT"/>
      <sheetName val="BLR-S"/>
      <sheetName val="당진1,2호기전선관설치및접지4차공사내역서-을지"/>
      <sheetName val="일위대가표(무)"/>
      <sheetName val="일위대가산출기초"/>
      <sheetName val="법면"/>
      <sheetName val="장비명"/>
      <sheetName val="cable-data"/>
      <sheetName val="keyword"/>
      <sheetName val="11"/>
      <sheetName val="1._x005f_x0018_변전설비"/>
      <sheetName val="Summary"/>
      <sheetName val="입렀"/>
      <sheetName val="입栀"/>
      <sheetName val="입ꠀ"/>
      <sheetName val="계정"/>
      <sheetName val="평균환율-USD"/>
      <sheetName val="인원동원계획"/>
      <sheetName val="BIDDING-SUM"/>
      <sheetName val="입︀"/>
      <sheetName val="품목납기"/>
      <sheetName val="시화점실행"/>
      <sheetName val=" 소방공사 산출근거"/>
      <sheetName val="YES.XLS"/>
      <sheetName val="2000.05"/>
      <sheetName val="물량증감"/>
      <sheetName val="9902"/>
      <sheetName val="환율"/>
      <sheetName val="적격"/>
      <sheetName val="DT"/>
      <sheetName val="롤러"/>
      <sheetName val="BH"/>
      <sheetName val="펌프차타설"/>
      <sheetName val="방음벽 기초_x0005__x0000__x0000__x0000_"/>
      <sheetName val="foxz"/>
      <sheetName val="실㔀቎԰"/>
      <sheetName val="실︀껕ԯ"/>
      <sheetName val="실ԯ_x0000_缀"/>
      <sheetName val="금리׉"/>
      <sheetName val="실頀▀_xdc00_"/>
      <sheetName val="제㗇"/>
      <sheetName val="주차구丵〒_x0005__x0000_"/>
      <sheetName val="역삼"/>
      <sheetName val="배수관연장산출서"/>
      <sheetName val="기초ա_x0000_"/>
      <sheetName val="물량尜"/>
      <sheetName val="토공,철콘"/>
      <sheetName val="변경비丵〒_x0005_"/>
      <sheetName val="물량丵"/>
      <sheetName val="AILC005"/>
      <sheetName val="AILC00_x0000_"/>
      <sheetName val="AILC00_x0010_"/>
      <sheetName val="우,오수"/>
      <sheetName val="팔당터널(1공구)"/>
      <sheetName val="card1"/>
      <sheetName val="흙쌓기도수로설치현황(1)"/>
      <sheetName val="식재-외주 (2)"/>
      <sheetName val="유효폭의 계산"/>
      <sheetName val="archi(본사)"/>
      <sheetName val="※참고자료※"/>
      <sheetName val="자(3.0m)"/>
      <sheetName val="옹벽수량萘_x0013_"/>
      <sheetName val="수"/>
      <sheetName val="관리_x0000__x0000_Ԁ"/>
      <sheetName val="관리ﻇᇕ԰"/>
      <sheetName val="관리᠀㹓㔀"/>
      <sheetName val="관리Ç_x0000_Ԁ"/>
      <sheetName val="관리裇⁒㔀"/>
      <sheetName val="관리㗇ぎԯ"/>
      <sheetName val="관리㔀ぎԯ"/>
      <sheetName val="관리㉓Ⰰ"/>
      <sheetName val="신표鎐)"/>
      <sheetName val="신표司/"/>
      <sheetName val="신표丵⾒"/>
      <sheetName val="신표丵⽀"/>
      <sheetName val="신표錰!"/>
      <sheetName val="신표鋐_x0014_"/>
      <sheetName val="신표丵⼣"/>
      <sheetName val="신표鍀#"/>
      <sheetName val="신표_x0000__x0000_"/>
      <sheetName val="신표丵⾲"/>
      <sheetName val="신표券&quot;"/>
      <sheetName val="자재노임단가"/>
      <sheetName val="크레인5ton"/>
      <sheetName val="단가산출-2"/>
      <sheetName val="기초수량-1"/>
      <sheetName val="단가산출-1"/>
      <sheetName val="단가 (2)"/>
      <sheetName val="작용하중산정"/>
      <sheetName val="6차2회변경내역서"/>
      <sheetName val="倀ᑙ"/>
      <sheetName val="1x"/>
      <sheetName val="栈᲋"/>
      <sheetName val="_xd810_᱓"/>
      <sheetName val="자재단가_x0005_"/>
      <sheetName val="물塠"/>
      <sheetName val="물徸"/>
      <sheetName val="guard(mac¸"/>
      <sheetName val="물嬼"/>
      <sheetName val="물闰"/>
      <sheetName val="guard(macð"/>
      <sheetName val="물呈"/>
      <sheetName val="guard(macH"/>
      <sheetName val="[YES.XLS][YES.XLS]신표司/"/>
      <sheetName val="변경비_x0000__x0000_Ѡ"/>
      <sheetName val="°ø»ç¿ø°¡°è牨-犬-"/>
      <sheetName val="전체내역갑지"/>
      <sheetName val="측구터파기공수량집계"/>
      <sheetName val="부대집계"/>
      <sheetName val="실행내역서 (조경)"/>
      <sheetName val="형틀공사"/>
      <sheetName val="주소록"/>
      <sheetName val="전체내ꀀፐ"/>
      <sheetName val="교대(A1挔"/>
      <sheetName val="부대헾】"/>
      <sheetName val="교대(A1窨"/>
      <sheetName val="부대窨_x0013_"/>
      <sheetName val="하수급견적대窨"/>
      <sheetName val="하수급견적대_x0005_"/>
      <sheetName val="교대(A1_x0005_"/>
      <sheetName val="부대_x0005__x0000_"/>
      <sheetName val="전체내㗈቎"/>
      <sheetName val="전체내׃_x0000_"/>
      <sheetName val="9-1㔀቎԰_x0000_"/>
      <sheetName val="9-1԰_x0000_缀_x0000_"/>
      <sheetName val="전체내㠀ᎍ"/>
      <sheetName val="하수급견적대齘"/>
      <sheetName val="교대(A1竈"/>
      <sheetName val="하수급견적대헾"/>
      <sheetName val="하수급견적대竈"/>
      <sheetName val="전체내䋈ᅪ"/>
      <sheetName val="전체내֬_x0000_"/>
      <sheetName val="전체내ﻈ䓕"/>
      <sheetName val="교대(A1헾"/>
      <sheetName val="하수급견적대鷸"/>
      <sheetName val="전체내棈᎜"/>
      <sheetName val="전체내䠀ᖞ"/>
      <sheetName val="하수급견적대鬘"/>
      <sheetName val="차압계산"/>
      <sheetName val="하수급견적대風"/>
      <sheetName val="하수급견적대肘"/>
      <sheetName val="부대芈+"/>
      <sheetName val="하수급견적대芈"/>
      <sheetName val="전체내︀嗕"/>
      <sheetName val="부대헾⼴"/>
      <sheetName val="하수급견적대飘"/>
      <sheetName val="강교(Sub)"/>
      <sheetName val="일반토공견적"/>
      <sheetName val="전체내ꠀ፺"/>
      <sheetName val="원형측구(B-type)"/>
      <sheetName val="??????"/>
      <sheetName val="LKVL-CK-HT-GD1"/>
      <sheetName val="[YES.XLS][YES.XLS][YES.XLS]신표司/"/>
      <sheetName val="[YES.XLS]신표司/"/>
      <sheetName val="총괄분 설계서용지"/>
      <sheetName val="업체별 금액"/>
      <sheetName val="참조용쉬트"/>
      <sheetName val="청구서"/>
      <sheetName val="공동_집계표"/>
      <sheetName val="분담_집계표"/>
      <sheetName val="분담_대보"/>
      <sheetName val="분담_DB"/>
      <sheetName val="분담_동우"/>
      <sheetName val="대총괄내역서"/>
      <sheetName val="중총괄내역서"/>
      <sheetName val="소총괄내역서"/>
      <sheetName val="내역서_영상검지기"/>
      <sheetName val="내역서_레이더"/>
      <sheetName val="내역서_AVI"/>
      <sheetName val="내역서_CCTV"/>
      <sheetName val="내역서_지하차도CCTV"/>
      <sheetName val="내역서_VMS"/>
      <sheetName val="내역서_신호"/>
      <sheetName val="내역서_광통신장비"/>
      <sheetName val="내역서_주정차단속"/>
      <sheetName val="내역서_교통"/>
      <sheetName val="내역서_예비품"/>
      <sheetName val="내역서_전산"/>
      <sheetName val="내역서_정보통신"/>
      <sheetName val="내역서_전기"/>
      <sheetName val="내역서_토목"/>
      <sheetName val="내역서_기타(건축,소방)"/>
      <sheetName val="내역서_설계비및부대임대료"/>
      <sheetName val="세부내역_영상"/>
      <sheetName val="세부내역_레이더"/>
      <sheetName val="세부내역_AVI"/>
      <sheetName val="세부내역_CCTV"/>
      <sheetName val="세부내역_지하CCTV"/>
      <sheetName val="세부내역_VMS"/>
      <sheetName val="세부내역_신호"/>
      <sheetName val="세부내역_광통신"/>
      <sheetName val="세부내역_주정차"/>
      <sheetName val="세부내역_교통"/>
      <sheetName val="세부내역_예비품"/>
      <sheetName val="세부내역_전산"/>
      <sheetName val="세부내역_통신"/>
      <sheetName val="세부내역_전기"/>
      <sheetName val="세부내역_토목"/>
      <sheetName val="일위대가_건축구조(1)"/>
      <sheetName val="일위대가_건축토목(1)"/>
      <sheetName val="일위대가_SW"/>
      <sheetName val="SW개발비_산정기준"/>
      <sheetName val="세부내역_건축"/>
      <sheetName val="청 구"/>
      <sheetName val="Macro(부하)"/>
      <sheetName val="밀양노선별공사비명세서"/>
      <sheetName val="일위산출근거"/>
      <sheetName val="AIR_SHOWER(3인용)"/>
      <sheetName val="적격심사표"/>
      <sheetName val="선로정수계산"/>
      <sheetName val="실내건축일위대가"/>
      <sheetName val="산출근거1"/>
      <sheetName val="5.전사투자계획종함안"/>
      <sheetName val="기성신청"/>
      <sheetName val="방음벽 기초 일반헾】"/>
      <sheetName val="단가비교표 (계측제어)"/>
      <sheetName val="카렌스센터계량기설치공사"/>
      <sheetName val="EJ"/>
      <sheetName val="지입자재"/>
      <sheetName val="배전반용량계산"/>
      <sheetName val="세정탑 설계"/>
      <sheetName val="건축-물가변동"/>
      <sheetName val="기계설비-물가변동"/>
      <sheetName val="[YES.XLS][YES.XLS][YES.XLS]4/_x0000_䠀"/>
      <sheetName val="[YES.XLS][YES.XLS][YES.XLS]4쌇栅/"/>
      <sheetName val="품셈총괄표"/>
      <sheetName val="일반수량총괄집계"/>
      <sheetName val="교사기준면적(초등)"/>
      <sheetName val="토공및부대2차"/>
      <sheetName val="새공통"/>
      <sheetName val="3절_CheckList_구분"/>
      <sheetName val="적정성평가표(8번)(1순위)"/>
      <sheetName val="적정성평가표(12번)(6순위)"/>
      <sheetName val="기별(종합)"/>
      <sheetName val="비탈면보호공수량산출"/>
      <sheetName val="가옥조"/>
      <sheetName val="기계경비산출"/>
      <sheetName val="전력구구조물산근2구간"/>
      <sheetName val="1_x0005_"/>
      <sheetName val="도면자료제출일정"/>
      <sheetName val="시공계_x0005_"/>
      <sheetName val="변경비_x0005__x0000_"/>
      <sheetName val="교대시점"/>
      <sheetName val="FB25JN"/>
      <sheetName val="8. 안_x0000__x0000__x0005_"/>
      <sheetName val="경비공통"/>
      <sheetName val="동원인원계획표"/>
      <sheetName val="총괄집ᨈꥬ"/>
      <sheetName val="총괄집_x0000__x0000_"/>
      <sheetName val="VS P-Q"/>
      <sheetName val="KSHAHU-6"/>
      <sheetName val="LANGUAGE"/>
      <sheetName val="전기내역서(총계)"/>
      <sheetName val="1-최종안"/>
      <sheetName val="사업분석-분양가결정"/>
      <sheetName val="내역서1"/>
      <sheetName val="지중자재단가"/>
      <sheetName val="#3_일위대가목록"/>
      <sheetName val="#2_일위대가목록"/>
      <sheetName val="할丵〒"/>
      <sheetName val="부하집계"/>
      <sheetName val="영구峤"/>
      <sheetName val="단가_x0005__x0000_"/>
      <sheetName val="영구_x0005_"/>
      <sheetName val="영구射"/>
      <sheetName val="영구嶄"/>
      <sheetName val="설계(안)"/>
      <sheetName val="수량산출(AFC)"/>
      <sheetName val="수량산출(CCTV)"/>
      <sheetName val="수량_작성"/>
      <sheetName val="수량산출(방송)"/>
      <sheetName val="수량산출(임시AFC)"/>
      <sheetName val="수량산출(임시CCTV)"/>
      <sheetName val="수량산출(임시TV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장애자)"/>
      <sheetName val="수량산출(본통신)"/>
      <sheetName val="수량산출(TDI)"/>
      <sheetName val="수량집계(본역사)"/>
      <sheetName val="수량집계(임시역사)"/>
      <sheetName val="CATV"/>
      <sheetName val="견적 (2)"/>
      <sheetName val="수곡내역"/>
      <sheetName val="전체내역 (2)"/>
      <sheetName val="Formulas &amp; Tables"/>
      <sheetName val="PROCESS"/>
      <sheetName val="±âÀÚÀç´ëºñÇ¥"/>
      <sheetName val="¿¬°áÀÓ½Ã"/>
      <sheetName val="°ü±Þ"/>
      <sheetName val="일위대가 (PM)"/>
      <sheetName val="임시전기공사설계서"/>
      <sheetName val="포장재료집계표"/>
      <sheetName val="포장면적산출"/>
      <sheetName val="포장수량집계"/>
      <sheetName val="PIPE(UG)내역"/>
      <sheetName val="토적계산"/>
      <sheetName val="96 능제취입"/>
      <sheetName val="M+1"/>
      <sheetName val="광,철광석 사용량(2000)"/>
      <sheetName val="포,철광석 사용량(2000)"/>
      <sheetName val="91,92황산"/>
      <sheetName val="36+45-113-18+19+20I"/>
      <sheetName val="배수공1"/>
      <sheetName val="도급단가-아파트"/>
      <sheetName val="BREAKDOWN(철거설치)"/>
      <sheetName val="변경후원본2"/>
      <sheetName val="LABTOTAL"/>
      <sheetName val="COA-17"/>
      <sheetName val="C-18"/>
      <sheetName val="경성자금"/>
      <sheetName val="SUB일위대가"/>
      <sheetName val="평자재단가"/>
      <sheetName val="95년12월말"/>
      <sheetName val="토목(용인)"/>
      <sheetName val="비교1"/>
      <sheetName val="조명율"/>
      <sheetName val="상반기손익차2총괄"/>
      <sheetName val="DRAIN DRUM PIT D-301"/>
      <sheetName val="목록1"/>
      <sheetName val="목록2"/>
      <sheetName val="구조물공집계"/>
      <sheetName val="요약"/>
      <sheetName val="전체총괄"/>
      <sheetName val="dongia (2)"/>
      <sheetName val="gtrinh"/>
      <sheetName val="lam-moi"/>
      <sheetName val="chitiet"/>
      <sheetName val="giathanh1"/>
      <sheetName val="DONGIA"/>
      <sheetName val="thao-go"/>
      <sheetName val="TH XL"/>
      <sheetName val="VC"/>
      <sheetName val="Tiepdia"/>
      <sheetName val="CHITIET VL-NC"/>
      <sheetName val="세목별"/>
      <sheetName val="소개"/>
      <sheetName val="#REF!"/>
      <sheetName val="계열사현황종합"/>
      <sheetName val="basic_info"/>
      <sheetName val="총공사비"/>
      <sheetName val="INS-SHEET"/>
      <sheetName val="shtOpr"/>
      <sheetName val="증감䈀ᅪ"/>
      <sheetName val="CAL(1)."/>
      <sheetName val="원가계산(2)"/>
      <sheetName val="/_x0000_"/>
      <sheetName val="က_x0000_"/>
      <sheetName val="포장쌅"/>
      <sheetName val="예산내역"/>
      <sheetName val="총괄수지표"/>
      <sheetName val="9GN邷㭘"/>
      <sheetName val="¹׃】_x0000_"/>
      <sheetName val="토공총괄표"/>
      <sheetName val="1.3.1절점좌표"/>
      <sheetName val="1.1설계기준"/>
      <sheetName val="전등부하"/>
      <sheetName val="_x0005__x0006__x0008__x0003_"/>
      <sheetName val="_x0000_ _x0000__x0006__x0000__x0006_"/>
      <sheetName val="날개벽(좌,우=60도-4개)"/>
      <sheetName val="건0_x0000_蠀"/>
      <sheetName val="금0_x0000_䠀"/>
      <sheetName val="금蠣㡎耀"/>
      <sheetName val="투찰금액"/>
      <sheetName val="재료집계표3"/>
      <sheetName val="범용개발순소요비용"/>
      <sheetName val="산#3-1"/>
      <sheetName val="산#3-2"/>
      <sheetName val="배관BM(일반)"/>
      <sheetName val="산#3-2-2"/>
      <sheetName val="수출가격"/>
      <sheetName val="IBL-C"/>
      <sheetName val="Architecture Work"/>
      <sheetName val="5. 차단기 용량계산"/>
      <sheetName val="배수내역 (2)"/>
      <sheetName val="가공사"/>
      <sheetName val="6.2.1 지하차도 조도계산"/>
      <sheetName val="8공구 강재 수량"/>
      <sheetName val="EVALUATE물량산출서"/>
      <sheetName val="스라브"/>
      <sheetName val="Stem Footing"/>
      <sheetName val="자재수량"/>
      <sheetName val="보온자재단가표"/>
      <sheetName val="변경_x0005__x0006__x0004__x0004_"/>
      <sheetName val="_x0000__x0002__x0000__x0007__x0000__x0004__x0000__x0007__x0000_"/>
      <sheetName val="적용단가"/>
      <sheetName val="(14)전기품셈정산"/>
      <sheetName val="(12)전기경비"/>
      <sheetName val="8. _x0005__x0000__x0000_"/>
      <sheetName val="바이오"/>
      <sheetName val="잡철물"/>
      <sheetName val="일위대가1"/>
      <sheetName val="굴착현장"/>
      <sheetName val="新철폐복2"/>
      <sheetName val="新철폐복3"/>
      <sheetName val="남양내역"/>
      <sheetName val="도급내역서"/>
      <sheetName val="설계서(설치)"/>
      <sheetName val="지급자재대"/>
      <sheetName val="토목내역서"/>
      <sheetName val="05 BOX"/>
      <sheetName val="02 SLAB"/>
      <sheetName val="5."/>
      <sheetName val="12."/>
      <sheetName val="14."/>
      <sheetName val="13"/>
      <sheetName val="7."/>
      <sheetName val="8."/>
      <sheetName val="10."/>
      <sheetName val="전기단가조사서"/>
      <sheetName val="PI蒨9"/>
      <sheetName val="영창26"/>
      <sheetName val="변경내역"/>
      <sheetName val="(C)원내역"/>
      <sheetName val="겉장"/>
      <sheetName val="기성검사원"/>
      <sheetName val="율림"/>
      <sheetName val="화진"/>
      <sheetName val="가설(내부수평비계)"/>
      <sheetName val="건축물현장정리"/>
      <sheetName val="공통가설공사(공통)"/>
      <sheetName val="골재대"/>
      <sheetName val="운반비"/>
      <sheetName val="폐기물"/>
      <sheetName val="폐기물 (2)"/>
      <sheetName val="경로당내역건축"/>
      <sheetName val="노임단가(08.01)"/>
      <sheetName val="몰탈단가"/>
      <sheetName val="L_RPTB03_01"/>
      <sheetName val="기능공인적사항"/>
      <sheetName val="5.단가대비표"/>
      <sheetName val="개별직종노임단가(2005.1)"/>
      <sheetName val="노임,자재"/>
      <sheetName val="기계경비(맨홀)"/>
      <sheetName val="4.일위대가목차"/>
      <sheetName val="가도䠀"/>
      <sheetName val="가도ԯ"/>
      <sheetName val="가도저"/>
      <sheetName val="절감계산"/>
      <sheetName val="ML"/>
      <sheetName val="기초"/>
      <sheetName val="가시설"/>
      <sheetName val="´_x0005__x0000_"/>
      <sheetName val="예가표"/>
      <sheetName val="103동"/>
      <sheetName val="D.B"/>
      <sheetName val="기계경비(시"/>
      <sheetName val="ÀÏÀ§´ë헾】_x0005__x0000__x0000__x0000_"/>
      <sheetName val="고창터널(고창방향䈀"/>
      <sheetName val="영구청af헾"/>
      <sheetName val="영구청af薸"/>
      <sheetName val="fitting"/>
      <sheetName val="Look-Up"/>
      <sheetName val="Units"/>
      <sheetName val="노임9월"/>
      <sheetName val="洊⍩"/>
      <sheetName val="_xd808_⢉"/>
      <sheetName val="砈ẋ"/>
      <sheetName val="하중재하"/>
      <sheetName val="A"/>
      <sheetName val="단목"/>
      <sheetName val="토목수량"/>
      <sheetName val="Cover Sht"/>
      <sheetName val="자재단가壠"/>
      <sheetName val="자재단가厘"/>
      <sheetName val="하남내역"/>
      <sheetName val="[YES.XLS]4/_x0000_䠀"/>
      <sheetName val="[YES.XLS]4쌇栅/"/>
      <sheetName val="단위"/>
      <sheetName val="총괄집계 "/>
      <sheetName val="기본자료"/>
      <sheetName val="교량명원본"/>
      <sheetName val="BOX제원원본"/>
      <sheetName val="국도접속 차도부수량"/>
      <sheetName val="기က_x0000_退"/>
      <sheetName val="배수내역"/>
      <sheetName val="_x0001__x0000_"/>
      <sheetName val="1-"/>
      <sheetName val="1"/>
      <sheetName val="1_x0008_"/>
      <sheetName val="1þ"/>
      <sheetName val="1¨"/>
      <sheetName val="1g"/>
      <sheetName val="㠈⎗"/>
      <sheetName val="⢔"/>
      <sheetName val="᠇Ẓ"/>
      <sheetName val="1ì"/>
      <sheetName val="1º"/>
      <sheetName val="謂ⷄ"/>
      <sheetName val="ꠀ⢄"/>
      <sheetName val="⠊⢌"/>
      <sheetName val="ꠀ฀"/>
      <sheetName val="了"/>
      <sheetName val="1"/>
      <sheetName val="1_x0018_"/>
      <sheetName val="1ð"/>
      <sheetName val="栉ᶆ"/>
      <sheetName val=" ᧡"/>
      <sheetName val="1P"/>
      <sheetName val="1("/>
      <sheetName val="1@"/>
      <sheetName val="1 "/>
      <sheetName val="10"/>
      <sheetName val="⠖㔺"/>
      <sheetName val="砖㖌"/>
      <sheetName val="1è"/>
      <sheetName val="1_x001e_"/>
      <sheetName val="1`"/>
      <sheetName val="1"/>
      <sheetName val="1°"/>
      <sheetName val="갑지(0_x0000_頀"/>
      <sheetName val="갑지(저妶瘍"/>
      <sheetName val="갑지(濪瘊"/>
      <sheetName val="갑지(᐀ባ혀"/>
      <sheetName val="입출재고현황 (2_x0010_"/>
      <sheetName val="갑지(᠀̨瘗"/>
      <sheetName val="갑지(栀ৢ瘊"/>
      <sheetName val="갑지(ꀀ㱹瘆"/>
      <sheetName val="2.노무비명세서頀塔攀๦0_x0000_뀀"/>
      <sheetName val="2.노무비명세서Ç_x0000__x0000__x0000_ꨀ"/>
      <sheetName val="노임2"/>
      <sheetName val="단가(추가)"/>
      <sheetName val="일위대가(추가)"/>
      <sheetName val="2.노무비명세서Ç_x0000_렀_x0013__x0000__x0000_砀"/>
      <sheetName val="갑지(쐂饣/"/>
      <sheetName val="갑지(쐃/"/>
      <sheetName val="갑지(쐎/"/>
      <sheetName val="귀래 설계 공내역서"/>
      <sheetName val="종단계산"/>
      <sheetName val="목창호"/>
      <sheetName val="포장공총괄수량집계표"/>
      <sheetName val="5.2코핑"/>
      <sheetName val="전체내԰_x0000_"/>
      <sheetName val="토공총괄집계"/>
      <sheetName val="원안"/>
      <sheetName val="암거치수표"/>
      <sheetName val="재료집계표빽업"/>
      <sheetName val="암거수리계산서"/>
      <sheetName val="◀암거위치"/>
      <sheetName val="최종단면▶"/>
      <sheetName val="◀평균높이▶"/>
      <sheetName val="전체내저ᚙ"/>
      <sheetName val="전체내ꠀ᪘"/>
      <sheetName val="주관⩿〚"/>
      <sheetName val="1¸"/>
      <sheetName val="b_balju_ch"/>
      <sheetName val="b_balju_chÈ"/>
      <sheetName val="b_balju_ch_x0005_"/>
      <sheetName val="b_balju_chÛ"/>
      <sheetName val="b_balju_ch("/>
      <sheetName val="N賃率_職"/>
      <sheetName val="기본DATԯ"/>
      <sheetName val="기본DAT頀"/>
      <sheetName val="공종별수량집계"/>
      <sheetName val="REDUCER"/>
      <sheetName val="WE'T"/>
      <sheetName val="실︀ԯ"/>
      <sheetName val="하수급견적대䧨"/>
      <sheetName val="SHUTDOWN VALVE"/>
      <sheetName val="실资䈀"/>
      <sheetName val="실㠀赫䈀"/>
      <sheetName val="실蠀艆䈀"/>
      <sheetName val="실退艬_xdc00_"/>
      <sheetName val="실ꠀ⑬餀"/>
      <sheetName val="실頀몁_xdc00_"/>
      <sheetName val="하수급견적대䪘"/>
      <sheetName val="하수급견적대桑"/>
      <sheetName val="하수급견적대䗸"/>
      <sheetName val="하수급견적대汈"/>
      <sheetName val="하수급견적대䫘"/>
      <sheetName val="하수급견적대烐"/>
      <sheetName val="하수급견적대䠸"/>
      <sheetName val="하수급견적대溈"/>
      <sheetName val="실舀鐟ԯ"/>
      <sheetName val="하수급견적대靨"/>
      <sheetName val="하수급견적대䝸"/>
      <sheetName val="실렀齈_xdb00_"/>
      <sheetName val="실ࠀ齯_xdb00_"/>
      <sheetName val="단_xd800_镊ἀ"/>
      <sheetName val="단镰Ⰰ"/>
      <sheetName val="실저비_xdb00_"/>
      <sheetName val="실᠀㙋䈀"/>
      <sheetName val="실⠀텊䈀"/>
      <sheetName val="실态吣԰"/>
      <sheetName val="실저칄怀"/>
      <sheetName val="실퀀칪ᰀ"/>
      <sheetName val="하수급견적대炠"/>
      <sheetName val="하수급견적대䞘"/>
      <sheetName val="공사예산하조서(O.K)"/>
      <sheetName val="Summar헾】_x0005__x0000__x0000__x0000__x0000_"/>
      <sheetName val="흄관기초"/>
      <sheetName val="부대공(집계)"/>
      <sheetName val="포장단면별단위수량"/>
      <sheetName val="ACUNIT"/>
      <sheetName val="공사비집_x0005_"/>
      <sheetName val="bCord공정"/>
      <sheetName val="d수량"/>
      <sheetName val="e대가"/>
      <sheetName val="g단가"/>
      <sheetName val="h집계"/>
      <sheetName val="Macro(전동기)"/>
      <sheetName val="8.일위대가표(1)"/>
      <sheetName val="8.일위대가표(2)"/>
      <sheetName val="7.청제공기계기구조서"/>
      <sheetName val="횡분배정리(DB)"/>
      <sheetName val="방음벽기초-수량"/>
      <sheetName val="수량산출기초(케블등)"/>
      <sheetName val="2.노무비명세서(수직보垰7埼"/>
      <sheetName val="토목변경"/>
      <sheetName val="제안서"/>
      <sheetName val="행정표준(1)"/>
      <sheetName val="행정표준(2)"/>
      <sheetName val="수량산출내역1115"/>
      <sheetName val="아파트저᝾"/>
      <sheetName val="아파트㾅"/>
      <sheetName val="관급원내역"/>
      <sheetName val="7.경제성결과"/>
      <sheetName val="환율change"/>
      <sheetName val=" 갑지"/>
      <sheetName val="하도급선정의뢰_x0005__x0000__x0000__x0000__x0000_恐"/>
      <sheetName val="하도급선정의뢰煘_x0013_橂⿜_x0005__x0000_"/>
      <sheetName val="하도급선정의뢰聸_x0013_헾⾧_x0005__x0000_"/>
      <sheetName val="4신규비목발생사유서"/>
      <sheetName val="하도급선정의뢰颙〒_x0005__x0000__x0000__x0000_"/>
      <sheetName val="하도급선정의뢰_x0000__x0000_ರ_x0000__x0000__x0000_Ÿ"/>
      <sheetName val="하도급선정의뢰_x0000__x0000_ꢈ_x0000__x0000__x0000_Ÿ"/>
      <sheetName val="하도급선정의뢰_x0000__x0000_㇀_x0000__x0000__x0000_Ÿ"/>
      <sheetName val="하도급선정의뢰_x0000__x0000_䭠_x0000__x0000__x0000_欓"/>
      <sheetName val="하도급선정의뢰_x0010__x0000_ﻠֲ׃⽣_x0000_"/>
      <sheetName val="하도급선정의뢰_x0000__x0000_枨_x0000__x0000__x0000_"/>
      <sheetName val="하도급선정의뢰_x0000__x0000_优_x0000__x0000__x0000_"/>
      <sheetName val="하도급선정의뢰_x0010__x0000__xdfc0_࡝׃⼫_x0000_"/>
      <sheetName val="하도급선정의뢰佘/ߍ恽⿹_x0000_"/>
      <sheetName val="하수실행"/>
      <sheetName val="자재단가徸"/>
      <sheetName val="수안보-๿〚_x0005__x0000_"/>
      <sheetName val="금액내역헾"/>
      <sheetName val="자재단가尜"/>
      <sheetName val="NAIL단가산출"/>
      <sheetName val="수안보-挔_x0012_竖め"/>
      <sheetName val="자재단가헾"/>
      <sheetName val="자재단가丵"/>
      <sheetName val="화산경계"/>
      <sheetName val="수량산출(통신선로)"/>
      <sheetName val="수량산출(여객장치)"/>
      <sheetName val="수량산출(전화)"/>
      <sheetName val="사업부배부A"/>
      <sheetName val="입력값1"/>
      <sheetName val="insulation"/>
      <sheetName val="PipWT"/>
      <sheetName val="뜃맟뭁돽띿맟?-BLDG"/>
      <sheetName val="PBS"/>
      <sheetName val="SILICATE"/>
      <sheetName val="간접비내역-1"/>
      <sheetName val="검색"/>
      <sheetName val="내역갑지"/>
      <sheetName val="INSTR"/>
      <sheetName val="수지표"/>
      <sheetName val="셀명"/>
      <sheetName val="공통단가"/>
      <sheetName val="선수금"/>
      <sheetName val="도근좌표"/>
      <sheetName val="1.동력공사"/>
      <sheetName val="청주-교대(A1)"/>
      <sheetName val="수량산출서 갑지"/>
      <sheetName val="감시제어"/>
      <sheetName val="목차임시"/>
      <sheetName val="선로의 %임피던스 "/>
      <sheetName val="동력배선"/>
      <sheetName val="본선동력배선"/>
      <sheetName val="본선조명"/>
      <sheetName val="전력간선배선"/>
      <sheetName val="전열배선"/>
      <sheetName val="배관배선 단가조사"/>
      <sheetName val="전체-원가분리내역"/>
      <sheetName val="계화배수(3대)"/>
      <sheetName val="유리"/>
      <sheetName val="익산"/>
      <sheetName val="가격표"/>
      <sheetName val="건축외주"/>
      <sheetName val="Sheet1(X)"/>
      <sheetName val="인원조직표"/>
      <sheetName val="냉천부속동"/>
      <sheetName val="원가계산서 "/>
      <sheetName val="국별인원"/>
      <sheetName val="산출기초"/>
      <sheetName val="순환펌프"/>
      <sheetName val="저수조"/>
      <sheetName val="급,배기팬"/>
      <sheetName val="급탕순환펌프"/>
      <sheetName val="DATA(광속)"/>
      <sheetName val="REACTION芨.헾⿁_x0005__x0000_"/>
      <sheetName val="REACTION鴘E鵜E헾⼼_x0005_"/>
      <sheetName val="7단가"/>
      <sheetName val="정산내역"/>
      <sheetName val="횡배수관집현황(2공구)"/>
      <sheetName val="변경ᛅ⾒_x0005_"/>
      <sheetName val="공사직종별노임"/>
      <sheetName val="무시"/>
      <sheetName val="電磁弁LIST"/>
      <sheetName val="PLG"/>
      <sheetName val="외자배분"/>
      <sheetName val="외자내역"/>
      <sheetName val="주요재료비(원본)"/>
      <sheetName val="토목품셈"/>
      <sheetName val="관리비"/>
      <sheetName val="집수정단"/>
      <sheetName val="3-1.일위대가집계표(교통시설물1)"/>
      <sheetName val="직_x0005__x0000_"/>
      <sheetName val="임시급식ֿ_x0000_缀_x0000_"/>
      <sheetName val="직원자료"/>
      <sheetName val="업종분류"/>
      <sheetName val="장비분류"/>
      <sheetName val="단가산출목록표"/>
      <sheetName val="정문내역"/>
      <sheetName val="돈암사업"/>
      <sheetName val="단면A-A(TR)"/>
      <sheetName val="도시가스현황"/>
      <sheetName val="2차공사"/>
      <sheetName val="Imp-Data"/>
      <sheetName val="내역서 (1차)"/>
      <sheetName val="J형측구단위수량"/>
      <sheetName val="¿¹Á¤(3က"/>
      <sheetName val="SAMPLE"/>
      <sheetName val="inter"/>
      <sheetName val="건축공정"/>
      <sheetName val="방진공정"/>
      <sheetName val="조경공정"/>
      <sheetName val="단위수량산출"/>
      <sheetName val="전자"/>
      <sheetName val="환산"/>
      <sheetName val="배수관접합및부설  "/>
      <sheetName val="금강견적"/>
      <sheetName val="D-RMIL"/>
      <sheetName val="3차준공"/>
      <sheetName val="옹벽수량집계표"/>
      <sheetName val="수종별인자"/>
      <sheetName val="BH-1 (2)"/>
      <sheetName val="공종코드"/>
      <sheetName val="2공종별예산조서"/>
      <sheetName val="가시설공(광장부)"/>
      <sheetName val="슬래브"/>
      <sheetName val="ÀÏÀ§´ë°¡Ç¥(_x0005__x0000_"/>
      <sheetName val="일위藨-헾"/>
      <sheetName val="새공통(96임금인상기준)"/>
      <sheetName val="AHU-1"/>
      <sheetName val="급탕설비"/>
      <sheetName val="화장실배기팬"/>
      <sheetName val="직급별"/>
      <sheetName val="S1099기장선행WOP"/>
      <sheetName val="LD"/>
      <sheetName val="방지책개소별명세"/>
      <sheetName val="단위량"/>
      <sheetName val="재료집계표2"/>
      <sheetName val="토적집계표"/>
      <sheetName val="복구량산정_및_전용회선_사용1"/>
      <sheetName val="4월_실적추정(건축+토목)1"/>
      <sheetName val="4월_실적추정(건축)1"/>
      <sheetName val="1_수변전설비1"/>
      <sheetName val="2_전력간선1"/>
      <sheetName val="3_동력1"/>
      <sheetName val="4_전등1"/>
      <sheetName val="5_전열1"/>
      <sheetName val="6_약전1"/>
      <sheetName val="7_소방1"/>
      <sheetName val="8_방송1"/>
      <sheetName val="9_조명제어1"/>
      <sheetName val="10_철거공사1"/>
      <sheetName val="AIR_SHOWER(3인용)1"/>
      <sheetName val="1_전차선조정1"/>
      <sheetName val="2_조가선조정1"/>
      <sheetName val="3_급전선신설1"/>
      <sheetName val="4_급전선철거1"/>
      <sheetName val="5_고배선철거1"/>
      <sheetName val="6_고압케이블신설1"/>
      <sheetName val="7_비절연선조정1"/>
      <sheetName val="8_가동브래키트이설1"/>
      <sheetName val="9_H형강주신설(9m)1"/>
      <sheetName val="10_강관주신설(9m)1"/>
      <sheetName val="11_H강주철거(11m)1"/>
      <sheetName val="11_H형강기초1"/>
      <sheetName val="13_강관주기초1"/>
      <sheetName val="14_장력조정장치신설1"/>
      <sheetName val="15_장력조정장치철거___1"/>
      <sheetName val="16_콘주철거(9m)1"/>
      <sheetName val="17_지선신설(보통)1"/>
      <sheetName val="18_지선신설(v형)1"/>
      <sheetName val="19_지선철거1"/>
      <sheetName val="20_기중개폐기신설1"/>
      <sheetName val="남양시작동자105노65기1_3화1_21"/>
      <sheetName val="0_집계1"/>
      <sheetName val="1_수변전설비공사1"/>
      <sheetName val="표지_(2)1"/>
      <sheetName val="조도계산서_(도서)1"/>
      <sheetName val="3-1_CB1"/>
      <sheetName val="3_내역서"/>
      <sheetName val="96보완계획7_12"/>
      <sheetName val="전차선로_물량표"/>
      <sheetName val="빌딩_안내"/>
      <sheetName val="EQUIPMENT_-2"/>
      <sheetName val="1_변전설비"/>
      <sheetName val="1_¼öº¯Àü¼³ºñ"/>
      <sheetName val="2_Àü·Â°£¼±"/>
      <sheetName val="3_µ¿·Â"/>
      <sheetName val="4_Àüµî"/>
      <sheetName val="5_Àü¿­"/>
      <sheetName val="6_¾àÀü"/>
      <sheetName val="7_¼Ò¹æ"/>
      <sheetName val="8_¹æ¼Û"/>
      <sheetName val="9_Á¶¸íÁ¦¾î"/>
      <sheetName val="10_Ã¶°Å°ø»ç"/>
      <sheetName val="³²¾ç½ÃÀÛµ¿ÀÚ105³ë65±â1_3È­1_2"/>
      <sheetName val="Á¶µµ°è»ê¼­_(µµ¼­)"/>
      <sheetName val="Man_Power_&amp;_Comp"/>
      <sheetName val="자동_철거"/>
      <sheetName val="자동_설치"/>
      <sheetName val="토목_철주"/>
      <sheetName val="철거_일위대가(1-19)"/>
      <sheetName val="철거_일위대가(20-22)"/>
      <sheetName val="설치_일위대가(23-45호)"/>
      <sheetName val="설치_일위대가(46~78호)"/>
      <sheetName val="효성CB_1P기초"/>
      <sheetName val="const_"/>
      <sheetName val="내역서_(2)"/>
      <sheetName val="220_(2)"/>
      <sheetName val="1공구_건정토건_토공"/>
      <sheetName val="TRE_TABLE"/>
      <sheetName val="2000년_공정표"/>
      <sheetName val="화재_탐지_설비"/>
      <sheetName val="호봉_(2)"/>
      <sheetName val="69_03%"/>
      <sheetName val="변경내역84_52%"/>
      <sheetName val="PROJECT_BRIEF"/>
      <sheetName val="_견적서"/>
      <sheetName val="5_공종별예산내역서"/>
      <sheetName val="97_사업추정(WEKI)"/>
      <sheetName val="단가_"/>
      <sheetName val="총괄원가_"/>
      <sheetName val="_갑__지_"/>
      <sheetName val="기성내역_진짜"/>
      <sheetName val="실행내역서_"/>
      <sheetName val="working_load_at_the_btm_ft_"/>
      <sheetName val="stability_check"/>
      <sheetName val="할증_"/>
      <sheetName val="PUMP_SHT"/>
      <sheetName val="FIN_TUBE"/>
      <sheetName val="HED__&amp;_PIPE"/>
      <sheetName val="_총괄표"/>
      <sheetName val="0_Áý°è"/>
      <sheetName val="Ç¥Áö_(2)"/>
      <sheetName val="DATA_입력부"/>
      <sheetName val="Customer_Databas"/>
      <sheetName val="기존단가_(2)"/>
      <sheetName val="9_"/>
      <sheetName val="세부견적서(DAS_Call_Back)"/>
      <sheetName val="2_펌프장(사급자재)"/>
      <sheetName val="입고장부_(4)"/>
      <sheetName val="1차_내역서"/>
      <sheetName val="5_"/>
      <sheetName val="12_"/>
      <sheetName val="14_"/>
      <sheetName val="7_"/>
      <sheetName val="8_"/>
      <sheetName val="10_"/>
      <sheetName val="추천서"/>
      <sheetName val="설계변경내역"/>
      <sheetName val="빙장비사양"/>
      <sheetName val="월별"/>
      <sheetName val="48산출"/>
      <sheetName val="단가대조"/>
      <sheetName val="INMD1198"/>
      <sheetName val="INFG1198"/>
      <sheetName val="M5_S"/>
      <sheetName val="M6_S"/>
      <sheetName val="SRAM_CHIP"/>
      <sheetName val="SRAM_생산"/>
      <sheetName val="YLD"/>
      <sheetName val="설계내"/>
      <sheetName val="설치 일위대가(46~԰_x0000_缀_x0000_"/>
      <sheetName val="라멘교일반수량"/>
      <sheetName val="타견적(을)"/>
      <sheetName val="기성내역(건축)"/>
      <sheetName val="Á¤»ê¹°·®︀웕"/>
      <sheetName val="조도계산서1"/>
      <sheetName val="설계서(7)"/>
      <sheetName val="5.1단가조사"/>
      <sheetName val="배수설비"/>
      <sheetName val="표준ፙ렀ᑟ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7.3.1 전력간선 굵기"/>
      <sheetName val="견적대비 견적서"/>
      <sheetName val="1단계_견적내역서"/>
      <sheetName val="내부수지예산"/>
      <sheetName val="15.공량산출근거서"/>
      <sheetName val="교각토공"/>
      <sheetName val="data_dci"/>
      <sheetName val="data_mci"/>
      <sheetName val="behind"/>
      <sheetName val="일위집계"/>
      <sheetName val="2.노무비명세서(수직보_x0005__x0000_"/>
      <sheetName val="2.노무비명세서(수직보丵⿰_x0005_"/>
      <sheetName val="설계기준_및_하중계산"/>
      <sheetName val="1_노무비명세서(해동)"/>
      <sheetName val="1_노무비명세서(토목)"/>
      <sheetName val="2_노무비명세서(해동)"/>
      <sheetName val="2_노무비명세서(수직보垰7埼"/>
      <sheetName val="2_노무비명세서(수직보호망)"/>
      <sheetName val="2_노무비명세서(난간대)"/>
      <sheetName val="2_사진대지"/>
      <sheetName val="3_사진대지"/>
      <sheetName val="2_노무비명세서(수직보"/>
      <sheetName val="2007일위_"/>
      <sheetName val="토목일위_(83~)"/>
      <sheetName val="노무비_"/>
      <sheetName val="2_노무비명세서(수직보丵⿰"/>
      <sheetName val="심사공종"/>
      <sheetName val="상행-교대(A1-A2)"/>
      <sheetName val="combi(wall)"/>
      <sheetName val="제잡비(주공종)"/>
      <sheetName val="(3.품질관리 시험 총괄표)"/>
      <sheetName val="합계"/>
      <sheetName val="유첨헾】"/>
      <sheetName val="Picture"/>
      <sheetName val="철탑공사"/>
      <sheetName val="가설경비"/>
      <sheetName val="시점부교대"/>
      <sheetName val="표지판현황"/>
      <sheetName val="48전력선_x0002__x0000_㣸"/>
      <sheetName val="주사무실ֳ_x0000_"/>
      <sheetName val="¼ö·®»êÃ "/>
      <sheetName val="¼ö·®»êÃ_x0005_"/>
      <sheetName val="거실통로등"/>
      <sheetName val="주사무실墳᎟"/>
      <sheetName val="BOX ︀ᇕ"/>
      <sheetName val="BOX 저፺"/>
      <sheetName val="䋈ᅪ"/>
      <sheetName val="주사무실԰_x0000_"/>
      <sheetName val="BOX ︀釕"/>
      <sheetName val="위치︀釕"/>
      <sheetName val="BOX ᢝ"/>
      <sheetName val="︀動"/>
      <sheetName val="ﻈ䓕"/>
      <sheetName val="ꠀ፺"/>
      <sheetName val="외천교"/>
      <sheetName val="BOX ᠀ᶛ"/>
      <sheetName val="위치᠀ᶛ"/>
      <sheetName val="저ᚙ"/>
      <sheetName val="위치ꠀ᪘"/>
      <sheetName val="BOX ︀鷕"/>
      <sheetName val="주사무실頀▀"/>
      <sheetName val="BOX 頀▀"/>
      <sheetName val="주사무실蠀⮂"/>
      <sheetName val="위치蠀⮂"/>
      <sheetName val="BOX 蠀⮂"/>
      <sheetName val="︀嗕"/>
      <sheetName val="위치︀㓕"/>
      <sheetName val="주사무실︀㓕"/>
      <sheetName val="위치_xd800_ᢘ"/>
      <sheetName val="내역서(사업소)"/>
      <sheetName val="유역면적"/>
      <sheetName val="펌프장수량ԯ_x0000_缀_x0000__x0000_"/>
      <sheetName val="YES-T"/>
      <sheetName val="흄관수량"/>
      <sheetName val="입력변수"/>
      <sheetName val="주재료비"/>
      <sheetName val="설계요율"/>
      <sheetName val="4.전기"/>
      <sheetName val="유첨_x0005__x0000_"/>
      <sheetName val="일_x0007__x0006__x0003__x0004__x0007_"/>
      <sheetName val="_x0000__x0005__x0000__x0004__x0000__x0008__x0000__x0005__x0000__x0008_"/>
      <sheetName val="5공철탑검토표"/>
      <sheetName val="4공철탑검토"/>
      <sheetName val="간이연락"/>
      <sheetName val="견적을지"/>
      <sheetName val="불변현금흐름표"/>
      <sheetName val="기타유틸리티설비"/>
      <sheetName val="PANEL 내역"/>
      <sheetName val="CPM챠트"/>
      <sheetName val="ALINE"/>
      <sheetName val="횡배수관설치현황"/>
      <sheetName val="96월별PL"/>
      <sheetName val="양식(직판용)"/>
      <sheetName val="항목등록"/>
      <sheetName val="입상내역"/>
      <sheetName val="본사업"/>
      <sheetName val="수장"/>
      <sheetName val="1호맨홀가감수량"/>
      <sheetName val="1-1평균터파기고(1)"/>
      <sheetName val="단가표(전산)"/>
      <sheetName val="2219-SPOOL BOM"/>
      <sheetName val="설명서"/>
      <sheetName val="3.2주형지지보"/>
      <sheetName val="x주형보 설계(3차로)"/>
      <sheetName val="부대tu"/>
      <sheetName val="우수공,맨홀,집수정"/>
      <sheetName val="은평작업지시대장"/>
      <sheetName val="옥외배관기본공량"/>
      <sheetName val="선우통상(을)"/>
      <sheetName val="견적서-골조공사"/>
      <sheetName val="적정심사"/>
      <sheetName val="건축2"/>
      <sheetName val="3-4호기 내역서"/>
      <sheetName val="인원계획-미화"/>
      <sheetName val="평형공사비"/>
      <sheetName val="토공검토G"/>
      <sheetName val="미지급금"/>
      <sheetName val="지하"/>
      <sheetName val="도"/>
      <sheetName val="CABdata"/>
      <sheetName val="기별수량산출서"/>
      <sheetName val="광양방향"/>
      <sheetName val="전통건설"/>
      <sheetName val="기계공사"/>
      <sheetName val="남양시작동010313100%"/>
      <sheetName val="98비정기소모"/>
      <sheetName val="도급및 실행내역"/>
      <sheetName val="참고자료등록"/>
      <sheetName val="하자보수보증자료"/>
      <sheetName val="재료-CODE"/>
      <sheetName val="9.2단가산출서"/>
      <sheetName val="손료"/>
      <sheetName val="General DaS_x0000_"/>
      <sheetName val="설비공사"/>
      <sheetName val="원가계산서 (2)"/>
      <sheetName val="내역(설계,도급)정이준"/>
      <sheetName val="실행단가철(ems코드적용)"/>
      <sheetName val="기초대가"/>
      <sheetName val="차도부연장현황"/>
      <sheetName val="원곡IC교 내진성능보강공사 실시설계 용역.xlsx"/>
      <sheetName val="キ⩙"/>
      <sheetName val="첨부파일"/>
      <sheetName val="도장"/>
      <sheetName val="1._x005f_x005f_x005f_x0018_변전설비"/>
      <sheetName val="W-현원가"/>
      <sheetName val="부대토목"/>
      <sheetName val="토목공종세부"/>
      <sheetName val="견적회신"/>
      <sheetName val="1. 가로등 설비 공사(산출)"/>
      <sheetName val="FAB4생산"/>
      <sheetName val="일대-1"/>
      <sheetName val="종료분석"/>
      <sheetName val="중질쓰레기"/>
      <sheetName val="장비단가"/>
      <sheetName val="1.관로"/>
      <sheetName val="입찰결과(DATA_x0000_"/>
      <sheetName val="화재 颮㍓씀넖ԯ"/>
      <sheetName val="SPM(13.84)"/>
      <sheetName val="ᰀ፜"/>
      <sheetName val="N炬≹"/>
      <sheetName val="각종양식"/>
      <sheetName val="재료할증"/>
      <sheetName val="수량BOQ"/>
      <sheetName val="관세,통관수수료,운반비"/>
      <sheetName val="KS-301_WBS"/>
      <sheetName val="MixBed"/>
      <sheetName val="CondPol"/>
      <sheetName val="ꠀ᪘"/>
      <sheetName val="︀盕"/>
      <sheetName val="ᓈባ"/>
      <sheetName val="壈▞"/>
      <sheetName val="대창(장ԯ_x0000_"/>
      <sheetName val="전기일ꙭÀ_x0000_"/>
      <sheetName val="투찰(하수)"/>
      <sheetName val="암거 제원표-1단계"/>
      <sheetName val="전체내蠀ᒗ"/>
      <sheetName val="전체내︀盕"/>
      <sheetName val="일위대가(계측︩盕ԯ_x0000_"/>
      <sheetName val="전체내壈▞"/>
      <sheetName val="1호철근량"/>
      <sheetName val="산출서"/>
      <sheetName val="진행 DATA (2)"/>
      <sheetName val="외화계약"/>
      <sheetName val="J直_x0004__x0005_"/>
      <sheetName val="ༀༀ̀ఀЀ"/>
      <sheetName val="³²¾ç½ÃÀÛµ¿ÀÚ105³ë65±_x0000__x0000__x0005__x0000_慀ȡ_x0000__x0000__x0000_"/>
      <sheetName val="단  가  垨4奜4睮⿩_x0005_"/>
      <sheetName val="1._x0018_변︀ᇕ԰"/>
      <sheetName val="골재丵〒"/>
      <sheetName val="내역총渀腷"/>
      <sheetName val="현지검측내역"/>
      <sheetName val="구주,중아,CIS"/>
      <sheetName val="EL90"/>
      <sheetName val="역T형교대栄⿇_x0000__x0000_庨_x0000_"/>
      <sheetName val="역T형교대栄⿇_x0000__x0000__x0000_"/>
      <sheetName val="펌프장수량䈀嵪ԯ_x0000_缀"/>
      <sheetName val="펌프장수량㔀቎԰_x0000_缀"/>
      <sheetName val="교량현황"/>
      <sheetName val="커튼월(pfg)"/>
      <sheetName val="ࠀ᎚"/>
      <sheetName val="총괄BOQ"/>
      <sheetName val="평균물량산출서"/>
      <sheetName val="합의서"/>
      <sheetName val="좌측"/>
      <sheetName val="낙석방지책"/>
      <sheetName val="금액︀⣕"/>
      <sheetName val="상수도토공_x0005__x0000_"/>
      <sheetName val="설직재0_x0000_"/>
      <sheetName val="설직재餀㒘"/>
      <sheetName val="싱가폴(실지급+인상율)"/>
      <sheetName val="UB2"/>
      <sheetName val="sheet"/>
      <sheetName val="b_gunmul"/>
      <sheetName val="b_balju (2)"/>
      <sheetName val="갑(전기)"/>
      <sheetName val="갑(계장)"/>
      <sheetName val="B"/>
      <sheetName val="010101"/>
      <sheetName val="심의대상"/>
      <sheetName val="내역금액적용"/>
      <sheetName val="비목코드"/>
      <sheetName val="철거산출徸〒"/>
      <sheetName val="신안설계"/>
      <sheetName val="업체선정"/>
      <sheetName val="실행집계장"/>
      <sheetName val="투찰집계장"/>
      <sheetName val="토목총괄내역서"/>
      <sheetName val="총괄집계"/>
      <sheetName val="하도사항"/>
      <sheetName val="실행별지"/>
      <sheetName val="하도잡비"/>
      <sheetName val="토공부대"/>
      <sheetName val="철콘부대"/>
      <sheetName val="연약부대"/>
      <sheetName val="철골부대"/>
      <sheetName val="철공견갑"/>
      <sheetName val="철골견적"/>
      <sheetName val="토공견갑"/>
      <sheetName val="토공견적"/>
      <sheetName val="철콘견갑"/>
      <sheetName val="철콘견적"/>
      <sheetName val="연약견갑"/>
      <sheetName val="연약견적"/>
      <sheetName val="부대샘플"/>
      <sheetName val="777"/>
      <sheetName val="cross beam"/>
      <sheetName val="2.단면가정"/>
      <sheetName val="가속도응답스펙트럼(Sa)및속도응답스펙트럼(Sv)"/>
      <sheetName val="12"/>
      <sheetName val="이름"/>
      <sheetName val="4,5,6,7,8"/>
      <sheetName val="설계흐름도"/>
      <sheetName val="명단"/>
      <sheetName val="배수및구조물공1"/>
      <sheetName val="계약서"/>
      <sheetName val="앨범표지"/>
      <sheetName val="목공사품의서"/>
      <sheetName val="B1(반포1차)"/>
      <sheetName val="esc(건축)"/>
      <sheetName val="옥룡잡비"/>
      <sheetName val="일위대가집계표"/>
      <sheetName val="공예을"/>
      <sheetName val="골재및자재집계표"/>
      <sheetName val="배수통관(좌)"/>
      <sheetName val="현장유지관리비"/>
      <sheetName val="A-8 PD(도로중앙)"/>
      <sheetName val="수안보-纈!헾『"/>
      <sheetName val="수안보-丵〒_x0005__x0000_"/>
      <sheetName val="수안보-橂】_x0005__x0000_"/>
      <sheetName val="철집"/>
      <sheetName val="9-1차_x0005__x0000_"/>
      <sheetName val="변경비懸_x0013_颙"/>
      <sheetName val="변경비颙〒_x0005_"/>
      <sheetName val="일위집԰_x0000_"/>
      <sheetName val="변경비窨_x0013_竬"/>
      <sheetName val="시공계ⱂ"/>
      <sheetName val="조명시헾"/>
      <sheetName val="8. 안吐呜"/>
      <sheetName val="가압장(토목)"/>
      <sheetName val="전선관"/>
      <sheetName val="5.정산ﵠ"/>
      <sheetName val="실행내역 "/>
      <sheetName val="참조 (2)"/>
      <sheetName val="교량data"/>
      <sheetName val="파일구성"/>
      <sheetName val="분전반"/>
      <sheetName val="database"/>
      <sheetName val="Priorities"/>
      <sheetName val="Paint,Fire-Proof,Insul(48)"/>
      <sheetName val="No.2LAB Unit"/>
      <sheetName val="약ྀ︁"/>
      <sheetName val="1.1 본체"/>
      <sheetName val="March"/>
      <sheetName val="토목 (2)"/>
      <sheetName val="인력터파기"/>
      <sheetName val="9G࠯_x0015__x0000__x0000_"/>
      <sheetName val="94"/>
      <sheetName val="안전시설"/>
      <sheetName val="20-25"/>
      <sheetName val="설치자재"/>
      <sheetName val="단중"/>
      <sheetName val="몰탈쐀/_x0000_"/>
      <sheetName val="실행ࠏE"/>
      <sheetName val="실행ဏ_x0000_"/>
      <sheetName val="시멘트,모래"/>
      <sheetName val="ASP"/>
      <sheetName val="CHIP_O"/>
      <sheetName val="FAB_O"/>
      <sheetName val="PKG_I"/>
      <sheetName val="FT_금액"/>
      <sheetName val="YIELD"/>
      <sheetName val="부재치수입력"/>
      <sheetName val="Key assumption"/>
      <sheetName val="토목׃⿄"/>
      <sheetName val="토목׃⽴"/>
      <sheetName val="토목嘘_x001b_"/>
      <sheetName val="토목ꮸ⽤"/>
      <sheetName val="토목垐%"/>
      <sheetName val="토목狈6"/>
      <sheetName val="토목妀6"/>
      <sheetName val="토목枵〛"/>
      <sheetName val="의왕실행"/>
      <sheetName val="LCS-SEAT"/>
      <sheetName val="집계표(건축전기)"/>
      <sheetName val="품목현황"/>
      <sheetName val="PO-BOB"/>
      <sheetName val="재료값"/>
      <sheetName val="보차도경계석수량"/>
      <sheetName val="48일위(기존)"/>
      <sheetName val="옥외외등집계표"/>
      <sheetName val="광통신 견적내역서1"/>
      <sheetName val="하도급선정의뢰_x0005__x0000__x0000__x0000__x0000_吝"/>
      <sheetName val="하도급선정의뢰唈_x001f_ᛅ⾠_x0005__x0000_"/>
      <sheetName val="하도급선정의뢰ᛅ⼝_x0005__x0000__x0000__x0000_"/>
      <sheetName val="음성(cable)"/>
      <sheetName val="PI"/>
      <sheetName val="제조부문배부"/>
      <sheetName val="XREF"/>
      <sheetName val="반포2차"/>
      <sheetName val="시공업체명부"/>
      <sheetName val="Direct (공사비대비)"/>
      <sheetName val=" 내역"/>
      <sheetName val="제출"/>
      <sheetName val="공사비예비관리공감측설산출내역"/>
      <sheetName val="TCDB"/>
      <sheetName val="1À"/>
      <sheetName val="1 "/>
      <sheetName val="ꀀ㇞"/>
      <sheetName val="1r"/>
      <sheetName val="　⮒"/>
      <sheetName val="SANTOGO"/>
      <sheetName val="산출서집계"/>
      <sheetName val="집계표(수정)"/>
      <sheetName val="잔여공사월별내역"/>
      <sheetName val="대비(최종이사회)"/>
      <sheetName val="양식"/>
      <sheetName val="표지세로"/>
      <sheetName val="5.소모재료비"/>
      <sheetName val="전계가"/>
      <sheetName val="က"/>
      <sheetName val="⠈ⱒ"/>
      <sheetName val="1Ø"/>
      <sheetName val="1_x0004_"/>
      <sheetName val="MEMBER"/>
      <sheetName val="공사별 가중치0_x0000_ꀀâ_x0000__x0000_鬀ӊ㰞"/>
      <sheetName val="자재집게표 "/>
      <sheetName val="경영혁신본부"/>
      <sheetName val="제수_x0000__x0000_"/>
      <sheetName val="제수午_x0013_뺨"/>
      <sheetName val="제수午_x0013_㸀"/>
      <sheetName val="제수午_x0013_㐨"/>
      <sheetName val="제수午_x0013_㺨"/>
      <sheetName val="제수午_x0013_绠"/>
      <sheetName val="제수午_x0013_떰"/>
      <sheetName val="제수午_x0013_"/>
      <sheetName val="옥내소화전계산서"/>
      <sheetName val="심사계산"/>
      <sheetName val="심사물량"/>
      <sheetName val="기타"/>
      <sheetName val="BID FORM"/>
      <sheetName val="Form of Bid"/>
      <sheetName val="이관문서목록표"/>
      <sheetName val="국내"/>
      <sheetName val="구천"/>
      <sheetName val="member design"/>
      <sheetName val="soil bearing check"/>
      <sheetName val="산출근거#2-3"/>
      <sheetName val="도급,하도급 예정금액"/>
      <sheetName val="산출(전기)"/>
      <sheetName val="DWG-CAB-I"/>
      <sheetName val="1공구내역서(1)"/>
      <sheetName val="설계서을"/>
      <sheetName val="공감비"/>
      <sheetName val="PROJECT BRIEF(EX.NEW)"/>
      <sheetName val="재무가정"/>
      <sheetName val="건물현황"/>
      <sheetName val="대목"/>
      <sheetName val="간접재료비산출표-27-30"/>
      <sheetName val="공사원가계산蚘_x0013_"/>
      <sheetName val="도급예정1ီ_x0000_䀀"/>
      <sheetName val="도급예정1犢呄/"/>
      <sheetName val="도급예정1犢/"/>
      <sheetName val="도급예정1Ⴂ_x0000_䀀"/>
      <sheetName val="도급예정1ﻰᇕ԰"/>
      <sheetName val="도급예정1犢ፄ/"/>
      <sheetName val="도급예정1ჰ_x0000_䀀"/>
      <sheetName val="도급예정1ၪ_x0000_　"/>
      <sheetName val="도급예정1Ⴕ_x0000_"/>
      <sheetName val="도급예정1႒_x0000_က"/>
      <sheetName val="Macr_x0010__x0000_ፈদ䑲⼚"/>
      <sheetName val="Macr枵〺_x0000__x0000_揰_x0000_"/>
      <sheetName val="Macr枵〺_x0000__x0000_丸_x0000_"/>
      <sheetName val="Macr枵〺_x0000__x0000_㦠_x0000_"/>
      <sheetName val="Macr㑘_x001b_둠੆枵⿚"/>
      <sheetName val="Macr㑘_x001b_ञ枵⿚"/>
      <sheetName val="단위ה_x0000_"/>
      <sheetName val="침하계"/>
      <sheetName val="Gia VLNCMTC"/>
      <sheetName val="Cst Pkg-Eden"/>
      <sheetName val="WT-LIST"/>
      <sheetName val="노임단가(직종번호_순)"/>
      <sheetName val="견적(02.07)"/>
      <sheetName val="L형집계"/>
      <sheetName val="전도금정산집계"/>
      <sheetName val="은행코드"/>
      <sheetName val="G2설비도급"/>
      <sheetName val="제원입력"/>
      <sheetName val="4.고용보험"/>
      <sheetName val="수목일위"/>
      <sheetName val="수목데이타"/>
      <sheetName val="수리결과"/>
      <sheetName val="k2 foundation"/>
      <sheetName val="노면표시1"/>
      <sheetName val="15-3)VE제안서(가치향_x0000_隒_x0000__x0000_"/>
      <sheetName val="수정계획3"/>
      <sheetName val="옥상바닥산출서"/>
      <sheetName val="외부비계산출서"/>
      <sheetName val="단열재산출서"/>
      <sheetName val="지하외부비계산출서"/>
      <sheetName val="내부강관비계산출서"/>
      <sheetName val="내부수평비계산출서"/>
      <sheetName val="내역집계(전체)"/>
      <sheetName val="내역서_제출1"/>
      <sheetName val="공사비_증감_내역서1"/>
      <sheetName val="8_PILE__(돌출)1"/>
      <sheetName val="7_PILE__(돌출)1"/>
      <sheetName val="Sheet1_(2)1"/>
      <sheetName val="BOX(1_5X1_5)1"/>
      <sheetName val="1_설계조건1"/>
      <sheetName val="2-1__경관조명_내역총괄표1"/>
      <sheetName val="설명서_1"/>
      <sheetName val="AS포장복구_1"/>
      <sheetName val="실행내역(10_13)1"/>
      <sheetName val="단가_및_재료비1"/>
      <sheetName val="개별직종노임단가(2003_9)1"/>
      <sheetName val="3련_BOX1"/>
      <sheetName val="EQUIP_LIST1"/>
      <sheetName val="기존건물_깨기원단위1"/>
      <sheetName val="철근량_산정1"/>
      <sheetName val="환경기계공정표_(3)1"/>
      <sheetName val="사__업__비__수__지__예__산__서1"/>
      <sheetName val="노_표-조1"/>
      <sheetName val="4_2유효폭의_계산1"/>
      <sheetName val="내역-_CCTV1"/>
      <sheetName val="각사별공사비분개_1"/>
      <sheetName val="슬래브_-연속(3경간)1"/>
      <sheetName val="노임단가_(2)1"/>
      <sheetName val="총_원가계산1"/>
      <sheetName val="참여현황_(직원)1"/>
      <sheetName val="2F_회의실견적(5_14_일대)1"/>
      <sheetName val="토공(우물통,기타)_1"/>
      <sheetName val="대3류_1"/>
      <sheetName val="1~9_하중계산1"/>
      <sheetName val="1_견적보고서"/>
      <sheetName val="건설사업관리_공제요율1"/>
      <sheetName val="건설공사_감리원_배치기준1"/>
      <sheetName val="책임감리_공제요율1"/>
      <sheetName val="단가산출서_(2)1"/>
      <sheetName val="3_하중산정4_지지력"/>
      <sheetName val="01_Summary"/>
      <sheetName val="03_Rev_Log"/>
      <sheetName val="4_2_1_마루높이_검토"/>
      <sheetName val="FAB_B01计算式"/>
      <sheetName val="5_물량산출서"/>
      <sheetName val="7월천안현장_집계표"/>
      <sheetName val="장비_자재"/>
      <sheetName val="_노무집계"/>
      <sheetName val="간지03_)"/>
      <sheetName val="1_레미콘"/>
      <sheetName val="2_관집계"/>
      <sheetName val="3_제수밸브"/>
      <sheetName val="4_각종주철제"/>
      <sheetName val="5_유량계"/>
      <sheetName val="1_골재집계"/>
      <sheetName val="2_철근집계"/>
      <sheetName val="3_관세척"/>
      <sheetName val="4_분기관"/>
      <sheetName val="상수공_토공집계표"/>
      <sheetName val="2_재료비"/>
      <sheetName val="12_보오링"/>
      <sheetName val="18_공내수압탄성자연"/>
      <sheetName val="2_견적조건_정보"/>
      <sheetName val="슬래브일반(포항방향_B=12_3m)"/>
      <sheetName val="자재_집계표"/>
      <sheetName val="6_7현장운영"/>
      <sheetName val="__HAIWOOK_____hb___1__________2"/>
      <sheetName val="개비온집계"/>
      <sheetName val="15-3)VE제안서(가치향_x0000_庘ɝ_x0000_"/>
      <sheetName val="공통비총괄표"/>
      <sheetName val="지수적용공사비내역서"/>
      <sheetName val="부재별산출서"/>
      <sheetName val="gyun"/>
      <sheetName val="일위-1"/>
      <sheetName val="MAT_N048"/>
      <sheetName val="수종"/>
      <sheetName val="규격"/>
      <sheetName val="conclusion"/>
      <sheetName val="comparables"/>
      <sheetName val="Deduction"/>
      <sheetName val="other"/>
      <sheetName val="이름표"/>
      <sheetName val="기본1"/>
      <sheetName val="수정일위대가"/>
      <sheetName val="보할최종(준공)only"/>
      <sheetName val="아파트 기성내역서"/>
      <sheetName val="3-16피벗"/>
      <sheetName val="입찰품의서"/>
      <sheetName val="자동제어"/>
      <sheetName val="기계경跠㴯¢_x0000_弲"/>
      <sheetName val="15-3)VE제안서(가치향"/>
      <sheetName val="큰다리교깨기"/>
      <sheetName val="전익자재"/>
      <sheetName val="DUT-BAT1"/>
      <sheetName val="노원열병합  건축렀こ렀䡟ԯ"/>
      <sheetName val="노원열병합  건축렀䡟ԯ"/>
      <sheetName val="노원열병합  건축︀ᇕ԰"/>
      <sheetName val="노원열병합  건축ﻕᇕ԰"/>
      <sheetName val="갑지(0"/>
      <sheetName val="갑지("/>
      <sheetName val="단ူ"/>
      <sheetName val="2000,_x0010_"/>
      <sheetName val="2000,"/>
      <sheetName val="2000,徸⽝_x0005_"/>
      <sheetName val="»êÃ렀䡟ԯ"/>
      <sheetName val="»êÃ︀ᇕ԰"/>
      <sheetName val="4/"/>
      <sheetName val="4က"/>
      <sheetName val="현장설က"/>
      <sheetName val="화재 탐지_x0005_"/>
      <sheetName val="2000.11¿ù¼³餀㢘ԯ"/>
      <sheetName val="입출재고현⩿〚_x0005_"/>
      <sheetName val="설치 일위대가(4԰"/>
      <sheetName val="신공항A-9헾】_x0005_"/>
      <sheetName val="2006기계䈌ᅪ԰"/>
      <sheetName val="JUCK֕"/>
      <sheetName val="하도급선정의뢰"/>
      <sheetName val="[YES.XLS][YES.XLS]4/"/>
      <sheetName val="방음벽 기초_x0005_"/>
      <sheetName val="실ԯ"/>
      <sheetName val="관리"/>
      <sheetName val="관리Ç"/>
      <sheetName val="변경비"/>
      <sheetName val="9-1԰"/>
      <sheetName val="[YES.XLS][YES.XLS][YES.XLS]4/"/>
      <sheetName val="변경비_x0005_"/>
      <sheetName val="8. 안"/>
      <sheetName val="단가_x0005_"/>
      <sheetName val="건0"/>
      <sheetName val="금0"/>
      <sheetName val="8. _x0005_"/>
      <sheetName val="´_x0005_"/>
      <sheetName val="ÀÏÀ§´ë헾】_x0005_"/>
      <sheetName val="[YES.XLS]4/"/>
      <sheetName val="기က"/>
      <sheetName val="2.노무비명세서頀塔攀๦0"/>
      <sheetName val="2.노무비명세서Ç"/>
      <sheetName val="Summar헾】_x0005_"/>
      <sheetName val="하도급선정의뢰_x0005_"/>
      <sheetName val="하도급선정의뢰煘_x0013_橂⿜_x0005_"/>
      <sheetName val="하도급선정의뢰聸_x0013_헾⾧_x0005_"/>
      <sheetName val="하도급선정의뢰颙〒_x0005_"/>
      <sheetName val="하도급선정의뢰_x0010_"/>
      <sheetName val="REACTION芨.헾⿁_x0005_"/>
      <sheetName val="임시급식ֿ"/>
      <sheetName val="설치 일위대가(46~԰"/>
      <sheetName val="2.노무비명세서(수직보_x0005_"/>
      <sheetName val="48전력선_x0002_"/>
      <sheetName val="펌프장수량ԯ"/>
      <sheetName val="³²¾ç½ÃÀÛµ¿ÀÚ105³ë65±"/>
      <sheetName val="역T형교대栄⿇"/>
      <sheetName val="펌프장수량䈀嵪ԯ"/>
      <sheetName val="펌프장수량㔀቎԰"/>
      <sheetName val="상수도토공_x0005_"/>
      <sheetName val="9-1차_x0005_"/>
      <sheetName val="하도급선정의뢰唈_x001f_ᛅ⾠_x0005_"/>
      <sheetName val="하도급선정의뢰ᛅ⼝_x0005_"/>
      <sheetName val="공사별 가중치0"/>
      <sheetName val="도급예정1ီ"/>
      <sheetName val="도급예정1Ⴂ"/>
      <sheetName val="도급예정1ჰ"/>
      <sheetName val="도급예정1ၪ"/>
      <sheetName val="도급예정1Ⴕ"/>
      <sheetName val="도급예정1႒"/>
      <sheetName val="Macr_x0010_"/>
      <sheetName val="Macr枵〺"/>
      <sheetName val="내역서form"/>
      <sheetName val="2.건축"/>
      <sheetName val="프레스"/>
      <sheetName val="3.하중계산"/>
      <sheetName val="기타사항"/>
      <sheetName val="BOJUNGGM"/>
      <sheetName val="건가"/>
      <sheetName val="노단"/>
      <sheetName val="일대"/>
      <sheetName val="중사"/>
      <sheetName val="중목"/>
      <sheetName val="7내역"/>
      <sheetName val="[일위대가9803.xls]4/_x0000_䠀"/>
      <sheetName val="[일위대가9803.xls]4쌇栅/"/>
      <sheetName val="[일위대가9803.xls]신표司/"/>
      <sheetName val="[일위대가9803.xls][YES.XLS]신표司/"/>
      <sheetName val="[일위대가9803.xls]/_x0000_"/>
      <sheetName val="[일위대가9803.xls][YES.XLS]4/_x0000_䠀"/>
      <sheetName val="[일위대가9803.xls][YES.XLS]4쌇栅/"/>
      <sheetName val="[일위대가9803.xls]갑지(쐂饣/"/>
      <sheetName val="[일위대가9803.xls]갑지(쐃/"/>
      <sheetName val="[일위대가9803.xls]갑지(쐎/"/>
      <sheetName val="[일위대가9803.xls]하도급선정의뢰佘/ߍ恽⿹_x0000_"/>
      <sheetName val="[일위대가9803.xls]몰탈쐀/_x0000_"/>
      <sheetName val="[일위대가9803.xls]도급예정1犢呄/"/>
      <sheetName val="[일위대가9803.xls]도급예정1犢/"/>
      <sheetName val="[일위대가9803.xls]도급예정1犢ፄ/"/>
      <sheetName val="RFP002"/>
      <sheetName val="Rooms"/>
      <sheetName val="TABLE DB"/>
      <sheetName val="쌍용 data base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토공분석표"/>
      <sheetName val="하도금액분계"/>
      <sheetName val="철근단면적"/>
      <sheetName val="WVAL"/>
      <sheetName val="합계금액"/>
      <sheetName val="대전21토목내역서"/>
      <sheetName val="송라터널총괄"/>
      <sheetName val="분석"/>
      <sheetName val="내역서_"/>
      <sheetName val="업무분장"/>
      <sheetName val="총집계"/>
      <sheetName val="Chiet tinh dz35"/>
      <sheetName val="상부집계표"/>
      <sheetName val="유별자산배수"/>
      <sheetName val="공사비총"/>
      <sheetName val="패널"/>
      <sheetName val="대비2"/>
      <sheetName val="물류최종8월7"/>
      <sheetName val="8.3해석단면 선정"/>
      <sheetName val="Quantity"/>
      <sheetName val="예상"/>
      <sheetName val="Rebar"/>
      <sheetName val="Bảng mã VT"/>
      <sheetName val="FitOutConfCentre"/>
      <sheetName val="2.2 S-Curve"/>
      <sheetName val="tong du toan"/>
      <sheetName val="DAF-2"/>
      <sheetName val="125x125"/>
      <sheetName val="TOSHIBA-Structure"/>
      <sheetName val="Level 2"/>
      <sheetName val="VT190111"/>
      <sheetName val="TH-XL"/>
      <sheetName val="Du toan"/>
      <sheetName val="Keothep"/>
      <sheetName val="Re-bar"/>
      <sheetName val="SEX"/>
      <sheetName val="HS"/>
      <sheetName val="p"/>
      <sheetName val="Define finishing"/>
      <sheetName val="PTĐG"/>
      <sheetName val="RATE"/>
      <sheetName val="MA"/>
      <sheetName val="Chi tiết cấu tạo giá (2)"/>
      <sheetName val="SUMMARY-HT Thô"/>
      <sheetName val="02.PHAT SINH TANG"/>
      <sheetName val="Tiến độ  Rev1 (phói hợp)"/>
      <sheetName val="TABLE_DB"/>
      <sheetName val="쌍용_data_base"/>
      <sheetName val="내역서_1"/>
      <sheetName val="kpxlc"/>
      <sheetName val="kpxld"/>
      <sheetName val="VTu"/>
      <sheetName val="D_MUC"/>
      <sheetName val="PNT-QUOT-#3"/>
      <sheetName val="Unit price"/>
      <sheetName val="DANHMUC"/>
      <sheetName val="1.R18 BF"/>
      <sheetName val="G"/>
      <sheetName val="F-B"/>
      <sheetName val="H-J"/>
      <sheetName val="6.External works-R18"/>
      <sheetName val="電気設備表"/>
      <sheetName val="BG"/>
      <sheetName val="May"/>
      <sheetName val="Profile"/>
      <sheetName val="bill 3 - D Wall"/>
      <sheetName val="Parem"/>
      <sheetName val="TONG HOP XIN GIA"/>
      <sheetName val="Bảng_mã_VT"/>
      <sheetName val="tong_du_toan"/>
      <sheetName val="VO"/>
      <sheetName val="DG"/>
      <sheetName val="Ref"/>
      <sheetName val="KHOI LUONG15-4"/>
      <sheetName val="NC"/>
      <sheetName val="Tro giup"/>
      <sheetName val="Villa A"/>
      <sheetName val="Div26 - Elect"/>
      <sheetName val="CPTNo"/>
      <sheetName val="COAT&amp;WRAP-QIOT-#3"/>
      <sheetName val="Xuly Data"/>
      <sheetName val="CSVC LD"/>
      <sheetName val="Ten_NVKD"/>
      <sheetName val="Setting"/>
      <sheetName val="MU"/>
      <sheetName val="CTG"/>
      <sheetName val="escon"/>
      <sheetName val="GIAVLIEU"/>
      <sheetName val="SAP"/>
      <sheetName val="code HTT Thap"/>
      <sheetName val="Notes"/>
      <sheetName val="Mall"/>
      <sheetName val="D&amp;W def."/>
      <sheetName val="자재집계표"/>
      <sheetName val="조경내역서"/>
      <sheetName val="범례표"/>
      <sheetName val="옹벽일반수량"/>
      <sheetName val="단열-자재"/>
      <sheetName val="공제수량총집계표"/>
      <sheetName val="임금단가"/>
      <sheetName val="총투입계"/>
      <sheetName val="수량3"/>
      <sheetName val="흥양2교토공집계표"/>
      <sheetName val="개략"/>
      <sheetName val="COMPARISON TABLE"/>
      <sheetName val="crude.SLAB RE-bar"/>
      <sheetName val="물량표S"/>
      <sheetName val="W3단면"/>
      <sheetName val="물량표(신)"/>
      <sheetName val="안산기계장치"/>
      <sheetName val="신규 수주분(사용자 정의)"/>
      <sheetName val="DATA2000"/>
      <sheetName val="설계예산"/>
      <sheetName val="1.2.1 마루높이결정"/>
      <sheetName val="토적계산서"/>
      <sheetName val="2.입력sheet"/>
      <sheetName val="UEC영화관본공사내역"/>
      <sheetName val="대운산출"/>
      <sheetName val="&lt;목록&gt;"/>
      <sheetName val="pile bearing capa &amp; arrenge"/>
      <sheetName val="산근(PE,300)"/>
      <sheetName val="특2호부관하천산근"/>
      <sheetName val="특2호하천산근"/>
      <sheetName val="RAB AR&amp;STR"/>
      <sheetName val="6MONTHS"/>
      <sheetName val="chitimc"/>
      <sheetName val="t-h HA THE"/>
      <sheetName val="THPDMoi  (2)"/>
      <sheetName val="phuluc1"/>
      <sheetName val="DON GIA"/>
      <sheetName val="TONGKE-HT"/>
      <sheetName val="dtxl"/>
      <sheetName val="TONG HOP VL-NC TT"/>
      <sheetName val="CHITIET VL-NC-TT-3p"/>
      <sheetName val="TDTKP"/>
      <sheetName val="KPVC-BD "/>
      <sheetName val="B3A - TOWER A"/>
      <sheetName val="4-Lane bridge"/>
      <sheetName val="Z"/>
      <sheetName val="Thuc thanh"/>
      <sheetName val="264"/>
      <sheetName val="설계변경원가계산총괄표"/>
      <sheetName val="소방현물"/>
      <sheetName val="인명부"/>
      <sheetName val="내역및총괄"/>
      <sheetName val="M1"/>
      <sheetName val="VE절감"/>
      <sheetName val="MAIN GATE HOUSE"/>
      <sheetName val="Buy vs. Lease Car"/>
      <sheetName val="Currency Rate"/>
      <sheetName val="dtct cong"/>
      <sheetName val="GI"/>
      <sheetName val="EE (3)"/>
      <sheetName val="PAVEMENT"/>
      <sheetName val="TRAFFIC"/>
      <sheetName val="관보호공단위수량"/>
      <sheetName val="관경결정"/>
      <sheetName val="공사원가 (3)"/>
      <sheetName val="역T형(H=6.0) (2)"/>
      <sheetName val="CON포장수량"/>
      <sheetName val="CONUNIT"/>
      <sheetName val="포장물량집계"/>
      <sheetName val="내역서-2"/>
      <sheetName val="업무처리전"/>
      <sheetName val="tra VL"/>
      <sheetName val="수정시산표"/>
      <sheetName val="Phu cap"/>
      <sheetName val="CE(E)"/>
      <sheetName val="CE(M)"/>
      <sheetName val="Project Data"/>
      <sheetName val="Civil. Sub-Station 1"/>
      <sheetName val="Coax Designer"/>
      <sheetName val="2_2_S-Curve"/>
      <sheetName val="COMPARISON_TABLE"/>
      <sheetName val="crude_SLAB_RE-bar"/>
      <sheetName val="CRUDE_RE-bar"/>
      <sheetName val="신규_수주분(사용자_정의)"/>
      <sheetName val="1_2_1_마루높이결정"/>
      <sheetName val="2_입력sheet"/>
      <sheetName val="DATA_입력란"/>
      <sheetName val="1_우편집중내역서"/>
      <sheetName val="Pier_3"/>
      <sheetName val="pile_bearing_capa_&amp;_arrenge"/>
      <sheetName val="design_load"/>
      <sheetName val="방배동내역_(총괄)"/>
      <sheetName val="PAD_TR보호대기초"/>
      <sheetName val="(3_품질관리_시험_총괄표)"/>
      <sheetName val="DI-ESTI"/>
      <sheetName val="절취및터파기"/>
      <sheetName val="통영LNG입찰현황"/>
      <sheetName val="BOILING검토"/>
      <sheetName val="간지9)"/>
      <sheetName val="Gia VL,NC,M"/>
      <sheetName val="Phan chung"/>
      <sheetName val="Tom tat gia du thau"/>
      <sheetName val="1_MV"/>
      <sheetName val="PKKK"/>
      <sheetName val="Kính"/>
      <sheetName val="Bảng Phân Tích Chi Phí"/>
      <sheetName val="MTP"/>
      <sheetName val="Tien do TV"/>
      <sheetName val="Ts"/>
      <sheetName val="QD957"/>
      <sheetName val="Config"/>
      <sheetName val="CP Du phong"/>
      <sheetName val="THCP Lap dat"/>
      <sheetName val="THCP xay dung"/>
      <sheetName val="Tong hop kinh phi"/>
      <sheetName val="MTC"/>
      <sheetName val="Bao cao hao hut VT-TR"/>
      <sheetName val="Earthwork"/>
      <sheetName val="CFS3"/>
      <sheetName val="SITE-E"/>
      <sheetName val="1062-X방향 "/>
      <sheetName val="관경별우수관집계"/>
      <sheetName val="현장일반사항"/>
      <sheetName val="1TL종점(1)"/>
      <sheetName val="도로경계블럭연장조서"/>
      <sheetName val="단가(1)"/>
      <sheetName val="은행"/>
      <sheetName val="예산작성기준(전기)"/>
      <sheetName val="물가시세표"/>
      <sheetName val="표  지"/>
      <sheetName val="시선유도표지집계표"/>
      <sheetName val="수정내역서"/>
      <sheetName val="PD-5(직선)"/>
      <sheetName val="기계시공"/>
      <sheetName val="우수관"/>
      <sheetName val="인천제철"/>
      <sheetName val="sheeet2"/>
      <sheetName val="단면 _2_"/>
      <sheetName val="별총"/>
      <sheetName val="관경"/>
      <sheetName val="o현장경비"/>
      <sheetName val="기둥(하중)"/>
      <sheetName val="ENE-CAL 1"/>
      <sheetName val="-몰탈콘크리트"/>
      <sheetName val="지급자재조서"/>
      <sheetName val="spiral"/>
      <sheetName val="하중"/>
      <sheetName val="상승요인분석"/>
      <sheetName val="2011.(4)"/>
      <sheetName val="DIAPHRAGM"/>
      <sheetName val="상수도공-간지"/>
      <sheetName val="Dike for 49T03 &amp; 49T04"/>
      <sheetName val="Dike for 49T02, 05~07, 19 (1)"/>
      <sheetName val="상시"/>
      <sheetName val="2002년12월"/>
      <sheetName val="품의"/>
      <sheetName val="주요자재집계표"/>
      <sheetName val="맨홀평균높이"/>
      <sheetName val="바닥판(1)"/>
      <sheetName val="중기집계"/>
      <sheetName val="산근목록"/>
      <sheetName val="슬래브(유곡)"/>
      <sheetName val="포장직선구간"/>
      <sheetName val="원가입력"/>
      <sheetName val="입력시트"/>
      <sheetName val="공사현황"/>
      <sheetName val="수량산출근거"/>
      <sheetName val="P3"/>
      <sheetName val="6PILE__(돌출)2"/>
      <sheetName val="내역서_2"/>
      <sheetName val="1_설계조건2"/>
      <sheetName val="3BL공동구_수량2"/>
      <sheetName val="준검_내역서1"/>
      <sheetName val="3_공통공사대비1"/>
      <sheetName val="방배동내역_(총괄)1"/>
      <sheetName val="플랜트_설치1"/>
      <sheetName val="COMPARISON_TABLE1"/>
      <sheetName val="crude_SLAB_RE-bar1"/>
      <sheetName val="CRUDE_RE-bar1"/>
      <sheetName val="1_설계기준1"/>
      <sheetName val="신규_수주분(사용자_정의)1"/>
      <sheetName val="단면_(2)1"/>
      <sheetName val="1_2_1_마루높이결정1"/>
      <sheetName val="3_하중산정4_지지력1"/>
      <sheetName val="2_입력sheet1"/>
      <sheetName val="DATA_입력란1"/>
      <sheetName val="1_우편집중내역서1"/>
      <sheetName val="Pier_31"/>
      <sheetName val="plan&amp;section_of_foundation1"/>
      <sheetName val="pile_bearing_capa_&amp;_arrenge1"/>
      <sheetName val="design_load1"/>
      <sheetName val="working_load_at_the_btm_ft_1"/>
      <sheetName val="stability_check1"/>
      <sheetName val="design_criteria1"/>
      <sheetName val="2_2_S-Curve1"/>
      <sheetName val="PAD_TR보호대기초1"/>
      <sheetName val="(3_품질관리_시험_총괄표)1"/>
      <sheetName val="별표_"/>
      <sheetName val="Chiet_tinh_dz35"/>
      <sheetName val="code_HTT_Thap"/>
      <sheetName val="dongia_(2)"/>
      <sheetName val="RAB_AR&amp;STR"/>
      <sheetName val="Civil__Sub-Station_1"/>
      <sheetName val="Thuc_thanh"/>
      <sheetName val="D&amp;W_def_"/>
      <sheetName val="4-Lane_bridge"/>
      <sheetName val="Bìa"/>
      <sheetName val="Bảng KLHT"/>
      <sheetName val="RC WORK"/>
      <sheetName val="dnc4"/>
      <sheetName val="tifico"/>
      <sheetName val="DTCT"/>
      <sheetName val="2.1 受電設備棟"/>
      <sheetName val="2.2 受・防火水槽"/>
      <sheetName val="2.3 排水処理設備棟"/>
      <sheetName val="2.4 倉庫棟"/>
      <sheetName val="2.5 守衛棟"/>
      <sheetName val="Costmaster"/>
      <sheetName val="Items"/>
      <sheetName val="Detail"/>
      <sheetName val="¥ "/>
      <sheetName val="KLall"/>
      <sheetName val="DTTC CHI TIET"/>
      <sheetName val="조직"/>
      <sheetName val="MTO REV.2(ARMOR)"/>
      <sheetName val="SP10"/>
      <sheetName val="Gia"/>
      <sheetName val="HRG BHN"/>
      <sheetName val="Bang gia"/>
      <sheetName val="조선용암면"/>
      <sheetName val="TABLE_DB1"/>
      <sheetName val="쌍용_data_base1"/>
      <sheetName val="tong_du_toan1"/>
      <sheetName val="Level_2"/>
      <sheetName val="Bảng_mã_VT1"/>
      <sheetName val="Du_toan"/>
      <sheetName val="Cst_Pkg-Eden"/>
      <sheetName val="Define_finishing"/>
      <sheetName val="Tiến_độ__Rev1_(phói_hợp)"/>
      <sheetName val="Chi_tiết_cấu_tạo_giá_(2)"/>
      <sheetName val="SUMMARY-HT_Thô"/>
      <sheetName val="02_PHAT_SINH_TANG"/>
      <sheetName val="Unit_price"/>
      <sheetName val="TONG_HOP_XIN_GIA"/>
      <sheetName val="1_R18_BF"/>
      <sheetName val="6_External_works-R18"/>
      <sheetName val="bill_3_-_D_Wall"/>
      <sheetName val="KHOI_LUONG15-4"/>
      <sheetName val="Tro_giup"/>
      <sheetName val="Villa_A"/>
      <sheetName val="Div26_-_Elect"/>
      <sheetName val="Xuly_Data"/>
      <sheetName val="CSVC_LD"/>
      <sheetName val="dtct_cong"/>
      <sheetName val="MAIN_GATE_HOUSE"/>
      <sheetName val="Currency_Rate"/>
      <sheetName val="t-h_HA_THE"/>
      <sheetName val="THPDMoi__(2)"/>
      <sheetName val="DON_GIA"/>
      <sheetName val="CHITIET_VL-NC-TT_-1p"/>
      <sheetName val="TONG_HOP_VL-NC_TT"/>
      <sheetName val="TH_XL"/>
      <sheetName val="CHITIET_VL-NC-TT-3p"/>
      <sheetName val="KPVC-BD_"/>
      <sheetName val="CHITIET_VL-NC"/>
      <sheetName val="B3A_-_TOWER_A"/>
      <sheetName val="Buy_vs__Lease_Car"/>
      <sheetName val="tra_VL"/>
      <sheetName val="8_3해석단면_선정"/>
      <sheetName val="Ⅴ-2_공종별내역"/>
      <sheetName val="현장별"/>
      <sheetName val="Cash Flow bulanan"/>
      <sheetName val="석축"/>
      <sheetName val="TEN CONG TRINH"/>
      <sheetName val="12호기내역서(건축분)"/>
      <sheetName val="시설물단가표"/>
      <sheetName val="노무비단가표"/>
      <sheetName val="원가+내역"/>
      <sheetName val="일위대가집계"/>
      <sheetName val="9.정착구 보강"/>
      <sheetName val="절대삭제금지"/>
      <sheetName val="수량증감표"/>
      <sheetName val="터파기운반비산출"/>
      <sheetName val="산적토운반비산출"/>
      <sheetName val="연장및면적(좌측)"/>
      <sheetName val="공량(1월22일)"/>
      <sheetName val="slurrywall설계가"/>
      <sheetName val="수산(당)"/>
      <sheetName val="신호등일위대가"/>
      <sheetName val="현장경상비"/>
      <sheetName val="몰탈"/>
      <sheetName val="오수주요자재"/>
      <sheetName val="할증"/>
      <sheetName val="Sheet2 (2)"/>
      <sheetName val="마산월령동골조물량변경"/>
      <sheetName val="VXXXXXX"/>
      <sheetName val="연도별cash"/>
      <sheetName val="배수철근"/>
      <sheetName val="일위단위"/>
      <sheetName val="고유코드_설계"/>
      <sheetName val="실행견적"/>
      <sheetName val="현장관리비참조"/>
      <sheetName val="1000 DB구축 부표"/>
      <sheetName val="D+W"/>
      <sheetName val="INFOR-ST"/>
      <sheetName val="BechLab"/>
      <sheetName val="HE SO DIEU CHINH"/>
      <sheetName val="6PILE__(돌출)3"/>
      <sheetName val="내역서_3"/>
      <sheetName val="1_설계조건3"/>
      <sheetName val="2_2_S-Curve2"/>
      <sheetName val="RAB_AR&amp;STR1"/>
      <sheetName val="8_PILE__(돌출)2"/>
      <sheetName val="Chiet_tinh_dz351"/>
      <sheetName val="플랜트_설치2"/>
      <sheetName val="단면_(2)2"/>
      <sheetName val="code_HTT_Thap1"/>
      <sheetName val="4-Lane_bridge1"/>
      <sheetName val="dongia_(2)1"/>
      <sheetName val="D&amp;W_def_1"/>
      <sheetName val="돌담교_상부수량3"/>
      <sheetName val="8_석축단위(H=1_5M)2"/>
      <sheetName val="3BL공동구_수량3"/>
      <sheetName val="준검_내역서2"/>
      <sheetName val="3_공통공사대비2"/>
      <sheetName val="방배동내역_(총괄)2"/>
      <sheetName val="설명서_2"/>
      <sheetName val="COMPARISON_TABLE2"/>
      <sheetName val="crude_SLAB_RE-bar2"/>
      <sheetName val="CRUDE_RE-bar2"/>
      <sheetName val="1_설계기준2"/>
      <sheetName val="신규_수주분(사용자_정의)2"/>
      <sheetName val="1_2_1_마루높이결정2"/>
      <sheetName val="3_하중산정4_지지력2"/>
      <sheetName val="표지_(2)2"/>
      <sheetName val="2_입력sheet2"/>
      <sheetName val="DATA_입력란2"/>
      <sheetName val="1_우편집중내역서2"/>
      <sheetName val="Pier_32"/>
      <sheetName val="2_가정단면2"/>
      <sheetName val="7_PILE__(돌출)2"/>
      <sheetName val="plan&amp;section_of_foundation2"/>
      <sheetName val="pile_bearing_capa_&amp;_arrenge2"/>
      <sheetName val="design_load2"/>
      <sheetName val="working_load_at_the_btm_ft_2"/>
      <sheetName val="stability_check2"/>
      <sheetName val="design_criteria2"/>
      <sheetName val="Thuc_thanh1"/>
      <sheetName val="(3_품질관리_시험_총괄표)2"/>
      <sheetName val="별표_1"/>
      <sheetName val="PAD_TR보호대기초2"/>
      <sheetName val="Civil__Sub-Station_11"/>
      <sheetName val="Coax_Designer"/>
      <sheetName val="Gia_VL,NC,M"/>
      <sheetName val="Phan_chung"/>
      <sheetName val="Tom_tat_gia_du_thau"/>
      <sheetName val="Bảng_Phân_Tích_Chi_Phí"/>
      <sheetName val="실행내역서_1"/>
      <sheetName val="Tien_do_TV"/>
      <sheetName val="CP_Du_phong"/>
      <sheetName val="THCP_Lap_dat"/>
      <sheetName val="THCP_xay_dung"/>
      <sheetName val="Tong_hop_kinh_phi"/>
      <sheetName val="Bảng_KLHT"/>
      <sheetName val="RC_WORK"/>
      <sheetName val="_냉각수펌프"/>
      <sheetName val="1062-X방향_"/>
      <sheetName val="표__지"/>
      <sheetName val="단면__2_"/>
      <sheetName val="ENE-CAL_1"/>
      <sheetName val="2011_(4)"/>
      <sheetName val="11_자재단가"/>
      <sheetName val="Dike_for_49T03_&amp;_49T04"/>
      <sheetName val="Dike_for_49T02,_05~07,_19_(1)"/>
      <sheetName val="역T형(H=6_0)_(2)"/>
      <sheetName val="1__설계조건_2_단면가정_3__하중계산"/>
      <sheetName val="배수내역_(2)"/>
      <sheetName val="Bao_cao_hao_hut_VT-TR"/>
      <sheetName val="¥_"/>
      <sheetName val="DTTC_CHI_TIET"/>
      <sheetName val="MTO_REV_2(ARMOR)"/>
      <sheetName val="TEN_CONG_TRINH"/>
      <sheetName val="배관배선_단가조사"/>
      <sheetName val="9_정착구_보강"/>
      <sheetName val="단가_(2)"/>
      <sheetName val="배수공_시멘트_및_골재량_산출"/>
      <sheetName val="Sheet2_(2)"/>
      <sheetName val="건축내역서_(경제상무실)"/>
      <sheetName val="PROJECT_BRIEF(EX_NEW)"/>
      <sheetName val="1000_DB구축_부표"/>
      <sheetName val="상_부"/>
      <sheetName val="Cash_Flow_bulanan"/>
      <sheetName val="SH-F"/>
      <sheetName val="SUMDO"/>
      <sheetName val="ENDDO"/>
      <sheetName val="PLDB"/>
      <sheetName val="AAA"/>
      <sheetName val="M-HOUR"/>
      <sheetName val="252K444"/>
      <sheetName val="Isolasi Luar Dalam"/>
      <sheetName val="Isolasi Luar"/>
      <sheetName val="EARTH WORKS"/>
      <sheetName val="Breakdown (B)"/>
      <sheetName val="THVT"/>
      <sheetName val="NKC6"/>
      <sheetName val="DeluxeVilla 4"/>
      <sheetName val="Bill No.01"/>
      <sheetName val="Summary - Budget"/>
      <sheetName val="Khoi luong"/>
      <sheetName val="Matls"/>
      <sheetName val="Labor"/>
      <sheetName val="public area"/>
      <sheetName val="02"/>
      <sheetName val=" 03"/>
      <sheetName val="04"/>
      <sheetName val="05"/>
      <sheetName val="06"/>
      <sheetName val="07"/>
      <sheetName val="08"/>
      <sheetName val="09"/>
      <sheetName val="負荷集計（断熱不燃）"/>
      <sheetName val="계산서(곡선부)"/>
      <sheetName val="-치수표(곡선부)"/>
      <sheetName val="설정"/>
      <sheetName val="화단 철거"/>
      <sheetName val="DESCRIPTION"/>
      <sheetName val="공정별 수량산출서"/>
      <sheetName val="일반시방서"/>
      <sheetName val="일위대가(조경)"/>
      <sheetName val="자재 및 폐기물견적(2008)"/>
      <sheetName val="대정2공구"/>
      <sheetName val="추정공사비_산출내역1.xlsx"/>
      <sheetName val="BOX-1515"/>
      <sheetName val="cable data1"/>
      <sheetName val="측구공"/>
      <sheetName val="COPING-1"/>
      <sheetName val="역T형교대-2수량"/>
      <sheetName val="옥내아파트(전기)"/>
      <sheetName val="Model"/>
      <sheetName val="CONSTRUCTION COMPONENT"/>
      <sheetName val="M_DB"/>
      <sheetName val="TYPE"/>
      <sheetName val="1호-아(오)0.4"/>
      <sheetName val="기초(중마오수)"/>
      <sheetName val="평균터파기"/>
      <sheetName val="공종집계"/>
      <sheetName val="최적단면"/>
      <sheetName val="항목"/>
      <sheetName val="DNW"/>
      <sheetName val="아스콘단위"/>
      <sheetName val="EQ"/>
      <sheetName val="접속 SLAB,BRACKET 설계"/>
      <sheetName val="가정급수관"/>
      <sheetName val="일위대가_호표"/>
      <sheetName val="일위대가_호표 (계약)"/>
      <sheetName val="運転条件一覧"/>
      <sheetName val="daf-3(OK)"/>
      <sheetName val="daf-7(OK)"/>
      <sheetName val="Cash Flow"/>
      <sheetName val="8521"/>
      <sheetName val="Xunit (단위환산)"/>
      <sheetName val="고객사 관리 코드"/>
      <sheetName val="울산자동제어"/>
      <sheetName val="Xunit_(단위환산)"/>
      <sheetName val="고객사_관리_코드"/>
      <sheetName val="간접비계산"/>
      <sheetName val="Contents"/>
      <sheetName val="pvc연결관"/>
      <sheetName val="wk prgs"/>
      <sheetName val="Berm"/>
      <sheetName val="2. 공원조도"/>
      <sheetName val="장비사양"/>
      <sheetName val="Tables"/>
      <sheetName val="개방1"/>
      <sheetName val="Cover (x)"/>
      <sheetName val="SORT"/>
      <sheetName val="Cor Apt"/>
      <sheetName val="S0"/>
      <sheetName val="N10(미지급) "/>
      <sheetName val="(평균)"/>
      <sheetName val="AC포장수량"/>
      <sheetName val="구조물공위치조서"/>
      <sheetName val="깨기"/>
      <sheetName val="단지조성공(가포)"/>
      <sheetName val="공동구수량"/>
      <sheetName val="BOX수량"/>
      <sheetName val="신고조서"/>
      <sheetName val="총괄내역"/>
      <sheetName val="97년 추정"/>
      <sheetName val="직접공사비"/>
      <sheetName val="0506생활권구적"/>
      <sheetName val="우수내용"/>
      <sheetName val="내역_ver1.0"/>
      <sheetName val="RAMP 단면(R2)"/>
      <sheetName val="목차 "/>
      <sheetName val="도로경계단위"/>
      <sheetName val="세골재  T2 변경 현황"/>
      <sheetName val="0.단가"/>
      <sheetName val="PSCbeam설계"/>
      <sheetName val="내역서중"/>
      <sheetName val="4. 주형설계"/>
      <sheetName val="수량집"/>
      <sheetName val="수우미양가(Vlookup)"/>
      <sheetName val="집계표(OPTION)"/>
      <sheetName val="개인"/>
      <sheetName val="지장물_data"/>
      <sheetName val="CIVIL4"/>
      <sheetName val="도수로수량산출"/>
      <sheetName val="대부예산서"/>
      <sheetName val="표준차도부연장집계-ASP"/>
      <sheetName val="종배수관면벽구"/>
      <sheetName val="종배수관위치조서"/>
      <sheetName val="1련박스"/>
      <sheetName val="일위(수원)"/>
      <sheetName val="바닥판의 설계"/>
      <sheetName val="보도단위"/>
      <sheetName val="배수장토목공사비"/>
      <sheetName val="편입용지조서"/>
      <sheetName val="대우단가(풍산)"/>
      <sheetName val="설직재_1"/>
      <sheetName val="배수개거"/>
      <sheetName val="변실"/>
      <sheetName val="이음부"/>
      <sheetName val="업무"/>
      <sheetName val="汇总表"/>
      <sheetName val="수량명세서"/>
      <sheetName val="계약ITEM"/>
      <sheetName val="수문보고"/>
      <sheetName val="주소록2000(전화번호부)"/>
      <sheetName val="정읍농소"/>
      <sheetName val="-배수구조물공토공"/>
      <sheetName val="횡배수관재료-"/>
      <sheetName val="계산서(직선부)"/>
      <sheetName val="CPBTXM-THUONG"/>
      <sheetName val="VCV-BE-TONG"/>
      <sheetName val="KLDT DIEN"/>
      <sheetName val="PTVT DIEN"/>
      <sheetName val="Multi-dims"/>
      <sheetName val="중간간지 (2)"/>
      <sheetName val="6.단면검토"/>
      <sheetName val="암거 제원표"/>
      <sheetName val="단가산출총괄표"/>
      <sheetName val="상세"/>
      <sheetName val="2.단면가정 "/>
      <sheetName val="D-철근총괄"/>
      <sheetName val="노임단가기준"/>
      <sheetName val="터파기_x0000__x0000_료"/>
      <sheetName val="출력표-본사"/>
      <sheetName val="우수맨홀 수량 및 높이 집계"/>
      <sheetName val="우수맨홀(차도측2호)"/>
      <sheetName val="특2호각형맨홀(차도측)"/>
      <sheetName val="특3호각형맨홀(차도측)"/>
      <sheetName val="특4호각형맨홀(차도측)"/>
      <sheetName val="우수맨홀(보도측2호)"/>
      <sheetName val="특2호각형맨홀(보도측)"/>
      <sheetName val="암거맨홀(차도측)"/>
      <sheetName val="강관 및 부속"/>
      <sheetName val="근로자자료입력"/>
      <sheetName val="2월 노임대장"/>
      <sheetName val="현관비DATA"/>
      <sheetName val="기타 정보통신공사"/>
      <sheetName val="배수관토공산출"/>
      <sheetName val="TOTAL3"/>
      <sheetName val="울산자금"/>
      <sheetName val="설비비3"/>
      <sheetName val="기계경비집계"/>
      <sheetName val="산출기준자료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소분류목록"/>
      <sheetName val="Output"/>
      <sheetName val="기자재수량"/>
      <sheetName val="옥외등신설"/>
      <sheetName val="저케CV22신설"/>
      <sheetName val="저케CV38신설"/>
      <sheetName val="저케CV8신설"/>
      <sheetName val="접지3종"/>
      <sheetName val="DB구축"/>
      <sheetName val="건축일"/>
      <sheetName val="수납장배치도"/>
      <sheetName val="본실행경비"/>
      <sheetName val="2@ BOX"/>
      <sheetName val="맨홀접합조서"/>
      <sheetName val="L_RPTB~1"/>
      <sheetName val="5-3.지급자재수불현황"/>
      <sheetName val="단가산출 (2)"/>
      <sheetName val="타공종포장공제집계표"/>
      <sheetName val="선금급신청서"/>
      <sheetName val="설비비4"/>
      <sheetName val="사유서제출현황-2"/>
      <sheetName val="STAND20"/>
      <sheetName val="토공(본관-토사)"/>
      <sheetName val="토공(분기관-토사)"/>
      <sheetName val="토공(분기관-암)"/>
      <sheetName val="토공(본관-암)"/>
      <sheetName val="준공정산보고서"/>
      <sheetName val="계획집계"/>
      <sheetName val="도로구조물산근"/>
      <sheetName val="터파기"/>
      <sheetName val="관로수량총괄집계표"/>
      <sheetName val="L집(수평부)"/>
      <sheetName val="L집(성토부)"/>
      <sheetName val="공틀공사"/>
      <sheetName val="공통"/>
      <sheetName val="건축(을)"/>
      <sheetName val="산거각호표"/>
      <sheetName val="기성부분액내역서(국고)"/>
      <sheetName val="견적기준"/>
      <sheetName val="FPA"/>
      <sheetName val="순수개발"/>
      <sheetName val="A1"/>
      <sheetName val="포장공수량집계표"/>
      <sheetName val="배력철근"/>
      <sheetName val="터파기_x005f_x0000__x005f_x0000_료"/>
      <sheetName val="도로포장면적산출(1)"/>
      <sheetName val="기타_정보통신공사"/>
      <sheetName val="단가산출_(2)"/>
      <sheetName val="우수관연장및터파기고"/>
      <sheetName val="보완토적"/>
      <sheetName val="역T형옹벽단위수량"/>
      <sheetName val="CCS"/>
      <sheetName val="수로교"/>
      <sheetName val="슬래브(PF)(하류)"/>
      <sheetName val="상수구조화편집부표"/>
      <sheetName val="구조물토적"/>
      <sheetName val="심사"/>
      <sheetName val=" "/>
      <sheetName val="견적산출"/>
      <sheetName val="3.1.1 마루높이결정"/>
      <sheetName val="내역-1"/>
      <sheetName val="기성 (2)"/>
      <sheetName val="상하차비용(기계상차)"/>
      <sheetName val="수간보호"/>
      <sheetName val="노임단가자료"/>
      <sheetName val="정보요약"/>
      <sheetName val="설내역서_"/>
      <sheetName val="BEND_LOSS"/>
      <sheetName val="2월_노임대장"/>
      <sheetName val="Flaer_Area"/>
      <sheetName val="강관_및_부속"/>
      <sheetName val="2@_BOX"/>
      <sheetName val="부경대총괄내역서"/>
      <sheetName val="보도포장연장조서-표준차도부"/>
      <sheetName val="표준차도부연장조서-ASP"/>
      <sheetName val="3.바닥판  "/>
      <sheetName val="C_DATA"/>
      <sheetName val="작업내용 (종합)"/>
      <sheetName val="작업사항(추가)"/>
      <sheetName val="계좌입금의뢰서(서암)"/>
      <sheetName val="청구집계"/>
      <sheetName val="계좌입금의뢰서(장안)"/>
      <sheetName val="계좌입금의뢰서(장안) (출력용)"/>
      <sheetName val="1.노무비(직영)-서암"/>
      <sheetName val="1.노무비(직영)-장안"/>
      <sheetName val="노무대장(직영)-서암"/>
      <sheetName val="노무대장(직영)-장안"/>
      <sheetName val="노무대장(직영)-장안(직영)"/>
      <sheetName val="노무대장(직영)-장안(제초)"/>
      <sheetName val="노무대장(직영)-장안(예초)"/>
      <sheetName val="1.노무비 (대영)"/>
      <sheetName val="노무대장(대영)"/>
      <sheetName val="노무대장(직영)-장안 (직영)"/>
      <sheetName val="노무대장(직영)-장안 (제초 및 잔디)"/>
      <sheetName val="노무대장(직영)-장안 (예초)"/>
      <sheetName val="재료비(세부) "/>
      <sheetName val="3.외주비"/>
      <sheetName val="4.운반비"/>
      <sheetName val="4-1운반비기안문서"/>
      <sheetName val="4-2주간운반비"/>
      <sheetName val="5.장비비"/>
      <sheetName val="장비사용내역"/>
      <sheetName val="6.현장관리비"/>
      <sheetName val="전도금사용내역서"/>
      <sheetName val="7-1안전관리비상세"/>
      <sheetName val="8.간접노무비"/>
      <sheetName val="9.기타경비"/>
      <sheetName val="기타경비 세부"/>
      <sheetName val="CABLE SIZE-1"/>
      <sheetName val="단가입력"/>
      <sheetName val="최종전사PL"/>
      <sheetName val="접속도로집계"/>
      <sheetName val="터파기??료"/>
      <sheetName val="CAL."/>
      <sheetName val="설비비2"/>
      <sheetName val="설비비5"/>
      <sheetName val="설비비6"/>
      <sheetName val="설비비1"/>
      <sheetName val="슬래브수량"/>
      <sheetName val="가로등위치"/>
      <sheetName val="공제량"/>
      <sheetName val="지장물건일위대가"/>
      <sheetName val="현금및현금등가물1"/>
      <sheetName val="지장물총괄표"/>
      <sheetName val="1.폐기물집계표"/>
      <sheetName val="PAINT (2)"/>
      <sheetName val="STRA2"/>
      <sheetName val="자재단가대비표"/>
      <sheetName val="표__지1"/>
      <sheetName val="추정공사비_산출내역1_xlsx"/>
      <sheetName val="수량산출서_갑지"/>
      <sheetName val="견적대비_견적서"/>
      <sheetName val="1호-아(오)0_4"/>
      <sheetName val="CONSTRUCTION_COMPONENT"/>
      <sheetName val="접속_SLAB,BRACKET_설계"/>
      <sheetName val="공정별_수량산출서"/>
      <sheetName val="자재_및_폐기물견적(2008)"/>
      <sheetName val="화단_철거"/>
      <sheetName val="cable_data1"/>
      <sheetName val="wk_prgs"/>
      <sheetName val="IMPEADENCE_MAP_취수장"/>
      <sheetName val="일위대가_호표_(계약)"/>
      <sheetName val="2__공원조도"/>
      <sheetName val="현황"/>
      <sheetName val="차선도색수량집계"/>
      <sheetName val="S.중기사용료"/>
      <sheetName val="배수공BOQ"/>
      <sheetName val="공사계약현황"/>
      <sheetName val="N10(미지급)_"/>
      <sheetName val="N10(미지급)_1"/>
      <sheetName val="기준Data"/>
      <sheetName val="의왕F사"/>
      <sheetName val="참조영역"/>
      <sheetName val="신구계정대사표"/>
      <sheetName val="static.cal"/>
      <sheetName val="Total Progress (2)"/>
      <sheetName val="농로수량집계"/>
      <sheetName val="농로토공집계"/>
      <sheetName val="1.일반수량산출근거"/>
      <sheetName val="计算稿"/>
      <sheetName val="노동부"/>
      <sheetName val="Financial impact"/>
      <sheetName val="Sch7a (토요일)"/>
      <sheetName val="CAUDIT"/>
      <sheetName val="총괄설계내역서"/>
      <sheetName val="Hydrant"/>
      <sheetName val="DI_전처리 단가집(GP1 실적가)"/>
      <sheetName val="전기자료"/>
      <sheetName val="대전(세창동)"/>
      <sheetName val="본장"/>
      <sheetName val="대전노은1차_조적_집계표"/>
      <sheetName val="깨기수량집계"/>
      <sheetName val="콘크리트측구연장"/>
      <sheetName val="내역서(우)"/>
      <sheetName val="수주추정"/>
      <sheetName val="일위대가_가설_"/>
      <sheetName val="현장소운반"/>
      <sheetName val="관구보호몰탈"/>
      <sheetName val="공사설명서"/>
      <sheetName val="공용(현대건설공구)"/>
      <sheetName val="현대건설공구(UNIT)"/>
      <sheetName val="낙석방지수량"/>
      <sheetName val="전 기"/>
      <sheetName val="해외(원화)"/>
      <sheetName val="차선도색-연장,수량(1)"/>
      <sheetName val="도기류"/>
      <sheetName val="흙쌓기도수로설치현황"/>
      <sheetName val="앵커구조계산"/>
      <sheetName val="내역(신례)"/>
      <sheetName val="교사기준면적(중)"/>
      <sheetName val="옹벽공 수량집계표"/>
      <sheetName val="재료비단가"/>
      <sheetName val="콘크리트타설집계표"/>
      <sheetName val="11.1 단면hwp"/>
      <sheetName val="인원투입"/>
      <sheetName val="배수공 주요자재 집계표"/>
      <sheetName val="06 일위대가목록"/>
      <sheetName val="출장내역"/>
      <sheetName val="직접경비"/>
      <sheetName val="공사명입력"/>
      <sheetName val="호프"/>
      <sheetName val="4.내진설계"/>
      <sheetName val="VII-2현장경비"/>
      <sheetName val="원유_BANK"/>
      <sheetName val="공사분석"/>
      <sheetName val="중요"/>
      <sheetName val="하도급 검토"/>
      <sheetName val="첨"/>
      <sheetName val="1.CB"/>
      <sheetName val="변수"/>
      <sheetName val="연도손익"/>
      <sheetName val="회수금"/>
      <sheetName val="대체용지"/>
      <sheetName val="건자이자"/>
      <sheetName val="내부매출원가"/>
      <sheetName val="지구 리스트"/>
      <sheetName val="용지비"/>
      <sheetName val="시점경사로"/>
      <sheetName val="산수배수"/>
      <sheetName val="용역단가"/>
      <sheetName val="GR"/>
      <sheetName val="평내중"/>
      <sheetName val="(당평)자재"/>
      <sheetName val="당초명세(평)"/>
      <sheetName val="공비현2"/>
      <sheetName val="물집"/>
      <sheetName val="참고사항"/>
      <sheetName val="설계명세서(종합)"/>
      <sheetName val="상호참고자료"/>
      <sheetName val="발주처자료입력"/>
      <sheetName val="회사기본자료"/>
      <sheetName val="하자보증자료"/>
      <sheetName val="기술자관련자료"/>
      <sheetName val="탄성1"/>
      <sheetName val="단 box"/>
      <sheetName val="1차"/>
      <sheetName val="공사품의서"/>
      <sheetName val="단가조정표"/>
      <sheetName val="중강당 내역"/>
      <sheetName val="단가조건(02년)"/>
      <sheetName val="05-원가계산"/>
      <sheetName val="골재집계"/>
      <sheetName val="-레미콘집계"/>
      <sheetName val="자갈,시멘트,모래산출"/>
      <sheetName val="-철근집계"/>
      <sheetName val="포장재료(1)"/>
      <sheetName val="-흄관집계"/>
      <sheetName val="세금자료"/>
      <sheetName val="가열로SW"/>
      <sheetName val="청_구"/>
      <sheetName val="기존포장깨기"/>
      <sheetName val="석축헐기"/>
      <sheetName val="sst,stl창호"/>
      <sheetName val="A4"/>
      <sheetName val="연속벽현황"/>
      <sheetName val="03전반노무비"/>
      <sheetName val="산근(1)"/>
      <sheetName val="2_단면가정"/>
      <sheetName val="맨홀수량산출(A-LINE)"/>
      <sheetName val="08-공사비총괄표"/>
      <sheetName val="01-적용기준"/>
      <sheetName val="달서천-대비"/>
      <sheetName val="공통비(전체)"/>
      <sheetName val="지장물 철거 물량 산출서"/>
      <sheetName val="노면및방향"/>
      <sheetName val="A4288"/>
      <sheetName val="지급(1)"/>
      <sheetName val="포장공수량집계"/>
      <sheetName val="P4-C"/>
      <sheetName val="협력업체"/>
      <sheetName val="이음개소"/>
      <sheetName val="집행안"/>
      <sheetName val="7-2"/>
      <sheetName val="중기손료집계(1209)"/>
      <sheetName val="골막이(야매)"/>
      <sheetName val="말뚝기초(안정검토)-외측"/>
      <sheetName val="계측제어설비"/>
      <sheetName val="1차기성"/>
      <sheetName val="비품"/>
      <sheetName val="5수지"/>
      <sheetName val="쇠(1)"/>
      <sheetName val="가격(3)"/>
      <sheetName val="노임 및 중기단가"/>
      <sheetName val="보안등"/>
      <sheetName val="하도급계획"/>
      <sheetName val="어음수표추가테스트"/>
      <sheetName val="흙막이 개산견적"/>
      <sheetName val="아파트 내역"/>
      <sheetName val="pier(각형)"/>
      <sheetName val="공통가설(기준안)"/>
      <sheetName val="일람표"/>
      <sheetName val="신축(단위)"/>
      <sheetName val="3"/>
      <sheetName val="4"/>
      <sheetName val="6"/>
      <sheetName val="수토공단위당"/>
      <sheetName val="공정data"/>
      <sheetName val="15-1)VE제안서(유형2,4)"/>
      <sheetName val="가로등설치"/>
      <sheetName val="포집"/>
      <sheetName val="공사비_NDE"/>
      <sheetName val="(2)자금(신용)"/>
      <sheetName val="형질변경"/>
      <sheetName val="앵커설치(590)"/>
      <sheetName val="배지거총재료집계표"/>
      <sheetName val="난방방식분류"/>
      <sheetName val="공사정보입력"/>
      <sheetName val="토공사B동추가"/>
      <sheetName val="대총괄"/>
      <sheetName val="제경비최종"/>
      <sheetName val="사본 _ b_balju"/>
      <sheetName val="DATA입력"/>
      <sheetName val="급여표"/>
      <sheetName val="직원투입계획"/>
      <sheetName val="약전설비"/>
      <sheetName val="4 공통갑지"/>
      <sheetName val="ESC (공정표기준)"/>
      <sheetName val="10동"/>
      <sheetName val="1.RAMP-A"/>
      <sheetName val="공사설계"/>
      <sheetName val="견적보고"/>
      <sheetName val="중단원본"/>
      <sheetName val="업체별담당"/>
      <sheetName val="기초계산(Pmax)"/>
      <sheetName val="1_CB"/>
      <sheetName val="옹벽공_수량집계표"/>
      <sheetName val="A-8_PD(도로중앙)"/>
      <sheetName val="細目"/>
      <sheetName val="지장물헐기조서"/>
      <sheetName val="방화도료"/>
      <sheetName val="203"/>
      <sheetName val="금속및금속창호"/>
      <sheetName val="입력장소"/>
      <sheetName val="값"/>
      <sheetName val="공정추가"/>
      <sheetName val="투입비분석표"/>
      <sheetName val="금전출납"/>
      <sheetName val="직영명부"/>
      <sheetName val="공통자료"/>
      <sheetName val="수량간지코드"/>
      <sheetName val="수량목차코드"/>
      <sheetName val="2.관대집계표"/>
      <sheetName val="지수980731이후"/>
      <sheetName val="형식 - 1-2-3"/>
      <sheetName val="99노임단_x0007_"/>
      <sheetName val="99노임단쌇"/>
      <sheetName val="서울대규장각(가시설흙막이)"/>
      <sheetName val="정부노임"/>
      <sheetName val="9_정착구_보강1"/>
      <sheetName val="단가_(2)1"/>
      <sheetName val="전선_및_전선관1"/>
      <sheetName val="1차_내역서1"/>
      <sheetName val="1__설계조건_2_단면가정_3__하중계산1"/>
      <sheetName val="BSD_(2)1"/>
      <sheetName val="배관배선_단가조사1"/>
      <sheetName val="옹벽공_수량집계표1"/>
      <sheetName val="배수공_시멘트_및_골재량_산출1"/>
      <sheetName val="96보완계획7_121"/>
      <sheetName val="11_1_단면hwp"/>
      <sheetName val="Sheet2_(2)1"/>
      <sheetName val="Customer_Databas1"/>
      <sheetName val="상_부1"/>
      <sheetName val="A-8_PD(도로중앙)1"/>
      <sheetName val="단양_00_아파트-세부내역"/>
      <sheetName val="청_구1"/>
      <sheetName val="설내역서_1"/>
      <sheetName val="건축내역서_(경제상무실)1"/>
      <sheetName val="1_수인터널1"/>
      <sheetName val="배수공_주요자재_집계표"/>
      <sheetName val="06_일위대가목록"/>
      <sheetName val="PROJECT_BRIEF(EX_NEW)1"/>
      <sheetName val="Site_Expenses1"/>
      <sheetName val="전_기"/>
      <sheetName val="4_내진설계"/>
      <sheetName val="_ｹ-ﾌﾞﾙ"/>
      <sheetName val="지구_리스트"/>
      <sheetName val="1_CB1"/>
      <sheetName val="Flaer_Area1"/>
      <sheetName val="하도급_검토"/>
      <sheetName val="지장물_철거_물량_산출서"/>
      <sheetName val="3_하중계산"/>
      <sheetName val="단_box"/>
      <sheetName val="중강당_내역"/>
      <sheetName val="HRSG_SMALL07220"/>
      <sheetName val="아파트_내역"/>
      <sheetName val="노임_및_중기단가"/>
      <sheetName val="인건비_"/>
      <sheetName val="수불계획서(전체)"/>
      <sheetName val="전력간선(신설)"/>
      <sheetName val="공통갑지"/>
      <sheetName val="기성청구조서"/>
      <sheetName val="표지(예시)"/>
      <sheetName val="신푝지1"/>
      <sheetName val="Requirement(Work Crew)"/>
      <sheetName val="한일양산"/>
      <sheetName val="콘크스"/>
      <sheetName val="1. 총괄 집계표"/>
      <sheetName val="식생블럭"/>
      <sheetName val="공정자료2"/>
      <sheetName val="HC-04"/>
      <sheetName val="길어깨단위"/>
      <sheetName val="절대건들지마시오"/>
      <sheetName val="토목내역서(변경1)"/>
      <sheetName val="나.설계조건"/>
      <sheetName val="기계설비품셈"/>
      <sheetName val="5.장비(안)"/>
      <sheetName val="협력업체기성(첨부)"/>
      <sheetName val="견적가"/>
      <sheetName val="기초입력 DATA"/>
      <sheetName val="모래기초"/>
      <sheetName val="SCHE"/>
      <sheetName val="신평리 권리자명부"/>
      <sheetName val="설계총괄표"/>
      <sheetName val="공사품旼ã"/>
      <sheetName val="상수도내역서"/>
      <sheetName val="기시공토적"/>
      <sheetName val="스파이더산출근거"/>
      <sheetName val="2012노임단가"/>
      <sheetName val="공사내역서"/>
      <sheetName val="(참고)지급수수료"/>
      <sheetName val="표준내역"/>
      <sheetName val="PILE"/>
      <sheetName val="도면명"/>
      <sheetName val="전국현황"/>
      <sheetName val="현장청취복명서"/>
      <sheetName val="전산output"/>
      <sheetName val="2006계약"/>
      <sheetName val="변경당시노임단가표"/>
      <sheetName val="작업 반복"/>
      <sheetName val="100만평"/>
      <sheetName val="내역단위"/>
      <sheetName val="코드명"/>
      <sheetName val="구조물단위표"/>
      <sheetName val="관포설품"/>
      <sheetName val="동원단위"/>
      <sheetName val="구조물절단규격"/>
      <sheetName val="거리별운반단가"/>
      <sheetName val="취수탑"/>
      <sheetName val="2_단면_x0000__x0000_"/>
      <sheetName val="U형개거"/>
      <sheetName val="노임산출서"/>
      <sheetName val="單價表단가표"/>
      <sheetName val="FAB消防报警"/>
      <sheetName val="工程量计算书"/>
      <sheetName val="조은나오스빌"/>
      <sheetName val="5지구단위"/>
      <sheetName val="소보"/>
      <sheetName val="포장면적집계"/>
      <sheetName val="집기손료"/>
      <sheetName val="수요개발과판매량"/>
      <sheetName val="소도3교"/>
      <sheetName val="교량"/>
      <sheetName val="건축기계설비표선정수장"/>
      <sheetName val="절대지우지말것"/>
      <sheetName val="카니발(자105노60)"/>
      <sheetName val="H-P규격"/>
      <sheetName val="S-P규격"/>
      <sheetName val="H-P＋토류판 수량산출"/>
      <sheetName val="S-P수량산출"/>
      <sheetName val="H-P수량집계"/>
      <sheetName val="총괄H-P수량집계 "/>
      <sheetName val="S-P수량집계"/>
      <sheetName val="총괄S-P수량집계"/>
      <sheetName val="평균h"/>
      <sheetName val="지반개량"/>
      <sheetName val="재료집계(분수관)"/>
      <sheetName val="FAB"/>
      <sheetName val="t-h_HA_THE1"/>
      <sheetName val="THPDMoi__(2)1"/>
      <sheetName val="DON_GIA1"/>
      <sheetName val="CHITIET_VL-NC-TT_-1p1"/>
      <sheetName val="TONG_HOP_VL-NC_TT1"/>
      <sheetName val="TH_XL1"/>
      <sheetName val="CHITIET_VL-NC-TT-3p1"/>
      <sheetName val="KPVC-BD_1"/>
      <sheetName val="CHITIET_VL-NC1"/>
      <sheetName val="B3A_-_TOWER_A1"/>
      <sheetName val="Coax_Designer1"/>
      <sheetName val="MAIN_GATE_HOUSE1"/>
      <sheetName val="Bảng_Phân_Tích_Chi_Phí1"/>
      <sheetName val="Gia_VL,NC,M1"/>
      <sheetName val="Phan_chung1"/>
      <sheetName val="Tom_tat_gia_du_thau1"/>
      <sheetName val="Tien_do_TV1"/>
      <sheetName val="CP_Du_phong1"/>
      <sheetName val="THCP_Lap_dat1"/>
      <sheetName val="THCP_xay_dung1"/>
      <sheetName val="Tong_hop_kinh_phi1"/>
      <sheetName val="Bao_cao_hao_hut_VT-TR1"/>
      <sheetName val="Lookups"/>
      <sheetName val="Add cost08"/>
      <sheetName val="SumBricks08"/>
      <sheetName val="SCOPE OF WORK"/>
      <sheetName val="PH 5"/>
      <sheetName val="Dầm -4.7m"/>
      <sheetName val="NOTE"/>
      <sheetName val="Cấu tạo giá"/>
      <sheetName val="KUNGDEVI"/>
      <sheetName val="마감사양"/>
      <sheetName val="DFA"/>
      <sheetName val="StaffList-OLD"/>
      <sheetName val="Budget Code"/>
      <sheetName val="TinhGiaNC"/>
      <sheetName val="Thiet Bi"/>
      <sheetName val="VCBo"/>
      <sheetName val="Phan tich"/>
      <sheetName val="TH Vat tu"/>
      <sheetName val="TH Kinh phi"/>
      <sheetName val="BocXep"/>
      <sheetName val="TinhGiaMTC"/>
      <sheetName val="TH MTC"/>
      <sheetName val="TH N.Cong"/>
      <sheetName val="Bang KL"/>
      <sheetName val="VCThuy"/>
      <sheetName val="Cover page"/>
      <sheetName val="Inputs_Sens"/>
      <sheetName val="IS_Sum_CM"/>
      <sheetName val="Daf 1"/>
      <sheetName val="INTRO.(X)"/>
      <sheetName val="폐기물집계표"/>
      <sheetName val="2. 2공구"/>
      <sheetName val="TOWER 12TON"/>
      <sheetName val="JIB CRANE,HOIST"/>
      <sheetName val="TOWER 10TON"/>
      <sheetName val="도장수량"/>
      <sheetName val="안정성검토"/>
      <sheetName val="삼홍테크"/>
      <sheetName val="Alat"/>
      <sheetName val="Analisa Gabungan"/>
      <sheetName val="bar"/>
      <sheetName val="table1"/>
      <sheetName val="SGC RATE"/>
      <sheetName val="KINH PHI TONG HOP"/>
      <sheetName val="Dinh muc CP KTCB khac"/>
      <sheetName val="TEN HANG MUC "/>
      <sheetName val="Cash2"/>
      <sheetName val="지하시설물작성"/>
      <sheetName val="당초토량산출서"/>
      <sheetName val="변경토량산출서"/>
      <sheetName val="일반수량총괄집계표"/>
      <sheetName val="IW-LIST"/>
      <sheetName val="맨홀공수량집계"/>
      <sheetName val="1호맨홀수량집계"/>
      <sheetName val="2호맨홀수량집계"/>
      <sheetName val="3호맨홀수량집계"/>
      <sheetName val="맨홀뚜껑단위수량"/>
      <sheetName val="연속벽¼_x0000_"/>
      <sheetName val="주소"/>
      <sheetName val="설계공통자료입력"/>
      <sheetName val="공사개별자료입력"/>
      <sheetName val="공사비예산서"/>
      <sheetName val="조_x0000__x0000__x0005_"/>
      <sheetName val="상부"/>
      <sheetName val="5.2.6~7공사요율"/>
      <sheetName val="현황판"/>
      <sheetName val="설계예산서(2_소천우회토목)"/>
      <sheetName val="13후반노무비"/>
      <sheetName val="1袼ࣉ"/>
      <sheetName val="사본___b_balju"/>
      <sheetName val="개별직종노임단가(2005_1)"/>
      <sheetName val="개비온 단위"/>
      <sheetName val="적용단가표"/>
      <sheetName val="배수공 내역서 적용수량"/>
      <sheetName val="제잡비계산"/>
      <sheetName val="고상실행"/>
      <sheetName val="상촌2교-일반수량집계"/>
      <sheetName val="내역서 (변경단가)"/>
      <sheetName val="(당氐⿾_x0000__x0000_"/>
      <sheetName val="(당_x0000__x0000__x0005__x0000_"/>
      <sheetName val="광장"/>
      <sheetName val="일용직내역"/>
      <sheetName val="일 위 대 가 표"/>
      <sheetName val="노무비지급명세"/>
      <sheetName val="시멘,골재"/>
      <sheetName val="콘크집계"/>
      <sheetName val="낙차공"/>
      <sheetName val="자재집계1"/>
      <sheetName val="측구날개벽"/>
      <sheetName val="매출현황"/>
      <sheetName val="90.0_x0000_"/>
      <sheetName val="퇴직금(울산천상)"/>
      <sheetName val="중기근거"/>
      <sheetName val="교수설계"/>
      <sheetName val="특별땅고르기"/>
      <sheetName val="연결관수량 (2)"/>
      <sheetName val="원가계산서구조조정"/>
      <sheetName val="봉방동근생"/>
      <sheetName val="포장공사"/>
      <sheetName val="환경보전비B"/>
      <sheetName val="가옥철거(지장물조서)"/>
      <sheetName val="라멘수량"/>
      <sheetName val="Toolbox"/>
      <sheetName val="암거날개벽"/>
      <sheetName val="수습"/>
      <sheetName val="노임,기계경비"/>
      <sheetName val="면적산출근거(실측)"/>
      <sheetName val="앵커(3안)"/>
      <sheetName val="1.수량집계"/>
      <sheetName val="알맹이"/>
      <sheetName val="주차장(T4)"/>
      <sheetName val="수량산출표"/>
      <sheetName val="포장(수량)-관로부"/>
      <sheetName val="보도공제면적"/>
      <sheetName val="공기압축기실"/>
      <sheetName val="토공집계(rp)"/>
      <sheetName val="목차_"/>
      <sheetName val="97년_추정"/>
      <sheetName val="4__주형설계"/>
      <sheetName val="세골재__T2_변경_현황"/>
      <sheetName val="0_단가"/>
      <sheetName val="종배수관설치현황"/>
      <sheetName val="집계표(용역원실배기)"/>
      <sheetName val="실정보사유서"/>
      <sheetName val="원가계산서 과기원"/>
      <sheetName val="0.내역서  갑지"/>
      <sheetName val="1.내역서 "/>
      <sheetName val="2-1.수량산출근거"/>
      <sheetName val="2-2.노무비산출근거"/>
      <sheetName val="3.단가조사표"/>
      <sheetName val="3.단가대비표"/>
      <sheetName val="4.설변사유"/>
      <sheetName val="2-7.인건비산출근거"/>
      <sheetName val="3-1.설변사유"/>
      <sheetName val="3-2.공사비증감"/>
      <sheetName val="3-3.내역서"/>
      <sheetName val="3-4.단가대비표(기존)"/>
      <sheetName val="3-5.단가대비표(신규)"/>
      <sheetName val="3-6.일위대가목록"/>
      <sheetName val="3-7.일위대가"/>
      <sheetName val="3-8.물량산출근거"/>
      <sheetName val="3-9.인건비산출근거"/>
      <sheetName val="고강도 지수판 스리브업체선정"/>
      <sheetName val="업체구매견적서"/>
      <sheetName val="3.단가대비표 "/>
      <sheetName val="3.단가적용현황"/>
      <sheetName val="기성청구서"/>
      <sheetName val="1호토공"/>
      <sheetName val="증감대비표"/>
      <sheetName val="4.하중산정"/>
      <sheetName val="현장설명"/>
      <sheetName val="기초도면제작"/>
      <sheetName val="접합수량(피벗)"/>
      <sheetName val="8설7발"/>
      <sheetName val="제수변 수량집계표(보통)"/>
      <sheetName val="수량분배표"/>
      <sheetName val="7급줄떼공"/>
      <sheetName val="사유서"/>
      <sheetName val="6월 출고 일일보고"/>
      <sheetName val="하도급원가계산총괄표(식재)"/>
      <sheetName val="노면표시단위수량(안전지대및노상장애물)"/>
      <sheetName val="노면표시단위수량(방향및방면지시)"/>
      <sheetName val="노면표시단위수량(문자및기타기호)"/>
      <sheetName val="노면표시단위수량(차선)"/>
      <sheetName val="노면표시단위수량(횡단보도)"/>
      <sheetName val="신림자금"/>
      <sheetName val="양수장(기계)"/>
      <sheetName val="중간"/>
      <sheetName val="전동기"/>
      <sheetName val="조직표"/>
      <sheetName val="1Month+Sheet2!"/>
      <sheetName val="내역서(중수)"/>
      <sheetName val="기성부분 내역집계표-기계공사"/>
      <sheetName val="지역"/>
      <sheetName val="기본파일"/>
      <sheetName val="자재집계 (2)"/>
      <sheetName val="(1)본선수량집계"/>
      <sheetName val="정거장 설계조건"/>
      <sheetName val="건축공사집계"/>
      <sheetName val="단가파주4"/>
      <sheetName val="7-1.인건비"/>
      <sheetName val="일위총괄"/>
      <sheetName val="오수공수량집계표"/>
      <sheetName val="물푸기"/>
      <sheetName val="제경비산출서"/>
      <sheetName val="1단계 (2)"/>
      <sheetName val="Eq. Mobilization"/>
      <sheetName val="노면표지 수량"/>
      <sheetName val="토목내역서_(도급단가)"/>
      <sheetName val="내역_ver1_0"/>
      <sheetName val="RAMP_단면(R2)"/>
      <sheetName val="바닥판의_설계"/>
      <sheetName val="토공_total"/>
      <sheetName val="C_배수관공"/>
      <sheetName val="암거_제원표"/>
      <sheetName val="암거_제원표-1단계"/>
      <sheetName val="시간당중기사용료"/>
      <sheetName val="asd"/>
      <sheetName val="유림콘도"/>
      <sheetName val="직접노무"/>
      <sheetName val="직접재료"/>
      <sheetName val="직종표"/>
      <sheetName val="FORM-0"/>
      <sheetName val="교통안전시설집계표"/>
      <sheetName val="인원배치"/>
      <sheetName val="환경평가"/>
      <sheetName val="인구"/>
      <sheetName val="load"/>
      <sheetName val="원"/>
      <sheetName val="#4 PSV"/>
      <sheetName val="직접경비호표"/>
      <sheetName val="1공구원가계산서"/>
      <sheetName val="인입관수량총괄"/>
      <sheetName val="진입로 지세할증산출(다사분기)"/>
      <sheetName val=" FURNACE현설"/>
      <sheetName val="지역별수출"/>
      <sheetName val="효동종합건설(주)"/>
      <sheetName val="공사비예"/>
      <sheetName val="6.간접공사비 外"/>
      <sheetName val="부하자료"/>
      <sheetName val="집 계 표"/>
      <sheetName val="기본가정"/>
      <sheetName val="조경수목"/>
      <sheetName val="퇴직공제부금"/>
      <sheetName val="평균노임"/>
      <sheetName val="일용노무비지급명세서(7)"/>
      <sheetName val="중기가동(7)"/>
      <sheetName val="발주참고#"/>
      <sheetName val="토목-물가"/>
      <sheetName val="Manmonth(입력)"/>
      <sheetName val="간접비 총괄표"/>
      <sheetName val="산출근거(수정)"/>
      <sheetName val="산출서양식01"/>
      <sheetName val="관로조서"/>
      <sheetName val="제조원가"/>
      <sheetName val="설비원가"/>
      <sheetName val="유입량"/>
      <sheetName val="99년하반기"/>
      <sheetName val="4.1DNR기계(공법)"/>
      <sheetName val="F4-F7"/>
      <sheetName val="A5"/>
      <sheetName val="주안3차A-A"/>
      <sheetName val="국도접속_차도부수량"/>
      <sheetName val="연결관수량_(2)"/>
      <sheetName val="2004일위대가"/>
      <sheetName val="기준단가현황"/>
      <sheetName val="공사개요(입력)"/>
      <sheetName val="마스터"/>
      <sheetName val="출자한도"/>
      <sheetName val="ELEC"/>
      <sheetName val="직접재료비데이타"/>
      <sheetName val="______PROJECT_hb___1__________2"/>
      <sheetName val="집행내역(190403)"/>
      <sheetName val="환율및유가"/>
      <sheetName val="일반전기(가설, 접지)"/>
      <sheetName val="총괄철근집계표"/>
      <sheetName val="현장관리"/>
      <sheetName val="가동보내역"/>
      <sheetName val="M"/>
      <sheetName val="가동보수량"/>
      <sheetName val="밴딩"/>
      <sheetName val="사기도장"/>
      <sheetName val="실적공사비"/>
      <sheetName val="장비기준"/>
      <sheetName val="검색결과시트"/>
      <sheetName val="역사이펀평균높이"/>
      <sheetName val="상계견적"/>
      <sheetName val="신항수로관조서"/>
      <sheetName val="신항용수로집계"/>
      <sheetName val="최종내역"/>
      <sheetName val="5"/>
      <sheetName val="슬래브일반"/>
      <sheetName val="격점 이형관(분기관)"/>
      <sheetName val="3-DIV3"/>
      <sheetName val="villa"/>
      <sheetName val="산출1"/>
      <sheetName val="노임자재"/>
      <sheetName val="회사명참고"/>
      <sheetName val="4_䠀"/>
      <sheetName val="4쌇栅_"/>
      <sheetName val="_YES.XLS__YES.XLS_4_䠀"/>
      <sheetName val="_YES.XLS__YES.XLS_4쌇栅_"/>
      <sheetName val="신표司_"/>
      <sheetName val="_YES.XLS__YES.XLS_신표司_"/>
      <sheetName val="______"/>
      <sheetName val="_YES.XLS__YES.XLS__YES.XLS_신표司_"/>
      <sheetName val="_YES.XLS_신표司_"/>
      <sheetName val="_YES.XLS__YES.XLS__YES.XLS_4_䠀"/>
      <sheetName val="_YES.XLS__YES.XLS__YES.XLS_4쌇栅_"/>
      <sheetName val="_"/>
      <sheetName val="_YES.XLS_4_䠀"/>
      <sheetName val="_YES.XLS_4쌇栅_"/>
      <sheetName val="갑지(쐂饣_"/>
      <sheetName val="갑지(쐃_"/>
      <sheetName val="갑지(쐎_"/>
      <sheetName val="하도급선정의뢰佘_ߍ恽⿹"/>
      <sheetName val="뜃맟뭁돽띿맟_-BLDG"/>
      <sheetName val="몰탈쐀_"/>
      <sheetName val="도급예정1犢呄_"/>
      <sheetName val="도급예정1犢_"/>
      <sheetName val="도급예정1犢ፄ_"/>
      <sheetName val="13.접속슬래브"/>
      <sheetName val="라"/>
      <sheetName val="마)"/>
      <sheetName val="노임단가(2008.상)"/>
      <sheetName val="맨홀-오수"/>
      <sheetName val="내역서1999_8최종2"/>
      <sheetName val="2_토목공사2"/>
      <sheetName val="_상부공통집계(총괄)2"/>
      <sheetName val="경율산정_XLS1"/>
      <sheetName val="2_대외공문1"/>
      <sheetName val="1_토공1"/>
      <sheetName val="GT_1050x6501"/>
      <sheetName val="주공_갑지1"/>
      <sheetName val="Bldg_Brkdown1"/>
      <sheetName val="12)아이디어_목록_및_개략평가1"/>
      <sheetName val="11)VE_예비검토서1"/>
      <sheetName val="15-3)VE제안서(가치향상_등)1"/>
      <sheetName val="IMF_Code"/>
      <sheetName val="Gia_VLNCMTC"/>
      <sheetName val="현장관리비_산출내역"/>
      <sheetName val="1_일위대가"/>
      <sheetName val="C1_공사개요"/>
      <sheetName val="A1_스케쥴"/>
      <sheetName val="코스모공장_(어음)"/>
      <sheetName val="수목조서_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>
        <row r="1">
          <cell r="A1" t="str">
            <v>시멘트,모래,자갈 산출표</v>
          </cell>
        </row>
      </sheetData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>
        <row r="1">
          <cell r="A1" t="str">
            <v>시멘트,모래,자갈 산출표</v>
          </cell>
        </row>
      </sheetData>
      <sheetData sheetId="569">
        <row r="1">
          <cell r="A1" t="str">
            <v>시멘트,모래,자갈 산출표</v>
          </cell>
        </row>
      </sheetData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/>
      <sheetData sheetId="597"/>
      <sheetData sheetId="598"/>
      <sheetData sheetId="599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/>
      <sheetData sheetId="624" refreshError="1"/>
      <sheetData sheetId="625" refreshError="1"/>
      <sheetData sheetId="626" refreshError="1"/>
      <sheetData sheetId="627">
        <row r="1">
          <cell r="A1" t="str">
            <v>시멘트,모래,자갈 산출표</v>
          </cell>
        </row>
      </sheetData>
      <sheetData sheetId="628">
        <row r="1">
          <cell r="A1" t="str">
            <v>시멘트,모래,자갈 산출표</v>
          </cell>
        </row>
      </sheetData>
      <sheetData sheetId="629">
        <row r="1">
          <cell r="A1" t="str">
            <v>시멘트,모래,자갈 산출표</v>
          </cell>
        </row>
      </sheetData>
      <sheetData sheetId="630">
        <row r="1">
          <cell r="A1" t="str">
            <v>시멘트,모래,자갈 산출표</v>
          </cell>
        </row>
      </sheetData>
      <sheetData sheetId="631">
        <row r="1">
          <cell r="A1" t="str">
            <v>시멘트,모래,자갈 산출표</v>
          </cell>
        </row>
      </sheetData>
      <sheetData sheetId="632">
        <row r="1">
          <cell r="A1" t="str">
            <v>시멘트,모래,자갈 산출표</v>
          </cell>
        </row>
      </sheetData>
      <sheetData sheetId="633">
        <row r="1">
          <cell r="A1" t="str">
            <v>시멘트,모래,자갈 산출표</v>
          </cell>
        </row>
      </sheetData>
      <sheetData sheetId="634">
        <row r="1">
          <cell r="A1" t="str">
            <v>시멘트,모래,자갈 산출표</v>
          </cell>
        </row>
      </sheetData>
      <sheetData sheetId="635">
        <row r="1">
          <cell r="A1" t="str">
            <v>시멘트,모래,자갈 산출표</v>
          </cell>
        </row>
      </sheetData>
      <sheetData sheetId="636">
        <row r="1">
          <cell r="A1" t="str">
            <v>시멘트,모래,자갈 산출표</v>
          </cell>
        </row>
      </sheetData>
      <sheetData sheetId="637">
        <row r="1">
          <cell r="A1" t="str">
            <v>시멘트,모래,자갈 산출표</v>
          </cell>
        </row>
      </sheetData>
      <sheetData sheetId="638">
        <row r="1">
          <cell r="A1" t="str">
            <v>시멘트,모래,자갈 산출표</v>
          </cell>
        </row>
      </sheetData>
      <sheetData sheetId="639">
        <row r="1">
          <cell r="A1" t="str">
            <v>시멘트,모래,자갈 산출표</v>
          </cell>
        </row>
      </sheetData>
      <sheetData sheetId="640">
        <row r="1">
          <cell r="A1" t="str">
            <v>시멘트,모래,자갈 산출표</v>
          </cell>
        </row>
      </sheetData>
      <sheetData sheetId="641">
        <row r="1">
          <cell r="A1" t="str">
            <v>시멘트,모래,자갈 산출표</v>
          </cell>
        </row>
      </sheetData>
      <sheetData sheetId="642">
        <row r="1">
          <cell r="A1" t="str">
            <v>시멘트,모래,자갈 산출표</v>
          </cell>
        </row>
      </sheetData>
      <sheetData sheetId="643">
        <row r="1">
          <cell r="A1" t="str">
            <v>시멘트,모래,자갈 산출표</v>
          </cell>
        </row>
      </sheetData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>
        <row r="1">
          <cell r="A1" t="str">
            <v>시멘트,모래,자갈 산출표</v>
          </cell>
        </row>
      </sheetData>
      <sheetData sheetId="679">
        <row r="1">
          <cell r="A1" t="str">
            <v>시멘트,모래,자갈 산출표</v>
          </cell>
        </row>
      </sheetData>
      <sheetData sheetId="680">
        <row r="1">
          <cell r="A1" t="str">
            <v>시멘트,모래,자갈 산출표</v>
          </cell>
        </row>
      </sheetData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/>
      <sheetData sheetId="718">
        <row r="1">
          <cell r="A1" t="str">
            <v>시멘트,모래,자갈 산출표</v>
          </cell>
        </row>
      </sheetData>
      <sheetData sheetId="719">
        <row r="1">
          <cell r="A1" t="str">
            <v>시멘트,모래,자갈 산출표</v>
          </cell>
        </row>
      </sheetData>
      <sheetData sheetId="720">
        <row r="1">
          <cell r="A1" t="str">
            <v>시멘트,모래,자갈 산출표</v>
          </cell>
        </row>
      </sheetData>
      <sheetData sheetId="721">
        <row r="1">
          <cell r="A1" t="str">
            <v>시멘트,모래,자갈 산출표</v>
          </cell>
        </row>
      </sheetData>
      <sheetData sheetId="722">
        <row r="1">
          <cell r="A1" t="str">
            <v>시멘트,모래,자갈 산출표</v>
          </cell>
        </row>
      </sheetData>
      <sheetData sheetId="723">
        <row r="1">
          <cell r="A1" t="str">
            <v>시멘트,모래,자갈 산출표</v>
          </cell>
        </row>
      </sheetData>
      <sheetData sheetId="724">
        <row r="1">
          <cell r="A1" t="str">
            <v>시멘트,모래,자갈 산출표</v>
          </cell>
        </row>
      </sheetData>
      <sheetData sheetId="725">
        <row r="1">
          <cell r="A1" t="str">
            <v>시멘트,모래,자갈 산출표</v>
          </cell>
        </row>
      </sheetData>
      <sheetData sheetId="726">
        <row r="1">
          <cell r="A1" t="str">
            <v>시멘트,모래,자갈 산출표</v>
          </cell>
        </row>
      </sheetData>
      <sheetData sheetId="727">
        <row r="1">
          <cell r="A1" t="str">
            <v>시멘트,모래,자갈 산출표</v>
          </cell>
        </row>
      </sheetData>
      <sheetData sheetId="728" refreshError="1"/>
      <sheetData sheetId="729" refreshError="1"/>
      <sheetData sheetId="730" refreshError="1"/>
      <sheetData sheetId="731" refreshError="1"/>
      <sheetData sheetId="732"/>
      <sheetData sheetId="733" refreshError="1"/>
      <sheetData sheetId="734" refreshError="1"/>
      <sheetData sheetId="735" refreshError="1"/>
      <sheetData sheetId="736" refreshError="1"/>
      <sheetData sheetId="737"/>
      <sheetData sheetId="738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>
        <row r="1">
          <cell r="A1" t="str">
            <v>시멘트,모래,자갈 산출표</v>
          </cell>
        </row>
      </sheetData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/>
      <sheetData sheetId="755" refreshError="1"/>
      <sheetData sheetId="756" refreshError="1"/>
      <sheetData sheetId="757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/>
      <sheetData sheetId="80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>
        <row r="1">
          <cell r="A1" t="str">
            <v>시멘트,모래,자갈 산출표</v>
          </cell>
        </row>
      </sheetData>
      <sheetData sheetId="859">
        <row r="1">
          <cell r="A1" t="str">
            <v>시멘트,모래,자갈 산출표</v>
          </cell>
        </row>
      </sheetData>
      <sheetData sheetId="860">
        <row r="1">
          <cell r="A1" t="str">
            <v>시멘트,모래,자갈 산출표</v>
          </cell>
        </row>
      </sheetData>
      <sheetData sheetId="861">
        <row r="1">
          <cell r="A1" t="str">
            <v>시멘트,모래,자갈 산출표</v>
          </cell>
        </row>
      </sheetData>
      <sheetData sheetId="862">
        <row r="1">
          <cell r="A1" t="str">
            <v>시멘트,모래,자갈 산출표</v>
          </cell>
        </row>
      </sheetData>
      <sheetData sheetId="863">
        <row r="1">
          <cell r="A1" t="str">
            <v>시멘트,모래,자갈 산출표</v>
          </cell>
        </row>
      </sheetData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>
        <row r="1">
          <cell r="A1" t="str">
            <v>시멘트,모래,자갈 산출표</v>
          </cell>
        </row>
      </sheetData>
      <sheetData sheetId="876">
        <row r="1">
          <cell r="A1" t="str">
            <v>시멘트,모래,자갈 산출표</v>
          </cell>
        </row>
      </sheetData>
      <sheetData sheetId="877">
        <row r="1">
          <cell r="A1" t="str">
            <v>시멘트,모래,자갈 산출표</v>
          </cell>
        </row>
      </sheetData>
      <sheetData sheetId="878">
        <row r="1">
          <cell r="A1" t="str">
            <v>시멘트,모래,자갈 산출표</v>
          </cell>
        </row>
      </sheetData>
      <sheetData sheetId="879">
        <row r="1">
          <cell r="A1" t="str">
            <v>시멘트,모래,자갈 산출표</v>
          </cell>
        </row>
      </sheetData>
      <sheetData sheetId="880">
        <row r="1">
          <cell r="A1" t="str">
            <v>시멘트,모래,자갈 산출표</v>
          </cell>
        </row>
      </sheetData>
      <sheetData sheetId="881">
        <row r="1">
          <cell r="A1" t="str">
            <v>시멘트,모래,자갈 산출표</v>
          </cell>
        </row>
      </sheetData>
      <sheetData sheetId="882">
        <row r="1">
          <cell r="A1" t="str">
            <v>시멘트,모래,자갈 산출표</v>
          </cell>
        </row>
      </sheetData>
      <sheetData sheetId="883">
        <row r="1">
          <cell r="A1" t="str">
            <v>시멘트,모래,자갈 산출표</v>
          </cell>
        </row>
      </sheetData>
      <sheetData sheetId="884">
        <row r="1">
          <cell r="A1" t="str">
            <v>시멘트,모래,자갈 산출표</v>
          </cell>
        </row>
      </sheetData>
      <sheetData sheetId="885">
        <row r="1">
          <cell r="A1" t="str">
            <v>시멘트,모래,자갈 산출표</v>
          </cell>
        </row>
      </sheetData>
      <sheetData sheetId="886"/>
      <sheetData sheetId="887">
        <row r="1">
          <cell r="A1" t="str">
            <v>시멘트,모래,자갈 산출표</v>
          </cell>
        </row>
      </sheetData>
      <sheetData sheetId="888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>
        <row r="1">
          <cell r="A1" t="str">
            <v>시멘트,모래,자갈 산출표</v>
          </cell>
        </row>
      </sheetData>
      <sheetData sheetId="918">
        <row r="1">
          <cell r="A1" t="str">
            <v>시멘트,모래,자갈 산출표</v>
          </cell>
        </row>
      </sheetData>
      <sheetData sheetId="919">
        <row r="1">
          <cell r="A1" t="str">
            <v>시멘트,모래,자갈 산출표</v>
          </cell>
        </row>
      </sheetData>
      <sheetData sheetId="920">
        <row r="1">
          <cell r="A1" t="str">
            <v>시멘트,모래,자갈 산출표</v>
          </cell>
        </row>
      </sheetData>
      <sheetData sheetId="921"/>
      <sheetData sheetId="922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>
        <row r="1">
          <cell r="A1" t="str">
            <v>시멘트,모래,자갈 산출표</v>
          </cell>
        </row>
      </sheetData>
      <sheetData sheetId="941">
        <row r="1">
          <cell r="A1" t="str">
            <v>시멘트,모래,자갈 산출표</v>
          </cell>
        </row>
      </sheetData>
      <sheetData sheetId="942">
        <row r="1">
          <cell r="A1" t="str">
            <v>시멘트,모래,자갈 산출표</v>
          </cell>
        </row>
      </sheetData>
      <sheetData sheetId="943">
        <row r="1">
          <cell r="A1" t="str">
            <v>시멘트,모래,자갈 산출표</v>
          </cell>
        </row>
      </sheetData>
      <sheetData sheetId="944">
        <row r="1">
          <cell r="A1" t="str">
            <v>시멘트,모래,자갈 산출표</v>
          </cell>
        </row>
      </sheetData>
      <sheetData sheetId="945">
        <row r="1">
          <cell r="A1" t="str">
            <v>시멘트,모래,자갈 산출표</v>
          </cell>
        </row>
      </sheetData>
      <sheetData sheetId="946">
        <row r="1">
          <cell r="A1" t="str">
            <v>시멘트,모래,자갈 산출표</v>
          </cell>
        </row>
      </sheetData>
      <sheetData sheetId="947">
        <row r="1">
          <cell r="A1" t="str">
            <v>시멘트,모래,자갈 산출표</v>
          </cell>
        </row>
      </sheetData>
      <sheetData sheetId="948">
        <row r="1">
          <cell r="A1" t="str">
            <v>시멘트,모래,자갈 산출표</v>
          </cell>
        </row>
      </sheetData>
      <sheetData sheetId="949">
        <row r="1">
          <cell r="A1" t="str">
            <v>시멘트,모래,자갈 산출표</v>
          </cell>
        </row>
      </sheetData>
      <sheetData sheetId="950">
        <row r="1">
          <cell r="A1" t="str">
            <v>시멘트,모래,자갈 산출표</v>
          </cell>
        </row>
      </sheetData>
      <sheetData sheetId="951">
        <row r="1">
          <cell r="A1" t="str">
            <v>시멘트,모래,자갈 산출표</v>
          </cell>
        </row>
      </sheetData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/>
      <sheetData sheetId="1015"/>
      <sheetData sheetId="1016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/>
      <sheetData sheetId="1252" refreshError="1"/>
      <sheetData sheetId="1253" refreshError="1"/>
      <sheetData sheetId="1254" refreshError="1"/>
      <sheetData sheetId="1255" refreshError="1"/>
      <sheetData sheetId="1256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/>
      <sheetData sheetId="1275"/>
      <sheetData sheetId="1276"/>
      <sheetData sheetId="1277"/>
      <sheetData sheetId="1278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/>
      <sheetData sheetId="1287"/>
      <sheetData sheetId="1288"/>
      <sheetData sheetId="1289"/>
      <sheetData sheetId="1290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/>
      <sheetData sheetId="1297" refreshError="1"/>
      <sheetData sheetId="1298" refreshError="1"/>
      <sheetData sheetId="1299" refreshError="1"/>
      <sheetData sheetId="1300" refreshError="1"/>
      <sheetData sheetId="1301"/>
      <sheetData sheetId="1302" refreshError="1"/>
      <sheetData sheetId="1303" refreshError="1"/>
      <sheetData sheetId="1304" refreshError="1"/>
      <sheetData sheetId="1305"/>
      <sheetData sheetId="1306"/>
      <sheetData sheetId="1307"/>
      <sheetData sheetId="1308"/>
      <sheetData sheetId="1309"/>
      <sheetData sheetId="1310"/>
      <sheetData sheetId="1311"/>
      <sheetData sheetId="1312" refreshError="1"/>
      <sheetData sheetId="1313" refreshError="1"/>
      <sheetData sheetId="1314" refreshError="1"/>
      <sheetData sheetId="1315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/>
      <sheetData sheetId="1356" refreshError="1"/>
      <sheetData sheetId="1357" refreshError="1"/>
      <sheetData sheetId="1358" refreshError="1"/>
      <sheetData sheetId="1359" refreshError="1"/>
      <sheetData sheetId="1360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/>
      <sheetData sheetId="1381"/>
      <sheetData sheetId="1382"/>
      <sheetData sheetId="1383"/>
      <sheetData sheetId="1384"/>
      <sheetData sheetId="1385" refreshError="1"/>
      <sheetData sheetId="1386" refreshError="1"/>
      <sheetData sheetId="1387" refreshError="1"/>
      <sheetData sheetId="1388" refreshError="1"/>
      <sheetData sheetId="1389"/>
      <sheetData sheetId="1390"/>
      <sheetData sheetId="139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/>
      <sheetData sheetId="1412" refreshError="1"/>
      <sheetData sheetId="1413" refreshError="1"/>
      <sheetData sheetId="1414" refreshError="1"/>
      <sheetData sheetId="1415" refreshError="1"/>
      <sheetData sheetId="1416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/>
      <sheetData sheetId="1573" refreshError="1"/>
      <sheetData sheetId="1574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/>
      <sheetData sheetId="1643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/>
      <sheetData sheetId="1701"/>
      <sheetData sheetId="1702"/>
      <sheetData sheetId="1703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/>
      <sheetData sheetId="2649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/>
      <sheetData sheetId="2804"/>
      <sheetData sheetId="2805"/>
      <sheetData sheetId="2806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/>
      <sheetData sheetId="3320" refreshError="1"/>
      <sheetData sheetId="3321" refreshError="1"/>
      <sheetData sheetId="3322" refreshError="1"/>
      <sheetData sheetId="3323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/>
      <sheetData sheetId="3972"/>
      <sheetData sheetId="3973"/>
      <sheetData sheetId="3974" refreshError="1"/>
      <sheetData sheetId="3975" refreshError="1"/>
      <sheetData sheetId="3976" refreshError="1"/>
      <sheetData sheetId="3977"/>
      <sheetData sheetId="3978"/>
      <sheetData sheetId="3979"/>
      <sheetData sheetId="3980"/>
      <sheetData sheetId="3981" refreshError="1"/>
      <sheetData sheetId="3982" refreshError="1"/>
      <sheetData sheetId="3983" refreshError="1"/>
      <sheetData sheetId="3984" refreshError="1"/>
      <sheetData sheetId="3985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/>
      <sheetData sheetId="4196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  <sheetData sheetId="4233" refreshError="1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 refreshError="1"/>
      <sheetData sheetId="4255" refreshError="1"/>
      <sheetData sheetId="4256" refreshError="1"/>
      <sheetData sheetId="4257" refreshError="1"/>
      <sheetData sheetId="4258" refreshError="1"/>
      <sheetData sheetId="4259" refreshError="1"/>
      <sheetData sheetId="4260" refreshError="1"/>
      <sheetData sheetId="4261" refreshError="1"/>
      <sheetData sheetId="4262" refreshError="1"/>
      <sheetData sheetId="4263" refreshError="1"/>
      <sheetData sheetId="4264" refreshError="1"/>
      <sheetData sheetId="4265" refreshError="1"/>
      <sheetData sheetId="4266" refreshError="1"/>
      <sheetData sheetId="4267" refreshError="1"/>
      <sheetData sheetId="4268" refreshError="1"/>
      <sheetData sheetId="4269" refreshError="1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 refreshError="1"/>
      <sheetData sheetId="4283" refreshError="1"/>
      <sheetData sheetId="4284" refreshError="1"/>
      <sheetData sheetId="4285" refreshError="1"/>
      <sheetData sheetId="4286" refreshError="1"/>
      <sheetData sheetId="4287"/>
      <sheetData sheetId="4288" refreshError="1"/>
      <sheetData sheetId="4289" refreshError="1"/>
      <sheetData sheetId="4290" refreshError="1"/>
      <sheetData sheetId="4291" refreshError="1"/>
      <sheetData sheetId="4292" refreshError="1"/>
      <sheetData sheetId="4293" refreshError="1"/>
      <sheetData sheetId="4294" refreshError="1"/>
      <sheetData sheetId="4295" refreshError="1"/>
      <sheetData sheetId="4296" refreshError="1"/>
      <sheetData sheetId="4297" refreshError="1"/>
      <sheetData sheetId="4298" refreshError="1"/>
      <sheetData sheetId="4299" refreshError="1"/>
      <sheetData sheetId="4300" refreshError="1"/>
      <sheetData sheetId="4301" refreshError="1"/>
      <sheetData sheetId="4302" refreshError="1"/>
      <sheetData sheetId="4303" refreshError="1"/>
      <sheetData sheetId="4304" refreshError="1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 refreshError="1"/>
      <sheetData sheetId="4311" refreshError="1"/>
      <sheetData sheetId="4312" refreshError="1"/>
      <sheetData sheetId="4313" refreshError="1"/>
      <sheetData sheetId="4314" refreshError="1"/>
      <sheetData sheetId="4315" refreshError="1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 refreshError="1"/>
      <sheetData sheetId="4379" refreshError="1"/>
      <sheetData sheetId="4380" refreshError="1"/>
      <sheetData sheetId="4381" refreshError="1"/>
      <sheetData sheetId="4382" refreshError="1"/>
      <sheetData sheetId="4383" refreshError="1"/>
      <sheetData sheetId="4384" refreshError="1"/>
      <sheetData sheetId="4385" refreshError="1"/>
      <sheetData sheetId="4386" refreshError="1"/>
      <sheetData sheetId="4387" refreshError="1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 refreshError="1"/>
      <sheetData sheetId="4397" refreshError="1"/>
      <sheetData sheetId="4398" refreshError="1"/>
      <sheetData sheetId="4399" refreshError="1"/>
      <sheetData sheetId="4400" refreshError="1"/>
      <sheetData sheetId="4401" refreshError="1"/>
      <sheetData sheetId="4402" refreshError="1"/>
      <sheetData sheetId="4403" refreshError="1"/>
      <sheetData sheetId="4404" refreshError="1"/>
      <sheetData sheetId="4405" refreshError="1"/>
      <sheetData sheetId="4406" refreshError="1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 refreshError="1"/>
      <sheetData sheetId="4413" refreshError="1"/>
      <sheetData sheetId="4414" refreshError="1"/>
      <sheetData sheetId="4415" refreshError="1"/>
      <sheetData sheetId="4416" refreshError="1"/>
      <sheetData sheetId="4417" refreshError="1"/>
      <sheetData sheetId="4418" refreshError="1"/>
      <sheetData sheetId="4419" refreshError="1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 refreshError="1"/>
      <sheetData sheetId="4469" refreshError="1"/>
      <sheetData sheetId="4470" refreshError="1"/>
      <sheetData sheetId="4471" refreshError="1"/>
      <sheetData sheetId="4472" refreshError="1"/>
      <sheetData sheetId="4473" refreshError="1"/>
      <sheetData sheetId="4474" refreshError="1"/>
      <sheetData sheetId="4475" refreshError="1"/>
      <sheetData sheetId="4476" refreshError="1"/>
      <sheetData sheetId="4477" refreshError="1"/>
      <sheetData sheetId="4478" refreshError="1"/>
      <sheetData sheetId="4479" refreshError="1"/>
      <sheetData sheetId="4480" refreshError="1"/>
      <sheetData sheetId="4481" refreshError="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 refreshError="1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/>
      <sheetData sheetId="4538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 refreshError="1"/>
      <sheetData sheetId="4728" refreshError="1"/>
      <sheetData sheetId="4729" refreshError="1"/>
      <sheetData sheetId="4730" refreshError="1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 refreshError="1"/>
      <sheetData sheetId="4738" refreshError="1"/>
      <sheetData sheetId="4739" refreshError="1"/>
      <sheetData sheetId="4740" refreshError="1"/>
      <sheetData sheetId="4741" refreshError="1"/>
      <sheetData sheetId="4742" refreshError="1"/>
      <sheetData sheetId="4743" refreshError="1"/>
      <sheetData sheetId="4744"/>
      <sheetData sheetId="4745"/>
      <sheetData sheetId="4746" refreshError="1"/>
      <sheetData sheetId="4747" refreshError="1"/>
      <sheetData sheetId="4748" refreshError="1"/>
      <sheetData sheetId="4749"/>
      <sheetData sheetId="4750"/>
      <sheetData sheetId="4751"/>
      <sheetData sheetId="4752" refreshError="1"/>
      <sheetData sheetId="4753" refreshError="1"/>
      <sheetData sheetId="4754" refreshError="1"/>
      <sheetData sheetId="4755" refreshError="1"/>
      <sheetData sheetId="4756" refreshError="1"/>
      <sheetData sheetId="4757" refreshError="1"/>
      <sheetData sheetId="4758" refreshError="1"/>
      <sheetData sheetId="4759" refreshError="1"/>
      <sheetData sheetId="4760" refreshError="1"/>
      <sheetData sheetId="4761" refreshError="1"/>
      <sheetData sheetId="4762" refreshError="1"/>
      <sheetData sheetId="4763" refreshError="1"/>
      <sheetData sheetId="4764" refreshError="1"/>
      <sheetData sheetId="4765"/>
      <sheetData sheetId="4766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 refreshError="1"/>
      <sheetData sheetId="4780" refreshError="1"/>
      <sheetData sheetId="4781" refreshError="1"/>
      <sheetData sheetId="4782" refreshError="1"/>
      <sheetData sheetId="4783" refreshError="1"/>
      <sheetData sheetId="4784" refreshError="1"/>
      <sheetData sheetId="4785" refreshError="1"/>
      <sheetData sheetId="4786" refreshError="1"/>
      <sheetData sheetId="4787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>
        <row r="1">
          <cell r="A1" t="str">
            <v>시멘트,모래,자갈 산출표</v>
          </cell>
        </row>
      </sheetData>
      <sheetData sheetId="4830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 refreshError="1"/>
      <sheetData sheetId="4865" refreshError="1"/>
      <sheetData sheetId="4866">
        <row r="1">
          <cell r="A1" t="str">
            <v>시멘트,모래,자갈 산출표</v>
          </cell>
        </row>
      </sheetData>
      <sheetData sheetId="4867">
        <row r="1">
          <cell r="A1" t="str">
            <v>시멘트,모래,자갈 산출표</v>
          </cell>
        </row>
      </sheetData>
      <sheetData sheetId="4868">
        <row r="1">
          <cell r="A1" t="str">
            <v>시멘트,모래,자갈 산출표</v>
          </cell>
        </row>
      </sheetData>
      <sheetData sheetId="4869"/>
      <sheetData sheetId="4870"/>
      <sheetData sheetId="4871"/>
      <sheetData sheetId="4872" refreshError="1"/>
      <sheetData sheetId="4873">
        <row r="1">
          <cell r="A1" t="str">
            <v>시멘트,모래,자갈 산출표</v>
          </cell>
        </row>
      </sheetData>
      <sheetData sheetId="4874">
        <row r="1">
          <cell r="A1" t="str">
            <v>시멘트,모래,자갈 산출표</v>
          </cell>
        </row>
      </sheetData>
      <sheetData sheetId="4875">
        <row r="1">
          <cell r="A1" t="str">
            <v>시멘트,모래,자갈 산출표</v>
          </cell>
        </row>
      </sheetData>
      <sheetData sheetId="4876">
        <row r="1">
          <cell r="A1" t="str">
            <v>시멘트,모래,자갈 산출표</v>
          </cell>
        </row>
      </sheetData>
      <sheetData sheetId="4877">
        <row r="1">
          <cell r="A1" t="str">
            <v>시멘트,모래,자갈 산출표</v>
          </cell>
        </row>
      </sheetData>
      <sheetData sheetId="4878">
        <row r="1">
          <cell r="A1" t="str">
            <v>시멘트,모래,자갈 산출표</v>
          </cell>
        </row>
      </sheetData>
      <sheetData sheetId="4879">
        <row r="1">
          <cell r="A1" t="str">
            <v>시멘트,모래,자갈 산출표</v>
          </cell>
        </row>
      </sheetData>
      <sheetData sheetId="4880">
        <row r="1">
          <cell r="A1" t="str">
            <v>시멘트,모래,자갈 산출표</v>
          </cell>
        </row>
      </sheetData>
      <sheetData sheetId="4881">
        <row r="1">
          <cell r="A1" t="str">
            <v>시멘트,모래,자갈 산출표</v>
          </cell>
        </row>
      </sheetData>
      <sheetData sheetId="4882">
        <row r="1">
          <cell r="A1" t="str">
            <v>시멘트,모래,자갈 산출표</v>
          </cell>
        </row>
      </sheetData>
      <sheetData sheetId="4883">
        <row r="1">
          <cell r="A1" t="str">
            <v>시멘트,모래,자갈 산출표</v>
          </cell>
        </row>
      </sheetData>
      <sheetData sheetId="4884">
        <row r="1">
          <cell r="A1" t="str">
            <v>시멘트,모래,자갈 산출표</v>
          </cell>
        </row>
      </sheetData>
      <sheetData sheetId="4885">
        <row r="1">
          <cell r="A1" t="str">
            <v>시멘트,모래,자갈 산출표</v>
          </cell>
        </row>
      </sheetData>
      <sheetData sheetId="4886">
        <row r="1">
          <cell r="A1" t="str">
            <v>시멘트,모래,자갈 산출표</v>
          </cell>
        </row>
      </sheetData>
      <sheetData sheetId="4887">
        <row r="1">
          <cell r="A1" t="str">
            <v>시멘트,모래,자갈 산출표</v>
          </cell>
        </row>
      </sheetData>
      <sheetData sheetId="4888">
        <row r="1">
          <cell r="A1" t="str">
            <v>시멘트,모래,자갈 산출표</v>
          </cell>
        </row>
      </sheetData>
      <sheetData sheetId="4889">
        <row r="1">
          <cell r="A1" t="str">
            <v>시멘트,모래,자갈 산출표</v>
          </cell>
        </row>
      </sheetData>
      <sheetData sheetId="4890">
        <row r="1">
          <cell r="A1" t="str">
            <v>시멘트,모래,자갈 산출표</v>
          </cell>
        </row>
      </sheetData>
      <sheetData sheetId="4891">
        <row r="1">
          <cell r="A1" t="str">
            <v>시멘트,모래,자갈 산출표</v>
          </cell>
        </row>
      </sheetData>
      <sheetData sheetId="4892">
        <row r="1">
          <cell r="A1" t="str">
            <v>시멘트,모래,자갈 산출표</v>
          </cell>
        </row>
      </sheetData>
      <sheetData sheetId="4893">
        <row r="1">
          <cell r="A1" t="str">
            <v>시멘트,모래,자갈 산출표</v>
          </cell>
        </row>
      </sheetData>
      <sheetData sheetId="4894">
        <row r="1">
          <cell r="A1" t="str">
            <v>시멘트,모래,자갈 산출표</v>
          </cell>
        </row>
      </sheetData>
      <sheetData sheetId="4895">
        <row r="1">
          <cell r="A1" t="str">
            <v>시멘트,모래,자갈 산출표</v>
          </cell>
        </row>
      </sheetData>
      <sheetData sheetId="4896">
        <row r="1">
          <cell r="A1" t="str">
            <v>시멘트,모래,자갈 산출표</v>
          </cell>
        </row>
      </sheetData>
      <sheetData sheetId="4897">
        <row r="1">
          <cell r="A1" t="str">
            <v>시멘트,모래,자갈 산출표</v>
          </cell>
        </row>
      </sheetData>
      <sheetData sheetId="4898">
        <row r="1">
          <cell r="A1" t="str">
            <v>시멘트,모래,자갈 산출표</v>
          </cell>
        </row>
      </sheetData>
      <sheetData sheetId="4899">
        <row r="1">
          <cell r="A1" t="str">
            <v>시멘트,모래,자갈 산출표</v>
          </cell>
        </row>
      </sheetData>
      <sheetData sheetId="4900">
        <row r="1">
          <cell r="A1" t="str">
            <v>시멘트,모래,자갈 산출표</v>
          </cell>
        </row>
      </sheetData>
      <sheetData sheetId="4901">
        <row r="1">
          <cell r="A1" t="str">
            <v>시멘트,모래,자갈 산출표</v>
          </cell>
        </row>
      </sheetData>
      <sheetData sheetId="4902">
        <row r="1">
          <cell r="A1" t="str">
            <v>시멘트,모래,자갈 산출표</v>
          </cell>
        </row>
      </sheetData>
      <sheetData sheetId="4903">
        <row r="1">
          <cell r="A1" t="str">
            <v>시멘트,모래,자갈 산출표</v>
          </cell>
        </row>
      </sheetData>
      <sheetData sheetId="4904">
        <row r="1">
          <cell r="A1" t="str">
            <v>시멘트,모래,자갈 산출표</v>
          </cell>
        </row>
      </sheetData>
      <sheetData sheetId="4905">
        <row r="1">
          <cell r="A1" t="str">
            <v>시멘트,모래,자갈 산출표</v>
          </cell>
        </row>
      </sheetData>
      <sheetData sheetId="4906">
        <row r="1">
          <cell r="A1" t="str">
            <v>시멘트,모래,자갈 산출표</v>
          </cell>
        </row>
      </sheetData>
      <sheetData sheetId="4907">
        <row r="1">
          <cell r="A1" t="str">
            <v>시멘트,모래,자갈 산출표</v>
          </cell>
        </row>
      </sheetData>
      <sheetData sheetId="4908">
        <row r="1">
          <cell r="A1" t="str">
            <v>시멘트,모래,자갈 산출표</v>
          </cell>
        </row>
      </sheetData>
      <sheetData sheetId="4909">
        <row r="1">
          <cell r="A1" t="str">
            <v>시멘트,모래,자갈 산출표</v>
          </cell>
        </row>
      </sheetData>
      <sheetData sheetId="4910">
        <row r="1">
          <cell r="A1" t="str">
            <v>시멘트,모래,자갈 산출표</v>
          </cell>
        </row>
      </sheetData>
      <sheetData sheetId="4911">
        <row r="1">
          <cell r="A1" t="str">
            <v>시멘트,모래,자갈 산출표</v>
          </cell>
        </row>
      </sheetData>
      <sheetData sheetId="4912">
        <row r="1">
          <cell r="A1" t="str">
            <v>시멘트,모래,자갈 산출표</v>
          </cell>
        </row>
      </sheetData>
      <sheetData sheetId="4913">
        <row r="1">
          <cell r="A1" t="str">
            <v>시멘트,모래,자갈 산출표</v>
          </cell>
        </row>
      </sheetData>
      <sheetData sheetId="4914">
        <row r="1">
          <cell r="A1" t="str">
            <v>시멘트,모래,자갈 산출표</v>
          </cell>
        </row>
      </sheetData>
      <sheetData sheetId="4915">
        <row r="1">
          <cell r="A1" t="str">
            <v>시멘트,모래,자갈 산출표</v>
          </cell>
        </row>
      </sheetData>
      <sheetData sheetId="4916">
        <row r="1">
          <cell r="A1" t="str">
            <v>시멘트,모래,자갈 산출표</v>
          </cell>
        </row>
      </sheetData>
      <sheetData sheetId="4917">
        <row r="1">
          <cell r="A1" t="str">
            <v>시멘트,모래,자갈 산출표</v>
          </cell>
        </row>
      </sheetData>
      <sheetData sheetId="4918">
        <row r="1">
          <cell r="A1" t="str">
            <v>시멘트,모래,자갈 산출표</v>
          </cell>
        </row>
      </sheetData>
      <sheetData sheetId="4919">
        <row r="1">
          <cell r="A1" t="str">
            <v>시멘트,모래,자갈 산출표</v>
          </cell>
        </row>
      </sheetData>
      <sheetData sheetId="4920">
        <row r="1">
          <cell r="A1" t="str">
            <v>시멘트,모래,자갈 산출표</v>
          </cell>
        </row>
      </sheetData>
      <sheetData sheetId="4921">
        <row r="1">
          <cell r="A1" t="str">
            <v>시멘트,모래,자갈 산출표</v>
          </cell>
        </row>
      </sheetData>
      <sheetData sheetId="4922">
        <row r="1">
          <cell r="A1" t="str">
            <v>시멘트,모래,자갈 산출표</v>
          </cell>
        </row>
      </sheetData>
      <sheetData sheetId="4923">
        <row r="1">
          <cell r="A1" t="str">
            <v>시멘트,모래,자갈 산출표</v>
          </cell>
        </row>
      </sheetData>
      <sheetData sheetId="4924">
        <row r="1">
          <cell r="A1" t="str">
            <v>시멘트,모래,자갈 산출표</v>
          </cell>
        </row>
      </sheetData>
      <sheetData sheetId="4925">
        <row r="1">
          <cell r="A1" t="str">
            <v>시멘트,모래,자갈 산출표</v>
          </cell>
        </row>
      </sheetData>
      <sheetData sheetId="4926">
        <row r="1">
          <cell r="A1" t="str">
            <v>시멘트,모래,자갈 산출표</v>
          </cell>
        </row>
      </sheetData>
      <sheetData sheetId="4927">
        <row r="1">
          <cell r="A1" t="str">
            <v>시멘트,모래,자갈 산출표</v>
          </cell>
        </row>
      </sheetData>
      <sheetData sheetId="4928">
        <row r="1">
          <cell r="A1" t="str">
            <v>시멘트,모래,자갈 산출표</v>
          </cell>
        </row>
      </sheetData>
      <sheetData sheetId="4929">
        <row r="1">
          <cell r="A1" t="str">
            <v>시멘트,모래,자갈 산출표</v>
          </cell>
        </row>
      </sheetData>
      <sheetData sheetId="4930">
        <row r="1">
          <cell r="A1" t="str">
            <v>시멘트,모래,자갈 산출표</v>
          </cell>
        </row>
      </sheetData>
      <sheetData sheetId="4931">
        <row r="1">
          <cell r="A1" t="str">
            <v>시멘트,모래,자갈 산출표</v>
          </cell>
        </row>
      </sheetData>
      <sheetData sheetId="4932">
        <row r="1">
          <cell r="A1" t="str">
            <v>시멘트,모래,자갈 산출표</v>
          </cell>
        </row>
      </sheetData>
      <sheetData sheetId="4933">
        <row r="1">
          <cell r="A1" t="str">
            <v>시멘트,모래,자갈 산출표</v>
          </cell>
        </row>
      </sheetData>
      <sheetData sheetId="4934">
        <row r="1">
          <cell r="A1" t="str">
            <v>시멘트,모래,자갈 산출표</v>
          </cell>
        </row>
      </sheetData>
      <sheetData sheetId="4935" refreshError="1"/>
      <sheetData sheetId="4936">
        <row r="1">
          <cell r="A1" t="str">
            <v>시멘트,모래,자갈 산출표</v>
          </cell>
        </row>
      </sheetData>
      <sheetData sheetId="4937" refreshError="1"/>
      <sheetData sheetId="4938" refreshError="1"/>
      <sheetData sheetId="4939" refreshError="1"/>
      <sheetData sheetId="4940" refreshError="1"/>
      <sheetData sheetId="4941" refreshError="1"/>
      <sheetData sheetId="4942" refreshError="1"/>
      <sheetData sheetId="4943" refreshError="1"/>
      <sheetData sheetId="4944" refreshError="1"/>
      <sheetData sheetId="4945" refreshError="1"/>
      <sheetData sheetId="4946" refreshError="1"/>
      <sheetData sheetId="4947" refreshError="1"/>
      <sheetData sheetId="4948" refreshError="1"/>
      <sheetData sheetId="4949" refreshError="1"/>
      <sheetData sheetId="4950" refreshError="1"/>
      <sheetData sheetId="4951" refreshError="1"/>
      <sheetData sheetId="4952" refreshError="1"/>
      <sheetData sheetId="4953" refreshError="1"/>
      <sheetData sheetId="4954" refreshError="1"/>
      <sheetData sheetId="4955" refreshError="1"/>
      <sheetData sheetId="4956" refreshError="1"/>
      <sheetData sheetId="4957" refreshError="1"/>
      <sheetData sheetId="4958" refreshError="1"/>
      <sheetData sheetId="4959" refreshError="1"/>
      <sheetData sheetId="4960" refreshError="1"/>
      <sheetData sheetId="4961" refreshError="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 refreshError="1"/>
      <sheetData sheetId="4981" refreshError="1"/>
      <sheetData sheetId="4982" refreshError="1"/>
      <sheetData sheetId="4983" refreshError="1"/>
      <sheetData sheetId="4984" refreshError="1"/>
      <sheetData sheetId="4985" refreshError="1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 refreshError="1"/>
      <sheetData sheetId="4997" refreshError="1"/>
      <sheetData sheetId="4998" refreshError="1"/>
      <sheetData sheetId="4999" refreshError="1"/>
      <sheetData sheetId="5000" refreshError="1"/>
      <sheetData sheetId="5001" refreshError="1"/>
      <sheetData sheetId="5002" refreshError="1"/>
      <sheetData sheetId="5003" refreshError="1"/>
      <sheetData sheetId="5004" refreshError="1"/>
      <sheetData sheetId="5005" refreshError="1"/>
      <sheetData sheetId="5006" refreshError="1"/>
      <sheetData sheetId="5007" refreshError="1"/>
      <sheetData sheetId="5008" refreshError="1"/>
      <sheetData sheetId="5009" refreshError="1"/>
      <sheetData sheetId="5010" refreshError="1"/>
      <sheetData sheetId="5011" refreshError="1"/>
      <sheetData sheetId="5012" refreshError="1"/>
      <sheetData sheetId="5013" refreshError="1"/>
      <sheetData sheetId="5014" refreshError="1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 refreshError="1"/>
      <sheetData sheetId="5022" refreshError="1"/>
      <sheetData sheetId="5023" refreshError="1"/>
      <sheetData sheetId="5024" refreshError="1"/>
      <sheetData sheetId="5025" refreshError="1"/>
      <sheetData sheetId="5026" refreshError="1"/>
      <sheetData sheetId="5027" refreshError="1"/>
      <sheetData sheetId="5028" refreshError="1"/>
      <sheetData sheetId="5029" refreshError="1"/>
      <sheetData sheetId="5030" refreshError="1"/>
      <sheetData sheetId="5031" refreshError="1"/>
      <sheetData sheetId="5032" refreshError="1"/>
      <sheetData sheetId="5033" refreshError="1"/>
      <sheetData sheetId="5034" refreshError="1"/>
      <sheetData sheetId="5035" refreshError="1"/>
      <sheetData sheetId="5036" refreshError="1"/>
      <sheetData sheetId="5037" refreshError="1"/>
      <sheetData sheetId="5038"/>
      <sheetData sheetId="5039" refreshError="1"/>
      <sheetData sheetId="5040" refreshError="1"/>
      <sheetData sheetId="5041" refreshError="1"/>
      <sheetData sheetId="5042" refreshError="1"/>
      <sheetData sheetId="5043" refreshError="1"/>
      <sheetData sheetId="5044" refreshError="1"/>
      <sheetData sheetId="5045" refreshError="1"/>
      <sheetData sheetId="5046" refreshError="1"/>
      <sheetData sheetId="5047" refreshError="1"/>
      <sheetData sheetId="5048" refreshError="1"/>
      <sheetData sheetId="5049" refreshError="1"/>
      <sheetData sheetId="5050" refreshError="1"/>
      <sheetData sheetId="5051" refreshError="1"/>
      <sheetData sheetId="5052" refreshError="1"/>
      <sheetData sheetId="5053" refreshError="1"/>
      <sheetData sheetId="5054" refreshError="1"/>
      <sheetData sheetId="5055" refreshError="1"/>
      <sheetData sheetId="5056" refreshError="1"/>
      <sheetData sheetId="5057" refreshError="1"/>
      <sheetData sheetId="5058" refreshError="1"/>
      <sheetData sheetId="5059" refreshError="1"/>
      <sheetData sheetId="5060" refreshError="1"/>
      <sheetData sheetId="5061" refreshError="1"/>
      <sheetData sheetId="5062" refreshError="1"/>
      <sheetData sheetId="5063" refreshError="1"/>
      <sheetData sheetId="5064" refreshError="1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 refreshError="1"/>
      <sheetData sheetId="5078" refreshError="1"/>
      <sheetData sheetId="5079" refreshError="1"/>
      <sheetData sheetId="5080" refreshError="1"/>
      <sheetData sheetId="5081" refreshError="1"/>
      <sheetData sheetId="5082" refreshError="1"/>
      <sheetData sheetId="5083" refreshError="1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/>
      <sheetData sheetId="5111"/>
      <sheetData sheetId="5112" refreshError="1"/>
      <sheetData sheetId="5113"/>
      <sheetData sheetId="5114"/>
      <sheetData sheetId="5115"/>
      <sheetData sheetId="5116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/>
      <sheetData sheetId="5217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 refreshError="1"/>
      <sheetData sheetId="5226" refreshError="1"/>
      <sheetData sheetId="5227" refreshError="1"/>
      <sheetData sheetId="5228" refreshError="1"/>
      <sheetData sheetId="5229" refreshError="1"/>
      <sheetData sheetId="5230"/>
      <sheetData sheetId="5231"/>
      <sheetData sheetId="5232" refreshError="1"/>
      <sheetData sheetId="5233" refreshError="1"/>
      <sheetData sheetId="5234" refreshError="1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/>
      <sheetData sheetId="5242" refreshError="1"/>
      <sheetData sheetId="5243" refreshError="1"/>
      <sheetData sheetId="5244" refreshError="1"/>
      <sheetData sheetId="5245"/>
      <sheetData sheetId="5246" refreshError="1"/>
      <sheetData sheetId="5247" refreshError="1"/>
      <sheetData sheetId="5248" refreshError="1"/>
      <sheetData sheetId="5249"/>
      <sheetData sheetId="5250" refreshError="1"/>
      <sheetData sheetId="5251" refreshError="1"/>
      <sheetData sheetId="5252" refreshError="1"/>
      <sheetData sheetId="5253" refreshError="1"/>
      <sheetData sheetId="5254" refreshError="1"/>
      <sheetData sheetId="5255" refreshError="1"/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 refreshError="1"/>
      <sheetData sheetId="5269" refreshError="1"/>
      <sheetData sheetId="5270" refreshError="1"/>
      <sheetData sheetId="5271" refreshError="1"/>
      <sheetData sheetId="5272" refreshError="1"/>
      <sheetData sheetId="5273" refreshError="1"/>
      <sheetData sheetId="5274" refreshError="1"/>
      <sheetData sheetId="5275" refreshError="1"/>
      <sheetData sheetId="5276" refreshError="1"/>
      <sheetData sheetId="5277" refreshError="1"/>
      <sheetData sheetId="5278" refreshError="1"/>
      <sheetData sheetId="5279" refreshError="1"/>
      <sheetData sheetId="5280" refreshError="1"/>
      <sheetData sheetId="5281" refreshError="1"/>
      <sheetData sheetId="5282" refreshError="1"/>
      <sheetData sheetId="5283" refreshError="1"/>
      <sheetData sheetId="5284" refreshError="1"/>
      <sheetData sheetId="5285" refreshError="1"/>
      <sheetData sheetId="5286" refreshError="1"/>
      <sheetData sheetId="5287" refreshError="1"/>
      <sheetData sheetId="5288" refreshError="1"/>
      <sheetData sheetId="5289" refreshError="1"/>
      <sheetData sheetId="5290" refreshError="1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 refreshError="1"/>
      <sheetData sheetId="5304" refreshError="1"/>
      <sheetData sheetId="5305" refreshError="1"/>
      <sheetData sheetId="5306" refreshError="1"/>
      <sheetData sheetId="5307" refreshError="1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/>
      <sheetData sheetId="5326"/>
      <sheetData sheetId="5327"/>
      <sheetData sheetId="5328"/>
      <sheetData sheetId="5329"/>
      <sheetData sheetId="5330"/>
      <sheetData sheetId="5331"/>
      <sheetData sheetId="5332"/>
      <sheetData sheetId="5333"/>
      <sheetData sheetId="5334"/>
      <sheetData sheetId="5335"/>
      <sheetData sheetId="5336"/>
      <sheetData sheetId="5337"/>
      <sheetData sheetId="5338"/>
      <sheetData sheetId="5339"/>
      <sheetData sheetId="5340"/>
      <sheetData sheetId="5341"/>
      <sheetData sheetId="5342"/>
      <sheetData sheetId="5343"/>
      <sheetData sheetId="5344"/>
      <sheetData sheetId="5345"/>
      <sheetData sheetId="5346"/>
      <sheetData sheetId="5347"/>
      <sheetData sheetId="5348"/>
      <sheetData sheetId="5349"/>
      <sheetData sheetId="5350"/>
      <sheetData sheetId="5351"/>
      <sheetData sheetId="5352"/>
      <sheetData sheetId="5353"/>
      <sheetData sheetId="5354" refreshError="1"/>
      <sheetData sheetId="5355"/>
      <sheetData sheetId="5356"/>
      <sheetData sheetId="5357"/>
      <sheetData sheetId="5358"/>
      <sheetData sheetId="5359"/>
      <sheetData sheetId="5360"/>
      <sheetData sheetId="5361"/>
      <sheetData sheetId="5362"/>
      <sheetData sheetId="5363" refreshError="1"/>
      <sheetData sheetId="5364" refreshError="1"/>
      <sheetData sheetId="5365" refreshError="1"/>
      <sheetData sheetId="5366" refreshError="1"/>
      <sheetData sheetId="5367" refreshError="1"/>
      <sheetData sheetId="5368" refreshError="1"/>
      <sheetData sheetId="5369" refreshError="1"/>
      <sheetData sheetId="5370" refreshError="1"/>
      <sheetData sheetId="5371" refreshError="1"/>
      <sheetData sheetId="5372" refreshError="1"/>
      <sheetData sheetId="5373" refreshError="1"/>
      <sheetData sheetId="5374" refreshError="1"/>
      <sheetData sheetId="5375" refreshError="1"/>
      <sheetData sheetId="5376" refreshError="1"/>
      <sheetData sheetId="5377" refreshError="1"/>
      <sheetData sheetId="5378" refreshError="1"/>
      <sheetData sheetId="5379" refreshError="1"/>
      <sheetData sheetId="5380"/>
      <sheetData sheetId="5381" refreshError="1"/>
      <sheetData sheetId="5382" refreshError="1"/>
      <sheetData sheetId="5383" refreshError="1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/>
      <sheetData sheetId="5390"/>
      <sheetData sheetId="5391"/>
      <sheetData sheetId="5392"/>
      <sheetData sheetId="5393"/>
      <sheetData sheetId="5394"/>
      <sheetData sheetId="5395"/>
      <sheetData sheetId="5396"/>
      <sheetData sheetId="5397"/>
      <sheetData sheetId="5398"/>
      <sheetData sheetId="5399"/>
      <sheetData sheetId="5400"/>
      <sheetData sheetId="5401"/>
      <sheetData sheetId="5402"/>
      <sheetData sheetId="5403"/>
      <sheetData sheetId="5404"/>
      <sheetData sheetId="5405"/>
      <sheetData sheetId="5406"/>
      <sheetData sheetId="5407"/>
      <sheetData sheetId="5408"/>
      <sheetData sheetId="5409"/>
      <sheetData sheetId="5410"/>
      <sheetData sheetId="5411" refreshError="1"/>
      <sheetData sheetId="5412"/>
      <sheetData sheetId="5413" refreshError="1"/>
      <sheetData sheetId="5414" refreshError="1"/>
      <sheetData sheetId="5415" refreshError="1"/>
      <sheetData sheetId="5416" refreshError="1"/>
      <sheetData sheetId="5417" refreshError="1"/>
      <sheetData sheetId="5418" refreshError="1"/>
      <sheetData sheetId="5419" refreshError="1"/>
      <sheetData sheetId="5420" refreshError="1"/>
      <sheetData sheetId="5421" refreshError="1"/>
      <sheetData sheetId="5422" refreshError="1"/>
      <sheetData sheetId="5423"/>
      <sheetData sheetId="5424"/>
      <sheetData sheetId="5425"/>
      <sheetData sheetId="5426"/>
      <sheetData sheetId="5427" refreshError="1"/>
      <sheetData sheetId="5428" refreshError="1"/>
      <sheetData sheetId="5429" refreshError="1"/>
      <sheetData sheetId="5430" refreshError="1"/>
      <sheetData sheetId="5431" refreshError="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 refreshError="1"/>
      <sheetData sheetId="5441" refreshError="1"/>
      <sheetData sheetId="5442" refreshError="1"/>
      <sheetData sheetId="5443" refreshError="1"/>
      <sheetData sheetId="5444" refreshError="1"/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/>
      <sheetData sheetId="5485"/>
      <sheetData sheetId="5486"/>
      <sheetData sheetId="5487"/>
      <sheetData sheetId="5488"/>
      <sheetData sheetId="5489"/>
      <sheetData sheetId="5490"/>
      <sheetData sheetId="5491"/>
      <sheetData sheetId="5492"/>
      <sheetData sheetId="5493"/>
      <sheetData sheetId="5494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/>
      <sheetData sheetId="5523"/>
      <sheetData sheetId="5524" refreshError="1"/>
      <sheetData sheetId="5525"/>
      <sheetData sheetId="5526"/>
      <sheetData sheetId="5527"/>
      <sheetData sheetId="5528"/>
      <sheetData sheetId="5529"/>
      <sheetData sheetId="5530"/>
      <sheetData sheetId="5531"/>
      <sheetData sheetId="5532" refreshError="1"/>
      <sheetData sheetId="5533" refreshError="1"/>
      <sheetData sheetId="5534" refreshError="1"/>
      <sheetData sheetId="5535"/>
      <sheetData sheetId="5536"/>
      <sheetData sheetId="5537"/>
      <sheetData sheetId="5538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 refreshError="1"/>
      <sheetData sheetId="5545" refreshError="1"/>
      <sheetData sheetId="5546"/>
      <sheetData sheetId="5547" refreshError="1"/>
      <sheetData sheetId="5548"/>
      <sheetData sheetId="5549" refreshError="1"/>
      <sheetData sheetId="5550" refreshError="1"/>
      <sheetData sheetId="5551" refreshError="1"/>
      <sheetData sheetId="5552" refreshError="1"/>
      <sheetData sheetId="5553" refreshError="1"/>
      <sheetData sheetId="5554" refreshError="1"/>
      <sheetData sheetId="5555" refreshError="1"/>
      <sheetData sheetId="5556" refreshError="1"/>
      <sheetData sheetId="5557" refreshError="1"/>
      <sheetData sheetId="5558" refreshError="1"/>
      <sheetData sheetId="5559" refreshError="1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 refreshError="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 refreshError="1"/>
      <sheetData sheetId="5665" refreshError="1"/>
      <sheetData sheetId="5666" refreshError="1"/>
      <sheetData sheetId="5667" refreshError="1"/>
      <sheetData sheetId="5668" refreshError="1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 refreshError="1"/>
      <sheetData sheetId="5683" refreshError="1"/>
      <sheetData sheetId="5684" refreshError="1"/>
      <sheetData sheetId="5685" refreshError="1"/>
      <sheetData sheetId="5686" refreshError="1"/>
      <sheetData sheetId="5687" refreshError="1"/>
      <sheetData sheetId="5688" refreshError="1"/>
      <sheetData sheetId="5689" refreshError="1"/>
      <sheetData sheetId="5690" refreshError="1"/>
      <sheetData sheetId="5691" refreshError="1"/>
      <sheetData sheetId="5692" refreshError="1"/>
      <sheetData sheetId="5693" refreshError="1"/>
      <sheetData sheetId="5694" refreshError="1"/>
      <sheetData sheetId="5695" refreshError="1"/>
      <sheetData sheetId="5696" refreshError="1"/>
      <sheetData sheetId="5697" refreshError="1"/>
      <sheetData sheetId="5698" refreshError="1"/>
      <sheetData sheetId="5699" refreshError="1"/>
      <sheetData sheetId="5700" refreshError="1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 refreshError="1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 refreshError="1"/>
      <sheetData sheetId="5741" refreshError="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 refreshError="1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 refreshError="1"/>
      <sheetData sheetId="5757" refreshError="1"/>
      <sheetData sheetId="5758" refreshError="1"/>
      <sheetData sheetId="5759" refreshError="1"/>
      <sheetData sheetId="5760" refreshError="1"/>
      <sheetData sheetId="5761" refreshError="1"/>
      <sheetData sheetId="5762" refreshError="1"/>
      <sheetData sheetId="5763" refreshError="1"/>
      <sheetData sheetId="5764" refreshError="1"/>
      <sheetData sheetId="5765" refreshError="1"/>
      <sheetData sheetId="5766" refreshError="1"/>
      <sheetData sheetId="5767" refreshError="1"/>
      <sheetData sheetId="5768" refreshError="1"/>
      <sheetData sheetId="5769" refreshError="1"/>
      <sheetData sheetId="5770" refreshError="1"/>
      <sheetData sheetId="5771" refreshError="1"/>
      <sheetData sheetId="5772" refreshError="1"/>
      <sheetData sheetId="5773" refreshError="1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 refreshError="1"/>
      <sheetData sheetId="5782" refreshError="1"/>
      <sheetData sheetId="5783" refreshError="1"/>
      <sheetData sheetId="5784" refreshError="1"/>
      <sheetData sheetId="5785" refreshError="1"/>
      <sheetData sheetId="5786" refreshError="1"/>
      <sheetData sheetId="5787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 refreshError="1"/>
      <sheetData sheetId="5805" refreshError="1"/>
      <sheetData sheetId="5806"/>
      <sheetData sheetId="5807" refreshError="1"/>
      <sheetData sheetId="5808" refreshError="1"/>
      <sheetData sheetId="5809" refreshError="1"/>
      <sheetData sheetId="5810" refreshError="1"/>
      <sheetData sheetId="5811" refreshError="1"/>
      <sheetData sheetId="5812" refreshError="1"/>
      <sheetData sheetId="5813" refreshError="1"/>
      <sheetData sheetId="5814" refreshError="1"/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 refreshError="1"/>
      <sheetData sheetId="5822" refreshError="1"/>
      <sheetData sheetId="5823" refreshError="1"/>
      <sheetData sheetId="5824" refreshError="1"/>
      <sheetData sheetId="5825" refreshError="1"/>
      <sheetData sheetId="5826" refreshError="1"/>
      <sheetData sheetId="5827"/>
      <sheetData sheetId="5828"/>
      <sheetData sheetId="5829" refreshError="1"/>
      <sheetData sheetId="5830"/>
      <sheetData sheetId="5831"/>
      <sheetData sheetId="5832" refreshError="1"/>
      <sheetData sheetId="5833" refreshError="1"/>
      <sheetData sheetId="5834" refreshError="1"/>
      <sheetData sheetId="5835" refreshError="1"/>
      <sheetData sheetId="5836" refreshError="1"/>
      <sheetData sheetId="5837" refreshError="1"/>
      <sheetData sheetId="5838" refreshError="1"/>
      <sheetData sheetId="5839" refreshError="1"/>
      <sheetData sheetId="5840" refreshError="1"/>
      <sheetData sheetId="5841" refreshError="1"/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 refreshError="1"/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 refreshError="1"/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/>
      <sheetData sheetId="5873" refreshError="1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/>
      <sheetData sheetId="5889"/>
      <sheetData sheetId="5890"/>
      <sheetData sheetId="5891"/>
      <sheetData sheetId="5892"/>
      <sheetData sheetId="5893"/>
      <sheetData sheetId="5894"/>
      <sheetData sheetId="5895"/>
      <sheetData sheetId="5896"/>
      <sheetData sheetId="5897"/>
      <sheetData sheetId="5898"/>
      <sheetData sheetId="5899"/>
      <sheetData sheetId="5900"/>
      <sheetData sheetId="5901"/>
      <sheetData sheetId="5902"/>
      <sheetData sheetId="5903" refreshError="1"/>
      <sheetData sheetId="5904" refreshError="1"/>
      <sheetData sheetId="5905" refreshError="1"/>
      <sheetData sheetId="5906" refreshError="1"/>
      <sheetData sheetId="5907" refreshError="1"/>
      <sheetData sheetId="5908"/>
      <sheetData sheetId="5909"/>
      <sheetData sheetId="5910" refreshError="1"/>
      <sheetData sheetId="5911" refreshError="1"/>
      <sheetData sheetId="5912" refreshError="1"/>
      <sheetData sheetId="5913" refreshError="1"/>
      <sheetData sheetId="5914" refreshError="1"/>
      <sheetData sheetId="5915" refreshError="1"/>
      <sheetData sheetId="5916" refreshError="1"/>
      <sheetData sheetId="5917" refreshError="1"/>
      <sheetData sheetId="5918" refreshError="1"/>
      <sheetData sheetId="5919" refreshError="1"/>
      <sheetData sheetId="5920" refreshError="1"/>
      <sheetData sheetId="5921" refreshError="1"/>
      <sheetData sheetId="5922" refreshError="1"/>
      <sheetData sheetId="5923" refreshError="1"/>
      <sheetData sheetId="5924" refreshError="1"/>
      <sheetData sheetId="5925" refreshError="1"/>
      <sheetData sheetId="5926" refreshError="1"/>
      <sheetData sheetId="5927" refreshError="1"/>
      <sheetData sheetId="5928" refreshError="1"/>
      <sheetData sheetId="5929" refreshError="1"/>
      <sheetData sheetId="5930" refreshError="1"/>
      <sheetData sheetId="5931" refreshError="1"/>
      <sheetData sheetId="5932" refreshError="1"/>
      <sheetData sheetId="5933" refreshError="1"/>
      <sheetData sheetId="5934" refreshError="1"/>
      <sheetData sheetId="5935" refreshError="1"/>
      <sheetData sheetId="5936" refreshError="1"/>
      <sheetData sheetId="5937" refreshError="1"/>
      <sheetData sheetId="5938" refreshError="1"/>
      <sheetData sheetId="5939" refreshError="1"/>
      <sheetData sheetId="5940" refreshError="1"/>
      <sheetData sheetId="5941" refreshError="1"/>
      <sheetData sheetId="5942" refreshError="1"/>
      <sheetData sheetId="5943" refreshError="1"/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 refreshError="1"/>
      <sheetData sheetId="5953" refreshError="1"/>
      <sheetData sheetId="5954" refreshError="1"/>
      <sheetData sheetId="5955" refreshError="1"/>
      <sheetData sheetId="5956" refreshError="1"/>
      <sheetData sheetId="5957" refreshError="1"/>
      <sheetData sheetId="5958" refreshError="1"/>
      <sheetData sheetId="5959" refreshError="1"/>
      <sheetData sheetId="5960" refreshError="1"/>
      <sheetData sheetId="5961" refreshError="1"/>
      <sheetData sheetId="5962" refreshError="1"/>
      <sheetData sheetId="5963" refreshError="1"/>
      <sheetData sheetId="5964" refreshError="1"/>
      <sheetData sheetId="5965" refreshError="1"/>
      <sheetData sheetId="5966" refreshError="1"/>
      <sheetData sheetId="5967" refreshError="1"/>
      <sheetData sheetId="5968" refreshError="1"/>
      <sheetData sheetId="5969" refreshError="1"/>
      <sheetData sheetId="5970" refreshError="1"/>
      <sheetData sheetId="5971" refreshError="1"/>
      <sheetData sheetId="5972" refreshError="1"/>
      <sheetData sheetId="5973" refreshError="1"/>
      <sheetData sheetId="5974" refreshError="1"/>
      <sheetData sheetId="5975" refreshError="1"/>
      <sheetData sheetId="5976" refreshError="1"/>
      <sheetData sheetId="5977" refreshError="1"/>
      <sheetData sheetId="5978" refreshError="1"/>
      <sheetData sheetId="5979" refreshError="1"/>
      <sheetData sheetId="5980" refreshError="1"/>
      <sheetData sheetId="5981" refreshError="1"/>
      <sheetData sheetId="5982" refreshError="1"/>
      <sheetData sheetId="5983" refreshError="1"/>
      <sheetData sheetId="5984" refreshError="1"/>
      <sheetData sheetId="5985" refreshError="1"/>
      <sheetData sheetId="5986" refreshError="1"/>
      <sheetData sheetId="5987" refreshError="1"/>
      <sheetData sheetId="5988" refreshError="1"/>
      <sheetData sheetId="5989" refreshError="1"/>
      <sheetData sheetId="5990" refreshError="1"/>
      <sheetData sheetId="5991" refreshError="1"/>
      <sheetData sheetId="5992" refreshError="1"/>
      <sheetData sheetId="5993" refreshError="1"/>
      <sheetData sheetId="5994" refreshError="1"/>
      <sheetData sheetId="5995" refreshError="1"/>
      <sheetData sheetId="5996" refreshError="1"/>
      <sheetData sheetId="5997" refreshError="1"/>
      <sheetData sheetId="5998" refreshError="1"/>
      <sheetData sheetId="5999" refreshError="1"/>
      <sheetData sheetId="6000" refreshError="1"/>
      <sheetData sheetId="6001" refreshError="1"/>
      <sheetData sheetId="6002" refreshError="1"/>
      <sheetData sheetId="6003" refreshError="1"/>
      <sheetData sheetId="6004" refreshError="1"/>
      <sheetData sheetId="6005" refreshError="1"/>
      <sheetData sheetId="6006" refreshError="1"/>
      <sheetData sheetId="6007" refreshError="1"/>
      <sheetData sheetId="6008" refreshError="1"/>
      <sheetData sheetId="6009" refreshError="1"/>
      <sheetData sheetId="6010" refreshError="1"/>
      <sheetData sheetId="6011" refreshError="1"/>
      <sheetData sheetId="6012" refreshError="1"/>
      <sheetData sheetId="6013" refreshError="1"/>
      <sheetData sheetId="6014" refreshError="1"/>
      <sheetData sheetId="6015" refreshError="1"/>
      <sheetData sheetId="6016" refreshError="1"/>
      <sheetData sheetId="6017" refreshError="1"/>
      <sheetData sheetId="6018" refreshError="1"/>
      <sheetData sheetId="6019" refreshError="1"/>
      <sheetData sheetId="6020" refreshError="1"/>
      <sheetData sheetId="6021" refreshError="1"/>
      <sheetData sheetId="6022" refreshError="1"/>
      <sheetData sheetId="6023" refreshError="1"/>
      <sheetData sheetId="6024" refreshError="1"/>
      <sheetData sheetId="6025" refreshError="1"/>
      <sheetData sheetId="6026" refreshError="1"/>
      <sheetData sheetId="6027" refreshError="1"/>
      <sheetData sheetId="6028" refreshError="1"/>
      <sheetData sheetId="6029" refreshError="1"/>
      <sheetData sheetId="6030" refreshError="1"/>
      <sheetData sheetId="6031" refreshError="1"/>
      <sheetData sheetId="6032" refreshError="1"/>
      <sheetData sheetId="6033" refreshError="1"/>
      <sheetData sheetId="6034" refreshError="1"/>
      <sheetData sheetId="6035" refreshError="1"/>
      <sheetData sheetId="6036" refreshError="1"/>
      <sheetData sheetId="6037" refreshError="1"/>
      <sheetData sheetId="6038" refreshError="1"/>
      <sheetData sheetId="6039" refreshError="1"/>
      <sheetData sheetId="6040" refreshError="1"/>
      <sheetData sheetId="6041" refreshError="1"/>
      <sheetData sheetId="6042" refreshError="1"/>
      <sheetData sheetId="6043" refreshError="1"/>
      <sheetData sheetId="6044" refreshError="1"/>
      <sheetData sheetId="6045" refreshError="1"/>
      <sheetData sheetId="6046" refreshError="1"/>
      <sheetData sheetId="6047" refreshError="1"/>
      <sheetData sheetId="6048" refreshError="1"/>
      <sheetData sheetId="6049" refreshError="1"/>
      <sheetData sheetId="6050" refreshError="1"/>
      <sheetData sheetId="6051" refreshError="1"/>
      <sheetData sheetId="6052" refreshError="1"/>
      <sheetData sheetId="6053" refreshError="1"/>
      <sheetData sheetId="6054" refreshError="1"/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 refreshError="1"/>
      <sheetData sheetId="6063" refreshError="1"/>
      <sheetData sheetId="6064" refreshError="1"/>
      <sheetData sheetId="6065" refreshError="1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 refreshError="1"/>
      <sheetData sheetId="6085" refreshError="1"/>
      <sheetData sheetId="6086" refreshError="1"/>
      <sheetData sheetId="6087" refreshError="1"/>
      <sheetData sheetId="6088" refreshError="1"/>
      <sheetData sheetId="6089" refreshError="1"/>
      <sheetData sheetId="6090" refreshError="1"/>
      <sheetData sheetId="6091" refreshError="1"/>
      <sheetData sheetId="6092" refreshError="1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 refreshError="1"/>
      <sheetData sheetId="6102" refreshError="1"/>
      <sheetData sheetId="6103" refreshError="1"/>
      <sheetData sheetId="6104" refreshError="1"/>
      <sheetData sheetId="6105" refreshError="1"/>
      <sheetData sheetId="6106" refreshError="1"/>
      <sheetData sheetId="6107" refreshError="1"/>
      <sheetData sheetId="6108" refreshError="1"/>
      <sheetData sheetId="6109" refreshError="1"/>
      <sheetData sheetId="6110" refreshError="1"/>
      <sheetData sheetId="6111"/>
      <sheetData sheetId="6112"/>
      <sheetData sheetId="6113"/>
      <sheetData sheetId="6114"/>
      <sheetData sheetId="6115"/>
      <sheetData sheetId="6116"/>
      <sheetData sheetId="6117"/>
      <sheetData sheetId="6118"/>
      <sheetData sheetId="6119"/>
      <sheetData sheetId="6120"/>
      <sheetData sheetId="6121"/>
      <sheetData sheetId="6122"/>
      <sheetData sheetId="6123"/>
      <sheetData sheetId="6124"/>
      <sheetData sheetId="6125"/>
      <sheetData sheetId="6126"/>
      <sheetData sheetId="6127"/>
      <sheetData sheetId="6128"/>
      <sheetData sheetId="6129"/>
      <sheetData sheetId="6130"/>
      <sheetData sheetId="6131"/>
      <sheetData sheetId="6132"/>
      <sheetData sheetId="6133"/>
      <sheetData sheetId="6134"/>
      <sheetData sheetId="6135"/>
      <sheetData sheetId="6136"/>
      <sheetData sheetId="6137"/>
      <sheetData sheetId="6138"/>
      <sheetData sheetId="6139"/>
      <sheetData sheetId="6140"/>
      <sheetData sheetId="6141"/>
      <sheetData sheetId="6142"/>
      <sheetData sheetId="6143"/>
      <sheetData sheetId="6144"/>
      <sheetData sheetId="6145"/>
      <sheetData sheetId="6146"/>
      <sheetData sheetId="6147"/>
      <sheetData sheetId="6148"/>
      <sheetData sheetId="6149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 refreshError="1"/>
      <sheetData sheetId="6169" refreshError="1"/>
      <sheetData sheetId="6170" refreshError="1"/>
      <sheetData sheetId="6171" refreshError="1"/>
      <sheetData sheetId="6172" refreshError="1"/>
      <sheetData sheetId="6173" refreshError="1"/>
      <sheetData sheetId="6174" refreshError="1"/>
      <sheetData sheetId="6175"/>
      <sheetData sheetId="6176" refreshError="1"/>
      <sheetData sheetId="6177" refreshError="1"/>
      <sheetData sheetId="6178" refreshError="1"/>
      <sheetData sheetId="6179" refreshError="1"/>
      <sheetData sheetId="6180" refreshError="1"/>
      <sheetData sheetId="6181" refreshError="1"/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 refreshError="1"/>
      <sheetData sheetId="6202" refreshError="1"/>
      <sheetData sheetId="6203" refreshError="1"/>
      <sheetData sheetId="6204" refreshError="1"/>
      <sheetData sheetId="6205" refreshError="1"/>
      <sheetData sheetId="6206" refreshError="1"/>
      <sheetData sheetId="6207" refreshError="1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/>
      <sheetData sheetId="6231"/>
      <sheetData sheetId="6232"/>
      <sheetData sheetId="6233"/>
      <sheetData sheetId="6234"/>
      <sheetData sheetId="6235"/>
      <sheetData sheetId="6236"/>
      <sheetData sheetId="6237"/>
      <sheetData sheetId="6238"/>
      <sheetData sheetId="6239"/>
      <sheetData sheetId="6240"/>
      <sheetData sheetId="6241"/>
      <sheetData sheetId="6242"/>
      <sheetData sheetId="6243"/>
      <sheetData sheetId="6244"/>
      <sheetData sheetId="6245"/>
      <sheetData sheetId="6246"/>
      <sheetData sheetId="6247"/>
      <sheetData sheetId="6248"/>
      <sheetData sheetId="6249"/>
      <sheetData sheetId="6250"/>
      <sheetData sheetId="6251"/>
      <sheetData sheetId="6252" refreshError="1"/>
      <sheetData sheetId="6253" refreshError="1"/>
      <sheetData sheetId="6254" refreshError="1"/>
      <sheetData sheetId="6255" refreshError="1"/>
      <sheetData sheetId="6256" refreshError="1"/>
      <sheetData sheetId="6257" refreshError="1"/>
      <sheetData sheetId="6258" refreshError="1"/>
      <sheetData sheetId="6259" refreshError="1"/>
      <sheetData sheetId="6260" refreshError="1"/>
      <sheetData sheetId="6261" refreshError="1"/>
      <sheetData sheetId="6262" refreshError="1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 refreshError="1"/>
      <sheetData sheetId="6269" refreshError="1"/>
      <sheetData sheetId="6270" refreshError="1"/>
      <sheetData sheetId="6271" refreshError="1"/>
      <sheetData sheetId="6272" refreshError="1"/>
      <sheetData sheetId="6273" refreshError="1"/>
      <sheetData sheetId="6274" refreshError="1"/>
      <sheetData sheetId="6275" refreshError="1"/>
      <sheetData sheetId="6276" refreshError="1"/>
      <sheetData sheetId="6277" refreshError="1"/>
      <sheetData sheetId="6278" refreshError="1"/>
      <sheetData sheetId="6279" refreshError="1"/>
      <sheetData sheetId="6280" refreshError="1"/>
      <sheetData sheetId="6281" refreshError="1"/>
      <sheetData sheetId="6282" refreshError="1"/>
      <sheetData sheetId="6283" refreshError="1"/>
      <sheetData sheetId="6284" refreshError="1"/>
      <sheetData sheetId="6285" refreshError="1"/>
      <sheetData sheetId="6286" refreshError="1"/>
      <sheetData sheetId="6287" refreshError="1"/>
      <sheetData sheetId="6288" refreshError="1"/>
      <sheetData sheetId="6289"/>
      <sheetData sheetId="6290" refreshError="1"/>
      <sheetData sheetId="6291" refreshError="1"/>
      <sheetData sheetId="6292" refreshError="1"/>
      <sheetData sheetId="6293" refreshError="1"/>
      <sheetData sheetId="6294" refreshError="1"/>
      <sheetData sheetId="6295" refreshError="1"/>
      <sheetData sheetId="6296" refreshError="1"/>
      <sheetData sheetId="6297" refreshError="1"/>
      <sheetData sheetId="6298" refreshError="1"/>
      <sheetData sheetId="6299" refreshError="1"/>
      <sheetData sheetId="6300" refreshError="1"/>
      <sheetData sheetId="6301" refreshError="1"/>
      <sheetData sheetId="6302" refreshError="1"/>
      <sheetData sheetId="6303" refreshError="1"/>
      <sheetData sheetId="6304" refreshError="1"/>
      <sheetData sheetId="6305" refreshError="1"/>
      <sheetData sheetId="6306" refreshError="1"/>
      <sheetData sheetId="6307" refreshError="1"/>
      <sheetData sheetId="6308" refreshError="1"/>
      <sheetData sheetId="6309" refreshError="1"/>
      <sheetData sheetId="6310" refreshError="1"/>
      <sheetData sheetId="6311" refreshError="1"/>
      <sheetData sheetId="6312" refreshError="1"/>
      <sheetData sheetId="6313" refreshError="1"/>
      <sheetData sheetId="6314" refreshError="1"/>
      <sheetData sheetId="6315" refreshError="1"/>
      <sheetData sheetId="6316" refreshError="1"/>
      <sheetData sheetId="6317" refreshError="1"/>
      <sheetData sheetId="6318" refreshError="1"/>
      <sheetData sheetId="6319" refreshError="1"/>
      <sheetData sheetId="6320" refreshError="1"/>
      <sheetData sheetId="6321"/>
      <sheetData sheetId="6322"/>
      <sheetData sheetId="6323" refreshError="1"/>
      <sheetData sheetId="6324" refreshError="1"/>
      <sheetData sheetId="6325" refreshError="1"/>
      <sheetData sheetId="6326" refreshError="1"/>
      <sheetData sheetId="6327" refreshError="1"/>
      <sheetData sheetId="6328" refreshError="1"/>
      <sheetData sheetId="6329" refreshError="1"/>
      <sheetData sheetId="6330" refreshError="1"/>
      <sheetData sheetId="6331" refreshError="1"/>
      <sheetData sheetId="6332" refreshError="1"/>
      <sheetData sheetId="6333" refreshError="1"/>
      <sheetData sheetId="6334" refreshError="1"/>
      <sheetData sheetId="6335" refreshError="1"/>
      <sheetData sheetId="6336" refreshError="1"/>
      <sheetData sheetId="6337" refreshError="1"/>
      <sheetData sheetId="6338" refreshError="1"/>
      <sheetData sheetId="6339" refreshError="1"/>
      <sheetData sheetId="6340" refreshError="1"/>
      <sheetData sheetId="6341" refreshError="1"/>
      <sheetData sheetId="6342" refreshError="1"/>
      <sheetData sheetId="6343" refreshError="1"/>
      <sheetData sheetId="6344" refreshError="1"/>
      <sheetData sheetId="6345" refreshError="1"/>
      <sheetData sheetId="6346" refreshError="1"/>
      <sheetData sheetId="6347" refreshError="1"/>
      <sheetData sheetId="6348" refreshError="1"/>
      <sheetData sheetId="6349" refreshError="1"/>
      <sheetData sheetId="6350" refreshError="1"/>
      <sheetData sheetId="6351" refreshError="1"/>
      <sheetData sheetId="6352" refreshError="1"/>
      <sheetData sheetId="6353" refreshError="1"/>
      <sheetData sheetId="6354" refreshError="1"/>
      <sheetData sheetId="6355" refreshError="1"/>
      <sheetData sheetId="6356" refreshError="1"/>
      <sheetData sheetId="6357" refreshError="1"/>
      <sheetData sheetId="6358" refreshError="1"/>
      <sheetData sheetId="6359" refreshError="1"/>
      <sheetData sheetId="6360" refreshError="1"/>
      <sheetData sheetId="6361" refreshError="1"/>
      <sheetData sheetId="6362" refreshError="1"/>
      <sheetData sheetId="6363" refreshError="1"/>
      <sheetData sheetId="6364" refreshError="1"/>
      <sheetData sheetId="6365" refreshError="1"/>
      <sheetData sheetId="6366" refreshError="1"/>
      <sheetData sheetId="6367" refreshError="1"/>
      <sheetData sheetId="6368" refreshError="1"/>
      <sheetData sheetId="6369" refreshError="1"/>
      <sheetData sheetId="6370" refreshError="1"/>
      <sheetData sheetId="6371" refreshError="1"/>
      <sheetData sheetId="6372" refreshError="1"/>
      <sheetData sheetId="6373" refreshError="1"/>
      <sheetData sheetId="6374"/>
      <sheetData sheetId="6375"/>
      <sheetData sheetId="6376"/>
      <sheetData sheetId="6377"/>
      <sheetData sheetId="6378"/>
      <sheetData sheetId="6379"/>
      <sheetData sheetId="6380"/>
      <sheetData sheetId="6381"/>
      <sheetData sheetId="6382"/>
      <sheetData sheetId="6383"/>
      <sheetData sheetId="6384">
        <row r="1">
          <cell r="A1" t="str">
            <v>시멘트,모래,자갈 산출표</v>
          </cell>
        </row>
      </sheetData>
      <sheetData sheetId="6385"/>
      <sheetData sheetId="6386">
        <row r="1">
          <cell r="A1" t="str">
            <v>시멘트,모래,자갈 산출표</v>
          </cell>
        </row>
      </sheetData>
      <sheetData sheetId="6387"/>
      <sheetData sheetId="6388">
        <row r="1">
          <cell r="A1" t="str">
            <v>시멘트,모래,자갈 산출표</v>
          </cell>
        </row>
      </sheetData>
      <sheetData sheetId="6389"/>
      <sheetData sheetId="6390"/>
      <sheetData sheetId="6391"/>
      <sheetData sheetId="6392"/>
      <sheetData sheetId="6393"/>
      <sheetData sheetId="6394"/>
      <sheetData sheetId="6395"/>
      <sheetData sheetId="6396"/>
      <sheetData sheetId="6397"/>
      <sheetData sheetId="6398"/>
      <sheetData sheetId="6399" refreshError="1"/>
      <sheetData sheetId="6400" refreshError="1"/>
      <sheetData sheetId="6401" refreshError="1"/>
      <sheetData sheetId="6402" refreshError="1"/>
      <sheetData sheetId="6403" refreshError="1"/>
      <sheetData sheetId="6404" refreshError="1"/>
      <sheetData sheetId="6405" refreshError="1"/>
      <sheetData sheetId="6406" refreshError="1"/>
      <sheetData sheetId="6407" refreshError="1"/>
      <sheetData sheetId="6408" refreshError="1"/>
      <sheetData sheetId="6409" refreshError="1"/>
      <sheetData sheetId="6410" refreshError="1"/>
      <sheetData sheetId="6411" refreshError="1"/>
      <sheetData sheetId="6412" refreshError="1"/>
      <sheetData sheetId="6413" refreshError="1"/>
      <sheetData sheetId="6414" refreshError="1"/>
      <sheetData sheetId="6415" refreshError="1"/>
      <sheetData sheetId="6416" refreshError="1"/>
      <sheetData sheetId="6417" refreshError="1"/>
      <sheetData sheetId="6418" refreshError="1"/>
      <sheetData sheetId="6419" refreshError="1"/>
      <sheetData sheetId="6420" refreshError="1"/>
      <sheetData sheetId="6421" refreshError="1"/>
      <sheetData sheetId="6422" refreshError="1"/>
      <sheetData sheetId="6423" refreshError="1"/>
      <sheetData sheetId="6424" refreshError="1"/>
      <sheetData sheetId="6425" refreshError="1"/>
      <sheetData sheetId="6426" refreshError="1"/>
      <sheetData sheetId="6427" refreshError="1"/>
      <sheetData sheetId="6428" refreshError="1"/>
      <sheetData sheetId="6429" refreshError="1"/>
      <sheetData sheetId="6430" refreshError="1"/>
      <sheetData sheetId="6431" refreshError="1"/>
      <sheetData sheetId="6432" refreshError="1"/>
      <sheetData sheetId="6433" refreshError="1"/>
      <sheetData sheetId="6434" refreshError="1"/>
      <sheetData sheetId="6435" refreshError="1"/>
      <sheetData sheetId="6436" refreshError="1"/>
      <sheetData sheetId="6437" refreshError="1"/>
      <sheetData sheetId="6438" refreshError="1"/>
      <sheetData sheetId="6439" refreshError="1"/>
      <sheetData sheetId="6440"/>
      <sheetData sheetId="6441"/>
      <sheetData sheetId="6442"/>
      <sheetData sheetId="6443"/>
      <sheetData sheetId="6444"/>
      <sheetData sheetId="6445"/>
      <sheetData sheetId="6446"/>
      <sheetData sheetId="6447"/>
      <sheetData sheetId="6448" refreshError="1"/>
      <sheetData sheetId="6449" refreshError="1"/>
      <sheetData sheetId="6450" refreshError="1"/>
      <sheetData sheetId="6451" refreshError="1"/>
      <sheetData sheetId="6452" refreshError="1"/>
      <sheetData sheetId="6453" refreshError="1"/>
      <sheetData sheetId="6454" refreshError="1"/>
      <sheetData sheetId="6455" refreshError="1"/>
      <sheetData sheetId="6456" refreshError="1"/>
      <sheetData sheetId="6457" refreshError="1"/>
      <sheetData sheetId="6458" refreshError="1"/>
      <sheetData sheetId="6459" refreshError="1"/>
      <sheetData sheetId="6460" refreshError="1"/>
      <sheetData sheetId="6461" refreshError="1"/>
      <sheetData sheetId="6462" refreshError="1"/>
      <sheetData sheetId="6463" refreshError="1"/>
      <sheetData sheetId="6464" refreshError="1"/>
      <sheetData sheetId="6465" refreshError="1"/>
      <sheetData sheetId="6466" refreshError="1"/>
      <sheetData sheetId="6467" refreshError="1"/>
      <sheetData sheetId="6468" refreshError="1"/>
      <sheetData sheetId="6469" refreshError="1"/>
      <sheetData sheetId="6470" refreshError="1"/>
      <sheetData sheetId="6471" refreshError="1"/>
      <sheetData sheetId="6472" refreshError="1"/>
      <sheetData sheetId="6473" refreshError="1"/>
      <sheetData sheetId="6474" refreshError="1"/>
      <sheetData sheetId="6475" refreshError="1"/>
      <sheetData sheetId="6476" refreshError="1"/>
      <sheetData sheetId="6477" refreshError="1"/>
      <sheetData sheetId="6478" refreshError="1"/>
      <sheetData sheetId="6479" refreshError="1"/>
      <sheetData sheetId="6480" refreshError="1"/>
      <sheetData sheetId="6481" refreshError="1"/>
      <sheetData sheetId="6482" refreshError="1"/>
      <sheetData sheetId="6483" refreshError="1"/>
      <sheetData sheetId="6484" refreshError="1"/>
      <sheetData sheetId="6485" refreshError="1"/>
      <sheetData sheetId="6486" refreshError="1"/>
      <sheetData sheetId="6487" refreshError="1"/>
      <sheetData sheetId="6488" refreshError="1"/>
      <sheetData sheetId="6489" refreshError="1"/>
      <sheetData sheetId="6490" refreshError="1"/>
      <sheetData sheetId="6491" refreshError="1"/>
      <sheetData sheetId="6492" refreshError="1"/>
      <sheetData sheetId="6493" refreshError="1"/>
      <sheetData sheetId="6494"/>
      <sheetData sheetId="6495"/>
      <sheetData sheetId="6496" refreshError="1"/>
      <sheetData sheetId="6497" refreshError="1"/>
      <sheetData sheetId="6498" refreshError="1"/>
      <sheetData sheetId="6499" refreshError="1"/>
      <sheetData sheetId="6500" refreshError="1"/>
      <sheetData sheetId="6501" refreshError="1"/>
      <sheetData sheetId="6502" refreshError="1"/>
      <sheetData sheetId="6503"/>
      <sheetData sheetId="6504"/>
      <sheetData sheetId="6505" refreshError="1"/>
      <sheetData sheetId="6506" refreshError="1"/>
      <sheetData sheetId="6507" refreshError="1"/>
      <sheetData sheetId="6508" refreshError="1"/>
      <sheetData sheetId="6509" refreshError="1"/>
      <sheetData sheetId="6510" refreshError="1"/>
      <sheetData sheetId="6511" refreshError="1"/>
      <sheetData sheetId="6512" refreshError="1"/>
      <sheetData sheetId="6513" refreshError="1"/>
      <sheetData sheetId="6514" refreshError="1"/>
      <sheetData sheetId="6515" refreshError="1"/>
      <sheetData sheetId="6516" refreshError="1"/>
      <sheetData sheetId="6517" refreshError="1"/>
      <sheetData sheetId="6518" refreshError="1"/>
      <sheetData sheetId="6519" refreshError="1"/>
      <sheetData sheetId="6520" refreshError="1"/>
      <sheetData sheetId="6521" refreshError="1"/>
      <sheetData sheetId="6522" refreshError="1"/>
      <sheetData sheetId="6523" refreshError="1"/>
      <sheetData sheetId="6524" refreshError="1"/>
      <sheetData sheetId="6525" refreshError="1"/>
      <sheetData sheetId="6526" refreshError="1"/>
      <sheetData sheetId="6527" refreshError="1"/>
      <sheetData sheetId="6528" refreshError="1"/>
      <sheetData sheetId="6529" refreshError="1"/>
      <sheetData sheetId="6530" refreshError="1"/>
      <sheetData sheetId="6531" refreshError="1"/>
      <sheetData sheetId="6532" refreshError="1"/>
      <sheetData sheetId="6533" refreshError="1"/>
      <sheetData sheetId="6534" refreshError="1"/>
      <sheetData sheetId="6535" refreshError="1"/>
      <sheetData sheetId="6536" refreshError="1"/>
      <sheetData sheetId="6537" refreshError="1"/>
      <sheetData sheetId="6538" refreshError="1"/>
      <sheetData sheetId="6539" refreshError="1"/>
      <sheetData sheetId="6540" refreshError="1"/>
      <sheetData sheetId="6541" refreshError="1"/>
      <sheetData sheetId="6542" refreshError="1"/>
      <sheetData sheetId="6543" refreshError="1"/>
      <sheetData sheetId="6544" refreshError="1"/>
      <sheetData sheetId="6545" refreshError="1"/>
      <sheetData sheetId="6546" refreshError="1"/>
      <sheetData sheetId="6547" refreshError="1"/>
      <sheetData sheetId="6548" refreshError="1"/>
      <sheetData sheetId="6549" refreshError="1"/>
      <sheetData sheetId="6550" refreshError="1"/>
      <sheetData sheetId="6551" refreshError="1"/>
      <sheetData sheetId="6552" refreshError="1"/>
      <sheetData sheetId="6553" refreshError="1"/>
      <sheetData sheetId="6554" refreshError="1"/>
      <sheetData sheetId="6555" refreshError="1"/>
      <sheetData sheetId="6556" refreshError="1"/>
      <sheetData sheetId="6557" refreshError="1"/>
      <sheetData sheetId="6558" refreshError="1"/>
      <sheetData sheetId="6559" refreshError="1"/>
      <sheetData sheetId="6560" refreshError="1"/>
      <sheetData sheetId="6561" refreshError="1"/>
      <sheetData sheetId="6562"/>
      <sheetData sheetId="6563" refreshError="1"/>
      <sheetData sheetId="6564"/>
      <sheetData sheetId="6565"/>
      <sheetData sheetId="6566"/>
      <sheetData sheetId="6567"/>
      <sheetData sheetId="6568"/>
      <sheetData sheetId="6569"/>
      <sheetData sheetId="6570"/>
      <sheetData sheetId="6571"/>
      <sheetData sheetId="6572"/>
      <sheetData sheetId="6573"/>
      <sheetData sheetId="6574"/>
      <sheetData sheetId="6575"/>
      <sheetData sheetId="6576"/>
      <sheetData sheetId="6577"/>
      <sheetData sheetId="6578"/>
      <sheetData sheetId="6579"/>
      <sheetData sheetId="6580"/>
      <sheetData sheetId="658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프랜트면허"/>
      <sheetName val="토목주소"/>
      <sheetName val="b_balju_cho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일위대가표"/>
      <sheetName val="전기"/>
      <sheetName val="중기조종사 단위단가"/>
      <sheetName val="Front"/>
      <sheetName val="wall"/>
      <sheetName val="#REF"/>
      <sheetName val="MYENGBU"/>
      <sheetName val="기초단가"/>
      <sheetName val="1-최종안"/>
      <sheetName val="사업분석-분양가결정"/>
      <sheetName val="암센터"/>
      <sheetName val="공사설명서"/>
      <sheetName val="Total"/>
      <sheetName val="설계서(본관)"/>
      <sheetName val="물가시세"/>
      <sheetName val="노임이"/>
      <sheetName val="2003상반기노임기준"/>
      <sheetName val="갑지"/>
      <sheetName val="집계표"/>
      <sheetName val="내역"/>
      <sheetName val="정보"/>
      <sheetName val="급여조견표"/>
      <sheetName val="산근"/>
      <sheetName val="시장성초안camera"/>
      <sheetName val="CON'C"/>
      <sheetName val="원가계산하도"/>
      <sheetName val="BID"/>
      <sheetName val="5.설계명세서"/>
      <sheetName val="자판실행"/>
      <sheetName val="설비원가"/>
      <sheetName val="내역서1999.8최종"/>
      <sheetName val="실행철강하도"/>
      <sheetName val="예산명세서"/>
      <sheetName val="설계명세서"/>
      <sheetName val="자료입력"/>
      <sheetName val="정부노임단가"/>
      <sheetName val="1.수인터널"/>
      <sheetName val="BSD (2)"/>
      <sheetName val="갑지(추정)"/>
      <sheetName val="주빔의 설계"/>
      <sheetName val="바닥판"/>
      <sheetName val="입력DATA"/>
      <sheetName val="조명시설"/>
      <sheetName val="데이타"/>
      <sheetName val="식재인부"/>
      <sheetName val="21301동"/>
      <sheetName val="실행대비"/>
      <sheetName val="CTEMCOST"/>
      <sheetName val="건축내역서"/>
      <sheetName val="설비내역서"/>
      <sheetName val="전기내역서"/>
      <sheetName val="실행"/>
      <sheetName val="소비자가"/>
      <sheetName val="산업"/>
      <sheetName val="입찰견적보고서"/>
      <sheetName val="2000년1차"/>
      <sheetName val="해평견적"/>
      <sheetName val="투자비"/>
      <sheetName val="조성원가DATA"/>
      <sheetName val="사업비"/>
      <sheetName val="수량산출"/>
      <sheetName val="지수"/>
      <sheetName val="조건표"/>
      <sheetName val="자재가격조사표"/>
      <sheetName val="2005(공무2)"/>
      <sheetName val="세금자료"/>
      <sheetName val="경제지표"/>
      <sheetName val="지질조사"/>
      <sheetName val="설계변경총괄표(계산식)"/>
      <sheetName val="내역서"/>
      <sheetName val="예총"/>
      <sheetName val="1차 내역서"/>
      <sheetName val="개산공사비"/>
      <sheetName val="Sheet1"/>
      <sheetName val="Sheet1 (2)"/>
      <sheetName val="6PILE  (돌출)"/>
      <sheetName val="노무비단가"/>
      <sheetName val="원가data"/>
      <sheetName val="비계공사"/>
      <sheetName val="단가및재료비"/>
      <sheetName val="b_balju"/>
      <sheetName val="일위목록"/>
      <sheetName val="원가계산"/>
      <sheetName val="총괄표"/>
      <sheetName val="견적단가"/>
      <sheetName val="실행(ALT1)"/>
      <sheetName val="노임단가"/>
      <sheetName val="화산경계"/>
      <sheetName val="중기사용료산출근거"/>
      <sheetName val="단가산출2"/>
      <sheetName val="단가 및 재료비"/>
      <sheetName val="일위대가"/>
      <sheetName val="수량"/>
      <sheetName val="단가"/>
      <sheetName val="판매시설"/>
      <sheetName val="2011.08."/>
      <sheetName val="table"/>
      <sheetName val="전등설비"/>
      <sheetName val="설계내역서"/>
      <sheetName val="건축(G6)"/>
      <sheetName val="철거(G6)"/>
      <sheetName val="토목(G6)"/>
      <sheetName val="내역서2안"/>
      <sheetName val="Sheet12"/>
      <sheetName val="M-MG1"/>
      <sheetName val="BOJUNGGM"/>
      <sheetName val="을"/>
      <sheetName val="공사개요"/>
      <sheetName val="대비"/>
      <sheetName val="하중조건(평상시)"/>
      <sheetName val="VXXXXXXX"/>
      <sheetName val="EL90"/>
      <sheetName val="설비(제출)"/>
      <sheetName val="견적조건"/>
      <sheetName val="총괄내역서"/>
      <sheetName val="FAB별"/>
      <sheetName val="원가계산서"/>
      <sheetName val="친환경주택"/>
      <sheetName val="설계"/>
      <sheetName val="기안"/>
      <sheetName val="말뚝지지력산정"/>
      <sheetName val="화성태안9공구내역(실행)"/>
      <sheetName val="입찰안"/>
      <sheetName val="11-2.아파트내역"/>
      <sheetName val="중기단가"/>
      <sheetName val="도급기성"/>
      <sheetName val="시설물기초"/>
      <sheetName val="아파트 내역"/>
      <sheetName val="TEST1"/>
      <sheetName val="재집"/>
      <sheetName val="AS포장복구 "/>
      <sheetName val="자재단가"/>
      <sheetName val="내역서 (2)"/>
      <sheetName val="EQT-ESTN"/>
      <sheetName val="2001년계약내력출력분"/>
      <sheetName val="1차기성분내력"/>
      <sheetName val="평가데이터"/>
      <sheetName val="연결임시"/>
      <sheetName val="식재"/>
      <sheetName val="시설물"/>
      <sheetName val="식재출력용"/>
      <sheetName val="유지관리"/>
      <sheetName val="기계경비(시간당)"/>
      <sheetName val="램머"/>
      <sheetName val="단위단가"/>
      <sheetName val="총 원가계산"/>
      <sheetName val="표지"/>
      <sheetName val="결과조달"/>
      <sheetName val="단가기준"/>
      <sheetName val="건설기계"/>
      <sheetName val="노임"/>
      <sheetName val="단가산출"/>
      <sheetName val="사급자재"/>
      <sheetName val="5-2.수량산출(A4)"/>
      <sheetName val="6-1.노임단가"/>
      <sheetName val="6-1.단가비교표"/>
      <sheetName val="환경기계공정표 (3)"/>
      <sheetName val="청천내"/>
      <sheetName val="Requirement(Work Crew)"/>
      <sheetName val="단중표"/>
      <sheetName val="대총괄"/>
      <sheetName val="설계서(건축분)"/>
      <sheetName val="요율"/>
      <sheetName val="관경별내역서"/>
      <sheetName val="정공공사"/>
      <sheetName val="을지"/>
      <sheetName val="단가표"/>
      <sheetName val="철거산출근거"/>
      <sheetName val="수목단가"/>
      <sheetName val="시설수량표"/>
      <sheetName val="식재수량표"/>
      <sheetName val="입력자료"/>
      <sheetName val="목차"/>
      <sheetName val="작성"/>
      <sheetName val="표지 (2)"/>
      <sheetName val="DATE"/>
      <sheetName val="POL6차-PIPING"/>
      <sheetName val=""/>
      <sheetName val="소방"/>
      <sheetName val="공사비 증감 내역서"/>
      <sheetName val="설명서"/>
      <sheetName val="기초자료입력"/>
      <sheetName val="공종별내역(건축실행)"/>
      <sheetName val="노임산출"/>
      <sheetName val="자료"/>
      <sheetName val="2.대외공문"/>
      <sheetName val="준공정산"/>
      <sheetName val="산출서"/>
      <sheetName val="인건비"/>
      <sheetName val="건축설비"/>
      <sheetName val="검토"/>
      <sheetName val="화재 탐지 설비"/>
      <sheetName val="1.10 접지 및 피뢰공사"/>
      <sheetName val="10.전열 공사"/>
      <sheetName val="쌍송교"/>
      <sheetName val="AHU집계"/>
      <sheetName val="공조기휀"/>
      <sheetName val="공조기"/>
      <sheetName val="6호기"/>
      <sheetName val="단가(자재)"/>
      <sheetName val="단가(노임)"/>
      <sheetName val="기초목록"/>
      <sheetName val="N賃率-職"/>
      <sheetName val="단면가정"/>
      <sheetName val="계약서"/>
      <sheetName val="건축내역"/>
      <sheetName val="계약내역"/>
      <sheetName val="변경내역"/>
      <sheetName val="매뉴얼"/>
      <sheetName val="기본단가"/>
      <sheetName val="ABUT수량-A1"/>
      <sheetName val="2-1. 경관조명 내역총괄표"/>
      <sheetName val="설계기준"/>
      <sheetName val="내역1"/>
      <sheetName val="산정표"/>
      <sheetName val="101동"/>
      <sheetName val="인부노임"/>
      <sheetName val="동.총"/>
      <sheetName val="토적표"/>
      <sheetName val="건축공사"/>
      <sheetName val="업무분장"/>
      <sheetName val="울산시산표"/>
      <sheetName val="상호참고자료"/>
      <sheetName val="발주처자료입력"/>
      <sheetName val="회사기본자료"/>
      <sheetName val="하자보증자료"/>
      <sheetName val="기술자관련자료"/>
      <sheetName val="케이블트레이"/>
      <sheetName val="노임단가 (2)"/>
      <sheetName val="1.일위대가"/>
      <sheetName val="중기손료"/>
      <sheetName val="기본단가표"/>
      <sheetName val="I一般比"/>
      <sheetName val="설명서 "/>
      <sheetName val="토목"/>
      <sheetName val="DATA"/>
      <sheetName val="장비사양"/>
      <sheetName val="현장경비"/>
      <sheetName val="단가산출서총괄"/>
      <sheetName val="P-산#1-1(WOWA1)"/>
      <sheetName val="DATA(BAC)"/>
      <sheetName val="아파트"/>
      <sheetName val="FB25JN"/>
      <sheetName val="단가대비표"/>
      <sheetName val="VST재료산출"/>
      <sheetName val="원가"/>
      <sheetName val="향후추이"/>
      <sheetName val="설비투자"/>
      <sheetName val="공장능력"/>
      <sheetName val="생산실적"/>
      <sheetName val="개요"/>
      <sheetName val="마케팅"/>
      <sheetName val="추정손익"/>
      <sheetName val="할당"/>
      <sheetName val="실적"/>
      <sheetName val="제목"/>
      <sheetName val="원가,목표"/>
      <sheetName val="판매"/>
      <sheetName val="판촉"/>
      <sheetName val="협조"/>
      <sheetName val="캔개발배경"/>
      <sheetName val="경쟁사가격"/>
      <sheetName val="캔판매목표"/>
      <sheetName val="시장"/>
      <sheetName val="손익"/>
      <sheetName val="일정표"/>
      <sheetName val="DATA1"/>
      <sheetName val="수량산출(음암)"/>
      <sheetName val="설계총괄표"/>
      <sheetName val="본댐설계"/>
      <sheetName val="재료"/>
      <sheetName val="2000양배"/>
      <sheetName val="공통단가"/>
      <sheetName val="운반비"/>
      <sheetName val="인제내역"/>
      <sheetName val="설계서"/>
      <sheetName val="차액보증"/>
      <sheetName val="기계경비 (2)"/>
      <sheetName val="경율산정"/>
      <sheetName val="공사비"/>
      <sheetName val="시중노임단가"/>
      <sheetName val="직원"/>
      <sheetName val="문학간접"/>
      <sheetName val="간접"/>
      <sheetName val="간접비"/>
      <sheetName val="골조시행"/>
      <sheetName val="Sheet5"/>
      <sheetName val="정렬"/>
      <sheetName val="중기사용료"/>
      <sheetName val="예정공정표"/>
      <sheetName val="초기화면"/>
      <sheetName val="관급자재"/>
      <sheetName val="중기조종사_단위단가"/>
      <sheetName val="내역서1999_8최종"/>
      <sheetName val="기성내역"/>
      <sheetName val="준검 내역서"/>
      <sheetName val="96수출"/>
      <sheetName val="PROJECT BRIEF(EX.NEW)"/>
      <sheetName val="PROJECT BRIEF"/>
      <sheetName val="Cost bd-&quot;A&quot;"/>
      <sheetName val="Piping Design Data"/>
      <sheetName val="수량산출서"/>
      <sheetName val="1-4-2.관(약)"/>
      <sheetName val="블럭 손익"/>
      <sheetName val="2.재료비"/>
      <sheetName val="12.보오링"/>
      <sheetName val="18.공내수압탄성자연"/>
      <sheetName val="1.배관공사"/>
      <sheetName val="내역서 제출"/>
      <sheetName val="시운전연료"/>
      <sheetName val="공사"/>
      <sheetName val="경율산정.XLS"/>
      <sheetName val="안전시설"/>
      <sheetName val="H-PILE수량집계"/>
      <sheetName val="1차_내역서"/>
      <sheetName val="5_설계명세서"/>
      <sheetName val="2011_08_"/>
      <sheetName val="BSD_(2)"/>
      <sheetName val="1_수인터널"/>
      <sheetName val="주빔의_설계"/>
      <sheetName val="Sheet1_(2)"/>
      <sheetName val="6PILE__(돌출)"/>
      <sheetName val="11-2_아파트내역"/>
      <sheetName val="아파트_내역"/>
      <sheetName val="단가_및_재료비"/>
      <sheetName val="표지_(2)"/>
      <sheetName val="내역서_(2)"/>
      <sheetName val="Requirement(Work_Crew)"/>
      <sheetName val="AS포장복구_"/>
      <sheetName val="1_10_접지_및_피뢰공사"/>
      <sheetName val="10_전열_공사"/>
      <sheetName val="환경기계공정표_(3)"/>
      <sheetName val="총_원가계산"/>
      <sheetName val="참조"/>
      <sheetName val="3.골재원검토의견서 갑지"/>
      <sheetName val="경비"/>
      <sheetName val="경  비 "/>
      <sheetName val="노무비"/>
      <sheetName val="재료비"/>
      <sheetName val="설계공통자료입력"/>
      <sheetName val="품셈표"/>
      <sheetName val="공사개별자료입력"/>
      <sheetName val="공사비예산서"/>
      <sheetName val="건축명"/>
      <sheetName val="기계명"/>
      <sheetName val="전기명"/>
      <sheetName val="토목명"/>
      <sheetName val="우수받이"/>
      <sheetName val="용수량(생활용수)"/>
      <sheetName val="실행갑지"/>
      <sheetName val="중곡동"/>
      <sheetName val="결제방"/>
      <sheetName val="사업성분석"/>
      <sheetName val="견적서"/>
      <sheetName val="대구은행"/>
      <sheetName val="설계예시"/>
      <sheetName val="1.설계조건"/>
      <sheetName val="용역비내역-진짜"/>
      <sheetName val="증감내역서"/>
      <sheetName val="Macro1"/>
      <sheetName val="기본사항"/>
      <sheetName val="집수정"/>
      <sheetName val="납부서"/>
      <sheetName val="시화점실행"/>
      <sheetName val="가동비율"/>
      <sheetName val="3월팀계 "/>
      <sheetName val="공통"/>
      <sheetName val="의뢰서"/>
      <sheetName val="급여"/>
      <sheetName val="조직"/>
      <sheetName val="군남내역서"/>
      <sheetName val="중기조종사_단위단가1"/>
      <sheetName val="내역서1999_8최종1"/>
      <sheetName val="5-2_수량산출(A4)"/>
      <sheetName val="6-1_노임단가"/>
      <sheetName val="6-1_단가비교표"/>
      <sheetName val="2_대외공문"/>
      <sheetName val="공사비_증감_내역서"/>
      <sheetName val="화재_탐지_설비"/>
      <sheetName val="2-1__경관조명_내역총괄표"/>
      <sheetName val="노임단가_(2)"/>
      <sheetName val="준검_내역서"/>
      <sheetName val="PROJECT_BRIEF(EX_NEW)"/>
      <sheetName val="PROJECT_BRIEF"/>
      <sheetName val="Cost_bd-&quot;A&quot;"/>
      <sheetName val="Piping_Design_Data"/>
      <sheetName val="기계경비_(2)"/>
      <sheetName val="내역서_제출"/>
      <sheetName val="동_총"/>
      <sheetName val="1_일위대가"/>
      <sheetName val="2_재료비"/>
      <sheetName val="12_보오링"/>
      <sheetName val="18_공내수압탄성자연"/>
      <sheetName val="중기조종사_단위단가2"/>
      <sheetName val="5_설계명세서1"/>
      <sheetName val="11-2_아파트내역1"/>
      <sheetName val="1_수인터널1"/>
      <sheetName val="1차_내역서1"/>
      <sheetName val="2011_08_1"/>
      <sheetName val="내역서1999_8최종2"/>
      <sheetName val="주빔의_설계1"/>
      <sheetName val="BSD_(2)1"/>
      <sheetName val="Sheet1_(2)1"/>
      <sheetName val="6PILE__(돌출)1"/>
      <sheetName val="단가_및_재료비1"/>
      <sheetName val="Requirement(Work_Crew)1"/>
      <sheetName val="내역서_(2)1"/>
      <sheetName val="아파트_내역1"/>
      <sheetName val="총_원가계산1"/>
      <sheetName val="표지_(2)1"/>
      <sheetName val="5-2_수량산출(A4)1"/>
      <sheetName val="6-1_노임단가1"/>
      <sheetName val="6-1_단가비교표1"/>
      <sheetName val="2_대외공문1"/>
      <sheetName val="AS포장복구_1"/>
      <sheetName val="공사비_증감_내역서1"/>
      <sheetName val="2-1__경관조명_내역총괄표1"/>
      <sheetName val="1_10_접지_및_피뢰공사1"/>
      <sheetName val="10_전열_공사1"/>
      <sheetName val="환경기계공정표_(3)1"/>
      <sheetName val="화재_탐지_설비1"/>
      <sheetName val="노임단가_(2)1"/>
      <sheetName val="준검_내역서1"/>
      <sheetName val="PROJECT_BRIEF(EX_NEW)1"/>
      <sheetName val="PROJECT_BRIEF1"/>
      <sheetName val="Cost_bd-&quot;A&quot;1"/>
      <sheetName val="Piping_Design_Data1"/>
      <sheetName val="기계경비_(2)1"/>
      <sheetName val="내역서_제출1"/>
      <sheetName val="동_총1"/>
      <sheetName val="1_일위대가1"/>
      <sheetName val="2_재료비1"/>
      <sheetName val="12_보오링1"/>
      <sheetName val="18_공내수압탄성자연1"/>
      <sheetName val="중기조종사_단위단가3"/>
      <sheetName val="5_설계명세서2"/>
      <sheetName val="11-2_아파트내역2"/>
      <sheetName val="1_수인터널2"/>
      <sheetName val="1차_내역서2"/>
      <sheetName val="2011_08_2"/>
      <sheetName val="내역서1999_8최종3"/>
      <sheetName val="주빔의_설계2"/>
      <sheetName val="BSD_(2)2"/>
      <sheetName val="Sheet1_(2)2"/>
      <sheetName val="6PILE__(돌출)2"/>
      <sheetName val="단가_및_재료비2"/>
      <sheetName val="Requirement(Work_Crew)2"/>
      <sheetName val="내역서_(2)2"/>
      <sheetName val="아파트_내역2"/>
      <sheetName val="총_원가계산2"/>
      <sheetName val="표지_(2)2"/>
      <sheetName val="5-2_수량산출(A4)2"/>
      <sheetName val="6-1_노임단가2"/>
      <sheetName val="6-1_단가비교표2"/>
      <sheetName val="2_대외공문2"/>
      <sheetName val="AS포장복구_2"/>
      <sheetName val="공사비_증감_내역서2"/>
      <sheetName val="2-1__경관조명_내역총괄표2"/>
      <sheetName val="1_10_접지_및_피뢰공사2"/>
      <sheetName val="10_전열_공사2"/>
      <sheetName val="환경기계공정표_(3)2"/>
      <sheetName val="화재_탐지_설비2"/>
      <sheetName val="노임단가_(2)2"/>
      <sheetName val="준검_내역서2"/>
      <sheetName val="PROJECT_BRIEF(EX_NEW)2"/>
      <sheetName val="PROJECT_BRIEF2"/>
      <sheetName val="Cost_bd-&quot;A&quot;2"/>
      <sheetName val="Piping_Design_Data2"/>
      <sheetName val="기계경비_(2)2"/>
      <sheetName val="내역서_제출2"/>
      <sheetName val="동_총2"/>
      <sheetName val="1_일위대가2"/>
      <sheetName val="2_재료비2"/>
      <sheetName val="12_보오링2"/>
      <sheetName val="18_공내수압탄성자연2"/>
      <sheetName val="9GNG운반"/>
      <sheetName val="총괄변경내역서"/>
      <sheetName val="투찰판"/>
      <sheetName val="기계경비산출기준"/>
      <sheetName val="적격심사표"/>
      <sheetName val="제원및배치"/>
      <sheetName val="거래처등록"/>
      <sheetName val="제품등록"/>
      <sheetName val="7내역"/>
      <sheetName val="일위대가목차"/>
      <sheetName val="총정리"/>
      <sheetName val="지급자재"/>
      <sheetName val="보도교산출근거"/>
      <sheetName val="3-3. 실행분석표(개산)"/>
      <sheetName val="연동내역"/>
      <sheetName val="단위수량"/>
      <sheetName val="배수통관(좌)"/>
      <sheetName val="건축일위"/>
      <sheetName val="그라우팅일위"/>
      <sheetName val="노집"/>
      <sheetName val="기초도면제작"/>
      <sheetName val="산출명세"/>
      <sheetName val="산출(부하간선)"/>
      <sheetName val="총괄서"/>
      <sheetName val="일위산출"/>
      <sheetName val="공통비(전체)"/>
      <sheetName val="램프"/>
      <sheetName val="일위-1"/>
      <sheetName val="조명율표"/>
      <sheetName val="FOB발"/>
      <sheetName val="Sheet2"/>
      <sheetName val="포장공"/>
      <sheetName val="장비사용집계표"/>
      <sheetName val="입력"/>
      <sheetName val="정산내역서"/>
      <sheetName val="소요자재"/>
      <sheetName val="건축"/>
      <sheetName val="약품공급2"/>
      <sheetName val="원가계산서구조조정"/>
      <sheetName val="남양시작동자105노65기1.3화1.2"/>
      <sheetName val="CONCRETE"/>
      <sheetName val="인사자료총집계"/>
      <sheetName val="Data Pembukaan_1.1"/>
      <sheetName val="구성비"/>
      <sheetName val="산출근거"/>
      <sheetName val="98수문일위"/>
      <sheetName val="견적내역서"/>
      <sheetName val="실행내역 "/>
      <sheetName val="실행분석표"/>
      <sheetName val="Template"/>
      <sheetName val="운반 및 환율"/>
      <sheetName val="대림경상68억"/>
      <sheetName val="본실행경비"/>
      <sheetName val="3.내역서"/>
      <sheetName val="편성절차"/>
      <sheetName val="계DATA"/>
      <sheetName val="실DATA "/>
      <sheetName val="8.PILE  (돌출)"/>
      <sheetName val="물가시세표"/>
      <sheetName val="노임 및 중기단가"/>
      <sheetName val="정부노임"/>
      <sheetName val="방화산출"/>
      <sheetName val="원본1"/>
      <sheetName val="기계실공조설비배관"/>
      <sheetName val="사원정보"/>
      <sheetName val="입찰"/>
      <sheetName val="단양 00 아파트-세부내역"/>
      <sheetName val="연돌일위집계"/>
      <sheetName val="주beam"/>
      <sheetName val="중기"/>
      <sheetName val="암거날개벽"/>
      <sheetName val="견적(을)"/>
      <sheetName val="List"/>
      <sheetName val="Summary"/>
      <sheetName val="달력"/>
      <sheetName val="입적표"/>
      <sheetName val="동원인원"/>
      <sheetName val="발행"/>
      <sheetName val="세부내역"/>
      <sheetName val="제출내역 (2)"/>
      <sheetName val="4.고용보험"/>
      <sheetName val="3.고용보험료산출근거"/>
      <sheetName val="pier(각형)"/>
      <sheetName val="배수장토목공사비"/>
      <sheetName val="물량산출서"/>
      <sheetName val="Factor"/>
      <sheetName val="기본데이타입력"/>
      <sheetName val="유림콘도"/>
      <sheetName val="대전가오_견출_집계표"/>
      <sheetName val="도로구조공사비"/>
      <sheetName val="도로토공공사비"/>
      <sheetName val="여수토공사비"/>
      <sheetName val="실행예산-변경분"/>
      <sheetName val="BOQ(USD)_전체"/>
      <sheetName val="수입입고물량"/>
      <sheetName val="1-4-2_관(약)"/>
      <sheetName val="1_배관공사"/>
      <sheetName val="3-3__실행분석표(개산)"/>
      <sheetName val="남양시작동자105노65기1_3화1_2"/>
      <sheetName val="블럭_손익"/>
      <sheetName val="경__비_"/>
      <sheetName val="설명서_"/>
      <sheetName val="조사방법 참조"/>
      <sheetName val="경비계획(전체)"/>
      <sheetName val="6동"/>
      <sheetName val="품셈TABLE"/>
      <sheetName val="노임이 (2)"/>
      <sheetName val="중기조종사_단위단가4"/>
      <sheetName val="5_설계명세서3"/>
      <sheetName val="11-2_아파트내역3"/>
      <sheetName val="1_수인터널3"/>
      <sheetName val="1차_내역서3"/>
      <sheetName val="2011_08_3"/>
      <sheetName val="내역서1999_8최종4"/>
      <sheetName val="주빔의_설계3"/>
      <sheetName val="BSD_(2)3"/>
      <sheetName val="Sheet1_(2)3"/>
      <sheetName val="6PILE__(돌출)3"/>
      <sheetName val="단가_및_재료비3"/>
      <sheetName val="내역서_(2)3"/>
      <sheetName val="총_원가계산3"/>
      <sheetName val="아파트_내역3"/>
      <sheetName val="AS포장복구_3"/>
      <sheetName val="Requirement(Work_Crew)3"/>
      <sheetName val="표지_(2)3"/>
      <sheetName val="5-2_수량산출(A4)3"/>
      <sheetName val="6-1_노임단가3"/>
      <sheetName val="6-1_단가비교표3"/>
      <sheetName val="공사비_증감_내역서3"/>
      <sheetName val="2_대외공문3"/>
      <sheetName val="2-1__경관조명_내역총괄표3"/>
      <sheetName val="환경기계공정표_(3)3"/>
      <sheetName val="화재_탐지_설비3"/>
      <sheetName val="1_10_접지_및_피뢰공사3"/>
      <sheetName val="10_전열_공사3"/>
      <sheetName val="노임단가_(2)3"/>
      <sheetName val="기계경비_(2)3"/>
      <sheetName val="동_총3"/>
      <sheetName val="준검_내역서3"/>
      <sheetName val="PROJECT_BRIEF(EX_NEW)3"/>
      <sheetName val="PROJECT_BRIEF3"/>
      <sheetName val="Cost_bd-&quot;A&quot;3"/>
      <sheetName val="Piping_Design_Data3"/>
      <sheetName val="1_일위대가3"/>
      <sheetName val="내역서_제출3"/>
      <sheetName val="2_재료비3"/>
      <sheetName val="12_보오링3"/>
      <sheetName val="18_공내수압탄성자연3"/>
      <sheetName val="경율산정_XLS"/>
      <sheetName val="1_설계조건"/>
      <sheetName val="3월팀계_"/>
      <sheetName val="3_골재원검토의견서_갑지"/>
      <sheetName val="단양_00_아파트-세부내역"/>
      <sheetName val="8_PILE__(돌출)"/>
      <sheetName val="3_내역서"/>
      <sheetName val="입력란"/>
      <sheetName val="97노임단가"/>
      <sheetName val="상세"/>
      <sheetName val="일위"/>
      <sheetName val="수식"/>
      <sheetName val="물량표"/>
      <sheetName val="유림골조"/>
      <sheetName val="토목검측서"/>
      <sheetName val="현장식당(1)"/>
      <sheetName val="폐기물"/>
      <sheetName val="_________JABO_O12060_INFORM_M_2"/>
      <sheetName val="총괄"/>
      <sheetName val="95TOTREV"/>
      <sheetName val="목차1"/>
      <sheetName val="목차2"/>
      <sheetName val="목차3"/>
      <sheetName val="목차4"/>
      <sheetName val="목차5"/>
      <sheetName val="등록현황토목"/>
      <sheetName val="등록현황건축"/>
      <sheetName val="등록현황프랜"/>
      <sheetName val="등록현황아파"/>
      <sheetName val="토목명부정규"/>
      <sheetName val="토목명부지방"/>
      <sheetName val="건축명부정규"/>
      <sheetName val="건축명부지방"/>
      <sheetName val="프랜등록명부"/>
      <sheetName val="프랜등록지방"/>
      <sheetName val="아파트명부"/>
      <sheetName val="토목면허1"/>
      <sheetName val="토목면허2"/>
      <sheetName val="건축면허1"/>
      <sheetName val="건축면허2"/>
      <sheetName val="프랜트면허지방"/>
      <sheetName val="아파트면허"/>
      <sheetName val="U-TYPE(1)"/>
      <sheetName val="갑지1"/>
      <sheetName val="GAEYO"/>
      <sheetName val="현장조사"/>
      <sheetName val="보도공제면적"/>
      <sheetName val="중기일위대가"/>
      <sheetName val="방배동내역(리라)"/>
      <sheetName val="건축공사집계표"/>
      <sheetName val="부대공사총괄"/>
      <sheetName val="기초일위"/>
      <sheetName val="시설일위"/>
      <sheetName val="식재일위"/>
      <sheetName val="주식"/>
      <sheetName val="음료실행"/>
      <sheetName val="투자효율분석"/>
      <sheetName val="Sheet4"/>
      <sheetName val="매립"/>
      <sheetName val="FORM-0"/>
      <sheetName val="ELECTRIC"/>
      <sheetName val="SCHEDULE"/>
      <sheetName val="EJ"/>
      <sheetName val="금액내역서"/>
      <sheetName val="경영상태"/>
      <sheetName val="Man Hole"/>
      <sheetName val="마감사양"/>
      <sheetName val="0226"/>
      <sheetName val="1ST"/>
      <sheetName val="DATA2000"/>
      <sheetName val="입출재고현황 (2)"/>
      <sheetName val="A"/>
      <sheetName val="실행내역"/>
      <sheetName val="공사내역"/>
      <sheetName val="금융비용"/>
      <sheetName val="배명(단가)"/>
      <sheetName val="결제"/>
      <sheetName val="할증 "/>
      <sheetName val="CAL1"/>
      <sheetName val="표준건축비"/>
      <sheetName val="환율"/>
      <sheetName val="archi(본사)"/>
      <sheetName val="부속동"/>
      <sheetName val="수량3"/>
      <sheetName val="변경내역대비표(2)"/>
      <sheetName val="도급"/>
      <sheetName val="ENE-CAL"/>
      <sheetName val="단가표 "/>
      <sheetName val="부하계산서"/>
      <sheetName val="을지 (2)"/>
      <sheetName val="방배동내역 (총괄)"/>
      <sheetName val="설계조건"/>
      <sheetName val="가격조사서"/>
      <sheetName val="대갑기성내역"/>
      <sheetName val="영동(D)"/>
      <sheetName val="설산1.나"/>
      <sheetName val="본사S"/>
      <sheetName val="G.R300경비"/>
      <sheetName val="FFU 물량"/>
      <sheetName val="IW-LIST"/>
      <sheetName val="공통가설"/>
      <sheetName val="기지국"/>
      <sheetName val="설계명세"/>
      <sheetName val="내역표지"/>
      <sheetName val="SAKUB"/>
      <sheetName val="TYPE-A"/>
      <sheetName val="1,2,3,4,5단위수량"/>
      <sheetName val="일위대가(여기까지)"/>
      <sheetName val="품셈"/>
      <sheetName val="구체"/>
      <sheetName val="좌측날개벽"/>
      <sheetName val="우측날개벽"/>
      <sheetName val="찍기"/>
      <sheetName val="ITEM"/>
      <sheetName val="공문"/>
      <sheetName val="COVER"/>
      <sheetName val="cable-data"/>
      <sheetName val="산거각호표"/>
      <sheetName val="3.공통공사대비"/>
      <sheetName val="L형옹벽"/>
      <sheetName val="비교1"/>
      <sheetName val="은행"/>
      <sheetName val=" 공장동 건설공사 견적서 R5.xlsx"/>
      <sheetName val="경비2내역"/>
      <sheetName val="공사예산하조서(O.K)"/>
      <sheetName val="투입집계표"/>
      <sheetName val="을 2"/>
      <sheetName val="을 1"/>
      <sheetName val="00년"/>
      <sheetName val="일위_파일"/>
      <sheetName val="날개벽"/>
      <sheetName val="암거단위-1련"/>
      <sheetName val="36+45-113-18+19+20I"/>
      <sheetName val="아파트기별"/>
      <sheetName val="공리일"/>
      <sheetName val="계수시트"/>
      <sheetName val="G2설비도급"/>
      <sheetName val="자금흐름표_SAC_작업"/>
      <sheetName val="장비내역서"/>
      <sheetName val="정산내역"/>
      <sheetName val="MEXICO-C"/>
      <sheetName val="14.1&quot; Cst 변화"/>
      <sheetName val="Supplement2"/>
      <sheetName val="포장절단"/>
      <sheetName val="토목내역"/>
      <sheetName val="1호맨홀토공"/>
      <sheetName val="Sight n M.H"/>
      <sheetName val="__"/>
      <sheetName val="신우"/>
      <sheetName val="98비정기소모"/>
      <sheetName val="설비2차"/>
      <sheetName val="수선계획표"/>
      <sheetName val="Ⅴ-2.공종별내역"/>
      <sheetName val="dg"/>
      <sheetName val="부하(성남)"/>
      <sheetName val="품의"/>
      <sheetName val="40총괄"/>
      <sheetName val="40집계"/>
      <sheetName val="전계가"/>
      <sheetName val="공틀공사"/>
      <sheetName val="단면 (2)"/>
      <sheetName val="화전내"/>
      <sheetName val="현장조직도"/>
      <sheetName val="원가 (2)"/>
      <sheetName val="설비집계"/>
      <sheetName val="장비설치공사"/>
      <sheetName val="옥외"/>
      <sheetName val="기계실"/>
      <sheetName val="공조배관"/>
      <sheetName val="공조닥트"/>
      <sheetName val="위생배관"/>
      <sheetName val="연도"/>
      <sheetName val="방진"/>
      <sheetName val="수영장"/>
      <sheetName val="EGI 판넬단가표"/>
      <sheetName val="방음판단가.TRIM.ㄷPOST"/>
      <sheetName val="EGI원가산출"/>
      <sheetName val="EGI 원가산출표"/>
      <sheetName val="Y-WORK"/>
      <sheetName val="별표 "/>
      <sheetName val="평자재단가"/>
      <sheetName val="간접경상비"/>
      <sheetName val="경성자금"/>
      <sheetName val="안양건축"/>
      <sheetName val="경상비"/>
      <sheetName val="조명일위"/>
      <sheetName val="원본"/>
      <sheetName val="JUCKEYK"/>
      <sheetName val="교통대책내역"/>
      <sheetName val="견적"/>
      <sheetName val="부표총괄"/>
      <sheetName val="기초"/>
      <sheetName val="시설"/>
      <sheetName val="CC16-내역서"/>
      <sheetName val="일위대가(계측기설치)"/>
      <sheetName val="참고"/>
      <sheetName val="장비투입계획"/>
      <sheetName val="장비가동"/>
      <sheetName val="공예을"/>
      <sheetName val="배수내역 (2)"/>
      <sheetName val="증감분석"/>
      <sheetName val="방배동내역(한영)"/>
      <sheetName val="예가표"/>
      <sheetName val="WORK"/>
      <sheetName val="대공종"/>
      <sheetName val="공사비예산서(토목분)"/>
      <sheetName val="간선계산"/>
      <sheetName val="입고현황(전체)"/>
      <sheetName val="선로정수계산"/>
      <sheetName val="목표세부명세"/>
      <sheetName val="INPUT"/>
      <sheetName val="工완성공사율"/>
      <sheetName val="VS P-Q"/>
      <sheetName val="CAPVC"/>
      <sheetName val="1,2공구원가계산서"/>
      <sheetName val="2공구산출내역"/>
      <sheetName val="1공구산출내역서"/>
      <sheetName val="TTL"/>
      <sheetName val="單價表단가표"/>
      <sheetName val="잡철물"/>
      <sheetName val="견적대비표"/>
      <sheetName val="kimre scrubber"/>
      <sheetName val=" 견적서"/>
      <sheetName val="121220_14라인 분석실 개조공사_정산내역서_최종취합"/>
      <sheetName val="BA "/>
      <sheetName val="DRUM"/>
      <sheetName val="장비명"/>
      <sheetName val="F4-F7"/>
      <sheetName val="SPC노임(5월)"/>
      <sheetName val="물량산출근거"/>
      <sheetName val="소방현물"/>
      <sheetName val="AH-1 "/>
      <sheetName val="순환펌프"/>
      <sheetName val="급,배기팬"/>
      <sheetName val="급탕순환펌프"/>
      <sheetName val="c_balju"/>
      <sheetName val="교각1"/>
      <sheetName val="암거공"/>
      <sheetName val="COPING"/>
      <sheetName val="원형1호맨홀토공수량"/>
      <sheetName val="기둥(원형)"/>
      <sheetName val="3BL공동구 수량"/>
      <sheetName val="교각계산"/>
      <sheetName val="양식"/>
      <sheetName val="가시설수량"/>
      <sheetName val="옹벽"/>
      <sheetName val="3련 BOX"/>
      <sheetName val="Sheet17"/>
      <sheetName val="우각부보강"/>
      <sheetName val="가도공"/>
      <sheetName val="횡배수관수량집계"/>
      <sheetName val="횡배수관기초"/>
      <sheetName val="이토변실(A3-LINE)"/>
      <sheetName val="판정1교토공"/>
      <sheetName val="내역서(사업소)"/>
      <sheetName val="교대(A1-A2)"/>
      <sheetName val="일반수량총괄집계"/>
      <sheetName val="P.M 별"/>
      <sheetName val="날개벽수량표"/>
      <sheetName val="특수선일위대가"/>
      <sheetName val="COA-17"/>
      <sheetName val="C-18"/>
      <sheetName val="미익SUB"/>
      <sheetName val="실행원가내역"/>
      <sheetName val="수목데이타 "/>
      <sheetName val="전기일위목록"/>
      <sheetName val="산5-3"/>
      <sheetName val="토목내역서"/>
      <sheetName val="적용토목"/>
      <sheetName val="입찰보고"/>
      <sheetName val="대로근거"/>
      <sheetName val="삼보지질"/>
      <sheetName val="원가_(2)"/>
      <sheetName val="별표_"/>
      <sheetName val="EGI_판넬단가표"/>
      <sheetName val="방음판단가_TRIM_ㄷPOST"/>
      <sheetName val="EGI_원가산출표"/>
      <sheetName val="입찰품의서"/>
      <sheetName val="APT"/>
      <sheetName val="터파기및재료"/>
      <sheetName val="돈암사업"/>
      <sheetName val="보고"/>
      <sheetName val="2.당사 사업경비내역"/>
      <sheetName val="목창호"/>
      <sheetName val="산출금액내역"/>
      <sheetName val="수량명세서"/>
      <sheetName val="견"/>
      <sheetName val="원가계산서(남측)"/>
      <sheetName val="유림총괄"/>
      <sheetName val="직원투입계획"/>
      <sheetName val="기술부대조건"/>
      <sheetName val="설 계"/>
      <sheetName val="소일위대가코드표"/>
      <sheetName val="제경비"/>
      <sheetName val="단가적용"/>
      <sheetName val="유치원내역"/>
      <sheetName val="일위대가목록"/>
      <sheetName val="소방 "/>
      <sheetName val="토공사"/>
      <sheetName val="산출내역서"/>
      <sheetName val="b_balju (2)"/>
      <sheetName val="b_gunmul"/>
      <sheetName val="합계"/>
      <sheetName val="토사(PE)"/>
      <sheetName val="직접경비"/>
      <sheetName val="직접인건비"/>
      <sheetName val="내역총괄"/>
      <sheetName val="2.토목공사"/>
      <sheetName val="건설임대계약내역"/>
      <sheetName val="밸브설치"/>
      <sheetName val="내역서 표지 "/>
      <sheetName val="분야별 집계표"/>
      <sheetName val="원가계산서(인테리어)"/>
      <sheetName val="공종별집계표(인테리어)"/>
      <sheetName val="공종별내역서(인테리어)"/>
      <sheetName val="원가계산서(기계설비)"/>
      <sheetName val="공종별집계표(기계설비)"/>
      <sheetName val="공종별내역서(기계설비)"/>
      <sheetName val="원가계산서(전기)"/>
      <sheetName val="총괄표(전기)"/>
      <sheetName val="내역서(전기)"/>
      <sheetName val="원가(통신)"/>
      <sheetName val="총괄표(통신)"/>
      <sheetName val="내역서(통신)"/>
      <sheetName val="원가계산서(소방설비)"/>
      <sheetName val="공종별집계표(소방설비)"/>
      <sheetName val="공종별내역서(소방설비)"/>
      <sheetName val="원가(소방전기)"/>
      <sheetName val="총괄표(소방전기)"/>
      <sheetName val="내역서(소방전기)"/>
      <sheetName val=" 공사설정 "/>
      <sheetName val="건물라인층전체"/>
      <sheetName val="개비온집계"/>
      <sheetName val="개비온 단위"/>
      <sheetName val="수정계획3"/>
      <sheetName val="간지"/>
      <sheetName val="설계서(동안동)"/>
      <sheetName val="TARGET"/>
      <sheetName val="순공사원가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/>
      <sheetData sheetId="360"/>
      <sheetData sheetId="36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말뚝지지력산정"/>
      <sheetName val="1062-X방향 "/>
      <sheetName val="부하계산서"/>
      <sheetName val="3련 BOX"/>
      <sheetName val="단위집계표"/>
      <sheetName val="MOTOR"/>
      <sheetName val="데이타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례공사명령"/>
      <sheetName val="설계산출기초"/>
      <sheetName val="공사원가계산서"/>
      <sheetName val="도급예산내역서총괄표"/>
      <sheetName val="적산전력계신설"/>
      <sheetName val="전선철거"/>
      <sheetName val="케이블신설"/>
      <sheetName val="설계내역서"/>
      <sheetName val="원가계산서 "/>
      <sheetName val="일위대가"/>
      <sheetName val="실행철강하도"/>
      <sheetName val="증감내역서"/>
      <sheetName val="데이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수시트"/>
      <sheetName val="내역서01"/>
      <sheetName val="조명시설"/>
      <sheetName val="현장소운반"/>
      <sheetName val="관구보호몰탈"/>
      <sheetName val="설계내역서"/>
      <sheetName val="원가계산서"/>
      <sheetName val="방아"/>
      <sheetName val="물집"/>
      <sheetName val="중기조종사 단위단가"/>
      <sheetName val="원가"/>
      <sheetName val="밸브설치"/>
      <sheetName val="설비"/>
      <sheetName val="기계경비(시간당)"/>
      <sheetName val="램머"/>
      <sheetName val="토사(PE)"/>
      <sheetName val="구조물공집계"/>
      <sheetName val="Y-WORK"/>
      <sheetName val="일위단위"/>
      <sheetName val="산출"/>
      <sheetName val="내역"/>
      <sheetName val="바닥판"/>
      <sheetName val="입력DATA"/>
      <sheetName val="2공구산출내역"/>
      <sheetName val="Sheet1"/>
      <sheetName val="지급자재"/>
      <sheetName val="공종구간"/>
      <sheetName val="일위"/>
      <sheetName val="도체종-상수표"/>
      <sheetName val="공리일"/>
      <sheetName val="파일의이용"/>
      <sheetName val="DATE"/>
      <sheetName val="내역서"/>
      <sheetName val="일위대가"/>
      <sheetName val="월래"/>
      <sheetName val="경산"/>
      <sheetName val="데이타"/>
      <sheetName val="database"/>
      <sheetName val="수량산출"/>
      <sheetName val="산수배수"/>
      <sheetName val="#REF"/>
      <sheetName val="수자재단위당"/>
      <sheetName val="부대집계"/>
      <sheetName val="직노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실사후분석(내역서단가기준)"/>
      <sheetName val="(실사조정)총괄"/>
      <sheetName val="_실사조정_총괄"/>
      <sheetName val="인부임"/>
      <sheetName val="조명시설"/>
    </sheetNames>
    <sheetDataSet>
      <sheetData sheetId="0" refreshError="1"/>
      <sheetData sheetId="1"/>
      <sheetData sheetId="2"/>
      <sheetData sheetId="3" refreshError="1"/>
      <sheetData sheetId="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(파주)"/>
      <sheetName val="단가대비표"/>
      <sheetName val="내역서  (장성)"/>
      <sheetName val="증감대비표(장성)"/>
      <sheetName val="일위목록"/>
      <sheetName val="수량(장)"/>
      <sheetName val="일위대가(장성)"/>
      <sheetName val="원가계산서 (장성)"/>
      <sheetName val="원가계산서 (갑지) (2)"/>
      <sheetName val="설계서갑지"/>
      <sheetName val="수목표준대가"/>
      <sheetName val="내역서"/>
      <sheetName val="제직재"/>
      <sheetName val="출입자명단"/>
      <sheetName val="설계내역서"/>
      <sheetName val="내역서-관급자재"/>
      <sheetName val="산출집계"/>
      <sheetName val="일위대가집계표"/>
      <sheetName val="수량산출서"/>
      <sheetName val="견적서"/>
      <sheetName val=" 내역"/>
      <sheetName val="노무"/>
      <sheetName val="노임이"/>
      <sheetName val="6PILE  (돌출)"/>
      <sheetName val="설계내역서(장성)1213"/>
      <sheetName val="96노임기준"/>
      <sheetName val="단가 "/>
      <sheetName val="조명시설"/>
      <sheetName val="단가"/>
      <sheetName val="일위집계"/>
      <sheetName val="노임단가"/>
      <sheetName val="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Sheet1"/>
      <sheetName val="노임"/>
      <sheetName val="순공사비"/>
      <sheetName val="단면가정"/>
      <sheetName val="내역서"/>
      <sheetName val="설계서"/>
      <sheetName val="구조대가"/>
      <sheetName val="포설대가1"/>
      <sheetName val="부대대가"/>
      <sheetName val="선로의 %임피던스 "/>
      <sheetName val="전선 및 전선관"/>
      <sheetName val="노임단가"/>
      <sheetName val="옥외 전력간선공사"/>
      <sheetName val="급수 (LPM)"/>
      <sheetName val="길어깨(현황)"/>
      <sheetName val="DATA 입력란"/>
      <sheetName val="1. 설계조건 2.단면가정 3. 하중계산"/>
      <sheetName val="단가조사"/>
      <sheetName val="금액내역서"/>
      <sheetName val="원가계산서 "/>
    </sheetNames>
    <sheetDataSet>
      <sheetData sheetId="0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목차"/>
      <sheetName val="비율"/>
      <sheetName val="간지"/>
      <sheetName val="결과"/>
      <sheetName val="총괄"/>
      <sheetName val="재료계"/>
      <sheetName val="직재비"/>
      <sheetName val="소요량"/>
      <sheetName val="소요량 (2)"/>
      <sheetName val="소요량 (3)"/>
      <sheetName val="곡면산"/>
      <sheetName val="제품도면"/>
      <sheetName val="간재"/>
      <sheetName val="소모품배부액"/>
      <sheetName val="작업설"/>
      <sheetName val="수율"/>
      <sheetName val="노무집"/>
      <sheetName val="직간노"/>
      <sheetName val="공수-경계석"/>
      <sheetName val="공수-판재"/>
      <sheetName val="공정별시간 (1)"/>
      <sheetName val="공정별시간(2)"/>
      <sheetName val="작업인원"/>
      <sheetName val="생산량"/>
      <sheetName val="99생산량"/>
      <sheetName val="99생산량 (2)"/>
      <sheetName val="곡면산 (2)"/>
      <sheetName val="노임단가"/>
      <sheetName val="간노율"/>
      <sheetName val="경비집"/>
      <sheetName val="경비"/>
      <sheetName val="천-경배부"/>
      <sheetName val="천-경조정"/>
      <sheetName val="운반비"/>
      <sheetName val="일반관리비율"/>
      <sheetName val="99자료요청"/>
      <sheetName val="2000자료요청"/>
      <sheetName val="천연임금"/>
      <sheetName val="천-소모"/>
      <sheetName val="N賃率-職"/>
      <sheetName val="내역서"/>
      <sheetName val="중기일위대가"/>
      <sheetName val="공종별 집계"/>
      <sheetName val="수량산출"/>
      <sheetName val="설직재-1"/>
      <sheetName val="2F 회의실견적(5_14 일대)"/>
      <sheetName val="J直材4"/>
      <sheetName val="명세서"/>
      <sheetName val="부대내역"/>
      <sheetName val="工관리비율"/>
      <sheetName val="工완성공사율"/>
      <sheetName val="Sheet1"/>
      <sheetName val="Sheet2"/>
      <sheetName val="설계서"/>
      <sheetName val="20관리비율"/>
      <sheetName val="실행내역"/>
      <sheetName val="직노"/>
      <sheetName val="Data Vol"/>
      <sheetName val="I一般比"/>
      <sheetName val="07석재조합-석제품"/>
      <sheetName val="직재"/>
      <sheetName val="Dae_Jiju"/>
      <sheetName val="Sikje_ingun"/>
      <sheetName val="TREE_D"/>
      <sheetName val="정부노임단가"/>
      <sheetName val="Sheet3"/>
      <sheetName val="#REF"/>
      <sheetName val="XL4Poppy"/>
      <sheetName val="내역"/>
      <sheetName val="특2호하천산근"/>
      <sheetName val="특2호부관하천산근"/>
      <sheetName val="TABLE"/>
      <sheetName val="건축내역"/>
      <sheetName val="DATE"/>
      <sheetName val="ITEM"/>
      <sheetName val="Y-WORK"/>
      <sheetName val="단가조사"/>
      <sheetName val="제-노임"/>
      <sheetName val="PUMP"/>
      <sheetName val="제직재"/>
      <sheetName val="3BL공동구 수량"/>
      <sheetName val="옥외 전력간선공사"/>
      <sheetName val="DATA 입력란"/>
      <sheetName val="1. 설계조건 2.단면가정 3. 하중계산"/>
      <sheetName val="원가계산서 "/>
      <sheetName val="일위(설)"/>
      <sheetName val="목표세부명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조도"/>
      <sheetName val="부하"/>
      <sheetName val="동력"/>
      <sheetName val="0.6-1kV 케이블 (전동기)"/>
      <sheetName val="변압기"/>
      <sheetName val="발전기"/>
      <sheetName val="간선"/>
      <sheetName val="APT"/>
      <sheetName val="도체종-상수표"/>
      <sheetName val="임피던스"/>
      <sheetName val="CABLE SIZE"/>
      <sheetName val="접지"/>
      <sheetName val="수변전"/>
      <sheetName val="Sheet11"/>
      <sheetName val="Sheet12"/>
      <sheetName val="Sheet13"/>
      <sheetName val="Sheet14"/>
      <sheetName val="Sheet15"/>
      <sheetName val="Sheet16"/>
      <sheetName val="DATA1"/>
      <sheetName val="Baby일위대가"/>
      <sheetName val="조도계산(1)"/>
      <sheetName val="노무비"/>
      <sheetName val="선로의 %임피던스 "/>
      <sheetName val="세동별비상"/>
      <sheetName val="Sheet1"/>
      <sheetName val="노임"/>
      <sheetName val="DATA"/>
      <sheetName val="전선or케이블"/>
      <sheetName val="을지"/>
      <sheetName val="#REF"/>
      <sheetName val="일위대가(가설)"/>
      <sheetName val="1.수변전용량계산"/>
      <sheetName val="허용전류-IEC DATA"/>
      <sheetName val="일지-H"/>
      <sheetName val="하조서"/>
      <sheetName val="별표"/>
      <sheetName val="인건비 "/>
      <sheetName val="기본일위"/>
      <sheetName val="단가산출서"/>
      <sheetName val="터널조도"/>
      <sheetName val="P-DATA"/>
      <sheetName val="일위대가목록"/>
      <sheetName val="부하LOAD"/>
      <sheetName val="2공구산출내역"/>
      <sheetName val="조명율표"/>
      <sheetName val="N賃率-職"/>
      <sheetName val="일위대가목록표"/>
      <sheetName val="1.설계설명서"/>
      <sheetName val="화해(함평)"/>
      <sheetName val="화해(장성)"/>
      <sheetName val="내역서"/>
      <sheetName val="동탄전기자료"/>
      <sheetName val="(C)원내역"/>
      <sheetName val="조명시설"/>
      <sheetName val="주차장PK-A"/>
      <sheetName val="건축내역(교사동)"/>
      <sheetName val="b_balju_cho"/>
      <sheetName val="단위단가"/>
      <sheetName val="점검대장"/>
      <sheetName val="노무비단가"/>
      <sheetName val="덕전리"/>
      <sheetName val="인건비"/>
      <sheetName val="30신설일위대가"/>
      <sheetName val="인부임"/>
      <sheetName val="일위대가"/>
      <sheetName val="노임단가"/>
      <sheetName val="원가"/>
      <sheetName val="시설물일위"/>
      <sheetName val="일반부표"/>
      <sheetName val="CABLE DATA"/>
      <sheetName val="DATE"/>
      <sheetName val="날개벽수량표"/>
      <sheetName val="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  <sheetName val="Sheet1"/>
      <sheetName val="정산표"/>
      <sheetName val="경찰공현금흐름표"/>
      <sheetName val="27"/>
      <sheetName val="분석적검토"/>
      <sheetName val="공제회계"/>
      <sheetName val="score sheet"/>
      <sheetName val="00법인세검토"/>
      <sheetName val="공제사업score sheet"/>
      <sheetName val="법인세비용 계산"/>
      <sheetName val="정관 및 회계규정"/>
      <sheetName val="주석"/>
      <sheetName val="AR"/>
      <sheetName val="총괄분석적검토"/>
      <sheetName val="Sheet2"/>
      <sheetName val="주요ISSUE 사항"/>
      <sheetName val="무형자산"/>
      <sheetName val="Sheet13"/>
      <sheetName val="노임단가"/>
      <sheetName val="부서자료"/>
      <sheetName val="완성차 미수금"/>
      <sheetName val="삼화95"/>
      <sheetName val="출입자명단"/>
      <sheetName val="1월"/>
      <sheetName val="IDONG"/>
      <sheetName val="미지급법인세"/>
      <sheetName val="일시적차이의증감내역"/>
      <sheetName val="예상평균과세소득"/>
      <sheetName val="2006 과표및세액조정계산서"/>
      <sheetName val="소득금액조정합계표"/>
      <sheetName val="과목별소득금액조정"/>
      <sheetName val="자본금과적립금(을)"/>
      <sheetName val="퇴직충당금"/>
      <sheetName val="퇴직보험예치금"/>
      <sheetName val="Sheet3"/>
      <sheetName val="Sheet4"/>
      <sheetName val="Sheet5"/>
      <sheetName val="99퇴직"/>
      <sheetName val="갑지(추정)"/>
      <sheetName val="경영혁신본부"/>
      <sheetName val="부서별공수"/>
      <sheetName val="투입공수"/>
      <sheetName val="생산"/>
      <sheetName val="자재재고"/>
      <sheetName val="재공재고"/>
      <sheetName val="품질현황-보류"/>
      <sheetName val="감가상각"/>
      <sheetName val="총물량"/>
      <sheetName val="코드"/>
      <sheetName val="보정후BS"/>
      <sheetName val="법인구분"/>
      <sheetName val="기초코드"/>
      <sheetName val="월할경비"/>
      <sheetName val="외상매출금현황-수정분 A2"/>
      <sheetName val="PAN"/>
      <sheetName val="적심사표"/>
      <sheetName val="원가율"/>
      <sheetName val="TSCLFEB"/>
      <sheetName val="계수원본(99.2.28)"/>
      <sheetName val="지점장"/>
      <sheetName val="YTD Sales(0411)"/>
      <sheetName val="213"/>
      <sheetName val="제조부문배부"/>
      <sheetName val="99선급비용"/>
      <sheetName val="차액보증"/>
      <sheetName val="공통비배부기준"/>
      <sheetName val="취합표"/>
      <sheetName val="물량산출"/>
      <sheetName val="자료"/>
      <sheetName val="주요기준"/>
      <sheetName val="사원명부"/>
      <sheetName val="10.31"/>
      <sheetName val="LIST"/>
      <sheetName val="회사정보"/>
      <sheetName val="회사전체"/>
      <sheetName val="WorksheetSettings"/>
      <sheetName val="계정과목"/>
      <sheetName val="환율시트"/>
      <sheetName val="원천세납부"/>
      <sheetName val="보증금(전신전화가입권)"/>
      <sheetName val="5사남"/>
      <sheetName val="세부pl"/>
      <sheetName val="매출.물동명세"/>
      <sheetName val="공통비(전체)"/>
      <sheetName val="서식시트"/>
      <sheetName val="Cash Flow"/>
      <sheetName val="입력자료"/>
      <sheetName val="현금"/>
      <sheetName val="Code"/>
      <sheetName val="Sheet11"/>
      <sheetName val="WPL"/>
      <sheetName val="수익성분석"/>
      <sheetName val="손익계산서"/>
      <sheetName val="이익잉여금처분계산서"/>
      <sheetName val="제조원가명세서"/>
      <sheetName val="현금흐름표"/>
      <sheetName val="Menu_Link"/>
      <sheetName val="basic_info"/>
      <sheetName val="관A준공"/>
      <sheetName val="대전"/>
      <sheetName val="①매출"/>
      <sheetName val="99매출현"/>
      <sheetName val="은행"/>
      <sheetName val="내역"/>
      <sheetName val="설계"/>
      <sheetName val="비용"/>
      <sheetName val="보정전BS(세분류)"/>
      <sheetName val="Net PL(세분류)"/>
      <sheetName val="지역개발"/>
      <sheetName val="Voucher"/>
      <sheetName val="XREF"/>
      <sheetName val="운반장소등록"/>
      <sheetName val="목표"/>
      <sheetName val="차수"/>
      <sheetName val="장할생활 (2)"/>
      <sheetName val="증감분석 및 연결조정"/>
      <sheetName val="대차대조표"/>
      <sheetName val="공동"/>
      <sheetName val="단독"/>
      <sheetName val="Total"/>
      <sheetName val="ke24(0404)"/>
      <sheetName val="KE24(0403)"/>
      <sheetName val="계정code"/>
      <sheetName val="산출기준(파견전산실)"/>
      <sheetName val="발생집계"/>
      <sheetName val="95년간접비"/>
      <sheetName val="B"/>
      <sheetName val="6_3"/>
      <sheetName val="기본자료"/>
      <sheetName val="Details"/>
      <sheetName val="3.판관비명세서"/>
      <sheetName val="9-1차이내역"/>
      <sheetName val="담보평가"/>
      <sheetName val="정보"/>
      <sheetName val="11.17-11.23"/>
      <sheetName val="11.24-11.30"/>
      <sheetName val="기타현황"/>
      <sheetName val="MH_생산"/>
      <sheetName val="Menu"/>
      <sheetName val="CashFlow(중간집계)"/>
      <sheetName val="LoanList"/>
      <sheetName val="보빈규격"/>
      <sheetName val="2.상각보정명세"/>
      <sheetName val="외상매입금_Detail"/>
      <sheetName val="일위대가"/>
      <sheetName val="요약BS"/>
      <sheetName val="FRDS9805"/>
      <sheetName val="R&amp;D"/>
      <sheetName val="부서코드"/>
      <sheetName val="1공장 재공품생산현황"/>
      <sheetName val="CT 재공품생산현황"/>
      <sheetName val="달성율"/>
      <sheetName val="score_sheet"/>
      <sheetName val="공제사업score_sheet"/>
      <sheetName val="법인세비용_계산"/>
      <sheetName val="정관_및_회계규정"/>
      <sheetName val="주요ISSUE_사항"/>
      <sheetName val="완성차_미수금"/>
      <sheetName val="부재료입고집계"/>
      <sheetName val="총괄표"/>
      <sheetName val="아파트 기성내역서"/>
      <sheetName val="업무분장 "/>
      <sheetName val="2.대외공문"/>
      <sheetName val="3-31"/>
      <sheetName val="공사기성"/>
      <sheetName val="매출채권 및 담보비율 변동"/>
      <sheetName val="하수급견적대비"/>
      <sheetName val="건축공사"/>
      <sheetName val="미지급비용2"/>
      <sheetName val="미지급비용"/>
      <sheetName val="현금흐름Ⅰ"/>
      <sheetName val="2006_과표및세액조정계산서"/>
      <sheetName val="외상매출금현황-수정분_A2"/>
      <sheetName val="계수원본(99_2_28)"/>
      <sheetName val="YTD_Sales(0411)"/>
      <sheetName val="10_31"/>
      <sheetName val="매출_물동명세"/>
      <sheetName val="부도어음"/>
      <sheetName val="받을어음할인및 융통어음"/>
      <sheetName val="공통"/>
      <sheetName val="RC"/>
      <sheetName val="cfanal"/>
      <sheetName val="profit"/>
      <sheetName val="주주명부&lt;끝&gt;"/>
      <sheetName val="가정"/>
      <sheetName val="현장관리비"/>
      <sheetName val="리츠"/>
      <sheetName val="쌍용자료"/>
      <sheetName val="대우자료"/>
      <sheetName val="수h"/>
      <sheetName val="영업소실적"/>
      <sheetName val="퇴직급여충당금12.31"/>
      <sheetName val="2공구산출내역"/>
      <sheetName val="설계내역서"/>
      <sheetName val="해창정"/>
      <sheetName val="1월실적 (2)"/>
      <sheetName val="크라운"/>
      <sheetName val="인원자료"/>
      <sheetName val="화섬 MDP"/>
      <sheetName val="시산표"/>
      <sheetName val="이자율"/>
      <sheetName val="금융"/>
      <sheetName val="리스"/>
      <sheetName val="보험"/>
      <sheetName val="S&amp;R"/>
      <sheetName val="건설중인"/>
      <sheetName val="노임이"/>
      <sheetName val="Sheet6"/>
      <sheetName val="만기"/>
      <sheetName val="부산"/>
      <sheetName val="DATA"/>
      <sheetName val="손익"/>
      <sheetName val="비교원가제출.고"/>
      <sheetName val="공사개요"/>
      <sheetName val="개인법인구분"/>
      <sheetName val="금액집계(리포트)"/>
      <sheetName val="TCA"/>
      <sheetName val="미오"/>
      <sheetName val="자본금"/>
      <sheetName val="재고"/>
      <sheetName val="퇴충"/>
      <sheetName val="사업자등록증"/>
      <sheetName val="범한여행"/>
      <sheetName val="대차대조표12.01"/>
      <sheetName val="해외법인"/>
      <sheetName val="TB"/>
      <sheetName val="합계잔액시산표"/>
      <sheetName val="월별"/>
      <sheetName val="입고단가기준"/>
      <sheetName val="其他应收款明细及帐龄分析(表5)"/>
      <sheetName val="명세서"/>
      <sheetName val="항목"/>
      <sheetName val="급여지급"/>
      <sheetName val="조견표"/>
      <sheetName val="입력항목"/>
      <sheetName val="INFORM"/>
      <sheetName val="25.보증금(임차보증금외)"/>
      <sheetName val="국산화"/>
      <sheetName val="지성학원"/>
      <sheetName val="ILBAN"/>
      <sheetName val="IJABUNRI"/>
      <sheetName val="WELDING"/>
      <sheetName val="요약"/>
      <sheetName val="보조부문비배부"/>
      <sheetName val="계정"/>
      <sheetName val="관계사"/>
      <sheetName val="통화코드"/>
      <sheetName val="투자자산처분손익"/>
      <sheetName val="24.보증금(전신전화가입권)"/>
      <sheetName val="경비예산"/>
      <sheetName val="생산성(2차)"/>
      <sheetName val="요약(1차)"/>
      <sheetName val="경기남부"/>
      <sheetName val="이익잉여금"/>
      <sheetName val="정의"/>
      <sheetName val="E_B_L"/>
      <sheetName val="기초자료"/>
      <sheetName val="테이블"/>
      <sheetName val="J"/>
      <sheetName val="각주"/>
      <sheetName val="인별호봉표"/>
      <sheetName val="4-1. 매출원가 손익계획 집계표"/>
      <sheetName val="유림골조"/>
      <sheetName val="연체대출"/>
      <sheetName val="00'미수"/>
      <sheetName val="토목"/>
      <sheetName val="적현로"/>
      <sheetName val="각종data"/>
      <sheetName val="적용환율"/>
      <sheetName val="3250-41"/>
      <sheetName val="Reference"/>
      <sheetName val="Summary"/>
      <sheetName val="업종코드"/>
      <sheetName val="본공사"/>
      <sheetName val="양식3"/>
      <sheetName val="기초"/>
      <sheetName val="추가(완)"/>
      <sheetName val="8월배정예산"/>
      <sheetName val="3"/>
      <sheetName val="수리결과"/>
      <sheetName val="수율"/>
      <sheetName val="1.MDF1공장"/>
      <sheetName val="의뢰건 (2)"/>
      <sheetName val="유통망계획"/>
      <sheetName val="수입"/>
      <sheetName val="실행내역서(DCU)"/>
      <sheetName val="경남"/>
      <sheetName val="경북"/>
      <sheetName val="중부"/>
      <sheetName val="5.소재"/>
      <sheetName val="손익(10월)"/>
      <sheetName val="월별손익"/>
      <sheetName val="작업불가"/>
      <sheetName val="Dólar Observado"/>
      <sheetName val="Rate"/>
      <sheetName val="입고12"/>
      <sheetName val="출고12"/>
      <sheetName val="대비"/>
      <sheetName val="4.2유효폭의 계산"/>
      <sheetName val="수불표"/>
      <sheetName val="대구은행"/>
      <sheetName val="기준봉급표"/>
      <sheetName val="직급별인적"/>
      <sheetName val="A1"/>
      <sheetName val="외상매입금점별현황"/>
      <sheetName val="0"/>
      <sheetName val="대차정산"/>
      <sheetName val="별첨1(임금)"/>
      <sheetName val="주주명부-가나다"/>
      <sheetName val="위험보험료표"/>
      <sheetName val="우리종금예상재무제표"/>
      <sheetName val="본부별매출"/>
      <sheetName val="듀레이션"/>
      <sheetName val="총괄"/>
      <sheetName val="작성요령"/>
      <sheetName val="근태현황"/>
      <sheetName val="1"/>
      <sheetName val="2"/>
      <sheetName val="4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8"/>
      <sheetName val="29"/>
      <sheetName val="30"/>
      <sheetName val="31"/>
      <sheetName val="32"/>
      <sheetName val="기초작업"/>
      <sheetName val="T6-6(7)"/>
      <sheetName val="CAUDIT"/>
      <sheetName val="상세"/>
      <sheetName val="3-4현"/>
      <sheetName val="누계매출"/>
      <sheetName val="회수율"/>
      <sheetName val="권리분석"/>
      <sheetName val="3-3현"/>
      <sheetName val="연장수당"/>
      <sheetName val="RES"/>
      <sheetName val="Scoresheet"/>
      <sheetName val="지급이자와할인료(직매각)"/>
      <sheetName val="건설가계정"/>
      <sheetName val="Farmtrac(Long)"/>
      <sheetName val="Table"/>
      <sheetName val="공수"/>
      <sheetName val="비용 배부후"/>
      <sheetName val="Class-Char"/>
      <sheetName val="Reference (변경)"/>
      <sheetName val="입력.판매"/>
      <sheetName val="입력.인원"/>
      <sheetName val="comm"/>
      <sheetName val="Config"/>
      <sheetName val="BM_NEW2"/>
      <sheetName val="(실사조정)총괄"/>
      <sheetName val="#REF"/>
      <sheetName val="당월손익계산서★"/>
      <sheetName val="RECIMAKE"/>
      <sheetName val="민감도"/>
      <sheetName val="투자자본상계"/>
      <sheetName val="Asset98-CAK"/>
      <sheetName val="Asset9809CAK"/>
      <sheetName val="고객지원무상출하"/>
      <sheetName val="연구소예외출고"/>
      <sheetName val="2.Critical Component Estimation"/>
      <sheetName val="score_sheet1"/>
      <sheetName val="공제사업score_sheet1"/>
      <sheetName val="법인세비용_계산1"/>
      <sheetName val="정관_및_회계규정1"/>
      <sheetName val="주요ISSUE_사항1"/>
      <sheetName val="2006_과표및세액조정계산서1"/>
      <sheetName val="완성차_미수금1"/>
      <sheetName val="YTD_Sales(0411)1"/>
      <sheetName val="계수원본(99_2_28)1"/>
      <sheetName val="10_311"/>
      <sheetName val="외상매출금현황-수정분_A21"/>
      <sheetName val="매출_물동명세1"/>
      <sheetName val="Cash_Flow"/>
      <sheetName val="Net_PL(세분류)"/>
      <sheetName val="3_판관비명세서"/>
      <sheetName val="업무분장_"/>
      <sheetName val="1공장_재공품생산현황"/>
      <sheetName val="아파트_기성내역서"/>
      <sheetName val="받을어음할인및_융통어음"/>
      <sheetName val="2_대외공문"/>
      <sheetName val="장할생활_(2)"/>
      <sheetName val="증감분석_및_연결조정"/>
      <sheetName val="11_17-11_23"/>
      <sheetName val="11_24-11_30"/>
      <sheetName val="2_상각보정명세"/>
      <sheetName val="매출채권_및_담보비율_변동"/>
      <sheetName val="1월실적_(2)"/>
      <sheetName val="화섬_MDP"/>
      <sheetName val="비교원가제출_고"/>
      <sheetName val="퇴직급여충당금12_31"/>
      <sheetName val="Reference(15년)"/>
      <sheetName val="경영계획 수립 참고자료 ▶▶▶"/>
      <sheetName val="수립지침"/>
      <sheetName val="계정설명"/>
      <sheetName val="전략단위설명"/>
      <sheetName val="사업부서 작성자료 ▶▶▶"/>
      <sheetName val="15년 손익 (GS신규Vision) 요약-연간비교장"/>
      <sheetName val="15년 손익 (GS신규Vision) 요약-(간접비 포함)"/>
      <sheetName val="15년 손익-GS신규Vision"/>
      <sheetName val="매출 계획"/>
      <sheetName val="매출계획 산출근거"/>
      <sheetName val="재료비(율) 계획"/>
      <sheetName val="재료비(율) 산출근거"/>
      <sheetName val="인원인건비&amp;간접비 계획"/>
      <sheetName val="투자계획"/>
      <sheetName val="투자계획(상세)"/>
      <sheetName val="감가상각비 계산"/>
      <sheetName val="마케팅비용계획"/>
      <sheetName val="비용계획"/>
      <sheetName val="간접비 계획"/>
      <sheetName val="Reference (기존)"/>
      <sheetName val="2014년 손익"/>
      <sheetName val="15년 손익 (GDR Rental사업) 요약-연간비교장"/>
      <sheetName val="15년 손익 (GDR Rent사업) 요약-(간접비 포함)"/>
      <sheetName val="15년 손익-GDR Rental사업"/>
      <sheetName val="매출&amp;재료비&amp;비용&amp;투자 산출근거"/>
      <sheetName val="0701"/>
      <sheetName val="LEASE4"/>
      <sheetName val="지급보증금74"/>
      <sheetName val="분개종합(01)"/>
      <sheetName val="TDTKP"/>
      <sheetName val="DK-KH"/>
      <sheetName val="T6-6(2)"/>
      <sheetName val="경영비율 "/>
      <sheetName val="뒤차축소"/>
      <sheetName val="상표권"/>
      <sheetName val="일위대가(계측기설치)"/>
      <sheetName val="#2 BSPL"/>
      <sheetName val="분개장·원장"/>
      <sheetName val="재공품"/>
      <sheetName val="대차대조"/>
      <sheetName val="판매금액기본계획"/>
      <sheetName val="판매금액실적"/>
      <sheetName val="판매금액실행계획"/>
      <sheetName val="판매수량기본계획"/>
      <sheetName val="판매수량실적"/>
      <sheetName val="판매수량실행계획"/>
      <sheetName val="해당월"/>
      <sheetName val="품셈TABLE"/>
      <sheetName val="부산9503"/>
      <sheetName val="감가상각(원본)"/>
      <sheetName val="96수표어음"/>
      <sheetName val="품종별월계"/>
      <sheetName val="공정가치"/>
      <sheetName val="기안"/>
      <sheetName val="재무제표"/>
      <sheetName val="작업일보"/>
      <sheetName val="주식적수"/>
      <sheetName val="기타"/>
      <sheetName val="제조원가"/>
      <sheetName val="재고자산명세"/>
      <sheetName val="COVER-P"/>
      <sheetName val="조흥은행"/>
      <sheetName val="확인서"/>
      <sheetName val="건설가"/>
      <sheetName val="치약_v011223"/>
      <sheetName val="본사재고"/>
      <sheetName val="Assumption"/>
      <sheetName val="보험금"/>
      <sheetName val="투자자산"/>
      <sheetName val="대손상각"/>
      <sheetName val="외상매출금"/>
      <sheetName val="받을어음"/>
      <sheetName val="재공품(3)"/>
      <sheetName val="표준원가표(2)"/>
      <sheetName val="ls"/>
      <sheetName val="퇴직충당금(3.31)(국문)"/>
      <sheetName val="관계주식"/>
      <sheetName val="全社経費"/>
      <sheetName val="実績集計"/>
      <sheetName val="実績連絡"/>
      <sheetName val="Customer"/>
      <sheetName val="버스업체(57개사)"/>
      <sheetName val="XXXXXX"/>
      <sheetName val="목차본문"/>
      <sheetName val="확정BS"/>
      <sheetName val="확정IS"/>
      <sheetName val="결손금(안)"/>
      <sheetName val="현금흐름"/>
      <sheetName val="부속명세서"/>
      <sheetName val="매출액(명) "/>
      <sheetName val="매출원가(명)"/>
      <sheetName val="경영표지"/>
      <sheetName val="영업사항"/>
      <sheetName val="대주주"/>
      <sheetName val="118.세금과공과"/>
      <sheetName val="절감항목"/>
      <sheetName val="회사제시"/>
      <sheetName val="현장"/>
      <sheetName val="선급비용"/>
      <sheetName val="YOEMAGUM"/>
      <sheetName val="BOJUNGGM"/>
      <sheetName val="5월"/>
      <sheetName val="도급비정산"/>
      <sheetName val="별제권_정리담보권1"/>
      <sheetName val="POS (2)"/>
      <sheetName val="2월특별상여"/>
      <sheetName val="9월상여"/>
      <sheetName val="05.1Q"/>
      <sheetName val="기간"/>
      <sheetName val="법인정보"/>
      <sheetName val="산업은행 경영지표"/>
      <sheetName val="unit 4"/>
      <sheetName val="계획"/>
      <sheetName val="단가"/>
      <sheetName val="부정형평가"/>
      <sheetName val="재공품평가"/>
      <sheetName val="99판매"/>
      <sheetName val="데이터유효성목록"/>
      <sheetName val="물가지수!"/>
      <sheetName val="공사별5"/>
      <sheetName val="생산기본계획"/>
      <sheetName val="생산실적"/>
      <sheetName val="생산실행계획"/>
      <sheetName val="98"/>
      <sheetName val="일위대가(가설)"/>
      <sheetName val="계정별실적"/>
      <sheetName val="10월판관"/>
      <sheetName val="마산방향"/>
      <sheetName val="진주방향"/>
      <sheetName val="내역서 (2)"/>
      <sheetName val="홍원식"/>
      <sheetName val="controll"/>
      <sheetName val="WACC"/>
      <sheetName val="물류창고제품별집계"/>
      <sheetName val="교각1"/>
      <sheetName val="편입토지조서"/>
      <sheetName val="Tiburon"/>
      <sheetName val="PL"/>
      <sheetName val="재무누계"/>
      <sheetName val="부서CODE"/>
      <sheetName val="호봉CODE"/>
      <sheetName val="MON"/>
      <sheetName val="INCOME STATEMENT"/>
      <sheetName val="YTD"/>
      <sheetName val="인력(정규직)"/>
      <sheetName val="K-1"/>
      <sheetName val="부서현황"/>
      <sheetName val="합계"/>
      <sheetName val="gyun"/>
      <sheetName val="control sheet"/>
      <sheetName val="관계회사거래내역및 채권채무잔액 99"/>
      <sheetName val="매입수불자재"/>
      <sheetName val="수액원료"/>
      <sheetName val="COBS"/>
      <sheetName val="조회서통제표"/>
      <sheetName val="SALE"/>
      <sheetName val="입력"/>
      <sheetName val="목표관리모델(누적)"/>
      <sheetName val="건설중인자산"/>
      <sheetName val="Team 종합"/>
      <sheetName val="비품"/>
      <sheetName val="자산별귀속부서"/>
      <sheetName val="인건비예산(정규직)"/>
      <sheetName val="인건비예산(용역)"/>
      <sheetName val="공통사항"/>
      <sheetName val="部署コード"/>
      <sheetName val="페이지전경"/>
      <sheetName val="1페이지보고"/>
      <sheetName val="아울렛 농산벤더"/>
      <sheetName val="을-ATYPE"/>
      <sheetName val="주차별리스트"/>
      <sheetName val="가격비"/>
      <sheetName val="단기차입금(200006)"/>
      <sheetName val="급여명세서"/>
      <sheetName val="급여등록"/>
      <sheetName val="Template"/>
      <sheetName val="기초해지2"/>
      <sheetName val="기초해지"/>
      <sheetName val="BACKDATA"/>
      <sheetName val="EE"/>
      <sheetName val="인원계획-미화"/>
      <sheetName val="직급실적"/>
      <sheetName val="송전기본"/>
      <sheetName val="SA"/>
      <sheetName val="유가증권미수"/>
      <sheetName val="RV미수수익보정"/>
      <sheetName val="불균등-거치외(미수)"/>
      <sheetName val="불균등-TOP(선수)"/>
      <sheetName val="VB "/>
      <sheetName val="처별전산"/>
      <sheetName val="보증어음분류"/>
      <sheetName val="사모사채분류"/>
      <sheetName val="국민연금"/>
      <sheetName val="보조재료비"/>
      <sheetName val="재료비"/>
      <sheetName val="2005원가집계표(합계)"/>
      <sheetName val="원가집계표(월별)"/>
      <sheetName val="점수"/>
      <sheetName val="building"/>
      <sheetName val="중장기 외화자금 보정명세(PBC)"/>
      <sheetName val="마스터"/>
      <sheetName val="BOM"/>
      <sheetName val="검산금액"/>
      <sheetName val="선수보증금"/>
      <sheetName val="연체일수"/>
      <sheetName val="잔가합계"/>
      <sheetName val="중도해지진행업체"/>
      <sheetName val="00.08계정"/>
      <sheetName val="품의양"/>
      <sheetName val="매출(총액)"/>
      <sheetName val="판관비"/>
      <sheetName val="정리"/>
      <sheetName val="직급별인원계획"/>
      <sheetName val="사업별인원계획"/>
      <sheetName val="Macro1"/>
      <sheetName val="T48a"/>
      <sheetName val="불량"/>
      <sheetName val="보고서"/>
      <sheetName val="대환취급"/>
      <sheetName val="원자재상수"/>
      <sheetName val="원자재운송비"/>
      <sheetName val="산출내역서집계표"/>
      <sheetName val="상불"/>
      <sheetName val="Packaging cost Back Data"/>
      <sheetName val="제품구분"/>
      <sheetName val="현지법인 대손설정"/>
      <sheetName val="均等割DB"/>
      <sheetName val="건축원가"/>
      <sheetName val="Dólar_Observado"/>
      <sheetName val="의뢰건_(2)"/>
      <sheetName val="5_소재"/>
      <sheetName val="대차대조표12_01"/>
      <sheetName val="4_2유효폭의_계산"/>
      <sheetName val="4-1__매출원가_손익계획_집계표"/>
      <sheetName val="25_보증금(임차보증금외)"/>
      <sheetName val="24_보증금(전신전화가입권)"/>
      <sheetName val="Reference_(변경)"/>
      <sheetName val="경영계획_수립_참고자료_▶▶▶"/>
      <sheetName val="사업부서_작성자료_▶▶▶"/>
      <sheetName val="15년_손익_(GS신규Vision)_요약-연간비교장"/>
      <sheetName val="15년_손익_(GS신규Vision)_요약-(간접비_포함)"/>
      <sheetName val="15년_손익-GS신규Vision"/>
      <sheetName val="매출_계획"/>
      <sheetName val="매출계획_산출근거"/>
      <sheetName val="재료비(율)_계획"/>
      <sheetName val="재료비(율)_산출근거"/>
      <sheetName val="인원인건비&amp;간접비_계획"/>
      <sheetName val="감가상각비_계산"/>
      <sheetName val="간접비_계획"/>
      <sheetName val="Reference_(기존)"/>
      <sheetName val="2014년_손익"/>
      <sheetName val="15년_손익_(GDR_Rental사업)_요약-연간비교장"/>
      <sheetName val="15년_손익_(GDR_Rent사업)_요약-(간접비_포함)"/>
      <sheetName val="15년_손익-GDR_Rental사업"/>
      <sheetName val="매출&amp;재료비&amp;비용&amp;투자_산출근거"/>
      <sheetName val="1_MDF1공장"/>
      <sheetName val="CT_재공품생산현황"/>
      <sheetName val="비용_배부후"/>
      <sheetName val="score_sheet2"/>
      <sheetName val="공제사업score_sheet2"/>
      <sheetName val="법인세비용_계산2"/>
      <sheetName val="정관_및_회계규정2"/>
      <sheetName val="주요ISSUE_사항2"/>
      <sheetName val="2006_과표및세액조정계산서2"/>
      <sheetName val="10_312"/>
      <sheetName val="완성차_미수금2"/>
      <sheetName val="매출_물동명세2"/>
      <sheetName val="외상매출금현황-수정분_A22"/>
      <sheetName val="YTD_Sales(0411)2"/>
      <sheetName val="계수원본(99_2_28)2"/>
      <sheetName val="Cash_Flow1"/>
      <sheetName val="Net_PL(세분류)1"/>
      <sheetName val="받을어음할인및_융통어음1"/>
      <sheetName val="3_판관비명세서1"/>
      <sheetName val="아파트_기성내역서1"/>
      <sheetName val="업무분장_1"/>
      <sheetName val="2_대외공문1"/>
      <sheetName val="장할생활_(2)1"/>
      <sheetName val="증감분석_및_연결조정1"/>
      <sheetName val="1공장_재공품생산현황1"/>
      <sheetName val="11_17-11_231"/>
      <sheetName val="11_24-11_301"/>
      <sheetName val="2_상각보정명세1"/>
      <sheetName val="매출채권_및_담보비율_변동1"/>
      <sheetName val="Dólar_Observado1"/>
      <sheetName val="비교원가제출_고1"/>
      <sheetName val="의뢰건_(2)1"/>
      <sheetName val="5_소재1"/>
      <sheetName val="1월실적_(2)1"/>
      <sheetName val="대차대조표12_011"/>
      <sheetName val="4_2유효폭의_계산1"/>
      <sheetName val="4-1__매출원가_손익계획_집계표1"/>
      <sheetName val="퇴직급여충당금12_311"/>
      <sheetName val="25_보증금(임차보증금외)1"/>
      <sheetName val="24_보증금(전신전화가입권)1"/>
      <sheetName val="1_MDF1공장1"/>
      <sheetName val="화섬_MDP1"/>
      <sheetName val="Reference_(변경)1"/>
      <sheetName val="경영계획_수립_참고자료_▶▶▶1"/>
      <sheetName val="사업부서_작성자료_▶▶▶1"/>
      <sheetName val="15년_손익_(GS신규Vision)_요약-연간비교장1"/>
      <sheetName val="15년_손익_(GS신규Vision)_요약-(간접비_포함1"/>
      <sheetName val="15년_손익-GS신규Vision1"/>
      <sheetName val="매출_계획1"/>
      <sheetName val="매출계획_산출근거1"/>
      <sheetName val="재료비(율)_계획1"/>
      <sheetName val="재료비(율)_산출근거1"/>
      <sheetName val="인원인건비&amp;간접비_계획1"/>
      <sheetName val="감가상각비_계산1"/>
      <sheetName val="간접비_계획1"/>
      <sheetName val="Reference_(기존)1"/>
      <sheetName val="2014년_손익1"/>
      <sheetName val="15년_손익_(GDR_Rental사업)_요약-연간비교장1"/>
      <sheetName val="15년_손익_(GDR_Rent사업)_요약-(간접비_포함1"/>
      <sheetName val="15년_손익-GDR_Rental사업1"/>
      <sheetName val="매출&amp;재료비&amp;비용&amp;투자_산출근거1"/>
      <sheetName val="CT_재공품생산현황1"/>
      <sheetName val="비용_배부후1"/>
      <sheetName val="종기실공문"/>
      <sheetName val="일위_파일"/>
      <sheetName val="법인별요약"/>
      <sheetName val="admin"/>
      <sheetName val="원가계산 (2)"/>
      <sheetName val="도근좌표"/>
      <sheetName val="에뛰드 내부관리가"/>
      <sheetName val="ST"/>
      <sheetName val="유첨3.적용기준"/>
      <sheetName val="Lead"/>
      <sheetName val="배부표"/>
      <sheetName val="상품입력"/>
      <sheetName val="미수수익"/>
      <sheetName val="이자수익PT"/>
      <sheetName val="현금 및 예치금Lead"/>
      <sheetName val="보정"/>
      <sheetName val="현금및예치금 명세서"/>
      <sheetName val="97년"/>
      <sheetName val="Sheet7"/>
      <sheetName val="부분품"/>
      <sheetName val="생산부대통지서"/>
      <sheetName val="생산직"/>
      <sheetName val="기본정보"/>
      <sheetName val="부서실적"/>
      <sheetName val="108.수선비"/>
      <sheetName val="부서별"/>
      <sheetName val="Office only Letup"/>
      <sheetName val="Data&amp;Result"/>
      <sheetName val="LeadSchedule"/>
      <sheetName val="1부생산계획"/>
      <sheetName val="General Inputs"/>
      <sheetName val="CGC Inputs"/>
      <sheetName val="요약PL"/>
      <sheetName val="참고_주임대리승진안(2013下)"/>
      <sheetName val="97년추정손익계산서"/>
      <sheetName val="0.0ControlSheet"/>
      <sheetName val="업체손실공수.xls"/>
      <sheetName val="기본일위"/>
      <sheetName val="EQT-ESTN"/>
      <sheetName val="아울렛_농산벤더"/>
      <sheetName val="경영비율_"/>
      <sheetName val="VB_"/>
      <sheetName val="원가계산_(2)"/>
      <sheetName val="가중치_사용자본회전율"/>
      <sheetName val="9703"/>
      <sheetName val="고정자산원본"/>
      <sheetName val="투자현황"/>
      <sheetName val="지점월추이"/>
      <sheetName val="과8"/>
      <sheetName val="손익분석"/>
      <sheetName val="산근"/>
      <sheetName val="TB(BS)"/>
      <sheetName val="TB(PL)"/>
      <sheetName val="중부사업담당 1-11월 원가"/>
      <sheetName val="51102"/>
      <sheetName val="근로영수증"/>
      <sheetName val="퇴직영수증"/>
      <sheetName val="정시성현황"/>
      <sheetName val="중부사업담당_1-11월_원가"/>
      <sheetName val="2009BS_감사전"/>
      <sheetName val="scosht"/>
      <sheetName val="2009PL_감사전"/>
      <sheetName val="대차"/>
      <sheetName val="마감분석"/>
      <sheetName val="업체별재고금액"/>
      <sheetName val="일반(본사)"/>
      <sheetName val="일반(의성)"/>
      <sheetName val="미수금(공동공사비)"/>
      <sheetName val="본사감가상각대장(비품)"/>
      <sheetName val="손익계산서(管理)"/>
      <sheetName val="F-1,2"/>
      <sheetName val="96"/>
      <sheetName val="제조공정"/>
      <sheetName val="MA"/>
      <sheetName val="의왕"/>
      <sheetName val="96시"/>
      <sheetName val="Index"/>
      <sheetName val="용역원가명세서"/>
      <sheetName val="추가예산"/>
      <sheetName val="담당자"/>
      <sheetName val="주관사업"/>
      <sheetName val="외화금융(97-03)"/>
      <sheetName val="평가제외"/>
      <sheetName val="수선비"/>
      <sheetName val="대차,손익"/>
      <sheetName val="WH"/>
      <sheetName val="UTCA"/>
      <sheetName val="1주"/>
      <sheetName val="2주"/>
      <sheetName val="3주"/>
      <sheetName val="4주"/>
      <sheetName val="MANAGER"/>
      <sheetName val="118_세금과공과"/>
      <sheetName val="108_수선비"/>
      <sheetName val="95D"/>
      <sheetName val="94D"/>
      <sheetName val="작업통제용"/>
      <sheetName val="93상각비"/>
      <sheetName val="보통예금"/>
      <sheetName val="영업단위-8월"/>
      <sheetName val="월말마감"/>
      <sheetName val="SMCB9617145"/>
      <sheetName val="잉여금"/>
      <sheetName val="붙임2-1  지급조서명세서(2001년분)"/>
      <sheetName val="支払明細"/>
      <sheetName val="구동"/>
      <sheetName val="경비공통"/>
      <sheetName val="2담당0113"/>
      <sheetName val="1담당0113"/>
      <sheetName val="PR제조"/>
      <sheetName val="费率"/>
      <sheetName val="관세구분시트"/>
      <sheetName val="호프"/>
      <sheetName val="TUL30"/>
      <sheetName val="UTMBPL"/>
      <sheetName val="추가강의료내역"/>
      <sheetName val="T02"/>
      <sheetName val="f3"/>
      <sheetName val="5131"/>
      <sheetName val="경영계획"/>
      <sheetName val="조립지적"/>
      <sheetName val="2004년추계"/>
      <sheetName val="별제권_정리담보권"/>
      <sheetName val="INTC"/>
      <sheetName val="조정명세서"/>
      <sheetName val="34"/>
      <sheetName val="01_12月_Lot별_판매실적.xls"/>
      <sheetName val="원시데이타"/>
      <sheetName val="차량운반구상각"/>
      <sheetName val="건물"/>
      <sheetName val="기계장치"/>
      <sheetName val="구축물"/>
      <sheetName val="당좌예금"/>
      <sheetName val="CapMult"/>
      <sheetName val="Industry Indices"/>
      <sheetName val="3사분기계획"/>
      <sheetName val="투자자산명세서"/>
      <sheetName val="명세"/>
      <sheetName val="중부사업담당_1-11월_원가1"/>
      <sheetName val="9706"/>
      <sheetName val="시작"/>
      <sheetName val="주요비율-낙관"/>
      <sheetName val="Ⅰ-1"/>
      <sheetName val="sap`04.7.14"/>
      <sheetName val="성적표96"/>
      <sheetName val="경영분석"/>
      <sheetName val="서식지정"/>
      <sheetName val="result0927"/>
      <sheetName val="대우자동차용역비"/>
      <sheetName val="ORIGIN"/>
      <sheetName val="13.보증금(전신전화가입권)"/>
      <sheetName val="호봉표"/>
      <sheetName val="YM98"/>
      <sheetName val="형틀공사"/>
      <sheetName val="매입계산서"/>
      <sheetName val="원가배부작업시간"/>
      <sheetName val="외화"/>
      <sheetName val="LEAD SHEET (K상각후회수율)"/>
      <sheetName val="BOX명칭"/>
      <sheetName val="95WBS"/>
      <sheetName val="공항,제주 판매율 분석"/>
      <sheetName val="1_현금흐름표"/>
      <sheetName val="조건식"/>
      <sheetName val="산업잠재수요현황"/>
      <sheetName val="산업체판매량세부내역"/>
      <sheetName val="◀Chart_Data"/>
      <sheetName val="충당금"/>
      <sheetName val="제작실적"/>
      <sheetName val="PC실적"/>
      <sheetName val="신부서코드"/>
      <sheetName val="score_sheet3"/>
      <sheetName val="공제사업score_sheet3"/>
      <sheetName val="법인세비용_계산3"/>
      <sheetName val="정관_및_회계규정3"/>
      <sheetName val="주요ISSUE_사항3"/>
      <sheetName val="완성차_미수금3"/>
      <sheetName val="2006_과표및세액조정계산서3"/>
      <sheetName val="매출_물동명세3"/>
      <sheetName val="증감분석_및_연결조정2"/>
      <sheetName val="장할생활_(2)2"/>
      <sheetName val="YTD_Sales(0411)3"/>
      <sheetName val="계수원본(99_2_28)3"/>
      <sheetName val="10_313"/>
      <sheetName val="외상매출금현황-수정분_A23"/>
      <sheetName val="Cash_Flow2"/>
      <sheetName val="Net_PL(세분류)2"/>
      <sheetName val="3_판관비명세서2"/>
      <sheetName val="업무분장_2"/>
      <sheetName val="2_대외공문2"/>
      <sheetName val="아파트_기성내역서2"/>
      <sheetName val="1월실적_(2)2"/>
      <sheetName val="받을어음할인및_융통어음2"/>
      <sheetName val="11_17-11_232"/>
      <sheetName val="11_24-11_302"/>
      <sheetName val="2_상각보정명세2"/>
      <sheetName val="1공장_재공품생산현황2"/>
      <sheetName val="매출채권_및_담보비율_변동2"/>
      <sheetName val="대차대조표12_012"/>
      <sheetName val="의뢰건_(2)2"/>
      <sheetName val="화섬_MDP2"/>
      <sheetName val="비교원가제출_고2"/>
      <sheetName val="퇴직급여충당금12_312"/>
      <sheetName val="4-1__매출원가_손익계획_집계표2"/>
      <sheetName val="5_소재2"/>
      <sheetName val="Dólar_Observado2"/>
      <sheetName val="4_2유효폭의_계산2"/>
      <sheetName val="1_MDF1공장2"/>
      <sheetName val="25_보증금(임차보증금외)2"/>
      <sheetName val="24_보증금(전신전화가입권)2"/>
      <sheetName val="CT_재공품생산현황2"/>
      <sheetName val="비용_배부후2"/>
      <sheetName val="입력_판매"/>
      <sheetName val="입력_인원"/>
      <sheetName val="Reference_(변경)2"/>
      <sheetName val="경영계획_수립_참고자료_▶▶▶2"/>
      <sheetName val="사업부서_작성자료_▶▶▶2"/>
      <sheetName val="15년_손익_(GS신규Vision)_요약-연간비교장2"/>
      <sheetName val="15년_손익_(GS신규Vision)_요약-(간접비_포함2"/>
      <sheetName val="15년_손익-GS신규Vision2"/>
      <sheetName val="매출_계획2"/>
      <sheetName val="매출계획_산출근거2"/>
      <sheetName val="재료비(율)_계획2"/>
      <sheetName val="재료비(율)_산출근거2"/>
      <sheetName val="인원인건비&amp;간접비_계획2"/>
      <sheetName val="감가상각비_계산2"/>
      <sheetName val="간접비_계획2"/>
      <sheetName val="Reference_(기존)2"/>
      <sheetName val="2014년_손익2"/>
      <sheetName val="15년_손익_(GDR_Rental사업)_요약-연간비교장2"/>
      <sheetName val="15년_손익_(GDR_Rent사업)_요약-(간접비_포함2"/>
      <sheetName val="15년_손익-GDR_Rental사업2"/>
      <sheetName val="매출&amp;재료비&amp;비용&amp;투자_산출근거2"/>
      <sheetName val="2_Critical_Component_Estimation"/>
      <sheetName val="중장기_외화자금_보정명세(PBC)"/>
      <sheetName val="00_08계정"/>
      <sheetName val="#2_BSPL"/>
      <sheetName val="퇴직충당금(3_31)(국문)"/>
      <sheetName val="매출액(명)_"/>
      <sheetName val="control_sheet"/>
      <sheetName val="에뛰드_내부관리가"/>
      <sheetName val="Office_only_Letup"/>
      <sheetName val="POS_(2)"/>
      <sheetName val="05_1Q"/>
      <sheetName val="산업은행_경영지표"/>
      <sheetName val="INCOME_STATEMENT"/>
      <sheetName val="Packaging_cost_Back_Data"/>
      <sheetName val="현지법인_대손설정"/>
      <sheetName val="unit_4"/>
      <sheetName val="내역서_(2)"/>
      <sheetName val="관계회사거래내역및_채권채무잔액_99"/>
      <sheetName val="Team_종합"/>
      <sheetName val="현금_및_예치금Lead"/>
      <sheetName val="현금및예치금_명세서"/>
      <sheetName val="업체손실공수_xls"/>
      <sheetName val="General_Inputs"/>
      <sheetName val="CGC_Inputs"/>
      <sheetName val="유첨3_적용기준"/>
      <sheetName val="현금흐름표 근거자료"/>
      <sheetName val="黄做原材料进销存"/>
      <sheetName val="시설이용권명세서"/>
      <sheetName val="PUR-12K"/>
      <sheetName val="본사_09"/>
      <sheetName val="23을"/>
      <sheetName val="EXPENSE"/>
      <sheetName val="이름표"/>
      <sheetName val="현금흐름계산"/>
      <sheetName val="단기금융상품"/>
      <sheetName val="영업미수금"/>
      <sheetName val="저장품"/>
      <sheetName val="가동설비"/>
      <sheetName val="고정부채"/>
      <sheetName val="손익계산서(성질별)상수도"/>
      <sheetName val="차이명세"/>
      <sheetName val="총괄원가"/>
      <sheetName val="경영분석산식(참고)"/>
      <sheetName val="차입금상환표"/>
      <sheetName val="일위대가표"/>
      <sheetName val="시산"/>
      <sheetName val="23기-3분기결산PL"/>
      <sheetName val="피보험자명세(럭키확정분)"/>
      <sheetName val="예적금"/>
      <sheetName val="bs"/>
      <sheetName val="8월"/>
      <sheetName val="파워콤"/>
      <sheetName val="기초데이타"/>
      <sheetName val="배서어음명세서"/>
      <sheetName val="미지금(01)"/>
      <sheetName val="기구표"/>
      <sheetName val="장기차입금"/>
      <sheetName val="MIJIBI"/>
      <sheetName val="수정사항집계표"/>
      <sheetName val="부실채권"/>
      <sheetName val="원가배분01년(등본)"/>
      <sheetName val="표2"/>
      <sheetName val="평가예상(200308)"/>
      <sheetName val="DB"/>
      <sheetName val="TAL"/>
      <sheetName val="6D257"/>
      <sheetName val="주당순이익1분기"/>
      <sheetName val="비교"/>
      <sheetName val="조회서"/>
      <sheetName val="년간 자금계획(90일 적용)"/>
      <sheetName val="본사"/>
      <sheetName val="Main"/>
      <sheetName val="F-4,5"/>
      <sheetName val="연평잔"/>
      <sheetName val="인사자료총집계"/>
      <sheetName val="SE_Output"/>
      <sheetName val="0000"/>
      <sheetName val="진도현황"/>
      <sheetName val="은행조회서"/>
      <sheetName val="05현금등가"/>
      <sheetName val="Re1"/>
      <sheetName val="99.7월 당월회수 실적"/>
      <sheetName val="Item LIST"/>
      <sheetName val="Volume LIST"/>
      <sheetName val="US Revenue (2)"/>
      <sheetName val="Act-NCI"/>
      <sheetName val="Act-NCE"/>
      <sheetName val="Control"/>
      <sheetName val="건설중인자산(기타)"/>
      <sheetName val="fnc"/>
      <sheetName val="재정비직인"/>
      <sheetName val="재정비내역"/>
      <sheetName val="지적고시내역"/>
      <sheetName val="자산"/>
      <sheetName val="99입장목표"/>
      <sheetName val="취득"/>
      <sheetName val="매립"/>
      <sheetName val="내역서"/>
      <sheetName val="JP_GP_UP통합"/>
      <sheetName val="참고_ 카본단가 비교"/>
      <sheetName val="공구기구"/>
      <sheetName val="매출및매출채권"/>
      <sheetName val="주거"/>
      <sheetName val="아울렛_농산벤더1"/>
      <sheetName val="중부사업담당_1-11월_원가2"/>
      <sheetName val="sap`04_7_14"/>
      <sheetName val="13_보증금(전신전화가입권)"/>
      <sheetName val="붙임2-1__지급조서명세서(2001년분)"/>
      <sheetName val="0_0ControlSheet"/>
      <sheetName val="전부인쇄"/>
      <sheetName val="부산물"/>
      <sheetName val="상품원가"/>
      <sheetName val="관리1"/>
      <sheetName val="금액"/>
      <sheetName val="流资汇总"/>
      <sheetName val="매출채권등리드"/>
      <sheetName val="허들조견표"/>
      <sheetName val="N賃率-職"/>
      <sheetName val="기본입력사항"/>
      <sheetName val="주관1"/>
      <sheetName val="결과확인공문_KEIT"/>
      <sheetName val="감사보고서 (날인X)_KEIT"/>
      <sheetName val="감사보고서_KEIT"/>
      <sheetName val="총괄검토결과내역_KEIT"/>
      <sheetName val="별첨_상세내역_KEIT"/>
      <sheetName val="불인정내역_KEIT"/>
      <sheetName val="결과확인공문_KIAT"/>
      <sheetName val="감사보고서 (날인X)_KIAT"/>
      <sheetName val="감사보고서_KIAT"/>
      <sheetName val="검토결과_KIAT"/>
      <sheetName val="기관별_검토결과_KIAT"/>
      <sheetName val="불인정사항_KIAT"/>
      <sheetName val="결과확인공문-최종결과시(전담)_KETEP"/>
      <sheetName val="결과확인공문-최종결과시(수행)_KETEP"/>
      <sheetName val="결과확인공문-최종결과시_KETEP"/>
      <sheetName val="감사보고서 (날인X)_KETEP"/>
      <sheetName val="감사보고서_KETEP"/>
      <sheetName val="검토결과_KETEP"/>
      <sheetName val="기관별검토결과_KETEP"/>
      <sheetName val="불인정내역_KETEP"/>
      <sheetName val="사용현황"/>
      <sheetName val="인건비"/>
      <sheetName val="환수금계산"/>
      <sheetName val="재원별지출내역"/>
      <sheetName val="재원별지출내역 (2)"/>
      <sheetName val="이월금"/>
      <sheetName val="연구시설·장비 및 재료비"/>
      <sheetName val="연구활동비"/>
      <sheetName val="학생인건비"/>
      <sheetName val="연구과제추진비"/>
      <sheetName val="연구수당"/>
      <sheetName val="간접비"/>
      <sheetName val="세목별 사용내역조회"/>
      <sheetName val="검토내역"/>
      <sheetName val="참여율"/>
      <sheetName val="인건비_피벗"/>
      <sheetName val="내부인건비_(DB)"/>
      <sheetName val="인건비시트"/>
      <sheetName val="★인건비시트_(재)경북테크노파크"/>
      <sheetName val="★인건비시트_재단법인경북차량용임베디드기술연구원"/>
      <sheetName val="인건비 소요 명세"/>
      <sheetName val="검토내역_문구"/>
      <sheetName val="서식"/>
      <sheetName val="간접비율"/>
      <sheetName val="Sheet1 (2)"/>
      <sheetName val="현금등가물"/>
      <sheetName val="981-4분기"/>
      <sheetName val="ST제품"/>
      <sheetName val="고급필터"/>
      <sheetName val="수입검사현황 Rev1"/>
      <sheetName val="7.3 DY팀"/>
      <sheetName val="2.지분법적용주식Leadsheet(회사제시)"/>
      <sheetName val="원본"/>
      <sheetName val="TO DO"/>
      <sheetName val="1300"/>
      <sheetName val="잡급"/>
      <sheetName val="급여"/>
      <sheetName val="회원수&amp;결제&amp;매출"/>
      <sheetName val="지급수수료"/>
      <sheetName val="FAB별"/>
      <sheetName val="Assumptions"/>
      <sheetName val="책임준비금"/>
      <sheetName val="KA021901"/>
      <sheetName val="조정전"/>
      <sheetName val="표시트"/>
      <sheetName val="서비스별 매출추이"/>
      <sheetName val="년월차수당"/>
      <sheetName val="상여금"/>
      <sheetName val="상환익(2001년도)"/>
      <sheetName val="유가증권현황"/>
      <sheetName val="Bank charge"/>
      <sheetName val="7 _2_"/>
      <sheetName val="결산비용"/>
      <sheetName val="관재"/>
      <sheetName val="값목록(Do not touch)"/>
      <sheetName val="하우투_집계"/>
      <sheetName val="CC Down load 0716"/>
      <sheetName val="월급제"/>
      <sheetName val="신공항A-9(원가수정)"/>
      <sheetName val="전체"/>
      <sheetName val="도면번호"/>
      <sheetName val="KUBYEA"/>
      <sheetName val="목차"/>
      <sheetName val="합계db"/>
      <sheetName val="집연95"/>
      <sheetName val="급상여기초정보_08"/>
      <sheetName val="본사_08"/>
      <sheetName val="토목주소"/>
      <sheetName val="프랜트면허"/>
      <sheetName val="제품수불(대체)"/>
      <sheetName val="원재료입력"/>
      <sheetName val="총제품수불"/>
      <sheetName val="제품입력"/>
      <sheetName val="과장"/>
      <sheetName val="외출포항"/>
      <sheetName val="상품입고집계"/>
      <sheetName val="FA-LISTING"/>
      <sheetName val="96원가"/>
      <sheetName val="CF_Assumption"/>
      <sheetName val="Ref Filed"/>
      <sheetName val="8월차잔"/>
      <sheetName val="특별경비"/>
      <sheetName val="긴급근무"/>
      <sheetName val="월별보고표"/>
      <sheetName val="정기적금"/>
      <sheetName val="일반부표"/>
      <sheetName val="집계표"/>
      <sheetName val="치약_v011㤂ᖄ됁"/>
      <sheetName val="치약_v011_x0000_츀"/>
      <sheetName val="DATA 입력란"/>
      <sheetName val="1. 설계조건 2.단면가정 3. 하중계산"/>
      <sheetName val="FC-101"/>
      <sheetName val="첨부1"/>
      <sheetName val="99년하반기"/>
      <sheetName val="작성양식"/>
      <sheetName val="차입"/>
      <sheetName val="김종록2"/>
      <sheetName val="AQL(0.65)"/>
      <sheetName val="compare2"/>
      <sheetName val="매출96(장항)"/>
      <sheetName val="제품분류코드"/>
      <sheetName val="U3.1"/>
      <sheetName val="영업외손익등"/>
      <sheetName val="maccp04"/>
      <sheetName val="10월"/>
      <sheetName val="투자유가증권"/>
      <sheetName val="01is(누계)"/>
      <sheetName val="용연"/>
      <sheetName val="울산"/>
      <sheetName val="진천"/>
      <sheetName val="구미"/>
      <sheetName val="대구"/>
      <sheetName val="언양"/>
      <sheetName val="GEN Inputs"/>
      <sheetName val="WACC_BUILDUP"/>
      <sheetName val="IRR"/>
      <sheetName val="대항목"/>
      <sheetName val="질의(금액)참조"/>
      <sheetName val="손익항목표"/>
      <sheetName val="구매차입"/>
      <sheetName val="개발비자산성검토"/>
      <sheetName val="2월"/>
      <sheetName val="9710"/>
      <sheetName val="이자"/>
      <sheetName val="整理後資料"/>
      <sheetName val="表03 "/>
      <sheetName val="表05-1"/>
      <sheetName val="表10-3"/>
      <sheetName val="表10-4"/>
      <sheetName val="表10-5"/>
      <sheetName val="表13-2"/>
      <sheetName val="表30-10"/>
      <sheetName val="Check"/>
      <sheetName val="綜合"/>
      <sheetName val="調前盈餘"/>
      <sheetName val="DIVP_L 1998"/>
      <sheetName val="管理費用(簡)"/>
      <sheetName val="118_세금과공과1"/>
      <sheetName val="108_수선비1"/>
      <sheetName val="공항,제주_판매율_분석"/>
      <sheetName val="US_Revenue_(2)"/>
      <sheetName val="CF_RE type"/>
      <sheetName val="CASH"/>
      <sheetName val="평가금액"/>
      <sheetName val="1공장_재공품생쩀ᯨ_x0000_"/>
      <sheetName val="기존처_식"/>
      <sheetName val="절감항_x0000_"/>
      <sheetName val="절감항밀"/>
      <sheetName val="12월급여"/>
      <sheetName val="11월급여"/>
      <sheetName val="명단"/>
      <sheetName val="2009년6월부터"/>
      <sheetName val="매출액(제품)"/>
      <sheetName val="고합"/>
      <sheetName val="220 (2)"/>
      <sheetName val="1급갑"/>
      <sheetName val="3.일반사상"/>
      <sheetName val="TB2005"/>
      <sheetName val="商品"/>
      <sheetName val="XL4Poppy"/>
      <sheetName val="Dec-02"/>
      <sheetName val="Jun-04"/>
      <sheetName val="Oct-02"/>
      <sheetName val="부서"/>
      <sheetName val="PJT"/>
      <sheetName val="DI1"/>
      <sheetName val="요율표"/>
      <sheetName val="출고상차료"/>
      <sheetName val="5600"/>
      <sheetName val="1안98Billing"/>
      <sheetName val="Voreinstellungen"/>
      <sheetName val="보유어음"/>
      <sheetName val="AU"/>
      <sheetName val="原材料单价分析"/>
      <sheetName val="제품L.D."/>
      <sheetName val="Korea Sign-Internal"/>
      <sheetName val="정산내역"/>
      <sheetName val="Bankruptcies"/>
      <sheetName val="상각중_001116"/>
      <sheetName val="FY00 OP3rdPrty"/>
      <sheetName val="SS20"/>
      <sheetName val="SS10"/>
      <sheetName val="Q199-Q200"/>
      <sheetName val="0201"/>
      <sheetName val="COMMON"/>
      <sheetName val="보정사항"/>
      <sheetName val="Q3 actuals"/>
      <sheetName val="0307 Q3Update"/>
      <sheetName val="FSG"/>
      <sheetName val="Accts_ET"/>
      <sheetName val="매입매출(입력)"/>
      <sheetName val="이연"/>
      <sheetName val="세무서코드"/>
      <sheetName val="비교재무제표"/>
      <sheetName val="반포2차"/>
      <sheetName val="1-6(반품내역)"/>
      <sheetName val="자금실적(신발)"/>
      <sheetName val="3.부점발견재산"/>
      <sheetName val="6.공사부점손익"/>
      <sheetName val="5.공사손익실적"/>
      <sheetName val="조건"/>
      <sheetName val="98년매출액및매출원가"/>
      <sheetName val="손익계산서(가로)"/>
      <sheetName val="연돌일위집계"/>
      <sheetName val="Links"/>
      <sheetName val="Cons.Total company"/>
      <sheetName val="월별수입"/>
      <sheetName val="WBS98"/>
      <sheetName val="FL'G WT."/>
      <sheetName val="고정자산"/>
      <sheetName val="매출원가추정"/>
      <sheetName val="매출추정"/>
      <sheetName val="수금 "/>
      <sheetName val="12월정산수금현황"/>
      <sheetName val="매출"/>
      <sheetName val="견적과실행예산"/>
      <sheetName val="合成単価作成表-BLDG"/>
      <sheetName val="원가비용"/>
      <sheetName val="이연법인세(2007)"/>
      <sheetName val="환수금계산_총괄"/>
      <sheetName val="환수금계산_주관"/>
      <sheetName val="환수금계산_참여(1)"/>
      <sheetName val="환수금계산_참여(2)"/>
      <sheetName val="환수금계산_참여(3)"/>
      <sheetName val="환수금계산_참여(4)"/>
      <sheetName val="환수금계산_참여(5)"/>
      <sheetName val="재원별지출내역_수행기관제출용"/>
      <sheetName val="집행내역별"/>
      <sheetName val="집행내역_피벗(1)"/>
      <sheetName val="경영비율_1"/>
      <sheetName val="VB_1"/>
      <sheetName val="원가계산_(2)1"/>
      <sheetName val="현금흐름표_근거자료"/>
      <sheetName val="01_12月_Lot별_판매실적_xls"/>
      <sheetName val="Industry_Indices"/>
      <sheetName val="1.능률현황"/>
      <sheetName val="2.호선별예상실적"/>
      <sheetName val="교육계획"/>
      <sheetName val="3528"/>
      <sheetName val="재고관련흐름"/>
      <sheetName val="3월연장근무"/>
      <sheetName val="부문별손익안분명세서4-6월"/>
      <sheetName val="연구인원내역"/>
      <sheetName val="82150-39000"/>
      <sheetName val="S1.1총괄"/>
      <sheetName val="5층 건축물대장 등기 예정"/>
      <sheetName val="층별면적표-060411-5층 통합"/>
      <sheetName val="서피070607"/>
      <sheetName val="7 (2)"/>
      <sheetName val="월별데이타"/>
      <sheetName val="분기별데이타"/>
      <sheetName val="OTHER_INFO"/>
      <sheetName val="2181.91(Ex-pat)"/>
      <sheetName val="2150.2(Equip-oth)"/>
      <sheetName val="개산공사비"/>
      <sheetName val="경영지표"/>
      <sheetName val="Purchasing"/>
      <sheetName val="Business Plan"/>
      <sheetName val="첨부5"/>
      <sheetName val="개인별집계"/>
      <sheetName val="당기추가완료"/>
      <sheetName val="출자한도"/>
      <sheetName val="040430"/>
      <sheetName val="信息"/>
      <sheetName val="表6-1wuhan（住宅）进度计划"/>
      <sheetName val="건재양식"/>
      <sheetName val="Main Assumptions"/>
      <sheetName val="Revenue Assumptions"/>
      <sheetName val="company operations"/>
      <sheetName val="hangzhou2"/>
      <sheetName val="工资表"/>
      <sheetName val="测算明细表(0+1+1)"/>
      <sheetName val="명단-피평가자명단(전체)"/>
      <sheetName val="목록"/>
      <sheetName val="기준"/>
      <sheetName val="参数表"/>
      <sheetName val="MNT 개발계획_최종"/>
      <sheetName val="master"/>
      <sheetName val="short term loan"/>
      <sheetName val="Tax Category"/>
      <sheetName val="Acct Group"/>
      <sheetName val="시산표12월(수정후)"/>
      <sheetName val="1월실적_x0000_jĨ˒"/>
      <sheetName val="1월실적_x0000__x0000__x0005__x0000_"/>
      <sheetName val="财务费用"/>
      <sheetName val="管理费用"/>
      <sheetName val="其他业务成本"/>
      <sheetName val="其他业务收入"/>
      <sheetName val="其他应付款"/>
      <sheetName val="其他应收款"/>
      <sheetName val="销售费用"/>
      <sheetName val="序时账"/>
      <sheetName val="营业外收入"/>
      <sheetName val="营业外支出"/>
      <sheetName val="应付账款"/>
      <sheetName val="应付账款账龄分析"/>
      <sheetName val="应收账款内销"/>
      <sheetName val="应收账款外销"/>
      <sheetName val="应收账款账龄分析"/>
      <sheetName val="预付账款"/>
      <sheetName val="制造费用"/>
      <sheetName val="E1"/>
      <sheetName val="所有者权益(股东权益)变动表(本期)(未审)"/>
      <sheetName val="CFS"/>
      <sheetName val="C1551-1"/>
      <sheetName val="hierarchy"/>
      <sheetName val="표지"/>
      <sheetName val="계"/>
      <sheetName val="마산월령동골조물량변경"/>
      <sheetName val="RD제품개발투자비(매가)"/>
      <sheetName val="총"/>
      <sheetName val="윤영환"/>
      <sheetName val="China"/>
      <sheetName val="Drop down 참고"/>
      <sheetName val="BS(5월-경리과)"/>
      <sheetName val="전환원본"/>
      <sheetName val="생산계획"/>
      <sheetName val="미반영량"/>
      <sheetName val="지급자재"/>
      <sheetName val="치약_v011؃栳蠀"/>
      <sheetName val="치약_v011"/>
      <sheetName val="5客诉对比 (2)"/>
      <sheetName val="比较 (2)"/>
      <sheetName val="1월실적"/>
      <sheetName val="7상품수"/>
      <sheetName val="VXXXXX"/>
      <sheetName val="상조회"/>
      <sheetName val="소득세"/>
      <sheetName val="SALTAB97"/>
      <sheetName val="의보"/>
      <sheetName val="생산직잔업"/>
      <sheetName val="Setup"/>
      <sheetName val="IM0711"/>
      <sheetName val="Ctrl"/>
      <sheetName val="기간부서"/>
      <sheetName val="JT3.0견적-구1"/>
      <sheetName val="판가반영"/>
      <sheetName val="KCN"/>
      <sheetName val="SPT"/>
      <sheetName val="입찰안"/>
      <sheetName val="계산기초율"/>
      <sheetName val="환율표"/>
      <sheetName val="WEIGHT"/>
      <sheetName val="CASE1"/>
      <sheetName val="옥분수불"/>
      <sheetName val="STAND20"/>
      <sheetName val="합천내역"/>
      <sheetName val="참조"/>
      <sheetName val="주소록"/>
      <sheetName val="갑지"/>
      <sheetName val="예금현황"/>
      <sheetName val="실사"/>
      <sheetName val="배수통관(좌)"/>
      <sheetName val="원료 CODE"/>
      <sheetName val="인건-측정"/>
      <sheetName val="기기분석"/>
      <sheetName val="지역별수출"/>
      <sheetName val="예산내역서"/>
      <sheetName val="년판01"/>
      <sheetName val="실적관리"/>
      <sheetName val="미수"/>
      <sheetName val="품의서"/>
      <sheetName val="ld-극동"/>
      <sheetName val="Sch9"/>
      <sheetName val="노방제,촉진제 단가추이"/>
      <sheetName val="영업보증금"/>
      <sheetName val="현우실적"/>
      <sheetName val="Margins"/>
      <sheetName val="2000년 충당금자료"/>
      <sheetName val="OtherKPI"/>
      <sheetName val="매  출"/>
      <sheetName val="채권 현황"/>
      <sheetName val="U"/>
      <sheetName val="표준대차대조표(갑)"/>
      <sheetName val="금관"/>
      <sheetName val="경주"/>
      <sheetName val="백화"/>
      <sheetName val="보험료"/>
      <sheetName val="저속"/>
      <sheetName val="0404급여"/>
      <sheetName val="0312상"/>
      <sheetName val="0405급여"/>
      <sheetName val="0406급여"/>
      <sheetName val="0406상"/>
      <sheetName val="CCC"/>
      <sheetName val="원가투입계획('15.06~12)_봉"/>
      <sheetName val="PI"/>
      <sheetName val="원가"/>
      <sheetName val="참고"/>
      <sheetName val="8.월별판관비"/>
      <sheetName val="0.1keyAssumption"/>
      <sheetName val="손익합산"/>
      <sheetName val="文字"/>
      <sheetName val="Summary - Budget"/>
      <sheetName val="Chi tiet"/>
      <sheetName val="제조경비"/>
      <sheetName val="1월실적屨ʨ§"/>
      <sheetName val="분당연립분양원가A"/>
      <sheetName val="FLA"/>
      <sheetName val="SUB (N)"/>
      <sheetName val="상반기손익차2총괄"/>
      <sheetName val="추진전략"/>
      <sheetName val="수량산출"/>
      <sheetName val="현지법인_대손설정1"/>
      <sheetName val="산업은행_경영지표1"/>
      <sheetName val="#2_BSPL1"/>
      <sheetName val="CC_Down_load_0716"/>
      <sheetName val="퇴직충당금(3_31)(국문)1"/>
      <sheetName val="매출액(명)_1"/>
      <sheetName val="원료_CODE"/>
      <sheetName val="참고__카본단가_비교"/>
      <sheetName val="년간_자금계획(90일_적용)"/>
      <sheetName val="입력_판매1"/>
      <sheetName val="입력_인원1"/>
      <sheetName val="POS_(2)1"/>
      <sheetName val="05_1Q1"/>
      <sheetName val="unit_41"/>
      <sheetName val="내역서_(2)1"/>
      <sheetName val="control_sheet1"/>
      <sheetName val="INCOME_STATEMENT1"/>
      <sheetName val="관계회사거래내역및_채권채무잔액_991"/>
      <sheetName val="Team_종합1"/>
      <sheetName val="2_Critical_Component_Estimatio1"/>
      <sheetName val="현금_및_예치금Lead1"/>
      <sheetName val="현금및예치금_명세서1"/>
      <sheetName val="노방제,촉진제_단가추이"/>
      <sheetName val="보관문서목록표 기획"/>
      <sheetName val="TNC"/>
      <sheetName val="99종합"/>
      <sheetName val="유통조직현황"/>
      <sheetName val="선택지"/>
      <sheetName val="횡배수관집현황(2공구)"/>
      <sheetName val="2002년 교육출장비"/>
      <sheetName val="GEN"/>
      <sheetName val="총수율"/>
      <sheetName val="선수금반제"/>
      <sheetName val="2팀"/>
      <sheetName val="ML"/>
      <sheetName val="1-1-1-1"/>
      <sheetName val="수정사항"/>
      <sheetName val="Baby일위대가"/>
      <sheetName val="5.공종별예산내역서"/>
      <sheetName val="수지예산"/>
      <sheetName val="배수공"/>
      <sheetName val="부대공"/>
      <sheetName val="토공"/>
      <sheetName val="포장공"/>
      <sheetName val="설계명세서"/>
      <sheetName val="SH.R설치"/>
      <sheetName val="시험물량산출"/>
      <sheetName val="아파트진행률"/>
      <sheetName val="지구단위계획"/>
      <sheetName val="SSMITM"/>
      <sheetName val="General"/>
      <sheetName val="temp_TranSum"/>
      <sheetName val="BKREC"/>
      <sheetName val="TAX"/>
      <sheetName val="Id"/>
      <sheetName val="Intro2"/>
      <sheetName val="TCTTOC"/>
      <sheetName val="경락률"/>
      <sheetName val="법원비용"/>
      <sheetName val="잔존년수"/>
      <sheetName val="항고구분"/>
      <sheetName val="경매회차하락률"/>
      <sheetName val="ADL Val"/>
      <sheetName val="ADL2 Val"/>
      <sheetName val="ADL3 Val"/>
      <sheetName val="ADL4 Val"/>
      <sheetName val="ADL5 Val"/>
      <sheetName val="ASO II Val"/>
      <sheetName val="ASO I Val"/>
      <sheetName val="ASO I Delaware Val"/>
      <sheetName val="GS CK"/>
      <sheetName val="ASO I Mauritius Val"/>
      <sheetName val="MDL Val"/>
      <sheetName val="Main_Assumptions"/>
      <sheetName val="Revenue_Assumptions"/>
      <sheetName val="5층_건축물대장_등기_예정"/>
      <sheetName val="층별면적표-060411-5층_통합"/>
      <sheetName val="2_지분법적용주식Leadsheet(회사제시)"/>
      <sheetName val="TOWER 12TON"/>
      <sheetName val="TOWER 10TON"/>
      <sheetName val="JIB CRANE,HOIST"/>
      <sheetName val="LOT 이상품 조치 이력"/>
      <sheetName val="견적서"/>
      <sheetName val="토목을"/>
      <sheetName val="입장료"/>
      <sheetName val="방산생산"/>
      <sheetName val="서비스별_매출추이"/>
      <sheetName val="S1_1총괄"/>
      <sheetName val="외화평가"/>
      <sheetName val="영업권"/>
      <sheetName val="99계획대비실적"/>
      <sheetName val="갈현동"/>
      <sheetName val="구미2월"/>
      <sheetName val="안양2월"/>
      <sheetName val="10월일보"/>
      <sheetName val="1. Exercised"/>
      <sheetName val="Pref B"/>
      <sheetName val="95하U$가격"/>
      <sheetName val="고정희"/>
      <sheetName val="코드정보"/>
      <sheetName val="0103"/>
      <sheetName val="상제품매출(원가)1~10월"/>
      <sheetName val="4월2일"/>
      <sheetName val="수불명세서"/>
      <sheetName val="토목공사일반"/>
      <sheetName val="8월 매출수주"/>
      <sheetName val="제품(수출)매출"/>
      <sheetName val="상품매출"/>
      <sheetName val="재고 "/>
      <sheetName val="7월 생산,자공정 불량 현황"/>
      <sheetName val="구분정보"/>
      <sheetName val="잉여금처분"/>
      <sheetName val="Исходная база сентябрь"/>
      <sheetName val="5- МЫ"/>
      <sheetName val="Target3_1912"/>
      <sheetName val="RECON"/>
      <sheetName val="dc"/>
      <sheetName val="98상품수불(기초)"/>
      <sheetName val="98제품수불부"/>
      <sheetName val="대차대조표(수정)"/>
      <sheetName val="(9차)(본드합포)"/>
      <sheetName val="2010년2Q"/>
      <sheetName val="화서상가SA"/>
      <sheetName val="종합현황"/>
      <sheetName val="중간보고서"/>
      <sheetName val="권선상가AC"/>
      <sheetName val="권선아파트AC"/>
      <sheetName val="마라톤AC"/>
      <sheetName val="매탄AC"/>
      <sheetName val="인계동코아AC"/>
      <sheetName val="인계-년도별"/>
      <sheetName val="입금대조"/>
      <sheetName val="인계-미확인"/>
      <sheetName val="인계지주분"/>
      <sheetName val="인계동코아SA"/>
      <sheetName val="정자동코아AC"/>
      <sheetName val="1991"/>
      <sheetName val="정자동코아SA"/>
      <sheetName val="마라톤빌딩SA"/>
      <sheetName val="매탄상가SA"/>
      <sheetName val="매탄연립SA"/>
      <sheetName val="매탄빌라SA"/>
      <sheetName val="지동아파트SA"/>
      <sheetName val="지동상가SA"/>
      <sheetName val="권선아파트SA"/>
      <sheetName val="권선상가SA"/>
      <sheetName val="Sheet"/>
      <sheetName val="현금및현금등가물"/>
      <sheetName val="경비"/>
      <sheetName val="2001Org"/>
      <sheetName val="BS(4)"/>
      <sheetName val="사회보험료세액공제"/>
      <sheetName val="고용증대세액공제"/>
      <sheetName val="2019년_세부자료_(입력할 시트)"/>
      <sheetName val="2019년보험요율_(입력할 시트)"/>
      <sheetName val="경제성분석"/>
      <sheetName val="기본정보입력"/>
      <sheetName val="세부"/>
      <sheetName val="종합판"/>
      <sheetName val="제조원가종합"/>
      <sheetName val="144"/>
      <sheetName val="시산표(창원)"/>
      <sheetName val="score_sheet4"/>
      <sheetName val="공제사업score_sheet4"/>
      <sheetName val="법인세비용_계산4"/>
      <sheetName val="정관_및_회계규정4"/>
      <sheetName val="주요ISSUE_사항4"/>
      <sheetName val="완성차_미수금4"/>
      <sheetName val="2006_과표및세액조정계산서4"/>
      <sheetName val="YTD_Sales(0411)4"/>
      <sheetName val="계수원본(99_2_28)4"/>
      <sheetName val="10_314"/>
      <sheetName val="외상매출금현황-수정분_A24"/>
      <sheetName val="매출_물동명세4"/>
      <sheetName val="Cash_Flow3"/>
      <sheetName val="Net_PL(세분류)3"/>
      <sheetName val="3_판관비명세서3"/>
      <sheetName val="아파트_기성내역서3"/>
      <sheetName val="증감분석_및_연결조정3"/>
      <sheetName val="의뢰건_(2)3"/>
      <sheetName val="11_17-11_233"/>
      <sheetName val="11_24-11_303"/>
      <sheetName val="2_상각보정명세3"/>
      <sheetName val="2_대외공문3"/>
      <sheetName val="업무분장_3"/>
      <sheetName val="1공장_재공품생산현황3"/>
      <sheetName val="비교원가제출_고3"/>
      <sheetName val="장할생활_(2)3"/>
      <sheetName val="받을어음할인및_융통어음3"/>
      <sheetName val="5_소재3"/>
      <sheetName val="1월실적_(2)3"/>
      <sheetName val="매출채권_및_담보비율_변동3"/>
      <sheetName val="Dólar_Observado3"/>
      <sheetName val="대차대조표12_013"/>
      <sheetName val="4-1__매출원가_손익계획_집계표3"/>
      <sheetName val="퇴직급여충당금12_313"/>
      <sheetName val="화섬_MDP3"/>
      <sheetName val="4_2유효폭의_계산3"/>
      <sheetName val="25_보증금(임차보증금외)3"/>
      <sheetName val="24_보증금(전신전화가입권)3"/>
      <sheetName val="1_MDF1공장3"/>
      <sheetName val="비용_배부후3"/>
      <sheetName val="Reference_(변경)3"/>
      <sheetName val="경영계획_수립_참고자료_▶▶▶3"/>
      <sheetName val="사업부서_작성자료_▶▶▶3"/>
      <sheetName val="15년_손익_(GS신규Vision)_요약-연간비교장3"/>
      <sheetName val="15년_손익_(GS신규Vision)_요약-(간접비_포함3"/>
      <sheetName val="15년_손익-GS신규Vision3"/>
      <sheetName val="매출_계획3"/>
      <sheetName val="매출계획_산출근거3"/>
      <sheetName val="재료비(율)_계획3"/>
      <sheetName val="재료비(율)_산출근거3"/>
      <sheetName val="인원인건비&amp;간접비_계획3"/>
      <sheetName val="감가상각비_계산3"/>
      <sheetName val="간접비_계획3"/>
      <sheetName val="Reference_(기존)3"/>
      <sheetName val="2014년_손익3"/>
      <sheetName val="15년_손익_(GDR_Rental사업)_요약-연간비교장3"/>
      <sheetName val="15년_손익_(GDR_Rent사업)_요약-(간접비_포함3"/>
      <sheetName val="15년_손익-GDR_Rental사업3"/>
      <sheetName val="매출&amp;재료비&amp;비용&amp;투자_산출근거3"/>
      <sheetName val="아울렛_농산벤더2"/>
      <sheetName val="CT_재공품생산현황3"/>
      <sheetName val="00_08계정1"/>
      <sheetName val="에뛰드_내부관리가1"/>
      <sheetName val="중장기_외화자금_보정명세(PBC)1"/>
      <sheetName val="General_Inputs1"/>
      <sheetName val="CGC_Inputs1"/>
      <sheetName val="Packaging_cost_Back_Data1"/>
      <sheetName val="업체손실공수_xls1"/>
      <sheetName val="sap`04_7_141"/>
      <sheetName val="13_보증금(전신전화가입권)1"/>
      <sheetName val="유첨3_적용기준1"/>
      <sheetName val="붙임2-1__지급조서명세서(2001년분)1"/>
      <sheetName val="중부사업담당_1-11월_원가3"/>
      <sheetName val="Office_only_Letup1"/>
      <sheetName val="0_0ControlSheet1"/>
      <sheetName val="Item_LIST"/>
      <sheetName val="Volume_LIST"/>
      <sheetName val="사할차금"/>
      <sheetName val="Bank_charge"/>
      <sheetName val="調整"/>
      <sheetName val="火災保険契約明細"/>
      <sheetName val="1월실적Ř⒠_x0000__x0000_"/>
      <sheetName val="调整分录"/>
      <sheetName val="회수내역"/>
      <sheetName val="환율"/>
      <sheetName val="제조원가계산서 (2)"/>
      <sheetName val="7.예수금이자,연체자금투입비용"/>
      <sheetName val="누계"/>
      <sheetName val="명부"/>
      <sheetName val="지정"/>
      <sheetName val="원가기준정보"/>
      <sheetName val="기계장치 (2)"/>
      <sheetName val="대차합동"/>
      <sheetName val="10월 급여"/>
      <sheetName val="변제"/>
      <sheetName val="상환대상"/>
      <sheetName val="광주"/>
      <sheetName val="2000제조1"/>
      <sheetName val="TABLE01"/>
      <sheetName val="신용카드(상각 고재균 활동 고재균)"/>
      <sheetName val="대환론(수정)"/>
      <sheetName val="일반론(수정)"/>
      <sheetName val="신용카드(상각 이상인 활동 이상인)"/>
      <sheetName val="대환론(상각 이상인 활동 이상인)"/>
      <sheetName val="일반론(상각 이상인 활동 이상인)"/>
      <sheetName val="1995년 섹터별 매출"/>
      <sheetName val="department"/>
      <sheetName val="적격심사표"/>
      <sheetName val="노무비"/>
      <sheetName val="손익집계(공장별)"/>
      <sheetName val="통합지보건전성(0201)"/>
      <sheetName val="합동별(기표용)"/>
      <sheetName val="기타예금_신탁예금_일별잔액"/>
      <sheetName val="업무연락"/>
      <sheetName val="경영비율_2"/>
      <sheetName val="118_세금과공과2"/>
      <sheetName val="VB_2"/>
      <sheetName val="108_수선비2"/>
      <sheetName val="원가계산_(2)2"/>
      <sheetName val="공항,제주_판매율_분석1"/>
      <sheetName val="01_12月_Lot별_판매실적_xls1"/>
      <sheetName val="Industry_Indices1"/>
      <sheetName val="현금흐름표_근거자료1"/>
      <sheetName val="LEAD_SHEET_(K상각후회수율)"/>
      <sheetName val="US_Revenue_(2)1"/>
      <sheetName val="99_7월_당월회수_실적"/>
      <sheetName val="Sheet1_(2)"/>
      <sheetName val="DATA_입력란"/>
      <sheetName val="1__설계조건_2_단면가정_3__하중계산"/>
      <sheetName val="감사보고서_(날인X)_KEIT"/>
      <sheetName val="감사보고서_(날인X)_KIAT"/>
      <sheetName val="감사보고서_(날인X)_KETEP"/>
      <sheetName val="재원별지출내역_(2)"/>
      <sheetName val="연구시설·장비_및_재료비"/>
      <sheetName val="세목별_사용내역조회"/>
      <sheetName val="인건비_소요_명세"/>
      <sheetName val="GEN_Inputs"/>
      <sheetName val="7__2_"/>
      <sheetName val="값목록(Do_not_touch)"/>
      <sheetName val="AQL(0_65)"/>
      <sheetName val="수입검사현황_Rev1"/>
      <sheetName val="7_3_DY팀"/>
      <sheetName val="U3_1"/>
      <sheetName val="表03_"/>
      <sheetName val="DIVP_L_1998"/>
      <sheetName val="CF_RE_type"/>
      <sheetName val="제품L_D_"/>
      <sheetName val="220_(2)"/>
      <sheetName val="3_일반사상"/>
      <sheetName val="2181_91(Ex-pat)"/>
      <sheetName val="2150_2(Equip-oth)"/>
      <sheetName val="TO_DO"/>
      <sheetName val="Business_Plan"/>
      <sheetName val="3_부점발견재산"/>
      <sheetName val="6_공사부점손익"/>
      <sheetName val="5_공사손익실적"/>
      <sheetName val="Cons_Total_company"/>
      <sheetName val="FL'G_WT_"/>
      <sheetName val="수금_"/>
      <sheetName val="1_능률현황"/>
      <sheetName val="2_호선별예상실적"/>
      <sheetName val="Korea_Sign-Internal"/>
      <sheetName val="FY00_OP3rdPrty"/>
      <sheetName val="Q3_actuals"/>
      <sheetName val="0307_Q3Update"/>
      <sheetName val="Forecast"/>
      <sheetName val="GADJETGURU"/>
      <sheetName val="Feeds"/>
      <sheetName val="PetaSite"/>
      <sheetName val="Hardware"/>
      <sheetName val="Controls"/>
      <sheetName val="수원공사비"/>
      <sheetName val="경비분류(1)"/>
      <sheetName val="Revised PEGS98"/>
      <sheetName val="식초"/>
      <sheetName val="년도별매출손익"/>
      <sheetName val="97품목별"/>
      <sheetName val="카라멜"/>
      <sheetName val="물엿"/>
      <sheetName val="쌀엿"/>
      <sheetName val="당면"/>
      <sheetName val="[_x0000__x0000__x0000__x0000__x0000__x0000__x0000__x0000__x0000__x0000__x0000__x0000__x0000__x0000_"/>
      <sheetName val="품목별LOT"/>
      <sheetName val="1차 내역서"/>
      <sheetName val="도급FORM"/>
      <sheetName val="을지"/>
      <sheetName val="APT"/>
      <sheetName val="총괄갑 "/>
      <sheetName val="입장객세부추정,계획안"/>
      <sheetName val="10매출"/>
      <sheetName val="정비활동_수선비 절감"/>
      <sheetName val="3.5 Inch 가동 효율"/>
      <sheetName val="2.5 Inch 가동 효율"/>
      <sheetName val="문제점"/>
      <sheetName val="mwo원자재"/>
      <sheetName val="이자정산계획"/>
      <sheetName val="9GNG운반"/>
      <sheetName val="현금및현금등가물1"/>
      <sheetName val="업체별"/>
      <sheetName val="Æo°¡±aAØ"/>
      <sheetName val="LUK."/>
      <sheetName val="인상안"/>
      <sheetName val="미생뭘(전의)-11월"/>
      <sheetName val="Dialog1"/>
      <sheetName val="Module1"/>
      <sheetName val="作成年月指定"/>
      <sheetName val="【OBIC7】運用費用配分内訳"/>
      <sheetName val="결재용"/>
      <sheetName val="ROYALTY"/>
      <sheetName val="주요품목수불(반기)"/>
      <sheetName val="支社"/>
      <sheetName val="検針結果"/>
      <sheetName val="TOEIC기준점수"/>
      <sheetName val="FAB4생산"/>
      <sheetName val="외화가수금"/>
      <sheetName val="자금동향"/>
      <sheetName val="미비용95"/>
      <sheetName val="해외출자현황(원본틀)"/>
      <sheetName val="모델별"/>
      <sheetName val="주소작성"/>
      <sheetName val="기본"/>
      <sheetName val="ASALTOTA"/>
      <sheetName val="Index(변경금지)"/>
      <sheetName val="입력값(공통)"/>
      <sheetName val="datasht"/>
      <sheetName val="0.Data"/>
      <sheetName val="사업계획(97년)"/>
      <sheetName val="차체부품 INS REPORT(갑)"/>
      <sheetName val="양식"/>
      <sheetName val="98지급계획"/>
      <sheetName val="배치1"/>
      <sheetName val="날개수량1.5"/>
      <sheetName val="재무상태변동표"/>
      <sheetName val=""/>
      <sheetName val="0226"/>
      <sheetName val="설 계"/>
      <sheetName val="소송대라상 현장"/>
      <sheetName val="현지법인_대손설정2"/>
      <sheetName val="산업은행_경영지표2"/>
      <sheetName val="#2_BSPL2"/>
      <sheetName val="CC_Down_load_07161"/>
      <sheetName val="퇴직충당금(3_31)(국문)2"/>
      <sheetName val="매출액(명)_2"/>
      <sheetName val="원료_CODE1"/>
      <sheetName val="참고__카본단가_비교1"/>
      <sheetName val="년간_자금계획(90일_적용)1"/>
      <sheetName val="입력_판매2"/>
      <sheetName val="입력_인원2"/>
      <sheetName val="POS_(2)2"/>
      <sheetName val="05_1Q2"/>
      <sheetName val="unit_42"/>
      <sheetName val="내역서_(2)2"/>
      <sheetName val="control_sheet2"/>
      <sheetName val="INCOME_STATEMENT2"/>
      <sheetName val="관계회사거래내역및_채권채무잔액_992"/>
      <sheetName val="Team_종합2"/>
      <sheetName val="2_Critical_Component_Estimatio2"/>
      <sheetName val="현금_및_예치금Lead2"/>
      <sheetName val="현금및예치금_명세서2"/>
      <sheetName val="노방제,촉진제_단가추이1"/>
      <sheetName val="LOT_이상품_조치_이력"/>
      <sheetName val="차체부품_INS_REPORT(갑)"/>
      <sheetName val="날개수량1_5"/>
      <sheetName val="설_계"/>
      <sheetName val="소송대라상_현장"/>
      <sheetName val="13역무손익"/>
      <sheetName val="적시입고율"/>
      <sheetName val="부재료Aging"/>
      <sheetName val="정산내역서"/>
      <sheetName val="계통도"/>
      <sheetName val="자재"/>
      <sheetName val="A翼写字楼"/>
      <sheetName val="Repayment Summary"/>
      <sheetName val="明细表"/>
      <sheetName val="选择报表"/>
      <sheetName val="储藏室"/>
      <sheetName val="核算项目余额表"/>
      <sheetName val="데이타"/>
      <sheetName val="主要规划指标"/>
      <sheetName val="敏感参数"/>
      <sheetName val="写字楼B"/>
      <sheetName val="#REF!"/>
      <sheetName val="average price"/>
      <sheetName val="05年预售率"/>
      <sheetName val="2006年宏观调控对绿城的影响"/>
      <sheetName val="Source"/>
      <sheetName val="F汇总"/>
      <sheetName val="敏感详细分析"/>
      <sheetName val="资产负债表"/>
      <sheetName val="面积指标"/>
      <sheetName val="PS-1995"/>
      <sheetName val="비교대차(완)"/>
      <sheetName val="식음료"/>
      <sheetName val="보증금_전신전화가입권_"/>
      <sheetName val="1-7(재가공내역)"/>
      <sheetName val="INDIA-ML"/>
      <sheetName val="YOUNGSU"/>
      <sheetName val="SHP100S"/>
      <sheetName val="HMS(고)"/>
      <sheetName val="HMB-21"/>
      <sheetName val="HMB-H"/>
      <sheetName val="HMB"/>
      <sheetName val="DMNB"/>
      <sheetName val="SHK157"/>
      <sheetName val="AM48-7"/>
      <sheetName val="SHBK200"/>
      <sheetName val="SHB110"/>
      <sheetName val="SHB106"/>
      <sheetName val="GTB"/>
      <sheetName val="SAMPLE"/>
      <sheetName val="제조판관요약"/>
      <sheetName val="제조경비-간접(추가)"/>
      <sheetName val="가동시간"/>
      <sheetName val="기계경비"/>
      <sheetName val="재료비-경비"/>
      <sheetName val="건물 상각비"/>
      <sheetName val="전력 연료"/>
      <sheetName val="인건비&amp;임율"/>
      <sheetName val="CT 190527"/>
      <sheetName val="Sheet10"/>
      <sheetName val="DMAW 유상샘플"/>
      <sheetName val="DMAW"/>
      <sheetName val="DMAB"/>
      <sheetName val="DMNB 20F"/>
      <sheetName val="YS1004 2700DE"/>
      <sheetName val="GA0519A2"/>
      <sheetName val="GA0519A1"/>
      <sheetName val="GA1024A2"/>
      <sheetName val="GA1024A1"/>
      <sheetName val="방오사3DE(STB) 유상샘플"/>
      <sheetName val="방오사3DE(STB) CIF"/>
      <sheetName val="방오사3DE(STB) DDP"/>
      <sheetName val="방오사6DE(STB) CIF"/>
      <sheetName val="방오사6DE(STB) DDP"/>
      <sheetName val="HMB-21S"/>
      <sheetName val="HMB(6D)"/>
      <sheetName val="HMB(3D)"/>
      <sheetName val="STB(15D)"/>
      <sheetName val="STB 20F"/>
      <sheetName val="STB"/>
      <sheetName val="0412BS보고서"/>
      <sheetName val="설계명세"/>
      <sheetName val="오음명부"/>
      <sheetName val="장비가동"/>
      <sheetName val="5"/>
      <sheetName val="주요재무비율"/>
      <sheetName val="할인율"/>
      <sheetName val="Input"/>
      <sheetName val="Comps"/>
      <sheetName val="IS"/>
      <sheetName val="가격합의서"/>
      <sheetName val="97사업"/>
      <sheetName val="리드14"/>
      <sheetName val="95감가상각"/>
      <sheetName val="분당임차변경"/>
      <sheetName val="dev"/>
      <sheetName val="Drop_down_참고"/>
      <sheetName val="JT3_0견적-구1"/>
      <sheetName val="Parameter"/>
      <sheetName val="1)101-E"/>
      <sheetName val="사업소득자세수추계"/>
      <sheetName val="3.공통공사대비"/>
      <sheetName val="기말참고사항"/>
      <sheetName val="M1master"/>
      <sheetName val="2_지분법적용주식Leadsheet(회사제시)1"/>
      <sheetName val="5층_건축물대장_등기_예정1"/>
      <sheetName val="층별면적표-060411-5층_통합1"/>
      <sheetName val="Rollforward to Final"/>
      <sheetName val="Tickmarks"/>
      <sheetName val="Validation"/>
      <sheetName val="装"/>
      <sheetName val="TB_R3"/>
      <sheetName val="AGR070총누계"/>
      <sheetName val="예수금"/>
      <sheetName val="Site Expenses"/>
      <sheetName val="PD-기여도"/>
      <sheetName val="for 회수"/>
      <sheetName val="치약_v011_x005f_x0000_츀"/>
      <sheetName val="1월실적_x005f_x0000_jĨ˒"/>
      <sheetName val="1월실적_x005f_x0000__x005f_x0000__x005f_x0005__x0000"/>
      <sheetName val="손익계산서(SJ)"/>
      <sheetName val="식재인부"/>
      <sheetName val="가공"/>
      <sheetName val="매출원가"/>
      <sheetName val="A 8-7-1 중요계정파악"/>
      <sheetName val="기타선비"/>
      <sheetName val="치적유지비"/>
      <sheetName val="XLR_NoRangeSheet"/>
      <sheetName val="Detail"/>
      <sheetName val="Исходная_база_сентябрь"/>
      <sheetName val="5-_МЫ"/>
      <sheetName val="LUK_"/>
      <sheetName val="대비표(토공1안)"/>
      <sheetName val="관리"/>
      <sheetName val="개선안2"/>
      <sheetName val="개선안4"/>
      <sheetName val="배경"/>
      <sheetName val="목적"/>
      <sheetName val="시실누(모) "/>
      <sheetName val="1.외주공사"/>
      <sheetName val="2.직영공사"/>
      <sheetName val="1,2공구원가계산서"/>
      <sheetName val="1공구산출내역서"/>
      <sheetName val="3.운반"/>
      <sheetName val="0. 간접공사비"/>
      <sheetName val="정비활동_수선비_절감"/>
      <sheetName val="3_5_Inch_가동_효율"/>
      <sheetName val="2_5_Inch_가동_효율"/>
      <sheetName val="Allo"/>
      <sheetName val="1공장_재공품생_x0000_ˣ렠"/>
      <sheetName val="Set-up"/>
      <sheetName val="전용선 (2)"/>
      <sheetName val="캡쳐2"/>
      <sheetName val="전산품의"/>
      <sheetName val="2013년12월~2014년4월 수불내역"/>
      <sheetName val="선급법인세"/>
      <sheetName val="부문99-2"/>
      <sheetName val="SIMULATION"/>
      <sheetName val="반도체요약"/>
      <sheetName val="구성비"/>
      <sheetName val="980731"/>
      <sheetName val="부서매칭(210809)"/>
      <sheetName val="형명분류 신구비교"/>
      <sheetName val="월달력"/>
      <sheetName val="CR CODE"/>
      <sheetName val="OPT손익 수출"/>
      <sheetName val="제안대장(전체)"/>
      <sheetName val="98달력"/>
      <sheetName val="Parameter 2 Projektbasisdaten"/>
      <sheetName val="2. 별첨 HC Detail(입퇴사)"/>
      <sheetName val="ｴｱﾃﾞｨｽｸ"/>
      <sheetName val="판매파열품비"/>
      <sheetName val="45,46"/>
      <sheetName val="선급비용내역서"/>
      <sheetName val="공용"/>
      <sheetName val="선비명세2"/>
      <sheetName val="등록정보"/>
      <sheetName val="參數-勿刪除"/>
      <sheetName val="公債轉出帳戶"/>
      <sheetName val="會計師姓名"/>
      <sheetName val="이익처분"/>
      <sheetName val="품목별 판매량"/>
      <sheetName val="품셈표"/>
      <sheetName val="Gen Assumptions"/>
      <sheetName val="Admin(Acqusition) 2009 GMC"/>
      <sheetName val="NPV - New Plant"/>
      <sheetName val="NPV"/>
      <sheetName val="company_operations"/>
      <sheetName val="Ref_Filed"/>
      <sheetName val="Summary_-_Budget"/>
      <sheetName val="Chi_tiet"/>
      <sheetName val="5客诉对比_(2)"/>
      <sheetName val="比较_(2)"/>
      <sheetName val="원가투입계획('15_06~12)_봉"/>
      <sheetName val="7_(2)"/>
      <sheetName val="보관문서목록표_기획"/>
      <sheetName val="2002년_교육출장비"/>
      <sheetName val="8_월별판관비"/>
      <sheetName val="0_1keyAssumption"/>
      <sheetName val="재고_"/>
      <sheetName val="2000년_충당금자료"/>
      <sheetName val="매__출"/>
      <sheetName val="채권_현황"/>
      <sheetName val="목표대비실적(R)"/>
      <sheetName val="기초급"/>
      <sheetName val="직능급"/>
      <sheetName val="score_sheet6"/>
      <sheetName val="공제사업score_sheet6"/>
      <sheetName val="법인세비용_계산6"/>
      <sheetName val="정관_및_회계규정6"/>
      <sheetName val="주요ISSUE_사항6"/>
      <sheetName val="완성차_미수금6"/>
      <sheetName val="2006_과표및세액조정계산서6"/>
      <sheetName val="계수원본(99_2_28)6"/>
      <sheetName val="YTD_Sales(0411)6"/>
      <sheetName val="10_316"/>
      <sheetName val="외상매출금현황-수정분_A26"/>
      <sheetName val="매출_물동명세6"/>
      <sheetName val="Net_PL(세분류)5"/>
      <sheetName val="3_판관비명세서5"/>
      <sheetName val="Cash_Flow5"/>
      <sheetName val="아파트_기성내역서5"/>
      <sheetName val="2_대외공문5"/>
      <sheetName val="업무분장_5"/>
      <sheetName val="장할생활_(2)5"/>
      <sheetName val="증감분석_및_연결조정5"/>
      <sheetName val="1공장_재공품생산현황5"/>
      <sheetName val="11_17-11_235"/>
      <sheetName val="11_24-11_305"/>
      <sheetName val="2_상각보정명세5"/>
      <sheetName val="매출채권_및_담보비율_변동5"/>
      <sheetName val="받을어음할인및_융통어음5"/>
      <sheetName val="1월실적_(2)5"/>
      <sheetName val="화섬_MDP5"/>
      <sheetName val="비교원가제출_고5"/>
      <sheetName val="퇴직급여충당금12_315"/>
      <sheetName val="의뢰건_(2)5"/>
      <sheetName val="5_소재5"/>
      <sheetName val="대차대조표12_015"/>
      <sheetName val="4-1__매출원가_손익계획_집계표5"/>
      <sheetName val="4_2유효폭의_계산5"/>
      <sheetName val="Dólar_Observado5"/>
      <sheetName val="1_MDF1공장5"/>
      <sheetName val="25_보증금(임차보증금외)5"/>
      <sheetName val="24_보증금(전신전화가입권)5"/>
      <sheetName val="아울렛_농산벤더4"/>
      <sheetName val="비용_배부후5"/>
      <sheetName val="입력_판매3"/>
      <sheetName val="입력_인원3"/>
      <sheetName val="Reference_(변경)5"/>
      <sheetName val="CT_재공품생산현황5"/>
      <sheetName val="2_Critical_Component_Estimatio3"/>
      <sheetName val="00_08계정3"/>
      <sheetName val="경영계획_수립_참고자료_▶▶▶5"/>
      <sheetName val="사업부서_작성자료_▶▶▶5"/>
      <sheetName val="15년_손익_(GS신규Vision)_요약-연간비교장5"/>
      <sheetName val="15년_손익_(GS신규Vision)_요약-(간접비_포함5"/>
      <sheetName val="15년_손익-GS신규Vision5"/>
      <sheetName val="매출_계획5"/>
      <sheetName val="매출계획_산출근거5"/>
      <sheetName val="재료비(율)_계획5"/>
      <sheetName val="재료비(율)_산출근거5"/>
      <sheetName val="인원인건비&amp;간접비_계획5"/>
      <sheetName val="감가상각비_계산5"/>
      <sheetName val="간접비_계획5"/>
      <sheetName val="Reference_(기존)5"/>
      <sheetName val="2014년_손익5"/>
      <sheetName val="15년_손익_(GDR_Rental사업)_요약-연간비교장5"/>
      <sheetName val="15년_손익_(GDR_Rent사업)_요약-(간접비_포함5"/>
      <sheetName val="15년_손익-GDR_Rental사업5"/>
      <sheetName val="매출&amp;재료비&amp;비용&amp;투자_산출근거5"/>
      <sheetName val="경영비율_3"/>
      <sheetName val="#2_BSPL3"/>
      <sheetName val="퇴직충당금(3_31)(국문)3"/>
      <sheetName val="매출액(명)_3"/>
      <sheetName val="118_세금과공과3"/>
      <sheetName val="control_sheet3"/>
      <sheetName val="에뛰드_내부관리가3"/>
      <sheetName val="VB_3"/>
      <sheetName val="원가계산_(2)3"/>
      <sheetName val="POS_(2)3"/>
      <sheetName val="05_1Q3"/>
      <sheetName val="산업은행_경영지표3"/>
      <sheetName val="unit_43"/>
      <sheetName val="내역서_(2)3"/>
      <sheetName val="INCOME_STATEMENT3"/>
      <sheetName val="관계회사거래내역및_채권채무잔액_993"/>
      <sheetName val="Team_종합3"/>
      <sheetName val="중장기_외화자금_보정명세(PBC)3"/>
      <sheetName val="Packaging_cost_Back_Data3"/>
      <sheetName val="현지법인_대손설정3"/>
      <sheetName val="유첨3_적용기준3"/>
      <sheetName val="현금_및_예치금Lead3"/>
      <sheetName val="현금및예치금_명세서3"/>
      <sheetName val="108_수선비3"/>
      <sheetName val="General_Inputs3"/>
      <sheetName val="CGC_Inputs3"/>
      <sheetName val="Office_only_Letup3"/>
      <sheetName val="업체손실공수_xls3"/>
      <sheetName val="0_0ControlSheet3"/>
      <sheetName val="sap`04_7_143"/>
      <sheetName val="13_보증금(전신전화가입권)3"/>
      <sheetName val="붙임2-1__지급조서명세서(2001년분)3"/>
      <sheetName val="중부사업담당_1-11월_원가5"/>
      <sheetName val="공항,제주_판매율_분석2"/>
      <sheetName val="현금흐름표_근거자료2"/>
      <sheetName val="US_Revenue_(2)2"/>
      <sheetName val="01_12月_Lot별_판매실적_xls2"/>
      <sheetName val="Industry_Indices2"/>
      <sheetName val="2_지분법적용주식Leadsheet(회사제시)2"/>
      <sheetName val="수입검사현황_Rev11"/>
      <sheetName val="7_3_DY팀1"/>
      <sheetName val="Item_LIST2"/>
      <sheetName val="Volume_LIST2"/>
      <sheetName val="LEAD_SHEET_(K상각후회수율)1"/>
      <sheetName val="년간_자금계획(90일_적용)2"/>
      <sheetName val="U3_11"/>
      <sheetName val="참고__카본단가_비교2"/>
      <sheetName val="99_7월_당월회수_실적1"/>
      <sheetName val="감사보고서_(날인X)_KEIT1"/>
      <sheetName val="감사보고서_(날인X)_KIAT1"/>
      <sheetName val="감사보고서_(날인X)_KETEP1"/>
      <sheetName val="재원별지출내역_(2)1"/>
      <sheetName val="연구시설·장비_및_재료비1"/>
      <sheetName val="세목별_사용내역조회1"/>
      <sheetName val="인건비_소요_명세1"/>
      <sheetName val="Sheet1_(2)1"/>
      <sheetName val="서비스별_매출추이2"/>
      <sheetName val="값목록(Do_not_touch)1"/>
      <sheetName val="GEN_Inputs1"/>
      <sheetName val="Bank_charge2"/>
      <sheetName val="7__2_1"/>
      <sheetName val="AQL(0_65)1"/>
      <sheetName val="表03_1"/>
      <sheetName val="DIVP_L_19981"/>
      <sheetName val="제품L_D_1"/>
      <sheetName val="DATA_입력란1"/>
      <sheetName val="1__설계조건_2_단면가정_3__하중계산1"/>
      <sheetName val="220_(2)1"/>
      <sheetName val="3_일반사상1"/>
      <sheetName val="CF_RE_type1"/>
      <sheetName val="2181_91(Ex-pat)1"/>
      <sheetName val="2150_2(Equip-oth)1"/>
      <sheetName val="CC_Down_load_07162"/>
      <sheetName val="JT3_0견적-구11"/>
      <sheetName val="S1_1총괄2"/>
      <sheetName val="1_능률현황1"/>
      <sheetName val="2_호선별예상실적1"/>
      <sheetName val="원가투입계획('15_06~12)_봉1"/>
      <sheetName val="Korea_Sign-Internal1"/>
      <sheetName val="FY00_OP3rdPrty1"/>
      <sheetName val="Q3_actuals1"/>
      <sheetName val="0307_Q3Update1"/>
      <sheetName val="5_공종별예산내역서1"/>
      <sheetName val="SH_R설치1"/>
      <sheetName val="3_부점발견재산2"/>
      <sheetName val="6_공사부점손익2"/>
      <sheetName val="5_공사손익실적2"/>
      <sheetName val="Cons_Total_company1"/>
      <sheetName val="FL'G_WT_1"/>
      <sheetName val="수금_1"/>
      <sheetName val="5客诉对比_(2)1"/>
      <sheetName val="比较_(2)1"/>
      <sheetName val="5층_건축물대장_등기_예정2"/>
      <sheetName val="층별면적표-060411-5층_통합2"/>
      <sheetName val="Business_Plan1"/>
      <sheetName val="Исходная_база_сентябрь1"/>
      <sheetName val="5-_МЫ1"/>
      <sheetName val="Main_Assumptions2"/>
      <sheetName val="Revenue_Assumptions2"/>
      <sheetName val="ADL_Val1"/>
      <sheetName val="ADL2_Val1"/>
      <sheetName val="ADL3_Val1"/>
      <sheetName val="ADL4_Val1"/>
      <sheetName val="ADL5_Val1"/>
      <sheetName val="ASO_II_Val1"/>
      <sheetName val="ASO_I_Val1"/>
      <sheetName val="ASO_I_Delaware_Val1"/>
      <sheetName val="GS_CK1"/>
      <sheetName val="ASO_I_Mauritius_Val1"/>
      <sheetName val="MDL_Val1"/>
      <sheetName val="Drop_down_참고1"/>
      <sheetName val="Ref_Filed1"/>
      <sheetName val="7_(2)1"/>
      <sheetName val="8_월별판관비1"/>
      <sheetName val="0_1keyAssumption1"/>
      <sheetName val="원료_CODE2"/>
      <sheetName val="노방제,촉진제_단가추이2"/>
      <sheetName val="보관문서목록표_기획1"/>
      <sheetName val="2002년_교육출장비1"/>
      <sheetName val="company_operations1"/>
      <sheetName val="Summary_-_Budget1"/>
      <sheetName val="Chi_tiet1"/>
      <sheetName val="2000년_충당금자료1"/>
      <sheetName val="매__출1"/>
      <sheetName val="채권_현황1"/>
      <sheetName val="TOWER_12TON1"/>
      <sheetName val="TOWER_10TON1"/>
      <sheetName val="JIB_CRANE,HOIST1"/>
      <sheetName val="SUB_(N)1"/>
      <sheetName val="재고_1"/>
      <sheetName val="8월_매출수주1"/>
      <sheetName val="LOT_이상품_조치_이력1"/>
      <sheetName val="2019년_세부자료_(입력할_시트)1"/>
      <sheetName val="2019년보험요율_(입력할_시트)1"/>
      <sheetName val="MNT_개발계획_최종1"/>
      <sheetName val="short_term_loan1"/>
      <sheetName val="Tax_Category1"/>
      <sheetName val="Acct_Group1"/>
      <sheetName val="Revised_PEGS981"/>
      <sheetName val="score_sheet5"/>
      <sheetName val="공제사업score_sheet5"/>
      <sheetName val="법인세비용_계산5"/>
      <sheetName val="정관_및_회계규정5"/>
      <sheetName val="주요ISSUE_사항5"/>
      <sheetName val="완성차_미수금5"/>
      <sheetName val="2006_과표및세액조정계산서5"/>
      <sheetName val="계수원본(99_2_28)5"/>
      <sheetName val="YTD_Sales(0411)5"/>
      <sheetName val="10_315"/>
      <sheetName val="외상매출금현황-수정분_A25"/>
      <sheetName val="매출_물동명세5"/>
      <sheetName val="Net_PL(세분류)4"/>
      <sheetName val="3_판관비명세서4"/>
      <sheetName val="Cash_Flow4"/>
      <sheetName val="아파트_기성내역서4"/>
      <sheetName val="2_대외공문4"/>
      <sheetName val="업무분장_4"/>
      <sheetName val="장할생활_(2)4"/>
      <sheetName val="증감분석_및_연결조정4"/>
      <sheetName val="1공장_재공품생산현황4"/>
      <sheetName val="11_17-11_234"/>
      <sheetName val="11_24-11_304"/>
      <sheetName val="2_상각보정명세4"/>
      <sheetName val="매출채권_및_담보비율_변동4"/>
      <sheetName val="받을어음할인및_융통어음4"/>
      <sheetName val="1월실적_(2)4"/>
      <sheetName val="화섬_MDP4"/>
      <sheetName val="비교원가제출_고4"/>
      <sheetName val="퇴직급여충당금12_314"/>
      <sheetName val="의뢰건_(2)4"/>
      <sheetName val="5_소재4"/>
      <sheetName val="대차대조표12_014"/>
      <sheetName val="4-1__매출원가_손익계획_집계표4"/>
      <sheetName val="4_2유효폭의_계산4"/>
      <sheetName val="Dólar_Observado4"/>
      <sheetName val="1_MDF1공장4"/>
      <sheetName val="25_보증금(임차보증금외)4"/>
      <sheetName val="24_보증금(전신전화가입권)4"/>
      <sheetName val="아울렛_농산벤더3"/>
      <sheetName val="비용_배부후4"/>
      <sheetName val="Reference_(변경)4"/>
      <sheetName val="CT_재공품생산현황4"/>
      <sheetName val="00_08계정2"/>
      <sheetName val="경영계획_수립_참고자료_▶▶▶4"/>
      <sheetName val="사업부서_작성자료_▶▶▶4"/>
      <sheetName val="15년_손익_(GS신규Vision)_요약-연간비교장4"/>
      <sheetName val="15년_손익_(GS신규Vision)_요약-(간접비_포함4"/>
      <sheetName val="15년_손익-GS신규Vision4"/>
      <sheetName val="매출_계획4"/>
      <sheetName val="매출계획_산출근거4"/>
      <sheetName val="재료비(율)_계획4"/>
      <sheetName val="재료비(율)_산출근거4"/>
      <sheetName val="인원인건비&amp;간접비_계획4"/>
      <sheetName val="감가상각비_계산4"/>
      <sheetName val="간접비_계획4"/>
      <sheetName val="Reference_(기존)4"/>
      <sheetName val="2014년_손익4"/>
      <sheetName val="15년_손익_(GDR_Rental사업)_요약-연간비교장4"/>
      <sheetName val="15년_손익_(GDR_Rent사업)_요약-(간접비_포함4"/>
      <sheetName val="15년_손익-GDR_Rental사업4"/>
      <sheetName val="매출&amp;재료비&amp;비용&amp;투자_산출근거4"/>
      <sheetName val="에뛰드_내부관리가2"/>
      <sheetName val="중장기_외화자금_보정명세(PBC)2"/>
      <sheetName val="Packaging_cost_Back_Data2"/>
      <sheetName val="유첨3_적용기준2"/>
      <sheetName val="General_Inputs2"/>
      <sheetName val="CGC_Inputs2"/>
      <sheetName val="Office_only_Letup2"/>
      <sheetName val="업체손실공수_xls2"/>
      <sheetName val="0_0ControlSheet2"/>
      <sheetName val="sap`04_7_142"/>
      <sheetName val="13_보증금(전신전화가입권)2"/>
      <sheetName val="붙임2-1__지급조서명세서(2001년분)2"/>
      <sheetName val="중부사업담당_1-11월_원가4"/>
      <sheetName val="Item_LIST1"/>
      <sheetName val="Volume_LIST1"/>
      <sheetName val="서비스별_매출추이1"/>
      <sheetName val="Bank_charge1"/>
      <sheetName val="S1_1총괄1"/>
      <sheetName val="5_공종별예산내역서"/>
      <sheetName val="SH_R설치"/>
      <sheetName val="3_부점발견재산1"/>
      <sheetName val="6_공사부점손익1"/>
      <sheetName val="5_공사손익실적1"/>
      <sheetName val="Main_Assumptions1"/>
      <sheetName val="Revenue_Assumptions1"/>
      <sheetName val="ADL_Val"/>
      <sheetName val="ADL2_Val"/>
      <sheetName val="ADL3_Val"/>
      <sheetName val="ADL4_Val"/>
      <sheetName val="ADL5_Val"/>
      <sheetName val="ASO_II_Val"/>
      <sheetName val="ASO_I_Val"/>
      <sheetName val="ASO_I_Delaware_Val"/>
      <sheetName val="GS_CK"/>
      <sheetName val="ASO_I_Mauritius_Val"/>
      <sheetName val="MDL_Val"/>
      <sheetName val="TOWER_12TON"/>
      <sheetName val="TOWER_10TON"/>
      <sheetName val="JIB_CRANE,HOIST"/>
      <sheetName val="SUB_(N)"/>
      <sheetName val="8월_매출수주"/>
      <sheetName val="2019년_세부자료_(입력할_시트)"/>
      <sheetName val="2019년보험요율_(입력할_시트)"/>
      <sheetName val="MNT_개발계획_최종"/>
      <sheetName val="short_term_loan"/>
      <sheetName val="Tax_Category"/>
      <sheetName val="Acct_Group"/>
      <sheetName val="Revised_PEGS98"/>
      <sheetName val="전환분개"/>
      <sheetName val="8340"/>
      <sheetName val="1공장_재공품생"/>
      <sheetName val="토목본부"/>
      <sheetName val="타본부토목직"/>
      <sheetName val="토목직서열순"/>
      <sheetName val="0408물류수불부"/>
      <sheetName val="부서_계정"/>
      <sheetName val="_"/>
      <sheetName val="TBclosing"/>
      <sheetName val="원_VL"/>
      <sheetName val="MatchCode"/>
      <sheetName val="조회총괄"/>
      <sheetName val="장외on2"/>
      <sheetName val="원본(약정외-비율외)"/>
      <sheetName val="정비활동_수선비_절감1"/>
      <sheetName val="3_5_Inch_가동_효율1"/>
      <sheetName val="2_5_Inch_가동_효율1"/>
      <sheetName val="정비활동_수선비_절감2"/>
      <sheetName val="3_5_Inch_가동_효율2"/>
      <sheetName val="2_5_Inch_가동_효율2"/>
      <sheetName val="정비활동_수선비_절감3"/>
      <sheetName val="3_5_Inch_가동_효율3"/>
      <sheetName val="2_5_Inch_가동_효율3"/>
      <sheetName val="정비활동_수선비_절감4"/>
      <sheetName val="3_5_Inch_가동_효율4"/>
      <sheetName val="2_5_Inch_가동_효율4"/>
      <sheetName val="score_sheet7"/>
      <sheetName val="공제사업score_sheet7"/>
      <sheetName val="법인세비용_계산7"/>
      <sheetName val="정관_및_회계규정7"/>
      <sheetName val="주요ISSUE_사항7"/>
      <sheetName val="2006_과표및세액조정계산서7"/>
      <sheetName val="완성차_미수금7"/>
      <sheetName val="10_317"/>
      <sheetName val="정비활동_수선비_절감6"/>
      <sheetName val="3_5_Inch_가동_효율6"/>
      <sheetName val="2_5_Inch_가동_효율6"/>
      <sheetName val="외상매출금현황-수정분_A27"/>
      <sheetName val="계수원본(99_2_28)7"/>
      <sheetName val="YTD_Sales(0411)7"/>
      <sheetName val="매출_물동명세7"/>
      <sheetName val="Net_PL(세분류)6"/>
      <sheetName val="Cash_Flow6"/>
      <sheetName val="3_판관비명세서6"/>
      <sheetName val="1월실적_(2)6"/>
      <sheetName val="장할생활_(2)6"/>
      <sheetName val="아파트_기성내역서6"/>
      <sheetName val="증감분석_및_연결조정6"/>
      <sheetName val="2_대외공문6"/>
      <sheetName val="업무분장_6"/>
      <sheetName val="매출채권_및_담보비율_변동6"/>
      <sheetName val="1공장_재공품생산현황6"/>
      <sheetName val="11_17-11_236"/>
      <sheetName val="11_24-11_306"/>
      <sheetName val="2_상각보정명세6"/>
      <sheetName val="받을어음할인및_융통어음6"/>
      <sheetName val="비교원가제출_고6"/>
      <sheetName val="퇴직급여충당금12_316"/>
      <sheetName val="화섬_MDP6"/>
      <sheetName val="입력_판매5"/>
      <sheetName val="입력_인원5"/>
      <sheetName val="2_Critical_Component_Estimatio5"/>
      <sheetName val="아울렛_농산벤더5"/>
      <sheetName val="00_08계정5"/>
      <sheetName val="경영비율_5"/>
      <sheetName val="#2_BSPL5"/>
      <sheetName val="퇴직충당금(3_31)(국문)5"/>
      <sheetName val="매출액(명)_5"/>
      <sheetName val="118_세금과공과5"/>
      <sheetName val="control_sheet5"/>
      <sheetName val="VB_5"/>
      <sheetName val="중장기_외화자금_보정명세(PBC)5"/>
      <sheetName val="POS_(2)5"/>
      <sheetName val="05_1Q5"/>
      <sheetName val="산업은행_경영지표5"/>
      <sheetName val="unit_45"/>
      <sheetName val="내역서_(2)5"/>
      <sheetName val="INCOME_STATEMENT5"/>
      <sheetName val="원가계산_(2)4"/>
      <sheetName val="108_수선비4"/>
      <sheetName val="현금흐름표_근거자료3"/>
      <sheetName val="01_12月_Lot별_판매실적_xls3"/>
      <sheetName val="Industry_Indices3"/>
      <sheetName val="공항,제주_판매율_분석3"/>
      <sheetName val="값목록(Do_not_touch)2"/>
      <sheetName val="99_7월_당월회수_실적2"/>
      <sheetName val="US_Revenue_(2)3"/>
      <sheetName val="LEAD_SHEET_(K상각후회수율)2"/>
      <sheetName val="수입검사현황_Rev12"/>
      <sheetName val="7_3_DY팀2"/>
      <sheetName val="감사보고서_(날인X)_KEIT2"/>
      <sheetName val="감사보고서_(날인X)_KIAT2"/>
      <sheetName val="감사보고서_(날인X)_KETEP2"/>
      <sheetName val="재원별지출내역_(2)2"/>
      <sheetName val="연구시설·장비_및_재료비2"/>
      <sheetName val="세목별_사용내역조회2"/>
      <sheetName val="인건비_소요_명세2"/>
      <sheetName val="Sheet1_(2)2"/>
      <sheetName val="DATA_입력란2"/>
      <sheetName val="1__설계조건_2_단면가정_3__하중계산2"/>
      <sheetName val="7__2_2"/>
      <sheetName val="AQL(0_65)2"/>
      <sheetName val="U3_12"/>
      <sheetName val="GEN_Inputs2"/>
      <sheetName val="表03_2"/>
      <sheetName val="DIVP_L_19982"/>
      <sheetName val="제품L_D_2"/>
      <sheetName val="TO_DO2"/>
      <sheetName val="CF_RE_type2"/>
      <sheetName val="Ref_Filed2"/>
      <sheetName val="220_(2)2"/>
      <sheetName val="3_일반사상2"/>
      <sheetName val="1_능률현황2"/>
      <sheetName val="2_호선별예상실적2"/>
      <sheetName val="정비활동_수선비_절감5"/>
      <sheetName val="3_5_Inch_가동_효율5"/>
      <sheetName val="2_5_Inch_가동_효율5"/>
      <sheetName val="입력_판매4"/>
      <sheetName val="입력_인원4"/>
      <sheetName val="2_Critical_Component_Estimatio4"/>
      <sheetName val="00_08계정4"/>
      <sheetName val="경영비율_4"/>
      <sheetName val="#2_BSPL4"/>
      <sheetName val="퇴직충당금(3_31)(국문)4"/>
      <sheetName val="매출액(명)_4"/>
      <sheetName val="118_세금과공과4"/>
      <sheetName val="control_sheet4"/>
      <sheetName val="VB_4"/>
      <sheetName val="중장기_외화자금_보정명세(PBC)4"/>
      <sheetName val="POS_(2)4"/>
      <sheetName val="05_1Q4"/>
      <sheetName val="산업은행_경영지표4"/>
      <sheetName val="unit_44"/>
      <sheetName val="내역서_(2)4"/>
      <sheetName val="INCOME_STATEMENT4"/>
      <sheetName val="TO_DO1"/>
      <sheetName val="score_sheet8"/>
      <sheetName val="공제사업score_sheet8"/>
      <sheetName val="법인세비용_계산8"/>
      <sheetName val="정관_및_회계규정8"/>
      <sheetName val="주요ISSUE_사항8"/>
      <sheetName val="2006_과표및세액조정계산서8"/>
      <sheetName val="완성차_미수금8"/>
      <sheetName val="10_318"/>
      <sheetName val="정비활동_수선비_절감7"/>
      <sheetName val="3_5_Inch_가동_효율7"/>
      <sheetName val="2_5_Inch_가동_효율7"/>
      <sheetName val="외상매출금현황-수정분_A28"/>
      <sheetName val="계수원본(99_2_28)8"/>
      <sheetName val="YTD_Sales(0411)8"/>
      <sheetName val="매출_물동명세8"/>
      <sheetName val="Net_PL(세분류)7"/>
      <sheetName val="Cash_Flow7"/>
      <sheetName val="3_판관비명세서7"/>
      <sheetName val="1월실적_(2)7"/>
      <sheetName val="장할생활_(2)7"/>
      <sheetName val="아파트_기성내역서7"/>
      <sheetName val="증감분석_및_연결조정7"/>
      <sheetName val="2_대외공문7"/>
      <sheetName val="업무분장_7"/>
      <sheetName val="매출채권_및_담보비율_변동7"/>
      <sheetName val="1공장_재공품생산현황7"/>
      <sheetName val="11_17-11_237"/>
      <sheetName val="11_24-11_307"/>
      <sheetName val="2_상각보정명세7"/>
      <sheetName val="받을어음할인및_융통어음7"/>
      <sheetName val="비교원가제출_고7"/>
      <sheetName val="의뢰건_(2)6"/>
      <sheetName val="5_소재6"/>
      <sheetName val="Dólar_Observado6"/>
      <sheetName val="대차대조표12_016"/>
      <sheetName val="4-1__매출원가_손익계획_집계표6"/>
      <sheetName val="퇴직급여충당금12_317"/>
      <sheetName val="4_2유효폭의_계산6"/>
      <sheetName val="1_MDF1공장6"/>
      <sheetName val="CT_재공품생산현황6"/>
      <sheetName val="화섬_MDP7"/>
      <sheetName val="25_보증금(임차보증금외)6"/>
      <sheetName val="24_보증금(전신전화가입권)6"/>
      <sheetName val="비용_배부후6"/>
      <sheetName val="입력_판매6"/>
      <sheetName val="입력_인원6"/>
      <sheetName val="2_Critical_Component_Estimatio6"/>
      <sheetName val="Reference_(변경)6"/>
      <sheetName val="경영계획_수립_참고자료_▶▶▶6"/>
      <sheetName val="사업부서_작성자료_▶▶▶6"/>
      <sheetName val="15년_손익_(GS신규Vision)_요약-연간비교장6"/>
      <sheetName val="15년_손익_(GS신규Vision)_요약-(간접비_포함6"/>
      <sheetName val="15년_손익-GS신규Vision6"/>
      <sheetName val="매출_계획6"/>
      <sheetName val="매출계획_산출근거6"/>
      <sheetName val="재료비(율)_계획6"/>
      <sheetName val="재료비(율)_산출근거6"/>
      <sheetName val="인원인건비&amp;간접비_계획6"/>
      <sheetName val="감가상각비_계산6"/>
      <sheetName val="간접비_계획6"/>
      <sheetName val="Reference_(기존)6"/>
      <sheetName val="2014년_손익6"/>
      <sheetName val="15년_손익_(GDR_Rental사업)_요약-연간비교장6"/>
      <sheetName val="15년_손익_(GDR_Rent사업)_요약-(간접비_포함6"/>
      <sheetName val="15년_손익-GDR_Rental사업6"/>
      <sheetName val="매출&amp;재료비&amp;비용&amp;투자_산출근거6"/>
      <sheetName val="아울렛_농산벤더6"/>
      <sheetName val="00_08계정6"/>
      <sheetName val="경영비율_6"/>
      <sheetName val="#2_BSPL6"/>
      <sheetName val="퇴직충당금(3_31)(국문)6"/>
      <sheetName val="매출액(명)_6"/>
      <sheetName val="118_세금과공과6"/>
      <sheetName val="control_sheet6"/>
      <sheetName val="VB_6"/>
      <sheetName val="중장기_외화자금_보정명세(PBC)6"/>
      <sheetName val="POS_(2)6"/>
      <sheetName val="05_1Q6"/>
      <sheetName val="산업은행_경영지표6"/>
      <sheetName val="unit_46"/>
      <sheetName val="내역서_(2)6"/>
      <sheetName val="INCOME_STATEMENT6"/>
      <sheetName val="관계회사거래내역및_채권채무잔액_994"/>
      <sheetName val="Team_종합4"/>
      <sheetName val="에뛰드_내부관리가4"/>
      <sheetName val="Packaging_cost_Back_Data4"/>
      <sheetName val="현지법인_대손설정4"/>
      <sheetName val="원가계산_(2)5"/>
      <sheetName val="현금_및_예치금Lead4"/>
      <sheetName val="현금및예치금_명세서4"/>
      <sheetName val="유첨3_적용기준4"/>
      <sheetName val="업체손실공수_xls4"/>
      <sheetName val="108_수선비5"/>
      <sheetName val="General_Inputs4"/>
      <sheetName val="CGC_Inputs4"/>
      <sheetName val="Office_only_Letup4"/>
      <sheetName val="sap`04_7_144"/>
      <sheetName val="13_보증금(전신전화가입권)4"/>
      <sheetName val="붙임2-1__지급조서명세서(2001년분)4"/>
      <sheetName val="중부사업담당_1-11월_원가6"/>
      <sheetName val="0_0ControlSheet4"/>
      <sheetName val="현금흐름표_근거자료4"/>
      <sheetName val="01_12月_Lot별_판매실적_xls4"/>
      <sheetName val="Industry_Indices4"/>
      <sheetName val="공항,제주_판매율_분석4"/>
      <sheetName val="값목록(Do_not_touch)3"/>
      <sheetName val="Item_LIST3"/>
      <sheetName val="Volume_LIST3"/>
      <sheetName val="99_7월_당월회수_실적3"/>
      <sheetName val="US_Revenue_(2)4"/>
      <sheetName val="LEAD_SHEET_(K상각후회수율)3"/>
      <sheetName val="2_지분법적용주식Leadsheet(회사제시)3"/>
      <sheetName val="년간_자금계획(90일_적용)3"/>
      <sheetName val="서비스별_매출추이3"/>
      <sheetName val="참고__카본단가_비교3"/>
      <sheetName val="수입검사현황_Rev13"/>
      <sheetName val="7_3_DY팀3"/>
      <sheetName val="감사보고서_(날인X)_KEIT3"/>
      <sheetName val="감사보고서_(날인X)_KIAT3"/>
      <sheetName val="감사보고서_(날인X)_KETEP3"/>
      <sheetName val="재원별지출내역_(2)3"/>
      <sheetName val="연구시설·장비_및_재료비3"/>
      <sheetName val="세목별_사용내역조회3"/>
      <sheetName val="인건비_소요_명세3"/>
      <sheetName val="Sheet1_(2)3"/>
      <sheetName val="DATA_입력란3"/>
      <sheetName val="1__설계조건_2_단면가정_3__하중계산3"/>
      <sheetName val="7__2_3"/>
      <sheetName val="Bank_charge3"/>
      <sheetName val="AQL(0_65)3"/>
      <sheetName val="U3_13"/>
      <sheetName val="GEN_Inputs3"/>
      <sheetName val="表03_3"/>
      <sheetName val="DIVP_L_19983"/>
      <sheetName val="제품L_D_3"/>
      <sheetName val="TO_DO3"/>
      <sheetName val="CC_Down_load_07163"/>
      <sheetName val="CF_RE_type3"/>
      <sheetName val="Ref_Filed3"/>
      <sheetName val="220_(2)3"/>
      <sheetName val="3_일반사상3"/>
      <sheetName val="S1_1총괄3"/>
      <sheetName val="1_능률현황3"/>
      <sheetName val="2_호선별예상실적3"/>
      <sheetName val="score_sheet9"/>
      <sheetName val="공제사업score_sheet9"/>
      <sheetName val="법인세비용_계산9"/>
      <sheetName val="정관_및_회계규정9"/>
      <sheetName val="주요ISSUE_사항9"/>
      <sheetName val="2006_과표및세액조정계산서9"/>
      <sheetName val="완성차_미수금9"/>
      <sheetName val="10_319"/>
      <sheetName val="정비활동_수선비_절감8"/>
      <sheetName val="3_5_Inch_가동_효율8"/>
      <sheetName val="2_5_Inch_가동_효율8"/>
      <sheetName val="외상매출금현황-수정분_A29"/>
      <sheetName val="계수원본(99_2_28)9"/>
      <sheetName val="YTD_Sales(0411)9"/>
      <sheetName val="매출_물동명세9"/>
      <sheetName val="Net_PL(세분류)8"/>
      <sheetName val="Cash_Flow8"/>
      <sheetName val="3_판관비명세서8"/>
      <sheetName val="1월실적_(2)8"/>
      <sheetName val="장할생활_(2)8"/>
      <sheetName val="아파트_기성내역서8"/>
      <sheetName val="증감분석_및_연결조정8"/>
      <sheetName val="2_대외공문8"/>
      <sheetName val="업무분장_8"/>
      <sheetName val="매출채권_및_담보비율_변동8"/>
      <sheetName val="1공장_재공품생산현황8"/>
      <sheetName val="11_17-11_238"/>
      <sheetName val="11_24-11_308"/>
      <sheetName val="2_상각보정명세8"/>
      <sheetName val="받을어음할인및_융통어음8"/>
      <sheetName val="비교원가제출_고8"/>
      <sheetName val="의뢰건_(2)7"/>
      <sheetName val="5_소재7"/>
      <sheetName val="Dólar_Observado7"/>
      <sheetName val="대차대조표12_017"/>
      <sheetName val="4-1__매출원가_손익계획_집계표7"/>
      <sheetName val="퇴직급여충당금12_318"/>
      <sheetName val="4_2유효폭의_계산7"/>
      <sheetName val="1_MDF1공장7"/>
      <sheetName val="CT_재공품생산현황7"/>
      <sheetName val="화섬_MDP8"/>
      <sheetName val="25_보증금(임차보증금외)7"/>
      <sheetName val="24_보증금(전신전화가입권)7"/>
      <sheetName val="비용_배부후7"/>
      <sheetName val="입력_판매7"/>
      <sheetName val="입력_인원7"/>
      <sheetName val="2_Critical_Component_Estimatio7"/>
      <sheetName val="Reference_(변경)7"/>
      <sheetName val="경영계획_수립_참고자료_▶▶▶7"/>
      <sheetName val="사업부서_작성자료_▶▶▶7"/>
      <sheetName val="15년_손익_(GS신규Vision)_요약-연간비교장7"/>
      <sheetName val="15년_손익_(GS신규Vision)_요약-(간접비_포함7"/>
      <sheetName val="15년_손익-GS신규Vision7"/>
      <sheetName val="매출_계획7"/>
      <sheetName val="매출계획_산출근거7"/>
      <sheetName val="재료비(율)_계획7"/>
      <sheetName val="재료비(율)_산출근거7"/>
      <sheetName val="인원인건비&amp;간접비_계획7"/>
      <sheetName val="감가상각비_계산7"/>
      <sheetName val="간접비_계획7"/>
      <sheetName val="Reference_(기존)7"/>
      <sheetName val="2014년_손익7"/>
      <sheetName val="15년_손익_(GDR_Rental사업)_요약-연간비교장7"/>
      <sheetName val="15년_손익_(GDR_Rent사업)_요약-(간접비_포함7"/>
      <sheetName val="15년_손익-GDR_Rental사업7"/>
      <sheetName val="매출&amp;재료비&amp;비용&amp;투자_산출근거7"/>
      <sheetName val="아울렛_농산벤더7"/>
      <sheetName val="00_08계정7"/>
      <sheetName val="경영비율_7"/>
      <sheetName val="#2_BSPL7"/>
      <sheetName val="퇴직충당금(3_31)(국문)7"/>
      <sheetName val="매출액(명)_7"/>
      <sheetName val="118_세금과공과7"/>
      <sheetName val="control_sheet7"/>
      <sheetName val="VB_7"/>
      <sheetName val="중장기_외화자금_보정명세(PBC)7"/>
      <sheetName val="POS_(2)7"/>
      <sheetName val="05_1Q7"/>
      <sheetName val="산업은행_경영지표7"/>
      <sheetName val="unit_47"/>
      <sheetName val="내역서_(2)7"/>
      <sheetName val="INCOME_STATEMENT7"/>
      <sheetName val="관계회사거래내역및_채권채무잔액_995"/>
      <sheetName val="Team_종합5"/>
      <sheetName val="에뛰드_내부관리가5"/>
      <sheetName val="Packaging_cost_Back_Data5"/>
      <sheetName val="현지법인_대손설정5"/>
      <sheetName val="원가계산_(2)6"/>
      <sheetName val="현금_및_예치금Lead5"/>
      <sheetName val="현금및예치금_명세서5"/>
      <sheetName val="유첨3_적용기준5"/>
      <sheetName val="업체손실공수_xls5"/>
      <sheetName val="108_수선비6"/>
      <sheetName val="General_Inputs5"/>
      <sheetName val="CGC_Inputs5"/>
      <sheetName val="Office_only_Letup5"/>
      <sheetName val="sap`04_7_145"/>
      <sheetName val="13_보증금(전신전화가입권)5"/>
      <sheetName val="붙임2-1__지급조서명세서(2001년분)5"/>
      <sheetName val="중부사업담당_1-11월_원가7"/>
      <sheetName val="0_0ControlSheet5"/>
      <sheetName val="현금흐름표_근거자료5"/>
      <sheetName val="01_12月_Lot별_판매실적_xls5"/>
      <sheetName val="Industry_Indices5"/>
      <sheetName val="공항,제주_판매율_분석5"/>
      <sheetName val="값목록(Do_not_touch)4"/>
      <sheetName val="Item_LIST4"/>
      <sheetName val="Volume_LIST4"/>
      <sheetName val="99_7월_당월회수_실적4"/>
      <sheetName val="US_Revenue_(2)5"/>
      <sheetName val="LEAD_SHEET_(K상각후회수율)4"/>
      <sheetName val="2_지분법적용주식Leadsheet(회사제시)4"/>
      <sheetName val="년간_자금계획(90일_적용)4"/>
      <sheetName val="서비스별_매출추이4"/>
      <sheetName val="참고__카본단가_비교4"/>
      <sheetName val="수입검사현황_Rev14"/>
      <sheetName val="7_3_DY팀4"/>
      <sheetName val="감사보고서_(날인X)_KEIT4"/>
      <sheetName val="감사보고서_(날인X)_KIAT4"/>
      <sheetName val="감사보고서_(날인X)_KETEP4"/>
      <sheetName val="재원별지출내역_(2)4"/>
      <sheetName val="연구시설·장비_및_재료비4"/>
      <sheetName val="세목별_사용내역조회4"/>
      <sheetName val="인건비_소요_명세4"/>
      <sheetName val="Sheet1_(2)4"/>
      <sheetName val="DATA_입력란4"/>
      <sheetName val="1__설계조건_2_단면가정_3__하중계산4"/>
      <sheetName val="7__2_4"/>
      <sheetName val="Bank_charge4"/>
      <sheetName val="AQL(0_65)4"/>
      <sheetName val="U3_14"/>
      <sheetName val="GEN_Inputs4"/>
      <sheetName val="表03_4"/>
      <sheetName val="DIVP_L_19984"/>
      <sheetName val="제품L_D_4"/>
      <sheetName val="TO_DO4"/>
      <sheetName val="CC_Down_load_07164"/>
      <sheetName val="CF_RE_type4"/>
      <sheetName val="Ref_Filed4"/>
      <sheetName val="220_(2)4"/>
      <sheetName val="3_일반사상4"/>
      <sheetName val="S1_1총괄4"/>
      <sheetName val="1_능률현황4"/>
      <sheetName val="2_호선별예상실적4"/>
      <sheetName val="구분목록"/>
      <sheetName val="score_sheet10"/>
      <sheetName val="공제사업score_sheet10"/>
      <sheetName val="법인세비용_계산10"/>
      <sheetName val="정관_및_회계규정10"/>
      <sheetName val="주요ISSUE_사항10"/>
      <sheetName val="2006_과표및세액조정계산서10"/>
      <sheetName val="완성차_미수금10"/>
      <sheetName val="10_3110"/>
      <sheetName val="정비활동_수선비_절감9"/>
      <sheetName val="3_5_Inch_가동_효율9"/>
      <sheetName val="2_5_Inch_가동_효율9"/>
      <sheetName val="외상매출금현황-수정분_A210"/>
      <sheetName val="계수원본(99_2_28)10"/>
      <sheetName val="YTD_Sales(0411)10"/>
      <sheetName val="매출_물동명세10"/>
      <sheetName val="Net_PL(세분류)9"/>
      <sheetName val="Cash_Flow9"/>
      <sheetName val="3_판관비명세서9"/>
      <sheetName val="1월실적_(2)9"/>
      <sheetName val="장할생활_(2)9"/>
      <sheetName val="아파트_기성내역서9"/>
      <sheetName val="증감분석_및_연결조정9"/>
      <sheetName val="2_대외공문9"/>
      <sheetName val="업무분장_9"/>
      <sheetName val="매출채권_및_담보비율_변동9"/>
      <sheetName val="1공장_재공품생산현황9"/>
      <sheetName val="11_17-11_239"/>
      <sheetName val="11_24-11_309"/>
      <sheetName val="2_상각보정명세9"/>
      <sheetName val="받을어음할인및_융통어음9"/>
      <sheetName val="비교원가제출_고9"/>
      <sheetName val="의뢰건_(2)8"/>
      <sheetName val="5_소재8"/>
      <sheetName val="Dólar_Observado8"/>
      <sheetName val="대차대조표12_018"/>
      <sheetName val="4-1__매출원가_손익계획_집계표8"/>
      <sheetName val="퇴직급여충당금12_319"/>
      <sheetName val="4_2유효폭의_계산8"/>
      <sheetName val="1_MDF1공장8"/>
      <sheetName val="CT_재공품생산현황8"/>
      <sheetName val="화섬_MDP9"/>
      <sheetName val="25_보증금(임차보증금외)8"/>
      <sheetName val="24_보증금(전신전화가입권)8"/>
      <sheetName val="비용_배부후8"/>
      <sheetName val="입력_판매8"/>
      <sheetName val="입력_인원8"/>
      <sheetName val="2_Critical_Component_Estimatio8"/>
      <sheetName val="Reference_(변경)8"/>
      <sheetName val="경영계획_수립_참고자료_▶▶▶8"/>
      <sheetName val="사업부서_작성자료_▶▶▶8"/>
      <sheetName val="15년_손익_(GS신규Vision)_요약-연간비교장8"/>
      <sheetName val="15년_손익_(GS신규Vision)_요약-(간접비_포함8"/>
      <sheetName val="15년_손익-GS신규Vision8"/>
      <sheetName val="매출_계획8"/>
      <sheetName val="매출계획_산출근거8"/>
      <sheetName val="재료비(율)_계획8"/>
      <sheetName val="재료비(율)_산출근거8"/>
      <sheetName val="인원인건비&amp;간접비_계획8"/>
      <sheetName val="감가상각비_계산8"/>
      <sheetName val="간접비_계획8"/>
      <sheetName val="Reference_(기존)8"/>
      <sheetName val="2014년_손익8"/>
      <sheetName val="15년_손익_(GDR_Rental사업)_요약-연간비교장8"/>
      <sheetName val="15년_손익_(GDR_Rent사업)_요약-(간접비_포함8"/>
      <sheetName val="15년_손익-GDR_Rental사업8"/>
      <sheetName val="매출&amp;재료비&amp;비용&amp;투자_산출근거8"/>
      <sheetName val="아울렛_농산벤더8"/>
      <sheetName val="00_08계정8"/>
      <sheetName val="경영비율_8"/>
      <sheetName val="#2_BSPL8"/>
      <sheetName val="퇴직충당금(3_31)(국문)8"/>
      <sheetName val="매출액(명)_8"/>
      <sheetName val="118_세금과공과8"/>
      <sheetName val="control_sheet8"/>
      <sheetName val="VB_8"/>
      <sheetName val="중장기_외화자금_보정명세(PBC)8"/>
      <sheetName val="POS_(2)8"/>
      <sheetName val="05_1Q8"/>
      <sheetName val="산업은행_경영지표8"/>
      <sheetName val="unit_48"/>
      <sheetName val="내역서_(2)8"/>
      <sheetName val="INCOME_STATEMENT8"/>
      <sheetName val="관계회사거래내역및_채권채무잔액_996"/>
      <sheetName val="Team_종합6"/>
      <sheetName val="에뛰드_내부관리가6"/>
      <sheetName val="Packaging_cost_Back_Data6"/>
      <sheetName val="현지법인_대손설정6"/>
      <sheetName val="원가계산_(2)7"/>
      <sheetName val="현금_및_예치금Lead6"/>
      <sheetName val="현금및예치금_명세서6"/>
      <sheetName val="유첨3_적용기준6"/>
      <sheetName val="업체손실공수_xls6"/>
      <sheetName val="108_수선비7"/>
      <sheetName val="General_Inputs6"/>
      <sheetName val="CGC_Inputs6"/>
      <sheetName val="Office_only_Letup6"/>
      <sheetName val="sap`04_7_146"/>
      <sheetName val="13_보증금(전신전화가입권)6"/>
      <sheetName val="붙임2-1__지급조서명세서(2001년분)6"/>
      <sheetName val="중부사업담당_1-11월_원가8"/>
      <sheetName val="0_0ControlSheet6"/>
      <sheetName val="현금흐름표_근거자료6"/>
      <sheetName val="01_12月_Lot별_판매실적_xls6"/>
      <sheetName val="Industry_Indices6"/>
      <sheetName val="공항,제주_판매율_분석6"/>
      <sheetName val="값목록(Do_not_touch)5"/>
      <sheetName val="Item_LIST5"/>
      <sheetName val="Volume_LIST5"/>
      <sheetName val="99_7월_당월회수_실적5"/>
      <sheetName val="US_Revenue_(2)6"/>
      <sheetName val="LEAD_SHEET_(K상각후회수율)5"/>
      <sheetName val="2_지분법적용주식Leadsheet(회사제시)5"/>
      <sheetName val="년간_자금계획(90일_적용)5"/>
      <sheetName val="서비스별_매출추이5"/>
      <sheetName val="참고__카본단가_비교5"/>
      <sheetName val="수입검사현황_Rev15"/>
      <sheetName val="7_3_DY팀5"/>
      <sheetName val="감사보고서_(날인X)_KEIT5"/>
      <sheetName val="감사보고서_(날인X)_KIAT5"/>
      <sheetName val="감사보고서_(날인X)_KETEP5"/>
      <sheetName val="재원별지출내역_(2)5"/>
      <sheetName val="연구시설·장비_및_재료비5"/>
      <sheetName val="세목별_사용내역조회5"/>
      <sheetName val="인건비_소요_명세5"/>
      <sheetName val="Sheet1_(2)5"/>
      <sheetName val="DATA_입력란5"/>
      <sheetName val="1__설계조건_2_단면가정_3__하중계산5"/>
      <sheetName val="7__2_5"/>
      <sheetName val="Bank_charge5"/>
      <sheetName val="AQL(0_65)5"/>
      <sheetName val="U3_15"/>
      <sheetName val="GEN_Inputs5"/>
      <sheetName val="表03_5"/>
      <sheetName val="DIVP_L_19985"/>
      <sheetName val="제품L_D_5"/>
      <sheetName val="TO_DO5"/>
      <sheetName val="CC_Down_load_07165"/>
      <sheetName val="CF_RE_type5"/>
      <sheetName val="Ref_Filed5"/>
      <sheetName val="220_(2)5"/>
      <sheetName val="3_일반사상5"/>
      <sheetName val="S1_1총괄5"/>
      <sheetName val="1_능률현황5"/>
      <sheetName val="2_호선별예상실적5"/>
      <sheetName val="7_(2)2"/>
      <sheetName val="2181_91(Ex-pat)2"/>
      <sheetName val="2150_2(Equip-oth)2"/>
      <sheetName val="5_공종별예산내역서2"/>
      <sheetName val="SH_R설치2"/>
      <sheetName val="Business_Plan2"/>
      <sheetName val="Korea_Sign-Internal2"/>
      <sheetName val="FY00_OP3rdPrty2"/>
      <sheetName val="Q3_actuals2"/>
      <sheetName val="0307_Q3Update2"/>
      <sheetName val="Cons_Total_company2"/>
      <sheetName val="FL'G_WT_2"/>
      <sheetName val="수금_2"/>
      <sheetName val="score_sheet11"/>
      <sheetName val="공제사업score_sheet11"/>
      <sheetName val="법인세비용_계산11"/>
      <sheetName val="정관_및_회계규정11"/>
      <sheetName val="주요ISSUE_사항11"/>
      <sheetName val="2006_과표및세액조정계산서11"/>
      <sheetName val="완성차_미수금11"/>
      <sheetName val="10_3111"/>
      <sheetName val="정비활동_수선비_절감10"/>
      <sheetName val="3_5_Inch_가동_효율10"/>
      <sheetName val="2_5_Inch_가동_효율10"/>
      <sheetName val="외상매출금현황-수정분_A211"/>
      <sheetName val="계수원본(99_2_28)11"/>
      <sheetName val="YTD_Sales(0411)11"/>
      <sheetName val="매출_물동명세11"/>
      <sheetName val="Net_PL(세분류)10"/>
      <sheetName val="Cash_Flow10"/>
      <sheetName val="3_판관비명세서10"/>
      <sheetName val="1월실적_(2)10"/>
      <sheetName val="장할생활_(2)10"/>
      <sheetName val="아파트_기성내역서10"/>
      <sheetName val="증감분석_및_연결조정10"/>
      <sheetName val="2_대외공문10"/>
      <sheetName val="업무분장_10"/>
      <sheetName val="매출채권_및_담보비율_변동10"/>
      <sheetName val="1공장_재공품생산현황10"/>
      <sheetName val="11_17-11_2310"/>
      <sheetName val="11_24-11_3010"/>
      <sheetName val="2_상각보정명세10"/>
      <sheetName val="받을어음할인및_융통어음10"/>
      <sheetName val="비교원가제출_고10"/>
      <sheetName val="의뢰건_(2)9"/>
      <sheetName val="5_소재9"/>
      <sheetName val="Dólar_Observado9"/>
      <sheetName val="대차대조표12_019"/>
      <sheetName val="4-1__매출원가_손익계획_집계표9"/>
      <sheetName val="퇴직급여충당금12_3110"/>
      <sheetName val="4_2유효폭의_계산9"/>
      <sheetName val="1_MDF1공장9"/>
      <sheetName val="CT_재공품생산현황9"/>
      <sheetName val="화섬_MDP10"/>
      <sheetName val="25_보증금(임차보증금외)9"/>
      <sheetName val="24_보증금(전신전화가입권)9"/>
      <sheetName val="비용_배부후9"/>
      <sheetName val="입력_판매9"/>
      <sheetName val="입력_인원9"/>
      <sheetName val="2_Critical_Component_Estimatio9"/>
      <sheetName val="Reference_(변경)9"/>
      <sheetName val="경영계획_수립_참고자료_▶▶▶9"/>
      <sheetName val="사업부서_작성자료_▶▶▶9"/>
      <sheetName val="15년_손익_(GS신규Vision)_요약-연간비교장9"/>
      <sheetName val="15년_손익_(GS신규Vision)_요약-(간접비_포함9"/>
      <sheetName val="15년_손익-GS신규Vision9"/>
      <sheetName val="매출_계획9"/>
      <sheetName val="매출계획_산출근거9"/>
      <sheetName val="재료비(율)_계획9"/>
      <sheetName val="재료비(율)_산출근거9"/>
      <sheetName val="인원인건비&amp;간접비_계획9"/>
      <sheetName val="감가상각비_계산9"/>
      <sheetName val="간접비_계획9"/>
      <sheetName val="Reference_(기존)9"/>
      <sheetName val="2014년_손익9"/>
      <sheetName val="15년_손익_(GDR_Rental사업)_요약-연간비교장9"/>
      <sheetName val="15년_손익_(GDR_Rent사업)_요약-(간접비_포함9"/>
      <sheetName val="15년_손익-GDR_Rental사업9"/>
      <sheetName val="매출&amp;재료비&amp;비용&amp;투자_산출근거9"/>
      <sheetName val="아울렛_농산벤더9"/>
      <sheetName val="00_08계정9"/>
      <sheetName val="경영비율_9"/>
      <sheetName val="#2_BSPL9"/>
      <sheetName val="퇴직충당금(3_31)(국문)9"/>
      <sheetName val="매출액(명)_9"/>
      <sheetName val="118_세금과공과9"/>
      <sheetName val="control_sheet9"/>
      <sheetName val="VB_9"/>
      <sheetName val="중장기_외화자금_보정명세(PBC)9"/>
      <sheetName val="POS_(2)9"/>
      <sheetName val="05_1Q9"/>
      <sheetName val="산업은행_경영지표9"/>
      <sheetName val="unit_49"/>
      <sheetName val="내역서_(2)9"/>
      <sheetName val="INCOME_STATEMENT9"/>
      <sheetName val="관계회사거래내역및_채권채무잔액_997"/>
      <sheetName val="Team_종합7"/>
      <sheetName val="에뛰드_내부관리가7"/>
      <sheetName val="Packaging_cost_Back_Data7"/>
      <sheetName val="현지법인_대손설정7"/>
      <sheetName val="원가계산_(2)8"/>
      <sheetName val="현금_및_예치금Lead7"/>
      <sheetName val="현금및예치금_명세서7"/>
      <sheetName val="유첨3_적용기준7"/>
      <sheetName val="업체손실공수_xls7"/>
      <sheetName val="108_수선비8"/>
      <sheetName val="General_Inputs7"/>
      <sheetName val="CGC_Inputs7"/>
      <sheetName val="Office_only_Letup7"/>
      <sheetName val="sap`04_7_147"/>
      <sheetName val="13_보증금(전신전화가입권)7"/>
      <sheetName val="붙임2-1__지급조서명세서(2001년분)7"/>
      <sheetName val="중부사업담당_1-11월_원가9"/>
      <sheetName val="0_0ControlSheet7"/>
      <sheetName val="현금흐름표_근거자료7"/>
      <sheetName val="01_12月_Lot별_판매실적_xls7"/>
      <sheetName val="Industry_Indices7"/>
      <sheetName val="공항,제주_판매율_분석7"/>
      <sheetName val="값목록(Do_not_touch)6"/>
      <sheetName val="Item_LIST6"/>
      <sheetName val="Volume_LIST6"/>
      <sheetName val="99_7월_당월회수_실적6"/>
      <sheetName val="US_Revenue_(2)7"/>
      <sheetName val="LEAD_SHEET_(K상각후회수율)6"/>
      <sheetName val="2_지분법적용주식Leadsheet(회사제시)6"/>
      <sheetName val="년간_자금계획(90일_적용)6"/>
      <sheetName val="서비스별_매출추이6"/>
      <sheetName val="참고__카본단가_비교6"/>
      <sheetName val="수입검사현황_Rev16"/>
      <sheetName val="7_3_DY팀6"/>
      <sheetName val="감사보고서_(날인X)_KEIT6"/>
      <sheetName val="감사보고서_(날인X)_KIAT6"/>
      <sheetName val="감사보고서_(날인X)_KETEP6"/>
      <sheetName val="재원별지출내역_(2)6"/>
      <sheetName val="연구시설·장비_및_재료비6"/>
      <sheetName val="세목별_사용내역조회6"/>
      <sheetName val="인건비_소요_명세6"/>
      <sheetName val="Sheet1_(2)6"/>
      <sheetName val="DATA_입력란6"/>
      <sheetName val="1__설계조건_2_단면가정_3__하중계산6"/>
      <sheetName val="7__2_6"/>
      <sheetName val="Bank_charge6"/>
      <sheetName val="AQL(0_65)6"/>
      <sheetName val="U3_16"/>
      <sheetName val="GEN_Inputs6"/>
      <sheetName val="表03_6"/>
      <sheetName val="DIVP_L_19986"/>
      <sheetName val="제품L_D_6"/>
      <sheetName val="TO_DO6"/>
      <sheetName val="CC_Down_load_07166"/>
      <sheetName val="CF_RE_type6"/>
      <sheetName val="Ref_Filed6"/>
      <sheetName val="220_(2)6"/>
      <sheetName val="3_일반사상6"/>
      <sheetName val="S1_1총괄6"/>
      <sheetName val="1_능률현황6"/>
      <sheetName val="2_호선별예상실적6"/>
      <sheetName val="7_(2)3"/>
      <sheetName val="2181_91(Ex-pat)3"/>
      <sheetName val="2150_2(Equip-oth)3"/>
      <sheetName val="5_공종별예산내역서3"/>
      <sheetName val="SH_R설치3"/>
      <sheetName val="Business_Plan3"/>
      <sheetName val="Korea_Sign-Internal3"/>
      <sheetName val="FY00_OP3rdPrty3"/>
      <sheetName val="Q3_actuals3"/>
      <sheetName val="0307_Q3Update3"/>
      <sheetName val="3_부점발견재산3"/>
      <sheetName val="6_공사부점손익3"/>
      <sheetName val="5_공사손익실적3"/>
      <sheetName val="Cons_Total_company3"/>
      <sheetName val="FL'G_WT_3"/>
      <sheetName val="수금_3"/>
      <sheetName val="score_sheet13"/>
      <sheetName val="공제사업score_sheet13"/>
      <sheetName val="법인세비용_계산13"/>
      <sheetName val="정관_및_회계규정13"/>
      <sheetName val="주요ISSUE_사항13"/>
      <sheetName val="2006_과표및세액조정계산서13"/>
      <sheetName val="완성차_미수금13"/>
      <sheetName val="10_3113"/>
      <sheetName val="정비활동_수선비_절감12"/>
      <sheetName val="3_5_Inch_가동_효율12"/>
      <sheetName val="2_5_Inch_가동_효율12"/>
      <sheetName val="외상매출금현황-수정분_A213"/>
      <sheetName val="계수원본(99_2_28)13"/>
      <sheetName val="YTD_Sales(0411)13"/>
      <sheetName val="매출_물동명세13"/>
      <sheetName val="Net_PL(세분류)12"/>
      <sheetName val="Cash_Flow12"/>
      <sheetName val="3_판관비명세서12"/>
      <sheetName val="1월실적_(2)12"/>
      <sheetName val="장할생활_(2)12"/>
      <sheetName val="아파트_기성내역서12"/>
      <sheetName val="증감분석_및_연결조정12"/>
      <sheetName val="2_대외공문12"/>
      <sheetName val="업무분장_12"/>
      <sheetName val="매출채권_및_담보비율_변동12"/>
      <sheetName val="1공장_재공품생산현황12"/>
      <sheetName val="11_17-11_2312"/>
      <sheetName val="11_24-11_3012"/>
      <sheetName val="2_상각보정명세12"/>
      <sheetName val="받을어음할인및_융통어음12"/>
      <sheetName val="비교원가제출_고12"/>
      <sheetName val="의뢰건_(2)11"/>
      <sheetName val="5_소재11"/>
      <sheetName val="Dólar_Observado11"/>
      <sheetName val="대차대조표12_0111"/>
      <sheetName val="4-1__매출원가_손익계획_집계표11"/>
      <sheetName val="퇴직급여충당금12_3112"/>
      <sheetName val="4_2유효폭의_계산11"/>
      <sheetName val="1_MDF1공장11"/>
      <sheetName val="CT_재공품생산현황11"/>
      <sheetName val="화섬_MDP12"/>
      <sheetName val="25_보증금(임차보증금외)11"/>
      <sheetName val="24_보증금(전신전화가입권)11"/>
      <sheetName val="비용_배부후11"/>
      <sheetName val="입력_판매11"/>
      <sheetName val="입력_인원11"/>
      <sheetName val="2_Critical_Component_Estimati11"/>
      <sheetName val="Reference_(변경)11"/>
      <sheetName val="경영계획_수립_참고자료_▶▶▶11"/>
      <sheetName val="사업부서_작성자료_▶▶▶11"/>
      <sheetName val="15년_손익_(GS신규Vision)_요약-연간비교장11"/>
      <sheetName val="15년_손익_(GS신규Vision)_요약-(간접비_포11"/>
      <sheetName val="15년_손익-GS신규Vision11"/>
      <sheetName val="매출_계획11"/>
      <sheetName val="매출계획_산출근거11"/>
      <sheetName val="재료비(율)_계획11"/>
      <sheetName val="재료비(율)_산출근거11"/>
      <sheetName val="인원인건비&amp;간접비_계획11"/>
      <sheetName val="감가상각비_계산11"/>
      <sheetName val="간접비_계획11"/>
      <sheetName val="Reference_(기존)11"/>
      <sheetName val="2014년_손익11"/>
      <sheetName val="15년_손익_(GDR_Rental사업)_요약-연간비교11"/>
      <sheetName val="15년_손익_(GDR_Rent사업)_요약-(간접비_포11"/>
      <sheetName val="15년_손익-GDR_Rental사업11"/>
      <sheetName val="매출&amp;재료비&amp;비용&amp;투자_산출근거11"/>
      <sheetName val="아울렛_농산벤더11"/>
      <sheetName val="00_08계정11"/>
      <sheetName val="경영비율_11"/>
      <sheetName val="#2_BSPL11"/>
      <sheetName val="퇴직충당금(3_31)(국문)11"/>
      <sheetName val="매출액(명)_11"/>
      <sheetName val="118_세금과공과11"/>
      <sheetName val="control_sheet11"/>
      <sheetName val="VB_11"/>
      <sheetName val="중장기_외화자금_보정명세(PBC)11"/>
      <sheetName val="POS_(2)11"/>
      <sheetName val="05_1Q11"/>
      <sheetName val="산업은행_경영지표11"/>
      <sheetName val="unit_411"/>
      <sheetName val="내역서_(2)11"/>
      <sheetName val="INCOME_STATEMENT11"/>
      <sheetName val="관계회사거래내역및_채권채무잔액_999"/>
      <sheetName val="Team_종합9"/>
      <sheetName val="에뛰드_내부관리가9"/>
      <sheetName val="Packaging_cost_Back_Data9"/>
      <sheetName val="현지법인_대손설정9"/>
      <sheetName val="원가계산_(2)10"/>
      <sheetName val="현금_및_예치금Lead9"/>
      <sheetName val="현금및예치금_명세서9"/>
      <sheetName val="유첨3_적용기준9"/>
      <sheetName val="업체손실공수_xls9"/>
      <sheetName val="108_수선비10"/>
      <sheetName val="General_Inputs9"/>
      <sheetName val="CGC_Inputs9"/>
      <sheetName val="Office_only_Letup9"/>
      <sheetName val="sap`04_7_149"/>
      <sheetName val="13_보증금(전신전화가입권)9"/>
      <sheetName val="붙임2-1__지급조서명세서(2001년분)9"/>
      <sheetName val="중부사업담당_1-11월_원가11"/>
      <sheetName val="0_0ControlSheet9"/>
      <sheetName val="현금흐름표_근거자료9"/>
      <sheetName val="01_12月_Lot별_판매실적_xls9"/>
      <sheetName val="Industry_Indices9"/>
      <sheetName val="공항,제주_판매율_분석9"/>
      <sheetName val="값목록(Do_not_touch)8"/>
      <sheetName val="Item_LIST8"/>
      <sheetName val="Volume_LIST8"/>
      <sheetName val="99_7월_당월회수_실적8"/>
      <sheetName val="US_Revenue_(2)9"/>
      <sheetName val="LEAD_SHEET_(K상각후회수율)8"/>
      <sheetName val="2_지분법적용주식Leadsheet(회사제시)8"/>
      <sheetName val="년간_자금계획(90일_적용)8"/>
      <sheetName val="서비스별_매출추이8"/>
      <sheetName val="참고__카본단가_비교8"/>
      <sheetName val="수입검사현황_Rev18"/>
      <sheetName val="7_3_DY팀8"/>
      <sheetName val="감사보고서_(날인X)_KEIT8"/>
      <sheetName val="감사보고서_(날인X)_KIAT8"/>
      <sheetName val="감사보고서_(날인X)_KETEP8"/>
      <sheetName val="재원별지출내역_(2)8"/>
      <sheetName val="연구시설·장비_및_재료비8"/>
      <sheetName val="세목별_사용내역조회8"/>
      <sheetName val="인건비_소요_명세8"/>
      <sheetName val="Sheet1_(2)8"/>
      <sheetName val="DATA_입력란8"/>
      <sheetName val="1__설계조건_2_단면가정_3__하중계산8"/>
      <sheetName val="7__2_8"/>
      <sheetName val="Bank_charge8"/>
      <sheetName val="AQL(0_65)8"/>
      <sheetName val="U3_18"/>
      <sheetName val="GEN_Inputs8"/>
      <sheetName val="表03_8"/>
      <sheetName val="DIVP_L_19988"/>
      <sheetName val="제품L_D_8"/>
      <sheetName val="TO_DO8"/>
      <sheetName val="CC_Down_load_07168"/>
      <sheetName val="CF_RE_type8"/>
      <sheetName val="Ref_Filed8"/>
      <sheetName val="220_(2)8"/>
      <sheetName val="3_일반사상8"/>
      <sheetName val="S1_1총괄8"/>
      <sheetName val="1_능률현황8"/>
      <sheetName val="2_호선별예상실적8"/>
      <sheetName val="7_(2)5"/>
      <sheetName val="2181_91(Ex-pat)5"/>
      <sheetName val="2150_2(Equip-oth)5"/>
      <sheetName val="5_공종별예산내역서5"/>
      <sheetName val="SH_R설치5"/>
      <sheetName val="Business_Plan5"/>
      <sheetName val="Korea_Sign-Internal5"/>
      <sheetName val="FY00_OP3rdPrty5"/>
      <sheetName val="Q3_actuals5"/>
      <sheetName val="0307_Q3Update5"/>
      <sheetName val="3_부점발견재산5"/>
      <sheetName val="6_공사부점손익5"/>
      <sheetName val="5_공사손익실적5"/>
      <sheetName val="Cons_Total_company5"/>
      <sheetName val="FL'G_WT_5"/>
      <sheetName val="수금_5"/>
      <sheetName val="score_sheet12"/>
      <sheetName val="공제사업score_sheet12"/>
      <sheetName val="법인세비용_계산12"/>
      <sheetName val="정관_및_회계규정12"/>
      <sheetName val="주요ISSUE_사항12"/>
      <sheetName val="2006_과표및세액조정계산서12"/>
      <sheetName val="완성차_미수금12"/>
      <sheetName val="10_3112"/>
      <sheetName val="정비활동_수선비_절감11"/>
      <sheetName val="3_5_Inch_가동_효율11"/>
      <sheetName val="2_5_Inch_가동_효율11"/>
      <sheetName val="외상매출금현황-수정분_A212"/>
      <sheetName val="계수원본(99_2_28)12"/>
      <sheetName val="YTD_Sales(0411)12"/>
      <sheetName val="매출_물동명세12"/>
      <sheetName val="Net_PL(세분류)11"/>
      <sheetName val="Cash_Flow11"/>
      <sheetName val="3_판관비명세서11"/>
      <sheetName val="1월실적_(2)11"/>
      <sheetName val="장할생활_(2)11"/>
      <sheetName val="아파트_기성내역서11"/>
      <sheetName val="증감분석_및_연결조정11"/>
      <sheetName val="2_대외공문11"/>
      <sheetName val="업무분장_11"/>
      <sheetName val="매출채권_및_담보비율_변동11"/>
      <sheetName val="1공장_재공품생산현황11"/>
      <sheetName val="11_17-11_2311"/>
      <sheetName val="11_24-11_3011"/>
      <sheetName val="2_상각보정명세11"/>
      <sheetName val="받을어음할인및_융통어음11"/>
      <sheetName val="비교원가제출_고11"/>
      <sheetName val="의뢰건_(2)10"/>
      <sheetName val="5_소재10"/>
      <sheetName val="Dólar_Observado10"/>
      <sheetName val="대차대조표12_0110"/>
      <sheetName val="4-1__매출원가_손익계획_집계표10"/>
      <sheetName val="퇴직급여충당금12_3111"/>
      <sheetName val="4_2유효폭의_계산10"/>
      <sheetName val="1_MDF1공장10"/>
      <sheetName val="CT_재공품생산현황10"/>
      <sheetName val="화섬_MDP11"/>
      <sheetName val="25_보증금(임차보증금외)10"/>
      <sheetName val="24_보증금(전신전화가입권)10"/>
      <sheetName val="비용_배부후10"/>
      <sheetName val="입력_판매10"/>
      <sheetName val="입력_인원10"/>
      <sheetName val="2_Critical_Component_Estimati10"/>
      <sheetName val="Reference_(변경)10"/>
      <sheetName val="경영계획_수립_참고자료_▶▶▶10"/>
      <sheetName val="사업부서_작성자료_▶▶▶10"/>
      <sheetName val="15년_손익_(GS신규Vision)_요약-연간비교장10"/>
      <sheetName val="15년_손익_(GS신규Vision)_요약-(간접비_포10"/>
      <sheetName val="15년_손익-GS신규Vision10"/>
      <sheetName val="매출_계획10"/>
      <sheetName val="매출계획_산출근거10"/>
      <sheetName val="재료비(율)_계획10"/>
      <sheetName val="재료비(율)_산출근거10"/>
      <sheetName val="인원인건비&amp;간접비_계획10"/>
      <sheetName val="감가상각비_계산10"/>
      <sheetName val="간접비_계획10"/>
      <sheetName val="Reference_(기존)10"/>
      <sheetName val="2014년_손익10"/>
      <sheetName val="15년_손익_(GDR_Rental사업)_요약-연간비교10"/>
      <sheetName val="15년_손익_(GDR_Rent사업)_요약-(간접비_포10"/>
      <sheetName val="15년_손익-GDR_Rental사업10"/>
      <sheetName val="매출&amp;재료비&amp;비용&amp;투자_산출근거10"/>
      <sheetName val="아울렛_농산벤더10"/>
      <sheetName val="00_08계정10"/>
      <sheetName val="경영비율_10"/>
      <sheetName val="#2_BSPL10"/>
      <sheetName val="퇴직충당금(3_31)(국문)10"/>
      <sheetName val="매출액(명)_10"/>
      <sheetName val="118_세금과공과10"/>
      <sheetName val="control_sheet10"/>
      <sheetName val="VB_10"/>
      <sheetName val="중장기_외화자금_보정명세(PBC)10"/>
      <sheetName val="POS_(2)10"/>
      <sheetName val="05_1Q10"/>
      <sheetName val="산업은행_경영지표10"/>
      <sheetName val="unit_410"/>
      <sheetName val="내역서_(2)10"/>
      <sheetName val="INCOME_STATEMENT10"/>
      <sheetName val="관계회사거래내역및_채권채무잔액_998"/>
      <sheetName val="Team_종합8"/>
      <sheetName val="에뛰드_내부관리가8"/>
      <sheetName val="Packaging_cost_Back_Data8"/>
      <sheetName val="현지법인_대손설정8"/>
      <sheetName val="원가계산_(2)9"/>
      <sheetName val="현금_및_예치금Lead8"/>
      <sheetName val="현금및예치금_명세서8"/>
      <sheetName val="유첨3_적용기준8"/>
      <sheetName val="업체손실공수_xls8"/>
      <sheetName val="108_수선비9"/>
      <sheetName val="General_Inputs8"/>
      <sheetName val="CGC_Inputs8"/>
      <sheetName val="Office_only_Letup8"/>
      <sheetName val="sap`04_7_148"/>
      <sheetName val="13_보증금(전신전화가입권)8"/>
      <sheetName val="붙임2-1__지급조서명세서(2001년분)8"/>
      <sheetName val="중부사업담당_1-11월_원가10"/>
      <sheetName val="0_0ControlSheet8"/>
      <sheetName val="현금흐름표_근거자료8"/>
      <sheetName val="01_12月_Lot별_판매실적_xls8"/>
      <sheetName val="Industry_Indices8"/>
      <sheetName val="공항,제주_판매율_분석8"/>
      <sheetName val="값목록(Do_not_touch)7"/>
      <sheetName val="Item_LIST7"/>
      <sheetName val="Volume_LIST7"/>
      <sheetName val="99_7월_당월회수_실적7"/>
      <sheetName val="US_Revenue_(2)8"/>
      <sheetName val="LEAD_SHEET_(K상각후회수율)7"/>
      <sheetName val="2_지분법적용주식Leadsheet(회사제시)7"/>
      <sheetName val="년간_자금계획(90일_적용)7"/>
      <sheetName val="서비스별_매출추이7"/>
      <sheetName val="참고__카본단가_비교7"/>
      <sheetName val="수입검사현황_Rev17"/>
      <sheetName val="7_3_DY팀7"/>
      <sheetName val="감사보고서_(날인X)_KEIT7"/>
      <sheetName val="감사보고서_(날인X)_KIAT7"/>
      <sheetName val="감사보고서_(날인X)_KETEP7"/>
      <sheetName val="재원별지출내역_(2)7"/>
      <sheetName val="연구시설·장비_및_재료비7"/>
      <sheetName val="세목별_사용내역조회7"/>
      <sheetName val="인건비_소요_명세7"/>
      <sheetName val="Sheet1_(2)7"/>
      <sheetName val="DATA_입력란7"/>
      <sheetName val="1__설계조건_2_단면가정_3__하중계산7"/>
      <sheetName val="7__2_7"/>
      <sheetName val="Bank_charge7"/>
      <sheetName val="AQL(0_65)7"/>
      <sheetName val="U3_17"/>
      <sheetName val="GEN_Inputs7"/>
      <sheetName val="表03_7"/>
      <sheetName val="DIVP_L_19987"/>
      <sheetName val="제품L_D_7"/>
      <sheetName val="TO_DO7"/>
      <sheetName val="CC_Down_load_07167"/>
      <sheetName val="CF_RE_type7"/>
      <sheetName val="Ref_Filed7"/>
      <sheetName val="220_(2)7"/>
      <sheetName val="3_일반사상7"/>
      <sheetName val="S1_1총괄7"/>
      <sheetName val="1_능률현황7"/>
      <sheetName val="2_호선별예상실적7"/>
      <sheetName val="7_(2)4"/>
      <sheetName val="2181_91(Ex-pat)4"/>
      <sheetName val="2150_2(Equip-oth)4"/>
      <sheetName val="5_공종별예산내역서4"/>
      <sheetName val="SH_R설치4"/>
      <sheetName val="Business_Plan4"/>
      <sheetName val="Korea_Sign-Internal4"/>
      <sheetName val="FY00_OP3rdPrty4"/>
      <sheetName val="Q3_actuals4"/>
      <sheetName val="0307_Q3Update4"/>
      <sheetName val="3_부점발견재산4"/>
      <sheetName val="6_공사부점손익4"/>
      <sheetName val="5_공사손익실적4"/>
      <sheetName val="Cons_Total_company4"/>
      <sheetName val="FL'G_WT_4"/>
      <sheetName val="수금_4"/>
      <sheetName val="score_sheet14"/>
      <sheetName val="공제사업score_sheet14"/>
      <sheetName val="법인세비용_계산14"/>
      <sheetName val="정관_및_회계규정14"/>
      <sheetName val="주요ISSUE_사항14"/>
      <sheetName val="2006_과표및세액조정계산서14"/>
      <sheetName val="완성차_미수금14"/>
      <sheetName val="10_3114"/>
      <sheetName val="정비활동_수선비_절감13"/>
      <sheetName val="3_5_Inch_가동_효율13"/>
      <sheetName val="2_5_Inch_가동_효율13"/>
      <sheetName val="외상매출금현황-수정분_A214"/>
      <sheetName val="계수원본(99_2_28)14"/>
      <sheetName val="YTD_Sales(0411)14"/>
      <sheetName val="매출_물동명세14"/>
      <sheetName val="Net_PL(세분류)13"/>
      <sheetName val="Cash_Flow13"/>
      <sheetName val="3_판관비명세서13"/>
      <sheetName val="1월실적_(2)13"/>
      <sheetName val="장할생활_(2)13"/>
      <sheetName val="아파트_기성내역서13"/>
      <sheetName val="증감분석_및_연결조정13"/>
      <sheetName val="2_대외공문13"/>
      <sheetName val="업무분장_13"/>
      <sheetName val="매출채권_및_담보비율_변동13"/>
      <sheetName val="1공장_재공품생산현황13"/>
      <sheetName val="11_17-11_2313"/>
      <sheetName val="11_24-11_3013"/>
      <sheetName val="2_상각보정명세13"/>
      <sheetName val="받을어음할인및_융통어음13"/>
      <sheetName val="비교원가제출_고13"/>
      <sheetName val="의뢰건_(2)12"/>
      <sheetName val="5_소재12"/>
      <sheetName val="Dólar_Observado12"/>
      <sheetName val="대차대조표12_0112"/>
      <sheetName val="4-1__매출원가_손익계획_집계표12"/>
      <sheetName val="퇴직급여충당금12_3113"/>
      <sheetName val="4_2유효폭의_계산12"/>
      <sheetName val="1_MDF1공장12"/>
      <sheetName val="CT_재공품생산현황12"/>
      <sheetName val="화섬_MDP13"/>
      <sheetName val="25_보증금(임차보증금외)12"/>
      <sheetName val="24_보증금(전신전화가입권)12"/>
      <sheetName val="비용_배부후12"/>
      <sheetName val="입력_판매12"/>
      <sheetName val="입력_인원12"/>
      <sheetName val="2_Critical_Component_Estimati12"/>
      <sheetName val="Reference_(변경)12"/>
      <sheetName val="경영계획_수립_참고자료_▶▶▶12"/>
      <sheetName val="사업부서_작성자료_▶▶▶12"/>
      <sheetName val="15년_손익_(GS신규Vision)_요약-연간비교장12"/>
      <sheetName val="15년_손익_(GS신규Vision)_요약-(간접비_포12"/>
      <sheetName val="15년_손익-GS신규Vision12"/>
      <sheetName val="매출_계획12"/>
      <sheetName val="매출계획_산출근거12"/>
      <sheetName val="재료비(율)_계획12"/>
      <sheetName val="재료비(율)_산출근거12"/>
      <sheetName val="인원인건비&amp;간접비_계획12"/>
      <sheetName val="감가상각비_계산12"/>
      <sheetName val="간접비_계획12"/>
      <sheetName val="Reference_(기존)12"/>
      <sheetName val="2014년_손익12"/>
      <sheetName val="15년_손익_(GDR_Rental사업)_요약-연간비교12"/>
      <sheetName val="15년_손익_(GDR_Rent사업)_요약-(간접비_포12"/>
      <sheetName val="15년_손익-GDR_Rental사업12"/>
      <sheetName val="매출&amp;재료비&amp;비용&amp;투자_산출근거12"/>
      <sheetName val="아울렛_농산벤더12"/>
      <sheetName val="00_08계정12"/>
      <sheetName val="경영비율_12"/>
      <sheetName val="#2_BSPL12"/>
      <sheetName val="퇴직충당금(3_31)(국문)12"/>
      <sheetName val="매출액(명)_12"/>
      <sheetName val="118_세금과공과12"/>
      <sheetName val="control_sheet12"/>
      <sheetName val="VB_12"/>
      <sheetName val="중장기_외화자금_보정명세(PBC)12"/>
      <sheetName val="POS_(2)12"/>
      <sheetName val="05_1Q12"/>
      <sheetName val="산업은행_경영지표12"/>
      <sheetName val="unit_412"/>
      <sheetName val="내역서_(2)12"/>
      <sheetName val="INCOME_STATEMENT12"/>
      <sheetName val="관계회사거래내역및_채권채무잔액_9910"/>
      <sheetName val="Team_종합10"/>
      <sheetName val="에뛰드_내부관리가10"/>
      <sheetName val="Packaging_cost_Back_Data10"/>
      <sheetName val="현지법인_대손설정10"/>
      <sheetName val="원가계산_(2)11"/>
      <sheetName val="현금_및_예치금Lead10"/>
      <sheetName val="현금및예치금_명세서10"/>
      <sheetName val="유첨3_적용기준10"/>
      <sheetName val="업체손실공수_xls10"/>
      <sheetName val="108_수선비11"/>
      <sheetName val="General_Inputs10"/>
      <sheetName val="CGC_Inputs10"/>
      <sheetName val="Office_only_Letup10"/>
      <sheetName val="sap`04_7_1410"/>
      <sheetName val="13_보증금(전신전화가입권)10"/>
      <sheetName val="붙임2-1__지급조서명세서(2001년분)10"/>
      <sheetName val="중부사업담당_1-11월_원가12"/>
      <sheetName val="0_0ControlSheet10"/>
      <sheetName val="현금흐름표_근거자료10"/>
      <sheetName val="01_12月_Lot별_판매실적_xls10"/>
      <sheetName val="Industry_Indices10"/>
      <sheetName val="공항,제주_판매율_분석10"/>
      <sheetName val="값목록(Do_not_touch)9"/>
      <sheetName val="Item_LIST9"/>
      <sheetName val="Volume_LIST9"/>
      <sheetName val="99_7월_당월회수_실적9"/>
      <sheetName val="US_Revenue_(2)10"/>
      <sheetName val="LEAD_SHEET_(K상각후회수율)9"/>
      <sheetName val="2_지분법적용주식Leadsheet(회사제시)9"/>
      <sheetName val="년간_자금계획(90일_적용)9"/>
      <sheetName val="서비스별_매출추이9"/>
      <sheetName val="참고__카본단가_비교9"/>
      <sheetName val="수입검사현황_Rev19"/>
      <sheetName val="7_3_DY팀9"/>
      <sheetName val="감사보고서_(날인X)_KEIT9"/>
      <sheetName val="감사보고서_(날인X)_KIAT9"/>
      <sheetName val="감사보고서_(날인X)_KETEP9"/>
      <sheetName val="재원별지출내역_(2)9"/>
      <sheetName val="연구시설·장비_및_재료비9"/>
      <sheetName val="세목별_사용내역조회9"/>
      <sheetName val="인건비_소요_명세9"/>
      <sheetName val="Sheet1_(2)9"/>
      <sheetName val="DATA_입력란9"/>
      <sheetName val="1__설계조건_2_단면가정_3__하중계산9"/>
      <sheetName val="7__2_9"/>
      <sheetName val="Bank_charge9"/>
      <sheetName val="AQL(0_65)9"/>
      <sheetName val="U3_19"/>
      <sheetName val="GEN_Inputs9"/>
      <sheetName val="表03_9"/>
      <sheetName val="DIVP_L_19989"/>
      <sheetName val="제품L_D_9"/>
      <sheetName val="TO_DO9"/>
      <sheetName val="CC_Down_load_07169"/>
      <sheetName val="CF_RE_type9"/>
      <sheetName val="Ref_Filed9"/>
      <sheetName val="220_(2)9"/>
      <sheetName val="3_일반사상9"/>
      <sheetName val="S1_1총괄9"/>
      <sheetName val="1_능률현황9"/>
      <sheetName val="2_호선별예상실적9"/>
      <sheetName val="7_(2)6"/>
      <sheetName val="2181_91(Ex-pat)6"/>
      <sheetName val="2150_2(Equip-oth)6"/>
      <sheetName val="5_공종별예산내역서6"/>
      <sheetName val="SH_R설치6"/>
      <sheetName val="Business_Plan6"/>
      <sheetName val="Korea_Sign-Internal6"/>
      <sheetName val="FY00_OP3rdPrty6"/>
      <sheetName val="Q3_actuals6"/>
      <sheetName val="0307_Q3Update6"/>
      <sheetName val="3_부점발견재산6"/>
      <sheetName val="6_공사부점손익6"/>
      <sheetName val="5_공사손익실적6"/>
      <sheetName val="Cons_Total_company6"/>
      <sheetName val="FL'G_WT_6"/>
      <sheetName val="수금_6"/>
      <sheetName val="score_sheet15"/>
      <sheetName val="공제사업score_sheet15"/>
      <sheetName val="법인세비용_계산15"/>
      <sheetName val="정관_및_회계규정15"/>
      <sheetName val="주요ISSUE_사항15"/>
      <sheetName val="2006_과표및세액조정계산서15"/>
      <sheetName val="완성차_미수금15"/>
      <sheetName val="10_3115"/>
      <sheetName val="정비활동_수선비_절감14"/>
      <sheetName val="3_5_Inch_가동_효율14"/>
      <sheetName val="2_5_Inch_가동_효율14"/>
      <sheetName val="외상매출금현황-수정분_A215"/>
      <sheetName val="계수원본(99_2_28)15"/>
      <sheetName val="YTD_Sales(0411)15"/>
      <sheetName val="매출_물동명세15"/>
      <sheetName val="Net_PL(세분류)14"/>
      <sheetName val="Cash_Flow14"/>
      <sheetName val="3_판관비명세서14"/>
      <sheetName val="1월실적_(2)14"/>
      <sheetName val="장할생활_(2)14"/>
      <sheetName val="아파트_기성내역서14"/>
      <sheetName val="증감분석_및_연결조정14"/>
      <sheetName val="2_대외공문14"/>
      <sheetName val="업무분장_14"/>
      <sheetName val="매출채권_및_담보비율_변동14"/>
      <sheetName val="1공장_재공품생산현황14"/>
      <sheetName val="11_17-11_2314"/>
      <sheetName val="11_24-11_3014"/>
      <sheetName val="2_상각보정명세14"/>
      <sheetName val="받을어음할인및_융통어음14"/>
      <sheetName val="비교원가제출_고14"/>
      <sheetName val="의뢰건_(2)13"/>
      <sheetName val="5_소재13"/>
      <sheetName val="Dólar_Observado13"/>
      <sheetName val="대차대조표12_0113"/>
      <sheetName val="4-1__매출원가_손익계획_집계표13"/>
      <sheetName val="퇴직급여충당금12_3114"/>
      <sheetName val="4_2유효폭의_계산13"/>
      <sheetName val="1_MDF1공장13"/>
      <sheetName val="CT_재공품생산현황13"/>
      <sheetName val="화섬_MDP14"/>
      <sheetName val="25_보증금(임차보증금외)13"/>
      <sheetName val="24_보증금(전신전화가입권)13"/>
      <sheetName val="비용_배부후13"/>
      <sheetName val="입력_판매13"/>
      <sheetName val="입력_인원13"/>
      <sheetName val="2_Critical_Component_Estimati13"/>
      <sheetName val="Reference_(변경)13"/>
      <sheetName val="경영계획_수립_참고자료_▶▶▶13"/>
      <sheetName val="사업부서_작성자료_▶▶▶13"/>
      <sheetName val="15년_손익_(GS신규Vision)_요약-연간비교장13"/>
      <sheetName val="15년_손익_(GS신규Vision)_요약-(간접비_포13"/>
      <sheetName val="15년_손익-GS신규Vision13"/>
      <sheetName val="매출_계획13"/>
      <sheetName val="매출계획_산출근거13"/>
      <sheetName val="재료비(율)_계획13"/>
      <sheetName val="재료비(율)_산출근거13"/>
      <sheetName val="인원인건비&amp;간접비_계획13"/>
      <sheetName val="감가상각비_계산13"/>
      <sheetName val="간접비_계획13"/>
      <sheetName val="Reference_(기존)13"/>
      <sheetName val="2014년_손익13"/>
      <sheetName val="15년_손익_(GDR_Rental사업)_요약-연간비교13"/>
      <sheetName val="15년_손익_(GDR_Rent사업)_요약-(간접비_포13"/>
      <sheetName val="15년_손익-GDR_Rental사업13"/>
      <sheetName val="매출&amp;재료비&amp;비용&amp;투자_산출근거13"/>
      <sheetName val="아울렛_농산벤더13"/>
      <sheetName val="00_08계정13"/>
      <sheetName val="경영비율_13"/>
      <sheetName val="#2_BSPL13"/>
      <sheetName val="퇴직충당금(3_31)(국문)13"/>
      <sheetName val="매출액(명)_13"/>
      <sheetName val="118_세금과공과13"/>
      <sheetName val="control_sheet13"/>
      <sheetName val="VB_13"/>
      <sheetName val="중장기_외화자금_보정명세(PBC)13"/>
      <sheetName val="POS_(2)13"/>
      <sheetName val="05_1Q13"/>
      <sheetName val="산업은행_경영지표13"/>
      <sheetName val="unit_413"/>
      <sheetName val="내역서_(2)13"/>
      <sheetName val="INCOME_STATEMENT13"/>
      <sheetName val="관계회사거래내역및_채권채무잔액_9911"/>
      <sheetName val="Team_종합11"/>
      <sheetName val="에뛰드_내부관리가11"/>
      <sheetName val="Packaging_cost_Back_Data11"/>
      <sheetName val="현지법인_대손설정11"/>
      <sheetName val="원가계산_(2)12"/>
      <sheetName val="현금_및_예치금Lead11"/>
      <sheetName val="현금및예치금_명세서11"/>
      <sheetName val="유첨3_적용기준11"/>
      <sheetName val="업체손실공수_xls11"/>
      <sheetName val="108_수선비12"/>
      <sheetName val="General_Inputs11"/>
      <sheetName val="CGC_Inputs11"/>
      <sheetName val="Office_only_Letup11"/>
      <sheetName val="sap`04_7_1411"/>
      <sheetName val="13_보증금(전신전화가입권)11"/>
      <sheetName val="붙임2-1__지급조서명세서(2001년분)11"/>
      <sheetName val="중부사업담당_1-11월_원가13"/>
      <sheetName val="0_0ControlSheet11"/>
      <sheetName val="현금흐름표_근거자료11"/>
      <sheetName val="01_12月_Lot별_판매실적_xls11"/>
      <sheetName val="Industry_Indices11"/>
      <sheetName val="공항,제주_판매율_분석11"/>
      <sheetName val="값목록(Do_not_touch)10"/>
      <sheetName val="Item_LIST10"/>
      <sheetName val="Volume_LIST10"/>
      <sheetName val="99_7월_당월회수_실적10"/>
      <sheetName val="US_Revenue_(2)11"/>
      <sheetName val="LEAD_SHEET_(K상각후회수율)10"/>
      <sheetName val="2_지분법적용주식Leadsheet(회사제시)10"/>
      <sheetName val="년간_자금계획(90일_적용)10"/>
      <sheetName val="서비스별_매출추이10"/>
      <sheetName val="참고__카본단가_비교10"/>
      <sheetName val="수입검사현황_Rev110"/>
      <sheetName val="7_3_DY팀10"/>
      <sheetName val="감사보고서_(날인X)_KEIT10"/>
      <sheetName val="감사보고서_(날인X)_KIAT10"/>
      <sheetName val="감사보고서_(날인X)_KETEP10"/>
      <sheetName val="재원별지출내역_(2)10"/>
      <sheetName val="연구시설·장비_및_재료비10"/>
      <sheetName val="세목별_사용내역조회10"/>
      <sheetName val="인건비_소요_명세10"/>
      <sheetName val="Sheet1_(2)10"/>
      <sheetName val="DATA_입력란10"/>
      <sheetName val="1__설계조건_2_단면가정_3__하중계산10"/>
      <sheetName val="7__2_10"/>
      <sheetName val="Bank_charge10"/>
      <sheetName val="AQL(0_65)10"/>
      <sheetName val="U3_110"/>
      <sheetName val="GEN_Inputs10"/>
      <sheetName val="表03_10"/>
      <sheetName val="DIVP_L_199810"/>
      <sheetName val="제품L_D_10"/>
      <sheetName val="TO_DO10"/>
      <sheetName val="CC_Down_load_071610"/>
      <sheetName val="CF_RE_type10"/>
      <sheetName val="Ref_Filed10"/>
      <sheetName val="220_(2)10"/>
      <sheetName val="3_일반사상10"/>
      <sheetName val="S1_1총괄10"/>
      <sheetName val="1_능률현황10"/>
      <sheetName val="2_호선별예상실적10"/>
      <sheetName val="7_(2)7"/>
      <sheetName val="2181_91(Ex-pat)7"/>
      <sheetName val="2150_2(Equip-oth)7"/>
      <sheetName val="5_공종별예산내역서7"/>
      <sheetName val="SH_R설치7"/>
      <sheetName val="Business_Plan7"/>
      <sheetName val="Korea_Sign-Internal7"/>
      <sheetName val="FY00_OP3rdPrty7"/>
      <sheetName val="Q3_actuals7"/>
      <sheetName val="0307_Q3Update7"/>
      <sheetName val="3_부점발견재산7"/>
      <sheetName val="6_공사부점손익7"/>
      <sheetName val="5_공사손익실적7"/>
      <sheetName val="Cons_Total_company7"/>
      <sheetName val="FL'G_WT_7"/>
      <sheetName val="수금_7"/>
      <sheetName val="score_sheet16"/>
      <sheetName val="공제사업score_sheet16"/>
      <sheetName val="법인세비용_계산16"/>
      <sheetName val="정관_및_회계규정16"/>
      <sheetName val="주요ISSUE_사항16"/>
      <sheetName val="2006_과표및세액조정계산서16"/>
      <sheetName val="완성차_미수금16"/>
      <sheetName val="10_3116"/>
      <sheetName val="정비활동_수선비_절감15"/>
      <sheetName val="3_5_Inch_가동_효율15"/>
      <sheetName val="2_5_Inch_가동_효율15"/>
      <sheetName val="외상매출금현황-수정분_A216"/>
      <sheetName val="계수원본(99_2_28)16"/>
      <sheetName val="YTD_Sales(0411)16"/>
      <sheetName val="매출_물동명세16"/>
      <sheetName val="Net_PL(세분류)15"/>
      <sheetName val="Cash_Flow15"/>
      <sheetName val="3_판관비명세서15"/>
      <sheetName val="1월실적_(2)15"/>
      <sheetName val="장할생활_(2)15"/>
      <sheetName val="아파트_기성내역서15"/>
      <sheetName val="증감분석_및_연결조정15"/>
      <sheetName val="2_대외공문15"/>
      <sheetName val="업무분장_15"/>
      <sheetName val="매출채권_및_담보비율_변동15"/>
      <sheetName val="1공장_재공품생산현황15"/>
      <sheetName val="11_17-11_2315"/>
      <sheetName val="11_24-11_3015"/>
      <sheetName val="2_상각보정명세15"/>
      <sheetName val="받을어음할인및_융통어음15"/>
      <sheetName val="비교원가제출_고15"/>
      <sheetName val="의뢰건_(2)14"/>
      <sheetName val="5_소재14"/>
      <sheetName val="Dólar_Observado14"/>
      <sheetName val="대차대조표12_0114"/>
      <sheetName val="4-1__매출원가_손익계획_집계표14"/>
      <sheetName val="퇴직급여충당금12_3115"/>
      <sheetName val="4_2유효폭의_계산14"/>
      <sheetName val="1_MDF1공장14"/>
      <sheetName val="CT_재공품생산현황14"/>
      <sheetName val="화섬_MDP15"/>
      <sheetName val="25_보증금(임차보증금외)14"/>
      <sheetName val="24_보증금(전신전화가입권)14"/>
      <sheetName val="비용_배부후14"/>
      <sheetName val="입력_판매14"/>
      <sheetName val="입력_인원14"/>
      <sheetName val="2_Critical_Component_Estimati14"/>
      <sheetName val="Reference_(변경)14"/>
      <sheetName val="경영계획_수립_참고자료_▶▶▶14"/>
      <sheetName val="사업부서_작성자료_▶▶▶14"/>
      <sheetName val="15년_손익_(GS신규Vision)_요약-연간비교장14"/>
      <sheetName val="15년_손익_(GS신규Vision)_요약-(간접비_포14"/>
      <sheetName val="15년_손익-GS신규Vision14"/>
      <sheetName val="매출_계획14"/>
      <sheetName val="매출계획_산출근거14"/>
      <sheetName val="재료비(율)_계획14"/>
      <sheetName val="재료비(율)_산출근거14"/>
      <sheetName val="인원인건비&amp;간접비_계획14"/>
      <sheetName val="감가상각비_계산14"/>
      <sheetName val="간접비_계획14"/>
      <sheetName val="Reference_(기존)14"/>
      <sheetName val="2014년_손익14"/>
      <sheetName val="15년_손익_(GDR_Rental사업)_요약-연간비교14"/>
      <sheetName val="15년_손익_(GDR_Rent사업)_요약-(간접비_포14"/>
      <sheetName val="15년_손익-GDR_Rental사업14"/>
      <sheetName val="매출&amp;재료비&amp;비용&amp;투자_산출근거14"/>
      <sheetName val="아울렛_농산벤더14"/>
      <sheetName val="00_08계정14"/>
      <sheetName val="경영비율_14"/>
      <sheetName val="#2_BSPL14"/>
      <sheetName val="퇴직충당금(3_31)(국문)14"/>
      <sheetName val="매출액(명)_14"/>
      <sheetName val="118_세금과공과14"/>
      <sheetName val="control_sheet14"/>
      <sheetName val="VB_14"/>
      <sheetName val="중장기_외화자금_보정명세(PBC)14"/>
      <sheetName val="POS_(2)14"/>
      <sheetName val="05_1Q14"/>
      <sheetName val="산업은행_경영지표14"/>
      <sheetName val="unit_414"/>
      <sheetName val="내역서_(2)14"/>
      <sheetName val="INCOME_STATEMENT14"/>
      <sheetName val="관계회사거래내역및_채권채무잔액_9912"/>
      <sheetName val="Team_종합12"/>
      <sheetName val="에뛰드_내부관리가12"/>
      <sheetName val="Packaging_cost_Back_Data12"/>
      <sheetName val="현지법인_대손설정12"/>
      <sheetName val="원가계산_(2)13"/>
      <sheetName val="현금_및_예치금Lead12"/>
      <sheetName val="현금및예치금_명세서12"/>
      <sheetName val="유첨3_적용기준12"/>
      <sheetName val="업체손실공수_xls12"/>
      <sheetName val="108_수선비13"/>
      <sheetName val="General_Inputs12"/>
      <sheetName val="CGC_Inputs12"/>
      <sheetName val="Office_only_Letup12"/>
      <sheetName val="sap`04_7_1412"/>
      <sheetName val="13_보증금(전신전화가입권)12"/>
      <sheetName val="붙임2-1__지급조서명세서(2001년분)12"/>
      <sheetName val="중부사업담당_1-11월_원가14"/>
      <sheetName val="0_0ControlSheet12"/>
      <sheetName val="현금흐름표_근거자료12"/>
      <sheetName val="01_12月_Lot별_판매실적_xls12"/>
      <sheetName val="Industry_Indices12"/>
      <sheetName val="공항,제주_판매율_분석12"/>
      <sheetName val="값목록(Do_not_touch)11"/>
      <sheetName val="Item_LIST11"/>
      <sheetName val="Volume_LIST11"/>
      <sheetName val="99_7월_당월회수_실적11"/>
      <sheetName val="US_Revenue_(2)12"/>
      <sheetName val="LEAD_SHEET_(K상각후회수율)11"/>
      <sheetName val="2_지분법적용주식Leadsheet(회사제시)11"/>
      <sheetName val="년간_자금계획(90일_적용)11"/>
      <sheetName val="서비스별_매출추이11"/>
      <sheetName val="참고__카본단가_비교11"/>
      <sheetName val="수입검사현황_Rev111"/>
      <sheetName val="7_3_DY팀11"/>
      <sheetName val="감사보고서_(날인X)_KEIT11"/>
      <sheetName val="감사보고서_(날인X)_KIAT11"/>
      <sheetName val="감사보고서_(날인X)_KETEP11"/>
      <sheetName val="재원별지출내역_(2)11"/>
      <sheetName val="연구시설·장비_및_재료비11"/>
      <sheetName val="세목별_사용내역조회11"/>
      <sheetName val="인건비_소요_명세11"/>
      <sheetName val="Sheet1_(2)11"/>
      <sheetName val="DATA_입력란11"/>
      <sheetName val="1__설계조건_2_단면가정_3__하중계산11"/>
      <sheetName val="7__2_11"/>
      <sheetName val="Bank_charge11"/>
      <sheetName val="AQL(0_65)11"/>
      <sheetName val="U3_111"/>
      <sheetName val="GEN_Inputs11"/>
      <sheetName val="表03_11"/>
      <sheetName val="DIVP_L_199811"/>
      <sheetName val="제품L_D_11"/>
      <sheetName val="TO_DO11"/>
      <sheetName val="CC_Down_load_071611"/>
      <sheetName val="CF_RE_type11"/>
      <sheetName val="Ref_Filed11"/>
      <sheetName val="220_(2)11"/>
      <sheetName val="3_일반사상11"/>
      <sheetName val="S1_1총괄11"/>
      <sheetName val="1_능률현황11"/>
      <sheetName val="2_호선별예상실적11"/>
      <sheetName val="7_(2)8"/>
      <sheetName val="2181_91(Ex-pat)8"/>
      <sheetName val="2150_2(Equip-oth)8"/>
      <sheetName val="5_공종별예산내역서8"/>
      <sheetName val="SH_R설치8"/>
      <sheetName val="Business_Plan8"/>
      <sheetName val="Korea_Sign-Internal8"/>
      <sheetName val="FY00_OP3rdPrty8"/>
      <sheetName val="Q3_actuals8"/>
      <sheetName val="0307_Q3Update8"/>
      <sheetName val="3_부점발견재산8"/>
      <sheetName val="6_공사부점손익8"/>
      <sheetName val="5_공사손익실적8"/>
      <sheetName val="Cons_Total_company8"/>
      <sheetName val="FL'G_WT_8"/>
      <sheetName val="수금_8"/>
      <sheetName val="score_sheet17"/>
      <sheetName val="공제사업score_sheet17"/>
      <sheetName val="법인세비용_계산17"/>
      <sheetName val="정관_및_회계규정17"/>
      <sheetName val="주요ISSUE_사항17"/>
      <sheetName val="2006_과표및세액조정계산서17"/>
      <sheetName val="완성차_미수금17"/>
      <sheetName val="10_3117"/>
      <sheetName val="정비활동_수선비_절감16"/>
      <sheetName val="3_5_Inch_가동_효율16"/>
      <sheetName val="2_5_Inch_가동_효율16"/>
      <sheetName val="외상매출금현황-수정분_A217"/>
      <sheetName val="계수원본(99_2_28)17"/>
      <sheetName val="YTD_Sales(0411)17"/>
      <sheetName val="매출_물동명세17"/>
      <sheetName val="Net_PL(세분류)16"/>
      <sheetName val="Cash_Flow16"/>
      <sheetName val="3_판관비명세서16"/>
      <sheetName val="1월실적_(2)16"/>
      <sheetName val="장할생활_(2)16"/>
      <sheetName val="아파트_기성내역서16"/>
      <sheetName val="증감분석_및_연결조정16"/>
      <sheetName val="2_대외공문16"/>
      <sheetName val="업무분장_16"/>
      <sheetName val="매출채권_및_담보비율_변동16"/>
      <sheetName val="1공장_재공품생산현황16"/>
      <sheetName val="11_17-11_2316"/>
      <sheetName val="11_24-11_3016"/>
      <sheetName val="2_상각보정명세16"/>
      <sheetName val="받을어음할인및_융통어음16"/>
      <sheetName val="비교원가제출_고16"/>
      <sheetName val="의뢰건_(2)15"/>
      <sheetName val="5_소재15"/>
      <sheetName val="Dólar_Observado15"/>
      <sheetName val="대차대조표12_0115"/>
      <sheetName val="4-1__매출원가_손익계획_집계표15"/>
      <sheetName val="퇴직급여충당금12_3116"/>
      <sheetName val="4_2유효폭의_계산15"/>
      <sheetName val="1_MDF1공장15"/>
      <sheetName val="CT_재공품생산현황15"/>
      <sheetName val="화섬_MDP16"/>
      <sheetName val="25_보증금(임차보증금외)15"/>
      <sheetName val="24_보증금(전신전화가입권)15"/>
      <sheetName val="비용_배부후15"/>
      <sheetName val="입력_판매15"/>
      <sheetName val="입력_인원15"/>
      <sheetName val="2_Critical_Component_Estimati15"/>
      <sheetName val="Reference_(변경)15"/>
      <sheetName val="경영계획_수립_참고자료_▶▶▶15"/>
      <sheetName val="사업부서_작성자료_▶▶▶15"/>
      <sheetName val="15년_손익_(GS신규Vision)_요약-연간비교장15"/>
      <sheetName val="15년_손익_(GS신규Vision)_요약-(간접비_포15"/>
      <sheetName val="15년_손익-GS신규Vision15"/>
      <sheetName val="매출_계획15"/>
      <sheetName val="매출계획_산출근거15"/>
      <sheetName val="재료비(율)_계획15"/>
      <sheetName val="재료비(율)_산출근거15"/>
      <sheetName val="인원인건비&amp;간접비_계획15"/>
      <sheetName val="감가상각비_계산15"/>
      <sheetName val="간접비_계획15"/>
      <sheetName val="Reference_(기존)15"/>
      <sheetName val="2014년_손익15"/>
      <sheetName val="15년_손익_(GDR_Rental사업)_요약-연간비교15"/>
      <sheetName val="15년_손익_(GDR_Rent사업)_요약-(간접비_포15"/>
      <sheetName val="15년_손익-GDR_Rental사업15"/>
      <sheetName val="매출&amp;재료비&amp;비용&amp;투자_산출근거15"/>
      <sheetName val="아울렛_농산벤더15"/>
      <sheetName val="00_08계정15"/>
      <sheetName val="경영비율_15"/>
      <sheetName val="#2_BSPL15"/>
      <sheetName val="퇴직충당금(3_31)(국문)15"/>
      <sheetName val="매출액(명)_15"/>
      <sheetName val="118_세금과공과15"/>
      <sheetName val="control_sheet15"/>
      <sheetName val="VB_15"/>
      <sheetName val="중장기_외화자금_보정명세(PBC)15"/>
      <sheetName val="POS_(2)15"/>
      <sheetName val="05_1Q15"/>
      <sheetName val="산업은행_경영지표15"/>
      <sheetName val="unit_415"/>
      <sheetName val="내역서_(2)15"/>
      <sheetName val="INCOME_STATEMENT15"/>
      <sheetName val="관계회사거래내역및_채권채무잔액_9913"/>
      <sheetName val="Team_종합13"/>
      <sheetName val="에뛰드_내부관리가13"/>
      <sheetName val="Packaging_cost_Back_Data13"/>
      <sheetName val="현지법인_대손설정13"/>
      <sheetName val="원가계산_(2)14"/>
      <sheetName val="현금_및_예치금Lead13"/>
      <sheetName val="현금및예치금_명세서13"/>
      <sheetName val="유첨3_적용기준13"/>
      <sheetName val="업체손실공수_xls13"/>
      <sheetName val="108_수선비14"/>
      <sheetName val="General_Inputs13"/>
      <sheetName val="CGC_Inputs13"/>
      <sheetName val="Office_only_Letup13"/>
      <sheetName val="sap`04_7_1413"/>
      <sheetName val="13_보증금(전신전화가입권)13"/>
      <sheetName val="붙임2-1__지급조서명세서(2001년분)13"/>
      <sheetName val="중부사업담당_1-11월_원가15"/>
      <sheetName val="0_0ControlSheet13"/>
      <sheetName val="현금흐름표_근거자료13"/>
      <sheetName val="01_12月_Lot별_판매실적_xls13"/>
      <sheetName val="Industry_Indices13"/>
      <sheetName val="공항,제주_판매율_분석13"/>
      <sheetName val="값목록(Do_not_touch)12"/>
      <sheetName val="Item_LIST12"/>
      <sheetName val="Volume_LIST12"/>
      <sheetName val="99_7월_당월회수_실적12"/>
      <sheetName val="US_Revenue_(2)13"/>
      <sheetName val="LEAD_SHEET_(K상각후회수율)12"/>
      <sheetName val="2_지분법적용주식Leadsheet(회사제시)12"/>
      <sheetName val="년간_자금계획(90일_적용)12"/>
      <sheetName val="서비스별_매출추이12"/>
      <sheetName val="참고__카본단가_비교12"/>
      <sheetName val="수입검사현황_Rev112"/>
      <sheetName val="7_3_DY팀12"/>
      <sheetName val="감사보고서_(날인X)_KEIT12"/>
      <sheetName val="감사보고서_(날인X)_KIAT12"/>
      <sheetName val="감사보고서_(날인X)_KETEP12"/>
      <sheetName val="재원별지출내역_(2)12"/>
      <sheetName val="연구시설·장비_및_재료비12"/>
      <sheetName val="세목별_사용내역조회12"/>
      <sheetName val="인건비_소요_명세12"/>
      <sheetName val="Sheet1_(2)12"/>
      <sheetName val="DATA_입력란12"/>
      <sheetName val="1__설계조건_2_단면가정_3__하중계산12"/>
      <sheetName val="7__2_12"/>
      <sheetName val="Bank_charge12"/>
      <sheetName val="AQL(0_65)12"/>
      <sheetName val="U3_112"/>
      <sheetName val="GEN_Inputs12"/>
      <sheetName val="表03_12"/>
      <sheetName val="DIVP_L_199812"/>
      <sheetName val="제품L_D_12"/>
      <sheetName val="TO_DO12"/>
      <sheetName val="CC_Down_load_071612"/>
      <sheetName val="CF_RE_type12"/>
      <sheetName val="Ref_Filed12"/>
      <sheetName val="220_(2)12"/>
      <sheetName val="3_일반사상12"/>
      <sheetName val="S1_1총괄12"/>
      <sheetName val="1_능률현황12"/>
      <sheetName val="2_호선별예상실적12"/>
      <sheetName val="7_(2)9"/>
      <sheetName val="2181_91(Ex-pat)9"/>
      <sheetName val="2150_2(Equip-oth)9"/>
      <sheetName val="5_공종별예산내역서9"/>
      <sheetName val="SH_R설치9"/>
      <sheetName val="Business_Plan9"/>
      <sheetName val="Korea_Sign-Internal9"/>
      <sheetName val="FY00_OP3rdPrty9"/>
      <sheetName val="Q3_actuals9"/>
      <sheetName val="0307_Q3Update9"/>
      <sheetName val="3_부점발견재산9"/>
      <sheetName val="6_공사부점손익9"/>
      <sheetName val="5_공사손익실적9"/>
      <sheetName val="Cons_Total_company9"/>
      <sheetName val="FL'G_WT_9"/>
      <sheetName val="수금_9"/>
      <sheetName val="score_sheet18"/>
      <sheetName val="공제사업score_sheet18"/>
      <sheetName val="법인세비용_계산18"/>
      <sheetName val="정관_및_회계규정18"/>
      <sheetName val="주요ISSUE_사항18"/>
      <sheetName val="2006_과표및세액조정계산서18"/>
      <sheetName val="완성차_미수금18"/>
      <sheetName val="10_3118"/>
      <sheetName val="정비활동_수선비_절감17"/>
      <sheetName val="3_5_Inch_가동_효율17"/>
      <sheetName val="2_5_Inch_가동_효율17"/>
      <sheetName val="외상매출금현황-수정분_A218"/>
      <sheetName val="계수원본(99_2_28)18"/>
      <sheetName val="YTD_Sales(0411)18"/>
      <sheetName val="매출_물동명세18"/>
      <sheetName val="Net_PL(세분류)17"/>
      <sheetName val="Cash_Flow17"/>
      <sheetName val="3_판관비명세서17"/>
      <sheetName val="1월실적_(2)17"/>
      <sheetName val="장할생활_(2)17"/>
      <sheetName val="아파트_기성내역서17"/>
      <sheetName val="증감분석_및_연결조정17"/>
      <sheetName val="2_대외공문17"/>
      <sheetName val="업무분장_17"/>
      <sheetName val="매출채권_및_담보비율_변동17"/>
      <sheetName val="1공장_재공품생산현황17"/>
      <sheetName val="11_17-11_2317"/>
      <sheetName val="11_24-11_3017"/>
      <sheetName val="2_상각보정명세17"/>
      <sheetName val="받을어음할인및_융통어음17"/>
      <sheetName val="비교원가제출_고17"/>
      <sheetName val="의뢰건_(2)16"/>
      <sheetName val="5_소재16"/>
      <sheetName val="Dólar_Observado16"/>
      <sheetName val="대차대조표12_0116"/>
      <sheetName val="4-1__매출원가_손익계획_집계표16"/>
      <sheetName val="퇴직급여충당금12_3117"/>
      <sheetName val="4_2유효폭의_계산16"/>
      <sheetName val="1_MDF1공장16"/>
      <sheetName val="CT_재공품생산현황16"/>
      <sheetName val="화섬_MDP17"/>
      <sheetName val="25_보증금(임차보증금외)16"/>
      <sheetName val="24_보증금(전신전화가입권)16"/>
      <sheetName val="비용_배부후16"/>
      <sheetName val="입력_판매16"/>
      <sheetName val="입력_인원16"/>
      <sheetName val="2_Critical_Component_Estimati16"/>
      <sheetName val="Reference_(변경)16"/>
      <sheetName val="경영계획_수립_참고자료_▶▶▶16"/>
      <sheetName val="사업부서_작성자료_▶▶▶16"/>
      <sheetName val="15년_손익_(GS신규Vision)_요약-연간비교장16"/>
      <sheetName val="15년_손익_(GS신규Vision)_요약-(간접비_포16"/>
      <sheetName val="15년_손익-GS신규Vision16"/>
      <sheetName val="매출_계획16"/>
      <sheetName val="매출계획_산출근거16"/>
      <sheetName val="재료비(율)_계획16"/>
      <sheetName val="재료비(율)_산출근거16"/>
      <sheetName val="인원인건비&amp;간접비_계획16"/>
      <sheetName val="감가상각비_계산16"/>
      <sheetName val="간접비_계획16"/>
      <sheetName val="Reference_(기존)16"/>
      <sheetName val="2014년_손익16"/>
      <sheetName val="15년_손익_(GDR_Rental사업)_요약-연간비교16"/>
      <sheetName val="15년_손익_(GDR_Rent사업)_요약-(간접비_포16"/>
      <sheetName val="15년_손익-GDR_Rental사업16"/>
      <sheetName val="매출&amp;재료비&amp;비용&amp;투자_산출근거16"/>
      <sheetName val="아울렛_농산벤더16"/>
      <sheetName val="00_08계정16"/>
      <sheetName val="경영비율_16"/>
      <sheetName val="#2_BSPL16"/>
      <sheetName val="퇴직충당금(3_31)(국문)16"/>
      <sheetName val="매출액(명)_16"/>
      <sheetName val="118_세금과공과16"/>
      <sheetName val="control_sheet16"/>
      <sheetName val="VB_16"/>
      <sheetName val="중장기_외화자금_보정명세(PBC)16"/>
      <sheetName val="POS_(2)16"/>
      <sheetName val="05_1Q16"/>
      <sheetName val="산업은행_경영지표16"/>
      <sheetName val="unit_416"/>
      <sheetName val="내역서_(2)16"/>
      <sheetName val="INCOME_STATEMENT16"/>
      <sheetName val="관계회사거래내역및_채권채무잔액_9914"/>
      <sheetName val="Team_종합14"/>
      <sheetName val="에뛰드_내부관리가14"/>
      <sheetName val="Packaging_cost_Back_Data14"/>
      <sheetName val="현지법인_대손설정14"/>
      <sheetName val="원가계산_(2)15"/>
      <sheetName val="현금_및_예치금Lead14"/>
      <sheetName val="현금및예치금_명세서14"/>
      <sheetName val="유첨3_적용기준14"/>
      <sheetName val="업체손실공수_xls14"/>
      <sheetName val="108_수선비15"/>
      <sheetName val="General_Inputs14"/>
      <sheetName val="CGC_Inputs14"/>
      <sheetName val="Office_only_Letup14"/>
      <sheetName val="sap`04_7_1414"/>
      <sheetName val="13_보증금(전신전화가입권)14"/>
      <sheetName val="붙임2-1__지급조서명세서(2001년분)14"/>
      <sheetName val="중부사업담당_1-11월_원가16"/>
      <sheetName val="0_0ControlSheet14"/>
      <sheetName val="현금흐름표_근거자료14"/>
      <sheetName val="01_12月_Lot별_판매실적_xls14"/>
      <sheetName val="Industry_Indices14"/>
      <sheetName val="공항,제주_판매율_분석14"/>
      <sheetName val="값목록(Do_not_touch)13"/>
      <sheetName val="Item_LIST13"/>
      <sheetName val="Volume_LIST13"/>
      <sheetName val="99_7월_당월회수_실적13"/>
      <sheetName val="US_Revenue_(2)14"/>
      <sheetName val="LEAD_SHEET_(K상각후회수율)13"/>
      <sheetName val="2_지분법적용주식Leadsheet(회사제시)13"/>
      <sheetName val="년간_자금계획(90일_적용)13"/>
      <sheetName val="서비스별_매출추이13"/>
      <sheetName val="참고__카본단가_비교13"/>
      <sheetName val="수입검사현황_Rev113"/>
      <sheetName val="7_3_DY팀13"/>
      <sheetName val="감사보고서_(날인X)_KEIT13"/>
      <sheetName val="감사보고서_(날인X)_KIAT13"/>
      <sheetName val="감사보고서_(날인X)_KETEP13"/>
      <sheetName val="재원별지출내역_(2)13"/>
      <sheetName val="연구시설·장비_및_재료비13"/>
      <sheetName val="세목별_사용내역조회13"/>
      <sheetName val="인건비_소요_명세13"/>
      <sheetName val="Sheet1_(2)13"/>
      <sheetName val="DATA_입력란13"/>
      <sheetName val="1__설계조건_2_단면가정_3__하중계산13"/>
      <sheetName val="7__2_13"/>
      <sheetName val="Bank_charge13"/>
      <sheetName val="AQL(0_65)13"/>
      <sheetName val="U3_113"/>
      <sheetName val="GEN_Inputs13"/>
      <sheetName val="表03_13"/>
      <sheetName val="DIVP_L_199813"/>
      <sheetName val="제품L_D_13"/>
      <sheetName val="TO_DO13"/>
      <sheetName val="CC_Down_load_071613"/>
      <sheetName val="CF_RE_type13"/>
      <sheetName val="Ref_Filed13"/>
      <sheetName val="220_(2)13"/>
      <sheetName val="3_일반사상13"/>
      <sheetName val="S1_1총괄13"/>
      <sheetName val="1_능률현황13"/>
      <sheetName val="2_호선별예상실적13"/>
      <sheetName val="7_(2)10"/>
      <sheetName val="2181_91(Ex-pat)10"/>
      <sheetName val="2150_2(Equip-oth)10"/>
      <sheetName val="5_공종별예산내역서10"/>
      <sheetName val="SH_R설치10"/>
      <sheetName val="Business_Plan10"/>
      <sheetName val="Korea_Sign-Internal10"/>
      <sheetName val="FY00_OP3rdPrty10"/>
      <sheetName val="Q3_actuals10"/>
      <sheetName val="0307_Q3Update10"/>
      <sheetName val="3_부점발견재산10"/>
      <sheetName val="6_공사부점손익10"/>
      <sheetName val="5_공사손익실적10"/>
      <sheetName val="Cons_Total_company10"/>
      <sheetName val="FL'G_WT_10"/>
      <sheetName val="수금_10"/>
      <sheetName val="score_sheet19"/>
      <sheetName val="공제사업score_sheet19"/>
      <sheetName val="법인세비용_계산19"/>
      <sheetName val="정관_및_회계규정19"/>
      <sheetName val="주요ISSUE_사항19"/>
      <sheetName val="2006_과표및세액조정계산서19"/>
      <sheetName val="완성차_미수금19"/>
      <sheetName val="10_3119"/>
      <sheetName val="정비활동_수선비_절감18"/>
      <sheetName val="3_5_Inch_가동_효율18"/>
      <sheetName val="2_5_Inch_가동_효율18"/>
      <sheetName val="외상매출금현황-수정분_A219"/>
      <sheetName val="계수원본(99_2_28)19"/>
      <sheetName val="YTD_Sales(0411)19"/>
      <sheetName val="매출_물동명세19"/>
      <sheetName val="Net_PL(세분류)18"/>
      <sheetName val="Cash_Flow18"/>
      <sheetName val="3_판관비명세서18"/>
      <sheetName val="1월실적_(2)18"/>
      <sheetName val="장할생활_(2)18"/>
      <sheetName val="아파트_기성내역서18"/>
      <sheetName val="증감분석_및_연결조정18"/>
      <sheetName val="2_대외공문18"/>
      <sheetName val="업무분장_18"/>
      <sheetName val="매출채권_및_담보비율_변동18"/>
      <sheetName val="1공장_재공품생산현황18"/>
      <sheetName val="11_17-11_2318"/>
      <sheetName val="11_24-11_3018"/>
      <sheetName val="2_상각보정명세18"/>
      <sheetName val="받을어음할인및_융통어음18"/>
      <sheetName val="비교원가제출_고18"/>
      <sheetName val="의뢰건_(2)17"/>
      <sheetName val="5_소재17"/>
      <sheetName val="Dólar_Observado17"/>
      <sheetName val="대차대조표12_0117"/>
      <sheetName val="4-1__매출원가_손익계획_집계표17"/>
      <sheetName val="퇴직급여충당금12_3118"/>
      <sheetName val="4_2유효폭의_계산17"/>
      <sheetName val="1_MDF1공장17"/>
      <sheetName val="CT_재공품생산현황17"/>
      <sheetName val="화섬_MDP18"/>
      <sheetName val="25_보증금(임차보증금외)17"/>
      <sheetName val="24_보증금(전신전화가입권)17"/>
      <sheetName val="비용_배부후17"/>
      <sheetName val="입력_판매17"/>
      <sheetName val="입력_인원17"/>
      <sheetName val="2_Critical_Component_Estimati17"/>
      <sheetName val="Reference_(변경)17"/>
      <sheetName val="경영계획_수립_참고자료_▶▶▶17"/>
      <sheetName val="사업부서_작성자료_▶▶▶17"/>
      <sheetName val="15년_손익_(GS신규Vision)_요약-연간비교장17"/>
      <sheetName val="15년_손익_(GS신규Vision)_요약-(간접비_포17"/>
      <sheetName val="15년_손익-GS신규Vision17"/>
      <sheetName val="매출_계획17"/>
      <sheetName val="매출계획_산출근거17"/>
      <sheetName val="재료비(율)_계획17"/>
      <sheetName val="재료비(율)_산출근거17"/>
      <sheetName val="인원인건비&amp;간접비_계획17"/>
      <sheetName val="감가상각비_계산17"/>
      <sheetName val="간접비_계획17"/>
      <sheetName val="Reference_(기존)17"/>
      <sheetName val="2014년_손익17"/>
      <sheetName val="15년_손익_(GDR_Rental사업)_요약-연간비교17"/>
      <sheetName val="15년_손익_(GDR_Rent사업)_요약-(간접비_포17"/>
      <sheetName val="15년_손익-GDR_Rental사업17"/>
      <sheetName val="매출&amp;재료비&amp;비용&amp;투자_산출근거17"/>
      <sheetName val="아울렛_농산벤더17"/>
      <sheetName val="00_08계정17"/>
      <sheetName val="경영비율_17"/>
      <sheetName val="#2_BSPL17"/>
      <sheetName val="퇴직충당금(3_31)(국문)17"/>
      <sheetName val="매출액(명)_17"/>
      <sheetName val="118_세금과공과17"/>
      <sheetName val="control_sheet17"/>
      <sheetName val="VB_17"/>
      <sheetName val="중장기_외화자금_보정명세(PBC)17"/>
      <sheetName val="POS_(2)17"/>
      <sheetName val="05_1Q17"/>
      <sheetName val="산업은행_경영지표17"/>
      <sheetName val="unit_417"/>
      <sheetName val="내역서_(2)17"/>
      <sheetName val="INCOME_STATEMENT17"/>
      <sheetName val="관계회사거래내역및_채권채무잔액_9915"/>
      <sheetName val="Team_종합15"/>
      <sheetName val="에뛰드_내부관리가15"/>
      <sheetName val="Packaging_cost_Back_Data15"/>
      <sheetName val="현지법인_대손설정15"/>
      <sheetName val="원가계산_(2)16"/>
      <sheetName val="현금_및_예치금Lead15"/>
      <sheetName val="현금및예치금_명세서15"/>
      <sheetName val="유첨3_적용기준15"/>
      <sheetName val="업체손실공수_xls15"/>
      <sheetName val="108_수선비16"/>
      <sheetName val="General_Inputs15"/>
      <sheetName val="CGC_Inputs15"/>
      <sheetName val="Office_only_Letup15"/>
      <sheetName val="sap`04_7_1415"/>
      <sheetName val="13_보증금(전신전화가입권)15"/>
      <sheetName val="붙임2-1__지급조서명세서(2001년분)15"/>
      <sheetName val="중부사업담당_1-11월_원가17"/>
      <sheetName val="0_0ControlSheet15"/>
      <sheetName val="현금흐름표_근거자료15"/>
      <sheetName val="01_12月_Lot별_판매실적_xls15"/>
      <sheetName val="Industry_Indices15"/>
      <sheetName val="공항,제주_판매율_분석15"/>
      <sheetName val="값목록(Do_not_touch)14"/>
      <sheetName val="Item_LIST14"/>
      <sheetName val="Volume_LIST14"/>
      <sheetName val="99_7월_당월회수_실적14"/>
      <sheetName val="US_Revenue_(2)15"/>
      <sheetName val="LEAD_SHEET_(K상각후회수율)14"/>
      <sheetName val="2_지분법적용주식Leadsheet(회사제시)14"/>
      <sheetName val="년간_자금계획(90일_적용)14"/>
      <sheetName val="서비스별_매출추이14"/>
      <sheetName val="참고__카본단가_비교14"/>
      <sheetName val="수입검사현황_Rev114"/>
      <sheetName val="7_3_DY팀14"/>
      <sheetName val="감사보고서_(날인X)_KEIT14"/>
      <sheetName val="감사보고서_(날인X)_KIAT14"/>
      <sheetName val="감사보고서_(날인X)_KETEP14"/>
      <sheetName val="재원별지출내역_(2)14"/>
      <sheetName val="연구시설·장비_및_재료비14"/>
      <sheetName val="세목별_사용내역조회14"/>
      <sheetName val="인건비_소요_명세14"/>
      <sheetName val="Sheet1_(2)14"/>
      <sheetName val="DATA_입력란14"/>
      <sheetName val="1__설계조건_2_단면가정_3__하중계산14"/>
      <sheetName val="7__2_14"/>
      <sheetName val="Bank_charge14"/>
      <sheetName val="AQL(0_65)14"/>
      <sheetName val="U3_114"/>
      <sheetName val="GEN_Inputs14"/>
      <sheetName val="表03_14"/>
      <sheetName val="DIVP_L_199814"/>
      <sheetName val="제품L_D_14"/>
      <sheetName val="TO_DO14"/>
      <sheetName val="CC_Down_load_071614"/>
      <sheetName val="CF_RE_type14"/>
      <sheetName val="Ref_Filed14"/>
      <sheetName val="220_(2)14"/>
      <sheetName val="3_일반사상14"/>
      <sheetName val="S1_1총괄14"/>
      <sheetName val="1_능률현황14"/>
      <sheetName val="2_호선별예상실적14"/>
      <sheetName val="7_(2)11"/>
      <sheetName val="2181_91(Ex-pat)11"/>
      <sheetName val="2150_2(Equip-oth)11"/>
      <sheetName val="5_공종별예산내역서11"/>
      <sheetName val="SH_R설치11"/>
      <sheetName val="Business_Plan11"/>
      <sheetName val="Korea_Sign-Internal11"/>
      <sheetName val="FY00_OP3rdPrty11"/>
      <sheetName val="Q3_actuals11"/>
      <sheetName val="0307_Q3Update11"/>
      <sheetName val="3_부점발견재산11"/>
      <sheetName val="6_공사부점손익11"/>
      <sheetName val="5_공사손익실적11"/>
      <sheetName val="Cons_Total_company11"/>
      <sheetName val="FL'G_WT_11"/>
      <sheetName val="수금_11"/>
      <sheetName val="score_sheet20"/>
      <sheetName val="공제사업score_sheet20"/>
      <sheetName val="법인세비용_계산20"/>
      <sheetName val="정관_및_회계규정20"/>
      <sheetName val="주요ISSUE_사항20"/>
      <sheetName val="2006_과표및세액조정계산서20"/>
      <sheetName val="완성차_미수금20"/>
      <sheetName val="10_3120"/>
      <sheetName val="정비활동_수선비_절감19"/>
      <sheetName val="3_5_Inch_가동_효율19"/>
      <sheetName val="2_5_Inch_가동_효율19"/>
      <sheetName val="외상매출금현황-수정분_A220"/>
      <sheetName val="계수원본(99_2_28)20"/>
      <sheetName val="YTD_Sales(0411)20"/>
      <sheetName val="매출_물동명세20"/>
      <sheetName val="Net_PL(세분류)19"/>
      <sheetName val="Cash_Flow19"/>
      <sheetName val="3_판관비명세서19"/>
      <sheetName val="1월실적_(2)19"/>
      <sheetName val="장할생활_(2)19"/>
      <sheetName val="아파트_기성내역서19"/>
      <sheetName val="증감분석_및_연결조정19"/>
      <sheetName val="2_대외공문19"/>
      <sheetName val="업무분장_19"/>
      <sheetName val="매출채권_및_담보비율_변동19"/>
      <sheetName val="1공장_재공품생산현황19"/>
      <sheetName val="11_17-11_2319"/>
      <sheetName val="11_24-11_3019"/>
      <sheetName val="2_상각보정명세19"/>
      <sheetName val="받을어음할인및_융통어음19"/>
      <sheetName val="비교원가제출_고19"/>
      <sheetName val="의뢰건_(2)18"/>
      <sheetName val="5_소재18"/>
      <sheetName val="Dólar_Observado18"/>
      <sheetName val="대차대조표12_0118"/>
      <sheetName val="4-1__매출원가_손익계획_집계표18"/>
      <sheetName val="퇴직급여충당금12_3119"/>
      <sheetName val="4_2유효폭의_계산18"/>
      <sheetName val="1_MDF1공장18"/>
      <sheetName val="CT_재공품생산현황18"/>
      <sheetName val="화섬_MDP19"/>
      <sheetName val="25_보증금(임차보증금외)18"/>
      <sheetName val="24_보증금(전신전화가입권)18"/>
      <sheetName val="비용_배부후18"/>
      <sheetName val="입력_판매18"/>
      <sheetName val="입력_인원18"/>
      <sheetName val="2_Critical_Component_Estimati18"/>
      <sheetName val="Reference_(변경)18"/>
      <sheetName val="경영계획_수립_참고자료_▶▶▶18"/>
      <sheetName val="사업부서_작성자료_▶▶▶18"/>
      <sheetName val="15년_손익_(GS신규Vision)_요약-연간비교장18"/>
      <sheetName val="15년_손익_(GS신규Vision)_요약-(간접비_포18"/>
      <sheetName val="15년_손익-GS신규Vision18"/>
      <sheetName val="매출_계획18"/>
      <sheetName val="매출계획_산출근거18"/>
      <sheetName val="재료비(율)_계획18"/>
      <sheetName val="재료비(율)_산출근거18"/>
      <sheetName val="인원인건비&amp;간접비_계획18"/>
      <sheetName val="감가상각비_계산18"/>
      <sheetName val="간접비_계획18"/>
      <sheetName val="Reference_(기존)18"/>
      <sheetName val="2014년_손익18"/>
      <sheetName val="15년_손익_(GDR_Rental사업)_요약-연간비교18"/>
      <sheetName val="15년_손익_(GDR_Rent사업)_요약-(간접비_포18"/>
      <sheetName val="15년_손익-GDR_Rental사업18"/>
      <sheetName val="매출&amp;재료비&amp;비용&amp;투자_산출근거18"/>
      <sheetName val="아울렛_농산벤더18"/>
      <sheetName val="00_08계정18"/>
      <sheetName val="경영비율_18"/>
      <sheetName val="#2_BSPL18"/>
      <sheetName val="퇴직충당금(3_31)(국문)18"/>
      <sheetName val="매출액(명)_18"/>
      <sheetName val="118_세금과공과18"/>
      <sheetName val="control_sheet18"/>
      <sheetName val="VB_18"/>
      <sheetName val="중장기_외화자금_보정명세(PBC)18"/>
      <sheetName val="POS_(2)18"/>
      <sheetName val="05_1Q18"/>
      <sheetName val="산업은행_경영지표18"/>
      <sheetName val="unit_418"/>
      <sheetName val="내역서_(2)18"/>
      <sheetName val="INCOME_STATEMENT18"/>
      <sheetName val="관계회사거래내역및_채권채무잔액_9916"/>
      <sheetName val="Team_종합16"/>
      <sheetName val="에뛰드_내부관리가16"/>
      <sheetName val="Packaging_cost_Back_Data16"/>
      <sheetName val="현지법인_대손설정16"/>
      <sheetName val="원가계산_(2)17"/>
      <sheetName val="현금_및_예치금Lead16"/>
      <sheetName val="현금및예치금_명세서16"/>
      <sheetName val="유첨3_적용기준16"/>
      <sheetName val="업체손실공수_xls16"/>
      <sheetName val="108_수선비17"/>
      <sheetName val="General_Inputs16"/>
      <sheetName val="CGC_Inputs16"/>
      <sheetName val="Office_only_Letup16"/>
      <sheetName val="sap`04_7_1416"/>
      <sheetName val="13_보증금(전신전화가입권)16"/>
      <sheetName val="붙임2-1__지급조서명세서(2001년분)16"/>
      <sheetName val="중부사업담당_1-11월_원가18"/>
      <sheetName val="0_0ControlSheet16"/>
      <sheetName val="현금흐름표_근거자료16"/>
      <sheetName val="01_12月_Lot별_판매실적_xls16"/>
      <sheetName val="Industry_Indices16"/>
      <sheetName val="공항,제주_판매율_분석16"/>
      <sheetName val="값목록(Do_not_touch)15"/>
      <sheetName val="Item_LIST15"/>
      <sheetName val="Volume_LIST15"/>
      <sheetName val="99_7월_당월회수_실적15"/>
      <sheetName val="US_Revenue_(2)16"/>
      <sheetName val="LEAD_SHEET_(K상각후회수율)15"/>
      <sheetName val="2_지분법적용주식Leadsheet(회사제시)15"/>
      <sheetName val="년간_자금계획(90일_적용)15"/>
      <sheetName val="서비스별_매출추이15"/>
      <sheetName val="참고__카본단가_비교15"/>
      <sheetName val="수입검사현황_Rev115"/>
      <sheetName val="7_3_DY팀15"/>
      <sheetName val="감사보고서_(날인X)_KEIT15"/>
      <sheetName val="감사보고서_(날인X)_KIAT15"/>
      <sheetName val="감사보고서_(날인X)_KETEP15"/>
      <sheetName val="재원별지출내역_(2)15"/>
      <sheetName val="연구시설·장비_및_재료비15"/>
      <sheetName val="세목별_사용내역조회15"/>
      <sheetName val="인건비_소요_명세15"/>
      <sheetName val="Sheet1_(2)15"/>
      <sheetName val="DATA_입력란15"/>
      <sheetName val="1__설계조건_2_단면가정_3__하중계산15"/>
      <sheetName val="7__2_15"/>
      <sheetName val="Bank_charge15"/>
      <sheetName val="AQL(0_65)15"/>
      <sheetName val="U3_115"/>
      <sheetName val="GEN_Inputs15"/>
      <sheetName val="表03_15"/>
      <sheetName val="DIVP_L_199815"/>
      <sheetName val="제품L_D_15"/>
      <sheetName val="TO_DO15"/>
      <sheetName val="CC_Down_load_071615"/>
      <sheetName val="CF_RE_type15"/>
      <sheetName val="Ref_Filed15"/>
      <sheetName val="220_(2)15"/>
      <sheetName val="3_일반사상15"/>
      <sheetName val="S1_1총괄15"/>
      <sheetName val="1_능률현황15"/>
      <sheetName val="2_호선별예상실적15"/>
      <sheetName val="7_(2)12"/>
      <sheetName val="2181_91(Ex-pat)12"/>
      <sheetName val="2150_2(Equip-oth)12"/>
      <sheetName val="5_공종별예산내역서12"/>
      <sheetName val="SH_R설치12"/>
      <sheetName val="Business_Plan12"/>
      <sheetName val="Korea_Sign-Internal12"/>
      <sheetName val="FY00_OP3rdPrty12"/>
      <sheetName val="Q3_actuals12"/>
      <sheetName val="0307_Q3Update12"/>
      <sheetName val="3_부점발견재산12"/>
      <sheetName val="6_공사부점손익12"/>
      <sheetName val="5_공사손익실적12"/>
      <sheetName val="Cons_Total_company12"/>
      <sheetName val="FL'G_WT_12"/>
      <sheetName val="수금_12"/>
      <sheetName val="score_sheet21"/>
      <sheetName val="공제사업score_sheet21"/>
      <sheetName val="법인세비용_계산21"/>
      <sheetName val="정관_및_회계규정21"/>
      <sheetName val="주요ISSUE_사항21"/>
      <sheetName val="2006_과표및세액조정계산서21"/>
      <sheetName val="완성차_미수금21"/>
      <sheetName val="10_3121"/>
      <sheetName val="정비활동_수선비_절감20"/>
      <sheetName val="3_5_Inch_가동_효율20"/>
      <sheetName val="2_5_Inch_가동_효율20"/>
      <sheetName val="외상매출금현황-수정분_A221"/>
      <sheetName val="계수원본(99_2_28)21"/>
      <sheetName val="YTD_Sales(0411)21"/>
      <sheetName val="매출_물동명세21"/>
      <sheetName val="Net_PL(세분류)20"/>
      <sheetName val="Cash_Flow20"/>
      <sheetName val="3_판관비명세서20"/>
      <sheetName val="1월실적_(2)20"/>
      <sheetName val="장할생활_(2)20"/>
      <sheetName val="아파트_기성내역서20"/>
      <sheetName val="증감분석_및_연결조정20"/>
      <sheetName val="2_대외공문20"/>
      <sheetName val="업무분장_20"/>
      <sheetName val="매출채권_및_담보비율_변동20"/>
      <sheetName val="1공장_재공품생산현황20"/>
      <sheetName val="11_17-11_2320"/>
      <sheetName val="11_24-11_3020"/>
      <sheetName val="2_상각보정명세20"/>
      <sheetName val="받을어음할인및_융통어음20"/>
      <sheetName val="비교원가제출_고20"/>
      <sheetName val="의뢰건_(2)19"/>
      <sheetName val="5_소재19"/>
      <sheetName val="Dólar_Observado19"/>
      <sheetName val="대차대조표12_0119"/>
      <sheetName val="4-1__매출원가_손익계획_집계표19"/>
      <sheetName val="퇴직급여충당금12_3120"/>
      <sheetName val="4_2유효폭의_계산19"/>
      <sheetName val="1_MDF1공장19"/>
      <sheetName val="CT_재공품생산현황19"/>
      <sheetName val="화섬_MDP20"/>
      <sheetName val="25_보증금(임차보증금외)19"/>
      <sheetName val="24_보증금(전신전화가입권)19"/>
      <sheetName val="비용_배부후19"/>
      <sheetName val="입력_판매19"/>
      <sheetName val="입력_인원19"/>
      <sheetName val="2_Critical_Component_Estimati19"/>
      <sheetName val="Reference_(변경)19"/>
      <sheetName val="경영계획_수립_참고자료_▶▶▶19"/>
      <sheetName val="사업부서_작성자료_▶▶▶19"/>
      <sheetName val="15년_손익_(GS신규Vision)_요약-연간비교장19"/>
      <sheetName val="15년_손익_(GS신규Vision)_요약-(간접비_포19"/>
      <sheetName val="15년_손익-GS신규Vision19"/>
      <sheetName val="매출_계획19"/>
      <sheetName val="매출계획_산출근거19"/>
      <sheetName val="재료비(율)_계획19"/>
      <sheetName val="재료비(율)_산출근거19"/>
      <sheetName val="인원인건비&amp;간접비_계획19"/>
      <sheetName val="감가상각비_계산19"/>
      <sheetName val="간접비_계획19"/>
      <sheetName val="Reference_(기존)19"/>
      <sheetName val="2014년_손익19"/>
      <sheetName val="15년_손익_(GDR_Rental사업)_요약-연간비교19"/>
      <sheetName val="15년_손익_(GDR_Rent사업)_요약-(간접비_포19"/>
      <sheetName val="15년_손익-GDR_Rental사업19"/>
      <sheetName val="매출&amp;재료비&amp;비용&amp;투자_산출근거19"/>
      <sheetName val="아울렛_농산벤더19"/>
      <sheetName val="00_08계정19"/>
      <sheetName val="경영비율_19"/>
      <sheetName val="#2_BSPL19"/>
      <sheetName val="퇴직충당금(3_31)(국문)19"/>
      <sheetName val="매출액(명)_19"/>
      <sheetName val="118_세금과공과19"/>
      <sheetName val="control_sheet19"/>
      <sheetName val="VB_19"/>
      <sheetName val="중장기_외화자금_보정명세(PBC)19"/>
      <sheetName val="POS_(2)19"/>
      <sheetName val="05_1Q19"/>
      <sheetName val="산업은행_경영지표19"/>
      <sheetName val="unit_419"/>
      <sheetName val="내역서_(2)19"/>
      <sheetName val="INCOME_STATEMENT19"/>
      <sheetName val="관계회사거래내역및_채권채무잔액_9917"/>
      <sheetName val="Team_종합17"/>
      <sheetName val="에뛰드_내부관리가17"/>
      <sheetName val="Packaging_cost_Back_Data17"/>
      <sheetName val="현지법인_대손설정17"/>
      <sheetName val="원가계산_(2)18"/>
      <sheetName val="현금_및_예치금Lead17"/>
      <sheetName val="현금및예치금_명세서17"/>
      <sheetName val="유첨3_적용기준17"/>
      <sheetName val="업체손실공수_xls17"/>
      <sheetName val="108_수선비18"/>
      <sheetName val="General_Inputs17"/>
      <sheetName val="CGC_Inputs17"/>
      <sheetName val="Office_only_Letup17"/>
      <sheetName val="sap`04_7_1417"/>
      <sheetName val="13_보증금(전신전화가입권)17"/>
      <sheetName val="붙임2-1__지급조서명세서(2001년분)17"/>
      <sheetName val="중부사업담당_1-11월_원가19"/>
      <sheetName val="0_0ControlSheet17"/>
      <sheetName val="현금흐름표_근거자료17"/>
      <sheetName val="01_12月_Lot별_판매실적_xls17"/>
      <sheetName val="Industry_Indices17"/>
      <sheetName val="공항,제주_판매율_분석17"/>
      <sheetName val="값목록(Do_not_touch)16"/>
      <sheetName val="Item_LIST16"/>
      <sheetName val="Volume_LIST16"/>
      <sheetName val="99_7월_당월회수_실적16"/>
      <sheetName val="US_Revenue_(2)17"/>
      <sheetName val="LEAD_SHEET_(K상각후회수율)16"/>
      <sheetName val="2_지분법적용주식Leadsheet(회사제시)16"/>
      <sheetName val="년간_자금계획(90일_적용)16"/>
      <sheetName val="서비스별_매출추이16"/>
      <sheetName val="참고__카본단가_비교16"/>
      <sheetName val="수입검사현황_Rev116"/>
      <sheetName val="7_3_DY팀16"/>
      <sheetName val="감사보고서_(날인X)_KEIT16"/>
      <sheetName val="감사보고서_(날인X)_KIAT16"/>
      <sheetName val="감사보고서_(날인X)_KETEP16"/>
      <sheetName val="재원별지출내역_(2)16"/>
      <sheetName val="연구시설·장비_및_재료비16"/>
      <sheetName val="세목별_사용내역조회16"/>
      <sheetName val="인건비_소요_명세16"/>
      <sheetName val="Sheet1_(2)16"/>
      <sheetName val="DATA_입력란16"/>
      <sheetName val="1__설계조건_2_단면가정_3__하중계산16"/>
      <sheetName val="7__2_16"/>
      <sheetName val="Bank_charge16"/>
      <sheetName val="AQL(0_65)16"/>
      <sheetName val="U3_116"/>
      <sheetName val="GEN_Inputs16"/>
      <sheetName val="表03_16"/>
      <sheetName val="DIVP_L_199816"/>
      <sheetName val="제품L_D_16"/>
      <sheetName val="TO_DO16"/>
      <sheetName val="CC_Down_load_071616"/>
      <sheetName val="CF_RE_type16"/>
      <sheetName val="Ref_Filed16"/>
      <sheetName val="220_(2)16"/>
      <sheetName val="3_일반사상16"/>
      <sheetName val="S1_1총괄16"/>
      <sheetName val="1_능률현황16"/>
      <sheetName val="2_호선별예상실적16"/>
      <sheetName val="7_(2)13"/>
      <sheetName val="2181_91(Ex-pat)13"/>
      <sheetName val="2150_2(Equip-oth)13"/>
      <sheetName val="5_공종별예산내역서13"/>
      <sheetName val="SH_R설치13"/>
      <sheetName val="Business_Plan13"/>
      <sheetName val="Korea_Sign-Internal13"/>
      <sheetName val="FY00_OP3rdPrty13"/>
      <sheetName val="Q3_actuals13"/>
      <sheetName val="0307_Q3Update13"/>
      <sheetName val="3_부점발견재산13"/>
      <sheetName val="6_공사부점손익13"/>
      <sheetName val="5_공사손익실적13"/>
      <sheetName val="Cons_Total_company13"/>
      <sheetName val="FL'G_WT_13"/>
      <sheetName val="수금_13"/>
      <sheetName val="유가증권"/>
      <sheetName val="9709관리노무비"/>
      <sheetName val="9710기능가대장"/>
      <sheetName val="관리직 (2)"/>
      <sheetName val="배부후(1차)"/>
      <sheetName val="재료비집계표"/>
      <sheetName val="관리직"/>
      <sheetName val="COMP매출(원가)"/>
      <sheetName val="Checking"/>
      <sheetName val="조직별 인원현황"/>
      <sheetName val="금액내역서"/>
      <sheetName val="DropDownList"/>
      <sheetName val="(주)한국메티슨특수가스"/>
      <sheetName val="Dropdown"/>
      <sheetName val="기초정보"/>
      <sheetName val="절대지우지말것"/>
      <sheetName val="F456"/>
      <sheetName val="처분TEST"/>
      <sheetName val="Reconciliation"/>
      <sheetName val="LC Supports"/>
      <sheetName val="Form 18-12"/>
      <sheetName val="Cash_xdfcc_­藘☯̀"/>
      <sheetName val="Cash_xdf98_1嘈Ɐ跀"/>
      <sheetName val="Cash糑s둘⑥뛀"/>
      <sheetName val="단기차입금"/>
      <sheetName val="(주)LG화학_99교보회신"/>
      <sheetName val="성과급"/>
      <sheetName val="별표 "/>
      <sheetName val="Dev Request"/>
      <sheetName val="HK share calculation"/>
      <sheetName val="WInter Alpine TBD"/>
      <sheetName val="EBP price calc"/>
      <sheetName val="HK LCV share R16"/>
      <sheetName val="Prices"/>
      <sheetName val="Sweeden registration CAR"/>
      <sheetName val="RUS LCV registration"/>
      <sheetName val="Scandinavia market (POOL)"/>
      <sheetName val="Baltic market (POOL)"/>
      <sheetName val="Russia (POOL_CIS)"/>
      <sheetName val="Dev_Request"/>
      <sheetName val="HK_share_calculation"/>
      <sheetName val="WInter_Alpine_TBD"/>
      <sheetName val="EBP_price_calc"/>
      <sheetName val="HK_LCV_share_R16"/>
      <sheetName val="Sweeden_registration_CAR"/>
      <sheetName val="RUS_LCV_registration"/>
      <sheetName val="Scandinavia_market_(POOL)"/>
      <sheetName val="Baltic_market_(POOL)"/>
      <sheetName val="Russia_(POOL_CIS)"/>
      <sheetName val="VPC"/>
      <sheetName val="시산9812"/>
      <sheetName val="카테고리별 상세"/>
      <sheetName val="1월 1주차 PV"/>
      <sheetName val="Raw"/>
      <sheetName val="병"/>
      <sheetName val="분석적검토 BS"/>
      <sheetName val="피벗테이블"/>
      <sheetName val="이천유선"/>
      <sheetName val="안성유선"/>
      <sheetName val="96 FW 기획, 진행 현황"/>
      <sheetName val="영업2"/>
      <sheetName val="группа"/>
      <sheetName val="4-货币资金-现金"/>
      <sheetName val="기성및원가"/>
      <sheetName val="03A104KQ"/>
      <sheetName val="拉伸强度"/>
      <sheetName val="수원 RAW BT03(M292C)"/>
      <sheetName val="온도cycle"/>
      <sheetName val="8100"/>
      <sheetName val="숨기기"/>
      <sheetName val="수원_RAW_BT03(M292C)"/>
      <sheetName val="Publishing Plan(Edit)"/>
      <sheetName val="안산기계장치"/>
      <sheetName val="통계자료"/>
      <sheetName val="재무가정"/>
      <sheetName val="Cashflow(Scenario)"/>
      <sheetName val="매출이익011h"/>
      <sheetName val="인상효1"/>
      <sheetName val="Revenues"/>
      <sheetName val="영업외손"/>
      <sheetName val="일반관리"/>
      <sheetName val="특별손익"/>
      <sheetName val="기준원단위"/>
      <sheetName val="기본사항"/>
      <sheetName val="제품코드"/>
      <sheetName val="마감장"/>
      <sheetName val="SCF"/>
      <sheetName val="Sheet5(실지급)"/>
      <sheetName val="서울판관-공통부문"/>
      <sheetName val="차입금"/>
      <sheetName val="产成品材料成本比例"/>
      <sheetName val="成品入库05"/>
      <sheetName val="사장단"/>
      <sheetName val="삼양사"/>
      <sheetName val="일반사항"/>
      <sheetName val="WP Index"/>
      <sheetName val="2111"/>
      <sheetName val="2112"/>
      <sheetName val="2710"/>
      <sheetName val="7600"/>
      <sheetName val="7610"/>
      <sheetName val="8700"/>
      <sheetName val="FP"/>
      <sheetName val="CE"/>
      <sheetName val="CF"/>
      <sheetName val="RE"/>
      <sheetName val="비교99-00"/>
      <sheetName val="목표세부명세"/>
      <sheetName val="선수"/>
      <sheetName val="조사번호"/>
      <sheetName val="2.조회처목록"/>
      <sheetName val="성보6"/>
      <sheetName val="1공장_재공품생糑,꣸"/>
      <sheetName val="유형자산증감"/>
      <sheetName val="1__Exercised"/>
      <sheetName val="Pref_B"/>
      <sheetName val="7월_생산,자공정_불량_현황"/>
      <sheetName val="제조원가계산서_(2)"/>
      <sheetName val="7_예수금이자,연체자금투입비용"/>
      <sheetName val="기계장치_(2)"/>
      <sheetName val="10월_급여"/>
      <sheetName val="신용카드(상각_고재균_활동_고재균)"/>
      <sheetName val="신용카드(상각_이상인_활동_이상인)"/>
      <sheetName val="대환론(상각_이상인_활동_이상인)"/>
      <sheetName val="일반론(상각_이상인_활동_이상인)"/>
      <sheetName val="1995년_섹터별_매출"/>
      <sheetName val="차체부품_INS_REPORT(갑)1"/>
      <sheetName val="날개수량1_51"/>
      <sheetName val="설_계1"/>
      <sheetName val="소송대라상_현장1"/>
      <sheetName val="Rollforward_to_Final"/>
      <sheetName val="Site_Expenses"/>
      <sheetName val="for_회수"/>
      <sheetName val="건물_상각비"/>
      <sheetName val="전력_연료"/>
      <sheetName val="CT_190527"/>
      <sheetName val="DMAW_유상샘플"/>
      <sheetName val="DMNB_20F"/>
      <sheetName val="YS1004_2700DE"/>
      <sheetName val="방오사3DE(STB)_유상샘플"/>
      <sheetName val="방오사3DE(STB)_CIF"/>
      <sheetName val="방오사3DE(STB)_DDP"/>
      <sheetName val="방오사6DE(STB)_CIF"/>
      <sheetName val="방오사6DE(STB)_DDP"/>
      <sheetName val="STB_20F"/>
      <sheetName val="Gen_Assumptions"/>
      <sheetName val="Admin(Acqusition)_2009_GMC"/>
      <sheetName val="NPV_-_New_Plant"/>
      <sheetName val="A_8-7-1_중요계정파악"/>
      <sheetName val="0_Data"/>
      <sheetName val="2013년12월~2014년4월_수불내역"/>
      <sheetName val="품목별_판매량"/>
      <sheetName val="전용선_(2)"/>
      <sheetName val="1_외주공사"/>
      <sheetName val="2_직영공사"/>
      <sheetName val="시실누(모)_"/>
      <sheetName val="1차_내역서"/>
      <sheetName val="총괄갑_"/>
      <sheetName val="수원_RAW_BT03(M292C)1"/>
      <sheetName val="Repayment_Summary"/>
      <sheetName val="average_price"/>
      <sheetName val="3_공통공사대비"/>
      <sheetName val="comp."/>
      <sheetName val="입찰"/>
      <sheetName val="현경"/>
      <sheetName val="I一般比"/>
      <sheetName val="감가상각비(2002)"/>
      <sheetName val="퇴직금추계액"/>
      <sheetName val="합병BS"/>
      <sheetName val="가중평균 보통주식02"/>
      <sheetName val="가중평균 보통주식01"/>
      <sheetName val="财务费用明细表"/>
      <sheetName val="长期待摊费用明细表"/>
      <sheetName val="출금실적"/>
      <sheetName val="단산"/>
      <sheetName val="일대"/>
      <sheetName val="원료_CODE3"/>
      <sheetName val="노방제,촉진제_단가추이3"/>
      <sheetName val="LOT_이상품_조치_이력2"/>
      <sheetName val="7월_생산,자공정_불량_현황1"/>
      <sheetName val="차체부품_INS_REPORT(갑)2"/>
      <sheetName val="날개수량1_52"/>
      <sheetName val="설_계2"/>
      <sheetName val="소송대라상_현장2"/>
      <sheetName val="외주현황.wq1"/>
      <sheetName val="영업팀별 손익 예상"/>
      <sheetName val="Fan_Motor(가공비)"/>
      <sheetName val="여신"/>
      <sheetName val="수신"/>
      <sheetName val="월별비교제조원가명세서"/>
      <sheetName val="S-5"/>
      <sheetName val="FSS TB summary Report"/>
      <sheetName val="1995 Option Plan"/>
      <sheetName val="1997 Option Plan"/>
      <sheetName val="1996 Option Plan"/>
      <sheetName val="SERIES A"/>
      <sheetName val="SERIES B"/>
      <sheetName val="SERIES C"/>
      <sheetName val="COMMON STOCK"/>
      <sheetName val="SERIES D"/>
      <sheetName val="SERIES E"/>
      <sheetName val="Series F"/>
      <sheetName val="Warrants"/>
      <sheetName val="清單選項"/>
      <sheetName val="第17-1頁(輸入)"/>
      <sheetName val="第21頁(申報書)(不適用)"/>
      <sheetName val="Opening Balance Sheet Adj.{A}"/>
      <sheetName val="Warrants - Series A"/>
      <sheetName val="Rates"/>
      <sheetName val="년도별개발"/>
      <sheetName val="하_고과(결과)"/>
      <sheetName val="REOE판매실적"/>
      <sheetName val="예총"/>
      <sheetName val="실행예산 명세표"/>
      <sheetName val="실행예산_명세표"/>
      <sheetName val="단가표"/>
      <sheetName val="장부"/>
      <sheetName val="지불방법"/>
      <sheetName val="BPCARD"/>
      <sheetName val="Sheet1 (11)"/>
      <sheetName val="2_상각보정헾⾾"/>
      <sheetName val="LA(INVENTORY)"/>
      <sheetName val="감가상각비"/>
      <sheetName val="HISTORY REPORT-ARMOR ALL &amp; STP"/>
      <sheetName val="대차총괄"/>
      <sheetName val="기준정보"/>
      <sheetName val="Cover"/>
      <sheetName val="Indoor Disposer"/>
      <sheetName val="재고현황(Unit)"/>
      <sheetName val="당월"/>
      <sheetName val="협조전"/>
      <sheetName val="유형자산LEAD"/>
      <sheetName val="TEMP2"/>
      <sheetName val="TEMP1"/>
      <sheetName val="KOR"/>
      <sheetName val="팀별손익"/>
      <sheetName val="계조에 따른 특성"/>
      <sheetName val="1공장_재공품생_x0000_엸ɶ"/>
      <sheetName val="1공장_재공품생ၒ_x0000__x0000_"/>
      <sheetName val="경영비율"/>
      <sheetName val="구분자"/>
      <sheetName val="Sheet2 (2)"/>
      <sheetName val="기준표"/>
      <sheetName val="최종보고1"/>
      <sheetName val="데이터"/>
      <sheetName val="지역별 업종검색 (2)"/>
      <sheetName val="첨"/>
      <sheetName val="Sale-Leaseback (2)"/>
      <sheetName val="지역별약정(당일)"/>
      <sheetName val="반기_유가증권"/>
      <sheetName val="생산지시-FRP방수판"/>
      <sheetName val="생산지시-벽판넬"/>
      <sheetName val="천장판넬"/>
      <sheetName val="치약_v011ꀀ袧‟"/>
      <sheetName val="비교(재무제표)"/>
      <sheetName val="회사개요"/>
      <sheetName val="상각율표"/>
      <sheetName val="3110-2"/>
      <sheetName val="코드관리"/>
      <sheetName val="基准单元设置"/>
      <sheetName val="TB-A"/>
      <sheetName val="Collateral"/>
      <sheetName val="Disposition"/>
      <sheetName val="PRC GAAP"/>
      <sheetName val="资产负债表明细-PRC"/>
      <sheetName val="成本计算单_汇总显示_"/>
      <sheetName val="CS"/>
      <sheetName val="03년3분기선급비용"/>
      <sheetName val="Report3"/>
      <sheetName val="96전기자재수불"/>
      <sheetName val="score_sheet22"/>
      <sheetName val="공제사업score_sheet22"/>
      <sheetName val="법인세비용_계산22"/>
      <sheetName val="정관_및_회계규정22"/>
      <sheetName val="주요ISSUE_사항22"/>
      <sheetName val="완성차_미수금22"/>
      <sheetName val="외상매출금현황-수정분_A222"/>
      <sheetName val="2006_과표및세액조정계산서22"/>
      <sheetName val="받을어음할인및_융통어음21"/>
      <sheetName val="YTD_Sales(0411)22"/>
      <sheetName val="2_대외공문21"/>
      <sheetName val="계수원본(99_2_28)22"/>
      <sheetName val="10_3122"/>
      <sheetName val="매출_물동명세22"/>
      <sheetName val="Cash_Flow21"/>
      <sheetName val="Net_PL(세분류)21"/>
      <sheetName val="3_판관비명세서21"/>
      <sheetName val="아파트_기성내역서21"/>
      <sheetName val="장할생활_(2)21"/>
      <sheetName val="증감분석_및_연결조정21"/>
      <sheetName val="업무분장_21"/>
      <sheetName val="11_17-11_2321"/>
      <sheetName val="11_24-11_3021"/>
      <sheetName val="2_상각보정명세21"/>
      <sheetName val="1공장_재공품생산현황21"/>
      <sheetName val="매출채권_및_담보비율_변동21"/>
      <sheetName val="25_보증금(임차보증금외)20"/>
      <sheetName val="24_보증금(전신전화가입권)20"/>
      <sheetName val="1월실적_(2)21"/>
      <sheetName val="비교원가제출_고21"/>
      <sheetName val="4-1__매출원가_손익계획_집계표20"/>
      <sheetName val="퇴직급여충당금12_3121"/>
      <sheetName val="대차대조표12_0120"/>
      <sheetName val="화섬_MDP21"/>
      <sheetName val="비용_배부후20"/>
      <sheetName val="의뢰건_(2)20"/>
      <sheetName val="5_소재20"/>
      <sheetName val="4_2유효폭의_계산20"/>
      <sheetName val="Dólar_Observado20"/>
      <sheetName val="1_MDF1공장20"/>
      <sheetName val="VB_20"/>
      <sheetName val="Reference_(변경)20"/>
      <sheetName val="입력_판매20"/>
      <sheetName val="입력_인원20"/>
      <sheetName val="경영비율_20"/>
      <sheetName val="POS_(2)20"/>
      <sheetName val="05_1Q20"/>
      <sheetName val="매출액(명)_20"/>
      <sheetName val="#2_BSPL20"/>
      <sheetName val="산업은행_경영지표20"/>
      <sheetName val="아울렛_농산벤더20"/>
      <sheetName val="118_세금과공과20"/>
      <sheetName val="CT_재공품생산현황20"/>
      <sheetName val="경영계획_수립_참고자료_▶▶▶20"/>
      <sheetName val="사업부서_작성자료_▶▶▶20"/>
      <sheetName val="15년_손익_(GS신규Vision)_요약-연간비교장20"/>
      <sheetName val="15년_손익_(GS신규Vision)_요약-(간접비_포20"/>
      <sheetName val="15년_손익-GS신규Vision20"/>
      <sheetName val="매출_계획20"/>
      <sheetName val="매출계획_산출근거20"/>
      <sheetName val="재료비(율)_계획20"/>
      <sheetName val="재료비(율)_산출근거20"/>
      <sheetName val="인원인건비&amp;간접비_계획20"/>
      <sheetName val="감가상각비_계산20"/>
      <sheetName val="간접비_계획20"/>
      <sheetName val="Reference_(기존)20"/>
      <sheetName val="2014년_손익20"/>
      <sheetName val="15년_손익_(GDR_Rental사업)_요약-연간비교20"/>
      <sheetName val="15년_손익_(GDR_Rent사업)_요약-(간접비_포20"/>
      <sheetName val="15년_손익-GDR_Rental사업20"/>
      <sheetName val="매출&amp;재료비&amp;비용&amp;투자_산출근거20"/>
      <sheetName val="2_Critical_Component_Estimati20"/>
      <sheetName val="00_08계정20"/>
      <sheetName val="퇴직충당금(3_31)(국문)20"/>
      <sheetName val="control_sheet20"/>
      <sheetName val="unit_420"/>
      <sheetName val="내역서_(2)20"/>
      <sheetName val="INCOME_STATEMENT20"/>
      <sheetName val="관계회사거래내역및_채권채무잔액_9918"/>
      <sheetName val="Team_종합18"/>
      <sheetName val="에뛰드_내부관리가18"/>
      <sheetName val="원가계산_(2)19"/>
      <sheetName val="유첨3_적용기준18"/>
      <sheetName val="Packaging_cost_Back_Data18"/>
      <sheetName val="현지법인_대손설정18"/>
      <sheetName val="중장기_외화자금_보정명세(PBC)20"/>
      <sheetName val="현금_및_예치금Lead18"/>
      <sheetName val="현금및예치금_명세서18"/>
      <sheetName val="108_수선비19"/>
      <sheetName val="General_Inputs18"/>
      <sheetName val="CGC_Inputs18"/>
      <sheetName val="업체손실공수_xls18"/>
      <sheetName val="sap`04_7_1418"/>
      <sheetName val="13_보증금(전신전화가입권)18"/>
      <sheetName val="붙임2-1__지급조서명세서(2001년분)18"/>
      <sheetName val="Office_only_Letup18"/>
      <sheetName val="중부사업담당_1-11월_원가20"/>
      <sheetName val="0_0ControlSheet18"/>
      <sheetName val="US_Revenue_(2)18"/>
      <sheetName val="01_12月_Lot별_판매실적_xls18"/>
      <sheetName val="Industry_Indices18"/>
      <sheetName val="공항,제주_판매율_분석18"/>
      <sheetName val="현금흐름표_근거자료18"/>
      <sheetName val="Item_LIST17"/>
      <sheetName val="Volume_LIST17"/>
      <sheetName val="감사보고서_(날인X)_KEIT17"/>
      <sheetName val="감사보고서_(날인X)_KIAT17"/>
      <sheetName val="감사보고서_(날인X)_KETEP17"/>
      <sheetName val="재원별지출내역_(2)17"/>
      <sheetName val="연구시설·장비_및_재료비17"/>
      <sheetName val="세목별_사용내역조회17"/>
      <sheetName val="인건비_소요_명세17"/>
      <sheetName val="Sheet1_(2)17"/>
      <sheetName val="년간_자금계획(90일_적용)17"/>
      <sheetName val="서비스별_매출추이17"/>
      <sheetName val="GEN_Inputs17"/>
      <sheetName val="값목록(Do_not_touch)17"/>
      <sheetName val="99_7월_당월회수_실적17"/>
      <sheetName val="Bank_charge17"/>
      <sheetName val="7__2_17"/>
      <sheetName val="참고__카본단가_비교17"/>
      <sheetName val="LEAD_SHEET_(K상각후회수율)17"/>
      <sheetName val="수입검사현황_Rev117"/>
      <sheetName val="7_3_DY팀17"/>
      <sheetName val="DATA_입력란17"/>
      <sheetName val="1__설계조건_2_단면가정_3__하중계산17"/>
      <sheetName val="2_지분법적용주식Leadsheet(회사제시)17"/>
      <sheetName val="AQL(0_65)17"/>
      <sheetName val="U3_117"/>
      <sheetName val="表03_17"/>
      <sheetName val="DIVP_L_199817"/>
      <sheetName val="CF_RE_type17"/>
      <sheetName val="제품L_D_17"/>
      <sheetName val="220_(2)17"/>
      <sheetName val="3_일반사상17"/>
      <sheetName val="TO_DO17"/>
      <sheetName val="CC_Down_load_071617"/>
      <sheetName val="S1_1총괄17"/>
      <sheetName val="Ref_Filed17"/>
      <sheetName val="5客诉对比_(2)2"/>
      <sheetName val="比较_(2)2"/>
      <sheetName val="2181_91(Ex-pat)14"/>
      <sheetName val="2150_2(Equip-oth)14"/>
      <sheetName val="FY00_OP3rdPrty14"/>
      <sheetName val="Q3_actuals14"/>
      <sheetName val="0307_Q3Update14"/>
      <sheetName val="JT3_0견적-구12"/>
      <sheetName val="Main_Assumptions3"/>
      <sheetName val="Revenue_Assumptions3"/>
      <sheetName val="company_operations2"/>
      <sheetName val="1_능률현황17"/>
      <sheetName val="2_호선별예상실적17"/>
      <sheetName val="Business_Plan14"/>
      <sheetName val="5_공종별예산내역서14"/>
      <sheetName val="SH_R설치14"/>
      <sheetName val="Korea_Sign-Internal14"/>
      <sheetName val="Cons_Total_company14"/>
      <sheetName val="FL'G_WT_14"/>
      <sheetName val="수금_14"/>
      <sheetName val="5층_건축물대장_등기_예정3"/>
      <sheetName val="층별면적표-060411-5층_통합3"/>
      <sheetName val="Drop_down_참고2"/>
      <sheetName val="7_(2)14"/>
      <sheetName val="8_월별판관비2"/>
      <sheetName val="0_1keyAssumption2"/>
      <sheetName val="3_부점발견재산14"/>
      <sheetName val="6_공사부점손익14"/>
      <sheetName val="5_공사손익실적14"/>
      <sheetName val="원가투입계획('15_06~12)_봉2"/>
      <sheetName val="보관문서목록표_기획2"/>
      <sheetName val="2002년_교육출장비2"/>
      <sheetName val="MNT_개발계획_최종2"/>
      <sheetName val="short_term_loan2"/>
      <sheetName val="Tax_Category2"/>
      <sheetName val="Acct_Group2"/>
      <sheetName val="Summary_-_Budget2"/>
      <sheetName val="Chi_tiet2"/>
      <sheetName val="Исходная_база_сентябрь2"/>
      <sheetName val="5-_МЫ2"/>
      <sheetName val="2000년_충당금자료2"/>
      <sheetName val="매__출2"/>
      <sheetName val="채권_현황2"/>
      <sheetName val="TOWER_12TON2"/>
      <sheetName val="TOWER_10TON2"/>
      <sheetName val="JIB_CRANE,HOIST2"/>
      <sheetName val="재고_2"/>
      <sheetName val="8월_매출수주2"/>
      <sheetName val="SUB_(N)2"/>
      <sheetName val="2019년_세부자료_(입력할_시트)2"/>
      <sheetName val="2019년보험요율_(입력할_시트)2"/>
      <sheetName val="ADL_Val2"/>
      <sheetName val="ADL2_Val2"/>
      <sheetName val="ADL3_Val2"/>
      <sheetName val="ADL4_Val2"/>
      <sheetName val="ADL5_Val2"/>
      <sheetName val="ASO_II_Val2"/>
      <sheetName val="ASO_I_Val2"/>
      <sheetName val="ASO_I_Delaware_Val2"/>
      <sheetName val="GS_CK2"/>
      <sheetName val="ASO_I_Mauritius_Val2"/>
      <sheetName val="MDL_Val2"/>
      <sheetName val="Revised_PEGS982"/>
      <sheetName val="정비활동_수선비_절감21"/>
      <sheetName val="3_5_Inch_가동_효율21"/>
      <sheetName val="2_5_Inch_가동_효율21"/>
      <sheetName val="LUK_1"/>
      <sheetName val="3_운반"/>
      <sheetName val="0__간접공사비"/>
      <sheetName val="형명분류_신구비교"/>
      <sheetName val="CR_CODE"/>
      <sheetName val="OPT손익_수출"/>
      <sheetName val="Parameter_2_Projektbasisdaten"/>
      <sheetName val="2__별첨_HC_Detail(입퇴사)"/>
      <sheetName val="LC_Supports"/>
      <sheetName val="Form_18-12"/>
      <sheetName val="조직별_인원현황"/>
      <sheetName val="주식배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/>
      <sheetData sheetId="515"/>
      <sheetData sheetId="516" refreshError="1"/>
      <sheetData sheetId="517"/>
      <sheetData sheetId="518"/>
      <sheetData sheetId="519"/>
      <sheetData sheetId="520"/>
      <sheetData sheetId="521"/>
      <sheetData sheetId="522"/>
      <sheetData sheetId="523" refreshError="1"/>
      <sheetData sheetId="524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/>
      <sheetData sheetId="538"/>
      <sheetData sheetId="539"/>
      <sheetData sheetId="540"/>
      <sheetData sheetId="541"/>
      <sheetData sheetId="542"/>
      <sheetData sheetId="543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/>
      <sheetData sheetId="818"/>
      <sheetData sheetId="819"/>
      <sheetData sheetId="820"/>
      <sheetData sheetId="82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/>
      <sheetData sheetId="1067"/>
      <sheetData sheetId="1068"/>
      <sheetData sheetId="1069"/>
      <sheetData sheetId="1070"/>
      <sheetData sheetId="107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/>
      <sheetData sheetId="1241"/>
      <sheetData sheetId="1242"/>
      <sheetData sheetId="1243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/>
      <sheetData sheetId="1580"/>
      <sheetData sheetId="1581"/>
      <sheetData sheetId="1582"/>
      <sheetData sheetId="1583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/>
      <sheetData sheetId="1593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/>
      <sheetData sheetId="162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/>
      <sheetData sheetId="1658"/>
      <sheetData sheetId="1659"/>
      <sheetData sheetId="1660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 refreshError="1"/>
      <sheetData sheetId="1746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/>
      <sheetData sheetId="1873"/>
      <sheetData sheetId="1874"/>
      <sheetData sheetId="1875" refreshError="1"/>
      <sheetData sheetId="1876" refreshError="1"/>
      <sheetData sheetId="1877" refreshError="1"/>
      <sheetData sheetId="1878"/>
      <sheetData sheetId="1879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/>
      <sheetData sheetId="2025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/>
      <sheetData sheetId="2033"/>
      <sheetData sheetId="2034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/>
      <sheetData sheetId="2058"/>
      <sheetData sheetId="2059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 refreshError="1"/>
      <sheetData sheetId="2132" refreshError="1"/>
      <sheetData sheetId="2133" refreshError="1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/>
      <sheetData sheetId="2277"/>
      <sheetData sheetId="2278"/>
      <sheetData sheetId="2279"/>
      <sheetData sheetId="2280"/>
      <sheetData sheetId="2281"/>
      <sheetData sheetId="2282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/>
      <sheetData sheetId="2310"/>
      <sheetData sheetId="2311"/>
      <sheetData sheetId="2312"/>
      <sheetData sheetId="2313"/>
      <sheetData sheetId="2314"/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/>
      <sheetData sheetId="2363"/>
      <sheetData sheetId="2364"/>
      <sheetData sheetId="2365"/>
      <sheetData sheetId="2366"/>
      <sheetData sheetId="2367"/>
      <sheetData sheetId="2368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/>
      <sheetData sheetId="2389"/>
      <sheetData sheetId="2390"/>
      <sheetData sheetId="2391"/>
      <sheetData sheetId="2392"/>
      <sheetData sheetId="2393"/>
      <sheetData sheetId="2394"/>
      <sheetData sheetId="2395"/>
      <sheetData sheetId="2396"/>
      <sheetData sheetId="2397"/>
      <sheetData sheetId="2398"/>
      <sheetData sheetId="2399"/>
      <sheetData sheetId="2400"/>
      <sheetData sheetId="2401"/>
      <sheetData sheetId="2402"/>
      <sheetData sheetId="2403"/>
      <sheetData sheetId="2404"/>
      <sheetData sheetId="2405"/>
      <sheetData sheetId="2406"/>
      <sheetData sheetId="2407"/>
      <sheetData sheetId="2408"/>
      <sheetData sheetId="2409"/>
      <sheetData sheetId="2410"/>
      <sheetData sheetId="2411"/>
      <sheetData sheetId="2412"/>
      <sheetData sheetId="2413"/>
      <sheetData sheetId="2414"/>
      <sheetData sheetId="2415"/>
      <sheetData sheetId="2416"/>
      <sheetData sheetId="2417"/>
      <sheetData sheetId="2418"/>
      <sheetData sheetId="2419"/>
      <sheetData sheetId="2420"/>
      <sheetData sheetId="2421"/>
      <sheetData sheetId="2422"/>
      <sheetData sheetId="2423"/>
      <sheetData sheetId="2424"/>
      <sheetData sheetId="2425"/>
      <sheetData sheetId="2426"/>
      <sheetData sheetId="2427"/>
      <sheetData sheetId="2428"/>
      <sheetData sheetId="2429"/>
      <sheetData sheetId="2430"/>
      <sheetData sheetId="2431"/>
      <sheetData sheetId="2432"/>
      <sheetData sheetId="2433"/>
      <sheetData sheetId="2434"/>
      <sheetData sheetId="2435"/>
      <sheetData sheetId="2436"/>
      <sheetData sheetId="2437"/>
      <sheetData sheetId="2438"/>
      <sheetData sheetId="2439"/>
      <sheetData sheetId="2440"/>
      <sheetData sheetId="2441"/>
      <sheetData sheetId="2442"/>
      <sheetData sheetId="2443"/>
      <sheetData sheetId="2444"/>
      <sheetData sheetId="2445"/>
      <sheetData sheetId="2446"/>
      <sheetData sheetId="2447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/>
      <sheetData sheetId="2464"/>
      <sheetData sheetId="2465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/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/>
      <sheetData sheetId="2524"/>
      <sheetData sheetId="2525"/>
      <sheetData sheetId="2526"/>
      <sheetData sheetId="2527"/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/>
      <sheetData sheetId="2648"/>
      <sheetData sheetId="2649"/>
      <sheetData sheetId="2650"/>
      <sheetData sheetId="2651"/>
      <sheetData sheetId="2652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/>
      <sheetData sheetId="2799"/>
      <sheetData sheetId="2800"/>
      <sheetData sheetId="2801"/>
      <sheetData sheetId="2802"/>
      <sheetData sheetId="2803"/>
      <sheetData sheetId="2804"/>
      <sheetData sheetId="2805"/>
      <sheetData sheetId="2806"/>
      <sheetData sheetId="2807"/>
      <sheetData sheetId="2808"/>
      <sheetData sheetId="2809"/>
      <sheetData sheetId="2810"/>
      <sheetData sheetId="281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/>
      <sheetData sheetId="2838"/>
      <sheetData sheetId="2839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 refreshError="1"/>
      <sheetData sheetId="2874"/>
      <sheetData sheetId="2875"/>
      <sheetData sheetId="2876"/>
      <sheetData sheetId="2877"/>
      <sheetData sheetId="2878"/>
      <sheetData sheetId="2879"/>
      <sheetData sheetId="2880"/>
      <sheetData sheetId="2881"/>
      <sheetData sheetId="2882"/>
      <sheetData sheetId="2883"/>
      <sheetData sheetId="2884"/>
      <sheetData sheetId="2885"/>
      <sheetData sheetId="2886"/>
      <sheetData sheetId="2887"/>
      <sheetData sheetId="2888"/>
      <sheetData sheetId="2889"/>
      <sheetData sheetId="2890"/>
      <sheetData sheetId="2891"/>
      <sheetData sheetId="2892"/>
      <sheetData sheetId="2893"/>
      <sheetData sheetId="2894"/>
      <sheetData sheetId="2895"/>
      <sheetData sheetId="2896"/>
      <sheetData sheetId="2897"/>
      <sheetData sheetId="2898"/>
      <sheetData sheetId="2899"/>
      <sheetData sheetId="2900"/>
      <sheetData sheetId="2901"/>
      <sheetData sheetId="2902"/>
      <sheetData sheetId="2903"/>
      <sheetData sheetId="2904"/>
      <sheetData sheetId="2905"/>
      <sheetData sheetId="2906"/>
      <sheetData sheetId="2907"/>
      <sheetData sheetId="2908"/>
      <sheetData sheetId="2909"/>
      <sheetData sheetId="2910"/>
      <sheetData sheetId="2911"/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/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/>
      <sheetData sheetId="2947"/>
      <sheetData sheetId="2948"/>
      <sheetData sheetId="2949"/>
      <sheetData sheetId="2950"/>
      <sheetData sheetId="2951"/>
      <sheetData sheetId="2952"/>
      <sheetData sheetId="2953"/>
      <sheetData sheetId="2954"/>
      <sheetData sheetId="2955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/>
      <sheetData sheetId="2968"/>
      <sheetData sheetId="2969"/>
      <sheetData sheetId="2970"/>
      <sheetData sheetId="2971"/>
      <sheetData sheetId="2972"/>
      <sheetData sheetId="2973"/>
      <sheetData sheetId="2974"/>
      <sheetData sheetId="2975"/>
      <sheetData sheetId="2976"/>
      <sheetData sheetId="2977"/>
      <sheetData sheetId="2978"/>
      <sheetData sheetId="2979"/>
      <sheetData sheetId="2980"/>
      <sheetData sheetId="2981"/>
      <sheetData sheetId="2982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/>
      <sheetData sheetId="2994"/>
      <sheetData sheetId="2995"/>
      <sheetData sheetId="2996"/>
      <sheetData sheetId="2997"/>
      <sheetData sheetId="2998"/>
      <sheetData sheetId="2999"/>
      <sheetData sheetId="3000"/>
      <sheetData sheetId="3001"/>
      <sheetData sheetId="3002"/>
      <sheetData sheetId="3003"/>
      <sheetData sheetId="3004"/>
      <sheetData sheetId="3005"/>
      <sheetData sheetId="3006"/>
      <sheetData sheetId="3007"/>
      <sheetData sheetId="3008"/>
      <sheetData sheetId="3009"/>
      <sheetData sheetId="3010"/>
      <sheetData sheetId="3011"/>
      <sheetData sheetId="3012"/>
      <sheetData sheetId="3013"/>
      <sheetData sheetId="3014"/>
      <sheetData sheetId="3015"/>
      <sheetData sheetId="3016"/>
      <sheetData sheetId="3017"/>
      <sheetData sheetId="3018"/>
      <sheetData sheetId="3019"/>
      <sheetData sheetId="3020"/>
      <sheetData sheetId="3021"/>
      <sheetData sheetId="3022"/>
      <sheetData sheetId="3023"/>
      <sheetData sheetId="3024"/>
      <sheetData sheetId="3025"/>
      <sheetData sheetId="3026"/>
      <sheetData sheetId="3027"/>
      <sheetData sheetId="3028"/>
      <sheetData sheetId="3029"/>
      <sheetData sheetId="3030"/>
      <sheetData sheetId="3031"/>
      <sheetData sheetId="3032"/>
      <sheetData sheetId="3033"/>
      <sheetData sheetId="3034"/>
      <sheetData sheetId="3035"/>
      <sheetData sheetId="3036"/>
      <sheetData sheetId="3037"/>
      <sheetData sheetId="3038"/>
      <sheetData sheetId="3039"/>
      <sheetData sheetId="3040"/>
      <sheetData sheetId="3041"/>
      <sheetData sheetId="3042"/>
      <sheetData sheetId="3043"/>
      <sheetData sheetId="3044"/>
      <sheetData sheetId="3045"/>
      <sheetData sheetId="3046"/>
      <sheetData sheetId="3047"/>
      <sheetData sheetId="3048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/>
      <sheetData sheetId="3058"/>
      <sheetData sheetId="3059"/>
      <sheetData sheetId="3060"/>
      <sheetData sheetId="3061"/>
      <sheetData sheetId="3062"/>
      <sheetData sheetId="3063"/>
      <sheetData sheetId="3064"/>
      <sheetData sheetId="3065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/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/>
      <sheetData sheetId="3150"/>
      <sheetData sheetId="3151"/>
      <sheetData sheetId="3152"/>
      <sheetData sheetId="3153"/>
      <sheetData sheetId="3154"/>
      <sheetData sheetId="3155"/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/>
      <sheetData sheetId="3167"/>
      <sheetData sheetId="3168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/>
      <sheetData sheetId="3215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/>
      <sheetData sheetId="3226"/>
      <sheetData sheetId="3227"/>
      <sheetData sheetId="3228"/>
      <sheetData sheetId="3229"/>
      <sheetData sheetId="3230"/>
      <sheetData sheetId="3231"/>
      <sheetData sheetId="3232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/>
      <sheetData sheetId="3242"/>
      <sheetData sheetId="3243"/>
      <sheetData sheetId="3244"/>
      <sheetData sheetId="3245"/>
      <sheetData sheetId="3246"/>
      <sheetData sheetId="3247"/>
      <sheetData sheetId="3248"/>
      <sheetData sheetId="3249"/>
      <sheetData sheetId="3250"/>
      <sheetData sheetId="3251"/>
      <sheetData sheetId="3252"/>
      <sheetData sheetId="3253"/>
      <sheetData sheetId="3254"/>
      <sheetData sheetId="3255"/>
      <sheetData sheetId="3256"/>
      <sheetData sheetId="3257"/>
      <sheetData sheetId="3258"/>
      <sheetData sheetId="3259"/>
      <sheetData sheetId="3260"/>
      <sheetData sheetId="3261"/>
      <sheetData sheetId="3262"/>
      <sheetData sheetId="3263"/>
      <sheetData sheetId="3264"/>
      <sheetData sheetId="3265"/>
      <sheetData sheetId="3266"/>
      <sheetData sheetId="3267"/>
      <sheetData sheetId="3268"/>
      <sheetData sheetId="3269"/>
      <sheetData sheetId="3270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/>
      <sheetData sheetId="3284"/>
      <sheetData sheetId="3285"/>
      <sheetData sheetId="3286"/>
      <sheetData sheetId="3287"/>
      <sheetData sheetId="3288"/>
      <sheetData sheetId="3289"/>
      <sheetData sheetId="3290"/>
      <sheetData sheetId="3291"/>
      <sheetData sheetId="3292"/>
      <sheetData sheetId="3293"/>
      <sheetData sheetId="3294"/>
      <sheetData sheetId="3295"/>
      <sheetData sheetId="3296"/>
      <sheetData sheetId="3297"/>
      <sheetData sheetId="3298"/>
      <sheetData sheetId="3299"/>
      <sheetData sheetId="3300"/>
      <sheetData sheetId="3301"/>
      <sheetData sheetId="3302"/>
      <sheetData sheetId="3303"/>
      <sheetData sheetId="3304"/>
      <sheetData sheetId="3305"/>
      <sheetData sheetId="3306"/>
      <sheetData sheetId="3307"/>
      <sheetData sheetId="3308"/>
      <sheetData sheetId="3309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/>
      <sheetData sheetId="3408"/>
      <sheetData sheetId="3409"/>
      <sheetData sheetId="3410"/>
      <sheetData sheetId="3411"/>
      <sheetData sheetId="3412"/>
      <sheetData sheetId="3413"/>
      <sheetData sheetId="3414"/>
      <sheetData sheetId="3415"/>
      <sheetData sheetId="3416"/>
      <sheetData sheetId="3417"/>
      <sheetData sheetId="3418"/>
      <sheetData sheetId="3419"/>
      <sheetData sheetId="3420"/>
      <sheetData sheetId="3421"/>
      <sheetData sheetId="3422"/>
      <sheetData sheetId="3423"/>
      <sheetData sheetId="3424"/>
      <sheetData sheetId="3425"/>
      <sheetData sheetId="3426"/>
      <sheetData sheetId="3427"/>
      <sheetData sheetId="3428"/>
      <sheetData sheetId="3429"/>
      <sheetData sheetId="3430"/>
      <sheetData sheetId="343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/>
      <sheetData sheetId="3520"/>
      <sheetData sheetId="3521"/>
      <sheetData sheetId="3522"/>
      <sheetData sheetId="3523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/>
      <sheetData sheetId="3533"/>
      <sheetData sheetId="3534"/>
      <sheetData sheetId="3535"/>
      <sheetData sheetId="3536"/>
      <sheetData sheetId="3537"/>
      <sheetData sheetId="3538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/>
      <sheetData sheetId="3548"/>
      <sheetData sheetId="3549"/>
      <sheetData sheetId="3550"/>
      <sheetData sheetId="3551"/>
      <sheetData sheetId="3552"/>
      <sheetData sheetId="3553"/>
      <sheetData sheetId="3554"/>
      <sheetData sheetId="3555"/>
      <sheetData sheetId="3556"/>
      <sheetData sheetId="3557"/>
      <sheetData sheetId="3558"/>
      <sheetData sheetId="3559"/>
      <sheetData sheetId="3560"/>
      <sheetData sheetId="3561"/>
      <sheetData sheetId="3562"/>
      <sheetData sheetId="3563"/>
      <sheetData sheetId="3564"/>
      <sheetData sheetId="3565"/>
      <sheetData sheetId="3566"/>
      <sheetData sheetId="3567"/>
      <sheetData sheetId="3568"/>
      <sheetData sheetId="3569"/>
      <sheetData sheetId="3570"/>
      <sheetData sheetId="3571"/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/>
      <sheetData sheetId="3643"/>
      <sheetData sheetId="3644"/>
      <sheetData sheetId="3645"/>
      <sheetData sheetId="3646"/>
      <sheetData sheetId="3647"/>
      <sheetData sheetId="3648"/>
      <sheetData sheetId="3649"/>
      <sheetData sheetId="3650"/>
      <sheetData sheetId="3651"/>
      <sheetData sheetId="3652"/>
      <sheetData sheetId="3653"/>
      <sheetData sheetId="3654"/>
      <sheetData sheetId="3655"/>
      <sheetData sheetId="3656"/>
      <sheetData sheetId="3657"/>
      <sheetData sheetId="3658"/>
      <sheetData sheetId="3659"/>
      <sheetData sheetId="3660"/>
      <sheetData sheetId="3661"/>
      <sheetData sheetId="3662"/>
      <sheetData sheetId="3663"/>
      <sheetData sheetId="3664"/>
      <sheetData sheetId="3665"/>
      <sheetData sheetId="3666"/>
      <sheetData sheetId="3667"/>
      <sheetData sheetId="3668"/>
      <sheetData sheetId="3669"/>
      <sheetData sheetId="3670"/>
      <sheetData sheetId="3671"/>
      <sheetData sheetId="3672"/>
      <sheetData sheetId="3673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/>
      <sheetData sheetId="3688"/>
      <sheetData sheetId="3689"/>
      <sheetData sheetId="3690"/>
      <sheetData sheetId="3691"/>
      <sheetData sheetId="3692"/>
      <sheetData sheetId="3693"/>
      <sheetData sheetId="3694"/>
      <sheetData sheetId="3695"/>
      <sheetData sheetId="3696"/>
      <sheetData sheetId="3697"/>
      <sheetData sheetId="3698"/>
      <sheetData sheetId="3699"/>
      <sheetData sheetId="3700"/>
      <sheetData sheetId="3701"/>
      <sheetData sheetId="3702"/>
      <sheetData sheetId="3703"/>
      <sheetData sheetId="3704"/>
      <sheetData sheetId="3705"/>
      <sheetData sheetId="3706"/>
      <sheetData sheetId="3707"/>
      <sheetData sheetId="3708"/>
      <sheetData sheetId="3709"/>
      <sheetData sheetId="3710"/>
      <sheetData sheetId="3711"/>
      <sheetData sheetId="3712"/>
      <sheetData sheetId="3713"/>
      <sheetData sheetId="3714"/>
      <sheetData sheetId="3715"/>
      <sheetData sheetId="3716"/>
      <sheetData sheetId="3717"/>
      <sheetData sheetId="3718"/>
      <sheetData sheetId="3719"/>
      <sheetData sheetId="3720"/>
      <sheetData sheetId="3721"/>
      <sheetData sheetId="3722"/>
      <sheetData sheetId="3723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/>
      <sheetData sheetId="3764"/>
      <sheetData sheetId="3765"/>
      <sheetData sheetId="3766"/>
      <sheetData sheetId="3767"/>
      <sheetData sheetId="3768"/>
      <sheetData sheetId="3769"/>
      <sheetData sheetId="3770"/>
      <sheetData sheetId="3771"/>
      <sheetData sheetId="3772"/>
      <sheetData sheetId="3773"/>
      <sheetData sheetId="3774"/>
      <sheetData sheetId="3775"/>
      <sheetData sheetId="3776"/>
      <sheetData sheetId="3777"/>
      <sheetData sheetId="3778"/>
      <sheetData sheetId="3779"/>
      <sheetData sheetId="3780"/>
      <sheetData sheetId="3781"/>
      <sheetData sheetId="3782"/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/>
      <sheetData sheetId="3799"/>
      <sheetData sheetId="3800"/>
      <sheetData sheetId="3801"/>
      <sheetData sheetId="3802"/>
      <sheetData sheetId="3803"/>
      <sheetData sheetId="3804"/>
      <sheetData sheetId="3805"/>
      <sheetData sheetId="3806"/>
      <sheetData sheetId="3807"/>
      <sheetData sheetId="3808"/>
      <sheetData sheetId="3809"/>
      <sheetData sheetId="3810"/>
      <sheetData sheetId="3811"/>
      <sheetData sheetId="3812"/>
      <sheetData sheetId="3813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/>
      <sheetData sheetId="3874"/>
      <sheetData sheetId="3875"/>
      <sheetData sheetId="3876"/>
      <sheetData sheetId="3877"/>
      <sheetData sheetId="3878"/>
      <sheetData sheetId="3879"/>
      <sheetData sheetId="3880"/>
      <sheetData sheetId="3881"/>
      <sheetData sheetId="3882"/>
      <sheetData sheetId="3883"/>
      <sheetData sheetId="3884"/>
      <sheetData sheetId="3885"/>
      <sheetData sheetId="3886"/>
      <sheetData sheetId="3887"/>
      <sheetData sheetId="3888"/>
      <sheetData sheetId="3889"/>
      <sheetData sheetId="3890"/>
      <sheetData sheetId="389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/>
      <sheetData sheetId="3904"/>
      <sheetData sheetId="3905"/>
      <sheetData sheetId="3906"/>
      <sheetData sheetId="3907"/>
      <sheetData sheetId="3908"/>
      <sheetData sheetId="3909"/>
      <sheetData sheetId="3910"/>
      <sheetData sheetId="3911"/>
      <sheetData sheetId="3912"/>
      <sheetData sheetId="3913"/>
      <sheetData sheetId="3914"/>
      <sheetData sheetId="3915"/>
      <sheetData sheetId="3916"/>
      <sheetData sheetId="3917"/>
      <sheetData sheetId="3918"/>
      <sheetData sheetId="3919"/>
      <sheetData sheetId="3920"/>
      <sheetData sheetId="3921"/>
      <sheetData sheetId="3922"/>
      <sheetData sheetId="3923"/>
      <sheetData sheetId="3924"/>
      <sheetData sheetId="3925"/>
      <sheetData sheetId="3926"/>
      <sheetData sheetId="3927"/>
      <sheetData sheetId="3928"/>
      <sheetData sheetId="3929"/>
      <sheetData sheetId="3930"/>
      <sheetData sheetId="3931"/>
      <sheetData sheetId="3932"/>
      <sheetData sheetId="3933"/>
      <sheetData sheetId="3934"/>
      <sheetData sheetId="3935"/>
      <sheetData sheetId="3936"/>
      <sheetData sheetId="3937"/>
      <sheetData sheetId="3938"/>
      <sheetData sheetId="3939"/>
      <sheetData sheetId="3940"/>
      <sheetData sheetId="3941"/>
      <sheetData sheetId="3942"/>
      <sheetData sheetId="3943"/>
      <sheetData sheetId="3944"/>
      <sheetData sheetId="3945"/>
      <sheetData sheetId="3946"/>
      <sheetData sheetId="3947"/>
      <sheetData sheetId="3948"/>
      <sheetData sheetId="3949"/>
      <sheetData sheetId="3950"/>
      <sheetData sheetId="3951"/>
      <sheetData sheetId="3952"/>
      <sheetData sheetId="3953"/>
      <sheetData sheetId="3954"/>
      <sheetData sheetId="3955"/>
      <sheetData sheetId="3956"/>
      <sheetData sheetId="3957"/>
      <sheetData sheetId="3958"/>
      <sheetData sheetId="3959"/>
      <sheetData sheetId="3960"/>
      <sheetData sheetId="3961"/>
      <sheetData sheetId="3962"/>
      <sheetData sheetId="3963"/>
      <sheetData sheetId="3964"/>
      <sheetData sheetId="3965"/>
      <sheetData sheetId="3966"/>
      <sheetData sheetId="3967"/>
      <sheetData sheetId="3968"/>
      <sheetData sheetId="3969"/>
      <sheetData sheetId="3970"/>
      <sheetData sheetId="3971"/>
      <sheetData sheetId="3972"/>
      <sheetData sheetId="3973"/>
      <sheetData sheetId="3974"/>
      <sheetData sheetId="3975"/>
      <sheetData sheetId="3976"/>
      <sheetData sheetId="3977"/>
      <sheetData sheetId="3978"/>
      <sheetData sheetId="3979"/>
      <sheetData sheetId="3980"/>
      <sheetData sheetId="3981"/>
      <sheetData sheetId="3982"/>
      <sheetData sheetId="3983"/>
      <sheetData sheetId="3984"/>
      <sheetData sheetId="3985"/>
      <sheetData sheetId="3986"/>
      <sheetData sheetId="3987"/>
      <sheetData sheetId="3988"/>
      <sheetData sheetId="3989"/>
      <sheetData sheetId="3990"/>
      <sheetData sheetId="3991"/>
      <sheetData sheetId="3992"/>
      <sheetData sheetId="3993"/>
      <sheetData sheetId="3994"/>
      <sheetData sheetId="3995"/>
      <sheetData sheetId="3996"/>
      <sheetData sheetId="3997"/>
      <sheetData sheetId="3998"/>
      <sheetData sheetId="3999"/>
      <sheetData sheetId="4000"/>
      <sheetData sheetId="4001"/>
      <sheetData sheetId="4002"/>
      <sheetData sheetId="4003"/>
      <sheetData sheetId="4004"/>
      <sheetData sheetId="4005"/>
      <sheetData sheetId="4006"/>
      <sheetData sheetId="4007"/>
      <sheetData sheetId="4008"/>
      <sheetData sheetId="4009"/>
      <sheetData sheetId="4010"/>
      <sheetData sheetId="4011"/>
      <sheetData sheetId="4012"/>
      <sheetData sheetId="4013"/>
      <sheetData sheetId="4014"/>
      <sheetData sheetId="4015"/>
      <sheetData sheetId="4016"/>
      <sheetData sheetId="4017"/>
      <sheetData sheetId="4018"/>
      <sheetData sheetId="4019"/>
      <sheetData sheetId="4020"/>
      <sheetData sheetId="4021"/>
      <sheetData sheetId="4022"/>
      <sheetData sheetId="4023"/>
      <sheetData sheetId="4024"/>
      <sheetData sheetId="4025"/>
      <sheetData sheetId="4026"/>
      <sheetData sheetId="4027"/>
      <sheetData sheetId="4028"/>
      <sheetData sheetId="4029"/>
      <sheetData sheetId="4030"/>
      <sheetData sheetId="4031"/>
      <sheetData sheetId="4032"/>
      <sheetData sheetId="4033"/>
      <sheetData sheetId="4034"/>
      <sheetData sheetId="4035"/>
      <sheetData sheetId="4036"/>
      <sheetData sheetId="4037"/>
      <sheetData sheetId="4038"/>
      <sheetData sheetId="4039"/>
      <sheetData sheetId="4040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/>
      <sheetData sheetId="4051"/>
      <sheetData sheetId="4052"/>
      <sheetData sheetId="4053"/>
      <sheetData sheetId="4054"/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/>
      <sheetData sheetId="4064"/>
      <sheetData sheetId="4065"/>
      <sheetData sheetId="4066"/>
      <sheetData sheetId="4067"/>
      <sheetData sheetId="4068"/>
      <sheetData sheetId="4069"/>
      <sheetData sheetId="4070"/>
      <sheetData sheetId="4071"/>
      <sheetData sheetId="4072"/>
      <sheetData sheetId="4073"/>
      <sheetData sheetId="4074"/>
      <sheetData sheetId="4075"/>
      <sheetData sheetId="4076"/>
      <sheetData sheetId="4077"/>
      <sheetData sheetId="4078"/>
      <sheetData sheetId="4079"/>
      <sheetData sheetId="4080"/>
      <sheetData sheetId="4081"/>
      <sheetData sheetId="4082"/>
      <sheetData sheetId="4083"/>
      <sheetData sheetId="4084"/>
      <sheetData sheetId="4085"/>
      <sheetData sheetId="4086"/>
      <sheetData sheetId="4087"/>
      <sheetData sheetId="4088"/>
      <sheetData sheetId="4089"/>
      <sheetData sheetId="4090"/>
      <sheetData sheetId="4091"/>
      <sheetData sheetId="4092"/>
      <sheetData sheetId="4093"/>
      <sheetData sheetId="4094"/>
      <sheetData sheetId="4095"/>
      <sheetData sheetId="4096"/>
      <sheetData sheetId="4097"/>
      <sheetData sheetId="4098"/>
      <sheetData sheetId="4099"/>
      <sheetData sheetId="4100"/>
      <sheetData sheetId="4101"/>
      <sheetData sheetId="4102"/>
      <sheetData sheetId="4103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/>
      <sheetData sheetId="4126"/>
      <sheetData sheetId="4127"/>
      <sheetData sheetId="4128"/>
      <sheetData sheetId="4129"/>
      <sheetData sheetId="4130"/>
      <sheetData sheetId="4131"/>
      <sheetData sheetId="4132"/>
      <sheetData sheetId="4133"/>
      <sheetData sheetId="4134"/>
      <sheetData sheetId="4135"/>
      <sheetData sheetId="4136"/>
      <sheetData sheetId="4137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/>
      <sheetData sheetId="4162"/>
      <sheetData sheetId="4163"/>
      <sheetData sheetId="4164"/>
      <sheetData sheetId="4165"/>
      <sheetData sheetId="4166"/>
      <sheetData sheetId="4167"/>
      <sheetData sheetId="4168"/>
      <sheetData sheetId="4169"/>
      <sheetData sheetId="4170"/>
      <sheetData sheetId="4171"/>
      <sheetData sheetId="4172"/>
      <sheetData sheetId="4173"/>
      <sheetData sheetId="4174"/>
      <sheetData sheetId="4175"/>
      <sheetData sheetId="4176"/>
      <sheetData sheetId="4177"/>
      <sheetData sheetId="4178"/>
      <sheetData sheetId="4179"/>
      <sheetData sheetId="4180"/>
      <sheetData sheetId="4181"/>
      <sheetData sheetId="4182"/>
      <sheetData sheetId="4183"/>
      <sheetData sheetId="4184"/>
      <sheetData sheetId="4185"/>
      <sheetData sheetId="4186"/>
      <sheetData sheetId="4187"/>
      <sheetData sheetId="4188"/>
      <sheetData sheetId="4189"/>
      <sheetData sheetId="4190"/>
      <sheetData sheetId="4191"/>
      <sheetData sheetId="4192"/>
      <sheetData sheetId="4193"/>
      <sheetData sheetId="4194"/>
      <sheetData sheetId="4195"/>
      <sheetData sheetId="4196"/>
      <sheetData sheetId="4197"/>
      <sheetData sheetId="4198"/>
      <sheetData sheetId="4199"/>
      <sheetData sheetId="4200"/>
      <sheetData sheetId="4201"/>
      <sheetData sheetId="4202"/>
      <sheetData sheetId="4203"/>
      <sheetData sheetId="4204"/>
      <sheetData sheetId="4205"/>
      <sheetData sheetId="4206"/>
      <sheetData sheetId="4207"/>
      <sheetData sheetId="4208"/>
      <sheetData sheetId="4209"/>
      <sheetData sheetId="4210"/>
      <sheetData sheetId="4211"/>
      <sheetData sheetId="4212"/>
      <sheetData sheetId="4213"/>
      <sheetData sheetId="4214"/>
      <sheetData sheetId="4215"/>
      <sheetData sheetId="4216"/>
      <sheetData sheetId="4217"/>
      <sheetData sheetId="4218"/>
      <sheetData sheetId="4219"/>
      <sheetData sheetId="4220"/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/>
      <sheetData sheetId="4240"/>
      <sheetData sheetId="4241"/>
      <sheetData sheetId="4242"/>
      <sheetData sheetId="4243"/>
      <sheetData sheetId="4244"/>
      <sheetData sheetId="4245"/>
      <sheetData sheetId="4246"/>
      <sheetData sheetId="4247"/>
      <sheetData sheetId="4248"/>
      <sheetData sheetId="4249"/>
      <sheetData sheetId="4250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/>
      <sheetData sheetId="4280"/>
      <sheetData sheetId="4281"/>
      <sheetData sheetId="4282"/>
      <sheetData sheetId="4283"/>
      <sheetData sheetId="4284"/>
      <sheetData sheetId="4285"/>
      <sheetData sheetId="4286"/>
      <sheetData sheetId="4287"/>
      <sheetData sheetId="4288"/>
      <sheetData sheetId="4289"/>
      <sheetData sheetId="4290"/>
      <sheetData sheetId="4291"/>
      <sheetData sheetId="4292"/>
      <sheetData sheetId="4293"/>
      <sheetData sheetId="4294"/>
      <sheetData sheetId="4295" refreshError="1"/>
      <sheetData sheetId="4296" refreshError="1"/>
      <sheetData sheetId="4297" refreshError="1"/>
      <sheetData sheetId="4298" refreshError="1"/>
      <sheetData sheetId="4299" refreshError="1"/>
      <sheetData sheetId="4300" refreshError="1"/>
      <sheetData sheetId="4301" refreshError="1"/>
      <sheetData sheetId="4302" refreshError="1"/>
      <sheetData sheetId="4303" refreshError="1"/>
      <sheetData sheetId="4304" refreshError="1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 refreshError="1"/>
      <sheetData sheetId="4311"/>
      <sheetData sheetId="4312"/>
      <sheetData sheetId="4313"/>
      <sheetData sheetId="4314"/>
      <sheetData sheetId="4315"/>
      <sheetData sheetId="4316"/>
      <sheetData sheetId="4317"/>
      <sheetData sheetId="4318"/>
      <sheetData sheetId="4319"/>
      <sheetData sheetId="4320"/>
      <sheetData sheetId="4321"/>
      <sheetData sheetId="4322"/>
      <sheetData sheetId="4323"/>
      <sheetData sheetId="4324"/>
      <sheetData sheetId="4325"/>
      <sheetData sheetId="4326"/>
      <sheetData sheetId="4327"/>
      <sheetData sheetId="4328"/>
      <sheetData sheetId="4329"/>
      <sheetData sheetId="4330"/>
      <sheetData sheetId="4331"/>
      <sheetData sheetId="4332"/>
      <sheetData sheetId="4333"/>
      <sheetData sheetId="4334"/>
      <sheetData sheetId="4335"/>
      <sheetData sheetId="4336"/>
      <sheetData sheetId="4337"/>
      <sheetData sheetId="4338"/>
      <sheetData sheetId="4339"/>
      <sheetData sheetId="4340"/>
      <sheetData sheetId="4341"/>
      <sheetData sheetId="4342"/>
      <sheetData sheetId="4343"/>
      <sheetData sheetId="4344"/>
      <sheetData sheetId="4345"/>
      <sheetData sheetId="4346"/>
      <sheetData sheetId="4347"/>
      <sheetData sheetId="4348"/>
      <sheetData sheetId="4349"/>
      <sheetData sheetId="4350"/>
      <sheetData sheetId="4351"/>
      <sheetData sheetId="4352"/>
      <sheetData sheetId="4353"/>
      <sheetData sheetId="4354"/>
      <sheetData sheetId="4355"/>
      <sheetData sheetId="4356"/>
      <sheetData sheetId="4357"/>
      <sheetData sheetId="4358"/>
      <sheetData sheetId="4359"/>
      <sheetData sheetId="4360"/>
      <sheetData sheetId="4361"/>
      <sheetData sheetId="4362"/>
      <sheetData sheetId="4363"/>
      <sheetData sheetId="4364"/>
      <sheetData sheetId="4365"/>
      <sheetData sheetId="4366"/>
      <sheetData sheetId="4367"/>
      <sheetData sheetId="4368"/>
      <sheetData sheetId="4369"/>
      <sheetData sheetId="4370"/>
      <sheetData sheetId="4371"/>
      <sheetData sheetId="4372"/>
      <sheetData sheetId="4373"/>
      <sheetData sheetId="4374"/>
      <sheetData sheetId="4375"/>
      <sheetData sheetId="4376"/>
      <sheetData sheetId="4377"/>
      <sheetData sheetId="4378"/>
      <sheetData sheetId="4379"/>
      <sheetData sheetId="4380"/>
      <sheetData sheetId="4381"/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/>
      <sheetData sheetId="4391"/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/>
      <sheetData sheetId="4408"/>
      <sheetData sheetId="4409"/>
      <sheetData sheetId="4410"/>
      <sheetData sheetId="4411"/>
      <sheetData sheetId="4412"/>
      <sheetData sheetId="4413"/>
      <sheetData sheetId="4414"/>
      <sheetData sheetId="4415"/>
      <sheetData sheetId="4416"/>
      <sheetData sheetId="4417"/>
      <sheetData sheetId="4418"/>
      <sheetData sheetId="4419"/>
      <sheetData sheetId="4420"/>
      <sheetData sheetId="4421"/>
      <sheetData sheetId="4422"/>
      <sheetData sheetId="4423"/>
      <sheetData sheetId="4424"/>
      <sheetData sheetId="4425"/>
      <sheetData sheetId="4426"/>
      <sheetData sheetId="4427"/>
      <sheetData sheetId="4428"/>
      <sheetData sheetId="4429"/>
      <sheetData sheetId="4430"/>
      <sheetData sheetId="4431"/>
      <sheetData sheetId="4432"/>
      <sheetData sheetId="4433"/>
      <sheetData sheetId="4434"/>
      <sheetData sheetId="4435"/>
      <sheetData sheetId="4436"/>
      <sheetData sheetId="4437"/>
      <sheetData sheetId="4438"/>
      <sheetData sheetId="4439"/>
      <sheetData sheetId="4440"/>
      <sheetData sheetId="4441"/>
      <sheetData sheetId="4442"/>
      <sheetData sheetId="4443"/>
      <sheetData sheetId="4444"/>
      <sheetData sheetId="4445"/>
      <sheetData sheetId="4446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 refreshError="1"/>
      <sheetData sheetId="4469" refreshError="1"/>
      <sheetData sheetId="4470" refreshError="1"/>
      <sheetData sheetId="4471"/>
      <sheetData sheetId="4472"/>
      <sheetData sheetId="4473"/>
      <sheetData sheetId="4474"/>
      <sheetData sheetId="4475"/>
      <sheetData sheetId="4476"/>
      <sheetData sheetId="4477"/>
      <sheetData sheetId="4478"/>
      <sheetData sheetId="4479"/>
      <sheetData sheetId="4480"/>
      <sheetData sheetId="4481"/>
      <sheetData sheetId="4482"/>
      <sheetData sheetId="4483"/>
      <sheetData sheetId="4484"/>
      <sheetData sheetId="4485"/>
      <sheetData sheetId="4486"/>
      <sheetData sheetId="4487"/>
      <sheetData sheetId="4488"/>
      <sheetData sheetId="4489"/>
      <sheetData sheetId="4490"/>
      <sheetData sheetId="4491"/>
      <sheetData sheetId="4492"/>
      <sheetData sheetId="4493"/>
      <sheetData sheetId="4494"/>
      <sheetData sheetId="4495"/>
      <sheetData sheetId="4496"/>
      <sheetData sheetId="4497"/>
      <sheetData sheetId="4498"/>
      <sheetData sheetId="4499"/>
      <sheetData sheetId="4500"/>
      <sheetData sheetId="4501"/>
      <sheetData sheetId="4502"/>
      <sheetData sheetId="4503"/>
      <sheetData sheetId="4504"/>
      <sheetData sheetId="4505"/>
      <sheetData sheetId="4506"/>
      <sheetData sheetId="4507"/>
      <sheetData sheetId="4508"/>
      <sheetData sheetId="4509"/>
      <sheetData sheetId="4510"/>
      <sheetData sheetId="4511"/>
      <sheetData sheetId="4512"/>
      <sheetData sheetId="4513"/>
      <sheetData sheetId="4514"/>
      <sheetData sheetId="4515"/>
      <sheetData sheetId="4516"/>
      <sheetData sheetId="4517"/>
      <sheetData sheetId="4518"/>
      <sheetData sheetId="4519"/>
      <sheetData sheetId="4520"/>
      <sheetData sheetId="4521"/>
      <sheetData sheetId="4522"/>
      <sheetData sheetId="4523"/>
      <sheetData sheetId="4524"/>
      <sheetData sheetId="4525"/>
      <sheetData sheetId="4526"/>
      <sheetData sheetId="4527"/>
      <sheetData sheetId="4528"/>
      <sheetData sheetId="4529"/>
      <sheetData sheetId="4530"/>
      <sheetData sheetId="4531"/>
      <sheetData sheetId="4532"/>
      <sheetData sheetId="4533"/>
      <sheetData sheetId="4534"/>
      <sheetData sheetId="4535"/>
      <sheetData sheetId="4536"/>
      <sheetData sheetId="4537"/>
      <sheetData sheetId="4538"/>
      <sheetData sheetId="4539"/>
      <sheetData sheetId="4540"/>
      <sheetData sheetId="4541"/>
      <sheetData sheetId="4542"/>
      <sheetData sheetId="4543"/>
      <sheetData sheetId="4544"/>
      <sheetData sheetId="4545"/>
      <sheetData sheetId="4546"/>
      <sheetData sheetId="4547"/>
      <sheetData sheetId="4548"/>
      <sheetData sheetId="4549"/>
      <sheetData sheetId="4550"/>
      <sheetData sheetId="4551"/>
      <sheetData sheetId="4552"/>
      <sheetData sheetId="4553"/>
      <sheetData sheetId="4554"/>
      <sheetData sheetId="4555"/>
      <sheetData sheetId="4556"/>
      <sheetData sheetId="4557"/>
      <sheetData sheetId="4558"/>
      <sheetData sheetId="4559"/>
      <sheetData sheetId="4560"/>
      <sheetData sheetId="4561"/>
      <sheetData sheetId="4562"/>
      <sheetData sheetId="4563"/>
      <sheetData sheetId="4564"/>
      <sheetData sheetId="4565"/>
      <sheetData sheetId="4566"/>
      <sheetData sheetId="4567"/>
      <sheetData sheetId="4568"/>
      <sheetData sheetId="4569"/>
      <sheetData sheetId="4570"/>
      <sheetData sheetId="4571"/>
      <sheetData sheetId="4572"/>
      <sheetData sheetId="4573"/>
      <sheetData sheetId="4574"/>
      <sheetData sheetId="4575"/>
      <sheetData sheetId="4576"/>
      <sheetData sheetId="4577"/>
      <sheetData sheetId="4578"/>
      <sheetData sheetId="4579"/>
      <sheetData sheetId="4580"/>
      <sheetData sheetId="4581"/>
      <sheetData sheetId="4582"/>
      <sheetData sheetId="4583"/>
      <sheetData sheetId="4584"/>
      <sheetData sheetId="4585"/>
      <sheetData sheetId="4586"/>
      <sheetData sheetId="4587"/>
      <sheetData sheetId="4588"/>
      <sheetData sheetId="4589"/>
      <sheetData sheetId="4590"/>
      <sheetData sheetId="4591"/>
      <sheetData sheetId="4592"/>
      <sheetData sheetId="4593"/>
      <sheetData sheetId="4594"/>
      <sheetData sheetId="4595"/>
      <sheetData sheetId="4596"/>
      <sheetData sheetId="4597"/>
      <sheetData sheetId="4598"/>
      <sheetData sheetId="4599"/>
      <sheetData sheetId="4600"/>
      <sheetData sheetId="4601"/>
      <sheetData sheetId="4602"/>
      <sheetData sheetId="4603"/>
      <sheetData sheetId="4604"/>
      <sheetData sheetId="4605"/>
      <sheetData sheetId="4606"/>
      <sheetData sheetId="4607"/>
      <sheetData sheetId="4608"/>
      <sheetData sheetId="4609"/>
      <sheetData sheetId="4610"/>
      <sheetData sheetId="4611"/>
      <sheetData sheetId="4612"/>
      <sheetData sheetId="4613"/>
      <sheetData sheetId="4614"/>
      <sheetData sheetId="4615"/>
      <sheetData sheetId="4616"/>
      <sheetData sheetId="4617"/>
      <sheetData sheetId="4618"/>
      <sheetData sheetId="4619"/>
      <sheetData sheetId="4620"/>
      <sheetData sheetId="4621"/>
      <sheetData sheetId="4622"/>
      <sheetData sheetId="4623"/>
      <sheetData sheetId="4624"/>
      <sheetData sheetId="4625"/>
      <sheetData sheetId="4626"/>
      <sheetData sheetId="4627"/>
      <sheetData sheetId="4628"/>
      <sheetData sheetId="4629"/>
      <sheetData sheetId="4630"/>
      <sheetData sheetId="4631"/>
      <sheetData sheetId="4632"/>
      <sheetData sheetId="4633"/>
      <sheetData sheetId="4634"/>
      <sheetData sheetId="4635"/>
      <sheetData sheetId="4636"/>
      <sheetData sheetId="4637"/>
      <sheetData sheetId="4638"/>
      <sheetData sheetId="4639"/>
      <sheetData sheetId="4640"/>
      <sheetData sheetId="4641"/>
      <sheetData sheetId="4642"/>
      <sheetData sheetId="4643"/>
      <sheetData sheetId="4644"/>
      <sheetData sheetId="4645"/>
      <sheetData sheetId="4646"/>
      <sheetData sheetId="4647"/>
      <sheetData sheetId="4648"/>
      <sheetData sheetId="4649"/>
      <sheetData sheetId="4650"/>
      <sheetData sheetId="4651"/>
      <sheetData sheetId="4652"/>
      <sheetData sheetId="4653"/>
      <sheetData sheetId="4654"/>
      <sheetData sheetId="4655"/>
      <sheetData sheetId="4656"/>
      <sheetData sheetId="4657"/>
      <sheetData sheetId="4658"/>
      <sheetData sheetId="4659"/>
      <sheetData sheetId="4660"/>
      <sheetData sheetId="4661"/>
      <sheetData sheetId="4662"/>
      <sheetData sheetId="4663"/>
      <sheetData sheetId="4664"/>
      <sheetData sheetId="4665"/>
      <sheetData sheetId="4666"/>
      <sheetData sheetId="4667"/>
      <sheetData sheetId="4668"/>
      <sheetData sheetId="4669"/>
      <sheetData sheetId="4670"/>
      <sheetData sheetId="4671"/>
      <sheetData sheetId="4672"/>
      <sheetData sheetId="4673"/>
      <sheetData sheetId="4674"/>
      <sheetData sheetId="4675"/>
      <sheetData sheetId="4676"/>
      <sheetData sheetId="4677"/>
      <sheetData sheetId="4678"/>
      <sheetData sheetId="4679"/>
      <sheetData sheetId="4680"/>
      <sheetData sheetId="4681"/>
      <sheetData sheetId="4682"/>
      <sheetData sheetId="4683"/>
      <sheetData sheetId="4684"/>
      <sheetData sheetId="4685"/>
      <sheetData sheetId="4686"/>
      <sheetData sheetId="4687"/>
      <sheetData sheetId="4688"/>
      <sheetData sheetId="4689"/>
      <sheetData sheetId="4690"/>
      <sheetData sheetId="4691"/>
      <sheetData sheetId="4692"/>
      <sheetData sheetId="4693"/>
      <sheetData sheetId="4694"/>
      <sheetData sheetId="4695"/>
      <sheetData sheetId="4696"/>
      <sheetData sheetId="4697"/>
      <sheetData sheetId="4698"/>
      <sheetData sheetId="4699"/>
      <sheetData sheetId="4700"/>
      <sheetData sheetId="4701"/>
      <sheetData sheetId="4702"/>
      <sheetData sheetId="4703"/>
      <sheetData sheetId="4704"/>
      <sheetData sheetId="4705"/>
      <sheetData sheetId="4706"/>
      <sheetData sheetId="4707"/>
      <sheetData sheetId="4708"/>
      <sheetData sheetId="4709"/>
      <sheetData sheetId="4710"/>
      <sheetData sheetId="4711"/>
      <sheetData sheetId="4712"/>
      <sheetData sheetId="4713"/>
      <sheetData sheetId="4714"/>
      <sheetData sheetId="4715"/>
      <sheetData sheetId="4716"/>
      <sheetData sheetId="4717"/>
      <sheetData sheetId="4718"/>
      <sheetData sheetId="4719"/>
      <sheetData sheetId="4720"/>
      <sheetData sheetId="4721"/>
      <sheetData sheetId="4722"/>
      <sheetData sheetId="4723"/>
      <sheetData sheetId="4724"/>
      <sheetData sheetId="4725"/>
      <sheetData sheetId="4726"/>
      <sheetData sheetId="4727"/>
      <sheetData sheetId="4728"/>
      <sheetData sheetId="4729"/>
      <sheetData sheetId="4730"/>
      <sheetData sheetId="4731"/>
      <sheetData sheetId="4732"/>
      <sheetData sheetId="4733"/>
      <sheetData sheetId="4734"/>
      <sheetData sheetId="4735"/>
      <sheetData sheetId="4736"/>
      <sheetData sheetId="4737"/>
      <sheetData sheetId="4738"/>
      <sheetData sheetId="4739"/>
      <sheetData sheetId="4740"/>
      <sheetData sheetId="4741"/>
      <sheetData sheetId="4742"/>
      <sheetData sheetId="4743"/>
      <sheetData sheetId="4744"/>
      <sheetData sheetId="4745"/>
      <sheetData sheetId="4746"/>
      <sheetData sheetId="4747"/>
      <sheetData sheetId="4748"/>
      <sheetData sheetId="4749"/>
      <sheetData sheetId="4750"/>
      <sheetData sheetId="4751"/>
      <sheetData sheetId="4752"/>
      <sheetData sheetId="4753"/>
      <sheetData sheetId="4754"/>
      <sheetData sheetId="4755"/>
      <sheetData sheetId="4756"/>
      <sheetData sheetId="4757"/>
      <sheetData sheetId="4758"/>
      <sheetData sheetId="4759"/>
      <sheetData sheetId="4760"/>
      <sheetData sheetId="4761"/>
      <sheetData sheetId="4762"/>
      <sheetData sheetId="4763"/>
      <sheetData sheetId="4764"/>
      <sheetData sheetId="4765"/>
      <sheetData sheetId="4766"/>
      <sheetData sheetId="4767"/>
      <sheetData sheetId="4768"/>
      <sheetData sheetId="4769"/>
      <sheetData sheetId="4770"/>
      <sheetData sheetId="4771"/>
      <sheetData sheetId="4772"/>
      <sheetData sheetId="4773"/>
      <sheetData sheetId="4774"/>
      <sheetData sheetId="4775"/>
      <sheetData sheetId="4776"/>
      <sheetData sheetId="4777"/>
      <sheetData sheetId="4778"/>
      <sheetData sheetId="4779"/>
      <sheetData sheetId="4780"/>
      <sheetData sheetId="4781"/>
      <sheetData sheetId="4782"/>
      <sheetData sheetId="4783"/>
      <sheetData sheetId="4784"/>
      <sheetData sheetId="4785"/>
      <sheetData sheetId="4786"/>
      <sheetData sheetId="4787"/>
      <sheetData sheetId="4788"/>
      <sheetData sheetId="4789"/>
      <sheetData sheetId="4790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/>
      <sheetData sheetId="4820"/>
      <sheetData sheetId="4821"/>
      <sheetData sheetId="4822"/>
      <sheetData sheetId="4823"/>
      <sheetData sheetId="4824"/>
      <sheetData sheetId="4825"/>
      <sheetData sheetId="4826"/>
      <sheetData sheetId="4827"/>
      <sheetData sheetId="4828"/>
      <sheetData sheetId="4829"/>
      <sheetData sheetId="4830"/>
      <sheetData sheetId="4831"/>
      <sheetData sheetId="4832"/>
      <sheetData sheetId="4833"/>
      <sheetData sheetId="4834"/>
      <sheetData sheetId="4835"/>
      <sheetData sheetId="4836"/>
      <sheetData sheetId="4837"/>
      <sheetData sheetId="4838"/>
      <sheetData sheetId="4839"/>
      <sheetData sheetId="4840" refreshError="1"/>
      <sheetData sheetId="4841" refreshError="1"/>
      <sheetData sheetId="4842"/>
      <sheetData sheetId="4843"/>
      <sheetData sheetId="4844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/>
      <sheetData sheetId="4862" refreshError="1"/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 refreshError="1"/>
      <sheetData sheetId="4876" refreshError="1"/>
      <sheetData sheetId="4877" refreshError="1"/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 refreshError="1"/>
      <sheetData sheetId="4885"/>
      <sheetData sheetId="4886"/>
      <sheetData sheetId="4887"/>
      <sheetData sheetId="4888"/>
      <sheetData sheetId="4889"/>
      <sheetData sheetId="4890"/>
      <sheetData sheetId="4891"/>
      <sheetData sheetId="4892"/>
      <sheetData sheetId="4893"/>
      <sheetData sheetId="4894"/>
      <sheetData sheetId="4895"/>
      <sheetData sheetId="4896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/>
      <sheetData sheetId="4906"/>
      <sheetData sheetId="4907"/>
      <sheetData sheetId="4908"/>
      <sheetData sheetId="4909"/>
      <sheetData sheetId="4910"/>
      <sheetData sheetId="4911"/>
      <sheetData sheetId="4912"/>
      <sheetData sheetId="4913"/>
      <sheetData sheetId="4914"/>
      <sheetData sheetId="4915"/>
      <sheetData sheetId="4916"/>
      <sheetData sheetId="4917"/>
      <sheetData sheetId="4918"/>
      <sheetData sheetId="4919"/>
      <sheetData sheetId="4920"/>
      <sheetData sheetId="4921"/>
      <sheetData sheetId="4922"/>
      <sheetData sheetId="4923"/>
      <sheetData sheetId="4924"/>
      <sheetData sheetId="4925"/>
      <sheetData sheetId="4926"/>
      <sheetData sheetId="4927"/>
      <sheetData sheetId="4928"/>
      <sheetData sheetId="4929"/>
      <sheetData sheetId="4930"/>
      <sheetData sheetId="4931"/>
      <sheetData sheetId="4932"/>
      <sheetData sheetId="4933"/>
      <sheetData sheetId="4934"/>
      <sheetData sheetId="4935"/>
      <sheetData sheetId="4936"/>
      <sheetData sheetId="4937"/>
      <sheetData sheetId="4938"/>
      <sheetData sheetId="4939"/>
      <sheetData sheetId="4940"/>
      <sheetData sheetId="4941"/>
      <sheetData sheetId="4942"/>
      <sheetData sheetId="4943"/>
      <sheetData sheetId="4944"/>
      <sheetData sheetId="4945"/>
      <sheetData sheetId="4946"/>
      <sheetData sheetId="4947"/>
      <sheetData sheetId="4948"/>
      <sheetData sheetId="4949"/>
      <sheetData sheetId="4950"/>
      <sheetData sheetId="4951"/>
      <sheetData sheetId="4952"/>
      <sheetData sheetId="4953" refreshError="1"/>
      <sheetData sheetId="4954" refreshError="1"/>
      <sheetData sheetId="4955" refreshError="1"/>
      <sheetData sheetId="4956" refreshError="1"/>
      <sheetData sheetId="4957" refreshError="1"/>
      <sheetData sheetId="4958" refreshError="1"/>
      <sheetData sheetId="4959" refreshError="1"/>
      <sheetData sheetId="4960" refreshError="1"/>
      <sheetData sheetId="4961" refreshError="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/>
      <sheetData sheetId="4968"/>
      <sheetData sheetId="4969"/>
      <sheetData sheetId="4970"/>
      <sheetData sheetId="4971"/>
      <sheetData sheetId="4972"/>
      <sheetData sheetId="4973"/>
      <sheetData sheetId="4974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 refreshError="1"/>
      <sheetData sheetId="4981" refreshError="1"/>
      <sheetData sheetId="4982" refreshError="1"/>
      <sheetData sheetId="4983"/>
      <sheetData sheetId="4984"/>
      <sheetData sheetId="4985"/>
      <sheetData sheetId="4986"/>
      <sheetData sheetId="4987"/>
      <sheetData sheetId="4988"/>
      <sheetData sheetId="4989"/>
      <sheetData sheetId="4990"/>
      <sheetData sheetId="4991"/>
      <sheetData sheetId="4992"/>
      <sheetData sheetId="4993"/>
      <sheetData sheetId="4994"/>
      <sheetData sheetId="4995"/>
      <sheetData sheetId="4996"/>
      <sheetData sheetId="4997"/>
      <sheetData sheetId="4998"/>
      <sheetData sheetId="4999"/>
      <sheetData sheetId="5000" refreshError="1"/>
      <sheetData sheetId="5001" refreshError="1"/>
      <sheetData sheetId="5002" refreshError="1"/>
      <sheetData sheetId="5003" refreshError="1"/>
      <sheetData sheetId="5004" refreshError="1"/>
      <sheetData sheetId="5005"/>
      <sheetData sheetId="5006" refreshError="1"/>
      <sheetData sheetId="5007" refreshError="1"/>
      <sheetData sheetId="5008" refreshError="1"/>
      <sheetData sheetId="5009" refreshError="1"/>
      <sheetData sheetId="5010" refreshError="1"/>
      <sheetData sheetId="5011" refreshError="1"/>
      <sheetData sheetId="5012" refreshError="1"/>
      <sheetData sheetId="5013" refreshError="1"/>
      <sheetData sheetId="5014" refreshError="1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/>
      <sheetData sheetId="5022" refreshError="1"/>
      <sheetData sheetId="5023" refreshError="1"/>
      <sheetData sheetId="5024" refreshError="1"/>
      <sheetData sheetId="5025" refreshError="1"/>
      <sheetData sheetId="5026" refreshError="1"/>
      <sheetData sheetId="5027" refreshError="1"/>
      <sheetData sheetId="5028" refreshError="1"/>
      <sheetData sheetId="5029" refreshError="1"/>
      <sheetData sheetId="5030"/>
      <sheetData sheetId="5031" refreshError="1"/>
      <sheetData sheetId="5032" refreshError="1"/>
      <sheetData sheetId="5033" refreshError="1"/>
      <sheetData sheetId="5034" refreshError="1"/>
      <sheetData sheetId="5035" refreshError="1"/>
      <sheetData sheetId="5036" refreshError="1"/>
      <sheetData sheetId="5037" refreshError="1"/>
      <sheetData sheetId="5038" refreshError="1"/>
      <sheetData sheetId="5039" refreshError="1"/>
      <sheetData sheetId="5040" refreshError="1"/>
      <sheetData sheetId="5041" refreshError="1"/>
      <sheetData sheetId="5042" refreshError="1"/>
      <sheetData sheetId="5043" refreshError="1"/>
      <sheetData sheetId="5044" refreshError="1"/>
      <sheetData sheetId="5045" refreshError="1"/>
      <sheetData sheetId="5046" refreshError="1"/>
      <sheetData sheetId="5047" refreshError="1"/>
      <sheetData sheetId="5048" refreshError="1"/>
      <sheetData sheetId="5049" refreshError="1"/>
      <sheetData sheetId="5050" refreshError="1"/>
      <sheetData sheetId="5051" refreshError="1"/>
      <sheetData sheetId="5052" refreshError="1"/>
      <sheetData sheetId="5053" refreshError="1"/>
      <sheetData sheetId="5054" refreshError="1"/>
      <sheetData sheetId="5055" refreshError="1"/>
      <sheetData sheetId="5056" refreshError="1"/>
      <sheetData sheetId="5057" refreshError="1"/>
      <sheetData sheetId="5058" refreshError="1"/>
      <sheetData sheetId="5059" refreshError="1"/>
      <sheetData sheetId="5060" refreshError="1"/>
      <sheetData sheetId="5061"/>
      <sheetData sheetId="5062"/>
      <sheetData sheetId="5063"/>
      <sheetData sheetId="5064"/>
      <sheetData sheetId="5065"/>
      <sheetData sheetId="5066"/>
      <sheetData sheetId="5067"/>
      <sheetData sheetId="5068"/>
      <sheetData sheetId="5069"/>
      <sheetData sheetId="5070"/>
      <sheetData sheetId="5071"/>
      <sheetData sheetId="5072"/>
      <sheetData sheetId="5073"/>
      <sheetData sheetId="5074"/>
      <sheetData sheetId="5075"/>
      <sheetData sheetId="5076"/>
      <sheetData sheetId="5077"/>
      <sheetData sheetId="5078"/>
      <sheetData sheetId="5079"/>
      <sheetData sheetId="5080"/>
      <sheetData sheetId="5081"/>
      <sheetData sheetId="5082"/>
      <sheetData sheetId="5083"/>
      <sheetData sheetId="5084"/>
      <sheetData sheetId="5085"/>
      <sheetData sheetId="5086"/>
      <sheetData sheetId="5087"/>
      <sheetData sheetId="5088"/>
      <sheetData sheetId="5089"/>
      <sheetData sheetId="5090"/>
      <sheetData sheetId="5091"/>
      <sheetData sheetId="5092"/>
      <sheetData sheetId="5093"/>
      <sheetData sheetId="5094"/>
      <sheetData sheetId="5095"/>
      <sheetData sheetId="5096"/>
      <sheetData sheetId="5097"/>
      <sheetData sheetId="5098"/>
      <sheetData sheetId="5099"/>
      <sheetData sheetId="5100"/>
      <sheetData sheetId="5101"/>
      <sheetData sheetId="5102"/>
      <sheetData sheetId="5103"/>
      <sheetData sheetId="5104"/>
      <sheetData sheetId="5105"/>
      <sheetData sheetId="5106"/>
      <sheetData sheetId="5107"/>
      <sheetData sheetId="5108"/>
      <sheetData sheetId="5109"/>
      <sheetData sheetId="5110"/>
      <sheetData sheetId="5111"/>
      <sheetData sheetId="5112"/>
      <sheetData sheetId="5113"/>
      <sheetData sheetId="5114"/>
      <sheetData sheetId="5115"/>
      <sheetData sheetId="5116"/>
      <sheetData sheetId="5117"/>
      <sheetData sheetId="5118"/>
      <sheetData sheetId="5119"/>
      <sheetData sheetId="5120"/>
      <sheetData sheetId="5121"/>
      <sheetData sheetId="5122"/>
      <sheetData sheetId="5123"/>
      <sheetData sheetId="5124"/>
      <sheetData sheetId="5125"/>
      <sheetData sheetId="5126"/>
      <sheetData sheetId="5127"/>
      <sheetData sheetId="5128"/>
      <sheetData sheetId="5129"/>
      <sheetData sheetId="5130"/>
      <sheetData sheetId="5131"/>
      <sheetData sheetId="5132"/>
      <sheetData sheetId="5133"/>
      <sheetData sheetId="5134"/>
      <sheetData sheetId="5135"/>
      <sheetData sheetId="5136"/>
      <sheetData sheetId="5137"/>
      <sheetData sheetId="5138"/>
      <sheetData sheetId="5139"/>
      <sheetData sheetId="5140"/>
      <sheetData sheetId="5141"/>
      <sheetData sheetId="5142"/>
      <sheetData sheetId="5143"/>
      <sheetData sheetId="5144"/>
      <sheetData sheetId="5145"/>
      <sheetData sheetId="5146"/>
      <sheetData sheetId="5147"/>
      <sheetData sheetId="5148"/>
      <sheetData sheetId="5149"/>
      <sheetData sheetId="5150"/>
      <sheetData sheetId="5151"/>
      <sheetData sheetId="5152"/>
      <sheetData sheetId="5153"/>
      <sheetData sheetId="5154"/>
      <sheetData sheetId="5155"/>
      <sheetData sheetId="5156"/>
      <sheetData sheetId="5157"/>
      <sheetData sheetId="5158"/>
      <sheetData sheetId="5159"/>
      <sheetData sheetId="5160"/>
      <sheetData sheetId="5161"/>
      <sheetData sheetId="5162"/>
      <sheetData sheetId="5163"/>
      <sheetData sheetId="5164"/>
      <sheetData sheetId="5165"/>
      <sheetData sheetId="5166"/>
      <sheetData sheetId="5167"/>
      <sheetData sheetId="5168"/>
      <sheetData sheetId="5169"/>
      <sheetData sheetId="5170"/>
      <sheetData sheetId="5171"/>
      <sheetData sheetId="5172"/>
      <sheetData sheetId="5173"/>
      <sheetData sheetId="5174"/>
      <sheetData sheetId="5175"/>
      <sheetData sheetId="5176"/>
      <sheetData sheetId="5177"/>
      <sheetData sheetId="5178"/>
      <sheetData sheetId="5179"/>
      <sheetData sheetId="5180"/>
      <sheetData sheetId="5181"/>
      <sheetData sheetId="5182"/>
      <sheetData sheetId="5183"/>
      <sheetData sheetId="5184"/>
      <sheetData sheetId="5185"/>
      <sheetData sheetId="5186"/>
      <sheetData sheetId="5187"/>
      <sheetData sheetId="5188"/>
      <sheetData sheetId="5189"/>
      <sheetData sheetId="5190"/>
      <sheetData sheetId="5191"/>
      <sheetData sheetId="5192"/>
      <sheetData sheetId="5193"/>
      <sheetData sheetId="5194"/>
      <sheetData sheetId="5195"/>
      <sheetData sheetId="5196"/>
      <sheetData sheetId="5197"/>
      <sheetData sheetId="5198"/>
      <sheetData sheetId="5199"/>
      <sheetData sheetId="5200"/>
      <sheetData sheetId="5201"/>
      <sheetData sheetId="5202"/>
      <sheetData sheetId="5203"/>
      <sheetData sheetId="5204"/>
      <sheetData sheetId="5205"/>
      <sheetData sheetId="5206"/>
      <sheetData sheetId="5207"/>
      <sheetData sheetId="5208"/>
      <sheetData sheetId="5209"/>
      <sheetData sheetId="5210"/>
      <sheetData sheetId="5211"/>
      <sheetData sheetId="5212"/>
      <sheetData sheetId="5213"/>
      <sheetData sheetId="5214"/>
      <sheetData sheetId="5215"/>
      <sheetData sheetId="5216"/>
      <sheetData sheetId="5217"/>
      <sheetData sheetId="5218"/>
      <sheetData sheetId="5219"/>
      <sheetData sheetId="5220"/>
      <sheetData sheetId="5221"/>
      <sheetData sheetId="5222"/>
      <sheetData sheetId="5223"/>
      <sheetData sheetId="5224"/>
      <sheetData sheetId="5225"/>
      <sheetData sheetId="5226"/>
      <sheetData sheetId="5227"/>
      <sheetData sheetId="5228"/>
      <sheetData sheetId="5229"/>
      <sheetData sheetId="5230"/>
      <sheetData sheetId="5231"/>
      <sheetData sheetId="5232"/>
      <sheetData sheetId="5233"/>
      <sheetData sheetId="5234"/>
      <sheetData sheetId="5235"/>
      <sheetData sheetId="5236"/>
      <sheetData sheetId="5237"/>
      <sheetData sheetId="5238"/>
      <sheetData sheetId="5239"/>
      <sheetData sheetId="5240"/>
      <sheetData sheetId="5241"/>
      <sheetData sheetId="5242"/>
      <sheetData sheetId="5243"/>
      <sheetData sheetId="5244"/>
      <sheetData sheetId="5245"/>
      <sheetData sheetId="5246"/>
      <sheetData sheetId="5247"/>
      <sheetData sheetId="5248"/>
      <sheetData sheetId="5249"/>
      <sheetData sheetId="5250"/>
      <sheetData sheetId="5251"/>
      <sheetData sheetId="5252"/>
      <sheetData sheetId="5253"/>
      <sheetData sheetId="5254"/>
      <sheetData sheetId="5255"/>
      <sheetData sheetId="5256"/>
      <sheetData sheetId="5257"/>
      <sheetData sheetId="5258"/>
      <sheetData sheetId="5259"/>
      <sheetData sheetId="5260"/>
      <sheetData sheetId="5261"/>
      <sheetData sheetId="5262"/>
      <sheetData sheetId="5263"/>
      <sheetData sheetId="5264"/>
      <sheetData sheetId="5265"/>
      <sheetData sheetId="5266"/>
      <sheetData sheetId="5267"/>
      <sheetData sheetId="5268"/>
      <sheetData sheetId="5269"/>
      <sheetData sheetId="5270"/>
      <sheetData sheetId="5271"/>
      <sheetData sheetId="5272"/>
      <sheetData sheetId="5273"/>
      <sheetData sheetId="5274"/>
      <sheetData sheetId="5275"/>
      <sheetData sheetId="5276"/>
      <sheetData sheetId="527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확약서"/>
      <sheetName val="실행하도사항"/>
      <sheetName val="실행별지"/>
      <sheetName val="실행하도잡비"/>
      <sheetName val="실행토공하도"/>
      <sheetName val="실행철콘하도"/>
      <sheetName val="실행철강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s"/>
      <sheetName val="조명시설"/>
      <sheetName val="DB구축"/>
      <sheetName val="수정시산표"/>
      <sheetName val="내역서"/>
      <sheetName val="단가산출서"/>
      <sheetName val="설계명세서"/>
      <sheetName val="배수관토공산출"/>
      <sheetName val="개산공사비"/>
      <sheetName val="Sheet1"/>
      <sheetName val="일위대가"/>
      <sheetName val="재료비"/>
      <sheetName val="수량산출"/>
      <sheetName val="인건-측정"/>
      <sheetName val="Sheet13"/>
      <sheetName val="시중노임"/>
      <sheetName val="토적표"/>
      <sheetName val="부경대총괄내역서"/>
      <sheetName val="예총"/>
      <sheetName val="건축공사"/>
      <sheetName val="BI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관급자재조서-수정전원본"/>
      <sheetName val="노임단가"/>
      <sheetName val="실행철강하도"/>
      <sheetName val="예총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과"/>
      <sheetName val="총괄표"/>
      <sheetName val="B-재료1"/>
      <sheetName val="㎡당도장비"/>
      <sheetName val="간재"/>
      <sheetName val="C-직노1"/>
      <sheetName val="간노율"/>
      <sheetName val="C-임금계"/>
      <sheetName val="D-경비1"/>
      <sheetName val="J-경배부"/>
      <sheetName val="경조정"/>
      <sheetName val="운반비"/>
      <sheetName val="L-일반비"/>
      <sheetName val="금화손익"/>
      <sheetName val="금화제조"/>
      <sheetName val="내역서"/>
      <sheetName val="총괄"/>
      <sheetName val="재집"/>
      <sheetName val="직재"/>
      <sheetName val="기타소모"/>
      <sheetName val="노집"/>
      <sheetName val="직노"/>
      <sheetName val="노공"/>
      <sheetName val="임율"/>
      <sheetName val="간노비"/>
      <sheetName val="임금"/>
      <sheetName val="임금 (2)"/>
      <sheetName val="경비"/>
      <sheetName val="배부"/>
      <sheetName val="조정액"/>
      <sheetName val="감가상각비"/>
      <sheetName val="일반"/>
      <sheetName val="일반비율"/>
      <sheetName val="이윤"/>
      <sheetName val="이윤비율"/>
      <sheetName val="대차"/>
      <sheetName val="손익"/>
      <sheetName val="제조"/>
      <sheetName val="대차(3)"/>
      <sheetName val="손익 (3)"/>
      <sheetName val="제조 (3)"/>
      <sheetName val="기업"/>
      <sheetName val="설직재-1"/>
      <sheetName val="금액내역서"/>
      <sheetName val="#REF"/>
      <sheetName val="일위대가(4층원격)"/>
      <sheetName val="일위대가"/>
      <sheetName val="N賃率-職"/>
      <sheetName val="CABLE SIZE-3"/>
      <sheetName val="J直材4"/>
      <sheetName val="C_직노1"/>
      <sheetName val="D_경비1"/>
      <sheetName val="일위대가목록"/>
      <sheetName val="제직재"/>
      <sheetName val="부하계산서"/>
      <sheetName val="3-1-3.센터설비"/>
      <sheetName val="원가계산"/>
      <sheetName val="갑지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노임단가"/>
      <sheetName val="원가계산서"/>
      <sheetName val="현장설비"/>
      <sheetName val="시스템안내표지판"/>
      <sheetName val="센터"/>
      <sheetName val="VMS및서버"/>
      <sheetName val="I一般比"/>
      <sheetName val="대운산출"/>
      <sheetName val="SG"/>
      <sheetName val="ilch"/>
      <sheetName val="Sheet1 (2)"/>
      <sheetName val="수량산출"/>
      <sheetName val="6PILE  (돌출)"/>
      <sheetName val="집계표"/>
      <sheetName val="토지집기류"/>
      <sheetName val="Sheet5"/>
      <sheetName val="기계"/>
      <sheetName val="1.우편집중내역서"/>
      <sheetName val="인공LIST"/>
      <sheetName val="노임"/>
      <sheetName val="INQUIRY FORMAT FCL EXPO"/>
      <sheetName val="일위대가목차"/>
      <sheetName val="집계"/>
      <sheetName val="기본일위"/>
      <sheetName val="내역서2안"/>
      <sheetName val="실행내역"/>
      <sheetName val="임금_(2)"/>
      <sheetName val="손익_(3)"/>
      <sheetName val="제조_(3)"/>
      <sheetName val="CABLE_SIZE-3"/>
      <sheetName val="임금_(2)1"/>
      <sheetName val="손익_(3)1"/>
      <sheetName val="제조_(3)1"/>
      <sheetName val="CABLE_SIZE-31"/>
      <sheetName val="data2"/>
      <sheetName val="CTEMCOST"/>
      <sheetName val="비전경영계획"/>
      <sheetName val="단가조사"/>
      <sheetName val="b_balju_cho"/>
      <sheetName val="Sheet1"/>
      <sheetName val="일위(PN)"/>
      <sheetName val="조명시설"/>
      <sheetName val="U-TYPE(1)"/>
      <sheetName val="토목주소"/>
      <sheetName val="견적서세부내용"/>
      <sheetName val="견적내용입력"/>
      <sheetName val="담장설치공사"/>
      <sheetName val="이토변실(A3-LINE)"/>
      <sheetName val="표지설명"/>
      <sheetName val="예가표"/>
      <sheetName val="설치공사"/>
      <sheetName val="SCHEDULE"/>
      <sheetName val="단가"/>
      <sheetName val="임율산출"/>
      <sheetName val="PROCURE"/>
      <sheetName val="연돌일위집계"/>
      <sheetName val="하부철근수량"/>
      <sheetName val="단가산출"/>
      <sheetName val="Y-WORK"/>
      <sheetName val="방송(체육관)"/>
      <sheetName val="대,유,램"/>
      <sheetName val="설계조건"/>
      <sheetName val="작동(원)"/>
      <sheetName val="총집"/>
      <sheetName val="적용단가"/>
      <sheetName val="YES-T"/>
      <sheetName val="품목"/>
      <sheetName val="단면 (2)"/>
      <sheetName val="부하(성남)"/>
      <sheetName val="단가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실행철강하도"/>
      <sheetName val="원계약서"/>
      <sheetName val="전기계산"/>
      <sheetName val="新철폐복2"/>
      <sheetName val="新철폐복3"/>
      <sheetName val="⑻동원인원산출서⑧"/>
      <sheetName val="新철폐복"/>
      <sheetName val="노임단가"/>
      <sheetName val="bid"/>
      <sheetName val="조명시설"/>
      <sheetName val="Sheet1"/>
      <sheetName val="COPING"/>
      <sheetName val="원가서"/>
      <sheetName val="2.건축"/>
      <sheetName val="s"/>
      <sheetName val="일위대가(1)"/>
    </sheetNames>
    <sheetDataSet>
      <sheetData sheetId="0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N賃率-職"/>
      <sheetName val="1.수인터널"/>
      <sheetName val="대치판정"/>
      <sheetName val="일위"/>
      <sheetName val="출력X"/>
      <sheetName val="원가 (2)"/>
      <sheetName val="흄관기초"/>
      <sheetName val="#REF"/>
      <sheetName val="Sheet2"/>
      <sheetName val="신우"/>
      <sheetName val="N賃率_職"/>
      <sheetName val="J直材4"/>
      <sheetName val="중기사용료"/>
      <sheetName val="연습"/>
      <sheetName val="I一般比"/>
      <sheetName val="설직재-1"/>
      <sheetName val="직노"/>
      <sheetName val="9GNG운반"/>
      <sheetName val="직재"/>
      <sheetName val="단가산출2"/>
      <sheetName val="Sheet1"/>
      <sheetName val="전기2005"/>
      <sheetName val="통신2005"/>
      <sheetName val="한강운반비"/>
      <sheetName val="Sheet3"/>
      <sheetName val="Total"/>
      <sheetName val="참조자료"/>
      <sheetName val="낙찰표"/>
      <sheetName val="심사물량"/>
      <sheetName val="심사계산"/>
      <sheetName val="집계표"/>
      <sheetName val="TYPE-A"/>
      <sheetName val="K-SET1"/>
      <sheetName val="자재단가"/>
      <sheetName val="인건-측정"/>
      <sheetName val="20관리비율"/>
      <sheetName val="일위대가"/>
      <sheetName val="HW일위"/>
      <sheetName val="품셈TABLE"/>
      <sheetName val="원본(갑지)"/>
      <sheetName val="기본일위"/>
      <sheetName val="하조서"/>
      <sheetName val="단"/>
      <sheetName val="DATE"/>
      <sheetName val="입찰안"/>
      <sheetName val="PANEL_중량산출"/>
      <sheetName val="원가_(2)"/>
      <sheetName val="유기공정"/>
      <sheetName val="제-노임"/>
      <sheetName val="제직재"/>
      <sheetName val="매출피벗"/>
      <sheetName val="200"/>
      <sheetName val="인건비"/>
      <sheetName val="ABUT수량-A1"/>
      <sheetName val="전신환매도율"/>
      <sheetName val="부하"/>
      <sheetName val="노임단가"/>
      <sheetName val="견적서"/>
      <sheetName val="DB"/>
      <sheetName val="공사개요"/>
      <sheetName val="맨홀"/>
      <sheetName val="일위대가목차"/>
      <sheetName val="98NS-N"/>
      <sheetName val="조명시설"/>
      <sheetName val="대로근거"/>
      <sheetName val="기초공"/>
      <sheetName val="주차구획선수량"/>
      <sheetName val="Sheet22"/>
      <sheetName val="물량산출"/>
      <sheetName val="품셈총괄표"/>
      <sheetName val="1안"/>
      <sheetName val="총괄"/>
      <sheetName val="월별수입"/>
      <sheetName val="현금흐름표"/>
      <sheetName val="소요자재"/>
      <sheetName val="실행철강하도"/>
      <sheetName val="PAD TR보호대기초"/>
      <sheetName val="SLAB&quot;1&quot;"/>
      <sheetName val="평균터파기고(1-2,ASP)"/>
      <sheetName val="구조물터파기수량집계"/>
      <sheetName val="측구터파기공수량집계"/>
      <sheetName val="배수공 시멘트 및 골재량 산출"/>
      <sheetName val="6PILE  (돌출)"/>
      <sheetName val="新철폐복2"/>
      <sheetName val="新철폐복3"/>
      <sheetName val="날개벽수량표"/>
      <sheetName val="견적계산"/>
      <sheetName val="5.2코핑"/>
      <sheetName val="평자재단가"/>
      <sheetName val="SANTOGO"/>
      <sheetName val="인사자료총집계"/>
      <sheetName val="현금예금"/>
      <sheetName val="일위대가1"/>
      <sheetName val="집계"/>
      <sheetName val="외주현황.wq1"/>
      <sheetName val="지하"/>
      <sheetName val="과천MAIN"/>
      <sheetName val="도면명"/>
      <sheetName val="산출내역서"/>
      <sheetName val="6호기"/>
      <sheetName val="토목주소"/>
      <sheetName val="프랜트면허"/>
      <sheetName val="실행"/>
      <sheetName val="코드표"/>
      <sheetName val="금호"/>
      <sheetName val="교통대책내역"/>
      <sheetName val="fursys"/>
      <sheetName val="환율change"/>
      <sheetName val="기존단가 (2)"/>
      <sheetName val="내역"/>
      <sheetName val="갑지(추정)"/>
      <sheetName val="시화점실행"/>
      <sheetName val="내역서변경성원"/>
      <sheetName val="내역서1999.8최종"/>
      <sheetName val="단가산출"/>
      <sheetName val="을지"/>
      <sheetName val="일보_생산"/>
      <sheetName val="자재단가표"/>
      <sheetName val="DATA"/>
      <sheetName val="한일양산"/>
      <sheetName val="제출내역 (2)"/>
      <sheetName val="sw1"/>
      <sheetName val="합천내역"/>
      <sheetName val="계수시트"/>
      <sheetName val="원가계산서"/>
      <sheetName val="G.R300경비"/>
      <sheetName val="EQT-ESTN"/>
      <sheetName val="EL90"/>
      <sheetName val="공사내역"/>
      <sheetName val="제출견적(을)"/>
      <sheetName val="요율"/>
      <sheetName val="평3"/>
      <sheetName val="설계내역서"/>
      <sheetName val="각형맨홀"/>
      <sheetName val="약품공급2"/>
      <sheetName val="01"/>
      <sheetName val="공사원가계산서"/>
      <sheetName val="토공총괄표"/>
      <sheetName val="종단계산"/>
      <sheetName val="변경후-SHEET"/>
      <sheetName val="간접경상비"/>
      <sheetName val="외화계약"/>
      <sheetName val="환경평가"/>
      <sheetName val="인구"/>
      <sheetName val="노무비"/>
      <sheetName val="15100"/>
      <sheetName val="명세서(을)"/>
      <sheetName val="품셈표"/>
      <sheetName val="신재료비"/>
      <sheetName val="사업장공제"/>
      <sheetName val="수정시산표"/>
      <sheetName val="품셈적용 자료"/>
      <sheetName val="rate"/>
      <sheetName val="실행내역"/>
      <sheetName val="포장공"/>
      <sheetName val="간접재료비산출표-27-30"/>
      <sheetName val="RFP견적물량(60%)"/>
      <sheetName val="점수계산1-2"/>
      <sheetName val="TS"/>
      <sheetName val="골조"/>
      <sheetName val="플랜트 설치"/>
      <sheetName val="여과지동"/>
      <sheetName val="기초자료"/>
      <sheetName val="준검 내역서"/>
      <sheetName val="차액보증"/>
      <sheetName val="시중노임단가"/>
      <sheetName val="토공 total"/>
      <sheetName val="공사설계서"/>
      <sheetName val="변경내역을"/>
      <sheetName val="TEL"/>
      <sheetName val="기준자료"/>
      <sheetName val="추가예산"/>
      <sheetName val="금주1교"/>
      <sheetName val="입적표"/>
      <sheetName val="충주"/>
      <sheetName val="내역표지"/>
      <sheetName val="목차"/>
      <sheetName val="부대공(집계)"/>
      <sheetName val="포장단면별단위수량"/>
      <sheetName val="용소리교"/>
      <sheetName val="ACUNIT"/>
      <sheetName val="구조물공"/>
      <sheetName val="실행예산"/>
      <sheetName val="침하계"/>
      <sheetName val="손익분석"/>
      <sheetName val="금융비용"/>
      <sheetName val="잔수량(작성)"/>
      <sheetName val="SULKEA"/>
      <sheetName val="원형1호맨홀토공수량"/>
      <sheetName val="접속도로1"/>
      <sheetName val="년도별시공"/>
      <sheetName val="품목"/>
      <sheetName val="노임"/>
      <sheetName val="경영혁신본부"/>
      <sheetName val="선수금반제"/>
      <sheetName val="환율"/>
      <sheetName val="토사(PE)"/>
      <sheetName val="암거"/>
      <sheetName val="배수공"/>
      <sheetName val="도"/>
      <sheetName val="토공사"/>
      <sheetName val="XL4Poppy"/>
      <sheetName val="덕전리"/>
      <sheetName val="말뚝지지력(풍화암)"/>
      <sheetName val="전기"/>
      <sheetName val="횡배수관토공수량"/>
      <sheetName val="입찰보고"/>
      <sheetName val="중소기업"/>
      <sheetName val="A-4"/>
      <sheetName val="건축집계표"/>
      <sheetName val="영창26"/>
      <sheetName val="산출근거"/>
      <sheetName val="공사기본내용입력"/>
      <sheetName val="공업용수관로"/>
      <sheetName val="수지예산"/>
      <sheetName val="전산수불"/>
      <sheetName val="일위대가(계측기설치)"/>
      <sheetName val="전동기규격(참조용)"/>
      <sheetName val="전등전열(참조용)"/>
      <sheetName val="물량표"/>
      <sheetName val="기계경비"/>
      <sheetName val="몰탈"/>
      <sheetName val="소야공정계획표"/>
      <sheetName val="앵커구조계산"/>
      <sheetName val="COPING"/>
      <sheetName val="기본 자료"/>
      <sheetName val="포장공자재집계표"/>
      <sheetName val="유림총괄"/>
      <sheetName val="증감대비"/>
      <sheetName val="평균높이산출근거"/>
      <sheetName val="횡배수관위치조서"/>
      <sheetName val="공사대장"/>
      <sheetName val="파일의이용"/>
      <sheetName val="공종"/>
      <sheetName val="수량산출서"/>
      <sheetName val="토적집계"/>
      <sheetName val="4)유동표"/>
      <sheetName val="ctemcost"/>
    </sheetNames>
    <sheetDataSet>
      <sheetData sheetId="0">
        <row r="1">
          <cell r="A1">
            <v>1</v>
          </cell>
        </row>
      </sheetData>
      <sheetData sheetId="1">
        <row r="1">
          <cell r="A1">
            <v>1</v>
          </cell>
        </row>
      </sheetData>
      <sheetData sheetId="2">
        <row r="1">
          <cell r="A1">
            <v>1</v>
          </cell>
        </row>
      </sheetData>
      <sheetData sheetId="3">
        <row r="1">
          <cell r="A1">
            <v>1</v>
          </cell>
        </row>
      </sheetData>
      <sheetData sheetId="4">
        <row r="1">
          <cell r="A1">
            <v>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3BL공동구 수량"/>
      <sheetName val="말뚝지지력산정"/>
      <sheetName val="대로근거"/>
      <sheetName val="중로근거"/>
      <sheetName val="맨홀수량"/>
      <sheetName val="Book2"/>
      <sheetName val="토적표"/>
      <sheetName val="#REF"/>
      <sheetName val="COPING"/>
      <sheetName val="기초공"/>
      <sheetName val="기둥(원형)"/>
      <sheetName val="단면 (2)"/>
      <sheetName val="SLAB&quot;1&quot;"/>
      <sheetName val="6PILE  (돌출)"/>
      <sheetName val="4.2유효폭의 계산"/>
      <sheetName val="입력DATA"/>
      <sheetName val="바닥판"/>
      <sheetName val="역T형교대(말뚝기초)"/>
      <sheetName val="철근량"/>
      <sheetName val="단위중량"/>
      <sheetName val="2.단면가정 "/>
      <sheetName val="공구"/>
      <sheetName val="관로토공"/>
      <sheetName val="수량산출"/>
      <sheetName val="단위수량"/>
      <sheetName val="우수받이토공단위(토사)-1호"/>
      <sheetName val="우수받이토공단위(토사)-2호"/>
      <sheetName val="산출근거"/>
      <sheetName val="조명시설"/>
      <sheetName val="교각1"/>
      <sheetName val="맨홀산출조서"/>
      <sheetName val="N賃率-職"/>
      <sheetName val="실행철강하도"/>
      <sheetName val="대운산출"/>
      <sheetName val="s"/>
      <sheetName val="구조물철거타공정이월"/>
      <sheetName val="Sheet17"/>
      <sheetName val="INPUT"/>
      <sheetName val="단면가정"/>
      <sheetName val="설계조건"/>
      <sheetName val="부대일수용두"/>
      <sheetName val="철근"/>
      <sheetName val="이름정의"/>
      <sheetName val="SG"/>
      <sheetName val="현황"/>
      <sheetName val="작성기준"/>
      <sheetName val="간지"/>
      <sheetName val="내역갑"/>
      <sheetName val="내역을"/>
      <sheetName val="총수량"/>
      <sheetName val="수량"/>
      <sheetName val="단가"/>
      <sheetName val="수량세로"/>
      <sheetName val="가시설1"/>
      <sheetName val="2"/>
      <sheetName val="원골재"/>
      <sheetName val="변골재"/>
      <sheetName val="파일집계"/>
      <sheetName val="수량근거"/>
      <sheetName val="수량집계"/>
      <sheetName val="수량증감"/>
      <sheetName val="공사금액"/>
      <sheetName val="위치별수량"/>
      <sheetName val="일위대가"/>
      <sheetName val="1.REVIEW"/>
      <sheetName val="Sheet2 (2)"/>
      <sheetName val="Sheet1 (2)"/>
      <sheetName val="부하(성남)"/>
      <sheetName val="EP0618"/>
      <sheetName val="신규일위대가"/>
      <sheetName val="일위(PN)"/>
      <sheetName val="하수급견적대비"/>
      <sheetName val="2.대외공문"/>
      <sheetName val="MOTOR"/>
      <sheetName val="부하계산서"/>
      <sheetName val="입력값1"/>
      <sheetName val="부표총괄"/>
      <sheetName val="견적"/>
      <sheetName val="CAL"/>
      <sheetName val="LOPCALC"/>
      <sheetName val="지급자재"/>
      <sheetName val="3차설계"/>
      <sheetName val="계약내역 (1)"/>
      <sheetName val="견적갑"/>
      <sheetName val="bm내역서(B공구)"/>
      <sheetName val="변경내역"/>
      <sheetName val="신규단가(A)제작"/>
      <sheetName val="신규단가(B)물가정보"/>
      <sheetName val="견적갑&quot;A&quot;공구"/>
      <sheetName val="견적조건보고서&quot;A&quot;공구"/>
      <sheetName val="A비엠"/>
      <sheetName val="공율산출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 refreshError="1"/>
      <sheetData sheetId="87"/>
      <sheetData sheetId="88"/>
      <sheetData sheetId="89" refreshError="1"/>
      <sheetData sheetId="90" refreshError="1"/>
      <sheetData sheetId="91"/>
      <sheetData sheetId="92"/>
      <sheetData sheetId="93"/>
      <sheetData sheetId="94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서"/>
      <sheetName val="원가계산서"/>
      <sheetName val="원가서"/>
      <sheetName val="일위대가(1)"/>
      <sheetName val="Sheet1"/>
      <sheetName val="조명시설"/>
      <sheetName val="목록"/>
      <sheetName val="T13(P68~72,78)"/>
      <sheetName val="4차원가계산서"/>
      <sheetName val="토공1차"/>
      <sheetName val="96보완계획7.12"/>
      <sheetName val="노무비단가"/>
      <sheetName val="(A)내역서"/>
      <sheetName val="식재인부"/>
      <sheetName val="COPING"/>
      <sheetName val="코드표"/>
      <sheetName val="자재단가"/>
      <sheetName val="설비"/>
      <sheetName val="노임단가"/>
      <sheetName val="DATE"/>
      <sheetName val="일위대가목록"/>
      <sheetName val="#REF"/>
      <sheetName val="배관배선 단가조사"/>
      <sheetName val="일위대가"/>
      <sheetName val="일위대가집계"/>
      <sheetName val="1GONGGU"/>
      <sheetName val="9GNG운반"/>
      <sheetName val="96노임기준"/>
      <sheetName val="Sheet1 (2)"/>
      <sheetName val="06 일위대가목록"/>
      <sheetName val="마산방향"/>
      <sheetName val="공사요율"/>
      <sheetName val="N賃率-職"/>
      <sheetName val="1.1설계기준"/>
      <sheetName val="s"/>
      <sheetName val="울산자동제어"/>
      <sheetName val="실행철강하도"/>
      <sheetName val="일위대가(가설)"/>
      <sheetName val="APT"/>
      <sheetName val="기초자료입력"/>
      <sheetName val="콘크리트타설집계표"/>
      <sheetName val="사다리"/>
      <sheetName val="단가목록"/>
      <sheetName val="일반수량"/>
      <sheetName val="단가산출"/>
      <sheetName val="빗물받이(910-510-410)"/>
      <sheetName val="입찰"/>
      <sheetName val="본공사"/>
      <sheetName val="현경"/>
      <sheetName val="환경인력"/>
      <sheetName val="토사(PE)"/>
      <sheetName val="계수시트"/>
      <sheetName val="집계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 refreshError="1"/>
      <sheetData sheetId="52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총괄"/>
      <sheetName val="직재"/>
      <sheetName val="노무비"/>
      <sheetName val="설치공수"/>
      <sheetName val="工노임단가"/>
      <sheetName val="99간노율"/>
      <sheetName val="20간노율"/>
      <sheetName val="경비"/>
      <sheetName val="공사외주비"/>
      <sheetName val="경비율"/>
      <sheetName val="99완성율(1)"/>
      <sheetName val="99완성율(2)"/>
      <sheetName val="20완성율(1)"/>
      <sheetName val="20완성율(2)"/>
      <sheetName val="99산재율"/>
      <sheetName val="20산재율"/>
      <sheetName val="99안전율"/>
      <sheetName val="20안전율"/>
      <sheetName val="99관리비율"/>
      <sheetName val="20관리비율"/>
      <sheetName val="수량산출"/>
      <sheetName val="품목"/>
      <sheetName val="목차"/>
      <sheetName val="품셈TABLE"/>
      <sheetName val="입찰안"/>
      <sheetName val="전기2005"/>
      <sheetName val="통신2005"/>
      <sheetName val="자재단가"/>
      <sheetName val="49일위"/>
      <sheetName val="I一般比"/>
      <sheetName val="준검 내역서"/>
      <sheetName val="조명시설"/>
      <sheetName val="Sheet1"/>
      <sheetName val="ACUNIT"/>
      <sheetName val="sw1"/>
      <sheetName val="집계표"/>
      <sheetName val="실내건축일위대가"/>
      <sheetName val="여과지동"/>
      <sheetName val="기초자료"/>
      <sheetName val="금융비용"/>
      <sheetName val="200"/>
      <sheetName val="하조서"/>
      <sheetName val="전선 및 전선관"/>
      <sheetName val="콘센트신설"/>
      <sheetName val="(C)원내역"/>
      <sheetName val="선급금신청서"/>
      <sheetName val="실행철강하도"/>
      <sheetName val="0007KGC인천전력계통감시반정산(공사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예산서"/>
      <sheetName val="일위대가"/>
      <sheetName val="산출근거(집계)"/>
      <sheetName val="산출근거-1"/>
      <sheetName val="산출근거-2"/>
      <sheetName val="단가비교표"/>
      <sheetName val="단위수량-1"/>
      <sheetName val="노무비 근거"/>
      <sheetName val="000000"/>
      <sheetName val="작업예정량"/>
      <sheetName val="관.자 제작비"/>
      <sheetName val="단가산출 (2)"/>
      <sheetName val="단가산출기초조사서"/>
      <sheetName val="노무비 "/>
      <sheetName val="총괄내역서(1구역)"/>
      <sheetName val="제경비산출서(1구역)"/>
      <sheetName val="총괄표(1구역)"/>
      <sheetName val="원가계산서(1)"/>
      <sheetName val="설계서(갑)"/>
      <sheetName val="갑지1"/>
      <sheetName val="총괄내역서(2구역)"/>
      <sheetName val="제경비산출서(2구역)"/>
      <sheetName val="총괄표(2구역)"/>
      <sheetName val="원가계산서(2구역)"/>
      <sheetName val="설계서(갑2)"/>
      <sheetName val="갑지2"/>
      <sheetName val="준공조서1구역"/>
      <sheetName val="준공조서2구역"/>
      <sheetName val="1공구산출내역서"/>
      <sheetName val="금액결정"/>
      <sheetName val="산출내역서"/>
      <sheetName val="9GNG운반"/>
      <sheetName val="MOTOR"/>
      <sheetName val="합정로내역서(토목)"/>
      <sheetName val="전차선로 물량표"/>
      <sheetName val="한강운반비"/>
      <sheetName val="#REF"/>
      <sheetName val="자재"/>
      <sheetName val="공통(20-91)"/>
      <sheetName val="전체"/>
      <sheetName val="자재단가"/>
      <sheetName val="2공구산출내역"/>
      <sheetName val="1,2공구원가계산서"/>
      <sheetName val="12.일위대가"/>
      <sheetName val="을지"/>
      <sheetName val="노임조서"/>
      <sheetName val="기초코드"/>
      <sheetName val="본공사"/>
      <sheetName val="인건비(VOICE)"/>
      <sheetName val="Sheet1"/>
      <sheetName val="화재 탐지 설비"/>
      <sheetName val="옥외외등집계표"/>
      <sheetName val="건설실행"/>
      <sheetName val="단가 및 재료비"/>
      <sheetName val="일위대가(동대문운동장별관)"/>
      <sheetName val="인부신상자료"/>
      <sheetName val="I一般比"/>
      <sheetName val="N賃率-職"/>
      <sheetName val="기술부 VENDOR LIST"/>
      <sheetName val="노임"/>
      <sheetName val="단가비교"/>
      <sheetName val="유입량"/>
      <sheetName val="실행철강하도"/>
      <sheetName val="원형1호맨홀토공수량"/>
      <sheetName val="북방3터널"/>
      <sheetName val="DATA"/>
      <sheetName val="데이타"/>
      <sheetName val="2.1  노무비 평균단가산출"/>
      <sheetName val="원가계산서"/>
      <sheetName val="배수내역"/>
      <sheetName val="기흥하도용"/>
      <sheetName val="DANGA"/>
      <sheetName val="기둥(원형)"/>
      <sheetName val="터널조도"/>
      <sheetName val="ITEM"/>
      <sheetName val="갑지"/>
      <sheetName val="관급"/>
      <sheetName val="DATE"/>
      <sheetName val="코드표"/>
      <sheetName val="L_RPTB02_01"/>
      <sheetName val="이형관중량"/>
      <sheetName val="일위대가(목록)"/>
      <sheetName val="산근(목록)"/>
      <sheetName val="재료비"/>
      <sheetName val="토공"/>
      <sheetName val="이월"/>
      <sheetName val="업체별기성내역"/>
      <sheetName val="개요"/>
      <sheetName val="일위(시설)"/>
      <sheetName val="첨부1"/>
      <sheetName val="정산내역"/>
      <sheetName val="본선"/>
      <sheetName val="기자재비"/>
      <sheetName val="철거산출근거"/>
      <sheetName val="수량산출서"/>
      <sheetName val="산출서집계"/>
      <sheetName val="간선계산"/>
      <sheetName val="이월가격"/>
      <sheetName val="노무"/>
      <sheetName val="자재테이블"/>
      <sheetName val="사업수지"/>
      <sheetName val="갑(전기)"/>
      <sheetName val="갑(계장)"/>
      <sheetName val="을"/>
      <sheetName val="사용자일위"/>
      <sheetName val="공사비집계"/>
      <sheetName val="단가산출서"/>
      <sheetName val="산출"/>
      <sheetName val="현장관리비"/>
      <sheetName val="여과지동"/>
      <sheetName val="기초자료"/>
      <sheetName val="설계내역서"/>
      <sheetName val="Macro2"/>
      <sheetName val="Macro1"/>
      <sheetName val="SG"/>
      <sheetName val="일위대가(1)"/>
      <sheetName val="산수배수"/>
      <sheetName val="저"/>
      <sheetName val="일괄인쇄"/>
      <sheetName val="단가산출"/>
      <sheetName val="인제내역"/>
      <sheetName val="수량산출"/>
      <sheetName val="노임단가"/>
      <sheetName val="½ÄÀçÃâ·Â¿ë"/>
      <sheetName val="½Ã¼³¹°"/>
      <sheetName val="½ÄÀç"/>
      <sheetName val="À¯Áö°ü¸®"/>
      <sheetName val="´Ü°¡"/>
      <sheetName val="5.공량산출서"/>
      <sheetName val="b_balju"/>
      <sheetName val="인력터파기품"/>
      <sheetName val="투찰내역"/>
      <sheetName val="맨홀수량산출"/>
      <sheetName val="가로등내역서"/>
      <sheetName val="일위"/>
      <sheetName val="인건비"/>
      <sheetName val="노무비"/>
      <sheetName val="단락전류-A"/>
      <sheetName val="인원"/>
      <sheetName val="일위대가(가설)"/>
      <sheetName val="b_balju (2)"/>
      <sheetName val="b_gunmul"/>
      <sheetName val="투자효율분석"/>
      <sheetName val="1유리"/>
      <sheetName val="굴착현장"/>
      <sheetName val="일위대가표"/>
      <sheetName val="22인공"/>
      <sheetName val="시화점실행"/>
      <sheetName val="안양동교 1안"/>
      <sheetName val="터파기및재료"/>
      <sheetName val="산출근거"/>
      <sheetName val="내역서"/>
      <sheetName val="단가대비표"/>
      <sheetName val="내역"/>
      <sheetName val=" HIT-&gt;HMC 견적(3900)"/>
      <sheetName val="부하계산서"/>
      <sheetName val="설계조건"/>
      <sheetName val="가로등기초"/>
      <sheetName val="PAD TR보호대기초"/>
      <sheetName val="Sheet2"/>
      <sheetName val="B1(반포1차)"/>
      <sheetName val="단위수량"/>
      <sheetName val="식재"/>
      <sheetName val="시설물"/>
      <sheetName val="식재출력용"/>
      <sheetName val="유지관리"/>
      <sheetName val="단가"/>
      <sheetName val="단위단가"/>
      <sheetName val="식음료"/>
      <sheetName val="IT-BAT"/>
      <sheetName val="예산총괄"/>
      <sheetName val="Sheet13"/>
      <sheetName val="전압강하계산"/>
      <sheetName val="인원계획"/>
      <sheetName val="일위_파일"/>
      <sheetName val="자재단가비교표"/>
      <sheetName val="기본단가표"/>
      <sheetName val="일위대가목차"/>
      <sheetName val="조명율표"/>
      <sheetName val="인원DATA"/>
      <sheetName val="설계예시"/>
      <sheetName val="대운반(철재)"/>
      <sheetName val="인입관수량총괄"/>
      <sheetName val="설계카드"/>
      <sheetName val="Sheet5"/>
      <sheetName val="배관배선 단가조사"/>
      <sheetName val="일위대가집계"/>
      <sheetName val="준검 내역서"/>
      <sheetName val="견적"/>
      <sheetName val="SP-B1"/>
      <sheetName val="일위목록"/>
      <sheetName val="토목단가"/>
      <sheetName val="현장관리비 산출내역"/>
      <sheetName val="Sheet3"/>
      <sheetName val="원가서"/>
      <sheetName val="기본단가"/>
      <sheetName val="유치원내역"/>
      <sheetName val="연습"/>
      <sheetName val="단위중량"/>
      <sheetName val="토공실행"/>
      <sheetName val="Y-WORK"/>
      <sheetName val="포장공"/>
      <sheetName val="ABUT수량-A1"/>
      <sheetName val="XL4Poppy"/>
      <sheetName val="간접비계산"/>
      <sheetName val="Total"/>
      <sheetName val="일위대가(계측기설치)"/>
      <sheetName val="BID"/>
      <sheetName val="실행대비"/>
      <sheetName val="CTEMCOST"/>
      <sheetName val="예산변경사항"/>
      <sheetName val="Baby일위대가"/>
      <sheetName val="하조서"/>
      <sheetName val="여암교"/>
      <sheetName val="참조"/>
      <sheetName val="가시설수량"/>
      <sheetName val="대차"/>
      <sheetName val="집계표"/>
      <sheetName val="9509"/>
      <sheetName val="BOX(1.5X1.5)"/>
      <sheetName val="원가"/>
      <sheetName val="자재일람"/>
      <sheetName val="1공구원가계산서"/>
      <sheetName val="3.공통공사대비"/>
      <sheetName val="총괄내역서"/>
      <sheetName val="도로포장면적산출(1)"/>
      <sheetName val="급수공사"/>
      <sheetName val="J"/>
      <sheetName val="신고조서"/>
      <sheetName val="2"/>
      <sheetName val="이설집계(1공구)"/>
      <sheetName val="을 2"/>
      <sheetName val="을 1"/>
      <sheetName val="심의위원명단"/>
      <sheetName val="본사인상전"/>
      <sheetName val="단가조사서"/>
      <sheetName val="정부노임단가"/>
      <sheetName val="Tot-sum"/>
      <sheetName val="간접(90)"/>
      <sheetName val="BJJIN"/>
      <sheetName val="내역서 "/>
      <sheetName val="설계서"/>
      <sheetName val="일위대가(총괄)"/>
      <sheetName val="J直材4"/>
      <sheetName val="실행간접비용"/>
      <sheetName val="IMP(MAIN)"/>
      <sheetName val="IMP (REACTOR)"/>
      <sheetName val="전국현황"/>
      <sheetName val="단가표"/>
      <sheetName val="DATA1"/>
      <sheetName val="목차"/>
      <sheetName val="예가표"/>
      <sheetName val="주소"/>
      <sheetName val="XXXXXX"/>
      <sheetName val="대비"/>
      <sheetName val="2.대외공문"/>
      <sheetName val="PAY2002"/>
      <sheetName val="실행기초"/>
      <sheetName val="기본설계기준"/>
      <sheetName val="실행간접비"/>
      <sheetName val="TEMP1"/>
      <sheetName val="TEMP2"/>
      <sheetName val="BS"/>
      <sheetName val="PL"/>
      <sheetName val="제진기"/>
      <sheetName val="수목데이타"/>
      <sheetName val="NOMUBI"/>
      <sheetName val="WORK"/>
      <sheetName val="CM 1"/>
      <sheetName val="차액보증"/>
      <sheetName val="재료"/>
      <sheetName val="산출내역서집계표"/>
      <sheetName val="주공 갑지"/>
      <sheetName val="CT"/>
      <sheetName val="개소별수량산출"/>
      <sheetName val="단가비교표_공통1"/>
      <sheetName val="투찰"/>
      <sheetName val="분전함신설"/>
      <sheetName val="접지1종"/>
      <sheetName val="Imp-Data"/>
      <sheetName val="Proposal"/>
      <sheetName val="견적정보"/>
      <sheetName val="단가조사-1"/>
      <sheetName val="단가조사-2"/>
      <sheetName val="base"/>
      <sheetName val="부표(010427)"/>
      <sheetName val="명단"/>
      <sheetName val="원가계산서(변경)"/>
      <sheetName val="1단계"/>
      <sheetName val="선로정수"/>
      <sheetName val="동력설비"/>
      <sheetName val="통신원가"/>
      <sheetName val="6.이토처리시간"/>
      <sheetName val="집계"/>
      <sheetName val="골조시행"/>
      <sheetName val="시운전연료비"/>
      <sheetName val="1.적격점수"/>
      <sheetName val="기"/>
      <sheetName val="전선(총)"/>
      <sheetName val="IMPEADENCE MAP 취수장"/>
      <sheetName val="주beam"/>
      <sheetName val="일반공사"/>
      <sheetName val="2련간지"/>
      <sheetName val="인입직관"/>
      <sheetName val="부하계산"/>
      <sheetName val="공사비증감"/>
      <sheetName val="A-4"/>
      <sheetName val="빌딩 안내"/>
      <sheetName val="간선"/>
      <sheetName val="표지 (2)"/>
      <sheetName val="SW개발대상목록(기능점수)"/>
      <sheetName val="심사물량"/>
      <sheetName val="옥외등신설"/>
      <sheetName val="저케CV22신설"/>
      <sheetName val="저케CV38신설"/>
      <sheetName val="저케CV8신설"/>
      <sheetName val="접지3종"/>
      <sheetName val="3월집계"/>
      <sheetName val="공사비예산서"/>
      <sheetName val="토목"/>
      <sheetName val="식재인부"/>
      <sheetName val="VXXXXXXX"/>
      <sheetName val="모델명"/>
      <sheetName val="97년 추정"/>
      <sheetName val="차도조도계산"/>
      <sheetName val="직재"/>
      <sheetName val="공사비총괄표"/>
      <sheetName val="우성교간선"/>
      <sheetName val="내역서2안"/>
      <sheetName val="중기사용료산출근거"/>
      <sheetName val="5. 현장관리비(new) "/>
      <sheetName val="대치판정"/>
      <sheetName val="4)유동표"/>
      <sheetName val="공정집계_국별"/>
      <sheetName val="기준"/>
      <sheetName val="중기일위대가"/>
      <sheetName val="기성내역"/>
      <sheetName val="내   역"/>
      <sheetName val="Xunit (단위환산)"/>
      <sheetName val="조건표"/>
      <sheetName val="백암비스타내역"/>
      <sheetName val="금리계산"/>
      <sheetName val="Sheet4"/>
      <sheetName val="1"/>
      <sheetName val="파이프류"/>
      <sheetName val="1.수인터널"/>
      <sheetName val="단"/>
      <sheetName val="견적내역"/>
      <sheetName val="3련 BOX"/>
      <sheetName val="6호기"/>
      <sheetName val="FACTOR"/>
      <sheetName val="건축내역서"/>
      <sheetName val="VOR설치(총괄)"/>
      <sheetName val="6PILE  (돌출)"/>
      <sheetName val="토공(1)"/>
      <sheetName val="차수공(1)"/>
      <sheetName val="부대시설"/>
      <sheetName val="전기"/>
      <sheetName val="추가예산"/>
      <sheetName val="A LINE"/>
      <sheetName val="총괄표"/>
      <sheetName val="입찰견적보고서"/>
      <sheetName val="일반부표"/>
      <sheetName val="노무비_근거"/>
      <sheetName val="관_자_제작비"/>
      <sheetName val="단가산출_(2)"/>
      <sheetName val="노무비_"/>
      <sheetName val="기술부_VENDOR_LIST"/>
      <sheetName val="전차선로_물량표"/>
      <sheetName val="2_1__노무비_평균단가산출"/>
      <sheetName val="화재_탐지_설비"/>
      <sheetName val="옥외인입"/>
      <sheetName val="일위총괄"/>
      <sheetName val="기계경비"/>
      <sheetName val="1월"/>
      <sheetName val="전기설계변경"/>
      <sheetName val="보할공정"/>
      <sheetName val="#2_일위대가목록"/>
      <sheetName val="개거총"/>
      <sheetName val="전선 및 전선관"/>
      <sheetName val="DATA입력"/>
      <sheetName val="단면상수 및 주빔설계"/>
      <sheetName val="COPING"/>
      <sheetName val="감시제어"/>
      <sheetName val="목차임시"/>
      <sheetName val="견적대비"/>
      <sheetName val="당정동경상이수"/>
      <sheetName val="당정동공통이수"/>
      <sheetName val="을지  (2)"/>
      <sheetName val="국내조달(통합-1)"/>
      <sheetName val="DB"/>
      <sheetName val="부하표"/>
      <sheetName val="98내역"/>
      <sheetName val="도근좌표"/>
      <sheetName val="단면치수"/>
      <sheetName val="현황정리"/>
      <sheetName val="48단가"/>
      <sheetName val="1.설계조건"/>
      <sheetName val="대림경상68억"/>
      <sheetName val="당초명세(평)"/>
      <sheetName val="월별수입"/>
      <sheetName val="제경비율"/>
      <sheetName val="s"/>
      <sheetName val="bm(CIcable)"/>
      <sheetName val="도수로집계"/>
      <sheetName val="2공구하도급내역서"/>
      <sheetName val="3BL공동구 수량"/>
      <sheetName val="일위집계(기존)"/>
      <sheetName val="위치조서"/>
      <sheetName val="간 지1"/>
      <sheetName val="경비"/>
      <sheetName val="부대공"/>
      <sheetName val="방호벽"/>
      <sheetName val="낙석방지책"/>
      <sheetName val="우수공,맨홀,집수정"/>
      <sheetName val="주요항목별"/>
      <sheetName val="비용"/>
      <sheetName val="설비"/>
      <sheetName val="가스"/>
      <sheetName val="중기비"/>
      <sheetName val="한전분담금"/>
      <sheetName val="교통대책내역"/>
      <sheetName val="각종단가"/>
      <sheetName val="현장별"/>
      <sheetName val="실행내역_원본"/>
      <sheetName val="진주방향"/>
      <sheetName val="2000년1차"/>
      <sheetName val="포장복구집계"/>
      <sheetName val="그림모음"/>
      <sheetName val="토목내역서"/>
      <sheetName val="단가일람"/>
      <sheetName val="공내역서"/>
      <sheetName val="인천제철"/>
      <sheetName val="91"/>
      <sheetName val="71"/>
      <sheetName val="200"/>
      <sheetName val="TEL"/>
      <sheetName val="자재총괄"/>
      <sheetName val="06 일위대가목록"/>
      <sheetName val="입력"/>
      <sheetName val="내역서(당초변경)"/>
      <sheetName val="간접"/>
      <sheetName val="비대칭계수"/>
      <sheetName val="전동기 SPEC"/>
      <sheetName val="익산-"/>
      <sheetName val="인건-측정"/>
      <sheetName val="부대대비"/>
      <sheetName val="냉연집계"/>
      <sheetName val="일위총괄표"/>
      <sheetName val="제경비"/>
      <sheetName val="20관리비율"/>
      <sheetName val="1.변압기용량"/>
      <sheetName val="내역서(상세)"/>
      <sheetName val="단가_및_재료비"/>
      <sheetName val="안양동교_1안"/>
      <sheetName val="_HIT-&gt;HMC_견적(3900)"/>
      <sheetName val="실행"/>
      <sheetName val="시점교대"/>
      <sheetName val="갑지(추정)"/>
      <sheetName val="단가(자재)"/>
      <sheetName val="단가(노임)"/>
      <sheetName val="기초목록"/>
      <sheetName val="공사개요"/>
      <sheetName val="자료"/>
      <sheetName val="퍼스트"/>
      <sheetName val="증감대비"/>
      <sheetName val="명일작업계획 (3)"/>
      <sheetName val="관개"/>
      <sheetName val="설직재-1"/>
      <sheetName val="직노"/>
      <sheetName val="지급자재"/>
      <sheetName val="설 계"/>
      <sheetName val="송전재료비"/>
      <sheetName val="2002하반기노임기준"/>
      <sheetName val="기계경비(시간당)"/>
      <sheetName val="맨홀수량산출(A-LINE)"/>
      <sheetName val="날개벽수량표"/>
      <sheetName val="단 부"/>
      <sheetName val="Sheet1 (2)"/>
      <sheetName val="인명부"/>
      <sheetName val="기계경비적용기준"/>
      <sheetName val="조명시설"/>
      <sheetName val="제잡비산출내역"/>
      <sheetName val="공종"/>
      <sheetName val="남양내역"/>
      <sheetName val="표준차도부연장집계-ASP"/>
      <sheetName val="공내역"/>
      <sheetName val="안정계산"/>
      <sheetName val="단면검토"/>
      <sheetName val="BSD (2)"/>
      <sheetName val="미장"/>
      <sheetName val="철골"/>
      <sheetName val="MAT"/>
      <sheetName val="96보완계획7.12"/>
      <sheetName val="통신물량"/>
      <sheetName val="관급자재"/>
      <sheetName val="6월실적"/>
      <sheetName val="Testing"/>
      <sheetName val="손익분석"/>
      <sheetName val="공통가설"/>
      <sheetName val="제출내역 (2)"/>
      <sheetName val="사용자정의"/>
      <sheetName val="제품표준규격"/>
      <sheetName val="설계명세서"/>
      <sheetName val="대가표(품셈)"/>
      <sheetName val="요약&amp;결과"/>
      <sheetName val="산근9사전재해영향소요인력"/>
      <sheetName val="제품현황"/>
      <sheetName val="대우단가(풍산)"/>
      <sheetName val="TABLE"/>
      <sheetName val="공사비 내역 (가)"/>
      <sheetName val="사전총괄표"/>
      <sheetName val="가중치"/>
      <sheetName val="도면자료제출일정"/>
      <sheetName val="유림총괄"/>
      <sheetName val="SLAB"/>
      <sheetName val="인구"/>
      <sheetName val="신우"/>
      <sheetName val="동우-견적서"/>
      <sheetName val="갑"/>
      <sheetName val="단가조사"/>
      <sheetName val="의정부문예회관변경내역"/>
      <sheetName val="문학간접"/>
      <sheetName val="실행내역서 "/>
      <sheetName val="전기공사"/>
      <sheetName val="토공연장"/>
      <sheetName val="철거 및 신설 노무비 산출내역"/>
      <sheetName val="수정계획3"/>
      <sheetName val="제잡비"/>
      <sheetName val="FB25JN"/>
      <sheetName val="MCC제원"/>
      <sheetName val="허용전류-IEC DATA"/>
      <sheetName val="허용전류-IEC"/>
      <sheetName val="1차 내역서"/>
      <sheetName val="건              축"/>
      <sheetName val="3.2.1 마루높이결정"/>
      <sheetName val="수곡내역"/>
      <sheetName val="입찰안"/>
      <sheetName val="공정량산출내역서 "/>
      <sheetName val="횡배위치"/>
      <sheetName val="기성갑지"/>
      <sheetName val="경산"/>
      <sheetName val="증감내역서"/>
      <sheetName val="공종별집계표(창고-52평)"/>
      <sheetName val="표지"/>
      <sheetName val="편성절차"/>
      <sheetName val="플랜트 설치"/>
      <sheetName val="남양주부대"/>
      <sheetName val="98NS-N"/>
      <sheetName val="하수급견적대비"/>
      <sheetName val="수량명세서"/>
      <sheetName val="기준액"/>
      <sheetName val="내역서 (평창)"/>
      <sheetName val="노무,재료"/>
      <sheetName val="1호맨홀가감수량"/>
      <sheetName val="(A)내역서"/>
      <sheetName val="MAIN_TABLE"/>
      <sheetName val="NYS"/>
      <sheetName val="wall"/>
      <sheetName val="잔수량(작성)"/>
      <sheetName val="대비2"/>
      <sheetName val="건축공사"/>
      <sheetName val="원하대비"/>
      <sheetName val="원도급"/>
      <sheetName val="하도급"/>
      <sheetName val="견적서갑지연속"/>
      <sheetName val="화설내"/>
      <sheetName val="설계예산서(2_소천우회토목)"/>
      <sheetName val="특수선일위대가"/>
      <sheetName val="배수공"/>
      <sheetName val="소요자재"/>
      <sheetName val="세부내역서"/>
      <sheetName val="기초"/>
      <sheetName val="환경평가"/>
      <sheetName val="일대"/>
      <sheetName val="가중치근거(조경)"/>
      <sheetName val="수토공단위당"/>
      <sheetName val="노무비(DB)"/>
      <sheetName val="산출및내역"/>
      <sheetName val="토사(PE)"/>
      <sheetName val="당사실시1"/>
      <sheetName val="총괄"/>
      <sheetName val="국산화"/>
      <sheetName val="목록"/>
      <sheetName val="가시설(TYPE-A)"/>
      <sheetName val="1-1평균터파기고(1)"/>
      <sheetName val="1호맨홀수량산출"/>
      <sheetName val="습지도저"/>
      <sheetName val="기타기기"/>
      <sheetName val="시설물일위"/>
      <sheetName val="가설공사"/>
      <sheetName val="단가결정"/>
      <sheetName val="내역아"/>
      <sheetName val="울타리"/>
      <sheetName val="적용인원(지우지말것)"/>
      <sheetName val="토목을"/>
      <sheetName val="다곡2교"/>
      <sheetName val="노임적용"/>
      <sheetName val="중량산출"/>
      <sheetName val="현장조사"/>
      <sheetName val="자동제어"/>
      <sheetName val="벽체면적당일위대가"/>
      <sheetName val="2.펌프장(사급자재)"/>
      <sheetName val="약품공급2"/>
      <sheetName val="환경성검토산출근거"/>
      <sheetName val="영흥TL(UP,DOWN) "/>
      <sheetName val="코드"/>
      <sheetName val="G.R300경비"/>
      <sheetName val="12_일위대가"/>
      <sheetName val="1.설계기준"/>
      <sheetName val="기계내역"/>
      <sheetName val="감액총괄표"/>
      <sheetName val="수량산출내역1115"/>
      <sheetName val="할증 "/>
      <sheetName val="5_공량산출서"/>
      <sheetName val="PAD_TR보호대기초"/>
      <sheetName val="준검_내역서"/>
      <sheetName val="현장관리비_산출내역"/>
      <sheetName val="97년_추정"/>
      <sheetName val="b_balju_(2)"/>
      <sheetName val="설계"/>
      <sheetName val="제잡비1"/>
      <sheetName val="Cash"/>
      <sheetName val="00년재노경"/>
      <sheetName val="48전력선로일위"/>
      <sheetName val="3-2.동원인원"/>
      <sheetName val="요율"/>
      <sheetName val="식재총괄"/>
      <sheetName val="선급금신청서"/>
      <sheetName val="일위집계표"/>
      <sheetName val="감가상각"/>
      <sheetName val="유니트입출고내역"/>
      <sheetName val="자재일위(경)"/>
      <sheetName val="E2부하산출서"/>
      <sheetName val="Ampecity Data"/>
      <sheetName val="단위세대"/>
      <sheetName val="(포장)BOQ-실적공사"/>
      <sheetName val="교각1"/>
      <sheetName val="sw1"/>
      <sheetName val="Drop Down"/>
      <sheetName val="내역서적용"/>
      <sheetName val="TYPE-A"/>
      <sheetName val="3층"/>
      <sheetName val="1층"/>
      <sheetName val="소일위대가코드표"/>
      <sheetName val="소방사항"/>
      <sheetName val="첨"/>
      <sheetName val="경율산정.XLS"/>
      <sheetName val="마산월령동골조물량변경"/>
      <sheetName val="소비자가"/>
      <sheetName val="건축공사실행"/>
      <sheetName val="__"/>
      <sheetName val="100"/>
      <sheetName val="발주수량표"/>
      <sheetName val="금호"/>
      <sheetName val="조달청적격심사"/>
      <sheetName val="전체도급"/>
      <sheetName val="신대방33(적용)"/>
      <sheetName val="구분자"/>
      <sheetName val="보안등"/>
      <sheetName val="s.v"/>
      <sheetName val="토목주소"/>
      <sheetName val="옹벽"/>
      <sheetName val="값"/>
      <sheetName val="기초단가"/>
      <sheetName val="guard(mac)"/>
      <sheetName val="계약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월차잔"/>
      <sheetName val="8외화단기"/>
      <sheetName val="실행철강하도"/>
      <sheetName val="노무비 근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(표지)"/>
      <sheetName val="공사원가계산서"/>
      <sheetName val="총괄표"/>
      <sheetName val="내역서"/>
      <sheetName val="일위대가서(표지)"/>
      <sheetName val="일위대가목록표"/>
      <sheetName val="일위대가서"/>
      <sheetName val="노임산출서(표지)"/>
      <sheetName val="노임산출서"/>
      <sheetName val="물량산출근거서(표지)"/>
      <sheetName val="물량산출서-01.소방설비"/>
      <sheetName val="단가대비표(표지)"/>
      <sheetName val="자재단가비교표"/>
      <sheetName val="입력(소방-출력제외)"/>
      <sheetName val="집계표"/>
      <sheetName val="실행철강하도"/>
      <sheetName val="일위대가"/>
      <sheetName val="8월차잔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표"/>
      <sheetName val="일위대가표 (2)"/>
      <sheetName val="총괄내역"/>
      <sheetName val="내역서"/>
      <sheetName val="공종별 집계표"/>
      <sheetName val="사급,관급자재대"/>
      <sheetName val="원가계산서"/>
      <sheetName val="도급내역서 표지"/>
      <sheetName val="공사구성비"/>
      <sheetName val="목차"/>
      <sheetName val="간지"/>
      <sheetName val="VXXXXX"/>
      <sheetName val="총괄표"/>
      <sheetName val="PMS"/>
      <sheetName val="조경식재"/>
      <sheetName val="조경시설공"/>
      <sheetName val="자재수량산출"/>
      <sheetName val="수량산출서"/>
      <sheetName val="일위대가"/>
      <sheetName val=""/>
      <sheetName val="보할"/>
      <sheetName val="기성총괄"/>
      <sheetName val="기성(단지내)"/>
      <sheetName val="기성(도시기반)"/>
      <sheetName val="기성내역"/>
      <sheetName val="12공구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단가"/>
      <sheetName val="단가산출"/>
      <sheetName val="데이타"/>
      <sheetName val="골조시행"/>
      <sheetName val="일위_파일"/>
      <sheetName val="토공사"/>
      <sheetName val="내역(~2"/>
      <sheetName val="증감대비"/>
      <sheetName val="CON'C"/>
      <sheetName val="보증수수료산출"/>
      <sheetName val="실행대비"/>
      <sheetName val="공사비총괄표"/>
      <sheetName val="소비자가"/>
      <sheetName val="Sheet1"/>
      <sheetName val="RING WALL"/>
      <sheetName val="99년하반기"/>
      <sheetName val="재료"/>
      <sheetName val="우수받이"/>
      <sheetName val="기본단가표"/>
      <sheetName val="품셈TABLE"/>
      <sheetName val="지질조사"/>
      <sheetName val="실행"/>
      <sheetName val="기성"/>
      <sheetName val="북제주원가"/>
      <sheetName val="단가표"/>
      <sheetName val="집계표"/>
      <sheetName val="BID"/>
      <sheetName val="설변공종별"/>
      <sheetName val="설변조정내역"/>
      <sheetName val="건기토원가"/>
      <sheetName val="건축원가"/>
      <sheetName val="토목원가"/>
      <sheetName val="기계원가"/>
      <sheetName val="기계내역"/>
      <sheetName val="표지"/>
      <sheetName val="계약내역(2)"/>
      <sheetName val="건축2"/>
      <sheetName val="내역"/>
      <sheetName val="1,2공구원가계산서"/>
      <sheetName val="2공구산출내역"/>
      <sheetName val="1공구산출내역서"/>
      <sheetName val="표준건축비"/>
      <sheetName val="Sheet5"/>
      <sheetName val="기결의"/>
      <sheetName val="단"/>
      <sheetName val="실행(ALT1)"/>
      <sheetName val="경비"/>
      <sheetName val="2002하반기노임기준"/>
      <sheetName val="구체"/>
      <sheetName val="좌측날개벽"/>
      <sheetName val="우측날개벽"/>
      <sheetName val="원가"/>
      <sheetName val="조명시설"/>
      <sheetName val="자재단가"/>
      <sheetName val="목록"/>
      <sheetName val="건축일위"/>
      <sheetName val="그라우팅일위"/>
      <sheetName val="납부서"/>
      <sheetName val="노임단가"/>
      <sheetName val="식재가격"/>
      <sheetName val="식재총괄"/>
      <sheetName val="일위목록"/>
      <sheetName val="단가비교표_공통1"/>
      <sheetName val="단가(자재)"/>
      <sheetName val="단가(노임)"/>
      <sheetName val="기초목록"/>
      <sheetName val="노임"/>
      <sheetName val="세부내역"/>
      <sheetName val="토사(PE)"/>
      <sheetName val="식재인부"/>
      <sheetName val="입력자료"/>
      <sheetName val="예산명세서"/>
      <sheetName val="설계명세서"/>
      <sheetName val="자료입력"/>
      <sheetName val="일위대가(건축)"/>
      <sheetName val="#3_일위대가목록"/>
      <sheetName val="䴝괄내역"/>
      <sheetName val="단가비교표"/>
      <sheetName val="예산서"/>
      <sheetName val="청주(철골발주의뢰서)"/>
      <sheetName val="정부노임단가"/>
      <sheetName val="노무비단가"/>
      <sheetName val="식재수량표"/>
      <sheetName val="토목주소"/>
      <sheetName val="Y-WORK"/>
      <sheetName val="원가계산"/>
      <sheetName val="#REF"/>
      <sheetName val="상반기손익차2총괄"/>
      <sheetName val="산출내역서집계표"/>
      <sheetName val="Sheet6"/>
      <sheetName val="수단"/>
      <sheetName val="4차원가계산서"/>
      <sheetName val="기자재수량"/>
      <sheetName val="부대내역"/>
      <sheetName val="01AC"/>
      <sheetName val="COVER"/>
      <sheetName val="상계견적"/>
      <sheetName val="공사개요"/>
      <sheetName val="총공사내역서"/>
      <sheetName val="Sheet1 (2)"/>
      <sheetName val="DATE"/>
      <sheetName val="기초일위"/>
      <sheetName val="수목단가"/>
      <sheetName val="시설수량표"/>
      <sheetName val="시설일위"/>
      <sheetName val="식재일위"/>
      <sheetName val="이토변실(A3-LINE)"/>
      <sheetName val="설명서 "/>
      <sheetName val="토목"/>
      <sheetName val="일위대가목차"/>
      <sheetName val="전기"/>
      <sheetName val="대창(함평)"/>
      <sheetName val="대창(장성)"/>
      <sheetName val="대창(함평)-창열"/>
      <sheetName val="갑지"/>
      <sheetName val="철거산출근거"/>
      <sheetName val="중기"/>
      <sheetName val="자료"/>
      <sheetName val="DATA"/>
      <sheetName val="마감LIST-1"/>
      <sheetName val="45,46"/>
      <sheetName val="산출근거#2-3"/>
      <sheetName val="터파기및재료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Sheet2"/>
      <sheetName val="공사"/>
      <sheetName val="의왕내역"/>
      <sheetName val="정산내역서"/>
      <sheetName val="공조기"/>
      <sheetName val="발주내역"/>
      <sheetName val="해평견적"/>
      <sheetName val="수목표준대가"/>
      <sheetName val="JUCKEYK"/>
      <sheetName val="mcc일위대가"/>
      <sheetName val="MOTOR"/>
      <sheetName val="원가계산서 "/>
      <sheetName val="2000년1차"/>
      <sheetName val="2000전체분"/>
      <sheetName val="연결임시"/>
      <sheetName val="DAN"/>
      <sheetName val="입찰안"/>
      <sheetName val="#2_일위대가목록"/>
      <sheetName val="수량산출"/>
      <sheetName val="H-PILE수량집계"/>
      <sheetName val="철근량"/>
      <sheetName val="공량산출서"/>
      <sheetName val="을지"/>
      <sheetName val="WORK"/>
      <sheetName val="조명일위"/>
      <sheetName val="내역서1999.8최종"/>
      <sheetName val="명세서"/>
      <sheetName val="COST"/>
      <sheetName val="실행예산"/>
      <sheetName val="맨홀수량"/>
      <sheetName val="견적공통"/>
      <sheetName val="시설물일위"/>
      <sheetName val="실행기고및 투입현황(총괄)"/>
      <sheetName val="2000,9월 일위"/>
      <sheetName val="6호기"/>
      <sheetName val="내역서(전기)"/>
      <sheetName val="건축내역서"/>
      <sheetName val="설비내역서"/>
      <sheetName val="전기내역서"/>
      <sheetName val="단가조사"/>
      <sheetName val="수량집계"/>
      <sheetName val="바닥판"/>
      <sheetName val="입력DATA"/>
      <sheetName val="거래처등록"/>
      <sheetName val="기안"/>
      <sheetName val="영창26"/>
      <sheetName val="백호우계수"/>
      <sheetName val="유리"/>
      <sheetName val="밸브설치"/>
      <sheetName val="오동"/>
      <sheetName val="대조"/>
      <sheetName val="나한"/>
      <sheetName val="신공항A-9(원가수정)"/>
      <sheetName val="ES조서출력하기"/>
      <sheetName val="총 원가계산"/>
      <sheetName val="간접비계산"/>
      <sheetName val="인제내역"/>
      <sheetName val="노임,재료비"/>
      <sheetName val="70%"/>
      <sheetName val="건축"/>
      <sheetName val="입찰보고"/>
      <sheetName val="결재갑지"/>
      <sheetName val="내역서 제출"/>
      <sheetName val="101동"/>
      <sheetName val="제경비"/>
      <sheetName val="수량산출(음암)"/>
      <sheetName val="건축공사"/>
      <sheetName val="소방"/>
      <sheetName val="일반부표"/>
      <sheetName val="재료비"/>
      <sheetName val="확약서"/>
      <sheetName val="파일의이용"/>
      <sheetName val="소일위대가코드표"/>
      <sheetName val="역T형교대(말뚝기초)"/>
      <sheetName val="2.토목공사"/>
      <sheetName val="판매시설"/>
      <sheetName val="1단계"/>
      <sheetName val="단가일람"/>
      <sheetName val="단가일람 (2)"/>
      <sheetName val="공정표"/>
      <sheetName val="해외(원화)"/>
      <sheetName val="일위대가 "/>
      <sheetName val="횡배수관집현황(2공구)"/>
      <sheetName val="구리토평1전기"/>
      <sheetName val="조명율표"/>
      <sheetName val="단위단가"/>
      <sheetName val="시운전연료비"/>
      <sheetName val="교통대책내역"/>
      <sheetName val="연동내역"/>
      <sheetName val="정공공사"/>
      <sheetName val="대비2"/>
      <sheetName val="Sheet4"/>
      <sheetName val="남대문빌딩"/>
      <sheetName val="주beam"/>
      <sheetName val="아파트"/>
      <sheetName val="주소록"/>
      <sheetName val="22단가"/>
      <sheetName val="22산출"/>
      <sheetName val="별표 "/>
      <sheetName val="수간보호"/>
      <sheetName val="D"/>
      <sheetName val="00000"/>
      <sheetName val="물가시세"/>
      <sheetName val="일위대가(가설)"/>
      <sheetName val="차수"/>
      <sheetName val="설계내역"/>
      <sheetName val="Total"/>
      <sheetName val="남양주댠가표"/>
      <sheetName val="금액"/>
      <sheetName val="시중노임"/>
      <sheetName val="실행,원가 최종예상"/>
      <sheetName val="교각1"/>
      <sheetName val="원가집계"/>
      <sheetName val="unit 4"/>
      <sheetName val="토목변경"/>
      <sheetName val="분전반계산서(석관)"/>
      <sheetName val="합의경상"/>
      <sheetName val="A2"/>
      <sheetName val="방수"/>
      <sheetName val="101동 "/>
      <sheetName val="구조"/>
      <sheetName val="총괄내역서(설계)"/>
      <sheetName val="유림총괄"/>
      <sheetName val="49단가"/>
      <sheetName val="AV시스템"/>
      <sheetName val="시설물기초"/>
      <sheetName val="평가데이터"/>
      <sheetName val="단가(1)"/>
      <sheetName val="9-1차이내역"/>
      <sheetName val="값"/>
      <sheetName val="조건"/>
      <sheetName val="토공(우물통,기타) "/>
      <sheetName val="견적서"/>
      <sheetName val="EACT10"/>
      <sheetName val="산출2-기기동력"/>
      <sheetName val="단가대비표 (2)"/>
      <sheetName val="단중표"/>
      <sheetName val="단가대비표"/>
      <sheetName val="용수량(생활용수)"/>
      <sheetName val="개소별수량산출"/>
      <sheetName val="48산출"/>
      <sheetName val="덕전리"/>
      <sheetName val="단가조사서"/>
      <sheetName val="집계"/>
      <sheetName val="Customer Databas"/>
      <sheetName val="냉천부속동"/>
      <sheetName val="경상직원"/>
      <sheetName val="1차 내역서"/>
      <sheetName val="요율"/>
      <sheetName val="말뚝지지력산정"/>
      <sheetName val="2단지내역서"/>
      <sheetName val="기초자료"/>
      <sheetName val="산근"/>
      <sheetName val="HVAC"/>
      <sheetName val="인건비"/>
      <sheetName val="APT"/>
      <sheetName val="주공 갑지"/>
      <sheetName val="제경비율"/>
      <sheetName val="재료값"/>
      <sheetName val="산출내역서"/>
      <sheetName val="기흥하도용"/>
      <sheetName val="데리네이타현황"/>
      <sheetName val="중기 부표"/>
      <sheetName val="도급"/>
      <sheetName val="설계기준"/>
      <sheetName val="내역1"/>
      <sheetName val="변압기 및 발전기 용량"/>
      <sheetName val="변수값"/>
      <sheetName val="중기상차"/>
      <sheetName val="AS복구"/>
      <sheetName val="중기터파기"/>
      <sheetName val="일위대가표_(2)"/>
      <sheetName val="공종별_집계표"/>
      <sheetName val="도급내역서_표지"/>
      <sheetName val="RING_WALL"/>
      <sheetName val="Sheet1_(2)"/>
      <sheetName val="설명서_"/>
      <sheetName val="실행기고및_투입현황(총괄)"/>
      <sheetName val="원가계산서_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4.전기"/>
      <sheetName val="일반수량총괄집계"/>
      <sheetName val="석축산출서"/>
      <sheetName val="대공종"/>
      <sheetName val="프랜트면허"/>
      <sheetName val="노무비"/>
      <sheetName val="간접"/>
      <sheetName val="설계예산서"/>
      <sheetName val="예산내역서"/>
      <sheetName val="총계"/>
      <sheetName val="복지관 풍화암-평면"/>
      <sheetName val="원가서"/>
      <sheetName val="을"/>
      <sheetName val="FORM-0"/>
      <sheetName val="기본일위"/>
      <sheetName val="대치판정"/>
      <sheetName val="안전시설"/>
      <sheetName val="설계명세"/>
      <sheetName val="c_balju"/>
      <sheetName val="수주현황2월"/>
      <sheetName val="내역서1999_8최종"/>
      <sheetName val="2000,9월_일위"/>
      <sheetName val="unit_4"/>
      <sheetName val="단가일람_(2)"/>
      <sheetName val="총_원가계산"/>
      <sheetName val="2_토목공사"/>
      <sheetName val="일위대가_"/>
      <sheetName val="별표_"/>
      <sheetName val="현장관리비"/>
      <sheetName val="송전재료비"/>
      <sheetName val="견적단가"/>
      <sheetName val="2.대외공문"/>
      <sheetName val="AS포장복구 "/>
      <sheetName val="s.v"/>
      <sheetName val="매입세율"/>
      <sheetName val="대비"/>
      <sheetName val="약품공급2"/>
      <sheetName val="원가계산서(남측)"/>
      <sheetName val="옥외부분합"/>
      <sheetName val="b_babun (2)"/>
      <sheetName val="직공비"/>
      <sheetName val="건축설비"/>
      <sheetName val="기계경비(시간당)"/>
      <sheetName val="램머"/>
      <sheetName val="건축공사 집계표"/>
      <sheetName val="골조"/>
      <sheetName val="변경내역서간지"/>
      <sheetName val="단가대비표 (3)"/>
      <sheetName val="견적1"/>
      <sheetName val="NEYOK"/>
      <sheetName val="공사착공계"/>
      <sheetName val="archi(본사)"/>
      <sheetName val="대목"/>
      <sheetName val="적용기준"/>
      <sheetName val="입력"/>
      <sheetName val="공통단가"/>
      <sheetName val="운반비"/>
      <sheetName val="2000양배"/>
      <sheetName val="기본입력"/>
      <sheetName val="인수공규격"/>
      <sheetName val="1.설계조건"/>
      <sheetName val="잡비계산"/>
      <sheetName val="FB25JN"/>
      <sheetName val="내역(원안-대안)"/>
      <sheetName val="사급자재"/>
      <sheetName val="수량산출서-2"/>
      <sheetName val="직노"/>
      <sheetName val="공사비산출내역"/>
      <sheetName val="견적대비표"/>
      <sheetName val="가정조건"/>
      <sheetName val="BSD (2)"/>
      <sheetName val="전체내역"/>
      <sheetName val="시중노임단가"/>
      <sheetName val="자재"/>
      <sheetName val="차액보증"/>
      <sheetName val="코드표"/>
      <sheetName val="소화배관"/>
      <sheetName val="공조배관"/>
      <sheetName val="단양 00 아파트-세부내역"/>
      <sheetName val="갑  지"/>
      <sheetName val="PIPE(UG)내역"/>
      <sheetName val="단가기준"/>
      <sheetName val="배수내역"/>
      <sheetName val="I一般比"/>
      <sheetName val="일위"/>
      <sheetName val="2000노임기준"/>
      <sheetName val="코드"/>
      <sheetName val="AL공사(원)"/>
      <sheetName val="단가집"/>
      <sheetName val="설계가"/>
      <sheetName val="조건입력"/>
      <sheetName val="조건입력(2)"/>
      <sheetName val="장비선정"/>
      <sheetName val="표지 (2)"/>
      <sheetName val="주배관TYPE현황"/>
      <sheetName val="본실행경비"/>
      <sheetName val="노임이"/>
      <sheetName val="상하차비용(기계상차)"/>
      <sheetName val="N賃率-職"/>
      <sheetName val="총 괄 표"/>
      <sheetName val="36단가"/>
      <sheetName val="토목수량(공정)"/>
      <sheetName val="토목내역서"/>
      <sheetName val="견"/>
      <sheetName val="설계서(동안동)"/>
      <sheetName val="LD"/>
      <sheetName val="BDATA"/>
      <sheetName val="거푸집물량"/>
      <sheetName val="식재일위대가"/>
      <sheetName val="1-1"/>
      <sheetName val="8.수량산출 (2)"/>
      <sheetName val="보할공정"/>
      <sheetName val="내역서적용수량"/>
      <sheetName val="21301동"/>
      <sheetName val="9GNG운반"/>
      <sheetName val="예정(3)"/>
      <sheetName val="삭제금지단가"/>
      <sheetName val="시험장S자로가로등공사"/>
      <sheetName val="갑지(추정)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철골,판넬"/>
      <sheetName val="Baby일위대가"/>
      <sheetName val="운반공사"/>
      <sheetName val="수목일위"/>
      <sheetName val="설계"/>
      <sheetName val="99총공사내역서"/>
      <sheetName val="PAINT"/>
      <sheetName val="48단가"/>
      <sheetName val="예총"/>
      <sheetName val="견적(100%)"/>
      <sheetName val="Xunit (단위환산)"/>
      <sheetName val="00노임기준"/>
      <sheetName val="개산공사비"/>
      <sheetName val="일위대가목록"/>
      <sheetName val="진흥지역조서(구역밖)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견적조건"/>
      <sheetName val="옥내소화전계산서"/>
      <sheetName val="산출기초"/>
      <sheetName val="STAND98"/>
      <sheetName val="단위중량"/>
      <sheetName val="별표집계"/>
      <sheetName val="CATV"/>
      <sheetName val="할증 "/>
      <sheetName val="원"/>
      <sheetName val="공사비"/>
      <sheetName val="기존단가 (2)"/>
      <sheetName val="경산"/>
      <sheetName val="간접1"/>
      <sheetName val="영업3"/>
      <sheetName val="영업2"/>
      <sheetName val="소야공정계획표"/>
      <sheetName val="제목"/>
      <sheetName val="빗물받이(910-510-410)"/>
      <sheetName val="b_balju_cho"/>
      <sheetName val="노무산출서"/>
      <sheetName val="소요자재"/>
      <sheetName val="MC내역(이설)"/>
      <sheetName val="산출2-동력"/>
      <sheetName val="산출3-전등"/>
      <sheetName val="산출4-조명제어"/>
      <sheetName val="산출5-전열"/>
      <sheetName val="산출7-유도등"/>
      <sheetName val="품목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재노경"/>
      <sheetName val="2총괄내역서"/>
      <sheetName val="식재"/>
      <sheetName val="시설물"/>
      <sheetName val="식재출력용"/>
      <sheetName val="유지관리"/>
      <sheetName val="기성고조서"/>
      <sheetName val="106C0300"/>
      <sheetName val="내역서1"/>
      <sheetName val="tggwan(mac)"/>
      <sheetName val="시점교대"/>
      <sheetName val="직접경비호표"/>
      <sheetName val="99노임기준"/>
      <sheetName val="조경"/>
      <sheetName val="인사자료총집계"/>
      <sheetName val="공비대비"/>
      <sheetName val="건축원가계산서"/>
      <sheetName val="수목데이타 "/>
      <sheetName val="단가 "/>
      <sheetName val="분전함신설"/>
      <sheetName val="접지1종"/>
      <sheetName val="1회"/>
      <sheetName val="유림콘도"/>
      <sheetName val="h-013211-2"/>
      <sheetName val="실행철강하도"/>
      <sheetName val="현관"/>
      <sheetName val="광주운남을"/>
      <sheetName val="설계예시"/>
      <sheetName val="7.산출집계"/>
      <sheetName val="4.일위산출"/>
      <sheetName val="9.자재단가"/>
      <sheetName val="참고자료"/>
      <sheetName val="은행코드"/>
      <sheetName val="PROG"/>
      <sheetName val="노임단가 (2)"/>
      <sheetName val="조정율"/>
      <sheetName val="영신토건물가변동"/>
      <sheetName val="공사수행방안"/>
      <sheetName val="산수배수"/>
      <sheetName val="2"/>
      <sheetName val="단가조정"/>
      <sheetName val="2003상반기노임기준"/>
      <sheetName val="자  재"/>
      <sheetName val="건축외주"/>
      <sheetName val="파일구성"/>
      <sheetName val="견적갑지"/>
      <sheetName val="기초단가"/>
      <sheetName val="1."/>
      <sheetName val="단위골재량"/>
      <sheetName val="사회복지관"/>
      <sheetName val="철거단가"/>
      <sheetName val="날개벽수량표"/>
      <sheetName val="각종단가"/>
      <sheetName val="웅진교-S2"/>
      <sheetName val="산출근거"/>
      <sheetName val="노임단가표"/>
      <sheetName val="물량표"/>
      <sheetName val="간접경상비"/>
      <sheetName val="가설공사비"/>
      <sheetName val="매입세会"/>
      <sheetName val="SLAB&quot;1&quot;"/>
      <sheetName val="ABUT수량-A1"/>
      <sheetName val="총경력기간"/>
      <sheetName val="점수표"/>
      <sheetName val="과거면접실시자"/>
      <sheetName val="학력사항"/>
      <sheetName val="관급자재대"/>
      <sheetName val="유기공정"/>
      <sheetName val="장비경비"/>
      <sheetName val="금액내역서"/>
      <sheetName val="정보"/>
      <sheetName val="카메라"/>
      <sheetName val="직접인건비"/>
      <sheetName val="수량"/>
      <sheetName val="공기압축기실"/>
      <sheetName val="총정리"/>
      <sheetName val="지급자재"/>
      <sheetName val="직원자료입력"/>
      <sheetName val="내역_ver1.0"/>
      <sheetName val="플랜트 설치"/>
      <sheetName val="표  지"/>
      <sheetName val="102역사"/>
      <sheetName val="골조공사"/>
      <sheetName val="준검 내역서"/>
      <sheetName val="물집"/>
      <sheetName val="단가산출서 (2)"/>
      <sheetName val="단가산출서"/>
      <sheetName val="CLAUSE"/>
      <sheetName val="세골재  T2 변경 현황"/>
      <sheetName val="수량산출서집계"/>
      <sheetName val="장비집계"/>
      <sheetName val="일반"/>
      <sheetName val="입출재고현황 (2)"/>
      <sheetName val="이름정의"/>
      <sheetName val="200"/>
      <sheetName val="가설"/>
      <sheetName val="설비(제출)"/>
      <sheetName val="C3"/>
      <sheetName val="48일위"/>
      <sheetName val="gyun"/>
      <sheetName val="소방사항"/>
      <sheetName val="산출1-수변전"/>
      <sheetName val="수량산출서OS"/>
      <sheetName val="신규보류입력"/>
      <sheetName val="단가 및 재료비"/>
      <sheetName val="중기사용료산출근거"/>
      <sheetName val="총괄"/>
      <sheetName val="수리보고서비"/>
      <sheetName val="LP-S"/>
      <sheetName val="총괄표 "/>
      <sheetName val="257A1"/>
      <sheetName val="설계개요"/>
      <sheetName val="한강운반비"/>
      <sheetName val="단가대비표(계측)"/>
      <sheetName val="교통표지기초"/>
      <sheetName val="SG"/>
      <sheetName val="노임(1차)"/>
      <sheetName val="단가대비표(계측ᛅ"/>
      <sheetName val="제수"/>
      <sheetName val="부대공사재료집계표"/>
      <sheetName val="DANGA"/>
      <sheetName val="Dae_Jiju"/>
      <sheetName val="기초도면제작"/>
      <sheetName val="주출입구조사"/>
      <sheetName val="5 일위목록"/>
      <sheetName val="7 단가조사"/>
      <sheetName val="6 일위대가"/>
      <sheetName val="비품"/>
      <sheetName val="갑지1"/>
      <sheetName val="연부97-1"/>
      <sheetName val="직재"/>
      <sheetName val="재집"/>
      <sheetName val="사리부설"/>
      <sheetName val="실행간접비용"/>
      <sheetName val="건축명"/>
      <sheetName val="기계명"/>
      <sheetName val="전기명"/>
      <sheetName val="토목명"/>
      <sheetName val="POL6차-PIPING"/>
      <sheetName val="충주"/>
      <sheetName val="3.단가산출서"/>
      <sheetName val="횡배수관"/>
      <sheetName val="설비"/>
      <sheetName val="설계서(본관)"/>
      <sheetName val="단위수량"/>
      <sheetName val="집계표 "/>
      <sheetName val="예측단가간지"/>
      <sheetName val="품셈집계표"/>
      <sheetName val="자재조사표"/>
      <sheetName val="계수시트"/>
      <sheetName val="SUB일위대가(이음)"/>
      <sheetName val="하부철근수량"/>
      <sheetName val="근로자자료입력"/>
      <sheetName val="미드수량"/>
      <sheetName val="유림골조"/>
      <sheetName val="CON기초"/>
      <sheetName val="포장복구집계"/>
      <sheetName val="수량계산"/>
      <sheetName val="일위산출"/>
      <sheetName val="공기압_x0005__x0000_"/>
      <sheetName val="공기압窤皙祜"/>
      <sheetName val="공기압丵〒_x0005_"/>
      <sheetName val="품의"/>
      <sheetName val="1련,2련"/>
      <sheetName val="변품8-37"/>
      <sheetName val="빌딩 안내"/>
      <sheetName val="COPING-1"/>
      <sheetName val="역T형교대-2수량"/>
      <sheetName val="손료기준-공사부구두문의"/>
      <sheetName val="업무보고"/>
      <sheetName val="기타사항"/>
      <sheetName val="견적을지"/>
      <sheetName val="단가대비표(건축)"/>
      <sheetName val="장비가동"/>
      <sheetName val="JOIN(2span)"/>
      <sheetName val="주빔의 설계"/>
      <sheetName val="철근량산정및사용성검토"/>
      <sheetName val="b_balju"/>
      <sheetName val="1 자원총괄"/>
      <sheetName val="000000"/>
      <sheetName val="배수관접합및부설  "/>
      <sheetName val="토공집계"/>
      <sheetName val="일위대가(1)"/>
      <sheetName val="동별물량집계표"/>
      <sheetName val="실행내역(10.13)"/>
      <sheetName val="현장경비"/>
      <sheetName val="입상내역"/>
      <sheetName val="기성내역1"/>
      <sheetName val="(A)내역서"/>
      <sheetName val="도급내역"/>
      <sheetName val="자재단가비교표"/>
      <sheetName val="측량노임단가"/>
      <sheetName val="실행(1)"/>
      <sheetName val="신규단가산출"/>
      <sheetName val="준공정산"/>
      <sheetName val="DB구축"/>
      <sheetName val="계획금액"/>
      <sheetName val="factor(건축)"/>
      <sheetName val="3차변경공정"/>
      <sheetName val="현황"/>
      <sheetName val="수원역(전체분)설계서"/>
      <sheetName val="자재테이블"/>
      <sheetName val="가시설수량집계"/>
      <sheetName val="포장수량"/>
      <sheetName val="건축집계표"/>
      <sheetName val="단가결정"/>
      <sheetName val="단위수량산출"/>
      <sheetName val="산출3-동력"/>
      <sheetName val="산출4-전등"/>
      <sheetName val="내역서2안"/>
      <sheetName val="마산월령동골조물량변경"/>
      <sheetName val="실행내역 "/>
      <sheetName val="노무단가"/>
      <sheetName val="항목등록"/>
      <sheetName val="포장총괄집계표"/>
      <sheetName val="부표"/>
      <sheetName val="MAIN"/>
      <sheetName val="대포2교접속"/>
      <sheetName val="직접재료비데이타"/>
      <sheetName val="내역전기"/>
      <sheetName val="포장공(집계)"/>
      <sheetName val="sub"/>
      <sheetName val="내역서(도급)"/>
      <sheetName val="기본사항"/>
      <sheetName val="환산"/>
      <sheetName val="건축공사실행"/>
      <sheetName val="일위대가표_(2)1"/>
      <sheetName val="공종별_집계표1"/>
      <sheetName val="도급내역서_표지1"/>
      <sheetName val="지급_x0000__x0000_"/>
      <sheetName val="맨홀수량산출"/>
      <sheetName val="비주거용"/>
      <sheetName val="시운전연료"/>
      <sheetName val="적정심사"/>
      <sheetName val="257º_x0000_"/>
      <sheetName val="&lt;양식23_CF&gt;"/>
      <sheetName val="광장"/>
      <sheetName val="테이블"/>
      <sheetName val="단가대비"/>
      <sheetName val="조건표"/>
      <sheetName val="지하시설물작성"/>
      <sheetName val="A-4"/>
      <sheetName val="특별땅고르기"/>
      <sheetName val="10_x0005__x0000_À"/>
      <sheetName val="9509"/>
      <sheetName val="횡 연장"/>
      <sheetName val="날개벽"/>
      <sheetName val="평야부단가"/>
      <sheetName val="ASSIGN"/>
      <sheetName val="7단가"/>
      <sheetName val="수량-가로등"/>
      <sheetName val="중기운반자재총(구조물)"/>
      <sheetName val="도로횡단-D300"/>
      <sheetName val="일위대가-2"/>
      <sheetName val="맨홀조서"/>
      <sheetName val="심의위원명단"/>
      <sheetName val="토목공사일반"/>
      <sheetName val="RING_WALL1"/>
      <sheetName val="Sheet1_(2)1"/>
      <sheetName val="설명서_1"/>
      <sheetName val="내역서1999_8최종1"/>
      <sheetName val="1_노무비명세서(해동)1"/>
      <sheetName val="1_노무비명세서(토목)1"/>
      <sheetName val="2_노무비명세서(해동)1"/>
      <sheetName val="2_노무비명세서(수직보호망)1"/>
      <sheetName val="2_노무비명세서(난간대)1"/>
      <sheetName val="2_사진대지1"/>
      <sheetName val="3_사진대지1"/>
      <sheetName val="실행기고및_투입현황(총괄)1"/>
      <sheetName val="2000,9월_일위1"/>
      <sheetName val="총_원가계산1"/>
      <sheetName val="단가일람_(2)1"/>
      <sheetName val="unit_41"/>
      <sheetName val="원가계산서_1"/>
      <sheetName val="2_토목공사1"/>
      <sheetName val="일위대가_1"/>
      <sheetName val="별표_1"/>
      <sheetName val="실행,원가_최종예상"/>
      <sheetName val="내역서_제출"/>
      <sheetName val="101동_"/>
      <sheetName val="주공_갑지"/>
      <sheetName val="Customer_Databas"/>
      <sheetName val="중기_부표"/>
      <sheetName val="복지관_풍화암-평면"/>
      <sheetName val="변압기_및_발전기_용량"/>
      <sheetName val="b_babun_(2)"/>
      <sheetName val="단가대비표_(2)"/>
      <sheetName val="2_대외공문"/>
      <sheetName val="AS포장복구_"/>
      <sheetName val="토공(우물통,기타)_"/>
      <sheetName val="s_v"/>
      <sheetName val="건축공사_집계표"/>
      <sheetName val="4_전기"/>
      <sheetName val="1차_내역서"/>
      <sheetName val="1_설계조건"/>
      <sheetName val="단가대비표_(3)"/>
      <sheetName val="도근좌표"/>
      <sheetName val="자재목록표"/>
      <sheetName val="Tool"/>
      <sheetName val="그림"/>
      <sheetName val="품셈표"/>
      <sheetName val="실행내역서(조정)"/>
      <sheetName val="공사비 증감 내역서"/>
      <sheetName val="산출6-TRAY"/>
      <sheetName val="산출7-본선1)"/>
      <sheetName val="산출7-본선2"/>
      <sheetName val="산출7-본선3"/>
      <sheetName val="부대공"/>
      <sheetName val="몰탈재료산출"/>
      <sheetName val="인건비 "/>
      <sheetName val="원가식재"/>
      <sheetName val="유효폭의 계산"/>
      <sheetName val="과천MAIN"/>
      <sheetName val="공통가설"/>
      <sheetName val="실행내역"/>
      <sheetName val="학력사ԯ"/>
      <sheetName val="학력사頀"/>
      <sheetName val="맨홀_공사비"/>
      <sheetName val="조도계산"/>
      <sheetName val="1.1서버도입"/>
      <sheetName val="guard(mac)"/>
      <sheetName val="본공사"/>
      <sheetName val="T13(P68~72,78)"/>
      <sheetName val="공사요율"/>
      <sheetName val="원가총괄"/>
      <sheetName val="계산내역(설비)"/>
      <sheetName val="M-EQPT-Z"/>
      <sheetName val="안전장치"/>
      <sheetName val="3.내역서"/>
      <sheetName val="깨기수량"/>
      <sheetName val="분전반일위대가"/>
      <sheetName val="시화점실행"/>
      <sheetName val="6PILE  (돌출)"/>
      <sheetName val="예산조서(전송)"/>
      <sheetName val="3.단᠚░　胉"/>
      <sheetName val="3.단ᠢ╋賳"/>
      <sheetName val="base"/>
      <sheetName val="유효폭"/>
      <sheetName val="01"/>
      <sheetName val="조경일람"/>
      <sheetName val="총괄집계표"/>
      <sheetName val="현장관리비 산출내역"/>
      <sheetName val="3.단렖⪇퀀顴"/>
      <sheetName val="현장관리비참조"/>
      <sheetName val="일일"/>
      <sheetName val="사업관리"/>
      <sheetName val="PL단가산정"/>
      <sheetName val="그림2"/>
      <sheetName val="96노임기준"/>
      <sheetName val="수지표"/>
      <sheetName val="셀명"/>
      <sheetName val="반포2차"/>
      <sheetName val="건축내역(대전문화동)"/>
      <sheetName val="1.개요입력"/>
      <sheetName val="5사남"/>
      <sheetName val="Macro1"/>
      <sheetName val="자재비"/>
      <sheetName val="TRE TABLE"/>
      <sheetName val="빈"/>
      <sheetName val="부표총괄"/>
      <sheetName val="기초목"/>
      <sheetName val="견적기준"/>
      <sheetName val="토공"/>
      <sheetName val="CODE"/>
      <sheetName val="중기명"/>
      <sheetName val="3.단爁녈/_x0000_"/>
      <sheetName val="HRSG SMALL07220"/>
      <sheetName val="외주비"/>
      <sheetName val="전선 및 전선관"/>
      <sheetName val="도급양식"/>
      <sheetName val="SIL98"/>
      <sheetName val="공정외주"/>
      <sheetName val="계획123"/>
      <sheetName val="포장공사"/>
      <sheetName val="사업계획"/>
      <sheetName val="설명"/>
      <sheetName val="기초수량산출서"/>
      <sheetName val="미장산근"/>
      <sheetName val="3BL공동구 수량"/>
      <sheetName val="8.PILE  (돌출)"/>
      <sheetName val="청천내"/>
      <sheetName val="지수"/>
      <sheetName val="도로구조공사비"/>
      <sheetName val="도로토공공사비"/>
      <sheetName val="여수토공사비"/>
      <sheetName val="울산시산표"/>
      <sheetName val="5.수량집계"/>
      <sheetName val="3.일위대가표"/>
      <sheetName val="8.자재단가비교표"/>
      <sheetName val="단1"/>
      <sheetName val="장비명"/>
      <sheetName val="형틀공사"/>
      <sheetName val="함수"/>
      <sheetName val="적용률"/>
      <sheetName val="단가적용"/>
      <sheetName val="상시"/>
      <sheetName val="원도급"/>
      <sheetName val="하도급"/>
      <sheetName val="직접노무"/>
      <sheetName val="직접재료"/>
      <sheetName val="48일위(기존)"/>
      <sheetName val="노무비 근거"/>
      <sheetName val="문학간접"/>
      <sheetName val="2.재료비"/>
      <sheetName val="1.인건비"/>
      <sheetName val="12.보오링"/>
      <sheetName val="18.공내수압탄성자연"/>
      <sheetName val="퍼스트"/>
      <sheetName val="송전기본"/>
      <sheetName val="load(지하층)"/>
      <sheetName val="wall"/>
      <sheetName val="실행내역서(DCU)"/>
      <sheetName val="중기조종사 단위단가"/>
      <sheetName val="수입"/>
      <sheetName val="물류최종8월7"/>
      <sheetName val="설계내역서"/>
      <sheetName val="손익코드"/>
      <sheetName val="합계금액"/>
      <sheetName val="배선산출서"/>
      <sheetName val="암거단위"/>
      <sheetName val="초"/>
      <sheetName val="설비원가"/>
      <sheetName val="부안일위"/>
      <sheetName val="견적을(1안)"/>
      <sheetName val="업체선정"/>
      <sheetName val="노면표시-조"/>
      <sheetName val="결재판"/>
      <sheetName val="00내역서"/>
      <sheetName val="매출"/>
      <sheetName val="36수량"/>
      <sheetName val="전기공사일위대가"/>
      <sheetName val="전체"/>
      <sheetName val="내역서01"/>
      <sheetName val="초기화면"/>
      <sheetName val="교대(A1-A2)"/>
      <sheetName val="3.단蠀ᵷ찀ᵷ"/>
      <sheetName val="3.단⠀⑶氀⑶"/>
      <sheetName val="일위대가표_(2)2"/>
      <sheetName val="공종별_집계표2"/>
      <sheetName val="도급내역서_표지2"/>
      <sheetName val="RING_WALL2"/>
      <sheetName val="Sheet1_(2)2"/>
      <sheetName val="설명서_2"/>
      <sheetName val="실행기고및_투입현황(총괄)2"/>
      <sheetName val="1_노무비명세서(해동)2"/>
      <sheetName val="1_노무비명세서(토목)2"/>
      <sheetName val="2_노무비명세서(해동)2"/>
      <sheetName val="2_노무비명세서(수직보호망)2"/>
      <sheetName val="2_노무비명세서(난간대)2"/>
      <sheetName val="2_사진대지2"/>
      <sheetName val="3_사진대지2"/>
      <sheetName val="내역서1999_8최종2"/>
      <sheetName val="2000,9월_일위2"/>
      <sheetName val="총_원가계산2"/>
      <sheetName val="원가계산서_2"/>
      <sheetName val="단가일람_(2)2"/>
      <sheetName val="2_토목공사2"/>
      <sheetName val="unit_42"/>
      <sheetName val="일위대가_2"/>
      <sheetName val="별표_2"/>
      <sheetName val="실행,원가_최종예상1"/>
      <sheetName val="내역서_제출1"/>
      <sheetName val="101동_1"/>
      <sheetName val="주공_갑지1"/>
      <sheetName val="Customer_Databas1"/>
      <sheetName val="변압기_및_발전기_용량1"/>
      <sheetName val="중기_부표1"/>
      <sheetName val="b_babun_(2)1"/>
      <sheetName val="복지관_풍화암-평면1"/>
      <sheetName val="단가대비표_(2)1"/>
      <sheetName val="2_대외공문1"/>
      <sheetName val="AS포장복구_1"/>
      <sheetName val="토공(우물통,기타)_1"/>
      <sheetName val="s_v1"/>
      <sheetName val="건축공사_집계표1"/>
      <sheetName val="4_전기1"/>
      <sheetName val="1차_내역서1"/>
      <sheetName val="1_설계조건1"/>
      <sheetName val="단가대비표_(3)1"/>
      <sheetName val="BSD_(2)"/>
      <sheetName val="단양_00_아파트-세부내역"/>
      <sheetName val="표지_(2)"/>
      <sheetName val="8_수량산출_(2)"/>
      <sheetName val="갑__지"/>
      <sheetName val="총_괄_표"/>
      <sheetName val="Xunit_(단위환산)"/>
      <sheetName val="할증_"/>
      <sheetName val="노임단가_(2)"/>
      <sheetName val="내역_ver1_0"/>
      <sheetName val="기존단가_(2)"/>
      <sheetName val="수목데이타_"/>
      <sheetName val="7_산출집계"/>
      <sheetName val="4_일위산출"/>
      <sheetName val="9_자재단가"/>
      <sheetName val="자__재"/>
      <sheetName val="단가_"/>
      <sheetName val="플랜트_설치"/>
      <sheetName val="표__지"/>
      <sheetName val="3_단가산출서"/>
      <sheetName val="준검_내역서"/>
      <sheetName val="단가산출서_(2)"/>
      <sheetName val="입출재고현황_(2)"/>
      <sheetName val="세골재__T2_변경_현황"/>
      <sheetName val="빌딩_안내"/>
      <sheetName val="현장관리비_산출내역"/>
      <sheetName val="주빔의_설계"/>
      <sheetName val="공기압"/>
      <sheetName val="공기압丵〒"/>
      <sheetName val="단가_및_재료비"/>
      <sheetName val="3BL공동구_수량"/>
      <sheetName val="배수관접합및부설__"/>
      <sheetName val="실행내역(10_13)"/>
      <sheetName val="1_개요입력"/>
      <sheetName val="3_단᠚░　胉"/>
      <sheetName val="3_단ᠢ╋賳"/>
      <sheetName val="6PILE__(돌출)"/>
      <sheetName val="3_단렖⪇퀀顴"/>
      <sheetName val="5_수량집계"/>
      <sheetName val="3_일위대가표"/>
      <sheetName val="8_자재단가비교표"/>
      <sheetName val="노무비_근거"/>
      <sheetName val="횡_연장"/>
      <sheetName val="전선_및_전선관"/>
      <sheetName val="중기조종사_단위단가"/>
      <sheetName val="총괄표_"/>
      <sheetName val="1_"/>
      <sheetName val="실행내역_"/>
      <sheetName val="2_재료비"/>
      <sheetName val="1_인건비"/>
      <sheetName val="12_보오링"/>
      <sheetName val="18_공내수압탄성자연"/>
      <sheetName val="3_내역서"/>
      <sheetName val="TRE_TABLE"/>
      <sheetName val="공사비_증감_내역서"/>
      <sheetName val="3_단爁녈/"/>
      <sheetName val="1호맨홀토공"/>
      <sheetName val="전기실-1"/>
      <sheetName val="빙축열"/>
      <sheetName val="DB"/>
      <sheetName val="기초"/>
      <sheetName val="빙장비사양"/>
      <sheetName val="장비사양"/>
      <sheetName val="Front"/>
      <sheetName val="9811"/>
      <sheetName val="인건-측정"/>
      <sheetName val="XL4Poppy"/>
      <sheetName val="기타 정보통신공사"/>
      <sheetName val="구조물철거타공정이월"/>
      <sheetName val="DATA1"/>
      <sheetName val="2000년 공정표"/>
      <sheetName val="참조 (2)"/>
      <sheetName val="계산서(곡선부)"/>
      <sheetName val="공정코드"/>
      <sheetName val="20관리비율"/>
      <sheetName val="원본"/>
      <sheetName val="7월11일"/>
      <sheetName val="손익집계(공장별)"/>
      <sheetName val="SAM"/>
      <sheetName val="건_N"/>
      <sheetName val="견적의뢰"/>
      <sheetName val="상행-교대(A1-A2)"/>
      <sheetName val="ELEC"/>
      <sheetName val="업체별기성내역"/>
      <sheetName val="주민등록대장"/>
      <sheetName val="Mc1"/>
      <sheetName val="결재판(삭제하지말아주세요)"/>
      <sheetName val="O＆P"/>
      <sheetName val="spc 배관견적"/>
      <sheetName val="C1.공사개요"/>
      <sheetName val="A1.스케쥴"/>
      <sheetName val="할증"/>
      <sheetName val="총괄내역서"/>
      <sheetName val="단가조사-2"/>
      <sheetName val="동해title"/>
      <sheetName val="01노임적용기준"/>
      <sheetName val="편성절차"/>
      <sheetName val="공사비명세서"/>
      <sheetName val="세금자료"/>
      <sheetName val="관급"/>
      <sheetName val="배관배선 단가조사"/>
      <sheetName val="일위대가집계"/>
      <sheetName val="RE9604"/>
      <sheetName val="남양내역"/>
      <sheetName val="시장성초안camera"/>
      <sheetName val="상 부"/>
      <sheetName val="전산output"/>
      <sheetName val="COPING"/>
      <sheetName val="입력값"/>
      <sheetName val="원가계산하도"/>
      <sheetName val="XXXXXX"/>
      <sheetName val="공사원가"/>
      <sheetName val="관급자재"/>
      <sheetName val="예가표"/>
      <sheetName val="일위대가-1"/>
      <sheetName val="RESOURCE"/>
      <sheetName val="[내역(~2.XLS]3.단爁녈/_x0000_"/>
      <sheetName val="[내역(~2.XLS]3_단爁녈/"/>
      <sheetName val="22신설수량"/>
      <sheetName val="48신설일위대가"/>
      <sheetName val="철거일위대가"/>
      <sheetName val="공정증감대ㅈ표"/>
      <sheetName val="당진1,2호기전선관설치및접지4차공사내역서-을지"/>
      <sheetName val="포장집계"/>
      <sheetName val="포장연장"/>
      <sheetName val="공량산출근거서"/>
      <sheetName val="사진 (4)"/>
      <sheetName val="입력표"/>
      <sheetName val="대전가오_견출_집계표"/>
      <sheetName val="MATERIAL"/>
      <sheetName val="매입"/>
      <sheetName val="관계주식"/>
      <sheetName val="공사개요(사업승인변경)"/>
      <sheetName val="펌프류"/>
      <sheetName val="#2 노임단가"/>
      <sheetName val="기초부하"/>
      <sheetName val="하수급견적대비"/>
      <sheetName val="순공사비"/>
      <sheetName val="조직"/>
      <sheetName val="알맹이"/>
      <sheetName val="가계부"/>
      <sheetName val="제품목록"/>
      <sheetName val="매입매출관리"/>
      <sheetName val="인테리어내역"/>
      <sheetName val="S0"/>
      <sheetName val="P-산#1-1(WOWA1)"/>
      <sheetName val="_REF"/>
      <sheetName val="제경비요율"/>
      <sheetName val="맨홀토공(3)"/>
      <sheetName val="인부노임"/>
      <sheetName val="아수배전(1회)"/>
      <sheetName val="관접합및부설"/>
      <sheetName val="단가및재료비"/>
      <sheetName val="수리보고서蠰"/>
      <sheetName val="수리보고서頀"/>
      <sheetName val="ABUT수԰_x0000_缀_x0000_"/>
      <sheetName val="수리보고서ԯ"/>
      <sheetName val="ABUT수֩_x0000_缀_x0000_"/>
      <sheetName val="직원자颩ᢁ︀"/>
      <sheetName val="직원자֩_x0000_缀"/>
      <sheetName val="22.경비내역"/>
      <sheetName val="21.경비기본입력"/>
      <sheetName val="3.공기산정"/>
      <sheetName val="34.주택성능등급"/>
      <sheetName val="1.취수장"/>
      <sheetName val="견적"/>
      <sheetName val="물량입력"/>
      <sheetName val="AS접수관리"/>
      <sheetName val="학력사_x0005_"/>
      <sheetName val="재무가정"/>
      <sheetName val="현황표-원래"/>
      <sheetName val="지급(진행중)"/>
      <sheetName val="CONCRETE"/>
      <sheetName val="토목공사"/>
      <sheetName val="ABUT수©"/>
      <sheetName val="ABUT수︀蛕ԯ_x0000_"/>
      <sheetName val="8.석축단위(H=1.5M)"/>
      <sheetName val="개요"/>
      <sheetName val="인원"/>
      <sheetName val="횡배䘭疋"/>
      <sheetName val="횡배_x0000__x0000_"/>
      <sheetName val="산출㱵Ķ"/>
      <sheetName val="산출_x0000__x0000_"/>
      <sheetName val="원하대비"/>
      <sheetName val="전기일위목록"/>
      <sheetName val="물량내역서"/>
      <sheetName val="단가목록"/>
      <sheetName val="대림경상68억"/>
      <sheetName val="D.B"/>
      <sheetName val="NYS"/>
      <sheetName val="CIVIL4"/>
      <sheetName val="산근목록"/>
      <sheetName val="가시설수량"/>
      <sheetName val="직접비내역서"/>
      <sheetName val="A 견적"/>
      <sheetName val="ABUT수悩㸣԰_x0000_"/>
      <sheetName val="ABUT수䀀Ṳ谀Ṳ"/>
      <sheetName val="ABUT수֩"/>
      <sheetName val="ABUT수⢩㙬怀"/>
      <sheetName val="ABUT수֩杭倯/"/>
      <sheetName val="ABUT수좩㺀ఀ㺁"/>
      <sheetName val="FAX"/>
      <sheetName val="건설기계"/>
      <sheetName val="각형맨홀"/>
      <sheetName val="수량인공"/>
      <sheetName val="TOTAL3"/>
      <sheetName val="CAT_5"/>
      <sheetName val="calc"/>
      <sheetName val="CLA뀀ᶌ_x0000_"/>
      <sheetName val="CLA䀀᪍_x0000_"/>
      <sheetName val="CLA䀀ᖑ_x0000_"/>
      <sheetName val="진주방향"/>
      <sheetName val="기별(종합)"/>
      <sheetName val="구의33고"/>
      <sheetName val="직원명단"/>
      <sheetName val="PROJECT BRIEF"/>
      <sheetName val="ABUT수ᢩ_x000f__x0000__x0000_"/>
      <sheetName val="CC16-내역서"/>
      <sheetName val="토적"/>
      <sheetName val="공사별 가중치 산출근거(토목)"/>
      <sheetName val="가중치근거(조경)"/>
      <sheetName val="개발운영비청구"/>
      <sheetName val="CODE2"/>
      <sheetName val="CODE1"/>
      <sheetName val="[내역(~2.XLS][내역(~2.XLS]3.단爁녈/_x0000_"/>
      <sheetName val="돈암사업"/>
      <sheetName val="하수실행"/>
      <sheetName val="[내역(~2.XLS][내역(~2.XLS]ABUT수֩杭倯/"/>
      <sheetName val="[내역(~2.XLS]ABUT수֩杭倯/"/>
      <sheetName val="ABUT수⠀쀁ꚦ"/>
      <sheetName val="3.단ꠀ᥶᥶"/>
      <sheetName val="환경기계공정표 (3)"/>
      <sheetName val="감가상각"/>
      <sheetName val="피벗테이블데이터분석"/>
      <sheetName val="진입로등"/>
      <sheetName val="J直材4"/>
      <sheetName val="파이프류"/>
      <sheetName val="현장조사"/>
      <sheetName val="노임단"/>
      <sheetName val="배수공"/>
      <sheetName val="운반공"/>
      <sheetName val="자재단"/>
      <sheetName val="장비단"/>
      <sheetName val="부산제일극장"/>
      <sheetName val=" HIT-&gt;HMC 견적(3900)"/>
      <sheetName val="예산결제란"/>
      <sheetName val="설명서"/>
      <sheetName val="부대공사"/>
      <sheetName val="[내역(~2.XLS][내역(~2.XLS]3_단爁녈/"/>
      <sheetName val="공기압축기렀"/>
      <sheetName val="단가대비표(계측_x0005_"/>
      <sheetName val="물가시세표"/>
      <sheetName val="B.중기"/>
      <sheetName val="controll"/>
      <sheetName val="2.냉난방설비공사"/>
      <sheetName val="7.자동제어공사"/>
      <sheetName val="배수관토공산출"/>
      <sheetName val="산출¬_x0000_"/>
      <sheetName val="집수정(600-700)"/>
      <sheetName val="견적업체리스트"/>
      <sheetName val="N"/>
      <sheetName val="내역아"/>
      <sheetName val="울타리"/>
      <sheetName val="내역(가지)"/>
      <sheetName val="내역_ver␁㸪䀀"/>
      <sheetName val="우수"/>
      <sheetName val="공기"/>
      <sheetName val="1공구계약서"/>
      <sheetName val="단聭ᎍ"/>
      <sheetName val="단짷걥"/>
      <sheetName val="단ჶ꾎"/>
      <sheetName val="단삯讎"/>
      <sheetName val="단䂯诀"/>
      <sheetName val="단ᛄ"/>
      <sheetName val="단풿"/>
      <sheetName val="단炯瓃"/>
      <sheetName val="단₯雂"/>
      <sheetName val="단킯➎"/>
      <sheetName val="단쁭ꂍ"/>
      <sheetName val="건축내역서1"/>
      <sheetName val="약품설비"/>
      <sheetName val="절대건들지마시오"/>
      <sheetName val="경리일보"/>
      <sheetName val="과목별합계"/>
      <sheetName val="소요자금청구"/>
      <sheetName val="수지보고(을호지)"/>
      <sheetName val="경지교총괄"/>
      <sheetName val="CABLE SIZE-1"/>
      <sheetName val="작업일보"/>
      <sheetName val="지급(1)"/>
      <sheetName val="97년 추정"/>
      <sheetName val="건설산출"/>
      <sheetName val="const."/>
      <sheetName val="16-1"/>
      <sheetName val="TEL"/>
      <sheetName val="기계경비"/>
      <sheetName val="L_RPTA05_목록"/>
      <sheetName val="적용단위길이"/>
      <sheetName val="위치조서"/>
      <sheetName val="4-10"/>
      <sheetName val="가설공사내역"/>
      <sheetName val="98수문일위"/>
      <sheetName val="갈현동"/>
      <sheetName val="1NYS(당)"/>
      <sheetName val="종배수관면벽구"/>
      <sheetName val="일위-1"/>
      <sheetName val="내역_ver︀듕ԯ"/>
      <sheetName val="직접_x0005__x0000_"/>
      <sheetName val="돌담교 상부수량"/>
      <sheetName val="예정공정완"/>
      <sheetName val="주출입구_x0000__x0000_"/>
      <sheetName val="종배수관(신)"/>
      <sheetName val="확정조서(총괄)"/>
      <sheetName val="확정조서변경후(세부)"/>
      <sheetName val="II손익관리"/>
      <sheetName val="PRO-ACT"/>
      <sheetName val="001"/>
      <sheetName val="간접비"/>
      <sheetName val="산출䘭癶"/>
      <sheetName val="횡배咘Ȏ"/>
      <sheetName val="산출券%"/>
      <sheetName val="본부장"/>
      <sheetName val="충׉"/>
      <sheetName val="석축설면"/>
      <sheetName val="준공조서갑지"/>
      <sheetName val="분수장비시설수량"/>
      <sheetName val="2공구내역서"/>
      <sheetName val="CA지입"/>
      <sheetName val="장비종합부표"/>
      <sheetName val="집계표_식재"/>
      <sheetName val="1을"/>
      <sheetName val="봉양~조차장간고하개명(신설)"/>
      <sheetName val="단가산출_x0000__x0000_墈_x0000__x0000_"/>
      <sheetName val="부총"/>
      <sheetName val="분석대장"/>
      <sheetName val="FAB별"/>
      <sheetName val="내역_ver_x0000__x0000_Ԁ"/>
      <sheetName val="광주광역시신청사"/>
      <sheetName val="측량대가표"/>
      <sheetName val="전년도대비"/>
      <sheetName val="단  가  대  비  표"/>
      <sheetName val="일  위  대  가  목  록"/>
      <sheetName val="대가"/>
      <sheetName val="수량산출서 (2)"/>
      <sheetName val="2002상반기노임기준"/>
      <sheetName val="제품단가명세표"/>
      <sheetName val="노임단가명세표"/>
      <sheetName val="자재(원원+원대)"/>
      <sheetName val="신천3호용수로"/>
      <sheetName val="내역서(토목)"/>
      <sheetName val="동.총"/>
      <sheetName val="SLAÅ_x0000__x0000__x0001_"/>
      <sheetName val="BOOK4"/>
      <sheetName val="코스모공장 (어음)"/>
      <sheetName val="집행현황"/>
      <sheetName val="직접공사비산출내역"/>
      <sheetName val="Escalation"/>
      <sheetName val="암거날개벽"/>
      <sheetName val="전동기"/>
      <sheetName val="일위총괄표"/>
      <sheetName val="원내역"/>
      <sheetName val="노단"/>
      <sheetName val="수리결과"/>
      <sheetName val="내역_ver®_x0000_Ԁ"/>
      <sheetName val="공사비총괄"/>
      <sheetName val="7.PILE  (돌출)"/>
      <sheetName val="제원및배치"/>
      <sheetName val="CON岈6"/>
      <sheetName val="계획금紼"/>
      <sheetName val="양수장"/>
      <sheetName val="100만평"/>
      <sheetName val="면적보정계수"/>
      <sheetName val="수량집계표"/>
      <sheetName val="전등부하"/>
      <sheetName val="세부내역서"/>
      <sheetName val="CTEMCOST"/>
      <sheetName val="접지수량"/>
      <sheetName val="산출0"/>
      <sheetName val="제1호단위수량"/>
      <sheetName val="인부임"/>
      <sheetName val="화해(함평)"/>
      <sheetName val="화해(장성)"/>
      <sheetName val="COPING-_x0000_"/>
      <sheetName val="공작물조직표(용배수)"/>
      <sheetName val="공내역"/>
      <sheetName val="선급비용"/>
      <sheetName val="과거면_x0005__x0000__x0000_"/>
      <sheetName val="과거면헾⽕_x0005__x0000_"/>
      <sheetName val="굴화내역"/>
      <sheetName val="날개수량1.5"/>
      <sheetName val="단炯徍"/>
      <sheetName val="pier(각형)"/>
      <sheetName val="기초자료입력"/>
      <sheetName val="3.단씀鈖ԯ_x0000_"/>
      <sheetName val="건축내역(동해조인)"/>
      <sheetName val="내역_ver怀ᚐ_x0000_"/>
      <sheetName val="전차선로 물량표"/>
      <sheetName val="빗물받이(910-510-㝘¯㤰ࡒ"/>
      <sheetName val="2-1. 경관조명 내역총괄표"/>
      <sheetName val="전입"/>
      <sheetName val="HORI. VESSEL"/>
      <sheetName val="36신설수량"/>
      <sheetName val="골재집계"/>
      <sheetName val="-레미콘집계"/>
      <sheetName val="자갈,시멘트,모래산출"/>
      <sheetName val="-철근집계"/>
      <sheetName val="포장재료(1)"/>
      <sheetName val="-흄관집계"/>
      <sheetName val="관경별내역서"/>
      <sheetName val="내역_ver倀ⷁ_x0000_"/>
      <sheetName val="구조물토적"/>
      <sheetName val="배수장토목공사비"/>
      <sheetName val="데이터"/>
      <sheetName val="직원"/>
      <sheetName val="지가케포"/>
      <sheetName val="총괄서"/>
      <sheetName val="내역서삼척건지"/>
      <sheetName val="매입Q䄀"/>
      <sheetName val="매입Q耀"/>
      <sheetName val="매입Q윀"/>
      <sheetName val="P3"/>
      <sheetName val="토공유동표"/>
      <sheetName val="그레이더"/>
      <sheetName val="4.  단락전류의 계산"/>
      <sheetName val="투찰"/>
      <sheetName val="플랜_x0000__x0000__x0000__x0000_"/>
      <sheetName val="tggwan(me탸"/>
      <sheetName val="EJ"/>
      <sheetName val="플랜트 ࢸ⁓"/>
      <sheetName val="플랜트 ָ_x0000_"/>
      <sheetName val="기성내역서"/>
      <sheetName val="입찰"/>
      <sheetName val="현경"/>
      <sheetName val="매출채권"/>
      <sheetName val="매입Q_x0000_"/>
      <sheetName val="매입"/>
      <sheetName val="매입刀_x0010_"/>
      <sheetName val="국내조달(통합-1)"/>
      <sheetName val="참고사항"/>
      <sheetName val="횡배수관토공수량"/>
      <sheetName val="토공A"/>
      <sheetName val="골䀎_x0003_밀"/>
      <sheetName val="골ꠀ供"/>
      <sheetName val="골䀚_x0003_밀"/>
      <sheetName val="골︀ꏕԯ"/>
      <sheetName val="골_xd800_鎁ᰀ"/>
      <sheetName val="골ԯ_x0000_缀"/>
      <sheetName val="성곽내역서"/>
      <sheetName val="골ࠋ鼽఍"/>
      <sheetName val="골栀轾가"/>
      <sheetName val="공구원가계산"/>
      <sheetName val="기안문"/>
      <sheetName val="작업입력"/>
      <sheetName val="지급콠姯"/>
      <sheetName val="전도금정산집계"/>
      <sheetName val="ABUT수밁Ｕ瀀眑"/>
      <sheetName val="단가 (2)"/>
      <sheetName val="수_x0000_"/>
      <sheetName val="변경내역 (2)"/>
      <sheetName val="토적표"/>
      <sheetName val="간선계산"/>
      <sheetName val="우수공"/>
      <sheetName val="공종별자재"/>
      <sheetName val="신항수로관조서"/>
      <sheetName val="신항용수로집계"/>
      <sheetName val="대로근거"/>
      <sheetName val="중로근거"/>
      <sheetName val="제잡비집계"/>
      <sheetName val="공예을"/>
      <sheetName val="Input"/>
      <sheetName val="물가자료"/>
      <sheetName val="공사설계서"/>
      <sheetName val="가설공사"/>
      <sheetName val="일위대가표_(2)3"/>
      <sheetName val="공종별_집계표3"/>
      <sheetName val="도급내역서_표지3"/>
      <sheetName val="RING_WALL3"/>
      <sheetName val="Sheet1_(2)3"/>
      <sheetName val="설명서_3"/>
      <sheetName val="1_노무비명세서(해동)3"/>
      <sheetName val="1_노무비명세서(토목)3"/>
      <sheetName val="2_노무비명세서(해동)3"/>
      <sheetName val="2_노무비명세서(수직보호망)3"/>
      <sheetName val="2_노무비명세서(난간대)3"/>
      <sheetName val="2_사진대지3"/>
      <sheetName val="3_사진대지3"/>
      <sheetName val="2000,9월_일위3"/>
      <sheetName val="내역서1999_8최종3"/>
      <sheetName val="실행기고및_투입현황(총괄)3"/>
      <sheetName val="총_원가계산3"/>
      <sheetName val="단가일람_(2)3"/>
      <sheetName val="원가계산서_3"/>
      <sheetName val="일위대가_3"/>
      <sheetName val="2_토목공사3"/>
      <sheetName val="s_v2"/>
      <sheetName val="별표_3"/>
      <sheetName val="unit_43"/>
      <sheetName val="내역서_제출2"/>
      <sheetName val="실행,원가_최종예상2"/>
      <sheetName val="주공_갑지2"/>
      <sheetName val="101동_2"/>
      <sheetName val="Customer_Databas2"/>
      <sheetName val="중기_부표2"/>
      <sheetName val="변압기_및_발전기_용량2"/>
      <sheetName val="AS포장복구_2"/>
      <sheetName val="복지관_풍화암-평면2"/>
      <sheetName val="단가대비표_(2)2"/>
      <sheetName val="b_babun_(2)2"/>
      <sheetName val="2_대외공문2"/>
      <sheetName val="1차_내역서2"/>
      <sheetName val="건축공사_집계표2"/>
      <sheetName val="4_전기2"/>
      <sheetName val="토공(우물통,기타)_2"/>
      <sheetName val="1_설계조건2"/>
      <sheetName val="단가대비표_(3)2"/>
      <sheetName val="BSD_(2)1"/>
      <sheetName val="표지_(2)1"/>
      <sheetName val="단양_00_아파트-세부내역1"/>
      <sheetName val="갑__지1"/>
      <sheetName val="총_괄_표1"/>
      <sheetName val="플랜트_설치1"/>
      <sheetName val="8_수량산출_(2)1"/>
      <sheetName val="Xunit_(단위환산)1"/>
      <sheetName val="할증_1"/>
      <sheetName val="노임단가_(2)1"/>
      <sheetName val="기존단가_(2)1"/>
      <sheetName val="수목데이타_1"/>
      <sheetName val="7_산출집계1"/>
      <sheetName val="4_일위산출1"/>
      <sheetName val="9_자재단가1"/>
      <sheetName val="자__재1"/>
      <sheetName val="단가_1"/>
      <sheetName val="내역_ver1_01"/>
      <sheetName val="표__지1"/>
      <sheetName val="준검_내역서1"/>
      <sheetName val="단가산출서_(2)1"/>
      <sheetName val="입출재고현황_(2)1"/>
      <sheetName val="3_단가산출서1"/>
      <sheetName val="빌딩_안내1"/>
      <sheetName val="현장관리비_산출내역1"/>
      <sheetName val="세골재__T2_변경_현황1"/>
      <sheetName val="주빔의_설계1"/>
      <sheetName val="단가_및_재료비1"/>
      <sheetName val="3BL공동구_수량1"/>
      <sheetName val="배수관접합및부설__1"/>
      <sheetName val="실행내역(10_13)1"/>
      <sheetName val="1_개요입력1"/>
      <sheetName val="3_단᠚░　胉1"/>
      <sheetName val="3_단ᠢ╋賳1"/>
      <sheetName val="6PILE__(돌출)1"/>
      <sheetName val="3_단렖⪇퀀顴1"/>
      <sheetName val="총괄표_1"/>
      <sheetName val="1_1"/>
      <sheetName val="실행내역_1"/>
      <sheetName val="2_재료비1"/>
      <sheetName val="1_인건비1"/>
      <sheetName val="12_보오링1"/>
      <sheetName val="18_공내수압탄성자연1"/>
      <sheetName val="TRE_TABLE1"/>
      <sheetName val="공사비_증감_내역서1"/>
      <sheetName val="전선_및_전선관1"/>
      <sheetName val="HRSG_SMALL07220"/>
      <sheetName val="5_수량집계1"/>
      <sheetName val="3_일위대가표1"/>
      <sheetName val="8_자재단가비교표1"/>
      <sheetName val="8_PILE__(돌출)"/>
      <sheetName val="횡_연장1"/>
      <sheetName val="노무비_근거1"/>
      <sheetName val="3_내역서1"/>
      <sheetName val="중기조종사_단위단가1"/>
      <sheetName val="기타_정보통신공사"/>
      <sheetName val="2000년_공정표"/>
      <sheetName val="인건비_"/>
      <sheetName val="참조_(2)"/>
      <sheetName val="3_단蠀ᵷ찀ᵷ"/>
      <sheetName val="3_단⠀⑶氀⑶"/>
      <sheetName val="집계표_"/>
      <sheetName val="spc_배관견적"/>
      <sheetName val="배관배선_단가조사"/>
      <sheetName val="C1_공사개요"/>
      <sheetName val="A1_스케쥴"/>
      <sheetName val="5_일위목록"/>
      <sheetName val="7_단가조사"/>
      <sheetName val="6_일위대가"/>
      <sheetName val="상_부"/>
      <sheetName val="[내역(~2_XLS]3_단爁녈/"/>
      <sheetName val="사진_(4)"/>
      <sheetName val="#2_노임단가"/>
      <sheetName val="1_취수장"/>
      <sheetName val="B_중기"/>
      <sheetName val="1_자원총괄"/>
      <sheetName val="[내역(~2_XLS][내역(~2_XLS]3_단爁녈/"/>
      <sheetName val="8_석축단위(H=1_5M)"/>
      <sheetName val="22_경비내역"/>
      <sheetName val="21_경비기본입력"/>
      <sheetName val="3_공기산정"/>
      <sheetName val="34_주택성능등급"/>
      <sheetName val="D_B"/>
      <sheetName val="건축내역(진해석동)"/>
      <sheetName val="직원자　㢐馃"/>
      <sheetName val="CLA⁮ᮑʵ"/>
      <sheetName val="CLA䁮ྒ痳"/>
      <sheetName val="직접비"/>
      <sheetName val="품셈"/>
      <sheetName val="노임단가산출근거"/>
      <sheetName val="ELECTRIC"/>
      <sheetName val="4.2내역서"/>
      <sheetName val="증감내역서"/>
      <sheetName val="EQ-R1"/>
      <sheetName val="투찰금액"/>
      <sheetName val="공통"/>
      <sheetName val="자재운반단가일람표"/>
      <sheetName val="용산1(해보)"/>
      <sheetName val="총내역서"/>
      <sheetName val="98태백"/>
      <sheetName val="구간재료"/>
      <sheetName val="철콘깨기단산"/>
      <sheetName val="골재운반"/>
      <sheetName val="직접재료비"/>
      <sheetName val="지수적용공사비내역서"/>
      <sheetName val="맨홀(2~4)"/>
      <sheetName val="용역비내역-진짜"/>
      <sheetName val="거래명세표"/>
      <sheetName val="지하"/>
      <sheetName val="관리비비계상"/>
      <sheetName val="맨홀頀_xda34_鴑"/>
      <sheetName val="유ﶻ¸_x0000_"/>
      <sheetName val="지급˘"/>
      <sheetName val="내_x0005__x0000_"/>
      <sheetName val="내ၒ_x0000__x0000_"/>
      <sheetName val="TOT"/>
      <sheetName val="토공정보"/>
      <sheetName val="공사비내역서"/>
      <sheetName val="COA-17"/>
      <sheetName val="C-18"/>
      <sheetName val="기본"/>
      <sheetName val="공사기본내용입력"/>
      <sheetName val="공사내역(2003년)"/>
      <sheetName val="제품정보"/>
      <sheetName val="종배수관"/>
      <sheetName val="수량총괄표"/>
      <sheetName val="포장수량집계"/>
      <sheetName val="본선포장수량"/>
      <sheetName val="포장단위수량"/>
      <sheetName val="접속설치율및 TL값)"/>
      <sheetName val="부채도로수량집계"/>
      <sheetName val="부채도로"/>
      <sheetName val="구조물간 포장집계"/>
      <sheetName val="구조물 증감 단수"/>
      <sheetName val="도로표준단면"/>
      <sheetName val="Module1"/>
      <sheetName val="집  계  표"/>
      <sheetName val="포장자재집계표"/>
      <sheetName val="포장공집계"/>
      <sheetName val="본선포장"/>
      <sheetName val="본선단위수량"/>
      <sheetName val="접속도로1"/>
      <sheetName val="접속도로2"/>
      <sheetName val="확폭부"/>
      <sheetName val="정차대집계"/>
      <sheetName val="정차대"/>
      <sheetName val="부체,과속"/>
      <sheetName val="구조물구간"/>
      <sheetName val="공제위치"/>
      <sheetName val="공제단위수량"/>
      <sheetName val="접속도로"/>
      <sheetName val="진입도로"/>
      <sheetName val="차선도색"/>
      <sheetName val="표준차도부연장집계-ASP"/>
      <sheetName val="보도포장연장조서-표준차도부"/>
      <sheetName val="표준차도부연장조서-ASP"/>
      <sheetName val="이름표지정"/>
      <sheetName val="unitpric"/>
      <sheetName val="기계경비산출기준"/>
      <sheetName val="재정비직인"/>
      <sheetName val="재정비내역"/>
      <sheetName val="지적고시내역"/>
      <sheetName val="단 box"/>
      <sheetName val="단가비교"/>
      <sheetName val="선평원내역"/>
      <sheetName val="GC산출"/>
      <sheetName val="공기압축기_x0000_"/>
      <sheetName val="공기압축기_x0003_"/>
      <sheetName val="유_x0000__x0000__x0005_"/>
      <sheetName val="0005 측량공사.xlsx"/>
      <sheetName val="SORCE1"/>
      <sheetName val="철근총괄집계표"/>
      <sheetName val="내역_verז_x0000_缀"/>
      <sheetName val="내역_ver_xd8d6_쾀ᰀ"/>
      <sheetName val="정산변경내역"/>
      <sheetName val="행정정보시스템현황표가로"/>
      <sheetName val="플랜트 설䀀"/>
      <sheetName val="직원자_x0000__x0000_Ԁ"/>
      <sheetName val="중동상가"/>
      <sheetName val="단가산출목록표"/>
      <sheetName val="ITB COST"/>
      <sheetName val="내역_verÖ_x0000_Ԁ"/>
      <sheetName val="CIVIL"/>
      <sheetName val="내역_verξᚚ_x0001_"/>
      <sheetName val="CLA完꧅"/>
      <sheetName val="______DATA____________________2"/>
      <sheetName val="준공내역"/>
      <sheetName val="[내역(~2.XLS][내역(~2.XLS]_____2__2"/>
      <sheetName val="[내역(~2.XLS][내역(~2.XLS]_____2__3"/>
      <sheetName val="[내역(~2.XLS][내역(~2.XLS]_____2__4"/>
      <sheetName val="기초작업"/>
      <sheetName val="가도공"/>
      <sheetName val="서울대규장각(가시설흙막이)"/>
      <sheetName val="설비(제출_x0005_"/>
      <sheetName val="설비(제출헾"/>
      <sheetName val="tggwan(ma౐̪"/>
      <sheetName val="12호기내역서(건축분)"/>
      <sheetName val="낙차공산출근거"/>
      <sheetName val="일위부표"/>
      <sheetName val="공사일위대가"/>
      <sheetName val="sw1"/>
      <sheetName val="tggwan(maၒ_x0000_"/>
      <sheetName val="tggwan(ma대ʷ"/>
      <sheetName val="수로BOX"/>
      <sheetName val="건강연금보험"/>
      <sheetName val="고용보험"/>
      <sheetName val="물가발표일"/>
      <sheetName val="산재보험"/>
      <sheetName val="실적공사비발표일"/>
      <sheetName val="안전관리"/>
      <sheetName val="장비기준"/>
      <sheetName val="장비기준2007"/>
      <sheetName val="퇴직공제부금"/>
      <sheetName val="평균노임"/>
      <sheetName val="4.2유효폭의 계산"/>
      <sheetName val="위치"/>
      <sheetName val="tggwan(maֳ_x0000_"/>
      <sheetName val="공기압_x0005_"/>
      <sheetName val="ABUT수԰"/>
      <sheetName val="직원자֩"/>
      <sheetName val="환경인력"/>
      <sheetName val="단가대비표ꮸ⽟_x0005__x0000_"/>
      <sheetName val="단가대비표埠_x0012_ꮸ⿶"/>
      <sheetName val="48수량"/>
      <sheetName val="49일위"/>
      <sheetName val="22일위"/>
      <sheetName val="49수량"/>
      <sheetName val="처리업체"/>
      <sheetName val="일위대가표_(2)4"/>
      <sheetName val="공종별_집계표4"/>
      <sheetName val="도급내역서_표지4"/>
      <sheetName val="RING_WALL4"/>
      <sheetName val="설명서_4"/>
      <sheetName val="Sheet1_(2)4"/>
      <sheetName val="2000,9월_일위4"/>
      <sheetName val="1_노무비명세서(해동)4"/>
      <sheetName val="1_노무비명세서(토목)4"/>
      <sheetName val="2_노무비명세서(해동)4"/>
      <sheetName val="2_노무비명세서(수직보호망)4"/>
      <sheetName val="2_노무비명세서(난간대)4"/>
      <sheetName val="2_사진대지4"/>
      <sheetName val="3_사진대지4"/>
      <sheetName val="내역서1999_8최종4"/>
      <sheetName val="단가일람_(2)4"/>
      <sheetName val="별표_4"/>
      <sheetName val="실행기고및_투입현황(총괄)4"/>
      <sheetName val="원가계산서_4"/>
      <sheetName val="총_원가계산4"/>
      <sheetName val="내역서_제출3"/>
      <sheetName val="unit_44"/>
      <sheetName val="일위대가_4"/>
      <sheetName val="2_토목공사4"/>
      <sheetName val="Customer_Databas3"/>
      <sheetName val="실행,원가_최종예상3"/>
      <sheetName val="101동_3"/>
      <sheetName val="주공_갑지3"/>
      <sheetName val="중기_부표3"/>
      <sheetName val="AS포장복구_3"/>
      <sheetName val="s_v3"/>
      <sheetName val="토공(우물통,기타)_3"/>
      <sheetName val="1_설계조건3"/>
      <sheetName val="BSD_(2)2"/>
      <sheetName val="단가대비표_(2)3"/>
      <sheetName val="복지관_풍화암-평면3"/>
      <sheetName val="건축공사_집계표3"/>
      <sheetName val="1차_내역서3"/>
      <sheetName val="변압기_및_발전기_용량3"/>
      <sheetName val="8_수량산출_(2)2"/>
      <sheetName val="단가대비표_(3)3"/>
      <sheetName val="b_babun_(2)3"/>
      <sheetName val="2_대외공문3"/>
      <sheetName val="갑__지2"/>
      <sheetName val="4_전기3"/>
      <sheetName val="표__지2"/>
      <sheetName val="빌딩_안내2"/>
      <sheetName val="단양_00_아파트-세부내역2"/>
      <sheetName val="총_괄_표2"/>
      <sheetName val="표지_(2)2"/>
      <sheetName val="준검_내역서2"/>
      <sheetName val="기존단가_(2)2"/>
      <sheetName val="Xunit_(단위환산)2"/>
      <sheetName val="할증_2"/>
      <sheetName val="수목데이타_2"/>
      <sheetName val="노임단가_(2)2"/>
      <sheetName val="7_산출집계2"/>
      <sheetName val="4_일위산출2"/>
      <sheetName val="9_자재단가2"/>
      <sheetName val="자__재2"/>
      <sheetName val="내역_ver1_02"/>
      <sheetName val="단가_2"/>
      <sheetName val="공사비_증감_내역서2"/>
      <sheetName val="플랜트_설치2"/>
      <sheetName val="단가산출서_(2)2"/>
      <sheetName val="3_단가산출서2"/>
      <sheetName val="입출재고현황_(2)2"/>
      <sheetName val="세골재__T2_변경_현황2"/>
      <sheetName val="주빔의_설계2"/>
      <sheetName val="5_수량집계2"/>
      <sheetName val="3_일위대가표2"/>
      <sheetName val="8_자재단가비교표2"/>
      <sheetName val="노무비_근거2"/>
      <sheetName val="3_내역서2"/>
      <sheetName val="현장관리비_산출내역2"/>
      <sheetName val="실행내역(10_13)2"/>
      <sheetName val="1_개요입력2"/>
      <sheetName val="총괄표_2"/>
      <sheetName val="배수관접합및부설__2"/>
      <sheetName val="단가_및_재료비2"/>
      <sheetName val="TRE_TABLE2"/>
      <sheetName val="8_PILE__(돌출)1"/>
      <sheetName val="전선_및_전선관2"/>
      <sheetName val="배관배선_단가조사1"/>
      <sheetName val="3_단᠚░　胉2"/>
      <sheetName val="3_단ᠢ╋賳2"/>
      <sheetName val="6PILE__(돌출)2"/>
      <sheetName val="3_단렖⪇퀀顴2"/>
      <sheetName val="인건비_1"/>
      <sheetName val="1_2"/>
      <sheetName val="3BL공동구_수량2"/>
      <sheetName val="2_재료비2"/>
      <sheetName val="1_인건비2"/>
      <sheetName val="12_보오링2"/>
      <sheetName val="18_공내수압탄성자연2"/>
      <sheetName val="HRSG_SMALL072201"/>
      <sheetName val="실행내역_2"/>
      <sheetName val="횡_연장2"/>
      <sheetName val="중기조종사_단위단가2"/>
      <sheetName val="사진_(4)1"/>
      <sheetName val="2000년_공정표1"/>
      <sheetName val="집계표_1"/>
      <sheetName val="3_단蠀ᵷ찀ᵷ1"/>
      <sheetName val="3_단⠀⑶氀⑶1"/>
      <sheetName val="기타_정보통신공사1"/>
      <sheetName val="참조_(2)1"/>
      <sheetName val="5_일위목록1"/>
      <sheetName val="7_단가조사1"/>
      <sheetName val="6_일위대가1"/>
      <sheetName val="spc_배관견적1"/>
      <sheetName val="C1_공사개요1"/>
      <sheetName val="A1_스케쥴1"/>
      <sheetName val="22_경비내역1"/>
      <sheetName val="21_경비기본입력1"/>
      <sheetName val="3_공기산정1"/>
      <sheetName val="34_주택성능등급1"/>
      <sheetName val="1_취수장1"/>
      <sheetName val="상_부1"/>
      <sheetName val="8_석축단위(H=1_5M)1"/>
      <sheetName val="D_B1"/>
      <sheetName val="1_자원총괄1"/>
      <sheetName val="PROJECT_BRIEF1"/>
      <sheetName val="#2_노임단가1"/>
      <sheetName val="A_견적1"/>
      <sheetName val="CABLE_SIZE-11"/>
      <sheetName val="3_단ꠀ᥶᥶1"/>
      <sheetName val="공사별_가중치_산출근거(토목)1"/>
      <sheetName val="ABUT수ᢩ"/>
      <sheetName val="[내역(~2_XLS][내역(~2_XLS]ABUT수֩杭倯1"/>
      <sheetName val="[내역(~2_XLS]ABUT수֩杭倯/1"/>
      <sheetName val="환경기계공정표_(3)1"/>
      <sheetName val="[내역(~2_XLS]3_단爁녈/1"/>
      <sheetName val="[내역(~2_XLS][내역(~2_XLS]3_단爁녈/1"/>
      <sheetName val="PROJECT_BRIEF"/>
      <sheetName val="A_견적"/>
      <sheetName val="CABLE_SIZE-1"/>
      <sheetName val="3_단ꠀ᥶᥶"/>
      <sheetName val="공사별_가중치_산출근거(토목)"/>
      <sheetName val="[내역(~2_XLS][내역(~2_XLS]ABUT수֩杭倯/"/>
      <sheetName val="[내역(~2_XLS]ABUT수֩杭倯/"/>
      <sheetName val="환경기계공정표_(3)"/>
      <sheetName val="일위대가표_(2)5"/>
      <sheetName val="공종별_집계표5"/>
      <sheetName val="도급내역서_표지5"/>
      <sheetName val="RING_WALL5"/>
      <sheetName val="설명서_5"/>
      <sheetName val="Sheet1_(2)5"/>
      <sheetName val="2000,9월_일위5"/>
      <sheetName val="1_노무비명세서(해동)5"/>
      <sheetName val="1_노무비명세서(토목)5"/>
      <sheetName val="2_노무비명세서(해동)5"/>
      <sheetName val="2_노무비명세서(수직보호망)5"/>
      <sheetName val="2_노무비명세서(난간대)5"/>
      <sheetName val="2_사진대지5"/>
      <sheetName val="3_사진대지5"/>
      <sheetName val="내역서1999_8최종5"/>
      <sheetName val="단가일람_(2)5"/>
      <sheetName val="별표_5"/>
      <sheetName val="실행기고및_투입현황(총괄)5"/>
      <sheetName val="원가계산서_5"/>
      <sheetName val="총_원가계산5"/>
      <sheetName val="내역서_제출4"/>
      <sheetName val="unit_45"/>
      <sheetName val="일위대가_5"/>
      <sheetName val="2_토목공사5"/>
      <sheetName val="Customer_Databas4"/>
      <sheetName val="실행,원가_최종예상4"/>
      <sheetName val="101동_4"/>
      <sheetName val="주공_갑지4"/>
      <sheetName val="중기_부표4"/>
      <sheetName val="AS포장복구_4"/>
      <sheetName val="s_v4"/>
      <sheetName val="토공(우물통,기타)_4"/>
      <sheetName val="1_설계조건4"/>
      <sheetName val="BSD_(2)3"/>
      <sheetName val="단가대비표_(2)4"/>
      <sheetName val="복지관_풍화암-평면4"/>
      <sheetName val="건축공사_집계표4"/>
      <sheetName val="1차_내역서4"/>
      <sheetName val="변압기_및_발전기_용량4"/>
      <sheetName val="8_수량산출_(2)3"/>
      <sheetName val="단가대비표_(3)4"/>
      <sheetName val="b_babun_(2)4"/>
      <sheetName val="2_대외공문4"/>
      <sheetName val="갑__지3"/>
      <sheetName val="4_전기4"/>
      <sheetName val="표__지3"/>
      <sheetName val="빌딩_안내3"/>
      <sheetName val="단양_00_아파트-세부내역3"/>
      <sheetName val="총_괄_표3"/>
      <sheetName val="표지_(2)3"/>
      <sheetName val="준검_내역서3"/>
      <sheetName val="기존단가_(2)3"/>
      <sheetName val="Xunit_(단위환산)3"/>
      <sheetName val="할증_3"/>
      <sheetName val="수목데이타_3"/>
      <sheetName val="노임단가_(2)3"/>
      <sheetName val="7_산출집계3"/>
      <sheetName val="4_일위산출3"/>
      <sheetName val="9_자재단가3"/>
      <sheetName val="자__재3"/>
      <sheetName val="내역_ver1_03"/>
      <sheetName val="단가_3"/>
      <sheetName val="공사비_증감_내역서3"/>
      <sheetName val="플랜트_설치3"/>
      <sheetName val="단가산출서_(2)3"/>
      <sheetName val="3_단가산출서3"/>
      <sheetName val="입출재고현황_(2)3"/>
      <sheetName val="세골재__T2_변경_현황3"/>
      <sheetName val="주빔의_설계3"/>
      <sheetName val="5_수량집계3"/>
      <sheetName val="3_일위대가표3"/>
      <sheetName val="8_자재단가비교표3"/>
      <sheetName val="노무비_근거3"/>
      <sheetName val="3_내역서3"/>
      <sheetName val="현장관리비_산출내역3"/>
      <sheetName val="실행내역(10_13)3"/>
      <sheetName val="1_개요입력3"/>
      <sheetName val="총괄표_3"/>
      <sheetName val="배수관접합및부설__3"/>
      <sheetName val="단가_및_재료비3"/>
      <sheetName val="TRE_TABLE3"/>
      <sheetName val="8_PILE__(돌출)2"/>
      <sheetName val="전선_및_전선관3"/>
      <sheetName val="배관배선_단가조사2"/>
      <sheetName val="3_단᠚░　胉3"/>
      <sheetName val="3_단ᠢ╋賳3"/>
      <sheetName val="6PILE__(돌출)3"/>
      <sheetName val="3_단렖⪇퀀顴3"/>
      <sheetName val="인건비_2"/>
      <sheetName val="1_3"/>
      <sheetName val="3BL공동구_수량3"/>
      <sheetName val="2_재료비3"/>
      <sheetName val="1_인건비3"/>
      <sheetName val="12_보오링3"/>
      <sheetName val="18_공내수압탄성자연3"/>
      <sheetName val="HRSG_SMALL072202"/>
      <sheetName val="실행내역_3"/>
      <sheetName val="횡_연장3"/>
      <sheetName val="중기조종사_단위단가3"/>
      <sheetName val="사진_(4)2"/>
      <sheetName val="2000년_공정표2"/>
      <sheetName val="집계표_2"/>
      <sheetName val="3_단蠀ᵷ찀ᵷ2"/>
      <sheetName val="3_단⠀⑶氀⑶2"/>
      <sheetName val="기타_정보통신공사2"/>
      <sheetName val="참조_(2)2"/>
      <sheetName val="5_일위목록2"/>
      <sheetName val="7_단가조사2"/>
      <sheetName val="6_일위대가2"/>
      <sheetName val="spc_배관견적2"/>
      <sheetName val="C1_공사개요2"/>
      <sheetName val="A1_스케쥴2"/>
      <sheetName val="22_경비내역2"/>
      <sheetName val="21_경비기본입력2"/>
      <sheetName val="3_공기산정2"/>
      <sheetName val="34_주택성능등급2"/>
      <sheetName val="1_취수장2"/>
      <sheetName val="상_부2"/>
      <sheetName val="8_석축단위(H=1_5M)2"/>
      <sheetName val="D_B2"/>
      <sheetName val="1_자원총괄2"/>
      <sheetName val="PROJECT_BRIEF2"/>
      <sheetName val="#2_노임단가2"/>
      <sheetName val="A_견적2"/>
      <sheetName val="CABLE_SIZE-12"/>
      <sheetName val="3_단ꠀ᥶᥶2"/>
      <sheetName val="공사별_가중치_산출근거(토목)2"/>
      <sheetName val="[내역(~2_XLS][내역(~2_XLS]ABUT수֩杭倯2"/>
      <sheetName val="[내역(~2_XLS]ABUT수֩杭倯/2"/>
      <sheetName val="환경기계공정표_(3)2"/>
      <sheetName val="[내역(~2_XLS]3_단爁녈/2"/>
      <sheetName val="[내역(~2_XLS][내역(~2_XLS]3_단爁녈/2"/>
      <sheetName val="Resource2"/>
      <sheetName val="1설비"/>
      <sheetName val="전력비"/>
      <sheetName val="잡비"/>
      <sheetName val="pier-1"/>
      <sheetName val="마감표"/>
      <sheetName val="건축_x0000__x0000__x0005_"/>
      <sheetName val="금융비용"/>
      <sheetName val="전국현황"/>
      <sheetName val="Ekog10"/>
      <sheetName val="SLAÅ"/>
      <sheetName val="직접_x0005_"/>
      <sheetName val="내역_ver®"/>
      <sheetName val="내역_ver"/>
      <sheetName val="유"/>
      <sheetName val="배수장공사비명세서"/>
      <sheetName val="단위량당중기"/>
      <sheetName val="정렬"/>
      <sheetName val="단중"/>
      <sheetName val="터파기,되메우기,램머,코아"/>
      <sheetName val="수리보고_x0000__x0000_"/>
      <sheetName val="은행"/>
      <sheetName val="M2CAR"/>
      <sheetName val="90톤전기"/>
      <sheetName val="영창악기"/>
      <sheetName val="공장대비"/>
      <sheetName val="공장대비2"/>
      <sheetName val="과거면접실»一"/>
      <sheetName val="내역_ver?쾀ᰀ"/>
      <sheetName val="가격산출기본데이타"/>
      <sheetName val="분양계약자명단239명 (2)"/>
      <sheetName val="직접인건栘"/>
      <sheetName val="재료표"/>
      <sheetName val="토공개요"/>
      <sheetName val="토공(1)"/>
      <sheetName val="6공구(당초)"/>
      <sheetName val="총_x0005_"/>
      <sheetName val="경력"/>
      <sheetName val="입력하시오"/>
      <sheetName val="우각부보강"/>
      <sheetName val="단ၒ_x0000_"/>
      <sheetName val="BS"/>
      <sheetName val="설계서"/>
      <sheetName val="자재 단가 비교표(견적)"/>
      <sheetName val="자재 단가 비교표"/>
      <sheetName val="리드14"/>
      <sheetName val="계약내력"/>
      <sheetName val="학생내역"/>
      <sheetName val="제안서입력"/>
      <sheetName val="절감계산"/>
      <sheetName val="공기압 _x0000_"/>
      <sheetName val="공기압丵〒 "/>
      <sheetName val="내역서(기성청구)"/>
      <sheetName val="총_x0010_"/>
      <sheetName val="총׃"/>
      <sheetName val="원가 (2)"/>
      <sheetName val="내역_ver迤뫡"/>
      <sheetName val="내역_ver䂰澠ೢ"/>
      <sheetName val="제안서"/>
      <sheetName val="행정표준(1)"/>
      <sheetName val="행정표준(2)"/>
      <sheetName val="내   역"/>
      <sheetName val="단¯裂"/>
      <sheetName val="전등설비"/>
      <sheetName val="단킯"/>
      <sheetName val="단ꂯ꒾"/>
      <sheetName val="단뀄킏"/>
      <sheetName val="단炯㯀"/>
      <sheetName val="단炯黁"/>
      <sheetName val="단ク㛅"/>
      <sheetName val="단蒏"/>
      <sheetName val="단ꂯ_xdbbe_"/>
      <sheetName val="단킯폄"/>
      <sheetName val="단끭惀"/>
      <sheetName val="단傯ʓ"/>
      <sheetName val="단խ_x0000_"/>
      <sheetName val="단惆ヂ"/>
      <sheetName val="단烆ڔ"/>
      <sheetName val="단䉭ᅪ"/>
      <sheetName val="단郆ඎ"/>
      <sheetName val="단냆ᢿ"/>
      <sheetName val="단ၣ↕"/>
      <sheetName val="단灣⇄"/>
      <sheetName val="단惀榿"/>
      <sheetName val="단僆颐"/>
      <sheetName val="단냶皓"/>
      <sheetName val="단킯ῃ"/>
      <sheetName val="단Ⴏ뛅"/>
      <sheetName val="단悯㷀"/>
      <sheetName val="단킯仃"/>
      <sheetName val="단း뾒"/>
      <sheetName val="단耀辐"/>
      <sheetName val="단䀄➍"/>
      <sheetName val="97(US,EP,PCT,KR)"/>
      <sheetName val="추진전략"/>
      <sheetName val="단툀ᩘ"/>
      <sheetName val="단倄⾓"/>
      <sheetName val="단볆䁛"/>
      <sheetName val="단テ릏"/>
      <sheetName val="단Ⴠ"/>
      <sheetName val="단Æ"/>
      <sheetName val="단탆侑"/>
      <sheetName val="단僆ι"/>
      <sheetName val="단烆咑"/>
      <sheetName val="단䃆哀"/>
      <sheetName val="단僆ׁ"/>
      <sheetName val="단ꃆ׃"/>
      <sheetName val="단냆貾"/>
      <sheetName val="단ꅐ"/>
      <sheetName val="단ꂯ�"/>
      <sheetName val="단烆ᓄ"/>
      <sheetName val="단胆ꏅ"/>
      <sheetName val="단Ⓟ"/>
      <sheetName val="단郆摒"/>
      <sheetName val="단諭"/>
      <sheetName val="단¯ᎏ"/>
      <sheetName val="단悯Ꮎ"/>
      <sheetName val="단Ꝁ"/>
      <sheetName val="단ᩗ"/>
      <sheetName val="단쀀쯜"/>
      <sheetName val="5. 현장관리비(new) "/>
      <sheetName val="단가1"/>
      <sheetName val="단Ⴠ슐"/>
      <sheetName val="단쿄"/>
      <sheetName val="단恣䚔"/>
      <sheetName val="단쁣䛃"/>
      <sheetName val="면적표"/>
      <sheetName val="증감대비표"/>
      <sheetName val="일위목차"/>
      <sheetName val="VXXXXXXX"/>
      <sheetName val="공사비집계"/>
      <sheetName val="제직재"/>
      <sheetName val="설직재-1"/>
      <sheetName val="내역서(가중치)"/>
      <sheetName val="장부(05상)"/>
      <sheetName val="직접頀奸_xdc00_"/>
      <sheetName val="직접0_x0000_耀"/>
      <sheetName val="부하계산서"/>
      <sheetName val="노무비등록"/>
      <sheetName val="일위대가표_(2)6"/>
      <sheetName val="공종별_집계표6"/>
      <sheetName val="도급내역서_표지6"/>
      <sheetName val="RING_WALL6"/>
      <sheetName val="설명서_6"/>
      <sheetName val="Sheet1_(2)6"/>
      <sheetName val="2000,9월_일위6"/>
      <sheetName val="1_노무비명세서(해동)6"/>
      <sheetName val="1_노무비명세서(토목)6"/>
      <sheetName val="2_노무비명세서(해동)6"/>
      <sheetName val="2_노무비명세서(수직보호망)6"/>
      <sheetName val="2_노무비명세서(난간대)6"/>
      <sheetName val="2_사진대지6"/>
      <sheetName val="3_사진대지6"/>
      <sheetName val="내역서1999_8최종6"/>
      <sheetName val="단가일람_(2)6"/>
      <sheetName val="별표_6"/>
      <sheetName val="실행기고및_투입현황(총괄)6"/>
      <sheetName val="원가계산서_6"/>
      <sheetName val="총_원가계산6"/>
      <sheetName val="내역서_제출5"/>
      <sheetName val="unit_46"/>
      <sheetName val="일위대가_6"/>
      <sheetName val="2_토목공사6"/>
      <sheetName val="Customer_Databas5"/>
      <sheetName val="실행,원가_최종예상5"/>
      <sheetName val="101동_5"/>
      <sheetName val="주공_갑지5"/>
      <sheetName val="중기_부표5"/>
      <sheetName val="AS포장복구_5"/>
      <sheetName val="s_v5"/>
      <sheetName val="토공(우물통,기타)_5"/>
      <sheetName val="1_설계조건5"/>
      <sheetName val="BSD_(2)4"/>
      <sheetName val="단가대비표_(2)5"/>
      <sheetName val="복지관_풍화암-평면5"/>
      <sheetName val="건축공사_집계표5"/>
      <sheetName val="1차_내역서5"/>
      <sheetName val="변압기_및_발전기_용량5"/>
      <sheetName val="8_수량산출_(2)4"/>
      <sheetName val="단가대비표_(3)5"/>
      <sheetName val="b_babun_(2)5"/>
      <sheetName val="2_대외공문5"/>
      <sheetName val="갑__지4"/>
      <sheetName val="4_전기5"/>
      <sheetName val="표__지4"/>
      <sheetName val="빌딩_안내4"/>
      <sheetName val="단양_00_아파트-세부내역4"/>
      <sheetName val="총_괄_표4"/>
      <sheetName val="표지_(2)4"/>
      <sheetName val="준검_내역서4"/>
      <sheetName val="기존단가_(2)4"/>
      <sheetName val="Xunit_(단위환산)4"/>
      <sheetName val="할증_4"/>
      <sheetName val="수목데이타_4"/>
      <sheetName val="노임단가_(2)4"/>
      <sheetName val="7_산출집계4"/>
      <sheetName val="4_일위산출4"/>
      <sheetName val="9_자재단가4"/>
      <sheetName val="자__재4"/>
      <sheetName val="플랜트_설치4"/>
      <sheetName val="단가_4"/>
      <sheetName val="내역_ver1_04"/>
      <sheetName val="단가산출서_(2)4"/>
      <sheetName val="입출재고현황_(2)4"/>
      <sheetName val="3_단가산출서4"/>
      <sheetName val="주빔의_설계4"/>
      <sheetName val="2_재료비4"/>
      <sheetName val="1_인건비4"/>
      <sheetName val="12_보오링4"/>
      <sheetName val="18_공내수압탄성자연4"/>
      <sheetName val="공사비_증감_내역서4"/>
      <sheetName val="세골재__T2_변경_현황4"/>
      <sheetName val="횡_연장4"/>
      <sheetName val="1_4"/>
      <sheetName val="5_수량집계4"/>
      <sheetName val="3_일위대가표4"/>
      <sheetName val="8_자재단가비교표4"/>
      <sheetName val="3BL공동구_수량4"/>
      <sheetName val="배수관접합및부설__4"/>
      <sheetName val="총괄표_4"/>
      <sheetName val="기타_정보통신공사3"/>
      <sheetName val="전선_및_전선관4"/>
      <sheetName val="실행내역(10_13)4"/>
      <sheetName val="1_개요입력4"/>
      <sheetName val="현장관리비_산출내역4"/>
      <sheetName val="단가_및_재료비4"/>
      <sheetName val="TRE_TABLE4"/>
      <sheetName val="8_PILE__(돌출)3"/>
      <sheetName val="3_내역서4"/>
      <sheetName val="HRSG_SMALL072203"/>
      <sheetName val="실행내역_4"/>
      <sheetName val="6PILE__(돌출)4"/>
      <sheetName val="중기조종사_단위단가4"/>
      <sheetName val="노무비_근거4"/>
      <sheetName val="배관배선_단가조사3"/>
      <sheetName val="3_단᠚░　胉4"/>
      <sheetName val="3_단ᠢ╋賳4"/>
      <sheetName val="3_단렖⪇퀀顴4"/>
      <sheetName val="인건비_3"/>
      <sheetName val="사진_(4)3"/>
      <sheetName val="2000년_공정표3"/>
      <sheetName val="집계표_3"/>
      <sheetName val="3_단蠀ᵷ찀ᵷ3"/>
      <sheetName val="3_단⠀⑶氀⑶3"/>
      <sheetName val="참조_(2)3"/>
      <sheetName val="5_일위목록3"/>
      <sheetName val="7_단가조사3"/>
      <sheetName val="6_일위대가3"/>
      <sheetName val="spc_배관견적3"/>
      <sheetName val="C1_공사개요3"/>
      <sheetName val="A1_스케쥴3"/>
      <sheetName val="22_경비내역3"/>
      <sheetName val="21_경비기본입력3"/>
      <sheetName val="3_공기산정3"/>
      <sheetName val="34_주택성능등급3"/>
      <sheetName val="1_취수장3"/>
      <sheetName val="상_부3"/>
      <sheetName val="8_석축단위(H=1_5M)3"/>
      <sheetName val="D_B3"/>
      <sheetName val="1_자원총괄3"/>
      <sheetName val="PROJECT_BRIEF3"/>
      <sheetName val="#2_노임단가3"/>
      <sheetName val="A_견적3"/>
      <sheetName val="CABLE_SIZE-13"/>
      <sheetName val="3_단ꠀ᥶᥶3"/>
      <sheetName val="공사별_가중치_산출근거(토목)3"/>
      <sheetName val="[내역(~2_XLS][내역(~2_XLS]ABUT수֩杭倯3"/>
      <sheetName val="[내역(~2_XLS]ABUT수֩杭倯/3"/>
      <sheetName val="환경기계공정표_(3)3"/>
      <sheetName val="[내역(~2_XLS]3_단爁녈/3"/>
      <sheetName val="[내역(~2_XLS][내역(~2_XLS]3_단爁녈/3"/>
      <sheetName val="단위중량표"/>
      <sheetName val="기초입력 DATA"/>
      <sheetName val="Macro(MCC)"/>
      <sheetName val="급,배기팬"/>
      <sheetName val="현금흐름(입도선매)"/>
      <sheetName val="직원현황"/>
      <sheetName val="ysn"/>
      <sheetName val="새공통(96임금인상기준)"/>
      <sheetName val="실행예산서"/>
      <sheetName val="임율 Data"/>
      <sheetName val="FAB4생산"/>
      <sheetName val="금전출납"/>
      <sheetName val="[내역(~2.XLS][내역(~2_XLS]3_단爁녈/"/>
      <sheetName val="[내역(~2.XLS][내역(~2_XLS]_____2__2"/>
      <sheetName val="과거면접실¬̀"/>
      <sheetName val="도급원가"/>
      <sheetName val="ABUT수량-°_x0000_"/>
      <sheetName val="예정공정표"/>
      <sheetName val="표지1"/>
      <sheetName val="b_balju_㣹ꗸࠎ"/>
      <sheetName val="소계정"/>
      <sheetName val="단 부"/>
      <sheetName val="공통자료"/>
      <sheetName val="원도급내역 1회기성(4,5,6,7)"/>
      <sheetName val="단가산출2"/>
      <sheetName val="총_x0000_"/>
      <sheetName val="직원자ڭ"/>
      <sheetName val="배수공수집"/>
      <sheetName val="내역_ver͊_x0000_ꀀ"/>
      <sheetName val="내역_ver챊遏堂"/>
      <sheetName val="내역_verﱊ졎堀"/>
      <sheetName val="내역_ver졊ﺨ!"/>
      <sheetName val="노무"/>
      <sheetName val="단가_1_"/>
      <sheetName val="물가대비표"/>
      <sheetName val="1.설계기준"/>
      <sheetName val="가시설(TYPE-A)"/>
      <sheetName val="1호맨홀가감수량"/>
      <sheetName val="1-1평균터파기고(1)"/>
      <sheetName val="1호맨홀수량산출"/>
      <sheetName val="일대-1"/>
      <sheetName val="공사비 내역 (가)"/>
      <sheetName val="tggwan(m瑠Ü⩿"/>
      <sheetName val="수처리조적산근"/>
      <sheetName val="원가&amp;하도급원가"/>
      <sheetName val="1공구내역서(1)"/>
      <sheetName val="2010공임"/>
      <sheetName val="기중"/>
      <sheetName val="전신환매도율"/>
      <sheetName val="건가"/>
      <sheetName val="공통비(전체)"/>
      <sheetName val="물량산출(실별)"/>
      <sheetName val="골尀䰐"/>
      <sheetName val="골︀"/>
      <sheetName val="골尀ꌳ䰑"/>
      <sheetName val="골ꠀ♳"/>
      <sheetName val="역T형교‒ᣑḃਹ頁"/>
      <sheetName val="지급濐碱"/>
      <sheetName val="지급翠ʔ"/>
      <sheetName val="내_x0000_ࠧȋ"/>
      <sheetName val="재료할증"/>
      <sheetName val="2. 단가"/>
      <sheetName val="규준틀"/>
      <sheetName val="DATA 입력란"/>
      <sheetName val="적용단가표"/>
      <sheetName val="48_x0005__x0000_"/>
      <sheetName val="자재단가 산출근거"/>
      <sheetName val="산수배_x0000_"/>
      <sheetName val="수정시산표"/>
      <sheetName val="단가旀"/>
      <sheetName val="견峔㄄_x0012_"/>
      <sheetName val="견峔ᔄ_x0013_"/>
      <sheetName val="견峔밄_x0018_"/>
      <sheetName val="암거치수표"/>
      <sheetName val="재료집계표빽업"/>
      <sheetName val="암거수리계산서"/>
      <sheetName val="◀암거수리계산조서"/>
      <sheetName val="최종단면▶"/>
      <sheetName val="재료집계표"/>
      <sheetName val="내역_verז"/>
      <sheetName val="미디어고등학교"/>
      <sheetName val="1차설계변경내역"/>
      <sheetName val="라산부인과"/>
      <sheetName val="부여APT"/>
      <sheetName val="정화조동내역"/>
      <sheetName val="DW산출"/>
      <sheetName val="노임단가(2000하반기)"/>
      <sheetName val="직원자"/>
      <sheetName val="과거면_x0005_"/>
      <sheetName val="내역_verÖ"/>
      <sheetName val="공기압 "/>
      <sheetName val="8월감리조서갑지 (2)"/>
      <sheetName val="일위대가표_(2)7"/>
      <sheetName val="공종별_집계표7"/>
      <sheetName val="도급내역서_표지7"/>
      <sheetName val="RING_WALL7"/>
      <sheetName val="설명서_7"/>
      <sheetName val="Sheet1_(2)7"/>
      <sheetName val="2000,9월_일위7"/>
      <sheetName val="1_노무비명세서(해동)7"/>
      <sheetName val="1_노무비명세서(토목)7"/>
      <sheetName val="2_노무비명세서(해동)7"/>
      <sheetName val="2_노무비명세서(수직보호망)7"/>
      <sheetName val="2_노무비명세서(난간대)7"/>
      <sheetName val="2_사진대지7"/>
      <sheetName val="3_사진대지7"/>
      <sheetName val="내역서1999_8최종7"/>
      <sheetName val="단가일람_(2)7"/>
      <sheetName val="별표_7"/>
      <sheetName val="실행기고및_투입현황(총괄)7"/>
      <sheetName val="원가계산서_7"/>
      <sheetName val="총_원가계산7"/>
      <sheetName val="내역서_제출6"/>
      <sheetName val="unit_47"/>
      <sheetName val="일위대가_7"/>
      <sheetName val="2_토목공사7"/>
      <sheetName val="Customer_Databas6"/>
      <sheetName val="실행,원가_최종예상6"/>
      <sheetName val="101동_6"/>
      <sheetName val="주공_갑지6"/>
      <sheetName val="중기_부표6"/>
      <sheetName val="AS포장복구_6"/>
      <sheetName val="s_v6"/>
      <sheetName val="토공(우물통,기타)_6"/>
      <sheetName val="1_설계조건6"/>
      <sheetName val="BSD_(2)5"/>
      <sheetName val="단가대비표_(2)6"/>
      <sheetName val="복지관_풍화암-평면6"/>
      <sheetName val="건축공사_집계표6"/>
      <sheetName val="1차_내역서6"/>
      <sheetName val="변압기_및_발전기_용량6"/>
      <sheetName val="8_수량산출_(2)5"/>
      <sheetName val="단가대비표_(3)6"/>
      <sheetName val="b_babun_(2)6"/>
      <sheetName val="2_대외공문6"/>
      <sheetName val="갑__지5"/>
      <sheetName val="4_전기6"/>
      <sheetName val="표__지5"/>
      <sheetName val="빌딩_안내5"/>
      <sheetName val="단양_00_아파트-세부내역5"/>
      <sheetName val="총_괄_표5"/>
      <sheetName val="표지_(2)5"/>
      <sheetName val="준검_내역서5"/>
      <sheetName val="기존단가_(2)5"/>
      <sheetName val="Xunit_(단위환산)5"/>
      <sheetName val="할증_5"/>
      <sheetName val="수목데이타_5"/>
      <sheetName val="노임단가_(2)5"/>
      <sheetName val="7_산출집계5"/>
      <sheetName val="4_일위산출5"/>
      <sheetName val="9_자재단가5"/>
      <sheetName val="자__재5"/>
      <sheetName val="내역_ver1_05"/>
      <sheetName val="단가_5"/>
      <sheetName val="공사비_증감_내역서5"/>
      <sheetName val="플랜트_설치5"/>
      <sheetName val="단가산출서_(2)5"/>
      <sheetName val="3_단가산출서5"/>
      <sheetName val="입출재고현황_(2)5"/>
      <sheetName val="세골재__T2_변경_현황5"/>
      <sheetName val="주빔의_설계5"/>
      <sheetName val="5_수량집계5"/>
      <sheetName val="3_일위대가표5"/>
      <sheetName val="8_자재단가비교표5"/>
      <sheetName val="노무비_근거5"/>
      <sheetName val="3_내역서5"/>
      <sheetName val="현장관리비_산출내역5"/>
      <sheetName val="실행내역(10_13)5"/>
      <sheetName val="1_개요입력5"/>
      <sheetName val="총괄표_5"/>
      <sheetName val="배수관접합및부설__5"/>
      <sheetName val="단가_및_재료비5"/>
      <sheetName val="TRE_TABLE5"/>
      <sheetName val="8_PILE__(돌출)4"/>
      <sheetName val="전선_및_전선관5"/>
      <sheetName val="배관배선_단가조사4"/>
      <sheetName val="3_단᠚░　胉5"/>
      <sheetName val="3_단ᠢ╋賳5"/>
      <sheetName val="6PILE__(돌출)5"/>
      <sheetName val="3_단렖⪇퀀顴5"/>
      <sheetName val="인건비_4"/>
      <sheetName val="1_5"/>
      <sheetName val="3BL공동구_수량5"/>
      <sheetName val="2_재료비5"/>
      <sheetName val="1_인건비5"/>
      <sheetName val="12_보오링5"/>
      <sheetName val="18_공내수압탄성자연5"/>
      <sheetName val="HRSG_SMALL072204"/>
      <sheetName val="실행내역_5"/>
      <sheetName val="횡_연장5"/>
      <sheetName val="중기조종사_단위단가5"/>
      <sheetName val="사진_(4)4"/>
      <sheetName val="2000년_공정표4"/>
      <sheetName val="집계표_4"/>
      <sheetName val="3_단蠀ᵷ찀ᵷ4"/>
      <sheetName val="3_단⠀⑶氀⑶4"/>
      <sheetName val="기타_정보통신공사4"/>
      <sheetName val="참조_(2)4"/>
      <sheetName val="5_일위목록4"/>
      <sheetName val="7_단가조사4"/>
      <sheetName val="6_일위대가4"/>
      <sheetName val="spc_배관견적4"/>
      <sheetName val="C1_공사개요4"/>
      <sheetName val="A1_스케쥴4"/>
      <sheetName val="22_경비내역4"/>
      <sheetName val="21_경비기본입력4"/>
      <sheetName val="3_공기산정4"/>
      <sheetName val="34_주택성능등급4"/>
      <sheetName val="1_취수장4"/>
      <sheetName val="상_부4"/>
      <sheetName val="8_석축단위(H=1_5M)4"/>
      <sheetName val="D_B4"/>
      <sheetName val="1_자원총괄4"/>
      <sheetName val="PROJECT_BRIEF4"/>
      <sheetName val="#2_노임단가4"/>
      <sheetName val="A_견적4"/>
      <sheetName val="CABLE_SIZE-14"/>
      <sheetName val="3_단ꠀ᥶᥶4"/>
      <sheetName val="공사별_가중치_산출근거(토목)4"/>
      <sheetName val="[내역(~2_XLS][내역(~2_XLS]ABUT수֩杭倯4"/>
      <sheetName val="[내역(~2_XLS]ABUT수֩杭倯/4"/>
      <sheetName val="환경기계공정표_(3)4"/>
      <sheetName val="[내역(~2_XLS]3_단爁녈/4"/>
      <sheetName val="[내역(~2_XLS][내역(~2_XLS]3_단爁녈/4"/>
      <sheetName val="tggwan(m⩿⽛_x0005_"/>
      <sheetName val="본댐설계"/>
      <sheetName val="[내역(~2.XLS][내역(~2.XLS]_____2__5"/>
      <sheetName val="[내역(~2.XLS][내역(~2.XLS]_____2__6"/>
      <sheetName val="[내역(~2.XLS][내역(~2.XLS]_____2__7"/>
      <sheetName val="계화배수"/>
      <sheetName val="구역화물"/>
      <sheetName val="회사기초자료"/>
      <sheetName val="건설기계가격"/>
      <sheetName val="조경수목"/>
      <sheetName val="횡_x0000__x0000_Ā"/>
      <sheetName val="매입톱"/>
      <sheetName val="회사정보"/>
      <sheetName val="총집계표"/>
      <sheetName val="추가예산"/>
      <sheetName val="철콘공사"/>
      <sheetName val="1공구(입찰내역)"/>
      <sheetName val="정거장 설계조건"/>
      <sheetName val="중기경비목록"/>
      <sheetName val="횡배위치"/>
      <sheetName val="부대tu"/>
      <sheetName val="목록표"/>
      <sheetName val="직접0"/>
      <sheetName val="횡䃏 "/>
      <sheetName val="210004"/>
      <sheetName val="수량산출조서"/>
      <sheetName val="ABUT수_xd8a9_ὑ 뉖"/>
      <sheetName val="강교(Sub)"/>
      <sheetName val="Menu"/>
      <sheetName val="YesNoImpact"/>
      <sheetName val="국변도서작성"/>
      <sheetName val="도시기본계획"/>
      <sheetName val="도시계획"/>
      <sheetName val="토지구획정리"/>
      <sheetName val="토지구획조사"/>
      <sheetName val="취락지역개발"/>
      <sheetName val="지구단위계획"/>
      <sheetName val="주택단지"/>
      <sheetName val="산업단지"/>
      <sheetName val="관광지계획"/>
      <sheetName val="유통단지"/>
      <sheetName val="체육시설"/>
      <sheetName val="국립공원"/>
      <sheetName val="도립공원"/>
      <sheetName val="군립공원"/>
      <sheetName val="자전거도로"/>
      <sheetName val="도시공원"/>
      <sheetName val="어린이공원"/>
      <sheetName val="타당성(시가지개발)"/>
      <sheetName val="타당성(도시시설개발)"/>
      <sheetName val="타당성(지역개발)"/>
      <sheetName val="체육시설1"/>
      <sheetName val="교통영향평가"/>
      <sheetName val="교통직접경비"/>
      <sheetName val="인구영향평가"/>
      <sheetName val="환경영향평가"/>
      <sheetName val="측량"/>
      <sheetName val="재해영향평가"/>
      <sheetName val="에너지사용계획"/>
      <sheetName val="문화재지표조사"/>
      <sheetName val="Energy"/>
      <sheetName val="Hamvec"/>
      <sheetName val="건설공사감리"/>
      <sheetName val="설계감리"/>
      <sheetName val="기타"/>
      <sheetName val="Sheet13"/>
      <sheetName val="Sheet14"/>
      <sheetName val="VB_Code"/>
      <sheetName val="shn"/>
      <sheetName val="용역비산정2001"/>
      <sheetName val="INPUT(덕도방향-시점)"/>
      <sheetName val="별표"/>
      <sheetName val="Macro(전선)"/>
      <sheetName val="각종양식"/>
      <sheetName val="단면가정"/>
      <sheetName val="중기사용료"/>
      <sheetName val="적용노임"/>
      <sheetName val="일반자재"/>
      <sheetName val="B부대공"/>
      <sheetName val="일위대가시트"/>
      <sheetName val="B"/>
      <sheetName val="직원자_x001b__x0000_Ԁ"/>
      <sheetName val="직원자o"/>
      <sheetName val="대비내역(총괄)"/>
      <sheetName val="역T형교_x0000__x0000_Ԁ_x0000_耀"/>
      <sheetName val="인부신상자료"/>
      <sheetName val="토목검측서"/>
      <sheetName val="항목등䉸"/>
      <sheetName val="항목등ꉸ"/>
      <sheetName val="2총ࠀꪘ蠰ꪘ"/>
      <sheetName val="2총ࠀ␆蠯ꪘ"/>
      <sheetName val="인원계획-미화"/>
      <sheetName val="카메㍄"/>
      <sheetName val="_산근2_"/>
      <sheetName val="PROJECT BRIEF(EX.NEW)"/>
      <sheetName val="도면출력"/>
      <sheetName val="산지조서"/>
      <sheetName val="수량집계(측점별)"/>
      <sheetName val="유ဤᱢ뛠"/>
      <sheetName val="암거 제원표-1단계"/>
      <sheetName val=" 원가계산서"/>
      <sheetName val="MSS 2"/>
      <sheetName val="Sheet20"/>
      <sheetName val="직원자裀᛿㤂"/>
      <sheetName val="4.설계예산내역서"/>
      <sheetName val="6.관급자재조서"/>
      <sheetName val="전기단가조사서"/>
      <sheetName val="기초데이타"/>
      <sheetName val="각종단_x0005_"/>
      <sheetName val="유류대관리"/>
      <sheetName val="계약내역서"/>
      <sheetName val="노.표-조"/>
      <sheetName val="산출서"/>
      <sheetName val="실행내역(10.1惙_x0010_"/>
      <sheetName val="배수관토공"/>
      <sheetName val="총경력기倀"/>
      <sheetName val="총경력기"/>
      <sheetName val="총경력기퀀"/>
      <sheetName val="본체"/>
      <sheetName val="표준가격표(071121)"/>
      <sheetName val="98지급계획"/>
      <sheetName val="1-6(반품내역)"/>
      <sheetName val="변경내역_(2)"/>
      <sheetName val="유효폭의_계산"/>
      <sheetName val="1_1서버도입"/>
      <sheetName val="골䀎밀"/>
      <sheetName val="골䀚밀"/>
      <sheetName val="골鎁ᰀ"/>
      <sheetName val="_HIT-&gt;HMC_견적(3900)"/>
      <sheetName val="원도급내역_1회기성(4,5,6,7)"/>
      <sheetName val="단가_(2)"/>
      <sheetName val="돌담교_상부수량"/>
      <sheetName val="단_부"/>
      <sheetName val="자재_단가_비교표(견적)"/>
      <sheetName val="자재_단가_비교표"/>
      <sheetName val="DATA_입력란"/>
      <sheetName val="97년_추정"/>
      <sheetName val="과천내역"/>
      <sheetName val="수습"/>
      <sheetName val="수목데이타"/>
      <sheetName val="쌍송교"/>
      <sheetName val="1~69"/>
      <sheetName val="내"/>
      <sheetName val="내卐厜"/>
      <sheetName val="골ԯ"/>
      <sheetName val="내_x0005_"/>
      <sheetName val="10_x0005_"/>
      <sheetName val="설비2차"/>
      <sheetName val="세부수량"/>
      <sheetName val="G.R300경비"/>
    </sheetNames>
    <sheetDataSet>
      <sheetData sheetId="0"/>
      <sheetData sheetId="1">
        <row r="46">
          <cell r="I46" t="str">
            <v>내용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46">
          <cell r="I46" t="str">
            <v>내용</v>
          </cell>
        </row>
      </sheetData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/>
      <sheetData sheetId="788"/>
      <sheetData sheetId="789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/>
      <sheetData sheetId="1221" refreshError="1"/>
      <sheetData sheetId="1222" refreshError="1"/>
      <sheetData sheetId="1223" refreshError="1"/>
      <sheetData sheetId="1224" refreshError="1"/>
      <sheetData sheetId="1225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/>
      <sheetData sheetId="1291"/>
      <sheetData sheetId="1292"/>
      <sheetData sheetId="1293"/>
      <sheetData sheetId="1294"/>
      <sheetData sheetId="1295"/>
      <sheetData sheetId="1296"/>
      <sheetData sheetId="1297" refreshError="1"/>
      <sheetData sheetId="1298" refreshError="1"/>
      <sheetData sheetId="1299" refreshError="1"/>
      <sheetData sheetId="1300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>
        <row r="46">
          <cell r="I46" t="str">
            <v>내용</v>
          </cell>
        </row>
      </sheetData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>
        <row r="46">
          <cell r="I46" t="str">
            <v>내용</v>
          </cell>
        </row>
      </sheetData>
      <sheetData sheetId="1495">
        <row r="46">
          <cell r="I46" t="str">
            <v>내용</v>
          </cell>
        </row>
      </sheetData>
      <sheetData sheetId="1496">
        <row r="46">
          <cell r="I46" t="str">
            <v>내용</v>
          </cell>
        </row>
      </sheetData>
      <sheetData sheetId="1497">
        <row r="46">
          <cell r="I46" t="str">
            <v>내용</v>
          </cell>
        </row>
      </sheetData>
      <sheetData sheetId="1498">
        <row r="46">
          <cell r="I46" t="str">
            <v>내용</v>
          </cell>
        </row>
      </sheetData>
      <sheetData sheetId="1499">
        <row r="46">
          <cell r="I46" t="str">
            <v>내용</v>
          </cell>
        </row>
      </sheetData>
      <sheetData sheetId="1500">
        <row r="46">
          <cell r="I46" t="str">
            <v>내용</v>
          </cell>
        </row>
      </sheetData>
      <sheetData sheetId="1501">
        <row r="46">
          <cell r="I46" t="str">
            <v>내용</v>
          </cell>
        </row>
      </sheetData>
      <sheetData sheetId="1502">
        <row r="46">
          <cell r="I46" t="str">
            <v>내용</v>
          </cell>
        </row>
      </sheetData>
      <sheetData sheetId="1503">
        <row r="46">
          <cell r="I46" t="str">
            <v>내용</v>
          </cell>
        </row>
      </sheetData>
      <sheetData sheetId="1504">
        <row r="46">
          <cell r="I46" t="str">
            <v>내용</v>
          </cell>
        </row>
      </sheetData>
      <sheetData sheetId="1505">
        <row r="46">
          <cell r="I46" t="str">
            <v>내용</v>
          </cell>
        </row>
      </sheetData>
      <sheetData sheetId="1506">
        <row r="46">
          <cell r="I46" t="str">
            <v>내용</v>
          </cell>
        </row>
      </sheetData>
      <sheetData sheetId="1507">
        <row r="46">
          <cell r="I46" t="str">
            <v>내용</v>
          </cell>
        </row>
      </sheetData>
      <sheetData sheetId="1508">
        <row r="46">
          <cell r="I46" t="str">
            <v>내용</v>
          </cell>
        </row>
      </sheetData>
      <sheetData sheetId="1509">
        <row r="46">
          <cell r="I46" t="str">
            <v>내용</v>
          </cell>
        </row>
      </sheetData>
      <sheetData sheetId="1510">
        <row r="46">
          <cell r="I46" t="str">
            <v>내용</v>
          </cell>
        </row>
      </sheetData>
      <sheetData sheetId="1511">
        <row r="46">
          <cell r="I46" t="str">
            <v>내용</v>
          </cell>
        </row>
      </sheetData>
      <sheetData sheetId="1512">
        <row r="46">
          <cell r="I46" t="str">
            <v>내용</v>
          </cell>
        </row>
      </sheetData>
      <sheetData sheetId="1513">
        <row r="46">
          <cell r="I46" t="str">
            <v>내용</v>
          </cell>
        </row>
      </sheetData>
      <sheetData sheetId="1514">
        <row r="46">
          <cell r="I46" t="str">
            <v>내용</v>
          </cell>
        </row>
      </sheetData>
      <sheetData sheetId="1515">
        <row r="46">
          <cell r="I46" t="str">
            <v>내용</v>
          </cell>
        </row>
      </sheetData>
      <sheetData sheetId="1516">
        <row r="46">
          <cell r="I46" t="str">
            <v>내용</v>
          </cell>
        </row>
      </sheetData>
      <sheetData sheetId="1517">
        <row r="46">
          <cell r="I46" t="str">
            <v>내용</v>
          </cell>
        </row>
      </sheetData>
      <sheetData sheetId="1518">
        <row r="46">
          <cell r="I46" t="str">
            <v>내용</v>
          </cell>
        </row>
      </sheetData>
      <sheetData sheetId="1519">
        <row r="46">
          <cell r="I46" t="str">
            <v>내용</v>
          </cell>
        </row>
      </sheetData>
      <sheetData sheetId="1520">
        <row r="46">
          <cell r="I46" t="str">
            <v>내용</v>
          </cell>
        </row>
      </sheetData>
      <sheetData sheetId="1521">
        <row r="46">
          <cell r="I46" t="str">
            <v>내용</v>
          </cell>
        </row>
      </sheetData>
      <sheetData sheetId="1522">
        <row r="46">
          <cell r="I46" t="str">
            <v>내용</v>
          </cell>
        </row>
      </sheetData>
      <sheetData sheetId="1523">
        <row r="46">
          <cell r="I46" t="str">
            <v>내용</v>
          </cell>
        </row>
      </sheetData>
      <sheetData sheetId="1524">
        <row r="46">
          <cell r="I46" t="str">
            <v>내용</v>
          </cell>
        </row>
      </sheetData>
      <sheetData sheetId="1525">
        <row r="46">
          <cell r="I46" t="str">
            <v>내용</v>
          </cell>
        </row>
      </sheetData>
      <sheetData sheetId="1526">
        <row r="46">
          <cell r="I46" t="str">
            <v>내용</v>
          </cell>
        </row>
      </sheetData>
      <sheetData sheetId="1527">
        <row r="46">
          <cell r="I46" t="str">
            <v>내용</v>
          </cell>
        </row>
      </sheetData>
      <sheetData sheetId="1528">
        <row r="46">
          <cell r="I46" t="str">
            <v>내용</v>
          </cell>
        </row>
      </sheetData>
      <sheetData sheetId="1529">
        <row r="46">
          <cell r="I46" t="str">
            <v>내용</v>
          </cell>
        </row>
      </sheetData>
      <sheetData sheetId="1530">
        <row r="46">
          <cell r="I46" t="str">
            <v>내용</v>
          </cell>
        </row>
      </sheetData>
      <sheetData sheetId="1531">
        <row r="46">
          <cell r="I46" t="str">
            <v>내용</v>
          </cell>
        </row>
      </sheetData>
      <sheetData sheetId="1532">
        <row r="46">
          <cell r="I46" t="str">
            <v>내용</v>
          </cell>
        </row>
      </sheetData>
      <sheetData sheetId="1533">
        <row r="46">
          <cell r="I46" t="str">
            <v>내용</v>
          </cell>
        </row>
      </sheetData>
      <sheetData sheetId="1534">
        <row r="46">
          <cell r="I46" t="str">
            <v>내용</v>
          </cell>
        </row>
      </sheetData>
      <sheetData sheetId="1535">
        <row r="46">
          <cell r="I46" t="str">
            <v>내용</v>
          </cell>
        </row>
      </sheetData>
      <sheetData sheetId="1536">
        <row r="46">
          <cell r="I46" t="str">
            <v>내용</v>
          </cell>
        </row>
      </sheetData>
      <sheetData sheetId="1537">
        <row r="46">
          <cell r="I46" t="str">
            <v>내용</v>
          </cell>
        </row>
      </sheetData>
      <sheetData sheetId="1538">
        <row r="46">
          <cell r="I46" t="str">
            <v>내용</v>
          </cell>
        </row>
      </sheetData>
      <sheetData sheetId="1539">
        <row r="46">
          <cell r="I46" t="str">
            <v>내용</v>
          </cell>
        </row>
      </sheetData>
      <sheetData sheetId="1540">
        <row r="46">
          <cell r="I46" t="str">
            <v>내용</v>
          </cell>
        </row>
      </sheetData>
      <sheetData sheetId="1541">
        <row r="46">
          <cell r="I46" t="str">
            <v>내용</v>
          </cell>
        </row>
      </sheetData>
      <sheetData sheetId="1542">
        <row r="46">
          <cell r="I46" t="str">
            <v>내용</v>
          </cell>
        </row>
      </sheetData>
      <sheetData sheetId="1543">
        <row r="46">
          <cell r="I46" t="str">
            <v>내용</v>
          </cell>
        </row>
      </sheetData>
      <sheetData sheetId="1544">
        <row r="46">
          <cell r="I46" t="str">
            <v>내용</v>
          </cell>
        </row>
      </sheetData>
      <sheetData sheetId="1545">
        <row r="46">
          <cell r="I46" t="str">
            <v>내용</v>
          </cell>
        </row>
      </sheetData>
      <sheetData sheetId="1546">
        <row r="46">
          <cell r="I46" t="str">
            <v>내용</v>
          </cell>
        </row>
      </sheetData>
      <sheetData sheetId="1547">
        <row r="46">
          <cell r="I46" t="str">
            <v>내용</v>
          </cell>
        </row>
      </sheetData>
      <sheetData sheetId="1548">
        <row r="46">
          <cell r="I46" t="str">
            <v>내용</v>
          </cell>
        </row>
      </sheetData>
      <sheetData sheetId="1549">
        <row r="46">
          <cell r="I46" t="str">
            <v>내용</v>
          </cell>
        </row>
      </sheetData>
      <sheetData sheetId="1550">
        <row r="46">
          <cell r="I46" t="str">
            <v>내용</v>
          </cell>
        </row>
      </sheetData>
      <sheetData sheetId="1551">
        <row r="46">
          <cell r="I46" t="str">
            <v>내용</v>
          </cell>
        </row>
      </sheetData>
      <sheetData sheetId="1552">
        <row r="46">
          <cell r="I46" t="str">
            <v>내용</v>
          </cell>
        </row>
      </sheetData>
      <sheetData sheetId="1553">
        <row r="46">
          <cell r="I46" t="str">
            <v>내용</v>
          </cell>
        </row>
      </sheetData>
      <sheetData sheetId="1554">
        <row r="46">
          <cell r="I46" t="str">
            <v>내용</v>
          </cell>
        </row>
      </sheetData>
      <sheetData sheetId="1555">
        <row r="46">
          <cell r="I46" t="str">
            <v>내용</v>
          </cell>
        </row>
      </sheetData>
      <sheetData sheetId="1556">
        <row r="46">
          <cell r="I46" t="str">
            <v>내용</v>
          </cell>
        </row>
      </sheetData>
      <sheetData sheetId="1557">
        <row r="46">
          <cell r="I46" t="str">
            <v>내용</v>
          </cell>
        </row>
      </sheetData>
      <sheetData sheetId="1558">
        <row r="46">
          <cell r="I46" t="str">
            <v>내용</v>
          </cell>
        </row>
      </sheetData>
      <sheetData sheetId="1559">
        <row r="46">
          <cell r="I46" t="str">
            <v>내용</v>
          </cell>
        </row>
      </sheetData>
      <sheetData sheetId="1560">
        <row r="46">
          <cell r="I46" t="str">
            <v>내용</v>
          </cell>
        </row>
      </sheetData>
      <sheetData sheetId="1561">
        <row r="46">
          <cell r="I46" t="str">
            <v>내용</v>
          </cell>
        </row>
      </sheetData>
      <sheetData sheetId="1562">
        <row r="46">
          <cell r="I46" t="str">
            <v>내용</v>
          </cell>
        </row>
      </sheetData>
      <sheetData sheetId="1563">
        <row r="46">
          <cell r="I46" t="str">
            <v>내용</v>
          </cell>
        </row>
      </sheetData>
      <sheetData sheetId="1564">
        <row r="46">
          <cell r="I46" t="str">
            <v>내용</v>
          </cell>
        </row>
      </sheetData>
      <sheetData sheetId="1565">
        <row r="46">
          <cell r="I46" t="str">
            <v>내용</v>
          </cell>
        </row>
      </sheetData>
      <sheetData sheetId="1566">
        <row r="46">
          <cell r="I46" t="str">
            <v>내용</v>
          </cell>
        </row>
      </sheetData>
      <sheetData sheetId="1567">
        <row r="46">
          <cell r="I46" t="str">
            <v>내용</v>
          </cell>
        </row>
      </sheetData>
      <sheetData sheetId="1568">
        <row r="46">
          <cell r="I46" t="str">
            <v>내용</v>
          </cell>
        </row>
      </sheetData>
      <sheetData sheetId="1569">
        <row r="46">
          <cell r="I46" t="str">
            <v>내용</v>
          </cell>
        </row>
      </sheetData>
      <sheetData sheetId="1570">
        <row r="46">
          <cell r="I46" t="str">
            <v>내용</v>
          </cell>
        </row>
      </sheetData>
      <sheetData sheetId="1571">
        <row r="46">
          <cell r="I46" t="str">
            <v>내용</v>
          </cell>
        </row>
      </sheetData>
      <sheetData sheetId="1572">
        <row r="46">
          <cell r="I46" t="str">
            <v>내용</v>
          </cell>
        </row>
      </sheetData>
      <sheetData sheetId="1573">
        <row r="46">
          <cell r="I46" t="str">
            <v>내용</v>
          </cell>
        </row>
      </sheetData>
      <sheetData sheetId="1574">
        <row r="46">
          <cell r="I46" t="str">
            <v>내용</v>
          </cell>
        </row>
      </sheetData>
      <sheetData sheetId="1575">
        <row r="46">
          <cell r="I46" t="str">
            <v>내용</v>
          </cell>
        </row>
      </sheetData>
      <sheetData sheetId="1576">
        <row r="46">
          <cell r="I46" t="str">
            <v>내용</v>
          </cell>
        </row>
      </sheetData>
      <sheetData sheetId="1577">
        <row r="46">
          <cell r="I46" t="str">
            <v>내용</v>
          </cell>
        </row>
      </sheetData>
      <sheetData sheetId="1578">
        <row r="46">
          <cell r="I46" t="str">
            <v>내용</v>
          </cell>
        </row>
      </sheetData>
      <sheetData sheetId="1579">
        <row r="46">
          <cell r="I46" t="str">
            <v>내용</v>
          </cell>
        </row>
      </sheetData>
      <sheetData sheetId="1580">
        <row r="46">
          <cell r="I46" t="str">
            <v>내용</v>
          </cell>
        </row>
      </sheetData>
      <sheetData sheetId="1581">
        <row r="46">
          <cell r="I46" t="str">
            <v>내용</v>
          </cell>
        </row>
      </sheetData>
      <sheetData sheetId="1582">
        <row r="46">
          <cell r="I46" t="str">
            <v>내용</v>
          </cell>
        </row>
      </sheetData>
      <sheetData sheetId="1583">
        <row r="46">
          <cell r="I46" t="str">
            <v>내용</v>
          </cell>
        </row>
      </sheetData>
      <sheetData sheetId="1584">
        <row r="46">
          <cell r="I46" t="str">
            <v>내용</v>
          </cell>
        </row>
      </sheetData>
      <sheetData sheetId="1585">
        <row r="46">
          <cell r="I46" t="str">
            <v>내용</v>
          </cell>
        </row>
      </sheetData>
      <sheetData sheetId="1586">
        <row r="46">
          <cell r="I46" t="str">
            <v>내용</v>
          </cell>
        </row>
      </sheetData>
      <sheetData sheetId="1587">
        <row r="46">
          <cell r="I46" t="str">
            <v>내용</v>
          </cell>
        </row>
      </sheetData>
      <sheetData sheetId="1588">
        <row r="46">
          <cell r="I46" t="str">
            <v>내용</v>
          </cell>
        </row>
      </sheetData>
      <sheetData sheetId="1589">
        <row r="46">
          <cell r="I46" t="str">
            <v>내용</v>
          </cell>
        </row>
      </sheetData>
      <sheetData sheetId="1590">
        <row r="46">
          <cell r="I46" t="str">
            <v>내용</v>
          </cell>
        </row>
      </sheetData>
      <sheetData sheetId="1591">
        <row r="46">
          <cell r="I46" t="str">
            <v>내용</v>
          </cell>
        </row>
      </sheetData>
      <sheetData sheetId="1592">
        <row r="46">
          <cell r="I46" t="str">
            <v>내용</v>
          </cell>
        </row>
      </sheetData>
      <sheetData sheetId="1593">
        <row r="46">
          <cell r="I46" t="str">
            <v>내용</v>
          </cell>
        </row>
      </sheetData>
      <sheetData sheetId="1594">
        <row r="46">
          <cell r="I46" t="str">
            <v>내용</v>
          </cell>
        </row>
      </sheetData>
      <sheetData sheetId="1595">
        <row r="46">
          <cell r="I46" t="str">
            <v>내용</v>
          </cell>
        </row>
      </sheetData>
      <sheetData sheetId="1596">
        <row r="46">
          <cell r="I46" t="str">
            <v>내용</v>
          </cell>
        </row>
      </sheetData>
      <sheetData sheetId="1597">
        <row r="46">
          <cell r="I46" t="str">
            <v>내용</v>
          </cell>
        </row>
      </sheetData>
      <sheetData sheetId="1598">
        <row r="46">
          <cell r="I46" t="str">
            <v>내용</v>
          </cell>
        </row>
      </sheetData>
      <sheetData sheetId="1599">
        <row r="46">
          <cell r="I46" t="str">
            <v>내용</v>
          </cell>
        </row>
      </sheetData>
      <sheetData sheetId="1600">
        <row r="46">
          <cell r="I46" t="str">
            <v>내용</v>
          </cell>
        </row>
      </sheetData>
      <sheetData sheetId="1601">
        <row r="46">
          <cell r="I46" t="str">
            <v>내용</v>
          </cell>
        </row>
      </sheetData>
      <sheetData sheetId="1602">
        <row r="46">
          <cell r="I46" t="str">
            <v>내용</v>
          </cell>
        </row>
      </sheetData>
      <sheetData sheetId="1603">
        <row r="46">
          <cell r="I46" t="str">
            <v>내용</v>
          </cell>
        </row>
      </sheetData>
      <sheetData sheetId="1604">
        <row r="46">
          <cell r="I46" t="str">
            <v>내용</v>
          </cell>
        </row>
      </sheetData>
      <sheetData sheetId="1605">
        <row r="46">
          <cell r="I46" t="str">
            <v>내용</v>
          </cell>
        </row>
      </sheetData>
      <sheetData sheetId="1606">
        <row r="46">
          <cell r="I46" t="str">
            <v>내용</v>
          </cell>
        </row>
      </sheetData>
      <sheetData sheetId="1607">
        <row r="46">
          <cell r="I46" t="str">
            <v>내용</v>
          </cell>
        </row>
      </sheetData>
      <sheetData sheetId="1608">
        <row r="46">
          <cell r="I46" t="str">
            <v>내용</v>
          </cell>
        </row>
      </sheetData>
      <sheetData sheetId="1609">
        <row r="46">
          <cell r="I46" t="str">
            <v>내용</v>
          </cell>
        </row>
      </sheetData>
      <sheetData sheetId="1610">
        <row r="46">
          <cell r="I46" t="str">
            <v>내용</v>
          </cell>
        </row>
      </sheetData>
      <sheetData sheetId="1611">
        <row r="46">
          <cell r="I46" t="str">
            <v>내용</v>
          </cell>
        </row>
      </sheetData>
      <sheetData sheetId="1612">
        <row r="46">
          <cell r="I46" t="str">
            <v>내용</v>
          </cell>
        </row>
      </sheetData>
      <sheetData sheetId="1613">
        <row r="46">
          <cell r="I46" t="str">
            <v>내용</v>
          </cell>
        </row>
      </sheetData>
      <sheetData sheetId="1614">
        <row r="46">
          <cell r="I46" t="str">
            <v>내용</v>
          </cell>
        </row>
      </sheetData>
      <sheetData sheetId="1615">
        <row r="46">
          <cell r="I46" t="str">
            <v>내용</v>
          </cell>
        </row>
      </sheetData>
      <sheetData sheetId="1616">
        <row r="46">
          <cell r="I46" t="str">
            <v>내용</v>
          </cell>
        </row>
      </sheetData>
      <sheetData sheetId="1617">
        <row r="46">
          <cell r="I46" t="str">
            <v>내용</v>
          </cell>
        </row>
      </sheetData>
      <sheetData sheetId="1618">
        <row r="46">
          <cell r="I46" t="str">
            <v>내용</v>
          </cell>
        </row>
      </sheetData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/>
      <sheetData sheetId="1650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>
        <row r="46">
          <cell r="I46" t="str">
            <v>내용</v>
          </cell>
        </row>
      </sheetData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>
        <row r="46">
          <cell r="I46" t="str">
            <v>내용</v>
          </cell>
        </row>
      </sheetData>
      <sheetData sheetId="1722" refreshError="1"/>
      <sheetData sheetId="1723"/>
      <sheetData sheetId="1724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>
        <row r="46">
          <cell r="I46" t="str">
            <v>내용</v>
          </cell>
        </row>
      </sheetData>
      <sheetData sheetId="1765">
        <row r="46">
          <cell r="I46" t="str">
            <v>내용</v>
          </cell>
        </row>
      </sheetData>
      <sheetData sheetId="1766">
        <row r="46">
          <cell r="I46" t="str">
            <v>내용</v>
          </cell>
        </row>
      </sheetData>
      <sheetData sheetId="1767">
        <row r="46">
          <cell r="I46" t="str">
            <v>내용</v>
          </cell>
        </row>
      </sheetData>
      <sheetData sheetId="1768">
        <row r="46">
          <cell r="I46" t="str">
            <v>내용</v>
          </cell>
        </row>
      </sheetData>
      <sheetData sheetId="1769">
        <row r="46">
          <cell r="I46" t="str">
            <v>내용</v>
          </cell>
        </row>
      </sheetData>
      <sheetData sheetId="1770">
        <row r="46">
          <cell r="I46" t="str">
            <v>내용</v>
          </cell>
        </row>
      </sheetData>
      <sheetData sheetId="1771">
        <row r="46">
          <cell r="I46" t="str">
            <v>내용</v>
          </cell>
        </row>
      </sheetData>
      <sheetData sheetId="1772">
        <row r="46">
          <cell r="I46" t="str">
            <v>내용</v>
          </cell>
        </row>
      </sheetData>
      <sheetData sheetId="1773">
        <row r="46">
          <cell r="I46" t="str">
            <v>내용</v>
          </cell>
        </row>
      </sheetData>
      <sheetData sheetId="1774">
        <row r="46">
          <cell r="I46" t="str">
            <v>내용</v>
          </cell>
        </row>
      </sheetData>
      <sheetData sheetId="1775">
        <row r="46">
          <cell r="I46" t="str">
            <v>내용</v>
          </cell>
        </row>
      </sheetData>
      <sheetData sheetId="1776">
        <row r="46">
          <cell r="I46" t="str">
            <v>내용</v>
          </cell>
        </row>
      </sheetData>
      <sheetData sheetId="1777">
        <row r="46">
          <cell r="I46" t="str">
            <v>내용</v>
          </cell>
        </row>
      </sheetData>
      <sheetData sheetId="1778">
        <row r="46">
          <cell r="I46" t="str">
            <v>내용</v>
          </cell>
        </row>
      </sheetData>
      <sheetData sheetId="1779">
        <row r="46">
          <cell r="I46" t="str">
            <v>내용</v>
          </cell>
        </row>
      </sheetData>
      <sheetData sheetId="1780">
        <row r="46">
          <cell r="I46" t="str">
            <v>내용</v>
          </cell>
        </row>
      </sheetData>
      <sheetData sheetId="1781">
        <row r="46">
          <cell r="I46" t="str">
            <v>내용</v>
          </cell>
        </row>
      </sheetData>
      <sheetData sheetId="1782">
        <row r="46">
          <cell r="I46" t="str">
            <v>내용</v>
          </cell>
        </row>
      </sheetData>
      <sheetData sheetId="1783">
        <row r="46">
          <cell r="I46" t="str">
            <v>내용</v>
          </cell>
        </row>
      </sheetData>
      <sheetData sheetId="1784">
        <row r="46">
          <cell r="I46" t="str">
            <v>내용</v>
          </cell>
        </row>
      </sheetData>
      <sheetData sheetId="1785">
        <row r="46">
          <cell r="I46" t="str">
            <v>내용</v>
          </cell>
        </row>
      </sheetData>
      <sheetData sheetId="1786">
        <row r="46">
          <cell r="I46" t="str">
            <v>내용</v>
          </cell>
        </row>
      </sheetData>
      <sheetData sheetId="1787">
        <row r="46">
          <cell r="I46" t="str">
            <v>내용</v>
          </cell>
        </row>
      </sheetData>
      <sheetData sheetId="1788">
        <row r="46">
          <cell r="I46" t="str">
            <v>내용</v>
          </cell>
        </row>
      </sheetData>
      <sheetData sheetId="1789">
        <row r="46">
          <cell r="I46" t="str">
            <v>내용</v>
          </cell>
        </row>
      </sheetData>
      <sheetData sheetId="1790">
        <row r="46">
          <cell r="I46" t="str">
            <v>내용</v>
          </cell>
        </row>
      </sheetData>
      <sheetData sheetId="1791">
        <row r="46">
          <cell r="I46" t="str">
            <v>내용</v>
          </cell>
        </row>
      </sheetData>
      <sheetData sheetId="1792">
        <row r="46">
          <cell r="I46" t="str">
            <v>내용</v>
          </cell>
        </row>
      </sheetData>
      <sheetData sheetId="1793">
        <row r="46">
          <cell r="I46" t="str">
            <v>내용</v>
          </cell>
        </row>
      </sheetData>
      <sheetData sheetId="1794">
        <row r="46">
          <cell r="I46" t="str">
            <v>내용</v>
          </cell>
        </row>
      </sheetData>
      <sheetData sheetId="1795">
        <row r="46">
          <cell r="I46" t="str">
            <v>내용</v>
          </cell>
        </row>
      </sheetData>
      <sheetData sheetId="1796">
        <row r="46">
          <cell r="I46" t="str">
            <v>내용</v>
          </cell>
        </row>
      </sheetData>
      <sheetData sheetId="1797">
        <row r="46">
          <cell r="I46" t="str">
            <v>내용</v>
          </cell>
        </row>
      </sheetData>
      <sheetData sheetId="1798">
        <row r="46">
          <cell r="I46" t="str">
            <v>내용</v>
          </cell>
        </row>
      </sheetData>
      <sheetData sheetId="1799">
        <row r="46">
          <cell r="I46" t="str">
            <v>내용</v>
          </cell>
        </row>
      </sheetData>
      <sheetData sheetId="1800">
        <row r="46">
          <cell r="I46" t="str">
            <v>내용</v>
          </cell>
        </row>
      </sheetData>
      <sheetData sheetId="1801">
        <row r="46">
          <cell r="I46" t="str">
            <v>내용</v>
          </cell>
        </row>
      </sheetData>
      <sheetData sheetId="1802">
        <row r="46">
          <cell r="I46" t="str">
            <v>내용</v>
          </cell>
        </row>
      </sheetData>
      <sheetData sheetId="1803">
        <row r="46">
          <cell r="I46" t="str">
            <v>내용</v>
          </cell>
        </row>
      </sheetData>
      <sheetData sheetId="1804">
        <row r="46">
          <cell r="I46" t="str">
            <v>내용</v>
          </cell>
        </row>
      </sheetData>
      <sheetData sheetId="1805">
        <row r="46">
          <cell r="I46" t="str">
            <v>내용</v>
          </cell>
        </row>
      </sheetData>
      <sheetData sheetId="1806">
        <row r="46">
          <cell r="I46" t="str">
            <v>내용</v>
          </cell>
        </row>
      </sheetData>
      <sheetData sheetId="1807">
        <row r="46">
          <cell r="I46" t="str">
            <v>내용</v>
          </cell>
        </row>
      </sheetData>
      <sheetData sheetId="1808">
        <row r="46">
          <cell r="I46" t="str">
            <v>내용</v>
          </cell>
        </row>
      </sheetData>
      <sheetData sheetId="1809">
        <row r="46">
          <cell r="I46" t="str">
            <v>내용</v>
          </cell>
        </row>
      </sheetData>
      <sheetData sheetId="1810">
        <row r="46">
          <cell r="I46" t="str">
            <v>내용</v>
          </cell>
        </row>
      </sheetData>
      <sheetData sheetId="1811">
        <row r="46">
          <cell r="I46" t="str">
            <v>내용</v>
          </cell>
        </row>
      </sheetData>
      <sheetData sheetId="1812">
        <row r="46">
          <cell r="I46" t="str">
            <v>내용</v>
          </cell>
        </row>
      </sheetData>
      <sheetData sheetId="1813">
        <row r="46">
          <cell r="I46" t="str">
            <v>내용</v>
          </cell>
        </row>
      </sheetData>
      <sheetData sheetId="1814">
        <row r="46">
          <cell r="I46" t="str">
            <v>내용</v>
          </cell>
        </row>
      </sheetData>
      <sheetData sheetId="1815">
        <row r="46">
          <cell r="I46" t="str">
            <v>내용</v>
          </cell>
        </row>
      </sheetData>
      <sheetData sheetId="1816">
        <row r="46">
          <cell r="I46" t="str">
            <v>내용</v>
          </cell>
        </row>
      </sheetData>
      <sheetData sheetId="1817">
        <row r="46">
          <cell r="I46" t="str">
            <v>내용</v>
          </cell>
        </row>
      </sheetData>
      <sheetData sheetId="1818">
        <row r="46">
          <cell r="I46" t="str">
            <v>내용</v>
          </cell>
        </row>
      </sheetData>
      <sheetData sheetId="1819">
        <row r="46">
          <cell r="I46" t="str">
            <v>내용</v>
          </cell>
        </row>
      </sheetData>
      <sheetData sheetId="1820">
        <row r="46">
          <cell r="I46" t="str">
            <v>내용</v>
          </cell>
        </row>
      </sheetData>
      <sheetData sheetId="1821">
        <row r="46">
          <cell r="I46" t="str">
            <v>내용</v>
          </cell>
        </row>
      </sheetData>
      <sheetData sheetId="1822">
        <row r="46">
          <cell r="I46" t="str">
            <v>내용</v>
          </cell>
        </row>
      </sheetData>
      <sheetData sheetId="1823">
        <row r="46">
          <cell r="I46" t="str">
            <v>내용</v>
          </cell>
        </row>
      </sheetData>
      <sheetData sheetId="1824">
        <row r="46">
          <cell r="I46" t="str">
            <v>내용</v>
          </cell>
        </row>
      </sheetData>
      <sheetData sheetId="1825">
        <row r="46">
          <cell r="I46" t="str">
            <v>내용</v>
          </cell>
        </row>
      </sheetData>
      <sheetData sheetId="1826">
        <row r="46">
          <cell r="I46" t="str">
            <v>내용</v>
          </cell>
        </row>
      </sheetData>
      <sheetData sheetId="1827">
        <row r="46">
          <cell r="I46" t="str">
            <v>내용</v>
          </cell>
        </row>
      </sheetData>
      <sheetData sheetId="1828">
        <row r="46">
          <cell r="I46" t="str">
            <v>내용</v>
          </cell>
        </row>
      </sheetData>
      <sheetData sheetId="1829">
        <row r="46">
          <cell r="I46" t="str">
            <v>내용</v>
          </cell>
        </row>
      </sheetData>
      <sheetData sheetId="1830">
        <row r="46">
          <cell r="I46" t="str">
            <v>내용</v>
          </cell>
        </row>
      </sheetData>
      <sheetData sheetId="1831">
        <row r="46">
          <cell r="I46" t="str">
            <v>내용</v>
          </cell>
        </row>
      </sheetData>
      <sheetData sheetId="1832">
        <row r="46">
          <cell r="I46" t="str">
            <v>내용</v>
          </cell>
        </row>
      </sheetData>
      <sheetData sheetId="1833">
        <row r="46">
          <cell r="I46" t="str">
            <v>내용</v>
          </cell>
        </row>
      </sheetData>
      <sheetData sheetId="1834">
        <row r="46">
          <cell r="I46" t="str">
            <v>내용</v>
          </cell>
        </row>
      </sheetData>
      <sheetData sheetId="1835">
        <row r="46">
          <cell r="I46" t="str">
            <v>내용</v>
          </cell>
        </row>
      </sheetData>
      <sheetData sheetId="1836">
        <row r="46">
          <cell r="I46" t="str">
            <v>내용</v>
          </cell>
        </row>
      </sheetData>
      <sheetData sheetId="1837">
        <row r="46">
          <cell r="I46" t="str">
            <v>내용</v>
          </cell>
        </row>
      </sheetData>
      <sheetData sheetId="1838">
        <row r="46">
          <cell r="I46" t="str">
            <v>내용</v>
          </cell>
        </row>
      </sheetData>
      <sheetData sheetId="1839">
        <row r="46">
          <cell r="I46" t="str">
            <v>내용</v>
          </cell>
        </row>
      </sheetData>
      <sheetData sheetId="1840">
        <row r="46">
          <cell r="I46" t="str">
            <v>내용</v>
          </cell>
        </row>
      </sheetData>
      <sheetData sheetId="1841">
        <row r="46">
          <cell r="I46" t="str">
            <v>내용</v>
          </cell>
        </row>
      </sheetData>
      <sheetData sheetId="1842">
        <row r="46">
          <cell r="I46" t="str">
            <v>내용</v>
          </cell>
        </row>
      </sheetData>
      <sheetData sheetId="1843">
        <row r="46">
          <cell r="I46" t="str">
            <v>내용</v>
          </cell>
        </row>
      </sheetData>
      <sheetData sheetId="1844">
        <row r="46">
          <cell r="I46" t="str">
            <v>내용</v>
          </cell>
        </row>
      </sheetData>
      <sheetData sheetId="1845">
        <row r="46">
          <cell r="I46" t="str">
            <v>내용</v>
          </cell>
        </row>
      </sheetData>
      <sheetData sheetId="1846">
        <row r="46">
          <cell r="I46" t="str">
            <v>내용</v>
          </cell>
        </row>
      </sheetData>
      <sheetData sheetId="1847">
        <row r="46">
          <cell r="I46" t="str">
            <v>내용</v>
          </cell>
        </row>
      </sheetData>
      <sheetData sheetId="1848">
        <row r="46">
          <cell r="I46" t="str">
            <v>내용</v>
          </cell>
        </row>
      </sheetData>
      <sheetData sheetId="1849"/>
      <sheetData sheetId="1850">
        <row r="46">
          <cell r="I46" t="str">
            <v>내용</v>
          </cell>
        </row>
      </sheetData>
      <sheetData sheetId="1851">
        <row r="46">
          <cell r="I46" t="str">
            <v>내용</v>
          </cell>
        </row>
      </sheetData>
      <sheetData sheetId="1852">
        <row r="46">
          <cell r="I46" t="str">
            <v>내용</v>
          </cell>
        </row>
      </sheetData>
      <sheetData sheetId="1853"/>
      <sheetData sheetId="1854">
        <row r="46">
          <cell r="I46" t="str">
            <v>내용</v>
          </cell>
        </row>
      </sheetData>
      <sheetData sheetId="1855">
        <row r="46">
          <cell r="I46" t="str">
            <v>내용</v>
          </cell>
        </row>
      </sheetData>
      <sheetData sheetId="1856">
        <row r="46">
          <cell r="I46" t="str">
            <v>내용</v>
          </cell>
        </row>
      </sheetData>
      <sheetData sheetId="1857"/>
      <sheetData sheetId="1858">
        <row r="46">
          <cell r="I46" t="str">
            <v>내용</v>
          </cell>
        </row>
      </sheetData>
      <sheetData sheetId="1859">
        <row r="46">
          <cell r="I46" t="str">
            <v>내용</v>
          </cell>
        </row>
      </sheetData>
      <sheetData sheetId="1860">
        <row r="46">
          <cell r="I46" t="str">
            <v>내용</v>
          </cell>
        </row>
      </sheetData>
      <sheetData sheetId="1861">
        <row r="46">
          <cell r="I46" t="str">
            <v>내용</v>
          </cell>
        </row>
      </sheetData>
      <sheetData sheetId="1862">
        <row r="46">
          <cell r="I46" t="str">
            <v>내용</v>
          </cell>
        </row>
      </sheetData>
      <sheetData sheetId="1863"/>
      <sheetData sheetId="1864">
        <row r="46">
          <cell r="I46" t="str">
            <v>내용</v>
          </cell>
        </row>
      </sheetData>
      <sheetData sheetId="1865">
        <row r="46">
          <cell r="I46" t="str">
            <v>내용</v>
          </cell>
        </row>
      </sheetData>
      <sheetData sheetId="1866">
        <row r="46">
          <cell r="I46" t="str">
            <v>내용</v>
          </cell>
        </row>
      </sheetData>
      <sheetData sheetId="1867"/>
      <sheetData sheetId="1868">
        <row r="46">
          <cell r="I46" t="str">
            <v>내용</v>
          </cell>
        </row>
      </sheetData>
      <sheetData sheetId="1869"/>
      <sheetData sheetId="1870">
        <row r="46">
          <cell r="I46" t="str">
            <v>내용</v>
          </cell>
        </row>
      </sheetData>
      <sheetData sheetId="1871">
        <row r="46">
          <cell r="I46" t="str">
            <v>내용</v>
          </cell>
        </row>
      </sheetData>
      <sheetData sheetId="1872">
        <row r="46">
          <cell r="I46" t="str">
            <v>내용</v>
          </cell>
        </row>
      </sheetData>
      <sheetData sheetId="1873">
        <row r="46">
          <cell r="I46" t="str">
            <v>내용</v>
          </cell>
        </row>
      </sheetData>
      <sheetData sheetId="1874">
        <row r="46">
          <cell r="I46" t="str">
            <v>내용</v>
          </cell>
        </row>
      </sheetData>
      <sheetData sheetId="1875"/>
      <sheetData sheetId="1876">
        <row r="46">
          <cell r="I46" t="str">
            <v>내용</v>
          </cell>
        </row>
      </sheetData>
      <sheetData sheetId="1877">
        <row r="46">
          <cell r="I46" t="str">
            <v>내용</v>
          </cell>
        </row>
      </sheetData>
      <sheetData sheetId="1878">
        <row r="46">
          <cell r="I46" t="str">
            <v>내용</v>
          </cell>
        </row>
      </sheetData>
      <sheetData sheetId="1879">
        <row r="46">
          <cell r="I46" t="str">
            <v>내용</v>
          </cell>
        </row>
      </sheetData>
      <sheetData sheetId="1880"/>
      <sheetData sheetId="1881">
        <row r="46">
          <cell r="I46" t="str">
            <v>내용</v>
          </cell>
        </row>
      </sheetData>
      <sheetData sheetId="1882">
        <row r="46">
          <cell r="I46" t="str">
            <v>내용</v>
          </cell>
        </row>
      </sheetData>
      <sheetData sheetId="1883">
        <row r="46">
          <cell r="I46" t="str">
            <v>내용</v>
          </cell>
        </row>
      </sheetData>
      <sheetData sheetId="1884">
        <row r="46">
          <cell r="I46" t="str">
            <v>내용</v>
          </cell>
        </row>
      </sheetData>
      <sheetData sheetId="1885">
        <row r="46">
          <cell r="I46" t="str">
            <v>내용</v>
          </cell>
        </row>
      </sheetData>
      <sheetData sheetId="1886">
        <row r="46">
          <cell r="I46" t="str">
            <v>내용</v>
          </cell>
        </row>
      </sheetData>
      <sheetData sheetId="1887"/>
      <sheetData sheetId="1888">
        <row r="46">
          <cell r="I46" t="str">
            <v>내용</v>
          </cell>
        </row>
      </sheetData>
      <sheetData sheetId="1889">
        <row r="46">
          <cell r="I46" t="str">
            <v>내용</v>
          </cell>
        </row>
      </sheetData>
      <sheetData sheetId="1890">
        <row r="46">
          <cell r="I46" t="str">
            <v>내용</v>
          </cell>
        </row>
      </sheetData>
      <sheetData sheetId="1891">
        <row r="46">
          <cell r="I46" t="str">
            <v>내용</v>
          </cell>
        </row>
      </sheetData>
      <sheetData sheetId="1892">
        <row r="46">
          <cell r="I46" t="str">
            <v>내용</v>
          </cell>
        </row>
      </sheetData>
      <sheetData sheetId="1893">
        <row r="46">
          <cell r="I46" t="str">
            <v>내용</v>
          </cell>
        </row>
      </sheetData>
      <sheetData sheetId="1894">
        <row r="46">
          <cell r="I46" t="str">
            <v>내용</v>
          </cell>
        </row>
      </sheetData>
      <sheetData sheetId="1895">
        <row r="46">
          <cell r="I46" t="str">
            <v>내용</v>
          </cell>
        </row>
      </sheetData>
      <sheetData sheetId="1896">
        <row r="46">
          <cell r="I46" t="str">
            <v>내용</v>
          </cell>
        </row>
      </sheetData>
      <sheetData sheetId="1897">
        <row r="46">
          <cell r="I46" t="str">
            <v>내용</v>
          </cell>
        </row>
      </sheetData>
      <sheetData sheetId="1898">
        <row r="46">
          <cell r="I46" t="str">
            <v>내용</v>
          </cell>
        </row>
      </sheetData>
      <sheetData sheetId="1899">
        <row r="46">
          <cell r="I46" t="str">
            <v>내용</v>
          </cell>
        </row>
      </sheetData>
      <sheetData sheetId="1900">
        <row r="46">
          <cell r="I46" t="str">
            <v>내용</v>
          </cell>
        </row>
      </sheetData>
      <sheetData sheetId="1901">
        <row r="46">
          <cell r="I46" t="str">
            <v>내용</v>
          </cell>
        </row>
      </sheetData>
      <sheetData sheetId="1902">
        <row r="46">
          <cell r="I46" t="str">
            <v>내용</v>
          </cell>
        </row>
      </sheetData>
      <sheetData sheetId="1903">
        <row r="46">
          <cell r="I46" t="str">
            <v>내용</v>
          </cell>
        </row>
      </sheetData>
      <sheetData sheetId="1904">
        <row r="46">
          <cell r="I46" t="str">
            <v>내용</v>
          </cell>
        </row>
      </sheetData>
      <sheetData sheetId="1905">
        <row r="46">
          <cell r="I46" t="str">
            <v>내용</v>
          </cell>
        </row>
      </sheetData>
      <sheetData sheetId="1906">
        <row r="46">
          <cell r="I46" t="str">
            <v>내용</v>
          </cell>
        </row>
      </sheetData>
      <sheetData sheetId="1907">
        <row r="46">
          <cell r="I46" t="str">
            <v>내용</v>
          </cell>
        </row>
      </sheetData>
      <sheetData sheetId="1908">
        <row r="46">
          <cell r="I46" t="str">
            <v>내용</v>
          </cell>
        </row>
      </sheetData>
      <sheetData sheetId="1909">
        <row r="46">
          <cell r="I46" t="str">
            <v>내용</v>
          </cell>
        </row>
      </sheetData>
      <sheetData sheetId="1910">
        <row r="46">
          <cell r="I46" t="str">
            <v>내용</v>
          </cell>
        </row>
      </sheetData>
      <sheetData sheetId="1911">
        <row r="46">
          <cell r="I46" t="str">
            <v>내용</v>
          </cell>
        </row>
      </sheetData>
      <sheetData sheetId="1912">
        <row r="46">
          <cell r="I46" t="str">
            <v>내용</v>
          </cell>
        </row>
      </sheetData>
      <sheetData sheetId="1913">
        <row r="46">
          <cell r="I46" t="str">
            <v>내용</v>
          </cell>
        </row>
      </sheetData>
      <sheetData sheetId="1914">
        <row r="46">
          <cell r="I46" t="str">
            <v>내용</v>
          </cell>
        </row>
      </sheetData>
      <sheetData sheetId="1915">
        <row r="46">
          <cell r="I46" t="str">
            <v>내용</v>
          </cell>
        </row>
      </sheetData>
      <sheetData sheetId="1916">
        <row r="46">
          <cell r="I46" t="str">
            <v>내용</v>
          </cell>
        </row>
      </sheetData>
      <sheetData sheetId="1917">
        <row r="46">
          <cell r="I46" t="str">
            <v>내용</v>
          </cell>
        </row>
      </sheetData>
      <sheetData sheetId="1918">
        <row r="46">
          <cell r="I46" t="str">
            <v>내용</v>
          </cell>
        </row>
      </sheetData>
      <sheetData sheetId="1919">
        <row r="46">
          <cell r="I46" t="str">
            <v>내용</v>
          </cell>
        </row>
      </sheetData>
      <sheetData sheetId="1920">
        <row r="46">
          <cell r="I46" t="str">
            <v>내용</v>
          </cell>
        </row>
      </sheetData>
      <sheetData sheetId="1921">
        <row r="46">
          <cell r="I46" t="str">
            <v>내용</v>
          </cell>
        </row>
      </sheetData>
      <sheetData sheetId="1922">
        <row r="46">
          <cell r="I46" t="str">
            <v>내용</v>
          </cell>
        </row>
      </sheetData>
      <sheetData sheetId="1923">
        <row r="46">
          <cell r="I46" t="str">
            <v>내용</v>
          </cell>
        </row>
      </sheetData>
      <sheetData sheetId="1924">
        <row r="46">
          <cell r="I46" t="str">
            <v>내용</v>
          </cell>
        </row>
      </sheetData>
      <sheetData sheetId="1925">
        <row r="46">
          <cell r="I46" t="str">
            <v>내용</v>
          </cell>
        </row>
      </sheetData>
      <sheetData sheetId="1926">
        <row r="46">
          <cell r="I46" t="str">
            <v>내용</v>
          </cell>
        </row>
      </sheetData>
      <sheetData sheetId="1927">
        <row r="46">
          <cell r="I46" t="str">
            <v>내용</v>
          </cell>
        </row>
      </sheetData>
      <sheetData sheetId="1928">
        <row r="46">
          <cell r="I46" t="str">
            <v>내용</v>
          </cell>
        </row>
      </sheetData>
      <sheetData sheetId="1929">
        <row r="46">
          <cell r="I46" t="str">
            <v>내용</v>
          </cell>
        </row>
      </sheetData>
      <sheetData sheetId="1930">
        <row r="46">
          <cell r="I46" t="str">
            <v>내용</v>
          </cell>
        </row>
      </sheetData>
      <sheetData sheetId="1931">
        <row r="46">
          <cell r="I46" t="str">
            <v>내용</v>
          </cell>
        </row>
      </sheetData>
      <sheetData sheetId="1932">
        <row r="46">
          <cell r="I46" t="str">
            <v>내용</v>
          </cell>
        </row>
      </sheetData>
      <sheetData sheetId="1933">
        <row r="46">
          <cell r="I46" t="str">
            <v>내용</v>
          </cell>
        </row>
      </sheetData>
      <sheetData sheetId="1934">
        <row r="46">
          <cell r="I46" t="str">
            <v>내용</v>
          </cell>
        </row>
      </sheetData>
      <sheetData sheetId="1935">
        <row r="46">
          <cell r="I46" t="str">
            <v>내용</v>
          </cell>
        </row>
      </sheetData>
      <sheetData sheetId="1936">
        <row r="46">
          <cell r="I46" t="str">
            <v>내용</v>
          </cell>
        </row>
      </sheetData>
      <sheetData sheetId="1937">
        <row r="46">
          <cell r="I46" t="str">
            <v>내용</v>
          </cell>
        </row>
      </sheetData>
      <sheetData sheetId="1938">
        <row r="46">
          <cell r="I46" t="str">
            <v>내용</v>
          </cell>
        </row>
      </sheetData>
      <sheetData sheetId="1939">
        <row r="46">
          <cell r="I46" t="str">
            <v>내용</v>
          </cell>
        </row>
      </sheetData>
      <sheetData sheetId="1940">
        <row r="46">
          <cell r="I46" t="str">
            <v>내용</v>
          </cell>
        </row>
      </sheetData>
      <sheetData sheetId="1941">
        <row r="46">
          <cell r="I46" t="str">
            <v>내용</v>
          </cell>
        </row>
      </sheetData>
      <sheetData sheetId="1942">
        <row r="46">
          <cell r="I46" t="str">
            <v>내용</v>
          </cell>
        </row>
      </sheetData>
      <sheetData sheetId="1943">
        <row r="46">
          <cell r="I46" t="str">
            <v>내용</v>
          </cell>
        </row>
      </sheetData>
      <sheetData sheetId="1944">
        <row r="46">
          <cell r="I46" t="str">
            <v>내용</v>
          </cell>
        </row>
      </sheetData>
      <sheetData sheetId="1945">
        <row r="46">
          <cell r="I46" t="str">
            <v>내용</v>
          </cell>
        </row>
      </sheetData>
      <sheetData sheetId="1946">
        <row r="46">
          <cell r="I46" t="str">
            <v>내용</v>
          </cell>
        </row>
      </sheetData>
      <sheetData sheetId="1947"/>
      <sheetData sheetId="1948">
        <row r="46">
          <cell r="I46" t="str">
            <v>내용</v>
          </cell>
        </row>
      </sheetData>
      <sheetData sheetId="1949">
        <row r="46">
          <cell r="I46" t="str">
            <v>내용</v>
          </cell>
        </row>
      </sheetData>
      <sheetData sheetId="1950">
        <row r="46">
          <cell r="I46" t="str">
            <v>내용</v>
          </cell>
        </row>
      </sheetData>
      <sheetData sheetId="1951">
        <row r="46">
          <cell r="I46" t="str">
            <v>내용</v>
          </cell>
        </row>
      </sheetData>
      <sheetData sheetId="1952">
        <row r="46">
          <cell r="I46" t="str">
            <v>내용</v>
          </cell>
        </row>
      </sheetData>
      <sheetData sheetId="1953">
        <row r="46">
          <cell r="I46" t="str">
            <v>내용</v>
          </cell>
        </row>
      </sheetData>
      <sheetData sheetId="1954">
        <row r="46">
          <cell r="I46" t="str">
            <v>내용</v>
          </cell>
        </row>
      </sheetData>
      <sheetData sheetId="1955">
        <row r="46">
          <cell r="I46" t="str">
            <v>내용</v>
          </cell>
        </row>
      </sheetData>
      <sheetData sheetId="1956"/>
      <sheetData sheetId="1957">
        <row r="46">
          <cell r="I46" t="str">
            <v>내용</v>
          </cell>
        </row>
      </sheetData>
      <sheetData sheetId="1958">
        <row r="46">
          <cell r="I46" t="str">
            <v>내용</v>
          </cell>
        </row>
      </sheetData>
      <sheetData sheetId="1959">
        <row r="46">
          <cell r="I46" t="str">
            <v>내용</v>
          </cell>
        </row>
      </sheetData>
      <sheetData sheetId="1960">
        <row r="46">
          <cell r="I46" t="str">
            <v>내용</v>
          </cell>
        </row>
      </sheetData>
      <sheetData sheetId="1961">
        <row r="46">
          <cell r="I46" t="str">
            <v>내용</v>
          </cell>
        </row>
      </sheetData>
      <sheetData sheetId="1962">
        <row r="46">
          <cell r="I46" t="str">
            <v>내용</v>
          </cell>
        </row>
      </sheetData>
      <sheetData sheetId="1963">
        <row r="46">
          <cell r="I46" t="str">
            <v>내용</v>
          </cell>
        </row>
      </sheetData>
      <sheetData sheetId="1964">
        <row r="46">
          <cell r="I46" t="str">
            <v>내용</v>
          </cell>
        </row>
      </sheetData>
      <sheetData sheetId="1965"/>
      <sheetData sheetId="1966">
        <row r="46">
          <cell r="I46" t="str">
            <v>내용</v>
          </cell>
        </row>
      </sheetData>
      <sheetData sheetId="1967">
        <row r="46">
          <cell r="I46" t="str">
            <v>내용</v>
          </cell>
        </row>
      </sheetData>
      <sheetData sheetId="1968">
        <row r="46">
          <cell r="I46" t="str">
            <v>내용</v>
          </cell>
        </row>
      </sheetData>
      <sheetData sheetId="1969">
        <row r="46">
          <cell r="I46" t="str">
            <v>내용</v>
          </cell>
        </row>
      </sheetData>
      <sheetData sheetId="1970">
        <row r="46">
          <cell r="I46" t="str">
            <v>내용</v>
          </cell>
        </row>
      </sheetData>
      <sheetData sheetId="1971">
        <row r="46">
          <cell r="I46" t="str">
            <v>내용</v>
          </cell>
        </row>
      </sheetData>
      <sheetData sheetId="1972">
        <row r="46">
          <cell r="I46" t="str">
            <v>내용</v>
          </cell>
        </row>
      </sheetData>
      <sheetData sheetId="1973">
        <row r="46">
          <cell r="I46" t="str">
            <v>내용</v>
          </cell>
        </row>
      </sheetData>
      <sheetData sheetId="1974"/>
      <sheetData sheetId="1975"/>
      <sheetData sheetId="1976">
        <row r="46">
          <cell r="I46" t="str">
            <v>내용</v>
          </cell>
        </row>
      </sheetData>
      <sheetData sheetId="1977">
        <row r="46">
          <cell r="I46" t="str">
            <v>내용</v>
          </cell>
        </row>
      </sheetData>
      <sheetData sheetId="1978">
        <row r="46">
          <cell r="I46" t="str">
            <v>내용</v>
          </cell>
        </row>
      </sheetData>
      <sheetData sheetId="1979">
        <row r="46">
          <cell r="I46" t="str">
            <v>내용</v>
          </cell>
        </row>
      </sheetData>
      <sheetData sheetId="1980">
        <row r="46">
          <cell r="I46" t="str">
            <v>내용</v>
          </cell>
        </row>
      </sheetData>
      <sheetData sheetId="1981">
        <row r="46">
          <cell r="I46" t="str">
            <v>내용</v>
          </cell>
        </row>
      </sheetData>
      <sheetData sheetId="1982">
        <row r="46">
          <cell r="I46" t="str">
            <v>내용</v>
          </cell>
        </row>
      </sheetData>
      <sheetData sheetId="1983">
        <row r="46">
          <cell r="I46" t="str">
            <v>내용</v>
          </cell>
        </row>
      </sheetData>
      <sheetData sheetId="1984">
        <row r="46">
          <cell r="I46" t="str">
            <v>내용</v>
          </cell>
        </row>
      </sheetData>
      <sheetData sheetId="1985">
        <row r="46">
          <cell r="I46" t="str">
            <v>내용</v>
          </cell>
        </row>
      </sheetData>
      <sheetData sheetId="1986">
        <row r="46">
          <cell r="I46" t="str">
            <v>내용</v>
          </cell>
        </row>
      </sheetData>
      <sheetData sheetId="1987">
        <row r="46">
          <cell r="I46" t="str">
            <v>내용</v>
          </cell>
        </row>
      </sheetData>
      <sheetData sheetId="1988">
        <row r="46">
          <cell r="I46" t="str">
            <v>내용</v>
          </cell>
        </row>
      </sheetData>
      <sheetData sheetId="1989">
        <row r="46">
          <cell r="I46" t="str">
            <v>내용</v>
          </cell>
        </row>
      </sheetData>
      <sheetData sheetId="1990">
        <row r="46">
          <cell r="I46" t="str">
            <v>내용</v>
          </cell>
        </row>
      </sheetData>
      <sheetData sheetId="1991">
        <row r="46">
          <cell r="I46" t="str">
            <v>내용</v>
          </cell>
        </row>
      </sheetData>
      <sheetData sheetId="1992">
        <row r="46">
          <cell r="I46" t="str">
            <v>내용</v>
          </cell>
        </row>
      </sheetData>
      <sheetData sheetId="1993">
        <row r="46">
          <cell r="I46" t="str">
            <v>내용</v>
          </cell>
        </row>
      </sheetData>
      <sheetData sheetId="1994">
        <row r="46">
          <cell r="I46" t="str">
            <v>내용</v>
          </cell>
        </row>
      </sheetData>
      <sheetData sheetId="1995">
        <row r="46">
          <cell r="I46" t="str">
            <v>내용</v>
          </cell>
        </row>
      </sheetData>
      <sheetData sheetId="1996">
        <row r="46">
          <cell r="I46" t="str">
            <v>내용</v>
          </cell>
        </row>
      </sheetData>
      <sheetData sheetId="1997">
        <row r="46">
          <cell r="I46" t="str">
            <v>내용</v>
          </cell>
        </row>
      </sheetData>
      <sheetData sheetId="1998">
        <row r="46">
          <cell r="I46" t="str">
            <v>내용</v>
          </cell>
        </row>
      </sheetData>
      <sheetData sheetId="1999">
        <row r="46">
          <cell r="I46" t="str">
            <v>내용</v>
          </cell>
        </row>
      </sheetData>
      <sheetData sheetId="2000">
        <row r="46">
          <cell r="I46" t="str">
            <v>내용</v>
          </cell>
        </row>
      </sheetData>
      <sheetData sheetId="2001">
        <row r="46">
          <cell r="I46" t="str">
            <v>내용</v>
          </cell>
        </row>
      </sheetData>
      <sheetData sheetId="2002">
        <row r="46">
          <cell r="I46" t="str">
            <v>내용</v>
          </cell>
        </row>
      </sheetData>
      <sheetData sheetId="2003">
        <row r="46">
          <cell r="I46" t="str">
            <v>내용</v>
          </cell>
        </row>
      </sheetData>
      <sheetData sheetId="2004"/>
      <sheetData sheetId="2005">
        <row r="46">
          <cell r="I46" t="str">
            <v>내용</v>
          </cell>
        </row>
      </sheetData>
      <sheetData sheetId="2006">
        <row r="46">
          <cell r="I46" t="str">
            <v>내용</v>
          </cell>
        </row>
      </sheetData>
      <sheetData sheetId="2007">
        <row r="46">
          <cell r="I46" t="str">
            <v>내용</v>
          </cell>
        </row>
      </sheetData>
      <sheetData sheetId="2008">
        <row r="46">
          <cell r="I46" t="str">
            <v>내용</v>
          </cell>
        </row>
      </sheetData>
      <sheetData sheetId="2009">
        <row r="46">
          <cell r="I46" t="str">
            <v>내용</v>
          </cell>
        </row>
      </sheetData>
      <sheetData sheetId="2010"/>
      <sheetData sheetId="2011">
        <row r="46">
          <cell r="I46" t="str">
            <v>내용</v>
          </cell>
        </row>
      </sheetData>
      <sheetData sheetId="2012"/>
      <sheetData sheetId="2013">
        <row r="46">
          <cell r="I46" t="str">
            <v>내용</v>
          </cell>
        </row>
      </sheetData>
      <sheetData sheetId="2014"/>
      <sheetData sheetId="2015">
        <row r="46">
          <cell r="I46" t="str">
            <v>내용</v>
          </cell>
        </row>
      </sheetData>
      <sheetData sheetId="2016"/>
      <sheetData sheetId="2017">
        <row r="46">
          <cell r="I46" t="str">
            <v>내용</v>
          </cell>
        </row>
      </sheetData>
      <sheetData sheetId="2018"/>
      <sheetData sheetId="2019"/>
      <sheetData sheetId="2020"/>
      <sheetData sheetId="2021"/>
      <sheetData sheetId="2022"/>
      <sheetData sheetId="2023">
        <row r="46">
          <cell r="I46" t="str">
            <v>내용</v>
          </cell>
        </row>
      </sheetData>
      <sheetData sheetId="2024">
        <row r="46">
          <cell r="I46" t="str">
            <v>내용</v>
          </cell>
        </row>
      </sheetData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/>
      <sheetData sheetId="2035"/>
      <sheetData sheetId="2036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>
        <row r="46">
          <cell r="I46" t="str">
            <v>내용</v>
          </cell>
        </row>
      </sheetData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/>
      <sheetData sheetId="2088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/>
      <sheetData sheetId="2119"/>
      <sheetData sheetId="2120" refreshError="1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 refreshError="1"/>
      <sheetData sheetId="2136"/>
      <sheetData sheetId="2137"/>
      <sheetData sheetId="2138" refreshError="1"/>
      <sheetData sheetId="2139"/>
      <sheetData sheetId="2140">
        <row r="46">
          <cell r="I46" t="str">
            <v>내용</v>
          </cell>
        </row>
      </sheetData>
      <sheetData sheetId="2141"/>
      <sheetData sheetId="2142" refreshError="1"/>
      <sheetData sheetId="2143"/>
      <sheetData sheetId="2144"/>
      <sheetData sheetId="2145" refreshError="1"/>
      <sheetData sheetId="2146" refreshError="1"/>
      <sheetData sheetId="2147"/>
      <sheetData sheetId="2148">
        <row r="46">
          <cell r="I46" t="str">
            <v>내용</v>
          </cell>
        </row>
      </sheetData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>
        <row r="46">
          <cell r="I46" t="str">
            <v>내용</v>
          </cell>
        </row>
      </sheetData>
      <sheetData sheetId="2177"/>
      <sheetData sheetId="2178"/>
      <sheetData sheetId="2179"/>
      <sheetData sheetId="2180"/>
      <sheetData sheetId="2181">
        <row r="46">
          <cell r="I46" t="str">
            <v>내용</v>
          </cell>
        </row>
      </sheetData>
      <sheetData sheetId="2182"/>
      <sheetData sheetId="2183">
        <row r="46">
          <cell r="I46" t="str">
            <v>내용</v>
          </cell>
        </row>
      </sheetData>
      <sheetData sheetId="2184"/>
      <sheetData sheetId="2185"/>
      <sheetData sheetId="2186">
        <row r="46">
          <cell r="I46" t="str">
            <v>내용</v>
          </cell>
        </row>
      </sheetData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>
        <row r="46">
          <cell r="I46" t="str">
            <v>내용</v>
          </cell>
        </row>
      </sheetData>
      <sheetData sheetId="2200"/>
      <sheetData sheetId="2201"/>
      <sheetData sheetId="2202"/>
      <sheetData sheetId="2203">
        <row r="46">
          <cell r="I46" t="str">
            <v>내용</v>
          </cell>
        </row>
      </sheetData>
      <sheetData sheetId="2204"/>
      <sheetData sheetId="2205"/>
      <sheetData sheetId="2206"/>
      <sheetData sheetId="2207"/>
      <sheetData sheetId="2208"/>
      <sheetData sheetId="2209">
        <row r="46">
          <cell r="I46" t="str">
            <v>내용</v>
          </cell>
        </row>
      </sheetData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>
        <row r="46">
          <cell r="I46" t="str">
            <v>내용</v>
          </cell>
        </row>
      </sheetData>
      <sheetData sheetId="2243"/>
      <sheetData sheetId="2244"/>
      <sheetData sheetId="2245">
        <row r="46">
          <cell r="I46" t="str">
            <v>내용</v>
          </cell>
        </row>
      </sheetData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>
        <row r="46">
          <cell r="I46" t="str">
            <v>내용</v>
          </cell>
        </row>
      </sheetData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/>
      <sheetData sheetId="2277"/>
      <sheetData sheetId="2278"/>
      <sheetData sheetId="2279"/>
      <sheetData sheetId="2280"/>
      <sheetData sheetId="2281"/>
      <sheetData sheetId="2282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/>
      <sheetData sheetId="232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/>
      <sheetData sheetId="2337"/>
      <sheetData sheetId="2338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>
        <row r="46">
          <cell r="I46" t="str">
            <v>내용</v>
          </cell>
        </row>
      </sheetData>
      <sheetData sheetId="2401"/>
      <sheetData sheetId="2402"/>
      <sheetData sheetId="2403"/>
      <sheetData sheetId="2404"/>
      <sheetData sheetId="2405"/>
      <sheetData sheetId="2406"/>
      <sheetData sheetId="2407"/>
      <sheetData sheetId="2408"/>
      <sheetData sheetId="2409"/>
      <sheetData sheetId="2410"/>
      <sheetData sheetId="2411"/>
      <sheetData sheetId="2412"/>
      <sheetData sheetId="2413"/>
      <sheetData sheetId="2414"/>
      <sheetData sheetId="2415"/>
      <sheetData sheetId="2416"/>
      <sheetData sheetId="2417"/>
      <sheetData sheetId="2418"/>
      <sheetData sheetId="2419"/>
      <sheetData sheetId="2420"/>
      <sheetData sheetId="2421"/>
      <sheetData sheetId="2422"/>
      <sheetData sheetId="2423"/>
      <sheetData sheetId="2424"/>
      <sheetData sheetId="2425"/>
      <sheetData sheetId="2426"/>
      <sheetData sheetId="2427"/>
      <sheetData sheetId="2428"/>
      <sheetData sheetId="2429"/>
      <sheetData sheetId="2430"/>
      <sheetData sheetId="2431"/>
      <sheetData sheetId="2432"/>
      <sheetData sheetId="2433"/>
      <sheetData sheetId="2434"/>
      <sheetData sheetId="2435"/>
      <sheetData sheetId="2436"/>
      <sheetData sheetId="2437"/>
      <sheetData sheetId="2438"/>
      <sheetData sheetId="2439"/>
      <sheetData sheetId="2440"/>
      <sheetData sheetId="2441"/>
      <sheetData sheetId="2442"/>
      <sheetData sheetId="2443"/>
      <sheetData sheetId="2444"/>
      <sheetData sheetId="2445"/>
      <sheetData sheetId="2446"/>
      <sheetData sheetId="2447"/>
      <sheetData sheetId="2448"/>
      <sheetData sheetId="2449"/>
      <sheetData sheetId="2450"/>
      <sheetData sheetId="2451"/>
      <sheetData sheetId="2452"/>
      <sheetData sheetId="2453"/>
      <sheetData sheetId="2454"/>
      <sheetData sheetId="2455"/>
      <sheetData sheetId="2456"/>
      <sheetData sheetId="2457"/>
      <sheetData sheetId="2458"/>
      <sheetData sheetId="2459"/>
      <sheetData sheetId="2460"/>
      <sheetData sheetId="2461"/>
      <sheetData sheetId="2462"/>
      <sheetData sheetId="2463"/>
      <sheetData sheetId="2464"/>
      <sheetData sheetId="2465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/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/>
      <sheetData sheetId="2524"/>
      <sheetData sheetId="2525"/>
      <sheetData sheetId="2526"/>
      <sheetData sheetId="2527"/>
      <sheetData sheetId="2528"/>
      <sheetData sheetId="2529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/>
      <sheetData sheetId="2655"/>
      <sheetData sheetId="2656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착공계"/>
      <sheetName val="현장대리인계"/>
      <sheetName val="현장대리인위임장"/>
      <sheetName val="공사감독위임장"/>
      <sheetName val="공사감독위임장 (2)"/>
      <sheetName val="공사감독위임장 (3)"/>
      <sheetName val="감독각서"/>
      <sheetName val="감독각서 (2)"/>
      <sheetName val="감독각서 (3)"/>
      <sheetName val="현장대리인각서"/>
      <sheetName val="예정공정표"/>
      <sheetName val="공사준공계"/>
      <sheetName val="준공검사신청서"/>
      <sheetName val="준공검사원"/>
      <sheetName val="수도증"/>
      <sheetName val="공사준공여비내역서 (3)"/>
      <sheetName val="준공검사보고서"/>
      <sheetName val="준공조서"/>
      <sheetName val="준공관급자재조서"/>
      <sheetName val="준공발생품조서"/>
      <sheetName val="사진첩표지 (2)"/>
      <sheetName val="사진첩외부세로"/>
      <sheetName val="공사착공계2"/>
      <sheetName val="안전관리자지정계"/>
      <sheetName val="품질시험요원지정계"/>
      <sheetName val="환경관리지정계"/>
      <sheetName val="기술담당지정계"/>
      <sheetName val="서식 제34호"/>
      <sheetName val="서식 제35호"/>
      <sheetName val="서식 제36호"/>
      <sheetName val="서식 제37호"/>
      <sheetName val="서식 제38호"/>
      <sheetName val="서식 제39호"/>
      <sheetName val="서식 제40호"/>
      <sheetName val="서식 제41호"/>
      <sheetName val="서식 제42호"/>
      <sheetName val="서식 제43호"/>
      <sheetName val="서식 제44호"/>
      <sheetName val="서식 제45호"/>
      <sheetName val="서식 제46호 "/>
      <sheetName val="서식 제47호 "/>
      <sheetName val="서식 제48호 "/>
      <sheetName val="서식 제49호"/>
      <sheetName val="서식 제50호"/>
      <sheetName val="서식 제51호"/>
      <sheetName val="서식 제52호"/>
      <sheetName val="서식 제53호"/>
      <sheetName val="서식 제54호"/>
      <sheetName val="서식 제55호"/>
      <sheetName val="서식 제56호"/>
      <sheetName val="서식 제57호"/>
      <sheetName val="서식 제58호"/>
      <sheetName val="서식 제59호"/>
      <sheetName val="서식 제60호"/>
      <sheetName val="서식 제61호"/>
      <sheetName val="서식 제62호"/>
      <sheetName val="서식 제63호"/>
      <sheetName val="서식 제64호"/>
      <sheetName val="서식 제65호"/>
      <sheetName val="서식 제66호"/>
      <sheetName val="서식 제67호"/>
      <sheetName val="서식 제68호"/>
      <sheetName val="서식 제69호"/>
      <sheetName val="서식 제70호"/>
      <sheetName val="서식 제71호"/>
      <sheetName val="서식 제72호"/>
      <sheetName val="서식 제73호"/>
      <sheetName val="서식 제74호"/>
      <sheetName val="서식 제75호"/>
      <sheetName val="서식 제76호"/>
      <sheetName val="서식 제77호"/>
      <sheetName val="서식 제78호"/>
      <sheetName val="서식 제79호"/>
      <sheetName val="서식 제80호"/>
      <sheetName val="서식 제81호"/>
      <sheetName val="서식 제82호"/>
      <sheetName val="서식 제83호"/>
      <sheetName val="서식 제84호"/>
      <sheetName val="(서식 제85호)"/>
      <sheetName val="(서식 제86호)"/>
      <sheetName val="(서식 제87호)"/>
      <sheetName val="서식 제88호"/>
      <sheetName val="(서식 제89호)"/>
      <sheetName val="서식 제90호"/>
      <sheetName val="서식 제91호"/>
      <sheetName val="서식 제92호"/>
      <sheetName val="서식 제93호"/>
      <sheetName val="서식 제94호"/>
      <sheetName val="서식 제95호"/>
      <sheetName val="서식 제96호"/>
      <sheetName val="서식 제97호"/>
      <sheetName val="서식 제98호"/>
      <sheetName val="서식 제99호"/>
      <sheetName val="서식 제100호"/>
      <sheetName val="서식 제101호"/>
      <sheetName val="서식 제102호"/>
      <sheetName val="서식 제103호"/>
      <sheetName val="서식 제104호"/>
      <sheetName val="서식 제105호"/>
      <sheetName val="서식 제106호"/>
      <sheetName val="서식 제107호"/>
      <sheetName val="서식 제108호"/>
      <sheetName val="서식 제109호"/>
      <sheetName val="서식 제110호"/>
      <sheetName val="서식 제111호"/>
      <sheetName val="서식 제112호"/>
      <sheetName val="서식 제113호"/>
      <sheetName val="서식 제114호"/>
      <sheetName val="서식 제115호"/>
      <sheetName val="서식 제116호"/>
      <sheetName val="서식 제117호"/>
      <sheetName val="서식 제118호"/>
      <sheetName val="서식 제119호"/>
      <sheetName val="서식 제120호"/>
      <sheetName val="서식 제121호"/>
      <sheetName val="서식 제122호"/>
      <sheetName val="봉양~조차장간고하개명(신설)"/>
      <sheetName val="도담구내 개소별 명세"/>
      <sheetName val="VXXXXXX"/>
      <sheetName val="정산조서(피암T)"/>
      <sheetName val="공사감독명령서"/>
      <sheetName val="감독각서(3)"/>
      <sheetName val="준공조서(피암터널)"/>
      <sheetName val="관급자재조서(피암터널)"/>
      <sheetName val="준공발생품조서(피암터널)"/>
      <sheetName val="준공여비내역서(피암터널)"/>
      <sheetName val="청제공기구(피암터널)"/>
      <sheetName val="준공조서(구학-봉양)"/>
      <sheetName val="관급자재조서(구학-봉양)"/>
      <sheetName val="준공발생품조서(구학-봉양)"/>
      <sheetName val="준공여비내역서(구학~봉양)"/>
      <sheetName val="청제공기구사용(구학봉양)"/>
      <sheetName val="정산조서(신동가도교)"/>
      <sheetName val="준공조서(신동가도교)"/>
      <sheetName val="준공여비내역서(신동가도교)"/>
      <sheetName val="제각비산출(신동가도교)"/>
      <sheetName val="준공관급자재조서(신동가도교)"/>
      <sheetName val="준공발생조서(신동가도교)"/>
      <sheetName val="공사준공여비내역서(송학과선교)"/>
      <sheetName val="공사준공여비내역서"/>
      <sheetName val="Sheet3"/>
      <sheetName val="준공관급자재조서(송학과선교)"/>
      <sheetName val="준공조서(동막과선교)"/>
      <sheetName val="정산조서(동막과선교)"/>
      <sheetName val="준공여비내역서(동막과선교)"/>
      <sheetName val="준공관급자재조서(동막과선교)"/>
      <sheetName val="준공발생품조서(동막과선교)"/>
      <sheetName val="제각비산출기초(동막과선교)"/>
      <sheetName val="제각비 산출 근거"/>
      <sheetName val="서식 제85호"/>
      <sheetName val="서식 제86호"/>
      <sheetName val="서식 제87호"/>
      <sheetName val="서식 제89호"/>
      <sheetName val="준공정산"/>
      <sheetName val="옥외등신설"/>
      <sheetName val="저케CV22신설"/>
      <sheetName val="저케CV38신설"/>
      <sheetName val="저케CV8신설"/>
      <sheetName val="접지3종"/>
      <sheetName val="전철"/>
      <sheetName val="자료"/>
      <sheetName val="어룡"/>
      <sheetName val="3.내역서"/>
      <sheetName val="조명율표"/>
      <sheetName val="예산조서(전송)"/>
      <sheetName val="시공자감리자"/>
      <sheetName val="날짜체크"/>
      <sheetName val="총괄표"/>
      <sheetName val="중강당 내역"/>
      <sheetName val="입찰안"/>
      <sheetName val="공정표(제4차)"/>
      <sheetName val="신축(단위)"/>
      <sheetName val="노면표시-조"/>
      <sheetName val="기초자료입력"/>
      <sheetName val="아파트"/>
      <sheetName val="당진1,2호기전선관설치및접지4차공사내역서-을지"/>
      <sheetName val="을부담운반비"/>
      <sheetName val="조명일위"/>
      <sheetName val="N賃率-職"/>
      <sheetName val="약품공급2"/>
      <sheetName val="101동"/>
      <sheetName val="쌍용전철변전소외 9개소 변전설비 보수공사"/>
      <sheetName val="Macro(차단기)"/>
      <sheetName val="FAX"/>
      <sheetName val="내역서1"/>
      <sheetName val="공사비예산서"/>
      <sheetName val="집수정토공"/>
      <sheetName val="내역서"/>
      <sheetName val="원가계산서"/>
      <sheetName val="시중노임단가"/>
      <sheetName val="2000년1차"/>
      <sheetName val="2000전체분"/>
      <sheetName val="자재단가"/>
      <sheetName val="참고"/>
      <sheetName val="22전선(P)"/>
      <sheetName val="22전선(L)"/>
      <sheetName val="22전선(R)"/>
      <sheetName val="내역전기"/>
      <sheetName val="품셈TABLE"/>
      <sheetName val="접지수량"/>
      <sheetName val="총괄내역서"/>
      <sheetName val="집계표"/>
      <sheetName val="단가"/>
      <sheetName val="단가입력창"/>
      <sheetName val="공종단가표 "/>
      <sheetName val="데이타"/>
      <sheetName val="식재인부"/>
      <sheetName val="48일위"/>
      <sheetName val="48수량"/>
      <sheetName val="49일위"/>
      <sheetName val="22일위"/>
      <sheetName val="49수량"/>
      <sheetName val="sheet1"/>
      <sheetName val="교각1"/>
      <sheetName val="내역서적용수량"/>
      <sheetName val="철거산출근거"/>
      <sheetName val="갑지"/>
      <sheetName val="지급자재조서"/>
      <sheetName val="Macro(전선)"/>
      <sheetName val="단가조사-1"/>
      <sheetName val="단가조사-2"/>
      <sheetName val="분전함신설"/>
      <sheetName val="자재단가표"/>
      <sheetName val="총괄"/>
      <sheetName val="접지1종"/>
      <sheetName val="자단"/>
      <sheetName val="인공산출"/>
      <sheetName val="천방교접속"/>
      <sheetName val="대포2교접속"/>
      <sheetName val="22수량"/>
      <sheetName val="수량산출"/>
      <sheetName val="예산조서"/>
      <sheetName val="전사계"/>
      <sheetName val="중기"/>
      <sheetName val="전기일위목록"/>
      <sheetName val="Macro(MCC)"/>
      <sheetName val="2공구수량"/>
      <sheetName val="GEN"/>
      <sheetName val="인부노임"/>
      <sheetName val="Sheet4"/>
      <sheetName val="자재테이블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말뚝지지력산정"/>
      <sheetName val="3BL공동구 수량"/>
      <sheetName val="1 자원총괄"/>
      <sheetName val="설계예시"/>
      <sheetName val="재료값"/>
      <sheetName val="형상"/>
      <sheetName val="요율"/>
      <sheetName val="도근좌표"/>
      <sheetName val="공사감독위임장_(2)"/>
      <sheetName val="공사감독위임장_(3)"/>
      <sheetName val="감독각서_(2)"/>
      <sheetName val="감독각서_(3)"/>
      <sheetName val="공사준공여비내역서_(3)"/>
      <sheetName val="사진첩표지_(2)"/>
      <sheetName val="서식_제34호"/>
      <sheetName val="서식_제35호"/>
      <sheetName val="서식_제36호"/>
      <sheetName val="서식_제37호"/>
      <sheetName val="서식_제38호"/>
      <sheetName val="서식_제39호"/>
      <sheetName val="서식_제40호"/>
      <sheetName val="서식_제41호"/>
      <sheetName val="서식_제42호"/>
      <sheetName val="서식_제43호"/>
      <sheetName val="서식_제44호"/>
      <sheetName val="서식_제45호"/>
      <sheetName val="서식_제46호_"/>
      <sheetName val="서식_제47호_"/>
      <sheetName val="서식_제48호_"/>
      <sheetName val="서식_제49호"/>
      <sheetName val="서식_제50호"/>
      <sheetName val="서식_제51호"/>
      <sheetName val="서식_제52호"/>
      <sheetName val="서식_제53호"/>
      <sheetName val="서식_제54호"/>
      <sheetName val="서식_제55호"/>
      <sheetName val="서식_제56호"/>
      <sheetName val="서식_제57호"/>
      <sheetName val="서식_제58호"/>
      <sheetName val="서식_제59호"/>
      <sheetName val="서식_제60호"/>
      <sheetName val="서식_제61호"/>
      <sheetName val="서식_제62호"/>
      <sheetName val="서식_제63호"/>
      <sheetName val="서식_제64호"/>
      <sheetName val="서식_제65호"/>
      <sheetName val="서식_제66호"/>
      <sheetName val="서식_제67호"/>
      <sheetName val="서식_제68호"/>
      <sheetName val="서식_제69호"/>
      <sheetName val="서식_제70호"/>
      <sheetName val="서식_제71호"/>
      <sheetName val="서식_제72호"/>
      <sheetName val="서식_제73호"/>
      <sheetName val="서식_제74호"/>
      <sheetName val="서식_제75호"/>
      <sheetName val="서식_제76호"/>
      <sheetName val="서식_제77호"/>
      <sheetName val="서식_제78호"/>
      <sheetName val="서식_제79호"/>
      <sheetName val="서식_제80호"/>
      <sheetName val="서식_제81호"/>
      <sheetName val="서식_제82호"/>
      <sheetName val="서식_제83호"/>
      <sheetName val="서식_제84호"/>
      <sheetName val="(서식_제85호)"/>
      <sheetName val="(서식_제86호)"/>
      <sheetName val="(서식_제87호)"/>
      <sheetName val="서식_제88호"/>
      <sheetName val="(서식_제89호)"/>
      <sheetName val="서식_제90호"/>
      <sheetName val="서식_제91호"/>
      <sheetName val="서식_제92호"/>
      <sheetName val="서식_제93호"/>
      <sheetName val="서식_제94호"/>
      <sheetName val="서식_제95호"/>
      <sheetName val="서식_제96호"/>
      <sheetName val="서식_제97호"/>
      <sheetName val="서식_제98호"/>
      <sheetName val="서식_제99호"/>
      <sheetName val="서식_제100호"/>
      <sheetName val="서식_제101호"/>
      <sheetName val="서식_제102호"/>
      <sheetName val="서식_제103호"/>
      <sheetName val="서식_제104호"/>
      <sheetName val="서식_제105호"/>
      <sheetName val="서식_제106호"/>
      <sheetName val="서식_제107호"/>
      <sheetName val="서식_제108호"/>
      <sheetName val="서식_제109호"/>
      <sheetName val="서식_제110호"/>
      <sheetName val="서식_제111호"/>
      <sheetName val="서식_제112호"/>
      <sheetName val="서식_제113호"/>
      <sheetName val="서식_제114호"/>
      <sheetName val="서식_제115호"/>
      <sheetName val="서식_제116호"/>
      <sheetName val="서식_제117호"/>
      <sheetName val="서식_제118호"/>
      <sheetName val="서식_제119호"/>
      <sheetName val="서식_제120호"/>
      <sheetName val="서식_제121호"/>
      <sheetName val="서식_제122호"/>
      <sheetName val="제각비_산출_근거"/>
      <sheetName val="서식_제85호"/>
      <sheetName val="서식_제86호"/>
      <sheetName val="서식_제87호"/>
      <sheetName val="서식_제89호"/>
      <sheetName val="도담구내_개소별_명세"/>
      <sheetName val="3_내역서"/>
      <sheetName val="쌍용전철변전소외_9개소_변전설비_보수공사"/>
      <sheetName val="중강당_내역"/>
      <sheetName val="1_자원총괄"/>
      <sheetName val="설계서"/>
      <sheetName val="단가일람"/>
      <sheetName val="조경일람"/>
      <sheetName val="DATA"/>
      <sheetName val="식재"/>
      <sheetName val="시설물"/>
      <sheetName val="식재출력용"/>
      <sheetName val="유지관리"/>
      <sheetName val="전동기"/>
      <sheetName val="조명시설"/>
      <sheetName val="206 무장,정비 장비용량 산출"/>
      <sheetName val="공사설계서"/>
      <sheetName val="99년하반기"/>
      <sheetName val="RE9604"/>
      <sheetName val="공기압축기실"/>
      <sheetName val="DATE"/>
      <sheetName val="4.전기"/>
      <sheetName val="단면가정"/>
      <sheetName val="참조"/>
      <sheetName val="수 량 명 세 서 - 1"/>
      <sheetName val="#REF"/>
      <sheetName val="단가대비표"/>
      <sheetName val="남양내역"/>
      <sheetName val="항목등록"/>
      <sheetName val="세부내역"/>
      <sheetName val="계획서"/>
      <sheetName val="전선(총)"/>
      <sheetName val="현장관리비참조"/>
      <sheetName val="교통대책내역"/>
      <sheetName val="표  지"/>
      <sheetName val="단가산출1"/>
      <sheetName val="터파기및재료"/>
      <sheetName val="노무비 근거"/>
      <sheetName val="일위대가"/>
      <sheetName val="48일위(기존)"/>
      <sheetName val="COST"/>
      <sheetName val="공정증감대ㅈ표"/>
      <sheetName val="간지"/>
      <sheetName val="토목주소"/>
      <sheetName val="원가산출근거"/>
      <sheetName val="별표집계"/>
      <sheetName val="공사개요"/>
      <sheetName val="기초자료"/>
      <sheetName val="15100"/>
      <sheetName val="참조 (2)"/>
      <sheetName val="3.전열"/>
      <sheetName val="단가조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/>
      <sheetData sheetId="462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PILE  (돌출)"/>
      <sheetName val="총 괄 표"/>
      <sheetName val="소업1교"/>
      <sheetName val="U-TYPE(1)"/>
      <sheetName val="단위중량"/>
      <sheetName val="샘플표지"/>
      <sheetName val="부안일위"/>
      <sheetName val="내역표지"/>
      <sheetName val="빗물받이(910-510-410)"/>
      <sheetName val="조명시설"/>
      <sheetName val="밸브설치"/>
      <sheetName val="#REF"/>
      <sheetName val="오동"/>
      <sheetName val="대조"/>
      <sheetName val="나한"/>
      <sheetName val="일위대가목록"/>
      <sheetName val="Sheet1"/>
      <sheetName val="입찰안"/>
      <sheetName val="SLAB&quot;1&quot;"/>
      <sheetName val="예가표"/>
      <sheetName val="6PILE  _돌출_"/>
      <sheetName val="포장물량집계"/>
      <sheetName val="약품설비"/>
      <sheetName val="진주방향"/>
      <sheetName val="가격조사서"/>
      <sheetName val="갑지"/>
      <sheetName val="내역서"/>
      <sheetName val="공사비집계"/>
      <sheetName val="옹벽조금수정"/>
      <sheetName val="8.PILE  (돌출)"/>
      <sheetName val="사통"/>
      <sheetName val="3BL공동구 수량"/>
      <sheetName val="2.단면가정 "/>
      <sheetName val="포장공자재집계표"/>
      <sheetName val="Sheet1 (2)"/>
      <sheetName val="반응조"/>
      <sheetName val="경상비"/>
      <sheetName val="업무처리전"/>
      <sheetName val="약품공급2"/>
      <sheetName val="총괄내역서"/>
      <sheetName val="일위(PN)"/>
      <sheetName val="본선 토공 분배표"/>
      <sheetName val="터파기및재료"/>
      <sheetName val="참조"/>
      <sheetName val="물가시세"/>
      <sheetName val="노임단가"/>
      <sheetName val="가설건물"/>
      <sheetName val="산출내역서"/>
      <sheetName val="실행철강하도"/>
      <sheetName val="산근터빈"/>
      <sheetName val="토공 갑지"/>
      <sheetName val="공문"/>
      <sheetName val="COVER"/>
      <sheetName val="수지표"/>
      <sheetName val="셀명"/>
      <sheetName val="하도내역 (철콘)"/>
      <sheetName val="2공구산출내역"/>
      <sheetName val="1,2,3,4,5단위수량"/>
      <sheetName val="총괄"/>
      <sheetName val="금액내역서"/>
      <sheetName val="ELECTRIC"/>
      <sheetName val="SCHEDULE"/>
      <sheetName val="말뚝지지력산정"/>
      <sheetName val="공사비증감"/>
      <sheetName val="공통비총괄표"/>
      <sheetName val="Sheet2"/>
      <sheetName val="목표세부명세"/>
      <sheetName val="SIL98"/>
      <sheetName val="2호맨홀공제수량"/>
      <sheetName val="1. 설계조건 2.단면가정 3. 하중계산"/>
      <sheetName val="DATA 입력란"/>
      <sheetName val="단면 (2)"/>
      <sheetName val="1TL종점(1)"/>
      <sheetName val="배수관산출"/>
      <sheetName val="토목품셈"/>
      <sheetName val="PAD TR보호대기초"/>
      <sheetName val="가로등기초"/>
      <sheetName val="HANDHOLE(2)"/>
      <sheetName val="전차선로 물량표"/>
      <sheetName val="가도공"/>
      <sheetName val="DATA98"/>
      <sheetName val="DATE"/>
      <sheetName val="견적의뢰서"/>
      <sheetName val="2000년1차"/>
      <sheetName val="2000전체분"/>
      <sheetName val="200"/>
      <sheetName val="연돌일위집계"/>
      <sheetName val="원가"/>
      <sheetName val="실정보고"/>
      <sheetName val="갑지1"/>
      <sheetName val="교각계산"/>
      <sheetName val="세대구분"/>
      <sheetName val="간지(1)"/>
      <sheetName val="Sheet4"/>
      <sheetName val="견적서(토공)"/>
      <sheetName val="인사자료총집계"/>
      <sheetName val="뚝토공"/>
      <sheetName val="수안보-MBR1"/>
      <sheetName val="3.공통공사대비"/>
      <sheetName val="교통표지판수량집계표"/>
      <sheetName val="신당동집계표"/>
      <sheetName val="3.하중산정4.지지력"/>
      <sheetName val="1.토공"/>
      <sheetName val="슬래브"/>
      <sheetName val="D200"/>
      <sheetName val="1호맨홀토공"/>
      <sheetName val="원형1호맨홀토공수량"/>
      <sheetName val="내역"/>
      <sheetName val="간선계산"/>
      <sheetName val="ABUT수량-A1"/>
      <sheetName val="관로토공집계표"/>
      <sheetName val="식재"/>
      <sheetName val="시설물"/>
      <sheetName val="식재출력용"/>
      <sheetName val="유지관리"/>
      <sheetName val="단가"/>
      <sheetName val="6PILE 과속방지턱집계표!$K$12 (돌출)"/>
      <sheetName val="해전배수"/>
      <sheetName val="수문일1"/>
      <sheetName val="결과조달"/>
      <sheetName val="안산기계장치"/>
      <sheetName val="프랜트면허"/>
      <sheetName val="토목주소"/>
      <sheetName val="CTEMCOST"/>
      <sheetName val="합천내역"/>
      <sheetName val="archi(본사)"/>
      <sheetName val="배수통관(좌)"/>
      <sheetName val="단가일람"/>
      <sheetName val="조경일람"/>
      <sheetName val="DATA입력"/>
      <sheetName val="수로집계"/>
      <sheetName val="DATA"/>
      <sheetName val="집계표(육상)"/>
      <sheetName val="지급자재"/>
      <sheetName val="본부소개"/>
      <sheetName val="날개벽(시점좌측)"/>
      <sheetName val="배수내역(98년도분)"/>
      <sheetName val="일위대가(계측기설치)"/>
      <sheetName val="기성내역"/>
      <sheetName val="공사내역"/>
      <sheetName val="수량집계"/>
      <sheetName val="6PILE+옹벽집계!$G$6+옹벽집계!$H$10  (돌출"/>
      <sheetName val="BID"/>
      <sheetName val="1062-X방향 "/>
      <sheetName val="발주설계서(당초)"/>
      <sheetName val="고창방향"/>
      <sheetName val="000000"/>
      <sheetName val="공사비증감(P4) "/>
      <sheetName val="DATA2000"/>
      <sheetName val="실행예산"/>
      <sheetName val="2002상반기노임기준"/>
      <sheetName val="건축내역서"/>
      <sheetName val="설비내역서"/>
      <sheetName val="전기내역서"/>
      <sheetName val="집계표"/>
      <sheetName val="대비"/>
      <sheetName val="제출내역 (2)"/>
      <sheetName val="수량3"/>
      <sheetName val="산출근거"/>
      <sheetName val="4.2유효폭의 계산"/>
      <sheetName val="입찰"/>
      <sheetName val="현경"/>
      <sheetName val="실행"/>
      <sheetName val="시행후면적"/>
      <sheetName val="수지예산"/>
      <sheetName val="1.설계조건"/>
      <sheetName val="유림골조"/>
      <sheetName val="일위대가"/>
      <sheetName val="가공비"/>
      <sheetName val="수량산출"/>
      <sheetName val="설계산출표지"/>
      <sheetName val="토공"/>
      <sheetName val="교대(A1-A2)"/>
      <sheetName val="설비"/>
      <sheetName val="자료"/>
      <sheetName val="내역(전체)"/>
      <sheetName val="에너지동"/>
      <sheetName val="기자재비"/>
      <sheetName val="단면A-A(TR)"/>
      <sheetName val="수량산출내역1115"/>
      <sheetName val="교각정보"/>
      <sheetName val="기기리스트"/>
      <sheetName val="주식"/>
      <sheetName val="간접비"/>
      <sheetName val="실행내역서"/>
      <sheetName val="S.중기사용료"/>
      <sheetName val="97노임단가"/>
      <sheetName val="입력란"/>
      <sheetName val="칠산대교 중앙부"/>
      <sheetName val="칠산대교 시종점부"/>
      <sheetName val="간 지1"/>
      <sheetName val="산마루측구단위수량"/>
      <sheetName val="TOTAL_BOQ"/>
      <sheetName val="수량명세서"/>
      <sheetName val="설계조건"/>
      <sheetName val="6PILE  _돌_x001c__"/>
      <sheetName val="장비"/>
      <sheetName val="산근1"/>
      <sheetName val="노무"/>
      <sheetName val="자재"/>
      <sheetName val="BOX 본체"/>
      <sheetName val="비탈면보호공수량산출"/>
      <sheetName val="9509"/>
      <sheetName val="BOX"/>
      <sheetName val="DRUM"/>
      <sheetName val="경영상태"/>
      <sheetName val="★도급내역"/>
      <sheetName val="최적단면"/>
      <sheetName val="Sheet15"/>
      <sheetName val="TOWER 10TON"/>
      <sheetName val="TOWER 12TON"/>
      <sheetName val="메서,변+증"/>
      <sheetName val="우수받이재료집계표"/>
      <sheetName val="6PILE__(돌출)"/>
      <sheetName val="중기사용료"/>
      <sheetName val="일위"/>
      <sheetName val="교량전기"/>
      <sheetName val="갑지(집행)"/>
      <sheetName val="공종단가"/>
      <sheetName val="F-302"/>
      <sheetName val="F301.303"/>
      <sheetName val="plan&amp;section of foundation"/>
      <sheetName val="design load"/>
      <sheetName val="working load at the btm ft."/>
      <sheetName val="stability check"/>
      <sheetName val="design criteria"/>
      <sheetName val="산근"/>
      <sheetName val="D-3109"/>
      <sheetName val="대비표"/>
      <sheetName val="Total"/>
      <sheetName val="inter"/>
      <sheetName val="B"/>
      <sheetName val="PROCURE"/>
      <sheetName val="out_prog"/>
      <sheetName val="선적schedule (2)"/>
      <sheetName val="DAILY"/>
      <sheetName val="토목"/>
      <sheetName val="기계(집계표)"/>
      <sheetName val="배수내역"/>
      <sheetName val="견적서"/>
      <sheetName val="도봉2지구"/>
      <sheetName val="비목군분류일위"/>
      <sheetName val="사유서제출현황-2"/>
      <sheetName val="코드표"/>
      <sheetName val="단면B-B(EA)"/>
      <sheetName val="역T형"/>
      <sheetName val="김여중"/>
      <sheetName val="방음벽기초"/>
      <sheetName val="일위대가목차"/>
      <sheetName val="I一般比"/>
      <sheetName val="공량산출서"/>
      <sheetName val="갑지(추정)"/>
      <sheetName val="내역서(교량)전체"/>
      <sheetName val="지하"/>
      <sheetName val="식생블럭단위수량"/>
      <sheetName val="노무비"/>
      <sheetName val="EQUIP"/>
      <sheetName val="J형측구단위수량"/>
      <sheetName val="소산진입"/>
      <sheetName val="guard(mac)"/>
      <sheetName val="이름"/>
      <sheetName val="2000시행예상"/>
      <sheetName val="합의경상"/>
      <sheetName val="Quantity"/>
      <sheetName val="SG"/>
      <sheetName val="정보"/>
      <sheetName val="정부노임단가"/>
      <sheetName val="COPING"/>
      <sheetName val="자재집계표"/>
      <sheetName val="단가산출서"/>
      <sheetName val="6PILE___돌출_"/>
      <sheetName val="3BL공동구_수량"/>
      <sheetName val="INPUT"/>
      <sheetName val="2.대외공문"/>
      <sheetName val="4)유동표"/>
      <sheetName val="토적표(우안)"/>
      <sheetName val="토적표(좌안)"/>
      <sheetName val="부하(성남)"/>
      <sheetName val="지장물C"/>
      <sheetName val="토공계산서(부체도로)"/>
      <sheetName val="변경집계표"/>
      <sheetName val="날개벽"/>
      <sheetName val="가설사무소수량집계"/>
      <sheetName val="토사(PE)"/>
      <sheetName val="Basic"/>
      <sheetName val="D"/>
      <sheetName val="L"/>
      <sheetName val="M"/>
      <sheetName val="Part AB"/>
      <sheetName val="Part I"/>
      <sheetName val="Part M"/>
      <sheetName val="S"/>
      <sheetName val="E"/>
      <sheetName val="Resource"/>
      <sheetName val="Exrate"/>
      <sheetName val="40단가산출서"/>
      <sheetName val="40집계"/>
      <sheetName val="민자토목설변1차"/>
      <sheetName val="1NYS(당)"/>
      <sheetName val="골재및자재집계표"/>
      <sheetName val="수문보고"/>
      <sheetName val="할증 "/>
      <sheetName val="대운산출"/>
      <sheetName val="본체"/>
      <sheetName val="견적대비표"/>
      <sheetName val="01.견적내역서"/>
      <sheetName val="수입"/>
      <sheetName val="대부예산서"/>
      <sheetName val="교각1"/>
      <sheetName val="기초공"/>
      <sheetName val="기둥(원형)"/>
      <sheetName val="부대공"/>
      <sheetName val="포장공"/>
      <sheetName val="공사비예산서(토목분)"/>
      <sheetName val="CIVIL4"/>
      <sheetName val="3련 BOX"/>
      <sheetName val="Sheet3"/>
      <sheetName val="참고사항"/>
      <sheetName val="근로자자료입력"/>
      <sheetName val="부하계산서"/>
      <sheetName val="70%"/>
      <sheetName val="소비자가"/>
      <sheetName val="공통가설공사"/>
      <sheetName val="관로조사공"/>
      <sheetName val="여과지동"/>
      <sheetName val="기초자료"/>
      <sheetName val="가압장구체수량산출서"/>
      <sheetName val="20-6(L)"/>
      <sheetName val="중기목록표"/>
      <sheetName val="계화총괄"/>
      <sheetName val="계화배수(3대)"/>
      <sheetName val="무근깨기"/>
      <sheetName val="배수공"/>
      <sheetName val="간지"/>
      <sheetName val="CAL(1)."/>
      <sheetName val="12CGOU"/>
      <sheetName val="Bend_fact "/>
      <sheetName val="요약배부"/>
      <sheetName val="주관사업"/>
      <sheetName val="STAFF ANALYSIS"/>
      <sheetName val="C"/>
      <sheetName val="기계경비일람"/>
      <sheetName val="AN-01"/>
      <sheetName val="침하계"/>
      <sheetName val="PRICES"/>
      <sheetName val="골조시행"/>
      <sheetName val="예상"/>
      <sheetName val="ASP 일반구간_250A"/>
      <sheetName val="횡배날개"/>
      <sheetName val="수량집계표"/>
      <sheetName val="보차도경계석"/>
      <sheetName val="96보완계획7.12"/>
      <sheetName val="을 2"/>
      <sheetName val="을 1"/>
      <sheetName val="손익분석"/>
      <sheetName val="대로근거"/>
      <sheetName val="격점수량"/>
      <sheetName val="구조물공"/>
      <sheetName val="토공 total"/>
      <sheetName val="옹벽"/>
      <sheetName val="2.교량(신설)"/>
      <sheetName val="대림경상68억"/>
      <sheetName val="직재"/>
      <sheetName val="집수정"/>
      <sheetName val="입상내역"/>
      <sheetName val="마감사양"/>
      <sheetName val="예정(3)"/>
      <sheetName val="현장관리비"/>
      <sheetName val="계산근거"/>
      <sheetName val="woo(mac)"/>
      <sheetName val="본선차로수량집계표"/>
      <sheetName val="TYPE-1"/>
      <sheetName val="A1(토공)"/>
      <sheetName val="A1(구조물)"/>
      <sheetName val="수량집계(1)"/>
      <sheetName val="철근집계표"/>
      <sheetName val="포장직선구간"/>
      <sheetName val="Sheet17"/>
      <sheetName val="대,유,램"/>
      <sheetName val="허용지지력"/>
      <sheetName val="Output"/>
      <sheetName val="2.단면가정"/>
      <sheetName val="동원(3)"/>
      <sheetName val="9GNG운반"/>
      <sheetName val="일위7"/>
      <sheetName val="일위6"/>
      <sheetName val="일위5"/>
      <sheetName val="노무단가비교표"/>
      <sheetName val="일위1"/>
      <sheetName val="일위2"/>
      <sheetName val="일위3"/>
      <sheetName val="일위4"/>
      <sheetName val="단가대비표"/>
      <sheetName val="일위8"/>
      <sheetName val="일위9"/>
      <sheetName val="철거산출근거"/>
      <sheetName val="가옥철거"/>
      <sheetName val="이토변실(A3-LINE)"/>
      <sheetName val="전기"/>
      <sheetName val="입출재고현황 (2)"/>
      <sheetName val="type-F"/>
      <sheetName val="기계경비적용기준"/>
      <sheetName val="음봉방향"/>
      <sheetName val="바닥판"/>
      <sheetName val="토공-내역"/>
      <sheetName val="인건비"/>
      <sheetName val="기계경비"/>
      <sheetName val="단위수량"/>
      <sheetName val="일반수량"/>
      <sheetName val="기초일위"/>
      <sheetName val="수목단가"/>
      <sheetName val="시설수량표"/>
      <sheetName val="시설일위"/>
      <sheetName val="식재수량표"/>
      <sheetName val="식재일위"/>
      <sheetName val="일위목록"/>
      <sheetName val="자재단가"/>
      <sheetName val="중로근거"/>
      <sheetName val="매립"/>
      <sheetName val="단가조사"/>
      <sheetName val="도배공사언고"/>
      <sheetName val="40총괄"/>
      <sheetName val="차액보증"/>
      <sheetName val="YES-T"/>
      <sheetName val="I.설계조건"/>
      <sheetName val="철근량"/>
      <sheetName val="기본"/>
      <sheetName val="목록"/>
      <sheetName val="자재단가표"/>
      <sheetName val="조합일"/>
      <sheetName val="철거일"/>
      <sheetName val="소방현물"/>
      <sheetName val="영동(D)"/>
      <sheetName val="건축물터파기"/>
      <sheetName val="기초INPUT"/>
      <sheetName val="관급총괄"/>
      <sheetName val="제직재"/>
      <sheetName val="설직재-1"/>
      <sheetName val="제-노임"/>
      <sheetName val="배수관설치현황"/>
      <sheetName val="좌측"/>
      <sheetName val="당초"/>
      <sheetName val="외주현황.wq1"/>
      <sheetName val="LOB"/>
      <sheetName val="설계"/>
      <sheetName val="C-직노1"/>
      <sheetName val="Supplement2"/>
      <sheetName val=""/>
      <sheetName val="노임"/>
      <sheetName val="평가데이터"/>
      <sheetName val="일위대가표"/>
      <sheetName val="BOX(1.5X1.5)"/>
      <sheetName val="수로단위수량"/>
      <sheetName val="제수변수량H2.15"/>
      <sheetName val="_공기변수량"/>
      <sheetName val="돌담교 상부수량"/>
      <sheetName val="을"/>
      <sheetName val="신표지1"/>
      <sheetName val="연습"/>
      <sheetName val="산출근거(S4)"/>
      <sheetName val="1을"/>
      <sheetName val="1.수인터널"/>
      <sheetName val="01.인원현황 (계획)"/>
      <sheetName val="낙찰표"/>
      <sheetName val="우수받이"/>
      <sheetName val="인부노임"/>
      <sheetName val="설계예시"/>
      <sheetName val="2_단면가정_"/>
      <sheetName val="총_괄_표"/>
      <sheetName val="토공_갑지"/>
      <sheetName val="공사비증감(P4)_"/>
      <sheetName val="본선_토공_분배표"/>
      <sheetName val="단면_(2)"/>
      <sheetName val="하도내역_(철콘)"/>
      <sheetName val="부대토목"/>
      <sheetName val="L형집계"/>
      <sheetName val="찍기"/>
      <sheetName val="자금신청서"/>
      <sheetName val="단위단가"/>
      <sheetName val="데리네이타현황"/>
      <sheetName val="P.M 별"/>
      <sheetName val="토적계산"/>
      <sheetName val="건축"/>
      <sheetName val="96노임기준"/>
      <sheetName val="일위대가1"/>
      <sheetName val="우각부보강"/>
      <sheetName val="국공유지및사유지"/>
      <sheetName val="4-1.노무비(직영)"/>
      <sheetName val="조건표"/>
      <sheetName val="용산1(해보)"/>
      <sheetName val="6PILE (돌출)"/>
      <sheetName val="원형맨홀수량"/>
      <sheetName val="연결관암거"/>
      <sheetName val="깨기"/>
      <sheetName val="건설기계_목록"/>
      <sheetName val="전체변경예정공정표_2012.07.30"/>
      <sheetName val="Sheet13"/>
      <sheetName val="Sheet14"/>
      <sheetName val="GEN"/>
      <sheetName val="설계내역(2001)"/>
      <sheetName val="자재(설치)"/>
      <sheetName val="화전내"/>
      <sheetName val="의뢰서"/>
      <sheetName val="J01"/>
      <sheetName val="금융비용"/>
      <sheetName val="맨홀수량산출"/>
      <sheetName val="당초내역서"/>
      <sheetName val="설계내역서"/>
      <sheetName val="중기비"/>
      <sheetName val="하천하류 철근수량 집계표"/>
      <sheetName val="loading"/>
      <sheetName val="총수량 (기성)"/>
      <sheetName val="2.하중산정"/>
      <sheetName val="DHEQSUPT"/>
      <sheetName val="품"/>
      <sheetName val="IW-LIST"/>
      <sheetName val="현황"/>
      <sheetName val="1.설계기준"/>
      <sheetName val="철집"/>
      <sheetName val="전기일위대가"/>
      <sheetName val="직공시공계획서"/>
      <sheetName val="단가산출"/>
      <sheetName val="토공정보"/>
      <sheetName val="A-4"/>
      <sheetName val="주요자재집계"/>
      <sheetName val="화재 탐지 설비"/>
      <sheetName val="설계내역"/>
      <sheetName val="지장물조서"/>
      <sheetName val="STEEL BOX 단면설계(SEC.8)"/>
      <sheetName val="단위자갈수량1"/>
      <sheetName val="전기혼잡제경비(45)"/>
      <sheetName val="TYPE-A"/>
      <sheetName val="견적서세부내용"/>
      <sheetName val="견적내용입력"/>
      <sheetName val="부표총괄"/>
      <sheetName val="N賃率-職"/>
      <sheetName val="T.T.P 단위수량"/>
      <sheetName val="F301_303"/>
      <sheetName val="plan&amp;section_of_foundation"/>
      <sheetName val="design_load"/>
      <sheetName val="working_load_at_the_btm_ft_"/>
      <sheetName val="stability_check"/>
      <sheetName val="design_criteria"/>
      <sheetName val="CAL(1)_"/>
      <sheetName val="Bend_fact_"/>
      <sheetName val="STAFF_ANALYSIS"/>
      <sheetName val="Sheet1_(2)"/>
      <sheetName val="Cash2"/>
      <sheetName val="Z"/>
      <sheetName val="BQMPALOC"/>
      <sheetName val="우수"/>
      <sheetName val="운반"/>
      <sheetName val="내역-가"/>
      <sheetName val="관급자재대"/>
      <sheetName val="1단계"/>
      <sheetName val="집계표(OPTION)"/>
      <sheetName val="BOX-1510"/>
      <sheetName val="전선 및 전선관"/>
      <sheetName val="수량산출서"/>
      <sheetName val="일위대가(1)"/>
      <sheetName val="포장총괄집계표"/>
      <sheetName val="품셈TABLE"/>
      <sheetName val="품의"/>
      <sheetName val="이형관격점별수량산출(2)"/>
      <sheetName val="단면가정"/>
      <sheetName val="총괄표"/>
      <sheetName val="계획서"/>
      <sheetName val="도자"/>
      <sheetName val="덤프총괄"/>
      <sheetName val="순성토운반거리산정"/>
      <sheetName val="임목폐기물파쇄"/>
      <sheetName val="토적집계표"/>
      <sheetName val="벌목공"/>
      <sheetName val="유동(순성_최종)"/>
      <sheetName val="비옥토수거"/>
      <sheetName val="이기(집계)"/>
      <sheetName val="2차토량발생"/>
      <sheetName val="흥양2교토공집계표"/>
      <sheetName val="JUCKEYK"/>
      <sheetName val="교차구"/>
      <sheetName val="전력구구조물산근"/>
      <sheetName val="우수맨홀공제단위수량"/>
      <sheetName val="실행대비"/>
      <sheetName val="우수공"/>
      <sheetName val="기존-내역"/>
      <sheetName val="단위수량산출"/>
      <sheetName val="직노"/>
      <sheetName val="1련박스"/>
      <sheetName val="Pier 3"/>
      <sheetName val="옹벽집계표"/>
      <sheetName val="마산방향"/>
      <sheetName val="트랜치 집수정 연결관-연장산출서"/>
      <sheetName val="배수장토목공사비"/>
      <sheetName val="계수시트"/>
      <sheetName val="구체"/>
      <sheetName val="좌측날개벽"/>
      <sheetName val="우측날개벽"/>
      <sheetName val="tggwan(mac)"/>
      <sheetName val="토목검측서"/>
      <sheetName val="건축내역"/>
      <sheetName val="중기목록"/>
      <sheetName val="운반단가"/>
      <sheetName val="6공구(당초)"/>
      <sheetName val="A LINE"/>
      <sheetName val="C.배수관공"/>
      <sheetName val="옹벽식측구단위"/>
      <sheetName val="외자배분"/>
      <sheetName val="외자내역"/>
      <sheetName val="수량"/>
      <sheetName val="시멘트 및 골재량 (슬래브)"/>
      <sheetName val="시멘트 및 골재량 (거더)"/>
      <sheetName val="공틀공사"/>
      <sheetName val="MATERIAL"/>
      <sheetName val="계약용량(서포)"/>
      <sheetName val="구조물철거개소별명세"/>
      <sheetName val="배수관토공산출"/>
      <sheetName val="1회기성을"/>
      <sheetName val="사리부설"/>
      <sheetName val="직원인원"/>
      <sheetName val="REINF."/>
      <sheetName val="배명(단가)"/>
      <sheetName val="업체선정"/>
      <sheetName val="Eq. Mobilization"/>
      <sheetName val="단면검토"/>
      <sheetName val="주형"/>
      <sheetName val="INPUTDATA"/>
      <sheetName val="산출근거-S1"/>
      <sheetName val="_x0018__x0000_℀"/>
      <sheetName val="6월인원"/>
      <sheetName val="날개벽수량표"/>
      <sheetName val="토공산출(시)"/>
      <sheetName val="토공산출(포)"/>
      <sheetName val="단가비교"/>
      <sheetName val="3절_CheckList_구분"/>
      <sheetName val="개요"/>
      <sheetName val="입력시트"/>
      <sheetName val="광주전남"/>
      <sheetName val="상부공"/>
      <sheetName val="부대토공"/>
      <sheetName val="차선위치조서"/>
      <sheetName val="A1-DATA"/>
      <sheetName val="단면"/>
      <sheetName val="경산"/>
      <sheetName val="공사명입력"/>
      <sheetName val="참고자료"/>
      <sheetName val="데이타"/>
      <sheetName val="일반공사"/>
      <sheetName val="저"/>
      <sheetName val="시중노임"/>
      <sheetName val="Finansal tamamlanma Eğrisi"/>
      <sheetName val="TESİSAT"/>
      <sheetName val="Finansal_tamamlanma_Eğrisi"/>
      <sheetName val="공종별내역서"/>
      <sheetName val="CODE"/>
      <sheetName val="MOTOR"/>
      <sheetName val="임목폐기물집계"/>
      <sheetName val="상반기손익차2총괄"/>
      <sheetName val="표준단면수량(출력안함)"/>
      <sheetName val="자재 집계표"/>
      <sheetName val="표지"/>
      <sheetName val="입찰내역 발주처 양식"/>
      <sheetName val="증감내역"/>
      <sheetName val="목창호"/>
      <sheetName val="준검 내역서"/>
      <sheetName val="우수관로단위수량(300)"/>
      <sheetName val="단가조사표"/>
      <sheetName val="중기"/>
      <sheetName val="0"/>
      <sheetName val="일위대가(가설)"/>
      <sheetName val="관로연장산출"/>
      <sheetName val="6PILE  _돌_x005f_x001c__"/>
      <sheetName val="날개수량1.5"/>
      <sheetName val="부대내역"/>
      <sheetName val="집수정(600-700)"/>
      <sheetName val="대목"/>
      <sheetName val="토공사"/>
      <sheetName val="모델링"/>
      <sheetName val="하중계산"/>
      <sheetName val="포설list원본"/>
      <sheetName val="6PILE__(돌출)1"/>
      <sheetName val="토공_갑지1"/>
      <sheetName val="총_괄_표1"/>
      <sheetName val="1062-X방향_"/>
      <sheetName val="3_공통공사대비"/>
      <sheetName val="제출내역_(2)"/>
      <sheetName val="1_설계조건"/>
      <sheetName val="8_PILE__(돌출)"/>
      <sheetName val="1__설계조건_2_단면가정_3__하중계산"/>
      <sheetName val="DATA_입력란"/>
      <sheetName val="BOX_본체"/>
      <sheetName val="6PILE_과속방지턱집계표!$K$12_(돌출)"/>
      <sheetName val="선적schedule_(2)"/>
      <sheetName val="4_2유효폭의_계산"/>
      <sheetName val="TOWER_10TON"/>
      <sheetName val="TOWER_12TON"/>
      <sheetName val="PAD_TR보호대기초"/>
      <sheetName val="전차선로_물량표"/>
      <sheetName val="3_하중산정4_지지력"/>
      <sheetName val="Summary "/>
      <sheetName val="Thiet bi"/>
      <sheetName val="DM.ChiPhi"/>
      <sheetName val="MAIN GATE HOUSE"/>
      <sheetName val="escon"/>
      <sheetName val="물가자료"/>
      <sheetName val="총집계"/>
      <sheetName val="01. 지사동"/>
      <sheetName val="가로등내역서"/>
      <sheetName val="EP0618"/>
      <sheetName val="TEST1"/>
      <sheetName val="미생물배양기 기초"/>
      <sheetName val="GAEYO"/>
      <sheetName val="동력부하계산"/>
      <sheetName val="출입구총집계"/>
      <sheetName val="6PILE_______G_6_______H_10____2"/>
      <sheetName val="타견적(을)"/>
      <sheetName val="변경내역대비표(2)"/>
      <sheetName val="단가산출2"/>
      <sheetName val="중기사용료산출근거"/>
      <sheetName val="칠산대교_중앙부"/>
      <sheetName val="칠산대교_시종점부"/>
      <sheetName val="간_지1"/>
      <sheetName val="S_중기사용료"/>
      <sheetName val="6PILE+옹벽집계!$G$6+옹벽집계!$H$10__(돌출"/>
      <sheetName val="BOX(1_5X1_5)"/>
      <sheetName val="01_견적내역서"/>
      <sheetName val="01_인원현황_(계획)"/>
      <sheetName val="2_교량(신설)"/>
      <sheetName val="I_설계조건"/>
      <sheetName val="총수량_(기성)"/>
      <sheetName val="6PILE___돌_"/>
      <sheetName val="4-1_노무비(직영)"/>
      <sheetName val="Part_AB"/>
      <sheetName val="Part_I"/>
      <sheetName val="Part_M"/>
      <sheetName val="을_2"/>
      <sheetName val="을_1"/>
      <sheetName val="2_단면가정"/>
      <sheetName val="안정검토"/>
      <sheetName val="보험료산출"/>
      <sheetName val="산출내역(4월)"/>
      <sheetName val="산출내역(5월) (2)"/>
      <sheetName val="U형측구 표준단면도"/>
      <sheetName val="격점관로집계"/>
      <sheetName val="VS P-Q"/>
      <sheetName val="가시설(TYPE-A)"/>
      <sheetName val="1호맨홀가감수량"/>
      <sheetName val="1-1평균터파기고(1)"/>
      <sheetName val="1호맨홀수량산출"/>
      <sheetName val="내역검토사항"/>
      <sheetName val="간1"/>
      <sheetName val="공사예산서"/>
      <sheetName val="예산서(사급분)"/>
      <sheetName val="설계내역집계표"/>
      <sheetName val="간2"/>
      <sheetName val="총괄자재집계표"/>
      <sheetName val="수량총괄표"/>
      <sheetName val="간3"/>
      <sheetName val="품셈총괄표"/>
      <sheetName val="품셈"/>
      <sheetName val="간4"/>
      <sheetName val="부표총괄표"/>
      <sheetName val="부표"/>
      <sheetName val="간5"/>
      <sheetName val="별표총괄표"/>
      <sheetName val="별표"/>
      <sheetName val="운반거리"/>
      <sheetName val="간6"/>
      <sheetName val="간7"/>
      <sheetName val="자재집계"/>
      <sheetName val="추진공"/>
      <sheetName val="차선도색"/>
      <sheetName val="교대(A1)"/>
      <sheetName val="각형맨홀"/>
      <sheetName val="요율"/>
      <sheetName val="전체철근집계"/>
      <sheetName val="_x0018_"/>
      <sheetName val="연결임시"/>
      <sheetName val="setup"/>
      <sheetName val="원가(조경)"/>
      <sheetName val="원가(토목)"/>
      <sheetName val="공사개요"/>
      <sheetName val="과속방지턱"/>
      <sheetName val="흄관기초"/>
      <sheetName val="6PILE___돌출_1"/>
      <sheetName val="2_단면가정_1"/>
      <sheetName val="3BL공동구_수량1"/>
      <sheetName val="Sheet1_(2)1"/>
      <sheetName val="하도내역_(철콘)1"/>
      <sheetName val="본선_토공_분배표1"/>
      <sheetName val="단면_(2)1"/>
      <sheetName val="공사비증감(P4)_1"/>
      <sheetName val="할증_"/>
      <sheetName val="F301_3031"/>
      <sheetName val="plan&amp;section_of_foundation1"/>
      <sheetName val="design_load1"/>
      <sheetName val="working_load_at_the_btm_ft_1"/>
      <sheetName val="stability_check1"/>
      <sheetName val="design_criteria1"/>
      <sheetName val="돌담교_상부수량"/>
      <sheetName val="1_수인터널"/>
      <sheetName val="CAL(1)_1"/>
      <sheetName val="Bend_fact_1"/>
      <sheetName val="STAFF_ANALYSIS1"/>
      <sheetName val="입출재고현황_(2)"/>
      <sheetName val="1_토공"/>
      <sheetName val="2_대외공문"/>
      <sheetName val="3련_BOX"/>
      <sheetName val="제수변수량H2_15"/>
      <sheetName val="T_T_P_단위수량"/>
      <sheetName val="전선_및_전선관"/>
      <sheetName val="ASP_일반구간_250A"/>
      <sheetName val="96보완계획7_12"/>
      <sheetName val="전체변경예정공정표_2012_07_30"/>
      <sheetName val="토공_total"/>
      <sheetName val="화재_탐지_설비"/>
      <sheetName val="6PILE_(돌출)"/>
      <sheetName val="외주현황_wq1"/>
      <sheetName val="REINF_"/>
      <sheetName val="P_M_별"/>
      <sheetName val="도급견적가"/>
      <sheetName val="선급금신청서"/>
      <sheetName val="특2맨홀(차도)(T-A)"/>
      <sheetName val="특2맨홀(보도)(T-A)"/>
      <sheetName val="맨홀이음부 몰탈수량 집계표"/>
      <sheetName val="맨홀되메우기"/>
      <sheetName val="99노임단가"/>
      <sheetName val="자판실행"/>
      <sheetName val="하수급견적대비"/>
      <sheetName val="INPUT(덕도방향-시점)"/>
      <sheetName val=" FURNACE현설"/>
      <sheetName val="IMPEADENCE MAP 취수장"/>
      <sheetName val="연결원본-절대지우지말것"/>
      <sheetName val="6MONTHS"/>
      <sheetName val="264"/>
      <sheetName val="dongia (2)"/>
      <sheetName val="負荷集計（断熱不燃）"/>
      <sheetName val="Div26 - Elect"/>
      <sheetName val="6PILE__(돌출)2"/>
      <sheetName val="토공_갑지2"/>
      <sheetName val="총_괄_표2"/>
      <sheetName val="1062-X방향_1"/>
      <sheetName val="3_공통공사대비1"/>
      <sheetName val="제출내역_(2)1"/>
      <sheetName val="1_설계조건1"/>
      <sheetName val="8_PILE__(돌출)1"/>
      <sheetName val="1__설계조건_2_단면가정_3__하중계산1"/>
      <sheetName val="DATA_입력란1"/>
      <sheetName val="BOX_본체1"/>
      <sheetName val="6PILE_과속방지턱집계표!$K$12_(돌출)1"/>
      <sheetName val="선적schedule_(2)1"/>
      <sheetName val="4_2유효폭의_계산1"/>
      <sheetName val="TOWER_10TON1"/>
      <sheetName val="TOWER_12TON1"/>
      <sheetName val="PAD_TR보호대기초1"/>
      <sheetName val="전차선로_물량표1"/>
      <sheetName val="3_하중산정4_지지력1"/>
      <sheetName val="Summary_"/>
      <sheetName val="Thiet_bi"/>
      <sheetName val="DM_ChiPhi"/>
      <sheetName val="MAIN_GATE_HOUSE"/>
      <sheetName val="DANHPHAP"/>
      <sheetName val="RAB AR&amp;STR"/>
      <sheetName val="electrical"/>
      <sheetName val="Benchmark"/>
      <sheetName val="잡비계산"/>
      <sheetName val="breakdown"/>
      <sheetName val="main1"/>
      <sheetName val="RefG"/>
      <sheetName val="IRR sponsor"/>
      <sheetName val="laroux"/>
      <sheetName val="1.설계조건 "/>
      <sheetName val="2.단면1"/>
      <sheetName val="2.단면2"/>
      <sheetName val="3.토압계산"/>
      <sheetName val="4.하중계산"/>
      <sheetName val="5.안정검토"/>
      <sheetName val="5.안정검토 (2)"/>
      <sheetName val="6.벽체계산"/>
      <sheetName val="7.FOOTING 계산(직접기초)"/>
      <sheetName val="7.PILE "/>
      <sheetName val="FOOTING 계산(PILE기초)"/>
      <sheetName val="FOOTING계산(돌출)"/>
      <sheetName val="BM"/>
      <sheetName val="BALAN1"/>
      <sheetName val="(10) Other Costs5"/>
      <sheetName val="LAST UPDATE"/>
      <sheetName val="마감물량"/>
      <sheetName val="h-013211-2"/>
      <sheetName val="Bill summary of cost"/>
      <sheetName val="INTERIOR WALLS"/>
      <sheetName val="LLEGADA"/>
      <sheetName val="GAE8'97"/>
      <sheetName val="CFA"/>
      <sheetName val="Material Price"/>
      <sheetName val="2.223M_due to adj profit"/>
      <sheetName val="Land Dev't. Ph-1"/>
      <sheetName val="GESTION FICHE"/>
      <sheetName val="TRADUCTION LISTES"/>
      <sheetName val="Table"/>
      <sheetName val="산1~6"/>
      <sheetName val="중기조종사 단위단가"/>
      <sheetName val="금액결정"/>
      <sheetName val="95MAKER"/>
      <sheetName val="재료율"/>
      <sheetName val="일위대가(여기까지)"/>
      <sheetName val="품셈총_x0000__x0000_"/>
      <sheetName val="본실행경비"/>
      <sheetName val="MTP"/>
      <sheetName val="견적"/>
      <sheetName val="7.PILE  (돌출)"/>
      <sheetName val="작성"/>
      <sheetName val="danga"/>
      <sheetName val="ilch"/>
      <sheetName val="일위대가-2"/>
      <sheetName val="98지급계획"/>
      <sheetName val="깨؀"/>
      <sheetName val="깨٫"/>
      <sheetName val="단위수량(출력X)"/>
      <sheetName val="BQextra"/>
      <sheetName val="TOSHIBA-Structure"/>
      <sheetName val="8-31-98"/>
      <sheetName val="worksheet inchican"/>
      <sheetName val="combined 9-30"/>
      <sheetName val="Open"/>
      <sheetName val="금융"/>
      <sheetName val="tifico"/>
      <sheetName val="EQT-ESTN"/>
      <sheetName val="PTdam"/>
      <sheetName val="Y_WORK"/>
      <sheetName val="wall"/>
      <sheetName val="총괄내역"/>
      <sheetName val="방송(체육관)"/>
      <sheetName val="기성집계"/>
      <sheetName val="현장관리비 산출내역"/>
      <sheetName val="우배수"/>
      <sheetName val="MANP"/>
      <sheetName val="SYSTEM 945 Air&amp;Nitrogen"/>
      <sheetName val="백분율"/>
      <sheetName val="Contents"/>
      <sheetName val="Form.A"/>
      <sheetName val="Electrical(ISBL)"/>
      <sheetName val="Form.C"/>
      <sheetName val="Form.D"/>
      <sheetName val="Form.E"/>
      <sheetName val="Form.F"/>
      <sheetName val="Form.G"/>
      <sheetName val="일위대가-1"/>
      <sheetName val="횡배수관"/>
      <sheetName val="정공공사"/>
      <sheetName val="6PILE_______G_6_______H_10____3"/>
      <sheetName val="방배2E"/>
      <sheetName val="단위가격"/>
      <sheetName val="횡배위치"/>
      <sheetName val="1공구산출내역서"/>
      <sheetName val="J直材4"/>
      <sheetName val="가설대가"/>
      <sheetName val="토공대가"/>
      <sheetName val="구조대가"/>
      <sheetName val="포설대가1"/>
      <sheetName val="부대대가"/>
      <sheetName val="정산"/>
      <sheetName val="유리"/>
      <sheetName val="PM Demolition "/>
      <sheetName val="분석"/>
      <sheetName val="Rekap Addendum"/>
      <sheetName val="Hrg.Sat"/>
      <sheetName val="Sec I ML"/>
      <sheetName val=" PE-F-42 MR 9 Manpower"/>
      <sheetName val="On Time"/>
      <sheetName val="Curup"/>
      <sheetName val="Prabu"/>
      <sheetName val="PESANTREN"/>
      <sheetName val="G"/>
      <sheetName val="A"/>
      <sheetName val="Master"/>
      <sheetName val="_x0018_?℀"/>
      <sheetName val="HVAC"/>
      <sheetName val="Riesgos y Oportunidades"/>
      <sheetName val="일용노임단가"/>
      <sheetName val="DGCT"/>
      <sheetName val="Ts"/>
      <sheetName val="TH"/>
      <sheetName val="Bia"/>
      <sheetName val="Vattu"/>
      <sheetName val="XL4Poppy"/>
      <sheetName val="6PILE  _돌_x005f_x005f_x005f_x001c__"/>
      <sheetName val="DG duoi"/>
      <sheetName val="6PILE__(돌출)3"/>
      <sheetName val="토공_갑지3"/>
      <sheetName val="총_괄_표3"/>
      <sheetName val="2_단면가정_2"/>
      <sheetName val="3BL공동구_수량2"/>
      <sheetName val="6PILE___돌출_2"/>
      <sheetName val="Summary_1"/>
      <sheetName val="Thiet_bi1"/>
      <sheetName val="DM_ChiPhi1"/>
      <sheetName val="dongia_(2)"/>
      <sheetName val="RAB_AR&amp;STR"/>
      <sheetName val="Div26_-_Elect"/>
      <sheetName val="본선_토공_분배표2"/>
      <sheetName val="Sheet1_(2)2"/>
      <sheetName val="1062-X방향_2"/>
      <sheetName val="3_공통공사대비2"/>
      <sheetName val="제출내역_(2)2"/>
      <sheetName val="1_설계조건2"/>
      <sheetName val="8_PILE__(돌출)2"/>
      <sheetName val="단면_(2)2"/>
      <sheetName val="하도내역_(철콘)2"/>
      <sheetName val="1__설계조건_2_단면가정_3__하중계산2"/>
      <sheetName val="DATA_입력란2"/>
      <sheetName val="공사비증감(P4)_2"/>
      <sheetName val="BOX_본체2"/>
      <sheetName val="6PILE_과속방지턱집계표!$K$12_(돌출)2"/>
      <sheetName val="F301_3032"/>
      <sheetName val="plan&amp;section_of_foundation2"/>
      <sheetName val="design_load2"/>
      <sheetName val="working_load_at_the_btm_ft_2"/>
      <sheetName val="stability_check2"/>
      <sheetName val="design_criteria2"/>
      <sheetName val="선적schedule_(2)2"/>
      <sheetName val="4_2유효폭의_계산2"/>
      <sheetName val="TOWER_10TON2"/>
      <sheetName val="TOWER_12TON2"/>
      <sheetName val="PAD_TR보호대기초2"/>
      <sheetName val="전차선로_물량표2"/>
      <sheetName val="CAL(1)_2"/>
      <sheetName val="Bend_fact_2"/>
      <sheetName val="STAFF_ANALYSIS2"/>
      <sheetName val="3_하중산정4_지지력2"/>
      <sheetName val="간_지11"/>
      <sheetName val="01_견적내역서1"/>
      <sheetName val="Part_AB1"/>
      <sheetName val="Part_I1"/>
      <sheetName val="Part_M1"/>
      <sheetName val="할증_1"/>
      <sheetName val="6PILE+옹벽집계!$G$6+옹벽집계!$H$10__(돌1"/>
      <sheetName val="S_중기사용료1"/>
      <sheetName val="3련_BOX1"/>
      <sheetName val="MAIN_GATE_HOUSE1"/>
      <sheetName val="ASP_일반구간_250A1"/>
      <sheetName val="2_교량(신설)1"/>
      <sheetName val="I_설계조건1"/>
      <sheetName val="01_인원현황_(계획)1"/>
      <sheetName val="돌담교_상부수량1"/>
      <sheetName val="1_수인터널1"/>
      <sheetName val="입찰내역_발주처_양식"/>
      <sheetName val="6PILE___돌_x005f_x001c__"/>
      <sheetName val="시설물기초"/>
      <sheetName val="8.석축단위(H=1.5M)"/>
      <sheetName val="보고서"/>
      <sheetName val="지장물현황"/>
      <sheetName val="분묘 총 현황"/>
      <sheetName val="NAI"/>
      <sheetName val="dongia_(2)1"/>
      <sheetName val="Div26_-_Elect1"/>
      <sheetName val="RAB_AR&amp;STR1"/>
      <sheetName val="1_설계기준"/>
      <sheetName val="2_하중산정"/>
      <sheetName val="시멘트_및_골재량_(슬래브)"/>
      <sheetName val="시멘트_및_골재량_(거더)"/>
      <sheetName val="STEEL_BOX_단면설계(SEC_8)"/>
      <sheetName val="BANG TONG HOP (2)"/>
      <sheetName val="AUTOMATIC SELECT"/>
      <sheetName val="Du lieu ban dau"/>
      <sheetName val="database"/>
      <sheetName val="INFOR-ST"/>
      <sheetName val="TEN CONG TRINH"/>
      <sheetName val="Notes"/>
      <sheetName val="125x125"/>
      <sheetName val="Earthwork"/>
      <sheetName val="149-2"/>
      <sheetName val="Đon gia"/>
      <sheetName val="Duc_bk"/>
      <sheetName val="Đơn Giá "/>
      <sheetName val="Config"/>
      <sheetName val="TH_CPTB"/>
      <sheetName val="CP Khac cuoc VC"/>
      <sheetName val="Rates"/>
      <sheetName val="T.KE CP1"/>
      <sheetName val="0226"/>
      <sheetName val="CFS3"/>
      <sheetName val="시설물일위"/>
      <sheetName val="공정"/>
      <sheetName val="USGC"/>
      <sheetName val="Equip."/>
      <sheetName val="단면치수"/>
      <sheetName val="아파트 기성내역서"/>
      <sheetName val="하중산정"/>
      <sheetName val="Cash Out Table"/>
      <sheetName val="Net Cash Table"/>
      <sheetName val="SC1"/>
      <sheetName val="투입"/>
      <sheetName val="철근단면적"/>
      <sheetName val="지하매설물조서"/>
      <sheetName val="지장물도면"/>
      <sheetName val="T13(P68~72,78)"/>
      <sheetName val="01__지사동"/>
      <sheetName val="하천하류_철근수량_집계표"/>
      <sheetName val="datasheet"/>
      <sheetName val="소방현䀀"/>
      <sheetName val="소방현_x0000_"/>
      <sheetName val="이형관"/>
      <sheetName val="갈현동"/>
      <sheetName val="Y-WORK"/>
      <sheetName val="토공집계"/>
      <sheetName val="견적 (2)"/>
      <sheetName val="총수량_(기성)1"/>
      <sheetName val="4-1_노무비(직영)1"/>
      <sheetName val="을_21"/>
      <sheetName val="을_11"/>
      <sheetName val="2_단면가정1"/>
      <sheetName val="입출재고현황_(2)1"/>
      <sheetName val="1_토공1"/>
      <sheetName val="제수변수량H2_151"/>
      <sheetName val="T_T_P_단위수량1"/>
      <sheetName val="BOX(1_5X1_5)1"/>
      <sheetName val="칠산대교_중앙부1"/>
      <sheetName val="칠산대교_시종점부1"/>
      <sheetName val="96보완계획7_121"/>
      <sheetName val="전선_및_전선관1"/>
      <sheetName val="2_대외공문1"/>
      <sheetName val="전체변경예정공정표_2012_07_301"/>
      <sheetName val="토공_total1"/>
      <sheetName val="외주현황_wq11"/>
      <sheetName val="6PILE_(돌출)1"/>
      <sheetName val="P_M_별1"/>
      <sheetName val="화재_탐지_설비1"/>
      <sheetName val="자재_집계표"/>
      <sheetName val="REINF_1"/>
      <sheetName val="트랜치_집수정_연결관-연장산출서"/>
      <sheetName val="산출내역(5월)_(2)"/>
      <sheetName val="℀"/>
      <sheetName val="Pier_3"/>
      <sheetName val="Eq__Mobilization"/>
      <sheetName val="IRR_sponsor"/>
      <sheetName val="1_설계조건_"/>
      <sheetName val="2_단면1"/>
      <sheetName val="2_단면2"/>
      <sheetName val="3_토압계산"/>
      <sheetName val="4_하중계산"/>
      <sheetName val="5_안정검토"/>
      <sheetName val="5_안정검토_(2)"/>
      <sheetName val="6_벽체계산"/>
      <sheetName val="7_FOOTING_계산(직접기초)"/>
      <sheetName val="7_PILE_"/>
      <sheetName val="FOOTING_계산(PILE기초)"/>
      <sheetName val="(10)_Other_Costs5"/>
      <sheetName val="LAST_UPDATE"/>
      <sheetName val="Bill_summary_of_cost"/>
      <sheetName val="INTERIOR_WALLS"/>
      <sheetName val="Material_Price"/>
      <sheetName val="2_223M_due_to_adj_profit"/>
      <sheetName val="Land_Dev't__Ph-1"/>
      <sheetName val="GESTION_FICHE"/>
      <sheetName val="TRADUCTION_LISTES"/>
      <sheetName val="_FURNACE현설"/>
      <sheetName val="Finansal_tamamlanma_Eğrisi1"/>
      <sheetName val="A_LINE"/>
      <sheetName val="C_배수관공"/>
      <sheetName val="날개수량1_5"/>
      <sheetName val="맨홀이음부_몰탈수량_집계표"/>
      <sheetName val="U형측구_표준단면도"/>
      <sheetName val="SYSTEM_945_Air&amp;Nitrogen"/>
      <sheetName val="PM_Demolition_"/>
      <sheetName val="Form_A"/>
      <sheetName val="Form_C"/>
      <sheetName val="Form_D"/>
      <sheetName val="Form_E"/>
      <sheetName val="Form_F"/>
      <sheetName val="Form_G"/>
      <sheetName val="현장관리비_산출내역"/>
      <sheetName val="7_PILE__(돌출)"/>
      <sheetName val="분묘_총_현황"/>
      <sheetName val="준검_내역서"/>
      <sheetName val="기본단가"/>
      <sheetName val="인건비단가"/>
      <sheetName val="상부하중"/>
      <sheetName val="풍하중1"/>
      <sheetName val="음성방향"/>
      <sheetName val="SLAB"/>
      <sheetName val="S_중기사용료2"/>
      <sheetName val="1_토공2"/>
      <sheetName val="01_견적내역서2"/>
      <sheetName val="6PILE__(돌출)4"/>
      <sheetName val="2_단면가정_3"/>
      <sheetName val="6PILE___돌출_3"/>
      <sheetName val="3BL공동구_수량3"/>
      <sheetName val="하도내역_(철콘)3"/>
      <sheetName val="본선_토공_분배표3"/>
      <sheetName val="Sheet1_(2)3"/>
      <sheetName val="8_PILE__(돌출)3"/>
      <sheetName val="S_중기사용료3"/>
      <sheetName val="단면_(2)3"/>
      <sheetName val="3_공통공사대비3"/>
      <sheetName val="1062-X방향_3"/>
      <sheetName val="공사비증감(P4)_3"/>
      <sheetName val="1__설계조건_2_단면가정_3__하중계산3"/>
      <sheetName val="DATA_입력란3"/>
      <sheetName val="1_토공3"/>
      <sheetName val="01_견적내역서3"/>
      <sheetName val="제출내역_(2)3"/>
      <sheetName val="기계경비(시간당)"/>
      <sheetName val="램머"/>
      <sheetName val="식재인부"/>
      <sheetName val="수자재단위당"/>
      <sheetName val="수목데이타 "/>
      <sheetName val="교사기준면적(초등)"/>
      <sheetName val="암거날개벽재료집계"/>
      <sheetName val="용산3(영광)"/>
      <sheetName val="기계공사"/>
      <sheetName val="공사비총"/>
      <sheetName val="BG"/>
      <sheetName val="Parem"/>
      <sheetName val="SEX"/>
      <sheetName val="Takeoff"/>
      <sheetName val="INFO"/>
      <sheetName val="B3A - TOWER A"/>
      <sheetName val="Bill of Qty MEP"/>
      <sheetName val="ctTBA"/>
      <sheetName val="PNT_QUOT__3"/>
      <sheetName val="COAT_WRAP_QIOT__3"/>
      <sheetName val="Nhan cong"/>
      <sheetName val="Gld"/>
      <sheetName val="Gxd"/>
      <sheetName val="QD957"/>
      <sheetName val="공사개요-C"/>
      <sheetName val="Items"/>
      <sheetName val="HESO"/>
      <sheetName val="TOTAL SUMMARY"/>
      <sheetName val="전계가"/>
      <sheetName val="ACUNIT"/>
      <sheetName val="98수문일위"/>
      <sheetName val="평균터파기고(1-2,ASP)"/>
      <sheetName val="제1종배수관"/>
      <sheetName val="제2종배수관"/>
      <sheetName val="제4종배수관"/>
      <sheetName val="토목공사"/>
      <sheetName val="F4-F7"/>
      <sheetName val="검사원"/>
      <sheetName val="기성요약서"/>
      <sheetName val="원가계산서"/>
      <sheetName val="공종별집계표"/>
      <sheetName val="간지1"/>
      <sheetName val="순공사비산출서"/>
      <sheetName val="#첨부서류"/>
      <sheetName val="목차"/>
      <sheetName val="보험료정산내역서"/>
      <sheetName val="산갑"/>
      <sheetName val="안전관리비사용내역서(총괄표)"/>
      <sheetName val="품질갑지"/>
      <sheetName val="매몰부검측갑지"/>
      <sheetName val="관급수불부갑지"/>
      <sheetName val="사급수불부갑지"/>
      <sheetName val="노무비지급대장갑지"/>
      <sheetName val="사진대지갑"/>
      <sheetName val="기성사진대지"/>
      <sheetName val="기성검사사진"/>
      <sheetName val="1.사유서"/>
      <sheetName val="부재별산출서"/>
      <sheetName val="CAUDIT"/>
      <sheetName val="능률"/>
      <sheetName val="WORK"/>
      <sheetName val="배수공집계표"/>
      <sheetName val="공정계획(내부계획25%,내부w.f)"/>
      <sheetName val="AILC004"/>
      <sheetName val="TTL"/>
      <sheetName val="Sheet9"/>
      <sheetName val="Sheet10"/>
      <sheetName val="전기자료"/>
      <sheetName val="도면자료제출일정"/>
      <sheetName val="XXXXXX"/>
      <sheetName val="도"/>
      <sheetName val="구성비"/>
      <sheetName val="시산표"/>
      <sheetName val="G2설비도급"/>
      <sheetName val="세목전체"/>
      <sheetName val="소도3교"/>
      <sheetName val="투자필요검토서(복수업체추천서 포함)"/>
      <sheetName val="01"/>
      <sheetName val="본사인상전"/>
      <sheetName val="현장지지물물량"/>
      <sheetName val="환경기계공정표 (3)"/>
      <sheetName val="이토변실"/>
      <sheetName val="L밽P"/>
      <sheetName val="L밽©"/>
      <sheetName val="L_x0002__x0000_"/>
      <sheetName val="내부산출서"/>
      <sheetName val="간접1"/>
      <sheetName val="1호맨홀가시설토공(2~4)"/>
      <sheetName val="1호맨홀토공 (4)"/>
      <sheetName val="1호맨홀연결관토공 (2)"/>
      <sheetName val="안정계산"/>
      <sheetName val="터널조도"/>
      <sheetName val="노임이"/>
      <sheetName val="예산서"/>
      <sheetName val="중기가격"/>
      <sheetName val="IBASE"/>
      <sheetName val="EARTH WORKS"/>
      <sheetName val="TBVL"/>
      <sheetName val="TLG Type"/>
      <sheetName val="FAB별"/>
      <sheetName val="토공_갑지4"/>
      <sheetName val="TOWER_10TON3"/>
      <sheetName val="TOWER_12TON3"/>
      <sheetName val="F301_3033"/>
      <sheetName val="plan&amp;section_of_foundation3"/>
      <sheetName val="design_load3"/>
      <sheetName val="working_load_at_the_btm_ft_3"/>
      <sheetName val="stability_check3"/>
      <sheetName val="design_criteria3"/>
      <sheetName val="선적schedule_(2)3"/>
      <sheetName val="총_괄_표4"/>
      <sheetName val="간_지12"/>
      <sheetName val="BOX_본체3"/>
      <sheetName val="PAD_TR보호대기초3"/>
      <sheetName val="전차선로_물량표3"/>
      <sheetName val="6PILE_과속방지턱집계표!$K$12_(돌출)3"/>
      <sheetName val="6PILE+옹벽집계!$G$6+옹벽집계!$H$10__(돌2"/>
      <sheetName val="3_하중산정4_지지력3"/>
      <sheetName val="4_2유효폭의_계산3"/>
      <sheetName val="01_인원현황_(계획)2"/>
      <sheetName val="2_교량(신설)2"/>
      <sheetName val="I_설계조건2"/>
      <sheetName val="Part_AB2"/>
      <sheetName val="Part_I2"/>
      <sheetName val="Part_M2"/>
      <sheetName val="CAL(1)_3"/>
      <sheetName val="Bend_fact_3"/>
      <sheetName val="STAFF_ANALYSIS3"/>
      <sheetName val="1_설계조건3"/>
      <sheetName val="할증_2"/>
      <sheetName val="돌담교_상부수량2"/>
      <sheetName val="1_수인터널2"/>
      <sheetName val="3련_BOX2"/>
      <sheetName val="ASP_일반구간_250A2"/>
      <sheetName val="2_하중산정1"/>
      <sheetName val="1_설계기준1"/>
      <sheetName val="Form_A1"/>
      <sheetName val="Form_C1"/>
      <sheetName val="Form_D1"/>
      <sheetName val="Form_E1"/>
      <sheetName val="Form_F1"/>
      <sheetName val="Form_G1"/>
      <sheetName val="_FURNACE현설1"/>
      <sheetName val="입찰내역_발주처_양식1"/>
      <sheetName val="하천하류_철근수량_집계표1"/>
      <sheetName val="트랜치_집수정_연결관-연장산출서1"/>
      <sheetName val="Summary_2"/>
      <sheetName val="Thiet_bi2"/>
      <sheetName val="DM_ChiPhi2"/>
      <sheetName val="MAIN_GATE_HOUSE2"/>
      <sheetName val="Pier_31"/>
      <sheetName val="산출내역(5월)_(2)1"/>
      <sheetName val="STEEL_BOX_단면설계(SEC_8)1"/>
      <sheetName val="시멘트_및_골재량_(슬래브)1"/>
      <sheetName val="시멘트_및_골재량_(거더)1"/>
      <sheetName val="자재_집계표1"/>
      <sheetName val="6PILE___돌_x005f_x001c__1"/>
      <sheetName val="Eq__Mobilization1"/>
      <sheetName val="01__지사동1"/>
      <sheetName val="A_LINE1"/>
      <sheetName val="C_배수관공1"/>
      <sheetName val="Finansal_tamamlanma_Eğrisi2"/>
      <sheetName val="제경비율"/>
      <sheetName val="_x005f_x0018__x005f_x0000_℀"/>
      <sheetName val="견적을지"/>
      <sheetName val="IncStat 03-04"/>
      <sheetName val="IncStat 03  "/>
      <sheetName val="Авансы по СНГ"/>
      <sheetName val="LOADDAT"/>
      <sheetName val="UNIT 3"/>
      <sheetName val="Cashflow Analysis"/>
      <sheetName val="VC2 8.98"/>
      <sheetName val="적용환율"/>
      <sheetName val="BREAKDOWN(철거설치)"/>
      <sheetName val="경비2내역"/>
      <sheetName val="Item#9.3"/>
      <sheetName val="Item#1.9"/>
      <sheetName val="Item#6.7"/>
      <sheetName val="Item#2.6"/>
      <sheetName val="Item#4.10"/>
      <sheetName val="Item#5.8"/>
      <sheetName val="Item#7.21"/>
      <sheetName val="Item#3.8"/>
      <sheetName val="Item#8.7"/>
      <sheetName val="DESBAST"/>
      <sheetName val="Arch"/>
      <sheetName val="チューブ仕様"/>
      <sheetName val="Insulation_Utl_Off"/>
      <sheetName val="Note_Piping"/>
      <sheetName val="Forecast"/>
      <sheetName val="part j"/>
      <sheetName val="Part B"/>
      <sheetName val="UPA (C)"/>
      <sheetName val="Regenerator  Concrete Structure"/>
      <sheetName val="Ex-Rate"/>
      <sheetName val="WORKER"/>
      <sheetName val="Schedule S-Curve Revision#3"/>
      <sheetName val="Master Data"/>
      <sheetName val="石炭性状"/>
      <sheetName val="PSV2701F"/>
      <sheetName val="DESBASTE"/>
      <sheetName val="예산총괄표"/>
      <sheetName val="재료비"/>
      <sheetName val="경비총괄표"/>
      <sheetName val="1. 검사비외"/>
      <sheetName val="3.공사운영비"/>
      <sheetName val="2.외주공사비"/>
      <sheetName val="본사공가현황"/>
      <sheetName val="Equip_"/>
      <sheetName val="plumbing"/>
      <sheetName val="pro ra op"/>
      <sheetName val="grafik"/>
      <sheetName val="Sch"/>
      <sheetName val="HARGA MATERIAL"/>
      <sheetName val="CH-RANC"/>
      <sheetName val="Competitors"/>
      <sheetName val="VV-REV2"/>
      <sheetName val="DIV.1"/>
      <sheetName val="analisa"/>
      <sheetName val="ALAT"/>
      <sheetName val="BAHAN"/>
      <sheetName val="Analisa Harga"/>
      <sheetName val="BQ"/>
      <sheetName val="hsp-STR-ARS"/>
      <sheetName val="Summary"/>
      <sheetName val="Analisa Harga Satuan"/>
      <sheetName val="Bank"/>
      <sheetName val="Hrg Satuan"/>
      <sheetName val="Public Area"/>
      <sheetName val="analis standar(8m)"/>
      <sheetName val="GRAND TOTAL"/>
      <sheetName val="div2"/>
      <sheetName val="Daf 1"/>
      <sheetName val="EQ_an"/>
      <sheetName val="LISTRIK"/>
      <sheetName val="VA_code"/>
      <sheetName val="Persiapan"/>
      <sheetName val="95삼성급(본사)"/>
      <sheetName val="TB"/>
      <sheetName val="Spec ME"/>
      <sheetName val="Balok"/>
      <sheetName val="Factor"/>
      <sheetName val="BOQ CBM"/>
      <sheetName val="PileCap"/>
      <sheetName val="REQDELTA"/>
      <sheetName val="BAG_2"/>
      <sheetName val="I_KAMAR"/>
      <sheetName val="Analisa HSP"/>
      <sheetName val="Pipe"/>
      <sheetName val="ELEC_DCI"/>
      <sheetName val="INST_DCI"/>
      <sheetName val="RAB"/>
      <sheetName val="PRO_DCI"/>
      <sheetName val="HVAC_DCI"/>
      <sheetName val="PIPE_DCI"/>
      <sheetName val="4-Basic Price"/>
      <sheetName val="villa"/>
      <sheetName val="Harsat Upah"/>
      <sheetName val="Perhitungan Besi"/>
      <sheetName val="運転条件一覧"/>
      <sheetName val="관경결정"/>
      <sheetName val="ANL"/>
      <sheetName val="Cash Flow bulanan"/>
      <sheetName val="H.Satuan"/>
      <sheetName val="Perm. Test"/>
      <sheetName val="schalt"/>
      <sheetName val="schtng"/>
      <sheetName val="schbhn"/>
      <sheetName val="기안"/>
      <sheetName val="개산공사비"/>
      <sheetName val="상반기손익차2瓐쓏"/>
      <sheetName val="잡석,기타"/>
      <sheetName val="토공 (3)"/>
      <sheetName val="연장,면적"/>
      <sheetName val="보강토옹벽총계"/>
      <sheetName val="토공 (2)"/>
      <sheetName val="우수공수량총괄"/>
      <sheetName val="오수공총괄"/>
      <sheetName val="상수총괄"/>
      <sheetName val=" 비점오염저감시설"/>
      <sheetName val="세륜장"/>
      <sheetName val="공예을"/>
      <sheetName val="Sheet6"/>
      <sheetName val="공통부대비"/>
      <sheetName val="소요자재"/>
      <sheetName val="노무산출서"/>
      <sheetName val="INSTR"/>
      <sheetName val="trf(36%)"/>
      <sheetName val="6PILE__(돌출)5"/>
      <sheetName val="4_2유효폭의_계산4"/>
      <sheetName val="6PILE___돌출_4"/>
      <sheetName val="토공_갑지5"/>
      <sheetName val="3BL공동구_수량4"/>
      <sheetName val="하도내역_(철콘)4"/>
      <sheetName val="본선_토공_분배표4"/>
      <sheetName val="BOX_본체4"/>
      <sheetName val="Sheet1_(2)4"/>
      <sheetName val="2_단면가정_4"/>
      <sheetName val="1062-X방향_4"/>
      <sheetName val="1__설계조건_2_단면가정_3__하중계산4"/>
      <sheetName val="DATA_입력란4"/>
      <sheetName val="3_공통공사대비4"/>
      <sheetName val="단면_(2)4"/>
      <sheetName val="총_괄_표5"/>
      <sheetName val="6PILE+옹벽집계!$G$6+옹벽집계!$H$10__(돌3"/>
      <sheetName val="8_PILE__(돌출)4"/>
      <sheetName val="TOWER_10TON4"/>
      <sheetName val="TOWER_12TON4"/>
      <sheetName val="공사비증감(P4)_4"/>
      <sheetName val="6PILE_과속방지턱집계표!$K$12_(돌출)4"/>
      <sheetName val="제출내역_(2)4"/>
      <sheetName val="간_지13"/>
      <sheetName val="3_하중산정4_지지력4"/>
      <sheetName val="F301_3034"/>
      <sheetName val="plan&amp;section_of_foundation4"/>
      <sheetName val="design_load4"/>
      <sheetName val="working_load_at_the_btm_ft_4"/>
      <sheetName val="stability_check4"/>
      <sheetName val="design_criteria4"/>
      <sheetName val="선적schedule_(2)4"/>
      <sheetName val="PAD_TR보호대기초4"/>
      <sheetName val="I_설계조건3"/>
      <sheetName val="전차선로_물량표4"/>
      <sheetName val="1_설계조건4"/>
      <sheetName val="칠산대교_중앙부2"/>
      <sheetName val="칠산대교_시종점부2"/>
      <sheetName val="을_22"/>
      <sheetName val="을_12"/>
      <sheetName val="BOX(1_5X1_5)2"/>
      <sheetName val="2_교량(신설)3"/>
      <sheetName val="2_하중산정2"/>
      <sheetName val="Part_AB3"/>
      <sheetName val="Part_I3"/>
      <sheetName val="Part_M3"/>
      <sheetName val="2_단면가정2"/>
      <sheetName val="할증_3"/>
      <sheetName val="CAL(1)_4"/>
      <sheetName val="Bend_fact_4"/>
      <sheetName val="STAFF_ANALYSIS4"/>
      <sheetName val="ASP_일반구간_250A3"/>
      <sheetName val="01_인원현황_(계획)3"/>
      <sheetName val="토공_total2"/>
      <sheetName val="입출재고현황_(2)2"/>
      <sheetName val="돌담교_상부수량3"/>
      <sheetName val="1_수인터널3"/>
      <sheetName val="3련_BOX3"/>
      <sheetName val="총수량_(기성)2"/>
      <sheetName val="4-1_노무비(직영)2"/>
      <sheetName val="전선_및_전선관2"/>
      <sheetName val="제수변수량H2_152"/>
      <sheetName val="전체변경예정공정표_2012_07_302"/>
      <sheetName val="96보완계획7_122"/>
      <sheetName val="P_M_별2"/>
      <sheetName val="1_설계기준2"/>
      <sheetName val="T_T_P_단위수량2"/>
      <sheetName val="2_대외공문2"/>
      <sheetName val="외주현황_wq12"/>
      <sheetName val="화재_탐지_설비2"/>
      <sheetName val="6PILE_(돌출)2"/>
      <sheetName val="입찰내역_발주처_양식2"/>
      <sheetName val="트랜치_집수정_연결관-연장산출서2"/>
      <sheetName val="Summary_3"/>
      <sheetName val="Thiet_bi3"/>
      <sheetName val="DM_ChiPhi3"/>
      <sheetName val="MAIN_GATE_HOUSE3"/>
      <sheetName val="Pier_32"/>
      <sheetName val="하천하류_철근수량_집계표2"/>
      <sheetName val="REINF_2"/>
      <sheetName val="STEEL_BOX_단면설계(SEC_8)2"/>
      <sheetName val="자재_집계표2"/>
      <sheetName val="시멘트_및_골재량_(슬래브)2"/>
      <sheetName val="시멘트_및_골재량_(거더)2"/>
      <sheetName val="A_LINE2"/>
      <sheetName val="C_배수관공2"/>
      <sheetName val="Finansal_tamamlanma_Eğrisi3"/>
      <sheetName val="_FURNACE현설2"/>
      <sheetName val="산출내역(5월)_(2)2"/>
      <sheetName val="01__지사동2"/>
      <sheetName val="Form_A2"/>
      <sheetName val="Form_C2"/>
      <sheetName val="Form_D2"/>
      <sheetName val="Form_E2"/>
      <sheetName val="Form_F2"/>
      <sheetName val="Form_G2"/>
      <sheetName val="dongia_(2)2"/>
      <sheetName val="Div26_-_Elect2"/>
      <sheetName val="RAB_AR&amp;STR2"/>
      <sheetName val="6PILE___돌_x005f_x001c__2"/>
      <sheetName val="VS_P-Q"/>
      <sheetName val="중기조종사_단위단가"/>
      <sheetName val="Eq__Mobilization2"/>
      <sheetName val="worksheet_inchican"/>
      <sheetName val="combined_9-30"/>
      <sheetName val="미생물배양기_기초"/>
      <sheetName val="6PILE___돌_x005f_x005f_x005f_x001c__"/>
      <sheetName val="DG_duoi"/>
      <sheetName val="IMPEADENCE_MAP_취수장"/>
      <sheetName val="아파트_기성내역서"/>
      <sheetName val="TEN_CONG_TRINH"/>
      <sheetName val="BANG_TONG_HOP_(2)"/>
      <sheetName val="AUTOMATIC_SELECT"/>
      <sheetName val="Riesgos_y_Oportunidades"/>
      <sheetName val="?℀"/>
      <sheetName val="투자필요검토서(복수업체추천서_포함)"/>
      <sheetName val="공정계획(내부계획25%,내부w_f)"/>
      <sheetName val="Cash_Out_Table"/>
      <sheetName val="Net_Cash_Table"/>
      <sheetName val="_x005f_xffff__x005f_xffff__x005f_xffff__x005f_xffff_"/>
      <sheetName val="도급"/>
      <sheetName val="Cons.Val"/>
      <sheetName val="EQUIPOS"/>
      <sheetName val="33628-Rev. A"/>
      <sheetName val="역T형(H=6.0) (2)"/>
      <sheetName val="C_d"/>
      <sheetName val="C-制_x0010__x0000_"/>
      <sheetName val="IGCC査定"/>
      <sheetName val="40인공산출서"/>
      <sheetName val="40산출기초"/>
      <sheetName val="40전기실"/>
      <sheetName val="40전력간선"/>
      <sheetName val="40용접기용"/>
      <sheetName val="40전등"/>
      <sheetName val="40RACE WAY"/>
      <sheetName val="40전열"/>
      <sheetName val="30신설일위대가"/>
      <sheetName val="30집계표"/>
      <sheetName val="__"/>
      <sheetName val="깨_x0000_"/>
      <sheetName val="상 부"/>
      <sheetName val="착공내역서"/>
      <sheetName val="DGchitiet "/>
      <sheetName val="consilidate"/>
      <sheetName val="HS"/>
      <sheetName val="GIAVLIEU"/>
      <sheetName val="1_MV"/>
      <sheetName val="Parameter"/>
      <sheetName val="CAPVC"/>
      <sheetName val="6PILE___돌_x001c__"/>
      <sheetName val="Tong du toan"/>
      <sheetName val="GENERAL REQUIREMENTS"/>
      <sheetName val="CIM"/>
      <sheetName val="SP10"/>
      <sheetName val="옹벽_x0000__x0000_Ԁ"/>
      <sheetName val="기본단가표"/>
      <sheetName val="상행-교대(A1-A2)"/>
      <sheetName val="시멘트 및 골ꍈ┊楀◞_x0000_"/>
      <sheetName val="시멘트 및 골_xdc48_ʉꍈ&gt;㱀ᇈ뮰"/>
      <sheetName val="부서별(배부후)_계획"/>
      <sheetName val="Comps"/>
      <sheetName val="외자배_x0000_"/>
      <sheetName val="6PILE_옹_____G_6_옹_____H_10____2"/>
      <sheetName val="조명율표"/>
      <sheetName val="PERSONNELIST"/>
      <sheetName val="Foglio1"/>
      <sheetName val="Bored Pile"/>
      <sheetName val="slipsumpR"/>
      <sheetName val="bridge # 1"/>
      <sheetName val="mat'ls"/>
      <sheetName val="03-13 Anticipated"/>
      <sheetName val="03-13 Approved"/>
      <sheetName val="hauling"/>
      <sheetName val="ﾄﾞﾊﾞｲFUEL GAS追見"/>
      <sheetName val="Inputs"/>
      <sheetName val="BD"/>
      <sheetName val="Others"/>
      <sheetName val="sum mdc"/>
      <sheetName val="0000"/>
      <sheetName val="derive"/>
      <sheetName val="List Equip"/>
      <sheetName val="LabCost"/>
      <sheetName val="MatCost"/>
      <sheetName val="Concrete"/>
      <sheetName val="Process C (1-166)"/>
      <sheetName val="4-Lane bridge"/>
      <sheetName val="Hac.Lots"/>
      <sheetName val="Res.Lots"/>
      <sheetName val="Spine Road"/>
      <sheetName val="Stl-B"/>
      <sheetName val="eqpmt"/>
      <sheetName val="labor"/>
      <sheetName val="PM"/>
      <sheetName val="MATL"/>
      <sheetName val="Budget"/>
      <sheetName val="Legal Risk Analysis"/>
      <sheetName val="HaulingLine hardware"/>
      <sheetName val="Parameters"/>
      <sheetName val="Front Page"/>
      <sheetName val="March"/>
      <sheetName val="derivation"/>
      <sheetName val="Code 07"/>
      <sheetName val="05. VO Log (Master Data)"/>
      <sheetName val="MANHOLE"/>
      <sheetName val="Named Range"/>
      <sheetName val="TRUCK HAUL CYCLE-waste"/>
      <sheetName val="bill 2"/>
      <sheetName val="2.2 띠장의 설계"/>
      <sheetName val="i112996P6"/>
      <sheetName val="ref"/>
      <sheetName val="lookups"/>
      <sheetName val="BOQ"/>
      <sheetName val="Report"/>
      <sheetName val="revised#1"/>
      <sheetName val="CP HMC"/>
      <sheetName val="Tong hop DT XDCT"/>
      <sheetName val="Du_lieu_ban_dau"/>
      <sheetName val="Đon_gia"/>
      <sheetName val="Đơn_Giá_"/>
      <sheetName val="CP_Khac_cuoc_VC"/>
      <sheetName val="T_KE_CP1"/>
      <sheetName val="Chiet tinh dz35"/>
      <sheetName val="NOTE"/>
      <sheetName val="FitOutConfCentre"/>
      <sheetName val="LEGEND"/>
      <sheetName val="Sheet7"/>
      <sheetName val="손익차총괄2"/>
      <sheetName val="30万表三"/>
      <sheetName val="jj"/>
      <sheetName val="6BPRO"/>
      <sheetName val="方案1表二"/>
      <sheetName val="2010电气概算 价目表"/>
      <sheetName val="gsde06"/>
      <sheetName val="调整系数"/>
      <sheetName val="热力"/>
      <sheetName val="G2TempSheet"/>
      <sheetName val="建筑工程统计表06月份 "/>
      <sheetName val="cespiti cet2 piombino (2)"/>
      <sheetName val="CT Thang Mo"/>
      <sheetName val="CT  PL"/>
      <sheetName val="Rekap_Addendum"/>
      <sheetName val="Hrg_Sat"/>
      <sheetName val="Sec_I_ML"/>
      <sheetName val="_PE-F-42_MR_9_Manpower"/>
      <sheetName val="On_Time"/>
      <sheetName val="dongia_(2)3"/>
      <sheetName val="RAB_AR&amp;STR3"/>
      <sheetName val="Div26_-_Elect3"/>
      <sheetName val="6PILE___돌_x005f_x005f_x005f_x001c__1"/>
      <sheetName val="DG_duoi1"/>
      <sheetName val="TEN_CONG_TRINH1"/>
      <sheetName val="Rekap_Addendum1"/>
      <sheetName val="Hrg_Sat1"/>
      <sheetName val="Sec_I_ML1"/>
      <sheetName val="_PE-F-42_MR_9_Manpower1"/>
      <sheetName val="On_Time1"/>
      <sheetName val="BANG_TONG_HOP_(2)1"/>
      <sheetName val="AUTOMATIC_SELECT1"/>
      <sheetName val="Du_lieu_ban_dau1"/>
      <sheetName val="Module2"/>
      <sheetName val="EXC-R"/>
      <sheetName val="Bill rekap"/>
      <sheetName val="Rekapitulasi"/>
      <sheetName val="Perhit.Alat"/>
      <sheetName val="I-KAMAR"/>
      <sheetName val="Harga"/>
      <sheetName val="Koordinat"/>
      <sheetName val="TDC Item Dets"/>
      <sheetName val="TDC Item Sumry"/>
      <sheetName val="TDC Key Qty Sumry"/>
      <sheetName val="List - Components"/>
      <sheetName val="List - Equipment"/>
      <sheetName val="Item Sumry - Std Imp"/>
      <sheetName val="Unit Costs - Std Imp"/>
      <sheetName val="Unit MH - Std Imp"/>
      <sheetName val="Proj TIC - Std Imp"/>
      <sheetName val="원형맨_x0000__x0000__x0005_"/>
      <sheetName val="SYSTEM_945_Air&amp;Nitrogen1"/>
      <sheetName val="PM_Demolition_1"/>
      <sheetName val="AN-MAJOR"/>
      <sheetName val="LOKASI"/>
      <sheetName val="주현(해보)"/>
      <sheetName val="주현(영광)"/>
      <sheetName val="ENE-CAL 1"/>
      <sheetName val="도로단위당"/>
      <sheetName val="도급원가"/>
      <sheetName val="面雅樹"/>
      <sheetName val="노무비단가"/>
      <sheetName val="방배동내역(리라)"/>
      <sheetName val="부대공사총괄"/>
      <sheetName val="현장경비"/>
      <sheetName val="건축공사집계표"/>
      <sheetName val="아파트 "/>
      <sheetName val="주차구획선수량"/>
      <sheetName val="FIXED EQUIPMENT"/>
      <sheetName val="综合概算"/>
      <sheetName val="TEL"/>
      <sheetName val="현장조사"/>
      <sheetName val="맨홀_공사비"/>
      <sheetName val="수목표준대가"/>
      <sheetName val="임목폐기_x0000_挳ƀ"/>
      <sheetName val="마산Z꬀"/>
      <sheetName val="1,2공구원가계산서"/>
      <sheetName val="집 계 표"/>
      <sheetName val="01_견적내역서4"/>
      <sheetName val="S_중기사용료4"/>
      <sheetName val="1_토공4"/>
      <sheetName val="예총"/>
      <sheetName val="Sales"/>
      <sheetName val="6PILE__(돌출)6"/>
      <sheetName val="6PILE___돌출_5"/>
      <sheetName val="토공_갑지6"/>
      <sheetName val="총_괄_표6"/>
      <sheetName val="3BL공동구_수량5"/>
      <sheetName val="Sheet1_(2)5"/>
      <sheetName val="2_단면가정_5"/>
      <sheetName val="본선_토공_분배표5"/>
      <sheetName val="3_하중산정4_지지력5"/>
      <sheetName val="1062-X방향_5"/>
      <sheetName val="하도내역_(철콘)5"/>
      <sheetName val="6PILE_과속방지턱집계표!$K$12_(돌출)5"/>
      <sheetName val="제출내역_(2)5"/>
      <sheetName val="단면_(2)5"/>
      <sheetName val="F301_3035"/>
      <sheetName val="plan&amp;section_of_foundation5"/>
      <sheetName val="design_load5"/>
      <sheetName val="working_load_at_the_btm_ft_5"/>
      <sheetName val="stability_check5"/>
      <sheetName val="design_criteria5"/>
      <sheetName val="선적schedule_(2)5"/>
      <sheetName val="4_2유효폭의_계산5"/>
      <sheetName val="8_PILE__(돌출)5"/>
      <sheetName val="1__설계조건_2_단면가정_3__하중계산5"/>
      <sheetName val="DATA_입력란5"/>
      <sheetName val="간_지14"/>
      <sheetName val="3_공통공사대비5"/>
      <sheetName val="공사비증감(P4)_5"/>
      <sheetName val="TOWER_10TON5"/>
      <sheetName val="TOWER_12TON5"/>
      <sheetName val="CAL(1)_5"/>
      <sheetName val="Bend_fact_5"/>
      <sheetName val="STAFF_ANALYSIS5"/>
      <sheetName val="6PILE+옹벽집계!$G$6+옹벽집계!$H$10__(돌4"/>
      <sheetName val="ASP_일반구간_250A4"/>
      <sheetName val="BOX_본체5"/>
      <sheetName val="을_23"/>
      <sheetName val="을_13"/>
      <sheetName val="2_단면가정3"/>
      <sheetName val="Part_AB4"/>
      <sheetName val="Part_I4"/>
      <sheetName val="Part_M4"/>
      <sheetName val="할증_4"/>
      <sheetName val="돌담교_상부수량4"/>
      <sheetName val="PAD_TR보호대기초5"/>
      <sheetName val="전차선로_물량표5"/>
      <sheetName val="6PILE___돌_1"/>
      <sheetName val="1_수인터널4"/>
      <sheetName val="I_설계조건4"/>
      <sheetName val="01_인원현황_(계획)4"/>
      <sheetName val="1_설계조건5"/>
      <sheetName val="외주현황_wq13"/>
      <sheetName val="Summary_4"/>
      <sheetName val="Thiet_bi4"/>
      <sheetName val="DM_ChiPhi4"/>
      <sheetName val="3련_BOX4"/>
      <sheetName val="MAIN_GATE_HOUSE4"/>
      <sheetName val="2_교량(신설)4"/>
      <sheetName val="전체변경예정공정표_2012_07_303"/>
      <sheetName val="칠산대교_중앙부3"/>
      <sheetName val="칠산대교_시종점부3"/>
      <sheetName val="입출재고현황_(2)3"/>
      <sheetName val="총수량_(기성)3"/>
      <sheetName val="4-1_노무비(직영)3"/>
      <sheetName val="제수변수량H2_153"/>
      <sheetName val="T_T_P_단위수량3"/>
      <sheetName val="BOX(1_5X1_5)3"/>
      <sheetName val="1_설계기준3"/>
      <sheetName val="2_하중산정3"/>
      <sheetName val="96보완계획7_123"/>
      <sheetName val="화재_탐지_설비3"/>
      <sheetName val="2_대외공문3"/>
      <sheetName val="6PILE_(돌출)3"/>
      <sheetName val="전선_및_전선관3"/>
      <sheetName val="P_M_별3"/>
      <sheetName val="REINF_3"/>
      <sheetName val="하천하류_철근수량_집계표3"/>
      <sheetName val="토공_total3"/>
      <sheetName val="입찰내역_발주처_양식3"/>
      <sheetName val="STEEL_BOX_단면설계(SEC_8)3"/>
      <sheetName val="시멘트_및_골재량_(슬래브)3"/>
      <sheetName val="시멘트_및_골재량_(거더)3"/>
      <sheetName val="6PILE___돌_x005f_x001c__3"/>
      <sheetName val="_FURNACE현설3"/>
      <sheetName val="산출내역(5월)_(2)3"/>
      <sheetName val="자재_집계표3"/>
      <sheetName val="Eq__Mobilization3"/>
      <sheetName val="01__지사동3"/>
      <sheetName val="Pier_33"/>
      <sheetName val="트랜치_집수정_연결관-연장산출서3"/>
      <sheetName val="Form_A3"/>
      <sheetName val="Form_C3"/>
      <sheetName val="Form_D3"/>
      <sheetName val="Form_E3"/>
      <sheetName val="Form_F3"/>
      <sheetName val="Form_G3"/>
      <sheetName val="A_LINE3"/>
      <sheetName val="C_배수관공3"/>
      <sheetName val="날개수량1_51"/>
      <sheetName val="Finansal_tamamlanma_Eğrisi4"/>
      <sheetName val="준검_내역서1"/>
      <sheetName val="맨홀이음부_몰탈수량_집계표1"/>
      <sheetName val="7_PILE__(돌출)1"/>
      <sheetName val="U형측구_표준단면도1"/>
      <sheetName val="중기조종사_단위단가1"/>
      <sheetName val="Equip_1"/>
      <sheetName val="아파트_기성내역서1"/>
      <sheetName val="VS_P-Q1"/>
      <sheetName val="현장관리비_산출내역1"/>
      <sheetName val="Cash_Out_Table1"/>
      <sheetName val="Net_Cash_Table1"/>
      <sheetName val="Riesgos_y_Oportunidades1"/>
      <sheetName val="IRR_sponsor1"/>
      <sheetName val="1_설계조건_1"/>
      <sheetName val="2_단면11"/>
      <sheetName val="2_단면21"/>
      <sheetName val="3_토압계산1"/>
      <sheetName val="4_하중계산1"/>
      <sheetName val="5_안정검토1"/>
      <sheetName val="5_안정검토_(2)1"/>
      <sheetName val="6_벽체계산1"/>
      <sheetName val="7_FOOTING_계산(직접기초)1"/>
      <sheetName val="7_PILE_1"/>
      <sheetName val="FOOTING_계산(PILE기초)1"/>
      <sheetName val="(10)_Other_Costs51"/>
      <sheetName val="LAST_UPDATE1"/>
      <sheetName val="Bill_summary_of_cost1"/>
      <sheetName val="INTERIOR_WALLS1"/>
      <sheetName val="Material_Price1"/>
      <sheetName val="2_223M_due_to_adj_profit1"/>
      <sheetName val="Land_Dev't__Ph-11"/>
      <sheetName val="GESTION_FICHE1"/>
      <sheetName val="TRADUCTION_LISTES1"/>
      <sheetName val="worksheet_inchican1"/>
      <sheetName val="combined_9-301"/>
      <sheetName val="분묘_총_현황1"/>
      <sheetName val="미생물배양기_기초1"/>
      <sheetName val="IMPEADENCE_MAP_취수장1"/>
      <sheetName val="견적_(2)"/>
      <sheetName val="수목데이타_"/>
      <sheetName val="EARTH_WORKS"/>
      <sheetName val="B3A_-_TOWER_A"/>
      <sheetName val="Bill_of_Qty_MEP"/>
      <sheetName val="Nhan_cong"/>
      <sheetName val="TLG_Type"/>
      <sheetName val="TOTAL_SUMMARY"/>
      <sheetName val="투자필요검토서(복수업체추천서_포함)1"/>
      <sheetName val="DGchitiet_"/>
      <sheetName val="Tong_du_toan"/>
      <sheetName val="GENERAL_REQUIREMENTS"/>
      <sheetName val="공정계획(내부계획25%,내부w_f)1"/>
      <sheetName val="1호맨홀토공_(4)"/>
      <sheetName val="1호맨홀연결관토공_(2)"/>
      <sheetName val="IncStat_03-04"/>
      <sheetName val="IncStat_03__"/>
      <sheetName val="Авансы_по_СНГ"/>
      <sheetName val="UNIT_3"/>
      <sheetName val="Cashflow_Analysis"/>
      <sheetName val="VC2_8_98"/>
      <sheetName val="Item#9_3"/>
      <sheetName val="Item#1_9"/>
      <sheetName val="Item#6_7"/>
      <sheetName val="Item#2_6"/>
      <sheetName val="Item#4_10"/>
      <sheetName val="Item#5_8"/>
      <sheetName val="Item#7_21"/>
      <sheetName val="Item#3_8"/>
      <sheetName val="Item#8_7"/>
      <sheetName val="part_j"/>
      <sheetName val="Part_B"/>
      <sheetName val="UPA_(C)"/>
      <sheetName val="Regenerator__Concrete_Structure"/>
      <sheetName val="Schedule_S-Curve_Revision#3"/>
      <sheetName val="Master_Data"/>
      <sheetName val="토공_(3)"/>
      <sheetName val="토공_(2)"/>
      <sheetName val="_비점오염저감시설"/>
      <sheetName val="1_사유서"/>
      <sheetName val="역T형(H=6_0)_(2)"/>
      <sheetName val="법면"/>
      <sheetName val="중기일위대가"/>
      <sheetName val="배수공1"/>
      <sheetName val="SAKUB"/>
      <sheetName val="유동(순성_최종"/>
      <sheetName val="4배"/>
      <sheetName val="6배"/>
      <sheetName val="3배"/>
      <sheetName val="5배"/>
      <sheetName val="1배"/>
      <sheetName val="99년하반기"/>
      <sheetName val="토목내역"/>
      <sheetName val="청산공사"/>
      <sheetName val="상선"/>
      <sheetName val="종배수관"/>
      <sheetName val="9. 예정공정표(전체)"/>
      <sheetName val="주공 갑지"/>
      <sheetName val="중동공구"/>
      <sheetName val="슬래브(PF)(하류)"/>
      <sheetName val="lam-moi"/>
      <sheetName val="Bill No.1.7"/>
      <sheetName val="Bill No.1.3"/>
      <sheetName val="Bill No.1.4"/>
      <sheetName val="Savings"/>
      <sheetName val="Summary Bill No. 1"/>
      <sheetName val="DonGia chetao"/>
      <sheetName val="DonGia VatTuLK"/>
      <sheetName val="제1영업소"/>
      <sheetName val="제2영업소"/>
      <sheetName val="제3영업소"/>
      <sheetName val="CTG"/>
      <sheetName val="Bang phan tich Quy che"/>
      <sheetName val="SENSITIVITAS"/>
      <sheetName val="MAT&amp;LABOR"/>
      <sheetName val="Daftar Harga"/>
      <sheetName val="Daftar Upah"/>
      <sheetName val="BIL"/>
      <sheetName val="gVL"/>
      <sheetName val="FA-LISTING"/>
      <sheetName val="GiaVL"/>
      <sheetName val="PNT-QUOT-#3"/>
      <sheetName val="Chenh lech vat tu"/>
      <sheetName val="gia vt,nc,may"/>
      <sheetName val="vlieu"/>
      <sheetName val="유림콘도"/>
      <sheetName val="1ST"/>
      <sheetName val="Dự thầu"/>
      <sheetName val="tu"/>
      <sheetName val="Chiet tinh dz22"/>
      <sheetName val="직공시공계반͇"/>
      <sheetName val="직공시공계_x0000__x0000_"/>
      <sheetName val="산출근거-S_x0000_"/>
      <sheetName val="일위대¹"/>
      <sheetName val="시중노임단가"/>
      <sheetName val="경비"/>
      <sheetName val="단중표"/>
      <sheetName val="토목镃_xdc03_"/>
      <sheetName val="토량1-1"/>
      <sheetName val="Supplement_x0000_"/>
      <sheetName val="Supplementᐨ"/>
      <sheetName val="고자현황"/>
      <sheetName val="단면검_x0000_"/>
      <sheetName val="빌딩 안내"/>
      <sheetName val="관로토공"/>
      <sheetName val="설명표지"/>
      <sheetName val="공사설명"/>
      <sheetName val="변경표지"/>
      <sheetName val="변경사유"/>
      <sheetName val="공정증감조서(총괄)"/>
      <sheetName val="공정증감조서(세부)"/>
      <sheetName val="예산표지"/>
      <sheetName val="정산변경예산내역"/>
      <sheetName val="정산변경내역서(한줄)"/>
      <sheetName val="정산변경내역서(두줄)"/>
      <sheetName val="고용보험표지"/>
      <sheetName val="고용보험료가입증명원"/>
      <sheetName val="안전표지"/>
      <sheetName val="안전세부정산내역"/>
      <sheetName val="안전관리비 사용내역-총괄"/>
      <sheetName val="안전관리비 사용내역-세부"/>
      <sheetName val="공사기간표지"/>
      <sheetName val="공사기간"/>
      <sheetName val="소요노력산출근거"/>
      <sheetName val="자재표지"/>
      <sheetName val="사급자재조서"/>
      <sheetName val="신규대가표지"/>
      <sheetName val="신규대가"/>
      <sheetName val="준공도"/>
      <sheetName val="규준틀"/>
      <sheetName val="역T형옹벽(3.0)"/>
      <sheetName val="흙쌓기도수로설치현황"/>
      <sheetName val="이형관격점별수량_x0000__x0000__x0005__x0000_陀"/>
      <sheetName val="이형관격점별수량_x0000__x0000__x0005__x0000_妠"/>
      <sheetName val="기성청구서(1회)"/>
      <sheetName val="NNgung"/>
      <sheetName val="dnc4"/>
      <sheetName val="gia vt"/>
      <sheetName val="TABLE-A"/>
      <sheetName val="BXLDL"/>
      <sheetName val="Annex B"/>
      <sheetName val="충돌 내용"/>
      <sheetName val="수량산출서 갑지"/>
      <sheetName val="적용단가"/>
      <sheetName val="C-制_x005f_x0010__x005f_x0000_"/>
      <sheetName val="한강운반비"/>
      <sheetName val="설비원가"/>
      <sheetName val="도수로수량산출"/>
      <sheetName val="钢筋混凝土井井盖板材料表"/>
      <sheetName val="마산방향철근집계"/>
      <sheetName val="은행"/>
      <sheetName val="TTTram"/>
      <sheetName val="노임,재료비"/>
      <sheetName val="구리토평1전기"/>
      <sheetName val="CAL1"/>
      <sheetName val="Fig 4-14"/>
      <sheetName val="L밽¶"/>
      <sheetName val="개발행위"/>
      <sheetName val="내역(정지)"/>
      <sheetName val="맨홀조서"/>
      <sheetName val="원형측구(B-type)"/>
      <sheetName val="트랜치 집수정 연결쌌ꔅ/_x0000_ࠀ,_x0000_"/>
      <sheetName val="트랜치 집수정 연결쌌ꔅ/_x0000_　©_x0000_"/>
      <sheetName val="설계예산2"/>
      <sheetName val="문학간접"/>
      <sheetName val="간접"/>
      <sheetName val="환경기계공정표_(3)"/>
      <sheetName val="Balance"/>
      <sheetName val="Medagama"/>
      <sheetName val="Sandunpura"/>
      <sheetName val="Veheragala"/>
      <sheetName val="Collection"/>
      <sheetName val="Rainfall Data"/>
      <sheetName val="Mahawanawela"/>
      <sheetName val="Nuwaragala"/>
      <sheetName val="Siripura"/>
      <sheetName val="Background"/>
      <sheetName val="_x0018__℀"/>
      <sheetName val="_℀"/>
      <sheetName val="원형맨"/>
      <sheetName val="Du toan"/>
      <sheetName val="Keothep"/>
      <sheetName val="Re-bar"/>
      <sheetName val="토적劰Ï勼"/>
      <sheetName val="공구원가계산"/>
      <sheetName val="SANBAISU"/>
      <sheetName val="증감내역서"/>
      <sheetName val="비옥토수⁂"/>
      <sheetName val="1_x0000__x0000_Ԁ"/>
      <sheetName val="1안"/>
      <sheetName val="bearing"/>
      <sheetName val="이기ᣉᾼ栃컒"/>
      <sheetName val="Mc1"/>
      <sheetName val="LIBRARY"/>
      <sheetName val="DPA"/>
      <sheetName val="Source"/>
      <sheetName val="ERECIN"/>
      <sheetName val="부표총ం"/>
      <sheetName val="설계예산서"/>
      <sheetName val="jobhist"/>
      <sheetName val="合成単価作成表-BLDG"/>
      <sheetName val="Sch.6"/>
      <sheetName val="Sch.1"/>
      <sheetName val="소화실적"/>
      <sheetName val="특수선일위대가"/>
      <sheetName val="sumoflaborates"/>
      <sheetName val="TIE-INS"/>
      <sheetName val="Rate Analysis"/>
      <sheetName val="이형관격점별수량_x0000_销_x0000__x0000_"/>
      <sheetName val="3.바닥판설계"/>
      <sheetName val="DP 40"/>
      <sheetName val="PERFORMANCE"/>
      <sheetName val="이형관격점별수¬_x0000__x0000__x0000__x0000__x0000_"/>
      <sheetName val="24V"/>
      <sheetName val="2000년 공정표"/>
      <sheetName val="Pag_hal"/>
      <sheetName val="DAF-2"/>
      <sheetName val="단위수량집계"/>
      <sheetName val="경고테이프&amp;안전시설공집계"/>
      <sheetName val="차선도색집계"/>
      <sheetName val="물푸기수집"/>
      <sheetName val="6PILE_______G_6_______H_10____4"/>
      <sheetName val="잡철물"/>
      <sheetName val="sum1 (2)"/>
      <sheetName val="기성갑지"/>
      <sheetName val="중기䒬ȯૐ"/>
      <sheetName val="업체별기성내역"/>
      <sheetName val="종곡선INPUT0830"/>
      <sheetName val="조도"/>
      <sheetName val="세부내역"/>
      <sheetName val="단위일위"/>
      <sheetName val="4-7.중앙전기실(노임단가)"/>
      <sheetName val="b_balju_cho"/>
      <sheetName val="ILLU"/>
      <sheetName val="G.R300경비"/>
      <sheetName val="점수계산1-2"/>
      <sheetName val="증감대비"/>
      <sheetName val="7단가"/>
      <sheetName val="식재가격"/>
      <sheetName val="식재총괄"/>
      <sheetName val="단락전류-A"/>
      <sheetName val="???"/>
      <sheetName val="EQ-R1"/>
      <sheetName val="NEGO"/>
      <sheetName val="A갑지"/>
      <sheetName val="COST"/>
      <sheetName val="종배수관면벽신"/>
      <sheetName val="적용단위길이"/>
      <sheetName val="CATCH BASIN"/>
      <sheetName val="EACT10"/>
      <sheetName val="냉천부속동"/>
      <sheetName val="BQ(실행)"/>
      <sheetName val="담장산출"/>
      <sheetName val="File_관급"/>
      <sheetName val="공정집계"/>
      <sheetName val="인건비 "/>
      <sheetName val="단가 및 재료비"/>
      <sheetName val="단가산출1"/>
      <sheetName val="노임9월"/>
      <sheetName val="무산소조"/>
      <sheetName val="11.1 단면hwp"/>
      <sheetName val="전산망"/>
      <sheetName val="µ¥ÀÌÅ¸"/>
      <sheetName val="Á¶µµ"/>
      <sheetName val="³ëÀÓ"/>
      <sheetName val="G.R300°æºñ"/>
      <sheetName val="ºñÅ»¸éº¸È£°ø¼ö·®»êÃâ"/>
      <sheetName val="³ëÀÓ´Ü°¡"/>
      <sheetName val="ÀÏÀ§¸ñ·Ï"/>
      <sheetName val="¿äÀ²"/>
      <sheetName val="ÀÏÀ§´ë°¡"/>
      <sheetName val="ÅÍ³ÎÁ¶µµ"/>
      <sheetName val="ÄÚµåÇ¥"/>
      <sheetName val="´Ü°¡Á¶»ç"/>
      <sheetName val="포장복구집계"/>
      <sheetName val="일반자재"/>
      <sheetName val="CABdata"/>
      <sheetName val="공주-교대(A1)"/>
      <sheetName val="기성내역서표지"/>
      <sheetName val="Customer Databas"/>
      <sheetName val="01상노임"/>
      <sheetName val="공종구간"/>
      <sheetName val="6호기"/>
      <sheetName val="경비_원본"/>
      <sheetName val="수량-가로등"/>
      <sheetName val="일위집계(기존)"/>
      <sheetName val="calculation"/>
      <sheetName val="1차 내역서"/>
      <sheetName val="공통가설"/>
      <sheetName val="AS복구"/>
      <sheetName val="중기터파기"/>
      <sheetName val="변수값"/>
      <sheetName val="중기상차"/>
      <sheetName val="산업"/>
      <sheetName val="전기산출"/>
      <sheetName val="시중노임(공사)"/>
      <sheetName val="단 box"/>
      <sheetName val="비교1"/>
      <sheetName val="산수배수"/>
      <sheetName val="NEYOK"/>
      <sheetName val="단가 "/>
      <sheetName val="일위총괄표"/>
      <sheetName val="교통대책내역"/>
      <sheetName val="TRE TABLE"/>
      <sheetName val="ASEM내역"/>
      <sheetName val="2경간"/>
      <sheetName val="첨부1"/>
      <sheetName val="1-1"/>
      <sheetName val="내역서(기계)"/>
      <sheetName val="2.냉난방설비공사"/>
      <sheetName val="7.자동제어공사"/>
      <sheetName val="°æ»ê"/>
      <sheetName val="DATA 입력부"/>
      <sheetName val="내역서(총)"/>
      <sheetName val="조도계산"/>
      <sheetName val="제잡비 산출내역(실적공사비)"/>
      <sheetName val="남양주부대"/>
      <sheetName val="제잡비1"/>
      <sheetName val="변압기 및 발전기 용량"/>
      <sheetName val="LIST"/>
      <sheetName val="내역서(갑)"/>
      <sheetName val="금액집계"/>
      <sheetName val="자동차폐수처리장"/>
      <sheetName val="노원열병합  건축공사기성내역서"/>
      <sheetName val="Front"/>
      <sheetName val="소총괄표1"/>
      <sheetName val="b_balju"/>
      <sheetName val="주공기준"/>
      <sheetName val="중간부"/>
      <sheetName val="공통가설비"/>
      <sheetName val="노단"/>
      <sheetName val="수량인공"/>
      <sheetName val="사용성검토"/>
      <sheetName val="예산명세서"/>
      <sheetName val="설계명세서"/>
      <sheetName val="자료입력"/>
      <sheetName val="유류사용"/>
      <sheetName val="예산변경사항"/>
      <sheetName val="자재단가-1"/>
      <sheetName val="단가대비"/>
      <sheetName val="사급자재"/>
      <sheetName val="9811"/>
      <sheetName val="2.가정단면"/>
      <sheetName val="관급"/>
      <sheetName val="WEIGHT LIST"/>
      <sheetName val="POL6차-PIPING"/>
      <sheetName val="산#2-1 (2)"/>
      <sheetName val="산#3-1"/>
      <sheetName val="CIVIL"/>
      <sheetName val="제품"/>
      <sheetName val="가격조사"/>
      <sheetName val="물가"/>
      <sheetName val="일위대가 (100%)"/>
      <sheetName val="일위목차"/>
      <sheetName val="일위집계"/>
      <sheetName val="2. 공원조도(전통공원)"/>
      <sheetName val="전체현황"/>
      <sheetName val="1"/>
      <sheetName val="102역사"/>
      <sheetName val="2001년 건설노임"/>
      <sheetName val="배선DATA"/>
      <sheetName val="전동기DATA"/>
      <sheetName val="건축(충일분)"/>
      <sheetName val="플랜트 설치"/>
      <sheetName val="건축내역(도급)"/>
      <sheetName val="우수토적(진입도로)"/>
      <sheetName val="관로내역원"/>
      <sheetName val="조명일위"/>
      <sheetName val="단가코드"/>
      <sheetName val="Imp-Data"/>
      <sheetName val="건축집계표"/>
      <sheetName val="전장품(관리용)"/>
      <sheetName val="노무비 "/>
      <sheetName val="부하계산"/>
      <sheetName val="실적원가"/>
      <sheetName val="NEWDRAW"/>
      <sheetName val="단가비교표"/>
      <sheetName val="말고개터널조명전압강하"/>
      <sheetName val="설계산출기초"/>
      <sheetName val="도급예산내역서총괄표"/>
      <sheetName val="을부담운반비"/>
      <sheetName val="운반비산출"/>
      <sheetName val="직공비"/>
      <sheetName val="인공산출"/>
      <sheetName val="DATA(광속)"/>
      <sheetName val="각종장비전압강하계산"/>
      <sheetName val="출력-내역서"/>
      <sheetName val="발신정보"/>
      <sheetName val="노임단가표"/>
      <sheetName val="단가조사서"/>
      <sheetName val="개소별수량산출"/>
      <sheetName val="공내역"/>
      <sheetName val="재집"/>
      <sheetName val="품셈표"/>
      <sheetName val="도급정산"/>
      <sheetName val="감액총괄표"/>
      <sheetName val="대운반(신설-관급)"/>
      <sheetName val="고창터널(고창방향)"/>
      <sheetName val="기본일위"/>
      <sheetName val="일위대가(건축)"/>
      <sheetName val="7´Ü°¡"/>
      <sheetName val="¼ö¸ñÇ¥ÁØ´ë°¡"/>
      <sheetName val="IìéÚõÝï"/>
      <sheetName val="NìüëÒ-òÅ"/>
      <sheetName val="°ÇÃà³»¿ª"/>
      <sheetName val="Áõ°¨´ëºñ"/>
      <sheetName val="³»¿ª¼­"/>
      <sheetName val="A°©Áö"/>
      <sheetName val="4-7.Áß¾ÓÀü±â½Ç(³ëÀÓ´Ü°¡)"/>
      <sheetName val="°ÇÃà"/>
      <sheetName val="½ÄÀç°¡°Ý"/>
      <sheetName val="½ÄÀçÃÑ°ý"/>
      <sheetName val="Àü±â"/>
      <sheetName val="´ãÀå»êÃâ"/>
      <sheetName val="Åä»ç(PE)"/>
      <sheetName val="11.1 ´Ü¸éhwp"/>
      <sheetName val="6È£±â"/>
      <sheetName val="ÀÎ°Çºñ "/>
      <sheetName val="´ëºñ"/>
      <sheetName val="BQ(½ÇÇà)"/>
      <sheetName val="Á¡¼ö°è»ê1-2"/>
      <sheetName val="³ë¹«ºñ"/>
      <sheetName val="±â°è°æºñ(½Ã°£´ç)"/>
      <sheetName val="·¥¸Ó"/>
      <sheetName val="Àü±âÀÏÀ§´ë°¡"/>
      <sheetName val="File_°ü±Þ"/>
      <sheetName val="°øÁ¤Áý°è"/>
      <sheetName val="ÀÔÂû¾È"/>
      <sheetName val="³»¿ª"/>
      <sheetName val="Æ÷Àåº¹±¸Áý°è"/>
      <sheetName val="1Â÷ ³»¿ª¼­"/>
      <sheetName val="°øÅë°¡¼³"/>
      <sheetName val="01»ó³ëÀÓ"/>
      <sheetName val="½ÃÁß³ëÀÓ(°ø»ç)"/>
      <sheetName val="³ëÀÓ9¿ù"/>
      <sheetName val="¹«»ê¼ÒÁ¶"/>
      <sheetName val="¼³°èÁ¶°Ç"/>
      <sheetName val="¾ÈÁ¤°è»ê"/>
      <sheetName val="´Ü¸é°ËÅä"/>
      <sheetName val="ÅÍÆÄ±â¹×Àç·á"/>
      <sheetName val="Àü»ê¸Á"/>
      <sheetName val="µ¥¸®³×ÀÌÅ¸ÇöÈ²"/>
      <sheetName val="Á÷³ë"/>
      <sheetName val="Á¾¹è¼ö°ü¸éº®½Å"/>
      <sheetName val="Àû¿ë´ÜÀ§±æÀÌ"/>
      <sheetName val="2000³â1Â÷"/>
      <sheetName val="6°ø±¸(´çÃÊ)"/>
      <sheetName val="°³¿ä"/>
      <sheetName val="ÀÚ·á"/>
      <sheetName val="´Ü¶ôÀü·ù-A"/>
      <sheetName val="±â°è°æºñ"/>
      <sheetName val="ÀÏ¹ÝÀÚÀç"/>
      <sheetName val="¹è¼ö°ø"/>
      <sheetName val="ÁøÁÖ¹æÇâ"/>
      <sheetName val="¼ö¾Èº¸-MBR1"/>
      <sheetName val="°øÁÖ-±³´ë(A1)"/>
      <sheetName val="³ÃÃµºÎ¼Óµ¿"/>
      <sheetName val="´Ü°¡"/>
      <sheetName val="ÀÎ°Çºñ"/>
      <sheetName val="¿¹»ê¸í¼¼¼­"/>
      <sheetName val="¼³°è¸í¼¼¼­"/>
      <sheetName val="ÀÚ·áÀÔ·Â"/>
      <sheetName val="À»"/>
      <sheetName val="´Ü°¡ºñ±³"/>
      <sheetName val="°æºñ_¿øº»"/>
      <sheetName val="¼ö·®-°¡·Îµî"/>
      <sheetName val="´ÜÀ§ÀÏÀ§"/>
      <sheetName val="¿ø°¡°è»ê¼­"/>
      <sheetName val="¼³ºñ"/>
      <sheetName val="°ÇÃàÁý°èÇ¥"/>
      <sheetName val="»ê¾÷"/>
      <sheetName val="ÀÚÀç´Ü°¡"/>
      <sheetName val="¼ÒºñÀÚ°¡"/>
      <sheetName val="´Ü°¡ "/>
      <sheetName val="ÀÏÀ§ÃÑ°ýÇ¥"/>
      <sheetName val="1´Ü°è"/>
      <sheetName val="¼ö·®»êÃâ¼­"/>
      <sheetName val="³ë¹«"/>
      <sheetName val="Åä¸ñ"/>
      <sheetName val="4동급수"/>
      <sheetName val="경  비 "/>
      <sheetName val="투찰(하수)"/>
      <sheetName val="2004,상노임"/>
      <sheetName val="(A)내역서"/>
      <sheetName val="토 적 표"/>
      <sheetName val="공내역서"/>
      <sheetName val="목록1"/>
      <sheetName val="목록2"/>
      <sheetName val="옹벽기초자료"/>
      <sheetName val="현황산출서"/>
      <sheetName val="공사원가계산서"/>
      <sheetName val="일위대가표(무)"/>
      <sheetName val="일위대가산출기초"/>
      <sheetName val="과천MAIN"/>
      <sheetName val="차수"/>
      <sheetName val="신규 수주분(사용자 정의)"/>
      <sheetName val="비용"/>
      <sheetName val="방송일위대가"/>
      <sheetName val="실행내역"/>
      <sheetName val="2009노임(공사)"/>
      <sheetName val="자단"/>
      <sheetName val="을지"/>
      <sheetName val="노임단"/>
      <sheetName val="운반공"/>
      <sheetName val="자재단"/>
      <sheetName val="장비단"/>
      <sheetName val="dt0301"/>
      <sheetName val="dtt0301"/>
      <sheetName val="공종목록표"/>
      <sheetName val="아스.노면절삭"/>
      <sheetName val="쌍송교"/>
      <sheetName val="내역서2안"/>
      <sheetName val="내역분기"/>
      <sheetName val="내부부하"/>
      <sheetName val="Macro(전선)"/>
      <sheetName val="내역(2000년)"/>
      <sheetName val="2_냉난방설비공사"/>
      <sheetName val="토공1"/>
      <sheetName val="TB-내역서"/>
      <sheetName val="비목군단가비교표"/>
      <sheetName val="G_R300경비"/>
      <sheetName val="단가_"/>
      <sheetName val="4-7_중앙전기실(노임단가)"/>
      <sheetName val="성곽내역서"/>
      <sheetName val="기자재대비표"/>
      <sheetName val="토공유동표"/>
      <sheetName val="관접합및부설"/>
      <sheetName val="첨부파일"/>
      <sheetName val="Sheet5"/>
      <sheetName val="설변물량"/>
      <sheetName val="960318-1"/>
      <sheetName val="AC포장수량"/>
      <sheetName val="난간벽단위"/>
      <sheetName val="교각별수량"/>
      <sheetName val="남대문빌딩"/>
      <sheetName val="월별손익"/>
      <sheetName val="Macro1"/>
      <sheetName val="Macro3"/>
      <sheetName val="Macro2"/>
      <sheetName val="AV시스템"/>
      <sheetName val="6. 직접경비"/>
      <sheetName val="2010노임(공사)"/>
      <sheetName val="DATA1"/>
      <sheetName val="토공수량산출"/>
      <sheetName val="토적계산서"/>
      <sheetName val="관리비"/>
      <sheetName val="일위노임단가"/>
      <sheetName val="공조기"/>
      <sheetName val="문산방향-교대(A2)"/>
      <sheetName val="비용display"/>
      <sheetName val="2000,9월 일위"/>
      <sheetName val="부대대비"/>
      <sheetName val="냉연집계"/>
      <sheetName val="관기성공.내"/>
      <sheetName val="실행내역서 "/>
      <sheetName val="차도조도계산"/>
      <sheetName val="sheets"/>
      <sheetName val="Manual Valve List"/>
      <sheetName val="말뚝기초"/>
      <sheetName val="진접"/>
      <sheetName val="TOTAL3"/>
      <sheetName val="본사업"/>
      <sheetName val="01_ 원가계산서"/>
      <sheetName val="기계경비산출기준"/>
      <sheetName val="견적업체"/>
      <sheetName val="교대시점"/>
      <sheetName val="협조전"/>
      <sheetName val="원가계산서 "/>
      <sheetName val="견"/>
      <sheetName val="8.2TON"/>
      <sheetName val="10.공통-노임단가"/>
      <sheetName val="송라터널총괄"/>
      <sheetName val="계약내력"/>
      <sheetName val="효성CB 1P기초"/>
      <sheetName val="총괄집계표"/>
      <sheetName val="기초자료입력"/>
      <sheetName val="집계장(대목_실행)"/>
      <sheetName val="다심-cable"/>
      <sheetName val="1C-cable"/>
      <sheetName val="가시설단위수량"/>
      <sheetName val="ZONE.1"/>
      <sheetName val="기둥"/>
      <sheetName val="저판(버림100)"/>
      <sheetName val="돈암사업"/>
      <sheetName val="노임목록"/>
      <sheetName val="자재목록"/>
      <sheetName val="백암비스타내역"/>
      <sheetName val="b_yesan"/>
      <sheetName val="5지구단위"/>
      <sheetName val="__MAIN"/>
      <sheetName val="건축2"/>
      <sheetName val="11.자재단가"/>
      <sheetName val="실행내역 "/>
      <sheetName val="철콘공사"/>
      <sheetName val="횡배수관재료-"/>
      <sheetName val="계산서(직선부)"/>
      <sheetName val="포장재료집계표"/>
      <sheetName val="콘크리트측구연장"/>
      <sheetName val="-몰탈콘크리트"/>
      <sheetName val="-배수구조물공토공"/>
      <sheetName val="견적990322"/>
      <sheetName val="BSD (2)"/>
      <sheetName val="eq_data"/>
      <sheetName val="정산노무"/>
      <sheetName val="정산재료"/>
      <sheetName val="IN"/>
      <sheetName val="22-2M단"/>
      <sheetName val="22-1소단"/>
      <sheetName val="Macro(차단기)"/>
      <sheetName val="적용률"/>
      <sheetName val="WO"/>
      <sheetName val="02하반기노임"/>
      <sheetName val="일위_파일"/>
      <sheetName val="통합"/>
      <sheetName val="공조기휀"/>
      <sheetName val="AHU집계"/>
      <sheetName val="工완성공사율"/>
      <sheetName val="예산M12A"/>
      <sheetName val="동해title"/>
      <sheetName val="공정코드"/>
      <sheetName val="단가표 (2)"/>
      <sheetName val="전등"/>
      <sheetName val="인건비_"/>
      <sheetName val="11_1_단면hwp"/>
      <sheetName val="G_R300°æºñ"/>
      <sheetName val="Customer_Databas"/>
      <sheetName val="신우"/>
      <sheetName val="견적집계표"/>
      <sheetName val="ITEM"/>
      <sheetName val="토공(완충)"/>
      <sheetName val="___"/>
      <sheetName val="남양시작동자105노65기1.3화1.2"/>
      <sheetName val="단가표"/>
      <sheetName val="2"/>
      <sheetName val="예산M2"/>
      <sheetName val="배관"/>
      <sheetName val="간선"/>
      <sheetName val="발전기"/>
      <sheetName val="납부서"/>
      <sheetName val="금광1터널"/>
      <sheetName val="콘크리트타설입력"/>
      <sheetName val="레미콘입고현황"/>
      <sheetName val="_x0000_pY&lt;u_x0000__x0000__x0000__x0000__x0000__x0000__x0000__x0000_ô+_x001f__x0000_I}0_x0012__x0004__x0000__x0000__x0001_"/>
      <sheetName val="자재단가비교표"/>
      <sheetName val="일위산출"/>
      <sheetName val="지주토목내역서"/>
      <sheetName val="E01-02(EV-1-LBS)"/>
      <sheetName val="KMT물량"/>
      <sheetName val="건축원가계산서"/>
      <sheetName val="36단가"/>
      <sheetName val="36수량"/>
      <sheetName val="기계내역"/>
      <sheetName val="11"/>
      <sheetName val="산출"/>
      <sheetName val="국별인원"/>
      <sheetName val="sw1"/>
      <sheetName val="NOMUBI"/>
      <sheetName val="파일의이용"/>
      <sheetName val="pile bearing capa &amp; arrenge"/>
      <sheetName val="SUMMARYMCA"/>
      <sheetName val="제수"/>
      <sheetName val="공기"/>
      <sheetName val="견적대비"/>
      <sheetName val="LOPCALC"/>
      <sheetName val="측량노임단가"/>
      <sheetName val="제경비적용기준"/>
      <sheetName val="단"/>
      <sheetName val="연부97-1"/>
      <sheetName val="1.동력공사"/>
      <sheetName val="총2000실2000연"/>
      <sheetName val="순공사비"/>
      <sheetName val="배수장공사비명세서"/>
      <sheetName val="첨부1-1"/>
      <sheetName val="견적조건"/>
      <sheetName val="공사요율"/>
      <sheetName val="RAHMEN"/>
      <sheetName val="장비비"/>
      <sheetName val="남양구조시험동"/>
      <sheetName val="Noname 1"/>
      <sheetName val="예산내역서"/>
      <sheetName val="노임데이터"/>
      <sheetName val="방음벽 기초 일반수량"/>
      <sheetName val="95WBS"/>
      <sheetName val="부하"/>
      <sheetName val="기둥(하중)"/>
      <sheetName val="노임표"/>
      <sheetName val="CAT_5"/>
      <sheetName val="토공(우물통,기타) "/>
      <sheetName val="SP"/>
      <sheetName val="단가조건(02년)"/>
      <sheetName val="TRE_TABLE"/>
      <sheetName val="7_자동제어공사"/>
      <sheetName val="DATA_입력부"/>
      <sheetName val="제잡비_산출내역(실적공사비)"/>
      <sheetName val="단가_및_재료비"/>
      <sheetName val="변압기_및_발전기_용량"/>
      <sheetName val="토_적_표"/>
      <sheetName val="노원열병합__건축공사기성내역서"/>
      <sheetName val="변경현황"/>
      <sheetName val="품셈집계표"/>
      <sheetName val="공사설명서"/>
      <sheetName val="공사계획서"/>
      <sheetName val="공량예산"/>
      <sheetName val="역T형옹벽단위수량"/>
      <sheetName val="부하LOAD"/>
      <sheetName val="참고 1"/>
      <sheetName val="00000"/>
      <sheetName val="CON'C"/>
      <sheetName val="중갑지"/>
      <sheetName val="Tables"/>
      <sheetName val="재료"/>
      <sheetName val="hvac(제어동)"/>
      <sheetName val="1호인버트수량"/>
      <sheetName val="9902"/>
      <sheetName val="기준액"/>
      <sheetName val="삼성전기"/>
      <sheetName val="내역1"/>
      <sheetName val="간접비내역-1"/>
      <sheetName val="내2"/>
      <sheetName val="도급전체"/>
      <sheetName val="대치판정"/>
      <sheetName val="공종"/>
      <sheetName val="VXXXXXXX"/>
      <sheetName val="건축원가"/>
      <sheetName val="YOEMAGUM"/>
      <sheetName val="G_R300경비1"/>
      <sheetName val="4-7_중앙전기실(노임단가)1"/>
      <sheetName val="토공2"/>
      <sheetName val="구조물토공1"/>
      <sheetName val="토공3"/>
      <sheetName val="시추주상도"/>
      <sheetName val="토목공종세부집계"/>
      <sheetName val="ET2TOT"/>
      <sheetName val="견적대비 견적서"/>
      <sheetName val="단가_및__x0000__x0000_Ԁ"/>
      <sheetName val="FOB발"/>
      <sheetName val="기계경비_시간당_"/>
      <sheetName val="주방동력"/>
      <sheetName val="재료단가"/>
      <sheetName val="총괄갑 "/>
      <sheetName val="철콘-부대"/>
      <sheetName val="전기집계표"/>
      <sheetName val="산출서"/>
      <sheetName val="2008년상반기"/>
      <sheetName val="1.우편집중내역서"/>
      <sheetName val="노무단가"/>
      <sheetName val="sub"/>
      <sheetName val="산출2-기기동력"/>
      <sheetName val="양산물금"/>
      <sheetName val="Main"/>
      <sheetName val="gr_val"/>
      <sheetName val="gr_sum"/>
      <sheetName val="ITB COST"/>
      <sheetName val="원가계산서(공사)"/>
      <sheetName val="준공사진"/>
      <sheetName val="견적내역"/>
      <sheetName val="산출내역서집계표"/>
      <sheetName val="표준차도부연장집계-ASP"/>
      <sheetName val="보도포장연장조서-표준차도부"/>
      <sheetName val="표준차도부연장조서-ASP"/>
      <sheetName val="회로내역(승인)"/>
      <sheetName val="기술자료 (광화문)"/>
      <sheetName val="FD"/>
      <sheetName val="LD"/>
      <sheetName val="품셈(기초)"/>
      <sheetName val="물가대비표"/>
      <sheetName val="표지 (2)"/>
      <sheetName val="소일위대가코드표"/>
      <sheetName val="신리"/>
      <sheetName val="전직종(노임단가)"/>
      <sheetName val="수도일위대가"/>
      <sheetName val="36신설수량"/>
      <sheetName val="말뚝물량"/>
      <sheetName val="수원역(전체분)설계서"/>
      <sheetName val="11.우각부 보강"/>
      <sheetName val="예산M5A"/>
      <sheetName val="기별명세"/>
      <sheetName val="인건-측정"/>
      <sheetName val="옹벽1"/>
      <sheetName val="입력"/>
      <sheetName val="총요약서"/>
      <sheetName val="22수량"/>
      <sheetName val="48신설수량"/>
      <sheetName val="CRUDE RE-bar"/>
      <sheetName val="총투입계"/>
      <sheetName val="원가기준정보"/>
      <sheetName val="원가배부작업시간"/>
      <sheetName val="C3"/>
      <sheetName val="슬래브(유곡)"/>
      <sheetName val="시설C"/>
      <sheetName val="가감수량"/>
      <sheetName val="재무가정"/>
      <sheetName val="입력DATA"/>
      <sheetName val="SORCE1"/>
      <sheetName val="예산작성기준(전기)"/>
      <sheetName val="BUS제원1"/>
      <sheetName val="MOTOR3"/>
      <sheetName val="7.단가조사서"/>
      <sheetName val="5.일위대가목록"/>
      <sheetName val="장비분석"/>
      <sheetName val="기존단가 (2)"/>
      <sheetName val="전체"/>
      <sheetName val="Summary Sheets"/>
      <sheetName val="단면설계"/>
      <sheetName val="총공사내역서"/>
      <sheetName val="대전21토목내역서"/>
      <sheetName val="YM-IL1"/>
      <sheetName val="건축공사 집계표"/>
      <sheetName val="골조"/>
      <sheetName val="예산M11A"/>
      <sheetName val="Cost Inputs"/>
      <sheetName val="5차설계"/>
      <sheetName val="7.단가비교표"/>
      <sheetName val="품셈1-17"/>
      <sheetName val="G_R300경비2"/>
      <sheetName val="4-7_중앙전기실(노임단가)2"/>
      <sheetName val="인건비_1"/>
      <sheetName val="11_1_단면hwp1"/>
      <sheetName val="Customer_Databas1"/>
      <sheetName val="노원열병합__건축공사기성내역서1"/>
      <sheetName val="G_R300°æºñ1"/>
      <sheetName val="단가_1"/>
      <sheetName val="DATA_입력부1"/>
      <sheetName val="1차_내역서"/>
      <sheetName val="TRE_TABLE1"/>
      <sheetName val="2_냉난방설비공사1"/>
      <sheetName val="7_자동제어공사1"/>
      <sheetName val="신규_수주분(사용자_정의)"/>
      <sheetName val="단가_및_재료비1"/>
      <sheetName val="제잡비_산출내역(실적공사비)1"/>
      <sheetName val="4-7_Áß¾ÓÀü±â½Ç(³ëÀÓ´Ü°¡)"/>
      <sheetName val="11_1_´Ü¸éhwp"/>
      <sheetName val="ÀÎ°Çºñ_"/>
      <sheetName val="1Â÷_³»¿ª¼­"/>
      <sheetName val="´Ü°¡_"/>
      <sheetName val="단_box"/>
      <sheetName val="변압기_및_발전기_용량1"/>
      <sheetName val="CATCH_BASIN"/>
      <sheetName val="2_가정단면"/>
      <sheetName val="플랜트_설치"/>
      <sheetName val="토_적_표1"/>
      <sheetName val="관기성공_내"/>
      <sheetName val="2000,9월_일위"/>
      <sheetName val="실행내역서_"/>
      <sheetName val="BSD_(2)"/>
      <sheetName val="일위대가_(100%)"/>
      <sheetName val="WEIGHT_LIST"/>
      <sheetName val="산#2-1_(2)"/>
      <sheetName val="8_2TON"/>
      <sheetName val="경__비_"/>
      <sheetName val="실행내역_"/>
      <sheetName val="2001년_건설노임"/>
      <sheetName val="효성CB_1P기초"/>
      <sheetName val="토공(우물통,기타)_"/>
      <sheetName val="노무비_"/>
      <sheetName val="2__공원조도(전통공원)"/>
      <sheetName val="아스_노면절삭"/>
      <sheetName val="10_공통-노임단가"/>
      <sheetName val="원가계산서_"/>
      <sheetName val="6__직접경비"/>
      <sheetName val="Manual_Valve_List"/>
      <sheetName val="Noname_1"/>
      <sheetName val="참고_1"/>
      <sheetName val="ZONE_1"/>
      <sheetName val="기존단가_(2)"/>
      <sheetName val="11_자재단가"/>
      <sheetName val="빌딩_안내"/>
      <sheetName val="남양시작동자105노65기1_3화1_2"/>
      <sheetName val="감가상각"/>
      <sheetName val="매매"/>
      <sheetName val="기타경비"/>
      <sheetName val="복구경비"/>
      <sheetName val="자 110% &amp; 노 70%"/>
      <sheetName val="T6-6(2)"/>
      <sheetName val="기자재단가조사서"/>
      <sheetName val="ECOD10"/>
      <sheetName val="소운반"/>
      <sheetName val="외주가공"/>
      <sheetName val="정렬"/>
      <sheetName val="공사비명세서"/>
      <sheetName val="단 부"/>
      <sheetName val="VXXXXX"/>
      <sheetName val="기준단가"/>
      <sheetName val="산출단가"/>
      <sheetName val="노임단가(2006하)"/>
      <sheetName val="네고율"/>
      <sheetName val=" 냉각수펌프"/>
      <sheetName val="7.노임단가"/>
      <sheetName val="UNIT"/>
      <sheetName val="90.03실행 "/>
      <sheetName val="보도공제면적"/>
      <sheetName val="crude.SLAB RE-bar"/>
      <sheetName val="전기설계변경"/>
      <sheetName val="SHEET PILE단가"/>
      <sheetName val="패널"/>
      <sheetName val="가정조건"/>
      <sheetName val="내역서을지"/>
      <sheetName val="성남여성복지내역"/>
      <sheetName val="기계경비산출기_x0000_"/>
      <sheetName val="부대tu"/>
      <sheetName val="구역화물"/>
      <sheetName val="-배수구조_x0005__x0000__x0000_"/>
      <sheetName val="21301동"/>
      <sheetName val="기술자료 (연수)"/>
      <sheetName val="S0"/>
      <sheetName val="원가계산서(남측)"/>
      <sheetName val="동원인원"/>
      <sheetName val="물량산출근거"/>
      <sheetName val="FANDBS"/>
      <sheetName val="GRDATA"/>
      <sheetName val="SHAFTDBSE"/>
      <sheetName val="공무2과"/>
      <sheetName val="나뚜루"/>
      <sheetName val="9,10월신제품 (2)"/>
      <sheetName val="견적서-골조공사"/>
      <sheetName val="설계내역2"/>
      <sheetName val="내역(입찰)"/>
      <sheetName val="BLOCK(1)"/>
      <sheetName val="기초단가"/>
      <sheetName val="도장수량(하1)"/>
      <sheetName val="노임조서"/>
      <sheetName val="도체종-상수표"/>
      <sheetName val="철탑"/>
      <sheetName val="제철"/>
      <sheetName val="MCC제원"/>
      <sheetName val="허용전류-IEC DATA"/>
      <sheetName val="허용전류-IEC"/>
      <sheetName val="선로정수"/>
      <sheetName val="TB_내역서"/>
      <sheetName val="품의서"/>
      <sheetName val="제경비율조정계수"/>
      <sheetName val="6.콘덴서"/>
      <sheetName val="가설공사내역"/>
      <sheetName val="401"/>
      <sheetName val="36+45-113-18+19+20I"/>
      <sheetName val="노임기준"/>
      <sheetName val="기계"/>
      <sheetName val="참조(X)"/>
      <sheetName val="스포회원매출"/>
      <sheetName val="장부(05상)"/>
      <sheetName val="전기내역"/>
      <sheetName val="154TW"/>
      <sheetName val="재료비노무비"/>
      <sheetName val="직접경비호표"/>
      <sheetName val="각종양식"/>
      <sheetName val="산출근거1"/>
      <sheetName val="총괄집계(2차)"/>
      <sheetName val="현북"/>
      <sheetName val="품셈TA_x0000__x0000_Ԁ"/>
      <sheetName val="이형관격점별수_x0000__x0000_稀_x0000__x0000__x0000_"/>
      <sheetName val="옥외 전력간선공사"/>
      <sheetName val="2차토량발_x0000_"/>
      <sheetName val="Register"/>
      <sheetName val="토공炠⾷"/>
      <sheetName val="토공산_x0000__x0000_Ԁ_x0000_"/>
      <sheetName val="_x005f_x0018_"/>
      <sheetName val="품셈총_x005f_x0000__x005f_x0000_"/>
      <sheetName val="_x005f_x0018_?℀"/>
      <sheetName val="_x005f_x005f_x005f_x0018__x005f_x005f_x005f_x0000_℀"/>
      <sheetName val="임목폐기물_xdc00_萲"/>
      <sheetName val="횡배수관설치현황"/>
      <sheetName val="5흙막이"/>
      <sheetName val="Europe Competitors"/>
      <sheetName val="기본DATA"/>
      <sheetName val="외주현황.wqĆ"/>
      <sheetName val="건축내턠"/>
      <sheetName val="건축내_x0000_"/>
      <sheetName val="6PILE_____x005f_x005f_x005f_x005f_x005f_x005f_x_2"/>
      <sheetName val="노"/>
      <sheetName val="노"/>
      <sheetName val="Finishing Warehouse"/>
      <sheetName val="95D"/>
      <sheetName val="94D"/>
      <sheetName val="HRG BAHAN &amp; UPAH okk"/>
      <sheetName val="Analis Kusen okk"/>
      <sheetName val="Progress Tables"/>
      <sheetName val="ALAT1"/>
      <sheetName val="Harga Dasar"/>
      <sheetName val="EQUIP LIST"/>
      <sheetName val="Estimate"/>
      <sheetName val="국내조달(통합-1)"/>
      <sheetName val="용소리교"/>
      <sheetName val="공용정보"/>
      <sheetName val="마산월령동골조물량변경"/>
      <sheetName val="2공구_산출"/>
      <sheetName val="train cash"/>
      <sheetName val="accom cash"/>
      <sheetName val="TONGKE3p "/>
      <sheetName val="ThongSo"/>
      <sheetName val="임목폐기"/>
      <sheetName val="__Ntcom_work_MY_RETAIN________2"/>
      <sheetName val="토공산출釰뀵"/>
      <sheetName val="03년국내가격7월23일자"/>
      <sheetName val="03년해외가격7월23일자"/>
      <sheetName val="아파트"/>
      <sheetName val="ENE-CAL"/>
      <sheetName val="Overall"/>
      <sheetName val="Content"/>
      <sheetName val="電源計画"/>
      <sheetName val="A(Rev.3)"/>
      <sheetName val="전신환매도율"/>
      <sheetName val="_x0000_.T.P 단위수량"/>
      <sheetName val="기계단가"/>
      <sheetName val="공사비"/>
      <sheetName val="9G剐_x0010__x0000__x0000_"/>
      <sheetName val="FB25JN"/>
      <sheetName val="부대단위수량"/>
      <sheetName val="수_x0000_"/>
      <sheetName val="단가결정"/>
      <sheetName val="차례"/>
      <sheetName val="수목데이타"/>
      <sheetName val="내역아"/>
      <sheetName val="내역(창신)"/>
      <sheetName val="소야공정계획표"/>
      <sheetName val="토적집계¤"/>
      <sheetName val="관로부문"/>
      <sheetName val="전체분 내역서(전북도) 최종"/>
      <sheetName val="종단계산"/>
      <sheetName val="토공A"/>
      <sheetName val="LMC(가로줄눈)(야간)"/>
      <sheetName val="중기운반비(야간)"/>
      <sheetName val="교통관리비(주간)"/>
      <sheetName val="자재_완"/>
      <sheetName val="LMC(세로줄눈)(야간)"/>
      <sheetName val="화산경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/>
      <sheetData sheetId="63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/>
      <sheetData sheetId="719"/>
      <sheetData sheetId="720"/>
      <sheetData sheetId="721"/>
      <sheetData sheetId="722"/>
      <sheetData sheetId="723" refreshError="1"/>
      <sheetData sheetId="724"/>
      <sheetData sheetId="725"/>
      <sheetData sheetId="726"/>
      <sheetData sheetId="727"/>
      <sheetData sheetId="728" refreshError="1"/>
      <sheetData sheetId="729"/>
      <sheetData sheetId="730"/>
      <sheetData sheetId="731"/>
      <sheetData sheetId="732"/>
      <sheetData sheetId="733"/>
      <sheetData sheetId="734"/>
      <sheetData sheetId="735"/>
      <sheetData sheetId="736" refreshError="1"/>
      <sheetData sheetId="737" refreshError="1"/>
      <sheetData sheetId="738"/>
      <sheetData sheetId="739"/>
      <sheetData sheetId="740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/>
      <sheetData sheetId="768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/>
      <sheetData sheetId="776" refreshError="1"/>
      <sheetData sheetId="777" refreshError="1"/>
      <sheetData sheetId="778" refreshError="1"/>
      <sheetData sheetId="779" refreshError="1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/>
      <sheetData sheetId="826"/>
      <sheetData sheetId="827" refreshError="1"/>
      <sheetData sheetId="828" refreshError="1"/>
      <sheetData sheetId="829"/>
      <sheetData sheetId="830" refreshError="1"/>
      <sheetData sheetId="831" refreshError="1"/>
      <sheetData sheetId="832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 refreshError="1"/>
      <sheetData sheetId="903" refreshError="1"/>
      <sheetData sheetId="904" refreshError="1"/>
      <sheetData sheetId="905" refreshError="1"/>
      <sheetData sheetId="906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/>
      <sheetData sheetId="918"/>
      <sheetData sheetId="919" refreshError="1"/>
      <sheetData sheetId="920" refreshError="1"/>
      <sheetData sheetId="921" refreshError="1"/>
      <sheetData sheetId="922" refreshError="1"/>
      <sheetData sheetId="923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/>
      <sheetData sheetId="934" refreshError="1"/>
      <sheetData sheetId="935" refreshError="1"/>
      <sheetData sheetId="936" refreshError="1"/>
      <sheetData sheetId="937" refreshError="1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 refreshError="1"/>
      <sheetData sheetId="947" refreshError="1"/>
      <sheetData sheetId="948" refreshError="1"/>
      <sheetData sheetId="949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/>
      <sheetData sheetId="956"/>
      <sheetData sheetId="957"/>
      <sheetData sheetId="958"/>
      <sheetData sheetId="959"/>
      <sheetData sheetId="960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/>
      <sheetData sheetId="1048" refreshError="1"/>
      <sheetData sheetId="1049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/>
      <sheetData sheetId="1057"/>
      <sheetData sheetId="1058"/>
      <sheetData sheetId="1059" refreshError="1"/>
      <sheetData sheetId="1060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/>
      <sheetData sheetId="1084"/>
      <sheetData sheetId="1085" refreshError="1"/>
      <sheetData sheetId="1086" refreshError="1"/>
      <sheetData sheetId="1087" refreshError="1"/>
      <sheetData sheetId="1088" refreshError="1"/>
      <sheetData sheetId="1089"/>
      <sheetData sheetId="1090" refreshError="1"/>
      <sheetData sheetId="1091" refreshError="1"/>
      <sheetData sheetId="1092" refreshError="1"/>
      <sheetData sheetId="1093" refreshError="1"/>
      <sheetData sheetId="1094"/>
      <sheetData sheetId="1095" refreshError="1"/>
      <sheetData sheetId="1096" refreshError="1"/>
      <sheetData sheetId="1097"/>
      <sheetData sheetId="1098" refreshError="1"/>
      <sheetData sheetId="1099" refreshError="1"/>
      <sheetData sheetId="1100" refreshError="1"/>
      <sheetData sheetId="1101" refreshError="1"/>
      <sheetData sheetId="1102"/>
      <sheetData sheetId="1103" refreshError="1"/>
      <sheetData sheetId="1104" refreshError="1"/>
      <sheetData sheetId="1105" refreshError="1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 refreshError="1"/>
      <sheetData sheetId="1128"/>
      <sheetData sheetId="1129"/>
      <sheetData sheetId="1130" refreshError="1"/>
      <sheetData sheetId="1131" refreshError="1"/>
      <sheetData sheetId="1132"/>
      <sheetData sheetId="1133" refreshError="1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 refreshError="1"/>
      <sheetData sheetId="1156"/>
      <sheetData sheetId="1157" refreshError="1"/>
      <sheetData sheetId="1158" refreshError="1"/>
      <sheetData sheetId="1159"/>
      <sheetData sheetId="1160"/>
      <sheetData sheetId="1161"/>
      <sheetData sheetId="1162"/>
      <sheetData sheetId="1163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/>
      <sheetData sheetId="1171"/>
      <sheetData sheetId="1172"/>
      <sheetData sheetId="1173"/>
      <sheetData sheetId="1174" refreshError="1"/>
      <sheetData sheetId="1175"/>
      <sheetData sheetId="1176" refreshError="1"/>
      <sheetData sheetId="1177" refreshError="1"/>
      <sheetData sheetId="1178" refreshError="1"/>
      <sheetData sheetId="1179" refreshError="1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/>
      <sheetData sheetId="1268"/>
      <sheetData sheetId="1269"/>
      <sheetData sheetId="1270"/>
      <sheetData sheetId="127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 refreshError="1"/>
      <sheetData sheetId="1586" refreshError="1"/>
      <sheetData sheetId="1587" refreshError="1"/>
      <sheetData sheetId="1588" refreshError="1"/>
      <sheetData sheetId="1589"/>
      <sheetData sheetId="1590" refreshError="1"/>
      <sheetData sheetId="1591" refreshError="1"/>
      <sheetData sheetId="1592"/>
      <sheetData sheetId="1593"/>
      <sheetData sheetId="1594"/>
      <sheetData sheetId="1595" refreshError="1"/>
      <sheetData sheetId="1596" refreshError="1"/>
      <sheetData sheetId="1597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/>
      <sheetData sheetId="1706"/>
      <sheetData sheetId="1707"/>
      <sheetData sheetId="1708"/>
      <sheetData sheetId="1709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/>
      <sheetData sheetId="1767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/>
      <sheetData sheetId="1794"/>
      <sheetData sheetId="1795"/>
      <sheetData sheetId="1796" refreshError="1"/>
      <sheetData sheetId="1797" refreshError="1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/>
      <sheetData sheetId="2003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/>
      <sheetData sheetId="2457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내역"/>
      <sheetName val="공잡비"/>
      <sheetName val="지촌덕평"/>
      <sheetName val="지덕잡비"/>
      <sheetName val="200"/>
      <sheetName val="cka"/>
      <sheetName val="2000년1차"/>
      <sheetName val="2000년1차잡비"/>
      <sheetName val="신규단가"/>
      <sheetName val="단가리스트"/>
      <sheetName val="입력"/>
      <sheetName val="Sheet1"/>
      <sheetName val="STANDARD"/>
      <sheetName val="직노"/>
      <sheetName val="조명시설"/>
      <sheetName val="#REF"/>
      <sheetName val="조명율표"/>
      <sheetName val="원가계산서"/>
      <sheetName val="갑지(추정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입찰안"/>
      <sheetName val="YES"/>
      <sheetName val="STORAGE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대치판정"/>
      <sheetName val="Baby일위대가"/>
      <sheetName val="철거산출근거"/>
      <sheetName val="특별교실"/>
      <sheetName val="기숙사"/>
      <sheetName val="화장실"/>
      <sheetName val="총집계-1"/>
      <sheetName val="총집계-2"/>
      <sheetName val="원가-1"/>
      <sheetName val="원가-2"/>
      <sheetName val="기안"/>
      <sheetName val="갑지"/>
      <sheetName val="견적서"/>
      <sheetName val="내역서"/>
      <sheetName val="XXXXXX"/>
      <sheetName val="호계"/>
      <sheetName val="제암"/>
      <sheetName val="월마트"/>
      <sheetName val="월드컵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표지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견적조건"/>
      <sheetName val="견적조건(을지)"/>
      <sheetName val="JUCK"/>
      <sheetName val="간선계산"/>
      <sheetName val="N賃率-職"/>
      <sheetName val="98지급계획"/>
      <sheetName val="남양시작동자105노65기1.3화1.2"/>
      <sheetName val="일반공사"/>
      <sheetName val="표지 (2)"/>
      <sheetName val="제-노임"/>
      <sheetName val="제직재"/>
      <sheetName val="노무비"/>
      <sheetName val="을지"/>
      <sheetName val="일위대가"/>
      <sheetName val="을"/>
      <sheetName val="FILE1"/>
      <sheetName val="0.집계"/>
      <sheetName val="1.수변전설비공사"/>
      <sheetName val="MOTOR"/>
      <sheetName val="기초단가"/>
      <sheetName val="ITEM"/>
      <sheetName val="원가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총괄"/>
      <sheetName val="단가비교표"/>
      <sheetName val="매립"/>
      <sheetName val="일위대가목차"/>
      <sheetName val="대구실행"/>
      <sheetName val="AIR SHOWER(3인용)"/>
      <sheetName val="부대공Ⅱ"/>
      <sheetName val="설계내역서"/>
      <sheetName val="직노"/>
      <sheetName val="단가산출"/>
      <sheetName val="2F 회의실견적(5_14 일대)"/>
      <sheetName val="재집"/>
      <sheetName val="직재"/>
      <sheetName val="전차선로 물량표"/>
      <sheetName val="DATA"/>
      <sheetName val="일위대가(가설)"/>
      <sheetName val="실행내역"/>
      <sheetName val="200"/>
      <sheetName val="48전력선로일위"/>
      <sheetName val="접지수량"/>
      <sheetName val="조명율표"/>
      <sheetName val="TOT"/>
      <sheetName val="정부노임단가"/>
      <sheetName val="1.수인터널"/>
      <sheetName val="자재단가"/>
      <sheetName val="손익분석"/>
      <sheetName val="인건-측정"/>
      <sheetName val="보차도경계석"/>
      <sheetName val="부하계산서"/>
      <sheetName val="인건비"/>
      <sheetName val="아산추가1220"/>
      <sheetName val="당초"/>
      <sheetName val="3-1.CB"/>
      <sheetName val="부대내역"/>
      <sheetName val="unit 4"/>
      <sheetName val="ITB COST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말뚝지지력산정"/>
      <sheetName val="수량"/>
      <sheetName val="CTEMCOST"/>
      <sheetName val="내역"/>
      <sheetName val="연습"/>
      <sheetName val="내역(설계)"/>
      <sheetName val="Macro1"/>
      <sheetName val="BID"/>
      <sheetName val="현장관리비집계표"/>
      <sheetName val="설계예산서"/>
      <sheetName val="수량집계"/>
      <sheetName val="토목"/>
      <sheetName val="가로등내역서"/>
      <sheetName val="수량산출서"/>
      <sheetName val="2000.11월설계내역"/>
      <sheetName val="#REF"/>
      <sheetName val="터파기및재료"/>
      <sheetName val="점수계산1-2"/>
      <sheetName val="부대공사비"/>
      <sheetName val="본공사"/>
      <sheetName val="식생블럭단위수량"/>
      <sheetName val="가로등부표"/>
      <sheetName val="보합"/>
      <sheetName val="조도계산서 (도서)"/>
      <sheetName val="WORK"/>
      <sheetName val="입찰보고"/>
      <sheetName val="재료"/>
      <sheetName val="MAIN_TABLE"/>
      <sheetName val="1.설계조건"/>
      <sheetName val="LOPCALC"/>
      <sheetName val="제경비율"/>
      <sheetName val="XL4Poppy"/>
      <sheetName val="자료입력"/>
      <sheetName val="예산명세서"/>
      <sheetName val="단가조사"/>
      <sheetName val="우배수"/>
      <sheetName val="맨홀"/>
      <sheetName val="금호"/>
      <sheetName val="I一般比"/>
      <sheetName val="49-119"/>
      <sheetName val="Macro(전선)"/>
      <sheetName val="발신정보"/>
      <sheetName val="준검 내역서"/>
      <sheetName val="부하(성남)"/>
      <sheetName val="연부97-1"/>
      <sheetName val="갑지1"/>
      <sheetName val="J直材4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전선 및 전선관"/>
      <sheetName val="토공"/>
      <sheetName val="구역화물"/>
      <sheetName val="단가일람"/>
      <sheetName val="신우"/>
      <sheetName val="대비"/>
      <sheetName val="설직재-1"/>
      <sheetName val="하조서"/>
      <sheetName val="20관리비율"/>
      <sheetName val="2006기계경비산출표"/>
      <sheetName val="수량산출"/>
      <sheetName val="봉양~조차장간고하개명(신설)"/>
      <sheetName val="2공구수량"/>
      <sheetName val="cost"/>
      <sheetName val="sw1"/>
      <sheetName val="보증수수료산출"/>
      <sheetName val="수목데이타 "/>
      <sheetName val="변압기 및 발전기 용량"/>
      <sheetName val="단가"/>
      <sheetName val="총괄표"/>
      <sheetName val="집계표"/>
      <sheetName val="실행철강하도"/>
      <sheetName val="내역서2안"/>
      <sheetName val="소야공정계획표"/>
      <sheetName val="교각1"/>
      <sheetName val="일위대가표(유단가)"/>
      <sheetName val="일위대가표"/>
      <sheetName val="단가 및 재료비"/>
      <sheetName val="6호기"/>
      <sheetName val="적용(기계)"/>
      <sheetName val="가로등"/>
      <sheetName val="주상도"/>
      <sheetName val="공사비예산서(토목분)"/>
      <sheetName val="각형맨홀"/>
      <sheetName val="수목단가"/>
      <sheetName val="시설수량표"/>
      <sheetName val="식재수량표"/>
      <sheetName val="일위목록"/>
      <sheetName val="기계경비"/>
      <sheetName val="INPUT"/>
      <sheetName val="일위대가(목록)"/>
      <sheetName val="재료비"/>
      <sheetName val="총괄집계표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DATA1"/>
      <sheetName val="점검총괄"/>
      <sheetName val="자재목록"/>
      <sheetName val="2000년1차"/>
      <sheetName val="단가산출서(기계)"/>
      <sheetName val="ASP포장"/>
      <sheetName val="내역서(전기)"/>
      <sheetName val="- INFORMATION -"/>
      <sheetName val="예산변경사항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옹벽수량집계"/>
      <sheetName val="3BL공동구 수량"/>
      <sheetName val="Total"/>
      <sheetName val="에너지동"/>
      <sheetName val="코드표"/>
      <sheetName val="Sheet1 (2)"/>
      <sheetName val="BASIC (2)"/>
      <sheetName val="자재단가표"/>
      <sheetName val="고창터널(고창방향)"/>
      <sheetName val="터널조도"/>
      <sheetName val="부속동"/>
      <sheetName val="입찰결과(DATA)"/>
      <sheetName val="ETC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ÀÏÀ§´ë°¡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³»¿ª¼­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데이타"/>
      <sheetName val="CABLE SIZE-3"/>
      <sheetName val="EQUIP-H"/>
      <sheetName val="경비_원본"/>
      <sheetName val="공구원가계산"/>
      <sheetName val="기계경비시간당손료목록"/>
      <sheetName val="요율"/>
      <sheetName val="자재대"/>
      <sheetName val="참고"/>
      <sheetName val="공사개요"/>
      <sheetName val="기계내역"/>
      <sheetName val="소요자재"/>
      <sheetName val="노무산출서"/>
      <sheetName val="Macro(차단기)"/>
      <sheetName val="동력부하(도산)"/>
      <sheetName val="1차증가원가계산"/>
      <sheetName val="가감수량"/>
      <sheetName val="맨홀수량산출"/>
      <sheetName val="단가조사서"/>
      <sheetName val="관로"/>
      <sheetName val="A-4"/>
      <sheetName val="AS포장복구 "/>
      <sheetName val="간접1"/>
      <sheetName val="통장출금액"/>
      <sheetName val="기계경비(시간당)"/>
      <sheetName val="램머"/>
      <sheetName val="본선차로수량집계표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조건표"/>
      <sheetName val="JJ"/>
      <sheetName val="설계"/>
      <sheetName val="설 계"/>
      <sheetName val="BQ"/>
      <sheetName val="전기일위대가"/>
      <sheetName val="단면(RW1)"/>
      <sheetName val="시설물일위"/>
      <sheetName val="비교표"/>
      <sheetName val="소비자가"/>
      <sheetName val="ilch"/>
      <sheetName val="예정(3)"/>
      <sheetName val="동원(3)"/>
      <sheetName val="DANGA"/>
      <sheetName val="IMP(MAIN)"/>
      <sheetName val="IMP (REACTOR)"/>
      <sheetName val="차액보증"/>
      <sheetName val="오산갈곳"/>
      <sheetName val="맨홀수량집계"/>
      <sheetName val="설계조건"/>
      <sheetName val="날개벽(TYPE3)"/>
      <sheetName val="1.설계기준"/>
      <sheetName val="노임"/>
      <sheetName val="현황CODE"/>
      <sheetName val="손익현황"/>
      <sheetName val="3차설계"/>
      <sheetName val="기둥(원형)"/>
      <sheetName val="옹벽"/>
      <sheetName val="ABUT수량-A1"/>
      <sheetName val="주형"/>
      <sheetName val="밸브설치"/>
      <sheetName val="3.바닥판설계"/>
      <sheetName val="안정계산"/>
      <sheetName val="단면검토"/>
      <sheetName val="원가"/>
      <sheetName val="VA_code"/>
      <sheetName val="2000전체분"/>
      <sheetName val="일반수량"/>
      <sheetName val="EACT10"/>
      <sheetName val="돌망태단위수량"/>
      <sheetName val="말뚝물량"/>
      <sheetName val="공종별원가계산"/>
      <sheetName val="말고개터널조명전압강하"/>
      <sheetName val="물가자료"/>
      <sheetName val="품의서"/>
      <sheetName val="물가시세"/>
      <sheetName val="SG"/>
      <sheetName val="전신환매도율"/>
      <sheetName val="산출내역서집계표"/>
      <sheetName val="원가계산서 (총괄)"/>
      <sheetName val="원가계산서 (건축)"/>
      <sheetName val="(총괄집계)"/>
      <sheetName val="건축공사"/>
      <sheetName val="방음벽기초(H=4m)"/>
      <sheetName val="우수맨홀공제단위수량"/>
      <sheetName val="스톱로그내역"/>
      <sheetName val="수주현황2월"/>
      <sheetName val="단면 (2)"/>
      <sheetName val="토공유동표"/>
      <sheetName val="교각계산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예산갑지"/>
      <sheetName val="제수변수량"/>
      <sheetName val="공기변수량"/>
      <sheetName val="포장공"/>
      <sheetName val="상수도토공집계표"/>
      <sheetName val="PO-BOQ"/>
      <sheetName val="일반수량총괄"/>
      <sheetName val="외주"/>
      <sheetName val="구조물철거타공정이월"/>
      <sheetName val="의왕내역"/>
      <sheetName val="입출재고현황 (2)"/>
      <sheetName val="변경비교-을"/>
      <sheetName val="노무비단가"/>
      <sheetName val=" 상부공통집계(총괄)"/>
      <sheetName val="참조-(1)"/>
      <sheetName val="인건비 "/>
      <sheetName val="AILC004"/>
      <sheetName val="연결관산출조서"/>
      <sheetName val="조경일람"/>
      <sheetName val="일위대가목록"/>
      <sheetName val="직공비"/>
      <sheetName val="주관사업"/>
      <sheetName val="수문일1"/>
      <sheetName val="1차설계변경내역"/>
      <sheetName val="발주설계서(당초)"/>
      <sheetName val="가설건물"/>
      <sheetName val="BOX전기내역"/>
      <sheetName val="하수급견적대비"/>
      <sheetName val="간접비"/>
      <sheetName val="9-1차이내역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001"/>
      <sheetName val="총계"/>
      <sheetName val="실행내역서"/>
      <sheetName val="BID-도로"/>
      <sheetName val="내력서"/>
      <sheetName val="대창(함평)-창열"/>
      <sheetName val="대창(장성)"/>
      <sheetName val="경비2내역"/>
      <sheetName val="현장관리비내역서"/>
      <sheetName val="포장복구집계"/>
      <sheetName val="공사비"/>
      <sheetName val="가드레일산근"/>
      <sheetName val="수량집계표"/>
      <sheetName val="단가비교"/>
      <sheetName val="적용2002"/>
      <sheetName val="중기"/>
      <sheetName val="교대(A1-A2)"/>
      <sheetName val="정화조동내역"/>
      <sheetName val="45,46"/>
      <sheetName val="교대(A1)"/>
      <sheetName val="단위수량"/>
      <sheetName val="관리사무소"/>
      <sheetName val="대구-교대(A1-A2)"/>
      <sheetName val="원형1호맨홀토공수량"/>
      <sheetName val="REACTION(USD지진시)"/>
      <sheetName val="안정검토"/>
      <sheetName val="REACTION(USE평시)"/>
      <sheetName val="일위대가표 (2)"/>
      <sheetName val="단가대비표"/>
      <sheetName val="Testing"/>
      <sheetName val="계화배수"/>
      <sheetName val="조명시설"/>
      <sheetName val="방음벽 기초 일반수량"/>
      <sheetName val="I.설계조건"/>
      <sheetName val="단면가정"/>
      <sheetName val="부재력정리"/>
      <sheetName val="BLOCK(1)"/>
      <sheetName val="단면치수"/>
      <sheetName val="NEYOK"/>
      <sheetName val="토목내역"/>
      <sheetName val="수안보-MBR1"/>
      <sheetName val="입력DATA"/>
      <sheetName val="°©Áö"/>
      <sheetName val="°ø»ç¿ø°¡°è»ê¼­"/>
      <sheetName val="ÃÑ³»¿ª¼­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µ¿¿ø(3)"/>
      <sheetName val="¿¹Á¤(3)"/>
      <sheetName val="ÁÖÇü"/>
      <sheetName val="8. 안정검토"/>
      <sheetName val="건축"/>
      <sheetName val="단가산출서 (2)"/>
      <sheetName val="단가산출서"/>
      <sheetName val="Sheet17"/>
      <sheetName val="재정비직인"/>
      <sheetName val="재정비내역"/>
      <sheetName val="지적고시내역"/>
      <sheetName val="단위단가"/>
      <sheetName val="금리계산"/>
      <sheetName val="98NS-N"/>
      <sheetName val="3.공통공사대비"/>
      <sheetName val="90.03실행 "/>
      <sheetName val="96보완계획7.12"/>
      <sheetName val="지진시"/>
      <sheetName val="6PILE  (돌출)"/>
      <sheetName val="토량산출서"/>
      <sheetName val="부대시설"/>
      <sheetName val="Apt내역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ßÀû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BJJIN"/>
      <sheetName val="시공계획"/>
      <sheetName val="제품별"/>
      <sheetName val="금액내역서"/>
      <sheetName val="공통(20-91)"/>
      <sheetName val="증감대비"/>
      <sheetName val="2월"/>
      <sheetName val="3월"/>
      <sheetName val="원본"/>
      <sheetName val="4월"/>
      <sheetName val="5월"/>
      <sheetName val="원가계산서"/>
      <sheetName val="경상직원"/>
      <sheetName val="노원열병합  건축공사기성내역서"/>
      <sheetName val="지급자재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검사원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공량산출서"/>
      <sheetName val="율촌법률사무소2내역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내역구성"/>
      <sheetName val="4원가"/>
      <sheetName val="임시급식"/>
      <sheetName val="옥외가스"/>
      <sheetName val="임시급식 (2)"/>
      <sheetName val="목차"/>
      <sheetName val="Summary Sheets"/>
      <sheetName val="일위목록-기"/>
      <sheetName val="6동"/>
      <sheetName val="Chart1"/>
      <sheetName val="단위내역목록"/>
      <sheetName val="단위내역서"/>
      <sheetName val="원가(1)"/>
      <sheetName val="원가(2)"/>
      <sheetName val="C3"/>
      <sheetName val="설비내역서"/>
      <sheetName val="건축내역서"/>
      <sheetName val="전기내역서"/>
      <sheetName val="적용공정"/>
      <sheetName val="L_RPTB02_01"/>
      <sheetName val="주사무실종합"/>
      <sheetName val="계수시트"/>
      <sheetName val="L_RPTA05_목록"/>
      <sheetName val="Macro2"/>
      <sheetName val="연결임시"/>
      <sheetName val="계산식"/>
      <sheetName val="가도공"/>
      <sheetName val="DATE"/>
      <sheetName val="철거집계"/>
      <sheetName val="한강운반비"/>
      <sheetName val="자재"/>
      <sheetName val="설계명세서"/>
      <sheetName val="99총공사내역서"/>
      <sheetName val="48평단가"/>
      <sheetName val="57단가"/>
      <sheetName val="54평단가"/>
      <sheetName val="66평단가"/>
      <sheetName val="61단가"/>
      <sheetName val="89평단가"/>
      <sheetName val="84평단가"/>
      <sheetName val="지주목시비량산출서"/>
      <sheetName val="가시설흙막이"/>
      <sheetName val="노무비산출"/>
      <sheetName val="대외공문"/>
      <sheetName val="DWPM"/>
      <sheetName val="중기일위대가"/>
      <sheetName val="22단가(철거)"/>
      <sheetName val="49단가"/>
      <sheetName val="49단가(철거)"/>
      <sheetName val="22단가"/>
      <sheetName val="과천MAIN"/>
      <sheetName val="노무비 근거"/>
      <sheetName val="효성CB 1P기초"/>
      <sheetName val="EQ-R1"/>
      <sheetName val="품목"/>
      <sheetName val="일용노임단가"/>
      <sheetName val="전선"/>
      <sheetName val="CABLE"/>
      <sheetName val="공종별내역서"/>
      <sheetName val="³ëÀÓ"/>
      <sheetName val="플랜트 설치"/>
      <sheetName val="1._x0018_변전설비"/>
      <sheetName val="1.¼öº¯Àü¼³ºñ"/>
      <sheetName val="2.Àü·Â°£¼±"/>
      <sheetName val="3.µ¿·Â"/>
      <sheetName val="4.Àüµî"/>
      <sheetName val="5.Àü¿­"/>
      <sheetName val="6.¾àÀü"/>
      <sheetName val="7.¼Ò¹æ"/>
      <sheetName val="8.¹æ¼Û"/>
      <sheetName val="9.Á¶¸íÁ¦¾î"/>
      <sheetName val="10.Ã¶°Å°ø»ç"/>
      <sheetName val="³²¾ç½ÃÀÛµ¿ÀÚ105³ë65±â1.3È­1.2"/>
      <sheetName val="À»"/>
      <sheetName val="ºÎÇÏ°è»ê¼­"/>
      <sheetName val="À»Áö"/>
      <sheetName val="Á¶µµ°è»ê¼­ (µµ¼­)"/>
      <sheetName val="°ßÀûÁ¶°Ç"/>
      <sheetName val="°ßÀûÁ¶°Ç(À»Áö)"/>
      <sheetName val="Á÷³ë"/>
      <sheetName val="½ÇÇà³»¿ª"/>
      <sheetName val="기자재비"/>
      <sheetName val="내역서(토목)"/>
      <sheetName val="BOQ(전체)"/>
      <sheetName val="설비"/>
      <sheetName val="백암비스타내역"/>
      <sheetName val="DB"/>
      <sheetName val="1공구(을)"/>
      <sheetName val="내역서 (2)"/>
      <sheetName val="총수량집계표"/>
      <sheetName val="고분전시관"/>
      <sheetName val="기계경비일람"/>
      <sheetName val="CA지입"/>
      <sheetName val="1공구 건정토건 토공"/>
      <sheetName val="U-TYPE(1)"/>
      <sheetName val="총괄내역서"/>
      <sheetName val="간접"/>
      <sheetName val="입적표"/>
      <sheetName val="적상기초자료"/>
      <sheetName val="기초코드"/>
      <sheetName val="견적"/>
      <sheetName val="내역서(전체)"/>
      <sheetName val="96정변2"/>
      <sheetName val="3련 BOX"/>
      <sheetName val="대림산업"/>
      <sheetName val="전기"/>
      <sheetName val="유첨#2"/>
      <sheetName val="견적대비"/>
      <sheetName val="5.정산서"/>
      <sheetName val="설계기준 및 하중계산"/>
      <sheetName val="입력값"/>
      <sheetName val="토량1-1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일위집계표"/>
      <sheetName val="견적의뢰서"/>
      <sheetName val="결과조달"/>
      <sheetName val="경상비"/>
      <sheetName val="건축내역"/>
      <sheetName val="부안일위"/>
      <sheetName val="정공공사"/>
      <sheetName val="실행대비"/>
      <sheetName val="청천내"/>
      <sheetName val="1공구 건정토건 철콘"/>
      <sheetName val="2공구하도급내역서"/>
      <sheetName val="도급내역"/>
      <sheetName val="세부내역"/>
      <sheetName val="구조물공"/>
      <sheetName val="투찰추정"/>
      <sheetName val="도급내역5+800"/>
      <sheetName val="수목표준대가"/>
      <sheetName val="부대공"/>
      <sheetName val="도급금액"/>
      <sheetName val="재노경"/>
      <sheetName val="적현로"/>
      <sheetName val="배수공"/>
      <sheetName val="변경내역서"/>
      <sheetName val="식재인부"/>
      <sheetName val="조건"/>
      <sheetName val="일위대가(1)"/>
      <sheetName val="전체"/>
      <sheetName val="관급자재"/>
      <sheetName val="제경비"/>
      <sheetName val="초기화면"/>
      <sheetName val="총공사내역서"/>
      <sheetName val="토공사"/>
      <sheetName val="정렬"/>
      <sheetName val="계약내역서"/>
      <sheetName val="전체도급"/>
      <sheetName val="CODE"/>
      <sheetName val="부대대비"/>
      <sheetName val="냉연집계"/>
      <sheetName val="충주"/>
      <sheetName val="공종단가"/>
      <sheetName val="b_balju_cho"/>
      <sheetName val="약품설비"/>
      <sheetName val="15"/>
      <sheetName val="물량표"/>
      <sheetName val="수로교총재료집계"/>
      <sheetName val="아파트기별"/>
      <sheetName val="공리일"/>
      <sheetName val="종합기별"/>
      <sheetName val="노무비명세서"/>
      <sheetName val="소요자재명세서"/>
      <sheetName val="LD일"/>
      <sheetName val="FA설치명세"/>
      <sheetName val="FD"/>
      <sheetName val="부하LOAD"/>
      <sheetName val="담장산출"/>
      <sheetName val="기초자료입력"/>
      <sheetName val="9GNG운반"/>
      <sheetName val="백호우계수"/>
      <sheetName val="basic"/>
      <sheetName val="단위목록"/>
      <sheetName val="기계경비목록"/>
      <sheetName val="LP-S"/>
      <sheetName val="1SPAN"/>
      <sheetName val="평교-내역"/>
      <sheetName val="가시설단위수량"/>
      <sheetName val="NOMUBI"/>
      <sheetName val="UNIT"/>
      <sheetName val="48신설수량"/>
      <sheetName val="MCC제원"/>
      <sheetName val="Ampecity Data"/>
      <sheetName val="MACRO(전선관)"/>
      <sheetName val="工완성공사율"/>
      <sheetName val="H-PILE수량집계"/>
      <sheetName val="품셈TABLE"/>
      <sheetName val="__MAIN"/>
      <sheetName val="당사"/>
      <sheetName val="Macro"/>
      <sheetName val="사업수지"/>
      <sheetName val="총괄표(1)"/>
      <sheetName val="용산1(해보)"/>
      <sheetName val="내역5"/>
      <sheetName val="사업성분석"/>
      <sheetName val="22신설수량"/>
      <sheetName val="인공산출"/>
      <sheetName val="시중노임단가"/>
      <sheetName val="기본DATA"/>
      <sheetName val="전기2005"/>
      <sheetName val="통신2005"/>
      <sheetName val="예산조서(무선)"/>
      <sheetName val="KSTAR-M"/>
      <sheetName val="세동별비상"/>
      <sheetName val="AS복구"/>
      <sheetName val="중기터파기"/>
      <sheetName val="변수값"/>
      <sheetName val="중기상차"/>
      <sheetName val="토공(우물통,기타) "/>
      <sheetName val="단"/>
      <sheetName val="본부소개"/>
      <sheetName val="기초자료"/>
      <sheetName val="여과지동"/>
      <sheetName val="내역표지"/>
      <sheetName val="역T형교대(말뚝기초)"/>
      <sheetName val="고등학교"/>
      <sheetName val="세목전체"/>
      <sheetName val="세부견적서(DAS Call Back)"/>
      <sheetName val="메서,변+증"/>
      <sheetName val="기자재대비표"/>
      <sheetName val="현장설명서"/>
      <sheetName val="견적조건서"/>
      <sheetName val="시공일반사항"/>
      <sheetName val="현장설명서갑지"/>
      <sheetName val="하도급선정의뢰서(습식공사)"/>
      <sheetName val="검사조서"/>
      <sheetName val="집계(총괄)"/>
      <sheetName val="구성비"/>
      <sheetName val="실적보고"/>
      <sheetName val="표준안전집계"/>
      <sheetName val="표준안전내역"/>
      <sheetName val="간지"/>
      <sheetName val="1.설계설명서"/>
      <sheetName val="3.예정공정표"/>
      <sheetName val="4.설계예산서"/>
      <sheetName val="공사원가"/>
      <sheetName val="재경"/>
      <sheetName val="5.일위대가"/>
      <sheetName val="6.철거발생품예정조서"/>
      <sheetName val="7.지급자재조서"/>
      <sheetName val="8.가격조사서"/>
      <sheetName val="준설량산정표"/>
      <sheetName val="명세서"/>
      <sheetName val="시멘트"/>
      <sheetName val="단가목록"/>
      <sheetName val="2000,9월 일위"/>
      <sheetName val="금액결정"/>
      <sheetName val="48일위"/>
      <sheetName val="48수량"/>
      <sheetName val="22수량"/>
      <sheetName val="49일위"/>
      <sheetName val="22일위"/>
      <sheetName val="49수량"/>
      <sheetName val="제진기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ⴭⴭⴭⴭ"/>
      <sheetName val="기성"/>
      <sheetName val="기성내역 진짜"/>
      <sheetName val="기성갑지"/>
      <sheetName val="2회기성사정"/>
      <sheetName val="3회기성갑지"/>
      <sheetName val="3회총괄"/>
      <sheetName val="3회기성"/>
      <sheetName val="교통량조사"/>
      <sheetName val="가격조사서"/>
      <sheetName val="예산M6-B"/>
      <sheetName val="Data&amp;Result"/>
      <sheetName val="MACRO(MCC)"/>
      <sheetName val="일위대가(출입)"/>
      <sheetName val="일위대가(계측기설치)"/>
      <sheetName val="Mc1"/>
      <sheetName val="현장관리비 "/>
      <sheetName val="설계가"/>
      <sheetName val="할증 "/>
      <sheetName val="총집계표"/>
      <sheetName val="plan&amp;section of foundation"/>
      <sheetName val="9811"/>
      <sheetName val="투찰내역"/>
      <sheetName val="COVER-P"/>
      <sheetName val="기본단가"/>
      <sheetName val="영업소실적"/>
      <sheetName val="DATA 입력란"/>
      <sheetName val="1. 설계조건 2.단면가정 3. 하중계산"/>
      <sheetName val="경산(을)"/>
      <sheetName val="버스운행안내"/>
      <sheetName val="예방접종계획"/>
      <sheetName val="근태계획서"/>
      <sheetName val="소방사항"/>
      <sheetName val="TRE TABLE"/>
      <sheetName val="제수"/>
      <sheetName val="공기"/>
      <sheetName val="몰탈재료산출"/>
      <sheetName val="관급"/>
      <sheetName val="실행갑지"/>
      <sheetName val="FAX"/>
      <sheetName val="E.P.T수량산출서"/>
      <sheetName val="품셈"/>
      <sheetName val="차도조도계산"/>
      <sheetName val="역집계1"/>
      <sheetName val="단위가격"/>
      <sheetName val="LEGEND"/>
      <sheetName val="중기사용료"/>
      <sheetName val="물가"/>
      <sheetName val="경산"/>
      <sheetName val="BOX"/>
      <sheetName val="산출(전주P7)"/>
      <sheetName val="TC표지"/>
      <sheetName val="통합"/>
      <sheetName val="5.모델링"/>
      <sheetName val="연습장소"/>
      <sheetName val="Pier 3"/>
      <sheetName val="Upgrades pricing"/>
      <sheetName val="여흥"/>
      <sheetName val="변경서식"/>
      <sheetName val="하중계산"/>
      <sheetName val="계산근거"/>
      <sheetName val="Project Brief"/>
      <sheetName val="CALCULATION"/>
      <sheetName val="현금"/>
      <sheetName val="현장"/>
      <sheetName val="Piping Design Data"/>
      <sheetName val="종배수관"/>
      <sheetName val="현장지지물물량"/>
      <sheetName val="wall"/>
      <sheetName val="H PILE수량"/>
      <sheetName val="2003상반기노임기준"/>
      <sheetName val="중기조종사 단위단가"/>
      <sheetName val="기술자료 (연수)"/>
      <sheetName val="결합부검토"/>
      <sheetName val="IMPEADENCE MAP 취수장"/>
      <sheetName val="우각부보강"/>
      <sheetName val="SORCE1"/>
      <sheetName val="D-3503"/>
      <sheetName val="CONCRETE"/>
      <sheetName val="지장물C"/>
      <sheetName val="General Data"/>
      <sheetName val="물량산출근거"/>
      <sheetName val="IP좌표"/>
      <sheetName val="가공비"/>
      <sheetName val="전압강하계산"/>
      <sheetName val="소업1교"/>
      <sheetName val="변화치수"/>
      <sheetName val="c_balju"/>
      <sheetName val="내역서(총)"/>
      <sheetName val="기초공"/>
      <sheetName val="설산1.나"/>
      <sheetName val="본사S"/>
      <sheetName val="공통부대비"/>
      <sheetName val="날개벽"/>
      <sheetName val="토공계산서(부체도로)"/>
      <sheetName val="단가산출집계"/>
      <sheetName val="가설공사"/>
      <sheetName val="월선수금"/>
      <sheetName val="일위대가 집계표"/>
      <sheetName val="횡배수관토공수량"/>
      <sheetName val="woo(mac)"/>
      <sheetName val="제원.설계조건"/>
      <sheetName val="type-F"/>
      <sheetName val="SLAB"/>
      <sheetName val="관람석제출"/>
      <sheetName val="골조시행"/>
      <sheetName val="TEL"/>
      <sheetName val="sum1 (2)"/>
      <sheetName val="토공(완충)"/>
      <sheetName val="입찰견적보고서"/>
      <sheetName val="건축원가계산서"/>
      <sheetName val="TABLE"/>
      <sheetName val="단중표"/>
      <sheetName val="단가 "/>
      <sheetName val="관리,공감"/>
      <sheetName val="MANUFACTORY"/>
      <sheetName val="강북라우터"/>
      <sheetName val="COVER"/>
      <sheetName val="관접합및부설"/>
      <sheetName val="효동"/>
      <sheetName val="ELECTRIC"/>
      <sheetName val="SCHEDULE"/>
      <sheetName val="변경내역을"/>
      <sheetName val="경율산정"/>
      <sheetName val="교통대책내역"/>
      <sheetName val="단  가  대  비  표"/>
      <sheetName val="일  위  대  가  목  록"/>
      <sheetName val="Customer Databas"/>
      <sheetName val="현관"/>
      <sheetName val="실행(1)"/>
      <sheetName val="NYS"/>
      <sheetName val="연령현황"/>
      <sheetName val="집수정(600-700)"/>
      <sheetName val="도급"/>
      <sheetName val="일위"/>
      <sheetName val="바닥판"/>
      <sheetName val="s"/>
      <sheetName val="별표"/>
      <sheetName val="사전공사"/>
      <sheetName val="MIJIBI"/>
      <sheetName val="건축직"/>
      <sheetName val="guard(mac)"/>
      <sheetName val="산출내역서"/>
      <sheetName val="품셈표"/>
      <sheetName val="BSD (2)"/>
      <sheetName val="저"/>
      <sheetName val="기성내역서표지"/>
      <sheetName val="36신설수량"/>
      <sheetName val="건축개요"/>
      <sheetName val="★도급내역"/>
      <sheetName val="설계변경내역 98"/>
      <sheetName val="견적990322"/>
      <sheetName val="토사(PE)"/>
      <sheetName val="각종장비전압강하계산"/>
      <sheetName val="위치조서"/>
      <sheetName val="사각맨홀"/>
      <sheetName val="대,유,램"/>
      <sheetName val="SLAB&quot;1&quot;"/>
      <sheetName val="공내역"/>
      <sheetName val="접속도로1"/>
      <sheetName val="부서현황"/>
      <sheetName val="재료집계"/>
      <sheetName val="데리네이타현황"/>
      <sheetName val="KMT물량"/>
      <sheetName val="단가표"/>
      <sheetName val="진주방향"/>
      <sheetName val="마산방향"/>
      <sheetName val="공사별 가중치 산출근거(토목)"/>
      <sheetName val="가중치근거(조경)"/>
      <sheetName val="2공구산출내역"/>
      <sheetName val="목동1절주.bh01"/>
      <sheetName val="실행(표지,갑,을)"/>
      <sheetName val="구조대가"/>
      <sheetName val="포설대가1"/>
      <sheetName val="부대대가"/>
      <sheetName val=" 총괄표"/>
      <sheetName val="진접"/>
      <sheetName val="HRSG SMALL07220"/>
      <sheetName val="사급자재(1단계)"/>
      <sheetName val="사급자재"/>
      <sheetName val="지주설치제원"/>
      <sheetName val="개보수공사BM"/>
      <sheetName val="품종별-이름"/>
      <sheetName val="인사자료총집계"/>
      <sheetName val=" 갑  지 "/>
      <sheetName val="Y_WORK"/>
      <sheetName val="설명"/>
      <sheetName val="시중노임(공사)"/>
      <sheetName val="1-1"/>
      <sheetName val="노임변동률"/>
      <sheetName val="COMPRESSOR"/>
      <sheetName val="Option"/>
      <sheetName val="공사비집계"/>
      <sheetName val="본선 토공 분배표"/>
      <sheetName val="1.토공"/>
      <sheetName val="제출내역 (2)"/>
      <sheetName val="6공구(당초)"/>
      <sheetName val="산근1"/>
      <sheetName val="70%"/>
      <sheetName val="투찰"/>
      <sheetName val="입찰"/>
      <sheetName val="1,2공구원가계산서"/>
      <sheetName val="1공구산출내역서"/>
      <sheetName val="현경"/>
      <sheetName val="전화번호DATA (2001)"/>
      <sheetName val="장비"/>
      <sheetName val="노무"/>
      <sheetName val="자압"/>
      <sheetName val="106C0300"/>
      <sheetName val="인수공총괄"/>
      <sheetName val="EQUIPMENT -2"/>
      <sheetName val="송전재료비"/>
      <sheetName val="1단계"/>
      <sheetName val="주차구획선수량"/>
      <sheetName val="간선"/>
      <sheetName val="전압"/>
      <sheetName val="조도"/>
      <sheetName val="동력"/>
      <sheetName val="노임,재료비"/>
      <sheetName val="약품공급2"/>
      <sheetName val="loading"/>
      <sheetName val="노임이"/>
      <sheetName val="출력X"/>
      <sheetName val="전체내역서"/>
      <sheetName val="접속슬라브"/>
      <sheetName val="G.R300경비"/>
      <sheetName val="내역서01"/>
      <sheetName val="열린교실"/>
      <sheetName val="대로근거"/>
      <sheetName val="중로근거"/>
      <sheetName val="설계예시"/>
      <sheetName val="설계산출표지"/>
      <sheetName val="전력구구조물산근"/>
      <sheetName val="신공항A-9(원가수정)"/>
      <sheetName val="물량집계"/>
      <sheetName val="화설내"/>
      <sheetName val="설내역서 "/>
      <sheetName val="웅진교-S2"/>
      <sheetName val="3.내역서"/>
      <sheetName val="Macro3"/>
      <sheetName val="송우내역서"/>
      <sheetName val="배수관토공"/>
      <sheetName val="실㔀቎԰"/>
      <sheetName val="실︀껕ԯ"/>
      <sheetName val="실ԯ_x0000_缀"/>
      <sheetName val="금리׉"/>
      <sheetName val="실頀▀_xdc00_"/>
      <sheetName val="품셈기준"/>
      <sheetName val="총(신설)"/>
      <sheetName val="예산내역서"/>
      <sheetName val="개봉3동하수관"/>
      <sheetName val="다이꾸"/>
      <sheetName val="수성페인트도장 내역서"/>
      <sheetName val="공사별 가중치 산출근거(건축)"/>
      <sheetName val="집수A"/>
      <sheetName val="CIVIL"/>
      <sheetName val="횡배위치"/>
      <sheetName val="계산중"/>
      <sheetName val="자  재"/>
      <sheetName val="000000"/>
      <sheetName val="P-산#1-1(WOWA1)"/>
      <sheetName val="연동내역서"/>
      <sheetName val="내역서(당초변경)"/>
      <sheetName val="환"/>
      <sheetName val="적용기준표(98년상반기)"/>
      <sheetName val="토목주소"/>
      <sheetName val="프랜트면허"/>
      <sheetName val="공정량산출내역서 "/>
      <sheetName val="96노임기준"/>
      <sheetName val="Á¡°ËÃÑ°ý"/>
      <sheetName val="본체"/>
      <sheetName val="기본일위"/>
      <sheetName val="품셈집계표"/>
      <sheetName val="자재조사표"/>
      <sheetName val="일반부표집계표"/>
      <sheetName val="COPING"/>
      <sheetName val="역T형"/>
      <sheetName val="하중산정"/>
      <sheetName val="정화조방수미장"/>
      <sheetName val="준공평가"/>
      <sheetName val="실행간접비용"/>
      <sheetName val="전기혼잡제경비(45)"/>
      <sheetName val="»ó¼öµµÅä°øÁý°èÇ¥"/>
      <sheetName val="°ßÀû´ëºñ"/>
      <sheetName val="ÀÏÀ§´ë°¡Ç¥(À¯´Ü°¡)"/>
      <sheetName val="ÀÚÀç¸ñ·Ï"/>
      <sheetName val="20°ü¸®ºñÀ²"/>
      <sheetName val="산근"/>
      <sheetName val="동원인원산출"/>
      <sheetName val="견적율"/>
      <sheetName val="건축내역서 (경제상무실)"/>
      <sheetName val="설계서"/>
      <sheetName val="화재 탐지 설비"/>
      <sheetName val="사원등록"/>
      <sheetName val="호봉 (2)"/>
      <sheetName val="교각별수량"/>
      <sheetName val="원가산출서"/>
      <sheetName val="Dae_Jiju"/>
      <sheetName val="Sikje_ingun"/>
      <sheetName val="TREE_D"/>
      <sheetName val="공종"/>
      <sheetName val="MFAB"/>
      <sheetName val="MFRT"/>
      <sheetName val="MPKG"/>
      <sheetName val="MPRD"/>
      <sheetName val="12월31일"/>
      <sheetName val="102역사"/>
      <sheetName val="제품"/>
      <sheetName val="L형옹벽측구"/>
      <sheetName val="TYPE-1"/>
      <sheetName val="날개벽수량표"/>
      <sheetName val="공비대비"/>
      <sheetName val="보할공정"/>
      <sheetName val="대공종"/>
      <sheetName val="차종별"/>
      <sheetName val="구동"/>
      <sheetName val="빌딩 안내"/>
      <sheetName val=" 견적서"/>
      <sheetName val="기본설계도급항목"/>
      <sheetName val="실행"/>
      <sheetName val="암거날개벽재료집계"/>
      <sheetName val="경비"/>
      <sheetName val="갑지(추정)"/>
      <sheetName val="단가비교표_공통1"/>
      <sheetName val="세부내역서"/>
      <sheetName val="A갑지"/>
      <sheetName val="2002하반기노임기준"/>
      <sheetName val="본부장"/>
      <sheetName val="내역서(삼호)"/>
      <sheetName val="합천내역"/>
      <sheetName val="BOQ"/>
      <sheetName val="OPGW기별"/>
      <sheetName val="개요"/>
      <sheetName val="주방환기"/>
      <sheetName val="1"/>
      <sheetName val="케이블"/>
      <sheetName val="2000년 공정표"/>
      <sheetName val="기계경비및산출근거서"/>
      <sheetName val="산#2-1 (2)"/>
      <sheetName val="현장관리비"/>
      <sheetName val="약전닥트"/>
      <sheetName val="건축부하"/>
      <sheetName val="실행예산서"/>
      <sheetName val="유동표(변경)"/>
      <sheetName val="토공산출(주차장)"/>
      <sheetName val="토목공사"/>
      <sheetName val="급명"/>
      <sheetName val="기본단가표"/>
      <sheetName val="암거단위"/>
      <sheetName val="오동"/>
      <sheetName val="대조"/>
      <sheetName val="나한"/>
      <sheetName val="INPUT(덕도방향-시점)"/>
      <sheetName val="BOX 본체"/>
      <sheetName val="샘플표지"/>
      <sheetName val="골재산출"/>
      <sheetName val="구리토평1전기"/>
      <sheetName val="220 (2)"/>
      <sheetName val="개별직종노임단가(2005.1)"/>
      <sheetName val="맨홀수량"/>
      <sheetName val="노임,자재"/>
      <sheetName val="기계경비(맨홀)"/>
      <sheetName val="차수공개요"/>
      <sheetName val="인수공규격"/>
      <sheetName val="수량산출1"/>
      <sheetName val="건축공사실행"/>
      <sheetName val="총인원"/>
      <sheetName val="직급인원"/>
      <sheetName val="날개벽(시점좌측)"/>
      <sheetName val="5.공종별예산내역서"/>
      <sheetName val="문학간접"/>
      <sheetName val="일위산출"/>
      <sheetName val="탑(을지)"/>
      <sheetName val="제1장"/>
      <sheetName val="제2장"/>
      <sheetName val="제3장"/>
      <sheetName val="제4장"/>
      <sheetName val="5장공내역서"/>
      <sheetName val="제6장"/>
      <sheetName val="직불동의서"/>
      <sheetName val="확약서"/>
      <sheetName val="전자입찰"/>
      <sheetName val="7작업장인수인계서"/>
      <sheetName val="3특기시방서"/>
      <sheetName val="일위대가목록(1)"/>
      <sheetName val="단가대비표(1)"/>
      <sheetName val="수질정화시설"/>
      <sheetName val="제품橂"/>
      <sheetName val="중간부"/>
      <sheetName val="차선도색현황"/>
      <sheetName val="덕소내역"/>
      <sheetName val="PO-BOB"/>
      <sheetName val="표층포설및다짐"/>
      <sheetName val="POOM_MOTO"/>
      <sheetName val="밀양노선별공사비명세서"/>
      <sheetName val="일반전기C"/>
      <sheetName val="교각별철근수량집계표"/>
      <sheetName val="Oper Amount"/>
      <sheetName val="MBR9"/>
      <sheetName val="CB"/>
      <sheetName val="CS2"/>
      <sheetName val="Site Expenses"/>
      <sheetName val="간이연락"/>
      <sheetName val="발전기"/>
      <sheetName val="다곡2교"/>
      <sheetName val="RM목표&amp;실적"/>
      <sheetName val="9509"/>
      <sheetName val="3.설계예산내역서(예산서)"/>
      <sheetName val="2.예정공정표"/>
      <sheetName val="경율산정.XLS"/>
      <sheetName val="대림경상68억"/>
      <sheetName val="PIPE"/>
      <sheetName val="굴착현장"/>
      <sheetName val="VALVE"/>
      <sheetName val="FOOTING단면력"/>
      <sheetName val="Man Power &amp; Comp"/>
      <sheetName val="const."/>
      <sheetName val="자재테이블"/>
      <sheetName val="집1"/>
      <sheetName val="단위세대"/>
      <sheetName val="SE-611"/>
      <sheetName val="방송노임"/>
      <sheetName val="일집"/>
      <sheetName val="ATS단가"/>
      <sheetName val="설계내역(2001)"/>
      <sheetName val="hvac내역서(제어동)"/>
      <sheetName val="견적서세부내용"/>
      <sheetName val="견적내용입력"/>
      <sheetName val="형식별 개략공사비"/>
      <sheetName val="원본(갑지)"/>
      <sheetName val="과세표준율-2"/>
      <sheetName val="면적분양가"/>
      <sheetName val="분양면적(1123)"/>
      <sheetName val="출력소스"/>
      <sheetName val="내역전기"/>
      <sheetName val="노임(1차)"/>
      <sheetName val="2000_11월설계내역"/>
      <sheetName val="전선_및_전선관"/>
      <sheetName val="1_수변전설비공사"/>
      <sheetName val="2__동력설비_공사"/>
      <sheetName val="3__조명설비공사"/>
      <sheetName val="4__접지설비공사"/>
      <sheetName val="5__통신설비_공사"/>
      <sheetName val="6__전기방식설비공사"/>
      <sheetName val="6_전기방식_설비공사(2)"/>
      <sheetName val="7_방호설비공사"/>
      <sheetName val="8_가설전기공사"/>
      <sheetName val="복구량산정_및_전용회선_사용"/>
      <sheetName val="4월_실적추정(건축+토목)"/>
      <sheetName val="4월_실적추정(건축)"/>
      <sheetName val="준검_내역서"/>
      <sheetName val="1_수인터널"/>
      <sheetName val="수목데이타_"/>
      <sheetName val="변압기_및_발전기_용량"/>
      <sheetName val="단가_및_재료비"/>
      <sheetName val="-_INFORMATION_-"/>
      <sheetName val="1_수변전설비"/>
      <sheetName val="2_전력간선"/>
      <sheetName val="3_동력"/>
      <sheetName val="4_전등"/>
      <sheetName val="5_전열"/>
      <sheetName val="6_약전"/>
      <sheetName val="7_소방"/>
      <sheetName val="8_방송"/>
      <sheetName val="9_조명제어"/>
      <sheetName val="10_철거공사"/>
      <sheetName val="남양시작동자105노65기1_3화1_2"/>
      <sheetName val="3BL공동구_수량"/>
      <sheetName val="표지_(2)"/>
      <sheetName val="1안"/>
      <sheetName val="총괄서"/>
      <sheetName val="Working(wo WTs)"/>
      <sheetName val="주조정실"/>
      <sheetName val="Requirements"/>
      <sheetName val="AS포장복구_"/>
      <sheetName val="단면설계"/>
      <sheetName val="감액총괄표"/>
      <sheetName val="물가대비표"/>
      <sheetName val="저리조양"/>
      <sheetName val="tggwan(mac)"/>
      <sheetName val="도로경계블럭단위수량"/>
      <sheetName val="도로경계블럭단위토공"/>
      <sheetName val="L형측구단위수량"/>
      <sheetName val="L형측구연장조서"/>
      <sheetName val="중기목록"/>
      <sheetName val="소포내역 (2)"/>
      <sheetName val="본선토량운반계산서(1)0"/>
      <sheetName val="신표지1"/>
      <sheetName val="내역(중앙)"/>
      <sheetName val="내역(창신)"/>
      <sheetName val="박스토공"/>
      <sheetName val="기준표"/>
      <sheetName val="단가및재료비"/>
      <sheetName val="보호공"/>
      <sheetName val="적용기준"/>
      <sheetName val="진우+대광"/>
      <sheetName val="배수문수량산출(3)"/>
      <sheetName val="옥외"/>
      <sheetName val=" 토목 처리장도급내역서 "/>
      <sheetName val="98수문일위"/>
      <sheetName val="(전체발주,금회3차공사)내역서"/>
      <sheetName val="기계"/>
      <sheetName val="STBOX"/>
      <sheetName val="0"/>
      <sheetName val="총괄-1"/>
      <sheetName val="평균터파기고(1-2,ASP)"/>
      <sheetName val="대포2교접속"/>
      <sheetName val="현장예산"/>
      <sheetName val="실행예산"/>
      <sheetName val="01AC"/>
      <sheetName val="BOX(1.5X1.5)"/>
      <sheetName val="TYPE-A"/>
      <sheetName val="자재집계"/>
      <sheetName val="연결관암거"/>
      <sheetName val="설계기준"/>
      <sheetName val="내역1"/>
      <sheetName val="관리,부대비"/>
      <sheetName val="단가(반정1교-원주)"/>
      <sheetName val="콘_재료분리(1)"/>
      <sheetName val="단위중량"/>
      <sheetName val="원형맨홀수량"/>
      <sheetName val="용소리교"/>
      <sheetName val="단위량당중기"/>
      <sheetName val="건축내역(진해석동)"/>
      <sheetName val="부총"/>
      <sheetName val="장문교(대전)"/>
      <sheetName val="CLAUSE"/>
      <sheetName val="약품설︀"/>
      <sheetName val="입력"/>
      <sheetName val="전기공사"/>
      <sheetName val="기흥하도용"/>
      <sheetName val="교량하부공"/>
      <sheetName val="(A)내역서"/>
      <sheetName val="13LPMCC"/>
      <sheetName val="암거단위-1련"/>
      <sheetName val="수안보-墰5壼5"/>
      <sheetName val="EUPDAT2"/>
      <sheetName val="상행-교대(A1)"/>
      <sheetName val="기간등록"/>
      <sheetName val="직원동원SCH"/>
      <sheetName val="유림골조"/>
      <sheetName val="중동상가"/>
      <sheetName val="자재조사표(참고용)"/>
      <sheetName val="분전함신설"/>
      <sheetName val="접지1종"/>
      <sheetName val="총괄원가 "/>
      <sheetName val="아파트건축"/>
      <sheetName val="SULKEA"/>
      <sheetName val="잔수량(작성)"/>
      <sheetName val="국공유지및사유지"/>
      <sheetName val="예산서"/>
      <sheetName val="모델링"/>
      <sheetName val="출력-내역서"/>
      <sheetName val="96수출"/>
      <sheetName val="단가표 "/>
      <sheetName val="투자효율분석"/>
      <sheetName val="DATA(BAC)"/>
      <sheetName val="단락전류-A"/>
      <sheetName val="DPRKMHDT"/>
      <sheetName val="공통가설"/>
      <sheetName val="IMF Code"/>
      <sheetName val="P.M 별"/>
      <sheetName val="설계변경내역서"/>
      <sheetName val="eq_data"/>
      <sheetName val="공사비 내역 (가)"/>
      <sheetName val="일반수량집계"/>
      <sheetName val="날개벽(TYPE1)"/>
      <sheetName val="공사기본자료"/>
      <sheetName val="철근량 검토"/>
      <sheetName val="유기공정"/>
      <sheetName val="공사진행"/>
      <sheetName val="기준액"/>
      <sheetName val="공사비총괄표"/>
      <sheetName val="토공정보"/>
      <sheetName val="파이프"/>
      <sheetName val="견적서(대외) (2)"/>
      <sheetName val="상세내역,전력산출서"/>
      <sheetName val="Piping(Methanol)"/>
      <sheetName val="계약표지"/>
      <sheetName val="전기 원가계산서"/>
      <sheetName val="평가데이터"/>
      <sheetName val="하부철근수량"/>
      <sheetName val="선정요령"/>
      <sheetName val="가공2원도"/>
      <sheetName val="재료집계표3"/>
      <sheetName val="범용개발순소요비용"/>
      <sheetName val="펌프장수량산출(토)"/>
      <sheetName val="EKOG10건축"/>
      <sheetName val="내역총괄"/>
      <sheetName val="내역총괄2"/>
      <sheetName val="내역총괄3"/>
      <sheetName val="토적표"/>
      <sheetName val="건설장비기초단가"/>
      <sheetName val="CAT_5"/>
      <sheetName val="내역(토목)"/>
      <sheetName val="단가대비"/>
      <sheetName val="전류"/>
      <sheetName val="일위목차"/>
      <sheetName val="포장절단"/>
      <sheetName val="일위단가"/>
      <sheetName val="일위(설)"/>
      <sheetName val="A 견적"/>
      <sheetName val="전기공사일위대가"/>
      <sheetName val="성원계약"/>
      <sheetName val="등록자료"/>
      <sheetName val="입력정보"/>
      <sheetName val="변경총괄지(1)"/>
      <sheetName val="EP0618"/>
      <sheetName val="총괄분 설계서용지"/>
      <sheetName val="동해title"/>
      <sheetName val="WEON"/>
      <sheetName val="경상"/>
      <sheetName val="가설"/>
      <sheetName val="우수"/>
      <sheetName val="교대"/>
      <sheetName val="일위산출근거"/>
      <sheetName val="입고장부 (4)"/>
      <sheetName val="BabyÀÏÀ§´ë°¡"/>
      <sheetName val="NìüëÒ-òÅ"/>
      <sheetName val="°£¼±°è»ê"/>
      <sheetName val="´ë±¸½ÇÇà"/>
      <sheetName val="0.Áý°è"/>
      <sheetName val="1.¼öº¯Àü¼³ºñ°ø»ç"/>
      <sheetName val="Ç¥Áö (2)"/>
      <sheetName val="¸Å¸³"/>
      <sheetName val="¿ø°¡°è»ê"/>
      <sheetName val="1.ÀüÂ÷¼±Á¶Á¤"/>
      <sheetName val="2.Á¶°¡¼±Á¶Á¤"/>
      <sheetName val="3.±ÞÀü¼±½Å¼³"/>
      <sheetName val="4.±ÞÀü¼±Ã¶°Å"/>
      <sheetName val="5.°í¹è¼±Ã¶°Å"/>
      <sheetName val="6.°í¾ÐÄÉÀÌºí½Å¼³"/>
      <sheetName val="7.ºñÀý¿¬¼±Á¶Á¤"/>
      <sheetName val="8.°¡µ¿ºê·¡Å°Æ®ÀÌ¼³"/>
      <sheetName val="9.HÇü°­ÁÖ½Å¼³(9m)"/>
      <sheetName val="10.°­°üÁÖ½Å¼³(9m)"/>
      <sheetName val="2"/>
      <sheetName val="두앙"/>
      <sheetName val="갈현동"/>
      <sheetName val="전기설계변경"/>
      <sheetName val="통신물량"/>
      <sheetName val="가설공사내역"/>
      <sheetName val="산출목록표"/>
      <sheetName val="수원공"/>
      <sheetName val="과세내역(세부)"/>
      <sheetName val="구분자"/>
      <sheetName val="그림"/>
      <sheetName val="구성1"/>
      <sheetName val="구성2"/>
      <sheetName val="구성3"/>
      <sheetName val="구성4"/>
      <sheetName val="그림2"/>
      <sheetName val="69.03%"/>
      <sheetName val="변경내역100%"/>
      <sheetName val="변경내역98%"/>
      <sheetName val="변경내역96%"/>
      <sheetName val="변경내역92%"/>
      <sheetName val="변경내역88%"/>
      <sheetName val="변경내역84.52%"/>
      <sheetName val="단가조사-1"/>
      <sheetName val="단가조사-2"/>
      <sheetName val="E총"/>
      <sheetName val="Languages"/>
      <sheetName val="Vari by Vendor"/>
      <sheetName val="DATA-UPS"/>
      <sheetName val="공조기(삭제)"/>
      <sheetName val="예산M11A"/>
      <sheetName val="일(4)"/>
      <sheetName val="97 사업추정(WEKI)"/>
      <sheetName val="예산M12A"/>
      <sheetName val="지수"/>
      <sheetName val="기계설비"/>
      <sheetName val="3본사"/>
      <sheetName val="공사내역서(을)실행"/>
      <sheetName val="(2)"/>
      <sheetName val="년도별노임표"/>
      <sheetName val="중기목록표"/>
      <sheetName val="원내역서3"/>
      <sheetName val="3도로"/>
      <sheetName val="101동"/>
      <sheetName val="기초일위"/>
      <sheetName val="시설일위"/>
      <sheetName val="조명일위"/>
      <sheetName val="MEXICO-C"/>
      <sheetName val="성내동"/>
      <sheetName val="2002상반기노임기준"/>
      <sheetName val="조명율데이타"/>
      <sheetName val="업체별기성내역"/>
      <sheetName val="변압기"/>
      <sheetName val="발전기용량-1"/>
      <sheetName val="발전기용량-2"/>
      <sheetName val="출력전에보세요"/>
      <sheetName val="전력간선(일반)"/>
      <sheetName val="전력간선(동력)"/>
      <sheetName val="MCC-B-A"/>
      <sheetName val="MCC-B-B"/>
      <sheetName val="MCC-B-C"/>
      <sheetName val="ACCOUNT(RECEP)"/>
      <sheetName val="부하(동력)"/>
      <sheetName val="ILLUMINANCE"/>
      <sheetName val="계산DATA"/>
      <sheetName val="데이터북"/>
      <sheetName val="조명참고자료"/>
      <sheetName val="단면별연장"/>
      <sheetName val="적격심사표"/>
      <sheetName val="EQT-ESTN"/>
      <sheetName val="평3"/>
      <sheetName val="2.펌프장(사급자재)"/>
      <sheetName val="위성"/>
      <sheetName val="적용토목"/>
      <sheetName val="3.자재비(총괄)"/>
      <sheetName val="세부내역서(전기)"/>
      <sheetName val="변경품셈총괄"/>
      <sheetName val="UR2-Calculation"/>
      <sheetName val="Proposal"/>
      <sheetName val="CC16-내역서"/>
      <sheetName val="PIPING"/>
      <sheetName val="목록"/>
      <sheetName val="1.범위"/>
      <sheetName val="2.편성"/>
      <sheetName val="3개요"/>
      <sheetName val="5내역"/>
      <sheetName val="6.GAS"/>
      <sheetName val="7임급실"/>
      <sheetName val="미제출"/>
      <sheetName val="소방1"/>
      <sheetName val="소방2"/>
      <sheetName val="왜UP"/>
      <sheetName val="샤워실위생"/>
      <sheetName val="건축토목내역"/>
      <sheetName val="대전-교대(A1-A2)"/>
      <sheetName val="205동"/>
      <sheetName val="견적서1"/>
      <sheetName val="계획금액"/>
      <sheetName val="1차 내역서"/>
      <sheetName val="교통惨У԰_x0000_"/>
      <sheetName val="콘센트신설"/>
      <sheetName val="예산조서"/>
      <sheetName val="기계경비산출"/>
      <sheetName val="동원인원"/>
      <sheetName val="작성양식"/>
      <sheetName val="품-(주)코①"/>
      <sheetName val="하도급선정의뢰_x0005__x0000__x0000__x0000__x0000_恐"/>
      <sheetName val="하도급선정의뢰煘_x0013_橂⿜_x0005__x0000_"/>
      <sheetName val="하도급선정의뢰聸_x0013_헾⾧_x0005__x0000_"/>
      <sheetName val="4신규비목발생사유서"/>
      <sheetName val="하도급선정의뢰颙〒_x0005__x0000__x0000__x0000_"/>
      <sheetName val="단면"/>
      <sheetName val="하도급선정의뢰_x0000__x0000_ರ_x0000__x0000__x0000_Ÿ"/>
      <sheetName val="하도급선정의뢰_x0000__x0000_ꢈ_x0000__x0000__x0000_Ÿ"/>
      <sheetName val="하도급선정의뢰_x0000__x0000_㇀_x0000__x0000__x0000_Ÿ"/>
      <sheetName val="하도급선정의뢰_x0000__x0000_䭠_x0000__x0000__x0000_欓"/>
      <sheetName val="하도급선정의뢰_x0010__x0000_ﻠֲ׃⽣_x0000_"/>
      <sheetName val="하도급선정의뢰_x0000__x0000_枨_x0000__x0000__x0000_"/>
      <sheetName val="하도급선정의뢰_x0000__x0000_优_x0000__x0000__x0000_"/>
      <sheetName val="하도급선정의뢰_x0010__x0000__xdfc0_࡝׃⼫_x0000_"/>
      <sheetName val="01"/>
      <sheetName val="단가조사표"/>
      <sheetName val="설계내역서(기계)"/>
      <sheetName val="b_balju"/>
      <sheetName val="총공사비"/>
      <sheetName val="단중표-ST"/>
      <sheetName val="CAL"/>
      <sheetName val="FRT_O"/>
      <sheetName val="FAB_I"/>
      <sheetName val="내부부하"/>
      <sheetName val="찍기"/>
      <sheetName val="mcc일위대가"/>
      <sheetName val="일반맨홀수량집계"/>
      <sheetName val="현장경비"/>
      <sheetName val="401"/>
      <sheetName val="견"/>
      <sheetName val="중기사용료산출근거"/>
      <sheetName val="CRUDE RE-bar"/>
      <sheetName val="협조전"/>
      <sheetName val="치수표"/>
      <sheetName val="2006기계䈌ᅪ԰_x0000_缀"/>
      <sheetName val="960318-1"/>
      <sheetName val="설계명세서(선로)"/>
      <sheetName val="일반맨홀수량집계(A-7 LINE)"/>
      <sheetName val="단가견적조사표"/>
      <sheetName val="집수정"/>
      <sheetName val="상 부"/>
      <sheetName val="B부대공"/>
      <sheetName val="성곽내역서"/>
      <sheetName val="공종별수량집계"/>
      <sheetName val="동력부하계산"/>
      <sheetName val="간접재료비산출표-27-30"/>
      <sheetName val="허용전류-IEC DATA"/>
      <sheetName val="Top PO"/>
      <sheetName val="Tot-sum"/>
      <sheetName val="FUSE_MCB"/>
      <sheetName val="공사원가계산蚘_x0013_"/>
      <sheetName val="도급예정1ီ_x0000_䀀"/>
      <sheetName val="도급예정1犢呄/"/>
      <sheetName val="도급예정1犢/"/>
      <sheetName val="도급예정1Ⴂ_x0000_䀀"/>
      <sheetName val="도급예정1ﻰᇕ԰"/>
      <sheetName val="도급예정1犢ፄ/"/>
      <sheetName val="도급예정1ჰ_x0000_䀀"/>
      <sheetName val="도급예정1ၪ_x0000_　"/>
      <sheetName val="도급예정1Ⴕ_x0000_"/>
      <sheetName val="도급예정1႒_x0000_က"/>
      <sheetName val="Macr_x0010__x0000_ፈদ䑲⼚"/>
      <sheetName val="Macr枵〺_x0000__x0000_揰_x0000_"/>
      <sheetName val="Macr枵〺_x0000__x0000_丸_x0000_"/>
      <sheetName val="Macr枵〺_x0000__x0000_㦠_x0000_"/>
      <sheetName val="Macr㑘_x001b_둠੆枵⿚"/>
      <sheetName val="Macr㑘_x001b_ञ枵⿚"/>
      <sheetName val="횡배수관"/>
      <sheetName val="154TW"/>
      <sheetName val="design load"/>
      <sheetName val="working load at the btm ft."/>
      <sheetName val="stability check"/>
      <sheetName val="design criteria"/>
      <sheetName val="견적내역"/>
      <sheetName val="보도경계블럭"/>
      <sheetName val="리터팬내장형"/>
      <sheetName val="5차설계"/>
      <sheetName val="DATA-1"/>
      <sheetName val="FAB별"/>
      <sheetName val="기둥"/>
      <sheetName val="저판(버림100)"/>
      <sheetName val="재료-CODE"/>
      <sheetName val="내역_FILE"/>
      <sheetName val="9.2단가산출서"/>
      <sheetName val="손료"/>
      <sheetName val="CAPVC"/>
      <sheetName val="주경기-오배수"/>
      <sheetName val="공사비내역서"/>
      <sheetName val="특수선일위대가"/>
      <sheetName val="맨홀토공수량"/>
      <sheetName val="날개벽(좌,우=45도,75도)"/>
      <sheetName val="한전고리-을"/>
      <sheetName val="DS-최종"/>
      <sheetName val="PREFACE"/>
      <sheetName val="2002계약현황"/>
      <sheetName val="NAI"/>
      <sheetName val="내역총괄표"/>
      <sheetName val="내역(전체)"/>
      <sheetName val="노원열병합  건축렀䡟ԯ_x0000_缀_x0000__x0000_"/>
      <sheetName val="노원열병합  건축︀ᇕ԰_x0000_缀_x0000__x0000_"/>
      <sheetName val="노원열병합  건축ﻕᇕ԰_x0000_缀_x0000__x0000_"/>
      <sheetName val="노원열병합  건축렀こ렀䡟ԯ_x0000_缀"/>
      <sheetName val="일위대가(동대문운동장별관)"/>
      <sheetName val="S鮲"/>
      <sheetName val="설명서 "/>
      <sheetName val="일위대가내역"/>
      <sheetName val="금액"/>
      <sheetName val="만수배관단가"/>
      <sheetName val="FRP배관단가(만수)"/>
      <sheetName val="금액집계"/>
      <sheetName val="기본"/>
      <sheetName val="단양 00 아파트-세부내역"/>
      <sheetName val="자탐수량산출서"/>
      <sheetName val="C1ㅇ"/>
      <sheetName val="base"/>
      <sheetName val="부표총괄"/>
      <sheetName val="STD"/>
      <sheetName val="J01"/>
      <sheetName val="공정"/>
      <sheetName val="10월"/>
      <sheetName val="2.대외공문"/>
      <sheetName val="투입(관수_건축)"/>
      <sheetName val="투입(APT500)"/>
      <sheetName val="투입(분당)"/>
      <sheetName val="작성지침서2)"/>
      <sheetName val="투입스케쥴양식"/>
      <sheetName val="투입(APT1200)"/>
      <sheetName val="투입(평촌)"/>
      <sheetName val="투입(APT1000)"/>
      <sheetName val="연면적"/>
      <sheetName val="991029UTP용 M.D.F"/>
      <sheetName val="현장점검 1"/>
      <sheetName val="상가을 "/>
      <sheetName val="3.사용전검사(1000KW이상)(본동-수정)"/>
      <sheetName val="결재갑지"/>
      <sheetName val="계획예산입력자료"/>
      <sheetName val="수량이동"/>
      <sheetName val="전체_1설계"/>
      <sheetName val="자재일람"/>
      <sheetName val="Factor"/>
      <sheetName val="w't table"/>
      <sheetName val="Main"/>
      <sheetName val="4차원가계산서"/>
      <sheetName val="환율-LIBOR"/>
      <sheetName val="J"/>
      <sheetName val="BEND LOSS"/>
      <sheetName val="통합내역"/>
      <sheetName val="실행내역서 "/>
      <sheetName val="TYPE-U800"/>
      <sheetName val="공사내역"/>
      <sheetName val="공통비"/>
      <sheetName val="VENDOR LIST"/>
      <sheetName val="소운반"/>
      <sheetName val="일위대가-1"/>
      <sheetName val="배관내역"/>
      <sheetName val="POWER"/>
      <sheetName val="2공구_x0005__x0000_"/>
      <sheetName val="2공구爘7"/>
      <sheetName val="기계경비(_x0005__x0000__x0000_"/>
      <sheetName val="2공구焸F"/>
      <sheetName val="2공구沈4"/>
      <sheetName val="2공구軰_x0014_"/>
      <sheetName val="2공구鉐_x001e_"/>
      <sheetName val="2공구_x001e_"/>
      <sheetName val="2공구議_x001e_"/>
      <sheetName val="2공구滘C"/>
      <sheetName val="BREAKDOWN"/>
      <sheetName val="REINF."/>
      <sheetName val="준공조서"/>
      <sheetName val="공사준공계"/>
      <sheetName val="준공검사보고서"/>
      <sheetName val="단위별 일위대가표"/>
      <sheetName val="1F"/>
      <sheetName val="조도계산(가로등NEW)"/>
      <sheetName val="지하1층"/>
      <sheetName val="°úÃµMAIN"/>
      <sheetName val="ÅÍ³ÎÁ¶µµ"/>
      <sheetName val="1.¼³°è±âÁØ"/>
      <sheetName val="3Â÷¼³°è"/>
      <sheetName val="ÇöÈ²CODE"/>
      <sheetName val="¼ÕÀÍÇöÈ²"/>
      <sheetName val="±âµÕ(¿øÇü)"/>
      <sheetName val="¿Ëº®"/>
      <sheetName val="´Ü°¡ºñ±³Ç¥"/>
      <sheetName val="ABUT¼ö·®-A1"/>
      <sheetName val="¹ëºê¼³Ä¡"/>
      <sheetName val="3.¹Ù´ÚÆÇ¼³°è"/>
      <sheetName val="Á¶°Ç"/>
      <sheetName val="¿©Èï"/>
      <sheetName val="tÇü"/>
      <sheetName val="2. µ¿·Â¼³ºñ °ø»ç"/>
      <sheetName val="3. Á¶¸í¼³ºñ°ø»ç"/>
      <sheetName val="4. Á¢Áö¼³ºñ°ø»ç"/>
      <sheetName val="5. Åë½Å¼³ºñ °ø»ç"/>
      <sheetName val="6. Àü±â¹æ½Ä¼³ºñ°ø»ç"/>
      <sheetName val="6.Àü±â¹æ½Ä ¼³ºñ°ø»ç(2)"/>
      <sheetName val="7.¹æÈ£¼³ºñ°ø»ç"/>
      <sheetName val="8.°¡¼³Àü±â°ø»ç"/>
      <sheetName val="»êÃâ±Ù°Å"/>
      <sheetName val="Á¡¼ö°è»ê1-2"/>
      <sheetName val="ÃÑ°è"/>
      <sheetName val="¼ö¾Èº¸-MBR1"/>
      <sheetName val="ÀÔ·ÂDATA"/>
      <sheetName val="8. ¾ÈÁ¤°ËÅä"/>
      <sheetName val="ÇöÀåÁöÁö¹°¹°·®"/>
      <sheetName val="9GNG¿î¹Ý"/>
      <sheetName val="¿µ¾÷¼Ò½ÇÀû"/>
      <sheetName val="°ø»çÁøÇà"/>
      <sheetName val="°ßÀû¼­(´ë¿Ü) (2)"/>
      <sheetName val="ÀÎ°Ç-ÃøÁ¤"/>
      <sheetName val="6PILE  (µ¹Ãâ)"/>
      <sheetName val="8.PILE  (돌출)"/>
      <sheetName val="부산4"/>
      <sheetName val="3_바닥판설계"/>
      <sheetName val="7.1유효폭"/>
      <sheetName val="IBASE"/>
      <sheetName val="Cost bd-&quot;A&quot;"/>
      <sheetName val="갑(전기)"/>
      <sheetName val="내역아"/>
      <sheetName val="울타리"/>
      <sheetName val="토목내역서"/>
      <sheetName val="COL"/>
      <sheetName val="국별인원"/>
      <sheetName val="설치공사비"/>
      <sheetName val="덕전리"/>
      <sheetName val="기기리스트"/>
      <sheetName val="단가산출-기,교"/>
      <sheetName val=" 냉각수펌프"/>
      <sheetName val="일위대가(건축)"/>
      <sheetName val="기준"/>
      <sheetName val="일위_파일"/>
      <sheetName val="SKETCH"/>
      <sheetName val="aa"/>
      <sheetName val="현금흐름"/>
      <sheetName val="전체철근집계"/>
      <sheetName val="적용단위길이"/>
      <sheetName val="피벗테이블데이터분석"/>
      <sheetName val="특수기호강도거푸집"/>
      <sheetName val="종배수관면벽신"/>
      <sheetName val="종배수관(신)"/>
      <sheetName val="성서방향-교대(A2)"/>
      <sheetName val="매매"/>
      <sheetName val="전신"/>
      <sheetName val="기타시설"/>
      <sheetName val="판매시설"/>
      <sheetName val="아파트"/>
      <sheetName val="주민복지관"/>
      <sheetName val="지하주차장"/>
      <sheetName val="LAB"/>
      <sheetName val="Inquiry"/>
      <sheetName val="증감분석"/>
      <sheetName val="산재 안전"/>
      <sheetName val="노무비 경비"/>
      <sheetName val="산정표"/>
      <sheetName val="BQ(실행)"/>
      <sheetName val="와동25-3(변경)"/>
      <sheetName val="T6-6(2)"/>
      <sheetName val="내역(가지)"/>
      <sheetName val="GI-LIST"/>
      <sheetName val="신공"/>
      <sheetName val="내역서비교"/>
      <sheetName val="하도급변경대비표"/>
      <sheetName val="2000용수잠관-수량집계"/>
      <sheetName val="별표 "/>
      <sheetName val="매입세"/>
      <sheetName val="균열"/>
      <sheetName val="노᠀⁷"/>
      <sheetName val="1공구(입찰내역)"/>
      <sheetName val="남양구조시험동"/>
      <sheetName val="CHITIET VL-NC-TT -1p"/>
      <sheetName val="TDTKP1"/>
      <sheetName val="bearing"/>
      <sheetName val="현장별계약현황('98.10.31)"/>
      <sheetName val="현장관리비데이타"/>
      <sheetName val="1)fs"/>
      <sheetName val="구조     ."/>
      <sheetName val="연돌일위집계"/>
      <sheetName val="공주-교대(A1)"/>
      <sheetName val="계약내역서(을지)"/>
      <sheetName val="빗물받이(910-510-410)"/>
      <sheetName val="단가보완"/>
      <sheetName val="Rates"/>
      <sheetName val="Front"/>
      <sheetName val="인공(100P,배선반)"/>
      <sheetName val="납부서"/>
      <sheetName val="일위대가(여기까지)"/>
      <sheetName val="단위_xdc00_ὗ␀"/>
      <sheetName val="인상효1"/>
      <sheetName val="통로box전기"/>
      <sheetName val="밧데리"/>
      <sheetName val="조명투자및환수계획"/>
      <sheetName val="제조중간결과"/>
      <sheetName val="구조물터파기수량집계"/>
      <sheetName val="배수공 시멘트 및 골재량 산출"/>
      <sheetName val="공내ᰖ"/>
      <sheetName val="1.우편집중내역서"/>
      <sheetName val="경산锼_x0013_閄"/>
      <sheetName val="합의경상"/>
      <sheetName val="단면瑌)"/>
      <sheetName val="22단"/>
      <sheetName val="22단锼"/>
      <sheetName val="기초자료입력및 K치 확인"/>
      <sheetName val="AS_x0005__x0000_"/>
      <sheetName val="8.현장관리비"/>
      <sheetName val="7.안전관리비"/>
      <sheetName val="DATA 입력부"/>
      <sheetName val="승용"/>
      <sheetName val="Recovered_Sheet1"/>
      <sheetName val="원가상세내역"/>
      <sheetName val="2004경영(비목별)"/>
      <sheetName val="2004경영"/>
      <sheetName val="변경후-SHEET"/>
      <sheetName val="도급양식"/>
      <sheetName val="장비집계"/>
      <sheetName val="손익집계(공장별)"/>
      <sheetName val="금융비용"/>
      <sheetName val="변경내역"/>
      <sheetName val="캔개발배경"/>
      <sheetName val="시장"/>
      <sheetName val="일정표"/>
      <sheetName val="테이블"/>
      <sheetName val="대비내역"/>
      <sheetName val="소방"/>
      <sheetName val="환률"/>
      <sheetName val="공사비명세서"/>
      <sheetName val="자재집계 &amp; 총괄표"/>
      <sheetName val="기계경비(땭⽀_x0005__x0000_"/>
      <sheetName val="2공구瀨B"/>
      <sheetName val="제원.浨+닑⽟"/>
      <sheetName val="제원.닑⼣_x0005__x0000_"/>
      <sheetName val="2006기계䈌ᅪ԰"/>
      <sheetName val="H-pile(298x299)"/>
      <sheetName val="H-pile(250x250)"/>
      <sheetName val="OCM"/>
      <sheetName val="AH-1 "/>
      <sheetName val="OHU"/>
      <sheetName val="01_ 원가계산서"/>
      <sheetName val="사용자정의"/>
      <sheetName val="제품표준규격"/>
      <sheetName val="내역기준"/>
      <sheetName val="SLIDES"/>
      <sheetName val="맨홀물량"/>
      <sheetName val="b_balju_ch"/>
      <sheetName val="b_balju_chÈ"/>
      <sheetName val="b_balju_ch_x0005_"/>
      <sheetName val="b_balju_chÛ"/>
      <sheetName val="b_balju_ch("/>
      <sheetName val="N賃率_職"/>
      <sheetName val="예비품"/>
      <sheetName val="조견표"/>
      <sheetName val="1호인버트수량"/>
      <sheetName val="석축설면"/>
      <sheetName val="법면단"/>
      <sheetName val="기준비용"/>
      <sheetName val="코드"/>
      <sheetName val="경영상태"/>
      <sheetName val="견적대비표"/>
      <sheetName val="일반수량총괄집계"/>
      <sheetName val="날개벽(좌,우=60도-4개)"/>
      <sheetName val="공사비증감"/>
      <sheetName val="물량尜"/>
      <sheetName val="변경비丵〒_x0005_"/>
      <sheetName val="기초ա_x0000_"/>
      <sheetName val="토공,철콘"/>
      <sheetName val="대,怀፵"/>
      <sheetName val="물량丵"/>
      <sheetName val="화해(함평)"/>
      <sheetName val="화해(장성)"/>
      <sheetName val="광혁기성"/>
      <sheetName val="º¯°æ»çÀ5"/>
      <sheetName val="AILC005"/>
      <sheetName val="AILC00_x0000_"/>
      <sheetName val="AILC00_x0010_"/>
      <sheetName val="변수데이타"/>
      <sheetName val="INDEX"/>
      <sheetName val="15100"/>
      <sheetName val="MAT"/>
      <sheetName val="산근(목록)"/>
      <sheetName val="이형관중량"/>
      <sheetName val="판"/>
      <sheetName val="기자재׃"/>
      <sheetName val="갑지(0_x0000_"/>
      <sheetName val="단0_x0000_退"/>
      <sheetName val="갑지(렀뚣瘉"/>
      <sheetName val="갑지(_x0000_뎰瘇"/>
      <sheetName val="분수공별 면적"/>
      <sheetName val="관로조직표"/>
      <sheetName val="기자재_x0000_"/>
      <sheetName val="단0_x0000__x0000_"/>
      <sheetName val="단ူ_x0000_䠀"/>
      <sheetName val="기자재_x0010_"/>
      <sheetName val="기자재壸"/>
      <sheetName val="기자재嬨"/>
      <sheetName val="기자재蔈"/>
      <sheetName val="견적대ﱀ"/>
      <sheetName val="견적대₨"/>
      <sheetName val="기자재游"/>
      <sheetName val="기자재೨"/>
      <sheetName val="기자재箘"/>
      <sheetName val="기자재"/>
      <sheetName val="기자재à"/>
      <sheetName val="기자재灰"/>
      <sheetName val="집계표(공종별)"/>
      <sheetName val="스케즐"/>
      <sheetName val="PAINT"/>
      <sheetName val="NAMES"/>
      <sheetName val="시운전연료"/>
      <sheetName val="22단헾"/>
      <sheetName val="단가적용(터널)"/>
      <sheetName val="단위가격_할증"/>
      <sheetName val="전선_및_전선ࠝ"/>
      <sheetName val="일위대가 "/>
      <sheetName val="제"/>
      <sheetName val="총괄집䠄ᡏ"/>
      <sheetName val="산출2-기기동력"/>
      <sheetName val="통신단가조사"/>
      <sheetName val="105,106,107동"/>
      <sheetName val="수로교총재료齘_x0013_"/>
      <sheetName val="산출및내역"/>
      <sheetName val="적용(기尜_x0013_"/>
      <sheetName val="2.1  노무비 평균단가산출"/>
      <sheetName val="3CHBDC"/>
      <sheetName val="1-11조직표"/>
      <sheetName val="96.12"/>
      <sheetName val="22단丵"/>
      <sheetName val="정산입력"/>
      <sheetName val="단산"/>
      <sheetName val="신규 품"/>
      <sheetName val="품종별월계"/>
      <sheetName val="조정내역"/>
      <sheetName val="변경비_x0000__x0000_Ѡ"/>
      <sheetName val="안정검토(온1)"/>
      <sheetName val="96작생능"/>
      <sheetName val="홈통받이수량"/>
      <sheetName val="내역서 "/>
      <sheetName val="단위집계표"/>
      <sheetName val="공통가설공사"/>
      <sheetName val="WING3"/>
      <sheetName val="공사수행방안"/>
      <sheetName val="기초및구체공"/>
      <sheetName val="삼보지질"/>
      <sheetName val="7.전산해석결과"/>
      <sheetName val="4.하중"/>
      <sheetName val="우각부검토"/>
      <sheetName val="개소별수량산출"/>
      <sheetName val="Data2"/>
      <sheetName val="2BOX본체"/>
      <sheetName val="설-원가"/>
      <sheetName val="자재단가리스트"/>
      <sheetName val="공사내역(총괄)"/>
      <sheetName val="대보~세기"/>
      <sheetName val="전력"/>
      <sheetName val="#3_일위대가목록"/>
      <sheetName val="#2_일위대가목록"/>
      <sheetName val="A"/>
      <sheetName val="운반비산정"/>
      <sheetName val="현황산출서"/>
      <sheetName val="미드수량"/>
      <sheetName val="일목"/>
      <sheetName val="기본DATԯ"/>
      <sheetName val="기본DAT頀"/>
      <sheetName val="현장대리인계"/>
      <sheetName val="울진항공등화 내역서"/>
      <sheetName val="공무공A"/>
      <sheetName val="36신설수翇"/>
      <sheetName val="36신설수︀"/>
      <sheetName val="기성공제요청서"/>
      <sheetName val="하도기성내역 수정"/>
      <sheetName val="기성공제 동의서"/>
      <sheetName val="기성공제 합의서(쓰레기처리비)"/>
      <sheetName val="969910( R)"/>
      <sheetName val="전장품(관리용)"/>
      <sheetName val="견적꓀᥻"/>
      <sheetName val="수안보-_x0005__x0000__x0000_"/>
      <sheetName val="36신설수Ç"/>
      <sheetName val="36신설수資"/>
      <sheetName val="수안보-徸〒_x0005__x0000_"/>
      <sheetName val="비목군분류일위"/>
      <sheetName val="입출재고현⩿〚_x0005__x0000_"/>
      <sheetName val="º¯°æ»çÀ_x0000_"/>
      <sheetName val="백호헾】_x0005_"/>
      <sheetName val="수안보-娐&gt;闰⿑"/>
      <sheetName val="수안보-ꮸ⿥_x0005__x0000_"/>
      <sheetName val="백호丵〒_x0005_"/>
      <sheetName val="내역서(기성청구)"/>
      <sheetName val="위치"/>
      <sheetName val="공작물조직표(용배수)"/>
      <sheetName val="날개수량1.5"/>
      <sheetName val="투찰가"/>
      <sheetName val="철근총괄집계표"/>
      <sheetName val="영동(D)"/>
      <sheetName val="copy"/>
      <sheetName val="서식"/>
      <sheetName val="L-type"/>
      <sheetName val="자재비"/>
      <sheetName val="이토변실(A3-LINE)"/>
      <sheetName val="4)유동표"/>
      <sheetName val="공사착공계"/>
      <sheetName val="참조 DATA"/>
      <sheetName val="공제구간조서"/>
      <sheetName val="spec"/>
      <sheetName val="program"/>
      <sheetName val="studbolt no."/>
      <sheetName val="studbolt size"/>
      <sheetName val="item sort no"/>
      <sheetName val="일위藨-헾"/>
      <sheetName val="음성방향"/>
      <sheetName val="REDUCER"/>
      <sheetName val="WE'T"/>
      <sheetName val="공리공제"/>
      <sheetName val="Summar헾】_x0005__x0000__x0000__x0000__x0000_"/>
      <sheetName val="호표"/>
      <sheetName val="실︀ԯ"/>
      <sheetName val="단위"/>
      <sheetName val="토공A"/>
      <sheetName val="참조"/>
      <sheetName val="영구峤"/>
      <sheetName val="단가_x0005__x0000_"/>
      <sheetName val="영구_x0005_"/>
      <sheetName val="영구射"/>
      <sheetName val="영구嶄"/>
      <sheetName val="접속도로"/>
      <sheetName val="주소록"/>
      <sheetName val="자(3.0m)"/>
      <sheetName val="Instruction"/>
      <sheetName val="4.2.1 마루높이 검토"/>
      <sheetName val="견적단가"/>
      <sheetName val="조경"/>
      <sheetName val="수안보-헾】_x0005__x0000_"/>
      <sheetName val="준공조서갑지"/>
      <sheetName val="슬래브"/>
      <sheetName val="토공총괄표"/>
      <sheetName val="예가표"/>
      <sheetName val="아산경희980422"/>
      <sheetName val="22단가(철完9"/>
      <sheetName val="지질조사"/>
      <sheetName val="총체보활공정표"/>
      <sheetName val="T1"/>
      <sheetName val="단가결정"/>
      <sheetName val="내역."/>
      <sheetName val="부대"/>
      <sheetName val="적격"/>
      <sheetName val="교육종류"/>
      <sheetName val="견적사양비교표"/>
      <sheetName val="시설물기초"/>
      <sheetName val="FIN TUBE"/>
      <sheetName val="HED. &amp; PIPE"/>
      <sheetName val="PUMP SHT"/>
      <sheetName val="FEXS"/>
      <sheetName val=" ｹ-ﾌﾞﾙ"/>
      <sheetName val="MW-BM"/>
      <sheetName val="공정코드"/>
      <sheetName val="환율"/>
      <sheetName val="평가내역"/>
      <sheetName val="직접인건비"/>
      <sheetName val="토공대가"/>
      <sheetName val="토공실행"/>
      <sheetName val="전체공내역서"/>
      <sheetName val="퍼스트"/>
      <sheetName val="입찰사유서 제4공종 (흙깎기)"/>
      <sheetName val="DT"/>
      <sheetName val="롤러"/>
      <sheetName val="BH"/>
      <sheetName val="펌프차타설"/>
      <sheetName val="대비표"/>
      <sheetName val="A(Rev.3)"/>
      <sheetName val="5.3 단면가정"/>
      <sheetName val="36신丵〒_x0005_"/>
      <sheetName val="재료단가"/>
      <sheetName val="낙찰표"/>
      <sheetName val="총괄집렇♑"/>
      <sheetName val="앉음벽 (2)"/>
      <sheetName val="foxz"/>
      <sheetName val="진주䈀ᅪ"/>
      <sheetName val="도장수량(하1)"/>
      <sheetName val="기계경비단가"/>
      <sheetName val="栍ᾆ"/>
      <sheetName val="개산공사비"/>
      <sheetName val="포쐀䑣"/>
      <sheetName val="포䠟⥏"/>
      <sheetName val="포䠠⥏"/>
      <sheetName val="01상노임"/>
      <sheetName val="토 적 표"/>
      <sheetName val="기지국"/>
      <sheetName val="제㗇"/>
      <sheetName val="주차구丵〒_x0005__x0000_"/>
      <sheetName val="방음벽 기초_x0005__x0000__x0000__x0000_"/>
      <sheetName val="전체내ꠀ፺"/>
      <sheetName val="전체내저፺"/>
      <sheetName val="전체내堀᎟"/>
      <sheetName val="인건비堀"/>
      <sheetName val="전체내︀ᇕ"/>
      <sheetName val="전체내怀፵"/>
      <sheetName val="변경비鰀፰"/>
      <sheetName val="㰀"/>
      <sheetName val="ꀀ"/>
      <sheetName val="전체내죃፺"/>
      <sheetName val="주관锼_x0013_"/>
      <sheetName val="전체내쀀ፐ"/>
      <sheetName val="堀"/>
      <sheetName val="주관사堀"/>
      <sheetName val="전체내壈᎟"/>
      <sheetName val="전체내惇፵"/>
      <sheetName val="주관사저"/>
      <sheetName val="견적ꀀፐ"/>
      <sheetName val="전체내惈፵"/>
      <sheetName val="일위대가(계측ꀀፐቇ"/>
      <sheetName val="경ꀀፐ"/>
      <sheetName val="전체내죈፺"/>
      <sheetName val="견적堀᎟"/>
      <sheetName val="교대(A1挔"/>
      <sheetName val="부대헾】"/>
      <sheetName val="교대(A1窨"/>
      <sheetName val="부대窨_x0013_"/>
      <sheetName val="하수급견적대窨"/>
      <sheetName val="전체내㗈቎"/>
      <sheetName val="2호맨홀공제수량"/>
      <sheetName val="INS-SHEET"/>
      <sheetName val="인부노임"/>
      <sheetName val="도근좌표"/>
      <sheetName val="직원자료"/>
      <sheetName val="업종분류"/>
      <sheetName val="장비분류"/>
      <sheetName val="단가산출목록표"/>
      <sheetName val="sub"/>
      <sheetName val=" 소방공사 산출근거"/>
      <sheetName val="유림총괄"/>
      <sheetName val="새공통(96임금인상기준)"/>
      <sheetName val="하수급견적대䧨"/>
      <sheetName val="SHUTDOWN VALVE"/>
      <sheetName val="실资䈀"/>
      <sheetName val="실㠀赫䈀"/>
      <sheetName val="실蠀艆䈀"/>
      <sheetName val="실退艬_xdc00_"/>
      <sheetName val="실ꠀ⑬餀"/>
      <sheetName val="하수급견적대헾"/>
      <sheetName val="실頀몁_xdc00_"/>
      <sheetName val="하수급견적대_x0005_"/>
      <sheetName val="하수급견적대䪘"/>
      <sheetName val="하수급견적대桑"/>
      <sheetName val="하수급견적대䗸"/>
      <sheetName val="하수급견적대汈"/>
      <sheetName val="하수급견적대䫘"/>
      <sheetName val="하수급견적대烐"/>
      <sheetName val="하수급견적대䠸"/>
      <sheetName val="하수급견적대溈"/>
      <sheetName val="실舀鐟ԯ"/>
      <sheetName val="하수급견적대靨"/>
      <sheetName val="하수급견적대䝸"/>
      <sheetName val="실렀齈_xdb00_"/>
      <sheetName val="실ࠀ齯_xdb00_"/>
      <sheetName val="단_xd800_镊ἀ"/>
      <sheetName val="단镰Ⰰ"/>
      <sheetName val="실저비_xdb00_"/>
      <sheetName val="실᠀㙋䈀"/>
      <sheetName val="실⠀텊䈀"/>
      <sheetName val="실态吣԰"/>
      <sheetName val="실저칄怀"/>
      <sheetName val="실퀀칪ᰀ"/>
      <sheetName val="하수급견적대炠"/>
      <sheetName val="하수급견적대䞘"/>
      <sheetName val="부하"/>
      <sheetName val="APT"/>
      <sheetName val="공사예산하조서(O.K)"/>
      <sheetName val="일위대가표 (䀀⅒"/>
      <sheetName val="ÀÏÀ§´ë°¡Ç¥(1@"/>
      <sheetName val="일위대가표 (ԯ_x0000_"/>
      <sheetName val="을부담운반비"/>
      <sheetName val="Ext. Stone-P"/>
      <sheetName val="2터널시점"/>
      <sheetName val="흄관기초"/>
      <sheetName val="부대공(집계)"/>
      <sheetName val="포장단면별단위수량"/>
      <sheetName val="ACUNIT"/>
      <sheetName val="탑( Ṱ氀"/>
      <sheetName val="실焀휦ԯ"/>
      <sheetName val="1SPA8"/>
      <sheetName val="교통_x0005__x0000_"/>
      <sheetName val="교통닑⿃_x0005_"/>
      <sheetName val="교통닑⿣_x0005_"/>
      <sheetName val="교통淀6渌"/>
      <sheetName val="교통墨_x0015_닑"/>
      <sheetName val="LD退"/>
      <sheetName val="1SPA"/>
      <sheetName val="실蠀㑬턀"/>
      <sheetName val="1SPAð"/>
      <sheetName val="1SPAP"/>
      <sheetName val="1SPA_x0005_"/>
      <sheetName val="2.조명기구철거(일괄철거분)"/>
      <sheetName val="설계산출기초"/>
      <sheetName val="도급예산내역서봉투"/>
      <sheetName val="도급예산내역서총괄표"/>
      <sheetName val="운반비산출"/>
      <sheetName val="교통닑⿱_x0005_"/>
      <sheetName val="직공ꂲ"/>
      <sheetName val="금액浨+"/>
      <sheetName val="교통닑⼣_x0005_"/>
      <sheetName val="증감퀀䅰"/>
      <sheetName val="9-1차이내역."/>
      <sheetName val="몰탈㔀቎԰_x0000_"/>
      <sheetName val="몰탈䠊ፓ倀놡"/>
      <sheetName val="몰탈䠋ፓ頀뫻"/>
      <sheetName val="몰탈䠠ፓ瀀멗"/>
      <sheetName val="몰탈䠊ፓ "/>
      <sheetName val="세부내역(직접인건비)"/>
      <sheetName val="몰탈䠉ፓ退"/>
      <sheetName val="몰탈䠉ፓ退ꠍ"/>
      <sheetName val="몰탈䠑ፓ뀀짅"/>
      <sheetName val="TOEC"/>
      <sheetName val="몰탈䠊ፓ㠀擞"/>
      <sheetName val="bdata-출력안함"/>
      <sheetName val="자재ᰀ፜搀"/>
      <sheetName val="WIND-EQ"/>
      <sheetName val="GEN"/>
      <sheetName val="부대공집계표"/>
      <sheetName val="관일"/>
      <sheetName val="준공정산"/>
      <sheetName val="실ԯ"/>
      <sheetName val="케이블트레이"/>
      <sheetName val="단가표 (2)"/>
      <sheetName val="안양동교 1안"/>
      <sheetName val="자금청구"/>
      <sheetName val="소각장스케줄"/>
      <sheetName val="bCord공정"/>
      <sheetName val="d수량"/>
      <sheetName val="e대가"/>
      <sheetName val="g단가"/>
      <sheetName val="h집계"/>
      <sheetName val="건축공사 집계표"/>
      <sheetName val="골조"/>
      <sheetName val="pbs_lambda"/>
      <sheetName val="Matériel embarqué PVC"/>
      <sheetName val="master(total)"/>
      <sheetName val="2000.11¿ù¼³餀㢘ԯ_x0000_缀_x0000_"/>
      <sheetName val="0_집계"/>
      <sheetName val="1_전차선조정"/>
      <sheetName val="2_조가선조정"/>
      <sheetName val="3_급전선신설"/>
      <sheetName val="4_급전선철거"/>
      <sheetName val="5_고배선철거"/>
      <sheetName val="6_고압케이블신설"/>
      <sheetName val="7_비절연선조정"/>
      <sheetName val="8_가동브래키트이설"/>
      <sheetName val="9_H형강주신설(9m)"/>
      <sheetName val="10_강관주신설(9m)"/>
      <sheetName val="11_H강주철거(11m)"/>
      <sheetName val="11_H형강기초"/>
      <sheetName val="13_강관주기초"/>
      <sheetName val="14_장력조정장치신설"/>
      <sheetName val="15_장력조정장치철거___"/>
      <sheetName val="16_콘주철거(9m)"/>
      <sheetName val="17_지선신설(보통)"/>
      <sheetName val="18_지선신설(v형)"/>
      <sheetName val="19_지선철거"/>
      <sheetName val="20_기중개폐기신설"/>
      <sheetName val="3-1_CB"/>
      <sheetName val="제3장 기술업무"/>
      <sheetName val="수량산출서-2"/>
      <sheetName val="Cable schedule"/>
      <sheetName val="V-data"/>
      <sheetName val="L-data"/>
      <sheetName val="P-data"/>
      <sheetName val="3련 B_x0005__x0000_"/>
      <sheetName val="기성수금(단단위)"/>
      <sheetName val="원가매출(단단위)"/>
      <sheetName val="아수배전(1회)"/>
      <sheetName val="인건비_조사"/>
      <sheetName val="적용건축"/>
      <sheetName val="설치 일위대가(4԰_x0000_缀_x0000__x0000__x0000_"/>
      <sheetName val="프로젝트"/>
      <sheetName val="99년신청"/>
      <sheetName val="깨기수량"/>
      <sheetName val="기존단가 (2)"/>
      <sheetName val="OZ049E"/>
      <sheetName val="배수내역(총수량)"/>
      <sheetName val="층"/>
      <sheetName val="수주실적0709"/>
      <sheetName val="주beam"/>
      <sheetName val="음봉방향"/>
      <sheetName val="자료(통합)"/>
      <sheetName val="발주내역"/>
      <sheetName val="건축원가"/>
      <sheetName val="제4절-1"/>
      <sheetName val="2000년하반기"/>
      <sheetName val="0217상가미분양자산"/>
      <sheetName val="BOQ-Summary_Form A1"/>
      <sheetName val="BOQ-Summary_Form A2"/>
      <sheetName val="BOQ-Summary_Form A3"/>
      <sheetName val="Attachment_A"/>
      <sheetName val="elect QC"/>
      <sheetName val="Quezon"/>
      <sheetName val="bulcan"/>
      <sheetName val="Bulacan"/>
      <sheetName val="10현장조직"/>
      <sheetName val="3-1-12"/>
      <sheetName val="3-1-3"/>
      <sheetName val="단가산출1"/>
      <sheetName val="21301동"/>
      <sheetName val="금긋기 및 절단"/>
      <sheetName val="TB-내역서"/>
      <sheetName val="costing_CV"/>
      <sheetName val="costing_ESDV"/>
      <sheetName val="costing_FE"/>
      <sheetName val="Condition"/>
      <sheetName val="costing_Misc"/>
      <sheetName val="costing_MOV"/>
      <sheetName val="costing_Press"/>
      <sheetName val="choose"/>
      <sheetName val="별표(48~75)"/>
      <sheetName val="공사내역(2003년)"/>
      <sheetName val="본댐설계"/>
      <sheetName val="2.2.2입적표"/>
      <sheetName val="¼ö·®»êÃÈ"/>
      <sheetName val="¼ö·®»êÃX"/>
      <sheetName val="壈᎟"/>
      <sheetName val="쀀ፐ"/>
      <sheetName val="죈፺"/>
      <sheetName val="惈፵"/>
      <sheetName val="우수공"/>
      <sheetName val="설계개요"/>
      <sheetName val="대가목록"/>
      <sheetName val="금광1터널"/>
      <sheetName val="전기내역서(총계)"/>
      <sheetName val="일위(PN)"/>
      <sheetName val="순공사비"/>
      <sheetName val="산출"/>
      <sheetName val="2000,_x0010__x0000_退˘踇"/>
      <sheetName val="2000,_x0010__x0000_蒘Ȭ踇"/>
      <sheetName val="2000,_x0000__x0000_ᓐ_x0000__x0000_"/>
      <sheetName val="2000,_x0000__x0000_︸_x0000__x0000_"/>
      <sheetName val="2000,_x0000__x0000_Ẩ_x0000__x0000_"/>
      <sheetName val="2000,到_x0016_剼_x0016_徸"/>
      <sheetName val="2000,徸⽝_x0005__x0000_"/>
      <sheetName val="2000,咘೿踇⽟_x0000_"/>
      <sheetName val="2000,ﳨǬ踇⾣_x0000_"/>
      <sheetName val="실행변경(1차)"/>
      <sheetName val="2000,缈,罌,헾"/>
      <sheetName val="2000,薸!藼!헾"/>
      <sheetName val="2000,螨_x0013_蟬_x0013_헾"/>
      <sheetName val="안양1공구_건축"/>
      <sheetName val="2000,午_x0013_꾈ૂ䡲"/>
      <sheetName val="2000,午_x0013_ॢ䡲"/>
      <sheetName val="SANBAISU"/>
      <sheetName val="전체내ᓈባ"/>
      <sheetName val="4렀቟԰"/>
      <sheetName val="4︀ᇕ԰"/>
      <sheetName val="현장설က_x0000_蠀ᛟ"/>
      <sheetName val="학생내역"/>
      <sheetName val="인부신상자료"/>
      <sheetName val="3.하중산정4.지지력"/>
      <sheetName val="사각맨0"/>
      <sheetName val="견적의ᰀ፜"/>
      <sheetName val="사각맨᠜"/>
      <sheetName val="공기԰_x0000_缀"/>
      <sheetName val="설계睮め_x0005_"/>
      <sheetName val="CF"/>
      <sheetName val="전기일위목록"/>
      <sheetName val="RE9604"/>
      <sheetName val="거푸집물량"/>
      <sheetName val="가계부"/>
      <sheetName val="제품목록"/>
      <sheetName val="매입매출관리"/>
      <sheetName val="구간산출"/>
      <sheetName val="토공집계표"/>
      <sheetName val="이름정의"/>
      <sheetName val="초기화면1"/>
      <sheetName val="분양가격표"/>
      <sheetName val="원가계산하도"/>
      <sheetName val="단위_x0000__x0000_尀"/>
      <sheetName val="단위ࠀᎄ䰀"/>
      <sheetName val="단위倀❹缀"/>
      <sheetName val="단위耀ὡ"/>
      <sheetName val="적점"/>
      <sheetName val="원내역서 그대로"/>
      <sheetName val="시가지우회도로공내역서"/>
      <sheetName val="회로내역(승인)"/>
      <sheetName val="실행비교"/>
      <sheetName val="기계실"/>
      <sheetName val="PART_DISCOUNT"/>
      <sheetName val="변경실행(2차) "/>
      <sheetName val="TYPE집계표"/>
      <sheetName val="일위집계(기존)"/>
      <sheetName val="북제주-표지"/>
      <sheetName val="COVERSHEET"/>
      <sheetName val="건공실"/>
      <sheetName val="자재 집계표"/>
      <sheetName val="현장관리비 산출내역"/>
      <sheetName val="토목검측서"/>
      <sheetName val="설계일반"/>
      <sheetName val="수압집계"/>
      <sheetName val="SP-B1"/>
      <sheetName val="환산"/>
      <sheetName val="산출근거#2-3"/>
      <sheetName val="고창터널(고창방향䈀"/>
      <sheetName val="지입재료비"/>
      <sheetName val="산출명세서"/>
      <sheetName val="적요"/>
      <sheetName val="세부狇譈"/>
      <sheetName val="매출단가"/>
      <sheetName val="조정_x0014__x0008_"/>
      <sheetName val="_x0000__x0008__x0000__x0008__x0000__x0006__x0000__x0004_"/>
      <sheetName val="7.PILE  (돌출)"/>
      <sheetName val="품셈총괄표"/>
      <sheetName val="SRC-B3U2"/>
      <sheetName val="현대물량"/>
      <sheetName val="마장"/>
      <sheetName val="첨부1"/>
      <sheetName val="지입집계"/>
      <sheetName val="사급자재총괄"/>
      <sheetName val="공종별 집계"/>
      <sheetName val="용역비내역-진짜"/>
      <sheetName val="인원"/>
      <sheetName val="계림(함평)"/>
      <sheetName val="계림(장성)"/>
      <sheetName val="11+040(통로)"/>
      <sheetName val="일별1"/>
      <sheetName val="집행(2-1)"/>
      <sheetName val="기성부분검사원"/>
      <sheetName val="업체별기성금액"/>
      <sheetName val="2회기성각사별배분표"/>
      <sheetName val="기성공문 (2)"/>
      <sheetName val="기성공문"/>
      <sheetName val="계좌입금의뢰서"/>
      <sheetName val="도급각서"/>
      <sheetName val="철콘기성청구서 (2)"/>
      <sheetName val="공종별집계표(건축) (2)"/>
      <sheetName val="형틀공사기성 (2)"/>
      <sheetName val="철콘기성청구서"/>
      <sheetName val="공종별집계표(건축)"/>
      <sheetName val="형틀공사기성"/>
      <sheetName val="조적기성청구서  "/>
      <sheetName val="공종별집계표(조적) "/>
      <sheetName val="조적공사"/>
      <sheetName val="미장기성청구서 "/>
      <sheetName val="공종별집계표(미장.방수)"/>
      <sheetName val="미장공사"/>
      <sheetName val="하도급각서 (2)"/>
      <sheetName val="하도급계좌입금의뢰서 "/>
      <sheetName val="용산3(영광)"/>
      <sheetName val="기본사항"/>
      <sheetName val="¹°·㑈"/>
      <sheetName val="database"/>
      <sheetName val="방배동내역(리라)"/>
      <sheetName val="건축공사집계표"/>
      <sheetName val="부대공사총괄"/>
      <sheetName val="수량산출(비굴착)"/>
      <sheetName val="2차공사"/>
      <sheetName val="임시전기공사설계서"/>
      <sheetName val="Imp-Data"/>
      <sheetName val="전등수량산출"/>
      <sheetName val="내역서 (1차)"/>
      <sheetName val="4-2.전기관급자재(수배전반)내역서"/>
      <sheetName val="당사실시1"/>
      <sheetName val="참조자료"/>
      <sheetName val="ATM기초철가"/>
      <sheetName val="시화점실행"/>
      <sheetName val="식재일위대가"/>
      <sheetName val="공조기"/>
      <sheetName val="REACTION芨.헾⿁_x0005__x0000_"/>
      <sheetName val="REACTION鴘E鵜E헾⼼_x0005_"/>
      <sheetName val="7단가"/>
      <sheetName val="정산내역"/>
      <sheetName val="횡배수관집현황(2공구)"/>
      <sheetName val="교대시점"/>
      <sheetName val="입력변수"/>
      <sheetName val="타견적(을)"/>
      <sheetName val="토공 total"/>
      <sheetName val="INMD1198"/>
      <sheetName val="INFG1198"/>
      <sheetName val="표준ፙ렀ᑟ"/>
      <sheetName val="9."/>
      <sheetName val="일위대가서식"/>
      <sheetName val="일위대가양식"/>
      <sheetName val="5."/>
      <sheetName val="11"/>
      <sheetName val="12."/>
      <sheetName val="14."/>
      <sheetName val="13"/>
      <sheetName val="7."/>
      <sheetName val="8."/>
      <sheetName val="10."/>
      <sheetName val="전기단가조사서"/>
      <sheetName val="PI蒨9"/>
      <sheetName val="영창26"/>
      <sheetName val="공종목록표"/>
      <sheetName val="내역서적용수량"/>
      <sheetName val="일위1"/>
      <sheetName val="공종구간"/>
      <sheetName val="산출0"/>
      <sheetName val="오억미만"/>
      <sheetName val="직원자료입력"/>
      <sheetName val="청구내역(9807)"/>
      <sheetName val="MixBed"/>
      <sheetName val="CondPol"/>
      <sheetName val="11.H°­ÁÖÃ¶°Å(11m)"/>
      <sheetName val="11.HÇü°­±âÃÊ"/>
      <sheetName val="13.°­°üÁÖ±âÃÊ"/>
      <sheetName val="14.Àå·ÂÁ¶Á¤ÀåÄ¡½Å¼³"/>
      <sheetName val="15.Àå·ÂÁ¶Á¤ÀåÄ¡Ã¶°Å   "/>
      <sheetName val="16.ÄÜÁÖÃ¶°Å(9m)"/>
      <sheetName val="17.Áö¼±½Å¼³(º¸Åë)"/>
      <sheetName val="18.Áö¼±½Å¼³(vÇü)"/>
      <sheetName val="19.Áö¼±Ã¶°Å"/>
      <sheetName val="20.±âÁß°³Æó±â½Å¼³"/>
      <sheetName val="±âÃÊ´Ü°¡"/>
      <sheetName val="의정부문예회관변경내역"/>
      <sheetName val="POL6차-PIPING"/>
      <sheetName val="¾Æ»êÃß°¡1220"/>
      <sheetName val="98Áö±Þ°èÈ¹"/>
      <sheetName val="´çÃÊ"/>
      <sheetName val="1.¼³°èÁ¶°Ç"/>
      <sheetName val="Àç·á"/>
      <sheetName val="°¡·ÎµîºÎÇ¥"/>
      <sheetName val="Á¦°æºñÀ²"/>
      <sheetName val="³»¿ª(¼³°è)"/>
      <sheetName val="½Ä»ýºí·°´ÜÀ§¼ö·®"/>
      <sheetName val="Á¤ºÎ³ëÀÓ´Ü°¡"/>
      <sheetName val="Pricelist TAC AB"/>
      <sheetName val="물가정보자료"/>
      <sheetName val="공용시설내역"/>
      <sheetName val="萀⅜"/>
      <sheetName val="장비당단가 (1)"/>
      <sheetName val="O＆P"/>
      <sheetName val="결재판(삭제하지말아주세요)"/>
      <sheetName val="본사인상전"/>
      <sheetName val="유첨䈀ᅪ"/>
      <sheetName val="토공,기초"/>
      <sheetName val="자재 단가표"/>
      <sheetName val="주간계획"/>
      <sheetName val="선택"/>
      <sheetName val="가CP"/>
      <sheetName val="TG9504"/>
      <sheetName val="1995년 섹터별 매출"/>
      <sheetName val="ROOF(ALKALI)"/>
      <sheetName val="역T형옹벽(3.0)"/>
      <sheetName val="실행(ALT1)"/>
      <sheetName val="참조M"/>
      <sheetName val="新철폐복2"/>
      <sheetName val="新철폐복3"/>
      <sheetName val="을지로철거"/>
      <sheetName val="자재표"/>
      <sheetName val="1,2,3,4,5단위수량"/>
      <sheetName val="사다리"/>
      <sheetName val="Param"/>
      <sheetName val="Personnaliser..."/>
      <sheetName val="Takt Time"/>
      <sheetName val="예총"/>
      <sheetName val="부丵〒"/>
      <sheetName val="부司2"/>
      <sheetName val="보호"/>
      <sheetName val="성남여성복지내역"/>
      <sheetName val="전자"/>
      <sheetName val="현지검측내역"/>
      <sheetName val="구주,중아,CIS"/>
      <sheetName val="EL90"/>
      <sheetName val="계정"/>
      <sheetName val="절감계산"/>
      <sheetName val="ML"/>
      <sheetName val="기초"/>
      <sheetName val="archi(본사)"/>
      <sheetName val="단가대조"/>
      <sheetName val="유첨_x0005__x0000_"/>
      <sheetName val="유첨헾】"/>
      <sheetName val="PARAMETER"/>
      <sheetName val="예산"/>
      <sheetName val="가로등제어반 설치공사(수량)"/>
      <sheetName val="제일"/>
      <sheetName val="신호등"/>
      <sheetName val="미관등"/>
      <sheetName val="가시설수량"/>
      <sheetName val="99 조정금액"/>
      <sheetName val="동력배선"/>
      <sheetName val="본선동력배선"/>
      <sheetName val="본선조명"/>
      <sheetName val="전력간선배선"/>
      <sheetName val="전열배선"/>
      <sheetName val="배관배선 단가조사"/>
      <sheetName val="도급내역서"/>
      <sheetName val="관급자재대"/>
      <sheetName val="통신㑈4̆"/>
      <sheetName val="설계요율"/>
      <sheetName val="주재료비"/>
      <sheetName val="4.전기"/>
      <sheetName val="단가비교표 (계측제어)"/>
      <sheetName val="YES-T"/>
      <sheetName val="흄관수량"/>
      <sheetName val="품셈(기초)"/>
      <sheetName val="48전력선로일挔"/>
      <sheetName val="48일위(기존)"/>
      <sheetName val="하도급선정의뢰_x0000__x0000_螨_x0000__x0000__x0000_ۈ"/>
      <sheetName val="FWBS7000,8000"/>
      <sheetName val="ANALYSER"/>
      <sheetName val="ring wall thickness"/>
      <sheetName val="단가조정표"/>
      <sheetName val="가로등산출서 (작업1)"/>
      <sheetName val="신호등신출서 (작업1)"/>
      <sheetName val="육교등산출서(작업1)"/>
      <sheetName val="내역서1"/>
      <sheetName val="포장공자재집계표"/>
      <sheetName val="잡철물"/>
      <sheetName val="가시설(TYPE-A)"/>
      <sheetName val="1호맨홀가감수량"/>
      <sheetName val="1-1평균터파기고(1)"/>
      <sheetName val="1호맨홀수량산출"/>
      <sheetName val="6.¾㉀ᩴ蛀"/>
      <sheetName val="공사비 내역"/>
      <sheetName val="공사설계서"/>
      <sheetName val="전부인쇄"/>
      <sheetName val="1.외주공사"/>
      <sheetName val="2.직영공사"/>
      <sheetName val="원가계산서 "/>
      <sheetName val="원가서"/>
      <sheetName val="A LINE"/>
      <sheetName val="예산조서-총ԯ"/>
      <sheetName val="예산조서-총頀"/>
      <sheetName val="사통"/>
      <sheetName val="거래명세서"/>
      <sheetName val="자재목록표"/>
      <sheetName val="노무비(첨부4-4)"/>
      <sheetName val="LH3 동양시스템"/>
      <sheetName val="견적2001(1분기)"/>
      <sheetName val="Stem Footing"/>
      <sheetName val="단가최종"/>
      <sheetName val="미지급내역"/>
      <sheetName val="투찰금액"/>
      <sheetName val="경비산출"/>
      <sheetName val="위치蠀ﵱ"/>
      <sheetName val="위치︀盕"/>
      <sheetName val="입헾⿵"/>
      <sheetName val="입鴸Ĕ"/>
      <sheetName val="입헾⽈"/>
      <sheetName val="입鞨d"/>
      <sheetName val="입헾⾐"/>
      <sheetName val="위치恅"/>
      <sheetName val="위치䢳恬"/>
      <sheetName val="위치餀ẘ"/>
      <sheetName val="위치_xd800_챉"/>
      <sheetName val="Macro(부하)"/>
      <sheetName val="입적"/>
      <sheetName val="부하飝챊欀犺"/>
      <sheetName val="부하欀犺ԯ_x0000_"/>
      <sheetName val="내역서 (ﺬ諕"/>
      <sheetName val="LD"/>
      <sheetName val="평균높이산출근거"/>
      <sheetName val="꣈፺"/>
      <sheetName val="︀ᇕ"/>
      <sheetName val="怀፵"/>
      <sheetName val="자단"/>
      <sheetName val="주사무실︀ᇕ"/>
      <sheetName val="주사무실ꠀ፺"/>
      <sheetName val="BOX ꠀ፺"/>
      <sheetName val="㗈቎"/>
      <sheetName val="¼ö·®»êÃ¨"/>
      <sheetName val="주사무실ֳ_x0000_"/>
      <sheetName val="¼ö·®»êÃ_x0005_"/>
      <sheetName val="¼ö·®»êÃ "/>
      <sheetName val="TYPE1"/>
      <sheetName val="철근량"/>
      <sheetName val="䋈ᅪ"/>
      <sheetName val="거실통로등"/>
      <sheetName val="주사무실墳᎟"/>
      <sheetName val="BOX ︀ᇕ"/>
      <sheetName val="BOX 저፺"/>
      <sheetName val="일위대가1"/>
      <sheetName val="8.석축단위(H=1.5M)"/>
      <sheetName val="ﻈ䓕"/>
      <sheetName val="BOX ︀釕"/>
      <sheetName val="위치︀釕"/>
      <sheetName val="BOX ᢝ"/>
      <sheetName val="︀動"/>
      <sheetName val="쌍송교"/>
      <sheetName val="위치᠀ᶛ"/>
      <sheetName val="수지표"/>
      <sheetName val="셀명"/>
      <sheetName val="D"/>
      <sheetName val="기성내역"/>
      <sheetName val="BOX ︀鷕"/>
      <sheetName val="주사무실頀▀"/>
      <sheetName val="BOX 頀▀"/>
      <sheetName val="주사무실蠀⮂"/>
      <sheetName val="위치蠀⮂"/>
      <sheetName val="BOX 蠀⮂"/>
      <sheetName val="︀嗕"/>
      <sheetName val="위치︀㓕"/>
      <sheetName val="주사무실︀㓕"/>
      <sheetName val="위치_xd800_ᢘ"/>
      <sheetName val="VXXXXXXX"/>
      <sheetName val="저፺"/>
      <sheetName val="용수간선"/>
      <sheetName val="일반부표"/>
      <sheetName val="집계표(육상)"/>
      <sheetName val="DATE2001"/>
      <sheetName val="좌측"/>
      <sheetName val="L_RPTB03_01"/>
      <sheetName val="주사무실԰_x0000_"/>
      <sheetName val="ꠀ፺"/>
      <sheetName val="뚝토공"/>
      <sheetName val="05년"/>
      <sheetName val="사  업  비  수  지  예  산  서"/>
      <sheetName val="내역서(총괄)"/>
      <sheetName val="1을"/>
      <sheetName val="공종별 집계표"/>
      <sheetName val="외천교"/>
      <sheetName val="철콘집계"/>
      <sheetName val="5회기성03월"/>
      <sheetName val="공통가설_8"/>
      <sheetName val="아파트_9"/>
      <sheetName val="직접공사비집계표_7"/>
      <sheetName val="명단원자료(이전)"/>
      <sheetName val="감가상각"/>
      <sheetName val="목표세부명세"/>
      <sheetName val="기초입력"/>
      <sheetName val="소일위대가코드표"/>
      <sheetName val="당진1,2호기전선관설치및접지4차공사내역서-을지"/>
      <sheetName val="토목공사일반"/>
      <sheetName val="교실"/>
      <sheetName val="추가예산"/>
      <sheetName val="원가계산서(남측)"/>
      <sheetName val="왕십리방향"/>
      <sheetName val="견적대비(1차) (2)"/>
      <sheetName val="CON'C"/>
      <sheetName val="차수"/>
      <sheetName val="북방3터널"/>
      <sheetName val="등록업체"/>
      <sheetName val="esc"/>
      <sheetName val="LIST"/>
      <sheetName val="영흥TL(UP,DOWN) "/>
      <sheetName val="sheets"/>
      <sheetName val="관기성공.내"/>
      <sheetName val="TYPE-B 평균H"/>
      <sheetName val="횡배수관위치조서"/>
      <sheetName val="GAEYO"/>
      <sheetName val="토목내역서 (도급단가)"/>
      <sheetName val="내역서단가산출용"/>
      <sheetName val="도장 및 용접 수량"/>
      <sheetName val="M-EQPT-Z"/>
      <sheetName val="3련 B姨#"/>
      <sheetName val="경로,구간현황"/>
      <sheetName val="1_설계기준"/>
      <sheetName val="Sheet1_(2)"/>
      <sheetName val="사업계획1안"/>
      <sheetName val="월별수입"/>
      <sheetName val="상가지급현황"/>
      <sheetName val="증栀ᙿ가"/>
      <sheetName val="배"/>
      <sheetName val="IMP_(REACTOR)"/>
      <sheetName val="1호맨홀토공"/>
      <sheetName val="옹벽기초자료"/>
      <sheetName val="무전표"/>
      <sheetName val="제잡비"/>
      <sheetName val="내역서적용수량집계표(가로)"/>
      <sheetName val="노임단가표"/>
      <sheetName val="수곡내역"/>
      <sheetName val="원가총괄"/>
      <sheetName val="1._x0018_변︀ᇕ԰"/>
      <sheetName val="1._x0018_변԰_x0000__x0000_"/>
      <sheetName val="1._x0018_변ԯ_x0000_缀"/>
      <sheetName val="DEVI."/>
      <sheetName val="U.C."/>
      <sheetName val="차선도색수량집계"/>
      <sheetName val="라멘교일반수량"/>
      <sheetName val="물墸᎟鰀"/>
      <sheetName val="화재 탐지_x0005__x0000_"/>
      <sheetName val="전신환매도徸"/>
      <sheetName val="5.공종별尜_x0013_層_x0013_闰"/>
      <sheetName val="금액내㔀቎"/>
      <sheetName val="청하배수"/>
      <sheetName val="매입내역 "/>
      <sheetName val="거래처별지출내역"/>
      <sheetName val="총(철거)"/>
      <sheetName val="첨부"/>
      <sheetName val="계산DATA입력"/>
      <sheetName val="집계(세부총괄)"/>
      <sheetName val="전력구구조물산근2구간"/>
      <sheetName val="C.배수관공"/>
      <sheetName val="식재-외주 (2)"/>
      <sheetName val="유효폭의 계산"/>
      <sheetName val="Sheet16 (2)"/>
      <sheetName val="시초1교"/>
      <sheetName val="대구-교대(A1)"/>
      <sheetName val="변품8-37"/>
      <sheetName val="참조(2)"/>
      <sheetName val="현장일보"/>
      <sheetName val="기성내역서"/>
      <sheetName val="우,오수"/>
      <sheetName val="팔당터널(1공구)"/>
      <sheetName val="재료표"/>
      <sheetName val="card1"/>
      <sheetName val="흙쌓기도수로설치현황(1)"/>
      <sheetName val="총괄집桶青"/>
      <sheetName val="포䈀㙪"/>
      <sheetName val="도체종-상수표"/>
      <sheetName val="수량BOQ"/>
      <sheetName val="첨부파일"/>
      <sheetName val="추천서"/>
      <sheetName val="조도계산서_(도서)"/>
      <sheetName val="1_설계조건"/>
      <sheetName val="단__가__대__비__표"/>
      <sheetName val="일__위__대__가__목__록"/>
      <sheetName val="90_03실행_"/>
      <sheetName val="3_공통공사대비"/>
      <sheetName val="지하"/>
      <sheetName val="파형강관집계"/>
      <sheetName val="Despacho (c.civil)"/>
      <sheetName val="1000 DB구축 부표"/>
      <sheetName val="4.일위대가목차"/>
      <sheetName val="적격점수&lt;300억미만&gt;"/>
      <sheetName val="설계내"/>
      <sheetName val="설치 일위대가(46~԰_x0000_缀_x0000_"/>
      <sheetName val="물가변동잔여물량세부내역서"/>
      <sheetName val="신규(방류시설)"/>
      <sheetName val="덤프트럭계수"/>
      <sheetName val="카메라"/>
      <sheetName val="화재 颮㍓씀넖ԯ"/>
      <sheetName val="기초코徸"/>
      <sheetName val="T13(P68~72,78)"/>
      <sheetName val="RangeObject"/>
      <sheetName val="분뇨"/>
      <sheetName val="방음벽기초(H_xd8d4_ㆂᰀㆃ"/>
      <sheetName val="Ⅴ-2.공종별내역"/>
      <sheetName val="일위대가(원본)"/>
      <sheetName val="입찰준비계획안(부대)"/>
      <sheetName val="입찰준비계획안(외주)"/>
      <sheetName val="입찰준비계획안(기타견적)"/>
      <sheetName val="장항선4공구직접비집계"/>
      <sheetName val="공사기본내용입력"/>
      <sheetName val="원하도급내역서(당초)"/>
      <sheetName val="공통단가"/>
      <sheetName val="운반비"/>
      <sheetName val="1.취수장"/>
      <sheetName val="상-교대(A1-A2)"/>
      <sheetName val="금액결揄"/>
      <sheetName val="CT "/>
      <sheetName val="貭♘"/>
      <sheetName val="단중聀"/>
      <sheetName val="당정동경상이수"/>
      <sheetName val="당정동공통이수"/>
      <sheetName val="가중치"/>
      <sheetName val="예산조서(︀ᇕ԰"/>
      <sheetName val="과세면세표"/>
      <sheetName val="인제내역"/>
      <sheetName val="현장지䀀ኀ㠀ኃ"/>
      <sheetName val="2000_x0005__x0000__x0000_"/>
      <sheetName val="㩷"/>
      <sheetName val="렀ⵘ"/>
      <sheetName val="֭_x0000_"/>
      <sheetName val="16-1"/>
      <sheetName val="5호광장_(만점)"/>
      <sheetName val="인천국제_(만점)_(2)"/>
      <sheetName val="설_계"/>
      <sheetName val="단면_(2)"/>
      <sheetName val="외주대비_-석축"/>
      <sheetName val="외주대비-구조물_(2)"/>
      <sheetName val="견적표지_(3)"/>
      <sheetName val="hvac(제어동)"/>
      <sheetName val="마산방향철근집계"/>
      <sheetName val="시추주상도"/>
      <sheetName val="※참고자료※"/>
      <sheetName val="정화조"/>
      <sheetName val="총괄집㸁䧾"/>
      <sheetName val="가시설"/>
      <sheetName val="평균환율-USD"/>
      <sheetName val="인원동원계획"/>
      <sheetName val="AHU집계"/>
      <sheetName val="공조기휀"/>
      <sheetName val="계양가시설"/>
      <sheetName val="N頀ᚃ"/>
      <sheetName val="N"/>
      <sheetName val="남대문빌딩"/>
      <sheetName val="PUMP"/>
      <sheetName val="전등부하"/>
      <sheetName val="간접경상비"/>
      <sheetName val="8월"/>
      <sheetName val="12월"/>
      <sheetName val="1월"/>
      <sheetName val="7월"/>
      <sheetName val="6월"/>
      <sheetName val="11월"/>
      <sheetName val="9월"/>
      <sheetName val="1.동력공사"/>
      <sheetName val="농로수량집계"/>
      <sheetName val="BOX ᠀ᶛ"/>
      <sheetName val="저ᚙ"/>
      <sheetName val="ꠀ᪘"/>
      <sheetName val="위치ꠀ᪘"/>
      <sheetName val="특기사항"/>
      <sheetName val="하도내역 (철콘)"/>
      <sheetName val="Change rate"/>
      <sheetName val="B3.PERSONEL-Ucret"/>
      <sheetName val="nomi "/>
      <sheetName val="ᓈባ"/>
      <sheetName val="︀盕"/>
      <sheetName val="壈▞"/>
      <sheetName val="gvl"/>
      <sheetName val="대가단최종"/>
      <sheetName val="단위수량산출"/>
      <sheetName val="차도부연장현황"/>
      <sheetName val="국도접속 차도부수량"/>
      <sheetName val="원곡IC교 내진성능보강공사 실시설계 용역.xlsx"/>
      <sheetName val="CPM챠트"/>
      <sheetName val="05 BOX"/>
      <sheetName val="02 SLAB"/>
      <sheetName val="목록1"/>
      <sheetName val="목록2"/>
      <sheetName val="합의서"/>
      <sheetName val="노임목록"/>
      <sheetName val="2.노무비명세서(수직보垰7埼"/>
      <sheetName val="전체내ꀀፐ"/>
      <sheetName val="교대(A1_x0005_"/>
      <sheetName val="부대_x0005__x0000_"/>
      <sheetName val="식재가격"/>
      <sheetName val="식재총괄"/>
      <sheetName val="전체내׃_x0000_"/>
      <sheetName val="9-1㔀቎԰_x0000_"/>
      <sheetName val="9-1԰_x0000_缀_x0000_"/>
      <sheetName val="전체내㠀ᎍ"/>
      <sheetName val="하수급견적대齘"/>
      <sheetName val="교대(A1竈"/>
      <sheetName val="하수급견적대竈"/>
      <sheetName val="전체내䋈ᅪ"/>
      <sheetName val="전체내԰_x0000_"/>
      <sheetName val="전체내֬_x0000_"/>
      <sheetName val="전체내ﰀ⁗"/>
      <sheetName val="전체내ﻈ䓕"/>
      <sheetName val="교대(A1헾"/>
      <sheetName val="하수급견적대鷸"/>
      <sheetName val="전체내棈᎜"/>
      <sheetName val="전체내䠀ᖞ"/>
      <sheetName val="하수급견적대鬘"/>
      <sheetName val="차압계산"/>
      <sheetName val="전체내저ᚙ"/>
      <sheetName val="전체내ꠀ᪘"/>
      <sheetName val="하수급견적대風"/>
      <sheetName val="하수급견적대肘"/>
      <sheetName val="부대芈+"/>
      <sheetName val="하수급견적대芈"/>
      <sheetName val="전체내︀嗕"/>
      <sheetName val="부대헾⼴"/>
      <sheetName val="하수급견적대飘"/>
      <sheetName val="전체내蠀ᒗ"/>
      <sheetName val="암거치수표"/>
      <sheetName val="재료집계표빽업"/>
      <sheetName val="암거수리계산서"/>
      <sheetName val="◀암거위치"/>
      <sheetName val="최종단면▶"/>
      <sheetName val="◀평균높이▶"/>
      <sheetName val="전체내︀盕"/>
      <sheetName val="일위대가(계측︩盕ԯ_x0000_"/>
      <sheetName val="전체내壈▞"/>
      <sheetName val="토공총괄집계"/>
      <sheetName val="공종코드"/>
      <sheetName val="방호벽"/>
      <sheetName val="낙석방지책"/>
      <sheetName val="D-3109"/>
      <sheetName val="D16"/>
      <sheetName val="D25"/>
      <sheetName val="D22"/>
      <sheetName val="명세"/>
      <sheetName val="견적서(1)"/>
      <sheetName val="2234"/>
      <sheetName val="조립1부실적"/>
      <sheetName val="능률"/>
      <sheetName val="자판실행"/>
      <sheetName val="단위세대물량"/>
      <sheetName val="변경품셈"/>
      <sheetName val="대창(함평)"/>
      <sheetName val="암거공"/>
      <sheetName val="-15.0"/>
      <sheetName val="해평견적"/>
      <sheetName val="사리부설"/>
      <sheetName val="임대견적서"/>
      <sheetName val="금액︀⣕"/>
      <sheetName val="증감대쀀"/>
      <sheetName val="업체별 금액"/>
      <sheetName val="참조용쉬트"/>
      <sheetName val="청구서"/>
      <sheetName val="공동_집계표"/>
      <sheetName val="분담_집계표"/>
      <sheetName val="분담_대보"/>
      <sheetName val="분담_DB"/>
      <sheetName val="분담_동우"/>
      <sheetName val="대총괄내역서"/>
      <sheetName val="중총괄내역서"/>
      <sheetName val="소총괄내역서"/>
      <sheetName val="내역서_영상검지기"/>
      <sheetName val="내역서_레이더"/>
      <sheetName val="내역서_AVI"/>
      <sheetName val="내역서_CCTV"/>
      <sheetName val="내역서_지하차도CCTV"/>
      <sheetName val="내역서_VMS"/>
      <sheetName val="내역서_신호"/>
      <sheetName val="내역서_광통신장비"/>
      <sheetName val="내역서_주정차단속"/>
      <sheetName val="내역서_교통"/>
      <sheetName val="내역서_예비품"/>
      <sheetName val="내역서_전산"/>
      <sheetName val="내역서_정보통신"/>
      <sheetName val="내역서_전기"/>
      <sheetName val="내역서_토목"/>
      <sheetName val="내역서_기타(건축,소방)"/>
      <sheetName val="내역서_설계비및부대임대료"/>
      <sheetName val="세부내역_영상"/>
      <sheetName val="세부내역_레이더"/>
      <sheetName val="세부내역_AVI"/>
      <sheetName val="세부내역_CCTV"/>
      <sheetName val="세부내역_지하CCTV"/>
      <sheetName val="세부내역_VMS"/>
      <sheetName val="세부내역_신호"/>
      <sheetName val="세부내역_광통신"/>
      <sheetName val="세부내역_주정차"/>
      <sheetName val="세부내역_교통"/>
      <sheetName val="세부내역_예비품"/>
      <sheetName val="세부내역_전산"/>
      <sheetName val="세부내역_통신"/>
      <sheetName val="세부내역_전기"/>
      <sheetName val="세부내역_토목"/>
      <sheetName val="일위대가_건축구조(1)"/>
      <sheetName val="일위대가_건축토목(1)"/>
      <sheetName val="일위대가_SW"/>
      <sheetName val="SW개발비_산정기준"/>
      <sheetName val="세부내역_건축"/>
      <sheetName val="바이오"/>
      <sheetName val="입찰보Ⳡ"/>
      <sheetName val="배수관접합및부설  "/>
      <sheetName val="W-현원가"/>
      <sheetName val="회사99"/>
      <sheetName val="부대토목"/>
      <sheetName val="LABTOTAL"/>
      <sheetName val="COA-17"/>
      <sheetName val="C-18"/>
      <sheetName val="Assumptions"/>
      <sheetName val="값"/>
      <sheetName val="AIR_SHOWER(3인용)"/>
      <sheetName val="96월별PL"/>
      <sheetName val="양식(직판용)"/>
      <sheetName val="설계수량"/>
      <sheetName val="원가집계"/>
      <sheetName val="견적시담(송포2공구)"/>
      <sheetName val="UB2"/>
      <sheetName val="sheet"/>
      <sheetName val="40총괄"/>
      <sheetName val="40집계"/>
      <sheetName val="변경후원본2"/>
      <sheetName val="경성자금"/>
      <sheetName val="SUB일위대가"/>
      <sheetName val="평자재단가"/>
      <sheetName val="95년12월말"/>
      <sheetName val="교량전기"/>
      <sheetName val="철거산출헾】"/>
      <sheetName val="철거산출午_x0013_"/>
      <sheetName val="토목(용인)"/>
      <sheetName val="건축집계"/>
      <sheetName val="2.주요계수총괄"/>
      <sheetName val="적정성평가표(8번)(1순위)"/>
      <sheetName val="적정성평가표(12번)(6순위)"/>
      <sheetName val="기별(종합)"/>
      <sheetName val="집"/>
      <sheetName val="물塠"/>
      <sheetName val="물徸"/>
      <sheetName val="guard(mac¸"/>
      <sheetName val="물嬼"/>
      <sheetName val="물闰"/>
      <sheetName val="guard(macð"/>
      <sheetName val="물呈"/>
      <sheetName val="guard(macH"/>
      <sheetName val="기성청구현황"/>
      <sheetName val="11.자재단가"/>
      <sheetName val="inputdata"/>
      <sheetName val="각종양식"/>
      <sheetName val="공사"/>
      <sheetName val="총괄BOQ"/>
      <sheetName val="변경ᛅ⾒_x0005_"/>
      <sheetName val="2F_회의실견적(5_14_일대)"/>
      <sheetName val="골재丵〒"/>
      <sheetName val="산출서집계"/>
      <sheetName val="³ëÀ_x001f_"/>
      <sheetName val="내역총渀腷"/>
      <sheetName val="화산경계"/>
      <sheetName val="°¡·Îµî耀퓬縺"/>
      <sheetName val="°¡·Îµî⸀朋ԯ_x0000_缀_x0000_"/>
      <sheetName val="수정계획3"/>
      <sheetName val="combi(wall)"/>
      <sheetName val="토공대비"/>
      <sheetName val="Macro상수"/>
      <sheetName val="방배동내역 (총괄)"/>
      <sheetName val="³²¾ç½ÃÀÛµ¿ÀÚ105³ë65±_x0000__x0000__x0005__x0000_慀ȡ_x0000__x0000__x0000_"/>
      <sheetName val="단  가  垨4奜4睮⿩_x0005_"/>
      <sheetName val="빙장비사양"/>
      <sheetName val="단가산출2"/>
      <sheetName val="표지판현황"/>
      <sheetName val="철탑공사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3F"/>
      <sheetName val="총_xd8ac_"/>
      <sheetName val="계좌번호"/>
      <sheetName val="커튼월(pfg)"/>
      <sheetName val="배수내역"/>
      <sheetName val="시설물"/>
      <sheetName val="식재"/>
      <sheetName val="복구량산정_및_전용회선_사용1"/>
      <sheetName val="4월_실적추정(건축+토목)1"/>
      <sheetName val="4월_실적추정(건축)1"/>
      <sheetName val="1_수변전설비1"/>
      <sheetName val="2_전력간선1"/>
      <sheetName val="3_동력1"/>
      <sheetName val="4_전등1"/>
      <sheetName val="5_전열1"/>
      <sheetName val="6_약전1"/>
      <sheetName val="7_소방1"/>
      <sheetName val="8_방송1"/>
      <sheetName val="9_조명제어1"/>
      <sheetName val="10_철거공사1"/>
      <sheetName val="AIR_SHOWER(3인용)1"/>
      <sheetName val="1_전차선조정1"/>
      <sheetName val="2_조가선조정1"/>
      <sheetName val="3_급전선신설1"/>
      <sheetName val="4_급전선철거1"/>
      <sheetName val="5_고배선철거1"/>
      <sheetName val="6_고압케이블신설1"/>
      <sheetName val="7_비절연선조정1"/>
      <sheetName val="8_가동브래키트이설1"/>
      <sheetName val="9_H형강주신설(9m)1"/>
      <sheetName val="10_강관주신설(9m)1"/>
      <sheetName val="11_H강주철거(11m)1"/>
      <sheetName val="11_H형강기초1"/>
      <sheetName val="13_강관주기초1"/>
      <sheetName val="14_장력조정장치신설1"/>
      <sheetName val="15_장력조정장치철거___1"/>
      <sheetName val="16_콘주철거(9m)1"/>
      <sheetName val="17_지선신설(보통)1"/>
      <sheetName val="18_지선신설(v형)1"/>
      <sheetName val="19_지선철거1"/>
      <sheetName val="20_기중개폐기신설1"/>
      <sheetName val="남양시작동자105노65기1_3화1_21"/>
      <sheetName val="0_집계1"/>
      <sheetName val="1_수변전설비공사1"/>
      <sheetName val="표지_(2)1"/>
      <sheetName val="조도계산서_(도서)1"/>
      <sheetName val="3-1_CB1"/>
      <sheetName val="unit_4"/>
      <sheetName val="3_내역서"/>
      <sheetName val="원가계산서_(총괄)"/>
      <sheetName val="원가계산서_(건축)"/>
      <sheetName val="임시급식_(2)"/>
      <sheetName val="Summary_Sheets"/>
      <sheetName val="96보완계획7_12"/>
      <sheetName val="전차선로_물량표"/>
      <sheetName val="ITB_COST"/>
      <sheetName val="º¹±¸·®»êÁ¤_¹×_Àü¿ëÈ¸¼±_»ç¿ë"/>
      <sheetName val="4¿ù_½ÇÀûÃßÁ¤(°ÇÃà+Åä¸ñ)"/>
      <sheetName val="4¿ù_½ÇÀûÃßÁ¤(°ÇÃà)"/>
      <sheetName val="빌딩_안내"/>
      <sheetName val="EQUIPMENT_-2"/>
      <sheetName val="1_변전설비"/>
      <sheetName val="1_¼öº¯Àü¼³ºñ"/>
      <sheetName val="2_Àü·Â°£¼±"/>
      <sheetName val="3_µ¿·Â"/>
      <sheetName val="4_Àüµî"/>
      <sheetName val="5_Àü¿­"/>
      <sheetName val="6_¾àÀü"/>
      <sheetName val="7_¼Ò¹æ"/>
      <sheetName val="8_¹æ¼Û"/>
      <sheetName val="9_Á¶¸íÁ¦¾î"/>
      <sheetName val="10_Ã¶°Å°ø»ç"/>
      <sheetName val="³²¾ç½ÃÀÛµ¿ÀÚ105³ë65±â1_3È­1_2"/>
      <sheetName val="Á¶µµ°è»ê¼­_(µµ¼­)"/>
      <sheetName val="6PILE__(돌출)"/>
      <sheetName val="Man_Power_&amp;_Comp"/>
      <sheetName val="노원열병합__건축공사기성내역서"/>
      <sheetName val="자동_철거"/>
      <sheetName val="자동_설치"/>
      <sheetName val="토목_철주"/>
      <sheetName val="철거_일위대가(1-19)"/>
      <sheetName val="철거_일위대가(20-22)"/>
      <sheetName val="설치_일위대가(23-45호)"/>
      <sheetName val="설치_일위대가(46~78호)"/>
      <sheetName val="노무비_근거"/>
      <sheetName val="효성CB_1P기초"/>
      <sheetName val="const_"/>
      <sheetName val="내역서_(2)"/>
      <sheetName val="220_(2)"/>
      <sheetName val="플랜트_설치"/>
      <sheetName val="1공구_건정토건_토공"/>
      <sheetName val="TRE_TABLE"/>
      <sheetName val="3련_BOX"/>
      <sheetName val="2000년_공정표"/>
      <sheetName val="화재_탐지_설비"/>
      <sheetName val="호봉_(2)"/>
      <sheetName val="2000,9월_일위"/>
      <sheetName val="CABLE_SIZE-3"/>
      <sheetName val="2000_11¿ù¼³°è³»¿ª"/>
      <sheetName val="Àü¼±_¹×_Àü¼±°ü"/>
      <sheetName val="ÁØ°Ë_³»¿ª¼­"/>
      <sheetName val="¼ö¸ñµ¥ÀÌÅ¸_"/>
      <sheetName val="º¯¾Ð±â_¹×_¹ßÀü±â_¿ë·®"/>
      <sheetName val="1_¼öÀÎÅÍ³Î"/>
      <sheetName val="8_PILE__(돌출)"/>
      <sheetName val="69_03%"/>
      <sheetName val="변경내역84_52%"/>
      <sheetName val="PROJECT_BRIEF"/>
      <sheetName val="BSD_(2)"/>
      <sheetName val="_견적서"/>
      <sheetName val="5_공종별예산내역서"/>
      <sheetName val="97_사업추정(WEKI)"/>
      <sheetName val="단가_"/>
      <sheetName val="총괄원가_"/>
      <sheetName val="_갑__지_"/>
      <sheetName val="기성내역_진짜"/>
      <sheetName val="설산1_나"/>
      <sheetName val="실행내역서_"/>
      <sheetName val="plan&amp;section_of_foundation"/>
      <sheetName val="working_load_at_the_btm_ft_"/>
      <sheetName val="stability_check"/>
      <sheetName val="design_criteria"/>
      <sheetName val="할증_"/>
      <sheetName val="PUMP_SHT"/>
      <sheetName val="FIN_TUBE"/>
      <sheetName val="HED__&amp;_PIPE"/>
      <sheetName val="_총괄표"/>
      <sheetName val="0_Áý°è"/>
      <sheetName val="1_¼öº¯Àü¼³ºñ°ø»ç"/>
      <sheetName val="Ç¥Áö_(2)"/>
      <sheetName val="DATA_입력부"/>
      <sheetName val="Customer_Databas"/>
      <sheetName val="기존단가_(2)"/>
      <sheetName val="9_"/>
      <sheetName val="세부견적서(DAS_Call_Back)"/>
      <sheetName val="2_펌프장(사급자재)"/>
      <sheetName val="입고장부_(4)"/>
      <sheetName val="1차_내역서"/>
      <sheetName val="5_"/>
      <sheetName val="12_"/>
      <sheetName val="14_"/>
      <sheetName val="7_"/>
      <sheetName val="8_"/>
      <sheetName val="10_"/>
      <sheetName val="토공(우물통,기타)_"/>
      <sheetName val="금강견적"/>
      <sheetName val="내역 (2)"/>
      <sheetName val="건축2"/>
      <sheetName val="암거"/>
      <sheetName val="기초대가"/>
      <sheetName val="공사직종별노임"/>
      <sheetName val="비탈면보호공수량산출"/>
      <sheetName val="PANEL 내역"/>
      <sheetName val="사용성검토"/>
      <sheetName val="작성"/>
      <sheetName val="행거,슈,볼트,펌프,잡재"/>
      <sheetName val="을-ATYPE"/>
      <sheetName val="선수금"/>
      <sheetName val="카렌스센터계량기설치공사"/>
      <sheetName val="Macro(AT)"/>
      <sheetName val="PW3"/>
      <sheetName val="PW4"/>
      <sheetName val="SC1"/>
      <sheetName val="PE"/>
      <sheetName val="PM"/>
      <sheetName val="TR"/>
      <sheetName val="0001(arch)"/>
      <sheetName val="금호산업"/>
      <sheetName val="표 지"/>
      <sheetName val="강관산출"/>
      <sheetName val="일반수량산출"/>
      <sheetName val="N閞㋁"/>
      <sheetName val="포장재료집계표"/>
      <sheetName val="-몰탈콘크리트"/>
      <sheetName val="-배수구조물공토공"/>
      <sheetName val="횡배수관재료-"/>
      <sheetName val="계산서(직선부)"/>
      <sheetName val="콘크리트측구연장"/>
      <sheetName val="내부수지예산"/>
      <sheetName val="1단계_견적내역서"/>
      <sheetName val="합계"/>
      <sheetName val="7.3.1 전력간선 굵기"/>
      <sheetName val="DAILY"/>
      <sheetName val="OCT"/>
      <sheetName val="ISOP"/>
      <sheetName val="비교1"/>
      <sheetName val="12_xd8b7_⭎ጀ鮂"/>
      <sheetName val="12좷⭘ጀ鮂"/>
      <sheetName val="배수공1"/>
      <sheetName val="법면"/>
      <sheetName val="반중력식옹벽3.5"/>
      <sheetName val="°ø±¸¼Õ·_x0000_"/>
      <sheetName val="방송(체육관)"/>
      <sheetName val="기본자료"/>
      <sheetName val="선우통상(을)"/>
      <sheetName val="견적서-골조공사"/>
      <sheetName val="0.갑지"/>
      <sheetName val="구의33고"/>
      <sheetName val="귀래방향"/>
      <sheetName val="FCU (2)"/>
      <sheetName val="장비분석"/>
      <sheetName val="---FAB#1업무일지---"/>
      <sheetName val="ᰀ፜"/>
      <sheetName val="평당자료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N0_x0000_"/>
      <sheetName val="수전기기DATA"/>
      <sheetName val="MdBase"/>
      <sheetName val="수정"/>
      <sheetName val="RING WALL"/>
      <sheetName val="운동장 (2)"/>
      <sheetName val="진행 DATA (2)"/>
      <sheetName val="외화계약"/>
      <sheetName val="본사공가현황"/>
      <sheetName val="J直_x0004__x0005_"/>
      <sheetName val="ༀༀ̀ఀЀ"/>
      <sheetName val="수량산출서 갑지"/>
      <sheetName val="손료기준-공사부구두문의"/>
      <sheetName val="파일의이용"/>
      <sheetName val="자재수량"/>
      <sheetName val="기존구조물철거집계계표"/>
      <sheetName val="신공항A-9헾】_x0005__x0000__x0000_"/>
      <sheetName val="도장"/>
      <sheetName val="펌프장수량䈀嵪ԯ_x0000_缀"/>
      <sheetName val="펌프장수량㔀቎԰_x0000_缀"/>
      <sheetName val="펌프장수량ԯ_x0000_缀_x0000__x0000_"/>
      <sheetName val="실내건축일위대가"/>
      <sheetName val="변수2"/>
      <sheetName val="저항"/>
      <sheetName val="대상공사(조달청)"/>
      <sheetName val="적용환율"/>
      <sheetName val="basic_info"/>
      <sheetName val="9GN邷㭘"/>
      <sheetName val="shtOpr"/>
      <sheetName val="정거장"/>
      <sheetName val="길내기"/>
      <sheetName val="(C)원내역"/>
      <sheetName val="겉장"/>
      <sheetName val="기성검사원"/>
      <sheetName val="율림"/>
      <sheetName val="화진"/>
      <sheetName val="가설(내부수평비계)"/>
      <sheetName val="건축물현장정리"/>
      <sheetName val="공통가설공사(공통)"/>
      <sheetName val="골재대"/>
      <sheetName val="폐기물"/>
      <sheetName val="폐기물 (2)"/>
      <sheetName val="경로당내역건축"/>
      <sheetName val="노임단가(08.01)"/>
      <sheetName val="몰탈단가"/>
      <sheetName val="기능공인적사항"/>
      <sheetName val="ALINE"/>
      <sheetName val="ꢭ፺"/>
      <sheetName val="5공철탑검토표"/>
      <sheetName val="4공철탑검토"/>
      <sheetName val="S0"/>
      <sheetName val="99노임기준"/>
      <sheetName val="48산출"/>
      <sheetName val="품목납기"/>
      <sheetName val="총괄갑 "/>
      <sheetName val="B.O.M"/>
      <sheetName val="화전내"/>
      <sheetName val="빙축열"/>
      <sheetName val="견적정보"/>
      <sheetName val="5.동별횡주관경"/>
      <sheetName val="일위(시설)"/>
      <sheetName val="full (2)"/>
      <sheetName val="공통대가"/>
      <sheetName val="민감도"/>
      <sheetName val="Sheet22"/>
      <sheetName val="암센터"/>
      <sheetName val="인부임"/>
      <sheetName val="제丵"/>
      <sheetName val="설변물량"/>
      <sheetName val="UPDATA"/>
      <sheetName val="5사남"/>
      <sheetName val="석재장조사"/>
      <sheetName val="유동표"/>
      <sheetName val="견적접수"/>
      <sheetName val="견적내역서"/>
      <sheetName val="PANEL"/>
      <sheetName val="조건입력"/>
      <sheetName val="조건입력(2)"/>
      <sheetName val="장비선정"/>
      <sheetName val="º¯°æ»çÀþ"/>
      <sheetName val="제수변︀ᇕ"/>
      <sheetName val="결과조Ⴚ"/>
      <sheetName val="결과조º"/>
      <sheetName val="º¯°æ»çÀ¸"/>
      <sheetName val="º¯°æ»çÀ "/>
      <sheetName val="제수변﹔ᇕ"/>
      <sheetName val="º¯°æ»çÀB"/>
      <sheetName val="단가일䊱"/>
      <sheetName val="K1자재(3차등)"/>
      <sheetName val="제수변䊱ᅪ"/>
      <sheetName val="KSHAHU-6"/>
      <sheetName val="대가 (보완)"/>
      <sheetName val="토목원가계窨_x0013_"/>
      <sheetName val="내역서(교량)전체"/>
      <sheetName val="장비경비"/>
      <sheetName val="원가계墬ᥓ"/>
      <sheetName val="원가계Ⴌ_x0000_"/>
      <sheetName val="관로토공집계표"/>
      <sheetName val="3회기성헾】"/>
      <sheetName val="변경비교헾】"/>
      <sheetName val="3회기성䃸〒"/>
      <sheetName val="3회기성_x0005__x0000_"/>
      <sheetName val="3회기성吸("/>
      <sheetName val="3회기성ⱂ⿌"/>
      <sheetName val="3회기성埀0"/>
      <sheetName val="제철"/>
      <sheetName val="배관단가조사서"/>
      <sheetName val="상반기손익차2총괄"/>
      <sheetName val="DRAIN DRUM PIT D-301"/>
      <sheetName val="PAD TR보호대기초"/>
      <sheetName val="가로등기초"/>
      <sheetName val="HANDHOLE(2)"/>
      <sheetName val="OCT.FDN"/>
      <sheetName val="삼성전기"/>
      <sheetName val="내역서-전체낙찰율"/>
      <sheetName val="노무비(DB)_이후 출력XXXXXX"/>
      <sheetName val="VS P-Q"/>
      <sheetName val="부대집계"/>
      <sheetName val="도급단가-아파트"/>
      <sheetName val="BREAKDOWN(철거설치)"/>
      <sheetName val="A1_본체_수량산출서"/>
      <sheetName val="물량증감"/>
      <sheetName val="9902"/>
      <sheetName val="교사기준면적(초등)"/>
      <sheetName val="조명율"/>
      <sheetName val="보집계표"/>
      <sheetName val="토목공종세부"/>
      <sheetName val="예산내역"/>
      <sheetName val="총괄수지표"/>
      <sheetName val="견적회신"/>
      <sheetName val="1. 가로등 설비 공사(산출)"/>
      <sheetName val="지급자재대"/>
      <sheetName val="CAL."/>
      <sheetName val="insulation"/>
      <sheetName val="Architecture Work"/>
      <sheetName val="PipWT"/>
      <sheetName val="뜃맟뭁돽띿맟?-BLDG"/>
      <sheetName val="은평작업지시대장"/>
      <sheetName val="원가계산(2)"/>
      <sheetName val="차도부수량집계표"/>
      <sheetName val="March"/>
      <sheetName val="cable-data"/>
      <sheetName val="전체내역 (2)"/>
      <sheetName val="keyword"/>
      <sheetName val="Summary"/>
      <sheetName val="1._x005f_x0018_변전설비"/>
      <sheetName val="입렀"/>
      <sheetName val="입栀"/>
      <sheetName val="입ꠀ"/>
      <sheetName val="BIDDING-SUM"/>
      <sheetName val="입︀"/>
      <sheetName val="1._x005f_x005f_x005f_x0018_변전설비"/>
      <sheetName val="YES.XLS"/>
      <sheetName val="장비명"/>
      <sheetName val="경비공통"/>
      <sheetName val="´_x0005__x0000_"/>
      <sheetName val="남양내역"/>
      <sheetName val="설계서(설치)"/>
      <sheetName val="5"/>
      <sheetName val="지입자재"/>
      <sheetName val="단위목헾"/>
      <sheetName val="산출내역(K2)"/>
      <sheetName val="전체제잡비"/>
      <sheetName val="피스표"/>
      <sheetName val="관헾"/>
      <sheetName val="원가(1︀"/>
      <sheetName val="원가(1䠀"/>
      <sheetName val="관聈"/>
      <sheetName val="관_x0005_"/>
      <sheetName val="36+45-113-18+19+20I"/>
      <sheetName val="측구터파기공수량집계"/>
      <sheetName val="수장"/>
      <sheetName val="in"/>
      <sheetName val="청주(철골발주의뢰서)"/>
      <sheetName val="Price List"/>
      <sheetName val="ORIGN"/>
      <sheetName val="ASEM내역"/>
      <sheetName val="한화 둔산 내역서"/>
      <sheetName val="투입비"/>
      <sheetName val="손익계산서"/>
      <sheetName val="대차대조표"/>
      <sheetName val="폐토수익화 "/>
      <sheetName val="열차제어동"/>
      <sheetName val="전기성능동"/>
      <sheetName val="차량시스템인자"/>
      <sheetName val="차량부품동"/>
      <sheetName val="신.분"/>
      <sheetName val="4.2유효폭의 계산"/>
      <sheetName val="98수금사업"/>
      <sheetName val="정보"/>
      <sheetName val="간이영수증"/>
      <sheetName val="매입세율"/>
      <sheetName val="Nက_x0000_"/>
      <sheetName val="소상 &quot;1&quot;"/>
      <sheetName val="도"/>
      <sheetName val="1층"/>
      <sheetName val="인원계획"/>
      <sheetName val="시행예산"/>
      <sheetName val="자압1"/>
      <sheetName val="고창방향"/>
      <sheetName val="역삼"/>
      <sheetName val="구조물공집계"/>
      <sheetName val="요약"/>
      <sheetName val="EJ"/>
      <sheetName val="선로정수계산"/>
      <sheetName val="Tenants"/>
      <sheetName val="96_x0005__x0000_ø"/>
      <sheetName val="재료할증"/>
      <sheetName val="패널"/>
      <sheetName val="³²¾ç½ÃÀÛµ¿ÀÚ105³ë65_x0000__x0000_Ԁ_x0000__x0000_贈_x0002__x0000__x0000__x0000_"/>
      <sheetName val="HVAC"/>
      <sheetName val="대우단가(풍산)"/>
      <sheetName val="견적대비 견적서"/>
      <sheetName val="ES조서출력하기"/>
      <sheetName val="9.2.3 각 실별 조도계산(3단계)"/>
      <sheetName val="심의대상"/>
      <sheetName val="FB25JN"/>
      <sheetName val="cost9702"/>
      <sheetName val="VA橂⼸_x0005_"/>
      <sheetName val="천마갑지"/>
      <sheetName val="사전공헾"/>
      <sheetName val="사전공颙"/>
      <sheetName val="교량명원본"/>
      <sheetName val="BOX제원원본"/>
      <sheetName val="상행-교대(A1-A2)"/>
      <sheetName val="제잡비(주공종)"/>
      <sheetName val="(3.품질관리 시험 총괄표)"/>
      <sheetName val="일위대가 (PM)"/>
      <sheetName val="심사공종"/>
      <sheetName val="상수도토공_x0005__x0000_"/>
      <sheetName val="설직재0_x0000_"/>
      <sheetName val="설직재餀㒘"/>
      <sheetName val="되메우기공사"/>
      <sheetName val="배수로굴착공사"/>
      <sheetName val="법면보호공사"/>
      <sheetName val="보강공사"/>
      <sheetName val="본관기초굴착공사"/>
      <sheetName val="본관조경공사"/>
      <sheetName val="부지정지공사"/>
      <sheetName val="765SY부지정지공사"/>
      <sheetName val="옥외매설물공사"/>
      <sheetName val="중량물도로"/>
      <sheetName val="취수로굴착공사"/>
      <sheetName val="효암천이설"/>
      <sheetName val="OVERALL CURVE"/>
      <sheetName val="206 무장,정비 장비용량 산출"/>
      <sheetName val="노임 단가"/>
      <sheetName val="별표집계"/>
      <sheetName val="Set"/>
      <sheetName val="의왕실행"/>
      <sheetName val="ÀÏÀ§´ë헾】_x0005__x0000__x0000__x0000_"/>
      <sheetName val="기계경비(시"/>
      <sheetName val="o현장경비"/>
      <sheetName val="OPG_x0005__x0000__x0000_"/>
      <sheetName val="가도䠀"/>
      <sheetName val="가도ԯ"/>
      <sheetName val="가도저"/>
      <sheetName val="123"/>
      <sheetName val="공사비내역 p1"/>
      <sheetName val="일위대가표(DEEP)"/>
      <sheetName val="5.단가대비표"/>
      <sheetName val="전동기"/>
      <sheetName val="설계내역일위"/>
      <sheetName val="49단_x0005_"/>
      <sheetName val="49단煀"/>
      <sheetName val="일위대가표(무)"/>
      <sheetName val="일위대가산출기초"/>
      <sheetName val="설계변경내역"/>
      <sheetName val="월별"/>
      <sheetName val="EQUIP LIST"/>
      <sheetName val="GTG TR PIT"/>
      <sheetName val="BLR-S"/>
      <sheetName val="예산대비"/>
      <sheetName val="할丵〒"/>
      <sheetName val="»êÃ렀䡟ԯ_x0000_缀"/>
      <sheetName val="»êÃ︀ᇕ԰_x0000_缀"/>
      <sheetName val="4/_x0000_䠀"/>
      <sheetName val="4쌇栅/"/>
      <sheetName val="4က_x0000_က"/>
      <sheetName val="설계명세_x0000_"/>
      <sheetName val="설계명세揄"/>
      <sheetName val="설계명세䡲"/>
      <sheetName val="설계명세_x0005_"/>
      <sheetName val="DATA 입᠒ᎍ"/>
      <sheetName val="제조 경영"/>
      <sheetName val="사진대지"/>
      <sheetName val="설정"/>
      <sheetName val="설계서을"/>
      <sheetName val="N炬≹"/>
      <sheetName val="신호등일위대가"/>
      <sheetName val="조경내역"/>
      <sheetName val="등록׃】"/>
      <sheetName val="등록_x0010__x0000_"/>
      <sheetName val="사각맨ﻇ"/>
      <sheetName val="공비대䠚"/>
      <sheetName val="금액내렀቟"/>
      <sheetName val="금액내԰_x0000_"/>
      <sheetName val="토공및부대2차"/>
      <sheetName val="새공통"/>
      <sheetName val="3절_CheckList_구분"/>
      <sheetName val="현장식당(1)"/>
      <sheetName val="우석문틀"/>
      <sheetName val="D.B"/>
      <sheetName val="잡비계산"/>
      <sheetName val="Control Sheet"/>
      <sheetName val="점검내역서(data) (2)"/>
      <sheetName val="결재판"/>
      <sheetName val="기계경비(旉る_x0000__x0000_"/>
      <sheetName val="기계경비(贘_x0013_짘ࣅ"/>
      <sheetName val="97노임단가"/>
      <sheetName val="입력란"/>
      <sheetName val="주관⩿〚"/>
      <sheetName val="1þ"/>
      <sheetName val="1ð"/>
      <sheetName val="1¨"/>
      <sheetName val="1¸"/>
      <sheetName val="단가(1)"/>
      <sheetName val="(14)전기품셈정산"/>
      <sheetName val="(12)전기경비"/>
      <sheetName val="전통건설"/>
      <sheetName val="기계공사"/>
      <sheetName val="남양시작동010313100%"/>
      <sheetName val="98비정기소모"/>
      <sheetName val="도급및 실행내역"/>
      <sheetName val="정문내역"/>
      <sheetName val="사각맨퀀"/>
      <sheetName val="사각맨堀"/>
      <sheetName val="사각맨䈀"/>
      <sheetName val="몰탈재븧܊"/>
      <sheetName val="견적의"/>
      <sheetName val="견적의烇彰"/>
      <sheetName val="하도급선정의뢰서(습식공_x0000__x0000_"/>
      <sheetName val="RAHMEN"/>
      <sheetName val="L형옹벽"/>
      <sheetName val="등록_x0000__x0000_"/>
      <sheetName val="BID FORM"/>
      <sheetName val="Form of Bid"/>
      <sheetName val="삭제금지단가"/>
      <sheetName val="SUS"/>
      <sheetName val="キ⩙"/>
      <sheetName val="FAB4생산"/>
      <sheetName val="청 구"/>
      <sheetName val="49-11g"/>
      <sheetName val="49-11H"/>
      <sheetName val="PI_x0000__x0000_"/>
      <sheetName val="PAC"/>
      <sheetName val="8. 내진해석"/>
      <sheetName val="주관사_x0000_"/>
      <sheetName val="주관사提"/>
      <sheetName val="주관사㧨"/>
      <sheetName val="주관사㌈"/>
      <sheetName val="기계단가"/>
      <sheetName val="금액내역㠀"/>
      <sheetName val="2004상반기"/>
      <sheetName val="조정율"/>
      <sheetName val="횡 연장"/>
      <sheetName val="수지예산"/>
      <sheetName val="일반동력(380V)"/>
      <sheetName val="Picture"/>
      <sheetName val="내역통합"/>
      <sheetName val="매원개착터널총괄"/>
      <sheetName val="성토도수로현황"/>
      <sheetName val="master(2차)"/>
      <sheetName val="작용하중산정"/>
      <sheetName val="중기가격"/>
      <sheetName val="가설경비"/>
      <sheetName val="시점부교대"/>
      <sheetName val="내역서(사업소)"/>
      <sheetName val="유역면적"/>
      <sheetName val="포장직선구간"/>
      <sheetName val="»êÃâ¸ñ·ÏÇ¥"/>
      <sheetName val="Æ÷ÀåÁ÷¼±±¸°£"/>
      <sheetName val="ÀÏÀ§´ë°¡¸ñÂ÷"/>
      <sheetName val="2F È¸ÀÇ½Ç°ßÀû(5_14 ÀÏ´ë)"/>
      <sheetName val="48전력선_x0002__x0000_㣸"/>
      <sheetName val="통계연보"/>
      <sheetName val="SPM(13.84)"/>
      <sheetName val="fitting"/>
      <sheetName val="Look-Up"/>
      <sheetName val="Units"/>
      <sheetName val="노임9월"/>
      <sheetName val="수량산출(CCTV)"/>
      <sheetName val="수량산출(장애자)"/>
      <sheetName val="수량산출(통신선로)"/>
      <sheetName val="수량산출(여객장치)"/>
      <sheetName val="수량산출(방송)"/>
      <sheetName val="수량산출(전화)"/>
      <sheetName val="사업부배부A"/>
      <sheetName val="입력값1"/>
      <sheetName val="PBS"/>
      <sheetName val="SILICATE"/>
      <sheetName val="간접비내역-1"/>
      <sheetName val="공정표(전체)"/>
      <sheetName val="인계"/>
      <sheetName val="ࠀ᎚"/>
      <sheetName val="3.일위대가"/>
      <sheetName val="Macro(전동기)"/>
      <sheetName val="수리결과"/>
      <sheetName val="POOM_MOTO2"/>
      <sheetName val="조정금액결과표 (차수별)"/>
      <sheetName val="토공2"/>
      <sheetName val="접지뀀Ῥ"/>
      <sheetName val="일위집계"/>
      <sheetName val="건축전기"/>
      <sheetName val="교각별철근수_x0000__x0000_釸_x0000_"/>
      <sheetName val="적0_x0000_ꠀ"/>
      <sheetName val="투찰(하수)"/>
      <sheetName val="5. 차단기 용량계산"/>
      <sheetName val="단위량"/>
      <sheetName val="재료집계표2"/>
      <sheetName val="토적집계표"/>
      <sheetName val="역간(덕_동)"/>
      <sheetName val="역간(의-덕)"/>
      <sheetName val="각사별공사비분개 "/>
      <sheetName val="산근1,2"/>
      <sheetName val="3련 B梯"/>
      <sheetName val="내역(정지)"/>
      <sheetName val="1차배부(JB포함)"/>
      <sheetName val="4.설계예산내역서"/>
      <sheetName val="6.관급자재조서"/>
      <sheetName val="계약원가"/>
      <sheetName val="22-1소단"/>
      <sheetName val="22-2M단"/>
      <sheetName val="01하반기노임"/>
      <sheetName val="정보매체A동"/>
      <sheetName val="수량산출(AFC)"/>
      <sheetName val="수량_작성"/>
      <sheetName val="수량산출(임시AFC)"/>
      <sheetName val="수량산출(임시CCTV)"/>
      <sheetName val="수량산출(임시TV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본통신)"/>
      <sheetName val="수량산출(TDI)"/>
      <sheetName val="수량집계(본역사)"/>
      <sheetName val="수량집계(임시역사)"/>
      <sheetName val="CATV"/>
      <sheetName val="견적 (2)"/>
      <sheetName val="설계(안)"/>
      <sheetName val="가옥조"/>
      <sheetName val="2.내역서"/>
      <sheetName val="Sheet1(X)"/>
      <sheetName val="인원조직표"/>
      <sheetName val="냉천부속동"/>
      <sheetName val="정산내역서"/>
      <sheetName val="건축공정"/>
      <sheetName val="방진공정"/>
      <sheetName val="조경공정"/>
      <sheetName val="산출기초"/>
      <sheetName val="순환펌프"/>
      <sheetName val="저수조"/>
      <sheetName val="급,배기팬"/>
      <sheetName val="급탕순환펌프"/>
      <sheetName val="주식"/>
      <sheetName val="FO"/>
      <sheetName val="Summary Sheet"/>
      <sheetName val="8__안정검토"/>
      <sheetName val="철근량_검토"/>
      <sheetName val="기술자료_(연수)"/>
      <sheetName val="49"/>
      <sheetName val="짉譥"/>
      <sheetName val="ᣉᎍ"/>
      <sheetName val="폐토수익화_"/>
      <sheetName val="_상부공통집계(총괄)"/>
      <sheetName val="Parts"/>
      <sheetName val="Menu A"/>
      <sheetName val="파이프류"/>
      <sheetName val="옥내소화전계산서"/>
      <sheetName val="하남내역"/>
      <sheetName val="공사비예산서"/>
      <sheetName val="천방교접속"/>
      <sheetName val="09년실적"/>
      <sheetName val="중사"/>
      <sheetName val="관리비"/>
      <sheetName val="집수정(1)"/>
      <sheetName val="국산화"/>
      <sheetName val="ARS"/>
      <sheetName val="도로구조공사비"/>
      <sheetName val="도로토공공사비"/>
      <sheetName val="여수토공사비"/>
      <sheetName val="(포장)BOQ-실적공사"/>
      <sheetName val="부대공사"/>
      <sheetName val="신천3호용수로"/>
      <sheetName val="1호철근량"/>
      <sheetName val="철거단가"/>
      <sheetName val="토공(우물통,기타)_2"/>
      <sheetName val="1_범위2"/>
      <sheetName val="2_편성2"/>
      <sheetName val="6_GAS2"/>
      <sheetName val="노임단가(08_01)2"/>
      <sheetName val="기성공문_(2)2"/>
      <sheetName val="철콘기성청구서_(2)2"/>
      <sheetName val="공종별집계표(건축)_(2)2"/>
      <sheetName val="형틀공사기성_(2)2"/>
      <sheetName val="조적기성청구서__2"/>
      <sheetName val="공종별집계표(조적)_2"/>
      <sheetName val="미장기성청구서_2"/>
      <sheetName val="공종별집계표(미장_방수)2"/>
      <sheetName val="하도급각서_(2)2"/>
      <sheetName val="하도급계좌입금의뢰서_2"/>
      <sheetName val="1_범위"/>
      <sheetName val="2_편성"/>
      <sheetName val="6_GAS"/>
      <sheetName val="노임단가(08_01)"/>
      <sheetName val="기성공문_(2)"/>
      <sheetName val="철콘기성청구서_(2)"/>
      <sheetName val="공종별집계표(건축)_(2)"/>
      <sheetName val="형틀공사기성_(2)"/>
      <sheetName val="조적기성청구서__"/>
      <sheetName val="공종별집계표(조적)_"/>
      <sheetName val="미장기성청구서_"/>
      <sheetName val="공종별집계표(미장_방수)"/>
      <sheetName val="하도급각서_(2)"/>
      <sheetName val="하도급계좌입금의뢰서_"/>
      <sheetName val="토공(우물통,기타)_1"/>
      <sheetName val="1_범위1"/>
      <sheetName val="2_편성1"/>
      <sheetName val="6_GAS1"/>
      <sheetName val="노임단가(08_01)1"/>
      <sheetName val="기성공문_(2)1"/>
      <sheetName val="철콘기성청구서_(2)1"/>
      <sheetName val="공종별집계표(건축)_(2)1"/>
      <sheetName val="형틀공사기성_(2)1"/>
      <sheetName val="조적기성청구서__1"/>
      <sheetName val="공종별집계표(조적)_1"/>
      <sheetName val="미장기성청구서_1"/>
      <sheetName val="공종별집계표(미장_방수)1"/>
      <sheetName val="하도급각서_(2)1"/>
      <sheetName val="하도급계좌입금의뢰서_1"/>
      <sheetName val="관경별내역서"/>
      <sheetName val="7.수량산출"/>
      <sheetName val="6.수량계산"/>
      <sheetName val="무시"/>
      <sheetName val="電磁弁LIST"/>
      <sheetName val="PLG"/>
      <sheetName val="외자배분"/>
      <sheetName val="외자내역"/>
      <sheetName val="부하집계"/>
      <sheetName val="주요재료비(원본)"/>
      <sheetName val="AHU-1"/>
      <sheetName val="급탕설비"/>
      <sheetName val="화장실배기팬"/>
      <sheetName val="마산월령동골조물량변경"/>
      <sheetName val="자금청구서 19년 3월 -응암2구역 롯데.xlsm"/>
      <sheetName val="VA_x0000__x0000__x0005_"/>
      <sheetName val="M5_S"/>
      <sheetName val="M6_S"/>
      <sheetName val="SRAM_CHIP"/>
      <sheetName val="SRAM_생산"/>
      <sheetName val="YLD"/>
      <sheetName val="산출1-수변전"/>
      <sheetName val="산출1-전력"/>
      <sheetName val="산출6-TRAY"/>
      <sheetName val="산출7-본선1)"/>
      <sheetName val="산출7-본선2"/>
      <sheetName val="산출7-본선3"/>
      <sheetName val="처리단락"/>
      <sheetName val="Data Vol"/>
      <sheetName val="관정비교"/>
      <sheetName val="³²¾ç½ÃÀÛµ¿ÀÚ105³ë65±â1.냈㙖ﰁ"/>
      <sheetName val="³²¾ç½ÃÀÛµ¿ÀÚ105³ë65±â1.᫈ꍙԯ"/>
      <sheetName val="³²¾ç½ÃÀÛµ¿ÀÚ105³ë65±â1.毈䆺ԯ"/>
      <sheetName val="전기일ꙭÀ_x0000_"/>
      <sheetName val="세목별"/>
      <sheetName val="소개"/>
      <sheetName val="#REF!"/>
      <sheetName val="계열사현황종합"/>
      <sheetName val="페인트"/>
      <sheetName val="CAL(1)."/>
      <sheetName val="구조물"/>
      <sheetName val="N︀軕"/>
      <sheetName val="음료실행"/>
      <sheetName val="평균물량산출서"/>
      <sheetName val="암거 제원표-1단계"/>
      <sheetName val="b_gunmul"/>
      <sheetName val="b_balju (2)"/>
      <sheetName val="갑(계장)"/>
      <sheetName val="돈"/>
      <sheetName val="대창(장ԯ_x0000_"/>
      <sheetName val="부하퀀䅰ᰀ䅱"/>
      <sheetName val="원가계산서(총괄)"/>
      <sheetName val="원가계산서(전기)"/>
      <sheetName val="원가계산서(소방)"/>
      <sheetName val="공종별집계표(총괄)"/>
      <sheetName val="원가계산서(공종별)"/>
      <sheetName val="원가계산서(공종별-전기,소방 분리)"/>
      <sheetName val="공종별집계표(전기)"/>
      <sheetName val="공종별집계표(소방)"/>
      <sheetName val="노임근거"/>
      <sheetName val="목록별산출서"/>
      <sheetName val="TRAY집계 (2)"/>
      <sheetName val="TRAY-근거 (2)"/>
      <sheetName val="제트팬집계표"/>
      <sheetName val="제트팬"/>
      <sheetName val="터널조명집계"/>
      <sheetName val="전등근거"/>
      <sheetName val="케이블(함양)"/>
      <sheetName val="케이블(울산)"/>
      <sheetName val="등기구"/>
      <sheetName val="접속재"/>
      <sheetName val="사갱조명집계"/>
      <sheetName val="전등근거 (2)"/>
      <sheetName val="케이블(함양) (2)"/>
      <sheetName val="등기구 (2)"/>
      <sheetName val="접속재 (2)"/>
      <sheetName val="4-1.비상경보설비공사 집계표"/>
      <sheetName val="4-2.비상경보설비공사"/>
      <sheetName val="5-1.비상콘센트설비공사 집계표"/>
      <sheetName val="5-2.비상콘센트설비공사"/>
      <sheetName val="6-1.표지등설비공사 집계표"/>
      <sheetName val="6-2.표지등설비공사"/>
      <sheetName val="7-1.시선유도등설비공사 집계표"/>
      <sheetName val="7-2.시선유도등설비공사"/>
      <sheetName val="산출집계 (2)"/>
      <sheetName val="목록별산출서 (2)"/>
      <sheetName val="옥외공동구 산출집계"/>
      <sheetName val="옥외공동구 산출서"/>
      <sheetName val="관리동 산출집계"/>
      <sheetName val="관리동 산출서"/>
      <sheetName val="환기소2 산출집계"/>
      <sheetName val="환기소2 산출서"/>
      <sheetName val="한전공사비"/>
      <sheetName val="참고자료"/>
      <sheetName val="산출서"/>
      <sheetName val="역T형교대栄⿇_x0000__x0000_庨_x0000_"/>
      <sheetName val="역T형교대栄⿇_x0000__x0000__x0000_"/>
      <sheetName val="교량현황"/>
      <sheetName val="관세,통관수수료,운반비"/>
      <sheetName val="KS-301_WBS"/>
      <sheetName val="하도급선정의뢰桑〒_x0005__x0000__x0000__x0000_"/>
      <sheetName val="일_x0007__x0006__x0003__x0004__x0007_"/>
      <sheetName val="_x0000__x0005__x0000__x0004__x0000__x0008__x0000__x0005__x0000__x0008_"/>
      <sheetName val="견적을지"/>
      <sheetName val="불변현금흐름표"/>
      <sheetName val="기타유틸리티설비"/>
      <sheetName val="4.말뚝설계"/>
      <sheetName val="1.1 본체"/>
      <sheetName val="Formulas &amp; Tables"/>
      <sheetName val="신안설계"/>
      <sheetName val="업체선정"/>
      <sheetName val="실행집계장"/>
      <sheetName val="투찰집계장"/>
      <sheetName val="토목총괄내역서"/>
      <sheetName val="총괄집계"/>
      <sheetName val="하도사항"/>
      <sheetName val="실행별지"/>
      <sheetName val="하도잡비"/>
      <sheetName val="토공부대"/>
      <sheetName val="철콘부대"/>
      <sheetName val="연약부대"/>
      <sheetName val="철골부대"/>
      <sheetName val="철공견갑"/>
      <sheetName val="철골견적"/>
      <sheetName val="토공견갑"/>
      <sheetName val="토공견적"/>
      <sheetName val="철콘견갑"/>
      <sheetName val="철콘견적"/>
      <sheetName val="연약견갑"/>
      <sheetName val="연약견적"/>
      <sheetName val="부대샘플"/>
      <sheetName val="777"/>
      <sheetName val="cross beam"/>
      <sheetName val="2.단면가정"/>
      <sheetName val="가속도응답스펙트럼(Sa)및속도응답스펙트럼(Sv)"/>
      <sheetName val="12"/>
      <sheetName val="이름"/>
      <sheetName val="4,5,6,7,8"/>
      <sheetName val="옹벽1"/>
      <sheetName val="설계흐름도"/>
      <sheetName val="명단"/>
      <sheetName val="2000.05"/>
      <sheetName val="배수관연장산출서"/>
      <sheetName val="식재출력용"/>
      <sheetName val="유지관리"/>
      <sheetName val="BID9697"/>
      <sheetName val="공정집계_국별"/>
      <sheetName val="시멘트,모래,자갈 및 골재산출표1"/>
      <sheetName val="5-8공구"/>
      <sheetName val="부대단위수량"/>
      <sheetName val="N쌃괅"/>
      <sheetName val="원가계산서 (2)"/>
      <sheetName val="남양주부대"/>
      <sheetName val="지불내역1"/>
      <sheetName val="직접비"/>
      <sheetName val="30신설일위대가"/>
      <sheetName val="30집계표"/>
      <sheetName val="지구단위계획"/>
      <sheetName val="00노임기준"/>
      <sheetName val="일위대가(가설԰"/>
      <sheetName val="±âÀÚÀç´ëºñÇ¥"/>
      <sheetName val="¿¬°áÀÓ½Ã"/>
      <sheetName val="°ü±Þ"/>
      <sheetName val="도시가스현황"/>
      <sheetName val="기타"/>
      <sheetName val="이관문서목록표"/>
      <sheetName val="참고자료등록"/>
      <sheetName val="하자보수보증자료"/>
      <sheetName val="국내"/>
      <sheetName val="배전반용량계산"/>
      <sheetName val="세정탑 설계"/>
      <sheetName val="건축-물가변동"/>
      <sheetName val="기계설비-물가변동"/>
      <sheetName val="구천"/>
      <sheetName val="조작대(1연)"/>
      <sheetName val="적용단가"/>
      <sheetName val="월말"/>
      <sheetName val="[YES.XLS]4/_x0000_䠀"/>
      <sheetName val="[YES.XLS]4쌇栅/"/>
      <sheetName val="건0_x0000_蠀"/>
      <sheetName val="금0_x0000_䠀"/>
      <sheetName val="금蠣㡎耀"/>
      <sheetName val="강교(Sub)"/>
      <sheetName val="일반토공견적"/>
      <sheetName val="원형측구(B-type)"/>
      <sheetName val="단목"/>
      <sheetName val="토목수량"/>
      <sheetName val="DATA(광속)"/>
      <sheetName val="옥외배관기본공량"/>
      <sheetName val="집계표(건축전기)"/>
      <sheetName val="계약서"/>
      <sheetName val="코드일람표"/>
      <sheetName val="CABLE SIZE-1"/>
      <sheetName val="장비가동"/>
      <sheetName val="집계표(수정)"/>
      <sheetName val="잔여공사월별내역"/>
      <sheetName val="대비(최종이사회)"/>
      <sheetName val="3차준공"/>
      <sheetName val="내역서적용수량집계표"/>
      <sheetName val="공틀공사"/>
      <sheetName val="최적단면"/>
      <sheetName val="산출수량집계"/>
      <sheetName val="장비단가"/>
      <sheetName val="c.s"/>
      <sheetName val="전열"/>
      <sheetName val="LCS-SEAT"/>
      <sheetName val="업무량"/>
      <sheetName val="하도계약반영"/>
      <sheetName val="퇴직공제부금산출근거"/>
      <sheetName val="5.소모재료비"/>
      <sheetName val="몰탈콘크리트"/>
      <sheetName val="철근집계"/>
      <sheetName val="2002자재가격"/>
      <sheetName val="직접경비호표"/>
      <sheetName val="6È£㥝〒"/>
      <sheetName val="내부마감"/>
      <sheetName val="노임조서"/>
      <sheetName val="중기손료"/>
      <sheetName val="목록표"/>
      <sheetName val="ASP"/>
      <sheetName val="CHIP_O"/>
      <sheetName val="FAB_O"/>
      <sheetName val="PKG_I"/>
      <sheetName val="FT_금액"/>
      <sheetName val="YIELD"/>
      <sheetName val="포장자재집계표"/>
      <sheetName val="지중자재단가"/>
      <sheetName val="LKVL-CK-HT-GD1"/>
      <sheetName val="종단계산"/>
      <sheetName val="ꠀ"/>
      <sheetName val="가제당공사비"/>
      <sheetName val="기초처리공사비"/>
      <sheetName val="°ø»ç¿ø°¡°è牨-犬-"/>
      <sheetName val="전체내역갑지"/>
      <sheetName val="倀ᑙ"/>
      <sheetName val="1x"/>
      <sheetName val="栈᲋"/>
      <sheetName val="_xd810_᱓"/>
      <sheetName val="옹벽수량萘_x0013_"/>
      <sheetName val="수"/>
      <sheetName val="관리_x0000__x0000_Ԁ"/>
      <sheetName val="관리ﻇᇕ԰"/>
      <sheetName val="관리᠀㹓㔀"/>
      <sheetName val="관리Ç_x0000_Ԁ"/>
      <sheetName val="관리裇⁒㔀"/>
      <sheetName val="관리㗇ぎԯ"/>
      <sheetName val="관리㔀ぎԯ"/>
      <sheetName val="관리㉓Ⰰ"/>
      <sheetName val="신표鎐)"/>
      <sheetName val="신표司/"/>
      <sheetName val="신표丵⾒"/>
      <sheetName val="신표丵⽀"/>
      <sheetName val="신표錰!"/>
      <sheetName val="신표鋐_x0014_"/>
      <sheetName val="신표丵⼣"/>
      <sheetName val="신표鍀#"/>
      <sheetName val="신표_x0000__x0000_"/>
      <sheetName val="신표丵⾲"/>
      <sheetName val="신표券&quot;"/>
      <sheetName val="실행내역서 (조경)"/>
      <sheetName val="형틀공사"/>
      <sheetName val="6차2회변경내역서"/>
      <sheetName val="자재단가_x0005_"/>
      <sheetName val="[YES.XLS][YES.XLS][YES.XLS]신표司/"/>
      <sheetName val="가시설공(광장부)"/>
      <sheetName val="총괄집ᨈꥬ"/>
      <sheetName val="총괄집_x0000__x0000_"/>
      <sheetName val="Cover Sht"/>
      <sheetName val="1_x0005_"/>
      <sheetName val="도면자료제출일정"/>
      <sheetName val="중기비"/>
      <sheetName val="총괄집계 "/>
      <sheetName val="1.3.1절점좌표"/>
      <sheetName val="1.1설계기준"/>
      <sheetName val="증감내역서"/>
      <sheetName val="기က_x0000_退"/>
      <sheetName val="하도급선정의뢰佘/ߍ恽⿹_x0000_"/>
      <sheetName val="시공계_x0005_"/>
      <sheetName val="변경비_x0005__x0000_"/>
      <sheetName val="자재단가徸"/>
      <sheetName val="수안보-๿〚_x0005__x0000_"/>
      <sheetName val="금액내역헾"/>
      <sheetName val="자재단가尜"/>
      <sheetName val="NAIL단가산출"/>
      <sheetName val="수안보-挔_x0012_竖め"/>
      <sheetName val="자재단가헾"/>
      <sheetName val="자재단가丵"/>
      <sheetName val="자재노임단가"/>
      <sheetName val="크레인5ton"/>
      <sheetName val="단가산출-2"/>
      <sheetName val="기초수량-1"/>
      <sheetName val="단가산출-1"/>
      <sheetName val="단가 (2)"/>
      <sheetName val="??????"/>
      <sheetName val="[YES.XLS]신표司/"/>
      <sheetName val="[YES.XLS][YES.XLS]4/_x0000_䠀"/>
      <sheetName val="[YES.XLS][YES.XLS]4쌇栅/"/>
      <sheetName val="갑지(0_x0000_頀"/>
      <sheetName val="갑지(저妶瘍"/>
      <sheetName val="갑지(濪瘊"/>
      <sheetName val="갑지(᐀ባ혀"/>
      <sheetName val="입출재고현황 (2_x0010_"/>
      <sheetName val="갑지(᠀̨瘗"/>
      <sheetName val="갑지(栀ৢ瘊"/>
      <sheetName val="갑지(ꀀ㱹瘆"/>
      <sheetName val="B767"/>
      <sheetName val="2.노무비명세서頀塔攀๦0_x0000_뀀"/>
      <sheetName val="2.노무비명세서Ç_x0000__x0000__x0000_ꨀ"/>
      <sheetName val="노임2"/>
      <sheetName val="단가(추가)"/>
      <sheetName val="일위대가(추가)"/>
      <sheetName val="2.노무비명세서Ç_x0000_렀_x0013__x0000__x0000_砀"/>
      <sheetName val="갑지(쐂饣/"/>
      <sheetName val="갑지(쐃/"/>
      <sheetName val="갑지(쐎/"/>
      <sheetName val="귀래 설계 공내역서"/>
      <sheetName val="자재단가壠"/>
      <sheetName val="자재단가厘"/>
      <sheetName val="본사업"/>
      <sheetName val="일위(수원)"/>
      <sheetName val="익산"/>
      <sheetName val="LOADS"/>
      <sheetName val="계측기"/>
      <sheetName val="측량요율"/>
      <sheetName val="도봉2지구"/>
      <sheetName val="방음벽 기초 일반헾】"/>
      <sheetName val="유리"/>
      <sheetName val="깨기"/>
      <sheetName val="inter"/>
      <sheetName val="2공종별예산조서"/>
      <sheetName val="5정거장"/>
      <sheetName val="1-3길내기"/>
      <sheetName val="¹׃】_x0000_"/>
      <sheetName val="_x0005__x0006__x0008__x0003_"/>
      <sheetName val="_x0000_ _x0000__x0006__x0000__x0006_"/>
      <sheetName val="/_x0000_"/>
      <sheetName val="က_x0000_"/>
      <sheetName val="포장쌅"/>
      <sheetName val="전체실적"/>
      <sheetName val="규격"/>
      <sheetName val="수종"/>
      <sheetName val="감시제어"/>
      <sheetName val="목차임시"/>
      <sheetName val="선로의 %임피던스 "/>
      <sheetName val="을 2"/>
      <sheetName val="을 1"/>
      <sheetName val="전체-원가분리내역"/>
      <sheetName val="계화배수(3대)"/>
      <sheetName val="가격표"/>
      <sheetName val="건축외주"/>
      <sheetName val="시장성초안camera"/>
      <sheetName val="관급원내역"/>
      <sheetName val="맨홀공 수량집계표"/>
      <sheetName val="공사비집_x0005_"/>
      <sheetName val="LANGUAGE"/>
      <sheetName val="제수_x0000__x0000__x0005_"/>
      <sheetName val="조명시헾"/>
      <sheetName val="8. 안吐呜"/>
      <sheetName val="가압장(토목)"/>
      <sheetName val="증감䈀ᅪ"/>
      <sheetName val="전선관"/>
      <sheetName val="8.일위대가표(1)"/>
      <sheetName val="8.일위대가표(2)"/>
      <sheetName val="7.청제공기계기구조서"/>
      <sheetName val="산#3-1"/>
      <sheetName val="산#3-2"/>
      <sheetName val="배관BM(일반)"/>
      <sheetName val="산#3-2-2"/>
      <sheetName val="5.정산ﵠ"/>
      <sheetName val="8공구 강재 수량"/>
      <sheetName val="구체"/>
      <sheetName val="단가표(전산)"/>
      <sheetName val="2219-SPOOL BOM"/>
      <sheetName val="[YES.XLS][YES.XLS][YES.XLS]4/_x0000_䠀"/>
      <sheetName val="[YES.XLS][YES.XLS][YES.XLS]4쌇栅/"/>
      <sheetName val="동원인원계획표"/>
      <sheetName val="PROCESS"/>
      <sheetName val="포장면적산출"/>
      <sheetName val="포장수량집계"/>
      <sheetName val="PIPE(UG)내역"/>
      <sheetName val="토적계산"/>
      <sheetName val="96 능제취입"/>
      <sheetName val="M+1"/>
      <sheetName val="광,철광석 사용량(2000)"/>
      <sheetName val="포,철광석 사용량(2000)"/>
      <sheetName val="91,92황산"/>
      <sheetName val="예정공정표"/>
      <sheetName val="횡배수관설치현황"/>
      <sheetName val="안전시설"/>
      <sheetName val="8. 안_x0000__x0000__x0005_"/>
      <sheetName val="도급FORM"/>
      <sheetName val="영구청af헾"/>
      <sheetName val="영구청af薸"/>
      <sheetName val="우수공,맨홀,집수정"/>
      <sheetName val="실행내역 "/>
      <sheetName val="참조 (2)"/>
      <sheetName val="돈암사업"/>
      <sheetName val="단면A-A(TR)"/>
      <sheetName val="교량data"/>
      <sheetName val="파일구성"/>
      <sheetName val="분전반"/>
      <sheetName val="bm(CIcable)"/>
      <sheetName val="제수午_x0013_ὐ"/>
      <sheetName val="하수실행"/>
      <sheetName val="공종별자재"/>
      <sheetName val="하중재하"/>
      <sheetName val="INSTR"/>
      <sheetName val="洊⍩"/>
      <sheetName val="_xd808_⢉"/>
      <sheetName val="砈ẋ"/>
      <sheetName val="Priorities"/>
      <sheetName val="Paint,Fire-Proof,Insul(48)"/>
      <sheetName val="전체총괄"/>
      <sheetName val="dongia (2)"/>
      <sheetName val="gtrinh"/>
      <sheetName val="lam-moi"/>
      <sheetName val="chitiet"/>
      <sheetName val="giathanh1"/>
      <sheetName val="DONGIA"/>
      <sheetName val="thao-go"/>
      <sheetName val="TH XL"/>
      <sheetName val="VC"/>
      <sheetName val="Tiepdia"/>
      <sheetName val="CHITIET VL-NC"/>
      <sheetName val="원안"/>
      <sheetName val="No.2LAB Unit"/>
      <sheetName val="약ྀ︁"/>
      <sheetName val="[YES.XLS][YES.XLS]A__9701A_OU_4"/>
      <sheetName val="[YES.XLS][YES.XLS]A__9701A_OU_3"/>
      <sheetName val="[YES.XLS][YES.XLS]A__9701A_OU_2"/>
      <sheetName val="부대tu"/>
      <sheetName val="적정심사"/>
      <sheetName val="대운반(철재)"/>
      <sheetName val="시점교대"/>
      <sheetName val="설명서"/>
      <sheetName val="3.2주형지지보"/>
      <sheetName val="x주형보 설계(3차로)"/>
      <sheetName val="SANTOGO"/>
      <sheetName val="공사비예비관리공감측설산출내역"/>
      <sheetName val="양식"/>
      <sheetName val="표지세로"/>
      <sheetName val="전계가"/>
      <sheetName val="BH-1 (2)"/>
      <sheetName val="3-4호기 내역서"/>
      <sheetName val="인원계획-미화"/>
      <sheetName val="평형공사비"/>
      <sheetName val="토공검토G"/>
      <sheetName val="미지급금"/>
      <sheetName val="입찰결과(DATA_x0000_"/>
      <sheetName val="내역금액적용"/>
      <sheetName val="비목코드"/>
      <sheetName val=" 내역"/>
      <sheetName val="제출"/>
      <sheetName val="TCDB"/>
      <sheetName val="[YES.XLS][YES.XLS]신표司/"/>
      <sheetName val="교대일반수량"/>
      <sheetName val="배수내역 (2)"/>
      <sheetName val="가공사"/>
      <sheetName val="6.2.1 지하차도 조도계산"/>
      <sheetName val="EVALUATE물량산출서"/>
      <sheetName val="스라브"/>
      <sheetName val="보온자재단가표"/>
      <sheetName val="J형측구단위수량"/>
      <sheetName val="예산M2"/>
      <sheetName val="2.수량산출"/>
      <sheetName val="노무비(DB)"/>
      <sheetName val="수량산출(계측제어)"/>
      <sheetName val="방지책개소별명세"/>
      <sheetName val="산업개발안내서"/>
      <sheetName val="103동"/>
      <sheetName val="검색"/>
      <sheetName val="내역갑지"/>
      <sheetName val="옹벽수량집계표"/>
      <sheetName val="수종별인자"/>
      <sheetName val="3-1.일위대가집계표(교통시설물1)"/>
      <sheetName val="직_x0005__x0000_"/>
      <sheetName val="임시급식ֿ_x0000_缀_x0000_"/>
      <sheetName val="차단용량계산서"/>
      <sheetName val="I.설계헾】"/>
      <sheetName val="가야~사상"/>
      <sheetName val="김해~칠산"/>
      <sheetName val="김해(2)"/>
      <sheetName val="부전(2)"/>
      <sheetName val="장유~진례"/>
      <sheetName val="칠산"/>
      <sheetName val="칠산~장유"/>
      <sheetName val="토목狈6"/>
      <sheetName val="토목妀6"/>
      <sheetName val="토목_x0010__x0000_"/>
      <sheetName val="토목׃⿄"/>
      <sheetName val="토목׃⽴"/>
      <sheetName val="토목嘘_x001b_"/>
      <sheetName val="토목ꮸ⽤"/>
      <sheetName val="토목垐%"/>
      <sheetName val="토목枵〛"/>
      <sheetName val="횡분배정리(DB)"/>
      <sheetName val="방음벽기초-수량"/>
      <sheetName val="수량산출기초(케블등)"/>
      <sheetName val="터널(토공)"/>
      <sheetName val="JUCK֕_x0000_缀"/>
      <sheetName val="토목변경"/>
      <sheetName val="단가대비표(SYS)"/>
      <sheetName val="제조노임"/>
      <sheetName val="수로단위수량"/>
      <sheetName val="공종별집계표"/>
      <sheetName val="총 원가계산"/>
      <sheetName val="장비부하"/>
      <sheetName val="ISBL-CIV"/>
      <sheetName val="8.수량산출 (2)"/>
      <sheetName val="3"/>
      <sheetName val="남경"/>
      <sheetName val="선금정산내역"/>
      <sheetName val="수량산출내역1115"/>
      <sheetName val="아파트저᝾"/>
      <sheetName val="아파트㾅"/>
      <sheetName val="1-최종안"/>
      <sheetName val="사업분석-분양가결정"/>
      <sheetName val="일반전기"/>
      <sheetName val="공감비"/>
      <sheetName val="제안서"/>
      <sheetName val="행정표준(1)"/>
      <sheetName val="행정표준(2)"/>
      <sheetName val="공비대䠛"/>
      <sheetName val="대비2"/>
      <sheetName val="DWG-CAB-I"/>
      <sheetName val="B"/>
      <sheetName val="010101"/>
      <sheetName val="수주추정"/>
      <sheetName val="대전21토목내역서"/>
      <sheetName val="TNC(1안)"/>
      <sheetName val="당초수문"/>
      <sheetName val="WELDING"/>
      <sheetName val="변경_x0005__x0006__x0004__x0004_"/>
      <sheetName val="_x0000__x0002__x0000__x0007__x0000__x0004__x0000__x0007__x0000_"/>
      <sheetName val="8. _x0005__x0000__x0000_"/>
      <sheetName val="Sheet2 (2)"/>
      <sheetName val="내역(설계,도급)정이준"/>
      <sheetName val="토목 (2)"/>
      <sheetName val="인력터파기"/>
      <sheetName val="L형옹벽단위수량(35)"/>
      <sheetName val="L형옹벽단위수량(25)"/>
      <sheetName val="간접비계산"/>
      <sheetName val="R.C RAHMEN 해석"/>
      <sheetName val="본체 설 계"/>
      <sheetName val="Á¤»ê¹°·®︀웕"/>
      <sheetName val="조도계산서1"/>
      <sheetName val="ÀÔ낼㝗ﰀ㝗"/>
      <sheetName val="10.Ã¶丵⾥_x0005__x0000__x0000_"/>
      <sheetName val="ÀÔԀ_x0000_缀_x0000_"/>
      <sheetName val="Á¶µµ°è»ê¼­ (헾⼵_x0005__x0000_"/>
      <sheetName val="10.Ã¶堨û丵⽏_x0005__x0000_"/>
      <sheetName val="Á¶µµ°è»ê¼­ (堨û丵⽏_x0005_"/>
      <sheetName val="室内汇总"/>
      <sheetName val="환율change"/>
      <sheetName val="22단傠"/>
      <sheetName val="22단圬"/>
      <sheetName val="내역단가"/>
      <sheetName val="WO"/>
      <sheetName val="비용"/>
      <sheetName val="7.경제성결과"/>
      <sheetName val="심사계산"/>
      <sheetName val="심사물량"/>
      <sheetName val="광양방향"/>
      <sheetName val="_x0001__x0000_"/>
      <sheetName val="1-"/>
      <sheetName val="1"/>
      <sheetName val="1_x0008_"/>
      <sheetName val="1g"/>
      <sheetName val="㠈⎗"/>
      <sheetName val="⢔"/>
      <sheetName val="᠇Ẓ"/>
      <sheetName val="1ì"/>
      <sheetName val="1º"/>
      <sheetName val="謂ⷄ"/>
      <sheetName val="ꠀ⢄"/>
      <sheetName val="⠊⢌"/>
      <sheetName val="了"/>
      <sheetName val="1"/>
      <sheetName val="1_x0018_"/>
      <sheetName val="栉ᶆ"/>
      <sheetName val=" ᧡"/>
      <sheetName val="1P"/>
      <sheetName val="1("/>
      <sheetName val="1@"/>
      <sheetName val="1 "/>
      <sheetName val="10"/>
      <sheetName val="⠖㔺"/>
      <sheetName val="砖㖌"/>
      <sheetName val="1è"/>
      <sheetName val="1_x001e_"/>
      <sheetName val="1`"/>
      <sheetName val="1"/>
      <sheetName val="1°"/>
      <sheetName val="목창호"/>
      <sheetName val="포장공총괄수량집계표"/>
      <sheetName val="TOTAL_BOQ"/>
      <sheetName val="5.2코핑"/>
      <sheetName val=" 갑지"/>
      <sheetName val="일위대가표 (⠋ᡏ"/>
      <sheetName val="¿¹Á¤(3က"/>
      <sheetName val="SAMPLE"/>
      <sheetName val="D-RMIL"/>
      <sheetName val="ÀÏÀ§´ë°¡Ç¥(_x0005__x0000_"/>
      <sheetName val="수출가격"/>
      <sheetName val="IBL-C"/>
      <sheetName val="직급별"/>
      <sheetName val="S1099기장선행WOP"/>
      <sheetName val="도담구내 개소별 명세"/>
      <sheetName val="대목"/>
      <sheetName val="06_BATCH "/>
      <sheetName val="산출근거1"/>
      <sheetName val="b_sul"/>
      <sheetName val="94"/>
      <sheetName val="20-25"/>
      <sheetName val="설치자재"/>
      <sheetName val="단중"/>
      <sheetName val="실행ࠏE"/>
      <sheetName val="실행ဏ_x0000_"/>
      <sheetName val="Manual Valve List"/>
      <sheetName val="[YES.XLS][YES.XLS][YES.XLS]/_x0000_"/>
      <sheetName val="[YES.XLS][YES.XLS]/_x0000_"/>
      <sheetName val="[YES.XLS]/_x0000_"/>
      <sheetName val="2.노무비명欐_x0016_歜_x0016_丵⽃"/>
      <sheetName val="2.노무비명烨$橂⽲_x0005__x0000_"/>
      <sheetName val="공사비PK5월"/>
      <sheetName val="간접비(1)"/>
      <sheetName val="간접총괄"/>
      <sheetName val="재1"/>
      <sheetName val="__"/>
      <sheetName val="설비공사"/>
      <sheetName val="확정실적"/>
      <sheetName val="실행단가철(ems코드적용)"/>
      <sheetName val="항목등록"/>
      <sheetName val="일대-1"/>
      <sheetName val="종료분석"/>
      <sheetName val="중질쓰레기"/>
      <sheetName val="집수정단"/>
      <sheetName val="배수통관(좌)"/>
      <sheetName val="9G࠯_x0015__x0000__x0000_"/>
      <sheetName val="현장유지관리비"/>
      <sheetName val="A-8 PD(도로중앙)"/>
      <sheetName val="몰탈쐀/_x0000_"/>
      <sheetName val="노무단가"/>
      <sheetName val="b_balju-단가단가단가"/>
      <sheetName val="토적계산서"/>
      <sheetName val="Tool"/>
      <sheetName val="교사기준면적(중)"/>
      <sheetName val="메뉴"/>
      <sheetName val="일위대가집계표"/>
      <sheetName val="시멘트,모래"/>
      <sheetName val="공예을"/>
      <sheetName val="수안보-纈!헾『"/>
      <sheetName val="수안보-丵〒_x0005__x0000_"/>
      <sheetName val="수안보-橂】_x0005__x0000_"/>
      <sheetName val="부재치수입력"/>
      <sheetName val="Key assumption"/>
      <sheetName val="방음벽기초"/>
      <sheetName val="9-1차_x0005__x0000_"/>
      <sheetName val="품목현황"/>
      <sheetName val="재료값"/>
      <sheetName val="보차도경계석수량"/>
      <sheetName val="옥외외등집계표"/>
      <sheetName val="광통신 견적내역서1"/>
      <sheetName val="하도급선정의뢰_x0005__x0000__x0000__x0000__x0000_吝"/>
      <sheetName val="하도급선정의뢰唈_x001f_ᛅ⾠_x0005__x0000_"/>
      <sheetName val="하도급선정의뢰ᛅ⼝_x0005__x0000__x0000__x0000_"/>
      <sheetName val="음성(cable)"/>
      <sheetName val="배수및구조물공1"/>
      <sheetName val="앨범표지"/>
      <sheetName val="제조부문배부"/>
      <sheetName val="XREF"/>
      <sheetName val="반포2차"/>
      <sheetName val="시공업체명부"/>
      <sheetName val="Direct (공사비대비)"/>
      <sheetName val="골재및자재집계표"/>
      <sheetName val="1À"/>
      <sheetName val="1 "/>
      <sheetName val="ꀀ㇞"/>
      <sheetName val="1r"/>
      <sheetName val="　⮒"/>
      <sheetName val="က"/>
      <sheetName val="⠈ⱒ"/>
      <sheetName val="1Ø"/>
      <sheetName val="1_x0004_"/>
      <sheetName val="MEMBER"/>
      <sheetName val="공사별 가중치0_x0000_ꀀâ_x0000__x0000_鬀ӊ㰞"/>
      <sheetName val="자재집게표 "/>
      <sheetName val="J直_x0000__x0000_"/>
      <sheetName val="J__LOTUS_9605P_BB_C_BD_OUT_YE_2"/>
      <sheetName val="4.고용보험"/>
      <sheetName val="분야별 집계표"/>
      <sheetName val="인테리어"/>
      <sheetName val="원가계산서(인테리어)"/>
      <sheetName val="공종별집계표(인테리어)"/>
      <sheetName val="공종별내역서(인테리어)"/>
      <sheetName val="원가계산서(기계설비)"/>
      <sheetName val="공종별집계표(기계설비)"/>
      <sheetName val="공종별내역서(기계설비)"/>
      <sheetName val="원가(전기)"/>
      <sheetName val="총괄표(전기)"/>
      <sheetName val="통신"/>
      <sheetName val="원가(통신)"/>
      <sheetName val="총괄표(통신)"/>
      <sheetName val="내역서(통신)"/>
      <sheetName val="소방설비"/>
      <sheetName val="원가계산서(소방설비)"/>
      <sheetName val="공종별집계표(소방설비)"/>
      <sheetName val="공종별내역서(소방설비)"/>
      <sheetName val="소방전기"/>
      <sheetName val="원가(소방전기)"/>
      <sheetName val="총괄표(소방전기)"/>
      <sheetName val="내역서(소방전기)"/>
      <sheetName val="중기단가목록"/>
      <sheetName val="중기단가산출서"/>
      <sheetName val=" 공사설정 "/>
      <sheetName val="ÃÑÁý°è-룓"/>
      <sheetName val="관로토공"/>
      <sheetName val="N淓Ⲧ"/>
      <sheetName val="Nⷓ剆"/>
      <sheetName val="Nﺚ郕"/>
      <sheetName val="N렷"/>
      <sheetName val="스포회원매출"/>
      <sheetName val="역T형교대舨&quot;헾⾪_x0005__x0000_"/>
      <sheetName val="Tiburon"/>
      <sheetName val="배출수지B"/>
      <sheetName val="점검_x0000__x0000_"/>
      <sheetName val="직원투입계획"/>
      <sheetName val="PI壆の"/>
      <sheetName val="단柖Ń"/>
      <sheetName val="설계내역2"/>
      <sheetName val="(4-2)열관류값-2"/>
      <sheetName val="산정기준"/>
      <sheetName val="7공구 원가계산서(지분)"/>
      <sheetName val="1234"/>
      <sheetName val="증감대비표"/>
      <sheetName val="공사비증(-)감대비표"/>
      <sheetName val="총괄표(총괄)"/>
      <sheetName val="총괄표(소방)"/>
      <sheetName val="일대목차"/>
      <sheetName val="일위노임"/>
      <sheetName val="0100"/>
      <sheetName val="0110"/>
      <sheetName val="0400"/>
      <sheetName val="0410"/>
      <sheetName val="0500"/>
      <sheetName val="0510"/>
      <sheetName val="0610"/>
      <sheetName val="0611"/>
      <sheetName val="0612"/>
      <sheetName val="0613"/>
      <sheetName val="0614"/>
      <sheetName val="0615"/>
      <sheetName val="0620"/>
      <sheetName val="0621"/>
      <sheetName val="0622"/>
      <sheetName val="0623"/>
      <sheetName val="0624"/>
      <sheetName val="0710"/>
      <sheetName val="0711"/>
      <sheetName val="0720"/>
      <sheetName val="0721"/>
      <sheetName val="0910"/>
      <sheetName val="0911"/>
      <sheetName val="0920"/>
      <sheetName val="0921"/>
      <sheetName val="1000"/>
      <sheetName val="1101"/>
      <sheetName val="1020"/>
      <sheetName val="1021"/>
      <sheetName val="1300"/>
      <sheetName val="1301"/>
      <sheetName val="1400"/>
      <sheetName val="1401"/>
      <sheetName val="15.공량산출근거서"/>
      <sheetName val="교각토공"/>
      <sheetName val="관접합_x0005__x0000_"/>
      <sheetName val="차단기 BACK DATA"/>
      <sheetName val="99차량"/>
      <sheetName val="##내역서##"/>
      <sheetName val="단위중기"/>
      <sheetName val="B1(반포1차)"/>
      <sheetName val="부안변전"/>
      <sheetName val="외"/>
      <sheetName val="5.개인보호구지급"/>
      <sheetName val="재료집계표"/>
      <sheetName val="토공A1"/>
      <sheetName val="부분별수량산출(조합기초)"/>
      <sheetName val="2000_11¿ù¼³餀㢘ԯ缀"/>
      <sheetName val="인건비_"/>
      <sheetName val="단양_00_아파트-세부내역"/>
      <sheetName val="Vari_by_Vendor"/>
      <sheetName val="일위대가표_(2)"/>
      <sheetName val="방음벽_기초_일반수량"/>
      <sheetName val="I_설계조건"/>
      <sheetName val="2007일위_"/>
      <sheetName val="토목일위_(83~)"/>
      <sheetName val="노무비_"/>
      <sheetName val="산#2-1_(2)"/>
      <sheetName val="현장관리비_"/>
      <sheetName val="BASIC_(2)"/>
      <sheetName val="입출재고현황_(2)"/>
      <sheetName val="Piping_Design_Data"/>
      <sheetName val="H_PILE수량"/>
      <sheetName val="중기조종사_단위단가"/>
      <sheetName val="제3장_기술업무"/>
      <sheetName val="A_견적"/>
      <sheetName val="5_정산서"/>
      <sheetName val="공사별_가중치_산출근거(토목)"/>
      <sheetName val="1_ÀüÂ÷¼±Á¶Á¤"/>
      <sheetName val="2_Á¶°¡¼±Á¶Á¤"/>
      <sheetName val="3_±ÞÀü¼±½Å¼³"/>
      <sheetName val="4_±ÞÀü¼±Ã¶°Å"/>
      <sheetName val="Oper_Amount"/>
      <sheetName val="자재_단가표"/>
      <sheetName val="내역서_"/>
      <sheetName val="7_1유효폭"/>
      <sheetName val="General_Data"/>
      <sheetName val="YES_XLS"/>
      <sheetName val="2F_회의실견적(5_14_일대)1"/>
      <sheetName val="unit_41"/>
      <sheetName val="1_설계조건1"/>
      <sheetName val="2__동력설비_공사1"/>
      <sheetName val="3__조명설비공사1"/>
      <sheetName val="4__접지설비공사1"/>
      <sheetName val="5__통신설비_공사1"/>
      <sheetName val="6__전기방식설비공사1"/>
      <sheetName val="6_전기방식_설비공사(2)1"/>
      <sheetName val="7_방호설비공사1"/>
      <sheetName val="8_가설전기공사1"/>
      <sheetName val="2000_11월설계내역1"/>
      <sheetName val="전선_및_전선관1"/>
      <sheetName val="단가_및_재료비1"/>
      <sheetName val="준검_내역서1"/>
      <sheetName val="1_수인터널1"/>
      <sheetName val="수목데이타_1"/>
      <sheetName val="변압기_및_발전기_용량1"/>
      <sheetName val="-_INFORMATION_-1"/>
      <sheetName val="5호광장_(만점)1"/>
      <sheetName val="인천국제_(만점)_(2)1"/>
      <sheetName val="설_계1"/>
      <sheetName val="3BL공동구_수량1"/>
      <sheetName val="Sheet1_(2)1"/>
      <sheetName val="단면_(2)1"/>
      <sheetName val="외주대비_-석축1"/>
      <sheetName val="외주대비-구조물_(2)1"/>
      <sheetName val="견적표지_(3)1"/>
      <sheetName val="IMP_(REACTOR)1"/>
      <sheetName val="1_설계기준1"/>
      <sheetName val="3_바닥판설계1"/>
      <sheetName val="3_공통공사대비1"/>
      <sheetName val="90_03실행_1"/>
      <sheetName val="96보완계획7_121"/>
      <sheetName val="6PILE__(돌출)1"/>
      <sheetName val="º¹±¸·®»êÁ¤_¹×_Àü¿ëÈ¸¼±_»ç¿ë1"/>
      <sheetName val="4¿ù_½ÇÀûÃßÁ¤(°ÇÃà+Åä¸ñ)1"/>
      <sheetName val="4¿ù_½ÇÀûÃßÁ¤(°ÇÃà)1"/>
      <sheetName val="ITB_COST1"/>
      <sheetName val="원가계산서_(총괄)1"/>
      <sheetName val="원가계산서_(건축)1"/>
      <sheetName val="임시급식_(2)1"/>
      <sheetName val="Summary_Sheets1"/>
      <sheetName val="전차선로_물량표1"/>
      <sheetName val="1공구_건정토건_토공1"/>
      <sheetName val="1_¼öº¯Àü¼³ºñ1"/>
      <sheetName val="2_Àü·Â°£¼±1"/>
      <sheetName val="3_µ¿·Â1"/>
      <sheetName val="4_Àüµî1"/>
      <sheetName val="5_Àü¿­1"/>
      <sheetName val="6_¾àÀü1"/>
      <sheetName val="7_¼Ò¹æ1"/>
      <sheetName val="8_¹æ¼Û1"/>
      <sheetName val="9_Á¶¸íÁ¦¾î1"/>
      <sheetName val="10_Ã¶°Å°ø»ç1"/>
      <sheetName val="³²¾ç½ÃÀÛµ¿ÀÚ105³ë65±â1_3È­1_21"/>
      <sheetName val="Á¶µµ°è»ê¼­_(µµ¼­)1"/>
      <sheetName val="TRE_TABLE1"/>
      <sheetName val="2000,9월_일위1"/>
      <sheetName val="CABLE_SIZE-31"/>
      <sheetName val="2000_11¿ù¼³°è³»¿ª1"/>
      <sheetName val="Àü¼±_¹×_Àü¼±°ü1"/>
      <sheetName val="ÁØ°Ë_³»¿ª¼­1"/>
      <sheetName val="¼ö¸ñµ¥ÀÌÅ¸_1"/>
      <sheetName val="º¯¾Ð±â_¹×_¹ßÀü±â_¿ë·®1"/>
      <sheetName val="1_¼öÀÎÅÍ³Î1"/>
      <sheetName val="설산1_나1"/>
      <sheetName val="단__가__대__비__표1"/>
      <sheetName val="일__위__대__가__목__록1"/>
      <sheetName val="Customer_Databas1"/>
      <sheetName val="design_criteria1"/>
      <sheetName val="plan&amp;section_of_foundation1"/>
      <sheetName val="General_Data1"/>
      <sheetName val="일위대가표_(2)1"/>
      <sheetName val="YES_XLS1"/>
      <sheetName val="Piping Cost"/>
      <sheetName val="접지耀⧞"/>
      <sheetName val="접지_x0000__x0000_"/>
      <sheetName val="접지쀀ᗡ"/>
      <sheetName val="CA_x0000__x0000_"/>
      <sheetName val="견적의뢰"/>
      <sheetName val="LG제품"/>
      <sheetName val="손익차9월2"/>
      <sheetName val="산출-설비"/>
      <sheetName val="&lt;--"/>
      <sheetName val="PROJECT BRIEF(EX.NEW)"/>
      <sheetName val="검사조怀"/>
      <sheetName val="검사조ԯ"/>
      <sheetName val="검사조砀"/>
      <sheetName val="검사조⠀"/>
      <sheetName val="검사조瀀"/>
      <sheetName val="D_x0000_䟫Ɛ"/>
      <sheetName val="5.공량산출서"/>
      <sheetName val="설계조_x0000_"/>
      <sheetName val="전신환매도洸"/>
      <sheetName val="전신환매도永"/>
      <sheetName val="전신환매도欸"/>
      <sheetName val="sum"/>
      <sheetName val="F5"/>
      <sheetName val="#1환기구수량산출근거"/>
      <sheetName val="가동비율"/>
      <sheetName val="3.상가"/>
      <sheetName val="mesc"/>
      <sheetName val="기성신청"/>
      <sheetName val="I.일위대가목차"/>
      <sheetName val="수리계산(2021)"/>
      <sheetName val="1공구내역서(1)"/>
      <sheetName val="유화"/>
      <sheetName val="PumpSpec"/>
      <sheetName val="5.1단가조사"/>
      <sheetName val="000"/>
      <sheetName val="100"/>
      <sheetName val="4.  단락전류의 계산"/>
      <sheetName val="허용전류-IEC"/>
      <sheetName val="참조(X)"/>
      <sheetName val="sum1_(2)"/>
      <sheetName val="Site_Expenses"/>
      <sheetName val="제원_설계조건"/>
      <sheetName val="일위대가_집계표"/>
      <sheetName val="단가표_"/>
      <sheetName val="공사비_내역_(가)"/>
      <sheetName val="배수설비"/>
      <sheetName val="재료비내역서"/>
      <sheetName val="pc-tie"/>
      <sheetName val="철물"/>
      <sheetName val="전도품의"/>
      <sheetName val="RESOURCE"/>
      <sheetName val="주공 갑지"/>
      <sheetName val="N렀"/>
      <sheetName val="철근집계표"/>
      <sheetName val="연砀⪜︀"/>
      <sheetName val="연ࠀᢝ䰀"/>
      <sheetName val="4¿ù ½ÇÀûÃßÁ¤(°ÇÃ"/>
      <sheetName val="4¿ù ½ÇÀûÃßÁ¤(°ÇÃà+Åä¸␀䮌"/>
      <sheetName val="96보완계획7.谔C"/>
      <sheetName val="96보완계획7."/>
      <sheetName val="96보완계획7.谤K"/>
      <sheetName val="96보완계획7.䕝痬"/>
      <sheetName val="96보완계획7.㭘˞"/>
      <sheetName val="96보완계획7.텐ʸ"/>
      <sheetName val="장비삘ᛩþ"/>
      <sheetName val="단면(R̖ﻪ"/>
      <sheetName val="설계서(7)"/>
      <sheetName val="갑지(가로ﻁ"/>
      <sheetName val="\\192.168.0.101\승인용\고은비\견적서\970"/>
      <sheetName val="\\192.168.0.101\승인용\오영춘\견적서,내역서"/>
      <sheetName val="96보완계획7.⃦"/>
      <sheetName val="4¿ù ½ÇÀûÃßÁ¤(°ÇÃà⃦_x0000__x0000__x0000__x0000_"/>
      <sheetName val="96보완계획7.郯"/>
      <sheetName val="96보완계획7.릨̵"/>
      <sheetName val="청주-교대(A1)"/>
      <sheetName val="pile bearing capa &amp; arrenge"/>
      <sheetName val="BEQ내역"/>
      <sheetName val="일위대가(4층원격)"/>
      <sheetName val="PILE"/>
      <sheetName val="수목데이타"/>
      <sheetName val="단가순번"/>
      <sheetName val="전체공사"/>
      <sheetName val="10_Ã¶丵⾥"/>
      <sheetName val="10_Ã¶堨û丵⽏"/>
      <sheetName val="Á¶µµ°è»ê¼­_(堨û丵⽏"/>
      <sheetName val="Á¶µµ°è»ê¼­_(헾⼵"/>
      <sheetName val="수습"/>
      <sheetName val="22수"/>
      <sheetName val="22단"/>
      <sheetName val="49단"/>
      <sheetName val="기별"/>
      <sheetName val="CABdata"/>
      <sheetName val="Ampecity_Data"/>
      <sheetName val="견적서(대외)_(2)"/>
      <sheetName val="1_¼³°è±âÁØ"/>
      <sheetName val="3_¹Ù´ÚÆÇ¼³°è"/>
      <sheetName val="2__µ¿·Â¼³ºñ_°ø»ç"/>
      <sheetName val="3__Á¶¸í¼³ºñ°ø»ç"/>
      <sheetName val="4__Á¢Áö¼³ºñ°ø»ç"/>
      <sheetName val="5__Åë½Å¼³ºñ_°ø»ç"/>
      <sheetName val="6__Àü±â¹æ½Ä¼³ºñ°ø»ç"/>
      <sheetName val="6_Àü±â¹æ½Ä_¼³ºñ°ø»ç(2)"/>
      <sheetName val="7_¹æÈ£¼³ºñ°ø»ç"/>
      <sheetName val="8_°¡¼³Àü±â°ø»ç"/>
      <sheetName val="8__¾ÈÁ¤°ËÅä"/>
      <sheetName val="°ßÀû¼­(´ë¿Ü)_(2)"/>
      <sheetName val="6PILE__(µ¹Ãâ)"/>
      <sheetName val="Upgrades_pricing"/>
      <sheetName val="산재_안전"/>
      <sheetName val="노무비_경비"/>
      <sheetName val="소상_&quot;1&quot;"/>
      <sheetName val="IPS0823"/>
      <sheetName val="말뚝설계"/>
      <sheetName val="입력자료"/>
      <sheetName val="steam table"/>
      <sheetName val="BM"/>
      <sheetName val="05.18"/>
      <sheetName val="5.28"/>
      <sheetName val="FLANGE"/>
      <sheetName val="dwn"/>
      <sheetName val="PIPE(A)"/>
      <sheetName val="일"/>
      <sheetName val="한일양산"/>
      <sheetName val="Ⅱ1-0타"/>
      <sheetName val="계정과목"/>
      <sheetName val="하수처리장"/>
      <sheetName val="AP1"/>
      <sheetName val="공문(신)"/>
      <sheetName val="근로자자료입력"/>
      <sheetName val="단가비교표 _계측제어_"/>
      <sheetName val="4-7.중앙전기실(노임단가)"/>
      <sheetName val="말뚝물薘"/>
      <sheetName val="전체분"/>
      <sheetName val="싱가폴(실지급+인상율)"/>
      <sheetName val="방송일위대가"/>
      <sheetName val="2.1 전선굵기"/>
      <sheetName val="준공내역서(을)"/>
      <sheetName val="산출(전기)"/>
      <sheetName val="결과"/>
      <sheetName val="기기점검대상"/>
      <sheetName val="철거산출徸〒"/>
      <sheetName val="Chi tiet"/>
      <sheetName val="내역(2000년)"/>
      <sheetName val="우수맨홀토공단위수량"/>
      <sheetName val="방류관거토적표"/>
      <sheetName val="위치�ᢘ"/>
      <sheetName val="Mc_x0000_"/>
      <sheetName val="철거 일위대가(2_x0000__x0000__x0005__x0000_꼀"/>
      <sheetName val="Mc"/>
      <sheetName val="화재 탐지_x0005_"/>
      <sheetName val="설치 일위대가(4԰"/>
      <sheetName val="노원열병합  건축렀䡟ԯ"/>
      <sheetName val="노원열병합  건축︀ᇕ԰"/>
      <sheetName val="노원열병합  건축ﻕᇕ԰"/>
      <sheetName val="노원열병합  건축렀こ렀䡟ԯ"/>
      <sheetName val="»êÃ렀䡟ԯ"/>
      <sheetName val="»êÃ︀ᇕ԰"/>
      <sheetName val="4/"/>
      <sheetName val="4က"/>
      <sheetName val="갑지(0"/>
      <sheetName val="갑지("/>
      <sheetName val="단ူ"/>
      <sheetName val="현장설က"/>
      <sheetName val="2000.11¿ù¼³餀㢘ԯ"/>
      <sheetName val="신공항A-9헾】_x0005_"/>
      <sheetName val="2000,_x0010_"/>
      <sheetName val="2000,"/>
      <sheetName val="2000,徸⽝_x0005_"/>
      <sheetName val="입출재고현⩿〚_x0005_"/>
      <sheetName val="방음벽 기초_x0005_"/>
      <sheetName val="관리"/>
      <sheetName val="관리Ç"/>
      <sheetName val="설치 일위대가(46~԰"/>
      <sheetName val="9-1԰"/>
      <sheetName val="가은우회도로"/>
      <sheetName val="기성내역(건축)"/>
      <sheetName val="작업내역"/>
      <sheetName val="우수관"/>
      <sheetName val="검사조堀"/>
      <sheetName val="1차증가원가怀፵"/>
      <sheetName val="5.전사투자계획종함안"/>
      <sheetName val="48산출 "/>
      <sheetName val="DB구축"/>
      <sheetName val="22전선(P)"/>
      <sheetName val="22전선(L)"/>
      <sheetName val="22전선(R)"/>
      <sheetName val="총괄원가  (2)"/>
      <sheetName val="변경공종별집계표"/>
      <sheetName val="변경공종별내역서"/>
      <sheetName val="변경공종별집계표(관급)"/>
      <sheetName val="변경공종별내역서(관급)"/>
      <sheetName val="전산소모"/>
      <sheetName val="공통"/>
      <sheetName val="자재co"/>
      <sheetName val="물량 산출 통신 맨홀"/>
      <sheetName val="건축설비"/>
      <sheetName val="검토"/>
      <sheetName val="골조물량"/>
      <sheetName val="MATRLDATA"/>
      <sheetName val="견적집계표"/>
      <sheetName val="4.포장집계"/>
      <sheetName val="J__LOTUS_9605P_BB_C_BD_OUT_YE_3"/>
      <sheetName val="J__LOTUS_9605P_BB_C_BD_OUT_YE_4"/>
      <sheetName val="고창터널(딈㩧0_x0000_"/>
      <sheetName val="고창터널(딈㩧0_x0000_㠀"/>
      <sheetName val="고창터널(딊㩧0_x0000_ꀀ"/>
      <sheetName val="고창터널(堌᬴怀䚴딊"/>
      <sheetName val="고창터널(堌᬴堀Ỷ딉"/>
      <sheetName val="Æ¯º°±³擀睈"/>
      <sheetName val="업무처리전"/>
      <sheetName val="건설산출"/>
      <sheetName val="Requirement(Work Crew)"/>
      <sheetName val="일위대가목_x0000_"/>
      <sheetName val="Summar"/>
      <sheetName val="Summar䡲ぞ_x0000_"/>
      <sheetName val="관로부문"/>
      <sheetName val="단가LIST"/>
      <sheetName val="가정급수관"/>
      <sheetName val="Sheet#_x0000_"/>
      <sheetName val="Discount Group"/>
      <sheetName val="VXXXXXX"/>
      <sheetName val="????"/>
      <sheetName val="설비사고 "/>
      <sheetName val="용역단가"/>
      <sheetName val="실링"/>
      <sheetName val="14년 개대체 부서별 예산"/>
      <sheetName val="y자관"/>
      <sheetName val="입상내역"/>
      <sheetName val="금액결醐"/>
      <sheetName val="12년06월28일 패케이지반및분전반정산서"/>
      <sheetName val="Book1"/>
      <sheetName val="98발주"/>
      <sheetName val="공무2과"/>
      <sheetName val="물"/>
      <sheetName val="수로교_xdc00_᎚␀᎛"/>
      <sheetName val="단가목԰"/>
      <sheetName val="단가목_xdc00_"/>
      <sheetName val="의჉_x0000_쀀"/>
      <sheetName val="산출기준(파견전산실)"/>
      <sheetName val="의왕㣀㚰"/>
      <sheetName val="감액ቀ԰"/>
      <sheetName val="버스운䃸〒_x0005_"/>
      <sheetName val="감액⚁︀"/>
      <sheetName val="감액䠀㑙"/>
      <sheetName val="감액ԯ_x0000_缀"/>
      <sheetName val="감액⡓㰀"/>
      <sheetName val="결과㉘"/>
      <sheetName val="결과Թ_x0000_"/>
      <sheetName val="감액︀ᷕԯ"/>
      <sheetName val="3.1조명전열 설비공사"/>
      <sheetName val="3.3정보통신 설비공사"/>
      <sheetName val="3.4소방 설비공사"/>
      <sheetName val="일위대가집계표(사급)"/>
      <sheetName val="DG7"/>
      <sheetName val="일단의 주택지"/>
      <sheetName val="NOTE ALL"/>
      <sheetName val="3.2.1 마루높이결정"/>
      <sheetName val="개요입력"/>
      <sheetName val="수량기준"/>
      <sheetName val="단가기준"/>
      <sheetName val="9GNG_x0000__x0000_"/>
      <sheetName val="포_x0000__x0000_"/>
      <sheetName val="9GNG 䆇"/>
      <sheetName val="9GNGꀀ_xdb83_"/>
      <sheetName val="약Å_x0000_᠀"/>
      <sheetName val="9GNG_x0001__x0000_"/>
      <sheetName val="포頀⹘"/>
      <sheetName val="9GNG사"/>
      <sheetName val="9GNG迬"/>
      <sheetName val="약僅ძ杏"/>
      <sheetName val="9GNG肬埭"/>
      <sheetName val="9GNG悬㗫"/>
      <sheetName val="약退뫯佚"/>
      <sheetName val="9GNG났駪"/>
      <sheetName val="9GNGꀀ濫"/>
      <sheetName val="9GNG悬俬"/>
      <sheetName val="9GNGႬ㛭"/>
      <sheetName val="약⃅飫텷"/>
      <sheetName val="9GNG炬룯"/>
      <sheetName val="9GNG肬ᷮ"/>
      <sheetName val="9GNG࿟"/>
      <sheetName val="자재단가׃"/>
      <sheetName val="품셈1-17"/>
      <sheetName val="Reference"/>
      <sheetName val="변경비㧨-娐"/>
      <sheetName val="내역서(을지)_2-1공구"/>
      <sheetName val="토목품셈"/>
      <sheetName val="버스운행안姠"/>
      <sheetName val="버스운행안夸"/>
      <sheetName val="버스운행안哈"/>
      <sheetName val="버스운행안_x0005_"/>
      <sheetName val="계장 품셈표"/>
      <sheetName val="금리ﺙᇕ"/>
      <sheetName val="TOTAL인원"/>
      <sheetName val="EXPAN-1"/>
      <sheetName val="48신설단가"/>
      <sheetName val="Steam-Sys"/>
      <sheetName val="98'자재"/>
      <sheetName val="DB@Acess"/>
      <sheetName val="조명_x0000__x0000_"/>
      <sheetName val="Result"/>
      <sheetName val="A4"/>
      <sheetName val="포Ԁ_x0000_"/>
      <sheetName val="대창(함평쑥兣0_x0000_"/>
      <sheetName val="식재일위"/>
      <sheetName val="제노임"/>
      <sheetName val="관급단가"/>
      <sheetName val="철거산_x0000__x0000_Ԁ"/>
      <sheetName val="철거산䈀㡪ԯ"/>
      <sheetName val="장비사양"/>
      <sheetName val="경사수로"/>
      <sheetName val="¼ö¸ñ´헾⿨_x0005_"/>
      <sheetName val="100만평"/>
      <sheetName val="평야부단가"/>
      <sheetName val="DAN"/>
      <sheetName val="적용대가"/>
      <sheetName val="기က"/>
      <sheetName val="변경비"/>
      <sheetName val="하도급선정의뢰_x0005_"/>
      <sheetName val="하도급선정의뢰煘_x0013_橂⿜_x0005_"/>
      <sheetName val="하도급선정의뢰聸_x0013_헾⾧_x0005_"/>
      <sheetName val="하도급선정의뢰颙〒_x0005_"/>
      <sheetName val="하도급선정의뢰"/>
      <sheetName val="하도급선정의뢰_x0010_"/>
      <sheetName val="변경비_x0005_"/>
      <sheetName val="2.노무비명세서頀塔攀๦0"/>
      <sheetName val="2.노무비명세서Ç"/>
      <sheetName val="단가_x0005_"/>
      <sheetName val="[YES.XLS]4/"/>
      <sheetName val="[YES.XLS][YES.XLS]4/"/>
      <sheetName val="9-1차_x0005_"/>
      <sheetName val="약Å"/>
      <sheetName val="[YES.XLS][YES.XLS][YES.XLS]4/"/>
      <sheetName val="건0"/>
      <sheetName val="금0"/>
      <sheetName val="ÀÏÀ§´ë헾】_x0005_"/>
      <sheetName val="8. 안"/>
      <sheetName val="Summar헾】_x0005_"/>
      <sheetName val="교통_x0005_"/>
      <sheetName val="임시급식ֿ"/>
      <sheetName val="철거산"/>
      <sheetName val="JUCK֕"/>
      <sheetName val="´_x0005_"/>
      <sheetName val="ÁÖÇ_x0005_"/>
      <sheetName val="경영혁신본부"/>
      <sheetName val="제수_x0000__x0000_"/>
      <sheetName val="제수午_x0013_뺨"/>
      <sheetName val="제수午_x0013_㸀"/>
      <sheetName val="제수午_x0013_㐨"/>
      <sheetName val="제수午_x0013_㺨"/>
      <sheetName val="제수午_x0013_绠"/>
      <sheetName val="제수午_x0013_떰"/>
      <sheetName val="제수午_x0013_"/>
      <sheetName val="member design"/>
      <sheetName val="soil bearing check"/>
      <sheetName val="도급,하도급 예정금액"/>
      <sheetName val="철집"/>
      <sheetName val="변경비懸_x0013_颙"/>
      <sheetName val="변경비颙〒_x0005_"/>
      <sheetName val="일위집԰_x0000_"/>
      <sheetName val="변경비窨_x0013_竬"/>
      <sheetName val="시공계ⱂ"/>
      <sheetName val="Àåºñ´Ü°¡»êÃ8"/>
      <sheetName val="Àåºñ´Ü°¡»êÃ_x0005_"/>
      <sheetName val="1SPAè"/>
      <sheetName val="9GNG¬_x0000_"/>
      <sheetName val="약廛袘"/>
      <sheetName val="9GNG肬쿟"/>
      <sheetName val="설계塸"/>
      <sheetName val="조직"/>
      <sheetName val="사업분석"/>
      <sheetName val="물량산출근거 수정 최종검토"/>
      <sheetName val="배수관공"/>
      <sheetName val="2-1. 대비"/>
      <sheetName val="원영국도내역"/>
      <sheetName val="[YES.XLS][YES.XLS]A__9701A_OU_7"/>
      <sheetName val="[YES.XLS][YES.XLS]A__9701A_OU_6"/>
      <sheetName val="[YES.XLS][YES.XLS]A__9701A_OU_5"/>
      <sheetName val="BOX1"/>
      <sheetName val="항목별사⣓䒢뀠"/>
      <sheetName val="직공悲"/>
      <sheetName val="기본⦆԰_x0000_"/>
      <sheetName val="LD쀀"/>
      <sheetName val="AILC00þ"/>
      <sheetName val="º¯°æ»çÀX"/>
      <sheetName val="F_D SEC. PROP"/>
      <sheetName val="금액결헾"/>
      <sheetName val="[YES.XLS][YES.XLS]A__9701A_OU_8"/>
      <sheetName val="[YES.XLS][YES.XLS]A__9701A_OU_9"/>
      <sheetName val="하수급견적대韨"/>
      <sheetName val="[YES.XLS][YES.XLS]A__9701A_O_14"/>
      <sheetName val="가설내ၒ"/>
      <sheetName val="[YES.XLS][YES.XLS]A__9701A_O_13"/>
      <sheetName val="[YES.XLS][YES.XLS]A__9701A_O_10"/>
      <sheetName val="[YES.XLS][YES.XLS]A__9701A_O_11"/>
      <sheetName val="[YES.XLS][YES.XLS]A__9701A_O_12"/>
      <sheetName val="[YES.XLS][YES.XLS]A__9701A_O_15"/>
      <sheetName val="[YES.XLS][YES.XLS]A__9701A_O_16"/>
      <sheetName val="[YES.XLS][YES.XLS]A__9701A_O_17"/>
      <sheetName val="◀암거수리계산조서"/>
      <sheetName val="5지구단위"/>
      <sheetName val="중기(목록)"/>
      <sheetName val=" 유지관리시스템 구축_중앙처리구역 내역서(ver2.0)."/>
      <sheetName val="산출조서"/>
      <sheetName val="인_x0000_Ԁ"/>
      <sheetName val="2009년설계(안)"/>
      <sheetName val="2002공임"/>
      <sheetName val="재료_x0000__x0000_Ԁ"/>
      <sheetName val="1.htm"/>
      <sheetName val="PANEL가격"/>
      <sheetName val="3회기_x0005_"/>
      <sheetName val="의׉_x0000_缀"/>
      <sheetName val="원가입력"/>
      <sheetName val="토건"/>
      <sheetName val="시행후면적"/>
      <sheetName val="Macro(조도)"/>
      <sheetName val="B×a"/>
      <sheetName val="Á¤»ê¼¼ºÎ¹°·®1Â÷º헾⾌_x0005__x0000_"/>
      <sheetName val="[YES.XLS][YES.XLS]A__9701A_O_20"/>
      <sheetName val="[YES.XLS][YES.XLS]A__9701A_O_18"/>
      <sheetName val="[YES.XLS][YES.XLS]A__9701A_O_19"/>
      <sheetName val="[YES.XLS][YES.XLS]A__9701A_O_22"/>
      <sheetName val="[YES.XLS][YES.XLS]A__9701A_O_21"/>
      <sheetName val="[YES.XLS][YES.XLS]A__9701A_O_23"/>
      <sheetName val="[YES.XLS][YES.XLS]A__9701A_O_24"/>
      <sheetName val="[YES.XLS][YES.XLS]A__9701A_O_25"/>
      <sheetName val="홍보비디오"/>
      <sheetName val="부하자료"/>
      <sheetName val="[YES.XLS][YES.XLS]A__9701A_O_57"/>
      <sheetName val="[YES.XLS][YES.XLS]A__9701A_O_29"/>
      <sheetName val="[YES.XLS][YES.XLS]A__9701A_O_26"/>
      <sheetName val="[YES.XLS][YES.XLS]A__9701A_O_28"/>
      <sheetName val="[YES.XLS][YES.XLS]A__9701A_O_27"/>
      <sheetName val="전등"/>
      <sheetName val="수량산출(1)"/>
      <sheetName val="역공종"/>
      <sheetName val="수량산출(2공구)"/>
      <sheetName val="수량산출 (3공구)"/>
      <sheetName val="산출금액내역"/>
      <sheetName val="48신설일위대가"/>
      <sheetName val="철거일위대가"/>
      <sheetName val="수량산출(본전화)"/>
      <sheetName val="거래처등록"/>
      <sheetName val="유류대관리"/>
      <sheetName val="내역변"/>
      <sheetName val="MORTAR생산및타설(1;3)"/>
      <sheetName val="98⢅"/>
      <sheetName val="용수개거 내역수량집계표"/>
      <sheetName val="신규일위대가"/>
      <sheetName val="정산"/>
      <sheetName val="ºÀ¾ç~Á¶Â÷Àå°£°_x0000__x0000_Ԁ_x0000__x0000_섧_x0002__x0000__x0000__x0000_Ā_x0000_ऀ"/>
      <sheetName val="ºÀ¾ç~Á¶Â÷Àå°£°_x0000__x0000_Ԁ_x0000_耀䚞_x0000__x0000__x0000__x0000_Ā_x0000_ऀ"/>
      <sheetName val="ºÀ¾ç~Á¶Â÷Àå°£°_x0000__x0000_Ԁ_x0000__x0000_毜_x0002__x0000__x0000__x0000_Ā_x0000_ऀ"/>
      <sheetName val="2공구滘0"/>
      <sheetName val="호안사석"/>
      <sheetName val="배수자집"/>
      <sheetName val="기계(집계표)"/>
      <sheetName val="구조물철거집계 "/>
      <sheetName val="공사설명서"/>
      <sheetName val="공사계획서"/>
      <sheetName val="강재 수량"/>
      <sheetName val="Á¤Ⴛêº¹±¸·®"/>
      <sheetName val="DATA_입력란"/>
      <sheetName val="1__설계조건_2_단면가정_3__하중계산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설계기준_및_하중계산"/>
      <sheetName val="목동1절주_bh01"/>
      <sheetName val="공사별_가중치_산출근거(건축)"/>
      <sheetName val="자__재"/>
      <sheetName val="HRSG_SMALL07220"/>
      <sheetName val="전기_원가계산서"/>
      <sheetName val="AS포장복구_1"/>
      <sheetName val="_상부공통집계(총괄)1"/>
      <sheetName val="5_정산서1"/>
      <sheetName val="1_노무비명세서(해동)1"/>
      <sheetName val="1_노무비명세서(토목)1"/>
      <sheetName val="2_노무비명세서(해동)1"/>
      <sheetName val="2_노무비명세서(수직보호망)1"/>
      <sheetName val="2_노무비명세서(난간대)1"/>
      <sheetName val="2_사진대지1"/>
      <sheetName val="3_사진대지1"/>
      <sheetName val="2007일위_1"/>
      <sheetName val="토목일위_(83~)1"/>
      <sheetName val="노무비_1"/>
      <sheetName val="BASIC_(2)1"/>
      <sheetName val="입출재고현황_(2)1"/>
      <sheetName val="인건비_1"/>
      <sheetName val="BSD_(2)1"/>
      <sheetName val="현장관리비_1"/>
      <sheetName val="2000_11월설계내역2"/>
      <sheetName val="전선_및_전선관2"/>
      <sheetName val="준검_내역서2"/>
      <sheetName val="1_수인터널2"/>
      <sheetName val="단가_및_재료비2"/>
      <sheetName val="1_수변전설비공사2"/>
      <sheetName val="2__동력설비_공사2"/>
      <sheetName val="3__조명설비공사2"/>
      <sheetName val="4__접지설비공사2"/>
      <sheetName val="5__통신설비_공사2"/>
      <sheetName val="6__전기방식설비공사2"/>
      <sheetName val="6_전기방식_설비공사(2)2"/>
      <sheetName val="7_방호설비공사2"/>
      <sheetName val="8_가설전기공사2"/>
      <sheetName val="수목데이타_2"/>
      <sheetName val="변압기_및_발전기_용량2"/>
      <sheetName val="복구량산정_및_전용회선_사용2"/>
      <sheetName val="표지_(2)2"/>
      <sheetName val="원가계산서_(총괄)2"/>
      <sheetName val="원가계산서_(건축)2"/>
      <sheetName val="3BL공동구_수량2"/>
      <sheetName val="4월_실적추정(건축+토목)2"/>
      <sheetName val="4월_실적추정(건축)2"/>
      <sheetName val="인건비_2"/>
      <sheetName val="단면_(2)2"/>
      <sheetName val="AS포장복구_2"/>
      <sheetName val="-_INFORMATION_-2"/>
      <sheetName val="Sheet1_(2)2"/>
      <sheetName val="1_수변전설비2"/>
      <sheetName val="2_전력간선2"/>
      <sheetName val="3_동력2"/>
      <sheetName val="4_전등2"/>
      <sheetName val="5_전열2"/>
      <sheetName val="6_약전2"/>
      <sheetName val="7_소방2"/>
      <sheetName val="8_방송2"/>
      <sheetName val="9_조명제어2"/>
      <sheetName val="10_철거공사2"/>
      <sheetName val="남양시작동자105노65기1_3화1_22"/>
      <sheetName val="2000_11¿ù¼³°è³»¿ª2"/>
      <sheetName val="Àü¼±_¹×_Àü¼±°ü2"/>
      <sheetName val="ÁØ°Ë_³»¿ª¼­2"/>
      <sheetName val="¼ö¸ñµ¥ÀÌÅ¸_2"/>
      <sheetName val="º¯¾Ð±â_¹×_¹ßÀü±â_¿ë·®2"/>
      <sheetName val="1_¼öÀÎÅÍ³Î2"/>
      <sheetName val="CABLE_SIZE-32"/>
      <sheetName val="5호광장_(만점)2"/>
      <sheetName val="인천국제_(만점)_(2)2"/>
      <sheetName val="외주대비_-석축2"/>
      <sheetName val="외주대비-구조물_(2)2"/>
      <sheetName val="견적표지_(3)2"/>
      <sheetName val="1_전차선조정2"/>
      <sheetName val="2_조가선조정2"/>
      <sheetName val="3_급전선신설2"/>
      <sheetName val="4_급전선철거2"/>
      <sheetName val="5_고배선철거2"/>
      <sheetName val="6_고압케이블신설2"/>
      <sheetName val="7_비절연선조정2"/>
      <sheetName val="8_가동브래키트이설2"/>
      <sheetName val="9_H형강주신설(9m)2"/>
      <sheetName val="10_강관주신설(9m)2"/>
      <sheetName val="11_H강주철거(11m)2"/>
      <sheetName val="11_H형강기초2"/>
      <sheetName val="13_강관주기초2"/>
      <sheetName val="14_장력조정장치신설2"/>
      <sheetName val="15_장력조정장치철거___2"/>
      <sheetName val="16_콘주철거(9m)2"/>
      <sheetName val="17_지선신설(보통)2"/>
      <sheetName val="18_지선신설(v형)2"/>
      <sheetName val="19_지선철거2"/>
      <sheetName val="20_기중개폐기신설2"/>
      <sheetName val="0_집계2"/>
      <sheetName val="입출재고현황_(2)2"/>
      <sheetName val="1_설계조건2"/>
      <sheetName val="3-1_CB2"/>
      <sheetName val="조도계산서_(도서)2"/>
      <sheetName val="설_계2"/>
      <sheetName val="IMP_(REACTOR)2"/>
      <sheetName val="1_설계기준2"/>
      <sheetName val="3_바닥판설계2"/>
      <sheetName val="BASIC_(2)2"/>
      <sheetName val="2000,9월_일위2"/>
      <sheetName val="2007일위_2"/>
      <sheetName val="토목일위_(83~)2"/>
      <sheetName val="노무비_2"/>
      <sheetName val="현장관리비_2"/>
      <sheetName val="_상부공통집계(총괄)2"/>
      <sheetName val="5_정산서2"/>
      <sheetName val="설계기준_및_하중계산1"/>
      <sheetName val="1_노무비명세서(해동)2"/>
      <sheetName val="1_노무비명세서(토목)2"/>
      <sheetName val="2_노무비명세서(해동)2"/>
      <sheetName val="2_노무비명세서(수직보호망)2"/>
      <sheetName val="2_노무비명세서(난간대)2"/>
      <sheetName val="2_사진대지2"/>
      <sheetName val="3_사진대지2"/>
      <sheetName val="BSD_(2)2"/>
      <sheetName val="전차선로_물량표2"/>
      <sheetName val="2F_회의실견적(5_14_일대)2"/>
      <sheetName val="제수변 수량집계표(보통)"/>
      <sheetName val="exec"/>
      <sheetName val="적용2_x0000__x0000_ヸ"/>
      <sheetName val="[YES.XLS][YES.XLS]A__9701A_O_30"/>
      <sheetName val="수자재단위당"/>
      <sheetName val="울산자동제어"/>
      <sheetName val="호남2"/>
      <sheetName val="사각맨䠓"/>
      <sheetName val="이음개소"/>
      <sheetName val="6-4.1일위대가목록"/>
      <sheetName val="코드관리"/>
      <sheetName val="포장공사"/>
      <sheetName val="현장일반사항"/>
      <sheetName val="용집"/>
      <sheetName val="DATA_Garak"/>
      <sheetName val="DATA_Total"/>
      <sheetName val="DATA_Kwangju"/>
      <sheetName val="DATA_Daejeon"/>
      <sheetName val="DATA_Sadang"/>
      <sheetName val="DATA_Yangjae"/>
      <sheetName val="DATA_Yoido"/>
      <sheetName val="DATA_Ulsan"/>
      <sheetName val="DATA_Incheon"/>
      <sheetName val="DATA_Jeonju"/>
      <sheetName val="소방일위 "/>
      <sheetName val="8. 안_x0010_"/>
      <sheetName val="물량산출"/>
      <sheetName val="관䈀"/>
      <sheetName val="신청서"/>
      <sheetName val="Equipment"/>
      <sheetName val="6.OUTPUT"/>
      <sheetName val="CWP"/>
      <sheetName val="교통표지"/>
      <sheetName val="하도급선정의뢰وᨢ셈ˎꚈÝ衐"/>
      <sheetName val="견적서갑지연속"/>
      <sheetName val="빙100장비사양"/>
      <sheetName val="Summar_x0000__x0000_ⵘ"/>
      <sheetName val="토적"/>
      <sheetName val="[YES.XLS][YES.XLS]A__9701A_O_45"/>
      <sheetName val="[YES.XLS][YES.XLS]A__9701A_O_47"/>
      <sheetName val="[YES.XLS][YES.XLS]A__9701A_O_44"/>
      <sheetName val="[YES.XLS][YES.XLS]A__9701A_O_36"/>
      <sheetName val="[YES.XLS][YES.XLS]A__9701A_O_37"/>
      <sheetName val="제2~7호표"/>
      <sheetName val="공사현황"/>
      <sheetName val="수량집계표(배관배선)"/>
      <sheetName val="검수고1-1층"/>
      <sheetName val="¹è¼_x0000__x0000_Ā_x0000__x0005_"/>
      <sheetName val="가ׇ_x0000_缀"/>
      <sheetName val="가頀㒅_xdc00_"/>
      <sheetName val="가堀ᮀ鰀"/>
      <sheetName val="가㠀≾簀"/>
      <sheetName val="가︀㿕ԯ"/>
      <sheetName val="가ﻇ㿕ԯ"/>
      <sheetName val="가ﻇ峕ԯ"/>
      <sheetName val="가죇㙿ఀ"/>
      <sheetName val="가䆃Ⰰ"/>
      <sheetName val="가䠀㊀︀"/>
      <sheetName val="가꜀삵ԯ"/>
      <sheetName val="목공(안채)"/>
      <sheetName val="[YES.XLS][YES.XLS]A__9701A_O_31"/>
      <sheetName val="[YES.XLS][YES.XLS]A__9701A_O_32"/>
      <sheetName val="[YES.XLS][YES.XLS]A__9701A_O_33"/>
      <sheetName val="[YES.XLS][YES.XLS]A__9701A_O_34"/>
      <sheetName val="[YES.XLS][YES.XLS]A__9701A_O_35"/>
      <sheetName val="[YES.XLS][YES.XLS]A__9701A_O_39"/>
      <sheetName val="[YES.XLS][YES.XLS]A__9701A_O_38"/>
      <sheetName val="rate"/>
      <sheetName val="정류기"/>
      <sheetName val="재무가정"/>
      <sheetName val="인餀떘ԯ"/>
      <sheetName val="[YES.XLS][YES.XLS]A__9701A_O_40"/>
      <sheetName val="[YES.XLS][YES.XLS]A__9701A_O_41"/>
      <sheetName val="[YES.XLS][YES.XLS]A__9701A_O_42"/>
      <sheetName val="인Ó_x0000_Ԁ"/>
      <sheetName val="[YES.XLS][YES.XLS]A__9701A_O_43"/>
      <sheetName val="[YES.XLS][YES.XLS]A__9701A_O_46"/>
      <sheetName val="[YES.XLS][YES.XLS]A__9701A_O_48"/>
      <sheetName val="[YES.XLS][YES.XLS]A__9701A_O_49"/>
      <sheetName val="[YES.XLS][YES.XLS]A__9701A_O_51"/>
      <sheetName val="[YES.XLS][YES.XLS]A__9701A_O_52"/>
      <sheetName val="[YES.XLS][YES.XLS]A__9701A_O_50"/>
      <sheetName val="[YES.XLS][YES.XLS]A__9701A_O_53"/>
      <sheetName val="[YES.XLS][YES.XLS]A__9701A_O_54"/>
      <sheetName val="표  지"/>
      <sheetName val="6PILE _x0000__x0000_⩈_x0000__x0000_"/>
      <sheetName val="2공구하도԰_x0000__x0000__x0000_"/>
      <sheetName val="2공구하도_x0000__x0000_砀㞃"/>
      <sheetName val="2공구하도Ⰰ뱆_x0001_冧"/>
      <sheetName val="표지_(2ၒ"/>
      <sheetName val="영구_x0000__x0000_Ԁ"/>
      <sheetName val="공사기초자료"/>
      <sheetName val="회사기초자료"/>
      <sheetName val="아파¦⫬"/>
      <sheetName val="아파甸1畼"/>
      <sheetName val="아파硸5碼"/>
      <sheetName val="재료집_x0000_"/>
      <sheetName val="apt수량"/>
      <sheetName val="[YES.XLS][YES.XLS]A__9701A_O_55"/>
      <sheetName val="[YES.XLS][YES.XLS]A__9701A_O_56"/>
      <sheetName val="Summar헾】_x0005__x0000__x0000__"/>
      <sheetName val="방음벽 기초_x0005__x0000__x0000__x0"/>
      <sheetName val="설치 일위대가(4԰_x0000_缀_x0000__x0000"/>
      <sheetName val="2000,_x0000__x0000_ᓐ_x0000__x00"/>
      <sheetName val="2000,_x0000__x0000_︸_x0000__x00"/>
      <sheetName val="2000,_x0000__x0000_Ẩ_x0000__x00"/>
      <sheetName val="노원열병합  건축렀䡟ԯ_x0000_缀_x0000__x00"/>
      <sheetName val="_x0000__x0008__x0000__x0008__x0"/>
      <sheetName val="노원열병합  건축︀ᇕ԰_x0000_缀_x0000__x00"/>
      <sheetName val="노원열병합  건축ﻕᇕ԰_x0000_缀_x0000__x00"/>
      <sheetName val="2.노무비명세서Ç_x0000__x0000__x0000"/>
      <sheetName val="2.노무비명세서Ç_x0000_렀_x0013__x0000_"/>
      <sheetName val="하도급선정의뢰_x0005__x0000__x0000__x"/>
      <sheetName val="하도급선정의뢰_x0000__x0000_ರ_x0000__x"/>
      <sheetName val="하도급선정의뢰_x0000__x0000_ꢈ_x0000__x"/>
      <sheetName val="하도급선정의뢰_x0000__x0000_㇀_x0000__x"/>
      <sheetName val="하도급선정의뢰_x0000__x0000_䭠_x0000__x"/>
      <sheetName val="하도급선정의뢰_x0010__x0000_ﻠֲ׃⽣_x0000"/>
      <sheetName val="하도급선정의뢰_x0000__x0000_枨_x0000__x"/>
      <sheetName val="하도급선정의뢰_x0000__x0000_优_x0000__x"/>
      <sheetName val="공사별 가중치0_x0000_ꀀâ_x0000__x0000_"/>
      <sheetName val="[YES.XLS][YES.XLS]A__9701A_O_75"/>
      <sheetName val="[YES.XLS][YES.XLS]A__9701A_O_76"/>
      <sheetName val="[YES.XLS][YES.XLS]A__9701A_O_58"/>
      <sheetName val="STEAM"/>
      <sheetName val="AIR"/>
      <sheetName val="항목별사㦬⊄㰀"/>
      <sheetName val="PIPE내역(FCN)"/>
      <sheetName val="[YES.XLS][YES.XLS]A__9701A_O_61"/>
      <sheetName val="[YES.XLS][YES.XLS]A__9701A_O_59"/>
      <sheetName val="[YES.XLS][YES.XLS]A__9701A_O_60"/>
      <sheetName val="[YES.XLS][YES.XLS]A__9701A_O_62"/>
      <sheetName val="[YES.XLS][YES.XLS]A__9701A_O_72"/>
      <sheetName val="[YES.XLS][YES.XLS]A__9701A_O_73"/>
      <sheetName val="[YES.XLS][YES.XLS]A__9701A_O_70"/>
      <sheetName val="[YES.XLS][YES.XLS]A__9701A_O_71"/>
      <sheetName val="[YES.XLS][YES.XLS]A__9701A_O_63"/>
      <sheetName val="[YES.XLS][YES.XLS]A__9701A_O_64"/>
      <sheetName val="[YES.XLS][YES.XLS]A__9701A_O_66"/>
      <sheetName val="[YES.XLS][YES.XLS]A__9701A_O_65"/>
      <sheetName val="[YES.XLS][YES.XLS]A__9701A_O_68"/>
      <sheetName val="[YES.XLS][YES.XLS]A__9701A_O_67"/>
      <sheetName val="[YES.XLS][YES.XLS]A__9701A_O_69"/>
      <sheetName val="[YES.XLS][YES.XLS]A__9701A_O_74"/>
      <sheetName val="A________________________1____2"/>
      <sheetName val="[YES.XLS]J__TEAM_5_9611_OUT_Y_2"/>
      <sheetName val="__Hjpark_c_HLOTUS_9801J_OUT_Y_2"/>
      <sheetName val="A__KANG_HWP_HWP_DF98513_PROJE_2"/>
      <sheetName val="수안보-_x0000__x0000_嘠_x0000_"/>
      <sheetName val="종합기︀"/>
      <sheetName val="건물현황"/>
      <sheetName val="부재리스트"/>
      <sheetName val="범례표"/>
      <sheetName val="실頀▀�"/>
      <sheetName val="ÀÏÀ§´ëࠁཿ︁ᗕԯ_x0000_缀"/>
      <sheetName val="전차선로 물֮_x0000_"/>
      <sheetName val="J__LOTUS_9605P_BB_C_BD_OUT_YE_5"/>
      <sheetName val="J__LOTUS_9605P_BB_C_BD_OUT_YE_6"/>
      <sheetName val="J__LOTUS_9605P_BB_C_BD_OUT_YE_7"/>
      <sheetName val="J__LOTUS_9605P_BB_C_BD_OUT_YE_8"/>
      <sheetName val="J__LOTUS_9605P_BB_C_BD_OUT_YE_9"/>
      <sheetName val="교량"/>
      <sheetName val="도급b_balju"/>
      <sheetName val="conclusion"/>
      <sheetName val="comparables"/>
      <sheetName val="Deduction"/>
      <sheetName val="other"/>
      <sheetName val="단위ה_x0000_"/>
      <sheetName val="구분"/>
      <sheetName val="판매46"/>
      <sheetName val="1.산출근거"/>
      <sheetName val="특수조명기구 단가조사서"/>
      <sheetName val="1~6 설계조건...."/>
      <sheetName val="변경사항"/>
      <sheetName val="통합내역서(소방기계)"/>
      <sheetName val="통합내역서(소방전기)"/>
      <sheetName val="1.내역서(펌프실 소화전)"/>
      <sheetName val="1.산출서"/>
      <sheetName val="1.관련근거"/>
      <sheetName val="1.관련도면"/>
      <sheetName val="2.내역서(연결송수구,대피공간 보온)"/>
      <sheetName val="2.산출서"/>
      <sheetName val="2.관련근거"/>
      <sheetName val="2.관련도면"/>
      <sheetName val="3.내역서(주민공동시설SP)"/>
      <sheetName val="3.산출서"/>
      <sheetName val="3.관련근거"/>
      <sheetName val="3.관련도면"/>
      <sheetName val="4.내역서(동파방지열선추가)"/>
      <sheetName val="4.산출서"/>
      <sheetName val="4.관련근거"/>
      <sheetName val="4.관련도면"/>
      <sheetName val="5.내역서(세대금속후렉시블 정산, 비상방송 스위치 추가)"/>
      <sheetName val="5.산출서"/>
      <sheetName val="5.관련근거"/>
      <sheetName val="1.방송내역서(감압변추가)"/>
      <sheetName val="1.방송산출서"/>
      <sheetName val="1.방송관련근거"/>
      <sheetName val="1.방송관련도면"/>
      <sheetName val="2.방송내역서(소화전정산)"/>
      <sheetName val="2.방송산출서"/>
      <sheetName val="2.방송관련도면"/>
      <sheetName val="3.방송내역서(SP추가)"/>
      <sheetName val="3.방송산출서"/>
      <sheetName val="3.방송관련근거"/>
      <sheetName val="3.방송관련도면"/>
      <sheetName val="4.방송내역서(청정가스)"/>
      <sheetName val="4.방송산출서"/>
      <sheetName val="4.방송관련근거"/>
      <sheetName val="4.방송관련도면"/>
      <sheetName val="5.방송내역서(자탐추가)"/>
      <sheetName val="5.방송산출서"/>
      <sheetName val="5.방송관련근거"/>
      <sheetName val="5.방송관련도면"/>
      <sheetName val="6.방송내역서(방송추가)"/>
      <sheetName val="6.방송산출서"/>
      <sheetName val="6.방송관련도면"/>
      <sheetName val="1.판매내역서(방송AMP추가)"/>
      <sheetName val="1.판매산출서"/>
      <sheetName val="1.판매관련도면"/>
      <sheetName val="신규단가검토(기계)"/>
      <sheetName val="근거자료(1)"/>
      <sheetName val="신규단가검토(전기)"/>
      <sheetName val="근거자료(2)"/>
      <sheetName val="시공사진"/>
      <sheetName val="시공사진 (2)"/>
      <sheetName val="검토자료(1)"/>
      <sheetName val="X-내역서(기판매)"/>
      <sheetName val="X-내역서(기방송)"/>
      <sheetName val="X-내역서(전방송)"/>
      <sheetName val="X-내역서(전판매)"/>
      <sheetName val="X-산출서(전방송)"/>
      <sheetName val="X-산출서(기방송)"/>
      <sheetName val="X-산출서(전주거)"/>
      <sheetName val="X-산출서"/>
      <sheetName val="X-산출서(전판매)"/>
      <sheetName val="data_dci"/>
      <sheetName val="data_mci"/>
      <sheetName val="behind"/>
      <sheetName val="2.노무비명세서(수직보_x0005__x0000_"/>
      <sheetName val="2.노무비명세서(수직보丵⿰_x0005_"/>
      <sheetName val="2_노무비명세서(수직보垰7埼"/>
      <sheetName val="2_노무비명세서(수직보"/>
      <sheetName val="2_노무비명세서(수직보丵⿰"/>
      <sheetName val="변류기선정표"/>
      <sheetName val="MOF비율계산"/>
      <sheetName val="전기실접지계산예"/>
      <sheetName val="용도별접지선굵기"/>
      <sheetName val="세대부하"/>
      <sheetName val="MCCB선정(구)"/>
      <sheetName val="수용률(분양주택 단상)"/>
      <sheetName val="수용률"/>
      <sheetName val="부하설비용량추정"/>
      <sheetName val="동력부하산정예시"/>
      <sheetName val="동력부하"/>
      <sheetName val="차단기(내규)"/>
      <sheetName val="전동기용량스캔자료"/>
      <sheetName val="전동기용량380V(구)"/>
      <sheetName val="전동기용량220V380V(구)내규"/>
      <sheetName val="전동기용량220V(구)세로"/>
      <sheetName val="전동기용량220V(구)가로"/>
      <sheetName val="허용전류(CV,FR8)LADDER"/>
      <sheetName val="허용전류(CV,FR8)PUNCHED"/>
      <sheetName val="집합감소계수(일반)"/>
      <sheetName val="허용전류(HIV)-A1"/>
      <sheetName val="허용전류(HIV)-B1"/>
      <sheetName val="허용전류(가설)"/>
      <sheetName val="케이블허용전류(내선)"/>
      <sheetName val="다산허용전류"/>
      <sheetName val="동력분전반부하계산"/>
      <sheetName val="허용전류CV(구)"/>
      <sheetName val="허용전류FR-8(구)"/>
      <sheetName val="발전기연결부하"/>
      <sheetName val="BD전압강하"/>
      <sheetName val="쓰레기장비"/>
      <sheetName val="설비불평형률"/>
      <sheetName val="주차관제부하"/>
      <sheetName val="타설계실기준"/>
      <sheetName val="고압등기구시동전류"/>
      <sheetName val="가정용전기기기"/>
      <sheetName val="분당ELEV"/>
      <sheetName val="간선계산서"/>
      <sheetName val="임시동력간선계산서(약식)"/>
      <sheetName val="임시동력간선계산서양식"/>
      <sheetName val="저압반트레이계산(STN)"/>
      <sheetName val="저압반트레이계산(STN)(2)"/>
      <sheetName val="약전트레이(STN)mm2"/>
      <sheetName val="약전트레이(STN)mm"/>
      <sheetName val="DATA(HIV)"/>
      <sheetName val="DATA(GV)"/>
      <sheetName val="DATA(CV,FR-8)"/>
      <sheetName val="DATA(FR-3)"/>
      <sheetName val="DATA(CVV)"/>
      <sheetName val="MCC-DATA"/>
      <sheetName val="비용적자료"/>
      <sheetName val="원가&amp;하도급원가"/>
      <sheetName val="설계서(본관)"/>
      <sheetName val="장비계산"/>
      <sheetName val="NO.3.PTA PLANT SD COST"/>
      <sheetName val="가격"/>
      <sheetName val="List Of Values"/>
      <sheetName val="Version Control"/>
      <sheetName val="항목별내_xdee0_⪏"/>
      <sheetName val="항목별내賐⪏"/>
      <sheetName val="항목별내㳏"/>
      <sheetName val="항목별내"/>
      <sheetName val="지선량"/>
      <sheetName val="A공구"/>
      <sheetName val="inputarea_ref"/>
      <sheetName val="설직재桋ឃ"/>
      <sheetName val="물집"/>
      <sheetName val="단가입력창"/>
      <sheetName val="공종단가표 "/>
      <sheetName val="진흥지역조서(구역밖)"/>
      <sheetName val="1공구 건정토건_xd803_ᑷᰀ"/>
      <sheetName val="2회내역"/>
      <sheetName val="장비내역서"/>
      <sheetName val="주현(해보)"/>
      <sheetName val="시멘트 모래 수량산출"/>
      <sheetName val="기중"/>
      <sheetName val="일위2"/>
      <sheetName val="BOX단위철근"/>
      <sheetName val="운반"/>
      <sheetName val="[YES.XLS][YES.XLS][YES.XLS]_Y_2"/>
      <sheetName val="[YES.XLS][YES.XLS][YES.XLS]_Y_3"/>
      <sheetName val="[YES.XLS][YES.XLS][YES.XLS]_Y_4"/>
      <sheetName val="내역서(건축)"/>
      <sheetName val="N᠀旸"/>
      <sheetName val="전기2က_x0000_"/>
      <sheetName val="시운전연료비"/>
      <sheetName val="A_x0005_þ"/>
      <sheetName val="잡철단가대비"/>
      <sheetName val="토공_total"/>
      <sheetName val="BOX_본체"/>
      <sheetName val="소포내역_(2)"/>
      <sheetName val="여주,이천(명세)"/>
      <sheetName val="고_xd8d0_⽾ᰁ"/>
      <sheetName val="J__LOTUS_9605P_BB_C_BD_OUT_Y_10"/>
      <sheetName val="EQUI_x0000__x0000__x0005_"/>
      <sheetName val="맨홀수량집㠀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2">
          <cell r="F22">
            <v>148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2">
          <cell r="F22">
            <v>148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22">
          <cell r="F22">
            <v>148</v>
          </cell>
        </row>
      </sheetData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/>
      <sheetData sheetId="175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/>
      <sheetData sheetId="732"/>
      <sheetData sheetId="733"/>
      <sheetData sheetId="734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/>
      <sheetData sheetId="765" refreshError="1"/>
      <sheetData sheetId="766" refreshError="1"/>
      <sheetData sheetId="767" refreshError="1"/>
      <sheetData sheetId="768" refreshError="1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/>
      <sheetData sheetId="1039" refreshError="1"/>
      <sheetData sheetId="1040" refreshError="1"/>
      <sheetData sheetId="1041" refreshError="1"/>
      <sheetData sheetId="1042" refreshError="1"/>
      <sheetData sheetId="1043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/>
      <sheetData sheetId="1105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/>
      <sheetData sheetId="1139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/>
      <sheetData sheetId="2634" refreshError="1"/>
      <sheetData sheetId="2635" refreshError="1"/>
      <sheetData sheetId="2636" refreshError="1"/>
      <sheetData sheetId="2637"/>
      <sheetData sheetId="2638" refreshError="1"/>
      <sheetData sheetId="2639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/>
      <sheetData sheetId="2731"/>
      <sheetData sheetId="2732"/>
      <sheetData sheetId="2733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/>
      <sheetData sheetId="294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/>
      <sheetData sheetId="3543"/>
      <sheetData sheetId="3544" refreshError="1"/>
      <sheetData sheetId="3545" refreshError="1"/>
      <sheetData sheetId="3546"/>
      <sheetData sheetId="3547"/>
      <sheetData sheetId="3548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/>
      <sheetData sheetId="3582"/>
      <sheetData sheetId="3583"/>
      <sheetData sheetId="3584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/>
      <sheetData sheetId="4025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/>
      <sheetData sheetId="4122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/>
      <sheetData sheetId="4162"/>
      <sheetData sheetId="4163"/>
      <sheetData sheetId="4164"/>
      <sheetData sheetId="4165"/>
      <sheetData sheetId="4166"/>
      <sheetData sheetId="4167"/>
      <sheetData sheetId="4168"/>
      <sheetData sheetId="4169"/>
      <sheetData sheetId="4170"/>
      <sheetData sheetId="4171"/>
      <sheetData sheetId="4172"/>
      <sheetData sheetId="4173"/>
      <sheetData sheetId="4174"/>
      <sheetData sheetId="4175"/>
      <sheetData sheetId="4176"/>
      <sheetData sheetId="4177"/>
      <sheetData sheetId="4178"/>
      <sheetData sheetId="4179"/>
      <sheetData sheetId="4180"/>
      <sheetData sheetId="4181"/>
      <sheetData sheetId="4182"/>
      <sheetData sheetId="4183"/>
      <sheetData sheetId="4184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  <sheetData sheetId="4233" refreshError="1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 refreshError="1"/>
      <sheetData sheetId="4255" refreshError="1"/>
      <sheetData sheetId="4256" refreshError="1"/>
      <sheetData sheetId="4257" refreshError="1"/>
      <sheetData sheetId="4258" refreshError="1"/>
      <sheetData sheetId="4259" refreshError="1"/>
      <sheetData sheetId="4260" refreshError="1"/>
      <sheetData sheetId="4261" refreshError="1"/>
      <sheetData sheetId="4262" refreshError="1"/>
      <sheetData sheetId="4263" refreshError="1"/>
      <sheetData sheetId="4264" refreshError="1"/>
      <sheetData sheetId="4265" refreshError="1"/>
      <sheetData sheetId="4266" refreshError="1"/>
      <sheetData sheetId="4267" refreshError="1"/>
      <sheetData sheetId="4268" refreshError="1"/>
      <sheetData sheetId="4269" refreshError="1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 refreshError="1"/>
      <sheetData sheetId="4283" refreshError="1"/>
      <sheetData sheetId="4284" refreshError="1"/>
      <sheetData sheetId="4285" refreshError="1"/>
      <sheetData sheetId="4286" refreshError="1"/>
      <sheetData sheetId="4287" refreshError="1"/>
      <sheetData sheetId="4288" refreshError="1"/>
      <sheetData sheetId="4289" refreshError="1"/>
      <sheetData sheetId="4290" refreshError="1"/>
      <sheetData sheetId="4291" refreshError="1"/>
      <sheetData sheetId="4292" refreshError="1"/>
      <sheetData sheetId="4293" refreshError="1"/>
      <sheetData sheetId="4294" refreshError="1"/>
      <sheetData sheetId="4295" refreshError="1"/>
      <sheetData sheetId="4296" refreshError="1"/>
      <sheetData sheetId="4297" refreshError="1"/>
      <sheetData sheetId="4298" refreshError="1"/>
      <sheetData sheetId="4299" refreshError="1"/>
      <sheetData sheetId="4300" refreshError="1"/>
      <sheetData sheetId="4301" refreshError="1"/>
      <sheetData sheetId="4302" refreshError="1"/>
      <sheetData sheetId="4303" refreshError="1"/>
      <sheetData sheetId="4304" refreshError="1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 refreshError="1"/>
      <sheetData sheetId="4311" refreshError="1"/>
      <sheetData sheetId="4312" refreshError="1"/>
      <sheetData sheetId="4313" refreshError="1"/>
      <sheetData sheetId="4314" refreshError="1"/>
      <sheetData sheetId="4315" refreshError="1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 refreshError="1"/>
      <sheetData sheetId="4379" refreshError="1"/>
      <sheetData sheetId="4380" refreshError="1"/>
      <sheetData sheetId="4381" refreshError="1"/>
      <sheetData sheetId="4382" refreshError="1"/>
      <sheetData sheetId="4383" refreshError="1"/>
      <sheetData sheetId="4384" refreshError="1"/>
      <sheetData sheetId="4385" refreshError="1"/>
      <sheetData sheetId="4386" refreshError="1"/>
      <sheetData sheetId="4387" refreshError="1"/>
      <sheetData sheetId="4388" refreshError="1"/>
      <sheetData sheetId="4389" refreshError="1"/>
      <sheetData sheetId="4390" refreshError="1"/>
      <sheetData sheetId="4391"/>
      <sheetData sheetId="4392" refreshError="1"/>
      <sheetData sheetId="4393"/>
      <sheetData sheetId="4394"/>
      <sheetData sheetId="4395" refreshError="1"/>
      <sheetData sheetId="4396" refreshError="1"/>
      <sheetData sheetId="4397" refreshError="1"/>
      <sheetData sheetId="4398"/>
      <sheetData sheetId="4399"/>
      <sheetData sheetId="4400"/>
      <sheetData sheetId="4401"/>
      <sheetData sheetId="4402" refreshError="1"/>
      <sheetData sheetId="4403" refreshError="1"/>
      <sheetData sheetId="4404" refreshError="1"/>
      <sheetData sheetId="4405" refreshError="1"/>
      <sheetData sheetId="4406" refreshError="1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 refreshError="1"/>
      <sheetData sheetId="4413" refreshError="1"/>
      <sheetData sheetId="4414" refreshError="1"/>
      <sheetData sheetId="4415" refreshError="1"/>
      <sheetData sheetId="4416" refreshError="1"/>
      <sheetData sheetId="4417" refreshError="1"/>
      <sheetData sheetId="4418" refreshError="1"/>
      <sheetData sheetId="4419" refreshError="1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 refreshError="1"/>
      <sheetData sheetId="4469" refreshError="1"/>
      <sheetData sheetId="4470" refreshError="1"/>
      <sheetData sheetId="4471" refreshError="1"/>
      <sheetData sheetId="4472" refreshError="1"/>
      <sheetData sheetId="4473" refreshError="1"/>
      <sheetData sheetId="4474" refreshError="1"/>
      <sheetData sheetId="4475" refreshError="1"/>
      <sheetData sheetId="4476" refreshError="1"/>
      <sheetData sheetId="4477"/>
      <sheetData sheetId="4478" refreshError="1"/>
      <sheetData sheetId="4479" refreshError="1"/>
      <sheetData sheetId="4480" refreshError="1"/>
      <sheetData sheetId="4481" refreshError="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 refreshError="1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/>
      <sheetData sheetId="4519"/>
      <sheetData sheetId="4520"/>
      <sheetData sheetId="4521" refreshError="1"/>
      <sheetData sheetId="4522" refreshError="1"/>
      <sheetData sheetId="4523"/>
      <sheetData sheetId="4524"/>
      <sheetData sheetId="4525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 refreshError="1"/>
      <sheetData sheetId="4728" refreshError="1"/>
      <sheetData sheetId="4729" refreshError="1"/>
      <sheetData sheetId="4730" refreshError="1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 refreshError="1"/>
      <sheetData sheetId="4738" refreshError="1"/>
      <sheetData sheetId="4739" refreshError="1"/>
      <sheetData sheetId="4740" refreshError="1"/>
      <sheetData sheetId="4741" refreshError="1"/>
      <sheetData sheetId="4742" refreshError="1"/>
      <sheetData sheetId="4743" refreshError="1"/>
      <sheetData sheetId="4744" refreshError="1"/>
      <sheetData sheetId="4745" refreshError="1"/>
      <sheetData sheetId="4746" refreshError="1"/>
      <sheetData sheetId="4747" refreshError="1"/>
      <sheetData sheetId="4748" refreshError="1"/>
      <sheetData sheetId="4749" refreshError="1"/>
      <sheetData sheetId="4750" refreshError="1"/>
      <sheetData sheetId="4751" refreshError="1"/>
      <sheetData sheetId="4752" refreshError="1"/>
      <sheetData sheetId="4753" refreshError="1"/>
      <sheetData sheetId="4754" refreshError="1"/>
      <sheetData sheetId="4755" refreshError="1"/>
      <sheetData sheetId="4756" refreshError="1"/>
      <sheetData sheetId="4757"/>
      <sheetData sheetId="4758" refreshError="1"/>
      <sheetData sheetId="4759" refreshError="1"/>
      <sheetData sheetId="4760" refreshError="1"/>
      <sheetData sheetId="4761" refreshError="1"/>
      <sheetData sheetId="4762" refreshError="1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 refreshError="1"/>
      <sheetData sheetId="4780" refreshError="1"/>
      <sheetData sheetId="4781"/>
      <sheetData sheetId="4782"/>
      <sheetData sheetId="4783"/>
      <sheetData sheetId="4784"/>
      <sheetData sheetId="4785"/>
      <sheetData sheetId="4786"/>
      <sheetData sheetId="4787"/>
      <sheetData sheetId="4788"/>
      <sheetData sheetId="4789"/>
      <sheetData sheetId="4790"/>
      <sheetData sheetId="4791"/>
      <sheetData sheetId="4792"/>
      <sheetData sheetId="4793"/>
      <sheetData sheetId="4794"/>
      <sheetData sheetId="4795"/>
      <sheetData sheetId="4796"/>
      <sheetData sheetId="4797"/>
      <sheetData sheetId="4798"/>
      <sheetData sheetId="4799"/>
      <sheetData sheetId="4800"/>
      <sheetData sheetId="4801"/>
      <sheetData sheetId="4802"/>
      <sheetData sheetId="4803"/>
      <sheetData sheetId="4804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/>
      <sheetData sheetId="4824"/>
      <sheetData sheetId="4825"/>
      <sheetData sheetId="4826"/>
      <sheetData sheetId="4827"/>
      <sheetData sheetId="4828"/>
      <sheetData sheetId="4829"/>
      <sheetData sheetId="4830"/>
      <sheetData sheetId="4831"/>
      <sheetData sheetId="4832"/>
      <sheetData sheetId="4833"/>
      <sheetData sheetId="4834"/>
      <sheetData sheetId="4835"/>
      <sheetData sheetId="4836"/>
      <sheetData sheetId="4837"/>
      <sheetData sheetId="4838"/>
      <sheetData sheetId="4839"/>
      <sheetData sheetId="4840"/>
      <sheetData sheetId="4841"/>
      <sheetData sheetId="4842"/>
      <sheetData sheetId="4843"/>
      <sheetData sheetId="4844"/>
      <sheetData sheetId="4845"/>
      <sheetData sheetId="4846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 refreshError="1"/>
      <sheetData sheetId="4876" refreshError="1"/>
      <sheetData sheetId="4877" refreshError="1"/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 refreshError="1"/>
      <sheetData sheetId="4885" refreshError="1"/>
      <sheetData sheetId="4886" refreshError="1"/>
      <sheetData sheetId="4887" refreshError="1"/>
      <sheetData sheetId="4888" refreshError="1"/>
      <sheetData sheetId="4889"/>
      <sheetData sheetId="4890" refreshError="1"/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/>
      <sheetData sheetId="4909"/>
      <sheetData sheetId="4910"/>
      <sheetData sheetId="4911"/>
      <sheetData sheetId="4912"/>
      <sheetData sheetId="4913"/>
      <sheetData sheetId="4914"/>
      <sheetData sheetId="4915"/>
      <sheetData sheetId="4916"/>
      <sheetData sheetId="4917"/>
      <sheetData sheetId="4918"/>
      <sheetData sheetId="4919"/>
      <sheetData sheetId="4920"/>
      <sheetData sheetId="4921"/>
      <sheetData sheetId="4922"/>
      <sheetData sheetId="4923"/>
      <sheetData sheetId="4924"/>
      <sheetData sheetId="4925"/>
      <sheetData sheetId="4926"/>
      <sheetData sheetId="4927"/>
      <sheetData sheetId="4928"/>
      <sheetData sheetId="4929"/>
      <sheetData sheetId="4930"/>
      <sheetData sheetId="4931"/>
      <sheetData sheetId="4932"/>
      <sheetData sheetId="4933"/>
      <sheetData sheetId="4934"/>
      <sheetData sheetId="4935"/>
      <sheetData sheetId="4936"/>
      <sheetData sheetId="4937"/>
      <sheetData sheetId="4938"/>
      <sheetData sheetId="4939" refreshError="1"/>
      <sheetData sheetId="4940"/>
      <sheetData sheetId="4941"/>
      <sheetData sheetId="4942"/>
      <sheetData sheetId="4943"/>
      <sheetData sheetId="4944"/>
      <sheetData sheetId="4945"/>
      <sheetData sheetId="4946"/>
      <sheetData sheetId="4947"/>
      <sheetData sheetId="4948"/>
      <sheetData sheetId="4949"/>
      <sheetData sheetId="4950"/>
      <sheetData sheetId="4951"/>
      <sheetData sheetId="4952"/>
      <sheetData sheetId="4953"/>
      <sheetData sheetId="4954"/>
      <sheetData sheetId="4955"/>
      <sheetData sheetId="4956"/>
      <sheetData sheetId="4957"/>
      <sheetData sheetId="4958"/>
      <sheetData sheetId="4959"/>
      <sheetData sheetId="4960"/>
      <sheetData sheetId="4961"/>
      <sheetData sheetId="4962"/>
      <sheetData sheetId="4963"/>
      <sheetData sheetId="4964"/>
      <sheetData sheetId="4965"/>
      <sheetData sheetId="4966"/>
      <sheetData sheetId="4967"/>
      <sheetData sheetId="4968"/>
      <sheetData sheetId="4969"/>
      <sheetData sheetId="4970"/>
      <sheetData sheetId="4971"/>
      <sheetData sheetId="4972"/>
      <sheetData sheetId="4973"/>
      <sheetData sheetId="4974"/>
      <sheetData sheetId="4975"/>
      <sheetData sheetId="4976"/>
      <sheetData sheetId="4977"/>
      <sheetData sheetId="4978"/>
      <sheetData sheetId="4979"/>
      <sheetData sheetId="4980"/>
      <sheetData sheetId="4981"/>
      <sheetData sheetId="4982"/>
      <sheetData sheetId="4983"/>
      <sheetData sheetId="4984" refreshError="1"/>
      <sheetData sheetId="4985" refreshError="1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 refreshError="1"/>
      <sheetData sheetId="4997" refreshError="1"/>
      <sheetData sheetId="4998" refreshError="1"/>
      <sheetData sheetId="4999" refreshError="1"/>
      <sheetData sheetId="5000" refreshError="1"/>
      <sheetData sheetId="5001" refreshError="1"/>
      <sheetData sheetId="5002" refreshError="1"/>
      <sheetData sheetId="5003" refreshError="1"/>
      <sheetData sheetId="5004" refreshError="1"/>
      <sheetData sheetId="5005" refreshError="1"/>
      <sheetData sheetId="5006" refreshError="1"/>
      <sheetData sheetId="5007" refreshError="1"/>
      <sheetData sheetId="5008" refreshError="1"/>
      <sheetData sheetId="5009" refreshError="1"/>
      <sheetData sheetId="5010" refreshError="1"/>
      <sheetData sheetId="5011" refreshError="1"/>
      <sheetData sheetId="5012" refreshError="1"/>
      <sheetData sheetId="5013" refreshError="1"/>
      <sheetData sheetId="5014" refreshError="1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 refreshError="1"/>
      <sheetData sheetId="5022" refreshError="1"/>
      <sheetData sheetId="5023" refreshError="1"/>
      <sheetData sheetId="5024" refreshError="1"/>
      <sheetData sheetId="5025" refreshError="1"/>
      <sheetData sheetId="5026" refreshError="1"/>
      <sheetData sheetId="5027" refreshError="1"/>
      <sheetData sheetId="5028" refreshError="1"/>
      <sheetData sheetId="5029" refreshError="1"/>
      <sheetData sheetId="5030" refreshError="1"/>
      <sheetData sheetId="5031" refreshError="1"/>
      <sheetData sheetId="5032" refreshError="1"/>
      <sheetData sheetId="5033" refreshError="1"/>
      <sheetData sheetId="5034" refreshError="1"/>
      <sheetData sheetId="5035" refreshError="1"/>
      <sheetData sheetId="5036" refreshError="1"/>
      <sheetData sheetId="5037" refreshError="1"/>
      <sheetData sheetId="5038" refreshError="1"/>
      <sheetData sheetId="5039" refreshError="1"/>
      <sheetData sheetId="5040" refreshError="1"/>
      <sheetData sheetId="5041" refreshError="1"/>
      <sheetData sheetId="5042" refreshError="1"/>
      <sheetData sheetId="5043" refreshError="1"/>
      <sheetData sheetId="5044" refreshError="1"/>
      <sheetData sheetId="5045" refreshError="1"/>
      <sheetData sheetId="5046" refreshError="1"/>
      <sheetData sheetId="5047" refreshError="1"/>
      <sheetData sheetId="5048" refreshError="1"/>
      <sheetData sheetId="5049" refreshError="1"/>
      <sheetData sheetId="5050" refreshError="1"/>
      <sheetData sheetId="5051" refreshError="1"/>
      <sheetData sheetId="5052" refreshError="1"/>
      <sheetData sheetId="5053" refreshError="1"/>
      <sheetData sheetId="5054" refreshError="1"/>
      <sheetData sheetId="5055" refreshError="1"/>
      <sheetData sheetId="5056" refreshError="1"/>
      <sheetData sheetId="5057" refreshError="1"/>
      <sheetData sheetId="5058" refreshError="1"/>
      <sheetData sheetId="5059" refreshError="1"/>
      <sheetData sheetId="5060" refreshError="1"/>
      <sheetData sheetId="5061" refreshError="1"/>
      <sheetData sheetId="5062" refreshError="1"/>
      <sheetData sheetId="5063" refreshError="1"/>
      <sheetData sheetId="5064" refreshError="1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 refreshError="1"/>
      <sheetData sheetId="5078" refreshError="1"/>
      <sheetData sheetId="5079" refreshError="1"/>
      <sheetData sheetId="5080" refreshError="1"/>
      <sheetData sheetId="5081" refreshError="1"/>
      <sheetData sheetId="5082" refreshError="1"/>
      <sheetData sheetId="5083" refreshError="1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/>
      <sheetData sheetId="5110" refreshError="1"/>
      <sheetData sheetId="5111"/>
      <sheetData sheetId="5112" refreshError="1"/>
      <sheetData sheetId="5113" refreshError="1"/>
      <sheetData sheetId="5114" refreshError="1"/>
      <sheetData sheetId="5115" refreshError="1"/>
      <sheetData sheetId="5116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/>
      <sheetData sheetId="5187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 refreshError="1"/>
      <sheetData sheetId="5226" refreshError="1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 refreshError="1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/>
      <sheetData sheetId="5243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 refreshError="1"/>
      <sheetData sheetId="5252" refreshError="1"/>
      <sheetData sheetId="5253" refreshError="1"/>
      <sheetData sheetId="5254" refreshError="1"/>
      <sheetData sheetId="5255" refreshError="1"/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 refreshError="1"/>
      <sheetData sheetId="5269" refreshError="1"/>
      <sheetData sheetId="5270" refreshError="1"/>
      <sheetData sheetId="5271" refreshError="1"/>
      <sheetData sheetId="5272" refreshError="1"/>
      <sheetData sheetId="5273" refreshError="1"/>
      <sheetData sheetId="5274" refreshError="1"/>
      <sheetData sheetId="5275" refreshError="1"/>
      <sheetData sheetId="5276" refreshError="1"/>
      <sheetData sheetId="5277" refreshError="1"/>
      <sheetData sheetId="5278" refreshError="1"/>
      <sheetData sheetId="5279" refreshError="1"/>
      <sheetData sheetId="5280" refreshError="1"/>
      <sheetData sheetId="5281" refreshError="1"/>
      <sheetData sheetId="5282" refreshError="1"/>
      <sheetData sheetId="5283" refreshError="1"/>
      <sheetData sheetId="5284" refreshError="1"/>
      <sheetData sheetId="5285" refreshError="1"/>
      <sheetData sheetId="5286" refreshError="1"/>
      <sheetData sheetId="5287" refreshError="1"/>
      <sheetData sheetId="5288" refreshError="1"/>
      <sheetData sheetId="5289" refreshError="1"/>
      <sheetData sheetId="5290" refreshError="1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 refreshError="1"/>
      <sheetData sheetId="5304" refreshError="1"/>
      <sheetData sheetId="5305" refreshError="1"/>
      <sheetData sheetId="5306" refreshError="1"/>
      <sheetData sheetId="5307" refreshError="1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 refreshError="1"/>
      <sheetData sheetId="5348" refreshError="1"/>
      <sheetData sheetId="5349" refreshError="1"/>
      <sheetData sheetId="5350" refreshError="1"/>
      <sheetData sheetId="5351" refreshError="1"/>
      <sheetData sheetId="5352" refreshError="1"/>
      <sheetData sheetId="5353" refreshError="1"/>
      <sheetData sheetId="5354" refreshError="1"/>
      <sheetData sheetId="5355" refreshError="1"/>
      <sheetData sheetId="5356" refreshError="1"/>
      <sheetData sheetId="5357" refreshError="1"/>
      <sheetData sheetId="5358" refreshError="1"/>
      <sheetData sheetId="5359" refreshError="1"/>
      <sheetData sheetId="5360"/>
      <sheetData sheetId="5361"/>
      <sheetData sheetId="5362"/>
      <sheetData sheetId="5363" refreshError="1"/>
      <sheetData sheetId="5364" refreshError="1"/>
      <sheetData sheetId="5365" refreshError="1"/>
      <sheetData sheetId="5366" refreshError="1"/>
      <sheetData sheetId="5367" refreshError="1"/>
      <sheetData sheetId="5368" refreshError="1"/>
      <sheetData sheetId="5369" refreshError="1"/>
      <sheetData sheetId="5370" refreshError="1"/>
      <sheetData sheetId="5371" refreshError="1"/>
      <sheetData sheetId="5372"/>
      <sheetData sheetId="5373"/>
      <sheetData sheetId="5374" refreshError="1"/>
      <sheetData sheetId="5375"/>
      <sheetData sheetId="5376" refreshError="1"/>
      <sheetData sheetId="5377"/>
      <sheetData sheetId="5378"/>
      <sheetData sheetId="5379"/>
      <sheetData sheetId="5380"/>
      <sheetData sheetId="5381"/>
      <sheetData sheetId="5382"/>
      <sheetData sheetId="5383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 refreshError="1"/>
      <sheetData sheetId="5398" refreshError="1"/>
      <sheetData sheetId="5399" refreshError="1"/>
      <sheetData sheetId="5400" refreshError="1"/>
      <sheetData sheetId="5401" refreshError="1"/>
      <sheetData sheetId="5402" refreshError="1"/>
      <sheetData sheetId="5403"/>
      <sheetData sheetId="5404"/>
      <sheetData sheetId="5405"/>
      <sheetData sheetId="5406"/>
      <sheetData sheetId="5407"/>
      <sheetData sheetId="5408"/>
      <sheetData sheetId="5409"/>
      <sheetData sheetId="5410"/>
      <sheetData sheetId="5411" refreshError="1"/>
      <sheetData sheetId="5412" refreshError="1"/>
      <sheetData sheetId="5413"/>
      <sheetData sheetId="5414"/>
      <sheetData sheetId="5415"/>
      <sheetData sheetId="5416"/>
      <sheetData sheetId="5417"/>
      <sheetData sheetId="5418" refreshError="1"/>
      <sheetData sheetId="5419" refreshError="1"/>
      <sheetData sheetId="5420" refreshError="1"/>
      <sheetData sheetId="5421" refreshError="1"/>
      <sheetData sheetId="5422" refreshError="1"/>
      <sheetData sheetId="5423" refreshError="1"/>
      <sheetData sheetId="5424" refreshError="1"/>
      <sheetData sheetId="5425" refreshError="1"/>
      <sheetData sheetId="5426" refreshError="1"/>
      <sheetData sheetId="5427" refreshError="1"/>
      <sheetData sheetId="5428" refreshError="1"/>
      <sheetData sheetId="5429" refreshError="1"/>
      <sheetData sheetId="5430" refreshError="1"/>
      <sheetData sheetId="5431" refreshError="1"/>
      <sheetData sheetId="5432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 refreshError="1"/>
      <sheetData sheetId="5441" refreshError="1"/>
      <sheetData sheetId="5442" refreshError="1"/>
      <sheetData sheetId="5443" refreshError="1"/>
      <sheetData sheetId="5444" refreshError="1"/>
      <sheetData sheetId="5445" refreshError="1"/>
      <sheetData sheetId="5446" refreshError="1"/>
      <sheetData sheetId="5447"/>
      <sheetData sheetId="5448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/>
      <sheetData sheetId="5458"/>
      <sheetData sheetId="5459"/>
      <sheetData sheetId="5460"/>
      <sheetData sheetId="5461"/>
      <sheetData sheetId="5462"/>
      <sheetData sheetId="5463"/>
      <sheetData sheetId="5464"/>
      <sheetData sheetId="5465"/>
      <sheetData sheetId="5466"/>
      <sheetData sheetId="5467"/>
      <sheetData sheetId="5468"/>
      <sheetData sheetId="5469"/>
      <sheetData sheetId="5470"/>
      <sheetData sheetId="5471"/>
      <sheetData sheetId="5472"/>
      <sheetData sheetId="5473"/>
      <sheetData sheetId="5474"/>
      <sheetData sheetId="5475"/>
      <sheetData sheetId="5476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 refreshError="1"/>
      <sheetData sheetId="5545" refreshError="1"/>
      <sheetData sheetId="5546" refreshError="1"/>
      <sheetData sheetId="5547" refreshError="1"/>
      <sheetData sheetId="5548" refreshError="1"/>
      <sheetData sheetId="5549" refreshError="1"/>
      <sheetData sheetId="5550" refreshError="1"/>
      <sheetData sheetId="5551" refreshError="1"/>
      <sheetData sheetId="5552" refreshError="1"/>
      <sheetData sheetId="5553" refreshError="1"/>
      <sheetData sheetId="5554" refreshError="1"/>
      <sheetData sheetId="5555" refreshError="1"/>
      <sheetData sheetId="5556" refreshError="1"/>
      <sheetData sheetId="5557" refreshError="1"/>
      <sheetData sheetId="5558" refreshError="1"/>
      <sheetData sheetId="5559" refreshError="1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/>
      <sheetData sheetId="5583" refreshError="1"/>
      <sheetData sheetId="5584" refreshError="1"/>
      <sheetData sheetId="5585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/>
      <sheetData sheetId="5607" refreshError="1"/>
      <sheetData sheetId="5608" refreshError="1"/>
      <sheetData sheetId="5609" refreshError="1"/>
      <sheetData sheetId="5610" refreshError="1"/>
      <sheetData sheetId="561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/>
      <sheetData sheetId="5618"/>
      <sheetData sheetId="5619"/>
      <sheetData sheetId="5620"/>
      <sheetData sheetId="5621"/>
      <sheetData sheetId="5622" refreshError="1"/>
      <sheetData sheetId="5623" refreshError="1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/>
      <sheetData sheetId="5640"/>
      <sheetData sheetId="5641"/>
      <sheetData sheetId="5642"/>
      <sheetData sheetId="5643"/>
      <sheetData sheetId="5644"/>
      <sheetData sheetId="5645"/>
      <sheetData sheetId="5646" refreshError="1"/>
      <sheetData sheetId="5647" refreshError="1"/>
      <sheetData sheetId="5648" refreshError="1"/>
      <sheetData sheetId="5649" refreshError="1"/>
      <sheetData sheetId="5650"/>
      <sheetData sheetId="5651"/>
      <sheetData sheetId="5652"/>
      <sheetData sheetId="5653" refreshError="1"/>
      <sheetData sheetId="5654"/>
      <sheetData sheetId="5655"/>
      <sheetData sheetId="5656"/>
      <sheetData sheetId="5657"/>
      <sheetData sheetId="5658"/>
      <sheetData sheetId="5659"/>
      <sheetData sheetId="5660"/>
      <sheetData sheetId="5661"/>
      <sheetData sheetId="5662"/>
      <sheetData sheetId="5663" refreshError="1"/>
      <sheetData sheetId="5664" refreshError="1"/>
      <sheetData sheetId="5665"/>
      <sheetData sheetId="5666"/>
      <sheetData sheetId="5667" refreshError="1"/>
      <sheetData sheetId="5668" refreshError="1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/>
      <sheetData sheetId="5678"/>
      <sheetData sheetId="5679"/>
      <sheetData sheetId="5680" refreshError="1"/>
      <sheetData sheetId="5681" refreshError="1"/>
      <sheetData sheetId="5682" refreshError="1"/>
      <sheetData sheetId="5683" refreshError="1"/>
      <sheetData sheetId="5684" refreshError="1"/>
      <sheetData sheetId="5685" refreshError="1"/>
      <sheetData sheetId="5686" refreshError="1"/>
      <sheetData sheetId="5687" refreshError="1"/>
      <sheetData sheetId="5688" refreshError="1"/>
      <sheetData sheetId="5689" refreshError="1"/>
      <sheetData sheetId="5690" refreshError="1"/>
      <sheetData sheetId="5691" refreshError="1"/>
      <sheetData sheetId="5692" refreshError="1"/>
      <sheetData sheetId="5693" refreshError="1"/>
      <sheetData sheetId="5694" refreshError="1"/>
      <sheetData sheetId="5695" refreshError="1"/>
      <sheetData sheetId="5696" refreshError="1"/>
      <sheetData sheetId="5697" refreshError="1"/>
      <sheetData sheetId="5698" refreshError="1"/>
      <sheetData sheetId="5699" refreshError="1"/>
      <sheetData sheetId="5700"/>
      <sheetData sheetId="5701"/>
      <sheetData sheetId="5702"/>
      <sheetData sheetId="5703" refreshError="1"/>
      <sheetData sheetId="5704" refreshError="1"/>
      <sheetData sheetId="5705" refreshError="1"/>
      <sheetData sheetId="5706" refreshError="1"/>
      <sheetData sheetId="5707"/>
      <sheetData sheetId="5708"/>
      <sheetData sheetId="5709"/>
      <sheetData sheetId="5710"/>
      <sheetData sheetId="5711"/>
      <sheetData sheetId="5712"/>
      <sheetData sheetId="5713"/>
      <sheetData sheetId="5714"/>
      <sheetData sheetId="5715"/>
      <sheetData sheetId="5716"/>
      <sheetData sheetId="5717"/>
      <sheetData sheetId="5718"/>
      <sheetData sheetId="5719"/>
      <sheetData sheetId="5720"/>
      <sheetData sheetId="5721"/>
      <sheetData sheetId="5722"/>
      <sheetData sheetId="5723" refreshError="1"/>
      <sheetData sheetId="5724"/>
      <sheetData sheetId="5725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 refreshError="1"/>
      <sheetData sheetId="5741" refreshError="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 refreshError="1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 refreshError="1"/>
      <sheetData sheetId="5757" refreshError="1"/>
      <sheetData sheetId="5758" refreshError="1"/>
      <sheetData sheetId="5759" refreshError="1"/>
      <sheetData sheetId="5760" refreshError="1"/>
      <sheetData sheetId="5761" refreshError="1"/>
      <sheetData sheetId="5762" refreshError="1"/>
      <sheetData sheetId="5763" refreshError="1"/>
      <sheetData sheetId="5764" refreshError="1"/>
      <sheetData sheetId="5765" refreshError="1"/>
      <sheetData sheetId="5766" refreshError="1"/>
      <sheetData sheetId="5767" refreshError="1"/>
      <sheetData sheetId="5768" refreshError="1"/>
      <sheetData sheetId="5769" refreshError="1"/>
      <sheetData sheetId="5770" refreshError="1"/>
      <sheetData sheetId="5771" refreshError="1"/>
      <sheetData sheetId="5772" refreshError="1"/>
      <sheetData sheetId="5773" refreshError="1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 refreshError="1"/>
      <sheetData sheetId="5782" refreshError="1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 refreshError="1"/>
      <sheetData sheetId="5805" refreshError="1"/>
      <sheetData sheetId="5806" refreshError="1"/>
      <sheetData sheetId="5807" refreshError="1"/>
      <sheetData sheetId="5808" refreshError="1"/>
      <sheetData sheetId="5809" refreshError="1"/>
      <sheetData sheetId="5810" refreshError="1"/>
      <sheetData sheetId="5811" refreshError="1"/>
      <sheetData sheetId="5812" refreshError="1"/>
      <sheetData sheetId="5813" refreshError="1"/>
      <sheetData sheetId="5814" refreshError="1"/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 refreshError="1"/>
      <sheetData sheetId="5822" refreshError="1"/>
      <sheetData sheetId="5823" refreshError="1"/>
      <sheetData sheetId="5824" refreshError="1"/>
      <sheetData sheetId="5825" refreshError="1"/>
      <sheetData sheetId="5826" refreshError="1"/>
      <sheetData sheetId="5827" refreshError="1"/>
      <sheetData sheetId="5828" refreshError="1"/>
      <sheetData sheetId="5829" refreshError="1"/>
      <sheetData sheetId="5830" refreshError="1"/>
      <sheetData sheetId="5831" refreshError="1"/>
      <sheetData sheetId="5832" refreshError="1"/>
      <sheetData sheetId="5833" refreshError="1"/>
      <sheetData sheetId="5834" refreshError="1"/>
      <sheetData sheetId="5835" refreshError="1"/>
      <sheetData sheetId="5836" refreshError="1"/>
      <sheetData sheetId="5837" refreshError="1"/>
      <sheetData sheetId="5838" refreshError="1"/>
      <sheetData sheetId="5839" refreshError="1"/>
      <sheetData sheetId="5840" refreshError="1"/>
      <sheetData sheetId="5841" refreshError="1"/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 refreshError="1"/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 refreshError="1"/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 refreshError="1"/>
      <sheetData sheetId="5873" refreshError="1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/>
      <sheetData sheetId="5889" refreshError="1"/>
      <sheetData sheetId="5890" refreshError="1"/>
      <sheetData sheetId="5891" refreshError="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 refreshError="1"/>
      <sheetData sheetId="5907" refreshError="1"/>
      <sheetData sheetId="5908" refreshError="1"/>
      <sheetData sheetId="5909" refreshError="1"/>
      <sheetData sheetId="5910" refreshError="1"/>
      <sheetData sheetId="5911"/>
      <sheetData sheetId="5912"/>
      <sheetData sheetId="5913"/>
      <sheetData sheetId="5914" refreshError="1"/>
      <sheetData sheetId="5915" refreshError="1"/>
      <sheetData sheetId="5916" refreshError="1"/>
      <sheetData sheetId="5917" refreshError="1"/>
      <sheetData sheetId="5918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여과지동"/>
      <sheetName val="기초자료"/>
      <sheetName val="청주과학대학내역서(타견적)"/>
      <sheetName val="암거"/>
      <sheetName val="포장공"/>
      <sheetName val="배수공"/>
      <sheetName val="제-노임"/>
      <sheetName val="제직재"/>
      <sheetName val="한강운반비"/>
      <sheetName val="중기사용료"/>
      <sheetName val="전기단가조사서"/>
      <sheetName val="개요"/>
      <sheetName val="신우"/>
      <sheetName val="청천내"/>
      <sheetName val="N賃率-職"/>
      <sheetName val="기초단가"/>
      <sheetName val="원본(갑지)"/>
      <sheetName val="J直材4"/>
      <sheetName val="9GNG운반"/>
      <sheetName val="단가산출서"/>
      <sheetName val="자재단가"/>
      <sheetName val="선급금신청서"/>
      <sheetName val="내역서단가산출용"/>
      <sheetName val="소요자재"/>
      <sheetName val="제품별"/>
      <sheetName val="일위대가"/>
      <sheetName val="입찰견적보고서"/>
      <sheetName val="UNIT"/>
      <sheetName val="일위"/>
      <sheetName val="I一般比"/>
      <sheetName val="문학간접"/>
      <sheetName val="XL4Poppy"/>
      <sheetName val="#REF"/>
      <sheetName val="본사인상전"/>
      <sheetName val="유림총괄"/>
      <sheetName val="TNC(1안)"/>
      <sheetName val="일위대가(1)"/>
      <sheetName val="노임단가"/>
      <sheetName val="터파기및재료"/>
      <sheetName val="제36-40호표"/>
      <sheetName val="하조서"/>
      <sheetName val="Y-WORK"/>
      <sheetName val="데이타"/>
      <sheetName val="식재인부"/>
      <sheetName val="산출근거"/>
      <sheetName val="단가 및 재료비"/>
      <sheetName val="내역"/>
      <sheetName val="직재"/>
      <sheetName val="산출내역서집계표"/>
      <sheetName val="덕전리"/>
      <sheetName val="20관리비율"/>
      <sheetName val="제조 경영"/>
      <sheetName val="차액보증"/>
      <sheetName val="원가서"/>
      <sheetName val="일위대가(가설)"/>
      <sheetName val="토공사B동추가"/>
      <sheetName val="실내건축일위대가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금융비용"/>
      <sheetName val="원가 (2)"/>
      <sheetName val="연습"/>
      <sheetName val="PANEL_인원산출"/>
      <sheetName val="타견적서_영시스템"/>
      <sheetName val="단가대비표_(2)"/>
      <sheetName val="Sheet1"/>
      <sheetName val="재집"/>
      <sheetName val="열차무선 수량집계"/>
      <sheetName val="집계표"/>
      <sheetName val="Total"/>
      <sheetName val="C-노임단가"/>
      <sheetName val="요율"/>
      <sheetName val="인건비"/>
      <sheetName val="단가"/>
      <sheetName val="역공종"/>
      <sheetName val="Sheet2"/>
      <sheetName val="2"/>
      <sheetName val="Sheet9"/>
      <sheetName val="쇠(1)"/>
      <sheetName val="가격(3)"/>
      <sheetName val="기초DATA(2)"/>
      <sheetName val="산출"/>
      <sheetName val="집계"/>
      <sheetName val="가설개략"/>
      <sheetName val="합천내역"/>
      <sheetName val="일위_파일"/>
      <sheetName val="입력"/>
      <sheetName val="직노"/>
      <sheetName val="SW개발대상목록(기능점수)"/>
      <sheetName val="1.수인터널"/>
      <sheetName val="단가대비표(SYS)"/>
      <sheetName val="제조노임"/>
      <sheetName val="단가목록"/>
      <sheetName val="5.단가대비표"/>
      <sheetName val="단가표"/>
      <sheetName val="98수문일위"/>
      <sheetName val="품목"/>
      <sheetName val="입찰안"/>
      <sheetName val="이름정의"/>
      <sheetName val="초기화면"/>
      <sheetName val="샌딩 에폭시 도장"/>
      <sheetName val="일반문틀 설치"/>
      <sheetName val="00상노임"/>
      <sheetName val="96보완계획7.12"/>
      <sheetName val="공통"/>
      <sheetName val="ABUT수량-A1"/>
      <sheetName val="관로공표지"/>
      <sheetName val="산출근거1"/>
      <sheetName val="공종목록표"/>
      <sheetName val="공정집계_국별"/>
      <sheetName val="모래기초"/>
      <sheetName val="거리계산"/>
      <sheetName val="단가산출"/>
      <sheetName val="감리원단가"/>
      <sheetName val="샘플표지"/>
      <sheetName val="매출매입"/>
      <sheetName val="기본일위"/>
      <sheetName val="실행내역"/>
      <sheetName val="DATE"/>
      <sheetName val="조명시설"/>
      <sheetName val="배수관공"/>
      <sheetName val="출력X"/>
      <sheetName val="코드표"/>
      <sheetName val="데리네이타현황"/>
      <sheetName val="슬래브(PF)(하류)"/>
      <sheetName val="설계내역"/>
      <sheetName val="자단"/>
      <sheetName val="인공산출"/>
      <sheetName val="AS포장복구 "/>
      <sheetName val="식음료"/>
      <sheetName val="copy"/>
      <sheetName val="danga"/>
      <sheetName val="단"/>
      <sheetName val="견적정보"/>
      <sheetName val="집계표(육상)"/>
      <sheetName val="남양내역"/>
      <sheetName val="연부97-1"/>
      <sheetName val="업체별공사이행등급"/>
      <sheetName val="인원계획-미화"/>
      <sheetName val="DHEQSUPT"/>
      <sheetName val="일위대가표"/>
      <sheetName val="소방공사"/>
      <sheetName val="전기공사"/>
      <sheetName val="건설공사"/>
      <sheetName val="정보통신공사"/>
      <sheetName val="45,46"/>
      <sheetName val="인건-측정"/>
      <sheetName val="내역서적용"/>
      <sheetName val="4안전율"/>
      <sheetName val="COPING"/>
      <sheetName val="사다리"/>
      <sheetName val="수자재단위당"/>
      <sheetName val="예측단가간지"/>
      <sheetName val="48일위"/>
      <sheetName val="22철거수량"/>
      <sheetName val="감리매출"/>
      <sheetName val="간선"/>
      <sheetName val="(C)원내역"/>
      <sheetName val="변경갑지"/>
      <sheetName val="증감(갑지)"/>
      <sheetName val="실행철강하도"/>
      <sheetName val="실행내역서 "/>
      <sheetName val="자료입력"/>
      <sheetName val="CAUDIT"/>
      <sheetName val="설직재-1"/>
      <sheetName val="일위대가1"/>
      <sheetName val="APT"/>
      <sheetName val="범용개발순소요비용"/>
      <sheetName val="위치"/>
      <sheetName val="노임"/>
      <sheetName val="내역서변경성원"/>
      <sheetName val="최종총괄"/>
      <sheetName val="세부산출내역서"/>
      <sheetName val="2.어플리케이션보정계수"/>
      <sheetName val="DATA"/>
      <sheetName val="내역서2안"/>
      <sheetName val="감액총괄표"/>
      <sheetName val="#3_일위대가목록"/>
      <sheetName val="직접비내역서"/>
      <sheetName val="Sheet6"/>
      <sheetName val="대치판정"/>
      <sheetName val="VXXXXXXX"/>
      <sheetName val="배관배선 단가조사"/>
      <sheetName val="일위대가집계"/>
      <sheetName val="호별계약현황"/>
      <sheetName val="BID"/>
      <sheetName val="지구단위계획"/>
      <sheetName val="FM3(2~6공)"/>
      <sheetName val="잔토처리"/>
      <sheetName val="복구단가"/>
      <sheetName val="대창(장성)"/>
      <sheetName val="연차(일위)"/>
      <sheetName val="cp-e1"/>
      <sheetName val="부하계산서"/>
      <sheetName val="49일위"/>
      <sheetName val="요약&amp;결과"/>
      <sheetName val="입력변수"/>
      <sheetName val="1.ER유체응용"/>
      <sheetName val="4.시험장비"/>
      <sheetName val="개소별수량산출"/>
      <sheetName val="1.우편집중내역서"/>
      <sheetName val="기계경비일람"/>
      <sheetName val="06 일위대가목록"/>
      <sheetName val="도급"/>
      <sheetName val="시화점실행"/>
      <sheetName val="O＆P"/>
      <sheetName val="설계예산서"/>
      <sheetName val="연장및면적(좌측)"/>
      <sheetName val="저수조"/>
      <sheetName val="1안"/>
      <sheetName val="플랜트 설치"/>
      <sheetName val="산출내역서"/>
      <sheetName val="판매시설"/>
      <sheetName val="일반부표"/>
      <sheetName val="정보"/>
      <sheetName val="콘크리트타설집계표"/>
      <sheetName val="6PILE  (돌출)"/>
      <sheetName val="PANEL_인원산출1"/>
      <sheetName val="타견적서_영시스템1"/>
      <sheetName val="단가대비표_(2)1"/>
      <sheetName val="단가_및_재료비"/>
      <sheetName val="96보완계획7_12"/>
      <sheetName val="제조_경영"/>
      <sheetName val="수량계산서_집계표(가설_신설_및_철거-을지로3가_3호선)"/>
      <sheetName val="수량계산서_집계표(신설-을지로3가_3호선)"/>
      <sheetName val="수량계산서_집계표(철거-을지로3가_3호선)"/>
      <sheetName val="열차무선_수량집계"/>
      <sheetName val="원가_(2)"/>
      <sheetName val="샌딩_에폭시_도장"/>
      <sheetName val="일반문틀_설치"/>
      <sheetName val="AS포장복구_"/>
      <sheetName val="원가"/>
      <sheetName val="sw1"/>
      <sheetName val="열차제어동"/>
      <sheetName val="전기성능동"/>
      <sheetName val="차량시스템인자"/>
      <sheetName val="차량부품동"/>
      <sheetName val="A-4"/>
      <sheetName val="역무용(산출)"/>
      <sheetName val="철거수량(전송)"/>
      <sheetName val="기초코드"/>
      <sheetName val="2F 회의실견적(5_14 일대)"/>
      <sheetName val="2002공임"/>
      <sheetName val="2002자재가격"/>
      <sheetName val="연결관조서 (토사)"/>
      <sheetName val="연결관수량 (2)"/>
      <sheetName val="연약지반 구분"/>
      <sheetName val="TYPE1"/>
      <sheetName val="변경내역"/>
      <sheetName val="구조물터파기수량집계"/>
      <sheetName val="측구터파기공수량집계"/>
      <sheetName val="빙장비사양"/>
      <sheetName val="배수공 시멘트 및 골재량 산출"/>
      <sheetName val="인사자료총집계"/>
      <sheetName val="돈암사업"/>
      <sheetName val="예총"/>
      <sheetName val="평3"/>
      <sheetName val="시중노임단가"/>
      <sheetName val="공사개요"/>
      <sheetName val="갑지(추정)"/>
      <sheetName val="도급실행(본관-주차장)"/>
      <sheetName val="PI"/>
      <sheetName val="BJJIN"/>
      <sheetName val="S-ding"/>
      <sheetName val="품셈"/>
      <sheetName val="설계조건"/>
      <sheetName val="토목-물가"/>
      <sheetName val="총괄표"/>
      <sheetName val="단위단가"/>
      <sheetName val="프랜트면허"/>
      <sheetName val="난간벽단위"/>
      <sheetName val="매립"/>
      <sheetName val="안양동교 1안"/>
      <sheetName val="공사기본내용입력"/>
      <sheetName val="파이프류"/>
      <sheetName val="추가예산"/>
      <sheetName val="공사비산출"/>
      <sheetName val="토공(우물통,기타) "/>
      <sheetName val="주안3차A-A"/>
      <sheetName val="본실행경비"/>
      <sheetName val="단중표"/>
      <sheetName val="실행내역서_"/>
      <sheetName val="5_단가대비표"/>
      <sheetName val="2_어플리케이션보정계수"/>
      <sheetName val="CONCRETE"/>
      <sheetName val="날개벽수량표"/>
      <sheetName val="원형1호맨홀토공수량"/>
      <sheetName val="설계내역서"/>
      <sheetName val="목차"/>
      <sheetName val="직접비"/>
      <sheetName val="원가계산서"/>
      <sheetName val="도수로수량산출"/>
      <sheetName val="공사비집계"/>
      <sheetName val="토공사"/>
      <sheetName val="MOTOR"/>
      <sheetName val="FAX"/>
      <sheetName val="2.건축"/>
      <sheetName val="갑지"/>
      <sheetName val="수도권센터"/>
      <sheetName val="기흥영업소"/>
      <sheetName val="사원정보"/>
      <sheetName val="편성표"/>
      <sheetName val="내역(2019년8월)"/>
      <sheetName val="식품체험관(시설유지보수)"/>
      <sheetName val="CJE"/>
      <sheetName val="전체"/>
      <sheetName val="Cover"/>
      <sheetName val=""/>
      <sheetName val="PLT8500"/>
      <sheetName val="기계공사"/>
      <sheetName val="평가데이터"/>
      <sheetName val="대림경상68억"/>
      <sheetName val="공사대장"/>
      <sheetName val="각형맨홀"/>
      <sheetName val="보차도경계석"/>
      <sheetName val="간접"/>
      <sheetName val="1,2공구원가계산서"/>
      <sheetName val="2공구산출내역"/>
      <sheetName val="1공구산출내역서"/>
      <sheetName val="실행예산"/>
      <sheetName val="저장품(`96결산)"/>
      <sheetName val="DAT(목표)"/>
      <sheetName val="계산정보"/>
      <sheetName val="경비"/>
      <sheetName val="마감LIST-1"/>
      <sheetName val="경비 (2)"/>
      <sheetName val="준공정산"/>
      <sheetName val="품셈TABLE"/>
      <sheetName val="토사(PE)"/>
      <sheetName val="소야공정계획표"/>
      <sheetName val="설계"/>
      <sheetName val="총도"/>
      <sheetName val="건축내역"/>
      <sheetName val="증감내역서"/>
      <sheetName val="인공LIST"/>
      <sheetName val="설계(안)"/>
      <sheetName val="노무비"/>
      <sheetName val="과천MAIN"/>
      <sheetName val="A 견적"/>
      <sheetName val="조명율표"/>
      <sheetName val="FAB별"/>
      <sheetName val="C.배수관공"/>
      <sheetName val="노임단가표"/>
      <sheetName val="을"/>
      <sheetName val="공종단가"/>
      <sheetName val="4차공사내역"/>
      <sheetName val="선원교상-교대A(1)"/>
      <sheetName val="MIJIBI"/>
      <sheetName val="도체종-상수표"/>
      <sheetName val="배수내역"/>
      <sheetName val="증감대비"/>
      <sheetName val="재료"/>
      <sheetName val="설치자재"/>
      <sheetName val="보고"/>
      <sheetName val="차수"/>
      <sheetName val="오억미만"/>
      <sheetName val="순공사비"/>
      <sheetName val="6호기"/>
      <sheetName val="소방사항"/>
      <sheetName val="Macro1"/>
      <sheetName val="결과치"/>
      <sheetName val="금호"/>
      <sheetName val="유림골조"/>
      <sheetName val="침하계"/>
      <sheetName val="학생내역"/>
      <sheetName val="확약서"/>
      <sheetName val="20_10_100"/>
      <sheetName val="도근좌표"/>
      <sheetName val="수리결과"/>
      <sheetName val="기준_국가명"/>
      <sheetName val="토공사(흙막이)"/>
      <sheetName val="말뚝지지력산정"/>
      <sheetName val="배관배선_단가조사"/>
      <sheetName val="안양동교_1안"/>
      <sheetName val="잔수량(작성)"/>
      <sheetName val="전신환매도율"/>
      <sheetName val="단면치수"/>
      <sheetName val="입찰보고"/>
      <sheetName val="참고사항"/>
      <sheetName val="망미"/>
      <sheetName val="총체보활공정표"/>
      <sheetName val="Macro(조도)"/>
      <sheetName val="***********************00"/>
      <sheetName val="비교표"/>
      <sheetName val="설계서"/>
      <sheetName val="안전관리비(1~4)"/>
      <sheetName val="안전관리비(5~8)"/>
      <sheetName val=" FURNACE현설"/>
      <sheetName val="NYS"/>
      <sheetName val="설계명세서"/>
      <sheetName val="내역서1999.8최종"/>
      <sheetName val="1호기2차(위탁)"/>
      <sheetName val="인부노임"/>
      <sheetName val="대비2"/>
      <sheetName val="손익분석"/>
      <sheetName val="설명"/>
      <sheetName val="주요측점"/>
      <sheetName val="4.경비 5.영업외수지"/>
      <sheetName val="통신원가"/>
      <sheetName val="설비2차"/>
      <sheetName val="건축공사실행"/>
      <sheetName val="연결관수량"/>
      <sheetName val="위치조서"/>
      <sheetName val="영외수비2"/>
      <sheetName val="세부내역"/>
      <sheetName val="구조물공"/>
      <sheetName val="식생블럭단위수량"/>
      <sheetName val="표지"/>
      <sheetName val="실행(ALT1)"/>
      <sheetName val="골조물량"/>
      <sheetName val="C_배수관공"/>
      <sheetName val="배수공_시멘트_및_골재량_산출"/>
      <sheetName val="플랜트_설치"/>
      <sheetName val="1_우편집중내역서"/>
      <sheetName val="1_ER유체응용"/>
      <sheetName val="4_시험장비"/>
      <sheetName val="06_일위대가목록"/>
      <sheetName val="토공(우물통,기타)_"/>
      <sheetName val="98지급계획"/>
      <sheetName val="b"/>
      <sheetName val="gaeyo"/>
      <sheetName val="1호맨홀토공"/>
      <sheetName val="b_balju_cho"/>
      <sheetName val="Sheet13"/>
      <sheetName val="공사비"/>
      <sheetName val="1-2. 산출근거및단가(학술연구부문)"/>
      <sheetName val="중갑지"/>
      <sheetName val="날개벽"/>
      <sheetName val="PANEL_인원산출2"/>
      <sheetName val="타견적서_영시스템2"/>
      <sheetName val="단가대비표_(2)2"/>
      <sheetName val="AS포장복구_1"/>
      <sheetName val="제조_경영1"/>
      <sheetName val="단가_및_재료비1"/>
      <sheetName val="수량계산서_집계표(가설_신설_및_철거-을지로3가_3호선1"/>
      <sheetName val="수량계산서_집계표(신설-을지로3가_3호선)1"/>
      <sheetName val="수량계산서_집계표(철거-을지로3가_3호선)1"/>
      <sheetName val="열차무선_수량집계1"/>
      <sheetName val="원가_(2)1"/>
      <sheetName val="샌딩_에폭시_도장1"/>
      <sheetName val="일반문틀_설치1"/>
      <sheetName val="96보완계획7_121"/>
      <sheetName val="실행내역서_1"/>
      <sheetName val="5_단가대비표1"/>
      <sheetName val="2_어플리케이션보정계수1"/>
      <sheetName val="배관배선_단가조사1"/>
      <sheetName val="2F_회의실견적(5_14_일대)"/>
      <sheetName val="설비"/>
      <sheetName val="공비대비"/>
      <sheetName val="1~69"/>
      <sheetName val="돌담교 상부수량"/>
      <sheetName val="guard(mac)"/>
      <sheetName val="6PILE__(돌출)"/>
      <sheetName val="1_수인터널"/>
      <sheetName val="2_건축"/>
      <sheetName val="연결관조서_(토사)"/>
      <sheetName val="연결관수량_(2)"/>
      <sheetName val="연약지반_구분"/>
      <sheetName val="A_견적"/>
      <sheetName val="2.호선별예상실적"/>
      <sheetName val="시산표"/>
      <sheetName val="G4"/>
      <sheetName val="산출근거#2-3"/>
      <sheetName val="BM"/>
      <sheetName val="15100"/>
      <sheetName val="BM_NEW2"/>
      <sheetName val="2-2.내역서 (급여적용)"/>
      <sheetName val="Macro2"/>
      <sheetName val="수량집계"/>
      <sheetName val="명세서(을)"/>
      <sheetName val="공정코드"/>
      <sheetName val="대가표(품셈)"/>
      <sheetName val="산근"/>
      <sheetName val="대비표"/>
      <sheetName val="가도공"/>
      <sheetName val="역T형옹벽단위수량"/>
      <sheetName val="전기"/>
      <sheetName val="SOURCE"/>
      <sheetName val="Sheet5"/>
      <sheetName val="간지"/>
      <sheetName val="일위대가-01"/>
      <sheetName val="포장(수량)-관로부"/>
      <sheetName val="T13(P68~72,78)"/>
      <sheetName val="SLAB&quot;1&quot;"/>
      <sheetName val="구성비"/>
      <sheetName val="현장"/>
      <sheetName val="맨홀수량"/>
      <sheetName val="토공1차"/>
      <sheetName val="목록"/>
      <sheetName val="작업완료확인서 (2)"/>
      <sheetName val="교통대책내역"/>
      <sheetName val="실행간접비"/>
      <sheetName val="종단계산"/>
      <sheetName val="1-1평균터파기고(1)"/>
      <sheetName val="울산자동제어"/>
      <sheetName val="공통가설(기준안)"/>
      <sheetName val="사업개요"/>
      <sheetName val="기초일위"/>
      <sheetName val="환경성검토산출근거"/>
      <sheetName val="SANTOGO"/>
      <sheetName val="적용기준"/>
    </sheetNames>
    <sheetDataSet>
      <sheetData sheetId="0" refreshError="1"/>
      <sheetData sheetId="1">
        <row r="1">
          <cell r="A1">
            <v>1</v>
          </cell>
        </row>
      </sheetData>
      <sheetData sheetId="2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 t="e">
            <v>#REF!</v>
          </cell>
        </row>
        <row r="40">
          <cell r="A40" t="e">
            <v>#REF!</v>
          </cell>
        </row>
        <row r="41">
          <cell r="A41" t="e">
            <v>#REF!</v>
          </cell>
        </row>
        <row r="42">
          <cell r="A42" t="e">
            <v>#REF!</v>
          </cell>
        </row>
        <row r="43">
          <cell r="A43" t="e">
            <v>#REF!</v>
          </cell>
        </row>
        <row r="45">
          <cell r="A45" t="e">
            <v>#REF!</v>
          </cell>
        </row>
        <row r="55">
          <cell r="A55">
            <v>0</v>
          </cell>
        </row>
        <row r="68">
          <cell r="A68" t="e">
            <v>#REF!</v>
          </cell>
        </row>
        <row r="113">
          <cell r="A113" t="e">
            <v>#REF!</v>
          </cell>
        </row>
        <row r="114">
          <cell r="A114" t="e">
            <v>#REF!</v>
          </cell>
        </row>
        <row r="115">
          <cell r="A115" t="e">
            <v>#REF!</v>
          </cell>
        </row>
        <row r="116">
          <cell r="A116" t="e">
            <v>#REF!</v>
          </cell>
        </row>
        <row r="117">
          <cell r="A117" t="e">
            <v>#REF!</v>
          </cell>
        </row>
        <row r="118">
          <cell r="A118" t="e">
            <v>#REF!</v>
          </cell>
        </row>
        <row r="119">
          <cell r="A119" t="e">
            <v>#REF!</v>
          </cell>
        </row>
        <row r="120">
          <cell r="A120" t="e">
            <v>#REF!</v>
          </cell>
        </row>
        <row r="121">
          <cell r="A121" t="e">
            <v>#REF!</v>
          </cell>
        </row>
        <row r="122">
          <cell r="A122" t="e">
            <v>#REF!</v>
          </cell>
        </row>
        <row r="123">
          <cell r="A123" t="e">
            <v>#REF!</v>
          </cell>
        </row>
        <row r="124">
          <cell r="A124" t="e">
            <v>#REF!</v>
          </cell>
        </row>
        <row r="126">
          <cell r="A126" t="e">
            <v>#REF!</v>
          </cell>
        </row>
        <row r="127">
          <cell r="A127" t="e">
            <v>#REF!</v>
          </cell>
        </row>
        <row r="128">
          <cell r="A128" t="e">
            <v>#REF!</v>
          </cell>
        </row>
        <row r="130">
          <cell r="A130" t="e">
            <v>#REF!</v>
          </cell>
        </row>
        <row r="131">
          <cell r="A131" t="e">
            <v>#REF!</v>
          </cell>
        </row>
        <row r="134">
          <cell r="A134" t="e">
            <v>#REF!</v>
          </cell>
        </row>
        <row r="135">
          <cell r="A135" t="e">
            <v>#REF!</v>
          </cell>
        </row>
        <row r="136">
          <cell r="A136" t="e">
            <v>#REF!</v>
          </cell>
        </row>
        <row r="137">
          <cell r="A137" t="e">
            <v>#REF!</v>
          </cell>
        </row>
        <row r="140">
          <cell r="A140" t="e">
            <v>#REF!</v>
          </cell>
        </row>
        <row r="141">
          <cell r="A141" t="e">
            <v>#REF!</v>
          </cell>
        </row>
        <row r="142">
          <cell r="A142" t="e">
            <v>#REF!</v>
          </cell>
        </row>
        <row r="143">
          <cell r="A143" t="e">
            <v>#REF!</v>
          </cell>
        </row>
        <row r="144">
          <cell r="A144" t="e">
            <v>#REF!</v>
          </cell>
        </row>
        <row r="145">
          <cell r="A145" t="e">
            <v>#REF!</v>
          </cell>
        </row>
        <row r="146">
          <cell r="A146" t="e">
            <v>#REF!</v>
          </cell>
        </row>
        <row r="147">
          <cell r="A147" t="e">
            <v>#REF!</v>
          </cell>
        </row>
        <row r="148">
          <cell r="A148" t="e">
            <v>#REF!</v>
          </cell>
        </row>
        <row r="149">
          <cell r="A149" t="e">
            <v>#REF!</v>
          </cell>
        </row>
        <row r="150">
          <cell r="A150" t="e">
            <v>#REF!</v>
          </cell>
        </row>
        <row r="151">
          <cell r="A151" t="e">
            <v>#REF!</v>
          </cell>
        </row>
        <row r="152">
          <cell r="A152" t="e">
            <v>#REF!</v>
          </cell>
        </row>
        <row r="153">
          <cell r="A153" t="e">
            <v>#REF!</v>
          </cell>
        </row>
        <row r="154">
          <cell r="A154" t="e">
            <v>#REF!</v>
          </cell>
        </row>
        <row r="156">
          <cell r="A156" t="e">
            <v>#REF!</v>
          </cell>
        </row>
        <row r="157">
          <cell r="A157" t="e">
            <v>#REF!</v>
          </cell>
        </row>
        <row r="158">
          <cell r="A158" t="e">
            <v>#REF!</v>
          </cell>
        </row>
        <row r="159">
          <cell r="A159" t="e">
            <v>#REF!</v>
          </cell>
        </row>
        <row r="160">
          <cell r="A160" t="e">
            <v>#REF!</v>
          </cell>
        </row>
        <row r="161">
          <cell r="A161" t="e">
            <v>#REF!</v>
          </cell>
        </row>
        <row r="162">
          <cell r="A162" t="e">
            <v>#REF!</v>
          </cell>
        </row>
        <row r="163">
          <cell r="A163" t="e">
            <v>#REF!</v>
          </cell>
        </row>
        <row r="164">
          <cell r="A164" t="e">
            <v>#REF!</v>
          </cell>
        </row>
        <row r="165">
          <cell r="A165" t="e">
            <v>#REF!</v>
          </cell>
        </row>
        <row r="166">
          <cell r="A166" t="e">
            <v>#REF!</v>
          </cell>
        </row>
        <row r="167">
          <cell r="A167" t="e">
            <v>#REF!</v>
          </cell>
        </row>
        <row r="168">
          <cell r="A168" t="e">
            <v>#REF!</v>
          </cell>
        </row>
        <row r="169">
          <cell r="A169" t="e">
            <v>#REF!</v>
          </cell>
        </row>
        <row r="170">
          <cell r="A170" t="e">
            <v>#REF!</v>
          </cell>
        </row>
        <row r="171">
          <cell r="A171" t="e">
            <v>#REF!</v>
          </cell>
        </row>
        <row r="172">
          <cell r="A172" t="e">
            <v>#REF!</v>
          </cell>
        </row>
        <row r="174">
          <cell r="A174" t="e">
            <v>#REF!</v>
          </cell>
        </row>
        <row r="175">
          <cell r="A175" t="e">
            <v>#REF!</v>
          </cell>
        </row>
        <row r="176">
          <cell r="A176" t="e">
            <v>#REF!</v>
          </cell>
        </row>
        <row r="177">
          <cell r="A177" t="e">
            <v>#REF!</v>
          </cell>
        </row>
        <row r="178">
          <cell r="A178" t="e">
            <v>#REF!</v>
          </cell>
        </row>
        <row r="179">
          <cell r="A179" t="e">
            <v>#REF!</v>
          </cell>
        </row>
        <row r="180">
          <cell r="A180" t="e">
            <v>#REF!</v>
          </cell>
        </row>
        <row r="181">
          <cell r="A181" t="e">
            <v>#REF!</v>
          </cell>
        </row>
        <row r="182">
          <cell r="A182" t="e">
            <v>#REF!</v>
          </cell>
        </row>
        <row r="183">
          <cell r="A183" t="e">
            <v>#REF!</v>
          </cell>
        </row>
        <row r="184">
          <cell r="A184" t="e">
            <v>#REF!</v>
          </cell>
        </row>
        <row r="185">
          <cell r="A185" t="e">
            <v>#REF!</v>
          </cell>
        </row>
        <row r="200">
          <cell r="A200" t="e">
            <v>#REF!</v>
          </cell>
        </row>
        <row r="222">
          <cell r="A222" t="e">
            <v>#REF!</v>
          </cell>
        </row>
        <row r="223">
          <cell r="A223" t="e">
            <v>#REF!</v>
          </cell>
        </row>
        <row r="230">
          <cell r="A230" t="e">
            <v>#REF!</v>
          </cell>
        </row>
        <row r="262">
          <cell r="A262" t="e">
            <v>#REF!</v>
          </cell>
        </row>
        <row r="263">
          <cell r="A263" t="e">
            <v>#REF!</v>
          </cell>
        </row>
        <row r="264">
          <cell r="A264" t="e">
            <v>#REF!</v>
          </cell>
        </row>
        <row r="265">
          <cell r="A265" t="e">
            <v>#REF!</v>
          </cell>
        </row>
        <row r="266">
          <cell r="A266" t="e">
            <v>#REF!</v>
          </cell>
        </row>
        <row r="267">
          <cell r="A267" t="e">
            <v>#REF!</v>
          </cell>
        </row>
        <row r="268">
          <cell r="A268" t="e">
            <v>#REF!</v>
          </cell>
        </row>
        <row r="269">
          <cell r="A269" t="e">
            <v>#REF!</v>
          </cell>
        </row>
        <row r="271">
          <cell r="A271" t="e">
            <v>#REF!</v>
          </cell>
        </row>
        <row r="272">
          <cell r="A272" t="e">
            <v>#REF!</v>
          </cell>
        </row>
        <row r="273">
          <cell r="A273" t="e">
            <v>#REF!</v>
          </cell>
        </row>
        <row r="282">
          <cell r="A282" t="e">
            <v>#REF!</v>
          </cell>
        </row>
        <row r="283">
          <cell r="A283" t="e">
            <v>#REF!</v>
          </cell>
        </row>
        <row r="284">
          <cell r="A284" t="e">
            <v>#REF!</v>
          </cell>
        </row>
        <row r="285">
          <cell r="A285" t="e">
            <v>#REF!</v>
          </cell>
        </row>
        <row r="286">
          <cell r="A286" t="e">
            <v>#REF!</v>
          </cell>
        </row>
        <row r="287">
          <cell r="A287" t="e">
            <v>#REF!</v>
          </cell>
        </row>
        <row r="288">
          <cell r="A288" t="e">
            <v>#REF!</v>
          </cell>
        </row>
        <row r="289">
          <cell r="A289" t="e">
            <v>#REF!</v>
          </cell>
        </row>
        <row r="290">
          <cell r="A290" t="e">
            <v>#REF!</v>
          </cell>
        </row>
        <row r="291">
          <cell r="A291" t="e">
            <v>#REF!</v>
          </cell>
        </row>
        <row r="292">
          <cell r="A292" t="e">
            <v>#REF!</v>
          </cell>
        </row>
        <row r="293">
          <cell r="A293" t="e">
            <v>#REF!</v>
          </cell>
        </row>
        <row r="294">
          <cell r="A294" t="e">
            <v>#REF!</v>
          </cell>
        </row>
        <row r="295">
          <cell r="A295" t="e">
            <v>#REF!</v>
          </cell>
        </row>
        <row r="296">
          <cell r="A296" t="e">
            <v>#REF!</v>
          </cell>
        </row>
        <row r="297">
          <cell r="A297" t="e">
            <v>#REF!</v>
          </cell>
        </row>
        <row r="298">
          <cell r="A298" t="e">
            <v>#REF!</v>
          </cell>
        </row>
        <row r="299">
          <cell r="A299" t="e">
            <v>#REF!</v>
          </cell>
        </row>
        <row r="300">
          <cell r="A300" t="e">
            <v>#REF!</v>
          </cell>
        </row>
        <row r="302">
          <cell r="A302" t="e">
            <v>#REF!</v>
          </cell>
        </row>
        <row r="303">
          <cell r="A303" t="e">
            <v>#REF!</v>
          </cell>
        </row>
        <row r="308">
          <cell r="A308" t="e">
            <v>#REF!</v>
          </cell>
        </row>
        <row r="309">
          <cell r="A309" t="e">
            <v>#REF!</v>
          </cell>
        </row>
        <row r="310">
          <cell r="A310" t="e">
            <v>#REF!</v>
          </cell>
        </row>
        <row r="311">
          <cell r="A311" t="e">
            <v>#REF!</v>
          </cell>
        </row>
        <row r="313">
          <cell r="A313" t="e">
            <v>#REF!</v>
          </cell>
        </row>
        <row r="314">
          <cell r="A314" t="e">
            <v>#REF!</v>
          </cell>
        </row>
        <row r="315">
          <cell r="A315" t="e">
            <v>#REF!</v>
          </cell>
        </row>
        <row r="316">
          <cell r="A316" t="e">
            <v>#REF!</v>
          </cell>
        </row>
        <row r="317">
          <cell r="A317" t="e">
            <v>#REF!</v>
          </cell>
        </row>
        <row r="318">
          <cell r="A318" t="e">
            <v>#REF!</v>
          </cell>
        </row>
        <row r="319">
          <cell r="A319" t="e">
            <v>#REF!</v>
          </cell>
        </row>
        <row r="320">
          <cell r="A320" t="e">
            <v>#REF!</v>
          </cell>
        </row>
        <row r="321">
          <cell r="A321" t="e">
            <v>#REF!</v>
          </cell>
        </row>
        <row r="322">
          <cell r="A322" t="e">
            <v>#REF!</v>
          </cell>
        </row>
        <row r="323">
          <cell r="A323" t="e">
            <v>#REF!</v>
          </cell>
        </row>
        <row r="324">
          <cell r="A324" t="e">
            <v>#REF!</v>
          </cell>
        </row>
        <row r="325">
          <cell r="A325" t="e">
            <v>#REF!</v>
          </cell>
        </row>
        <row r="326">
          <cell r="A326" t="e">
            <v>#REF!</v>
          </cell>
        </row>
        <row r="327">
          <cell r="A327" t="e">
            <v>#REF!</v>
          </cell>
        </row>
        <row r="328">
          <cell r="A328" t="e">
            <v>#REF!</v>
          </cell>
        </row>
        <row r="329">
          <cell r="A329" t="e">
            <v>#REF!</v>
          </cell>
        </row>
        <row r="331">
          <cell r="A331" t="e">
            <v>#REF!</v>
          </cell>
        </row>
        <row r="332">
          <cell r="A332" t="e">
            <v>#REF!</v>
          </cell>
        </row>
        <row r="333">
          <cell r="A333" t="e">
            <v>#REF!</v>
          </cell>
        </row>
        <row r="334">
          <cell r="A334" t="e">
            <v>#REF!</v>
          </cell>
        </row>
        <row r="335">
          <cell r="A335" t="e">
            <v>#REF!</v>
          </cell>
        </row>
        <row r="336">
          <cell r="A336" t="e">
            <v>#REF!</v>
          </cell>
        </row>
        <row r="337">
          <cell r="A337" t="e">
            <v>#REF!</v>
          </cell>
        </row>
        <row r="338">
          <cell r="A338" t="e">
            <v>#REF!</v>
          </cell>
        </row>
        <row r="339">
          <cell r="A339" t="e">
            <v>#REF!</v>
          </cell>
        </row>
        <row r="340">
          <cell r="A340" t="e">
            <v>#REF!</v>
          </cell>
        </row>
        <row r="341">
          <cell r="A341" t="e">
            <v>#REF!</v>
          </cell>
        </row>
        <row r="342">
          <cell r="A342" t="e">
            <v>#REF!</v>
          </cell>
        </row>
        <row r="343">
          <cell r="A343" t="e">
            <v>#REF!</v>
          </cell>
        </row>
        <row r="344">
          <cell r="A344" t="e">
            <v>#REF!</v>
          </cell>
        </row>
        <row r="345">
          <cell r="A345" t="e">
            <v>#REF!</v>
          </cell>
        </row>
        <row r="346">
          <cell r="A346" t="e">
            <v>#REF!</v>
          </cell>
        </row>
        <row r="347">
          <cell r="A347" t="e">
            <v>#REF!</v>
          </cell>
        </row>
        <row r="348">
          <cell r="A348" t="e">
            <v>#REF!</v>
          </cell>
        </row>
        <row r="352">
          <cell r="A352" t="e">
            <v>#REF!</v>
          </cell>
        </row>
        <row r="353">
          <cell r="A353" t="e">
            <v>#REF!</v>
          </cell>
        </row>
        <row r="354">
          <cell r="A354" t="e">
            <v>#REF!</v>
          </cell>
        </row>
        <row r="355">
          <cell r="A355" t="e">
            <v>#REF!</v>
          </cell>
        </row>
        <row r="356">
          <cell r="A356" t="e">
            <v>#REF!</v>
          </cell>
        </row>
        <row r="357">
          <cell r="A357" t="e">
            <v>#REF!</v>
          </cell>
        </row>
        <row r="358">
          <cell r="A358" t="e">
            <v>#REF!</v>
          </cell>
        </row>
        <row r="359">
          <cell r="A359" t="e">
            <v>#REF!</v>
          </cell>
        </row>
        <row r="360">
          <cell r="A360" t="e">
            <v>#REF!</v>
          </cell>
        </row>
        <row r="361">
          <cell r="A361" t="e">
            <v>#REF!</v>
          </cell>
        </row>
        <row r="362">
          <cell r="A362" t="e">
            <v>#REF!</v>
          </cell>
        </row>
        <row r="363">
          <cell r="A363" t="e">
            <v>#REF!</v>
          </cell>
        </row>
        <row r="364">
          <cell r="A364" t="e">
            <v>#REF!</v>
          </cell>
        </row>
        <row r="365">
          <cell r="A365" t="e">
            <v>#REF!</v>
          </cell>
        </row>
        <row r="366">
          <cell r="A366" t="e">
            <v>#REF!</v>
          </cell>
        </row>
        <row r="367">
          <cell r="A367" t="e">
            <v>#REF!</v>
          </cell>
        </row>
        <row r="368">
          <cell r="A368" t="e">
            <v>#REF!</v>
          </cell>
        </row>
        <row r="369">
          <cell r="A369" t="e">
            <v>#REF!</v>
          </cell>
        </row>
        <row r="370">
          <cell r="A370" t="e">
            <v>#REF!</v>
          </cell>
        </row>
        <row r="371">
          <cell r="A371" t="e">
            <v>#REF!</v>
          </cell>
        </row>
        <row r="372">
          <cell r="A372" t="e">
            <v>#REF!</v>
          </cell>
        </row>
        <row r="373">
          <cell r="A373" t="e">
            <v>#REF!</v>
          </cell>
        </row>
        <row r="374">
          <cell r="A374" t="e">
            <v>#REF!</v>
          </cell>
        </row>
        <row r="375">
          <cell r="A375" t="e">
            <v>#REF!</v>
          </cell>
        </row>
        <row r="376">
          <cell r="A376" t="e">
            <v>#REF!</v>
          </cell>
        </row>
        <row r="377">
          <cell r="A377" t="e">
            <v>#REF!</v>
          </cell>
        </row>
        <row r="378">
          <cell r="A378" t="e">
            <v>#REF!</v>
          </cell>
        </row>
        <row r="379">
          <cell r="A379" t="e">
            <v>#REF!</v>
          </cell>
        </row>
        <row r="380">
          <cell r="A380" t="e">
            <v>#REF!</v>
          </cell>
        </row>
        <row r="381">
          <cell r="A381" t="e">
            <v>#REF!</v>
          </cell>
        </row>
        <row r="382">
          <cell r="A382" t="e">
            <v>#REF!</v>
          </cell>
        </row>
        <row r="383">
          <cell r="A383" t="e">
            <v>#REF!</v>
          </cell>
        </row>
        <row r="384">
          <cell r="A384" t="e">
            <v>#REF!</v>
          </cell>
        </row>
        <row r="385">
          <cell r="A385" t="e">
            <v>#REF!</v>
          </cell>
        </row>
        <row r="386">
          <cell r="A386" t="e">
            <v>#REF!</v>
          </cell>
        </row>
        <row r="387">
          <cell r="A387" t="e">
            <v>#REF!</v>
          </cell>
        </row>
        <row r="388">
          <cell r="A388" t="e">
            <v>#REF!</v>
          </cell>
        </row>
        <row r="389">
          <cell r="A389" t="e">
            <v>#REF!</v>
          </cell>
        </row>
        <row r="390">
          <cell r="A390" t="e">
            <v>#REF!</v>
          </cell>
        </row>
        <row r="391">
          <cell r="A391" t="e">
            <v>#REF!</v>
          </cell>
        </row>
        <row r="392">
          <cell r="A392" t="e">
            <v>#REF!</v>
          </cell>
        </row>
        <row r="393">
          <cell r="A393" t="e">
            <v>#REF!</v>
          </cell>
        </row>
        <row r="394">
          <cell r="A394" t="e">
            <v>#REF!</v>
          </cell>
        </row>
        <row r="395">
          <cell r="A395" t="e">
            <v>#REF!</v>
          </cell>
        </row>
        <row r="396">
          <cell r="A396" t="e">
            <v>#REF!</v>
          </cell>
        </row>
        <row r="397">
          <cell r="A397" t="e">
            <v>#REF!</v>
          </cell>
        </row>
        <row r="398">
          <cell r="A398" t="e">
            <v>#REF!</v>
          </cell>
        </row>
        <row r="399">
          <cell r="A399" t="e">
            <v>#REF!</v>
          </cell>
        </row>
        <row r="400">
          <cell r="A400" t="e">
            <v>#REF!</v>
          </cell>
        </row>
        <row r="401">
          <cell r="A401" t="e">
            <v>#REF!</v>
          </cell>
        </row>
        <row r="402">
          <cell r="A402" t="e">
            <v>#REF!</v>
          </cell>
        </row>
        <row r="403">
          <cell r="A403" t="e">
            <v>#REF!</v>
          </cell>
        </row>
        <row r="404">
          <cell r="A404" t="e">
            <v>#REF!</v>
          </cell>
        </row>
        <row r="405">
          <cell r="A405" t="e">
            <v>#REF!</v>
          </cell>
        </row>
        <row r="406">
          <cell r="A406" t="e">
            <v>#REF!</v>
          </cell>
        </row>
        <row r="407">
          <cell r="A407" t="e">
            <v>#REF!</v>
          </cell>
        </row>
        <row r="408">
          <cell r="A408" t="e">
            <v>#REF!</v>
          </cell>
        </row>
        <row r="409">
          <cell r="A409" t="e">
            <v>#REF!</v>
          </cell>
        </row>
        <row r="410">
          <cell r="A410" t="e">
            <v>#REF!</v>
          </cell>
        </row>
        <row r="411">
          <cell r="A411" t="e">
            <v>#REF!</v>
          </cell>
        </row>
        <row r="412">
          <cell r="A412" t="e">
            <v>#REF!</v>
          </cell>
        </row>
        <row r="413">
          <cell r="A413" t="e">
            <v>#REF!</v>
          </cell>
        </row>
        <row r="414">
          <cell r="A414" t="e">
            <v>#REF!</v>
          </cell>
        </row>
        <row r="415">
          <cell r="A415" t="e">
            <v>#REF!</v>
          </cell>
        </row>
        <row r="416">
          <cell r="A416" t="e">
            <v>#REF!</v>
          </cell>
        </row>
        <row r="417">
          <cell r="A417" t="e">
            <v>#REF!</v>
          </cell>
        </row>
        <row r="418">
          <cell r="A418" t="e">
            <v>#REF!</v>
          </cell>
        </row>
        <row r="419">
          <cell r="A419" t="e">
            <v>#REF!</v>
          </cell>
        </row>
        <row r="420">
          <cell r="A420" t="e">
            <v>#REF!</v>
          </cell>
        </row>
        <row r="421">
          <cell r="A421" t="e">
            <v>#REF!</v>
          </cell>
        </row>
        <row r="422">
          <cell r="A422" t="e">
            <v>#REF!</v>
          </cell>
        </row>
        <row r="423">
          <cell r="A423" t="e">
            <v>#REF!</v>
          </cell>
        </row>
        <row r="424">
          <cell r="A424" t="e">
            <v>#REF!</v>
          </cell>
        </row>
        <row r="425">
          <cell r="A425" t="e">
            <v>#REF!</v>
          </cell>
        </row>
        <row r="426">
          <cell r="A426" t="e">
            <v>#REF!</v>
          </cell>
        </row>
        <row r="427">
          <cell r="A427" t="e">
            <v>#REF!</v>
          </cell>
        </row>
        <row r="428">
          <cell r="A428" t="e">
            <v>#REF!</v>
          </cell>
        </row>
        <row r="429">
          <cell r="A429" t="e">
            <v>#REF!</v>
          </cell>
        </row>
        <row r="430">
          <cell r="A430" t="e">
            <v>#REF!</v>
          </cell>
        </row>
        <row r="431">
          <cell r="A431" t="e">
            <v>#REF!</v>
          </cell>
        </row>
        <row r="432">
          <cell r="A432" t="e">
            <v>#REF!</v>
          </cell>
        </row>
        <row r="433">
          <cell r="A433" t="e">
            <v>#REF!</v>
          </cell>
        </row>
        <row r="434">
          <cell r="A434" t="e">
            <v>#REF!</v>
          </cell>
        </row>
        <row r="435">
          <cell r="A435" t="e">
            <v>#REF!</v>
          </cell>
        </row>
        <row r="436">
          <cell r="A436" t="e">
            <v>#REF!</v>
          </cell>
        </row>
        <row r="437">
          <cell r="A437" t="e">
            <v>#REF!</v>
          </cell>
        </row>
        <row r="438">
          <cell r="A438" t="e">
            <v>#REF!</v>
          </cell>
        </row>
        <row r="439">
          <cell r="A439" t="e">
            <v>#REF!</v>
          </cell>
        </row>
        <row r="440">
          <cell r="A440" t="e">
            <v>#REF!</v>
          </cell>
        </row>
        <row r="441">
          <cell r="A441" t="e">
            <v>#REF!</v>
          </cell>
        </row>
        <row r="442">
          <cell r="A442" t="e">
            <v>#REF!</v>
          </cell>
        </row>
        <row r="443">
          <cell r="A443" t="e">
            <v>#REF!</v>
          </cell>
        </row>
        <row r="444">
          <cell r="A444" t="e">
            <v>#REF!</v>
          </cell>
        </row>
        <row r="445">
          <cell r="A445" t="e">
            <v>#REF!</v>
          </cell>
        </row>
        <row r="446">
          <cell r="A446" t="e">
            <v>#REF!</v>
          </cell>
        </row>
        <row r="447">
          <cell r="A447" t="e">
            <v>#REF!</v>
          </cell>
        </row>
        <row r="448">
          <cell r="A448" t="e">
            <v>#REF!</v>
          </cell>
        </row>
        <row r="449">
          <cell r="A449" t="e">
            <v>#REF!</v>
          </cell>
        </row>
        <row r="450">
          <cell r="A450" t="e">
            <v>#REF!</v>
          </cell>
        </row>
        <row r="451">
          <cell r="A451" t="e">
            <v>#REF!</v>
          </cell>
        </row>
        <row r="452">
          <cell r="A452" t="e">
            <v>#REF!</v>
          </cell>
        </row>
        <row r="453">
          <cell r="A453" t="e">
            <v>#REF!</v>
          </cell>
        </row>
        <row r="454">
          <cell r="A454" t="e">
            <v>#REF!</v>
          </cell>
        </row>
        <row r="455">
          <cell r="A455" t="e">
            <v>#REF!</v>
          </cell>
        </row>
        <row r="456">
          <cell r="A456" t="e">
            <v>#REF!</v>
          </cell>
        </row>
        <row r="457">
          <cell r="A457" t="e">
            <v>#REF!</v>
          </cell>
        </row>
        <row r="458">
          <cell r="A458" t="e">
            <v>#REF!</v>
          </cell>
        </row>
        <row r="459">
          <cell r="A459" t="e">
            <v>#REF!</v>
          </cell>
        </row>
        <row r="460">
          <cell r="A460" t="e">
            <v>#REF!</v>
          </cell>
        </row>
        <row r="461">
          <cell r="A461" t="e">
            <v>#REF!</v>
          </cell>
        </row>
        <row r="462">
          <cell r="A462" t="e">
            <v>#REF!</v>
          </cell>
        </row>
        <row r="463">
          <cell r="A463" t="e">
            <v>#REF!</v>
          </cell>
        </row>
        <row r="464">
          <cell r="A464" t="e">
            <v>#REF!</v>
          </cell>
        </row>
        <row r="465">
          <cell r="A465" t="e">
            <v>#REF!</v>
          </cell>
        </row>
        <row r="466">
          <cell r="A466" t="e">
            <v>#REF!</v>
          </cell>
        </row>
        <row r="467">
          <cell r="A467" t="e">
            <v>#REF!</v>
          </cell>
        </row>
        <row r="468">
          <cell r="A468" t="e">
            <v>#REF!</v>
          </cell>
        </row>
        <row r="469">
          <cell r="A469" t="e">
            <v>#REF!</v>
          </cell>
        </row>
        <row r="470">
          <cell r="A470" t="e">
            <v>#REF!</v>
          </cell>
        </row>
        <row r="471">
          <cell r="A471" t="e">
            <v>#REF!</v>
          </cell>
        </row>
        <row r="472">
          <cell r="A472" t="e">
            <v>#REF!</v>
          </cell>
        </row>
        <row r="473">
          <cell r="A473" t="e">
            <v>#REF!</v>
          </cell>
        </row>
        <row r="474">
          <cell r="A474" t="e">
            <v>#REF!</v>
          </cell>
        </row>
        <row r="475">
          <cell r="A475" t="e">
            <v>#REF!</v>
          </cell>
        </row>
        <row r="476">
          <cell r="A476" t="e">
            <v>#REF!</v>
          </cell>
        </row>
        <row r="477">
          <cell r="A477" t="e">
            <v>#REF!</v>
          </cell>
        </row>
        <row r="478">
          <cell r="A478" t="e">
            <v>#REF!</v>
          </cell>
        </row>
        <row r="479">
          <cell r="A479" t="e">
            <v>#REF!</v>
          </cell>
        </row>
        <row r="480">
          <cell r="A480" t="e">
            <v>#REF!</v>
          </cell>
        </row>
        <row r="481">
          <cell r="A481" t="e">
            <v>#REF!</v>
          </cell>
        </row>
        <row r="482">
          <cell r="A482" t="e">
            <v>#REF!</v>
          </cell>
        </row>
        <row r="483">
          <cell r="A483" t="e">
            <v>#REF!</v>
          </cell>
        </row>
        <row r="484">
          <cell r="A484" t="e">
            <v>#REF!</v>
          </cell>
        </row>
        <row r="485">
          <cell r="A485" t="e">
            <v>#REF!</v>
          </cell>
        </row>
        <row r="486">
          <cell r="A486" t="e">
            <v>#REF!</v>
          </cell>
        </row>
        <row r="487">
          <cell r="A487" t="e">
            <v>#REF!</v>
          </cell>
        </row>
        <row r="488">
          <cell r="A488" t="e">
            <v>#REF!</v>
          </cell>
        </row>
        <row r="489">
          <cell r="A489" t="e">
            <v>#REF!</v>
          </cell>
        </row>
        <row r="490">
          <cell r="A490" t="e">
            <v>#REF!</v>
          </cell>
        </row>
        <row r="491">
          <cell r="A491" t="e">
            <v>#REF!</v>
          </cell>
        </row>
        <row r="492">
          <cell r="A492" t="e">
            <v>#REF!</v>
          </cell>
        </row>
        <row r="493">
          <cell r="A493" t="e">
            <v>#REF!</v>
          </cell>
        </row>
        <row r="494">
          <cell r="A494" t="e">
            <v>#REF!</v>
          </cell>
        </row>
        <row r="495">
          <cell r="A495" t="e">
            <v>#REF!</v>
          </cell>
        </row>
        <row r="496">
          <cell r="A496" t="e">
            <v>#REF!</v>
          </cell>
        </row>
        <row r="497">
          <cell r="A497" t="e">
            <v>#REF!</v>
          </cell>
        </row>
        <row r="498">
          <cell r="A498" t="e">
            <v>#REF!</v>
          </cell>
        </row>
        <row r="499">
          <cell r="A499" t="e">
            <v>#REF!</v>
          </cell>
        </row>
        <row r="500">
          <cell r="A500" t="e">
            <v>#REF!</v>
          </cell>
        </row>
        <row r="501">
          <cell r="A501" t="e">
            <v>#REF!</v>
          </cell>
        </row>
        <row r="502">
          <cell r="A502" t="e">
            <v>#REF!</v>
          </cell>
        </row>
        <row r="503">
          <cell r="A503" t="e">
            <v>#REF!</v>
          </cell>
        </row>
        <row r="504">
          <cell r="A504" t="e">
            <v>#REF!</v>
          </cell>
        </row>
        <row r="505">
          <cell r="A505" t="e">
            <v>#REF!</v>
          </cell>
        </row>
        <row r="506">
          <cell r="A506" t="e">
            <v>#REF!</v>
          </cell>
        </row>
        <row r="507">
          <cell r="A507" t="e">
            <v>#REF!</v>
          </cell>
        </row>
        <row r="508">
          <cell r="A508" t="e">
            <v>#REF!</v>
          </cell>
        </row>
        <row r="509">
          <cell r="A509" t="e">
            <v>#REF!</v>
          </cell>
        </row>
        <row r="510">
          <cell r="A510" t="e">
            <v>#REF!</v>
          </cell>
        </row>
        <row r="511">
          <cell r="A511" t="e">
            <v>#REF!</v>
          </cell>
        </row>
        <row r="512">
          <cell r="A512" t="e">
            <v>#REF!</v>
          </cell>
        </row>
        <row r="513">
          <cell r="A513" t="e">
            <v>#REF!</v>
          </cell>
        </row>
        <row r="514">
          <cell r="A514" t="e">
            <v>#REF!</v>
          </cell>
        </row>
        <row r="515">
          <cell r="A515" t="e">
            <v>#REF!</v>
          </cell>
        </row>
        <row r="516">
          <cell r="A516" t="e">
            <v>#REF!</v>
          </cell>
        </row>
        <row r="517">
          <cell r="A517" t="e">
            <v>#REF!</v>
          </cell>
        </row>
        <row r="518">
          <cell r="A518" t="e">
            <v>#REF!</v>
          </cell>
        </row>
        <row r="519">
          <cell r="A519" t="e">
            <v>#REF!</v>
          </cell>
        </row>
        <row r="520">
          <cell r="A520" t="e">
            <v>#REF!</v>
          </cell>
        </row>
        <row r="521">
          <cell r="A521" t="e">
            <v>#REF!</v>
          </cell>
        </row>
        <row r="522">
          <cell r="A522" t="e">
            <v>#REF!</v>
          </cell>
        </row>
        <row r="523">
          <cell r="A523" t="e">
            <v>#REF!</v>
          </cell>
        </row>
        <row r="524">
          <cell r="A524" t="e">
            <v>#REF!</v>
          </cell>
        </row>
        <row r="525">
          <cell r="A525" t="e">
            <v>#REF!</v>
          </cell>
        </row>
        <row r="526">
          <cell r="A526" t="e">
            <v>#REF!</v>
          </cell>
        </row>
        <row r="527">
          <cell r="A527" t="e">
            <v>#REF!</v>
          </cell>
        </row>
        <row r="528">
          <cell r="A528" t="e">
            <v>#REF!</v>
          </cell>
        </row>
        <row r="529">
          <cell r="A529" t="e">
            <v>#REF!</v>
          </cell>
        </row>
        <row r="530">
          <cell r="A530" t="e">
            <v>#REF!</v>
          </cell>
        </row>
        <row r="531">
          <cell r="A531" t="e">
            <v>#REF!</v>
          </cell>
        </row>
        <row r="532">
          <cell r="A532" t="e">
            <v>#REF!</v>
          </cell>
        </row>
        <row r="533">
          <cell r="A533" t="e">
            <v>#REF!</v>
          </cell>
        </row>
        <row r="534">
          <cell r="A534" t="e">
            <v>#REF!</v>
          </cell>
        </row>
        <row r="535">
          <cell r="A535" t="e">
            <v>#REF!</v>
          </cell>
        </row>
        <row r="536">
          <cell r="A536" t="e">
            <v>#REF!</v>
          </cell>
        </row>
        <row r="537">
          <cell r="A537" t="e">
            <v>#REF!</v>
          </cell>
        </row>
        <row r="538">
          <cell r="A538" t="e">
            <v>#REF!</v>
          </cell>
        </row>
        <row r="539">
          <cell r="A539" t="e">
            <v>#REF!</v>
          </cell>
        </row>
        <row r="540">
          <cell r="A540" t="e">
            <v>#REF!</v>
          </cell>
        </row>
        <row r="541">
          <cell r="A541" t="e">
            <v>#REF!</v>
          </cell>
        </row>
        <row r="542">
          <cell r="A542" t="e">
            <v>#REF!</v>
          </cell>
        </row>
        <row r="543">
          <cell r="A543" t="e">
            <v>#REF!</v>
          </cell>
        </row>
        <row r="544">
          <cell r="A544" t="e">
            <v>#REF!</v>
          </cell>
        </row>
        <row r="545">
          <cell r="A545" t="e">
            <v>#REF!</v>
          </cell>
        </row>
        <row r="546">
          <cell r="A546" t="e">
            <v>#REF!</v>
          </cell>
        </row>
        <row r="547">
          <cell r="A547" t="e">
            <v>#REF!</v>
          </cell>
        </row>
        <row r="548">
          <cell r="A548" t="e">
            <v>#REF!</v>
          </cell>
        </row>
        <row r="549">
          <cell r="A549" t="e">
            <v>#REF!</v>
          </cell>
        </row>
        <row r="550">
          <cell r="A550" t="e">
            <v>#REF!</v>
          </cell>
        </row>
        <row r="551">
          <cell r="A551" t="e">
            <v>#REF!</v>
          </cell>
        </row>
        <row r="552">
          <cell r="A552" t="e">
            <v>#REF!</v>
          </cell>
        </row>
        <row r="553">
          <cell r="A553" t="e">
            <v>#REF!</v>
          </cell>
        </row>
        <row r="554">
          <cell r="A554" t="e">
            <v>#REF!</v>
          </cell>
        </row>
        <row r="555">
          <cell r="A555" t="e">
            <v>#REF!</v>
          </cell>
        </row>
        <row r="556">
          <cell r="A556" t="e">
            <v>#REF!</v>
          </cell>
        </row>
        <row r="557">
          <cell r="A557" t="e">
            <v>#REF!</v>
          </cell>
        </row>
        <row r="558">
          <cell r="A558" t="e">
            <v>#REF!</v>
          </cell>
        </row>
        <row r="559">
          <cell r="A559" t="e">
            <v>#REF!</v>
          </cell>
        </row>
        <row r="560">
          <cell r="A560" t="e">
            <v>#REF!</v>
          </cell>
        </row>
        <row r="561">
          <cell r="A561" t="e">
            <v>#REF!</v>
          </cell>
        </row>
        <row r="562">
          <cell r="A562" t="e">
            <v>#REF!</v>
          </cell>
        </row>
        <row r="563">
          <cell r="A563" t="e">
            <v>#REF!</v>
          </cell>
        </row>
        <row r="564">
          <cell r="A564" t="e">
            <v>#REF!</v>
          </cell>
        </row>
        <row r="565">
          <cell r="A565" t="e">
            <v>#REF!</v>
          </cell>
        </row>
        <row r="566">
          <cell r="A566" t="e">
            <v>#REF!</v>
          </cell>
        </row>
        <row r="567">
          <cell r="A567" t="e">
            <v>#REF!</v>
          </cell>
        </row>
        <row r="568">
          <cell r="A568" t="e">
            <v>#REF!</v>
          </cell>
        </row>
        <row r="569">
          <cell r="A569" t="e">
            <v>#REF!</v>
          </cell>
        </row>
        <row r="570">
          <cell r="A570" t="e">
            <v>#REF!</v>
          </cell>
        </row>
        <row r="571">
          <cell r="A571" t="e">
            <v>#REF!</v>
          </cell>
        </row>
        <row r="572">
          <cell r="A572" t="e">
            <v>#REF!</v>
          </cell>
        </row>
        <row r="573">
          <cell r="A573" t="e">
            <v>#REF!</v>
          </cell>
        </row>
        <row r="574">
          <cell r="A574" t="e">
            <v>#REF!</v>
          </cell>
        </row>
        <row r="575">
          <cell r="A575" t="e">
            <v>#REF!</v>
          </cell>
        </row>
        <row r="576">
          <cell r="A576" t="e">
            <v>#REF!</v>
          </cell>
        </row>
        <row r="577">
          <cell r="A577" t="e">
            <v>#REF!</v>
          </cell>
        </row>
        <row r="578">
          <cell r="A578" t="e">
            <v>#REF!</v>
          </cell>
        </row>
        <row r="579">
          <cell r="A579" t="e">
            <v>#REF!</v>
          </cell>
        </row>
        <row r="580">
          <cell r="A580" t="e">
            <v>#REF!</v>
          </cell>
        </row>
        <row r="581">
          <cell r="A581" t="e">
            <v>#REF!</v>
          </cell>
        </row>
        <row r="582">
          <cell r="A582" t="e">
            <v>#REF!</v>
          </cell>
        </row>
        <row r="583">
          <cell r="A583" t="e">
            <v>#REF!</v>
          </cell>
        </row>
        <row r="584">
          <cell r="A584" t="e">
            <v>#REF!</v>
          </cell>
        </row>
        <row r="585">
          <cell r="A585" t="e">
            <v>#REF!</v>
          </cell>
        </row>
        <row r="586">
          <cell r="A586" t="e">
            <v>#REF!</v>
          </cell>
        </row>
        <row r="587">
          <cell r="A587" t="e">
            <v>#REF!</v>
          </cell>
        </row>
        <row r="588">
          <cell r="A588" t="e">
            <v>#REF!</v>
          </cell>
        </row>
        <row r="589">
          <cell r="A589" t="e">
            <v>#REF!</v>
          </cell>
        </row>
        <row r="590">
          <cell r="A590" t="e">
            <v>#REF!</v>
          </cell>
        </row>
        <row r="591">
          <cell r="A591" t="e">
            <v>#REF!</v>
          </cell>
        </row>
        <row r="592">
          <cell r="A592" t="e">
            <v>#REF!</v>
          </cell>
        </row>
        <row r="593">
          <cell r="A593" t="e">
            <v>#REF!</v>
          </cell>
        </row>
        <row r="594">
          <cell r="A594" t="e">
            <v>#REF!</v>
          </cell>
        </row>
        <row r="595">
          <cell r="A595" t="e">
            <v>#REF!</v>
          </cell>
        </row>
        <row r="596">
          <cell r="A596" t="e">
            <v>#REF!</v>
          </cell>
        </row>
        <row r="597">
          <cell r="A597" t="e">
            <v>#REF!</v>
          </cell>
        </row>
        <row r="598">
          <cell r="A598" t="e">
            <v>#REF!</v>
          </cell>
        </row>
        <row r="599">
          <cell r="A599" t="e">
            <v>#REF!</v>
          </cell>
        </row>
        <row r="600">
          <cell r="A600" t="e">
            <v>#REF!</v>
          </cell>
        </row>
        <row r="601">
          <cell r="A601" t="e">
            <v>#REF!</v>
          </cell>
        </row>
        <row r="602">
          <cell r="A602" t="e">
            <v>#REF!</v>
          </cell>
        </row>
        <row r="603">
          <cell r="A603" t="e">
            <v>#REF!</v>
          </cell>
        </row>
        <row r="604">
          <cell r="A604" t="e">
            <v>#REF!</v>
          </cell>
        </row>
        <row r="605">
          <cell r="A605" t="e">
            <v>#REF!</v>
          </cell>
        </row>
        <row r="606">
          <cell r="A606" t="e">
            <v>#REF!</v>
          </cell>
        </row>
        <row r="607">
          <cell r="A607" t="e">
            <v>#REF!</v>
          </cell>
        </row>
        <row r="608">
          <cell r="A608" t="e">
            <v>#REF!</v>
          </cell>
        </row>
        <row r="609">
          <cell r="A609" t="e">
            <v>#REF!</v>
          </cell>
        </row>
        <row r="610">
          <cell r="A610" t="e">
            <v>#REF!</v>
          </cell>
        </row>
        <row r="611">
          <cell r="A611" t="e">
            <v>#REF!</v>
          </cell>
        </row>
        <row r="612">
          <cell r="A612" t="e">
            <v>#REF!</v>
          </cell>
        </row>
        <row r="613">
          <cell r="A613" t="e">
            <v>#REF!</v>
          </cell>
        </row>
        <row r="614">
          <cell r="A614" t="e">
            <v>#REF!</v>
          </cell>
        </row>
        <row r="615">
          <cell r="A615" t="e">
            <v>#REF!</v>
          </cell>
        </row>
        <row r="616">
          <cell r="A616" t="e">
            <v>#REF!</v>
          </cell>
        </row>
        <row r="617">
          <cell r="A617" t="e">
            <v>#REF!</v>
          </cell>
        </row>
        <row r="618">
          <cell r="A618" t="e">
            <v>#REF!</v>
          </cell>
        </row>
        <row r="619">
          <cell r="A619" t="e">
            <v>#REF!</v>
          </cell>
        </row>
        <row r="620">
          <cell r="A620" t="e">
            <v>#REF!</v>
          </cell>
        </row>
        <row r="621">
          <cell r="A621" t="e">
            <v>#REF!</v>
          </cell>
        </row>
        <row r="622">
          <cell r="A622" t="e">
            <v>#REF!</v>
          </cell>
        </row>
        <row r="623">
          <cell r="A623" t="e">
            <v>#REF!</v>
          </cell>
        </row>
        <row r="624">
          <cell r="A624" t="e">
            <v>#REF!</v>
          </cell>
        </row>
        <row r="625">
          <cell r="A625" t="e">
            <v>#REF!</v>
          </cell>
        </row>
        <row r="626">
          <cell r="A626" t="e">
            <v>#REF!</v>
          </cell>
        </row>
        <row r="627">
          <cell r="A627" t="e">
            <v>#REF!</v>
          </cell>
        </row>
        <row r="628">
          <cell r="A628" t="e">
            <v>#REF!</v>
          </cell>
        </row>
        <row r="629">
          <cell r="A629" t="e">
            <v>#REF!</v>
          </cell>
        </row>
        <row r="630">
          <cell r="A630" t="e">
            <v>#REF!</v>
          </cell>
        </row>
        <row r="631">
          <cell r="A631" t="e">
            <v>#REF!</v>
          </cell>
        </row>
        <row r="632">
          <cell r="A632" t="e">
            <v>#REF!</v>
          </cell>
        </row>
        <row r="633">
          <cell r="A633" t="e">
            <v>#REF!</v>
          </cell>
        </row>
        <row r="634">
          <cell r="A634" t="e">
            <v>#REF!</v>
          </cell>
        </row>
        <row r="635">
          <cell r="A635" t="e">
            <v>#REF!</v>
          </cell>
        </row>
        <row r="636">
          <cell r="A636" t="e">
            <v>#REF!</v>
          </cell>
        </row>
        <row r="637">
          <cell r="A637" t="e">
            <v>#REF!</v>
          </cell>
        </row>
        <row r="638">
          <cell r="A638" t="e">
            <v>#REF!</v>
          </cell>
        </row>
        <row r="639">
          <cell r="A639" t="e">
            <v>#REF!</v>
          </cell>
        </row>
        <row r="640">
          <cell r="A640" t="e">
            <v>#REF!</v>
          </cell>
        </row>
        <row r="641">
          <cell r="A641" t="e">
            <v>#REF!</v>
          </cell>
        </row>
        <row r="642">
          <cell r="A642" t="e">
            <v>#REF!</v>
          </cell>
        </row>
        <row r="643">
          <cell r="A643" t="e">
            <v>#REF!</v>
          </cell>
        </row>
        <row r="644">
          <cell r="A644" t="e">
            <v>#REF!</v>
          </cell>
        </row>
        <row r="645">
          <cell r="A645" t="e">
            <v>#REF!</v>
          </cell>
        </row>
        <row r="646">
          <cell r="A646" t="e">
            <v>#REF!</v>
          </cell>
        </row>
        <row r="647">
          <cell r="A647" t="e">
            <v>#REF!</v>
          </cell>
        </row>
        <row r="648">
          <cell r="A648" t="e">
            <v>#REF!</v>
          </cell>
        </row>
        <row r="649">
          <cell r="A649" t="e">
            <v>#REF!</v>
          </cell>
        </row>
        <row r="650">
          <cell r="A650" t="e">
            <v>#REF!</v>
          </cell>
        </row>
        <row r="651">
          <cell r="A651" t="e">
            <v>#REF!</v>
          </cell>
        </row>
        <row r="652">
          <cell r="A652" t="e">
            <v>#REF!</v>
          </cell>
        </row>
        <row r="653">
          <cell r="A653" t="e">
            <v>#REF!</v>
          </cell>
        </row>
        <row r="654">
          <cell r="A654" t="e">
            <v>#REF!</v>
          </cell>
        </row>
        <row r="655">
          <cell r="A655" t="e">
            <v>#REF!</v>
          </cell>
        </row>
        <row r="656">
          <cell r="A656" t="e">
            <v>#REF!</v>
          </cell>
        </row>
        <row r="657">
          <cell r="A657" t="e">
            <v>#REF!</v>
          </cell>
        </row>
        <row r="658">
          <cell r="A658" t="e">
            <v>#REF!</v>
          </cell>
        </row>
        <row r="659">
          <cell r="A659" t="e">
            <v>#REF!</v>
          </cell>
        </row>
        <row r="660">
          <cell r="A660" t="e">
            <v>#REF!</v>
          </cell>
        </row>
        <row r="661">
          <cell r="A661" t="e">
            <v>#REF!</v>
          </cell>
        </row>
        <row r="662">
          <cell r="A662" t="e">
            <v>#REF!</v>
          </cell>
        </row>
        <row r="663">
          <cell r="A663" t="e">
            <v>#REF!</v>
          </cell>
        </row>
        <row r="664">
          <cell r="A664" t="e">
            <v>#REF!</v>
          </cell>
        </row>
        <row r="665">
          <cell r="A665" t="e">
            <v>#REF!</v>
          </cell>
        </row>
        <row r="666">
          <cell r="A666" t="e">
            <v>#REF!</v>
          </cell>
        </row>
        <row r="667">
          <cell r="A667" t="e">
            <v>#REF!</v>
          </cell>
        </row>
        <row r="668">
          <cell r="A668" t="e">
            <v>#REF!</v>
          </cell>
        </row>
        <row r="669">
          <cell r="A669" t="e">
            <v>#REF!</v>
          </cell>
        </row>
        <row r="670">
          <cell r="A670" t="e">
            <v>#REF!</v>
          </cell>
        </row>
        <row r="671">
          <cell r="A671" t="e">
            <v>#REF!</v>
          </cell>
        </row>
        <row r="672">
          <cell r="A672" t="e">
            <v>#REF!</v>
          </cell>
        </row>
        <row r="673">
          <cell r="A673" t="e">
            <v>#REF!</v>
          </cell>
        </row>
        <row r="674">
          <cell r="A674" t="e">
            <v>#REF!</v>
          </cell>
        </row>
        <row r="675">
          <cell r="A675" t="e">
            <v>#REF!</v>
          </cell>
        </row>
        <row r="676">
          <cell r="A676" t="e">
            <v>#REF!</v>
          </cell>
        </row>
        <row r="677">
          <cell r="A677" t="e">
            <v>#REF!</v>
          </cell>
        </row>
        <row r="678">
          <cell r="A678" t="e">
            <v>#REF!</v>
          </cell>
        </row>
        <row r="679">
          <cell r="A679" t="e">
            <v>#REF!</v>
          </cell>
        </row>
        <row r="680">
          <cell r="A680" t="e">
            <v>#REF!</v>
          </cell>
        </row>
        <row r="681">
          <cell r="A681" t="e">
            <v>#REF!</v>
          </cell>
        </row>
        <row r="682">
          <cell r="A682" t="e">
            <v>#REF!</v>
          </cell>
        </row>
        <row r="683">
          <cell r="A683" t="e">
            <v>#REF!</v>
          </cell>
        </row>
        <row r="684">
          <cell r="A684" t="e">
            <v>#REF!</v>
          </cell>
        </row>
        <row r="685">
          <cell r="A685" t="e">
            <v>#REF!</v>
          </cell>
        </row>
        <row r="686">
          <cell r="A686" t="e">
            <v>#REF!</v>
          </cell>
        </row>
        <row r="687">
          <cell r="A687" t="e">
            <v>#REF!</v>
          </cell>
        </row>
        <row r="688">
          <cell r="A688" t="e">
            <v>#REF!</v>
          </cell>
        </row>
        <row r="689">
          <cell r="A689" t="e">
            <v>#REF!</v>
          </cell>
        </row>
        <row r="690">
          <cell r="A690" t="e">
            <v>#REF!</v>
          </cell>
        </row>
        <row r="691">
          <cell r="A691" t="e">
            <v>#REF!</v>
          </cell>
        </row>
        <row r="692">
          <cell r="A692" t="e">
            <v>#REF!</v>
          </cell>
        </row>
        <row r="693">
          <cell r="A693" t="e">
            <v>#REF!</v>
          </cell>
        </row>
        <row r="694">
          <cell r="A694" t="e">
            <v>#REF!</v>
          </cell>
        </row>
        <row r="695">
          <cell r="A695" t="e">
            <v>#REF!</v>
          </cell>
        </row>
        <row r="696">
          <cell r="A696" t="e">
            <v>#REF!</v>
          </cell>
        </row>
        <row r="697">
          <cell r="A697" t="e">
            <v>#REF!</v>
          </cell>
        </row>
        <row r="698">
          <cell r="A698" t="e">
            <v>#REF!</v>
          </cell>
        </row>
        <row r="699">
          <cell r="A699" t="e">
            <v>#REF!</v>
          </cell>
        </row>
        <row r="700">
          <cell r="A700" t="e">
            <v>#REF!</v>
          </cell>
        </row>
        <row r="701">
          <cell r="A701" t="e">
            <v>#REF!</v>
          </cell>
        </row>
        <row r="702">
          <cell r="A702" t="e">
            <v>#REF!</v>
          </cell>
        </row>
        <row r="703">
          <cell r="A703" t="e">
            <v>#REF!</v>
          </cell>
        </row>
        <row r="704">
          <cell r="A704" t="e">
            <v>#REF!</v>
          </cell>
        </row>
        <row r="705">
          <cell r="A705" t="e">
            <v>#REF!</v>
          </cell>
        </row>
        <row r="706">
          <cell r="A706" t="e">
            <v>#REF!</v>
          </cell>
        </row>
        <row r="707">
          <cell r="A707" t="e">
            <v>#REF!</v>
          </cell>
        </row>
        <row r="708">
          <cell r="A708" t="e">
            <v>#REF!</v>
          </cell>
        </row>
        <row r="709">
          <cell r="A709" t="e">
            <v>#REF!</v>
          </cell>
        </row>
        <row r="710">
          <cell r="A710" t="e">
            <v>#REF!</v>
          </cell>
        </row>
        <row r="711">
          <cell r="A711" t="e">
            <v>#REF!</v>
          </cell>
        </row>
        <row r="712">
          <cell r="A712" t="e">
            <v>#REF!</v>
          </cell>
        </row>
        <row r="713">
          <cell r="A713" t="e">
            <v>#REF!</v>
          </cell>
        </row>
        <row r="714">
          <cell r="A714" t="e">
            <v>#REF!</v>
          </cell>
        </row>
        <row r="715">
          <cell r="A715" t="e">
            <v>#REF!</v>
          </cell>
        </row>
        <row r="716">
          <cell r="A716" t="e">
            <v>#REF!</v>
          </cell>
        </row>
        <row r="717">
          <cell r="A717" t="e">
            <v>#REF!</v>
          </cell>
        </row>
        <row r="718">
          <cell r="A718" t="e">
            <v>#REF!</v>
          </cell>
        </row>
        <row r="719">
          <cell r="A719" t="e">
            <v>#REF!</v>
          </cell>
        </row>
        <row r="720">
          <cell r="A720" t="e">
            <v>#REF!</v>
          </cell>
        </row>
        <row r="721">
          <cell r="A721" t="e">
            <v>#REF!</v>
          </cell>
        </row>
        <row r="722">
          <cell r="A722" t="e">
            <v>#REF!</v>
          </cell>
        </row>
        <row r="723">
          <cell r="A723" t="e">
            <v>#REF!</v>
          </cell>
        </row>
        <row r="724">
          <cell r="A724" t="e">
            <v>#REF!</v>
          </cell>
        </row>
        <row r="725">
          <cell r="A725" t="e">
            <v>#REF!</v>
          </cell>
        </row>
        <row r="726">
          <cell r="A726" t="e">
            <v>#REF!</v>
          </cell>
        </row>
        <row r="727">
          <cell r="A727" t="e">
            <v>#REF!</v>
          </cell>
        </row>
        <row r="728">
          <cell r="A728" t="e">
            <v>#REF!</v>
          </cell>
        </row>
        <row r="729">
          <cell r="A729" t="e">
            <v>#REF!</v>
          </cell>
        </row>
        <row r="730">
          <cell r="A730" t="e">
            <v>#REF!</v>
          </cell>
        </row>
        <row r="731">
          <cell r="A731" t="e">
            <v>#REF!</v>
          </cell>
        </row>
        <row r="732">
          <cell r="A732" t="e">
            <v>#REF!</v>
          </cell>
        </row>
        <row r="734">
          <cell r="A734" t="e">
            <v>#REF!</v>
          </cell>
        </row>
        <row r="735">
          <cell r="A735" t="e">
            <v>#REF!</v>
          </cell>
        </row>
        <row r="736">
          <cell r="A736" t="e">
            <v>#REF!</v>
          </cell>
        </row>
        <row r="737">
          <cell r="A737" t="e">
            <v>#REF!</v>
          </cell>
        </row>
        <row r="738">
          <cell r="A738" t="e">
            <v>#REF!</v>
          </cell>
        </row>
        <row r="739">
          <cell r="A739" t="e">
            <v>#REF!</v>
          </cell>
        </row>
        <row r="740">
          <cell r="A740" t="e">
            <v>#REF!</v>
          </cell>
        </row>
        <row r="741">
          <cell r="A741" t="e">
            <v>#REF!</v>
          </cell>
        </row>
        <row r="742">
          <cell r="A742" t="e">
            <v>#REF!</v>
          </cell>
        </row>
        <row r="743">
          <cell r="A743" t="e">
            <v>#REF!</v>
          </cell>
        </row>
        <row r="744">
          <cell r="A744" t="e">
            <v>#REF!</v>
          </cell>
        </row>
        <row r="745">
          <cell r="A745" t="e">
            <v>#REF!</v>
          </cell>
        </row>
        <row r="746">
          <cell r="A746" t="e">
            <v>#REF!</v>
          </cell>
        </row>
        <row r="748">
          <cell r="A748" t="e">
            <v>#REF!</v>
          </cell>
        </row>
        <row r="749">
          <cell r="A749" t="e">
            <v>#REF!</v>
          </cell>
        </row>
        <row r="750">
          <cell r="A750" t="e">
            <v>#REF!</v>
          </cell>
        </row>
        <row r="751">
          <cell r="A751" t="e">
            <v>#REF!</v>
          </cell>
        </row>
        <row r="752">
          <cell r="A752" t="e">
            <v>#REF!</v>
          </cell>
        </row>
        <row r="753">
          <cell r="A753" t="e">
            <v>#REF!</v>
          </cell>
        </row>
        <row r="754">
          <cell r="A754" t="e">
            <v>#REF!</v>
          </cell>
        </row>
        <row r="755">
          <cell r="A755" t="e">
            <v>#REF!</v>
          </cell>
        </row>
        <row r="756">
          <cell r="A756" t="e">
            <v>#REF!</v>
          </cell>
        </row>
        <row r="757">
          <cell r="A757" t="e">
            <v>#REF!</v>
          </cell>
        </row>
        <row r="758">
          <cell r="A758" t="e">
            <v>#REF!</v>
          </cell>
        </row>
        <row r="759">
          <cell r="A759" t="e">
            <v>#REF!</v>
          </cell>
        </row>
        <row r="760">
          <cell r="A760" t="e">
            <v>#REF!</v>
          </cell>
        </row>
        <row r="761">
          <cell r="A761" t="e">
            <v>#REF!</v>
          </cell>
        </row>
        <row r="762">
          <cell r="A762" t="e">
            <v>#REF!</v>
          </cell>
        </row>
        <row r="763">
          <cell r="A763" t="e">
            <v>#REF!</v>
          </cell>
        </row>
        <row r="764">
          <cell r="A764" t="e">
            <v>#REF!</v>
          </cell>
        </row>
        <row r="765">
          <cell r="A765" t="e">
            <v>#REF!</v>
          </cell>
        </row>
        <row r="766">
          <cell r="A766" t="e">
            <v>#REF!</v>
          </cell>
        </row>
        <row r="767">
          <cell r="A767" t="e">
            <v>#REF!</v>
          </cell>
        </row>
        <row r="768">
          <cell r="A768" t="e">
            <v>#REF!</v>
          </cell>
        </row>
        <row r="769">
          <cell r="A769" t="e">
            <v>#REF!</v>
          </cell>
        </row>
        <row r="770">
          <cell r="A770" t="e">
            <v>#REF!</v>
          </cell>
        </row>
        <row r="771">
          <cell r="A771" t="e">
            <v>#REF!</v>
          </cell>
        </row>
        <row r="772">
          <cell r="A772" t="e">
            <v>#REF!</v>
          </cell>
        </row>
        <row r="773">
          <cell r="A773" t="e">
            <v>#REF!</v>
          </cell>
        </row>
        <row r="774">
          <cell r="A774" t="e">
            <v>#REF!</v>
          </cell>
        </row>
        <row r="775">
          <cell r="A775" t="e">
            <v>#REF!</v>
          </cell>
        </row>
        <row r="776">
          <cell r="A776" t="e">
            <v>#REF!</v>
          </cell>
        </row>
        <row r="777">
          <cell r="A777" t="e">
            <v>#REF!</v>
          </cell>
        </row>
        <row r="778">
          <cell r="A778" t="e">
            <v>#REF!</v>
          </cell>
        </row>
        <row r="779">
          <cell r="A779" t="e">
            <v>#REF!</v>
          </cell>
        </row>
        <row r="780">
          <cell r="A780" t="e">
            <v>#REF!</v>
          </cell>
        </row>
        <row r="781">
          <cell r="A781" t="e">
            <v>#REF!</v>
          </cell>
        </row>
        <row r="782">
          <cell r="A782" t="e">
            <v>#REF!</v>
          </cell>
        </row>
        <row r="783">
          <cell r="A783" t="e">
            <v>#REF!</v>
          </cell>
        </row>
        <row r="784">
          <cell r="A784" t="e">
            <v>#REF!</v>
          </cell>
        </row>
        <row r="785">
          <cell r="A785" t="e">
            <v>#REF!</v>
          </cell>
        </row>
        <row r="786">
          <cell r="A786" t="e">
            <v>#REF!</v>
          </cell>
        </row>
        <row r="787">
          <cell r="A787" t="e">
            <v>#REF!</v>
          </cell>
        </row>
        <row r="788">
          <cell r="A788" t="e">
            <v>#REF!</v>
          </cell>
        </row>
        <row r="789">
          <cell r="A789" t="e">
            <v>#REF!</v>
          </cell>
        </row>
        <row r="790">
          <cell r="A790" t="e">
            <v>#REF!</v>
          </cell>
        </row>
        <row r="791">
          <cell r="A791" t="e">
            <v>#REF!</v>
          </cell>
        </row>
        <row r="792">
          <cell r="A792" t="e">
            <v>#REF!</v>
          </cell>
        </row>
        <row r="793">
          <cell r="A793" t="e">
            <v>#REF!</v>
          </cell>
        </row>
        <row r="794">
          <cell r="A794" t="e">
            <v>#REF!</v>
          </cell>
        </row>
        <row r="795">
          <cell r="A795" t="e">
            <v>#REF!</v>
          </cell>
        </row>
        <row r="796">
          <cell r="A796" t="e">
            <v>#REF!</v>
          </cell>
        </row>
        <row r="797">
          <cell r="A797" t="e">
            <v>#REF!</v>
          </cell>
        </row>
        <row r="798">
          <cell r="A798" t="e">
            <v>#REF!</v>
          </cell>
        </row>
        <row r="799">
          <cell r="A799" t="e">
            <v>#REF!</v>
          </cell>
        </row>
        <row r="800">
          <cell r="A800" t="e">
            <v>#REF!</v>
          </cell>
        </row>
        <row r="801">
          <cell r="A801" t="e">
            <v>#REF!</v>
          </cell>
        </row>
        <row r="802">
          <cell r="A802" t="e">
            <v>#REF!</v>
          </cell>
        </row>
        <row r="803">
          <cell r="A803" t="e">
            <v>#REF!</v>
          </cell>
        </row>
        <row r="804">
          <cell r="A804" t="e">
            <v>#REF!</v>
          </cell>
        </row>
        <row r="805">
          <cell r="A805" t="e">
            <v>#REF!</v>
          </cell>
        </row>
        <row r="806">
          <cell r="A806" t="e">
            <v>#REF!</v>
          </cell>
        </row>
        <row r="807">
          <cell r="A807" t="e">
            <v>#REF!</v>
          </cell>
        </row>
        <row r="808">
          <cell r="A808" t="e">
            <v>#REF!</v>
          </cell>
        </row>
        <row r="809">
          <cell r="A809" t="e">
            <v>#REF!</v>
          </cell>
        </row>
        <row r="810">
          <cell r="A810" t="e">
            <v>#REF!</v>
          </cell>
        </row>
        <row r="811">
          <cell r="A811" t="e">
            <v>#REF!</v>
          </cell>
        </row>
        <row r="812">
          <cell r="A812" t="e">
            <v>#REF!</v>
          </cell>
        </row>
        <row r="813">
          <cell r="A813" t="e">
            <v>#REF!</v>
          </cell>
        </row>
        <row r="814">
          <cell r="A814" t="e">
            <v>#REF!</v>
          </cell>
        </row>
        <row r="815">
          <cell r="A815" t="e">
            <v>#REF!</v>
          </cell>
        </row>
        <row r="816">
          <cell r="A816" t="e">
            <v>#REF!</v>
          </cell>
        </row>
        <row r="817">
          <cell r="A817" t="e">
            <v>#REF!</v>
          </cell>
        </row>
        <row r="818">
          <cell r="A818" t="e">
            <v>#REF!</v>
          </cell>
        </row>
        <row r="819">
          <cell r="A819" t="e">
            <v>#REF!</v>
          </cell>
        </row>
        <row r="820">
          <cell r="A820" t="e">
            <v>#REF!</v>
          </cell>
        </row>
        <row r="821">
          <cell r="A821" t="e">
            <v>#REF!</v>
          </cell>
        </row>
        <row r="822">
          <cell r="A822" t="e">
            <v>#REF!</v>
          </cell>
        </row>
        <row r="823">
          <cell r="A823" t="e">
            <v>#REF!</v>
          </cell>
        </row>
        <row r="824">
          <cell r="A824" t="e">
            <v>#REF!</v>
          </cell>
        </row>
        <row r="825">
          <cell r="A825" t="e">
            <v>#REF!</v>
          </cell>
        </row>
        <row r="826">
          <cell r="A826" t="e">
            <v>#REF!</v>
          </cell>
        </row>
        <row r="827">
          <cell r="A827" t="e">
            <v>#REF!</v>
          </cell>
        </row>
        <row r="828">
          <cell r="A828" t="e">
            <v>#REF!</v>
          </cell>
        </row>
        <row r="829">
          <cell r="A829" t="e">
            <v>#REF!</v>
          </cell>
        </row>
        <row r="830">
          <cell r="A830" t="e">
            <v>#REF!</v>
          </cell>
        </row>
        <row r="831">
          <cell r="A831" t="e">
            <v>#REF!</v>
          </cell>
        </row>
        <row r="832">
          <cell r="A832" t="e">
            <v>#REF!</v>
          </cell>
        </row>
        <row r="833">
          <cell r="A833" t="e">
            <v>#REF!</v>
          </cell>
        </row>
        <row r="834">
          <cell r="A834" t="e">
            <v>#REF!</v>
          </cell>
        </row>
        <row r="835">
          <cell r="A835" t="e">
            <v>#REF!</v>
          </cell>
        </row>
        <row r="836">
          <cell r="A836" t="e">
            <v>#REF!</v>
          </cell>
        </row>
        <row r="837">
          <cell r="A837" t="e">
            <v>#REF!</v>
          </cell>
        </row>
        <row r="838">
          <cell r="A838" t="e">
            <v>#REF!</v>
          </cell>
        </row>
        <row r="839">
          <cell r="A839" t="e">
            <v>#REF!</v>
          </cell>
        </row>
        <row r="840">
          <cell r="A840" t="e">
            <v>#REF!</v>
          </cell>
        </row>
        <row r="841">
          <cell r="A841" t="e">
            <v>#REF!</v>
          </cell>
        </row>
        <row r="842">
          <cell r="A842" t="e">
            <v>#REF!</v>
          </cell>
        </row>
        <row r="843">
          <cell r="A843" t="e">
            <v>#REF!</v>
          </cell>
        </row>
        <row r="844">
          <cell r="A844" t="e">
            <v>#REF!</v>
          </cell>
        </row>
        <row r="845">
          <cell r="A845" t="e">
            <v>#REF!</v>
          </cell>
        </row>
        <row r="846">
          <cell r="A846" t="e">
            <v>#REF!</v>
          </cell>
        </row>
        <row r="847">
          <cell r="A847" t="e">
            <v>#REF!</v>
          </cell>
        </row>
        <row r="848">
          <cell r="A848" t="e">
            <v>#REF!</v>
          </cell>
        </row>
        <row r="849">
          <cell r="A849" t="e">
            <v>#REF!</v>
          </cell>
        </row>
        <row r="850">
          <cell r="A850" t="e">
            <v>#REF!</v>
          </cell>
        </row>
        <row r="851">
          <cell r="A851" t="e">
            <v>#REF!</v>
          </cell>
        </row>
        <row r="852">
          <cell r="A852" t="e">
            <v>#REF!</v>
          </cell>
        </row>
        <row r="853">
          <cell r="A853" t="e">
            <v>#REF!</v>
          </cell>
        </row>
        <row r="854">
          <cell r="A854" t="e">
            <v>#REF!</v>
          </cell>
        </row>
        <row r="855">
          <cell r="A855" t="e">
            <v>#REF!</v>
          </cell>
        </row>
        <row r="856">
          <cell r="A856" t="e">
            <v>#REF!</v>
          </cell>
        </row>
        <row r="857">
          <cell r="A857" t="e">
            <v>#REF!</v>
          </cell>
        </row>
        <row r="858">
          <cell r="A858" t="e">
            <v>#REF!</v>
          </cell>
        </row>
        <row r="859">
          <cell r="A859" t="e">
            <v>#REF!</v>
          </cell>
        </row>
        <row r="860">
          <cell r="A860" t="e">
            <v>#REF!</v>
          </cell>
        </row>
        <row r="861">
          <cell r="A861" t="e">
            <v>#REF!</v>
          </cell>
        </row>
        <row r="862">
          <cell r="A862" t="e">
            <v>#REF!</v>
          </cell>
        </row>
        <row r="863">
          <cell r="A863" t="e">
            <v>#REF!</v>
          </cell>
        </row>
        <row r="864">
          <cell r="A864" t="e">
            <v>#REF!</v>
          </cell>
        </row>
        <row r="865">
          <cell r="A865" t="e">
            <v>#REF!</v>
          </cell>
        </row>
        <row r="866">
          <cell r="A866" t="e">
            <v>#REF!</v>
          </cell>
        </row>
        <row r="867">
          <cell r="A867" t="e">
            <v>#REF!</v>
          </cell>
        </row>
        <row r="868">
          <cell r="A868" t="e">
            <v>#REF!</v>
          </cell>
        </row>
        <row r="869">
          <cell r="A869" t="e">
            <v>#REF!</v>
          </cell>
        </row>
        <row r="870">
          <cell r="A870" t="e">
            <v>#REF!</v>
          </cell>
        </row>
        <row r="871">
          <cell r="A871" t="e">
            <v>#REF!</v>
          </cell>
        </row>
        <row r="872">
          <cell r="A872" t="e">
            <v>#REF!</v>
          </cell>
        </row>
        <row r="873">
          <cell r="A873" t="e">
            <v>#REF!</v>
          </cell>
        </row>
        <row r="874">
          <cell r="A874" t="e">
            <v>#REF!</v>
          </cell>
        </row>
        <row r="875">
          <cell r="A875" t="e">
            <v>#REF!</v>
          </cell>
        </row>
        <row r="876">
          <cell r="A876" t="e">
            <v>#REF!</v>
          </cell>
        </row>
        <row r="877">
          <cell r="A877" t="e">
            <v>#REF!</v>
          </cell>
        </row>
        <row r="878">
          <cell r="A878" t="e">
            <v>#REF!</v>
          </cell>
        </row>
        <row r="879">
          <cell r="A879" t="e">
            <v>#REF!</v>
          </cell>
        </row>
        <row r="880">
          <cell r="A880" t="e">
            <v>#REF!</v>
          </cell>
        </row>
        <row r="881">
          <cell r="A881" t="e">
            <v>#REF!</v>
          </cell>
        </row>
        <row r="882">
          <cell r="A882" t="e">
            <v>#REF!</v>
          </cell>
        </row>
        <row r="883">
          <cell r="A883" t="e">
            <v>#REF!</v>
          </cell>
        </row>
        <row r="884">
          <cell r="A884" t="e">
            <v>#REF!</v>
          </cell>
        </row>
        <row r="885">
          <cell r="A885" t="e">
            <v>#REF!</v>
          </cell>
        </row>
        <row r="886">
          <cell r="A886" t="e">
            <v>#REF!</v>
          </cell>
        </row>
        <row r="887">
          <cell r="A887" t="e">
            <v>#REF!</v>
          </cell>
        </row>
        <row r="888">
          <cell r="A888" t="e">
            <v>#REF!</v>
          </cell>
        </row>
        <row r="889">
          <cell r="A889" t="e">
            <v>#REF!</v>
          </cell>
        </row>
        <row r="890">
          <cell r="A890" t="e">
            <v>#REF!</v>
          </cell>
        </row>
        <row r="891">
          <cell r="A891" t="e">
            <v>#REF!</v>
          </cell>
        </row>
        <row r="892">
          <cell r="A892" t="e">
            <v>#REF!</v>
          </cell>
        </row>
        <row r="893">
          <cell r="A893" t="e">
            <v>#REF!</v>
          </cell>
        </row>
        <row r="894">
          <cell r="A894" t="e">
            <v>#REF!</v>
          </cell>
        </row>
        <row r="895">
          <cell r="A895" t="e">
            <v>#REF!</v>
          </cell>
        </row>
        <row r="896">
          <cell r="A896" t="e">
            <v>#REF!</v>
          </cell>
        </row>
        <row r="897">
          <cell r="A897" t="e">
            <v>#REF!</v>
          </cell>
        </row>
        <row r="898">
          <cell r="A898" t="e">
            <v>#REF!</v>
          </cell>
        </row>
        <row r="899">
          <cell r="A899" t="e">
            <v>#REF!</v>
          </cell>
        </row>
        <row r="900">
          <cell r="A900" t="e">
            <v>#REF!</v>
          </cell>
        </row>
        <row r="901">
          <cell r="A901" t="e">
            <v>#REF!</v>
          </cell>
        </row>
        <row r="902">
          <cell r="A902" t="e">
            <v>#REF!</v>
          </cell>
        </row>
        <row r="903">
          <cell r="A903" t="e">
            <v>#REF!</v>
          </cell>
        </row>
        <row r="904">
          <cell r="A904" t="e">
            <v>#REF!</v>
          </cell>
        </row>
        <row r="905">
          <cell r="A905" t="e">
            <v>#REF!</v>
          </cell>
        </row>
        <row r="906">
          <cell r="A906" t="e">
            <v>#REF!</v>
          </cell>
        </row>
        <row r="907">
          <cell r="A907" t="e">
            <v>#REF!</v>
          </cell>
        </row>
        <row r="908">
          <cell r="A908" t="e">
            <v>#REF!</v>
          </cell>
        </row>
        <row r="909">
          <cell r="A909" t="e">
            <v>#REF!</v>
          </cell>
        </row>
        <row r="910">
          <cell r="A910" t="e">
            <v>#REF!</v>
          </cell>
        </row>
        <row r="911">
          <cell r="A911" t="e">
            <v>#REF!</v>
          </cell>
        </row>
        <row r="912">
          <cell r="A912" t="e">
            <v>#REF!</v>
          </cell>
        </row>
        <row r="913">
          <cell r="A913" t="e">
            <v>#REF!</v>
          </cell>
        </row>
        <row r="914">
          <cell r="A914" t="e">
            <v>#REF!</v>
          </cell>
        </row>
        <row r="915">
          <cell r="A915" t="e">
            <v>#REF!</v>
          </cell>
        </row>
        <row r="916">
          <cell r="A916" t="e">
            <v>#REF!</v>
          </cell>
        </row>
        <row r="917">
          <cell r="A917" t="e">
            <v>#REF!</v>
          </cell>
        </row>
        <row r="918">
          <cell r="A918" t="e">
            <v>#REF!</v>
          </cell>
        </row>
        <row r="919">
          <cell r="A919" t="e">
            <v>#REF!</v>
          </cell>
        </row>
        <row r="920">
          <cell r="A920" t="e">
            <v>#REF!</v>
          </cell>
        </row>
        <row r="921">
          <cell r="A921" t="e">
            <v>#REF!</v>
          </cell>
        </row>
        <row r="922">
          <cell r="A922" t="e">
            <v>#REF!</v>
          </cell>
        </row>
        <row r="923">
          <cell r="A923" t="e">
            <v>#REF!</v>
          </cell>
        </row>
        <row r="924">
          <cell r="A924" t="e">
            <v>#REF!</v>
          </cell>
        </row>
        <row r="925">
          <cell r="A925" t="e">
            <v>#REF!</v>
          </cell>
        </row>
        <row r="926">
          <cell r="A926" t="e">
            <v>#REF!</v>
          </cell>
        </row>
        <row r="927">
          <cell r="A927" t="e">
            <v>#REF!</v>
          </cell>
        </row>
        <row r="928">
          <cell r="A928" t="e">
            <v>#REF!</v>
          </cell>
        </row>
        <row r="929">
          <cell r="A929" t="e">
            <v>#REF!</v>
          </cell>
        </row>
        <row r="930">
          <cell r="A930" t="e">
            <v>#REF!</v>
          </cell>
        </row>
        <row r="931">
          <cell r="A931" t="e">
            <v>#REF!</v>
          </cell>
        </row>
        <row r="932">
          <cell r="A932" t="e">
            <v>#REF!</v>
          </cell>
        </row>
        <row r="933">
          <cell r="A933" t="e">
            <v>#REF!</v>
          </cell>
        </row>
        <row r="934">
          <cell r="A934" t="e">
            <v>#REF!</v>
          </cell>
        </row>
        <row r="935">
          <cell r="A935" t="e">
            <v>#REF!</v>
          </cell>
        </row>
        <row r="936">
          <cell r="A936" t="e">
            <v>#REF!</v>
          </cell>
        </row>
        <row r="937">
          <cell r="A937" t="e">
            <v>#REF!</v>
          </cell>
        </row>
        <row r="938">
          <cell r="A938" t="e">
            <v>#REF!</v>
          </cell>
        </row>
        <row r="939">
          <cell r="A939" t="e">
            <v>#REF!</v>
          </cell>
        </row>
        <row r="940">
          <cell r="A940" t="e">
            <v>#REF!</v>
          </cell>
        </row>
        <row r="941">
          <cell r="A941" t="e">
            <v>#REF!</v>
          </cell>
        </row>
        <row r="942">
          <cell r="A942" t="e">
            <v>#REF!</v>
          </cell>
        </row>
        <row r="943">
          <cell r="A943" t="e">
            <v>#REF!</v>
          </cell>
        </row>
        <row r="944">
          <cell r="A944" t="e">
            <v>#REF!</v>
          </cell>
        </row>
        <row r="945">
          <cell r="A945" t="e">
            <v>#REF!</v>
          </cell>
        </row>
        <row r="946">
          <cell r="A946" t="e">
            <v>#REF!</v>
          </cell>
        </row>
        <row r="947">
          <cell r="A947" t="e">
            <v>#REF!</v>
          </cell>
        </row>
        <row r="948">
          <cell r="A948" t="e">
            <v>#REF!</v>
          </cell>
        </row>
        <row r="949">
          <cell r="A949" t="e">
            <v>#REF!</v>
          </cell>
        </row>
        <row r="950">
          <cell r="A950" t="e">
            <v>#REF!</v>
          </cell>
        </row>
        <row r="951">
          <cell r="A951" t="e">
            <v>#REF!</v>
          </cell>
        </row>
        <row r="952">
          <cell r="A952" t="e">
            <v>#REF!</v>
          </cell>
        </row>
        <row r="953">
          <cell r="A953" t="e">
            <v>#REF!</v>
          </cell>
        </row>
        <row r="954">
          <cell r="A954" t="e">
            <v>#REF!</v>
          </cell>
        </row>
        <row r="955">
          <cell r="A955" t="e">
            <v>#REF!</v>
          </cell>
        </row>
        <row r="956">
          <cell r="A956" t="e">
            <v>#REF!</v>
          </cell>
        </row>
        <row r="957">
          <cell r="A957" t="e">
            <v>#REF!</v>
          </cell>
        </row>
        <row r="958">
          <cell r="A958" t="e">
            <v>#REF!</v>
          </cell>
        </row>
        <row r="959">
          <cell r="A959" t="e">
            <v>#REF!</v>
          </cell>
        </row>
        <row r="960">
          <cell r="A960" t="e">
            <v>#REF!</v>
          </cell>
        </row>
        <row r="961">
          <cell r="A961" t="e">
            <v>#REF!</v>
          </cell>
        </row>
        <row r="962">
          <cell r="A962" t="e">
            <v>#REF!</v>
          </cell>
        </row>
        <row r="963">
          <cell r="A963" t="e">
            <v>#REF!</v>
          </cell>
        </row>
        <row r="964">
          <cell r="A964" t="e">
            <v>#REF!</v>
          </cell>
        </row>
        <row r="965">
          <cell r="A965" t="e">
            <v>#REF!</v>
          </cell>
        </row>
        <row r="966">
          <cell r="A966" t="e">
            <v>#REF!</v>
          </cell>
        </row>
        <row r="967">
          <cell r="A967" t="e">
            <v>#REF!</v>
          </cell>
        </row>
        <row r="968">
          <cell r="A968" t="e">
            <v>#REF!</v>
          </cell>
        </row>
        <row r="969">
          <cell r="A969" t="e">
            <v>#REF!</v>
          </cell>
        </row>
        <row r="970">
          <cell r="A970" t="e">
            <v>#REF!</v>
          </cell>
        </row>
        <row r="971">
          <cell r="A971" t="e">
            <v>#REF!</v>
          </cell>
        </row>
        <row r="972">
          <cell r="A972" t="e">
            <v>#REF!</v>
          </cell>
        </row>
        <row r="973">
          <cell r="A973" t="e">
            <v>#REF!</v>
          </cell>
        </row>
        <row r="974">
          <cell r="A974" t="e">
            <v>#REF!</v>
          </cell>
        </row>
        <row r="975">
          <cell r="A975" t="e">
            <v>#REF!</v>
          </cell>
        </row>
        <row r="976">
          <cell r="A976" t="e">
            <v>#REF!</v>
          </cell>
        </row>
        <row r="977">
          <cell r="A977" t="e">
            <v>#REF!</v>
          </cell>
        </row>
        <row r="978">
          <cell r="A978" t="e">
            <v>#REF!</v>
          </cell>
        </row>
        <row r="979">
          <cell r="A979" t="e">
            <v>#REF!</v>
          </cell>
        </row>
        <row r="980">
          <cell r="A980" t="e">
            <v>#REF!</v>
          </cell>
        </row>
        <row r="981">
          <cell r="A981" t="e">
            <v>#REF!</v>
          </cell>
        </row>
        <row r="982">
          <cell r="A982" t="e">
            <v>#REF!</v>
          </cell>
        </row>
        <row r="983">
          <cell r="A983" t="e">
            <v>#REF!</v>
          </cell>
        </row>
        <row r="984">
          <cell r="A984" t="e">
            <v>#REF!</v>
          </cell>
        </row>
        <row r="985">
          <cell r="A985" t="e">
            <v>#REF!</v>
          </cell>
        </row>
        <row r="986">
          <cell r="A986" t="e">
            <v>#REF!</v>
          </cell>
        </row>
        <row r="987">
          <cell r="A987" t="e">
            <v>#REF!</v>
          </cell>
        </row>
        <row r="988">
          <cell r="A988" t="e">
            <v>#REF!</v>
          </cell>
        </row>
        <row r="989">
          <cell r="A989" t="e">
            <v>#REF!</v>
          </cell>
        </row>
        <row r="990">
          <cell r="A990" t="e">
            <v>#REF!</v>
          </cell>
        </row>
        <row r="991">
          <cell r="A991" t="e">
            <v>#REF!</v>
          </cell>
        </row>
        <row r="992">
          <cell r="A992" t="e">
            <v>#REF!</v>
          </cell>
        </row>
        <row r="993">
          <cell r="A993" t="e">
            <v>#REF!</v>
          </cell>
        </row>
        <row r="994">
          <cell r="A994" t="e">
            <v>#REF!</v>
          </cell>
        </row>
        <row r="995">
          <cell r="A995" t="e">
            <v>#REF!</v>
          </cell>
        </row>
        <row r="996">
          <cell r="A996" t="e">
            <v>#REF!</v>
          </cell>
        </row>
        <row r="997">
          <cell r="A997" t="e">
            <v>#REF!</v>
          </cell>
        </row>
        <row r="998">
          <cell r="A998" t="e">
            <v>#REF!</v>
          </cell>
        </row>
        <row r="999">
          <cell r="A999" t="e">
            <v>#REF!</v>
          </cell>
        </row>
        <row r="1000">
          <cell r="A1000" t="e">
            <v>#REF!</v>
          </cell>
        </row>
        <row r="1001">
          <cell r="A1001" t="e">
            <v>#REF!</v>
          </cell>
        </row>
        <row r="1002">
          <cell r="A1002" t="e">
            <v>#REF!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>
        <row r="1">
          <cell r="A1" t="str">
            <v>(2019년 7)월분 시간외 근무시간 명세표(근무실적표)</v>
          </cell>
        </row>
      </sheetData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>
        <row r="1">
          <cell r="A1" t="str">
            <v>(2019년 7)월분 시간외 근무시간 명세표(근무실적표)</v>
          </cell>
        </row>
      </sheetData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/>
      <sheetData sheetId="295">
        <row r="1">
          <cell r="A1" t="str">
            <v>(2019년 7)월분 시간외 근무시간 명세표(근무실적표)</v>
          </cell>
        </row>
      </sheetData>
      <sheetData sheetId="296">
        <row r="1">
          <cell r="A1" t="str">
            <v>(2019년 7)월분 시간외 근무시간 명세표(근무실적표)</v>
          </cell>
        </row>
      </sheetData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>
        <row r="1">
          <cell r="A1" t="str">
            <v>(2019년 7)월분 시간외 근무시간 명세표(근무실적표)</v>
          </cell>
        </row>
      </sheetData>
      <sheetData sheetId="312">
        <row r="1">
          <cell r="A1" t="str">
            <v>(2019년 7)월분 시간외 근무시간 명세표(근무실적표)</v>
          </cell>
        </row>
      </sheetData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 (2)"/>
      <sheetName val="내역서"/>
      <sheetName val="(건설공사)일위대가표"/>
      <sheetName val="일위대가 비교표"/>
      <sheetName val="노임단가"/>
      <sheetName val="(건설공사)기계경비 집계표"/>
      <sheetName val="(건설공사)기계경비"/>
      <sheetName val="(건설공사)토공"/>
      <sheetName val="(건설공사)자재단가조사서"/>
      <sheetName val="자재단가 비교표"/>
      <sheetName val="운반공"/>
      <sheetName val="구조물공"/>
      <sheetName val="하수도공"/>
    </sheetNames>
    <sheetDataSet>
      <sheetData sheetId="0"/>
      <sheetData sheetId="1">
        <row r="362">
          <cell r="B362" t="str">
            <v>콘크리트 포장</v>
          </cell>
        </row>
      </sheetData>
      <sheetData sheetId="2"/>
      <sheetData sheetId="3"/>
      <sheetData sheetId="4">
        <row r="4">
          <cell r="T4">
            <v>215907</v>
          </cell>
          <cell r="BK4">
            <v>277276</v>
          </cell>
        </row>
        <row r="5">
          <cell r="T5">
            <v>172068</v>
          </cell>
        </row>
        <row r="6">
          <cell r="T6">
            <v>226122</v>
          </cell>
          <cell r="BK6">
            <v>263017</v>
          </cell>
        </row>
        <row r="8">
          <cell r="T8">
            <v>237324</v>
          </cell>
        </row>
        <row r="9">
          <cell r="T9">
            <v>281939</v>
          </cell>
        </row>
        <row r="10">
          <cell r="T10">
            <v>275790</v>
          </cell>
          <cell r="BK10">
            <v>268908</v>
          </cell>
        </row>
        <row r="11">
          <cell r="T11">
            <v>268187</v>
          </cell>
        </row>
        <row r="12">
          <cell r="T12">
            <v>239808</v>
          </cell>
        </row>
        <row r="13">
          <cell r="T13">
            <v>221481</v>
          </cell>
        </row>
        <row r="14">
          <cell r="T14">
            <v>252641</v>
          </cell>
        </row>
        <row r="15">
          <cell r="T15">
            <v>282536</v>
          </cell>
        </row>
        <row r="16">
          <cell r="T16">
            <v>273540</v>
          </cell>
        </row>
        <row r="17">
          <cell r="BK17">
            <v>262580</v>
          </cell>
        </row>
        <row r="18">
          <cell r="T18">
            <v>222306</v>
          </cell>
        </row>
        <row r="20">
          <cell r="T20">
            <v>241932</v>
          </cell>
        </row>
        <row r="21">
          <cell r="T21">
            <v>221015</v>
          </cell>
        </row>
        <row r="22">
          <cell r="T22">
            <v>273308</v>
          </cell>
        </row>
        <row r="24">
          <cell r="BK24">
            <v>210909</v>
          </cell>
        </row>
        <row r="25">
          <cell r="BK25">
            <v>283297</v>
          </cell>
        </row>
        <row r="26">
          <cell r="BK26">
            <v>238936</v>
          </cell>
        </row>
        <row r="27">
          <cell r="BK27">
            <v>173995</v>
          </cell>
        </row>
        <row r="29">
          <cell r="T29">
            <v>228286</v>
          </cell>
        </row>
        <row r="52">
          <cell r="T52">
            <v>273676</v>
          </cell>
        </row>
      </sheetData>
      <sheetData sheetId="5">
        <row r="7">
          <cell r="AO7">
            <v>5327</v>
          </cell>
        </row>
      </sheetData>
      <sheetData sheetId="6">
        <row r="4">
          <cell r="I4" t="str">
            <v>불도저(무한궤도)</v>
          </cell>
        </row>
      </sheetData>
      <sheetData sheetId="7">
        <row r="8">
          <cell r="AV8">
            <v>0.28000000000000003</v>
          </cell>
        </row>
      </sheetData>
      <sheetData sheetId="8">
        <row r="3">
          <cell r="N3">
            <v>1442</v>
          </cell>
        </row>
      </sheetData>
      <sheetData sheetId="9"/>
      <sheetData sheetId="10">
        <row r="63">
          <cell r="BI63">
            <v>1011</v>
          </cell>
          <cell r="BQ63">
            <v>10179</v>
          </cell>
          <cell r="BY63">
            <v>1556</v>
          </cell>
        </row>
        <row r="64">
          <cell r="BI64">
            <v>1451</v>
          </cell>
          <cell r="BQ64">
            <v>7611</v>
          </cell>
          <cell r="BY64">
            <v>1164</v>
          </cell>
        </row>
        <row r="65">
          <cell r="BI65">
            <v>1790</v>
          </cell>
          <cell r="BQ65">
            <v>5048</v>
          </cell>
          <cell r="BY65">
            <v>1069</v>
          </cell>
        </row>
        <row r="95">
          <cell r="BI95">
            <v>8751</v>
          </cell>
          <cell r="BQ95">
            <v>18856</v>
          </cell>
          <cell r="BY95">
            <v>6740</v>
          </cell>
        </row>
        <row r="96">
          <cell r="BI96">
            <v>9289</v>
          </cell>
          <cell r="BQ96">
            <v>18160</v>
          </cell>
          <cell r="BY96">
            <v>6491</v>
          </cell>
        </row>
        <row r="97">
          <cell r="BI97">
            <v>7911</v>
          </cell>
          <cell r="BQ97">
            <v>11687</v>
          </cell>
          <cell r="BY97">
            <v>6625</v>
          </cell>
        </row>
        <row r="130">
          <cell r="BI130">
            <v>1058</v>
          </cell>
          <cell r="BQ130">
            <v>22123</v>
          </cell>
          <cell r="BY130">
            <v>2898</v>
          </cell>
        </row>
        <row r="131">
          <cell r="BI131">
            <v>1011</v>
          </cell>
          <cell r="BQ131">
            <v>17404</v>
          </cell>
          <cell r="BY131">
            <v>2661</v>
          </cell>
        </row>
        <row r="132">
          <cell r="BI132">
            <v>1436</v>
          </cell>
          <cell r="BQ132">
            <v>7530</v>
          </cell>
          <cell r="BY132">
            <v>1151</v>
          </cell>
        </row>
        <row r="133">
          <cell r="BI133">
            <v>1262</v>
          </cell>
          <cell r="BQ133">
            <v>6619</v>
          </cell>
          <cell r="BY133">
            <v>1012</v>
          </cell>
        </row>
        <row r="134">
          <cell r="BI134">
            <v>1437</v>
          </cell>
          <cell r="BQ134">
            <v>4053</v>
          </cell>
          <cell r="BY134">
            <v>858</v>
          </cell>
        </row>
        <row r="164">
          <cell r="BI164">
            <v>9232</v>
          </cell>
          <cell r="BQ164">
            <v>18048</v>
          </cell>
          <cell r="BY164">
            <v>6451</v>
          </cell>
        </row>
        <row r="165">
          <cell r="BI165">
            <v>9093</v>
          </cell>
          <cell r="BQ165">
            <v>17777</v>
          </cell>
          <cell r="BY165">
            <v>6354</v>
          </cell>
        </row>
        <row r="166">
          <cell r="BI166">
            <v>8398</v>
          </cell>
          <cell r="BQ166">
            <v>11350</v>
          </cell>
          <cell r="BY166">
            <v>6434</v>
          </cell>
        </row>
        <row r="167">
          <cell r="BI167">
            <v>9121</v>
          </cell>
          <cell r="BQ167">
            <v>17830</v>
          </cell>
          <cell r="BY167">
            <v>6373</v>
          </cell>
        </row>
        <row r="168">
          <cell r="BI168">
            <v>8415</v>
          </cell>
          <cell r="BQ168">
            <v>11371</v>
          </cell>
          <cell r="BY168">
            <v>6446</v>
          </cell>
        </row>
        <row r="199">
          <cell r="BI199">
            <v>1542</v>
          </cell>
          <cell r="BQ199">
            <v>31908</v>
          </cell>
          <cell r="BY199">
            <v>4500</v>
          </cell>
        </row>
        <row r="200">
          <cell r="BI200">
            <v>1481</v>
          </cell>
          <cell r="BQ200">
            <v>25140</v>
          </cell>
          <cell r="BY200">
            <v>4138</v>
          </cell>
        </row>
        <row r="201">
          <cell r="BI201">
            <v>1481</v>
          </cell>
          <cell r="BQ201">
            <v>21832</v>
          </cell>
          <cell r="BY201">
            <v>3594</v>
          </cell>
        </row>
        <row r="202">
          <cell r="BI202">
            <v>2434</v>
          </cell>
          <cell r="BQ202">
            <v>12763</v>
          </cell>
          <cell r="BY202">
            <v>2101</v>
          </cell>
        </row>
        <row r="203">
          <cell r="BI203">
            <v>1547</v>
          </cell>
          <cell r="BQ203">
            <v>9001</v>
          </cell>
          <cell r="BY203">
            <v>2050</v>
          </cell>
        </row>
        <row r="234">
          <cell r="BI234">
            <v>7087</v>
          </cell>
          <cell r="BQ234">
            <v>16349</v>
          </cell>
          <cell r="BY234">
            <v>6245</v>
          </cell>
        </row>
        <row r="235">
          <cell r="BI235">
            <v>6403</v>
          </cell>
          <cell r="BQ235">
            <v>11052</v>
          </cell>
          <cell r="BY235">
            <v>6265</v>
          </cell>
        </row>
        <row r="236">
          <cell r="BI236">
            <v>6403</v>
          </cell>
          <cell r="BQ236">
            <v>9321</v>
          </cell>
          <cell r="BY236">
            <v>6170</v>
          </cell>
        </row>
        <row r="237">
          <cell r="BI237">
            <v>7087</v>
          </cell>
          <cell r="BQ237">
            <v>16349</v>
          </cell>
          <cell r="BY237">
            <v>6245</v>
          </cell>
        </row>
        <row r="238">
          <cell r="BI238">
            <v>6403</v>
          </cell>
          <cell r="BQ238">
            <v>11052</v>
          </cell>
          <cell r="BY238">
            <v>6265</v>
          </cell>
        </row>
        <row r="239">
          <cell r="BI239">
            <v>6403</v>
          </cell>
          <cell r="BQ239">
            <v>9321</v>
          </cell>
          <cell r="BY239">
            <v>6170</v>
          </cell>
        </row>
        <row r="270">
          <cell r="BI270">
            <v>1512</v>
          </cell>
          <cell r="BQ270">
            <v>31705</v>
          </cell>
          <cell r="BY270">
            <v>4471</v>
          </cell>
        </row>
        <row r="271">
          <cell r="BI271">
            <v>1451</v>
          </cell>
          <cell r="BQ271">
            <v>24889</v>
          </cell>
          <cell r="BY271">
            <v>4097</v>
          </cell>
        </row>
        <row r="272">
          <cell r="BI272">
            <v>1451</v>
          </cell>
          <cell r="BQ272">
            <v>21642</v>
          </cell>
          <cell r="BY272">
            <v>3563</v>
          </cell>
        </row>
        <row r="273">
          <cell r="BI273">
            <v>2397</v>
          </cell>
          <cell r="BQ273">
            <v>12570</v>
          </cell>
          <cell r="BY273">
            <v>2069</v>
          </cell>
        </row>
        <row r="274">
          <cell r="BI274">
            <v>1514</v>
          </cell>
          <cell r="BQ274">
            <v>8888</v>
          </cell>
          <cell r="BY274">
            <v>2024</v>
          </cell>
        </row>
        <row r="305">
          <cell r="BI305">
            <v>6924</v>
          </cell>
          <cell r="BQ305">
            <v>16038</v>
          </cell>
          <cell r="BY305">
            <v>6127</v>
          </cell>
        </row>
        <row r="306">
          <cell r="BI306">
            <v>6265</v>
          </cell>
          <cell r="BQ306">
            <v>10869</v>
          </cell>
          <cell r="BY306">
            <v>6161</v>
          </cell>
        </row>
        <row r="307">
          <cell r="BI307">
            <v>6265</v>
          </cell>
          <cell r="BQ307">
            <v>9167</v>
          </cell>
          <cell r="BY307">
            <v>6068</v>
          </cell>
        </row>
        <row r="308">
          <cell r="BI308">
            <v>6924</v>
          </cell>
          <cell r="BQ308">
            <v>16038</v>
          </cell>
          <cell r="BY308">
            <v>6127</v>
          </cell>
        </row>
        <row r="309">
          <cell r="BI309">
            <v>6265</v>
          </cell>
          <cell r="BQ309">
            <v>10869</v>
          </cell>
          <cell r="BY309">
            <v>6161</v>
          </cell>
        </row>
        <row r="310">
          <cell r="BI310">
            <v>6265</v>
          </cell>
          <cell r="BQ310">
            <v>9167</v>
          </cell>
          <cell r="BY310">
            <v>6068</v>
          </cell>
        </row>
        <row r="376">
          <cell r="BI376">
            <v>6086</v>
          </cell>
          <cell r="BQ376">
            <v>14256</v>
          </cell>
          <cell r="BY376">
            <v>5446</v>
          </cell>
        </row>
        <row r="377">
          <cell r="BI377">
            <v>5507</v>
          </cell>
          <cell r="BQ377">
            <v>9691</v>
          </cell>
          <cell r="BY377">
            <v>5493</v>
          </cell>
        </row>
        <row r="378">
          <cell r="BI378">
            <v>5507</v>
          </cell>
          <cell r="BQ378">
            <v>8173</v>
          </cell>
          <cell r="BY378">
            <v>5410</v>
          </cell>
        </row>
        <row r="379">
          <cell r="BI379">
            <v>6086</v>
          </cell>
          <cell r="BQ379">
            <v>14256</v>
          </cell>
          <cell r="BY379">
            <v>5446</v>
          </cell>
        </row>
        <row r="380">
          <cell r="BI380">
            <v>5507</v>
          </cell>
          <cell r="BQ380">
            <v>9691</v>
          </cell>
          <cell r="BY380">
            <v>5493</v>
          </cell>
        </row>
        <row r="381">
          <cell r="BI381">
            <v>5507</v>
          </cell>
          <cell r="BQ381">
            <v>8173</v>
          </cell>
          <cell r="BY381">
            <v>5410</v>
          </cell>
        </row>
        <row r="447">
          <cell r="BI447">
            <v>4846</v>
          </cell>
          <cell r="BQ447">
            <v>11527</v>
          </cell>
          <cell r="BY447">
            <v>4403</v>
          </cell>
        </row>
        <row r="448">
          <cell r="BI448">
            <v>4380</v>
          </cell>
          <cell r="BQ448">
            <v>7900</v>
          </cell>
          <cell r="BY448">
            <v>4478</v>
          </cell>
        </row>
        <row r="449">
          <cell r="BI449">
            <v>4380</v>
          </cell>
          <cell r="BQ449">
            <v>6663</v>
          </cell>
          <cell r="BY449">
            <v>4410</v>
          </cell>
        </row>
        <row r="450">
          <cell r="BI450">
            <v>4846</v>
          </cell>
          <cell r="BQ450">
            <v>11527</v>
          </cell>
          <cell r="BY450">
            <v>4403</v>
          </cell>
        </row>
        <row r="451">
          <cell r="BI451">
            <v>4380</v>
          </cell>
          <cell r="BQ451">
            <v>7900</v>
          </cell>
          <cell r="BY451">
            <v>4478</v>
          </cell>
        </row>
        <row r="452">
          <cell r="BI452">
            <v>4380</v>
          </cell>
          <cell r="BQ452">
            <v>6663</v>
          </cell>
          <cell r="BY452">
            <v>4410</v>
          </cell>
        </row>
        <row r="489">
          <cell r="BM489">
            <v>21</v>
          </cell>
        </row>
        <row r="490">
          <cell r="BM490">
            <v>23</v>
          </cell>
        </row>
        <row r="522">
          <cell r="BE522">
            <v>33470</v>
          </cell>
        </row>
        <row r="523">
          <cell r="BE523">
            <v>34450</v>
          </cell>
        </row>
        <row r="549">
          <cell r="BY549">
            <v>399</v>
          </cell>
        </row>
        <row r="550">
          <cell r="BY550">
            <v>764</v>
          </cell>
        </row>
        <row r="551">
          <cell r="BY551">
            <v>1325</v>
          </cell>
        </row>
        <row r="552">
          <cell r="BY552">
            <v>2328</v>
          </cell>
        </row>
        <row r="553">
          <cell r="BY553">
            <v>2978</v>
          </cell>
        </row>
        <row r="554">
          <cell r="BY554">
            <v>3694</v>
          </cell>
        </row>
        <row r="555">
          <cell r="BY555">
            <v>5118</v>
          </cell>
        </row>
        <row r="584">
          <cell r="BI584">
            <v>45</v>
          </cell>
        </row>
        <row r="616">
          <cell r="BY616">
            <v>589</v>
          </cell>
        </row>
        <row r="617">
          <cell r="BY617">
            <v>930</v>
          </cell>
        </row>
        <row r="618">
          <cell r="BY618">
            <v>1998</v>
          </cell>
        </row>
        <row r="619">
          <cell r="BY619">
            <v>2424</v>
          </cell>
        </row>
        <row r="620">
          <cell r="BQ620">
            <v>146</v>
          </cell>
        </row>
        <row r="621">
          <cell r="BQ621">
            <v>229</v>
          </cell>
        </row>
        <row r="622">
          <cell r="BQ622">
            <v>364</v>
          </cell>
        </row>
        <row r="623">
          <cell r="BQ623">
            <v>507</v>
          </cell>
        </row>
        <row r="624">
          <cell r="BQ624">
            <v>608</v>
          </cell>
        </row>
        <row r="628">
          <cell r="BF628">
            <v>1201</v>
          </cell>
          <cell r="BO628">
            <v>518</v>
          </cell>
        </row>
        <row r="629">
          <cell r="BO629">
            <v>691</v>
          </cell>
        </row>
        <row r="633">
          <cell r="BO633">
            <v>97</v>
          </cell>
        </row>
        <row r="634">
          <cell r="BO634">
            <v>45</v>
          </cell>
        </row>
        <row r="635">
          <cell r="BF635">
            <v>51</v>
          </cell>
          <cell r="BO635">
            <v>22</v>
          </cell>
        </row>
        <row r="636">
          <cell r="BO636">
            <v>26</v>
          </cell>
        </row>
        <row r="665">
          <cell r="BI665">
            <v>32897</v>
          </cell>
          <cell r="BQ665">
            <v>108596</v>
          </cell>
          <cell r="BY665">
            <v>42929</v>
          </cell>
        </row>
        <row r="677">
          <cell r="BI677">
            <v>5506</v>
          </cell>
          <cell r="BQ677">
            <v>50275</v>
          </cell>
          <cell r="BY677">
            <v>6587</v>
          </cell>
        </row>
        <row r="689">
          <cell r="BI689">
            <v>9494</v>
          </cell>
          <cell r="BQ689">
            <v>50275</v>
          </cell>
          <cell r="BY689">
            <v>7689</v>
          </cell>
        </row>
        <row r="718">
          <cell r="BI718">
            <v>32897</v>
          </cell>
          <cell r="BQ718">
            <v>40723</v>
          </cell>
          <cell r="BY718">
            <v>16098</v>
          </cell>
        </row>
        <row r="730">
          <cell r="BI730">
            <v>5506</v>
          </cell>
          <cell r="BQ730">
            <v>13937</v>
          </cell>
          <cell r="BY730">
            <v>1826</v>
          </cell>
        </row>
        <row r="742">
          <cell r="BI742">
            <v>9494</v>
          </cell>
          <cell r="BQ742">
            <v>13937</v>
          </cell>
          <cell r="BY742">
            <v>2131</v>
          </cell>
        </row>
        <row r="771">
          <cell r="BI771">
            <v>32897</v>
          </cell>
          <cell r="BQ771">
            <v>40133</v>
          </cell>
          <cell r="BY771">
            <v>15865</v>
          </cell>
        </row>
        <row r="783">
          <cell r="BI783">
            <v>5506</v>
          </cell>
          <cell r="BQ783">
            <v>12942</v>
          </cell>
          <cell r="BY783">
            <v>1695</v>
          </cell>
        </row>
        <row r="795">
          <cell r="BI795">
            <v>9494</v>
          </cell>
          <cell r="BQ795">
            <v>12942</v>
          </cell>
          <cell r="BY795">
            <v>1979</v>
          </cell>
        </row>
      </sheetData>
      <sheetData sheetId="11">
        <row r="123">
          <cell r="BE123">
            <v>4.5999999999999999E-2</v>
          </cell>
        </row>
        <row r="124">
          <cell r="BE124">
            <v>4.9000000000000002E-2</v>
          </cell>
        </row>
        <row r="125">
          <cell r="BE125">
            <v>4.9000000000000002E-2</v>
          </cell>
        </row>
        <row r="126">
          <cell r="BE126">
            <v>4.2999999999999997E-2</v>
          </cell>
        </row>
        <row r="127">
          <cell r="BE127">
            <v>4.7E-2</v>
          </cell>
        </row>
        <row r="128">
          <cell r="BE128">
            <v>4.2999999999999997E-2</v>
          </cell>
        </row>
        <row r="129">
          <cell r="BE129">
            <v>4.7E-2</v>
          </cell>
        </row>
        <row r="130">
          <cell r="BE130">
            <v>5.3999999999999999E-2</v>
          </cell>
        </row>
        <row r="131">
          <cell r="BE131">
            <v>5.3999999999999999E-2</v>
          </cell>
        </row>
      </sheetData>
      <sheetData sheetId="1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2호맨홀공제수량"/>
      <sheetName val="6PILE  (돌출)"/>
      <sheetName val="금액내역서"/>
      <sheetName val="#REF"/>
      <sheetName val="Sheet1"/>
      <sheetName val="수량산출"/>
      <sheetName val="산출근거"/>
      <sheetName val="ABUT수량-A1"/>
      <sheetName val="3BL공동구 수량"/>
      <sheetName val="관경결정"/>
      <sheetName val="구조물철거타공정이월"/>
      <sheetName val="대로근거"/>
      <sheetName val="중로근거"/>
      <sheetName val="BOX-1510"/>
      <sheetName val="INPUT(덕도방향-시점)"/>
      <sheetName val="8.3해석단면 선정"/>
      <sheetName val="Sheet1 (2)"/>
      <sheetName val="Sheet2"/>
      <sheetName val="TYPE-A"/>
      <sheetName val="DATE"/>
      <sheetName val="공구"/>
      <sheetName val="관로토공"/>
      <sheetName val="단위수량"/>
      <sheetName val="말뚝지지력산정"/>
      <sheetName val="수량3"/>
      <sheetName val="역T형(H=6.0) (2)"/>
      <sheetName val="노임단가"/>
      <sheetName val="일위대가9803"/>
      <sheetName val="D-경비1"/>
      <sheetName val="부하계산서"/>
      <sheetName val="TOTAL_BOQ"/>
      <sheetName val="우수관"/>
      <sheetName val="사다리"/>
      <sheetName val="관보호공단위수량"/>
      <sheetName val="단면 (2)"/>
      <sheetName val="공사원가 (3)"/>
      <sheetName val="조건표"/>
      <sheetName val="토목품셈"/>
      <sheetName val="철근단면적"/>
      <sheetName val="Ⅴ-2.공종별내역"/>
      <sheetName val="금액"/>
      <sheetName val="1호맨홀토공"/>
      <sheetName val="간접비"/>
      <sheetName val="3련 BOX"/>
      <sheetName val="토사(PE)"/>
      <sheetName val="포장물량집계"/>
      <sheetName val="오수표시테이프단위수량"/>
      <sheetName val="터파기및재료"/>
      <sheetName val="CODE"/>
      <sheetName val="원형1호맨홀토공수량"/>
      <sheetName val="데리네이타현황"/>
      <sheetName val="원형측구(B-type)"/>
      <sheetName val="단가"/>
      <sheetName val="기초목"/>
      <sheetName val="업무처리전"/>
      <sheetName val="차액보증"/>
      <sheetName val="포장직선구간"/>
      <sheetName val="SG"/>
      <sheetName val="(A)내역서"/>
      <sheetName val="단가산출서"/>
      <sheetName val="설계조건"/>
      <sheetName val="실행철강하도"/>
      <sheetName val="공문"/>
      <sheetName val="배수내역"/>
      <sheetName val="Sheet5"/>
      <sheetName val="내역서-2"/>
      <sheetName val="CTEMCOST"/>
      <sheetName val="안산기계장치"/>
      <sheetName val="입력시트"/>
      <sheetName val="CON포장수량"/>
      <sheetName val="CONUNIT"/>
      <sheetName val="포장공"/>
      <sheetName val="총괄내역서"/>
      <sheetName val="9GNG운반"/>
      <sheetName val="자재 집계표"/>
      <sheetName val="변경내역대비표(2)"/>
      <sheetName val="내역표지"/>
      <sheetName val="변경내역대비표_2_"/>
      <sheetName val="갑지"/>
      <sheetName val="수목표준대가"/>
      <sheetName val="TOWER 12TON"/>
      <sheetName val="TOWER 10TON"/>
      <sheetName val="eq_data"/>
      <sheetName val="실행내역"/>
      <sheetName val="철거산출근거"/>
      <sheetName val="건축공사실행"/>
      <sheetName val="토목주소"/>
      <sheetName val="프랜트면허"/>
      <sheetName val="총괄표"/>
      <sheetName val="견적조건"/>
      <sheetName val="기계"/>
      <sheetName val="정화조"/>
      <sheetName val="조경"/>
      <sheetName val="토목"/>
      <sheetName val="집계표"/>
      <sheetName val="표준건축비"/>
      <sheetName val="공사비집계"/>
      <sheetName val="c_balju"/>
      <sheetName val="단가표"/>
      <sheetName val="을"/>
      <sheetName val="4)유동표"/>
      <sheetName val="사통"/>
      <sheetName val="TOTAL"/>
      <sheetName val="경영상태"/>
      <sheetName val="가압장(토목)"/>
      <sheetName val="산근(1)"/>
      <sheetName val="실행"/>
      <sheetName val="유림골조"/>
      <sheetName val="목표세부명세"/>
      <sheetName val="2000년1차"/>
      <sheetName val="교대(A1-A2)"/>
      <sheetName val="공사비증감(P4) "/>
      <sheetName val="경비목록표"/>
      <sheetName val="철근량"/>
      <sheetName val="다이꾸"/>
      <sheetName val="1TL종점(1)"/>
      <sheetName val="가시설단위수량"/>
      <sheetName val="SORCE1"/>
      <sheetName val="공사비예산서(토목분)"/>
      <sheetName val="도급예산내역서봉투"/>
      <sheetName val="공사원가계산서"/>
      <sheetName val="기계경비(시간당)"/>
      <sheetName val="DATA"/>
      <sheetName val="도급예산내역서총괄표"/>
      <sheetName val="램머"/>
      <sheetName val="단가조사"/>
      <sheetName val="Baby일위대가"/>
      <sheetName val="분전함신설"/>
      <sheetName val="설계산출표지"/>
      <sheetName val="자재단가"/>
      <sheetName val="을부담운반비"/>
      <sheetName val="설계산출기초"/>
      <sheetName val="운반비산출"/>
      <sheetName val="접지1종"/>
      <sheetName val="Macro(차단기)"/>
      <sheetName val="조명율표"/>
      <sheetName val="간선계산"/>
      <sheetName val="전기일위대가"/>
      <sheetName val="데이타"/>
      <sheetName val="ITEM"/>
      <sheetName val="터널조도"/>
      <sheetName val="교각계산"/>
      <sheetName val="코드표"/>
      <sheetName val="화설내"/>
      <sheetName val="2000년하반기"/>
      <sheetName val="Sheet16 (2)"/>
      <sheetName val="일위2"/>
      <sheetName val="일위6"/>
      <sheetName val="포장현황"/>
      <sheetName val="공사비증감"/>
      <sheetName val="예정(3)"/>
      <sheetName val="동원(3)"/>
      <sheetName val="수안보-MBR1"/>
      <sheetName val="guard(mac)"/>
      <sheetName val="진주방향"/>
      <sheetName val="국공유지및사유지"/>
      <sheetName val="TABLE DB"/>
      <sheetName val="쌍용 data base"/>
      <sheetName val="물류최종8월7"/>
      <sheetName val="원가"/>
      <sheetName val="일반부표"/>
      <sheetName val="gvl"/>
      <sheetName val="예상"/>
      <sheetName val="Y-WORK"/>
      <sheetName val="날개벽수량표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적표"/>
      <sheetName val="토공집계표"/>
      <sheetName val="토공분석표"/>
      <sheetName val="자재대"/>
      <sheetName val="간지"/>
      <sheetName val="표지"/>
      <sheetName val="내역서 "/>
      <sheetName val="1.설계조건"/>
      <sheetName val="견적990322"/>
      <sheetName val="대비표"/>
      <sheetName val="FAB별"/>
      <sheetName val="Summary"/>
      <sheetName val="kpxlc"/>
      <sheetName val="kpxld"/>
      <sheetName val="VTu"/>
      <sheetName val="D_MUC"/>
      <sheetName val="Quantity"/>
      <sheetName val="영동(D)"/>
      <sheetName val="8.PILE  (돌출)"/>
      <sheetName val="RFP002"/>
      <sheetName val="01"/>
      <sheetName val="Rooms"/>
      <sheetName val="수입"/>
      <sheetName val="교각1"/>
      <sheetName val="하도금액분계"/>
      <sheetName val="단면가정"/>
      <sheetName val="기둥(원형)"/>
      <sheetName val="원형맨홀수량"/>
      <sheetName val="danga"/>
      <sheetName val="ilch"/>
      <sheetName val="입찰안"/>
      <sheetName val="SLAB&quot;1&quot;"/>
      <sheetName val="가도공"/>
      <sheetName val="대비"/>
      <sheetName val="용산1(해보)"/>
      <sheetName val="WVAL"/>
      <sheetName val="hvac(제어동)"/>
      <sheetName val="합계금액"/>
      <sheetName val="70%"/>
      <sheetName val="대전21토목내역서"/>
      <sheetName val="COPING"/>
      <sheetName val="input"/>
      <sheetName val="방음벽기초(H=4m)"/>
      <sheetName val="일위대가표"/>
      <sheetName val="1"/>
      <sheetName val="Front"/>
      <sheetName val="wall"/>
      <sheetName val="송라터널총괄"/>
      <sheetName val="1,2,3,4,5단위수량"/>
      <sheetName val="Macro(전선)"/>
      <sheetName val="hvac내역서(제어동)"/>
      <sheetName val="참조"/>
      <sheetName val="분석"/>
      <sheetName val="내역서_"/>
      <sheetName val="몰탈재료산출"/>
      <sheetName val="일위대가(가설)"/>
      <sheetName val="Macro1"/>
      <sheetName val="노임이"/>
      <sheetName val="내역서"/>
      <sheetName val="전기"/>
      <sheetName val="일위대가목차"/>
      <sheetName val="업무분장"/>
      <sheetName val="수리결과"/>
      <sheetName val="Rebar"/>
      <sheetName val="개산공사비"/>
      <sheetName val="기안"/>
      <sheetName val="Bảng mã VT"/>
      <sheetName val="FitOutConfCentre"/>
      <sheetName val="Unit price"/>
      <sheetName val="tong du toan"/>
      <sheetName val="DAF-2"/>
      <sheetName val="TOSHIBA-Structure"/>
      <sheetName val="125x125"/>
      <sheetName val="TABLE_DB"/>
      <sheetName val="쌍용_data_base"/>
      <sheetName val="8_PILE__(돌출)"/>
      <sheetName val="1_설계조건"/>
      <sheetName val="내역서_1"/>
      <sheetName val="6PILE__(돌출)"/>
      <sheetName val="산근"/>
      <sheetName val="2.2 S-Curve"/>
      <sheetName val="p"/>
      <sheetName val="Define finishing"/>
      <sheetName val="SEX"/>
      <sheetName val="BIDDING-SUM"/>
      <sheetName val="PTĐG"/>
      <sheetName val="RATE"/>
      <sheetName val="MA"/>
      <sheetName val="Tiến độ  Rev1 (phói hợp)"/>
      <sheetName val="Level 2"/>
      <sheetName val="VT190111"/>
      <sheetName val="TH-XL"/>
      <sheetName val="PNT-QUOT-#3"/>
      <sheetName val="Du toan"/>
      <sheetName val="Keothep"/>
      <sheetName val="Re-bar"/>
      <sheetName val="HS"/>
      <sheetName val="Cst Pkg-Eden"/>
      <sheetName val="Chi tiết cấu tạo giá (2)"/>
      <sheetName val="SUMMARY-HT Thô"/>
      <sheetName val="02.PHAT SINH TANG"/>
      <sheetName val="DT"/>
      <sheetName val="TONG HOP XIN GIA"/>
      <sheetName val="Bảng_mã_VT"/>
      <sheetName val="tong_du_toan"/>
      <sheetName val="Cover"/>
      <sheetName val="Sheet"/>
      <sheetName val="DANHMUC"/>
      <sheetName val="電気設備表"/>
      <sheetName val="유림총괄"/>
      <sheetName val="BG"/>
      <sheetName val="1.R18 BF"/>
      <sheetName val="A"/>
      <sheetName val="G"/>
      <sheetName val="F-B"/>
      <sheetName val="H-J"/>
      <sheetName val="6.External works-R18"/>
      <sheetName val="bill 3 - D Wall"/>
      <sheetName val="KHOI LUONG15-4"/>
      <sheetName val="NC"/>
      <sheetName val="Tro giup"/>
      <sheetName val="Villa A"/>
      <sheetName val="Div26 - Elect"/>
      <sheetName val="CPTNo"/>
      <sheetName val="COAT&amp;WRAP-QIOT-#3"/>
      <sheetName val="May"/>
      <sheetName val="Profile"/>
      <sheetName val="Parem"/>
      <sheetName val="VO"/>
      <sheetName val="DG"/>
      <sheetName val="Ref"/>
      <sheetName val="내역"/>
      <sheetName val="Xuly Data"/>
      <sheetName val="예가표"/>
      <sheetName val="일반수량"/>
      <sheetName val="고창방향"/>
      <sheetName val="날개벽(시점좌측)"/>
      <sheetName val="CSVC LD"/>
      <sheetName val="Ten_NVKD"/>
      <sheetName val="MAIN GATE HOUSE"/>
      <sheetName val="Setting"/>
      <sheetName val="dtct cong"/>
      <sheetName val="CTG"/>
      <sheetName val="주차구획선수량"/>
      <sheetName val="자료"/>
      <sheetName val="식생블럭단위수량"/>
      <sheetName val="총집계"/>
      <sheetName val="Chiet tinh dz35"/>
      <sheetName val="시설물기초"/>
      <sheetName val="단가산출서1"/>
      <sheetName val="식재총괄"/>
      <sheetName val="전체"/>
      <sheetName val="보온자재단가표"/>
      <sheetName val="좌측"/>
      <sheetName val="플랜트 설치"/>
      <sheetName val="갑지(추정)"/>
      <sheetName val="물가자료"/>
      <sheetName val="20관리비율"/>
      <sheetName val="전력구구조물산근"/>
      <sheetName val="99노임기준"/>
      <sheetName val="뚝토공"/>
      <sheetName val="설계명세"/>
      <sheetName val="escon"/>
      <sheetName val="GIAVLIEU"/>
      <sheetName val="SAP"/>
      <sheetName val="Sheet3"/>
      <sheetName val="Sheet4"/>
      <sheetName val="code HTT Thap"/>
      <sheetName val="Notes"/>
      <sheetName val="Mall"/>
      <sheetName val="D&amp;W def."/>
      <sheetName val="변화치수"/>
      <sheetName val="대포2교접속"/>
      <sheetName val="천방교접속"/>
      <sheetName val="2000전체분"/>
      <sheetName val="약품공급2"/>
      <sheetName val="실행대비"/>
      <sheetName val="돌담교 상부수량"/>
      <sheetName val="H-PILE수량집계"/>
      <sheetName val="수량-가로등"/>
      <sheetName val="가시설수량"/>
      <sheetName val="우수받이"/>
      <sheetName val="제원및배치"/>
      <sheetName val="돌담교_상부수량"/>
      <sheetName val="해평견적"/>
      <sheetName val="CON기초"/>
      <sheetName val="역T형교대(말뚝기초)"/>
      <sheetName val="SAP_INPUT"/>
      <sheetName val="1단계"/>
      <sheetName val="테이블"/>
      <sheetName val="건축"/>
      <sheetName val="8.석축단위(H=1.5M)"/>
      <sheetName val="원가계산"/>
      <sheetName val="장비집계"/>
      <sheetName val="자재집계표"/>
      <sheetName val="가중치"/>
      <sheetName val="용수량(생활용수)"/>
      <sheetName val="제-노임"/>
      <sheetName val="제직재"/>
      <sheetName val="신표지1"/>
      <sheetName val="구천"/>
      <sheetName val="경산"/>
      <sheetName val="평가데이터"/>
      <sheetName val="청천내"/>
      <sheetName val="일위"/>
      <sheetName val="기계경비"/>
      <sheetName val="산출금액내역"/>
      <sheetName val="현장예산"/>
      <sheetName val="예총"/>
      <sheetName val="요율"/>
      <sheetName val="준검 내역서"/>
      <sheetName val="명세서"/>
      <sheetName val="총괄"/>
      <sheetName val="조경내역서"/>
      <sheetName val="3BL공동구_수량"/>
      <sheetName val="안정검토"/>
      <sheetName val="단면설계"/>
      <sheetName val="설계내역서"/>
      <sheetName val="공사기본내용입력"/>
      <sheetName val="동원인원"/>
      <sheetName val="설계예산서"/>
      <sheetName val="2공구하도급내역서"/>
      <sheetName val="3.공통공사대비"/>
      <sheetName val="범례표"/>
      <sheetName val="옹벽일반수량"/>
      <sheetName val="품셈집계표"/>
      <sheetName val="자재조사표"/>
      <sheetName val="연결관암거"/>
      <sheetName val="현장경비"/>
      <sheetName val="방배동내역(리라)"/>
      <sheetName val="건축공사집계표"/>
      <sheetName val="방배동내역 (총괄)"/>
      <sheetName val="부대공사총괄"/>
      <sheetName val="한강운반비"/>
      <sheetName val="신우"/>
      <sheetName val="원본(갑지)"/>
      <sheetName val="단열-자재"/>
      <sheetName val="공제수량총집계표"/>
      <sheetName val="임금단가"/>
      <sheetName val="총투입계"/>
      <sheetName val="대창(함평)"/>
      <sheetName val="대창(장성)"/>
      <sheetName val="대창(함평)-창열"/>
      <sheetName val="연습"/>
      <sheetName val="설계서을"/>
      <sheetName val="견적"/>
      <sheetName val="이토변실(A3-LINE)"/>
      <sheetName val="골재산출"/>
      <sheetName val="바닥판"/>
      <sheetName val="입력DATA"/>
      <sheetName val="흥양2교토공집계표"/>
      <sheetName val="설명서 "/>
      <sheetName val="찍기"/>
      <sheetName val="정부노임단가"/>
      <sheetName val="개략"/>
      <sheetName val="노임"/>
      <sheetName val="COMPARISON TABLE"/>
      <sheetName val="crude.SLAB RE-bar"/>
      <sheetName val="CRUDE RE-bar"/>
      <sheetName val="부대공Ⅱ"/>
      <sheetName val="BID"/>
      <sheetName val="물량표S"/>
      <sheetName val="PAINT"/>
      <sheetName val="물량표"/>
      <sheetName val="예산대비"/>
      <sheetName val="지장물C"/>
      <sheetName val="법면"/>
      <sheetName val="부대공"/>
      <sheetName val="구조물공"/>
      <sheetName val="중기일위대가"/>
      <sheetName val="토공"/>
      <sheetName val="배수공1"/>
      <sheetName val="공통가설"/>
      <sheetName val="본체"/>
      <sheetName val="1.설계기준"/>
      <sheetName val="기기리스트"/>
      <sheetName val="sw1"/>
      <sheetName val="W3단면"/>
      <sheetName val="설직재-1"/>
      <sheetName val="우수공"/>
      <sheetName val="관리,공감"/>
      <sheetName val="업체별기성내역"/>
      <sheetName val="물량표(신)"/>
      <sheetName val="가로등내역서"/>
      <sheetName val="내력서"/>
      <sheetName val="배수통관(좌)"/>
      <sheetName val="음료실행"/>
      <sheetName val="98수문일위"/>
      <sheetName val="안정계산"/>
      <sheetName val="단면검토"/>
      <sheetName val="신규 수주분(사용자 정의)"/>
      <sheetName val="DATA2000"/>
      <sheetName val="역T형"/>
      <sheetName val="하수급견적대비"/>
      <sheetName val="N賃率-職"/>
      <sheetName val="설계예산"/>
      <sheetName val="손익분석"/>
      <sheetName val="연령현황"/>
      <sheetName val="일위대가(건축)"/>
      <sheetName val="세목전체"/>
      <sheetName val="WORK"/>
      <sheetName val="1.2.1 마루높이결정"/>
      <sheetName val="슬래브"/>
      <sheetName val="3.하중산정4.지지력"/>
      <sheetName val="표지 (2)"/>
      <sheetName val="일위대가(계측기설치)"/>
      <sheetName val="토적계산서"/>
      <sheetName val="2.입력sheet"/>
      <sheetName val="마산방향철근집계"/>
      <sheetName val="마산방향"/>
      <sheetName val="DATA 입력란"/>
      <sheetName val="CPM챠트"/>
      <sheetName val="H-pile(298x299)"/>
      <sheetName val="H-pile(250x250)"/>
      <sheetName val="1.우편집중내역서"/>
      <sheetName val="Pier 3"/>
      <sheetName val="2.가정단면"/>
      <sheetName val="원가계산서"/>
      <sheetName val="SILICATE"/>
      <sheetName val="TB-내역서"/>
      <sheetName val="UEC영화관본공사내역"/>
      <sheetName val="대운산출"/>
      <sheetName val="정렬"/>
      <sheetName val="금융비용"/>
      <sheetName val="토공총괄집계"/>
      <sheetName val="건축공사"/>
      <sheetName val="교대(A1)"/>
      <sheetName val="지주목시비량산출서"/>
      <sheetName val="일반공사"/>
      <sheetName val="원하도급내역서(당초)"/>
      <sheetName val="견적서"/>
      <sheetName val="배수공"/>
      <sheetName val="조작대(1연)"/>
      <sheetName val="&lt;목록&gt;"/>
      <sheetName val="직공비"/>
      <sheetName val="증감내역서"/>
      <sheetName val="7.PILE  (돌출)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산근(PE,300)"/>
      <sheetName val="특2호부관하천산근"/>
      <sheetName val="특2호하천산근"/>
      <sheetName val="RAB AR&amp;STR"/>
      <sheetName val="6MONTHS"/>
      <sheetName val="chitimc"/>
      <sheetName val="dongia (2)"/>
      <sheetName val="giathanh1"/>
      <sheetName val="t-h HA THE"/>
      <sheetName val="lam-moi"/>
      <sheetName val="THPDMoi  (2)"/>
      <sheetName val="gtrinh"/>
      <sheetName val="phuluc1"/>
      <sheetName val="DONGIA"/>
      <sheetName val="thao-go"/>
      <sheetName val="DON GIA"/>
      <sheetName val="TONGKE-HT"/>
      <sheetName val="dtxl"/>
      <sheetName val="CHITIET VL-NC-TT -1p"/>
      <sheetName val="TONG HOP VL-NC TT"/>
      <sheetName val="TH XL"/>
      <sheetName val="VC"/>
      <sheetName val="chitiet"/>
      <sheetName val="Tiepdia"/>
      <sheetName val="CHITIET VL-NC-TT-3p"/>
      <sheetName val="TDTKP"/>
      <sheetName val="TDTKP1"/>
      <sheetName val="KPVC-BD "/>
      <sheetName val="CHITIET VL-NC"/>
      <sheetName val="B3A - TOWER A"/>
      <sheetName val="4-Lane bridge"/>
      <sheetName val="Z"/>
      <sheetName val="Thuc thanh"/>
      <sheetName val="264"/>
      <sheetName val="주경기-오배수"/>
      <sheetName val="식재일위대가"/>
      <sheetName val="설계변경원가계산총괄표"/>
      <sheetName val="품셈TABLE"/>
      <sheetName val="식재인부"/>
      <sheetName val="공사비산출내역"/>
      <sheetName val="소방현물"/>
      <sheetName val="옥룡잡비"/>
      <sheetName val="인명부"/>
      <sheetName val="내역및총괄"/>
      <sheetName val="M1"/>
      <sheetName val="(3.품질관리 시험 총괄표)"/>
      <sheetName val="지급자재"/>
      <sheetName val="토량1-1"/>
      <sheetName val="산출내역서집계표"/>
      <sheetName val="별표 "/>
      <sheetName val="단가조사-2"/>
      <sheetName val="VE절감"/>
      <sheetName val="토공(우물통,기타) "/>
      <sheetName val="수량집계표"/>
      <sheetName val="수량BOQ"/>
      <sheetName val="거래처등록"/>
      <sheetName val="도장수량(하1)"/>
      <sheetName val="주형"/>
      <sheetName val="소비자가"/>
      <sheetName val="기초단가"/>
      <sheetName val="중기손료"/>
      <sheetName val="건축내역"/>
      <sheetName val="설계명세서"/>
      <sheetName val="#3_일위대가목록"/>
      <sheetName val="차수공개요"/>
      <sheetName val="당초"/>
      <sheetName val="PIPING"/>
      <sheetName val="#2_일위대가목록"/>
      <sheetName val="중기"/>
      <sheetName val="DB"/>
      <sheetName val="TEL"/>
      <sheetName val="Currency Rate"/>
      <sheetName val="Buy vs. Lease Car"/>
      <sheetName val="수량집계"/>
      <sheetName val="이형관"/>
      <sheetName val="U-TYPE(1)"/>
      <sheetName val="기초일위"/>
      <sheetName val="수목단가"/>
      <sheetName val="시설수량표"/>
      <sheetName val="시설일위"/>
      <sheetName val="식재수량표"/>
      <sheetName val="식재일위"/>
      <sheetName val="맨홀수량산출(A-LINE)"/>
      <sheetName val="단중표"/>
      <sheetName val="공사내역"/>
      <sheetName val="주요자재총괄집계"/>
      <sheetName val="총괄일반수량총괄표"/>
      <sheetName val="출력X"/>
      <sheetName val="현황"/>
      <sheetName val="5.CROSS BEAM"/>
      <sheetName val="4.4 하중계산"/>
      <sheetName val="일위대가1"/>
      <sheetName val="일위목록"/>
      <sheetName val="중기비"/>
      <sheetName val="VC2 10.99"/>
      <sheetName val="SLAB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/>
      <sheetData sheetId="248"/>
      <sheetData sheetId="249"/>
      <sheetData sheetId="250"/>
      <sheetData sheetId="251"/>
      <sheetData sheetId="252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경관조명"/>
      <sheetName val="관로"/>
      <sheetName val="조명등기초"/>
      <sheetName val="분전반기초"/>
      <sheetName val="갑지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조도"/>
      <sheetName val="부하"/>
      <sheetName val="동력"/>
      <sheetName val="0.6-1kV 케이블 (전동기)"/>
      <sheetName val="변압기"/>
      <sheetName val="발전기"/>
      <sheetName val="간선"/>
      <sheetName val="APT"/>
      <sheetName val="도체종-상수표"/>
      <sheetName val="임피던스"/>
      <sheetName val="CABLE SIZE"/>
      <sheetName val="접지"/>
      <sheetName val="수변전"/>
      <sheetName val="Sheet11"/>
      <sheetName val="Sheet12"/>
      <sheetName val="Sheet13"/>
      <sheetName val="Sheet14"/>
      <sheetName val="Sheet15"/>
      <sheetName val="Sheet16"/>
      <sheetName val="#REF"/>
      <sheetName val="전기자료"/>
      <sheetName val="게스트하우스-냉방"/>
      <sheetName val="Sheet9"/>
      <sheetName val="Sheet10"/>
      <sheetName val="전계강도"/>
      <sheetName val="504전기실 동부하-L"/>
      <sheetName val="변압기  (2)"/>
      <sheetName val="일반전등부하 (LP-C-PNL)"/>
      <sheetName val="DUT-BAT1"/>
      <sheetName val="변압기 "/>
      <sheetName val="Sheet8"/>
      <sheetName val="변압기1 "/>
      <sheetName val="부속동부하"/>
      <sheetName val="지하제연동력N"/>
      <sheetName val="변압기2"/>
      <sheetName val="GEN"/>
      <sheetName val="아파트동L-E"/>
      <sheetName val="획지1-동부하"/>
      <sheetName val="부속동"/>
      <sheetName val="세대부하"/>
      <sheetName val="획지2-동부하"/>
      <sheetName val="코아별부하"/>
      <sheetName val="L-E"/>
      <sheetName val="지하배수동력N"/>
      <sheetName val="101동부하-N"/>
      <sheetName val="301동부하-N"/>
      <sheetName val="201동부하-N"/>
      <sheetName val="401동부하-N"/>
      <sheetName val="변압기(세대)-N"/>
      <sheetName val="저압반기기-N"/>
      <sheetName val="CABLE SIZE-변경"/>
      <sheetName val="전압강하계산서"/>
      <sheetName val="GE_x0002_"/>
      <sheetName val=""/>
      <sheetName val="변압Ȱ_x0000_"/>
      <sheetName val="갑지(추정)"/>
      <sheetName val="Macro1"/>
      <sheetName val="Macro(AT)"/>
      <sheetName val="Macro(MCC)"/>
      <sheetName val="선로의 %임피던스 "/>
      <sheetName val="동-LE"/>
      <sheetName val="부속동동력"/>
      <sheetName val="LE-PNL"/>
      <sheetName val="세대"/>
      <sheetName val="VXXXXX"/>
      <sheetName val="주차장동력-1"/>
      <sheetName val="변압기(일반L-PNL)"/>
      <sheetName val="기계실동력"/>
      <sheetName val="주차장동력-2"/>
      <sheetName val="ELP-21"/>
      <sheetName val="TR"/>
      <sheetName val="data"/>
      <sheetName val="ELP-9"/>
      <sheetName val="동부하-L"/>
      <sheetName val="전압강하"/>
      <sheetName val="MCC-B6C"/>
      <sheetName val="동지붕"/>
      <sheetName val="주차장"/>
      <sheetName val="MCC-B6B"/>
      <sheetName val="ELP-B6"/>
      <sheetName val="변압기E"/>
      <sheetName val="주(지2)"/>
      <sheetName val="LE-B1"/>
      <sheetName val="P"/>
      <sheetName val="주차장동력"/>
      <sheetName val="TR(E)"/>
      <sheetName val="EMCC-B6A"/>
      <sheetName val="laroux"/>
      <sheetName val="SMP-1,ELEV"/>
      <sheetName val="ELP-27"/>
      <sheetName val="LE"/>
      <sheetName val="EMCC-PH1"/>
      <sheetName val="P-FAN-PNL "/>
      <sheetName val="ELP-15"/>
      <sheetName val="허용전류"/>
      <sheetName val="MCC"/>
      <sheetName val="ELP-3"/>
      <sheetName val="주차장PK-B"/>
      <sheetName val="P-J"/>
      <sheetName val="차단기"/>
      <sheetName val="L-A"/>
      <sheetName val="임피던스-1"/>
      <sheetName val="ELEV,별도동력"/>
      <sheetName val="통신케이블외경"/>
      <sheetName val="동간선 "/>
      <sheetName val="Sheet1"/>
      <sheetName val="DATA1"/>
      <sheetName val="케이블외경"/>
      <sheetName val="HIV허용전류(전선관공사)"/>
      <sheetName val="F-CV의허용전류(전선관공사)"/>
      <sheetName val="F-CV의허용전류(TRAY)"/>
      <sheetName val="공용부하"/>
      <sheetName val="Macro(발전기)"/>
      <sheetName val="승강기"/>
      <sheetName val="데이타"/>
      <sheetName val="CABLE DATA"/>
      <sheetName val="조도 DATA"/>
      <sheetName val="동력 DATE"/>
      <sheetName val="발전기 계산서"/>
      <sheetName val="교각1"/>
      <sheetName val="품목"/>
      <sheetName val="조명시설"/>
      <sheetName val="전력케이블"/>
      <sheetName val="통신케이블"/>
      <sheetName val="케이블임피던스"/>
      <sheetName val="차단기 선정"/>
      <sheetName val="HIV전선의허용전류(전선관공사)"/>
      <sheetName val="F-CV전선의허용전류(전선관공사)"/>
      <sheetName val="전선의허용전류(TRAY공사)"/>
      <sheetName val="수용률"/>
      <sheetName val="Sheet2"/>
      <sheetName val="Sheet3"/>
      <sheetName val="FUSE_MCB"/>
    </sheetNames>
    <sheetDataSet>
      <sheetData sheetId="0" refreshError="1"/>
      <sheetData sheetId="1" refreshError="1"/>
      <sheetData sheetId="2" refreshError="1">
        <row r="2">
          <cell r="B2" t="str">
            <v>***부하 계산서 자료***</v>
          </cell>
        </row>
        <row r="45">
          <cell r="Q45" t="str">
            <v>불평등 부하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60">
          <cell r="K60">
            <v>6</v>
          </cell>
        </row>
        <row r="61">
          <cell r="L61">
            <v>69</v>
          </cell>
        </row>
        <row r="62">
          <cell r="L62">
            <v>67</v>
          </cell>
        </row>
        <row r="63">
          <cell r="L63">
            <v>64</v>
          </cell>
        </row>
        <row r="64">
          <cell r="L64">
            <v>62</v>
          </cell>
        </row>
        <row r="65">
          <cell r="L65">
            <v>60</v>
          </cell>
        </row>
        <row r="66">
          <cell r="L66">
            <v>59</v>
          </cell>
        </row>
        <row r="67">
          <cell r="L67">
            <v>58</v>
          </cell>
        </row>
        <row r="68">
          <cell r="L68">
            <v>57</v>
          </cell>
        </row>
        <row r="69">
          <cell r="L69">
            <v>57</v>
          </cell>
        </row>
        <row r="70">
          <cell r="L70">
            <v>55</v>
          </cell>
        </row>
        <row r="71">
          <cell r="L71">
            <v>53</v>
          </cell>
        </row>
        <row r="72">
          <cell r="L72">
            <v>48</v>
          </cell>
        </row>
        <row r="73">
          <cell r="L73">
            <v>48</v>
          </cell>
        </row>
        <row r="74">
          <cell r="L74">
            <v>48</v>
          </cell>
        </row>
        <row r="75">
          <cell r="L75">
            <v>47</v>
          </cell>
        </row>
        <row r="76">
          <cell r="L76">
            <v>47</v>
          </cell>
        </row>
        <row r="77">
          <cell r="L77">
            <v>45</v>
          </cell>
        </row>
        <row r="78">
          <cell r="L78">
            <v>45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견적대비표"/>
      <sheetName val="기기리스트"/>
      <sheetName val="축산 기기리스트"/>
      <sheetName val="집계표"/>
      <sheetName val="GI-LIST"/>
      <sheetName val="기본DATA"/>
      <sheetName val="Sheet2"/>
      <sheetName val="내역서"/>
      <sheetName val="입찰안"/>
      <sheetName val="#REF"/>
      <sheetName val="일위대가(가설)"/>
      <sheetName val="설계예산2"/>
      <sheetName val="설계내역서"/>
      <sheetName val="전기일위대가"/>
      <sheetName val="일위대가"/>
      <sheetName val="조명율표"/>
      <sheetName val="일위(PN)"/>
      <sheetName val="동원인원"/>
      <sheetName val="계정"/>
      <sheetName val="ITEM"/>
      <sheetName val="조명시설"/>
      <sheetName val="업무분장"/>
      <sheetName val="특별교실"/>
      <sheetName val="내역서1999.8최종"/>
      <sheetName val="교각계산"/>
      <sheetName val="Sheet1"/>
      <sheetName val="MOTOR"/>
      <sheetName val="수주전망영업부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조명일위"/>
      <sheetName val="SG"/>
      <sheetName val="예정(3)"/>
      <sheetName val="동원(3)"/>
      <sheetName val="갑지"/>
      <sheetName val="공사비증감"/>
      <sheetName val="Y-WORK"/>
      <sheetName val="견적을지"/>
      <sheetName val="견적서"/>
      <sheetName val="단락전류-A"/>
      <sheetName val="조도계산서 (도서)"/>
      <sheetName val="약품공급2"/>
      <sheetName val="신우"/>
      <sheetName val="DATE"/>
      <sheetName val="노임단가"/>
      <sheetName val="1단계"/>
      <sheetName val="일위대가(계측기설치)"/>
      <sheetName val="DATA"/>
      <sheetName val="아수배전(1회)"/>
      <sheetName val="보할공정"/>
      <sheetName val="대로근거"/>
      <sheetName val="중로근거"/>
      <sheetName val="데리네이타현황"/>
      <sheetName val="발주서 (의정부)"/>
      <sheetName val="실행내역서 "/>
      <sheetName val="수량산출"/>
      <sheetName val="화재 탐지 설비"/>
      <sheetName val="일위대가목차"/>
      <sheetName val="BID"/>
      <sheetName val="EQT-ESTN"/>
      <sheetName val="계수시트"/>
      <sheetName val="원가계산서"/>
      <sheetName val="static.cal"/>
      <sheetName val="JUCKEYK"/>
      <sheetName val="총괄"/>
      <sheetName val="S0"/>
      <sheetName val="NOMUBI"/>
      <sheetName val="자재단가"/>
      <sheetName val="tggwan(mac)"/>
      <sheetName val="N賃率-職"/>
      <sheetName val="시설일위"/>
      <sheetName val="견적대비"/>
      <sheetName val="인수공규격"/>
      <sheetName val="우수공"/>
      <sheetName val="제출내역 (2)"/>
      <sheetName val="G.R300경비"/>
      <sheetName val="대치판정"/>
      <sheetName val="터파기및재료"/>
      <sheetName val="대가수량"/>
      <sheetName val="ABUT수량-A1"/>
      <sheetName val="교대시점"/>
      <sheetName val="1호토공"/>
      <sheetName val="도로토적"/>
      <sheetName val="가도공"/>
      <sheetName val="8.PILE  (돌출)"/>
      <sheetName val="수량산출서"/>
      <sheetName val="산출근거"/>
      <sheetName val="시설물일위"/>
      <sheetName val="노임"/>
      <sheetName val="INPUT"/>
      <sheetName val="실행철강하도"/>
      <sheetName val="산근1,2"/>
      <sheetName val="우각부보강"/>
      <sheetName val="マージン"/>
      <sheetName val="STEEL BOX 단면설계(SEC.8)"/>
      <sheetName val="수입"/>
      <sheetName val="본체"/>
      <sheetName val="SORCE1"/>
      <sheetName val="설비"/>
      <sheetName val="EP0618"/>
      <sheetName val="1.설계조건"/>
      <sheetName val="내역"/>
      <sheetName val="(전기)설계예산서"/>
      <sheetName val="동해title"/>
      <sheetName val="설계조건"/>
      <sheetName val="우수"/>
      <sheetName val="단가"/>
      <sheetName val="TARGET"/>
      <sheetName val="연결임시"/>
      <sheetName val="노무비단가"/>
      <sheetName val="신당동집계표"/>
      <sheetName val="청하배수"/>
      <sheetName val="bm(CIcable)"/>
      <sheetName val="FORM-0"/>
      <sheetName val="01"/>
      <sheetName val="노임이"/>
      <sheetName val="갑지(추정)"/>
      <sheetName val="금액내역서"/>
      <sheetName val="1ST"/>
      <sheetName val="갑지1"/>
      <sheetName val="금융비용"/>
      <sheetName val="LANGUAGE"/>
      <sheetName val="플랜트 설치"/>
      <sheetName val="COVER"/>
      <sheetName val="Total"/>
      <sheetName val="경계석"/>
      <sheetName val="가락화장을지"/>
      <sheetName val="설계가"/>
      <sheetName val="2000전체분"/>
      <sheetName val="2000년1차"/>
      <sheetName val="공량산출서"/>
      <sheetName val="삼원"/>
      <sheetName val="그린"/>
      <sheetName val="한창-을"/>
      <sheetName val="품셈"/>
      <sheetName val="7.경제성결과"/>
      <sheetName val="__K_y_g_project_WINDOWS_GI_LI_2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3.vml"/><Relationship Id="rId7" Type="http://schemas.openxmlformats.org/officeDocument/2006/relationships/image" Target="../media/image6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5.emf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0"/>
  <sheetViews>
    <sheetView topLeftCell="A19" workbookViewId="0">
      <selection activeCell="J35" sqref="J35"/>
    </sheetView>
  </sheetViews>
  <sheetFormatPr defaultRowHeight="13.5"/>
  <cols>
    <col min="1" max="2" width="3.6640625" style="984" customWidth="1"/>
    <col min="3" max="3" width="19.21875" style="984" customWidth="1"/>
    <col min="4" max="4" width="5" style="984" customWidth="1"/>
    <col min="5" max="5" width="13.44140625" style="984" customWidth="1"/>
    <col min="6" max="6" width="6.33203125" style="984" bestFit="1" customWidth="1"/>
    <col min="7" max="7" width="13.44140625" style="984" customWidth="1"/>
    <col min="8" max="8" width="12.109375" style="984" customWidth="1"/>
    <col min="9" max="10" width="8.88671875" style="984"/>
    <col min="11" max="11" width="11.21875" style="984" customWidth="1"/>
    <col min="12" max="12" width="16.77734375" style="984" customWidth="1"/>
    <col min="13" max="13" width="14.33203125" style="984" customWidth="1"/>
    <col min="14" max="14" width="13.44140625" style="984" customWidth="1"/>
    <col min="15" max="15" width="15.109375" style="984" customWidth="1"/>
    <col min="16" max="16" width="8.88671875" style="984"/>
    <col min="17" max="19" width="13.77734375" style="984" customWidth="1"/>
    <col min="20" max="16384" width="8.88671875" style="984"/>
  </cols>
  <sheetData>
    <row r="1" spans="1:15" ht="31.5">
      <c r="A1" s="1163" t="s">
        <v>2644</v>
      </c>
      <c r="B1" s="1164"/>
      <c r="C1" s="1164"/>
      <c r="D1" s="1164"/>
      <c r="E1" s="1164"/>
      <c r="F1" s="1164"/>
      <c r="G1" s="1164"/>
      <c r="H1" s="1164"/>
      <c r="I1" s="1164"/>
    </row>
    <row r="2" spans="1:15" ht="33.75">
      <c r="A2" s="985"/>
      <c r="B2" s="986"/>
      <c r="C2" s="986"/>
      <c r="D2" s="986"/>
      <c r="E2" s="986"/>
      <c r="F2" s="986"/>
      <c r="G2" s="986"/>
      <c r="H2" s="986"/>
      <c r="I2" s="986"/>
    </row>
    <row r="3" spans="1:15" ht="21" thickBot="1">
      <c r="A3" s="987" t="s">
        <v>2645</v>
      </c>
      <c r="B3" s="988"/>
      <c r="C3" s="988"/>
      <c r="D3" s="988"/>
      <c r="E3" s="988"/>
      <c r="F3" s="988"/>
      <c r="G3" s="988"/>
      <c r="H3" s="988"/>
      <c r="I3" s="988"/>
      <c r="J3" s="984" t="s">
        <v>2646</v>
      </c>
      <c r="K3" s="989" t="s">
        <v>2647</v>
      </c>
    </row>
    <row r="4" spans="1:15" ht="24.95" customHeight="1">
      <c r="A4" s="1165" t="s">
        <v>2648</v>
      </c>
      <c r="B4" s="1166"/>
      <c r="C4" s="1169" t="s">
        <v>2649</v>
      </c>
      <c r="D4" s="1171" t="s">
        <v>2650</v>
      </c>
      <c r="E4" s="1172"/>
      <c r="F4" s="1173" t="s">
        <v>2651</v>
      </c>
      <c r="G4" s="1174"/>
      <c r="H4" s="1175" t="s">
        <v>2652</v>
      </c>
      <c r="I4" s="1177" t="s">
        <v>2653</v>
      </c>
    </row>
    <row r="5" spans="1:15" ht="24.95" customHeight="1" thickBot="1">
      <c r="A5" s="1167"/>
      <c r="B5" s="1168"/>
      <c r="C5" s="1170"/>
      <c r="D5" s="990" t="s">
        <v>2654</v>
      </c>
      <c r="E5" s="990" t="s">
        <v>2655</v>
      </c>
      <c r="F5" s="990" t="s">
        <v>2656</v>
      </c>
      <c r="G5" s="991" t="s">
        <v>2657</v>
      </c>
      <c r="H5" s="1176"/>
      <c r="I5" s="1178"/>
    </row>
    <row r="6" spans="1:15" ht="24.95" customHeight="1" thickTop="1">
      <c r="A6" s="1185" t="s">
        <v>2658</v>
      </c>
      <c r="B6" s="1188" t="s">
        <v>2659</v>
      </c>
      <c r="C6" s="992" t="s">
        <v>2660</v>
      </c>
      <c r="D6" s="993"/>
      <c r="E6" s="993">
        <v>27026171</v>
      </c>
      <c r="F6" s="993"/>
      <c r="G6" s="994" t="e">
        <f>#REF!</f>
        <v>#REF!</v>
      </c>
      <c r="H6" s="993" t="e">
        <f>G6-E6</f>
        <v>#REF!</v>
      </c>
      <c r="I6" s="995"/>
    </row>
    <row r="7" spans="1:15" ht="24.95" customHeight="1">
      <c r="A7" s="1186"/>
      <c r="B7" s="1189"/>
      <c r="C7" s="996" t="s">
        <v>2661</v>
      </c>
      <c r="D7" s="997"/>
      <c r="E7" s="997">
        <f>SUM(E6)</f>
        <v>27026171</v>
      </c>
      <c r="F7" s="997"/>
      <c r="G7" s="998" t="e">
        <f>SUM(G6)</f>
        <v>#REF!</v>
      </c>
      <c r="H7" s="999" t="e">
        <f>G7-E7</f>
        <v>#REF!</v>
      </c>
      <c r="I7" s="1000"/>
    </row>
    <row r="8" spans="1:15" ht="24.95" customHeight="1">
      <c r="A8" s="1186"/>
      <c r="B8" s="1190" t="s">
        <v>2662</v>
      </c>
      <c r="C8" s="1001" t="s">
        <v>2663</v>
      </c>
      <c r="D8" s="1002"/>
      <c r="E8" s="1003">
        <v>99129378</v>
      </c>
      <c r="F8" s="1002"/>
      <c r="G8" s="1002" t="e">
        <f>#REF!</f>
        <v>#REF!</v>
      </c>
      <c r="H8" s="999" t="e">
        <f t="shared" ref="H8:H31" si="0">G8-E8</f>
        <v>#REF!</v>
      </c>
      <c r="I8" s="1000"/>
    </row>
    <row r="9" spans="1:15" ht="24.95" customHeight="1">
      <c r="A9" s="1186"/>
      <c r="B9" s="1191"/>
      <c r="C9" s="1001" t="s">
        <v>2664</v>
      </c>
      <c r="D9" s="1004">
        <v>16.7</v>
      </c>
      <c r="E9" s="1003">
        <f>TRUNC(E8*D9%)</f>
        <v>16554606</v>
      </c>
      <c r="F9" s="1004">
        <v>16.7</v>
      </c>
      <c r="G9" s="1002" t="e">
        <f>TRUNC(G8*F9%)</f>
        <v>#REF!</v>
      </c>
      <c r="H9" s="999" t="e">
        <f t="shared" si="0"/>
        <v>#REF!</v>
      </c>
      <c r="I9" s="1000"/>
    </row>
    <row r="10" spans="1:15" ht="24.95" customHeight="1">
      <c r="A10" s="1186"/>
      <c r="B10" s="1189"/>
      <c r="C10" s="996" t="s">
        <v>2661</v>
      </c>
      <c r="D10" s="1005"/>
      <c r="E10" s="1006">
        <f>SUM(E8:E9)</f>
        <v>115683984</v>
      </c>
      <c r="F10" s="1005"/>
      <c r="G10" s="1006" t="e">
        <f>SUM(G8:G9)</f>
        <v>#REF!</v>
      </c>
      <c r="H10" s="999" t="e">
        <f t="shared" si="0"/>
        <v>#REF!</v>
      </c>
      <c r="I10" s="1000"/>
    </row>
    <row r="11" spans="1:15" ht="24.95" customHeight="1">
      <c r="A11" s="1186"/>
      <c r="B11" s="1190" t="s">
        <v>2665</v>
      </c>
      <c r="C11" s="1001" t="s">
        <v>2666</v>
      </c>
      <c r="D11" s="1007"/>
      <c r="E11" s="1008">
        <v>24575935</v>
      </c>
      <c r="F11" s="1007"/>
      <c r="G11" s="1008" t="e">
        <f>#REF!</f>
        <v>#REF!</v>
      </c>
      <c r="H11" s="999" t="e">
        <f t="shared" si="0"/>
        <v>#REF!</v>
      </c>
      <c r="I11" s="1000"/>
      <c r="J11" s="1009"/>
      <c r="K11" s="1010" t="s">
        <v>2667</v>
      </c>
      <c r="L11" s="1009"/>
      <c r="M11" s="1011" t="s">
        <v>2668</v>
      </c>
      <c r="N11" s="1009"/>
      <c r="O11" s="1009"/>
    </row>
    <row r="12" spans="1:15" ht="24.95" customHeight="1">
      <c r="A12" s="1186"/>
      <c r="B12" s="1191"/>
      <c r="C12" s="1001" t="s">
        <v>2669</v>
      </c>
      <c r="D12" s="1012">
        <v>3.56</v>
      </c>
      <c r="E12" s="1013">
        <f>TRUNC(E10*D12%)</f>
        <v>4118349</v>
      </c>
      <c r="F12" s="1012">
        <v>3.56</v>
      </c>
      <c r="G12" s="1013" t="e">
        <f>TRUNC(G10*F12%)</f>
        <v>#REF!</v>
      </c>
      <c r="H12" s="999" t="e">
        <f t="shared" si="0"/>
        <v>#REF!</v>
      </c>
      <c r="I12" s="1014"/>
      <c r="J12" s="1010" t="s">
        <v>2670</v>
      </c>
      <c r="K12" s="1015"/>
      <c r="L12" s="1016" t="s">
        <v>2671</v>
      </c>
      <c r="M12" s="1016" t="s">
        <v>2654</v>
      </c>
      <c r="N12" s="1016" t="s">
        <v>2672</v>
      </c>
      <c r="O12" s="1017" t="s">
        <v>2673</v>
      </c>
    </row>
    <row r="13" spans="1:15" ht="24.95" customHeight="1">
      <c r="A13" s="1186"/>
      <c r="B13" s="1191"/>
      <c r="C13" s="1001" t="s">
        <v>2674</v>
      </c>
      <c r="D13" s="1012">
        <v>1.01</v>
      </c>
      <c r="E13" s="1013">
        <f>TRUNC(E10*D13%)</f>
        <v>1168408</v>
      </c>
      <c r="F13" s="1012">
        <v>1.01</v>
      </c>
      <c r="G13" s="1013" t="e">
        <f>TRUNC(G10*F13%)</f>
        <v>#REF!</v>
      </c>
      <c r="H13" s="999" t="e">
        <f t="shared" si="0"/>
        <v>#REF!</v>
      </c>
      <c r="I13" s="1014"/>
      <c r="J13" s="1009"/>
      <c r="K13" s="1018" t="s">
        <v>2675</v>
      </c>
      <c r="L13" s="1019">
        <f>IF(E33=0,E7+E8,0)</f>
        <v>0</v>
      </c>
      <c r="M13" s="1020">
        <f>IF($M$11="건축",IF(L13&lt;500000000,3.11%,IF(L13&lt;5000000000,2.28%,2.37%)),IF($M$11="토목",IF(L13&lt;500000000,3.15%,IF(L13&lt;5000000000,2.53%,2.6%)),IF(L13&lt;500000000,2.07%,IF(L13&lt;5000000000,1.59%,1.64%))))</f>
        <v>2.07E-2</v>
      </c>
      <c r="N13" s="1021">
        <f>IF($M$11="건축",IF(L13&lt;500000000,0,IF(L13&lt;5000000000,4325000,0)),IF($M$11="토목",IF(L13&lt;500000000,0,IF(L13&lt;5000000000,3300000,0)),IF(L13&lt;500000000,0,IF(L13&lt;5000000000,2450000,0))))</f>
        <v>0</v>
      </c>
      <c r="O13" s="1022">
        <f>TRUNC(L13*M13+N13)</f>
        <v>0</v>
      </c>
    </row>
    <row r="14" spans="1:15" ht="24.95" customHeight="1">
      <c r="A14" s="1186"/>
      <c r="B14" s="1191"/>
      <c r="C14" s="1001" t="s">
        <v>2676</v>
      </c>
      <c r="D14" s="1023">
        <v>3.5950000000000002</v>
      </c>
      <c r="E14" s="1013">
        <f>TRUNC(E8*D14%)</f>
        <v>3563701</v>
      </c>
      <c r="F14" s="1023">
        <v>3.5950000000000002</v>
      </c>
      <c r="G14" s="1013" t="e">
        <f>TRUNC(G8*F14%)</f>
        <v>#REF!</v>
      </c>
      <c r="H14" s="999" t="e">
        <f t="shared" si="0"/>
        <v>#REF!</v>
      </c>
      <c r="I14" s="1014"/>
      <c r="J14" s="1009"/>
      <c r="K14" s="1018" t="s">
        <v>2677</v>
      </c>
      <c r="L14" s="1019">
        <f>IF(E33=0,0,(E7+E8+E33/1.1))</f>
        <v>259488276.27272725</v>
      </c>
      <c r="M14" s="1020">
        <f>IF($M$11="건축",IF(L14&lt;500000000,3.11%,IF(L14&lt;5000000000,2.28%,2.37%)),IF($M$11="토목",IF(L14&lt;500000000,3.15%,IF(L14&lt;5000000000,2.53%,2.6%)),IF(L14&lt;500000000,2.07%,IF(L14&lt;5000000000,1.59%,1.64%))))</f>
        <v>2.07E-2</v>
      </c>
      <c r="N14" s="1021">
        <f>IF($M$11="건축",IF(L14&lt;500000000,0,IF(L14&lt;5000000000,4325000,0)),IF($M$11="토목",IF(L14&lt;500000000,0,IF(L14&lt;5000000000,3300000,0)),IF(L14&lt;500000000,0,IF(L14&lt;5000000000,2450000,0))))</f>
        <v>0</v>
      </c>
      <c r="O14" s="1024">
        <f t="shared" ref="O14" si="1">TRUNC(L14*M14+N14)</f>
        <v>5371407</v>
      </c>
    </row>
    <row r="15" spans="1:15" ht="24.95" customHeight="1">
      <c r="A15" s="1186"/>
      <c r="B15" s="1191"/>
      <c r="C15" s="1001" t="s">
        <v>2678</v>
      </c>
      <c r="D15" s="1012">
        <v>13.14</v>
      </c>
      <c r="E15" s="1013">
        <f>TRUNC(E14*D15%)</f>
        <v>468270</v>
      </c>
      <c r="F15" s="1012">
        <v>13.14</v>
      </c>
      <c r="G15" s="1013" t="e">
        <f>TRUNC(G14*F15%)</f>
        <v>#REF!</v>
      </c>
      <c r="H15" s="999" t="e">
        <f t="shared" si="0"/>
        <v>#REF!</v>
      </c>
      <c r="I15" s="1014"/>
      <c r="J15" s="1009"/>
      <c r="K15" s="1025" t="s">
        <v>2679</v>
      </c>
      <c r="L15" s="1026">
        <f>IF(E33=0,0,E7+E8)</f>
        <v>126155549</v>
      </c>
      <c r="M15" s="1027">
        <f>IF($M$11="건축",IF(L15&lt;500000000,3.11%,IF(L15&lt;5000000000,2.28%,2.37%)),IF($M$11="토목",IF(L15&lt;500000000,3.15%,IF(L15&lt;5000000000,2.53%,2.6%)),IF(L15&lt;500000000,2.07%,IF(L15&lt;5000000000,1.59%,1.64%))))</f>
        <v>2.07E-2</v>
      </c>
      <c r="N15" s="1028">
        <f>IF($M$11="건축",IF(L15&lt;500000000,0,IF(L15&lt;5000000000,4325000,0)),IF($M$11="토목",IF(L15&lt;500000000,0,IF(L15&lt;5000000000,3300000,0)),IF(L15&lt;500000000,0,IF(L15&lt;5000000000,2450000,0))))</f>
        <v>0</v>
      </c>
      <c r="O15" s="1029">
        <f>TRUNC((L15*M15+N15)*1.2)</f>
        <v>3133703</v>
      </c>
    </row>
    <row r="16" spans="1:15" ht="24.95" customHeight="1">
      <c r="A16" s="1186"/>
      <c r="B16" s="1191"/>
      <c r="C16" s="1001" t="s">
        <v>2680</v>
      </c>
      <c r="D16" s="1012">
        <v>4.75</v>
      </c>
      <c r="E16" s="1013">
        <f>TRUNC(E8*D16%)</f>
        <v>4708645</v>
      </c>
      <c r="F16" s="1012">
        <v>4.75</v>
      </c>
      <c r="G16" s="1013" t="e">
        <f>TRUNC(G8*F16%)</f>
        <v>#REF!</v>
      </c>
      <c r="H16" s="999" t="e">
        <f t="shared" si="0"/>
        <v>#REF!</v>
      </c>
      <c r="I16" s="1014"/>
      <c r="J16" s="1009"/>
      <c r="K16" s="1009" t="s">
        <v>2681</v>
      </c>
      <c r="L16" s="1009"/>
      <c r="M16" s="1011" t="s">
        <v>2682</v>
      </c>
      <c r="N16" s="1030"/>
      <c r="O16" s="1031"/>
    </row>
    <row r="17" spans="1:19" ht="24.95" customHeight="1">
      <c r="A17" s="1186"/>
      <c r="B17" s="1191"/>
      <c r="C17" s="1001" t="s">
        <v>2683</v>
      </c>
      <c r="D17" s="1012">
        <v>2.2999999999999998</v>
      </c>
      <c r="E17" s="1013">
        <f>TRUNC(E8*D17%)</f>
        <v>2279975</v>
      </c>
      <c r="F17" s="1023" t="s">
        <v>2684</v>
      </c>
      <c r="G17" s="1013" t="e">
        <f>TRUNC(G8*F17%)</f>
        <v>#REF!</v>
      </c>
      <c r="H17" s="999" t="e">
        <f t="shared" si="0"/>
        <v>#REF!</v>
      </c>
      <c r="I17" s="1014"/>
      <c r="J17" s="1010" t="s">
        <v>2685</v>
      </c>
      <c r="K17" s="1015"/>
      <c r="L17" s="1016" t="s">
        <v>2686</v>
      </c>
      <c r="M17" s="1016" t="s">
        <v>2687</v>
      </c>
      <c r="N17" s="1016" t="s">
        <v>2688</v>
      </c>
      <c r="O17" s="1032" t="s">
        <v>2657</v>
      </c>
    </row>
    <row r="18" spans="1:19" ht="24.95" customHeight="1">
      <c r="A18" s="1186"/>
      <c r="B18" s="1191"/>
      <c r="C18" s="1001" t="s">
        <v>2689</v>
      </c>
      <c r="D18" s="1012">
        <f>IF(O13=0,IF(MIN(O14:O15)=O14,M14*100,M15*100),M13*100)</f>
        <v>2.0699999999999998</v>
      </c>
      <c r="E18" s="1013">
        <f>IF(O13=0,MIN(O14:O15),O13)</f>
        <v>3133703</v>
      </c>
      <c r="F18" s="1012" t="e">
        <f>IF(O18=0,IF(MIN(O21:O22)=O21,M21*100,M22*100),M18*100)</f>
        <v>#REF!</v>
      </c>
      <c r="G18" s="1013" t="e">
        <f>IF(O18=0,MIN(O21:O22),O18)</f>
        <v>#REF!</v>
      </c>
      <c r="H18" s="999" t="e">
        <f t="shared" si="0"/>
        <v>#REF!</v>
      </c>
      <c r="I18" s="1014"/>
      <c r="J18" s="1009"/>
      <c r="K18" s="1018" t="s">
        <v>2675</v>
      </c>
      <c r="L18" s="1019">
        <f>IF(G33=0,G7+G8,0)</f>
        <v>0</v>
      </c>
      <c r="M18" s="1020">
        <f>IF($M$16="건축",IF(L18&lt;500000000,3.11%,IF(L18&lt;5000000000,2.28%,2.37%)),IF($M$16="토목",IF(L18&lt;500000000,3.15%,IF(L18&lt;5000000000,2.53%,2.6%)),IF(L18&lt;500000000,2.07%,IF(L18&lt;5000000000,1.59%,1.64%))))</f>
        <v>2.07E-2</v>
      </c>
      <c r="N18" s="1021">
        <f>IF($M$16="건축",IF(L18&lt;500000000,0,IF(L18&lt;5000000000,4325000,0)),IF($M$16="토목",IF(L18&lt;500000000,0,IF(L18&lt;5000000000,3300000,0)),IF(L18&lt;500000000,0,IF(L18&lt;5000000000,2450000,0))))</f>
        <v>0</v>
      </c>
      <c r="O18" s="1024">
        <f>TRUNC(L18*M18+N18)</f>
        <v>0</v>
      </c>
    </row>
    <row r="19" spans="1:19" ht="24.95" customHeight="1">
      <c r="A19" s="1186"/>
      <c r="B19" s="1191"/>
      <c r="C19" s="1001" t="s">
        <v>2726</v>
      </c>
      <c r="D19" s="1012"/>
      <c r="E19" s="1013"/>
      <c r="F19" s="1023">
        <v>6.0000000000000001E-3</v>
      </c>
      <c r="G19" s="1013" t="e">
        <f>TRUNC(G10*0.006%)</f>
        <v>#REF!</v>
      </c>
      <c r="H19" s="999" t="e">
        <f t="shared" si="0"/>
        <v>#REF!</v>
      </c>
      <c r="I19" s="1014"/>
      <c r="J19" s="1009"/>
      <c r="K19" s="1018"/>
      <c r="L19" s="1019"/>
      <c r="M19" s="1020"/>
      <c r="N19" s="1021"/>
      <c r="O19" s="1024"/>
    </row>
    <row r="20" spans="1:19" ht="24.95" customHeight="1">
      <c r="A20" s="1186"/>
      <c r="B20" s="1191"/>
      <c r="C20" s="1001" t="s">
        <v>2725</v>
      </c>
      <c r="D20" s="1012"/>
      <c r="E20" s="1013"/>
      <c r="F20" s="1012">
        <v>0.09</v>
      </c>
      <c r="G20" s="1013" t="e">
        <f>TRUNC(G10*F20%)</f>
        <v>#REF!</v>
      </c>
      <c r="H20" s="999" t="e">
        <f t="shared" si="0"/>
        <v>#REF!</v>
      </c>
      <c r="I20" s="1014"/>
      <c r="J20" s="1009"/>
      <c r="K20" s="1018"/>
      <c r="L20" s="1019"/>
      <c r="M20" s="1020"/>
      <c r="N20" s="1021"/>
      <c r="O20" s="1024"/>
    </row>
    <row r="21" spans="1:19" ht="24.95" customHeight="1">
      <c r="A21" s="1186"/>
      <c r="B21" s="1191"/>
      <c r="C21" s="1001" t="s">
        <v>2690</v>
      </c>
      <c r="D21" s="1012"/>
      <c r="E21" s="1013">
        <v>310000</v>
      </c>
      <c r="F21" s="1012"/>
      <c r="G21" s="1013" t="e">
        <f>#REF!</f>
        <v>#REF!</v>
      </c>
      <c r="H21" s="999" t="e">
        <f t="shared" si="0"/>
        <v>#REF!</v>
      </c>
      <c r="I21" s="1014"/>
      <c r="J21" s="1009"/>
      <c r="K21" s="1025" t="s">
        <v>2691</v>
      </c>
      <c r="L21" s="1026" t="e">
        <f>IF(G33=0,0,G6+G7+G33/1.1)</f>
        <v>#REF!</v>
      </c>
      <c r="M21" s="1027" t="e">
        <f>IF($M$16="건축",IF(L21&lt;500000000,3.11%,IF(L21&lt;5000000000,2.28%,2.37%)),IF($M$16="토목",IF(L21&lt;500000000,3.15%,IF(L21&lt;5000000000,2.53%,2.6%)),IF(L21&lt;500000000,2.07%,IF(L21&lt;5000000000,1.59%,1.64%))))</f>
        <v>#REF!</v>
      </c>
      <c r="N21" s="1028" t="e">
        <f>IF($M$16="건축",IF(L21&lt;500000000,0,IF(L21&lt;5000000000,4325000,0)),IF($M$16="토목",IF(L21&lt;500000000,0,IF(L21&lt;5000000000,3300000,0)),IF(L21&lt;500000000,0,IF(L21&lt;5000000000,2450000,0))))</f>
        <v>#REF!</v>
      </c>
      <c r="O21" s="1029" t="e">
        <f>TRUNC((L21*M21+N21)*1.2)</f>
        <v>#REF!</v>
      </c>
    </row>
    <row r="22" spans="1:19" ht="24.95" customHeight="1">
      <c r="A22" s="1186"/>
      <c r="B22" s="1191"/>
      <c r="C22" s="1001" t="s">
        <v>2692</v>
      </c>
      <c r="D22" s="1033">
        <v>5.3</v>
      </c>
      <c r="E22" s="1013">
        <f>TRUNC((E7+E10)*D22%)</f>
        <v>7563638</v>
      </c>
      <c r="F22" s="1033">
        <v>5.3</v>
      </c>
      <c r="G22" s="1013" t="e">
        <f>TRUNC((G7+G10)*F22%)</f>
        <v>#REF!</v>
      </c>
      <c r="H22" s="999" t="e">
        <f t="shared" si="0"/>
        <v>#REF!</v>
      </c>
      <c r="I22" s="1034"/>
      <c r="J22" s="1009"/>
      <c r="K22" s="1025" t="s">
        <v>2693</v>
      </c>
      <c r="L22" s="1026" t="e">
        <f>IF(G33=0,0,G7+G8)</f>
        <v>#REF!</v>
      </c>
      <c r="M22" s="1027" t="e">
        <f>IF($M$16="건축",IF(L22&lt;500000000,3.11%,IF(L22&lt;5000000000,2.28%,2.37%)),IF($M$16="토목",IF(L22&lt;500000000,3.15%,IF(L22&lt;5000000000,2.53%,2.6%)),IF(L22&lt;500000000,2.07%,IF(L22&lt;5000000000,1.59%,1.64%))))</f>
        <v>#REF!</v>
      </c>
      <c r="N22" s="1028" t="e">
        <f>IF($M$16="건축",IF(L22&lt;500000000,0,IF(L22&lt;5000000000,4325000,0)),IF($M$16="토목",IF(L22&lt;500000000,0,IF(L22&lt;5000000000,3300000,0)),IF(L22&lt;500000000,0,IF(L22&lt;5000000000,2450000,0))))</f>
        <v>#REF!</v>
      </c>
      <c r="O22" s="1029" t="e">
        <f>TRUNC((L22*M22+N22)*1.2)</f>
        <v>#REF!</v>
      </c>
    </row>
    <row r="23" spans="1:19" ht="24.95" customHeight="1">
      <c r="A23" s="1186"/>
      <c r="B23" s="1189"/>
      <c r="C23" s="996" t="s">
        <v>2661</v>
      </c>
      <c r="D23" s="1035"/>
      <c r="E23" s="1036">
        <f>SUM(E11:E22)</f>
        <v>51890624</v>
      </c>
      <c r="F23" s="1035"/>
      <c r="G23" s="1036" t="e">
        <f>SUM(G11:G22)</f>
        <v>#REF!</v>
      </c>
      <c r="H23" s="999" t="e">
        <f t="shared" si="0"/>
        <v>#REF!</v>
      </c>
      <c r="I23" s="1034"/>
    </row>
    <row r="24" spans="1:19" ht="24.95" customHeight="1">
      <c r="A24" s="1187"/>
      <c r="B24" s="1192" t="s">
        <v>2694</v>
      </c>
      <c r="C24" s="1193"/>
      <c r="D24" s="1037"/>
      <c r="E24" s="1038">
        <f>SUM(E23,E10,E7)</f>
        <v>194600779</v>
      </c>
      <c r="F24" s="1039"/>
      <c r="G24" s="1038" t="e">
        <f>SUM(G23,G10,G7)</f>
        <v>#REF!</v>
      </c>
      <c r="H24" s="999" t="e">
        <f t="shared" si="0"/>
        <v>#REF!</v>
      </c>
      <c r="I24" s="1040"/>
    </row>
    <row r="25" spans="1:19" ht="24.95" customHeight="1">
      <c r="A25" s="1179" t="s">
        <v>2695</v>
      </c>
      <c r="B25" s="1180"/>
      <c r="C25" s="1181"/>
      <c r="D25" s="1012">
        <v>8</v>
      </c>
      <c r="E25" s="1013">
        <f>TRUNC(E24*D25%)</f>
        <v>15568062</v>
      </c>
      <c r="F25" s="1033">
        <v>8</v>
      </c>
      <c r="G25" s="1013" t="e">
        <f>TRUNC(G24*F25%)</f>
        <v>#REF!</v>
      </c>
      <c r="H25" s="999" t="e">
        <f t="shared" si="0"/>
        <v>#REF!</v>
      </c>
      <c r="I25" s="1040"/>
      <c r="J25" s="1041" t="s">
        <v>2696</v>
      </c>
      <c r="K25" s="1042"/>
      <c r="O25" s="1041"/>
      <c r="P25" s="1042"/>
    </row>
    <row r="26" spans="1:19" ht="24.95" customHeight="1">
      <c r="A26" s="1179" t="s">
        <v>2697</v>
      </c>
      <c r="B26" s="1180"/>
      <c r="C26" s="1181"/>
      <c r="D26" s="1033">
        <v>15</v>
      </c>
      <c r="E26" s="1084">
        <f>TRUNC((E10+E23+E25)*D26%)-54</f>
        <v>27471346</v>
      </c>
      <c r="F26" s="1033">
        <v>15</v>
      </c>
      <c r="G26" s="1084" t="e">
        <f>TRUNC((G10+G23+G25)*F26%-630/1.1)</f>
        <v>#REF!</v>
      </c>
      <c r="H26" s="999" t="e">
        <f t="shared" si="0"/>
        <v>#REF!</v>
      </c>
      <c r="I26" s="1040"/>
      <c r="J26" s="1010" t="s">
        <v>2698</v>
      </c>
      <c r="K26" s="1043" t="s">
        <v>2699</v>
      </c>
      <c r="L26" s="1043" t="s">
        <v>2700</v>
      </c>
      <c r="M26" s="1043" t="s">
        <v>2701</v>
      </c>
      <c r="N26" s="1043" t="s">
        <v>2702</v>
      </c>
      <c r="O26" s="1044" t="s">
        <v>2703</v>
      </c>
      <c r="P26" s="1043" t="s">
        <v>2704</v>
      </c>
      <c r="Q26" s="1043" t="s">
        <v>2705</v>
      </c>
      <c r="R26" s="1043" t="s">
        <v>2701</v>
      </c>
      <c r="S26" s="1043" t="s">
        <v>2706</v>
      </c>
    </row>
    <row r="27" spans="1:19" ht="24.95" customHeight="1">
      <c r="A27" s="1179" t="s">
        <v>2707</v>
      </c>
      <c r="B27" s="1180"/>
      <c r="C27" s="1181"/>
      <c r="D27" s="1007">
        <v>13.4</v>
      </c>
      <c r="E27" s="1045">
        <f>TRUNC(E8*D27%*0.5*1.4)</f>
        <v>9298335</v>
      </c>
      <c r="F27" s="1007">
        <v>13.4</v>
      </c>
      <c r="G27" s="1045" t="e">
        <f>TRUNC(G8*F27%*0.5*1.4)</f>
        <v>#REF!</v>
      </c>
      <c r="H27" s="999" t="e">
        <f t="shared" si="0"/>
        <v>#REF!</v>
      </c>
      <c r="I27" s="1046"/>
      <c r="J27" s="1042"/>
      <c r="K27" s="1043" t="s">
        <v>2708</v>
      </c>
      <c r="L27" s="1047">
        <f>E32</f>
        <v>253775000</v>
      </c>
      <c r="M27" s="1048">
        <f>IF(L27&lt;=1000000000,89.745%,IF(L27&lt;=5000000000,88.745%,87.495%))</f>
        <v>0.89745000000000008</v>
      </c>
      <c r="N27" s="1049">
        <f>TRUNC(L27*M27)</f>
        <v>227750373</v>
      </c>
      <c r="O27" s="1042"/>
      <c r="P27" s="1043" t="s">
        <v>2708</v>
      </c>
      <c r="Q27" s="1047" t="e">
        <f>G32</f>
        <v>#REF!</v>
      </c>
      <c r="R27" s="1048" t="e">
        <f>IF(Q27&lt;=1000000000,89.745%,IF(Q27&lt;=5000000000,88.745%,87.495%))</f>
        <v>#REF!</v>
      </c>
      <c r="S27" s="1049" t="e">
        <f>TRUNC(Q27*R27)</f>
        <v>#REF!</v>
      </c>
    </row>
    <row r="28" spans="1:19" ht="24.95" customHeight="1">
      <c r="A28" s="1179" t="s">
        <v>2709</v>
      </c>
      <c r="B28" s="1180"/>
      <c r="C28" s="1181"/>
      <c r="D28" s="1050"/>
      <c r="E28" s="1083">
        <v>-16233976</v>
      </c>
      <c r="F28" s="1052"/>
      <c r="G28" s="1051" t="e">
        <f>#REF!</f>
        <v>#REF!</v>
      </c>
      <c r="H28" s="999" t="e">
        <f t="shared" si="0"/>
        <v>#REF!</v>
      </c>
      <c r="I28" s="1046"/>
      <c r="J28" s="1042"/>
      <c r="K28" s="1053" t="s">
        <v>2710</v>
      </c>
      <c r="L28" s="1047">
        <f>IF(D30=0,E24,E24*1.1)</f>
        <v>214060856.90000001</v>
      </c>
      <c r="M28" s="1054">
        <v>0.98</v>
      </c>
      <c r="N28" s="1049">
        <f>TRUNC(L28*M28)</f>
        <v>209779639</v>
      </c>
      <c r="O28" s="1042"/>
      <c r="P28" s="1053" t="s">
        <v>2710</v>
      </c>
      <c r="Q28" s="1047" t="e">
        <f>IF(F30=0,G24,G24*1.1)</f>
        <v>#REF!</v>
      </c>
      <c r="R28" s="1054">
        <v>0.98</v>
      </c>
      <c r="S28" s="1049" t="e">
        <f>TRUNC(Q28*R28)</f>
        <v>#REF!</v>
      </c>
    </row>
    <row r="29" spans="1:19" ht="24.95" customHeight="1">
      <c r="A29" s="1182" t="s">
        <v>2711</v>
      </c>
      <c r="B29" s="1183"/>
      <c r="C29" s="1184"/>
      <c r="D29" s="1055"/>
      <c r="E29" s="1038">
        <f>SUM(E24:E28)</f>
        <v>230704546</v>
      </c>
      <c r="F29" s="1055"/>
      <c r="G29" s="1038" t="e">
        <f>SUM(G24:G28)</f>
        <v>#REF!</v>
      </c>
      <c r="H29" s="999" t="e">
        <f t="shared" si="0"/>
        <v>#REF!</v>
      </c>
      <c r="I29" s="1046"/>
      <c r="J29" s="1042"/>
      <c r="K29" s="1056"/>
      <c r="L29" s="1194" t="s">
        <v>2712</v>
      </c>
      <c r="M29" s="1194"/>
      <c r="N29" s="1057">
        <f>N28/L27</f>
        <v>0.82663634715791545</v>
      </c>
      <c r="O29" s="1042"/>
      <c r="P29" s="1056"/>
      <c r="Q29" s="1058" t="s">
        <v>2713</v>
      </c>
      <c r="R29" s="1058"/>
      <c r="S29" s="1059" t="e">
        <f>S28/Q27</f>
        <v>#REF!</v>
      </c>
    </row>
    <row r="30" spans="1:19" ht="24.95" customHeight="1" thickBot="1">
      <c r="A30" s="1179" t="s">
        <v>2714</v>
      </c>
      <c r="B30" s="1180"/>
      <c r="C30" s="1181"/>
      <c r="D30" s="1052">
        <v>10</v>
      </c>
      <c r="E30" s="1008">
        <f>TRUNC(E29*D30%)</f>
        <v>23070454</v>
      </c>
      <c r="F30" s="1052">
        <v>10</v>
      </c>
      <c r="G30" s="1008" t="e">
        <f>TRUNC(G29*F30%)</f>
        <v>#REF!</v>
      </c>
      <c r="H30" s="999" t="e">
        <f t="shared" si="0"/>
        <v>#REF!</v>
      </c>
      <c r="I30" s="1040"/>
      <c r="J30" s="1042"/>
      <c r="K30" s="1042"/>
      <c r="L30" s="1042"/>
      <c r="M30" s="1042"/>
      <c r="N30" s="1042"/>
    </row>
    <row r="31" spans="1:19" ht="24.95" customHeight="1" thickBot="1">
      <c r="A31" s="1195" t="s">
        <v>2715</v>
      </c>
      <c r="B31" s="1196"/>
      <c r="C31" s="1197"/>
      <c r="D31" s="1060"/>
      <c r="E31" s="1061">
        <f>ROUNDDOWN(SUM(E29:E30),0)</f>
        <v>253775000</v>
      </c>
      <c r="F31" s="1060"/>
      <c r="G31" s="1061" t="e">
        <f>SUM(G29:G30)</f>
        <v>#REF!</v>
      </c>
      <c r="H31" s="999" t="e">
        <f t="shared" si="0"/>
        <v>#REF!</v>
      </c>
      <c r="I31" s="1062"/>
      <c r="J31" s="1042"/>
      <c r="K31" s="1063" t="s">
        <v>2716</v>
      </c>
      <c r="L31" s="1064" t="str">
        <f>IF(N28&lt;=N27,"합격","불합격")</f>
        <v>합격</v>
      </c>
      <c r="P31" s="1063" t="s">
        <v>2717</v>
      </c>
      <c r="Q31" s="1064" t="e">
        <f>IF(S28&lt;=S27,"합격","불합격")</f>
        <v>#REF!</v>
      </c>
    </row>
    <row r="32" spans="1:19" ht="24.95" customHeight="1">
      <c r="A32" s="1198" t="s">
        <v>2718</v>
      </c>
      <c r="B32" s="1199"/>
      <c r="C32" s="1200"/>
      <c r="D32" s="1065"/>
      <c r="E32" s="1066">
        <f>ROUNDDOWN(E31,-3)</f>
        <v>253775000</v>
      </c>
      <c r="F32" s="1066"/>
      <c r="G32" s="1066" t="e">
        <f>ROUNDDOWN(G31,-3)</f>
        <v>#REF!</v>
      </c>
      <c r="H32" s="1067" t="e">
        <f>G32-E32</f>
        <v>#REF!</v>
      </c>
      <c r="I32" s="1068" t="e">
        <f>H32/E32</f>
        <v>#REF!</v>
      </c>
      <c r="J32"/>
      <c r="K32" s="1069" t="s">
        <v>2719</v>
      </c>
    </row>
    <row r="33" spans="1:13" ht="24.95" customHeight="1">
      <c r="A33" s="1201" t="s">
        <v>2720</v>
      </c>
      <c r="B33" s="1202"/>
      <c r="C33" s="1203"/>
      <c r="D33" s="1070"/>
      <c r="E33" s="1071">
        <v>146666000</v>
      </c>
      <c r="F33" s="1071"/>
      <c r="G33" s="1071">
        <v>146666000</v>
      </c>
      <c r="H33" s="1072">
        <v>0</v>
      </c>
      <c r="I33" s="1073" t="s">
        <v>2721</v>
      </c>
      <c r="J33"/>
      <c r="K33" s="1069" t="s">
        <v>2722</v>
      </c>
    </row>
    <row r="34" spans="1:13" ht="24.95" customHeight="1">
      <c r="A34" s="1207" t="s">
        <v>2729</v>
      </c>
      <c r="B34" s="1208"/>
      <c r="C34" s="1209"/>
      <c r="D34" s="1085"/>
      <c r="E34" s="1086">
        <v>197540000</v>
      </c>
      <c r="F34" s="1086"/>
      <c r="G34" s="1086">
        <v>197540000</v>
      </c>
      <c r="H34" s="1087"/>
      <c r="I34" s="1088"/>
      <c r="J34"/>
      <c r="K34" s="1069"/>
    </row>
    <row r="35" spans="1:13" ht="24.95" customHeight="1" thickBot="1">
      <c r="A35" s="1204" t="s">
        <v>2723</v>
      </c>
      <c r="B35" s="1205"/>
      <c r="C35" s="1206"/>
      <c r="D35" s="1074"/>
      <c r="E35" s="1075">
        <f>SUM(E32:E34)</f>
        <v>597981000</v>
      </c>
      <c r="F35" s="1075"/>
      <c r="G35" s="1075" t="e">
        <f>SUM(G32:G34)</f>
        <v>#REF!</v>
      </c>
      <c r="H35" s="1075"/>
      <c r="I35" s="1076"/>
      <c r="K35" s="1077"/>
      <c r="M35" s="1082">
        <f>K35-L35</f>
        <v>0</v>
      </c>
    </row>
    <row r="39" spans="1:13">
      <c r="G39" s="1077"/>
    </row>
    <row r="40" spans="1:13">
      <c r="G40" s="1078"/>
    </row>
  </sheetData>
  <mergeCells count="24">
    <mergeCell ref="L29:M29"/>
    <mergeCell ref="A31:C31"/>
    <mergeCell ref="A32:C32"/>
    <mergeCell ref="A33:C33"/>
    <mergeCell ref="A35:C35"/>
    <mergeCell ref="A30:C30"/>
    <mergeCell ref="A34:C34"/>
    <mergeCell ref="A6:A24"/>
    <mergeCell ref="B6:B7"/>
    <mergeCell ref="B8:B10"/>
    <mergeCell ref="B11:B23"/>
    <mergeCell ref="B24:C24"/>
    <mergeCell ref="A25:C25"/>
    <mergeCell ref="A26:C26"/>
    <mergeCell ref="A27:C27"/>
    <mergeCell ref="A28:C28"/>
    <mergeCell ref="A29:C29"/>
    <mergeCell ref="A1:I1"/>
    <mergeCell ref="A4:B5"/>
    <mergeCell ref="C4:C5"/>
    <mergeCell ref="D4:E4"/>
    <mergeCell ref="F4:G4"/>
    <mergeCell ref="H4:H5"/>
    <mergeCell ref="I4:I5"/>
  </mergeCells>
  <phoneticPr fontId="3" type="noConversion"/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V1622"/>
  <sheetViews>
    <sheetView view="pageBreakPreview" zoomScaleNormal="100" zoomScaleSheetLayoutView="100" workbookViewId="0">
      <pane ySplit="3" topLeftCell="A953" activePane="bottomLeft" state="frozen"/>
      <selection activeCell="AV23" sqref="AV23"/>
      <selection pane="bottomLeft" activeCell="CK966" sqref="CK966"/>
    </sheetView>
  </sheetViews>
  <sheetFormatPr defaultColWidth="8.88671875" defaultRowHeight="13.5"/>
  <cols>
    <col min="1" max="8" width="0.88671875" style="569" customWidth="1"/>
    <col min="9" max="9" width="2.5546875" style="569" customWidth="1"/>
    <col min="10" max="43" width="0.88671875" style="569" customWidth="1"/>
    <col min="44" max="44" width="1.109375" style="569" customWidth="1"/>
    <col min="45" max="80" width="0.88671875" style="569" customWidth="1"/>
    <col min="81" max="81" width="1.44140625" style="569" customWidth="1"/>
    <col min="82" max="87" width="0.88671875" style="569" customWidth="1"/>
    <col min="88" max="88" width="11.6640625" style="569" bestFit="1" customWidth="1"/>
    <col min="89" max="89" width="13.5546875" style="569" bestFit="1" customWidth="1"/>
    <col min="90" max="90" width="11.6640625" style="569" bestFit="1" customWidth="1"/>
    <col min="91" max="91" width="13.5546875" style="569" bestFit="1" customWidth="1"/>
    <col min="92" max="93" width="7.88671875" style="569" bestFit="1" customWidth="1"/>
    <col min="94" max="94" width="9.44140625" style="569" bestFit="1" customWidth="1"/>
    <col min="95" max="16384" width="8.88671875" style="569"/>
  </cols>
  <sheetData>
    <row r="1" spans="1:94" ht="28.35" customHeight="1">
      <c r="A1" s="1506" t="s">
        <v>1090</v>
      </c>
      <c r="B1" s="1506"/>
      <c r="C1" s="1506"/>
      <c r="D1" s="1506"/>
      <c r="E1" s="1506"/>
      <c r="F1" s="1506"/>
      <c r="G1" s="1506"/>
      <c r="H1" s="1506"/>
      <c r="I1" s="1506"/>
      <c r="J1" s="1506"/>
      <c r="K1" s="1506"/>
      <c r="L1" s="1506"/>
      <c r="M1" s="1506"/>
      <c r="N1" s="1506"/>
      <c r="O1" s="1506"/>
      <c r="P1" s="1506"/>
      <c r="Q1" s="1506"/>
      <c r="R1" s="1506"/>
      <c r="S1" s="1506"/>
      <c r="T1" s="1506"/>
      <c r="U1" s="1506"/>
      <c r="V1" s="1506"/>
      <c r="W1" s="1506"/>
      <c r="X1" s="1506"/>
      <c r="Y1" s="1506"/>
      <c r="Z1" s="1506"/>
      <c r="AA1" s="1506"/>
      <c r="AB1" s="1506"/>
      <c r="AC1" s="1506"/>
      <c r="AD1" s="1506"/>
      <c r="AE1" s="1506"/>
      <c r="AF1" s="1506"/>
      <c r="AG1" s="1506"/>
      <c r="AH1" s="1506"/>
      <c r="AI1" s="1506"/>
      <c r="AJ1" s="1506"/>
      <c r="AK1" s="1506"/>
      <c r="AL1" s="1506"/>
      <c r="AM1" s="1506"/>
      <c r="AN1" s="1506"/>
      <c r="AO1" s="1506"/>
      <c r="AP1" s="1506"/>
      <c r="AQ1" s="1506"/>
      <c r="AR1" s="1506"/>
      <c r="AS1" s="1506"/>
      <c r="AT1" s="1506"/>
      <c r="AU1" s="1506"/>
      <c r="AV1" s="1506"/>
      <c r="AW1" s="1506"/>
      <c r="AX1" s="1506"/>
      <c r="AY1" s="1506"/>
      <c r="AZ1" s="1506"/>
      <c r="BA1" s="1506"/>
      <c r="BB1" s="1506"/>
      <c r="BC1" s="1506"/>
      <c r="BD1" s="1506"/>
      <c r="BE1" s="1506"/>
      <c r="BF1" s="1506"/>
      <c r="BG1" s="1506"/>
      <c r="BH1" s="1506"/>
      <c r="BI1" s="1506"/>
      <c r="BJ1" s="1506"/>
      <c r="BK1" s="1506"/>
      <c r="BL1" s="1506"/>
      <c r="BM1" s="1506"/>
      <c r="BN1" s="1506"/>
      <c r="BO1" s="1506"/>
      <c r="BP1" s="1506"/>
      <c r="BQ1" s="1506"/>
      <c r="BR1" s="1506"/>
      <c r="BS1" s="1506"/>
      <c r="BT1" s="1506"/>
      <c r="BU1" s="1506"/>
      <c r="BV1" s="1506"/>
      <c r="BW1" s="1506"/>
      <c r="BX1" s="1506"/>
      <c r="BY1" s="1506"/>
      <c r="BZ1" s="1506"/>
      <c r="CA1" s="1506"/>
      <c r="CB1" s="1506"/>
      <c r="CC1" s="1506"/>
      <c r="CD1" s="1506"/>
      <c r="CE1" s="1506"/>
      <c r="CF1" s="1506"/>
      <c r="CJ1" s="570" t="s">
        <v>1091</v>
      </c>
      <c r="CK1" s="570" t="s">
        <v>268</v>
      </c>
      <c r="CL1" s="570" t="s">
        <v>1092</v>
      </c>
      <c r="CM1" s="570" t="s">
        <v>1093</v>
      </c>
      <c r="CN1" s="570" t="s">
        <v>42</v>
      </c>
      <c r="CO1" s="571" t="s">
        <v>1094</v>
      </c>
      <c r="CP1" s="570" t="s">
        <v>796</v>
      </c>
    </row>
    <row r="2" spans="1:94" ht="9.9499999999999993" customHeight="1">
      <c r="A2" s="572"/>
      <c r="B2" s="572"/>
      <c r="C2" s="572"/>
      <c r="D2" s="572"/>
      <c r="E2" s="572"/>
      <c r="F2" s="572"/>
      <c r="G2" s="572"/>
      <c r="H2" s="572"/>
      <c r="I2" s="572"/>
      <c r="J2" s="572"/>
      <c r="K2" s="572"/>
      <c r="L2" s="572"/>
      <c r="M2" s="572"/>
      <c r="N2" s="572"/>
      <c r="O2" s="572"/>
      <c r="P2" s="572"/>
      <c r="Q2" s="572"/>
      <c r="R2" s="572"/>
      <c r="S2" s="572"/>
      <c r="T2" s="572"/>
      <c r="U2" s="572"/>
      <c r="V2" s="572"/>
      <c r="W2" s="572"/>
      <c r="X2" s="572"/>
      <c r="Y2" s="572"/>
      <c r="Z2" s="572"/>
      <c r="AA2" s="572"/>
      <c r="AB2" s="572"/>
      <c r="AC2" s="572"/>
      <c r="AD2" s="572"/>
      <c r="AE2" s="572"/>
      <c r="AF2" s="572"/>
      <c r="AG2" s="572"/>
      <c r="AH2" s="572"/>
      <c r="AI2" s="572"/>
      <c r="AJ2" s="572"/>
      <c r="AK2" s="572"/>
      <c r="AL2" s="572"/>
      <c r="AM2" s="572"/>
      <c r="AN2" s="572"/>
      <c r="AO2" s="572"/>
      <c r="AP2" s="572"/>
      <c r="AQ2" s="572"/>
      <c r="AR2" s="572"/>
      <c r="AS2" s="572"/>
      <c r="AT2" s="572"/>
      <c r="AU2" s="572"/>
      <c r="AV2" s="572"/>
      <c r="AW2" s="572"/>
      <c r="AX2" s="572"/>
      <c r="AY2" s="572"/>
      <c r="AZ2" s="572"/>
      <c r="BA2" s="572"/>
      <c r="BB2" s="572"/>
      <c r="BC2" s="572"/>
      <c r="BD2" s="572"/>
      <c r="BE2" s="572"/>
      <c r="BF2" s="572"/>
      <c r="BG2" s="572"/>
      <c r="BH2" s="572"/>
      <c r="BI2" s="572"/>
      <c r="BJ2" s="572"/>
      <c r="BK2" s="572"/>
      <c r="BL2" s="572"/>
      <c r="BM2" s="572"/>
      <c r="BN2" s="572"/>
      <c r="BO2" s="572"/>
      <c r="BP2" s="572"/>
      <c r="BQ2" s="572"/>
      <c r="BR2" s="572"/>
      <c r="BS2" s="572"/>
      <c r="BT2" s="572"/>
      <c r="BU2" s="572"/>
      <c r="BV2" s="572"/>
      <c r="BW2" s="572"/>
      <c r="BX2" s="572"/>
      <c r="BY2" s="572"/>
      <c r="BZ2" s="572"/>
      <c r="CA2" s="572"/>
      <c r="CB2" s="572"/>
      <c r="CC2" s="572"/>
      <c r="CD2" s="572"/>
      <c r="CE2" s="572"/>
      <c r="CF2" s="572"/>
      <c r="CJ2" s="573"/>
      <c r="CK2" s="573"/>
      <c r="CL2" s="573"/>
      <c r="CM2" s="573"/>
      <c r="CN2" s="573"/>
      <c r="CO2" s="571"/>
      <c r="CP2" s="573"/>
    </row>
    <row r="3" spans="1:94" s="576" customFormat="1" ht="23.1" customHeight="1" thickBot="1">
      <c r="A3" s="1446" t="s">
        <v>1095</v>
      </c>
      <c r="B3" s="1446"/>
      <c r="C3" s="1446"/>
      <c r="D3" s="1446"/>
      <c r="E3" s="1446"/>
      <c r="F3" s="1446"/>
      <c r="G3" s="1447">
        <v>1</v>
      </c>
      <c r="H3" s="1447"/>
      <c r="I3" s="1447"/>
      <c r="J3" s="1448" t="s">
        <v>1096</v>
      </c>
      <c r="K3" s="1448"/>
      <c r="L3" s="574"/>
      <c r="M3" s="574"/>
      <c r="N3" s="575"/>
      <c r="O3" s="575"/>
      <c r="P3" s="575"/>
      <c r="Q3" s="575"/>
      <c r="R3" s="575"/>
      <c r="S3" s="574"/>
      <c r="T3" s="574"/>
      <c r="U3" s="574"/>
      <c r="V3" s="574"/>
      <c r="W3" s="574"/>
      <c r="X3" s="574"/>
      <c r="Y3" s="574"/>
      <c r="Z3" s="574"/>
      <c r="AA3" s="574"/>
      <c r="AB3" s="574"/>
      <c r="AC3" s="574"/>
      <c r="AD3" s="574"/>
      <c r="AE3" s="574"/>
      <c r="AF3" s="574"/>
      <c r="AG3" s="574"/>
      <c r="AH3" s="574"/>
      <c r="AI3" s="574"/>
      <c r="AJ3" s="574"/>
      <c r="AK3" s="574"/>
      <c r="AL3" s="574"/>
      <c r="AM3" s="574"/>
      <c r="AN3" s="574"/>
      <c r="AO3" s="574"/>
      <c r="AP3" s="574"/>
      <c r="AQ3" s="574"/>
      <c r="AR3" s="574"/>
      <c r="AS3" s="574"/>
      <c r="AT3" s="574"/>
      <c r="AU3" s="574"/>
      <c r="AV3" s="574"/>
      <c r="AW3" s="574"/>
      <c r="AX3" s="574"/>
      <c r="AY3" s="574"/>
      <c r="AZ3" s="574"/>
      <c r="BA3" s="574"/>
      <c r="BB3" s="574"/>
      <c r="BC3" s="574"/>
      <c r="BD3" s="574"/>
      <c r="BE3" s="574"/>
      <c r="BF3" s="574"/>
      <c r="BG3" s="574"/>
      <c r="BH3" s="574"/>
      <c r="BI3" s="574"/>
      <c r="BJ3" s="574"/>
      <c r="BK3" s="574"/>
      <c r="BL3" s="574"/>
      <c r="BM3" s="574"/>
      <c r="BN3" s="574"/>
      <c r="BO3" s="574"/>
      <c r="BP3" s="574"/>
      <c r="BQ3" s="574"/>
      <c r="BR3" s="574"/>
      <c r="BS3" s="574"/>
      <c r="BT3" s="574"/>
      <c r="BU3" s="574"/>
      <c r="BV3" s="574"/>
      <c r="BW3" s="574"/>
      <c r="BX3" s="574"/>
      <c r="BY3" s="574"/>
      <c r="BZ3" s="574"/>
      <c r="CA3" s="574"/>
      <c r="CB3" s="574"/>
      <c r="CC3" s="574"/>
      <c r="CD3" s="574"/>
      <c r="CE3" s="574"/>
      <c r="CF3" s="574"/>
      <c r="CJ3" s="577">
        <f>[53]노임단가!$BK$24</f>
        <v>210909</v>
      </c>
      <c r="CK3" s="577">
        <f>[53]노임단가!$BK$25</f>
        <v>283297</v>
      </c>
      <c r="CL3" s="577">
        <f>[53]노임단가!$BK$26</f>
        <v>238936</v>
      </c>
      <c r="CM3" s="577">
        <f>[53]노임단가!$BK$27</f>
        <v>173995</v>
      </c>
      <c r="CN3" s="578" t="e">
        <f>#REF!</f>
        <v>#REF!</v>
      </c>
      <c r="CO3" s="579" t="e">
        <f>#REF!</f>
        <v>#REF!</v>
      </c>
      <c r="CP3" s="580" t="e">
        <f>#REF!</f>
        <v>#REF!</v>
      </c>
    </row>
    <row r="4" spans="1:94" s="583" customFormat="1" ht="23.1" customHeight="1" thickBot="1">
      <c r="A4" s="1483" t="s">
        <v>1097</v>
      </c>
      <c r="B4" s="1484"/>
      <c r="C4" s="1484"/>
      <c r="D4" s="1484"/>
      <c r="E4" s="1484"/>
      <c r="F4" s="1484"/>
      <c r="G4" s="1484"/>
      <c r="H4" s="1484"/>
      <c r="I4" s="581" t="s">
        <v>1098</v>
      </c>
      <c r="J4" s="581"/>
      <c r="K4" s="581"/>
      <c r="L4" s="581"/>
      <c r="M4" s="581"/>
      <c r="N4" s="581"/>
      <c r="O4" s="581"/>
      <c r="P4" s="581"/>
      <c r="Q4" s="581"/>
      <c r="R4" s="581"/>
      <c r="S4" s="581"/>
      <c r="T4" s="581"/>
      <c r="U4" s="581"/>
      <c r="V4" s="581"/>
      <c r="W4" s="581"/>
      <c r="X4" s="581"/>
      <c r="Y4" s="581"/>
      <c r="Z4" s="581"/>
      <c r="AA4" s="581"/>
      <c r="AB4" s="581"/>
      <c r="AC4" s="581"/>
      <c r="AD4" s="581"/>
      <c r="AE4" s="581"/>
      <c r="AF4" s="581"/>
      <c r="AG4" s="581"/>
      <c r="AH4" s="581"/>
      <c r="AI4" s="581"/>
      <c r="AJ4" s="1484" t="s">
        <v>1099</v>
      </c>
      <c r="AK4" s="1484"/>
      <c r="AL4" s="1484"/>
      <c r="AM4" s="1484"/>
      <c r="AN4" s="1484"/>
      <c r="AO4" s="1484"/>
      <c r="AP4" s="1484"/>
      <c r="AQ4" s="581" t="s">
        <v>1100</v>
      </c>
      <c r="AR4" s="581"/>
      <c r="AS4" s="581"/>
      <c r="AT4" s="581"/>
      <c r="AU4" s="581"/>
      <c r="AV4" s="581"/>
      <c r="AW4" s="581"/>
      <c r="AX4" s="581"/>
      <c r="AY4" s="581"/>
      <c r="AZ4" s="581"/>
      <c r="BA4" s="581"/>
      <c r="BB4" s="581"/>
      <c r="BC4" s="581"/>
      <c r="BD4" s="581"/>
      <c r="BE4" s="581"/>
      <c r="BF4" s="581"/>
      <c r="BG4" s="581"/>
      <c r="BH4" s="581"/>
      <c r="BI4" s="581"/>
      <c r="BJ4" s="581"/>
      <c r="BK4" s="581"/>
      <c r="BL4" s="581"/>
      <c r="BM4" s="581"/>
      <c r="BN4" s="581"/>
      <c r="BO4" s="581"/>
      <c r="BP4" s="581"/>
      <c r="BQ4" s="581"/>
      <c r="BR4" s="581"/>
      <c r="BS4" s="581"/>
      <c r="BT4" s="581" t="s">
        <v>1101</v>
      </c>
      <c r="BU4" s="581"/>
      <c r="BV4" s="581"/>
      <c r="BW4" s="581"/>
      <c r="BX4" s="581"/>
      <c r="BY4" s="581"/>
      <c r="BZ4" s="581"/>
      <c r="CA4" s="581"/>
      <c r="CB4" s="581"/>
      <c r="CC4" s="581"/>
      <c r="CD4" s="581"/>
      <c r="CE4" s="581"/>
      <c r="CF4" s="582"/>
    </row>
    <row r="5" spans="1:94" s="583" customFormat="1" ht="23.1" customHeight="1">
      <c r="A5" s="584"/>
      <c r="B5" s="585" t="s">
        <v>1102</v>
      </c>
      <c r="C5" s="585"/>
      <c r="D5" s="585"/>
      <c r="E5" s="585"/>
      <c r="F5" s="585"/>
      <c r="G5" s="585"/>
      <c r="H5" s="585"/>
      <c r="I5" s="585"/>
      <c r="J5" s="585"/>
      <c r="K5" s="585"/>
      <c r="L5" s="585"/>
      <c r="M5" s="585"/>
      <c r="N5" s="585"/>
      <c r="O5" s="585"/>
      <c r="P5" s="585"/>
      <c r="Q5" s="585"/>
      <c r="R5" s="585"/>
      <c r="S5" s="585"/>
      <c r="T5" s="585"/>
      <c r="U5" s="585"/>
      <c r="V5" s="585"/>
      <c r="W5" s="585"/>
      <c r="X5" s="585"/>
      <c r="Y5" s="585"/>
      <c r="Z5" s="585"/>
      <c r="AA5" s="585"/>
      <c r="AB5" s="585"/>
      <c r="AC5" s="585"/>
      <c r="AD5" s="585"/>
      <c r="AE5" s="585"/>
      <c r="AF5" s="585"/>
      <c r="AG5" s="585"/>
      <c r="AH5" s="585"/>
      <c r="AI5" s="585"/>
      <c r="AJ5" s="585"/>
      <c r="AK5" s="585"/>
      <c r="AL5" s="585"/>
      <c r="AM5" s="585"/>
      <c r="AN5" s="585"/>
      <c r="AO5" s="585"/>
      <c r="AP5" s="585"/>
      <c r="AQ5" s="585"/>
      <c r="AR5" s="585"/>
      <c r="AS5" s="585"/>
      <c r="AT5" s="585"/>
      <c r="AU5" s="585"/>
      <c r="AV5" s="585"/>
      <c r="AW5" s="585"/>
      <c r="AX5" s="585"/>
      <c r="AY5" s="585"/>
      <c r="AZ5" s="585"/>
      <c r="BA5" s="585"/>
      <c r="BB5" s="585"/>
      <c r="BC5" s="585"/>
      <c r="BD5" s="585"/>
      <c r="BE5" s="585"/>
      <c r="BF5" s="585"/>
      <c r="BG5" s="585"/>
      <c r="BH5" s="585"/>
      <c r="BI5" s="585"/>
      <c r="BJ5" s="585"/>
      <c r="BK5" s="585"/>
      <c r="BL5" s="585"/>
      <c r="BM5" s="585"/>
      <c r="BN5" s="585"/>
      <c r="BO5" s="585"/>
      <c r="BP5" s="585"/>
      <c r="BQ5" s="585"/>
      <c r="BR5" s="585"/>
      <c r="BS5" s="585"/>
      <c r="BT5" s="585"/>
      <c r="BU5" s="585"/>
      <c r="BV5" s="585"/>
      <c r="BW5" s="585"/>
      <c r="BX5" s="585"/>
      <c r="BY5" s="585"/>
      <c r="BZ5" s="585"/>
      <c r="CA5" s="585"/>
      <c r="CB5" s="585"/>
      <c r="CC5" s="585"/>
      <c r="CD5" s="585"/>
      <c r="CE5" s="585"/>
      <c r="CF5" s="586"/>
    </row>
    <row r="6" spans="1:94" s="583" customFormat="1" ht="23.1" customHeight="1">
      <c r="A6" s="587"/>
      <c r="B6" s="574"/>
      <c r="C6" s="574"/>
      <c r="D6" s="405"/>
      <c r="E6" s="574"/>
      <c r="F6" s="422"/>
      <c r="G6" s="422"/>
      <c r="H6" s="422"/>
      <c r="I6" s="422"/>
      <c r="J6" s="422"/>
      <c r="K6" s="422"/>
      <c r="L6" s="422"/>
      <c r="M6" s="422"/>
      <c r="N6" s="574"/>
      <c r="O6" s="574"/>
      <c r="P6" s="574"/>
      <c r="Q6" s="574"/>
      <c r="R6" s="574"/>
      <c r="S6" s="1430"/>
      <c r="T6" s="1430"/>
      <c r="U6" s="1430"/>
      <c r="V6" s="1430"/>
      <c r="W6" s="1430"/>
      <c r="X6" s="1430"/>
      <c r="Y6" s="1430"/>
      <c r="Z6" s="1430"/>
      <c r="AA6" s="574"/>
      <c r="AB6" s="588"/>
      <c r="AC6" s="1431"/>
      <c r="AD6" s="1431"/>
      <c r="AE6" s="1498"/>
      <c r="AF6" s="1498"/>
      <c r="AG6" s="1498"/>
      <c r="AH6" s="1498"/>
      <c r="AI6" s="1498"/>
      <c r="AJ6" s="1498"/>
      <c r="AK6" s="1498"/>
      <c r="AL6" s="1498"/>
      <c r="AM6" s="1431"/>
      <c r="AN6" s="1431"/>
      <c r="AO6" s="574"/>
      <c r="AP6" s="1486"/>
      <c r="AQ6" s="1486"/>
      <c r="AR6" s="1486"/>
      <c r="AS6" s="1486"/>
      <c r="AT6" s="1486"/>
      <c r="AU6" s="1486"/>
      <c r="AV6" s="1486"/>
      <c r="AW6" s="1486"/>
      <c r="AX6" s="1486"/>
      <c r="AY6" s="1486"/>
      <c r="AZ6" s="1486"/>
      <c r="BA6" s="1486"/>
      <c r="BB6" s="1486"/>
      <c r="BC6" s="1486"/>
      <c r="BD6" s="574"/>
      <c r="BE6" s="574"/>
      <c r="BF6" s="574"/>
      <c r="BG6" s="574"/>
      <c r="BH6" s="574"/>
      <c r="BI6" s="574"/>
      <c r="BJ6" s="574"/>
      <c r="BK6" s="574"/>
      <c r="BL6" s="574"/>
      <c r="BM6" s="574"/>
      <c r="BN6" s="574"/>
      <c r="BO6" s="574"/>
      <c r="BP6" s="574"/>
      <c r="BQ6" s="574"/>
      <c r="BR6" s="574"/>
      <c r="BS6" s="574"/>
      <c r="BT6" s="574"/>
      <c r="BU6" s="574"/>
      <c r="BV6" s="574"/>
      <c r="BW6" s="574"/>
      <c r="BX6" s="574"/>
      <c r="BY6" s="574"/>
      <c r="BZ6" s="574"/>
      <c r="CA6" s="574"/>
      <c r="CB6" s="574"/>
      <c r="CC6" s="574"/>
      <c r="CD6" s="574"/>
      <c r="CE6" s="574"/>
      <c r="CF6" s="589"/>
    </row>
    <row r="7" spans="1:94" s="583" customFormat="1" ht="23.1" customHeight="1">
      <c r="A7" s="584"/>
      <c r="B7" s="585"/>
      <c r="C7" s="585"/>
      <c r="D7" s="585"/>
      <c r="E7" s="585"/>
      <c r="F7" s="585"/>
      <c r="G7" s="585"/>
      <c r="H7" s="585"/>
      <c r="I7" s="585"/>
      <c r="J7" s="585"/>
      <c r="K7" s="585"/>
      <c r="L7" s="585"/>
      <c r="M7" s="585"/>
      <c r="N7" s="585"/>
      <c r="O7" s="585"/>
      <c r="P7" s="585"/>
      <c r="Q7" s="585"/>
      <c r="R7" s="585"/>
      <c r="S7" s="585"/>
      <c r="T7" s="585"/>
      <c r="U7" s="585"/>
      <c r="V7" s="590"/>
      <c r="W7" s="590"/>
      <c r="X7" s="590"/>
      <c r="Y7" s="590"/>
      <c r="Z7" s="590"/>
      <c r="AA7" s="590"/>
      <c r="AB7" s="590"/>
      <c r="AC7" s="590"/>
      <c r="AD7" s="574"/>
      <c r="AE7" s="1440">
        <v>188714000</v>
      </c>
      <c r="AF7" s="1440"/>
      <c r="AG7" s="1440"/>
      <c r="AH7" s="1440"/>
      <c r="AI7" s="1440"/>
      <c r="AJ7" s="1440"/>
      <c r="AK7" s="1440"/>
      <c r="AL7" s="1440"/>
      <c r="AM7" s="1440"/>
      <c r="AN7" s="1440"/>
      <c r="AO7" s="1440"/>
      <c r="AP7" s="1440"/>
      <c r="AQ7" s="1440"/>
      <c r="AR7" s="1440"/>
      <c r="AS7" s="1440"/>
      <c r="AT7" s="1431" t="s">
        <v>446</v>
      </c>
      <c r="AU7" s="1431"/>
      <c r="AV7" s="1441" t="s">
        <v>1103</v>
      </c>
      <c r="AW7" s="1441"/>
      <c r="AX7" s="1442">
        <v>1811</v>
      </c>
      <c r="AY7" s="1442"/>
      <c r="AZ7" s="1442"/>
      <c r="BA7" s="1442"/>
      <c r="BB7" s="1442"/>
      <c r="BC7" s="1442"/>
      <c r="BD7" s="585"/>
      <c r="BE7" s="1431" t="s">
        <v>446</v>
      </c>
      <c r="BF7" s="1431"/>
      <c r="BG7" s="585"/>
      <c r="BH7" s="591" t="s">
        <v>1104</v>
      </c>
      <c r="BI7" s="585"/>
      <c r="BJ7" s="585"/>
      <c r="BK7" s="585"/>
      <c r="BL7" s="1431" t="s">
        <v>1105</v>
      </c>
      <c r="BM7" s="1431"/>
      <c r="BN7" s="1431"/>
      <c r="BO7" s="585"/>
      <c r="BP7" s="1431" t="s">
        <v>41</v>
      </c>
      <c r="BQ7" s="1431"/>
      <c r="BR7" s="585"/>
      <c r="BS7" s="585"/>
      <c r="BT7" s="1437">
        <f>INT(AE7*AX7*10^-7)</f>
        <v>34176</v>
      </c>
      <c r="BU7" s="1437"/>
      <c r="BV7" s="1437"/>
      <c r="BW7" s="1437"/>
      <c r="BX7" s="1437"/>
      <c r="BY7" s="1437"/>
      <c r="BZ7" s="1437"/>
      <c r="CA7" s="1437"/>
      <c r="CB7" s="1437"/>
      <c r="CC7" s="1437"/>
      <c r="CD7" s="585"/>
      <c r="CE7" s="585"/>
      <c r="CF7" s="586"/>
    </row>
    <row r="8" spans="1:94" s="583" customFormat="1" ht="23.1" customHeight="1">
      <c r="A8" s="592"/>
      <c r="B8" s="593" t="s">
        <v>1106</v>
      </c>
      <c r="C8" s="593"/>
      <c r="D8" s="593"/>
      <c r="E8" s="593"/>
      <c r="F8" s="593"/>
      <c r="G8" s="593"/>
      <c r="H8" s="593"/>
      <c r="I8" s="593"/>
      <c r="J8" s="593"/>
      <c r="K8" s="593"/>
      <c r="L8" s="593"/>
      <c r="M8" s="593"/>
      <c r="N8" s="593"/>
      <c r="O8" s="593"/>
      <c r="P8" s="593"/>
      <c r="Q8" s="593"/>
      <c r="R8" s="593"/>
      <c r="S8" s="593"/>
      <c r="T8" s="593"/>
      <c r="U8" s="593"/>
      <c r="V8" s="593"/>
      <c r="W8" s="593"/>
      <c r="X8" s="593"/>
      <c r="Y8" s="593"/>
      <c r="Z8" s="593"/>
      <c r="AA8" s="593"/>
      <c r="AB8" s="593"/>
      <c r="AC8" s="593"/>
      <c r="AD8" s="593"/>
      <c r="AE8" s="593"/>
      <c r="AF8" s="593"/>
      <c r="AG8" s="593"/>
      <c r="AH8" s="593"/>
      <c r="AI8" s="593"/>
      <c r="AJ8" s="593"/>
      <c r="AK8" s="593"/>
      <c r="AL8" s="593"/>
      <c r="AM8" s="593"/>
      <c r="AN8" s="593"/>
      <c r="AO8" s="593"/>
      <c r="AP8" s="593"/>
      <c r="AQ8" s="593"/>
      <c r="AR8" s="593"/>
      <c r="AS8" s="593"/>
      <c r="AT8" s="593"/>
      <c r="AU8" s="593"/>
      <c r="AV8" s="593"/>
      <c r="AW8" s="593"/>
      <c r="AX8" s="593"/>
      <c r="AY8" s="593"/>
      <c r="AZ8" s="593"/>
      <c r="BA8" s="593"/>
      <c r="BB8" s="593"/>
      <c r="BC8" s="593"/>
      <c r="BD8" s="593"/>
      <c r="BE8" s="593"/>
      <c r="BF8" s="593"/>
      <c r="BG8" s="593"/>
      <c r="BH8" s="593"/>
      <c r="BI8" s="593"/>
      <c r="BJ8" s="593"/>
      <c r="BK8" s="593"/>
      <c r="BL8" s="593"/>
      <c r="BM8" s="593"/>
      <c r="BN8" s="593"/>
      <c r="BO8" s="593"/>
      <c r="BP8" s="593"/>
      <c r="BQ8" s="593"/>
      <c r="BR8" s="593"/>
      <c r="BS8" s="593"/>
      <c r="BT8" s="594"/>
      <c r="BU8" s="594"/>
      <c r="BV8" s="594"/>
      <c r="BW8" s="594"/>
      <c r="BX8" s="594"/>
      <c r="BY8" s="594"/>
      <c r="BZ8" s="594"/>
      <c r="CA8" s="594"/>
      <c r="CB8" s="594"/>
      <c r="CC8" s="594"/>
      <c r="CD8" s="593"/>
      <c r="CE8" s="593"/>
      <c r="CF8" s="595"/>
    </row>
    <row r="9" spans="1:94" s="583" customFormat="1" ht="23.1" customHeight="1">
      <c r="A9" s="584"/>
      <c r="B9" s="585"/>
      <c r="C9" s="585"/>
      <c r="D9" s="596" t="s">
        <v>268</v>
      </c>
      <c r="E9" s="585"/>
      <c r="F9" s="585"/>
      <c r="G9" s="585"/>
      <c r="H9" s="585"/>
      <c r="I9" s="585"/>
      <c r="J9" s="585"/>
      <c r="K9" s="585"/>
      <c r="L9" s="585"/>
      <c r="M9" s="585"/>
      <c r="N9" s="585"/>
      <c r="O9" s="585"/>
      <c r="P9" s="585"/>
      <c r="Q9" s="585"/>
      <c r="R9" s="585"/>
      <c r="S9" s="585"/>
      <c r="T9" s="574"/>
      <c r="U9" s="574"/>
      <c r="V9" s="1435">
        <f>HLOOKUP(D9,$CJ$1:$CM$3,3,0)</f>
        <v>283297</v>
      </c>
      <c r="W9" s="1435"/>
      <c r="X9" s="1435"/>
      <c r="Y9" s="1435"/>
      <c r="Z9" s="1435"/>
      <c r="AA9" s="1435"/>
      <c r="AB9" s="1435"/>
      <c r="AC9" s="1435"/>
      <c r="AD9" s="1435"/>
      <c r="AE9" s="1435"/>
      <c r="AF9" s="1431" t="s">
        <v>446</v>
      </c>
      <c r="AG9" s="1431"/>
      <c r="AH9" s="574"/>
      <c r="AI9" s="1436" t="s">
        <v>1107</v>
      </c>
      <c r="AJ9" s="1436"/>
      <c r="AK9" s="1436"/>
      <c r="AL9" s="1436"/>
      <c r="AM9" s="585"/>
      <c r="AN9" s="1431" t="s">
        <v>446</v>
      </c>
      <c r="AO9" s="1431"/>
      <c r="AP9" s="585"/>
      <c r="AQ9" s="1436" t="s">
        <v>1108</v>
      </c>
      <c r="AR9" s="1436"/>
      <c r="AS9" s="1436"/>
      <c r="AT9" s="1436"/>
      <c r="AU9" s="1436"/>
      <c r="AV9" s="422"/>
      <c r="AW9" s="1431" t="s">
        <v>446</v>
      </c>
      <c r="AX9" s="1431"/>
      <c r="AY9" s="440"/>
      <c r="AZ9" s="1436" t="s">
        <v>1109</v>
      </c>
      <c r="BA9" s="1436"/>
      <c r="BB9" s="1436"/>
      <c r="BC9" s="1436"/>
      <c r="BD9" s="1436"/>
      <c r="BE9" s="585"/>
      <c r="BF9" s="1431" t="s">
        <v>446</v>
      </c>
      <c r="BG9" s="1431"/>
      <c r="BH9" s="1431">
        <v>1</v>
      </c>
      <c r="BI9" s="1431"/>
      <c r="BJ9" s="1431"/>
      <c r="BK9" s="585"/>
      <c r="BL9" s="585" t="s">
        <v>366</v>
      </c>
      <c r="BM9" s="585"/>
      <c r="BN9" s="585"/>
      <c r="BO9" s="585"/>
      <c r="BP9" s="1431" t="s">
        <v>41</v>
      </c>
      <c r="BQ9" s="1431"/>
      <c r="BR9" s="585"/>
      <c r="BS9" s="585"/>
      <c r="BT9" s="1432">
        <f>INT(V9/8*16/12*25/20*BH9)</f>
        <v>59020</v>
      </c>
      <c r="BU9" s="1432"/>
      <c r="BV9" s="1432"/>
      <c r="BW9" s="1432"/>
      <c r="BX9" s="1432"/>
      <c r="BY9" s="1432"/>
      <c r="BZ9" s="1432"/>
      <c r="CA9" s="1432"/>
      <c r="CB9" s="1432"/>
      <c r="CC9" s="1432"/>
      <c r="CD9" s="585"/>
      <c r="CE9" s="585"/>
      <c r="CF9" s="586"/>
    </row>
    <row r="10" spans="1:94" s="583" customFormat="1" ht="23.1" customHeight="1">
      <c r="A10" s="584"/>
      <c r="B10" s="585"/>
      <c r="C10" s="585"/>
      <c r="D10" s="585"/>
      <c r="E10" s="585"/>
      <c r="F10" s="585"/>
      <c r="G10" s="585"/>
      <c r="H10" s="585"/>
      <c r="I10" s="585"/>
      <c r="J10" s="585"/>
      <c r="K10" s="585"/>
      <c r="L10" s="585"/>
      <c r="M10" s="585"/>
      <c r="N10" s="585"/>
      <c r="O10" s="585"/>
      <c r="P10" s="574"/>
      <c r="Q10" s="574"/>
      <c r="R10" s="574"/>
      <c r="S10" s="574"/>
      <c r="T10" s="574"/>
      <c r="U10" s="574"/>
      <c r="V10" s="574"/>
      <c r="W10" s="574"/>
      <c r="X10" s="574"/>
      <c r="Y10" s="574"/>
      <c r="Z10" s="574"/>
      <c r="AA10" s="574"/>
      <c r="AB10" s="574"/>
      <c r="AC10" s="574"/>
      <c r="AD10" s="574"/>
      <c r="AE10" s="574"/>
      <c r="AF10" s="574"/>
      <c r="AG10" s="574"/>
      <c r="AH10" s="574"/>
      <c r="AI10" s="574"/>
      <c r="AJ10" s="574"/>
      <c r="AK10" s="574"/>
      <c r="AL10" s="574"/>
      <c r="AM10" s="574"/>
      <c r="AN10" s="574"/>
      <c r="AO10" s="574"/>
      <c r="AP10" s="574"/>
      <c r="AQ10" s="574"/>
      <c r="AR10" s="574"/>
      <c r="AS10" s="574"/>
      <c r="AT10" s="574"/>
      <c r="AU10" s="574"/>
      <c r="AV10" s="574"/>
      <c r="AW10" s="574"/>
      <c r="AX10" s="574"/>
      <c r="AY10" s="574"/>
      <c r="AZ10" s="574"/>
      <c r="BA10" s="574"/>
      <c r="BB10" s="574"/>
      <c r="BC10" s="574"/>
      <c r="BD10" s="574"/>
      <c r="BE10" s="574"/>
      <c r="BF10" s="574"/>
      <c r="BG10" s="585"/>
      <c r="BH10" s="585"/>
      <c r="BI10" s="585"/>
      <c r="BJ10" s="585"/>
      <c r="BK10" s="585"/>
      <c r="BL10" s="585"/>
      <c r="BM10" s="585"/>
      <c r="BN10" s="585"/>
      <c r="BO10" s="585"/>
      <c r="BP10" s="1431"/>
      <c r="BQ10" s="1431"/>
      <c r="BR10" s="585"/>
      <c r="BS10" s="585"/>
      <c r="BT10" s="1432"/>
      <c r="BU10" s="1432"/>
      <c r="BV10" s="1432"/>
      <c r="BW10" s="1432"/>
      <c r="BX10" s="1432"/>
      <c r="BY10" s="1432"/>
      <c r="BZ10" s="1432"/>
      <c r="CA10" s="1432"/>
      <c r="CB10" s="1432"/>
      <c r="CC10" s="1432"/>
      <c r="CD10" s="585"/>
      <c r="CE10" s="585"/>
      <c r="CF10" s="586"/>
    </row>
    <row r="11" spans="1:94" s="583" customFormat="1" ht="23.1" customHeight="1">
      <c r="A11" s="584"/>
      <c r="B11" s="585"/>
      <c r="C11" s="585"/>
      <c r="D11" s="585"/>
      <c r="E11" s="585"/>
      <c r="F11" s="585"/>
      <c r="G11" s="585"/>
      <c r="H11" s="585"/>
      <c r="I11" s="585"/>
      <c r="J11" s="585"/>
      <c r="K11" s="585"/>
      <c r="L11" s="585"/>
      <c r="M11" s="585"/>
      <c r="N11" s="585"/>
      <c r="O11" s="585"/>
      <c r="P11" s="585"/>
      <c r="Q11" s="585"/>
      <c r="R11" s="585"/>
      <c r="S11" s="585"/>
      <c r="T11" s="585"/>
      <c r="U11" s="585"/>
      <c r="V11" s="585"/>
      <c r="W11" s="585"/>
      <c r="X11" s="585"/>
      <c r="Y11" s="585"/>
      <c r="Z11" s="585"/>
      <c r="AA11" s="585"/>
      <c r="AB11" s="585"/>
      <c r="AC11" s="585"/>
      <c r="AD11" s="574"/>
      <c r="AE11" s="574"/>
      <c r="AF11" s="574"/>
      <c r="AG11" s="574"/>
      <c r="AH11" s="574"/>
      <c r="AI11" s="574"/>
      <c r="AJ11" s="574"/>
      <c r="AK11" s="574"/>
      <c r="AL11" s="574"/>
      <c r="AM11" s="574"/>
      <c r="AN11" s="574"/>
      <c r="AO11" s="574"/>
      <c r="AP11" s="574"/>
      <c r="AQ11" s="574"/>
      <c r="AR11" s="574"/>
      <c r="AS11" s="585"/>
      <c r="AT11" s="590"/>
      <c r="AU11" s="590"/>
      <c r="AV11" s="585"/>
      <c r="AW11" s="585"/>
      <c r="AX11" s="585"/>
      <c r="AY11" s="585"/>
      <c r="AZ11" s="585"/>
      <c r="BA11" s="585"/>
      <c r="BB11" s="585"/>
      <c r="BC11" s="585"/>
      <c r="BD11" s="585"/>
      <c r="BE11" s="585"/>
      <c r="BF11" s="585"/>
      <c r="BG11" s="585"/>
      <c r="BH11" s="585"/>
      <c r="BI11" s="585"/>
      <c r="BJ11" s="585"/>
      <c r="BK11" s="585"/>
      <c r="BL11" s="585"/>
      <c r="BM11" s="585"/>
      <c r="BN11" s="585"/>
      <c r="BO11" s="585"/>
      <c r="BP11" s="1431" t="s">
        <v>41</v>
      </c>
      <c r="BQ11" s="1431"/>
      <c r="BR11" s="585"/>
      <c r="BS11" s="585"/>
      <c r="BT11" s="1434">
        <f>BT9+BT10</f>
        <v>59020</v>
      </c>
      <c r="BU11" s="1434"/>
      <c r="BV11" s="1434"/>
      <c r="BW11" s="1434"/>
      <c r="BX11" s="1434"/>
      <c r="BY11" s="1434"/>
      <c r="BZ11" s="1434"/>
      <c r="CA11" s="1434"/>
      <c r="CB11" s="1434"/>
      <c r="CC11" s="1434"/>
      <c r="CD11" s="585"/>
      <c r="CE11" s="585"/>
      <c r="CF11" s="586"/>
    </row>
    <row r="12" spans="1:94" s="583" customFormat="1" ht="23.1" customHeight="1">
      <c r="A12" s="592"/>
      <c r="B12" s="593" t="s">
        <v>1110</v>
      </c>
      <c r="C12" s="593"/>
      <c r="D12" s="593"/>
      <c r="E12" s="593"/>
      <c r="F12" s="593"/>
      <c r="G12" s="593"/>
      <c r="H12" s="593"/>
      <c r="I12" s="593"/>
      <c r="J12" s="593"/>
      <c r="K12" s="593"/>
      <c r="L12" s="593"/>
      <c r="M12" s="593"/>
      <c r="N12" s="593"/>
      <c r="O12" s="593"/>
      <c r="P12" s="593"/>
      <c r="Q12" s="593"/>
      <c r="R12" s="593"/>
      <c r="S12" s="593"/>
      <c r="T12" s="593"/>
      <c r="U12" s="593"/>
      <c r="V12" s="593"/>
      <c r="W12" s="593"/>
      <c r="X12" s="593"/>
      <c r="Y12" s="593"/>
      <c r="Z12" s="593"/>
      <c r="AA12" s="593"/>
      <c r="AB12" s="593"/>
      <c r="AC12" s="593"/>
      <c r="AD12" s="593"/>
      <c r="AE12" s="593"/>
      <c r="AF12" s="593"/>
      <c r="AG12" s="593"/>
      <c r="AH12" s="593"/>
      <c r="AI12" s="593"/>
      <c r="AJ12" s="593"/>
      <c r="AK12" s="593"/>
      <c r="AL12" s="593"/>
      <c r="AM12" s="593"/>
      <c r="AN12" s="593"/>
      <c r="AO12" s="593"/>
      <c r="AP12" s="593"/>
      <c r="AQ12" s="593"/>
      <c r="AR12" s="593"/>
      <c r="AS12" s="593"/>
      <c r="AT12" s="593"/>
      <c r="AU12" s="593"/>
      <c r="AV12" s="593"/>
      <c r="AW12" s="593"/>
      <c r="AX12" s="593"/>
      <c r="AY12" s="593"/>
      <c r="AZ12" s="593"/>
      <c r="BA12" s="593"/>
      <c r="BB12" s="593"/>
      <c r="BC12" s="593"/>
      <c r="BD12" s="593"/>
      <c r="BE12" s="593"/>
      <c r="BF12" s="593"/>
      <c r="BG12" s="593"/>
      <c r="BH12" s="593"/>
      <c r="BI12" s="593"/>
      <c r="BJ12" s="593"/>
      <c r="BK12" s="593"/>
      <c r="BL12" s="593"/>
      <c r="BM12" s="593"/>
      <c r="BN12" s="593"/>
      <c r="BO12" s="593"/>
      <c r="BP12" s="593"/>
      <c r="BQ12" s="593"/>
      <c r="BR12" s="593"/>
      <c r="BS12" s="593"/>
      <c r="BT12" s="593"/>
      <c r="BU12" s="593"/>
      <c r="BV12" s="593"/>
      <c r="BW12" s="593"/>
      <c r="BX12" s="593"/>
      <c r="BY12" s="593"/>
      <c r="BZ12" s="593"/>
      <c r="CA12" s="593"/>
      <c r="CB12" s="593"/>
      <c r="CC12" s="593"/>
      <c r="CD12" s="593"/>
      <c r="CE12" s="593"/>
      <c r="CF12" s="595"/>
    </row>
    <row r="13" spans="1:94" s="583" customFormat="1" ht="23.1" customHeight="1">
      <c r="A13" s="584"/>
      <c r="B13" s="585"/>
      <c r="C13" s="585"/>
      <c r="D13" s="596" t="s">
        <v>1094</v>
      </c>
      <c r="E13" s="585"/>
      <c r="F13" s="585"/>
      <c r="G13" s="585"/>
      <c r="H13" s="585"/>
      <c r="I13" s="585"/>
      <c r="J13" s="585"/>
      <c r="K13" s="585"/>
      <c r="L13" s="585"/>
      <c r="M13" s="585"/>
      <c r="N13" s="585"/>
      <c r="O13" s="585"/>
      <c r="P13" s="585"/>
      <c r="Q13" s="585"/>
      <c r="R13" s="585"/>
      <c r="S13" s="585"/>
      <c r="T13" s="585"/>
      <c r="U13" s="585"/>
      <c r="V13" s="585"/>
      <c r="W13" s="585"/>
      <c r="X13" s="585"/>
      <c r="Y13" s="585"/>
      <c r="Z13" s="585"/>
      <c r="AA13" s="585"/>
      <c r="AB13" s="585"/>
      <c r="AC13" s="585"/>
      <c r="AD13" s="585"/>
      <c r="AE13" s="585"/>
      <c r="AF13" s="585"/>
      <c r="AG13" s="585"/>
      <c r="AH13" s="585"/>
      <c r="AI13" s="585"/>
      <c r="AJ13" s="585"/>
      <c r="AK13" s="585"/>
      <c r="AL13" s="585"/>
      <c r="AM13" s="585"/>
      <c r="AN13" s="585"/>
      <c r="AO13" s="585"/>
      <c r="AP13" s="585"/>
      <c r="AQ13" s="585"/>
      <c r="AR13" s="422"/>
      <c r="AS13" s="1435" t="e">
        <f>HLOOKUP(D13,$CN$1:$CO$3,3,0)</f>
        <v>#REF!</v>
      </c>
      <c r="AT13" s="1435"/>
      <c r="AU13" s="1435"/>
      <c r="AV13" s="1435"/>
      <c r="AW13" s="1435"/>
      <c r="AX13" s="1435"/>
      <c r="AY13" s="1435"/>
      <c r="AZ13" s="1435"/>
      <c r="BA13" s="1435"/>
      <c r="BB13" s="1435"/>
      <c r="BC13" s="585"/>
      <c r="BD13" s="1431" t="s">
        <v>446</v>
      </c>
      <c r="BE13" s="1431"/>
      <c r="BF13" s="585"/>
      <c r="BG13" s="1431">
        <v>14.6</v>
      </c>
      <c r="BH13" s="1431"/>
      <c r="BI13" s="1431"/>
      <c r="BJ13" s="1431"/>
      <c r="BK13" s="1431"/>
      <c r="BL13" s="585" t="s">
        <v>1111</v>
      </c>
      <c r="BM13" s="585"/>
      <c r="BN13" s="585"/>
      <c r="BO13" s="585"/>
      <c r="BP13" s="1431" t="s">
        <v>41</v>
      </c>
      <c r="BQ13" s="1431"/>
      <c r="BR13" s="585"/>
      <c r="BS13" s="585"/>
      <c r="BT13" s="1432" t="e">
        <f>INT(AS13*BG13)</f>
        <v>#REF!</v>
      </c>
      <c r="BU13" s="1432"/>
      <c r="BV13" s="1432"/>
      <c r="BW13" s="1432"/>
      <c r="BX13" s="1432"/>
      <c r="BY13" s="1432"/>
      <c r="BZ13" s="1432"/>
      <c r="CA13" s="1432"/>
      <c r="CB13" s="1432"/>
      <c r="CC13" s="1432"/>
      <c r="CD13" s="585"/>
      <c r="CE13" s="585"/>
      <c r="CF13" s="586"/>
    </row>
    <row r="14" spans="1:94" s="583" customFormat="1" ht="23.1" customHeight="1">
      <c r="A14" s="584"/>
      <c r="B14" s="585"/>
      <c r="C14" s="585"/>
      <c r="D14" s="591" t="str">
        <f>"잡재료 (주연료의 "&amp;BG14&amp;"%) :"</f>
        <v>잡재료 (주연료의 16%) :</v>
      </c>
      <c r="E14" s="585"/>
      <c r="F14" s="585"/>
      <c r="G14" s="585"/>
      <c r="H14" s="585"/>
      <c r="I14" s="585"/>
      <c r="J14" s="585"/>
      <c r="K14" s="585"/>
      <c r="L14" s="585"/>
      <c r="M14" s="585"/>
      <c r="N14" s="585"/>
      <c r="O14" s="585"/>
      <c r="P14" s="585"/>
      <c r="Q14" s="585"/>
      <c r="R14" s="585"/>
      <c r="S14" s="585"/>
      <c r="T14" s="585"/>
      <c r="U14" s="585"/>
      <c r="V14" s="585"/>
      <c r="W14" s="585"/>
      <c r="X14" s="585"/>
      <c r="Y14" s="585"/>
      <c r="Z14" s="585"/>
      <c r="AA14" s="585"/>
      <c r="AB14" s="585"/>
      <c r="AC14" s="585"/>
      <c r="AD14" s="585"/>
      <c r="AE14" s="585"/>
      <c r="AF14" s="585"/>
      <c r="AG14" s="585"/>
      <c r="AH14" s="585"/>
      <c r="AI14" s="585"/>
      <c r="AJ14" s="585"/>
      <c r="AK14" s="585"/>
      <c r="AL14" s="585"/>
      <c r="AM14" s="585"/>
      <c r="AN14" s="585"/>
      <c r="AO14" s="585"/>
      <c r="AP14" s="585"/>
      <c r="AQ14" s="585"/>
      <c r="AR14" s="422" t="e">
        <f>BT13</f>
        <v>#REF!</v>
      </c>
      <c r="AS14" s="1430" t="e">
        <f>BT13</f>
        <v>#REF!</v>
      </c>
      <c r="AT14" s="1430"/>
      <c r="AU14" s="1430"/>
      <c r="AV14" s="1430"/>
      <c r="AW14" s="1430"/>
      <c r="AX14" s="1430"/>
      <c r="AY14" s="1430"/>
      <c r="AZ14" s="1430"/>
      <c r="BA14" s="1430"/>
      <c r="BB14" s="1430"/>
      <c r="BC14" s="585"/>
      <c r="BD14" s="1431" t="s">
        <v>446</v>
      </c>
      <c r="BE14" s="1431"/>
      <c r="BF14" s="585"/>
      <c r="BG14" s="1431">
        <v>16</v>
      </c>
      <c r="BH14" s="1431"/>
      <c r="BI14" s="1431"/>
      <c r="BJ14" s="1431"/>
      <c r="BK14" s="1431"/>
      <c r="BL14" s="585" t="s">
        <v>1112</v>
      </c>
      <c r="BM14" s="585"/>
      <c r="BN14" s="585"/>
      <c r="BO14" s="585"/>
      <c r="BP14" s="1431" t="s">
        <v>41</v>
      </c>
      <c r="BQ14" s="1431"/>
      <c r="BR14" s="585"/>
      <c r="BS14" s="585"/>
      <c r="BT14" s="1432" t="e">
        <f>INT(AS14*BG14/100)</f>
        <v>#REF!</v>
      </c>
      <c r="BU14" s="1432"/>
      <c r="BV14" s="1432"/>
      <c r="BW14" s="1432"/>
      <c r="BX14" s="1432"/>
      <c r="BY14" s="1432"/>
      <c r="BZ14" s="1432"/>
      <c r="CA14" s="1432"/>
      <c r="CB14" s="1432"/>
      <c r="CC14" s="1432"/>
      <c r="CD14" s="585"/>
      <c r="CE14" s="585"/>
      <c r="CF14" s="586"/>
    </row>
    <row r="15" spans="1:94" s="583" customFormat="1" ht="23.1" customHeight="1" thickBot="1">
      <c r="A15" s="584"/>
      <c r="B15" s="585"/>
      <c r="C15" s="585"/>
      <c r="D15" s="585"/>
      <c r="E15" s="585"/>
      <c r="F15" s="585"/>
      <c r="G15" s="585"/>
      <c r="H15" s="585"/>
      <c r="I15" s="585"/>
      <c r="J15" s="585"/>
      <c r="K15" s="585"/>
      <c r="L15" s="585"/>
      <c r="M15" s="585"/>
      <c r="N15" s="585"/>
      <c r="O15" s="585"/>
      <c r="P15" s="585"/>
      <c r="Q15" s="585"/>
      <c r="R15" s="585"/>
      <c r="S15" s="585"/>
      <c r="T15" s="585"/>
      <c r="U15" s="585"/>
      <c r="V15" s="585"/>
      <c r="W15" s="585"/>
      <c r="X15" s="585"/>
      <c r="Y15" s="585"/>
      <c r="Z15" s="585"/>
      <c r="AA15" s="585"/>
      <c r="AB15" s="585"/>
      <c r="AC15" s="585"/>
      <c r="AD15" s="585"/>
      <c r="AE15" s="585"/>
      <c r="AF15" s="585"/>
      <c r="AG15" s="585"/>
      <c r="AH15" s="585"/>
      <c r="AI15" s="585"/>
      <c r="AJ15" s="585"/>
      <c r="AK15" s="585"/>
      <c r="AL15" s="585"/>
      <c r="AM15" s="585"/>
      <c r="AN15" s="585"/>
      <c r="AO15" s="585"/>
      <c r="AP15" s="585"/>
      <c r="AQ15" s="585"/>
      <c r="AR15" s="585"/>
      <c r="AS15" s="585"/>
      <c r="AT15" s="585"/>
      <c r="AU15" s="585"/>
      <c r="AV15" s="585"/>
      <c r="AW15" s="585"/>
      <c r="AX15" s="585"/>
      <c r="AY15" s="585"/>
      <c r="AZ15" s="585"/>
      <c r="BA15" s="585"/>
      <c r="BB15" s="585"/>
      <c r="BC15" s="585"/>
      <c r="BD15" s="585"/>
      <c r="BE15" s="585"/>
      <c r="BF15" s="585"/>
      <c r="BG15" s="585"/>
      <c r="BH15" s="585"/>
      <c r="BI15" s="585"/>
      <c r="BJ15" s="585"/>
      <c r="BK15" s="585"/>
      <c r="BL15" s="585"/>
      <c r="BM15" s="585"/>
      <c r="BN15" s="585"/>
      <c r="BO15" s="585"/>
      <c r="BP15" s="1431" t="s">
        <v>41</v>
      </c>
      <c r="BQ15" s="1431"/>
      <c r="BR15" s="585"/>
      <c r="BS15" s="585"/>
      <c r="BT15" s="1433" t="e">
        <f>BT13+BT14</f>
        <v>#REF!</v>
      </c>
      <c r="BU15" s="1433"/>
      <c r="BV15" s="1433"/>
      <c r="BW15" s="1433"/>
      <c r="BX15" s="1433"/>
      <c r="BY15" s="1433"/>
      <c r="BZ15" s="1433"/>
      <c r="CA15" s="1433"/>
      <c r="CB15" s="1433"/>
      <c r="CC15" s="1433"/>
      <c r="CD15" s="585"/>
      <c r="CE15" s="585"/>
      <c r="CF15" s="586"/>
    </row>
    <row r="16" spans="1:94" s="583" customFormat="1" ht="23.1" customHeight="1" thickBot="1">
      <c r="A16" s="597"/>
      <c r="B16" s="598" t="s">
        <v>1113</v>
      </c>
      <c r="C16" s="598"/>
      <c r="D16" s="598"/>
      <c r="E16" s="598"/>
      <c r="F16" s="598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  <c r="U16" s="598"/>
      <c r="V16" s="598"/>
      <c r="W16" s="598"/>
      <c r="X16" s="598"/>
      <c r="Y16" s="598"/>
      <c r="Z16" s="598"/>
      <c r="AA16" s="598"/>
      <c r="AB16" s="598"/>
      <c r="AC16" s="598"/>
      <c r="AD16" s="598"/>
      <c r="AE16" s="598"/>
      <c r="AF16" s="598"/>
      <c r="AG16" s="598"/>
      <c r="AH16" s="598"/>
      <c r="AI16" s="598"/>
      <c r="AJ16" s="598"/>
      <c r="AK16" s="598"/>
      <c r="AL16" s="598"/>
      <c r="AM16" s="598"/>
      <c r="AN16" s="598"/>
      <c r="AO16" s="598"/>
      <c r="AP16" s="598"/>
      <c r="AQ16" s="598"/>
      <c r="AR16" s="598"/>
      <c r="AS16" s="598"/>
      <c r="AT16" s="598"/>
      <c r="AU16" s="598"/>
      <c r="AV16" s="598"/>
      <c r="AW16" s="598"/>
      <c r="AX16" s="598"/>
      <c r="AY16" s="598"/>
      <c r="AZ16" s="598"/>
      <c r="BA16" s="598"/>
      <c r="BB16" s="598"/>
      <c r="BC16" s="598"/>
      <c r="BD16" s="598"/>
      <c r="BE16" s="598"/>
      <c r="BF16" s="598"/>
      <c r="BG16" s="598"/>
      <c r="BH16" s="598"/>
      <c r="BI16" s="598"/>
      <c r="BJ16" s="598"/>
      <c r="BK16" s="598"/>
      <c r="BL16" s="598"/>
      <c r="BM16" s="598"/>
      <c r="BN16" s="598"/>
      <c r="BO16" s="598"/>
      <c r="BP16" s="598"/>
      <c r="BQ16" s="598"/>
      <c r="BR16" s="598"/>
      <c r="BS16" s="598"/>
      <c r="BT16" s="1429" t="e">
        <f>BT7+BT11+BT15</f>
        <v>#REF!</v>
      </c>
      <c r="BU16" s="1429"/>
      <c r="BV16" s="1429"/>
      <c r="BW16" s="1429"/>
      <c r="BX16" s="1429"/>
      <c r="BY16" s="1429"/>
      <c r="BZ16" s="1429"/>
      <c r="CA16" s="1429"/>
      <c r="CB16" s="1429"/>
      <c r="CC16" s="1429"/>
      <c r="CD16" s="598"/>
      <c r="CE16" s="598"/>
      <c r="CF16" s="599"/>
    </row>
    <row r="17" spans="1:84" s="583" customFormat="1" ht="9.9499999999999993" customHeight="1">
      <c r="A17" s="574"/>
      <c r="B17" s="574"/>
      <c r="C17" s="574"/>
      <c r="D17" s="574"/>
      <c r="E17" s="574"/>
      <c r="F17" s="574"/>
      <c r="G17" s="574"/>
      <c r="H17" s="574"/>
      <c r="I17" s="574"/>
      <c r="J17" s="574"/>
      <c r="K17" s="574"/>
      <c r="L17" s="574"/>
      <c r="M17" s="574"/>
      <c r="N17" s="574"/>
      <c r="O17" s="574"/>
      <c r="P17" s="574"/>
      <c r="Q17" s="574"/>
      <c r="R17" s="574"/>
      <c r="S17" s="574"/>
      <c r="T17" s="574"/>
      <c r="U17" s="574"/>
      <c r="V17" s="574"/>
      <c r="W17" s="574"/>
      <c r="X17" s="574"/>
      <c r="Y17" s="574"/>
      <c r="Z17" s="574"/>
      <c r="AA17" s="574"/>
      <c r="AB17" s="574"/>
      <c r="AC17" s="574"/>
      <c r="AD17" s="574"/>
      <c r="AE17" s="574"/>
      <c r="AF17" s="574"/>
      <c r="AG17" s="574"/>
      <c r="AH17" s="574"/>
      <c r="AI17" s="574"/>
      <c r="AJ17" s="574"/>
      <c r="AK17" s="574"/>
      <c r="AL17" s="574"/>
      <c r="AM17" s="574"/>
      <c r="AN17" s="574"/>
      <c r="AO17" s="574"/>
      <c r="AP17" s="574"/>
      <c r="AQ17" s="574"/>
      <c r="AR17" s="574"/>
      <c r="AS17" s="574"/>
      <c r="AT17" s="574"/>
      <c r="AU17" s="574"/>
      <c r="AV17" s="574"/>
      <c r="AW17" s="574"/>
      <c r="AX17" s="574"/>
      <c r="AY17" s="574"/>
      <c r="AZ17" s="574"/>
      <c r="BA17" s="574"/>
      <c r="BB17" s="574"/>
      <c r="BC17" s="574"/>
      <c r="BD17" s="574"/>
      <c r="BE17" s="574"/>
      <c r="BF17" s="574"/>
      <c r="BG17" s="574"/>
      <c r="BH17" s="574"/>
      <c r="BI17" s="574"/>
      <c r="BJ17" s="574"/>
      <c r="BK17" s="574"/>
      <c r="BL17" s="574"/>
      <c r="BM17" s="574"/>
      <c r="BN17" s="574"/>
      <c r="BO17" s="574"/>
      <c r="BP17" s="574"/>
      <c r="BQ17" s="574"/>
      <c r="BR17" s="574"/>
      <c r="BS17" s="574"/>
      <c r="BT17" s="574"/>
      <c r="BU17" s="574"/>
      <c r="BV17" s="574"/>
      <c r="BW17" s="574"/>
      <c r="BX17" s="574"/>
      <c r="BY17" s="574"/>
      <c r="BZ17" s="574"/>
      <c r="CA17" s="574"/>
      <c r="CB17" s="574"/>
      <c r="CC17" s="574"/>
      <c r="CD17" s="574"/>
      <c r="CE17" s="574"/>
      <c r="CF17" s="574"/>
    </row>
    <row r="18" spans="1:84" s="583" customFormat="1" ht="23.1" customHeight="1" thickBot="1">
      <c r="A18" s="1446" t="s">
        <v>1095</v>
      </c>
      <c r="B18" s="1446"/>
      <c r="C18" s="1446"/>
      <c r="D18" s="1446"/>
      <c r="E18" s="1446"/>
      <c r="F18" s="1446"/>
      <c r="G18" s="1447">
        <f>G3+1</f>
        <v>2</v>
      </c>
      <c r="H18" s="1447"/>
      <c r="I18" s="1447"/>
      <c r="J18" s="1448" t="s">
        <v>1096</v>
      </c>
      <c r="K18" s="1448"/>
      <c r="L18" s="574"/>
      <c r="M18" s="574"/>
      <c r="N18" s="574"/>
      <c r="O18" s="574"/>
      <c r="P18" s="574"/>
      <c r="Q18" s="574"/>
      <c r="R18" s="574"/>
      <c r="S18" s="574"/>
      <c r="T18" s="574"/>
      <c r="U18" s="574"/>
      <c r="V18" s="574"/>
      <c r="W18" s="574"/>
      <c r="X18" s="574"/>
      <c r="Y18" s="574"/>
      <c r="Z18" s="574"/>
      <c r="AA18" s="574"/>
      <c r="AB18" s="574"/>
      <c r="AC18" s="574"/>
      <c r="AD18" s="574"/>
      <c r="AE18" s="574"/>
      <c r="AF18" s="574"/>
      <c r="AG18" s="574"/>
      <c r="AH18" s="574"/>
      <c r="AI18" s="574"/>
      <c r="AJ18" s="574"/>
      <c r="AK18" s="574"/>
      <c r="AL18" s="574"/>
      <c r="AM18" s="574"/>
      <c r="AN18" s="574"/>
      <c r="AO18" s="574"/>
      <c r="AP18" s="574"/>
      <c r="AQ18" s="574"/>
      <c r="AR18" s="574"/>
      <c r="AS18" s="574"/>
      <c r="AT18" s="574"/>
      <c r="AU18" s="574"/>
      <c r="AV18" s="574"/>
      <c r="AW18" s="574"/>
      <c r="AX18" s="574"/>
      <c r="AY18" s="574"/>
      <c r="AZ18" s="574"/>
      <c r="BA18" s="574"/>
      <c r="BB18" s="574"/>
      <c r="BC18" s="574"/>
      <c r="BD18" s="574"/>
      <c r="BE18" s="574"/>
      <c r="BF18" s="574"/>
      <c r="BG18" s="574"/>
      <c r="BH18" s="574"/>
      <c r="BI18" s="574"/>
      <c r="BJ18" s="574"/>
      <c r="BK18" s="574"/>
      <c r="BL18" s="574"/>
      <c r="BM18" s="574"/>
      <c r="BN18" s="574"/>
      <c r="BO18" s="574"/>
      <c r="BP18" s="574"/>
      <c r="BQ18" s="574"/>
      <c r="BR18" s="574"/>
      <c r="BS18" s="574"/>
      <c r="BT18" s="574"/>
      <c r="BU18" s="574"/>
      <c r="BV18" s="574"/>
      <c r="BW18" s="574"/>
      <c r="BX18" s="574"/>
      <c r="BY18" s="574"/>
      <c r="BZ18" s="574"/>
      <c r="CA18" s="574"/>
      <c r="CB18" s="574"/>
      <c r="CC18" s="574"/>
      <c r="CD18" s="574"/>
      <c r="CE18" s="574"/>
      <c r="CF18" s="574"/>
    </row>
    <row r="19" spans="1:84" s="583" customFormat="1" ht="23.1" customHeight="1" thickBot="1">
      <c r="A19" s="1483" t="s">
        <v>1097</v>
      </c>
      <c r="B19" s="1484"/>
      <c r="C19" s="1484"/>
      <c r="D19" s="1484"/>
      <c r="E19" s="1484"/>
      <c r="F19" s="1484"/>
      <c r="G19" s="1484"/>
      <c r="H19" s="1484"/>
      <c r="I19" s="581" t="s">
        <v>1098</v>
      </c>
      <c r="J19" s="581"/>
      <c r="K19" s="581"/>
      <c r="L19" s="581"/>
      <c r="M19" s="581"/>
      <c r="N19" s="581"/>
      <c r="O19" s="581"/>
      <c r="P19" s="581"/>
      <c r="Q19" s="581"/>
      <c r="R19" s="581"/>
      <c r="S19" s="581"/>
      <c r="T19" s="581"/>
      <c r="U19" s="581"/>
      <c r="V19" s="581"/>
      <c r="W19" s="581"/>
      <c r="X19" s="581"/>
      <c r="Y19" s="581"/>
      <c r="Z19" s="581"/>
      <c r="AA19" s="581"/>
      <c r="AB19" s="581"/>
      <c r="AC19" s="581"/>
      <c r="AD19" s="581"/>
      <c r="AE19" s="581"/>
      <c r="AF19" s="581"/>
      <c r="AG19" s="581"/>
      <c r="AH19" s="581"/>
      <c r="AI19" s="581"/>
      <c r="AJ19" s="1484" t="s">
        <v>1099</v>
      </c>
      <c r="AK19" s="1484"/>
      <c r="AL19" s="1484"/>
      <c r="AM19" s="1484"/>
      <c r="AN19" s="1484"/>
      <c r="AO19" s="1484"/>
      <c r="AP19" s="1484"/>
      <c r="AQ19" s="581" t="s">
        <v>1114</v>
      </c>
      <c r="AR19" s="581"/>
      <c r="AS19" s="581"/>
      <c r="AT19" s="581"/>
      <c r="AU19" s="581"/>
      <c r="AV19" s="581"/>
      <c r="AW19" s="581"/>
      <c r="AX19" s="581"/>
      <c r="AY19" s="581"/>
      <c r="AZ19" s="581"/>
      <c r="BA19" s="581"/>
      <c r="BB19" s="581"/>
      <c r="BC19" s="581"/>
      <c r="BD19" s="581"/>
      <c r="BE19" s="581"/>
      <c r="BF19" s="581"/>
      <c r="BG19" s="581"/>
      <c r="BH19" s="581"/>
      <c r="BI19" s="581"/>
      <c r="BJ19" s="581"/>
      <c r="BK19" s="581"/>
      <c r="BL19" s="581"/>
      <c r="BM19" s="581"/>
      <c r="BN19" s="581"/>
      <c r="BO19" s="581"/>
      <c r="BP19" s="581"/>
      <c r="BQ19" s="581"/>
      <c r="BR19" s="581"/>
      <c r="BS19" s="581"/>
      <c r="BT19" s="581" t="s">
        <v>1115</v>
      </c>
      <c r="BU19" s="581"/>
      <c r="BV19" s="581"/>
      <c r="BW19" s="581"/>
      <c r="BX19" s="581"/>
      <c r="BY19" s="581"/>
      <c r="BZ19" s="581"/>
      <c r="CA19" s="581"/>
      <c r="CB19" s="581"/>
      <c r="CC19" s="581"/>
      <c r="CD19" s="581"/>
      <c r="CE19" s="581"/>
      <c r="CF19" s="582"/>
    </row>
    <row r="20" spans="1:84" s="583" customFormat="1" ht="23.1" customHeight="1">
      <c r="A20" s="584"/>
      <c r="B20" s="585" t="s">
        <v>1102</v>
      </c>
      <c r="C20" s="585"/>
      <c r="D20" s="585"/>
      <c r="E20" s="585"/>
      <c r="F20" s="585"/>
      <c r="G20" s="585"/>
      <c r="H20" s="585"/>
      <c r="I20" s="585"/>
      <c r="J20" s="585"/>
      <c r="K20" s="585"/>
      <c r="L20" s="585"/>
      <c r="M20" s="585"/>
      <c r="N20" s="585"/>
      <c r="O20" s="585"/>
      <c r="P20" s="585"/>
      <c r="Q20" s="585"/>
      <c r="R20" s="585"/>
      <c r="S20" s="585"/>
      <c r="T20" s="585"/>
      <c r="U20" s="585"/>
      <c r="V20" s="585"/>
      <c r="W20" s="585"/>
      <c r="X20" s="585"/>
      <c r="Y20" s="585"/>
      <c r="Z20" s="585"/>
      <c r="AA20" s="585"/>
      <c r="AB20" s="585"/>
      <c r="AC20" s="585"/>
      <c r="AD20" s="585"/>
      <c r="AE20" s="585"/>
      <c r="AF20" s="585"/>
      <c r="AG20" s="585"/>
      <c r="AH20" s="585"/>
      <c r="AI20" s="585"/>
      <c r="AJ20" s="585"/>
      <c r="AK20" s="585"/>
      <c r="AL20" s="585"/>
      <c r="AM20" s="585"/>
      <c r="AN20" s="585"/>
      <c r="AO20" s="585"/>
      <c r="AP20" s="585"/>
      <c r="AQ20" s="585"/>
      <c r="AR20" s="585"/>
      <c r="AS20" s="585"/>
      <c r="AT20" s="585"/>
      <c r="AU20" s="585"/>
      <c r="AV20" s="585"/>
      <c r="AW20" s="585"/>
      <c r="AX20" s="585"/>
      <c r="AY20" s="585"/>
      <c r="AZ20" s="585"/>
      <c r="BA20" s="585"/>
      <c r="BB20" s="585"/>
      <c r="BC20" s="585"/>
      <c r="BD20" s="585"/>
      <c r="BE20" s="585"/>
      <c r="BF20" s="585"/>
      <c r="BG20" s="585"/>
      <c r="BH20" s="585"/>
      <c r="BI20" s="585"/>
      <c r="BJ20" s="585"/>
      <c r="BK20" s="585"/>
      <c r="BL20" s="585"/>
      <c r="BM20" s="585"/>
      <c r="BN20" s="585"/>
      <c r="BO20" s="585"/>
      <c r="BP20" s="585"/>
      <c r="BQ20" s="585"/>
      <c r="BR20" s="585"/>
      <c r="BS20" s="585"/>
      <c r="BT20" s="585"/>
      <c r="BU20" s="585"/>
      <c r="BV20" s="585"/>
      <c r="BW20" s="585"/>
      <c r="BX20" s="585"/>
      <c r="BY20" s="585"/>
      <c r="BZ20" s="585"/>
      <c r="CA20" s="585"/>
      <c r="CB20" s="585"/>
      <c r="CC20" s="585"/>
      <c r="CD20" s="585"/>
      <c r="CE20" s="585"/>
      <c r="CF20" s="586"/>
    </row>
    <row r="21" spans="1:84" s="583" customFormat="1" ht="23.1" customHeight="1">
      <c r="A21" s="587"/>
      <c r="B21" s="574"/>
      <c r="C21" s="574"/>
      <c r="D21" s="405"/>
      <c r="E21" s="574"/>
      <c r="F21" s="422"/>
      <c r="G21" s="422"/>
      <c r="H21" s="422"/>
      <c r="I21" s="422"/>
      <c r="J21" s="422"/>
      <c r="K21" s="422"/>
      <c r="L21" s="422"/>
      <c r="M21" s="422"/>
      <c r="N21" s="574"/>
      <c r="O21" s="574"/>
      <c r="P21" s="574"/>
      <c r="Q21" s="574"/>
      <c r="R21" s="574"/>
      <c r="S21" s="588"/>
      <c r="T21" s="588"/>
      <c r="U21" s="588"/>
      <c r="V21" s="588"/>
      <c r="W21" s="588"/>
      <c r="X21" s="588"/>
      <c r="Y21" s="588"/>
      <c r="Z21" s="588"/>
      <c r="AA21" s="574"/>
      <c r="AB21" s="588"/>
      <c r="AC21" s="585"/>
      <c r="AD21" s="585"/>
      <c r="AE21" s="600"/>
      <c r="AF21" s="600"/>
      <c r="AG21" s="600"/>
      <c r="AH21" s="600"/>
      <c r="AI21" s="600"/>
      <c r="AJ21" s="600"/>
      <c r="AK21" s="600"/>
      <c r="AL21" s="600"/>
      <c r="AM21" s="585"/>
      <c r="AN21" s="585"/>
      <c r="AO21" s="574"/>
      <c r="AP21" s="430"/>
      <c r="AQ21" s="430"/>
      <c r="AR21" s="430"/>
      <c r="AS21" s="430"/>
      <c r="AT21" s="430"/>
      <c r="AU21" s="430"/>
      <c r="AV21" s="430"/>
      <c r="AW21" s="430"/>
      <c r="AX21" s="430"/>
      <c r="AY21" s="430"/>
      <c r="AZ21" s="430"/>
      <c r="BA21" s="430"/>
      <c r="BB21" s="430"/>
      <c r="BC21" s="430"/>
      <c r="BD21" s="574"/>
      <c r="BE21" s="574"/>
      <c r="BF21" s="574"/>
      <c r="BG21" s="574"/>
      <c r="BH21" s="574"/>
      <c r="BI21" s="574"/>
      <c r="BJ21" s="574"/>
      <c r="BK21" s="574"/>
      <c r="BL21" s="574"/>
      <c r="BM21" s="574"/>
      <c r="BN21" s="574"/>
      <c r="BO21" s="574"/>
      <c r="BP21" s="574"/>
      <c r="BQ21" s="574"/>
      <c r="BR21" s="574"/>
      <c r="BS21" s="574"/>
      <c r="BT21" s="574"/>
      <c r="BU21" s="574"/>
      <c r="BV21" s="574"/>
      <c r="BW21" s="574"/>
      <c r="BX21" s="574"/>
      <c r="BY21" s="574"/>
      <c r="BZ21" s="574"/>
      <c r="CA21" s="574"/>
      <c r="CB21" s="574"/>
      <c r="CC21" s="574"/>
      <c r="CD21" s="574"/>
      <c r="CE21" s="574"/>
      <c r="CF21" s="589"/>
    </row>
    <row r="22" spans="1:84" s="583" customFormat="1" ht="23.1" customHeight="1">
      <c r="A22" s="584"/>
      <c r="B22" s="585"/>
      <c r="C22" s="585"/>
      <c r="D22" s="585"/>
      <c r="E22" s="585"/>
      <c r="F22" s="585"/>
      <c r="G22" s="585"/>
      <c r="H22" s="585"/>
      <c r="I22" s="585"/>
      <c r="J22" s="585"/>
      <c r="K22" s="585"/>
      <c r="L22" s="585"/>
      <c r="M22" s="585"/>
      <c r="N22" s="585"/>
      <c r="O22" s="585"/>
      <c r="P22" s="585"/>
      <c r="Q22" s="585"/>
      <c r="R22" s="585"/>
      <c r="S22" s="585"/>
      <c r="T22" s="585"/>
      <c r="U22" s="585"/>
      <c r="V22" s="590"/>
      <c r="W22" s="590"/>
      <c r="X22" s="590"/>
      <c r="Y22" s="590"/>
      <c r="Z22" s="590"/>
      <c r="AA22" s="590"/>
      <c r="AB22" s="590"/>
      <c r="AC22" s="590"/>
      <c r="AD22" s="574"/>
      <c r="AE22" s="1440">
        <v>198150000</v>
      </c>
      <c r="AF22" s="1440"/>
      <c r="AG22" s="1440"/>
      <c r="AH22" s="1440"/>
      <c r="AI22" s="1440"/>
      <c r="AJ22" s="1440"/>
      <c r="AK22" s="1440"/>
      <c r="AL22" s="1440"/>
      <c r="AM22" s="1440"/>
      <c r="AN22" s="1440"/>
      <c r="AO22" s="1440"/>
      <c r="AP22" s="1440"/>
      <c r="AQ22" s="1440"/>
      <c r="AR22" s="1440"/>
      <c r="AS22" s="1440"/>
      <c r="AT22" s="1431" t="s">
        <v>446</v>
      </c>
      <c r="AU22" s="1431"/>
      <c r="AV22" s="1441" t="s">
        <v>1103</v>
      </c>
      <c r="AW22" s="1441"/>
      <c r="AX22" s="1442">
        <v>1811</v>
      </c>
      <c r="AY22" s="1442"/>
      <c r="AZ22" s="1442"/>
      <c r="BA22" s="1442"/>
      <c r="BB22" s="1442"/>
      <c r="BC22" s="1442"/>
      <c r="BD22" s="585"/>
      <c r="BE22" s="1431" t="s">
        <v>446</v>
      </c>
      <c r="BF22" s="1431"/>
      <c r="BG22" s="585"/>
      <c r="BH22" s="591" t="s">
        <v>1104</v>
      </c>
      <c r="BI22" s="585"/>
      <c r="BJ22" s="585"/>
      <c r="BK22" s="585"/>
      <c r="BL22" s="1431" t="s">
        <v>1105</v>
      </c>
      <c r="BM22" s="1431"/>
      <c r="BN22" s="1431"/>
      <c r="BO22" s="585"/>
      <c r="BP22" s="1431" t="s">
        <v>41</v>
      </c>
      <c r="BQ22" s="1431"/>
      <c r="BR22" s="585"/>
      <c r="BS22" s="585"/>
      <c r="BT22" s="1437">
        <f>INT(AE22*AX22*10^-7)</f>
        <v>35884</v>
      </c>
      <c r="BU22" s="1437"/>
      <c r="BV22" s="1437"/>
      <c r="BW22" s="1437"/>
      <c r="BX22" s="1437"/>
      <c r="BY22" s="1437"/>
      <c r="BZ22" s="1437"/>
      <c r="CA22" s="1437"/>
      <c r="CB22" s="1437"/>
      <c r="CC22" s="1437"/>
      <c r="CD22" s="585"/>
      <c r="CE22" s="585"/>
      <c r="CF22" s="586"/>
    </row>
    <row r="23" spans="1:84" s="583" customFormat="1" ht="23.1" customHeight="1">
      <c r="A23" s="592"/>
      <c r="B23" s="593" t="s">
        <v>1106</v>
      </c>
      <c r="C23" s="593"/>
      <c r="D23" s="593"/>
      <c r="E23" s="593"/>
      <c r="F23" s="593"/>
      <c r="G23" s="593"/>
      <c r="H23" s="593"/>
      <c r="I23" s="593"/>
      <c r="J23" s="593"/>
      <c r="K23" s="593"/>
      <c r="L23" s="593"/>
      <c r="M23" s="593"/>
      <c r="N23" s="593"/>
      <c r="O23" s="593"/>
      <c r="P23" s="593"/>
      <c r="Q23" s="593"/>
      <c r="R23" s="593"/>
      <c r="S23" s="593"/>
      <c r="T23" s="593"/>
      <c r="U23" s="593"/>
      <c r="V23" s="593"/>
      <c r="W23" s="593"/>
      <c r="X23" s="593"/>
      <c r="Y23" s="593"/>
      <c r="Z23" s="593"/>
      <c r="AA23" s="593"/>
      <c r="AB23" s="593"/>
      <c r="AC23" s="593"/>
      <c r="AD23" s="593"/>
      <c r="AE23" s="593"/>
      <c r="AF23" s="593"/>
      <c r="AG23" s="593"/>
      <c r="AH23" s="593"/>
      <c r="AI23" s="593"/>
      <c r="AJ23" s="593"/>
      <c r="AK23" s="593"/>
      <c r="AL23" s="593"/>
      <c r="AM23" s="593"/>
      <c r="AN23" s="593"/>
      <c r="AO23" s="593"/>
      <c r="AP23" s="593"/>
      <c r="AQ23" s="593"/>
      <c r="AR23" s="593"/>
      <c r="AS23" s="593"/>
      <c r="AT23" s="593"/>
      <c r="AU23" s="593"/>
      <c r="AV23" s="593"/>
      <c r="AW23" s="593"/>
      <c r="AX23" s="593"/>
      <c r="AY23" s="593"/>
      <c r="AZ23" s="593"/>
      <c r="BA23" s="593"/>
      <c r="BB23" s="593"/>
      <c r="BC23" s="593"/>
      <c r="BD23" s="593"/>
      <c r="BE23" s="593"/>
      <c r="BF23" s="593"/>
      <c r="BG23" s="593"/>
      <c r="BH23" s="593"/>
      <c r="BI23" s="593"/>
      <c r="BJ23" s="593"/>
      <c r="BK23" s="593"/>
      <c r="BL23" s="593"/>
      <c r="BM23" s="593"/>
      <c r="BN23" s="593"/>
      <c r="BO23" s="593"/>
      <c r="BP23" s="593"/>
      <c r="BQ23" s="593"/>
      <c r="BR23" s="593"/>
      <c r="BS23" s="593"/>
      <c r="BT23" s="594"/>
      <c r="BU23" s="594"/>
      <c r="BV23" s="594"/>
      <c r="BW23" s="594"/>
      <c r="BX23" s="594"/>
      <c r="BY23" s="594"/>
      <c r="BZ23" s="594"/>
      <c r="CA23" s="594"/>
      <c r="CB23" s="594"/>
      <c r="CC23" s="594"/>
      <c r="CD23" s="593"/>
      <c r="CE23" s="593"/>
      <c r="CF23" s="595"/>
    </row>
    <row r="24" spans="1:84" s="583" customFormat="1" ht="23.1" customHeight="1">
      <c r="A24" s="584"/>
      <c r="B24" s="585"/>
      <c r="C24" s="585"/>
      <c r="D24" s="596" t="s">
        <v>268</v>
      </c>
      <c r="E24" s="585"/>
      <c r="F24" s="585"/>
      <c r="G24" s="585"/>
      <c r="H24" s="585"/>
      <c r="I24" s="585"/>
      <c r="J24" s="585"/>
      <c r="K24" s="585"/>
      <c r="L24" s="585"/>
      <c r="M24" s="585"/>
      <c r="N24" s="585"/>
      <c r="O24" s="585"/>
      <c r="P24" s="585"/>
      <c r="Q24" s="585"/>
      <c r="R24" s="585"/>
      <c r="S24" s="585"/>
      <c r="T24" s="574"/>
      <c r="U24" s="574"/>
      <c r="V24" s="1435">
        <f>HLOOKUP(D24,$CJ$1:$CM$3,3,0)</f>
        <v>283297</v>
      </c>
      <c r="W24" s="1435"/>
      <c r="X24" s="1435"/>
      <c r="Y24" s="1435"/>
      <c r="Z24" s="1435"/>
      <c r="AA24" s="1435"/>
      <c r="AB24" s="1435"/>
      <c r="AC24" s="1435"/>
      <c r="AD24" s="1435"/>
      <c r="AE24" s="1435"/>
      <c r="AF24" s="1431" t="s">
        <v>446</v>
      </c>
      <c r="AG24" s="1431"/>
      <c r="AH24" s="574"/>
      <c r="AI24" s="1436" t="s">
        <v>1107</v>
      </c>
      <c r="AJ24" s="1436"/>
      <c r="AK24" s="1436"/>
      <c r="AL24" s="1436"/>
      <c r="AM24" s="585"/>
      <c r="AN24" s="1431" t="s">
        <v>446</v>
      </c>
      <c r="AO24" s="1431"/>
      <c r="AP24" s="585"/>
      <c r="AQ24" s="1436" t="s">
        <v>1108</v>
      </c>
      <c r="AR24" s="1436"/>
      <c r="AS24" s="1436"/>
      <c r="AT24" s="1436"/>
      <c r="AU24" s="1436"/>
      <c r="AV24" s="422"/>
      <c r="AW24" s="1431" t="s">
        <v>446</v>
      </c>
      <c r="AX24" s="1431"/>
      <c r="AY24" s="440"/>
      <c r="AZ24" s="1436" t="s">
        <v>1109</v>
      </c>
      <c r="BA24" s="1436"/>
      <c r="BB24" s="1436"/>
      <c r="BC24" s="1436"/>
      <c r="BD24" s="1436"/>
      <c r="BE24" s="585"/>
      <c r="BF24" s="1431" t="s">
        <v>446</v>
      </c>
      <c r="BG24" s="1431"/>
      <c r="BH24" s="1431">
        <v>1</v>
      </c>
      <c r="BI24" s="1431"/>
      <c r="BJ24" s="1431"/>
      <c r="BK24" s="585"/>
      <c r="BL24" s="585" t="s">
        <v>366</v>
      </c>
      <c r="BM24" s="585"/>
      <c r="BN24" s="585"/>
      <c r="BO24" s="585"/>
      <c r="BP24" s="1431" t="s">
        <v>41</v>
      </c>
      <c r="BQ24" s="1431"/>
      <c r="BR24" s="585"/>
      <c r="BS24" s="585"/>
      <c r="BT24" s="1432">
        <f>INT(V24/8*16/12*25/20*BH24)</f>
        <v>59020</v>
      </c>
      <c r="BU24" s="1432"/>
      <c r="BV24" s="1432"/>
      <c r="BW24" s="1432"/>
      <c r="BX24" s="1432"/>
      <c r="BY24" s="1432"/>
      <c r="BZ24" s="1432"/>
      <c r="CA24" s="1432"/>
      <c r="CB24" s="1432"/>
      <c r="CC24" s="1432"/>
      <c r="CD24" s="585"/>
      <c r="CE24" s="585"/>
      <c r="CF24" s="586"/>
    </row>
    <row r="25" spans="1:84" s="583" customFormat="1" ht="23.1" customHeight="1">
      <c r="A25" s="584"/>
      <c r="B25" s="585"/>
      <c r="C25" s="585"/>
      <c r="D25" s="585"/>
      <c r="E25" s="585"/>
      <c r="F25" s="585"/>
      <c r="G25" s="585"/>
      <c r="H25" s="585"/>
      <c r="I25" s="585"/>
      <c r="J25" s="585"/>
      <c r="K25" s="585"/>
      <c r="L25" s="585"/>
      <c r="M25" s="585"/>
      <c r="N25" s="585"/>
      <c r="O25" s="585"/>
      <c r="P25" s="574"/>
      <c r="Q25" s="574"/>
      <c r="R25" s="574"/>
      <c r="S25" s="574"/>
      <c r="T25" s="574"/>
      <c r="U25" s="574"/>
      <c r="V25" s="574"/>
      <c r="W25" s="574"/>
      <c r="X25" s="574"/>
      <c r="Y25" s="574"/>
      <c r="Z25" s="574"/>
      <c r="AA25" s="574"/>
      <c r="AB25" s="574"/>
      <c r="AC25" s="574"/>
      <c r="AD25" s="574"/>
      <c r="AE25" s="574"/>
      <c r="AF25" s="574"/>
      <c r="AG25" s="574"/>
      <c r="AH25" s="574"/>
      <c r="AI25" s="574"/>
      <c r="AJ25" s="574"/>
      <c r="AK25" s="574"/>
      <c r="AL25" s="574"/>
      <c r="AM25" s="574"/>
      <c r="AN25" s="574"/>
      <c r="AO25" s="574"/>
      <c r="AP25" s="574"/>
      <c r="AQ25" s="574"/>
      <c r="AR25" s="574"/>
      <c r="AS25" s="574"/>
      <c r="AT25" s="574"/>
      <c r="AU25" s="574"/>
      <c r="AV25" s="574"/>
      <c r="AW25" s="574"/>
      <c r="AX25" s="574"/>
      <c r="AY25" s="574"/>
      <c r="AZ25" s="574"/>
      <c r="BA25" s="574"/>
      <c r="BB25" s="574"/>
      <c r="BC25" s="574"/>
      <c r="BD25" s="574"/>
      <c r="BE25" s="574"/>
      <c r="BF25" s="574"/>
      <c r="BG25" s="585"/>
      <c r="BH25" s="585"/>
      <c r="BI25" s="585"/>
      <c r="BJ25" s="585"/>
      <c r="BK25" s="585"/>
      <c r="BL25" s="585"/>
      <c r="BM25" s="585"/>
      <c r="BN25" s="585"/>
      <c r="BO25" s="585"/>
      <c r="BP25" s="1431"/>
      <c r="BQ25" s="1431"/>
      <c r="BR25" s="585"/>
      <c r="BS25" s="585"/>
      <c r="BT25" s="1432"/>
      <c r="BU25" s="1432"/>
      <c r="BV25" s="1432"/>
      <c r="BW25" s="1432"/>
      <c r="BX25" s="1432"/>
      <c r="BY25" s="1432"/>
      <c r="BZ25" s="1432"/>
      <c r="CA25" s="1432"/>
      <c r="CB25" s="1432"/>
      <c r="CC25" s="1432"/>
      <c r="CD25" s="585"/>
      <c r="CE25" s="585"/>
      <c r="CF25" s="586"/>
    </row>
    <row r="26" spans="1:84" s="583" customFormat="1" ht="23.1" customHeight="1">
      <c r="A26" s="584"/>
      <c r="B26" s="585"/>
      <c r="C26" s="585"/>
      <c r="D26" s="585"/>
      <c r="E26" s="585"/>
      <c r="F26" s="585"/>
      <c r="G26" s="585"/>
      <c r="H26" s="585"/>
      <c r="I26" s="585"/>
      <c r="J26" s="585"/>
      <c r="K26" s="585"/>
      <c r="L26" s="585"/>
      <c r="M26" s="585"/>
      <c r="N26" s="585"/>
      <c r="O26" s="585"/>
      <c r="P26" s="585"/>
      <c r="Q26" s="585"/>
      <c r="R26" s="585"/>
      <c r="S26" s="585"/>
      <c r="T26" s="585"/>
      <c r="U26" s="585"/>
      <c r="V26" s="585"/>
      <c r="W26" s="585"/>
      <c r="X26" s="585"/>
      <c r="Y26" s="585"/>
      <c r="Z26" s="585"/>
      <c r="AA26" s="585"/>
      <c r="AB26" s="585"/>
      <c r="AC26" s="585"/>
      <c r="AD26" s="574"/>
      <c r="AE26" s="574"/>
      <c r="AF26" s="574"/>
      <c r="AG26" s="574"/>
      <c r="AH26" s="574"/>
      <c r="AI26" s="574"/>
      <c r="AJ26" s="574"/>
      <c r="AK26" s="574"/>
      <c r="AL26" s="574"/>
      <c r="AM26" s="574"/>
      <c r="AN26" s="574"/>
      <c r="AO26" s="574"/>
      <c r="AP26" s="574"/>
      <c r="AQ26" s="574"/>
      <c r="AR26" s="574"/>
      <c r="AS26" s="585"/>
      <c r="AT26" s="590"/>
      <c r="AU26" s="590"/>
      <c r="AV26" s="585"/>
      <c r="AW26" s="585"/>
      <c r="AX26" s="585"/>
      <c r="AY26" s="585"/>
      <c r="AZ26" s="585"/>
      <c r="BA26" s="585"/>
      <c r="BB26" s="585"/>
      <c r="BC26" s="585"/>
      <c r="BD26" s="585"/>
      <c r="BE26" s="585"/>
      <c r="BF26" s="585"/>
      <c r="BG26" s="585"/>
      <c r="BH26" s="585"/>
      <c r="BI26" s="585"/>
      <c r="BJ26" s="585"/>
      <c r="BK26" s="585"/>
      <c r="BL26" s="585"/>
      <c r="BM26" s="585"/>
      <c r="BN26" s="585"/>
      <c r="BO26" s="585"/>
      <c r="BP26" s="1431" t="s">
        <v>41</v>
      </c>
      <c r="BQ26" s="1431"/>
      <c r="BR26" s="585"/>
      <c r="BS26" s="585"/>
      <c r="BT26" s="1434">
        <f>BT24+BT25</f>
        <v>59020</v>
      </c>
      <c r="BU26" s="1434"/>
      <c r="BV26" s="1434"/>
      <c r="BW26" s="1434"/>
      <c r="BX26" s="1434"/>
      <c r="BY26" s="1434"/>
      <c r="BZ26" s="1434"/>
      <c r="CA26" s="1434"/>
      <c r="CB26" s="1434"/>
      <c r="CC26" s="1434"/>
      <c r="CD26" s="585"/>
      <c r="CE26" s="585"/>
      <c r="CF26" s="586"/>
    </row>
    <row r="27" spans="1:84" s="583" customFormat="1" ht="23.1" customHeight="1">
      <c r="A27" s="592"/>
      <c r="B27" s="593" t="s">
        <v>1110</v>
      </c>
      <c r="C27" s="593"/>
      <c r="D27" s="593"/>
      <c r="E27" s="593"/>
      <c r="F27" s="593"/>
      <c r="G27" s="593"/>
      <c r="H27" s="593"/>
      <c r="I27" s="593"/>
      <c r="J27" s="593"/>
      <c r="K27" s="593"/>
      <c r="L27" s="593"/>
      <c r="M27" s="593"/>
      <c r="N27" s="593"/>
      <c r="O27" s="593"/>
      <c r="P27" s="593"/>
      <c r="Q27" s="593"/>
      <c r="R27" s="593"/>
      <c r="S27" s="593"/>
      <c r="T27" s="593"/>
      <c r="U27" s="593"/>
      <c r="V27" s="593"/>
      <c r="W27" s="593"/>
      <c r="X27" s="593"/>
      <c r="Y27" s="593"/>
      <c r="Z27" s="593"/>
      <c r="AA27" s="593"/>
      <c r="AB27" s="593"/>
      <c r="AC27" s="593"/>
      <c r="AD27" s="593"/>
      <c r="AE27" s="593"/>
      <c r="AF27" s="593"/>
      <c r="AG27" s="593"/>
      <c r="AH27" s="593"/>
      <c r="AI27" s="593"/>
      <c r="AJ27" s="593"/>
      <c r="AK27" s="593"/>
      <c r="AL27" s="593"/>
      <c r="AM27" s="593"/>
      <c r="AN27" s="593"/>
      <c r="AO27" s="593"/>
      <c r="AP27" s="593"/>
      <c r="AQ27" s="593"/>
      <c r="AR27" s="593"/>
      <c r="AS27" s="593"/>
      <c r="AT27" s="593"/>
      <c r="AU27" s="593"/>
      <c r="AV27" s="593"/>
      <c r="AW27" s="593"/>
      <c r="AX27" s="593"/>
      <c r="AY27" s="593"/>
      <c r="AZ27" s="593"/>
      <c r="BA27" s="593"/>
      <c r="BB27" s="593"/>
      <c r="BC27" s="593"/>
      <c r="BD27" s="593"/>
      <c r="BE27" s="593"/>
      <c r="BF27" s="593"/>
      <c r="BG27" s="593"/>
      <c r="BH27" s="593"/>
      <c r="BI27" s="593"/>
      <c r="BJ27" s="593"/>
      <c r="BK27" s="593"/>
      <c r="BL27" s="593"/>
      <c r="BM27" s="593"/>
      <c r="BN27" s="593"/>
      <c r="BO27" s="593"/>
      <c r="BP27" s="593"/>
      <c r="BQ27" s="593"/>
      <c r="BR27" s="593"/>
      <c r="BS27" s="593"/>
      <c r="BT27" s="593"/>
      <c r="BU27" s="593"/>
      <c r="BV27" s="593"/>
      <c r="BW27" s="593"/>
      <c r="BX27" s="593"/>
      <c r="BY27" s="593"/>
      <c r="BZ27" s="593"/>
      <c r="CA27" s="593"/>
      <c r="CB27" s="593"/>
      <c r="CC27" s="593"/>
      <c r="CD27" s="593"/>
      <c r="CE27" s="593"/>
      <c r="CF27" s="595"/>
    </row>
    <row r="28" spans="1:84" s="583" customFormat="1" ht="23.1" customHeight="1">
      <c r="A28" s="584"/>
      <c r="B28" s="585"/>
      <c r="C28" s="585"/>
      <c r="D28" s="596" t="s">
        <v>1094</v>
      </c>
      <c r="E28" s="585"/>
      <c r="F28" s="585"/>
      <c r="G28" s="585"/>
      <c r="H28" s="585"/>
      <c r="I28" s="585"/>
      <c r="J28" s="585"/>
      <c r="K28" s="585"/>
      <c r="L28" s="585"/>
      <c r="M28" s="585"/>
      <c r="N28" s="585"/>
      <c r="O28" s="585"/>
      <c r="P28" s="585"/>
      <c r="Q28" s="585"/>
      <c r="R28" s="585"/>
      <c r="S28" s="585"/>
      <c r="T28" s="585"/>
      <c r="U28" s="585"/>
      <c r="V28" s="585"/>
      <c r="W28" s="585"/>
      <c r="X28" s="585"/>
      <c r="Y28" s="585"/>
      <c r="Z28" s="585"/>
      <c r="AA28" s="585"/>
      <c r="AB28" s="585"/>
      <c r="AC28" s="585"/>
      <c r="AD28" s="585"/>
      <c r="AE28" s="585"/>
      <c r="AF28" s="585"/>
      <c r="AG28" s="585"/>
      <c r="AH28" s="585"/>
      <c r="AI28" s="585"/>
      <c r="AJ28" s="585"/>
      <c r="AK28" s="585"/>
      <c r="AL28" s="585"/>
      <c r="AM28" s="585"/>
      <c r="AN28" s="585"/>
      <c r="AO28" s="585"/>
      <c r="AP28" s="585"/>
      <c r="AQ28" s="585"/>
      <c r="AR28" s="422"/>
      <c r="AS28" s="1435" t="e">
        <f>HLOOKUP(D28,$CN$1:$CO$3,3,0)</f>
        <v>#REF!</v>
      </c>
      <c r="AT28" s="1435"/>
      <c r="AU28" s="1435"/>
      <c r="AV28" s="1435"/>
      <c r="AW28" s="1435"/>
      <c r="AX28" s="1435"/>
      <c r="AY28" s="1435"/>
      <c r="AZ28" s="1435"/>
      <c r="BA28" s="1435"/>
      <c r="BB28" s="1435"/>
      <c r="BC28" s="585"/>
      <c r="BD28" s="1431" t="s">
        <v>446</v>
      </c>
      <c r="BE28" s="1431"/>
      <c r="BF28" s="585"/>
      <c r="BG28" s="1431">
        <v>25</v>
      </c>
      <c r="BH28" s="1431"/>
      <c r="BI28" s="1431"/>
      <c r="BJ28" s="1431"/>
      <c r="BK28" s="1431"/>
      <c r="BL28" s="585" t="s">
        <v>1111</v>
      </c>
      <c r="BM28" s="585"/>
      <c r="BN28" s="585"/>
      <c r="BO28" s="585"/>
      <c r="BP28" s="1431" t="s">
        <v>41</v>
      </c>
      <c r="BQ28" s="1431"/>
      <c r="BR28" s="585"/>
      <c r="BS28" s="585"/>
      <c r="BT28" s="1432" t="e">
        <f>INT(AS28*BG28)</f>
        <v>#REF!</v>
      </c>
      <c r="BU28" s="1432"/>
      <c r="BV28" s="1432"/>
      <c r="BW28" s="1432"/>
      <c r="BX28" s="1432"/>
      <c r="BY28" s="1432"/>
      <c r="BZ28" s="1432"/>
      <c r="CA28" s="1432"/>
      <c r="CB28" s="1432"/>
      <c r="CC28" s="1432"/>
      <c r="CD28" s="585"/>
      <c r="CE28" s="585"/>
      <c r="CF28" s="586"/>
    </row>
    <row r="29" spans="1:84" s="583" customFormat="1" ht="23.1" customHeight="1">
      <c r="A29" s="584"/>
      <c r="B29" s="585"/>
      <c r="C29" s="585"/>
      <c r="D29" s="591" t="str">
        <f>"잡재료 (주연료의 "&amp;BG29&amp;"%) :"</f>
        <v>잡재료 (주연료의 16%) :</v>
      </c>
      <c r="E29" s="585"/>
      <c r="F29" s="585"/>
      <c r="G29" s="585"/>
      <c r="H29" s="585"/>
      <c r="I29" s="585"/>
      <c r="J29" s="585"/>
      <c r="K29" s="585"/>
      <c r="L29" s="585"/>
      <c r="M29" s="585"/>
      <c r="N29" s="585"/>
      <c r="O29" s="585"/>
      <c r="P29" s="585"/>
      <c r="Q29" s="585"/>
      <c r="R29" s="585"/>
      <c r="S29" s="585"/>
      <c r="T29" s="585"/>
      <c r="U29" s="585"/>
      <c r="V29" s="585"/>
      <c r="W29" s="585"/>
      <c r="X29" s="585"/>
      <c r="Y29" s="585"/>
      <c r="Z29" s="585"/>
      <c r="AA29" s="585"/>
      <c r="AB29" s="585"/>
      <c r="AC29" s="585"/>
      <c r="AD29" s="585"/>
      <c r="AE29" s="585"/>
      <c r="AF29" s="585"/>
      <c r="AG29" s="585"/>
      <c r="AH29" s="585"/>
      <c r="AI29" s="585"/>
      <c r="AJ29" s="585"/>
      <c r="AK29" s="585"/>
      <c r="AL29" s="585"/>
      <c r="AM29" s="585"/>
      <c r="AN29" s="585"/>
      <c r="AO29" s="585"/>
      <c r="AP29" s="585"/>
      <c r="AQ29" s="585"/>
      <c r="AR29" s="422" t="e">
        <f>BT28</f>
        <v>#REF!</v>
      </c>
      <c r="AS29" s="1430" t="e">
        <f>BT28</f>
        <v>#REF!</v>
      </c>
      <c r="AT29" s="1430"/>
      <c r="AU29" s="1430"/>
      <c r="AV29" s="1430"/>
      <c r="AW29" s="1430"/>
      <c r="AX29" s="1430"/>
      <c r="AY29" s="1430"/>
      <c r="AZ29" s="1430"/>
      <c r="BA29" s="1430"/>
      <c r="BB29" s="1430"/>
      <c r="BC29" s="585"/>
      <c r="BD29" s="1431" t="s">
        <v>446</v>
      </c>
      <c r="BE29" s="1431"/>
      <c r="BF29" s="585"/>
      <c r="BG29" s="1431">
        <v>16</v>
      </c>
      <c r="BH29" s="1431"/>
      <c r="BI29" s="1431"/>
      <c r="BJ29" s="1431"/>
      <c r="BK29" s="1431"/>
      <c r="BL29" s="585" t="s">
        <v>1112</v>
      </c>
      <c r="BM29" s="585"/>
      <c r="BN29" s="585"/>
      <c r="BO29" s="585"/>
      <c r="BP29" s="1431" t="s">
        <v>41</v>
      </c>
      <c r="BQ29" s="1431"/>
      <c r="BR29" s="585"/>
      <c r="BS29" s="585"/>
      <c r="BT29" s="1432" t="e">
        <f>INT(AS29*BG29/100)</f>
        <v>#REF!</v>
      </c>
      <c r="BU29" s="1432"/>
      <c r="BV29" s="1432"/>
      <c r="BW29" s="1432"/>
      <c r="BX29" s="1432"/>
      <c r="BY29" s="1432"/>
      <c r="BZ29" s="1432"/>
      <c r="CA29" s="1432"/>
      <c r="CB29" s="1432"/>
      <c r="CC29" s="1432"/>
      <c r="CD29" s="585"/>
      <c r="CE29" s="585"/>
      <c r="CF29" s="586"/>
    </row>
    <row r="30" spans="1:84" s="583" customFormat="1" ht="23.1" customHeight="1" thickBot="1">
      <c r="A30" s="584"/>
      <c r="B30" s="585"/>
      <c r="C30" s="585"/>
      <c r="D30" s="585"/>
      <c r="E30" s="585"/>
      <c r="F30" s="585"/>
      <c r="G30" s="585"/>
      <c r="H30" s="585"/>
      <c r="I30" s="585"/>
      <c r="J30" s="585"/>
      <c r="K30" s="585"/>
      <c r="L30" s="585"/>
      <c r="M30" s="585"/>
      <c r="N30" s="585"/>
      <c r="O30" s="585"/>
      <c r="P30" s="585"/>
      <c r="Q30" s="585"/>
      <c r="R30" s="585"/>
      <c r="S30" s="585"/>
      <c r="T30" s="585"/>
      <c r="U30" s="585"/>
      <c r="V30" s="585"/>
      <c r="W30" s="585"/>
      <c r="X30" s="585"/>
      <c r="Y30" s="585"/>
      <c r="Z30" s="585"/>
      <c r="AA30" s="585"/>
      <c r="AB30" s="585"/>
      <c r="AC30" s="585"/>
      <c r="AD30" s="585"/>
      <c r="AE30" s="585"/>
      <c r="AF30" s="585"/>
      <c r="AG30" s="585"/>
      <c r="AH30" s="585"/>
      <c r="AI30" s="585"/>
      <c r="AJ30" s="585"/>
      <c r="AK30" s="585"/>
      <c r="AL30" s="585"/>
      <c r="AM30" s="585"/>
      <c r="AN30" s="585"/>
      <c r="AO30" s="585"/>
      <c r="AP30" s="585"/>
      <c r="AQ30" s="585"/>
      <c r="AR30" s="585"/>
      <c r="AS30" s="585"/>
      <c r="AT30" s="585"/>
      <c r="AU30" s="585"/>
      <c r="AV30" s="585"/>
      <c r="AW30" s="585"/>
      <c r="AX30" s="585"/>
      <c r="AY30" s="585"/>
      <c r="AZ30" s="585"/>
      <c r="BA30" s="585"/>
      <c r="BB30" s="585"/>
      <c r="BC30" s="585"/>
      <c r="BD30" s="585"/>
      <c r="BE30" s="585"/>
      <c r="BF30" s="585"/>
      <c r="BG30" s="585"/>
      <c r="BH30" s="585"/>
      <c r="BI30" s="585"/>
      <c r="BJ30" s="585"/>
      <c r="BK30" s="585"/>
      <c r="BL30" s="585"/>
      <c r="BM30" s="585"/>
      <c r="BN30" s="585"/>
      <c r="BO30" s="585"/>
      <c r="BP30" s="1431" t="s">
        <v>41</v>
      </c>
      <c r="BQ30" s="1431"/>
      <c r="BR30" s="585"/>
      <c r="BS30" s="585"/>
      <c r="BT30" s="1433" t="e">
        <f>BT28+BT29</f>
        <v>#REF!</v>
      </c>
      <c r="BU30" s="1433"/>
      <c r="BV30" s="1433"/>
      <c r="BW30" s="1433"/>
      <c r="BX30" s="1433"/>
      <c r="BY30" s="1433"/>
      <c r="BZ30" s="1433"/>
      <c r="CA30" s="1433"/>
      <c r="CB30" s="1433"/>
      <c r="CC30" s="1433"/>
      <c r="CD30" s="585"/>
      <c r="CE30" s="585"/>
      <c r="CF30" s="586"/>
    </row>
    <row r="31" spans="1:84" s="583" customFormat="1" ht="23.1" customHeight="1" thickBot="1">
      <c r="A31" s="597"/>
      <c r="B31" s="598" t="s">
        <v>1113</v>
      </c>
      <c r="C31" s="598"/>
      <c r="D31" s="598"/>
      <c r="E31" s="598"/>
      <c r="F31" s="598"/>
      <c r="G31" s="598"/>
      <c r="H31" s="598"/>
      <c r="I31" s="598"/>
      <c r="J31" s="598"/>
      <c r="K31" s="598"/>
      <c r="L31" s="598"/>
      <c r="M31" s="598"/>
      <c r="N31" s="598"/>
      <c r="O31" s="598"/>
      <c r="P31" s="598"/>
      <c r="Q31" s="598"/>
      <c r="R31" s="598"/>
      <c r="S31" s="598"/>
      <c r="T31" s="598"/>
      <c r="U31" s="598"/>
      <c r="V31" s="598"/>
      <c r="W31" s="598"/>
      <c r="X31" s="598"/>
      <c r="Y31" s="598"/>
      <c r="Z31" s="598"/>
      <c r="AA31" s="598"/>
      <c r="AB31" s="598"/>
      <c r="AC31" s="598"/>
      <c r="AD31" s="598"/>
      <c r="AE31" s="598"/>
      <c r="AF31" s="598"/>
      <c r="AG31" s="598"/>
      <c r="AH31" s="598"/>
      <c r="AI31" s="598"/>
      <c r="AJ31" s="598"/>
      <c r="AK31" s="598"/>
      <c r="AL31" s="598"/>
      <c r="AM31" s="598"/>
      <c r="AN31" s="598"/>
      <c r="AO31" s="598"/>
      <c r="AP31" s="598"/>
      <c r="AQ31" s="598"/>
      <c r="AR31" s="598"/>
      <c r="AS31" s="598"/>
      <c r="AT31" s="598"/>
      <c r="AU31" s="598"/>
      <c r="AV31" s="598"/>
      <c r="AW31" s="598"/>
      <c r="AX31" s="598"/>
      <c r="AY31" s="598"/>
      <c r="AZ31" s="598"/>
      <c r="BA31" s="598"/>
      <c r="BB31" s="598"/>
      <c r="BC31" s="598"/>
      <c r="BD31" s="598"/>
      <c r="BE31" s="598"/>
      <c r="BF31" s="598"/>
      <c r="BG31" s="598"/>
      <c r="BH31" s="598"/>
      <c r="BI31" s="598"/>
      <c r="BJ31" s="598"/>
      <c r="BK31" s="598"/>
      <c r="BL31" s="598"/>
      <c r="BM31" s="598"/>
      <c r="BN31" s="598"/>
      <c r="BO31" s="598"/>
      <c r="BP31" s="598"/>
      <c r="BQ31" s="598"/>
      <c r="BR31" s="598"/>
      <c r="BS31" s="598"/>
      <c r="BT31" s="1429" t="e">
        <f>BT22+BT26+BT30</f>
        <v>#REF!</v>
      </c>
      <c r="BU31" s="1429"/>
      <c r="BV31" s="1429"/>
      <c r="BW31" s="1429"/>
      <c r="BX31" s="1429"/>
      <c r="BY31" s="1429"/>
      <c r="BZ31" s="1429"/>
      <c r="CA31" s="1429"/>
      <c r="CB31" s="1429"/>
      <c r="CC31" s="1429"/>
      <c r="CD31" s="598"/>
      <c r="CE31" s="598"/>
      <c r="CF31" s="599"/>
    </row>
    <row r="32" spans="1:84" s="583" customFormat="1" ht="9.9499999999999993" customHeight="1">
      <c r="A32" s="574"/>
      <c r="B32" s="574"/>
      <c r="C32" s="574"/>
      <c r="D32" s="574"/>
      <c r="E32" s="574"/>
      <c r="F32" s="574"/>
      <c r="G32" s="574"/>
      <c r="H32" s="574"/>
      <c r="I32" s="574"/>
      <c r="J32" s="574"/>
      <c r="K32" s="574"/>
      <c r="L32" s="574"/>
      <c r="M32" s="574"/>
      <c r="N32" s="574"/>
      <c r="O32" s="574"/>
      <c r="P32" s="574"/>
      <c r="Q32" s="574"/>
      <c r="R32" s="574"/>
      <c r="S32" s="574"/>
      <c r="T32" s="574"/>
      <c r="U32" s="574"/>
      <c r="V32" s="574"/>
      <c r="W32" s="574"/>
      <c r="X32" s="574"/>
      <c r="Y32" s="574"/>
      <c r="Z32" s="574"/>
      <c r="AA32" s="574"/>
      <c r="AB32" s="574"/>
      <c r="AC32" s="574"/>
      <c r="AD32" s="574"/>
      <c r="AE32" s="574"/>
      <c r="AF32" s="574"/>
      <c r="AG32" s="574"/>
      <c r="AH32" s="574"/>
      <c r="AI32" s="574"/>
      <c r="AJ32" s="574"/>
      <c r="AK32" s="574"/>
      <c r="AL32" s="574"/>
      <c r="AM32" s="574"/>
      <c r="AN32" s="574"/>
      <c r="AO32" s="574"/>
      <c r="AP32" s="574"/>
      <c r="AQ32" s="574"/>
      <c r="AR32" s="574"/>
      <c r="AS32" s="574"/>
      <c r="AT32" s="574"/>
      <c r="AU32" s="574"/>
      <c r="AV32" s="574"/>
      <c r="AW32" s="574"/>
      <c r="AX32" s="574"/>
      <c r="AY32" s="574"/>
      <c r="AZ32" s="574"/>
      <c r="BA32" s="574"/>
      <c r="BB32" s="574"/>
      <c r="BC32" s="574"/>
      <c r="BD32" s="574"/>
      <c r="BE32" s="574"/>
      <c r="BF32" s="574"/>
      <c r="BG32" s="574"/>
      <c r="BH32" s="574"/>
      <c r="BI32" s="574"/>
      <c r="BJ32" s="574"/>
      <c r="BK32" s="574"/>
      <c r="BL32" s="574"/>
      <c r="BM32" s="574"/>
      <c r="BN32" s="574"/>
      <c r="BO32" s="574"/>
      <c r="BP32" s="574"/>
      <c r="BQ32" s="574"/>
      <c r="BR32" s="574"/>
      <c r="BS32" s="574"/>
      <c r="BT32" s="574"/>
      <c r="BU32" s="574"/>
      <c r="BV32" s="574"/>
      <c r="BW32" s="574"/>
      <c r="BX32" s="574"/>
      <c r="BY32" s="574"/>
      <c r="BZ32" s="574"/>
      <c r="CA32" s="574"/>
      <c r="CB32" s="574"/>
      <c r="CC32" s="574"/>
      <c r="CD32" s="574"/>
      <c r="CE32" s="574"/>
      <c r="CF32" s="574"/>
    </row>
    <row r="33" spans="1:84" s="583" customFormat="1" ht="23.1" customHeight="1" thickBot="1">
      <c r="A33" s="1446" t="s">
        <v>1095</v>
      </c>
      <c r="B33" s="1446"/>
      <c r="C33" s="1446"/>
      <c r="D33" s="1446"/>
      <c r="E33" s="1446"/>
      <c r="F33" s="1446"/>
      <c r="G33" s="1447">
        <f>G18+1</f>
        <v>3</v>
      </c>
      <c r="H33" s="1447"/>
      <c r="I33" s="1447"/>
      <c r="J33" s="1448" t="s">
        <v>1096</v>
      </c>
      <c r="K33" s="1448"/>
      <c r="L33" s="574"/>
      <c r="M33" s="574"/>
      <c r="N33" s="574"/>
      <c r="O33" s="574"/>
      <c r="P33" s="574"/>
      <c r="Q33" s="574"/>
      <c r="R33" s="574"/>
      <c r="S33" s="574"/>
      <c r="T33" s="574"/>
      <c r="U33" s="574"/>
      <c r="V33" s="574"/>
      <c r="W33" s="574"/>
      <c r="X33" s="574"/>
      <c r="Y33" s="574"/>
      <c r="Z33" s="574"/>
      <c r="AA33" s="574"/>
      <c r="AB33" s="574"/>
      <c r="AC33" s="574"/>
      <c r="AD33" s="574"/>
      <c r="AE33" s="574"/>
      <c r="AF33" s="574"/>
      <c r="AG33" s="574"/>
      <c r="AH33" s="574"/>
      <c r="AI33" s="574"/>
      <c r="AJ33" s="574"/>
      <c r="AK33" s="574"/>
      <c r="AL33" s="574"/>
      <c r="AM33" s="574"/>
      <c r="AN33" s="574"/>
      <c r="AO33" s="574"/>
      <c r="AP33" s="574"/>
      <c r="AQ33" s="574"/>
      <c r="AR33" s="574"/>
      <c r="AS33" s="574"/>
      <c r="AT33" s="574"/>
      <c r="AU33" s="574"/>
      <c r="AV33" s="574"/>
      <c r="AW33" s="574"/>
      <c r="AX33" s="574"/>
      <c r="AY33" s="574"/>
      <c r="AZ33" s="574"/>
      <c r="BA33" s="574"/>
      <c r="BB33" s="574"/>
      <c r="BC33" s="574"/>
      <c r="BD33" s="574"/>
      <c r="BE33" s="574"/>
      <c r="BF33" s="574"/>
      <c r="BG33" s="574"/>
      <c r="BH33" s="574"/>
      <c r="BI33" s="574"/>
      <c r="BJ33" s="574"/>
      <c r="BK33" s="574"/>
      <c r="BL33" s="574"/>
      <c r="BM33" s="574"/>
      <c r="BN33" s="574"/>
      <c r="BO33" s="574"/>
      <c r="BP33" s="574"/>
      <c r="BQ33" s="574"/>
      <c r="BR33" s="574"/>
      <c r="BS33" s="574"/>
      <c r="BT33" s="574"/>
      <c r="BU33" s="574"/>
      <c r="BV33" s="574"/>
      <c r="BW33" s="574"/>
      <c r="BX33" s="574"/>
      <c r="BY33" s="574"/>
      <c r="BZ33" s="574"/>
      <c r="CA33" s="574"/>
      <c r="CB33" s="574"/>
      <c r="CC33" s="574"/>
      <c r="CD33" s="574"/>
      <c r="CE33" s="574"/>
      <c r="CF33" s="574"/>
    </row>
    <row r="34" spans="1:84" s="583" customFormat="1" ht="23.1" customHeight="1" thickBot="1">
      <c r="A34" s="1483" t="s">
        <v>1097</v>
      </c>
      <c r="B34" s="1484"/>
      <c r="C34" s="1484"/>
      <c r="D34" s="1484"/>
      <c r="E34" s="1484"/>
      <c r="F34" s="1484"/>
      <c r="G34" s="1484"/>
      <c r="H34" s="1484"/>
      <c r="I34" s="581" t="s">
        <v>1116</v>
      </c>
      <c r="J34" s="581"/>
      <c r="K34" s="581"/>
      <c r="L34" s="581"/>
      <c r="M34" s="581"/>
      <c r="N34" s="581"/>
      <c r="O34" s="581"/>
      <c r="P34" s="581"/>
      <c r="Q34" s="581"/>
      <c r="R34" s="581"/>
      <c r="S34" s="581"/>
      <c r="T34" s="581"/>
      <c r="U34" s="581"/>
      <c r="V34" s="581"/>
      <c r="W34" s="581"/>
      <c r="X34" s="581"/>
      <c r="Y34" s="581"/>
      <c r="Z34" s="581"/>
      <c r="AA34" s="581"/>
      <c r="AB34" s="581"/>
      <c r="AC34" s="581"/>
      <c r="AD34" s="581"/>
      <c r="AE34" s="581"/>
      <c r="AF34" s="581"/>
      <c r="AG34" s="581"/>
      <c r="AH34" s="581"/>
      <c r="AI34" s="581"/>
      <c r="AJ34" s="1484" t="s">
        <v>1099</v>
      </c>
      <c r="AK34" s="1484"/>
      <c r="AL34" s="1484"/>
      <c r="AM34" s="1484"/>
      <c r="AN34" s="1484"/>
      <c r="AO34" s="1484"/>
      <c r="AP34" s="1484"/>
      <c r="AQ34" s="581" t="s">
        <v>1117</v>
      </c>
      <c r="AR34" s="581"/>
      <c r="AS34" s="581"/>
      <c r="AT34" s="581"/>
      <c r="AU34" s="581"/>
      <c r="AV34" s="581"/>
      <c r="AW34" s="581"/>
      <c r="AX34" s="581"/>
      <c r="AY34" s="581"/>
      <c r="AZ34" s="581"/>
      <c r="BA34" s="581"/>
      <c r="BB34" s="581"/>
      <c r="BC34" s="581"/>
      <c r="BD34" s="581"/>
      <c r="BE34" s="581"/>
      <c r="BF34" s="581"/>
      <c r="BG34" s="581"/>
      <c r="BH34" s="581"/>
      <c r="BI34" s="581"/>
      <c r="BJ34" s="581"/>
      <c r="BK34" s="581"/>
      <c r="BL34" s="581"/>
      <c r="BM34" s="581"/>
      <c r="BN34" s="581"/>
      <c r="BO34" s="581"/>
      <c r="BP34" s="581"/>
      <c r="BQ34" s="581"/>
      <c r="BR34" s="581"/>
      <c r="BS34" s="581"/>
      <c r="BT34" s="581" t="s">
        <v>1118</v>
      </c>
      <c r="BU34" s="581"/>
      <c r="BV34" s="581"/>
      <c r="BW34" s="581"/>
      <c r="BX34" s="581"/>
      <c r="BY34" s="581"/>
      <c r="BZ34" s="581"/>
      <c r="CA34" s="581"/>
      <c r="CB34" s="581"/>
      <c r="CC34" s="581"/>
      <c r="CD34" s="581"/>
      <c r="CE34" s="581"/>
      <c r="CF34" s="582"/>
    </row>
    <row r="35" spans="1:84" s="583" customFormat="1" ht="23.1" customHeight="1">
      <c r="A35" s="584"/>
      <c r="B35" s="585" t="s">
        <v>1102</v>
      </c>
      <c r="C35" s="585"/>
      <c r="D35" s="585"/>
      <c r="E35" s="585"/>
      <c r="F35" s="585"/>
      <c r="G35" s="585"/>
      <c r="H35" s="585"/>
      <c r="I35" s="585"/>
      <c r="J35" s="585"/>
      <c r="K35" s="585"/>
      <c r="L35" s="585"/>
      <c r="M35" s="585"/>
      <c r="N35" s="585"/>
      <c r="O35" s="585"/>
      <c r="P35" s="585"/>
      <c r="Q35" s="585"/>
      <c r="R35" s="585"/>
      <c r="S35" s="585"/>
      <c r="T35" s="585"/>
      <c r="U35" s="585"/>
      <c r="V35" s="585"/>
      <c r="W35" s="585"/>
      <c r="X35" s="585"/>
      <c r="Y35" s="585"/>
      <c r="Z35" s="585"/>
      <c r="AA35" s="585"/>
      <c r="AB35" s="585"/>
      <c r="AC35" s="585"/>
      <c r="AD35" s="585"/>
      <c r="AE35" s="585"/>
      <c r="AF35" s="585"/>
      <c r="AG35" s="585"/>
      <c r="AH35" s="585"/>
      <c r="AI35" s="585"/>
      <c r="AJ35" s="585"/>
      <c r="AK35" s="585"/>
      <c r="AL35" s="585"/>
      <c r="AM35" s="585"/>
      <c r="AN35" s="585"/>
      <c r="AO35" s="585"/>
      <c r="AP35" s="585"/>
      <c r="AQ35" s="585"/>
      <c r="AR35" s="585"/>
      <c r="AS35" s="585"/>
      <c r="AT35" s="585"/>
      <c r="AU35" s="585"/>
      <c r="AV35" s="585"/>
      <c r="AW35" s="585"/>
      <c r="AX35" s="585"/>
      <c r="AY35" s="585"/>
      <c r="AZ35" s="585"/>
      <c r="BA35" s="585"/>
      <c r="BB35" s="585"/>
      <c r="BC35" s="585"/>
      <c r="BD35" s="585"/>
      <c r="BE35" s="585"/>
      <c r="BF35" s="585"/>
      <c r="BG35" s="585"/>
      <c r="BH35" s="585"/>
      <c r="BI35" s="585"/>
      <c r="BJ35" s="585"/>
      <c r="BK35" s="585"/>
      <c r="BL35" s="585"/>
      <c r="BM35" s="585"/>
      <c r="BN35" s="585"/>
      <c r="BO35" s="585"/>
      <c r="BP35" s="585"/>
      <c r="BQ35" s="585"/>
      <c r="BR35" s="585"/>
      <c r="BS35" s="585"/>
      <c r="BT35" s="585"/>
      <c r="BU35" s="585"/>
      <c r="BV35" s="585"/>
      <c r="BW35" s="585"/>
      <c r="BX35" s="585"/>
      <c r="BY35" s="585"/>
      <c r="BZ35" s="585"/>
      <c r="CA35" s="585"/>
      <c r="CB35" s="585"/>
      <c r="CC35" s="585"/>
      <c r="CD35" s="585"/>
      <c r="CE35" s="585"/>
      <c r="CF35" s="586"/>
    </row>
    <row r="36" spans="1:84" s="583" customFormat="1" ht="23.1" customHeight="1">
      <c r="A36" s="587"/>
      <c r="B36" s="574"/>
      <c r="C36" s="574"/>
      <c r="D36" s="405"/>
      <c r="E36" s="574"/>
      <c r="F36" s="422"/>
      <c r="G36" s="422"/>
      <c r="H36" s="422"/>
      <c r="I36" s="422"/>
      <c r="J36" s="422"/>
      <c r="K36" s="422"/>
      <c r="L36" s="422"/>
      <c r="M36" s="422"/>
      <c r="N36" s="574"/>
      <c r="O36" s="574"/>
      <c r="P36" s="574"/>
      <c r="Q36" s="574"/>
      <c r="R36" s="574"/>
      <c r="S36" s="1430"/>
      <c r="T36" s="1430"/>
      <c r="U36" s="1430"/>
      <c r="V36" s="1430"/>
      <c r="W36" s="1430"/>
      <c r="X36" s="1430"/>
      <c r="Y36" s="1430"/>
      <c r="Z36" s="1430"/>
      <c r="AA36" s="574"/>
      <c r="AB36" s="588"/>
      <c r="AC36" s="1431"/>
      <c r="AD36" s="1431"/>
      <c r="AE36" s="1498"/>
      <c r="AF36" s="1498"/>
      <c r="AG36" s="1498"/>
      <c r="AH36" s="1498"/>
      <c r="AI36" s="1498"/>
      <c r="AJ36" s="1498"/>
      <c r="AK36" s="1498"/>
      <c r="AL36" s="1498"/>
      <c r="AM36" s="1431"/>
      <c r="AN36" s="1431"/>
      <c r="AO36" s="574"/>
      <c r="AP36" s="1486"/>
      <c r="AQ36" s="1486"/>
      <c r="AR36" s="1486"/>
      <c r="AS36" s="1486"/>
      <c r="AT36" s="1486"/>
      <c r="AU36" s="1486"/>
      <c r="AV36" s="1486"/>
      <c r="AW36" s="1486"/>
      <c r="AX36" s="1486"/>
      <c r="AY36" s="1486"/>
      <c r="AZ36" s="1486"/>
      <c r="BA36" s="1486"/>
      <c r="BB36" s="1486"/>
      <c r="BC36" s="1486"/>
      <c r="BD36" s="574"/>
      <c r="BE36" s="574"/>
      <c r="BF36" s="574"/>
      <c r="BG36" s="574"/>
      <c r="BH36" s="574"/>
      <c r="BI36" s="574"/>
      <c r="BJ36" s="574"/>
      <c r="BK36" s="574"/>
      <c r="BL36" s="574"/>
      <c r="BM36" s="574"/>
      <c r="BN36" s="574"/>
      <c r="BO36" s="574"/>
      <c r="BP36" s="574"/>
      <c r="BQ36" s="574"/>
      <c r="BR36" s="574"/>
      <c r="BS36" s="574"/>
      <c r="BT36" s="574"/>
      <c r="BU36" s="574"/>
      <c r="BV36" s="574"/>
      <c r="BW36" s="574"/>
      <c r="BX36" s="574"/>
      <c r="BY36" s="574"/>
      <c r="BZ36" s="574"/>
      <c r="CA36" s="574"/>
      <c r="CB36" s="574"/>
      <c r="CC36" s="574"/>
      <c r="CD36" s="574"/>
      <c r="CE36" s="574"/>
      <c r="CF36" s="589"/>
    </row>
    <row r="37" spans="1:84" s="583" customFormat="1" ht="23.1" customHeight="1">
      <c r="A37" s="584"/>
      <c r="B37" s="585"/>
      <c r="C37" s="585"/>
      <c r="D37" s="585"/>
      <c r="E37" s="585"/>
      <c r="F37" s="585"/>
      <c r="G37" s="585"/>
      <c r="H37" s="585"/>
      <c r="I37" s="585"/>
      <c r="J37" s="585"/>
      <c r="K37" s="585"/>
      <c r="L37" s="585"/>
      <c r="M37" s="585"/>
      <c r="N37" s="585"/>
      <c r="O37" s="585"/>
      <c r="P37" s="585"/>
      <c r="Q37" s="585"/>
      <c r="R37" s="585"/>
      <c r="S37" s="585"/>
      <c r="T37" s="585"/>
      <c r="U37" s="585"/>
      <c r="V37" s="590"/>
      <c r="W37" s="590"/>
      <c r="X37" s="590"/>
      <c r="Y37" s="590"/>
      <c r="Z37" s="590"/>
      <c r="AA37" s="590"/>
      <c r="AB37" s="590"/>
      <c r="AC37" s="590"/>
      <c r="AD37" s="574"/>
      <c r="AE37" s="1440">
        <v>160229000</v>
      </c>
      <c r="AF37" s="1440"/>
      <c r="AG37" s="1440"/>
      <c r="AH37" s="1440"/>
      <c r="AI37" s="1440"/>
      <c r="AJ37" s="1440"/>
      <c r="AK37" s="1440"/>
      <c r="AL37" s="1440"/>
      <c r="AM37" s="1440"/>
      <c r="AN37" s="1440"/>
      <c r="AO37" s="1440"/>
      <c r="AP37" s="1440"/>
      <c r="AQ37" s="1440"/>
      <c r="AR37" s="1440"/>
      <c r="AS37" s="1440"/>
      <c r="AT37" s="1431" t="s">
        <v>446</v>
      </c>
      <c r="AU37" s="1431"/>
      <c r="AV37" s="1441" t="s">
        <v>1103</v>
      </c>
      <c r="AW37" s="1441"/>
      <c r="AX37" s="1442">
        <v>1728</v>
      </c>
      <c r="AY37" s="1442"/>
      <c r="AZ37" s="1442"/>
      <c r="BA37" s="1442"/>
      <c r="BB37" s="1442"/>
      <c r="BC37" s="1442"/>
      <c r="BD37" s="585"/>
      <c r="BE37" s="1431" t="s">
        <v>446</v>
      </c>
      <c r="BF37" s="1431"/>
      <c r="BG37" s="585"/>
      <c r="BH37" s="591" t="s">
        <v>1104</v>
      </c>
      <c r="BI37" s="585"/>
      <c r="BJ37" s="585"/>
      <c r="BK37" s="585"/>
      <c r="BL37" s="1431" t="s">
        <v>1105</v>
      </c>
      <c r="BM37" s="1431"/>
      <c r="BN37" s="1431"/>
      <c r="BO37" s="585"/>
      <c r="BP37" s="1431" t="s">
        <v>41</v>
      </c>
      <c r="BQ37" s="1431"/>
      <c r="BR37" s="585"/>
      <c r="BS37" s="585"/>
      <c r="BT37" s="1437">
        <f>INT(AE37*AX37*10^-7)</f>
        <v>27687</v>
      </c>
      <c r="BU37" s="1437"/>
      <c r="BV37" s="1437"/>
      <c r="BW37" s="1437"/>
      <c r="BX37" s="1437"/>
      <c r="BY37" s="1437"/>
      <c r="BZ37" s="1437"/>
      <c r="CA37" s="1437"/>
      <c r="CB37" s="1437"/>
      <c r="CC37" s="1437"/>
      <c r="CD37" s="585"/>
      <c r="CE37" s="585"/>
      <c r="CF37" s="586"/>
    </row>
    <row r="38" spans="1:84" s="583" customFormat="1" ht="23.1" customHeight="1">
      <c r="A38" s="592"/>
      <c r="B38" s="593" t="s">
        <v>1106</v>
      </c>
      <c r="C38" s="593"/>
      <c r="D38" s="593"/>
      <c r="E38" s="593"/>
      <c r="F38" s="593"/>
      <c r="G38" s="593"/>
      <c r="H38" s="593"/>
      <c r="I38" s="593"/>
      <c r="J38" s="593"/>
      <c r="K38" s="593"/>
      <c r="L38" s="593"/>
      <c r="M38" s="593"/>
      <c r="N38" s="593"/>
      <c r="O38" s="593"/>
      <c r="P38" s="593"/>
      <c r="Q38" s="593"/>
      <c r="R38" s="593"/>
      <c r="S38" s="593"/>
      <c r="T38" s="593"/>
      <c r="U38" s="593"/>
      <c r="V38" s="593"/>
      <c r="W38" s="593"/>
      <c r="X38" s="593"/>
      <c r="Y38" s="593"/>
      <c r="Z38" s="593"/>
      <c r="AA38" s="593"/>
      <c r="AB38" s="593"/>
      <c r="AC38" s="593"/>
      <c r="AD38" s="593"/>
      <c r="AE38" s="593"/>
      <c r="AF38" s="593"/>
      <c r="AG38" s="593"/>
      <c r="AH38" s="593"/>
      <c r="AI38" s="593"/>
      <c r="AJ38" s="593"/>
      <c r="AK38" s="593"/>
      <c r="AL38" s="593"/>
      <c r="AM38" s="593"/>
      <c r="AN38" s="593"/>
      <c r="AO38" s="593"/>
      <c r="AP38" s="593"/>
      <c r="AQ38" s="593"/>
      <c r="AR38" s="593"/>
      <c r="AS38" s="593"/>
      <c r="AT38" s="593"/>
      <c r="AU38" s="593"/>
      <c r="AV38" s="593"/>
      <c r="AW38" s="593"/>
      <c r="AX38" s="593"/>
      <c r="AY38" s="593"/>
      <c r="AZ38" s="593"/>
      <c r="BA38" s="593"/>
      <c r="BB38" s="593"/>
      <c r="BC38" s="593"/>
      <c r="BD38" s="593"/>
      <c r="BE38" s="593"/>
      <c r="BF38" s="593"/>
      <c r="BG38" s="593"/>
      <c r="BH38" s="593"/>
      <c r="BI38" s="593"/>
      <c r="BJ38" s="593"/>
      <c r="BK38" s="593"/>
      <c r="BL38" s="593"/>
      <c r="BM38" s="593"/>
      <c r="BN38" s="593"/>
      <c r="BO38" s="593"/>
      <c r="BP38" s="593"/>
      <c r="BQ38" s="593"/>
      <c r="BR38" s="593"/>
      <c r="BS38" s="593"/>
      <c r="BT38" s="594"/>
      <c r="BU38" s="594"/>
      <c r="BV38" s="594"/>
      <c r="BW38" s="594"/>
      <c r="BX38" s="594"/>
      <c r="BY38" s="594"/>
      <c r="BZ38" s="594"/>
      <c r="CA38" s="594"/>
      <c r="CB38" s="594"/>
      <c r="CC38" s="594"/>
      <c r="CD38" s="593"/>
      <c r="CE38" s="593"/>
      <c r="CF38" s="595"/>
    </row>
    <row r="39" spans="1:84" s="583" customFormat="1" ht="23.1" customHeight="1">
      <c r="A39" s="584"/>
      <c r="B39" s="585"/>
      <c r="C39" s="585"/>
      <c r="D39" s="596" t="s">
        <v>268</v>
      </c>
      <c r="E39" s="585"/>
      <c r="F39" s="585"/>
      <c r="G39" s="585"/>
      <c r="H39" s="585"/>
      <c r="I39" s="585"/>
      <c r="J39" s="585"/>
      <c r="K39" s="585"/>
      <c r="L39" s="585"/>
      <c r="M39" s="585"/>
      <c r="N39" s="585"/>
      <c r="O39" s="585"/>
      <c r="P39" s="585"/>
      <c r="Q39" s="585"/>
      <c r="R39" s="585"/>
      <c r="S39" s="585"/>
      <c r="T39" s="574"/>
      <c r="U39" s="574"/>
      <c r="V39" s="1435">
        <f>HLOOKUP(D39,$CJ$1:$CM$3,3,0)</f>
        <v>283297</v>
      </c>
      <c r="W39" s="1435"/>
      <c r="X39" s="1435"/>
      <c r="Y39" s="1435"/>
      <c r="Z39" s="1435"/>
      <c r="AA39" s="1435"/>
      <c r="AB39" s="1435"/>
      <c r="AC39" s="1435"/>
      <c r="AD39" s="1435"/>
      <c r="AE39" s="1435"/>
      <c r="AF39" s="1431" t="s">
        <v>446</v>
      </c>
      <c r="AG39" s="1431"/>
      <c r="AH39" s="574"/>
      <c r="AI39" s="1436" t="s">
        <v>1107</v>
      </c>
      <c r="AJ39" s="1436"/>
      <c r="AK39" s="1436"/>
      <c r="AL39" s="1436"/>
      <c r="AM39" s="585"/>
      <c r="AN39" s="1431" t="s">
        <v>446</v>
      </c>
      <c r="AO39" s="1431"/>
      <c r="AP39" s="585"/>
      <c r="AQ39" s="1436" t="s">
        <v>1108</v>
      </c>
      <c r="AR39" s="1436"/>
      <c r="AS39" s="1436"/>
      <c r="AT39" s="1436"/>
      <c r="AU39" s="1436"/>
      <c r="AV39" s="422"/>
      <c r="AW39" s="1431" t="s">
        <v>446</v>
      </c>
      <c r="AX39" s="1431"/>
      <c r="AY39" s="440"/>
      <c r="AZ39" s="1436" t="s">
        <v>1109</v>
      </c>
      <c r="BA39" s="1436"/>
      <c r="BB39" s="1436"/>
      <c r="BC39" s="1436"/>
      <c r="BD39" s="1436"/>
      <c r="BE39" s="585"/>
      <c r="BF39" s="1431" t="s">
        <v>446</v>
      </c>
      <c r="BG39" s="1431"/>
      <c r="BH39" s="1431">
        <v>1</v>
      </c>
      <c r="BI39" s="1431"/>
      <c r="BJ39" s="1431"/>
      <c r="BK39" s="585"/>
      <c r="BL39" s="585" t="s">
        <v>366</v>
      </c>
      <c r="BM39" s="585"/>
      <c r="BN39" s="585"/>
      <c r="BO39" s="585"/>
      <c r="BP39" s="1431" t="s">
        <v>41</v>
      </c>
      <c r="BQ39" s="1431"/>
      <c r="BR39" s="585"/>
      <c r="BS39" s="585"/>
      <c r="BT39" s="1432">
        <f>INT(V39/8*16/12*25/20*BH39)</f>
        <v>59020</v>
      </c>
      <c r="BU39" s="1432"/>
      <c r="BV39" s="1432"/>
      <c r="BW39" s="1432"/>
      <c r="BX39" s="1432"/>
      <c r="BY39" s="1432"/>
      <c r="BZ39" s="1432"/>
      <c r="CA39" s="1432"/>
      <c r="CB39" s="1432"/>
      <c r="CC39" s="1432"/>
      <c r="CD39" s="585"/>
      <c r="CE39" s="585"/>
      <c r="CF39" s="586"/>
    </row>
    <row r="40" spans="1:84" s="583" customFormat="1" ht="23.1" customHeight="1">
      <c r="A40" s="584"/>
      <c r="B40" s="585"/>
      <c r="C40" s="585"/>
      <c r="D40" s="585"/>
      <c r="E40" s="585"/>
      <c r="F40" s="585"/>
      <c r="G40" s="585"/>
      <c r="H40" s="585"/>
      <c r="I40" s="585"/>
      <c r="J40" s="585"/>
      <c r="K40" s="585"/>
      <c r="L40" s="585"/>
      <c r="M40" s="585"/>
      <c r="N40" s="585"/>
      <c r="O40" s="585"/>
      <c r="P40" s="574"/>
      <c r="Q40" s="574"/>
      <c r="R40" s="574"/>
      <c r="S40" s="574"/>
      <c r="T40" s="574"/>
      <c r="U40" s="574"/>
      <c r="V40" s="574"/>
      <c r="W40" s="574"/>
      <c r="X40" s="574"/>
      <c r="Y40" s="574"/>
      <c r="Z40" s="574"/>
      <c r="AA40" s="574"/>
      <c r="AB40" s="574"/>
      <c r="AC40" s="574"/>
      <c r="AD40" s="574"/>
      <c r="AE40" s="574"/>
      <c r="AF40" s="574"/>
      <c r="AG40" s="574"/>
      <c r="AH40" s="574"/>
      <c r="AI40" s="574"/>
      <c r="AJ40" s="574"/>
      <c r="AK40" s="574"/>
      <c r="AL40" s="574"/>
      <c r="AM40" s="574"/>
      <c r="AN40" s="574"/>
      <c r="AO40" s="574"/>
      <c r="AP40" s="574"/>
      <c r="AQ40" s="574"/>
      <c r="AR40" s="574"/>
      <c r="AS40" s="574"/>
      <c r="AT40" s="574"/>
      <c r="AU40" s="574"/>
      <c r="AV40" s="574"/>
      <c r="AW40" s="574"/>
      <c r="AX40" s="574"/>
      <c r="AY40" s="574"/>
      <c r="AZ40" s="574"/>
      <c r="BA40" s="574"/>
      <c r="BB40" s="574"/>
      <c r="BC40" s="574"/>
      <c r="BD40" s="574"/>
      <c r="BE40" s="574"/>
      <c r="BF40" s="574"/>
      <c r="BG40" s="585"/>
      <c r="BH40" s="585"/>
      <c r="BI40" s="585"/>
      <c r="BJ40" s="585"/>
      <c r="BK40" s="585"/>
      <c r="BL40" s="585"/>
      <c r="BM40" s="585"/>
      <c r="BN40" s="585"/>
      <c r="BO40" s="585"/>
      <c r="BP40" s="1431"/>
      <c r="BQ40" s="1431"/>
      <c r="BR40" s="585"/>
      <c r="BS40" s="585"/>
      <c r="BT40" s="1432"/>
      <c r="BU40" s="1432"/>
      <c r="BV40" s="1432"/>
      <c r="BW40" s="1432"/>
      <c r="BX40" s="1432"/>
      <c r="BY40" s="1432"/>
      <c r="BZ40" s="1432"/>
      <c r="CA40" s="1432"/>
      <c r="CB40" s="1432"/>
      <c r="CC40" s="1432"/>
      <c r="CD40" s="585"/>
      <c r="CE40" s="585"/>
      <c r="CF40" s="586"/>
    </row>
    <row r="41" spans="1:84" s="583" customFormat="1" ht="23.1" customHeight="1">
      <c r="A41" s="584"/>
      <c r="B41" s="585"/>
      <c r="C41" s="585"/>
      <c r="D41" s="585"/>
      <c r="E41" s="585"/>
      <c r="F41" s="585"/>
      <c r="G41" s="585"/>
      <c r="H41" s="585"/>
      <c r="I41" s="585"/>
      <c r="J41" s="585"/>
      <c r="K41" s="585"/>
      <c r="L41" s="585"/>
      <c r="M41" s="585"/>
      <c r="N41" s="585"/>
      <c r="O41" s="585"/>
      <c r="P41" s="585"/>
      <c r="Q41" s="585"/>
      <c r="R41" s="585"/>
      <c r="S41" s="585"/>
      <c r="T41" s="585"/>
      <c r="U41" s="585"/>
      <c r="V41" s="585"/>
      <c r="W41" s="585"/>
      <c r="X41" s="585"/>
      <c r="Y41" s="585"/>
      <c r="Z41" s="585"/>
      <c r="AA41" s="585"/>
      <c r="AB41" s="585"/>
      <c r="AC41" s="585"/>
      <c r="AD41" s="574"/>
      <c r="AE41" s="574"/>
      <c r="AF41" s="574"/>
      <c r="AG41" s="574"/>
      <c r="AH41" s="574"/>
      <c r="AI41" s="574"/>
      <c r="AJ41" s="574"/>
      <c r="AK41" s="574"/>
      <c r="AL41" s="574"/>
      <c r="AM41" s="574"/>
      <c r="AN41" s="574"/>
      <c r="AO41" s="574"/>
      <c r="AP41" s="574"/>
      <c r="AQ41" s="574"/>
      <c r="AR41" s="574"/>
      <c r="AS41" s="585"/>
      <c r="AT41" s="590"/>
      <c r="AU41" s="590"/>
      <c r="AV41" s="585"/>
      <c r="AW41" s="585"/>
      <c r="AX41" s="585"/>
      <c r="AY41" s="585"/>
      <c r="AZ41" s="585"/>
      <c r="BA41" s="585"/>
      <c r="BB41" s="585"/>
      <c r="BC41" s="585"/>
      <c r="BD41" s="585"/>
      <c r="BE41" s="585"/>
      <c r="BF41" s="585"/>
      <c r="BG41" s="585"/>
      <c r="BH41" s="585"/>
      <c r="BI41" s="585"/>
      <c r="BJ41" s="585"/>
      <c r="BK41" s="585"/>
      <c r="BL41" s="585"/>
      <c r="BM41" s="585"/>
      <c r="BN41" s="585"/>
      <c r="BO41" s="585"/>
      <c r="BP41" s="1431" t="s">
        <v>41</v>
      </c>
      <c r="BQ41" s="1431"/>
      <c r="BR41" s="585"/>
      <c r="BS41" s="585"/>
      <c r="BT41" s="1434">
        <f>BT39+BT40</f>
        <v>59020</v>
      </c>
      <c r="BU41" s="1434"/>
      <c r="BV41" s="1434"/>
      <c r="BW41" s="1434"/>
      <c r="BX41" s="1434"/>
      <c r="BY41" s="1434"/>
      <c r="BZ41" s="1434"/>
      <c r="CA41" s="1434"/>
      <c r="CB41" s="1434"/>
      <c r="CC41" s="1434"/>
      <c r="CD41" s="585"/>
      <c r="CE41" s="585"/>
      <c r="CF41" s="586"/>
    </row>
    <row r="42" spans="1:84" s="583" customFormat="1" ht="23.1" customHeight="1">
      <c r="A42" s="592"/>
      <c r="B42" s="593" t="s">
        <v>1110</v>
      </c>
      <c r="C42" s="593"/>
      <c r="D42" s="593"/>
      <c r="E42" s="593"/>
      <c r="F42" s="593"/>
      <c r="G42" s="593"/>
      <c r="H42" s="593"/>
      <c r="I42" s="593"/>
      <c r="J42" s="593"/>
      <c r="K42" s="593"/>
      <c r="L42" s="593"/>
      <c r="M42" s="593"/>
      <c r="N42" s="593"/>
      <c r="O42" s="593"/>
      <c r="P42" s="593"/>
      <c r="Q42" s="593"/>
      <c r="R42" s="593"/>
      <c r="S42" s="593"/>
      <c r="T42" s="593"/>
      <c r="U42" s="593"/>
      <c r="V42" s="593"/>
      <c r="W42" s="593"/>
      <c r="X42" s="593"/>
      <c r="Y42" s="593"/>
      <c r="Z42" s="593"/>
      <c r="AA42" s="593"/>
      <c r="AB42" s="593"/>
      <c r="AC42" s="593"/>
      <c r="AD42" s="593"/>
      <c r="AE42" s="593"/>
      <c r="AF42" s="593"/>
      <c r="AG42" s="593"/>
      <c r="AH42" s="593"/>
      <c r="AI42" s="593"/>
      <c r="AJ42" s="593"/>
      <c r="AK42" s="593"/>
      <c r="AL42" s="593"/>
      <c r="AM42" s="593"/>
      <c r="AN42" s="593"/>
      <c r="AO42" s="593"/>
      <c r="AP42" s="593"/>
      <c r="AQ42" s="593"/>
      <c r="AR42" s="593"/>
      <c r="AS42" s="593"/>
      <c r="AT42" s="593"/>
      <c r="AU42" s="593"/>
      <c r="AV42" s="593"/>
      <c r="AW42" s="593"/>
      <c r="AX42" s="593"/>
      <c r="AY42" s="593"/>
      <c r="AZ42" s="593"/>
      <c r="BA42" s="593"/>
      <c r="BB42" s="593"/>
      <c r="BC42" s="593"/>
      <c r="BD42" s="593"/>
      <c r="BE42" s="593"/>
      <c r="BF42" s="593"/>
      <c r="BG42" s="593"/>
      <c r="BH42" s="593"/>
      <c r="BI42" s="593"/>
      <c r="BJ42" s="593"/>
      <c r="BK42" s="593"/>
      <c r="BL42" s="593"/>
      <c r="BM42" s="593"/>
      <c r="BN42" s="593"/>
      <c r="BO42" s="593"/>
      <c r="BP42" s="593"/>
      <c r="BQ42" s="593"/>
      <c r="BR42" s="593"/>
      <c r="BS42" s="593"/>
      <c r="BT42" s="593"/>
      <c r="BU42" s="593"/>
      <c r="BV42" s="593"/>
      <c r="BW42" s="593"/>
      <c r="BX42" s="593"/>
      <c r="BY42" s="593"/>
      <c r="BZ42" s="593"/>
      <c r="CA42" s="593"/>
      <c r="CB42" s="593"/>
      <c r="CC42" s="593"/>
      <c r="CD42" s="593"/>
      <c r="CE42" s="593"/>
      <c r="CF42" s="595"/>
    </row>
    <row r="43" spans="1:84" s="583" customFormat="1" ht="23.1" customHeight="1">
      <c r="A43" s="584"/>
      <c r="B43" s="585"/>
      <c r="C43" s="585"/>
      <c r="D43" s="596" t="s">
        <v>1094</v>
      </c>
      <c r="E43" s="585"/>
      <c r="F43" s="585"/>
      <c r="G43" s="585"/>
      <c r="H43" s="585"/>
      <c r="I43" s="585"/>
      <c r="J43" s="585"/>
      <c r="K43" s="585"/>
      <c r="L43" s="585"/>
      <c r="M43" s="585"/>
      <c r="N43" s="585"/>
      <c r="O43" s="585"/>
      <c r="P43" s="585"/>
      <c r="Q43" s="585"/>
      <c r="R43" s="585"/>
      <c r="S43" s="585"/>
      <c r="T43" s="585"/>
      <c r="U43" s="585"/>
      <c r="V43" s="585"/>
      <c r="W43" s="585"/>
      <c r="X43" s="585"/>
      <c r="Y43" s="585"/>
      <c r="Z43" s="585"/>
      <c r="AA43" s="585"/>
      <c r="AB43" s="585"/>
      <c r="AC43" s="585"/>
      <c r="AD43" s="585"/>
      <c r="AE43" s="585"/>
      <c r="AF43" s="585"/>
      <c r="AG43" s="585"/>
      <c r="AH43" s="585"/>
      <c r="AI43" s="585"/>
      <c r="AJ43" s="585"/>
      <c r="AK43" s="585"/>
      <c r="AL43" s="585"/>
      <c r="AM43" s="585"/>
      <c r="AN43" s="585"/>
      <c r="AO43" s="585"/>
      <c r="AP43" s="585"/>
      <c r="AQ43" s="585"/>
      <c r="AR43" s="422"/>
      <c r="AS43" s="1435" t="e">
        <f>HLOOKUP(D43,$CN$1:$CO$3,3,0)</f>
        <v>#REF!</v>
      </c>
      <c r="AT43" s="1435"/>
      <c r="AU43" s="1435"/>
      <c r="AV43" s="1435"/>
      <c r="AW43" s="1435"/>
      <c r="AX43" s="1435"/>
      <c r="AY43" s="1435"/>
      <c r="AZ43" s="1435"/>
      <c r="BA43" s="1435"/>
      <c r="BB43" s="1435"/>
      <c r="BC43" s="585"/>
      <c r="BD43" s="1431" t="s">
        <v>446</v>
      </c>
      <c r="BE43" s="1431"/>
      <c r="BF43" s="585"/>
      <c r="BG43" s="1431">
        <v>19.2</v>
      </c>
      <c r="BH43" s="1431"/>
      <c r="BI43" s="1431"/>
      <c r="BJ43" s="1431"/>
      <c r="BK43" s="1431"/>
      <c r="BL43" s="585" t="s">
        <v>1111</v>
      </c>
      <c r="BM43" s="585"/>
      <c r="BN43" s="585"/>
      <c r="BO43" s="585"/>
      <c r="BP43" s="1431" t="s">
        <v>41</v>
      </c>
      <c r="BQ43" s="1431"/>
      <c r="BR43" s="585"/>
      <c r="BS43" s="585"/>
      <c r="BT43" s="1432" t="e">
        <f>INT(AS43*BG43)</f>
        <v>#REF!</v>
      </c>
      <c r="BU43" s="1432"/>
      <c r="BV43" s="1432"/>
      <c r="BW43" s="1432"/>
      <c r="BX43" s="1432"/>
      <c r="BY43" s="1432"/>
      <c r="BZ43" s="1432"/>
      <c r="CA43" s="1432"/>
      <c r="CB43" s="1432"/>
      <c r="CC43" s="1432"/>
      <c r="CD43" s="585"/>
      <c r="CE43" s="585"/>
      <c r="CF43" s="586"/>
    </row>
    <row r="44" spans="1:84" s="583" customFormat="1" ht="23.1" customHeight="1">
      <c r="A44" s="584"/>
      <c r="B44" s="585"/>
      <c r="C44" s="585"/>
      <c r="D44" s="591" t="str">
        <f>"잡재료 (주연료의 "&amp;BG44&amp;"%) :"</f>
        <v>잡재료 (주연료의 50%) :</v>
      </c>
      <c r="E44" s="585"/>
      <c r="F44" s="585"/>
      <c r="G44" s="585"/>
      <c r="H44" s="585"/>
      <c r="I44" s="585"/>
      <c r="J44" s="585"/>
      <c r="K44" s="585"/>
      <c r="L44" s="585"/>
      <c r="M44" s="585"/>
      <c r="N44" s="585"/>
      <c r="O44" s="585"/>
      <c r="P44" s="585"/>
      <c r="Q44" s="585"/>
      <c r="R44" s="585"/>
      <c r="S44" s="585"/>
      <c r="T44" s="585"/>
      <c r="U44" s="585"/>
      <c r="V44" s="585"/>
      <c r="W44" s="585"/>
      <c r="X44" s="585"/>
      <c r="Y44" s="585"/>
      <c r="Z44" s="585"/>
      <c r="AA44" s="585"/>
      <c r="AB44" s="585"/>
      <c r="AC44" s="585"/>
      <c r="AD44" s="585"/>
      <c r="AE44" s="585"/>
      <c r="AF44" s="585"/>
      <c r="AG44" s="585"/>
      <c r="AH44" s="585"/>
      <c r="AI44" s="585"/>
      <c r="AJ44" s="585"/>
      <c r="AK44" s="585"/>
      <c r="AL44" s="585"/>
      <c r="AM44" s="585"/>
      <c r="AN44" s="585"/>
      <c r="AO44" s="585"/>
      <c r="AP44" s="585"/>
      <c r="AQ44" s="585"/>
      <c r="AR44" s="422" t="e">
        <f>BT43</f>
        <v>#REF!</v>
      </c>
      <c r="AS44" s="1430" t="e">
        <f>BT43</f>
        <v>#REF!</v>
      </c>
      <c r="AT44" s="1430"/>
      <c r="AU44" s="1430"/>
      <c r="AV44" s="1430"/>
      <c r="AW44" s="1430"/>
      <c r="AX44" s="1430"/>
      <c r="AY44" s="1430"/>
      <c r="AZ44" s="1430"/>
      <c r="BA44" s="1430"/>
      <c r="BB44" s="1430"/>
      <c r="BC44" s="585"/>
      <c r="BD44" s="1431" t="s">
        <v>446</v>
      </c>
      <c r="BE44" s="1431"/>
      <c r="BF44" s="585"/>
      <c r="BG44" s="1431">
        <v>50</v>
      </c>
      <c r="BH44" s="1431"/>
      <c r="BI44" s="1431"/>
      <c r="BJ44" s="1431"/>
      <c r="BK44" s="1431"/>
      <c r="BL44" s="585" t="s">
        <v>1112</v>
      </c>
      <c r="BM44" s="585"/>
      <c r="BN44" s="585"/>
      <c r="BO44" s="585"/>
      <c r="BP44" s="1431" t="s">
        <v>41</v>
      </c>
      <c r="BQ44" s="1431"/>
      <c r="BR44" s="585"/>
      <c r="BS44" s="585"/>
      <c r="BT44" s="1432" t="e">
        <f>INT(AS44*BG44/100)</f>
        <v>#REF!</v>
      </c>
      <c r="BU44" s="1432"/>
      <c r="BV44" s="1432"/>
      <c r="BW44" s="1432"/>
      <c r="BX44" s="1432"/>
      <c r="BY44" s="1432"/>
      <c r="BZ44" s="1432"/>
      <c r="CA44" s="1432"/>
      <c r="CB44" s="1432"/>
      <c r="CC44" s="1432"/>
      <c r="CD44" s="585"/>
      <c r="CE44" s="585"/>
      <c r="CF44" s="586"/>
    </row>
    <row r="45" spans="1:84" s="583" customFormat="1" ht="23.1" customHeight="1" thickBot="1">
      <c r="A45" s="584"/>
      <c r="B45" s="585"/>
      <c r="C45" s="585"/>
      <c r="D45" s="585"/>
      <c r="E45" s="585"/>
      <c r="F45" s="585"/>
      <c r="G45" s="585"/>
      <c r="H45" s="585"/>
      <c r="I45" s="585"/>
      <c r="J45" s="585"/>
      <c r="K45" s="585"/>
      <c r="L45" s="585"/>
      <c r="M45" s="585"/>
      <c r="N45" s="585"/>
      <c r="O45" s="585"/>
      <c r="P45" s="585"/>
      <c r="Q45" s="585"/>
      <c r="R45" s="585"/>
      <c r="S45" s="585"/>
      <c r="T45" s="585"/>
      <c r="U45" s="585"/>
      <c r="V45" s="585"/>
      <c r="W45" s="585"/>
      <c r="X45" s="585"/>
      <c r="Y45" s="585"/>
      <c r="Z45" s="585"/>
      <c r="AA45" s="585"/>
      <c r="AB45" s="585"/>
      <c r="AC45" s="585"/>
      <c r="AD45" s="585"/>
      <c r="AE45" s="585"/>
      <c r="AF45" s="585"/>
      <c r="AG45" s="585"/>
      <c r="AH45" s="585"/>
      <c r="AI45" s="585"/>
      <c r="AJ45" s="585"/>
      <c r="AK45" s="585"/>
      <c r="AL45" s="585"/>
      <c r="AM45" s="585"/>
      <c r="AN45" s="585"/>
      <c r="AO45" s="585"/>
      <c r="AP45" s="585"/>
      <c r="AQ45" s="585"/>
      <c r="AR45" s="585"/>
      <c r="AS45" s="585"/>
      <c r="AT45" s="585"/>
      <c r="AU45" s="585"/>
      <c r="AV45" s="585"/>
      <c r="AW45" s="585"/>
      <c r="AX45" s="585"/>
      <c r="AY45" s="585"/>
      <c r="AZ45" s="585"/>
      <c r="BA45" s="585"/>
      <c r="BB45" s="585"/>
      <c r="BC45" s="585"/>
      <c r="BD45" s="585"/>
      <c r="BE45" s="585"/>
      <c r="BF45" s="585"/>
      <c r="BG45" s="585"/>
      <c r="BH45" s="585"/>
      <c r="BI45" s="585"/>
      <c r="BJ45" s="585"/>
      <c r="BK45" s="585"/>
      <c r="BL45" s="585"/>
      <c r="BM45" s="585"/>
      <c r="BN45" s="585"/>
      <c r="BO45" s="585"/>
      <c r="BP45" s="1431" t="s">
        <v>41</v>
      </c>
      <c r="BQ45" s="1431"/>
      <c r="BR45" s="585"/>
      <c r="BS45" s="585"/>
      <c r="BT45" s="1433" t="e">
        <f>BT43+BT44</f>
        <v>#REF!</v>
      </c>
      <c r="BU45" s="1433"/>
      <c r="BV45" s="1433"/>
      <c r="BW45" s="1433"/>
      <c r="BX45" s="1433"/>
      <c r="BY45" s="1433"/>
      <c r="BZ45" s="1433"/>
      <c r="CA45" s="1433"/>
      <c r="CB45" s="1433"/>
      <c r="CC45" s="1433"/>
      <c r="CD45" s="585"/>
      <c r="CE45" s="585"/>
      <c r="CF45" s="586"/>
    </row>
    <row r="46" spans="1:84" s="583" customFormat="1" ht="23.1" customHeight="1" thickBot="1">
      <c r="A46" s="597"/>
      <c r="B46" s="598" t="s">
        <v>1113</v>
      </c>
      <c r="C46" s="598"/>
      <c r="D46" s="598"/>
      <c r="E46" s="598"/>
      <c r="F46" s="598"/>
      <c r="G46" s="598"/>
      <c r="H46" s="598"/>
      <c r="I46" s="598"/>
      <c r="J46" s="598"/>
      <c r="K46" s="598"/>
      <c r="L46" s="598"/>
      <c r="M46" s="598"/>
      <c r="N46" s="598"/>
      <c r="O46" s="598"/>
      <c r="P46" s="598"/>
      <c r="Q46" s="598"/>
      <c r="R46" s="598"/>
      <c r="S46" s="598"/>
      <c r="T46" s="598"/>
      <c r="U46" s="598"/>
      <c r="V46" s="598"/>
      <c r="W46" s="598"/>
      <c r="X46" s="598"/>
      <c r="Y46" s="598"/>
      <c r="Z46" s="598"/>
      <c r="AA46" s="598"/>
      <c r="AB46" s="598"/>
      <c r="AC46" s="598"/>
      <c r="AD46" s="598"/>
      <c r="AE46" s="598"/>
      <c r="AF46" s="598"/>
      <c r="AG46" s="598"/>
      <c r="AH46" s="598"/>
      <c r="AI46" s="598"/>
      <c r="AJ46" s="598"/>
      <c r="AK46" s="598"/>
      <c r="AL46" s="598"/>
      <c r="AM46" s="598"/>
      <c r="AN46" s="598"/>
      <c r="AO46" s="598"/>
      <c r="AP46" s="598"/>
      <c r="AQ46" s="598"/>
      <c r="AR46" s="598"/>
      <c r="AS46" s="598"/>
      <c r="AT46" s="598"/>
      <c r="AU46" s="598"/>
      <c r="AV46" s="598"/>
      <c r="AW46" s="598"/>
      <c r="AX46" s="598"/>
      <c r="AY46" s="598"/>
      <c r="AZ46" s="598"/>
      <c r="BA46" s="598"/>
      <c r="BB46" s="598"/>
      <c r="BC46" s="598"/>
      <c r="BD46" s="598"/>
      <c r="BE46" s="598"/>
      <c r="BF46" s="598"/>
      <c r="BG46" s="598"/>
      <c r="BH46" s="598"/>
      <c r="BI46" s="598"/>
      <c r="BJ46" s="598"/>
      <c r="BK46" s="598"/>
      <c r="BL46" s="598"/>
      <c r="BM46" s="598"/>
      <c r="BN46" s="598"/>
      <c r="BO46" s="598"/>
      <c r="BP46" s="598"/>
      <c r="BQ46" s="598"/>
      <c r="BR46" s="598"/>
      <c r="BS46" s="598"/>
      <c r="BT46" s="1429" t="e">
        <f>BT37+BT41+BT45</f>
        <v>#REF!</v>
      </c>
      <c r="BU46" s="1429"/>
      <c r="BV46" s="1429"/>
      <c r="BW46" s="1429"/>
      <c r="BX46" s="1429"/>
      <c r="BY46" s="1429"/>
      <c r="BZ46" s="1429"/>
      <c r="CA46" s="1429"/>
      <c r="CB46" s="1429"/>
      <c r="CC46" s="1429"/>
      <c r="CD46" s="598"/>
      <c r="CE46" s="598"/>
      <c r="CF46" s="599"/>
    </row>
    <row r="47" spans="1:84" s="583" customFormat="1" ht="9.9499999999999993" customHeight="1">
      <c r="A47" s="574"/>
      <c r="B47" s="574"/>
      <c r="C47" s="574"/>
      <c r="D47" s="574"/>
      <c r="E47" s="574"/>
      <c r="F47" s="574"/>
      <c r="G47" s="574"/>
      <c r="H47" s="574"/>
      <c r="I47" s="574"/>
      <c r="J47" s="574"/>
      <c r="K47" s="574"/>
      <c r="L47" s="574"/>
      <c r="M47" s="574"/>
      <c r="N47" s="574"/>
      <c r="O47" s="574"/>
      <c r="P47" s="574"/>
      <c r="Q47" s="574"/>
      <c r="R47" s="574"/>
      <c r="S47" s="574"/>
      <c r="T47" s="574"/>
      <c r="U47" s="574"/>
      <c r="V47" s="574"/>
      <c r="W47" s="574"/>
      <c r="X47" s="574"/>
      <c r="Y47" s="574"/>
      <c r="Z47" s="574"/>
      <c r="AA47" s="574"/>
      <c r="AB47" s="574"/>
      <c r="AC47" s="574"/>
      <c r="AD47" s="574"/>
      <c r="AE47" s="574"/>
      <c r="AF47" s="574"/>
      <c r="AG47" s="574"/>
      <c r="AH47" s="574"/>
      <c r="AI47" s="574"/>
      <c r="AJ47" s="574"/>
      <c r="AK47" s="574"/>
      <c r="AL47" s="574"/>
      <c r="AM47" s="574"/>
      <c r="AN47" s="574"/>
      <c r="AO47" s="574"/>
      <c r="AP47" s="574"/>
      <c r="AQ47" s="574"/>
      <c r="AR47" s="574"/>
      <c r="AS47" s="574"/>
      <c r="AT47" s="574"/>
      <c r="AU47" s="574"/>
      <c r="AV47" s="574"/>
      <c r="AW47" s="574"/>
      <c r="AX47" s="574"/>
      <c r="AY47" s="574"/>
      <c r="AZ47" s="574"/>
      <c r="BA47" s="574"/>
      <c r="BB47" s="574"/>
      <c r="BC47" s="574"/>
      <c r="BD47" s="574"/>
      <c r="BE47" s="574"/>
      <c r="BF47" s="574"/>
      <c r="BG47" s="574"/>
      <c r="BH47" s="574"/>
      <c r="BI47" s="574"/>
      <c r="BJ47" s="574"/>
      <c r="BK47" s="574"/>
      <c r="BL47" s="574"/>
      <c r="BM47" s="574"/>
      <c r="BN47" s="574"/>
      <c r="BO47" s="574"/>
      <c r="BP47" s="574"/>
      <c r="BQ47" s="574"/>
      <c r="BR47" s="574"/>
      <c r="BS47" s="574"/>
      <c r="BT47" s="574"/>
      <c r="BU47" s="574"/>
      <c r="BV47" s="574"/>
      <c r="BW47" s="574"/>
      <c r="BX47" s="574"/>
      <c r="BY47" s="574"/>
      <c r="BZ47" s="574"/>
      <c r="CA47" s="574"/>
      <c r="CB47" s="574"/>
      <c r="CC47" s="574"/>
      <c r="CD47" s="574"/>
      <c r="CE47" s="574"/>
      <c r="CF47" s="574"/>
    </row>
    <row r="48" spans="1:84" s="583" customFormat="1" ht="23.1" customHeight="1" thickBot="1">
      <c r="A48" s="1446" t="s">
        <v>1095</v>
      </c>
      <c r="B48" s="1446"/>
      <c r="C48" s="1446"/>
      <c r="D48" s="1446"/>
      <c r="E48" s="1446"/>
      <c r="F48" s="1446"/>
      <c r="G48" s="1447">
        <f>G33+1</f>
        <v>4</v>
      </c>
      <c r="H48" s="1447"/>
      <c r="I48" s="1447"/>
      <c r="J48" s="1448" t="s">
        <v>1096</v>
      </c>
      <c r="K48" s="1448"/>
      <c r="L48" s="574"/>
      <c r="M48" s="574"/>
      <c r="N48" s="574"/>
      <c r="O48" s="574"/>
      <c r="P48" s="574"/>
      <c r="Q48" s="574"/>
      <c r="R48" s="574"/>
      <c r="S48" s="574"/>
      <c r="T48" s="574"/>
      <c r="U48" s="574"/>
      <c r="V48" s="574"/>
      <c r="W48" s="574"/>
      <c r="X48" s="574"/>
      <c r="Y48" s="574"/>
      <c r="Z48" s="574"/>
      <c r="AA48" s="574"/>
      <c r="AB48" s="574"/>
      <c r="AC48" s="574"/>
      <c r="AD48" s="574"/>
      <c r="AE48" s="574"/>
      <c r="AF48" s="574"/>
      <c r="AG48" s="574"/>
      <c r="AH48" s="574"/>
      <c r="AI48" s="574"/>
      <c r="AJ48" s="574"/>
      <c r="AK48" s="574"/>
      <c r="AL48" s="574"/>
      <c r="AM48" s="574"/>
      <c r="AN48" s="574"/>
      <c r="AO48" s="574"/>
      <c r="AP48" s="574"/>
      <c r="AQ48" s="574"/>
      <c r="AR48" s="574"/>
      <c r="AS48" s="574"/>
      <c r="AT48" s="574"/>
      <c r="AU48" s="574"/>
      <c r="AV48" s="574"/>
      <c r="AW48" s="574"/>
      <c r="AX48" s="574"/>
      <c r="AY48" s="574"/>
      <c r="AZ48" s="574"/>
      <c r="BA48" s="574"/>
      <c r="BB48" s="574"/>
      <c r="BC48" s="574"/>
      <c r="BD48" s="574"/>
      <c r="BE48" s="574"/>
      <c r="BF48" s="574"/>
      <c r="BG48" s="574"/>
      <c r="BH48" s="574"/>
      <c r="BI48" s="574"/>
      <c r="BJ48" s="574"/>
      <c r="BK48" s="574"/>
      <c r="BL48" s="574"/>
      <c r="BM48" s="574"/>
      <c r="BN48" s="574"/>
      <c r="BO48" s="574"/>
      <c r="BP48" s="574"/>
      <c r="BQ48" s="574"/>
      <c r="BR48" s="574"/>
      <c r="BS48" s="574"/>
      <c r="BT48" s="574"/>
      <c r="BU48" s="574"/>
      <c r="BV48" s="574"/>
      <c r="BW48" s="574"/>
      <c r="BX48" s="574"/>
      <c r="BY48" s="574"/>
      <c r="BZ48" s="574"/>
      <c r="CA48" s="574"/>
      <c r="CB48" s="574"/>
      <c r="CC48" s="574"/>
      <c r="CD48" s="574"/>
      <c r="CE48" s="574"/>
      <c r="CF48" s="574"/>
    </row>
    <row r="49" spans="1:84" s="583" customFormat="1" ht="23.1" customHeight="1" thickBot="1">
      <c r="A49" s="1483" t="s">
        <v>1097</v>
      </c>
      <c r="B49" s="1484"/>
      <c r="C49" s="1484"/>
      <c r="D49" s="1484"/>
      <c r="E49" s="1484"/>
      <c r="F49" s="1484"/>
      <c r="G49" s="1484"/>
      <c r="H49" s="1484"/>
      <c r="I49" s="581" t="s">
        <v>277</v>
      </c>
      <c r="J49" s="581"/>
      <c r="K49" s="581"/>
      <c r="L49" s="581"/>
      <c r="M49" s="581"/>
      <c r="N49" s="581"/>
      <c r="O49" s="581"/>
      <c r="P49" s="581"/>
      <c r="Q49" s="581"/>
      <c r="R49" s="581"/>
      <c r="S49" s="581"/>
      <c r="T49" s="581"/>
      <c r="U49" s="581"/>
      <c r="V49" s="581"/>
      <c r="W49" s="581"/>
      <c r="X49" s="581"/>
      <c r="Y49" s="581"/>
      <c r="Z49" s="581"/>
      <c r="AA49" s="581"/>
      <c r="AB49" s="581"/>
      <c r="AC49" s="581"/>
      <c r="AD49" s="581"/>
      <c r="AE49" s="581"/>
      <c r="AF49" s="581"/>
      <c r="AG49" s="581"/>
      <c r="AH49" s="581"/>
      <c r="AI49" s="581"/>
      <c r="AJ49" s="1484" t="s">
        <v>1099</v>
      </c>
      <c r="AK49" s="1484"/>
      <c r="AL49" s="1484"/>
      <c r="AM49" s="1484"/>
      <c r="AN49" s="1484"/>
      <c r="AO49" s="1484"/>
      <c r="AP49" s="1484"/>
      <c r="AQ49" s="581" t="s">
        <v>392</v>
      </c>
      <c r="AR49" s="581"/>
      <c r="AS49" s="581"/>
      <c r="AT49" s="581"/>
      <c r="AU49" s="581"/>
      <c r="AV49" s="581"/>
      <c r="AW49" s="581"/>
      <c r="AX49" s="581"/>
      <c r="AY49" s="581"/>
      <c r="AZ49" s="581"/>
      <c r="BA49" s="581"/>
      <c r="BB49" s="581"/>
      <c r="BC49" s="581"/>
      <c r="BD49" s="581"/>
      <c r="BE49" s="581"/>
      <c r="BF49" s="581"/>
      <c r="BG49" s="581"/>
      <c r="BH49" s="581"/>
      <c r="BI49" s="581"/>
      <c r="BJ49" s="581"/>
      <c r="BK49" s="581"/>
      <c r="BL49" s="581"/>
      <c r="BM49" s="581"/>
      <c r="BN49" s="581"/>
      <c r="BO49" s="581"/>
      <c r="BP49" s="581"/>
      <c r="BQ49" s="581"/>
      <c r="BR49" s="581"/>
      <c r="BS49" s="581"/>
      <c r="BT49" s="581" t="s">
        <v>1119</v>
      </c>
      <c r="BU49" s="581"/>
      <c r="BV49" s="581"/>
      <c r="BW49" s="581"/>
      <c r="BX49" s="581"/>
      <c r="BY49" s="581"/>
      <c r="BZ49" s="581"/>
      <c r="CA49" s="581"/>
      <c r="CB49" s="581"/>
      <c r="CC49" s="581"/>
      <c r="CD49" s="581"/>
      <c r="CE49" s="581"/>
      <c r="CF49" s="582"/>
    </row>
    <row r="50" spans="1:84" s="583" customFormat="1" ht="23.1" customHeight="1">
      <c r="A50" s="584"/>
      <c r="B50" s="585" t="s">
        <v>1102</v>
      </c>
      <c r="C50" s="585"/>
      <c r="D50" s="585"/>
      <c r="E50" s="585"/>
      <c r="F50" s="585"/>
      <c r="G50" s="585"/>
      <c r="H50" s="585"/>
      <c r="I50" s="585"/>
      <c r="J50" s="585"/>
      <c r="K50" s="585"/>
      <c r="L50" s="585"/>
      <c r="M50" s="585"/>
      <c r="N50" s="585"/>
      <c r="O50" s="585"/>
      <c r="P50" s="585"/>
      <c r="Q50" s="585"/>
      <c r="R50" s="585"/>
      <c r="S50" s="585"/>
      <c r="T50" s="585"/>
      <c r="U50" s="585"/>
      <c r="V50" s="585"/>
      <c r="W50" s="585"/>
      <c r="X50" s="585"/>
      <c r="Y50" s="585"/>
      <c r="Z50" s="585"/>
      <c r="AA50" s="585"/>
      <c r="AB50" s="585"/>
      <c r="AC50" s="585"/>
      <c r="AD50" s="585"/>
      <c r="AE50" s="585"/>
      <c r="AF50" s="585"/>
      <c r="AG50" s="585"/>
      <c r="AH50" s="585"/>
      <c r="AI50" s="585"/>
      <c r="AJ50" s="585"/>
      <c r="AK50" s="585"/>
      <c r="AL50" s="585"/>
      <c r="AM50" s="585"/>
      <c r="AN50" s="585"/>
      <c r="AO50" s="585"/>
      <c r="AP50" s="585"/>
      <c r="AQ50" s="585"/>
      <c r="AR50" s="585"/>
      <c r="AS50" s="585"/>
      <c r="AT50" s="585"/>
      <c r="AU50" s="585"/>
      <c r="AV50" s="585"/>
      <c r="AW50" s="585"/>
      <c r="AX50" s="585"/>
      <c r="AY50" s="585"/>
      <c r="AZ50" s="585"/>
      <c r="BA50" s="585"/>
      <c r="BB50" s="585"/>
      <c r="BC50" s="585"/>
      <c r="BD50" s="585"/>
      <c r="BE50" s="585"/>
      <c r="BF50" s="585"/>
      <c r="BG50" s="585"/>
      <c r="BH50" s="585"/>
      <c r="BI50" s="585"/>
      <c r="BJ50" s="585"/>
      <c r="BK50" s="585"/>
      <c r="BL50" s="585"/>
      <c r="BM50" s="585"/>
      <c r="BN50" s="585"/>
      <c r="BO50" s="585"/>
      <c r="BP50" s="585"/>
      <c r="BQ50" s="585"/>
      <c r="BR50" s="585"/>
      <c r="BS50" s="585"/>
      <c r="BT50" s="585"/>
      <c r="BU50" s="585"/>
      <c r="BV50" s="585"/>
      <c r="BW50" s="585"/>
      <c r="BX50" s="585"/>
      <c r="BY50" s="585"/>
      <c r="BZ50" s="585"/>
      <c r="CA50" s="585"/>
      <c r="CB50" s="585"/>
      <c r="CC50" s="585"/>
      <c r="CD50" s="585"/>
      <c r="CE50" s="585"/>
      <c r="CF50" s="586"/>
    </row>
    <row r="51" spans="1:84" s="583" customFormat="1" ht="23.1" customHeight="1">
      <c r="A51" s="587"/>
      <c r="B51" s="574"/>
      <c r="C51" s="574"/>
      <c r="D51" s="405"/>
      <c r="E51" s="574"/>
      <c r="F51" s="422"/>
      <c r="G51" s="422"/>
      <c r="H51" s="422"/>
      <c r="I51" s="422"/>
      <c r="J51" s="422"/>
      <c r="K51" s="422"/>
      <c r="L51" s="422"/>
      <c r="M51" s="422"/>
      <c r="N51" s="574"/>
      <c r="O51" s="574"/>
      <c r="P51" s="574"/>
      <c r="Q51" s="574"/>
      <c r="R51" s="574"/>
      <c r="S51" s="588"/>
      <c r="T51" s="588"/>
      <c r="U51" s="588"/>
      <c r="V51" s="588"/>
      <c r="W51" s="588"/>
      <c r="X51" s="588"/>
      <c r="Y51" s="588"/>
      <c r="Z51" s="588"/>
      <c r="AA51" s="574"/>
      <c r="AB51" s="588"/>
      <c r="AC51" s="585"/>
      <c r="AD51" s="585"/>
      <c r="AE51" s="600"/>
      <c r="AF51" s="600"/>
      <c r="AG51" s="600"/>
      <c r="AH51" s="600"/>
      <c r="AI51" s="600"/>
      <c r="AJ51" s="600"/>
      <c r="AK51" s="600"/>
      <c r="AL51" s="600"/>
      <c r="AM51" s="585"/>
      <c r="AN51" s="585"/>
      <c r="AO51" s="574"/>
      <c r="AP51" s="430"/>
      <c r="AQ51" s="430"/>
      <c r="AR51" s="430"/>
      <c r="AS51" s="430"/>
      <c r="AT51" s="430"/>
      <c r="AU51" s="430"/>
      <c r="AV51" s="430"/>
      <c r="AW51" s="430"/>
      <c r="AX51" s="430"/>
      <c r="AY51" s="430"/>
      <c r="AZ51" s="430"/>
      <c r="BA51" s="430"/>
      <c r="BB51" s="430"/>
      <c r="BC51" s="430"/>
      <c r="BD51" s="574"/>
      <c r="BE51" s="574"/>
      <c r="BF51" s="574"/>
      <c r="BG51" s="574"/>
      <c r="BH51" s="574"/>
      <c r="BI51" s="574"/>
      <c r="BJ51" s="574"/>
      <c r="BK51" s="574"/>
      <c r="BL51" s="574"/>
      <c r="BM51" s="574"/>
      <c r="BN51" s="574"/>
      <c r="BO51" s="574"/>
      <c r="BP51" s="574"/>
      <c r="BQ51" s="574"/>
      <c r="BR51" s="574"/>
      <c r="BS51" s="574"/>
      <c r="BT51" s="574"/>
      <c r="BU51" s="574"/>
      <c r="BV51" s="574"/>
      <c r="BW51" s="574"/>
      <c r="BX51" s="574"/>
      <c r="BY51" s="574"/>
      <c r="BZ51" s="574"/>
      <c r="CA51" s="574"/>
      <c r="CB51" s="574"/>
      <c r="CC51" s="574"/>
      <c r="CD51" s="574"/>
      <c r="CE51" s="574"/>
      <c r="CF51" s="589"/>
    </row>
    <row r="52" spans="1:84" s="583" customFormat="1" ht="23.1" customHeight="1">
      <c r="A52" s="584"/>
      <c r="B52" s="585"/>
      <c r="C52" s="585"/>
      <c r="D52" s="585"/>
      <c r="E52" s="585"/>
      <c r="F52" s="585"/>
      <c r="G52" s="585"/>
      <c r="H52" s="585"/>
      <c r="I52" s="585"/>
      <c r="J52" s="585"/>
      <c r="K52" s="585"/>
      <c r="L52" s="585"/>
      <c r="M52" s="585"/>
      <c r="N52" s="585"/>
      <c r="O52" s="585"/>
      <c r="P52" s="585"/>
      <c r="Q52" s="585"/>
      <c r="R52" s="585"/>
      <c r="S52" s="585"/>
      <c r="T52" s="585"/>
      <c r="U52" s="585"/>
      <c r="V52" s="590"/>
      <c r="W52" s="590"/>
      <c r="X52" s="590"/>
      <c r="Y52" s="590"/>
      <c r="Z52" s="590"/>
      <c r="AA52" s="590"/>
      <c r="AB52" s="590"/>
      <c r="AC52" s="590"/>
      <c r="AD52" s="574"/>
      <c r="AE52" s="1440">
        <v>45070000</v>
      </c>
      <c r="AF52" s="1440"/>
      <c r="AG52" s="1440"/>
      <c r="AH52" s="1440"/>
      <c r="AI52" s="1440"/>
      <c r="AJ52" s="1440"/>
      <c r="AK52" s="1440"/>
      <c r="AL52" s="1440"/>
      <c r="AM52" s="1440"/>
      <c r="AN52" s="1440"/>
      <c r="AO52" s="1440"/>
      <c r="AP52" s="1440"/>
      <c r="AQ52" s="1440"/>
      <c r="AR52" s="1440"/>
      <c r="AS52" s="1440"/>
      <c r="AT52" s="1431" t="s">
        <v>446</v>
      </c>
      <c r="AU52" s="1431"/>
      <c r="AV52" s="1441" t="s">
        <v>1103</v>
      </c>
      <c r="AW52" s="1441"/>
      <c r="AX52" s="1442">
        <v>2085</v>
      </c>
      <c r="AY52" s="1442"/>
      <c r="AZ52" s="1442"/>
      <c r="BA52" s="1442"/>
      <c r="BB52" s="1442"/>
      <c r="BC52" s="1442"/>
      <c r="BD52" s="585"/>
      <c r="BE52" s="1431" t="s">
        <v>446</v>
      </c>
      <c r="BF52" s="1431"/>
      <c r="BG52" s="585"/>
      <c r="BH52" s="591" t="s">
        <v>1104</v>
      </c>
      <c r="BI52" s="585"/>
      <c r="BJ52" s="585"/>
      <c r="BK52" s="585"/>
      <c r="BL52" s="1431" t="s">
        <v>1105</v>
      </c>
      <c r="BM52" s="1431"/>
      <c r="BN52" s="1431"/>
      <c r="BO52" s="585"/>
      <c r="BP52" s="1431" t="s">
        <v>41</v>
      </c>
      <c r="BQ52" s="1431"/>
      <c r="BR52" s="585"/>
      <c r="BS52" s="585"/>
      <c r="BT52" s="1437">
        <f>INT(AE52*AX52*10^-7)</f>
        <v>9397</v>
      </c>
      <c r="BU52" s="1437"/>
      <c r="BV52" s="1437"/>
      <c r="BW52" s="1437"/>
      <c r="BX52" s="1437"/>
      <c r="BY52" s="1437"/>
      <c r="BZ52" s="1437"/>
      <c r="CA52" s="1437"/>
      <c r="CB52" s="1437"/>
      <c r="CC52" s="1437"/>
      <c r="CD52" s="585"/>
      <c r="CE52" s="585"/>
      <c r="CF52" s="586"/>
    </row>
    <row r="53" spans="1:84" s="583" customFormat="1" ht="23.1" customHeight="1">
      <c r="A53" s="592"/>
      <c r="B53" s="593" t="s">
        <v>1106</v>
      </c>
      <c r="C53" s="593"/>
      <c r="D53" s="593"/>
      <c r="E53" s="593"/>
      <c r="F53" s="593"/>
      <c r="G53" s="593"/>
      <c r="H53" s="593"/>
      <c r="I53" s="593"/>
      <c r="J53" s="593"/>
      <c r="K53" s="593"/>
      <c r="L53" s="593"/>
      <c r="M53" s="593"/>
      <c r="N53" s="593"/>
      <c r="O53" s="593"/>
      <c r="P53" s="593"/>
      <c r="Q53" s="593"/>
      <c r="R53" s="593"/>
      <c r="S53" s="593"/>
      <c r="T53" s="593"/>
      <c r="U53" s="593"/>
      <c r="V53" s="593"/>
      <c r="W53" s="593"/>
      <c r="X53" s="593"/>
      <c r="Y53" s="593"/>
      <c r="Z53" s="593"/>
      <c r="AA53" s="593"/>
      <c r="AB53" s="593"/>
      <c r="AC53" s="593"/>
      <c r="AD53" s="593"/>
      <c r="AE53" s="593"/>
      <c r="AF53" s="593"/>
      <c r="AG53" s="593"/>
      <c r="AH53" s="593"/>
      <c r="AI53" s="593"/>
      <c r="AJ53" s="593"/>
      <c r="AK53" s="593"/>
      <c r="AL53" s="593"/>
      <c r="AM53" s="593"/>
      <c r="AN53" s="593"/>
      <c r="AO53" s="593"/>
      <c r="AP53" s="593"/>
      <c r="AQ53" s="593"/>
      <c r="AR53" s="593"/>
      <c r="AS53" s="593"/>
      <c r="AT53" s="593"/>
      <c r="AU53" s="593"/>
      <c r="AV53" s="593"/>
      <c r="AW53" s="593"/>
      <c r="AX53" s="593"/>
      <c r="AY53" s="593"/>
      <c r="AZ53" s="593"/>
      <c r="BA53" s="593"/>
      <c r="BB53" s="593"/>
      <c r="BC53" s="593"/>
      <c r="BD53" s="593"/>
      <c r="BE53" s="593"/>
      <c r="BF53" s="593"/>
      <c r="BG53" s="593"/>
      <c r="BH53" s="593"/>
      <c r="BI53" s="593"/>
      <c r="BJ53" s="593"/>
      <c r="BK53" s="593"/>
      <c r="BL53" s="593"/>
      <c r="BM53" s="593"/>
      <c r="BN53" s="593"/>
      <c r="BO53" s="593"/>
      <c r="BP53" s="593"/>
      <c r="BQ53" s="593"/>
      <c r="BR53" s="593"/>
      <c r="BS53" s="593"/>
      <c r="BT53" s="594"/>
      <c r="BU53" s="594"/>
      <c r="BV53" s="594"/>
      <c r="BW53" s="594"/>
      <c r="BX53" s="594"/>
      <c r="BY53" s="594"/>
      <c r="BZ53" s="594"/>
      <c r="CA53" s="594"/>
      <c r="CB53" s="594"/>
      <c r="CC53" s="594"/>
      <c r="CD53" s="593"/>
      <c r="CE53" s="593"/>
      <c r="CF53" s="595"/>
    </row>
    <row r="54" spans="1:84" s="583" customFormat="1" ht="23.1" customHeight="1">
      <c r="A54" s="584"/>
      <c r="B54" s="585"/>
      <c r="C54" s="585"/>
      <c r="D54" s="596" t="s">
        <v>268</v>
      </c>
      <c r="E54" s="585"/>
      <c r="F54" s="585"/>
      <c r="G54" s="585"/>
      <c r="H54" s="585"/>
      <c r="I54" s="585"/>
      <c r="J54" s="585"/>
      <c r="K54" s="585"/>
      <c r="L54" s="585"/>
      <c r="M54" s="585"/>
      <c r="N54" s="585"/>
      <c r="O54" s="585"/>
      <c r="P54" s="585"/>
      <c r="Q54" s="585"/>
      <c r="R54" s="585"/>
      <c r="S54" s="585"/>
      <c r="T54" s="574"/>
      <c r="U54" s="574"/>
      <c r="V54" s="1435">
        <f>HLOOKUP(D54,$CJ$1:$CM$3,3,0)</f>
        <v>283297</v>
      </c>
      <c r="W54" s="1435"/>
      <c r="X54" s="1435"/>
      <c r="Y54" s="1435"/>
      <c r="Z54" s="1435"/>
      <c r="AA54" s="1435"/>
      <c r="AB54" s="1435"/>
      <c r="AC54" s="1435"/>
      <c r="AD54" s="1435"/>
      <c r="AE54" s="1435"/>
      <c r="AF54" s="1431" t="s">
        <v>446</v>
      </c>
      <c r="AG54" s="1431"/>
      <c r="AH54" s="574"/>
      <c r="AI54" s="1436" t="s">
        <v>1107</v>
      </c>
      <c r="AJ54" s="1436"/>
      <c r="AK54" s="1436"/>
      <c r="AL54" s="1436"/>
      <c r="AM54" s="585"/>
      <c r="AN54" s="1431" t="s">
        <v>446</v>
      </c>
      <c r="AO54" s="1431"/>
      <c r="AP54" s="585"/>
      <c r="AQ54" s="1436" t="s">
        <v>1108</v>
      </c>
      <c r="AR54" s="1436"/>
      <c r="AS54" s="1436"/>
      <c r="AT54" s="1436"/>
      <c r="AU54" s="1436"/>
      <c r="AV54" s="422"/>
      <c r="AW54" s="1431" t="s">
        <v>446</v>
      </c>
      <c r="AX54" s="1431"/>
      <c r="AY54" s="440"/>
      <c r="AZ54" s="1436" t="s">
        <v>1109</v>
      </c>
      <c r="BA54" s="1436"/>
      <c r="BB54" s="1436"/>
      <c r="BC54" s="1436"/>
      <c r="BD54" s="1436"/>
      <c r="BE54" s="585"/>
      <c r="BF54" s="1431" t="s">
        <v>446</v>
      </c>
      <c r="BG54" s="1431"/>
      <c r="BH54" s="1431">
        <v>1</v>
      </c>
      <c r="BI54" s="1431"/>
      <c r="BJ54" s="1431"/>
      <c r="BK54" s="585"/>
      <c r="BL54" s="585" t="s">
        <v>366</v>
      </c>
      <c r="BM54" s="585"/>
      <c r="BN54" s="585"/>
      <c r="BO54" s="585"/>
      <c r="BP54" s="1431" t="s">
        <v>41</v>
      </c>
      <c r="BQ54" s="1431"/>
      <c r="BR54" s="585"/>
      <c r="BS54" s="585"/>
      <c r="BT54" s="1432">
        <f>INT(V54/8*16/12*25/20*BH54)</f>
        <v>59020</v>
      </c>
      <c r="BU54" s="1432"/>
      <c r="BV54" s="1432"/>
      <c r="BW54" s="1432"/>
      <c r="BX54" s="1432"/>
      <c r="BY54" s="1432"/>
      <c r="BZ54" s="1432"/>
      <c r="CA54" s="1432"/>
      <c r="CB54" s="1432"/>
      <c r="CC54" s="1432"/>
      <c r="CD54" s="585"/>
      <c r="CE54" s="585"/>
      <c r="CF54" s="586"/>
    </row>
    <row r="55" spans="1:84" s="583" customFormat="1" ht="23.1" customHeight="1">
      <c r="A55" s="584"/>
      <c r="B55" s="585"/>
      <c r="C55" s="585"/>
      <c r="D55" s="585"/>
      <c r="E55" s="585"/>
      <c r="F55" s="585"/>
      <c r="G55" s="585"/>
      <c r="H55" s="585"/>
      <c r="I55" s="585"/>
      <c r="J55" s="585"/>
      <c r="K55" s="585"/>
      <c r="L55" s="585"/>
      <c r="M55" s="585"/>
      <c r="N55" s="585"/>
      <c r="O55" s="585"/>
      <c r="P55" s="574"/>
      <c r="Q55" s="574"/>
      <c r="R55" s="574"/>
      <c r="S55" s="574"/>
      <c r="T55" s="574"/>
      <c r="U55" s="574"/>
      <c r="V55" s="574"/>
      <c r="W55" s="574"/>
      <c r="X55" s="574"/>
      <c r="Y55" s="574"/>
      <c r="Z55" s="574"/>
      <c r="AA55" s="574"/>
      <c r="AB55" s="574"/>
      <c r="AC55" s="574"/>
      <c r="AD55" s="574"/>
      <c r="AE55" s="574"/>
      <c r="AF55" s="574"/>
      <c r="AG55" s="574"/>
      <c r="AH55" s="574"/>
      <c r="AI55" s="574"/>
      <c r="AJ55" s="574"/>
      <c r="AK55" s="574"/>
      <c r="AL55" s="574"/>
      <c r="AM55" s="574"/>
      <c r="AN55" s="574"/>
      <c r="AO55" s="574"/>
      <c r="AP55" s="574"/>
      <c r="AQ55" s="574"/>
      <c r="AR55" s="574"/>
      <c r="AS55" s="574"/>
      <c r="AT55" s="574"/>
      <c r="AU55" s="574"/>
      <c r="AV55" s="574"/>
      <c r="AW55" s="574"/>
      <c r="AX55" s="574"/>
      <c r="AY55" s="574"/>
      <c r="AZ55" s="574"/>
      <c r="BA55" s="574"/>
      <c r="BB55" s="574"/>
      <c r="BC55" s="574"/>
      <c r="BD55" s="574"/>
      <c r="BE55" s="574"/>
      <c r="BF55" s="574"/>
      <c r="BG55" s="585"/>
      <c r="BH55" s="585"/>
      <c r="BI55" s="585"/>
      <c r="BJ55" s="585"/>
      <c r="BK55" s="585"/>
      <c r="BL55" s="585"/>
      <c r="BM55" s="585"/>
      <c r="BN55" s="585"/>
      <c r="BO55" s="585"/>
      <c r="BP55" s="1431"/>
      <c r="BQ55" s="1431"/>
      <c r="BR55" s="585"/>
      <c r="BS55" s="585"/>
      <c r="BT55" s="1432"/>
      <c r="BU55" s="1432"/>
      <c r="BV55" s="1432"/>
      <c r="BW55" s="1432"/>
      <c r="BX55" s="1432"/>
      <c r="BY55" s="1432"/>
      <c r="BZ55" s="1432"/>
      <c r="CA55" s="1432"/>
      <c r="CB55" s="1432"/>
      <c r="CC55" s="1432"/>
      <c r="CD55" s="585"/>
      <c r="CE55" s="585"/>
      <c r="CF55" s="586"/>
    </row>
    <row r="56" spans="1:84" s="583" customFormat="1" ht="23.1" customHeight="1">
      <c r="A56" s="584"/>
      <c r="B56" s="585"/>
      <c r="C56" s="585"/>
      <c r="D56" s="585"/>
      <c r="E56" s="585"/>
      <c r="F56" s="585"/>
      <c r="G56" s="585"/>
      <c r="H56" s="585"/>
      <c r="I56" s="585"/>
      <c r="J56" s="585"/>
      <c r="K56" s="585"/>
      <c r="L56" s="585"/>
      <c r="M56" s="585"/>
      <c r="N56" s="585"/>
      <c r="O56" s="585"/>
      <c r="P56" s="585"/>
      <c r="Q56" s="585"/>
      <c r="R56" s="585"/>
      <c r="S56" s="585"/>
      <c r="T56" s="585"/>
      <c r="U56" s="585"/>
      <c r="V56" s="585"/>
      <c r="W56" s="585"/>
      <c r="X56" s="585"/>
      <c r="Y56" s="585"/>
      <c r="Z56" s="585"/>
      <c r="AA56" s="585"/>
      <c r="AB56" s="585"/>
      <c r="AC56" s="585"/>
      <c r="AD56" s="574"/>
      <c r="AE56" s="574"/>
      <c r="AF56" s="574"/>
      <c r="AG56" s="574"/>
      <c r="AH56" s="574"/>
      <c r="AI56" s="574"/>
      <c r="AJ56" s="574"/>
      <c r="AK56" s="574"/>
      <c r="AL56" s="574"/>
      <c r="AM56" s="574"/>
      <c r="AN56" s="574"/>
      <c r="AO56" s="574"/>
      <c r="AP56" s="574"/>
      <c r="AQ56" s="574"/>
      <c r="AR56" s="574"/>
      <c r="AS56" s="585"/>
      <c r="AT56" s="590"/>
      <c r="AU56" s="590"/>
      <c r="AV56" s="585"/>
      <c r="AW56" s="585"/>
      <c r="AX56" s="585"/>
      <c r="AY56" s="585"/>
      <c r="AZ56" s="585"/>
      <c r="BA56" s="585"/>
      <c r="BB56" s="585"/>
      <c r="BC56" s="585"/>
      <c r="BD56" s="585"/>
      <c r="BE56" s="585"/>
      <c r="BF56" s="585"/>
      <c r="BG56" s="585"/>
      <c r="BH56" s="585"/>
      <c r="BI56" s="585"/>
      <c r="BJ56" s="585"/>
      <c r="BK56" s="585"/>
      <c r="BL56" s="585"/>
      <c r="BM56" s="585"/>
      <c r="BN56" s="585"/>
      <c r="BO56" s="585"/>
      <c r="BP56" s="1431" t="s">
        <v>41</v>
      </c>
      <c r="BQ56" s="1431"/>
      <c r="BR56" s="585"/>
      <c r="BS56" s="585"/>
      <c r="BT56" s="1434">
        <f>BT54+BT55</f>
        <v>59020</v>
      </c>
      <c r="BU56" s="1434"/>
      <c r="BV56" s="1434"/>
      <c r="BW56" s="1434"/>
      <c r="BX56" s="1434"/>
      <c r="BY56" s="1434"/>
      <c r="BZ56" s="1434"/>
      <c r="CA56" s="1434"/>
      <c r="CB56" s="1434"/>
      <c r="CC56" s="1434"/>
      <c r="CD56" s="585"/>
      <c r="CE56" s="585"/>
      <c r="CF56" s="586"/>
    </row>
    <row r="57" spans="1:84" s="583" customFormat="1" ht="23.1" customHeight="1">
      <c r="A57" s="592"/>
      <c r="B57" s="593" t="s">
        <v>1110</v>
      </c>
      <c r="C57" s="593"/>
      <c r="D57" s="593"/>
      <c r="E57" s="593"/>
      <c r="F57" s="593"/>
      <c r="G57" s="593"/>
      <c r="H57" s="593"/>
      <c r="I57" s="593"/>
      <c r="J57" s="593"/>
      <c r="K57" s="593"/>
      <c r="L57" s="593"/>
      <c r="M57" s="593"/>
      <c r="N57" s="593"/>
      <c r="O57" s="593"/>
      <c r="P57" s="593"/>
      <c r="Q57" s="593"/>
      <c r="R57" s="593"/>
      <c r="S57" s="593"/>
      <c r="T57" s="593"/>
      <c r="U57" s="593"/>
      <c r="V57" s="593"/>
      <c r="W57" s="593"/>
      <c r="X57" s="593"/>
      <c r="Y57" s="593"/>
      <c r="Z57" s="593"/>
      <c r="AA57" s="593"/>
      <c r="AB57" s="593"/>
      <c r="AC57" s="593"/>
      <c r="AD57" s="593"/>
      <c r="AE57" s="593"/>
      <c r="AF57" s="593"/>
      <c r="AG57" s="593"/>
      <c r="AH57" s="593"/>
      <c r="AI57" s="593"/>
      <c r="AJ57" s="593"/>
      <c r="AK57" s="593"/>
      <c r="AL57" s="593"/>
      <c r="AM57" s="593"/>
      <c r="AN57" s="593"/>
      <c r="AO57" s="593"/>
      <c r="AP57" s="593"/>
      <c r="AQ57" s="593"/>
      <c r="AR57" s="593"/>
      <c r="AS57" s="593"/>
      <c r="AT57" s="593"/>
      <c r="AU57" s="593"/>
      <c r="AV57" s="593"/>
      <c r="AW57" s="593"/>
      <c r="AX57" s="593"/>
      <c r="AY57" s="593"/>
      <c r="AZ57" s="593"/>
      <c r="BA57" s="593"/>
      <c r="BB57" s="593"/>
      <c r="BC57" s="593"/>
      <c r="BD57" s="593"/>
      <c r="BE57" s="593"/>
      <c r="BF57" s="593"/>
      <c r="BG57" s="593"/>
      <c r="BH57" s="593"/>
      <c r="BI57" s="593"/>
      <c r="BJ57" s="593"/>
      <c r="BK57" s="593"/>
      <c r="BL57" s="593"/>
      <c r="BM57" s="593"/>
      <c r="BN57" s="593"/>
      <c r="BO57" s="593"/>
      <c r="BP57" s="593"/>
      <c r="BQ57" s="593"/>
      <c r="BR57" s="593"/>
      <c r="BS57" s="593"/>
      <c r="BT57" s="593"/>
      <c r="BU57" s="593"/>
      <c r="BV57" s="593"/>
      <c r="BW57" s="593"/>
      <c r="BX57" s="593"/>
      <c r="BY57" s="593"/>
      <c r="BZ57" s="593"/>
      <c r="CA57" s="593"/>
      <c r="CB57" s="593"/>
      <c r="CC57" s="593"/>
      <c r="CD57" s="593"/>
      <c r="CE57" s="593"/>
      <c r="CF57" s="595"/>
    </row>
    <row r="58" spans="1:84" s="583" customFormat="1" ht="23.1" customHeight="1">
      <c r="A58" s="584"/>
      <c r="B58" s="585"/>
      <c r="C58" s="585"/>
      <c r="D58" s="596" t="s">
        <v>1094</v>
      </c>
      <c r="E58" s="585"/>
      <c r="F58" s="585"/>
      <c r="G58" s="585"/>
      <c r="H58" s="585"/>
      <c r="I58" s="585"/>
      <c r="J58" s="585"/>
      <c r="K58" s="585"/>
      <c r="L58" s="585"/>
      <c r="M58" s="585"/>
      <c r="N58" s="585"/>
      <c r="O58" s="585"/>
      <c r="P58" s="585"/>
      <c r="Q58" s="585"/>
      <c r="R58" s="585"/>
      <c r="S58" s="585"/>
      <c r="T58" s="585"/>
      <c r="U58" s="585"/>
      <c r="V58" s="585"/>
      <c r="W58" s="585"/>
      <c r="X58" s="585"/>
      <c r="Y58" s="585"/>
      <c r="Z58" s="585"/>
      <c r="AA58" s="585"/>
      <c r="AB58" s="585"/>
      <c r="AC58" s="585"/>
      <c r="AD58" s="585"/>
      <c r="AE58" s="585"/>
      <c r="AF58" s="585"/>
      <c r="AG58" s="585"/>
      <c r="AH58" s="585"/>
      <c r="AI58" s="585"/>
      <c r="AJ58" s="585"/>
      <c r="AK58" s="585"/>
      <c r="AL58" s="585"/>
      <c r="AM58" s="585"/>
      <c r="AN58" s="585"/>
      <c r="AO58" s="585"/>
      <c r="AP58" s="585"/>
      <c r="AQ58" s="585"/>
      <c r="AR58" s="422"/>
      <c r="AS58" s="1435" t="e">
        <f>HLOOKUP(D58,$CN$1:$CO$3,3,0)</f>
        <v>#REF!</v>
      </c>
      <c r="AT58" s="1435"/>
      <c r="AU58" s="1435"/>
      <c r="AV58" s="1435"/>
      <c r="AW58" s="1435"/>
      <c r="AX58" s="1435"/>
      <c r="AY58" s="1435"/>
      <c r="AZ58" s="1435"/>
      <c r="BA58" s="1435"/>
      <c r="BB58" s="1435"/>
      <c r="BC58" s="585"/>
      <c r="BD58" s="1431" t="s">
        <v>446</v>
      </c>
      <c r="BE58" s="1431"/>
      <c r="BF58" s="585"/>
      <c r="BG58" s="1431">
        <v>3.2</v>
      </c>
      <c r="BH58" s="1431"/>
      <c r="BI58" s="1431"/>
      <c r="BJ58" s="1431"/>
      <c r="BK58" s="1431"/>
      <c r="BL58" s="585" t="s">
        <v>1111</v>
      </c>
      <c r="BM58" s="585"/>
      <c r="BN58" s="585"/>
      <c r="BO58" s="585"/>
      <c r="BP58" s="1431" t="s">
        <v>41</v>
      </c>
      <c r="BQ58" s="1431"/>
      <c r="BR58" s="585"/>
      <c r="BS58" s="585"/>
      <c r="BT58" s="1432" t="e">
        <f>INT(AS58*BG58)</f>
        <v>#REF!</v>
      </c>
      <c r="BU58" s="1432"/>
      <c r="BV58" s="1432"/>
      <c r="BW58" s="1432"/>
      <c r="BX58" s="1432"/>
      <c r="BY58" s="1432"/>
      <c r="BZ58" s="1432"/>
      <c r="CA58" s="1432"/>
      <c r="CB58" s="1432"/>
      <c r="CC58" s="1432"/>
      <c r="CD58" s="585"/>
      <c r="CE58" s="585"/>
      <c r="CF58" s="586"/>
    </row>
    <row r="59" spans="1:84" s="583" customFormat="1" ht="23.1" customHeight="1">
      <c r="A59" s="584"/>
      <c r="B59" s="585"/>
      <c r="C59" s="585"/>
      <c r="D59" s="591" t="str">
        <f>"잡재료 (주연료의 "&amp;BG59&amp;"%) :"</f>
        <v>잡재료 (주연료의 21%) :</v>
      </c>
      <c r="E59" s="585"/>
      <c r="F59" s="585"/>
      <c r="G59" s="585"/>
      <c r="H59" s="585"/>
      <c r="I59" s="585"/>
      <c r="J59" s="585"/>
      <c r="K59" s="585"/>
      <c r="L59" s="585"/>
      <c r="M59" s="585"/>
      <c r="N59" s="585"/>
      <c r="O59" s="585"/>
      <c r="P59" s="585"/>
      <c r="Q59" s="585"/>
      <c r="R59" s="585"/>
      <c r="S59" s="585"/>
      <c r="T59" s="585"/>
      <c r="U59" s="585"/>
      <c r="V59" s="585"/>
      <c r="W59" s="585"/>
      <c r="X59" s="585"/>
      <c r="Y59" s="585"/>
      <c r="Z59" s="585"/>
      <c r="AA59" s="585"/>
      <c r="AB59" s="585"/>
      <c r="AC59" s="585"/>
      <c r="AD59" s="585"/>
      <c r="AE59" s="585"/>
      <c r="AF59" s="585"/>
      <c r="AG59" s="585"/>
      <c r="AH59" s="585"/>
      <c r="AI59" s="585"/>
      <c r="AJ59" s="585"/>
      <c r="AK59" s="585"/>
      <c r="AL59" s="585"/>
      <c r="AM59" s="585"/>
      <c r="AN59" s="585"/>
      <c r="AO59" s="585"/>
      <c r="AP59" s="585"/>
      <c r="AQ59" s="585"/>
      <c r="AR59" s="422" t="e">
        <f>BT58</f>
        <v>#REF!</v>
      </c>
      <c r="AS59" s="1430" t="e">
        <f>BT58</f>
        <v>#REF!</v>
      </c>
      <c r="AT59" s="1430"/>
      <c r="AU59" s="1430"/>
      <c r="AV59" s="1430"/>
      <c r="AW59" s="1430"/>
      <c r="AX59" s="1430"/>
      <c r="AY59" s="1430"/>
      <c r="AZ59" s="1430"/>
      <c r="BA59" s="1430"/>
      <c r="BB59" s="1430"/>
      <c r="BC59" s="585"/>
      <c r="BD59" s="1431" t="s">
        <v>446</v>
      </c>
      <c r="BE59" s="1431"/>
      <c r="BF59" s="585"/>
      <c r="BG59" s="1431">
        <v>21</v>
      </c>
      <c r="BH59" s="1431"/>
      <c r="BI59" s="1431"/>
      <c r="BJ59" s="1431"/>
      <c r="BK59" s="1431"/>
      <c r="BL59" s="585" t="s">
        <v>1112</v>
      </c>
      <c r="BM59" s="585"/>
      <c r="BN59" s="585"/>
      <c r="BO59" s="585"/>
      <c r="BP59" s="1431" t="s">
        <v>41</v>
      </c>
      <c r="BQ59" s="1431"/>
      <c r="BR59" s="585"/>
      <c r="BS59" s="585"/>
      <c r="BT59" s="1432" t="e">
        <f>INT(AS59*BG59/100)</f>
        <v>#REF!</v>
      </c>
      <c r="BU59" s="1432"/>
      <c r="BV59" s="1432"/>
      <c r="BW59" s="1432"/>
      <c r="BX59" s="1432"/>
      <c r="BY59" s="1432"/>
      <c r="BZ59" s="1432"/>
      <c r="CA59" s="1432"/>
      <c r="CB59" s="1432"/>
      <c r="CC59" s="1432"/>
      <c r="CD59" s="585"/>
      <c r="CE59" s="585"/>
      <c r="CF59" s="586"/>
    </row>
    <row r="60" spans="1:84" s="583" customFormat="1" ht="23.1" customHeight="1" thickBot="1">
      <c r="A60" s="584"/>
      <c r="B60" s="585"/>
      <c r="C60" s="585"/>
      <c r="D60" s="585"/>
      <c r="E60" s="585"/>
      <c r="F60" s="585"/>
      <c r="G60" s="585"/>
      <c r="H60" s="585"/>
      <c r="I60" s="585"/>
      <c r="J60" s="585"/>
      <c r="K60" s="585"/>
      <c r="L60" s="585"/>
      <c r="M60" s="585"/>
      <c r="N60" s="585"/>
      <c r="O60" s="585"/>
      <c r="P60" s="585"/>
      <c r="Q60" s="585"/>
      <c r="R60" s="585"/>
      <c r="S60" s="585"/>
      <c r="T60" s="585"/>
      <c r="U60" s="585"/>
      <c r="V60" s="585"/>
      <c r="W60" s="585"/>
      <c r="X60" s="585"/>
      <c r="Y60" s="585"/>
      <c r="Z60" s="585"/>
      <c r="AA60" s="585"/>
      <c r="AB60" s="585"/>
      <c r="AC60" s="585"/>
      <c r="AD60" s="585"/>
      <c r="AE60" s="585"/>
      <c r="AF60" s="585"/>
      <c r="AG60" s="585"/>
      <c r="AH60" s="585"/>
      <c r="AI60" s="585"/>
      <c r="AJ60" s="585"/>
      <c r="AK60" s="585"/>
      <c r="AL60" s="585"/>
      <c r="AM60" s="585"/>
      <c r="AN60" s="585"/>
      <c r="AO60" s="585"/>
      <c r="AP60" s="585"/>
      <c r="AQ60" s="585"/>
      <c r="AR60" s="585"/>
      <c r="AS60" s="585"/>
      <c r="AT60" s="585"/>
      <c r="AU60" s="585"/>
      <c r="AV60" s="585"/>
      <c r="AW60" s="585"/>
      <c r="AX60" s="585"/>
      <c r="AY60" s="585"/>
      <c r="AZ60" s="585"/>
      <c r="BA60" s="585"/>
      <c r="BB60" s="585"/>
      <c r="BC60" s="585"/>
      <c r="BD60" s="585"/>
      <c r="BE60" s="585"/>
      <c r="BF60" s="585"/>
      <c r="BG60" s="585"/>
      <c r="BH60" s="585"/>
      <c r="BI60" s="585"/>
      <c r="BJ60" s="585"/>
      <c r="BK60" s="585"/>
      <c r="BL60" s="585"/>
      <c r="BM60" s="585"/>
      <c r="BN60" s="585"/>
      <c r="BO60" s="585"/>
      <c r="BP60" s="1431" t="s">
        <v>41</v>
      </c>
      <c r="BQ60" s="1431"/>
      <c r="BR60" s="585"/>
      <c r="BS60" s="585"/>
      <c r="BT60" s="1433" t="e">
        <f>BT58+BT59</f>
        <v>#REF!</v>
      </c>
      <c r="BU60" s="1433"/>
      <c r="BV60" s="1433"/>
      <c r="BW60" s="1433"/>
      <c r="BX60" s="1433"/>
      <c r="BY60" s="1433"/>
      <c r="BZ60" s="1433"/>
      <c r="CA60" s="1433"/>
      <c r="CB60" s="1433"/>
      <c r="CC60" s="1433"/>
      <c r="CD60" s="585"/>
      <c r="CE60" s="585"/>
      <c r="CF60" s="586"/>
    </row>
    <row r="61" spans="1:84" s="583" customFormat="1" ht="23.1" customHeight="1" thickBot="1">
      <c r="A61" s="597"/>
      <c r="B61" s="598" t="s">
        <v>1113</v>
      </c>
      <c r="C61" s="598"/>
      <c r="D61" s="598"/>
      <c r="E61" s="598"/>
      <c r="F61" s="598"/>
      <c r="G61" s="598"/>
      <c r="H61" s="598"/>
      <c r="I61" s="598"/>
      <c r="J61" s="598"/>
      <c r="K61" s="598"/>
      <c r="L61" s="598"/>
      <c r="M61" s="598"/>
      <c r="N61" s="598"/>
      <c r="O61" s="598"/>
      <c r="P61" s="598"/>
      <c r="Q61" s="598"/>
      <c r="R61" s="598"/>
      <c r="S61" s="598"/>
      <c r="T61" s="598"/>
      <c r="U61" s="598"/>
      <c r="V61" s="598"/>
      <c r="W61" s="598"/>
      <c r="X61" s="598"/>
      <c r="Y61" s="598"/>
      <c r="Z61" s="598"/>
      <c r="AA61" s="598"/>
      <c r="AB61" s="598"/>
      <c r="AC61" s="598"/>
      <c r="AD61" s="598"/>
      <c r="AE61" s="598"/>
      <c r="AF61" s="598"/>
      <c r="AG61" s="598"/>
      <c r="AH61" s="598"/>
      <c r="AI61" s="598"/>
      <c r="AJ61" s="598"/>
      <c r="AK61" s="598"/>
      <c r="AL61" s="598"/>
      <c r="AM61" s="598"/>
      <c r="AN61" s="598"/>
      <c r="AO61" s="598"/>
      <c r="AP61" s="598"/>
      <c r="AQ61" s="598"/>
      <c r="AR61" s="598"/>
      <c r="AS61" s="598"/>
      <c r="AT61" s="598"/>
      <c r="AU61" s="598"/>
      <c r="AV61" s="598"/>
      <c r="AW61" s="598"/>
      <c r="AX61" s="598"/>
      <c r="AY61" s="598"/>
      <c r="AZ61" s="598"/>
      <c r="BA61" s="598"/>
      <c r="BB61" s="598"/>
      <c r="BC61" s="598"/>
      <c r="BD61" s="598"/>
      <c r="BE61" s="598"/>
      <c r="BF61" s="598"/>
      <c r="BG61" s="598"/>
      <c r="BH61" s="598"/>
      <c r="BI61" s="598"/>
      <c r="BJ61" s="598"/>
      <c r="BK61" s="598"/>
      <c r="BL61" s="598"/>
      <c r="BM61" s="598"/>
      <c r="BN61" s="598"/>
      <c r="BO61" s="598"/>
      <c r="BP61" s="598"/>
      <c r="BQ61" s="598"/>
      <c r="BR61" s="598"/>
      <c r="BS61" s="598"/>
      <c r="BT61" s="1429" t="e">
        <f>BT52+BT56+BT60</f>
        <v>#REF!</v>
      </c>
      <c r="BU61" s="1429"/>
      <c r="BV61" s="1429"/>
      <c r="BW61" s="1429"/>
      <c r="BX61" s="1429"/>
      <c r="BY61" s="1429"/>
      <c r="BZ61" s="1429"/>
      <c r="CA61" s="1429"/>
      <c r="CB61" s="1429"/>
      <c r="CC61" s="1429"/>
      <c r="CD61" s="598"/>
      <c r="CE61" s="598"/>
      <c r="CF61" s="599"/>
    </row>
    <row r="62" spans="1:84" s="583" customFormat="1" ht="9.9499999999999993" customHeight="1">
      <c r="A62" s="574"/>
      <c r="B62" s="574"/>
      <c r="C62" s="574"/>
      <c r="D62" s="574"/>
      <c r="E62" s="574"/>
      <c r="F62" s="574"/>
      <c r="G62" s="574"/>
      <c r="H62" s="574"/>
      <c r="I62" s="574"/>
      <c r="J62" s="574"/>
      <c r="K62" s="574"/>
      <c r="L62" s="574"/>
      <c r="M62" s="574"/>
      <c r="N62" s="574"/>
      <c r="O62" s="574"/>
      <c r="P62" s="574"/>
      <c r="Q62" s="574"/>
      <c r="R62" s="574"/>
      <c r="S62" s="574"/>
      <c r="T62" s="574"/>
      <c r="U62" s="574"/>
      <c r="V62" s="574"/>
      <c r="W62" s="574"/>
      <c r="X62" s="574"/>
      <c r="Y62" s="574"/>
      <c r="Z62" s="574"/>
      <c r="AA62" s="574"/>
      <c r="AB62" s="574"/>
      <c r="AC62" s="574"/>
      <c r="AD62" s="574"/>
      <c r="AE62" s="574"/>
      <c r="AF62" s="574"/>
      <c r="AG62" s="574"/>
      <c r="AH62" s="574"/>
      <c r="AI62" s="574"/>
      <c r="AJ62" s="574"/>
      <c r="AK62" s="574"/>
      <c r="AL62" s="574"/>
      <c r="AM62" s="574"/>
      <c r="AN62" s="574"/>
      <c r="AO62" s="574"/>
      <c r="AP62" s="574"/>
      <c r="AQ62" s="574"/>
      <c r="AR62" s="574"/>
      <c r="AS62" s="574"/>
      <c r="AT62" s="574"/>
      <c r="AU62" s="574"/>
      <c r="AV62" s="574"/>
      <c r="AW62" s="574"/>
      <c r="AX62" s="574"/>
      <c r="AY62" s="574"/>
      <c r="AZ62" s="574"/>
      <c r="BA62" s="574"/>
      <c r="BB62" s="574"/>
      <c r="BC62" s="574"/>
      <c r="BD62" s="574"/>
      <c r="BE62" s="574"/>
      <c r="BF62" s="574"/>
      <c r="BG62" s="574"/>
      <c r="BH62" s="574"/>
      <c r="BI62" s="574"/>
      <c r="BJ62" s="574"/>
      <c r="BK62" s="574"/>
      <c r="BL62" s="574"/>
      <c r="BM62" s="574"/>
      <c r="BN62" s="574"/>
      <c r="BO62" s="574"/>
      <c r="BP62" s="574"/>
      <c r="BQ62" s="574"/>
      <c r="BR62" s="574"/>
      <c r="BS62" s="574"/>
      <c r="BT62" s="574"/>
      <c r="BU62" s="574"/>
      <c r="BV62" s="574"/>
      <c r="BW62" s="574"/>
      <c r="BX62" s="574"/>
      <c r="BY62" s="574"/>
      <c r="BZ62" s="574"/>
      <c r="CA62" s="574"/>
      <c r="CB62" s="574"/>
      <c r="CC62" s="574"/>
      <c r="CD62" s="574"/>
      <c r="CE62" s="574"/>
      <c r="CF62" s="574"/>
    </row>
    <row r="63" spans="1:84" s="583" customFormat="1" ht="23.1" customHeight="1" thickBot="1">
      <c r="A63" s="1446" t="s">
        <v>1095</v>
      </c>
      <c r="B63" s="1446"/>
      <c r="C63" s="1446"/>
      <c r="D63" s="1446"/>
      <c r="E63" s="1446"/>
      <c r="F63" s="1446"/>
      <c r="G63" s="1447">
        <f>G48+1</f>
        <v>5</v>
      </c>
      <c r="H63" s="1447"/>
      <c r="I63" s="1447"/>
      <c r="J63" s="1448" t="s">
        <v>1096</v>
      </c>
      <c r="K63" s="1448"/>
      <c r="L63" s="574"/>
      <c r="M63" s="574"/>
      <c r="N63" s="574"/>
      <c r="O63" s="574"/>
      <c r="P63" s="574"/>
      <c r="Q63" s="574"/>
      <c r="R63" s="574"/>
      <c r="S63" s="574"/>
      <c r="T63" s="574"/>
      <c r="U63" s="574"/>
      <c r="V63" s="574"/>
      <c r="W63" s="574"/>
      <c r="X63" s="574"/>
      <c r="Y63" s="574"/>
      <c r="Z63" s="574"/>
      <c r="AA63" s="574"/>
      <c r="AB63" s="574"/>
      <c r="AC63" s="574"/>
      <c r="AD63" s="574"/>
      <c r="AE63" s="574"/>
      <c r="AF63" s="574"/>
      <c r="AG63" s="574"/>
      <c r="AH63" s="574"/>
      <c r="AI63" s="574"/>
      <c r="AJ63" s="574"/>
      <c r="AK63" s="574"/>
      <c r="AL63" s="574"/>
      <c r="AM63" s="574"/>
      <c r="AN63" s="574"/>
      <c r="AO63" s="574"/>
      <c r="AP63" s="574"/>
      <c r="AQ63" s="574"/>
      <c r="AR63" s="574"/>
      <c r="AS63" s="574"/>
      <c r="AT63" s="574"/>
      <c r="AU63" s="574"/>
      <c r="AV63" s="574"/>
      <c r="AW63" s="574"/>
      <c r="AX63" s="574"/>
      <c r="AY63" s="574"/>
      <c r="AZ63" s="574"/>
      <c r="BA63" s="574"/>
      <c r="BB63" s="574"/>
      <c r="BC63" s="574"/>
      <c r="BD63" s="574"/>
      <c r="BE63" s="574"/>
      <c r="BF63" s="574"/>
      <c r="BG63" s="574"/>
      <c r="BH63" s="574"/>
      <c r="BI63" s="574"/>
      <c r="BJ63" s="574"/>
      <c r="BK63" s="574"/>
      <c r="BL63" s="574"/>
      <c r="BM63" s="574"/>
      <c r="BN63" s="574"/>
      <c r="BO63" s="574"/>
      <c r="BP63" s="574"/>
      <c r="BQ63" s="574"/>
      <c r="BR63" s="574"/>
      <c r="BS63" s="574"/>
      <c r="BT63" s="574"/>
      <c r="BU63" s="574"/>
      <c r="BV63" s="574"/>
      <c r="BW63" s="574"/>
      <c r="BX63" s="574"/>
      <c r="BY63" s="574"/>
      <c r="BZ63" s="574"/>
      <c r="CA63" s="574"/>
      <c r="CB63" s="574"/>
      <c r="CC63" s="574"/>
      <c r="CD63" s="574"/>
      <c r="CE63" s="574"/>
      <c r="CF63" s="574"/>
    </row>
    <row r="64" spans="1:84" s="603" customFormat="1" ht="23.1" customHeight="1" thickBot="1">
      <c r="A64" s="1438" t="s">
        <v>1097</v>
      </c>
      <c r="B64" s="1439"/>
      <c r="C64" s="1439"/>
      <c r="D64" s="1439"/>
      <c r="E64" s="1439"/>
      <c r="F64" s="1439"/>
      <c r="G64" s="1439"/>
      <c r="H64" s="1439"/>
      <c r="I64" s="601" t="s">
        <v>277</v>
      </c>
      <c r="J64" s="601"/>
      <c r="K64" s="601"/>
      <c r="L64" s="601"/>
      <c r="M64" s="601"/>
      <c r="N64" s="601"/>
      <c r="O64" s="601"/>
      <c r="P64" s="601"/>
      <c r="Q64" s="601"/>
      <c r="R64" s="601"/>
      <c r="S64" s="601"/>
      <c r="T64" s="601"/>
      <c r="U64" s="601"/>
      <c r="V64" s="601"/>
      <c r="W64" s="601"/>
      <c r="X64" s="601"/>
      <c r="Y64" s="601"/>
      <c r="Z64" s="601"/>
      <c r="AA64" s="601"/>
      <c r="AB64" s="601"/>
      <c r="AC64" s="601"/>
      <c r="AD64" s="601"/>
      <c r="AE64" s="601"/>
      <c r="AF64" s="601"/>
      <c r="AG64" s="601"/>
      <c r="AH64" s="601"/>
      <c r="AI64" s="601"/>
      <c r="AJ64" s="1439" t="s">
        <v>1099</v>
      </c>
      <c r="AK64" s="1439"/>
      <c r="AL64" s="1439"/>
      <c r="AM64" s="1439"/>
      <c r="AN64" s="1439"/>
      <c r="AO64" s="1439"/>
      <c r="AP64" s="1439"/>
      <c r="AQ64" s="601" t="s">
        <v>395</v>
      </c>
      <c r="AR64" s="601"/>
      <c r="AS64" s="601"/>
      <c r="AT64" s="601"/>
      <c r="AU64" s="601"/>
      <c r="AV64" s="601"/>
      <c r="AW64" s="601"/>
      <c r="AX64" s="601"/>
      <c r="AY64" s="601"/>
      <c r="AZ64" s="601"/>
      <c r="BA64" s="601"/>
      <c r="BB64" s="601"/>
      <c r="BC64" s="601"/>
      <c r="BD64" s="601"/>
      <c r="BE64" s="601"/>
      <c r="BF64" s="601"/>
      <c r="BG64" s="601"/>
      <c r="BH64" s="601"/>
      <c r="BI64" s="601"/>
      <c r="BJ64" s="601"/>
      <c r="BK64" s="601"/>
      <c r="BL64" s="601"/>
      <c r="BM64" s="601"/>
      <c r="BN64" s="601"/>
      <c r="BO64" s="601"/>
      <c r="BP64" s="601"/>
      <c r="BQ64" s="601"/>
      <c r="BR64" s="601"/>
      <c r="BS64" s="601"/>
      <c r="BT64" s="601" t="s">
        <v>1120</v>
      </c>
      <c r="BU64" s="601"/>
      <c r="BV64" s="601"/>
      <c r="BW64" s="601"/>
      <c r="BX64" s="601"/>
      <c r="BY64" s="601"/>
      <c r="BZ64" s="601"/>
      <c r="CA64" s="601"/>
      <c r="CB64" s="601"/>
      <c r="CC64" s="601"/>
      <c r="CD64" s="601"/>
      <c r="CE64" s="601"/>
      <c r="CF64" s="602"/>
    </row>
    <row r="65" spans="1:84" s="583" customFormat="1" ht="23.1" customHeight="1">
      <c r="A65" s="584"/>
      <c r="B65" s="585" t="s">
        <v>1102</v>
      </c>
      <c r="C65" s="585"/>
      <c r="D65" s="585"/>
      <c r="E65" s="585"/>
      <c r="F65" s="585"/>
      <c r="G65" s="585"/>
      <c r="H65" s="585"/>
      <c r="I65" s="585"/>
      <c r="J65" s="585"/>
      <c r="K65" s="585"/>
      <c r="L65" s="585"/>
      <c r="M65" s="585"/>
      <c r="N65" s="585"/>
      <c r="O65" s="585"/>
      <c r="P65" s="585"/>
      <c r="Q65" s="585"/>
      <c r="R65" s="585"/>
      <c r="S65" s="585"/>
      <c r="T65" s="585"/>
      <c r="U65" s="585"/>
      <c r="V65" s="585"/>
      <c r="W65" s="585"/>
      <c r="X65" s="585"/>
      <c r="Y65" s="585"/>
      <c r="Z65" s="585"/>
      <c r="AA65" s="585"/>
      <c r="AB65" s="585"/>
      <c r="AC65" s="585"/>
      <c r="AD65" s="585"/>
      <c r="AE65" s="585"/>
      <c r="AF65" s="585"/>
      <c r="AG65" s="585"/>
      <c r="AH65" s="585"/>
      <c r="AI65" s="585"/>
      <c r="AJ65" s="585"/>
      <c r="AK65" s="585"/>
      <c r="AL65" s="585"/>
      <c r="AM65" s="585"/>
      <c r="AN65" s="585"/>
      <c r="AO65" s="585"/>
      <c r="AP65" s="585"/>
      <c r="AQ65" s="585"/>
      <c r="AR65" s="585"/>
      <c r="AS65" s="585"/>
      <c r="AT65" s="585"/>
      <c r="AU65" s="585"/>
      <c r="AV65" s="585"/>
      <c r="AW65" s="585"/>
      <c r="AX65" s="585"/>
      <c r="AY65" s="585"/>
      <c r="AZ65" s="585"/>
      <c r="BA65" s="585"/>
      <c r="BB65" s="585"/>
      <c r="BC65" s="585"/>
      <c r="BD65" s="585"/>
      <c r="BE65" s="585"/>
      <c r="BF65" s="585"/>
      <c r="BG65" s="585"/>
      <c r="BH65" s="585"/>
      <c r="BI65" s="585"/>
      <c r="BJ65" s="585"/>
      <c r="BK65" s="585"/>
      <c r="BL65" s="585"/>
      <c r="BM65" s="585"/>
      <c r="BN65" s="585"/>
      <c r="BO65" s="585"/>
      <c r="BP65" s="585"/>
      <c r="BQ65" s="585"/>
      <c r="BR65" s="585"/>
      <c r="BS65" s="585"/>
      <c r="BT65" s="585"/>
      <c r="BU65" s="585"/>
      <c r="BV65" s="585"/>
      <c r="BW65" s="585"/>
      <c r="BX65" s="585"/>
      <c r="BY65" s="585"/>
      <c r="BZ65" s="585"/>
      <c r="CA65" s="585"/>
      <c r="CB65" s="585"/>
      <c r="CC65" s="585"/>
      <c r="CD65" s="585"/>
      <c r="CE65" s="585"/>
      <c r="CF65" s="586"/>
    </row>
    <row r="66" spans="1:84" s="583" customFormat="1" ht="23.1" customHeight="1">
      <c r="A66" s="587"/>
      <c r="B66" s="574"/>
      <c r="C66" s="574"/>
      <c r="D66" s="405"/>
      <c r="E66" s="574"/>
      <c r="F66" s="422"/>
      <c r="G66" s="422"/>
      <c r="H66" s="422"/>
      <c r="I66" s="422"/>
      <c r="J66" s="422"/>
      <c r="K66" s="422"/>
      <c r="L66" s="422"/>
      <c r="M66" s="422"/>
      <c r="N66" s="574"/>
      <c r="O66" s="574"/>
      <c r="P66" s="574"/>
      <c r="Q66" s="574"/>
      <c r="R66" s="574"/>
      <c r="S66" s="588"/>
      <c r="T66" s="588"/>
      <c r="U66" s="588"/>
      <c r="V66" s="588"/>
      <c r="W66" s="588"/>
      <c r="X66" s="588"/>
      <c r="Y66" s="588"/>
      <c r="Z66" s="588"/>
      <c r="AA66" s="574"/>
      <c r="AB66" s="588"/>
      <c r="AC66" s="585"/>
      <c r="AD66" s="585"/>
      <c r="AE66" s="600"/>
      <c r="AF66" s="600"/>
      <c r="AG66" s="600"/>
      <c r="AH66" s="600"/>
      <c r="AI66" s="600"/>
      <c r="AJ66" s="600"/>
      <c r="AK66" s="600"/>
      <c r="AL66" s="600"/>
      <c r="AM66" s="585"/>
      <c r="AN66" s="585"/>
      <c r="AO66" s="574"/>
      <c r="AP66" s="430"/>
      <c r="AQ66" s="430"/>
      <c r="AR66" s="430"/>
      <c r="AS66" s="430"/>
      <c r="AT66" s="430"/>
      <c r="AU66" s="430"/>
      <c r="AV66" s="430"/>
      <c r="AW66" s="430"/>
      <c r="AX66" s="430"/>
      <c r="AY66" s="430"/>
      <c r="AZ66" s="430"/>
      <c r="BA66" s="430"/>
      <c r="BB66" s="430"/>
      <c r="BC66" s="430"/>
      <c r="BD66" s="574"/>
      <c r="BE66" s="574"/>
      <c r="BF66" s="574"/>
      <c r="BG66" s="574"/>
      <c r="BH66" s="574"/>
      <c r="BI66" s="574"/>
      <c r="BJ66" s="574"/>
      <c r="BK66" s="574"/>
      <c r="BL66" s="574"/>
      <c r="BM66" s="574"/>
      <c r="BN66" s="574"/>
      <c r="BO66" s="574"/>
      <c r="BP66" s="574"/>
      <c r="BQ66" s="574"/>
      <c r="BR66" s="574"/>
      <c r="BS66" s="574"/>
      <c r="BT66" s="574"/>
      <c r="BU66" s="574"/>
      <c r="BV66" s="574"/>
      <c r="BW66" s="574"/>
      <c r="BX66" s="574"/>
      <c r="BY66" s="574"/>
      <c r="BZ66" s="574"/>
      <c r="CA66" s="574"/>
      <c r="CB66" s="574"/>
      <c r="CC66" s="574"/>
      <c r="CD66" s="574"/>
      <c r="CE66" s="574"/>
      <c r="CF66" s="589"/>
    </row>
    <row r="67" spans="1:84" s="583" customFormat="1" ht="23.1" customHeight="1">
      <c r="A67" s="584"/>
      <c r="B67" s="585"/>
      <c r="C67" s="585"/>
      <c r="D67" s="585"/>
      <c r="E67" s="585"/>
      <c r="F67" s="585"/>
      <c r="G67" s="585"/>
      <c r="H67" s="585"/>
      <c r="I67" s="585"/>
      <c r="J67" s="585"/>
      <c r="K67" s="585"/>
      <c r="L67" s="585"/>
      <c r="M67" s="585"/>
      <c r="N67" s="585"/>
      <c r="O67" s="585"/>
      <c r="P67" s="585"/>
      <c r="Q67" s="585"/>
      <c r="R67" s="585"/>
      <c r="S67" s="585"/>
      <c r="T67" s="585"/>
      <c r="U67" s="585"/>
      <c r="V67" s="590"/>
      <c r="W67" s="590"/>
      <c r="X67" s="590"/>
      <c r="Y67" s="590"/>
      <c r="Z67" s="590"/>
      <c r="AA67" s="590"/>
      <c r="AB67" s="590"/>
      <c r="AC67" s="590"/>
      <c r="AD67" s="574"/>
      <c r="AE67" s="1440">
        <v>66538000</v>
      </c>
      <c r="AF67" s="1440"/>
      <c r="AG67" s="1440"/>
      <c r="AH67" s="1440"/>
      <c r="AI67" s="1440"/>
      <c r="AJ67" s="1440"/>
      <c r="AK67" s="1440"/>
      <c r="AL67" s="1440"/>
      <c r="AM67" s="1440"/>
      <c r="AN67" s="1440"/>
      <c r="AO67" s="1440"/>
      <c r="AP67" s="1440"/>
      <c r="AQ67" s="1440"/>
      <c r="AR67" s="1440"/>
      <c r="AS67" s="1440"/>
      <c r="AT67" s="1431" t="s">
        <v>446</v>
      </c>
      <c r="AU67" s="1431"/>
      <c r="AV67" s="1441" t="s">
        <v>1103</v>
      </c>
      <c r="AW67" s="1441"/>
      <c r="AX67" s="1442">
        <v>2085</v>
      </c>
      <c r="AY67" s="1442"/>
      <c r="AZ67" s="1442"/>
      <c r="BA67" s="1442"/>
      <c r="BB67" s="1442"/>
      <c r="BC67" s="1442"/>
      <c r="BD67" s="585"/>
      <c r="BE67" s="1431" t="s">
        <v>446</v>
      </c>
      <c r="BF67" s="1431"/>
      <c r="BG67" s="585"/>
      <c r="BH67" s="591" t="s">
        <v>1104</v>
      </c>
      <c r="BI67" s="585"/>
      <c r="BJ67" s="585"/>
      <c r="BK67" s="585"/>
      <c r="BL67" s="1431" t="s">
        <v>1105</v>
      </c>
      <c r="BM67" s="1431"/>
      <c r="BN67" s="1431"/>
      <c r="BO67" s="585"/>
      <c r="BP67" s="1431" t="s">
        <v>41</v>
      </c>
      <c r="BQ67" s="1431"/>
      <c r="BR67" s="585"/>
      <c r="BS67" s="585"/>
      <c r="BT67" s="1437">
        <f>INT(AE67*AX67*10^-7)</f>
        <v>13873</v>
      </c>
      <c r="BU67" s="1437"/>
      <c r="BV67" s="1437"/>
      <c r="BW67" s="1437"/>
      <c r="BX67" s="1437"/>
      <c r="BY67" s="1437"/>
      <c r="BZ67" s="1437"/>
      <c r="CA67" s="1437"/>
      <c r="CB67" s="1437"/>
      <c r="CC67" s="1437"/>
      <c r="CD67" s="585"/>
      <c r="CE67" s="585"/>
      <c r="CF67" s="586"/>
    </row>
    <row r="68" spans="1:84" s="583" customFormat="1" ht="23.1" customHeight="1">
      <c r="A68" s="592"/>
      <c r="B68" s="593" t="s">
        <v>1106</v>
      </c>
      <c r="C68" s="593"/>
      <c r="D68" s="593"/>
      <c r="E68" s="593"/>
      <c r="F68" s="593"/>
      <c r="G68" s="593"/>
      <c r="H68" s="593"/>
      <c r="I68" s="593"/>
      <c r="J68" s="593"/>
      <c r="K68" s="593"/>
      <c r="L68" s="593"/>
      <c r="M68" s="593"/>
      <c r="N68" s="593"/>
      <c r="O68" s="593"/>
      <c r="P68" s="593"/>
      <c r="Q68" s="593"/>
      <c r="R68" s="593"/>
      <c r="S68" s="593"/>
      <c r="T68" s="593"/>
      <c r="U68" s="593"/>
      <c r="V68" s="593"/>
      <c r="W68" s="593"/>
      <c r="X68" s="593"/>
      <c r="Y68" s="593"/>
      <c r="Z68" s="593"/>
      <c r="AA68" s="593"/>
      <c r="AB68" s="593"/>
      <c r="AC68" s="593"/>
      <c r="AD68" s="593"/>
      <c r="AE68" s="593"/>
      <c r="AF68" s="593"/>
      <c r="AG68" s="593"/>
      <c r="AH68" s="593"/>
      <c r="AI68" s="593"/>
      <c r="AJ68" s="593"/>
      <c r="AK68" s="593"/>
      <c r="AL68" s="593"/>
      <c r="AM68" s="593"/>
      <c r="AN68" s="593"/>
      <c r="AO68" s="593"/>
      <c r="AP68" s="593"/>
      <c r="AQ68" s="593"/>
      <c r="AR68" s="593"/>
      <c r="AS68" s="593"/>
      <c r="AT68" s="593"/>
      <c r="AU68" s="593"/>
      <c r="AV68" s="593"/>
      <c r="AW68" s="593"/>
      <c r="AX68" s="593"/>
      <c r="AY68" s="593"/>
      <c r="AZ68" s="593"/>
      <c r="BA68" s="593"/>
      <c r="BB68" s="593"/>
      <c r="BC68" s="593"/>
      <c r="BD68" s="593"/>
      <c r="BE68" s="593"/>
      <c r="BF68" s="593"/>
      <c r="BG68" s="593"/>
      <c r="BH68" s="593"/>
      <c r="BI68" s="593"/>
      <c r="BJ68" s="593"/>
      <c r="BK68" s="593"/>
      <c r="BL68" s="593"/>
      <c r="BM68" s="593"/>
      <c r="BN68" s="593"/>
      <c r="BO68" s="593"/>
      <c r="BP68" s="593"/>
      <c r="BQ68" s="593"/>
      <c r="BR68" s="593"/>
      <c r="BS68" s="593"/>
      <c r="BT68" s="594"/>
      <c r="BU68" s="594"/>
      <c r="BV68" s="594"/>
      <c r="BW68" s="594"/>
      <c r="BX68" s="594"/>
      <c r="BY68" s="594"/>
      <c r="BZ68" s="594"/>
      <c r="CA68" s="594"/>
      <c r="CB68" s="594"/>
      <c r="CC68" s="594"/>
      <c r="CD68" s="593"/>
      <c r="CE68" s="593"/>
      <c r="CF68" s="595"/>
    </row>
    <row r="69" spans="1:84" s="583" customFormat="1" ht="23.1" customHeight="1">
      <c r="A69" s="584"/>
      <c r="B69" s="585"/>
      <c r="C69" s="585"/>
      <c r="D69" s="596" t="s">
        <v>268</v>
      </c>
      <c r="E69" s="585"/>
      <c r="F69" s="585"/>
      <c r="G69" s="585"/>
      <c r="H69" s="585"/>
      <c r="I69" s="585"/>
      <c r="J69" s="585"/>
      <c r="K69" s="585"/>
      <c r="L69" s="585"/>
      <c r="M69" s="585"/>
      <c r="N69" s="585"/>
      <c r="O69" s="585"/>
      <c r="P69" s="585"/>
      <c r="Q69" s="585"/>
      <c r="R69" s="585"/>
      <c r="S69" s="585"/>
      <c r="T69" s="574"/>
      <c r="U69" s="574"/>
      <c r="V69" s="1435">
        <f>HLOOKUP(D69,$CJ$1:$CM$3,3,0)</f>
        <v>283297</v>
      </c>
      <c r="W69" s="1435"/>
      <c r="X69" s="1435"/>
      <c r="Y69" s="1435"/>
      <c r="Z69" s="1435"/>
      <c r="AA69" s="1435"/>
      <c r="AB69" s="1435"/>
      <c r="AC69" s="1435"/>
      <c r="AD69" s="1435"/>
      <c r="AE69" s="1435"/>
      <c r="AF69" s="1431" t="s">
        <v>446</v>
      </c>
      <c r="AG69" s="1431"/>
      <c r="AH69" s="574"/>
      <c r="AI69" s="1436" t="s">
        <v>1107</v>
      </c>
      <c r="AJ69" s="1436"/>
      <c r="AK69" s="1436"/>
      <c r="AL69" s="1436"/>
      <c r="AM69" s="585"/>
      <c r="AN69" s="1431" t="s">
        <v>446</v>
      </c>
      <c r="AO69" s="1431"/>
      <c r="AP69" s="585"/>
      <c r="AQ69" s="1436" t="s">
        <v>1108</v>
      </c>
      <c r="AR69" s="1436"/>
      <c r="AS69" s="1436"/>
      <c r="AT69" s="1436"/>
      <c r="AU69" s="1436"/>
      <c r="AV69" s="422"/>
      <c r="AW69" s="1431" t="s">
        <v>446</v>
      </c>
      <c r="AX69" s="1431"/>
      <c r="AY69" s="440"/>
      <c r="AZ69" s="1436" t="s">
        <v>1109</v>
      </c>
      <c r="BA69" s="1436"/>
      <c r="BB69" s="1436"/>
      <c r="BC69" s="1436"/>
      <c r="BD69" s="1436"/>
      <c r="BE69" s="585"/>
      <c r="BF69" s="1431" t="s">
        <v>446</v>
      </c>
      <c r="BG69" s="1431"/>
      <c r="BH69" s="1431">
        <v>1</v>
      </c>
      <c r="BI69" s="1431"/>
      <c r="BJ69" s="1431"/>
      <c r="BK69" s="585"/>
      <c r="BL69" s="585" t="s">
        <v>366</v>
      </c>
      <c r="BM69" s="585"/>
      <c r="BN69" s="585"/>
      <c r="BO69" s="585"/>
      <c r="BP69" s="1431" t="s">
        <v>41</v>
      </c>
      <c r="BQ69" s="1431"/>
      <c r="BR69" s="585"/>
      <c r="BS69" s="585"/>
      <c r="BT69" s="1432">
        <f>INT(V69/8*16/12*25/20*BH69)</f>
        <v>59020</v>
      </c>
      <c r="BU69" s="1432"/>
      <c r="BV69" s="1432"/>
      <c r="BW69" s="1432"/>
      <c r="BX69" s="1432"/>
      <c r="BY69" s="1432"/>
      <c r="BZ69" s="1432"/>
      <c r="CA69" s="1432"/>
      <c r="CB69" s="1432"/>
      <c r="CC69" s="1432"/>
      <c r="CD69" s="585"/>
      <c r="CE69" s="585"/>
      <c r="CF69" s="586"/>
    </row>
    <row r="70" spans="1:84" s="583" customFormat="1" ht="23.1" customHeight="1">
      <c r="A70" s="584"/>
      <c r="B70" s="585"/>
      <c r="C70" s="585"/>
      <c r="D70" s="585"/>
      <c r="E70" s="585"/>
      <c r="F70" s="585"/>
      <c r="G70" s="585"/>
      <c r="H70" s="585"/>
      <c r="I70" s="585"/>
      <c r="J70" s="585"/>
      <c r="K70" s="585"/>
      <c r="L70" s="585"/>
      <c r="M70" s="585"/>
      <c r="N70" s="585"/>
      <c r="O70" s="585"/>
      <c r="P70" s="574"/>
      <c r="Q70" s="574"/>
      <c r="R70" s="574"/>
      <c r="S70" s="574"/>
      <c r="T70" s="574"/>
      <c r="U70" s="574"/>
      <c r="V70" s="574"/>
      <c r="W70" s="574"/>
      <c r="X70" s="574"/>
      <c r="Y70" s="574"/>
      <c r="Z70" s="574"/>
      <c r="AA70" s="574"/>
      <c r="AB70" s="574"/>
      <c r="AC70" s="574"/>
      <c r="AD70" s="574"/>
      <c r="AE70" s="574"/>
      <c r="AF70" s="574"/>
      <c r="AG70" s="574"/>
      <c r="AH70" s="574"/>
      <c r="AI70" s="574"/>
      <c r="AJ70" s="574"/>
      <c r="AK70" s="574"/>
      <c r="AL70" s="574"/>
      <c r="AM70" s="574"/>
      <c r="AN70" s="574"/>
      <c r="AO70" s="574"/>
      <c r="AP70" s="574"/>
      <c r="AQ70" s="574"/>
      <c r="AR70" s="574"/>
      <c r="AS70" s="574"/>
      <c r="AT70" s="574"/>
      <c r="AU70" s="574"/>
      <c r="AV70" s="574"/>
      <c r="AW70" s="574"/>
      <c r="AX70" s="574"/>
      <c r="AY70" s="574"/>
      <c r="AZ70" s="574"/>
      <c r="BA70" s="574"/>
      <c r="BB70" s="574"/>
      <c r="BC70" s="574"/>
      <c r="BD70" s="574"/>
      <c r="BE70" s="574"/>
      <c r="BF70" s="574"/>
      <c r="BG70" s="585"/>
      <c r="BH70" s="585"/>
      <c r="BI70" s="585"/>
      <c r="BJ70" s="585"/>
      <c r="BK70" s="585"/>
      <c r="BL70" s="585"/>
      <c r="BM70" s="585"/>
      <c r="BN70" s="585"/>
      <c r="BO70" s="585"/>
      <c r="BP70" s="1431"/>
      <c r="BQ70" s="1431"/>
      <c r="BR70" s="585"/>
      <c r="BS70" s="585"/>
      <c r="BT70" s="1432"/>
      <c r="BU70" s="1432"/>
      <c r="BV70" s="1432"/>
      <c r="BW70" s="1432"/>
      <c r="BX70" s="1432"/>
      <c r="BY70" s="1432"/>
      <c r="BZ70" s="1432"/>
      <c r="CA70" s="1432"/>
      <c r="CB70" s="1432"/>
      <c r="CC70" s="1432"/>
      <c r="CD70" s="585"/>
      <c r="CE70" s="585"/>
      <c r="CF70" s="586"/>
    </row>
    <row r="71" spans="1:84" s="583" customFormat="1" ht="23.1" customHeight="1">
      <c r="A71" s="584"/>
      <c r="B71" s="585"/>
      <c r="C71" s="585"/>
      <c r="D71" s="585"/>
      <c r="E71" s="585"/>
      <c r="F71" s="585"/>
      <c r="G71" s="585"/>
      <c r="H71" s="585"/>
      <c r="I71" s="585"/>
      <c r="J71" s="585"/>
      <c r="K71" s="585"/>
      <c r="L71" s="585"/>
      <c r="M71" s="585"/>
      <c r="N71" s="585"/>
      <c r="O71" s="585"/>
      <c r="P71" s="585"/>
      <c r="Q71" s="585"/>
      <c r="R71" s="585"/>
      <c r="S71" s="585"/>
      <c r="T71" s="585"/>
      <c r="U71" s="585"/>
      <c r="V71" s="585"/>
      <c r="W71" s="585"/>
      <c r="X71" s="585"/>
      <c r="Y71" s="585"/>
      <c r="Z71" s="585"/>
      <c r="AA71" s="585"/>
      <c r="AB71" s="585"/>
      <c r="AC71" s="585"/>
      <c r="AD71" s="574"/>
      <c r="AE71" s="574"/>
      <c r="AF71" s="574"/>
      <c r="AG71" s="574"/>
      <c r="AH71" s="574"/>
      <c r="AI71" s="574"/>
      <c r="AJ71" s="574"/>
      <c r="AK71" s="574"/>
      <c r="AL71" s="574"/>
      <c r="AM71" s="574"/>
      <c r="AN71" s="574"/>
      <c r="AO71" s="574"/>
      <c r="AP71" s="574"/>
      <c r="AQ71" s="574"/>
      <c r="AR71" s="574"/>
      <c r="AS71" s="585"/>
      <c r="AT71" s="590"/>
      <c r="AU71" s="590"/>
      <c r="AV71" s="585"/>
      <c r="AW71" s="585"/>
      <c r="AX71" s="585"/>
      <c r="AY71" s="585"/>
      <c r="AZ71" s="585"/>
      <c r="BA71" s="585"/>
      <c r="BB71" s="585"/>
      <c r="BC71" s="585"/>
      <c r="BD71" s="585"/>
      <c r="BE71" s="585"/>
      <c r="BF71" s="585"/>
      <c r="BG71" s="585"/>
      <c r="BH71" s="585"/>
      <c r="BI71" s="585"/>
      <c r="BJ71" s="585"/>
      <c r="BK71" s="585"/>
      <c r="BL71" s="585"/>
      <c r="BM71" s="585"/>
      <c r="BN71" s="585"/>
      <c r="BO71" s="585"/>
      <c r="BP71" s="1431" t="s">
        <v>41</v>
      </c>
      <c r="BQ71" s="1431"/>
      <c r="BR71" s="585"/>
      <c r="BS71" s="585"/>
      <c r="BT71" s="1434">
        <f>BT69+BT70</f>
        <v>59020</v>
      </c>
      <c r="BU71" s="1434"/>
      <c r="BV71" s="1434"/>
      <c r="BW71" s="1434"/>
      <c r="BX71" s="1434"/>
      <c r="BY71" s="1434"/>
      <c r="BZ71" s="1434"/>
      <c r="CA71" s="1434"/>
      <c r="CB71" s="1434"/>
      <c r="CC71" s="1434"/>
      <c r="CD71" s="585"/>
      <c r="CE71" s="585"/>
      <c r="CF71" s="586"/>
    </row>
    <row r="72" spans="1:84" s="583" customFormat="1" ht="23.1" customHeight="1">
      <c r="A72" s="592"/>
      <c r="B72" s="593" t="s">
        <v>1110</v>
      </c>
      <c r="C72" s="593"/>
      <c r="D72" s="593"/>
      <c r="E72" s="593"/>
      <c r="F72" s="593"/>
      <c r="G72" s="593"/>
      <c r="H72" s="593"/>
      <c r="I72" s="593"/>
      <c r="J72" s="593"/>
      <c r="K72" s="593"/>
      <c r="L72" s="593"/>
      <c r="M72" s="593"/>
      <c r="N72" s="593"/>
      <c r="O72" s="593"/>
      <c r="P72" s="593"/>
      <c r="Q72" s="593"/>
      <c r="R72" s="593"/>
      <c r="S72" s="593"/>
      <c r="T72" s="593"/>
      <c r="U72" s="593"/>
      <c r="V72" s="593"/>
      <c r="W72" s="593"/>
      <c r="X72" s="593"/>
      <c r="Y72" s="593"/>
      <c r="Z72" s="593"/>
      <c r="AA72" s="593"/>
      <c r="AB72" s="593"/>
      <c r="AC72" s="593"/>
      <c r="AD72" s="593"/>
      <c r="AE72" s="593"/>
      <c r="AF72" s="593"/>
      <c r="AG72" s="593"/>
      <c r="AH72" s="593"/>
      <c r="AI72" s="593"/>
      <c r="AJ72" s="593"/>
      <c r="AK72" s="593"/>
      <c r="AL72" s="593"/>
      <c r="AM72" s="593"/>
      <c r="AN72" s="593"/>
      <c r="AO72" s="593"/>
      <c r="AP72" s="593"/>
      <c r="AQ72" s="593"/>
      <c r="AR72" s="593"/>
      <c r="AS72" s="593"/>
      <c r="AT72" s="593"/>
      <c r="AU72" s="593"/>
      <c r="AV72" s="593"/>
      <c r="AW72" s="593"/>
      <c r="AX72" s="593"/>
      <c r="AY72" s="593"/>
      <c r="AZ72" s="593"/>
      <c r="BA72" s="593"/>
      <c r="BB72" s="593"/>
      <c r="BC72" s="593"/>
      <c r="BD72" s="593"/>
      <c r="BE72" s="593"/>
      <c r="BF72" s="593"/>
      <c r="BG72" s="593"/>
      <c r="BH72" s="593"/>
      <c r="BI72" s="593"/>
      <c r="BJ72" s="593"/>
      <c r="BK72" s="593"/>
      <c r="BL72" s="593"/>
      <c r="BM72" s="593"/>
      <c r="BN72" s="593"/>
      <c r="BO72" s="593"/>
      <c r="BP72" s="593"/>
      <c r="BQ72" s="593"/>
      <c r="BR72" s="593"/>
      <c r="BS72" s="593"/>
      <c r="BT72" s="593"/>
      <c r="BU72" s="593"/>
      <c r="BV72" s="593"/>
      <c r="BW72" s="593"/>
      <c r="BX72" s="593"/>
      <c r="BY72" s="593"/>
      <c r="BZ72" s="593"/>
      <c r="CA72" s="593"/>
      <c r="CB72" s="593"/>
      <c r="CC72" s="593"/>
      <c r="CD72" s="593"/>
      <c r="CE72" s="593"/>
      <c r="CF72" s="595"/>
    </row>
    <row r="73" spans="1:84" s="583" customFormat="1" ht="23.1" customHeight="1">
      <c r="A73" s="584"/>
      <c r="B73" s="585"/>
      <c r="C73" s="585"/>
      <c r="D73" s="596" t="s">
        <v>1094</v>
      </c>
      <c r="E73" s="585"/>
      <c r="F73" s="585"/>
      <c r="G73" s="585"/>
      <c r="H73" s="585"/>
      <c r="I73" s="585"/>
      <c r="J73" s="585"/>
      <c r="K73" s="585"/>
      <c r="L73" s="585"/>
      <c r="M73" s="585"/>
      <c r="N73" s="585"/>
      <c r="O73" s="585"/>
      <c r="P73" s="585"/>
      <c r="Q73" s="585"/>
      <c r="R73" s="585"/>
      <c r="S73" s="585"/>
      <c r="T73" s="585"/>
      <c r="U73" s="585"/>
      <c r="V73" s="585"/>
      <c r="W73" s="585"/>
      <c r="X73" s="585"/>
      <c r="Y73" s="585"/>
      <c r="Z73" s="585"/>
      <c r="AA73" s="585"/>
      <c r="AB73" s="585"/>
      <c r="AC73" s="585"/>
      <c r="AD73" s="585"/>
      <c r="AE73" s="585"/>
      <c r="AF73" s="585"/>
      <c r="AG73" s="585"/>
      <c r="AH73" s="585"/>
      <c r="AI73" s="585"/>
      <c r="AJ73" s="585"/>
      <c r="AK73" s="585"/>
      <c r="AL73" s="585"/>
      <c r="AM73" s="585"/>
      <c r="AN73" s="585"/>
      <c r="AO73" s="585"/>
      <c r="AP73" s="585"/>
      <c r="AQ73" s="585"/>
      <c r="AR73" s="422"/>
      <c r="AS73" s="1435" t="e">
        <f>HLOOKUP(D73,$CN$1:$CO$3,3,0)</f>
        <v>#REF!</v>
      </c>
      <c r="AT73" s="1435"/>
      <c r="AU73" s="1435"/>
      <c r="AV73" s="1435"/>
      <c r="AW73" s="1435"/>
      <c r="AX73" s="1435"/>
      <c r="AY73" s="1435"/>
      <c r="AZ73" s="1435"/>
      <c r="BA73" s="1435"/>
      <c r="BB73" s="1435"/>
      <c r="BC73" s="585"/>
      <c r="BD73" s="1431" t="s">
        <v>446</v>
      </c>
      <c r="BE73" s="1431"/>
      <c r="BF73" s="585"/>
      <c r="BG73" s="1431">
        <v>5</v>
      </c>
      <c r="BH73" s="1431"/>
      <c r="BI73" s="1431"/>
      <c r="BJ73" s="1431"/>
      <c r="BK73" s="1431"/>
      <c r="BL73" s="585" t="s">
        <v>1111</v>
      </c>
      <c r="BM73" s="585"/>
      <c r="BN73" s="585"/>
      <c r="BO73" s="585"/>
      <c r="BP73" s="1431" t="s">
        <v>41</v>
      </c>
      <c r="BQ73" s="1431"/>
      <c r="BR73" s="585"/>
      <c r="BS73" s="585"/>
      <c r="BT73" s="1432" t="e">
        <f>INT(AS73*BG73)</f>
        <v>#REF!</v>
      </c>
      <c r="BU73" s="1432"/>
      <c r="BV73" s="1432"/>
      <c r="BW73" s="1432"/>
      <c r="BX73" s="1432"/>
      <c r="BY73" s="1432"/>
      <c r="BZ73" s="1432"/>
      <c r="CA73" s="1432"/>
      <c r="CB73" s="1432"/>
      <c r="CC73" s="1432"/>
      <c r="CD73" s="585"/>
      <c r="CE73" s="585"/>
      <c r="CF73" s="586"/>
    </row>
    <row r="74" spans="1:84" s="583" customFormat="1" ht="23.1" customHeight="1">
      <c r="A74" s="584"/>
      <c r="B74" s="585"/>
      <c r="C74" s="585"/>
      <c r="D74" s="591" t="str">
        <f>"잡재료 (주연료의 "&amp;BG74&amp;"%) :"</f>
        <v>잡재료 (주연료의 21%) :</v>
      </c>
      <c r="E74" s="585"/>
      <c r="F74" s="585"/>
      <c r="G74" s="585"/>
      <c r="H74" s="585"/>
      <c r="I74" s="585"/>
      <c r="J74" s="585"/>
      <c r="K74" s="585"/>
      <c r="L74" s="585"/>
      <c r="M74" s="585"/>
      <c r="N74" s="585"/>
      <c r="O74" s="585"/>
      <c r="P74" s="585"/>
      <c r="Q74" s="585"/>
      <c r="R74" s="585"/>
      <c r="S74" s="585"/>
      <c r="T74" s="585"/>
      <c r="U74" s="585"/>
      <c r="V74" s="585"/>
      <c r="W74" s="585"/>
      <c r="X74" s="585"/>
      <c r="Y74" s="585"/>
      <c r="Z74" s="585"/>
      <c r="AA74" s="585"/>
      <c r="AB74" s="585"/>
      <c r="AC74" s="585"/>
      <c r="AD74" s="585"/>
      <c r="AE74" s="585"/>
      <c r="AF74" s="585"/>
      <c r="AG74" s="585"/>
      <c r="AH74" s="585"/>
      <c r="AI74" s="585"/>
      <c r="AJ74" s="585"/>
      <c r="AK74" s="585"/>
      <c r="AL74" s="585"/>
      <c r="AM74" s="585"/>
      <c r="AN74" s="585"/>
      <c r="AO74" s="585"/>
      <c r="AP74" s="585"/>
      <c r="AQ74" s="585"/>
      <c r="AR74" s="422" t="e">
        <f>BT73</f>
        <v>#REF!</v>
      </c>
      <c r="AS74" s="1430" t="e">
        <f>BT73</f>
        <v>#REF!</v>
      </c>
      <c r="AT74" s="1430"/>
      <c r="AU74" s="1430"/>
      <c r="AV74" s="1430"/>
      <c r="AW74" s="1430"/>
      <c r="AX74" s="1430"/>
      <c r="AY74" s="1430"/>
      <c r="AZ74" s="1430"/>
      <c r="BA74" s="1430"/>
      <c r="BB74" s="1430"/>
      <c r="BC74" s="585"/>
      <c r="BD74" s="1431" t="s">
        <v>446</v>
      </c>
      <c r="BE74" s="1431"/>
      <c r="BF74" s="585"/>
      <c r="BG74" s="1431">
        <v>21</v>
      </c>
      <c r="BH74" s="1431"/>
      <c r="BI74" s="1431"/>
      <c r="BJ74" s="1431"/>
      <c r="BK74" s="1431"/>
      <c r="BL74" s="585" t="s">
        <v>1112</v>
      </c>
      <c r="BM74" s="585"/>
      <c r="BN74" s="585"/>
      <c r="BO74" s="585"/>
      <c r="BP74" s="1431" t="s">
        <v>41</v>
      </c>
      <c r="BQ74" s="1431"/>
      <c r="BR74" s="585"/>
      <c r="BS74" s="585"/>
      <c r="BT74" s="1432" t="e">
        <f>INT(AS74*BG74/100)</f>
        <v>#REF!</v>
      </c>
      <c r="BU74" s="1432"/>
      <c r="BV74" s="1432"/>
      <c r="BW74" s="1432"/>
      <c r="BX74" s="1432"/>
      <c r="BY74" s="1432"/>
      <c r="BZ74" s="1432"/>
      <c r="CA74" s="1432"/>
      <c r="CB74" s="1432"/>
      <c r="CC74" s="1432"/>
      <c r="CD74" s="585"/>
      <c r="CE74" s="585"/>
      <c r="CF74" s="586"/>
    </row>
    <row r="75" spans="1:84" s="583" customFormat="1" ht="23.1" customHeight="1" thickBot="1">
      <c r="A75" s="584"/>
      <c r="B75" s="585"/>
      <c r="C75" s="585"/>
      <c r="D75" s="585"/>
      <c r="E75" s="585"/>
      <c r="F75" s="585"/>
      <c r="G75" s="585"/>
      <c r="H75" s="585"/>
      <c r="I75" s="585"/>
      <c r="J75" s="585"/>
      <c r="K75" s="585"/>
      <c r="L75" s="585"/>
      <c r="M75" s="585"/>
      <c r="N75" s="585"/>
      <c r="O75" s="585"/>
      <c r="P75" s="585"/>
      <c r="Q75" s="585"/>
      <c r="R75" s="585"/>
      <c r="S75" s="585"/>
      <c r="T75" s="585"/>
      <c r="U75" s="585"/>
      <c r="V75" s="585"/>
      <c r="W75" s="585"/>
      <c r="X75" s="585"/>
      <c r="Y75" s="585"/>
      <c r="Z75" s="585"/>
      <c r="AA75" s="585"/>
      <c r="AB75" s="585"/>
      <c r="AC75" s="585"/>
      <c r="AD75" s="585"/>
      <c r="AE75" s="585"/>
      <c r="AF75" s="585"/>
      <c r="AG75" s="585"/>
      <c r="AH75" s="585"/>
      <c r="AI75" s="585"/>
      <c r="AJ75" s="585"/>
      <c r="AK75" s="585"/>
      <c r="AL75" s="585"/>
      <c r="AM75" s="585"/>
      <c r="AN75" s="585"/>
      <c r="AO75" s="585"/>
      <c r="AP75" s="585"/>
      <c r="AQ75" s="585"/>
      <c r="AR75" s="585"/>
      <c r="AS75" s="585"/>
      <c r="AT75" s="585"/>
      <c r="AU75" s="585"/>
      <c r="AV75" s="585"/>
      <c r="AW75" s="585"/>
      <c r="AX75" s="585"/>
      <c r="AY75" s="585"/>
      <c r="AZ75" s="585"/>
      <c r="BA75" s="585"/>
      <c r="BB75" s="585"/>
      <c r="BC75" s="585"/>
      <c r="BD75" s="585"/>
      <c r="BE75" s="585"/>
      <c r="BF75" s="585"/>
      <c r="BG75" s="585"/>
      <c r="BH75" s="585"/>
      <c r="BI75" s="585"/>
      <c r="BJ75" s="585"/>
      <c r="BK75" s="585"/>
      <c r="BL75" s="585"/>
      <c r="BM75" s="585"/>
      <c r="BN75" s="585"/>
      <c r="BO75" s="585"/>
      <c r="BP75" s="1431" t="s">
        <v>41</v>
      </c>
      <c r="BQ75" s="1431"/>
      <c r="BR75" s="585"/>
      <c r="BS75" s="585"/>
      <c r="BT75" s="1433" t="e">
        <f>BT73+BT74</f>
        <v>#REF!</v>
      </c>
      <c r="BU75" s="1433"/>
      <c r="BV75" s="1433"/>
      <c r="BW75" s="1433"/>
      <c r="BX75" s="1433"/>
      <c r="BY75" s="1433"/>
      <c r="BZ75" s="1433"/>
      <c r="CA75" s="1433"/>
      <c r="CB75" s="1433"/>
      <c r="CC75" s="1433"/>
      <c r="CD75" s="585"/>
      <c r="CE75" s="585"/>
      <c r="CF75" s="586"/>
    </row>
    <row r="76" spans="1:84" s="583" customFormat="1" ht="23.1" customHeight="1" thickBot="1">
      <c r="A76" s="597"/>
      <c r="B76" s="598" t="s">
        <v>1113</v>
      </c>
      <c r="C76" s="598"/>
      <c r="D76" s="598"/>
      <c r="E76" s="598"/>
      <c r="F76" s="598"/>
      <c r="G76" s="598"/>
      <c r="H76" s="598"/>
      <c r="I76" s="598"/>
      <c r="J76" s="598"/>
      <c r="K76" s="598"/>
      <c r="L76" s="598"/>
      <c r="M76" s="598"/>
      <c r="N76" s="598"/>
      <c r="O76" s="598"/>
      <c r="P76" s="598"/>
      <c r="Q76" s="598"/>
      <c r="R76" s="598"/>
      <c r="S76" s="598"/>
      <c r="T76" s="598"/>
      <c r="U76" s="598"/>
      <c r="V76" s="598"/>
      <c r="W76" s="598"/>
      <c r="X76" s="598"/>
      <c r="Y76" s="598"/>
      <c r="Z76" s="598"/>
      <c r="AA76" s="598"/>
      <c r="AB76" s="598"/>
      <c r="AC76" s="598"/>
      <c r="AD76" s="598"/>
      <c r="AE76" s="598"/>
      <c r="AF76" s="598"/>
      <c r="AG76" s="598"/>
      <c r="AH76" s="598"/>
      <c r="AI76" s="598"/>
      <c r="AJ76" s="598"/>
      <c r="AK76" s="598"/>
      <c r="AL76" s="598"/>
      <c r="AM76" s="598"/>
      <c r="AN76" s="598"/>
      <c r="AO76" s="598"/>
      <c r="AP76" s="598"/>
      <c r="AQ76" s="598"/>
      <c r="AR76" s="598"/>
      <c r="AS76" s="598"/>
      <c r="AT76" s="598"/>
      <c r="AU76" s="598"/>
      <c r="AV76" s="598"/>
      <c r="AW76" s="598"/>
      <c r="AX76" s="598"/>
      <c r="AY76" s="598"/>
      <c r="AZ76" s="598"/>
      <c r="BA76" s="598"/>
      <c r="BB76" s="598"/>
      <c r="BC76" s="598"/>
      <c r="BD76" s="598"/>
      <c r="BE76" s="598"/>
      <c r="BF76" s="598"/>
      <c r="BG76" s="598"/>
      <c r="BH76" s="598"/>
      <c r="BI76" s="598"/>
      <c r="BJ76" s="598"/>
      <c r="BK76" s="598"/>
      <c r="BL76" s="598"/>
      <c r="BM76" s="598"/>
      <c r="BN76" s="598"/>
      <c r="BO76" s="598"/>
      <c r="BP76" s="598"/>
      <c r="BQ76" s="598"/>
      <c r="BR76" s="598"/>
      <c r="BS76" s="598"/>
      <c r="BT76" s="1429" t="e">
        <f>BT67+BT71+BT75</f>
        <v>#REF!</v>
      </c>
      <c r="BU76" s="1429"/>
      <c r="BV76" s="1429"/>
      <c r="BW76" s="1429"/>
      <c r="BX76" s="1429"/>
      <c r="BY76" s="1429"/>
      <c r="BZ76" s="1429"/>
      <c r="CA76" s="1429"/>
      <c r="CB76" s="1429"/>
      <c r="CC76" s="1429"/>
      <c r="CD76" s="598"/>
      <c r="CE76" s="598"/>
      <c r="CF76" s="599"/>
    </row>
    <row r="77" spans="1:84" s="583" customFormat="1" ht="9.9499999999999993" customHeight="1">
      <c r="A77" s="574"/>
      <c r="B77" s="574"/>
      <c r="C77" s="574"/>
      <c r="D77" s="574"/>
      <c r="E77" s="574"/>
      <c r="F77" s="574"/>
      <c r="G77" s="574"/>
      <c r="H77" s="574"/>
      <c r="I77" s="574"/>
      <c r="J77" s="574"/>
      <c r="K77" s="574"/>
      <c r="L77" s="574"/>
      <c r="M77" s="574"/>
      <c r="N77" s="574"/>
      <c r="O77" s="574"/>
      <c r="P77" s="574"/>
      <c r="Q77" s="574"/>
      <c r="R77" s="574"/>
      <c r="S77" s="574"/>
      <c r="T77" s="574"/>
      <c r="U77" s="574"/>
      <c r="V77" s="574"/>
      <c r="W77" s="574"/>
      <c r="X77" s="574"/>
      <c r="Y77" s="574"/>
      <c r="Z77" s="574"/>
      <c r="AA77" s="574"/>
      <c r="AB77" s="574"/>
      <c r="AC77" s="574"/>
      <c r="AD77" s="574"/>
      <c r="AE77" s="574"/>
      <c r="AF77" s="574"/>
      <c r="AG77" s="574"/>
      <c r="AH77" s="574"/>
      <c r="AI77" s="574"/>
      <c r="AJ77" s="574"/>
      <c r="AK77" s="574"/>
      <c r="AL77" s="574"/>
      <c r="AM77" s="574"/>
      <c r="AN77" s="574"/>
      <c r="AO77" s="574"/>
      <c r="AP77" s="574"/>
      <c r="AQ77" s="574"/>
      <c r="AR77" s="574"/>
      <c r="AS77" s="574"/>
      <c r="AT77" s="574"/>
      <c r="AU77" s="574"/>
      <c r="AV77" s="574"/>
      <c r="AW77" s="574"/>
      <c r="AX77" s="574"/>
      <c r="AY77" s="574"/>
      <c r="AZ77" s="574"/>
      <c r="BA77" s="574"/>
      <c r="BB77" s="574"/>
      <c r="BC77" s="574"/>
      <c r="BD77" s="574"/>
      <c r="BE77" s="574"/>
      <c r="BF77" s="574"/>
      <c r="BG77" s="574"/>
      <c r="BH77" s="574"/>
      <c r="BI77" s="574"/>
      <c r="BJ77" s="574"/>
      <c r="BK77" s="574"/>
      <c r="BL77" s="574"/>
      <c r="BM77" s="574"/>
      <c r="BN77" s="574"/>
      <c r="BO77" s="574"/>
      <c r="BP77" s="574"/>
      <c r="BQ77" s="574"/>
      <c r="BR77" s="574"/>
      <c r="BS77" s="574"/>
      <c r="BT77" s="574"/>
      <c r="BU77" s="574"/>
      <c r="BV77" s="574"/>
      <c r="BW77" s="574"/>
      <c r="BX77" s="574"/>
      <c r="BY77" s="574"/>
      <c r="BZ77" s="574"/>
      <c r="CA77" s="574"/>
      <c r="CB77" s="574"/>
      <c r="CC77" s="574"/>
      <c r="CD77" s="574"/>
      <c r="CE77" s="574"/>
      <c r="CF77" s="574"/>
    </row>
    <row r="78" spans="1:84" s="583" customFormat="1" ht="23.1" customHeight="1" thickBot="1">
      <c r="A78" s="1446" t="s">
        <v>1095</v>
      </c>
      <c r="B78" s="1446"/>
      <c r="C78" s="1446"/>
      <c r="D78" s="1446"/>
      <c r="E78" s="1446"/>
      <c r="F78" s="1446"/>
      <c r="G78" s="1447">
        <f>G63+1</f>
        <v>6</v>
      </c>
      <c r="H78" s="1447"/>
      <c r="I78" s="1447"/>
      <c r="J78" s="1448" t="s">
        <v>1096</v>
      </c>
      <c r="K78" s="1448"/>
      <c r="L78" s="574"/>
      <c r="M78" s="574"/>
      <c r="N78" s="574"/>
      <c r="O78" s="574"/>
      <c r="P78" s="574"/>
      <c r="Q78" s="574"/>
      <c r="R78" s="574"/>
      <c r="S78" s="574"/>
      <c r="T78" s="574"/>
      <c r="U78" s="574"/>
      <c r="V78" s="574"/>
      <c r="W78" s="574"/>
      <c r="X78" s="574"/>
      <c r="Y78" s="574"/>
      <c r="Z78" s="574"/>
      <c r="AA78" s="574"/>
      <c r="AB78" s="574"/>
      <c r="AC78" s="574"/>
      <c r="AD78" s="574"/>
      <c r="AE78" s="574"/>
      <c r="AF78" s="574"/>
      <c r="AG78" s="574"/>
      <c r="AH78" s="574"/>
      <c r="AI78" s="574"/>
      <c r="AJ78" s="574"/>
      <c r="AK78" s="574"/>
      <c r="AL78" s="574"/>
      <c r="AM78" s="574"/>
      <c r="AN78" s="574"/>
      <c r="AO78" s="574"/>
      <c r="AP78" s="574"/>
      <c r="AQ78" s="574"/>
      <c r="AR78" s="574"/>
      <c r="AS78" s="574"/>
      <c r="AT78" s="574"/>
      <c r="AU78" s="574"/>
      <c r="AV78" s="574"/>
      <c r="AW78" s="574"/>
      <c r="AX78" s="574"/>
      <c r="AY78" s="574"/>
      <c r="AZ78" s="574"/>
      <c r="BA78" s="574"/>
      <c r="BB78" s="574"/>
      <c r="BC78" s="574"/>
      <c r="BD78" s="574"/>
      <c r="BE78" s="574"/>
      <c r="BF78" s="574"/>
      <c r="BG78" s="574"/>
      <c r="BH78" s="574"/>
      <c r="BI78" s="574"/>
      <c r="BJ78" s="574"/>
      <c r="BK78" s="574"/>
      <c r="BL78" s="574"/>
      <c r="BM78" s="574"/>
      <c r="BN78" s="574"/>
      <c r="BO78" s="574"/>
      <c r="BP78" s="574"/>
      <c r="BQ78" s="574"/>
      <c r="BR78" s="574"/>
      <c r="BS78" s="574"/>
      <c r="BT78" s="574"/>
      <c r="BU78" s="574"/>
      <c r="BV78" s="574"/>
      <c r="BW78" s="574"/>
      <c r="BX78" s="574"/>
      <c r="BY78" s="574"/>
      <c r="BZ78" s="574"/>
      <c r="CA78" s="574"/>
      <c r="CB78" s="574"/>
      <c r="CC78" s="574"/>
      <c r="CD78" s="574"/>
      <c r="CE78" s="574"/>
      <c r="CF78" s="574"/>
    </row>
    <row r="79" spans="1:84" s="583" customFormat="1" ht="23.1" customHeight="1" thickBot="1">
      <c r="A79" s="1483" t="s">
        <v>1097</v>
      </c>
      <c r="B79" s="1484"/>
      <c r="C79" s="1484"/>
      <c r="D79" s="1484"/>
      <c r="E79" s="1484"/>
      <c r="F79" s="1484"/>
      <c r="G79" s="1484"/>
      <c r="H79" s="1484"/>
      <c r="I79" s="581" t="s">
        <v>277</v>
      </c>
      <c r="J79" s="581"/>
      <c r="K79" s="581"/>
      <c r="L79" s="581"/>
      <c r="M79" s="581"/>
      <c r="N79" s="581"/>
      <c r="O79" s="581"/>
      <c r="P79" s="581"/>
      <c r="Q79" s="581"/>
      <c r="R79" s="581"/>
      <c r="S79" s="581"/>
      <c r="T79" s="581"/>
      <c r="U79" s="581"/>
      <c r="V79" s="581"/>
      <c r="W79" s="581"/>
      <c r="X79" s="581"/>
      <c r="Y79" s="581"/>
      <c r="Z79" s="581"/>
      <c r="AA79" s="581"/>
      <c r="AB79" s="581"/>
      <c r="AC79" s="581"/>
      <c r="AD79" s="581"/>
      <c r="AE79" s="581"/>
      <c r="AF79" s="581"/>
      <c r="AG79" s="581"/>
      <c r="AH79" s="581"/>
      <c r="AI79" s="581"/>
      <c r="AJ79" s="1484" t="s">
        <v>1099</v>
      </c>
      <c r="AK79" s="1484"/>
      <c r="AL79" s="1484"/>
      <c r="AM79" s="1484"/>
      <c r="AN79" s="1484"/>
      <c r="AO79" s="1484"/>
      <c r="AP79" s="1484"/>
      <c r="AQ79" s="581" t="s">
        <v>359</v>
      </c>
      <c r="AR79" s="581"/>
      <c r="AS79" s="581"/>
      <c r="AT79" s="581"/>
      <c r="AU79" s="581"/>
      <c r="AV79" s="581"/>
      <c r="AW79" s="581"/>
      <c r="AX79" s="581"/>
      <c r="AY79" s="581"/>
      <c r="AZ79" s="581"/>
      <c r="BA79" s="581"/>
      <c r="BB79" s="581"/>
      <c r="BC79" s="581"/>
      <c r="BD79" s="581"/>
      <c r="BE79" s="581"/>
      <c r="BF79" s="581"/>
      <c r="BG79" s="581"/>
      <c r="BH79" s="581"/>
      <c r="BI79" s="581"/>
      <c r="BJ79" s="581"/>
      <c r="BK79" s="581"/>
      <c r="BL79" s="581"/>
      <c r="BM79" s="581"/>
      <c r="BN79" s="581"/>
      <c r="BO79" s="581"/>
      <c r="BP79" s="581"/>
      <c r="BQ79" s="581"/>
      <c r="BR79" s="581"/>
      <c r="BS79" s="581"/>
      <c r="BT79" s="581" t="s">
        <v>1121</v>
      </c>
      <c r="BU79" s="581"/>
      <c r="BV79" s="581"/>
      <c r="BW79" s="581"/>
      <c r="BX79" s="581"/>
      <c r="BY79" s="581"/>
      <c r="BZ79" s="581"/>
      <c r="CA79" s="581"/>
      <c r="CB79" s="581"/>
      <c r="CC79" s="581"/>
      <c r="CD79" s="581"/>
      <c r="CE79" s="581"/>
      <c r="CF79" s="582"/>
    </row>
    <row r="80" spans="1:84" s="583" customFormat="1" ht="23.1" customHeight="1">
      <c r="A80" s="584"/>
      <c r="B80" s="585" t="s">
        <v>1102</v>
      </c>
      <c r="C80" s="585"/>
      <c r="D80" s="585"/>
      <c r="E80" s="585"/>
      <c r="F80" s="585"/>
      <c r="G80" s="585"/>
      <c r="H80" s="585"/>
      <c r="I80" s="585"/>
      <c r="J80" s="585"/>
      <c r="K80" s="585"/>
      <c r="L80" s="585"/>
      <c r="M80" s="585"/>
      <c r="N80" s="585"/>
      <c r="O80" s="585"/>
      <c r="P80" s="585"/>
      <c r="Q80" s="585"/>
      <c r="R80" s="585"/>
      <c r="S80" s="585"/>
      <c r="T80" s="585"/>
      <c r="U80" s="585"/>
      <c r="V80" s="585"/>
      <c r="W80" s="585"/>
      <c r="X80" s="585"/>
      <c r="Y80" s="585"/>
      <c r="Z80" s="585"/>
      <c r="AA80" s="585"/>
      <c r="AB80" s="585"/>
      <c r="AC80" s="585"/>
      <c r="AD80" s="585"/>
      <c r="AE80" s="585"/>
      <c r="AF80" s="585"/>
      <c r="AG80" s="585"/>
      <c r="AH80" s="585"/>
      <c r="AI80" s="585"/>
      <c r="AJ80" s="585"/>
      <c r="AK80" s="585"/>
      <c r="AL80" s="585"/>
      <c r="AM80" s="585"/>
      <c r="AN80" s="585"/>
      <c r="AO80" s="585"/>
      <c r="AP80" s="585"/>
      <c r="AQ80" s="585"/>
      <c r="AR80" s="585"/>
      <c r="AS80" s="585"/>
      <c r="AT80" s="585"/>
      <c r="AU80" s="585"/>
      <c r="AV80" s="585"/>
      <c r="AW80" s="585"/>
      <c r="AX80" s="585"/>
      <c r="AY80" s="585"/>
      <c r="AZ80" s="585"/>
      <c r="BA80" s="585"/>
      <c r="BB80" s="585"/>
      <c r="BC80" s="585"/>
      <c r="BD80" s="585"/>
      <c r="BE80" s="585"/>
      <c r="BF80" s="585"/>
      <c r="BG80" s="585"/>
      <c r="BH80" s="585"/>
      <c r="BI80" s="585"/>
      <c r="BJ80" s="585"/>
      <c r="BK80" s="585"/>
      <c r="BL80" s="585"/>
      <c r="BM80" s="585"/>
      <c r="BN80" s="585"/>
      <c r="BO80" s="585"/>
      <c r="BP80" s="585"/>
      <c r="BQ80" s="585"/>
      <c r="BR80" s="585"/>
      <c r="BS80" s="585"/>
      <c r="BT80" s="585"/>
      <c r="BU80" s="585"/>
      <c r="BV80" s="585"/>
      <c r="BW80" s="585"/>
      <c r="BX80" s="585"/>
      <c r="BY80" s="585"/>
      <c r="BZ80" s="585"/>
      <c r="CA80" s="585"/>
      <c r="CB80" s="585"/>
      <c r="CC80" s="585"/>
      <c r="CD80" s="585"/>
      <c r="CE80" s="585"/>
      <c r="CF80" s="586"/>
    </row>
    <row r="81" spans="1:84" s="583" customFormat="1" ht="23.1" customHeight="1">
      <c r="A81" s="587"/>
      <c r="B81" s="574"/>
      <c r="C81" s="574"/>
      <c r="D81" s="405"/>
      <c r="E81" s="574"/>
      <c r="F81" s="422"/>
      <c r="G81" s="422"/>
      <c r="H81" s="422"/>
      <c r="I81" s="422"/>
      <c r="J81" s="422"/>
      <c r="K81" s="422"/>
      <c r="L81" s="422"/>
      <c r="M81" s="422"/>
      <c r="N81" s="574"/>
      <c r="O81" s="574"/>
      <c r="P81" s="574"/>
      <c r="Q81" s="574"/>
      <c r="R81" s="574"/>
      <c r="S81" s="588"/>
      <c r="T81" s="588"/>
      <c r="U81" s="588"/>
      <c r="V81" s="588"/>
      <c r="W81" s="588"/>
      <c r="X81" s="588"/>
      <c r="Y81" s="588"/>
      <c r="Z81" s="588"/>
      <c r="AA81" s="574"/>
      <c r="AB81" s="588"/>
      <c r="AC81" s="585"/>
      <c r="AD81" s="585"/>
      <c r="AE81" s="600"/>
      <c r="AF81" s="600"/>
      <c r="AG81" s="600"/>
      <c r="AH81" s="600"/>
      <c r="AI81" s="600"/>
      <c r="AJ81" s="600"/>
      <c r="AK81" s="600"/>
      <c r="AL81" s="600"/>
      <c r="AM81" s="585"/>
      <c r="AN81" s="585"/>
      <c r="AO81" s="574"/>
      <c r="AP81" s="430"/>
      <c r="AQ81" s="430"/>
      <c r="AR81" s="430"/>
      <c r="AS81" s="430"/>
      <c r="AT81" s="430"/>
      <c r="AU81" s="430"/>
      <c r="AV81" s="430"/>
      <c r="AW81" s="430"/>
      <c r="AX81" s="430"/>
      <c r="AY81" s="430"/>
      <c r="AZ81" s="430"/>
      <c r="BA81" s="430"/>
      <c r="BB81" s="430"/>
      <c r="BC81" s="430"/>
      <c r="BD81" s="574"/>
      <c r="BE81" s="574"/>
      <c r="BF81" s="574"/>
      <c r="BG81" s="574"/>
      <c r="BH81" s="574"/>
      <c r="BI81" s="574"/>
      <c r="BJ81" s="574"/>
      <c r="BK81" s="574"/>
      <c r="BL81" s="574"/>
      <c r="BM81" s="574"/>
      <c r="BN81" s="574"/>
      <c r="BO81" s="574"/>
      <c r="BP81" s="574"/>
      <c r="BQ81" s="574"/>
      <c r="BR81" s="574"/>
      <c r="BS81" s="574"/>
      <c r="BT81" s="574"/>
      <c r="BU81" s="574"/>
      <c r="BV81" s="574"/>
      <c r="BW81" s="574"/>
      <c r="BX81" s="574"/>
      <c r="BY81" s="574"/>
      <c r="BZ81" s="574"/>
      <c r="CA81" s="574"/>
      <c r="CB81" s="574"/>
      <c r="CC81" s="574"/>
      <c r="CD81" s="574"/>
      <c r="CE81" s="574"/>
      <c r="CF81" s="589"/>
    </row>
    <row r="82" spans="1:84" s="583" customFormat="1" ht="23.1" customHeight="1">
      <c r="A82" s="584"/>
      <c r="B82" s="585"/>
      <c r="C82" s="585"/>
      <c r="D82" s="585"/>
      <c r="E82" s="585"/>
      <c r="F82" s="585"/>
      <c r="G82" s="585"/>
      <c r="H82" s="585"/>
      <c r="I82" s="585"/>
      <c r="J82" s="585"/>
      <c r="K82" s="585"/>
      <c r="L82" s="585"/>
      <c r="M82" s="585"/>
      <c r="N82" s="585"/>
      <c r="O82" s="585"/>
      <c r="P82" s="585"/>
      <c r="Q82" s="585"/>
      <c r="R82" s="585"/>
      <c r="S82" s="585"/>
      <c r="T82" s="585"/>
      <c r="U82" s="585"/>
      <c r="V82" s="590"/>
      <c r="W82" s="590"/>
      <c r="X82" s="590"/>
      <c r="Y82" s="590"/>
      <c r="Z82" s="590"/>
      <c r="AA82" s="590"/>
      <c r="AB82" s="590"/>
      <c r="AC82" s="590"/>
      <c r="AD82" s="574"/>
      <c r="AE82" s="1440">
        <v>84000000</v>
      </c>
      <c r="AF82" s="1440"/>
      <c r="AG82" s="1440"/>
      <c r="AH82" s="1440"/>
      <c r="AI82" s="1440"/>
      <c r="AJ82" s="1440"/>
      <c r="AK82" s="1440"/>
      <c r="AL82" s="1440"/>
      <c r="AM82" s="1440"/>
      <c r="AN82" s="1440"/>
      <c r="AO82" s="1440"/>
      <c r="AP82" s="1440"/>
      <c r="AQ82" s="1440"/>
      <c r="AR82" s="1440"/>
      <c r="AS82" s="1440"/>
      <c r="AT82" s="1431" t="s">
        <v>446</v>
      </c>
      <c r="AU82" s="1431"/>
      <c r="AV82" s="1441" t="s">
        <v>1103</v>
      </c>
      <c r="AW82" s="1441"/>
      <c r="AX82" s="1442">
        <v>2085</v>
      </c>
      <c r="AY82" s="1442"/>
      <c r="AZ82" s="1442"/>
      <c r="BA82" s="1442"/>
      <c r="BB82" s="1442"/>
      <c r="BC82" s="1442"/>
      <c r="BD82" s="585"/>
      <c r="BE82" s="1431" t="s">
        <v>446</v>
      </c>
      <c r="BF82" s="1431"/>
      <c r="BG82" s="585"/>
      <c r="BH82" s="591" t="s">
        <v>1104</v>
      </c>
      <c r="BI82" s="585"/>
      <c r="BJ82" s="585"/>
      <c r="BK82" s="585"/>
      <c r="BL82" s="1431" t="s">
        <v>1105</v>
      </c>
      <c r="BM82" s="1431"/>
      <c r="BN82" s="1431"/>
      <c r="BO82" s="585"/>
      <c r="BP82" s="1431" t="s">
        <v>41</v>
      </c>
      <c r="BQ82" s="1431"/>
      <c r="BR82" s="585"/>
      <c r="BS82" s="585"/>
      <c r="BT82" s="1437">
        <f>INT(AE82*AX82*10^-7)</f>
        <v>17514</v>
      </c>
      <c r="BU82" s="1437"/>
      <c r="BV82" s="1437"/>
      <c r="BW82" s="1437"/>
      <c r="BX82" s="1437"/>
      <c r="BY82" s="1437"/>
      <c r="BZ82" s="1437"/>
      <c r="CA82" s="1437"/>
      <c r="CB82" s="1437"/>
      <c r="CC82" s="1437"/>
      <c r="CD82" s="585"/>
      <c r="CE82" s="585"/>
      <c r="CF82" s="586"/>
    </row>
    <row r="83" spans="1:84" s="583" customFormat="1" ht="23.1" customHeight="1">
      <c r="A83" s="592"/>
      <c r="B83" s="593" t="s">
        <v>1106</v>
      </c>
      <c r="C83" s="593"/>
      <c r="D83" s="593"/>
      <c r="E83" s="593"/>
      <c r="F83" s="593"/>
      <c r="G83" s="593"/>
      <c r="H83" s="593"/>
      <c r="I83" s="593"/>
      <c r="J83" s="593"/>
      <c r="K83" s="593"/>
      <c r="L83" s="593"/>
      <c r="M83" s="593"/>
      <c r="N83" s="593"/>
      <c r="O83" s="593"/>
      <c r="P83" s="593"/>
      <c r="Q83" s="593"/>
      <c r="R83" s="593"/>
      <c r="S83" s="593"/>
      <c r="T83" s="593"/>
      <c r="U83" s="593"/>
      <c r="V83" s="593"/>
      <c r="W83" s="593"/>
      <c r="X83" s="593"/>
      <c r="Y83" s="593"/>
      <c r="Z83" s="593"/>
      <c r="AA83" s="593"/>
      <c r="AB83" s="593"/>
      <c r="AC83" s="593"/>
      <c r="AD83" s="593"/>
      <c r="AE83" s="593"/>
      <c r="AF83" s="593"/>
      <c r="AG83" s="593"/>
      <c r="AH83" s="593"/>
      <c r="AI83" s="593"/>
      <c r="AJ83" s="593"/>
      <c r="AK83" s="593"/>
      <c r="AL83" s="593"/>
      <c r="AM83" s="593"/>
      <c r="AN83" s="593"/>
      <c r="AO83" s="593"/>
      <c r="AP83" s="593"/>
      <c r="AQ83" s="593"/>
      <c r="AR83" s="593"/>
      <c r="AS83" s="593"/>
      <c r="AT83" s="593"/>
      <c r="AU83" s="593"/>
      <c r="AV83" s="593"/>
      <c r="AW83" s="593"/>
      <c r="AX83" s="593"/>
      <c r="AY83" s="593"/>
      <c r="AZ83" s="593"/>
      <c r="BA83" s="593"/>
      <c r="BB83" s="593"/>
      <c r="BC83" s="593"/>
      <c r="BD83" s="593"/>
      <c r="BE83" s="593"/>
      <c r="BF83" s="593"/>
      <c r="BG83" s="593"/>
      <c r="BH83" s="593"/>
      <c r="BI83" s="593"/>
      <c r="BJ83" s="593"/>
      <c r="BK83" s="593"/>
      <c r="BL83" s="593"/>
      <c r="BM83" s="593"/>
      <c r="BN83" s="593"/>
      <c r="BO83" s="593"/>
      <c r="BP83" s="593"/>
      <c r="BQ83" s="593"/>
      <c r="BR83" s="593"/>
      <c r="BS83" s="593"/>
      <c r="BT83" s="594"/>
      <c r="BU83" s="594"/>
      <c r="BV83" s="594"/>
      <c r="BW83" s="594"/>
      <c r="BX83" s="594"/>
      <c r="BY83" s="594"/>
      <c r="BZ83" s="594"/>
      <c r="CA83" s="594"/>
      <c r="CB83" s="594"/>
      <c r="CC83" s="594"/>
      <c r="CD83" s="593"/>
      <c r="CE83" s="593"/>
      <c r="CF83" s="595"/>
    </row>
    <row r="84" spans="1:84" s="583" customFormat="1" ht="23.1" customHeight="1">
      <c r="A84" s="584"/>
      <c r="B84" s="585"/>
      <c r="C84" s="585"/>
      <c r="D84" s="596" t="s">
        <v>268</v>
      </c>
      <c r="E84" s="585"/>
      <c r="F84" s="585"/>
      <c r="G84" s="585"/>
      <c r="H84" s="585"/>
      <c r="I84" s="585"/>
      <c r="J84" s="585"/>
      <c r="K84" s="585"/>
      <c r="L84" s="585"/>
      <c r="M84" s="585"/>
      <c r="N84" s="585"/>
      <c r="O84" s="585"/>
      <c r="P84" s="585"/>
      <c r="Q84" s="585"/>
      <c r="R84" s="585"/>
      <c r="S84" s="585"/>
      <c r="T84" s="574"/>
      <c r="U84" s="574"/>
      <c r="V84" s="1435">
        <f>HLOOKUP(D84,$CJ$1:$CM$3,3,0)</f>
        <v>283297</v>
      </c>
      <c r="W84" s="1435"/>
      <c r="X84" s="1435"/>
      <c r="Y84" s="1435"/>
      <c r="Z84" s="1435"/>
      <c r="AA84" s="1435"/>
      <c r="AB84" s="1435"/>
      <c r="AC84" s="1435"/>
      <c r="AD84" s="1435"/>
      <c r="AE84" s="1435"/>
      <c r="AF84" s="1431" t="s">
        <v>446</v>
      </c>
      <c r="AG84" s="1431"/>
      <c r="AH84" s="574"/>
      <c r="AI84" s="1436" t="s">
        <v>1107</v>
      </c>
      <c r="AJ84" s="1436"/>
      <c r="AK84" s="1436"/>
      <c r="AL84" s="1436"/>
      <c r="AM84" s="585"/>
      <c r="AN84" s="1431" t="s">
        <v>446</v>
      </c>
      <c r="AO84" s="1431"/>
      <c r="AP84" s="585"/>
      <c r="AQ84" s="1436" t="s">
        <v>1108</v>
      </c>
      <c r="AR84" s="1436"/>
      <c r="AS84" s="1436"/>
      <c r="AT84" s="1436"/>
      <c r="AU84" s="1436"/>
      <c r="AV84" s="422"/>
      <c r="AW84" s="1431" t="s">
        <v>446</v>
      </c>
      <c r="AX84" s="1431"/>
      <c r="AY84" s="440"/>
      <c r="AZ84" s="1436" t="s">
        <v>1109</v>
      </c>
      <c r="BA84" s="1436"/>
      <c r="BB84" s="1436"/>
      <c r="BC84" s="1436"/>
      <c r="BD84" s="1436"/>
      <c r="BE84" s="585"/>
      <c r="BF84" s="1431" t="s">
        <v>446</v>
      </c>
      <c r="BG84" s="1431"/>
      <c r="BH84" s="1431">
        <v>1</v>
      </c>
      <c r="BI84" s="1431"/>
      <c r="BJ84" s="1431"/>
      <c r="BK84" s="585"/>
      <c r="BL84" s="585" t="s">
        <v>366</v>
      </c>
      <c r="BM84" s="585"/>
      <c r="BN84" s="585"/>
      <c r="BO84" s="585"/>
      <c r="BP84" s="1431" t="s">
        <v>41</v>
      </c>
      <c r="BQ84" s="1431"/>
      <c r="BR84" s="585"/>
      <c r="BS84" s="585"/>
      <c r="BT84" s="1432">
        <f>INT(V84/8*16/12*25/20*BH84)</f>
        <v>59020</v>
      </c>
      <c r="BU84" s="1432"/>
      <c r="BV84" s="1432"/>
      <c r="BW84" s="1432"/>
      <c r="BX84" s="1432"/>
      <c r="BY84" s="1432"/>
      <c r="BZ84" s="1432"/>
      <c r="CA84" s="1432"/>
      <c r="CB84" s="1432"/>
      <c r="CC84" s="1432"/>
      <c r="CD84" s="585"/>
      <c r="CE84" s="585"/>
      <c r="CF84" s="586"/>
    </row>
    <row r="85" spans="1:84" s="583" customFormat="1" ht="23.1" customHeight="1">
      <c r="A85" s="584"/>
      <c r="B85" s="585"/>
      <c r="C85" s="585"/>
      <c r="D85" s="585"/>
      <c r="E85" s="585"/>
      <c r="F85" s="585"/>
      <c r="G85" s="585"/>
      <c r="H85" s="585"/>
      <c r="I85" s="585"/>
      <c r="J85" s="585"/>
      <c r="K85" s="585"/>
      <c r="L85" s="585"/>
      <c r="M85" s="585"/>
      <c r="N85" s="585"/>
      <c r="O85" s="585"/>
      <c r="P85" s="574"/>
      <c r="Q85" s="574"/>
      <c r="R85" s="574"/>
      <c r="S85" s="574"/>
      <c r="T85" s="574"/>
      <c r="U85" s="574"/>
      <c r="V85" s="574"/>
      <c r="W85" s="574"/>
      <c r="X85" s="574"/>
      <c r="Y85" s="574"/>
      <c r="Z85" s="574"/>
      <c r="AA85" s="574"/>
      <c r="AB85" s="574"/>
      <c r="AC85" s="574"/>
      <c r="AD85" s="574"/>
      <c r="AE85" s="574"/>
      <c r="AF85" s="574"/>
      <c r="AG85" s="574"/>
      <c r="AH85" s="574"/>
      <c r="AI85" s="574"/>
      <c r="AJ85" s="574"/>
      <c r="AK85" s="574"/>
      <c r="AL85" s="574"/>
      <c r="AM85" s="574"/>
      <c r="AN85" s="574"/>
      <c r="AO85" s="574"/>
      <c r="AP85" s="574"/>
      <c r="AQ85" s="574"/>
      <c r="AR85" s="574"/>
      <c r="AS85" s="574"/>
      <c r="AT85" s="574"/>
      <c r="AU85" s="574"/>
      <c r="AV85" s="574"/>
      <c r="AW85" s="574"/>
      <c r="AX85" s="574"/>
      <c r="AY85" s="574"/>
      <c r="AZ85" s="574"/>
      <c r="BA85" s="574"/>
      <c r="BB85" s="574"/>
      <c r="BC85" s="574"/>
      <c r="BD85" s="574"/>
      <c r="BE85" s="574"/>
      <c r="BF85" s="574"/>
      <c r="BG85" s="585"/>
      <c r="BH85" s="585"/>
      <c r="BI85" s="585"/>
      <c r="BJ85" s="585"/>
      <c r="BK85" s="585"/>
      <c r="BL85" s="585"/>
      <c r="BM85" s="585"/>
      <c r="BN85" s="585"/>
      <c r="BO85" s="585"/>
      <c r="BP85" s="1431"/>
      <c r="BQ85" s="1431"/>
      <c r="BR85" s="585"/>
      <c r="BS85" s="585"/>
      <c r="BT85" s="1432"/>
      <c r="BU85" s="1432"/>
      <c r="BV85" s="1432"/>
      <c r="BW85" s="1432"/>
      <c r="BX85" s="1432"/>
      <c r="BY85" s="1432"/>
      <c r="BZ85" s="1432"/>
      <c r="CA85" s="1432"/>
      <c r="CB85" s="1432"/>
      <c r="CC85" s="1432"/>
      <c r="CD85" s="585"/>
      <c r="CE85" s="585"/>
      <c r="CF85" s="586"/>
    </row>
    <row r="86" spans="1:84" s="583" customFormat="1" ht="23.1" customHeight="1">
      <c r="A86" s="584"/>
      <c r="B86" s="585"/>
      <c r="C86" s="585"/>
      <c r="D86" s="585"/>
      <c r="E86" s="585"/>
      <c r="F86" s="585"/>
      <c r="G86" s="585"/>
      <c r="H86" s="585"/>
      <c r="I86" s="585"/>
      <c r="J86" s="585"/>
      <c r="K86" s="585"/>
      <c r="L86" s="585"/>
      <c r="M86" s="585"/>
      <c r="N86" s="585"/>
      <c r="O86" s="585"/>
      <c r="P86" s="585"/>
      <c r="Q86" s="585"/>
      <c r="R86" s="585"/>
      <c r="S86" s="585"/>
      <c r="T86" s="585"/>
      <c r="U86" s="585"/>
      <c r="V86" s="585"/>
      <c r="W86" s="585"/>
      <c r="X86" s="585"/>
      <c r="Y86" s="585"/>
      <c r="Z86" s="585"/>
      <c r="AA86" s="585"/>
      <c r="AB86" s="585"/>
      <c r="AC86" s="585"/>
      <c r="AD86" s="574"/>
      <c r="AE86" s="574"/>
      <c r="AF86" s="574"/>
      <c r="AG86" s="574"/>
      <c r="AH86" s="574"/>
      <c r="AI86" s="574"/>
      <c r="AJ86" s="574"/>
      <c r="AK86" s="574"/>
      <c r="AL86" s="574"/>
      <c r="AM86" s="574"/>
      <c r="AN86" s="574"/>
      <c r="AO86" s="574"/>
      <c r="AP86" s="574"/>
      <c r="AQ86" s="574"/>
      <c r="AR86" s="574"/>
      <c r="AS86" s="585"/>
      <c r="AT86" s="590"/>
      <c r="AU86" s="590"/>
      <c r="AV86" s="585"/>
      <c r="AW86" s="585"/>
      <c r="AX86" s="585"/>
      <c r="AY86" s="585"/>
      <c r="AZ86" s="585"/>
      <c r="BA86" s="585"/>
      <c r="BB86" s="585"/>
      <c r="BC86" s="585"/>
      <c r="BD86" s="585"/>
      <c r="BE86" s="585"/>
      <c r="BF86" s="585"/>
      <c r="BG86" s="585"/>
      <c r="BH86" s="585"/>
      <c r="BI86" s="585"/>
      <c r="BJ86" s="585"/>
      <c r="BK86" s="585"/>
      <c r="BL86" s="585"/>
      <c r="BM86" s="585"/>
      <c r="BN86" s="585"/>
      <c r="BO86" s="585"/>
      <c r="BP86" s="1431" t="s">
        <v>41</v>
      </c>
      <c r="BQ86" s="1431"/>
      <c r="BR86" s="585"/>
      <c r="BS86" s="585"/>
      <c r="BT86" s="1434">
        <f>BT84+BT85</f>
        <v>59020</v>
      </c>
      <c r="BU86" s="1434"/>
      <c r="BV86" s="1434"/>
      <c r="BW86" s="1434"/>
      <c r="BX86" s="1434"/>
      <c r="BY86" s="1434"/>
      <c r="BZ86" s="1434"/>
      <c r="CA86" s="1434"/>
      <c r="CB86" s="1434"/>
      <c r="CC86" s="1434"/>
      <c r="CD86" s="585"/>
      <c r="CE86" s="585"/>
      <c r="CF86" s="586"/>
    </row>
    <row r="87" spans="1:84" s="583" customFormat="1" ht="23.1" customHeight="1">
      <c r="A87" s="592"/>
      <c r="B87" s="593" t="s">
        <v>1110</v>
      </c>
      <c r="C87" s="593"/>
      <c r="D87" s="593"/>
      <c r="E87" s="593"/>
      <c r="F87" s="593"/>
      <c r="G87" s="593"/>
      <c r="H87" s="593"/>
      <c r="I87" s="593"/>
      <c r="J87" s="593"/>
      <c r="K87" s="593"/>
      <c r="L87" s="593"/>
      <c r="M87" s="593"/>
      <c r="N87" s="593"/>
      <c r="O87" s="593"/>
      <c r="P87" s="593"/>
      <c r="Q87" s="593"/>
      <c r="R87" s="593"/>
      <c r="S87" s="593"/>
      <c r="T87" s="593"/>
      <c r="U87" s="593"/>
      <c r="V87" s="593"/>
      <c r="W87" s="593"/>
      <c r="X87" s="593"/>
      <c r="Y87" s="593"/>
      <c r="Z87" s="593"/>
      <c r="AA87" s="593"/>
      <c r="AB87" s="593"/>
      <c r="AC87" s="593"/>
      <c r="AD87" s="593"/>
      <c r="AE87" s="593"/>
      <c r="AF87" s="593"/>
      <c r="AG87" s="593"/>
      <c r="AH87" s="593"/>
      <c r="AI87" s="593"/>
      <c r="AJ87" s="593"/>
      <c r="AK87" s="593"/>
      <c r="AL87" s="593"/>
      <c r="AM87" s="593"/>
      <c r="AN87" s="593"/>
      <c r="AO87" s="593"/>
      <c r="AP87" s="593"/>
      <c r="AQ87" s="593"/>
      <c r="AR87" s="593"/>
      <c r="AS87" s="593"/>
      <c r="AT87" s="593"/>
      <c r="AU87" s="593"/>
      <c r="AV87" s="593"/>
      <c r="AW87" s="593"/>
      <c r="AX87" s="593"/>
      <c r="AY87" s="593"/>
      <c r="AZ87" s="593"/>
      <c r="BA87" s="593"/>
      <c r="BB87" s="593"/>
      <c r="BC87" s="593"/>
      <c r="BD87" s="593"/>
      <c r="BE87" s="593"/>
      <c r="BF87" s="593"/>
      <c r="BG87" s="593"/>
      <c r="BH87" s="593"/>
      <c r="BI87" s="593"/>
      <c r="BJ87" s="593"/>
      <c r="BK87" s="593"/>
      <c r="BL87" s="593"/>
      <c r="BM87" s="593"/>
      <c r="BN87" s="593"/>
      <c r="BO87" s="593"/>
      <c r="BP87" s="593"/>
      <c r="BQ87" s="593"/>
      <c r="BR87" s="593"/>
      <c r="BS87" s="593"/>
      <c r="BT87" s="593"/>
      <c r="BU87" s="593"/>
      <c r="BV87" s="593"/>
      <c r="BW87" s="593"/>
      <c r="BX87" s="593"/>
      <c r="BY87" s="593"/>
      <c r="BZ87" s="593"/>
      <c r="CA87" s="593"/>
      <c r="CB87" s="593"/>
      <c r="CC87" s="593"/>
      <c r="CD87" s="593"/>
      <c r="CE87" s="593"/>
      <c r="CF87" s="595"/>
    </row>
    <row r="88" spans="1:84" s="583" customFormat="1" ht="23.1" customHeight="1">
      <c r="A88" s="584"/>
      <c r="B88" s="585"/>
      <c r="C88" s="585"/>
      <c r="D88" s="596" t="s">
        <v>1094</v>
      </c>
      <c r="E88" s="585"/>
      <c r="F88" s="585"/>
      <c r="G88" s="585"/>
      <c r="H88" s="585"/>
      <c r="I88" s="585"/>
      <c r="J88" s="585"/>
      <c r="K88" s="585"/>
      <c r="L88" s="585"/>
      <c r="M88" s="585"/>
      <c r="N88" s="585"/>
      <c r="O88" s="585"/>
      <c r="P88" s="585"/>
      <c r="Q88" s="585"/>
      <c r="R88" s="585"/>
      <c r="S88" s="585"/>
      <c r="T88" s="585"/>
      <c r="U88" s="585"/>
      <c r="V88" s="585"/>
      <c r="W88" s="585"/>
      <c r="X88" s="585"/>
      <c r="Y88" s="585"/>
      <c r="Z88" s="585"/>
      <c r="AA88" s="585"/>
      <c r="AB88" s="585"/>
      <c r="AC88" s="585"/>
      <c r="AD88" s="585"/>
      <c r="AE88" s="585"/>
      <c r="AF88" s="585"/>
      <c r="AG88" s="585"/>
      <c r="AH88" s="585"/>
      <c r="AI88" s="585"/>
      <c r="AJ88" s="585"/>
      <c r="AK88" s="585"/>
      <c r="AL88" s="585"/>
      <c r="AM88" s="585"/>
      <c r="AN88" s="585"/>
      <c r="AO88" s="585"/>
      <c r="AP88" s="585"/>
      <c r="AQ88" s="585"/>
      <c r="AR88" s="422"/>
      <c r="AS88" s="1435" t="e">
        <f>HLOOKUP(D88,$CN$1:$CO$3,3,0)</f>
        <v>#REF!</v>
      </c>
      <c r="AT88" s="1435"/>
      <c r="AU88" s="1435"/>
      <c r="AV88" s="1435"/>
      <c r="AW88" s="1435"/>
      <c r="AX88" s="1435"/>
      <c r="AY88" s="1435"/>
      <c r="AZ88" s="1435"/>
      <c r="BA88" s="1435"/>
      <c r="BB88" s="1435"/>
      <c r="BC88" s="585"/>
      <c r="BD88" s="1431" t="s">
        <v>446</v>
      </c>
      <c r="BE88" s="1431"/>
      <c r="BF88" s="585"/>
      <c r="BG88" s="1431">
        <v>9.9</v>
      </c>
      <c r="BH88" s="1431"/>
      <c r="BI88" s="1431"/>
      <c r="BJ88" s="1431"/>
      <c r="BK88" s="1431"/>
      <c r="BL88" s="585" t="s">
        <v>1111</v>
      </c>
      <c r="BM88" s="585"/>
      <c r="BN88" s="585"/>
      <c r="BO88" s="585"/>
      <c r="BP88" s="1431" t="s">
        <v>41</v>
      </c>
      <c r="BQ88" s="1431"/>
      <c r="BR88" s="585"/>
      <c r="BS88" s="585"/>
      <c r="BT88" s="1432" t="e">
        <f>INT(AS88*BG88)</f>
        <v>#REF!</v>
      </c>
      <c r="BU88" s="1432"/>
      <c r="BV88" s="1432"/>
      <c r="BW88" s="1432"/>
      <c r="BX88" s="1432"/>
      <c r="BY88" s="1432"/>
      <c r="BZ88" s="1432"/>
      <c r="CA88" s="1432"/>
      <c r="CB88" s="1432"/>
      <c r="CC88" s="1432"/>
      <c r="CD88" s="585"/>
      <c r="CE88" s="585"/>
      <c r="CF88" s="586"/>
    </row>
    <row r="89" spans="1:84" s="583" customFormat="1" ht="23.1" customHeight="1">
      <c r="A89" s="584"/>
      <c r="B89" s="585"/>
      <c r="C89" s="585"/>
      <c r="D89" s="591" t="str">
        <f>"잡재료 (주연료의 "&amp;BG89&amp;"%) :"</f>
        <v>잡재료 (주연료의 22%) :</v>
      </c>
      <c r="E89" s="585"/>
      <c r="F89" s="585"/>
      <c r="G89" s="585"/>
      <c r="H89" s="585"/>
      <c r="I89" s="585"/>
      <c r="J89" s="585"/>
      <c r="K89" s="585"/>
      <c r="L89" s="585"/>
      <c r="M89" s="585"/>
      <c r="N89" s="585"/>
      <c r="O89" s="585"/>
      <c r="P89" s="585"/>
      <c r="Q89" s="585"/>
      <c r="R89" s="585"/>
      <c r="S89" s="585"/>
      <c r="T89" s="585"/>
      <c r="U89" s="585"/>
      <c r="V89" s="585"/>
      <c r="W89" s="585"/>
      <c r="X89" s="585"/>
      <c r="Y89" s="585"/>
      <c r="Z89" s="585"/>
      <c r="AA89" s="585"/>
      <c r="AB89" s="585"/>
      <c r="AC89" s="585"/>
      <c r="AD89" s="585"/>
      <c r="AE89" s="585"/>
      <c r="AF89" s="585"/>
      <c r="AG89" s="585"/>
      <c r="AH89" s="585"/>
      <c r="AI89" s="585"/>
      <c r="AJ89" s="585"/>
      <c r="AK89" s="585"/>
      <c r="AL89" s="585"/>
      <c r="AM89" s="585"/>
      <c r="AN89" s="585"/>
      <c r="AO89" s="585"/>
      <c r="AP89" s="585"/>
      <c r="AQ89" s="585"/>
      <c r="AR89" s="422" t="e">
        <f>BT88</f>
        <v>#REF!</v>
      </c>
      <c r="AS89" s="1430" t="e">
        <f>BT88</f>
        <v>#REF!</v>
      </c>
      <c r="AT89" s="1430"/>
      <c r="AU89" s="1430"/>
      <c r="AV89" s="1430"/>
      <c r="AW89" s="1430"/>
      <c r="AX89" s="1430"/>
      <c r="AY89" s="1430"/>
      <c r="AZ89" s="1430"/>
      <c r="BA89" s="1430"/>
      <c r="BB89" s="1430"/>
      <c r="BC89" s="585"/>
      <c r="BD89" s="1431" t="s">
        <v>446</v>
      </c>
      <c r="BE89" s="1431"/>
      <c r="BF89" s="585"/>
      <c r="BG89" s="1431">
        <v>22</v>
      </c>
      <c r="BH89" s="1431"/>
      <c r="BI89" s="1431"/>
      <c r="BJ89" s="1431"/>
      <c r="BK89" s="1431"/>
      <c r="BL89" s="585" t="s">
        <v>1112</v>
      </c>
      <c r="BM89" s="585"/>
      <c r="BN89" s="585"/>
      <c r="BO89" s="585"/>
      <c r="BP89" s="1431" t="s">
        <v>41</v>
      </c>
      <c r="BQ89" s="1431"/>
      <c r="BR89" s="585"/>
      <c r="BS89" s="585"/>
      <c r="BT89" s="1432" t="e">
        <f>INT(AS89*BG89/100)</f>
        <v>#REF!</v>
      </c>
      <c r="BU89" s="1432"/>
      <c r="BV89" s="1432"/>
      <c r="BW89" s="1432"/>
      <c r="BX89" s="1432"/>
      <c r="BY89" s="1432"/>
      <c r="BZ89" s="1432"/>
      <c r="CA89" s="1432"/>
      <c r="CB89" s="1432"/>
      <c r="CC89" s="1432"/>
      <c r="CD89" s="585"/>
      <c r="CE89" s="585"/>
      <c r="CF89" s="586"/>
    </row>
    <row r="90" spans="1:84" s="583" customFormat="1" ht="23.1" customHeight="1" thickBot="1">
      <c r="A90" s="584"/>
      <c r="B90" s="585"/>
      <c r="C90" s="585"/>
      <c r="D90" s="585"/>
      <c r="E90" s="585"/>
      <c r="F90" s="585"/>
      <c r="G90" s="585"/>
      <c r="H90" s="585"/>
      <c r="I90" s="585"/>
      <c r="J90" s="585"/>
      <c r="K90" s="585"/>
      <c r="L90" s="585"/>
      <c r="M90" s="585"/>
      <c r="N90" s="585"/>
      <c r="O90" s="585"/>
      <c r="P90" s="585"/>
      <c r="Q90" s="585"/>
      <c r="R90" s="585"/>
      <c r="S90" s="585"/>
      <c r="T90" s="585"/>
      <c r="U90" s="585"/>
      <c r="V90" s="585"/>
      <c r="W90" s="585"/>
      <c r="X90" s="585"/>
      <c r="Y90" s="585"/>
      <c r="Z90" s="585"/>
      <c r="AA90" s="585"/>
      <c r="AB90" s="585"/>
      <c r="AC90" s="585"/>
      <c r="AD90" s="585"/>
      <c r="AE90" s="585"/>
      <c r="AF90" s="585"/>
      <c r="AG90" s="585"/>
      <c r="AH90" s="585"/>
      <c r="AI90" s="585"/>
      <c r="AJ90" s="585"/>
      <c r="AK90" s="585"/>
      <c r="AL90" s="585"/>
      <c r="AM90" s="585"/>
      <c r="AN90" s="585"/>
      <c r="AO90" s="585"/>
      <c r="AP90" s="585"/>
      <c r="AQ90" s="585"/>
      <c r="AR90" s="585"/>
      <c r="AS90" s="585"/>
      <c r="AT90" s="585"/>
      <c r="AU90" s="585"/>
      <c r="AV90" s="585"/>
      <c r="AW90" s="585"/>
      <c r="AX90" s="585"/>
      <c r="AY90" s="585"/>
      <c r="AZ90" s="585"/>
      <c r="BA90" s="585"/>
      <c r="BB90" s="585"/>
      <c r="BC90" s="585"/>
      <c r="BD90" s="585"/>
      <c r="BE90" s="585"/>
      <c r="BF90" s="585"/>
      <c r="BG90" s="585"/>
      <c r="BH90" s="585"/>
      <c r="BI90" s="585"/>
      <c r="BJ90" s="585"/>
      <c r="BK90" s="585"/>
      <c r="BL90" s="585"/>
      <c r="BM90" s="585"/>
      <c r="BN90" s="585"/>
      <c r="BO90" s="585"/>
      <c r="BP90" s="1431" t="s">
        <v>41</v>
      </c>
      <c r="BQ90" s="1431"/>
      <c r="BR90" s="585"/>
      <c r="BS90" s="585"/>
      <c r="BT90" s="1433" t="e">
        <f>BT88+BT89</f>
        <v>#REF!</v>
      </c>
      <c r="BU90" s="1433"/>
      <c r="BV90" s="1433"/>
      <c r="BW90" s="1433"/>
      <c r="BX90" s="1433"/>
      <c r="BY90" s="1433"/>
      <c r="BZ90" s="1433"/>
      <c r="CA90" s="1433"/>
      <c r="CB90" s="1433"/>
      <c r="CC90" s="1433"/>
      <c r="CD90" s="585"/>
      <c r="CE90" s="585"/>
      <c r="CF90" s="586"/>
    </row>
    <row r="91" spans="1:84" s="583" customFormat="1" ht="23.1" customHeight="1" thickBot="1">
      <c r="A91" s="597"/>
      <c r="B91" s="598" t="s">
        <v>1113</v>
      </c>
      <c r="C91" s="598"/>
      <c r="D91" s="598"/>
      <c r="E91" s="598"/>
      <c r="F91" s="598"/>
      <c r="G91" s="598"/>
      <c r="H91" s="598"/>
      <c r="I91" s="598"/>
      <c r="J91" s="598"/>
      <c r="K91" s="598"/>
      <c r="L91" s="598"/>
      <c r="M91" s="598"/>
      <c r="N91" s="598"/>
      <c r="O91" s="598"/>
      <c r="P91" s="598"/>
      <c r="Q91" s="598"/>
      <c r="R91" s="598"/>
      <c r="S91" s="598"/>
      <c r="T91" s="598"/>
      <c r="U91" s="598"/>
      <c r="V91" s="598"/>
      <c r="W91" s="598"/>
      <c r="X91" s="598"/>
      <c r="Y91" s="598"/>
      <c r="Z91" s="598"/>
      <c r="AA91" s="598"/>
      <c r="AB91" s="598"/>
      <c r="AC91" s="598"/>
      <c r="AD91" s="598"/>
      <c r="AE91" s="598"/>
      <c r="AF91" s="598"/>
      <c r="AG91" s="598"/>
      <c r="AH91" s="598"/>
      <c r="AI91" s="598"/>
      <c r="AJ91" s="598"/>
      <c r="AK91" s="598"/>
      <c r="AL91" s="598"/>
      <c r="AM91" s="598"/>
      <c r="AN91" s="598"/>
      <c r="AO91" s="598"/>
      <c r="AP91" s="598"/>
      <c r="AQ91" s="598"/>
      <c r="AR91" s="598"/>
      <c r="AS91" s="598"/>
      <c r="AT91" s="598"/>
      <c r="AU91" s="598"/>
      <c r="AV91" s="598"/>
      <c r="AW91" s="598"/>
      <c r="AX91" s="598"/>
      <c r="AY91" s="598"/>
      <c r="AZ91" s="598"/>
      <c r="BA91" s="598"/>
      <c r="BB91" s="598"/>
      <c r="BC91" s="598"/>
      <c r="BD91" s="598"/>
      <c r="BE91" s="598"/>
      <c r="BF91" s="598"/>
      <c r="BG91" s="598"/>
      <c r="BH91" s="598"/>
      <c r="BI91" s="598"/>
      <c r="BJ91" s="598"/>
      <c r="BK91" s="598"/>
      <c r="BL91" s="598"/>
      <c r="BM91" s="598"/>
      <c r="BN91" s="598"/>
      <c r="BO91" s="598"/>
      <c r="BP91" s="598"/>
      <c r="BQ91" s="598"/>
      <c r="BR91" s="598"/>
      <c r="BS91" s="598"/>
      <c r="BT91" s="1429" t="e">
        <f>BT82+BT86+BT90</f>
        <v>#REF!</v>
      </c>
      <c r="BU91" s="1429"/>
      <c r="BV91" s="1429"/>
      <c r="BW91" s="1429"/>
      <c r="BX91" s="1429"/>
      <c r="BY91" s="1429"/>
      <c r="BZ91" s="1429"/>
      <c r="CA91" s="1429"/>
      <c r="CB91" s="1429"/>
      <c r="CC91" s="1429"/>
      <c r="CD91" s="598"/>
      <c r="CE91" s="598"/>
      <c r="CF91" s="599"/>
    </row>
    <row r="92" spans="1:84" s="583" customFormat="1" ht="9.9499999999999993" customHeight="1">
      <c r="A92" s="574"/>
      <c r="B92" s="574"/>
      <c r="C92" s="574"/>
      <c r="D92" s="574"/>
      <c r="E92" s="574"/>
      <c r="F92" s="574"/>
      <c r="G92" s="574"/>
      <c r="H92" s="574"/>
      <c r="I92" s="574"/>
      <c r="J92" s="574"/>
      <c r="K92" s="574"/>
      <c r="L92" s="574"/>
      <c r="M92" s="574"/>
      <c r="N92" s="574"/>
      <c r="O92" s="574"/>
      <c r="P92" s="574"/>
      <c r="Q92" s="574"/>
      <c r="R92" s="574"/>
      <c r="S92" s="574"/>
      <c r="T92" s="574"/>
      <c r="U92" s="574"/>
      <c r="V92" s="574"/>
      <c r="W92" s="574"/>
      <c r="X92" s="574"/>
      <c r="Y92" s="574"/>
      <c r="Z92" s="574"/>
      <c r="AA92" s="574"/>
      <c r="AB92" s="574"/>
      <c r="AC92" s="574"/>
      <c r="AD92" s="574"/>
      <c r="AE92" s="574"/>
      <c r="AF92" s="574"/>
      <c r="AG92" s="574"/>
      <c r="AH92" s="574"/>
      <c r="AI92" s="574"/>
      <c r="AJ92" s="574"/>
      <c r="AK92" s="574"/>
      <c r="AL92" s="574"/>
      <c r="AM92" s="574"/>
      <c r="AN92" s="574"/>
      <c r="AO92" s="574"/>
      <c r="AP92" s="574"/>
      <c r="AQ92" s="574"/>
      <c r="AR92" s="574"/>
      <c r="AS92" s="574"/>
      <c r="AT92" s="574"/>
      <c r="AU92" s="574"/>
      <c r="AV92" s="574"/>
      <c r="AW92" s="574"/>
      <c r="AX92" s="574"/>
      <c r="AY92" s="574"/>
      <c r="AZ92" s="574"/>
      <c r="BA92" s="574"/>
      <c r="BB92" s="574"/>
      <c r="BC92" s="574"/>
      <c r="BD92" s="574"/>
      <c r="BE92" s="574"/>
      <c r="BF92" s="574"/>
      <c r="BG92" s="574"/>
      <c r="BH92" s="574"/>
      <c r="BI92" s="574"/>
      <c r="BJ92" s="574"/>
      <c r="BK92" s="574"/>
      <c r="BL92" s="574"/>
      <c r="BM92" s="574"/>
      <c r="BN92" s="574"/>
      <c r="BO92" s="574"/>
      <c r="BP92" s="574"/>
      <c r="BQ92" s="574"/>
      <c r="BR92" s="574"/>
      <c r="BS92" s="574"/>
      <c r="BT92" s="574"/>
      <c r="BU92" s="574"/>
      <c r="BV92" s="574"/>
      <c r="BW92" s="574"/>
      <c r="BX92" s="574"/>
      <c r="BY92" s="574"/>
      <c r="BZ92" s="574"/>
      <c r="CA92" s="574"/>
      <c r="CB92" s="574"/>
      <c r="CC92" s="574"/>
      <c r="CD92" s="574"/>
      <c r="CE92" s="574"/>
      <c r="CF92" s="574"/>
    </row>
    <row r="93" spans="1:84" s="583" customFormat="1" ht="23.1" customHeight="1" thickBot="1">
      <c r="A93" s="1446" t="s">
        <v>1095</v>
      </c>
      <c r="B93" s="1446"/>
      <c r="C93" s="1446"/>
      <c r="D93" s="1446"/>
      <c r="E93" s="1446"/>
      <c r="F93" s="1446"/>
      <c r="G93" s="1447">
        <f>G78+1</f>
        <v>7</v>
      </c>
      <c r="H93" s="1447"/>
      <c r="I93" s="1447"/>
      <c r="J93" s="1448" t="s">
        <v>1096</v>
      </c>
      <c r="K93" s="1448"/>
      <c r="L93" s="574"/>
      <c r="M93" s="574"/>
      <c r="N93" s="574"/>
      <c r="O93" s="574"/>
      <c r="P93" s="574"/>
      <c r="Q93" s="574"/>
      <c r="R93" s="574"/>
      <c r="S93" s="574"/>
      <c r="T93" s="574"/>
      <c r="U93" s="574"/>
      <c r="V93" s="574"/>
      <c r="W93" s="574"/>
      <c r="X93" s="574"/>
      <c r="Y93" s="574"/>
      <c r="Z93" s="574"/>
      <c r="AA93" s="574"/>
      <c r="AB93" s="574"/>
      <c r="AC93" s="574"/>
      <c r="AD93" s="574"/>
      <c r="AE93" s="574"/>
      <c r="AF93" s="574"/>
      <c r="AG93" s="574"/>
      <c r="AH93" s="574"/>
      <c r="AI93" s="574"/>
      <c r="AJ93" s="574"/>
      <c r="AK93" s="574"/>
      <c r="AL93" s="574"/>
      <c r="AM93" s="574"/>
      <c r="AN93" s="574"/>
      <c r="AO93" s="574"/>
      <c r="AP93" s="574"/>
      <c r="AQ93" s="574"/>
      <c r="AR93" s="574"/>
      <c r="AS93" s="574"/>
      <c r="AT93" s="574"/>
      <c r="AU93" s="574"/>
      <c r="AV93" s="574"/>
      <c r="AW93" s="574"/>
      <c r="AX93" s="574"/>
      <c r="AY93" s="574"/>
      <c r="AZ93" s="574"/>
      <c r="BA93" s="574"/>
      <c r="BB93" s="574"/>
      <c r="BC93" s="574"/>
      <c r="BD93" s="574"/>
      <c r="BE93" s="574"/>
      <c r="BF93" s="574"/>
      <c r="BG93" s="574"/>
      <c r="BH93" s="574"/>
      <c r="BI93" s="574"/>
      <c r="BJ93" s="574"/>
      <c r="BK93" s="574"/>
      <c r="BL93" s="574"/>
      <c r="BM93" s="574"/>
      <c r="BN93" s="574"/>
      <c r="BO93" s="574"/>
      <c r="BP93" s="574"/>
      <c r="BQ93" s="574"/>
      <c r="BR93" s="574"/>
      <c r="BS93" s="574"/>
      <c r="BT93" s="574"/>
      <c r="BU93" s="574"/>
      <c r="BV93" s="574"/>
      <c r="BW93" s="574"/>
      <c r="BX93" s="574"/>
      <c r="BY93" s="574"/>
      <c r="BZ93" s="574"/>
      <c r="CA93" s="574"/>
      <c r="CB93" s="574"/>
      <c r="CC93" s="574"/>
      <c r="CD93" s="574"/>
      <c r="CE93" s="574"/>
      <c r="CF93" s="574"/>
    </row>
    <row r="94" spans="1:84" s="583" customFormat="1" ht="23.1" customHeight="1" thickBot="1">
      <c r="A94" s="1483" t="s">
        <v>1097</v>
      </c>
      <c r="B94" s="1484"/>
      <c r="C94" s="1484"/>
      <c r="D94" s="1484"/>
      <c r="E94" s="1484"/>
      <c r="F94" s="1484"/>
      <c r="G94" s="1484"/>
      <c r="H94" s="1484"/>
      <c r="I94" s="581" t="s">
        <v>277</v>
      </c>
      <c r="J94" s="581"/>
      <c r="K94" s="581"/>
      <c r="L94" s="581"/>
      <c r="M94" s="581"/>
      <c r="N94" s="581"/>
      <c r="O94" s="581"/>
      <c r="P94" s="581"/>
      <c r="Q94" s="581"/>
      <c r="R94" s="581"/>
      <c r="S94" s="581"/>
      <c r="T94" s="581"/>
      <c r="U94" s="581"/>
      <c r="V94" s="581"/>
      <c r="W94" s="581"/>
      <c r="X94" s="581"/>
      <c r="Y94" s="581"/>
      <c r="Z94" s="581"/>
      <c r="AA94" s="581"/>
      <c r="AB94" s="581"/>
      <c r="AC94" s="581"/>
      <c r="AD94" s="581"/>
      <c r="AE94" s="581"/>
      <c r="AF94" s="581"/>
      <c r="AG94" s="581"/>
      <c r="AH94" s="581"/>
      <c r="AI94" s="581"/>
      <c r="AJ94" s="1484" t="s">
        <v>1099</v>
      </c>
      <c r="AK94" s="1484"/>
      <c r="AL94" s="1484"/>
      <c r="AM94" s="1484"/>
      <c r="AN94" s="1484"/>
      <c r="AO94" s="1484"/>
      <c r="AP94" s="1484"/>
      <c r="AQ94" s="581" t="s">
        <v>397</v>
      </c>
      <c r="AR94" s="581"/>
      <c r="AS94" s="581"/>
      <c r="AT94" s="581"/>
      <c r="AU94" s="581"/>
      <c r="AV94" s="581"/>
      <c r="AW94" s="581"/>
      <c r="AX94" s="581"/>
      <c r="AY94" s="581"/>
      <c r="AZ94" s="581"/>
      <c r="BA94" s="581"/>
      <c r="BB94" s="581"/>
      <c r="BC94" s="581"/>
      <c r="BD94" s="581"/>
      <c r="BE94" s="581"/>
      <c r="BF94" s="581"/>
      <c r="BG94" s="581"/>
      <c r="BH94" s="581"/>
      <c r="BI94" s="581"/>
      <c r="BJ94" s="581"/>
      <c r="BK94" s="581"/>
      <c r="BL94" s="581"/>
      <c r="BM94" s="581"/>
      <c r="BN94" s="581"/>
      <c r="BO94" s="581"/>
      <c r="BP94" s="581"/>
      <c r="BQ94" s="581"/>
      <c r="BR94" s="581"/>
      <c r="BS94" s="581"/>
      <c r="BT94" s="581" t="s">
        <v>1122</v>
      </c>
      <c r="BU94" s="581"/>
      <c r="BV94" s="581"/>
      <c r="BW94" s="581"/>
      <c r="BX94" s="581"/>
      <c r="BY94" s="581"/>
      <c r="BZ94" s="581"/>
      <c r="CA94" s="581"/>
      <c r="CB94" s="581"/>
      <c r="CC94" s="581"/>
      <c r="CD94" s="581"/>
      <c r="CE94" s="581"/>
      <c r="CF94" s="582"/>
    </row>
    <row r="95" spans="1:84" s="583" customFormat="1" ht="23.1" customHeight="1">
      <c r="A95" s="584"/>
      <c r="B95" s="585" t="s">
        <v>1102</v>
      </c>
      <c r="C95" s="585"/>
      <c r="D95" s="585"/>
      <c r="E95" s="585"/>
      <c r="F95" s="585"/>
      <c r="G95" s="585"/>
      <c r="H95" s="585"/>
      <c r="I95" s="585"/>
      <c r="J95" s="585"/>
      <c r="K95" s="585"/>
      <c r="L95" s="585"/>
      <c r="M95" s="585"/>
      <c r="N95" s="585"/>
      <c r="O95" s="585"/>
      <c r="P95" s="585"/>
      <c r="Q95" s="585"/>
      <c r="R95" s="585"/>
      <c r="S95" s="585"/>
      <c r="T95" s="585"/>
      <c r="U95" s="585"/>
      <c r="V95" s="585"/>
      <c r="W95" s="585"/>
      <c r="X95" s="585"/>
      <c r="Y95" s="585"/>
      <c r="Z95" s="585"/>
      <c r="AA95" s="585"/>
      <c r="AB95" s="585"/>
      <c r="AC95" s="585"/>
      <c r="AD95" s="585"/>
      <c r="AE95" s="585"/>
      <c r="AF95" s="585"/>
      <c r="AG95" s="585"/>
      <c r="AH95" s="585"/>
      <c r="AI95" s="585"/>
      <c r="AJ95" s="585"/>
      <c r="AK95" s="585"/>
      <c r="AL95" s="585"/>
      <c r="AM95" s="585"/>
      <c r="AN95" s="585"/>
      <c r="AO95" s="585"/>
      <c r="AP95" s="585"/>
      <c r="AQ95" s="585"/>
      <c r="AR95" s="585"/>
      <c r="AS95" s="585"/>
      <c r="AT95" s="585"/>
      <c r="AU95" s="585"/>
      <c r="AV95" s="585"/>
      <c r="AW95" s="585"/>
      <c r="AX95" s="585"/>
      <c r="AY95" s="585"/>
      <c r="AZ95" s="585"/>
      <c r="BA95" s="585"/>
      <c r="BB95" s="585"/>
      <c r="BC95" s="585"/>
      <c r="BD95" s="585"/>
      <c r="BE95" s="585"/>
      <c r="BF95" s="585"/>
      <c r="BG95" s="585"/>
      <c r="BH95" s="585"/>
      <c r="BI95" s="585"/>
      <c r="BJ95" s="585"/>
      <c r="BK95" s="585"/>
      <c r="BL95" s="585"/>
      <c r="BM95" s="585"/>
      <c r="BN95" s="585"/>
      <c r="BO95" s="585"/>
      <c r="BP95" s="585"/>
      <c r="BQ95" s="585"/>
      <c r="BR95" s="585"/>
      <c r="BS95" s="585"/>
      <c r="BT95" s="585"/>
      <c r="BU95" s="585"/>
      <c r="BV95" s="585"/>
      <c r="BW95" s="585"/>
      <c r="BX95" s="585"/>
      <c r="BY95" s="585"/>
      <c r="BZ95" s="585"/>
      <c r="CA95" s="585"/>
      <c r="CB95" s="585"/>
      <c r="CC95" s="585"/>
      <c r="CD95" s="585"/>
      <c r="CE95" s="585"/>
      <c r="CF95" s="586"/>
    </row>
    <row r="96" spans="1:84" s="583" customFormat="1" ht="23.1" customHeight="1">
      <c r="A96" s="587"/>
      <c r="B96" s="574"/>
      <c r="C96" s="574"/>
      <c r="D96" s="405"/>
      <c r="E96" s="574"/>
      <c r="F96" s="422"/>
      <c r="G96" s="422"/>
      <c r="H96" s="422"/>
      <c r="I96" s="422"/>
      <c r="J96" s="422"/>
      <c r="K96" s="422"/>
      <c r="L96" s="422"/>
      <c r="M96" s="422"/>
      <c r="N96" s="574"/>
      <c r="O96" s="574"/>
      <c r="P96" s="574"/>
      <c r="Q96" s="574"/>
      <c r="R96" s="574"/>
      <c r="S96" s="588"/>
      <c r="T96" s="588"/>
      <c r="U96" s="588"/>
      <c r="V96" s="588"/>
      <c r="W96" s="588"/>
      <c r="X96" s="588"/>
      <c r="Y96" s="588"/>
      <c r="Z96" s="588"/>
      <c r="AA96" s="574"/>
      <c r="AB96" s="588"/>
      <c r="AC96" s="585"/>
      <c r="AD96" s="585"/>
      <c r="AE96" s="600"/>
      <c r="AF96" s="600"/>
      <c r="AG96" s="600"/>
      <c r="AH96" s="600"/>
      <c r="AI96" s="600"/>
      <c r="AJ96" s="600"/>
      <c r="AK96" s="600"/>
      <c r="AL96" s="600"/>
      <c r="AM96" s="585"/>
      <c r="AN96" s="585"/>
      <c r="AO96" s="574"/>
      <c r="AP96" s="430"/>
      <c r="AQ96" s="430"/>
      <c r="AR96" s="430"/>
      <c r="AS96" s="430"/>
      <c r="AT96" s="430"/>
      <c r="AU96" s="430"/>
      <c r="AV96" s="430"/>
      <c r="AW96" s="430"/>
      <c r="AX96" s="430"/>
      <c r="AY96" s="430"/>
      <c r="AZ96" s="430"/>
      <c r="BA96" s="430"/>
      <c r="BB96" s="430"/>
      <c r="BC96" s="430"/>
      <c r="BD96" s="574"/>
      <c r="BE96" s="574"/>
      <c r="BF96" s="574"/>
      <c r="BG96" s="574"/>
      <c r="BH96" s="574"/>
      <c r="BI96" s="574"/>
      <c r="BJ96" s="574"/>
      <c r="BK96" s="574"/>
      <c r="BL96" s="574"/>
      <c r="BM96" s="574"/>
      <c r="BN96" s="574"/>
      <c r="BO96" s="574"/>
      <c r="BP96" s="574"/>
      <c r="BQ96" s="574"/>
      <c r="BR96" s="574"/>
      <c r="BS96" s="574"/>
      <c r="BT96" s="574"/>
      <c r="BU96" s="574"/>
      <c r="BV96" s="574"/>
      <c r="BW96" s="574"/>
      <c r="BX96" s="574"/>
      <c r="BY96" s="574"/>
      <c r="BZ96" s="574"/>
      <c r="CA96" s="574"/>
      <c r="CB96" s="574"/>
      <c r="CC96" s="574"/>
      <c r="CD96" s="574"/>
      <c r="CE96" s="574"/>
      <c r="CF96" s="589"/>
    </row>
    <row r="97" spans="1:84" s="583" customFormat="1" ht="23.1" customHeight="1">
      <c r="A97" s="584"/>
      <c r="B97" s="585"/>
      <c r="C97" s="585"/>
      <c r="D97" s="585"/>
      <c r="E97" s="585"/>
      <c r="F97" s="585"/>
      <c r="G97" s="585"/>
      <c r="H97" s="585"/>
      <c r="I97" s="585"/>
      <c r="J97" s="585"/>
      <c r="K97" s="585"/>
      <c r="L97" s="585"/>
      <c r="M97" s="585"/>
      <c r="N97" s="585"/>
      <c r="O97" s="585"/>
      <c r="P97" s="585"/>
      <c r="Q97" s="585"/>
      <c r="R97" s="585"/>
      <c r="S97" s="585"/>
      <c r="T97" s="585"/>
      <c r="U97" s="585"/>
      <c r="V97" s="590"/>
      <c r="W97" s="590"/>
      <c r="X97" s="590"/>
      <c r="Y97" s="590"/>
      <c r="Z97" s="590"/>
      <c r="AA97" s="590"/>
      <c r="AB97" s="590"/>
      <c r="AC97" s="590"/>
      <c r="AD97" s="574"/>
      <c r="AE97" s="1440">
        <v>112342000</v>
      </c>
      <c r="AF97" s="1440"/>
      <c r="AG97" s="1440"/>
      <c r="AH97" s="1440"/>
      <c r="AI97" s="1440"/>
      <c r="AJ97" s="1440"/>
      <c r="AK97" s="1440"/>
      <c r="AL97" s="1440"/>
      <c r="AM97" s="1440"/>
      <c r="AN97" s="1440"/>
      <c r="AO97" s="1440"/>
      <c r="AP97" s="1440"/>
      <c r="AQ97" s="1440"/>
      <c r="AR97" s="1440"/>
      <c r="AS97" s="1440"/>
      <c r="AT97" s="1431" t="s">
        <v>446</v>
      </c>
      <c r="AU97" s="1431"/>
      <c r="AV97" s="1441" t="s">
        <v>1103</v>
      </c>
      <c r="AW97" s="1441"/>
      <c r="AX97" s="1442">
        <v>2085</v>
      </c>
      <c r="AY97" s="1442"/>
      <c r="AZ97" s="1442"/>
      <c r="BA97" s="1442"/>
      <c r="BB97" s="1442"/>
      <c r="BC97" s="1442"/>
      <c r="BD97" s="585"/>
      <c r="BE97" s="1431" t="s">
        <v>446</v>
      </c>
      <c r="BF97" s="1431"/>
      <c r="BG97" s="585"/>
      <c r="BH97" s="591" t="s">
        <v>1104</v>
      </c>
      <c r="BI97" s="585"/>
      <c r="BJ97" s="585"/>
      <c r="BK97" s="585"/>
      <c r="BL97" s="1431" t="s">
        <v>1105</v>
      </c>
      <c r="BM97" s="1431"/>
      <c r="BN97" s="1431"/>
      <c r="BO97" s="585"/>
      <c r="BP97" s="1431" t="s">
        <v>41</v>
      </c>
      <c r="BQ97" s="1431"/>
      <c r="BR97" s="585"/>
      <c r="BS97" s="585"/>
      <c r="BT97" s="1437">
        <f>INT(AE97*AX97*10^-7)</f>
        <v>23423</v>
      </c>
      <c r="BU97" s="1437"/>
      <c r="BV97" s="1437"/>
      <c r="BW97" s="1437"/>
      <c r="BX97" s="1437"/>
      <c r="BY97" s="1437"/>
      <c r="BZ97" s="1437"/>
      <c r="CA97" s="1437"/>
      <c r="CB97" s="1437"/>
      <c r="CC97" s="1437"/>
      <c r="CD97" s="585"/>
      <c r="CE97" s="585"/>
      <c r="CF97" s="586"/>
    </row>
    <row r="98" spans="1:84" s="583" customFormat="1" ht="23.1" customHeight="1">
      <c r="A98" s="592"/>
      <c r="B98" s="593" t="s">
        <v>1106</v>
      </c>
      <c r="C98" s="593"/>
      <c r="D98" s="593"/>
      <c r="E98" s="593"/>
      <c r="F98" s="593"/>
      <c r="G98" s="593"/>
      <c r="H98" s="593"/>
      <c r="I98" s="593"/>
      <c r="J98" s="593"/>
      <c r="K98" s="593"/>
      <c r="L98" s="593"/>
      <c r="M98" s="593"/>
      <c r="N98" s="593"/>
      <c r="O98" s="593"/>
      <c r="P98" s="593"/>
      <c r="Q98" s="593"/>
      <c r="R98" s="593"/>
      <c r="S98" s="593"/>
      <c r="T98" s="593"/>
      <c r="U98" s="593"/>
      <c r="V98" s="593"/>
      <c r="W98" s="593"/>
      <c r="X98" s="593"/>
      <c r="Y98" s="593"/>
      <c r="Z98" s="593"/>
      <c r="AA98" s="593"/>
      <c r="AB98" s="593"/>
      <c r="AC98" s="593"/>
      <c r="AD98" s="593"/>
      <c r="AE98" s="593"/>
      <c r="AF98" s="593"/>
      <c r="AG98" s="593"/>
      <c r="AH98" s="593"/>
      <c r="AI98" s="593"/>
      <c r="AJ98" s="593"/>
      <c r="AK98" s="593"/>
      <c r="AL98" s="593"/>
      <c r="AM98" s="593"/>
      <c r="AN98" s="593"/>
      <c r="AO98" s="593"/>
      <c r="AP98" s="593"/>
      <c r="AQ98" s="593"/>
      <c r="AR98" s="593"/>
      <c r="AS98" s="593"/>
      <c r="AT98" s="593"/>
      <c r="AU98" s="593"/>
      <c r="AV98" s="593"/>
      <c r="AW98" s="593"/>
      <c r="AX98" s="593"/>
      <c r="AY98" s="593"/>
      <c r="AZ98" s="593"/>
      <c r="BA98" s="593"/>
      <c r="BB98" s="593"/>
      <c r="BC98" s="593"/>
      <c r="BD98" s="593"/>
      <c r="BE98" s="593"/>
      <c r="BF98" s="593"/>
      <c r="BG98" s="593"/>
      <c r="BH98" s="593"/>
      <c r="BI98" s="593"/>
      <c r="BJ98" s="593"/>
      <c r="BK98" s="593"/>
      <c r="BL98" s="593"/>
      <c r="BM98" s="593"/>
      <c r="BN98" s="593"/>
      <c r="BO98" s="593"/>
      <c r="BP98" s="593"/>
      <c r="BQ98" s="593"/>
      <c r="BR98" s="593"/>
      <c r="BS98" s="593"/>
      <c r="BT98" s="594"/>
      <c r="BU98" s="594"/>
      <c r="BV98" s="594"/>
      <c r="BW98" s="594"/>
      <c r="BX98" s="594"/>
      <c r="BY98" s="594"/>
      <c r="BZ98" s="594"/>
      <c r="CA98" s="594"/>
      <c r="CB98" s="594"/>
      <c r="CC98" s="594"/>
      <c r="CD98" s="593"/>
      <c r="CE98" s="593"/>
      <c r="CF98" s="595"/>
    </row>
    <row r="99" spans="1:84" s="583" customFormat="1" ht="23.1" customHeight="1">
      <c r="A99" s="584"/>
      <c r="B99" s="585"/>
      <c r="C99" s="585"/>
      <c r="D99" s="596" t="s">
        <v>268</v>
      </c>
      <c r="E99" s="585"/>
      <c r="F99" s="585"/>
      <c r="G99" s="585"/>
      <c r="H99" s="585"/>
      <c r="I99" s="585"/>
      <c r="J99" s="585"/>
      <c r="K99" s="585"/>
      <c r="L99" s="585"/>
      <c r="M99" s="585"/>
      <c r="N99" s="585"/>
      <c r="O99" s="585"/>
      <c r="P99" s="585"/>
      <c r="Q99" s="585"/>
      <c r="R99" s="585"/>
      <c r="S99" s="585"/>
      <c r="T99" s="574"/>
      <c r="U99" s="574"/>
      <c r="V99" s="1435">
        <f>HLOOKUP(D99,$CJ$1:$CM$3,3,0)</f>
        <v>283297</v>
      </c>
      <c r="W99" s="1435"/>
      <c r="X99" s="1435"/>
      <c r="Y99" s="1435"/>
      <c r="Z99" s="1435"/>
      <c r="AA99" s="1435"/>
      <c r="AB99" s="1435"/>
      <c r="AC99" s="1435"/>
      <c r="AD99" s="1435"/>
      <c r="AE99" s="1435"/>
      <c r="AF99" s="1431" t="s">
        <v>446</v>
      </c>
      <c r="AG99" s="1431"/>
      <c r="AH99" s="574"/>
      <c r="AI99" s="1436" t="s">
        <v>1107</v>
      </c>
      <c r="AJ99" s="1436"/>
      <c r="AK99" s="1436"/>
      <c r="AL99" s="1436"/>
      <c r="AM99" s="585"/>
      <c r="AN99" s="1431" t="s">
        <v>446</v>
      </c>
      <c r="AO99" s="1431"/>
      <c r="AP99" s="585"/>
      <c r="AQ99" s="1436" t="s">
        <v>1108</v>
      </c>
      <c r="AR99" s="1436"/>
      <c r="AS99" s="1436"/>
      <c r="AT99" s="1436"/>
      <c r="AU99" s="1436"/>
      <c r="AV99" s="422"/>
      <c r="AW99" s="1431" t="s">
        <v>446</v>
      </c>
      <c r="AX99" s="1431"/>
      <c r="AY99" s="440"/>
      <c r="AZ99" s="1436" t="s">
        <v>1109</v>
      </c>
      <c r="BA99" s="1436"/>
      <c r="BB99" s="1436"/>
      <c r="BC99" s="1436"/>
      <c r="BD99" s="1436"/>
      <c r="BE99" s="585"/>
      <c r="BF99" s="1431" t="s">
        <v>446</v>
      </c>
      <c r="BG99" s="1431"/>
      <c r="BH99" s="1431">
        <v>1</v>
      </c>
      <c r="BI99" s="1431"/>
      <c r="BJ99" s="1431"/>
      <c r="BK99" s="585"/>
      <c r="BL99" s="585" t="s">
        <v>366</v>
      </c>
      <c r="BM99" s="585"/>
      <c r="BN99" s="585"/>
      <c r="BO99" s="585"/>
      <c r="BP99" s="1431" t="s">
        <v>41</v>
      </c>
      <c r="BQ99" s="1431"/>
      <c r="BR99" s="585"/>
      <c r="BS99" s="585"/>
      <c r="BT99" s="1432">
        <f>INT(V99/8*16/12*25/20*BH99)</f>
        <v>59020</v>
      </c>
      <c r="BU99" s="1432"/>
      <c r="BV99" s="1432"/>
      <c r="BW99" s="1432"/>
      <c r="BX99" s="1432"/>
      <c r="BY99" s="1432"/>
      <c r="BZ99" s="1432"/>
      <c r="CA99" s="1432"/>
      <c r="CB99" s="1432"/>
      <c r="CC99" s="1432"/>
      <c r="CD99" s="585"/>
      <c r="CE99" s="585"/>
      <c r="CF99" s="586"/>
    </row>
    <row r="100" spans="1:84" s="583" customFormat="1" ht="23.1" customHeight="1">
      <c r="A100" s="584"/>
      <c r="B100" s="585"/>
      <c r="C100" s="585"/>
      <c r="D100" s="585"/>
      <c r="E100" s="585"/>
      <c r="F100" s="585"/>
      <c r="G100" s="585"/>
      <c r="H100" s="585"/>
      <c r="I100" s="585"/>
      <c r="J100" s="585"/>
      <c r="K100" s="585"/>
      <c r="L100" s="585"/>
      <c r="M100" s="585"/>
      <c r="N100" s="585"/>
      <c r="O100" s="585"/>
      <c r="P100" s="574"/>
      <c r="Q100" s="574"/>
      <c r="R100" s="574"/>
      <c r="S100" s="574"/>
      <c r="T100" s="574"/>
      <c r="U100" s="574"/>
      <c r="V100" s="574"/>
      <c r="W100" s="574"/>
      <c r="X100" s="574"/>
      <c r="Y100" s="574"/>
      <c r="Z100" s="574"/>
      <c r="AA100" s="574"/>
      <c r="AB100" s="574"/>
      <c r="AC100" s="574"/>
      <c r="AD100" s="574"/>
      <c r="AE100" s="574"/>
      <c r="AF100" s="574"/>
      <c r="AG100" s="574"/>
      <c r="AH100" s="574"/>
      <c r="AI100" s="574"/>
      <c r="AJ100" s="574"/>
      <c r="AK100" s="574"/>
      <c r="AL100" s="574"/>
      <c r="AM100" s="574"/>
      <c r="AN100" s="574"/>
      <c r="AO100" s="574"/>
      <c r="AP100" s="574"/>
      <c r="AQ100" s="574"/>
      <c r="AR100" s="574"/>
      <c r="AS100" s="574"/>
      <c r="AT100" s="574"/>
      <c r="AU100" s="574"/>
      <c r="AV100" s="574"/>
      <c r="AW100" s="574"/>
      <c r="AX100" s="574"/>
      <c r="AY100" s="574"/>
      <c r="AZ100" s="574"/>
      <c r="BA100" s="574"/>
      <c r="BB100" s="574"/>
      <c r="BC100" s="574"/>
      <c r="BD100" s="574"/>
      <c r="BE100" s="574"/>
      <c r="BF100" s="574"/>
      <c r="BG100" s="585"/>
      <c r="BH100" s="585"/>
      <c r="BI100" s="585"/>
      <c r="BJ100" s="585"/>
      <c r="BK100" s="585"/>
      <c r="BL100" s="585"/>
      <c r="BM100" s="585"/>
      <c r="BN100" s="585"/>
      <c r="BO100" s="585"/>
      <c r="BP100" s="1431"/>
      <c r="BQ100" s="1431"/>
      <c r="BR100" s="585"/>
      <c r="BS100" s="585"/>
      <c r="BT100" s="1432"/>
      <c r="BU100" s="1432"/>
      <c r="BV100" s="1432"/>
      <c r="BW100" s="1432"/>
      <c r="BX100" s="1432"/>
      <c r="BY100" s="1432"/>
      <c r="BZ100" s="1432"/>
      <c r="CA100" s="1432"/>
      <c r="CB100" s="1432"/>
      <c r="CC100" s="1432"/>
      <c r="CD100" s="585"/>
      <c r="CE100" s="585"/>
      <c r="CF100" s="586"/>
    </row>
    <row r="101" spans="1:84" s="583" customFormat="1" ht="23.1" customHeight="1">
      <c r="A101" s="584"/>
      <c r="B101" s="585"/>
      <c r="C101" s="585"/>
      <c r="D101" s="585"/>
      <c r="E101" s="585"/>
      <c r="F101" s="585"/>
      <c r="G101" s="585"/>
      <c r="H101" s="585"/>
      <c r="I101" s="585"/>
      <c r="J101" s="585"/>
      <c r="K101" s="585"/>
      <c r="L101" s="585"/>
      <c r="M101" s="585"/>
      <c r="N101" s="585"/>
      <c r="O101" s="585"/>
      <c r="P101" s="585"/>
      <c r="Q101" s="585"/>
      <c r="R101" s="585"/>
      <c r="S101" s="585"/>
      <c r="T101" s="585"/>
      <c r="U101" s="585"/>
      <c r="V101" s="585"/>
      <c r="W101" s="585"/>
      <c r="X101" s="585"/>
      <c r="Y101" s="585"/>
      <c r="Z101" s="585"/>
      <c r="AA101" s="585"/>
      <c r="AB101" s="585"/>
      <c r="AC101" s="585"/>
      <c r="AD101" s="574"/>
      <c r="AE101" s="574"/>
      <c r="AF101" s="574"/>
      <c r="AG101" s="574"/>
      <c r="AH101" s="574"/>
      <c r="AI101" s="574"/>
      <c r="AJ101" s="574"/>
      <c r="AK101" s="574"/>
      <c r="AL101" s="574"/>
      <c r="AM101" s="574"/>
      <c r="AN101" s="574"/>
      <c r="AO101" s="574"/>
      <c r="AP101" s="574"/>
      <c r="AQ101" s="574"/>
      <c r="AR101" s="574"/>
      <c r="AS101" s="585"/>
      <c r="AT101" s="590"/>
      <c r="AU101" s="590"/>
      <c r="AV101" s="585"/>
      <c r="AW101" s="585"/>
      <c r="AX101" s="585"/>
      <c r="AY101" s="585"/>
      <c r="AZ101" s="585"/>
      <c r="BA101" s="585"/>
      <c r="BB101" s="585"/>
      <c r="BC101" s="585"/>
      <c r="BD101" s="585"/>
      <c r="BE101" s="585"/>
      <c r="BF101" s="585"/>
      <c r="BG101" s="585"/>
      <c r="BH101" s="585"/>
      <c r="BI101" s="585"/>
      <c r="BJ101" s="585"/>
      <c r="BK101" s="585"/>
      <c r="BL101" s="585"/>
      <c r="BM101" s="585"/>
      <c r="BN101" s="585"/>
      <c r="BO101" s="585"/>
      <c r="BP101" s="1431" t="s">
        <v>41</v>
      </c>
      <c r="BQ101" s="1431"/>
      <c r="BR101" s="585"/>
      <c r="BS101" s="585"/>
      <c r="BT101" s="1434">
        <f>BT99+BT100</f>
        <v>59020</v>
      </c>
      <c r="BU101" s="1434"/>
      <c r="BV101" s="1434"/>
      <c r="BW101" s="1434"/>
      <c r="BX101" s="1434"/>
      <c r="BY101" s="1434"/>
      <c r="BZ101" s="1434"/>
      <c r="CA101" s="1434"/>
      <c r="CB101" s="1434"/>
      <c r="CC101" s="1434"/>
      <c r="CD101" s="585"/>
      <c r="CE101" s="585"/>
      <c r="CF101" s="586"/>
    </row>
    <row r="102" spans="1:84" s="583" customFormat="1" ht="23.1" customHeight="1">
      <c r="A102" s="592"/>
      <c r="B102" s="593" t="s">
        <v>1110</v>
      </c>
      <c r="C102" s="593"/>
      <c r="D102" s="593"/>
      <c r="E102" s="593"/>
      <c r="F102" s="593"/>
      <c r="G102" s="593"/>
      <c r="H102" s="593"/>
      <c r="I102" s="593"/>
      <c r="J102" s="593"/>
      <c r="K102" s="593"/>
      <c r="L102" s="593"/>
      <c r="M102" s="593"/>
      <c r="N102" s="593"/>
      <c r="O102" s="593"/>
      <c r="P102" s="593"/>
      <c r="Q102" s="593"/>
      <c r="R102" s="593"/>
      <c r="S102" s="593"/>
      <c r="T102" s="593"/>
      <c r="U102" s="593"/>
      <c r="V102" s="593"/>
      <c r="W102" s="593"/>
      <c r="X102" s="593"/>
      <c r="Y102" s="593"/>
      <c r="Z102" s="593"/>
      <c r="AA102" s="593"/>
      <c r="AB102" s="593"/>
      <c r="AC102" s="593"/>
      <c r="AD102" s="593"/>
      <c r="AE102" s="593"/>
      <c r="AF102" s="593"/>
      <c r="AG102" s="593"/>
      <c r="AH102" s="593"/>
      <c r="AI102" s="593"/>
      <c r="AJ102" s="593"/>
      <c r="AK102" s="593"/>
      <c r="AL102" s="593"/>
      <c r="AM102" s="593"/>
      <c r="AN102" s="593"/>
      <c r="AO102" s="593"/>
      <c r="AP102" s="593"/>
      <c r="AQ102" s="593"/>
      <c r="AR102" s="593"/>
      <c r="AS102" s="593"/>
      <c r="AT102" s="593"/>
      <c r="AU102" s="593"/>
      <c r="AV102" s="593"/>
      <c r="AW102" s="593"/>
      <c r="AX102" s="593"/>
      <c r="AY102" s="593"/>
      <c r="AZ102" s="593"/>
      <c r="BA102" s="593"/>
      <c r="BB102" s="593"/>
      <c r="BC102" s="593"/>
      <c r="BD102" s="593"/>
      <c r="BE102" s="593"/>
      <c r="BF102" s="593"/>
      <c r="BG102" s="593"/>
      <c r="BH102" s="593"/>
      <c r="BI102" s="593"/>
      <c r="BJ102" s="593"/>
      <c r="BK102" s="593"/>
      <c r="BL102" s="593"/>
      <c r="BM102" s="593"/>
      <c r="BN102" s="593"/>
      <c r="BO102" s="593"/>
      <c r="BP102" s="593"/>
      <c r="BQ102" s="593"/>
      <c r="BR102" s="593"/>
      <c r="BS102" s="593"/>
      <c r="BT102" s="593"/>
      <c r="BU102" s="593"/>
      <c r="BV102" s="593"/>
      <c r="BW102" s="593"/>
      <c r="BX102" s="593"/>
      <c r="BY102" s="593"/>
      <c r="BZ102" s="593"/>
      <c r="CA102" s="593"/>
      <c r="CB102" s="593"/>
      <c r="CC102" s="593"/>
      <c r="CD102" s="593"/>
      <c r="CE102" s="593"/>
      <c r="CF102" s="595"/>
    </row>
    <row r="103" spans="1:84" s="583" customFormat="1" ht="23.1" customHeight="1">
      <c r="A103" s="584"/>
      <c r="B103" s="585"/>
      <c r="C103" s="585"/>
      <c r="D103" s="596" t="s">
        <v>1094</v>
      </c>
      <c r="E103" s="585"/>
      <c r="F103" s="585"/>
      <c r="G103" s="585"/>
      <c r="H103" s="585"/>
      <c r="I103" s="585"/>
      <c r="J103" s="585"/>
      <c r="K103" s="585"/>
      <c r="L103" s="585"/>
      <c r="M103" s="585"/>
      <c r="N103" s="585"/>
      <c r="O103" s="585"/>
      <c r="P103" s="585"/>
      <c r="Q103" s="585"/>
      <c r="R103" s="585"/>
      <c r="S103" s="585"/>
      <c r="T103" s="585"/>
      <c r="U103" s="585"/>
      <c r="V103" s="585"/>
      <c r="W103" s="585"/>
      <c r="X103" s="585"/>
      <c r="Y103" s="585"/>
      <c r="Z103" s="585"/>
      <c r="AA103" s="585"/>
      <c r="AB103" s="585"/>
      <c r="AC103" s="585"/>
      <c r="AD103" s="585"/>
      <c r="AE103" s="585"/>
      <c r="AF103" s="585"/>
      <c r="AG103" s="585"/>
      <c r="AH103" s="585"/>
      <c r="AI103" s="585"/>
      <c r="AJ103" s="585"/>
      <c r="AK103" s="585"/>
      <c r="AL103" s="585"/>
      <c r="AM103" s="585"/>
      <c r="AN103" s="585"/>
      <c r="AO103" s="585"/>
      <c r="AP103" s="585"/>
      <c r="AQ103" s="585"/>
      <c r="AR103" s="422"/>
      <c r="AS103" s="1435" t="e">
        <f>HLOOKUP(D103,$CN$1:$CO$3,3,0)</f>
        <v>#REF!</v>
      </c>
      <c r="AT103" s="1435"/>
      <c r="AU103" s="1435"/>
      <c r="AV103" s="1435"/>
      <c r="AW103" s="1435"/>
      <c r="AX103" s="1435"/>
      <c r="AY103" s="1435"/>
      <c r="AZ103" s="1435"/>
      <c r="BA103" s="1435"/>
      <c r="BB103" s="1435"/>
      <c r="BC103" s="585"/>
      <c r="BD103" s="1431" t="s">
        <v>446</v>
      </c>
      <c r="BE103" s="1431"/>
      <c r="BF103" s="585"/>
      <c r="BG103" s="1431">
        <v>10.199999999999999</v>
      </c>
      <c r="BH103" s="1431"/>
      <c r="BI103" s="1431"/>
      <c r="BJ103" s="1431"/>
      <c r="BK103" s="1431"/>
      <c r="BL103" s="585" t="s">
        <v>1111</v>
      </c>
      <c r="BM103" s="585"/>
      <c r="BN103" s="585"/>
      <c r="BO103" s="585"/>
      <c r="BP103" s="1431" t="s">
        <v>41</v>
      </c>
      <c r="BQ103" s="1431"/>
      <c r="BR103" s="585"/>
      <c r="BS103" s="585"/>
      <c r="BT103" s="1432" t="e">
        <f>INT(AS103*BG103)</f>
        <v>#REF!</v>
      </c>
      <c r="BU103" s="1432"/>
      <c r="BV103" s="1432"/>
      <c r="BW103" s="1432"/>
      <c r="BX103" s="1432"/>
      <c r="BY103" s="1432"/>
      <c r="BZ103" s="1432"/>
      <c r="CA103" s="1432"/>
      <c r="CB103" s="1432"/>
      <c r="CC103" s="1432"/>
      <c r="CD103" s="585"/>
      <c r="CE103" s="585"/>
      <c r="CF103" s="586"/>
    </row>
    <row r="104" spans="1:84" s="583" customFormat="1" ht="23.1" customHeight="1">
      <c r="A104" s="584"/>
      <c r="B104" s="585"/>
      <c r="C104" s="585"/>
      <c r="D104" s="591" t="str">
        <f>"잡재료 (주연료의 "&amp;BG104&amp;"%) :"</f>
        <v>잡재료 (주연료의 22%) :</v>
      </c>
      <c r="E104" s="585"/>
      <c r="F104" s="585"/>
      <c r="G104" s="585"/>
      <c r="H104" s="585"/>
      <c r="I104" s="585"/>
      <c r="J104" s="585"/>
      <c r="K104" s="585"/>
      <c r="L104" s="585"/>
      <c r="M104" s="585"/>
      <c r="N104" s="585"/>
      <c r="O104" s="585"/>
      <c r="P104" s="585"/>
      <c r="Q104" s="585"/>
      <c r="R104" s="585"/>
      <c r="S104" s="585"/>
      <c r="T104" s="585"/>
      <c r="U104" s="585"/>
      <c r="V104" s="585"/>
      <c r="W104" s="585"/>
      <c r="X104" s="585"/>
      <c r="Y104" s="585"/>
      <c r="Z104" s="585"/>
      <c r="AA104" s="585"/>
      <c r="AB104" s="585"/>
      <c r="AC104" s="585"/>
      <c r="AD104" s="585"/>
      <c r="AE104" s="585"/>
      <c r="AF104" s="585"/>
      <c r="AG104" s="585"/>
      <c r="AH104" s="585"/>
      <c r="AI104" s="585"/>
      <c r="AJ104" s="585"/>
      <c r="AK104" s="585"/>
      <c r="AL104" s="585"/>
      <c r="AM104" s="585"/>
      <c r="AN104" s="585"/>
      <c r="AO104" s="585"/>
      <c r="AP104" s="585"/>
      <c r="AQ104" s="585"/>
      <c r="AR104" s="422" t="e">
        <f>BT103</f>
        <v>#REF!</v>
      </c>
      <c r="AS104" s="1430" t="e">
        <f>BT103</f>
        <v>#REF!</v>
      </c>
      <c r="AT104" s="1430"/>
      <c r="AU104" s="1430"/>
      <c r="AV104" s="1430"/>
      <c r="AW104" s="1430"/>
      <c r="AX104" s="1430"/>
      <c r="AY104" s="1430"/>
      <c r="AZ104" s="1430"/>
      <c r="BA104" s="1430"/>
      <c r="BB104" s="1430"/>
      <c r="BC104" s="585"/>
      <c r="BD104" s="1431" t="s">
        <v>446</v>
      </c>
      <c r="BE104" s="1431"/>
      <c r="BF104" s="585"/>
      <c r="BG104" s="1431">
        <v>22</v>
      </c>
      <c r="BH104" s="1431"/>
      <c r="BI104" s="1431"/>
      <c r="BJ104" s="1431"/>
      <c r="BK104" s="1431"/>
      <c r="BL104" s="585" t="s">
        <v>1112</v>
      </c>
      <c r="BM104" s="585"/>
      <c r="BN104" s="585"/>
      <c r="BO104" s="585"/>
      <c r="BP104" s="1431" t="s">
        <v>41</v>
      </c>
      <c r="BQ104" s="1431"/>
      <c r="BR104" s="585"/>
      <c r="BS104" s="585"/>
      <c r="BT104" s="1432" t="e">
        <f>INT(AS104*BG104/100)</f>
        <v>#REF!</v>
      </c>
      <c r="BU104" s="1432"/>
      <c r="BV104" s="1432"/>
      <c r="BW104" s="1432"/>
      <c r="BX104" s="1432"/>
      <c r="BY104" s="1432"/>
      <c r="BZ104" s="1432"/>
      <c r="CA104" s="1432"/>
      <c r="CB104" s="1432"/>
      <c r="CC104" s="1432"/>
      <c r="CD104" s="585"/>
      <c r="CE104" s="585"/>
      <c r="CF104" s="586"/>
    </row>
    <row r="105" spans="1:84" s="583" customFormat="1" ht="23.1" customHeight="1" thickBot="1">
      <c r="A105" s="584"/>
      <c r="B105" s="585"/>
      <c r="C105" s="585"/>
      <c r="D105" s="585"/>
      <c r="E105" s="585"/>
      <c r="F105" s="585"/>
      <c r="G105" s="585"/>
      <c r="H105" s="585"/>
      <c r="I105" s="585"/>
      <c r="J105" s="585"/>
      <c r="K105" s="585"/>
      <c r="L105" s="585"/>
      <c r="M105" s="585"/>
      <c r="N105" s="585"/>
      <c r="O105" s="585"/>
      <c r="P105" s="585"/>
      <c r="Q105" s="585"/>
      <c r="R105" s="585"/>
      <c r="S105" s="585"/>
      <c r="T105" s="585"/>
      <c r="U105" s="585"/>
      <c r="V105" s="585"/>
      <c r="W105" s="585"/>
      <c r="X105" s="585"/>
      <c r="Y105" s="585"/>
      <c r="Z105" s="585"/>
      <c r="AA105" s="585"/>
      <c r="AB105" s="585"/>
      <c r="AC105" s="585"/>
      <c r="AD105" s="585"/>
      <c r="AE105" s="585"/>
      <c r="AF105" s="585"/>
      <c r="AG105" s="585"/>
      <c r="AH105" s="585"/>
      <c r="AI105" s="585"/>
      <c r="AJ105" s="585"/>
      <c r="AK105" s="585"/>
      <c r="AL105" s="585"/>
      <c r="AM105" s="585"/>
      <c r="AN105" s="585"/>
      <c r="AO105" s="585"/>
      <c r="AP105" s="585"/>
      <c r="AQ105" s="585"/>
      <c r="AR105" s="585"/>
      <c r="AS105" s="585"/>
      <c r="AT105" s="585"/>
      <c r="AU105" s="585"/>
      <c r="AV105" s="585"/>
      <c r="AW105" s="585"/>
      <c r="AX105" s="585"/>
      <c r="AY105" s="585"/>
      <c r="AZ105" s="585"/>
      <c r="BA105" s="585"/>
      <c r="BB105" s="585"/>
      <c r="BC105" s="585"/>
      <c r="BD105" s="585"/>
      <c r="BE105" s="585"/>
      <c r="BF105" s="585"/>
      <c r="BG105" s="585"/>
      <c r="BH105" s="585"/>
      <c r="BI105" s="585"/>
      <c r="BJ105" s="585"/>
      <c r="BK105" s="585"/>
      <c r="BL105" s="585"/>
      <c r="BM105" s="585"/>
      <c r="BN105" s="585"/>
      <c r="BO105" s="585"/>
      <c r="BP105" s="1431" t="s">
        <v>41</v>
      </c>
      <c r="BQ105" s="1431"/>
      <c r="BR105" s="585"/>
      <c r="BS105" s="585"/>
      <c r="BT105" s="1433" t="e">
        <f>BT103+BT104</f>
        <v>#REF!</v>
      </c>
      <c r="BU105" s="1433"/>
      <c r="BV105" s="1433"/>
      <c r="BW105" s="1433"/>
      <c r="BX105" s="1433"/>
      <c r="BY105" s="1433"/>
      <c r="BZ105" s="1433"/>
      <c r="CA105" s="1433"/>
      <c r="CB105" s="1433"/>
      <c r="CC105" s="1433"/>
      <c r="CD105" s="585"/>
      <c r="CE105" s="585"/>
      <c r="CF105" s="586"/>
    </row>
    <row r="106" spans="1:84" s="583" customFormat="1" ht="23.1" customHeight="1" thickBot="1">
      <c r="A106" s="597"/>
      <c r="B106" s="598" t="s">
        <v>1113</v>
      </c>
      <c r="C106" s="598"/>
      <c r="D106" s="598"/>
      <c r="E106" s="598"/>
      <c r="F106" s="598"/>
      <c r="G106" s="598"/>
      <c r="H106" s="598"/>
      <c r="I106" s="598"/>
      <c r="J106" s="598"/>
      <c r="K106" s="598"/>
      <c r="L106" s="598"/>
      <c r="M106" s="598"/>
      <c r="N106" s="598"/>
      <c r="O106" s="598"/>
      <c r="P106" s="598"/>
      <c r="Q106" s="598"/>
      <c r="R106" s="598"/>
      <c r="S106" s="598"/>
      <c r="T106" s="598"/>
      <c r="U106" s="598"/>
      <c r="V106" s="598"/>
      <c r="W106" s="598"/>
      <c r="X106" s="598"/>
      <c r="Y106" s="598"/>
      <c r="Z106" s="598"/>
      <c r="AA106" s="598"/>
      <c r="AB106" s="598"/>
      <c r="AC106" s="598"/>
      <c r="AD106" s="598"/>
      <c r="AE106" s="598"/>
      <c r="AF106" s="598"/>
      <c r="AG106" s="598"/>
      <c r="AH106" s="598"/>
      <c r="AI106" s="598"/>
      <c r="AJ106" s="598"/>
      <c r="AK106" s="598"/>
      <c r="AL106" s="598"/>
      <c r="AM106" s="598"/>
      <c r="AN106" s="598"/>
      <c r="AO106" s="598"/>
      <c r="AP106" s="598"/>
      <c r="AQ106" s="598"/>
      <c r="AR106" s="598"/>
      <c r="AS106" s="598"/>
      <c r="AT106" s="598"/>
      <c r="AU106" s="598"/>
      <c r="AV106" s="598"/>
      <c r="AW106" s="598"/>
      <c r="AX106" s="598"/>
      <c r="AY106" s="598"/>
      <c r="AZ106" s="598"/>
      <c r="BA106" s="598"/>
      <c r="BB106" s="598"/>
      <c r="BC106" s="598"/>
      <c r="BD106" s="598"/>
      <c r="BE106" s="598"/>
      <c r="BF106" s="598"/>
      <c r="BG106" s="598"/>
      <c r="BH106" s="598"/>
      <c r="BI106" s="598"/>
      <c r="BJ106" s="598"/>
      <c r="BK106" s="598"/>
      <c r="BL106" s="598"/>
      <c r="BM106" s="598"/>
      <c r="BN106" s="598"/>
      <c r="BO106" s="598"/>
      <c r="BP106" s="598"/>
      <c r="BQ106" s="598"/>
      <c r="BR106" s="598"/>
      <c r="BS106" s="598"/>
      <c r="BT106" s="1429" t="e">
        <f>BT97+BT101+BT105</f>
        <v>#REF!</v>
      </c>
      <c r="BU106" s="1429"/>
      <c r="BV106" s="1429"/>
      <c r="BW106" s="1429"/>
      <c r="BX106" s="1429"/>
      <c r="BY106" s="1429"/>
      <c r="BZ106" s="1429"/>
      <c r="CA106" s="1429"/>
      <c r="CB106" s="1429"/>
      <c r="CC106" s="1429"/>
      <c r="CD106" s="598"/>
      <c r="CE106" s="598"/>
      <c r="CF106" s="599"/>
    </row>
    <row r="107" spans="1:84" s="583" customFormat="1" ht="9.9499999999999993" customHeight="1">
      <c r="A107" s="574"/>
      <c r="B107" s="574"/>
      <c r="C107" s="574"/>
      <c r="D107" s="574"/>
      <c r="E107" s="574"/>
      <c r="F107" s="574"/>
      <c r="G107" s="574"/>
      <c r="H107" s="574"/>
      <c r="I107" s="574"/>
      <c r="J107" s="574"/>
      <c r="K107" s="574"/>
      <c r="L107" s="574"/>
      <c r="M107" s="574"/>
      <c r="N107" s="574"/>
      <c r="O107" s="574"/>
      <c r="P107" s="574"/>
      <c r="Q107" s="574"/>
      <c r="R107" s="574"/>
      <c r="S107" s="574"/>
      <c r="T107" s="574"/>
      <c r="U107" s="574"/>
      <c r="V107" s="574"/>
      <c r="W107" s="574"/>
      <c r="X107" s="574"/>
      <c r="Y107" s="574"/>
      <c r="Z107" s="574"/>
      <c r="AA107" s="574"/>
      <c r="AB107" s="574"/>
      <c r="AC107" s="574"/>
      <c r="AD107" s="574"/>
      <c r="AE107" s="574"/>
      <c r="AF107" s="574"/>
      <c r="AG107" s="574"/>
      <c r="AH107" s="574"/>
      <c r="AI107" s="574"/>
      <c r="AJ107" s="574"/>
      <c r="AK107" s="574"/>
      <c r="AL107" s="574"/>
      <c r="AM107" s="574"/>
      <c r="AN107" s="574"/>
      <c r="AO107" s="574"/>
      <c r="AP107" s="574"/>
      <c r="AQ107" s="574"/>
      <c r="AR107" s="574"/>
      <c r="AS107" s="574"/>
      <c r="AT107" s="574"/>
      <c r="AU107" s="574"/>
      <c r="AV107" s="574"/>
      <c r="AW107" s="574"/>
      <c r="AX107" s="574"/>
      <c r="AY107" s="574"/>
      <c r="AZ107" s="574"/>
      <c r="BA107" s="574"/>
      <c r="BB107" s="574"/>
      <c r="BC107" s="574"/>
      <c r="BD107" s="574"/>
      <c r="BE107" s="574"/>
      <c r="BF107" s="574"/>
      <c r="BG107" s="574"/>
      <c r="BH107" s="574"/>
      <c r="BI107" s="574"/>
      <c r="BJ107" s="574"/>
      <c r="BK107" s="574"/>
      <c r="BL107" s="574"/>
      <c r="BM107" s="574"/>
      <c r="BN107" s="574"/>
      <c r="BO107" s="574"/>
      <c r="BP107" s="574"/>
      <c r="BQ107" s="574"/>
      <c r="BR107" s="574"/>
      <c r="BS107" s="574"/>
      <c r="BT107" s="574"/>
      <c r="BU107" s="574"/>
      <c r="BV107" s="574"/>
      <c r="BW107" s="574"/>
      <c r="BX107" s="574"/>
      <c r="BY107" s="574"/>
      <c r="BZ107" s="574"/>
      <c r="CA107" s="574"/>
      <c r="CB107" s="574"/>
      <c r="CC107" s="574"/>
      <c r="CD107" s="574"/>
      <c r="CE107" s="574"/>
      <c r="CF107" s="574"/>
    </row>
    <row r="108" spans="1:84" s="583" customFormat="1" ht="23.1" customHeight="1" thickBot="1">
      <c r="A108" s="1446" t="s">
        <v>1095</v>
      </c>
      <c r="B108" s="1446"/>
      <c r="C108" s="1446"/>
      <c r="D108" s="1446"/>
      <c r="E108" s="1446"/>
      <c r="F108" s="1446"/>
      <c r="G108" s="1447">
        <f>G93+1</f>
        <v>8</v>
      </c>
      <c r="H108" s="1447"/>
      <c r="I108" s="1447"/>
      <c r="J108" s="1448" t="s">
        <v>1096</v>
      </c>
      <c r="K108" s="1448"/>
      <c r="L108" s="574"/>
      <c r="M108" s="574"/>
      <c r="N108" s="574"/>
      <c r="O108" s="574"/>
      <c r="P108" s="574"/>
      <c r="Q108" s="574"/>
      <c r="R108" s="574"/>
      <c r="S108" s="574"/>
      <c r="T108" s="574"/>
      <c r="U108" s="574"/>
      <c r="V108" s="574"/>
      <c r="W108" s="574"/>
      <c r="X108" s="574"/>
      <c r="Y108" s="574"/>
      <c r="Z108" s="574"/>
      <c r="AA108" s="574"/>
      <c r="AB108" s="574"/>
      <c r="AC108" s="574"/>
      <c r="AD108" s="574"/>
      <c r="AE108" s="574"/>
      <c r="AF108" s="574"/>
      <c r="AG108" s="574"/>
      <c r="AH108" s="574"/>
      <c r="AI108" s="574"/>
      <c r="AJ108" s="574"/>
      <c r="AK108" s="574"/>
      <c r="AL108" s="574"/>
      <c r="AM108" s="574"/>
      <c r="AN108" s="574"/>
      <c r="AO108" s="574"/>
      <c r="AP108" s="574"/>
      <c r="AQ108" s="574"/>
      <c r="AR108" s="574"/>
      <c r="AS108" s="574"/>
      <c r="AT108" s="574"/>
      <c r="AU108" s="574"/>
      <c r="AV108" s="574"/>
      <c r="AW108" s="574"/>
      <c r="AX108" s="574"/>
      <c r="AY108" s="574"/>
      <c r="AZ108" s="574"/>
      <c r="BA108" s="574"/>
      <c r="BB108" s="574"/>
      <c r="BC108" s="574"/>
      <c r="BD108" s="574"/>
      <c r="BE108" s="574"/>
      <c r="BF108" s="574"/>
      <c r="BG108" s="574"/>
      <c r="BH108" s="574"/>
      <c r="BI108" s="574"/>
      <c r="BJ108" s="574"/>
      <c r="BK108" s="574"/>
      <c r="BL108" s="574"/>
      <c r="BM108" s="574"/>
      <c r="BN108" s="574"/>
      <c r="BO108" s="574"/>
      <c r="BP108" s="574"/>
      <c r="BQ108" s="574"/>
      <c r="BR108" s="574"/>
      <c r="BS108" s="574"/>
      <c r="BT108" s="574"/>
      <c r="BU108" s="574"/>
      <c r="BV108" s="574"/>
      <c r="BW108" s="574"/>
      <c r="BX108" s="574"/>
      <c r="BY108" s="574"/>
      <c r="BZ108" s="574"/>
      <c r="CA108" s="574"/>
      <c r="CB108" s="574"/>
      <c r="CC108" s="574"/>
      <c r="CD108" s="574"/>
      <c r="CE108" s="574"/>
      <c r="CF108" s="574"/>
    </row>
    <row r="109" spans="1:84" s="583" customFormat="1" ht="23.1" customHeight="1" thickBot="1">
      <c r="A109" s="1483" t="s">
        <v>1097</v>
      </c>
      <c r="B109" s="1484"/>
      <c r="C109" s="1484"/>
      <c r="D109" s="1484"/>
      <c r="E109" s="1484"/>
      <c r="F109" s="1484"/>
      <c r="G109" s="1484"/>
      <c r="H109" s="1484"/>
      <c r="I109" s="581" t="s">
        <v>277</v>
      </c>
      <c r="J109" s="581"/>
      <c r="K109" s="581"/>
      <c r="L109" s="581"/>
      <c r="M109" s="581"/>
      <c r="N109" s="581"/>
      <c r="O109" s="581"/>
      <c r="P109" s="581"/>
      <c r="Q109" s="581"/>
      <c r="R109" s="581"/>
      <c r="S109" s="581"/>
      <c r="T109" s="581"/>
      <c r="U109" s="581"/>
      <c r="V109" s="581"/>
      <c r="W109" s="581"/>
      <c r="X109" s="581"/>
      <c r="Y109" s="581"/>
      <c r="Z109" s="581"/>
      <c r="AA109" s="581"/>
      <c r="AB109" s="581"/>
      <c r="AC109" s="581"/>
      <c r="AD109" s="581"/>
      <c r="AE109" s="581"/>
      <c r="AF109" s="581"/>
      <c r="AG109" s="581"/>
      <c r="AH109" s="581"/>
      <c r="AI109" s="581"/>
      <c r="AJ109" s="1484" t="s">
        <v>1099</v>
      </c>
      <c r="AK109" s="1484"/>
      <c r="AL109" s="1484"/>
      <c r="AM109" s="1484"/>
      <c r="AN109" s="1484"/>
      <c r="AO109" s="1484"/>
      <c r="AP109" s="1484"/>
      <c r="AQ109" s="581" t="s">
        <v>399</v>
      </c>
      <c r="AR109" s="581"/>
      <c r="AS109" s="581"/>
      <c r="AT109" s="581"/>
      <c r="AU109" s="581"/>
      <c r="AV109" s="581"/>
      <c r="AW109" s="581"/>
      <c r="AX109" s="581"/>
      <c r="AY109" s="581"/>
      <c r="AZ109" s="581"/>
      <c r="BA109" s="581"/>
      <c r="BB109" s="581"/>
      <c r="BC109" s="581"/>
      <c r="BD109" s="581"/>
      <c r="BE109" s="581"/>
      <c r="BF109" s="581"/>
      <c r="BG109" s="581"/>
      <c r="BH109" s="581"/>
      <c r="BI109" s="581"/>
      <c r="BJ109" s="581"/>
      <c r="BK109" s="581"/>
      <c r="BL109" s="581"/>
      <c r="BM109" s="581"/>
      <c r="BN109" s="581"/>
      <c r="BO109" s="581"/>
      <c r="BP109" s="581"/>
      <c r="BQ109" s="581"/>
      <c r="BR109" s="581"/>
      <c r="BS109" s="581"/>
      <c r="BT109" s="581" t="s">
        <v>1123</v>
      </c>
      <c r="BU109" s="581"/>
      <c r="BV109" s="581"/>
      <c r="BW109" s="581"/>
      <c r="BX109" s="581"/>
      <c r="BY109" s="581"/>
      <c r="BZ109" s="581"/>
      <c r="CA109" s="581"/>
      <c r="CB109" s="581"/>
      <c r="CC109" s="581"/>
      <c r="CD109" s="581"/>
      <c r="CE109" s="581"/>
      <c r="CF109" s="582"/>
    </row>
    <row r="110" spans="1:84" s="583" customFormat="1" ht="23.1" customHeight="1">
      <c r="A110" s="584"/>
      <c r="B110" s="585" t="s">
        <v>1102</v>
      </c>
      <c r="C110" s="585"/>
      <c r="D110" s="585"/>
      <c r="E110" s="585"/>
      <c r="F110" s="585"/>
      <c r="G110" s="585"/>
      <c r="H110" s="585"/>
      <c r="I110" s="585"/>
      <c r="J110" s="585"/>
      <c r="K110" s="585"/>
      <c r="L110" s="585"/>
      <c r="M110" s="585"/>
      <c r="N110" s="585"/>
      <c r="O110" s="585"/>
      <c r="P110" s="585"/>
      <c r="Q110" s="585"/>
      <c r="R110" s="585"/>
      <c r="S110" s="585"/>
      <c r="T110" s="585"/>
      <c r="U110" s="585"/>
      <c r="V110" s="585"/>
      <c r="W110" s="585"/>
      <c r="X110" s="585"/>
      <c r="Y110" s="585"/>
      <c r="Z110" s="585"/>
      <c r="AA110" s="585"/>
      <c r="AB110" s="585"/>
      <c r="AC110" s="585"/>
      <c r="AD110" s="585"/>
      <c r="AE110" s="585"/>
      <c r="AF110" s="585"/>
      <c r="AG110" s="585"/>
      <c r="AH110" s="585"/>
      <c r="AI110" s="585"/>
      <c r="AJ110" s="585"/>
      <c r="AK110" s="585"/>
      <c r="AL110" s="585"/>
      <c r="AM110" s="585"/>
      <c r="AN110" s="585"/>
      <c r="AO110" s="585"/>
      <c r="AP110" s="585"/>
      <c r="AQ110" s="585"/>
      <c r="AR110" s="585"/>
      <c r="AS110" s="585"/>
      <c r="AT110" s="585"/>
      <c r="AU110" s="585"/>
      <c r="AV110" s="585"/>
      <c r="AW110" s="585"/>
      <c r="AX110" s="585"/>
      <c r="AY110" s="585"/>
      <c r="AZ110" s="585"/>
      <c r="BA110" s="585"/>
      <c r="BB110" s="585"/>
      <c r="BC110" s="585"/>
      <c r="BD110" s="585"/>
      <c r="BE110" s="585"/>
      <c r="BF110" s="585"/>
      <c r="BG110" s="585"/>
      <c r="BH110" s="585"/>
      <c r="BI110" s="585"/>
      <c r="BJ110" s="585"/>
      <c r="BK110" s="585"/>
      <c r="BL110" s="585"/>
      <c r="BM110" s="585"/>
      <c r="BN110" s="585"/>
      <c r="BO110" s="585"/>
      <c r="BP110" s="585"/>
      <c r="BQ110" s="585"/>
      <c r="BR110" s="585"/>
      <c r="BS110" s="585"/>
      <c r="BT110" s="585"/>
      <c r="BU110" s="585"/>
      <c r="BV110" s="585"/>
      <c r="BW110" s="585"/>
      <c r="BX110" s="585"/>
      <c r="BY110" s="585"/>
      <c r="BZ110" s="585"/>
      <c r="CA110" s="585"/>
      <c r="CB110" s="585"/>
      <c r="CC110" s="585"/>
      <c r="CD110" s="585"/>
      <c r="CE110" s="585"/>
      <c r="CF110" s="586"/>
    </row>
    <row r="111" spans="1:84" s="583" customFormat="1" ht="23.1" customHeight="1">
      <c r="A111" s="587"/>
      <c r="B111" s="574"/>
      <c r="C111" s="574"/>
      <c r="D111" s="405"/>
      <c r="E111" s="574"/>
      <c r="F111" s="422"/>
      <c r="G111" s="422"/>
      <c r="H111" s="422"/>
      <c r="I111" s="422"/>
      <c r="J111" s="422"/>
      <c r="K111" s="422"/>
      <c r="L111" s="422"/>
      <c r="M111" s="422"/>
      <c r="N111" s="574"/>
      <c r="O111" s="574"/>
      <c r="P111" s="574"/>
      <c r="Q111" s="574"/>
      <c r="R111" s="574"/>
      <c r="S111" s="588"/>
      <c r="T111" s="588"/>
      <c r="U111" s="588"/>
      <c r="V111" s="588"/>
      <c r="W111" s="588"/>
      <c r="X111" s="588"/>
      <c r="Y111" s="588"/>
      <c r="Z111" s="588"/>
      <c r="AA111" s="574"/>
      <c r="AB111" s="588"/>
      <c r="AC111" s="585"/>
      <c r="AD111" s="585"/>
      <c r="AE111" s="600"/>
      <c r="AF111" s="600"/>
      <c r="AG111" s="600"/>
      <c r="AH111" s="600"/>
      <c r="AI111" s="600"/>
      <c r="AJ111" s="600"/>
      <c r="AK111" s="600"/>
      <c r="AL111" s="600"/>
      <c r="AM111" s="585"/>
      <c r="AN111" s="585"/>
      <c r="AO111" s="574"/>
      <c r="AP111" s="430"/>
      <c r="AQ111" s="430"/>
      <c r="AR111" s="430"/>
      <c r="AS111" s="430"/>
      <c r="AT111" s="430"/>
      <c r="AU111" s="430"/>
      <c r="AV111" s="430"/>
      <c r="AW111" s="430"/>
      <c r="AX111" s="430"/>
      <c r="AY111" s="430"/>
      <c r="AZ111" s="430"/>
      <c r="BA111" s="430"/>
      <c r="BB111" s="430"/>
      <c r="BC111" s="430"/>
      <c r="BD111" s="574"/>
      <c r="BE111" s="574"/>
      <c r="BF111" s="574"/>
      <c r="BG111" s="574"/>
      <c r="BH111" s="574"/>
      <c r="BI111" s="574"/>
      <c r="BJ111" s="574"/>
      <c r="BK111" s="574"/>
      <c r="BL111" s="574"/>
      <c r="BM111" s="574"/>
      <c r="BN111" s="574"/>
      <c r="BO111" s="574"/>
      <c r="BP111" s="574"/>
      <c r="BQ111" s="574"/>
      <c r="BR111" s="574"/>
      <c r="BS111" s="574"/>
      <c r="BT111" s="574"/>
      <c r="BU111" s="574"/>
      <c r="BV111" s="574"/>
      <c r="BW111" s="574"/>
      <c r="BX111" s="574"/>
      <c r="BY111" s="574"/>
      <c r="BZ111" s="574"/>
      <c r="CA111" s="574"/>
      <c r="CB111" s="574"/>
      <c r="CC111" s="574"/>
      <c r="CD111" s="574"/>
      <c r="CE111" s="574"/>
      <c r="CF111" s="589"/>
    </row>
    <row r="112" spans="1:84" s="583" customFormat="1" ht="23.1" customHeight="1">
      <c r="A112" s="584"/>
      <c r="B112" s="585"/>
      <c r="C112" s="585"/>
      <c r="D112" s="585"/>
      <c r="E112" s="585"/>
      <c r="F112" s="585"/>
      <c r="G112" s="585"/>
      <c r="H112" s="585"/>
      <c r="I112" s="585"/>
      <c r="J112" s="585"/>
      <c r="K112" s="585"/>
      <c r="L112" s="585"/>
      <c r="M112" s="585"/>
      <c r="N112" s="585"/>
      <c r="O112" s="585"/>
      <c r="P112" s="585"/>
      <c r="Q112" s="585"/>
      <c r="R112" s="585"/>
      <c r="S112" s="585"/>
      <c r="T112" s="585"/>
      <c r="U112" s="585"/>
      <c r="V112" s="590"/>
      <c r="W112" s="590"/>
      <c r="X112" s="590"/>
      <c r="Y112" s="590"/>
      <c r="Z112" s="590"/>
      <c r="AA112" s="590"/>
      <c r="AB112" s="590"/>
      <c r="AC112" s="590"/>
      <c r="AD112" s="574"/>
      <c r="AE112" s="1440">
        <v>117766000</v>
      </c>
      <c r="AF112" s="1440"/>
      <c r="AG112" s="1440"/>
      <c r="AH112" s="1440"/>
      <c r="AI112" s="1440"/>
      <c r="AJ112" s="1440"/>
      <c r="AK112" s="1440"/>
      <c r="AL112" s="1440"/>
      <c r="AM112" s="1440"/>
      <c r="AN112" s="1440"/>
      <c r="AO112" s="1440"/>
      <c r="AP112" s="1440"/>
      <c r="AQ112" s="1440"/>
      <c r="AR112" s="1440"/>
      <c r="AS112" s="1440"/>
      <c r="AT112" s="1431" t="s">
        <v>446</v>
      </c>
      <c r="AU112" s="1431"/>
      <c r="AV112" s="1441" t="s">
        <v>1103</v>
      </c>
      <c r="AW112" s="1441"/>
      <c r="AX112" s="1442">
        <v>2085</v>
      </c>
      <c r="AY112" s="1442"/>
      <c r="AZ112" s="1442"/>
      <c r="BA112" s="1442"/>
      <c r="BB112" s="1442"/>
      <c r="BC112" s="1442"/>
      <c r="BD112" s="585"/>
      <c r="BE112" s="1431" t="s">
        <v>446</v>
      </c>
      <c r="BF112" s="1431"/>
      <c r="BG112" s="585"/>
      <c r="BH112" s="591" t="s">
        <v>1104</v>
      </c>
      <c r="BI112" s="585"/>
      <c r="BJ112" s="585"/>
      <c r="BK112" s="585"/>
      <c r="BL112" s="1431" t="s">
        <v>1105</v>
      </c>
      <c r="BM112" s="1431"/>
      <c r="BN112" s="1431"/>
      <c r="BO112" s="585"/>
      <c r="BP112" s="1431" t="s">
        <v>41</v>
      </c>
      <c r="BQ112" s="1431"/>
      <c r="BR112" s="585"/>
      <c r="BS112" s="585"/>
      <c r="BT112" s="1437">
        <f>INT(AE112*AX112*10^-7)</f>
        <v>24554</v>
      </c>
      <c r="BU112" s="1437"/>
      <c r="BV112" s="1437"/>
      <c r="BW112" s="1437"/>
      <c r="BX112" s="1437"/>
      <c r="BY112" s="1437"/>
      <c r="BZ112" s="1437"/>
      <c r="CA112" s="1437"/>
      <c r="CB112" s="1437"/>
      <c r="CC112" s="1437"/>
      <c r="CD112" s="585"/>
      <c r="CE112" s="585"/>
      <c r="CF112" s="586"/>
    </row>
    <row r="113" spans="1:84" s="583" customFormat="1" ht="23.1" customHeight="1">
      <c r="A113" s="592"/>
      <c r="B113" s="593" t="s">
        <v>1106</v>
      </c>
      <c r="C113" s="593"/>
      <c r="D113" s="593"/>
      <c r="E113" s="593"/>
      <c r="F113" s="593"/>
      <c r="G113" s="593"/>
      <c r="H113" s="593"/>
      <c r="I113" s="593"/>
      <c r="J113" s="593"/>
      <c r="K113" s="593"/>
      <c r="L113" s="593"/>
      <c r="M113" s="593"/>
      <c r="N113" s="593"/>
      <c r="O113" s="593"/>
      <c r="P113" s="593"/>
      <c r="Q113" s="593"/>
      <c r="R113" s="593"/>
      <c r="S113" s="593"/>
      <c r="T113" s="593"/>
      <c r="U113" s="593"/>
      <c r="V113" s="593"/>
      <c r="W113" s="593"/>
      <c r="X113" s="593"/>
      <c r="Y113" s="593"/>
      <c r="Z113" s="593"/>
      <c r="AA113" s="593"/>
      <c r="AB113" s="593"/>
      <c r="AC113" s="593"/>
      <c r="AD113" s="593"/>
      <c r="AE113" s="593"/>
      <c r="AF113" s="593"/>
      <c r="AG113" s="593"/>
      <c r="AH113" s="593"/>
      <c r="AI113" s="593"/>
      <c r="AJ113" s="593"/>
      <c r="AK113" s="593"/>
      <c r="AL113" s="593"/>
      <c r="AM113" s="593"/>
      <c r="AN113" s="593"/>
      <c r="AO113" s="593"/>
      <c r="AP113" s="593"/>
      <c r="AQ113" s="593"/>
      <c r="AR113" s="593"/>
      <c r="AS113" s="593"/>
      <c r="AT113" s="593"/>
      <c r="AU113" s="593"/>
      <c r="AV113" s="593"/>
      <c r="AW113" s="593"/>
      <c r="AX113" s="593"/>
      <c r="AY113" s="593"/>
      <c r="AZ113" s="593"/>
      <c r="BA113" s="593"/>
      <c r="BB113" s="593"/>
      <c r="BC113" s="593"/>
      <c r="BD113" s="593"/>
      <c r="BE113" s="593"/>
      <c r="BF113" s="593"/>
      <c r="BG113" s="593"/>
      <c r="BH113" s="593"/>
      <c r="BI113" s="593"/>
      <c r="BJ113" s="593"/>
      <c r="BK113" s="593"/>
      <c r="BL113" s="593"/>
      <c r="BM113" s="593"/>
      <c r="BN113" s="593"/>
      <c r="BO113" s="593"/>
      <c r="BP113" s="593"/>
      <c r="BQ113" s="593"/>
      <c r="BR113" s="593"/>
      <c r="BS113" s="593"/>
      <c r="BT113" s="594"/>
      <c r="BU113" s="594"/>
      <c r="BV113" s="594"/>
      <c r="BW113" s="594"/>
      <c r="BX113" s="594"/>
      <c r="BY113" s="594"/>
      <c r="BZ113" s="594"/>
      <c r="CA113" s="594"/>
      <c r="CB113" s="594"/>
      <c r="CC113" s="594"/>
      <c r="CD113" s="593"/>
      <c r="CE113" s="593"/>
      <c r="CF113" s="595"/>
    </row>
    <row r="114" spans="1:84" s="583" customFormat="1" ht="23.1" customHeight="1">
      <c r="A114" s="584"/>
      <c r="B114" s="585"/>
      <c r="C114" s="585"/>
      <c r="D114" s="596" t="s">
        <v>268</v>
      </c>
      <c r="E114" s="585"/>
      <c r="F114" s="585"/>
      <c r="G114" s="585"/>
      <c r="H114" s="585"/>
      <c r="I114" s="585"/>
      <c r="J114" s="585"/>
      <c r="K114" s="585"/>
      <c r="L114" s="585"/>
      <c r="M114" s="585"/>
      <c r="N114" s="585"/>
      <c r="O114" s="585"/>
      <c r="P114" s="585"/>
      <c r="Q114" s="585"/>
      <c r="R114" s="585"/>
      <c r="S114" s="585"/>
      <c r="T114" s="574"/>
      <c r="U114" s="574"/>
      <c r="V114" s="1435">
        <f>HLOOKUP(D114,$CJ$1:$CM$3,3,0)</f>
        <v>283297</v>
      </c>
      <c r="W114" s="1435"/>
      <c r="X114" s="1435"/>
      <c r="Y114" s="1435"/>
      <c r="Z114" s="1435"/>
      <c r="AA114" s="1435"/>
      <c r="AB114" s="1435"/>
      <c r="AC114" s="1435"/>
      <c r="AD114" s="1435"/>
      <c r="AE114" s="1435"/>
      <c r="AF114" s="1431" t="s">
        <v>446</v>
      </c>
      <c r="AG114" s="1431"/>
      <c r="AH114" s="574"/>
      <c r="AI114" s="1436" t="s">
        <v>1107</v>
      </c>
      <c r="AJ114" s="1436"/>
      <c r="AK114" s="1436"/>
      <c r="AL114" s="1436"/>
      <c r="AM114" s="585"/>
      <c r="AN114" s="1431" t="s">
        <v>446</v>
      </c>
      <c r="AO114" s="1431"/>
      <c r="AP114" s="585"/>
      <c r="AQ114" s="1436" t="s">
        <v>1108</v>
      </c>
      <c r="AR114" s="1436"/>
      <c r="AS114" s="1436"/>
      <c r="AT114" s="1436"/>
      <c r="AU114" s="1436"/>
      <c r="AV114" s="422"/>
      <c r="AW114" s="1431" t="s">
        <v>446</v>
      </c>
      <c r="AX114" s="1431"/>
      <c r="AY114" s="440"/>
      <c r="AZ114" s="1436" t="s">
        <v>1109</v>
      </c>
      <c r="BA114" s="1436"/>
      <c r="BB114" s="1436"/>
      <c r="BC114" s="1436"/>
      <c r="BD114" s="1436"/>
      <c r="BE114" s="585"/>
      <c r="BF114" s="1431" t="s">
        <v>446</v>
      </c>
      <c r="BG114" s="1431"/>
      <c r="BH114" s="1431">
        <v>1</v>
      </c>
      <c r="BI114" s="1431"/>
      <c r="BJ114" s="1431"/>
      <c r="BK114" s="585"/>
      <c r="BL114" s="585" t="s">
        <v>366</v>
      </c>
      <c r="BM114" s="585"/>
      <c r="BN114" s="585"/>
      <c r="BO114" s="585"/>
      <c r="BP114" s="1431" t="s">
        <v>41</v>
      </c>
      <c r="BQ114" s="1431"/>
      <c r="BR114" s="585"/>
      <c r="BS114" s="585"/>
      <c r="BT114" s="1432">
        <f>INT(V114/8*16/12*25/20*BH114)</f>
        <v>59020</v>
      </c>
      <c r="BU114" s="1432"/>
      <c r="BV114" s="1432"/>
      <c r="BW114" s="1432"/>
      <c r="BX114" s="1432"/>
      <c r="BY114" s="1432"/>
      <c r="BZ114" s="1432"/>
      <c r="CA114" s="1432"/>
      <c r="CB114" s="1432"/>
      <c r="CC114" s="1432"/>
      <c r="CD114" s="585"/>
      <c r="CE114" s="585"/>
      <c r="CF114" s="586"/>
    </row>
    <row r="115" spans="1:84" s="583" customFormat="1" ht="23.1" customHeight="1">
      <c r="A115" s="584"/>
      <c r="B115" s="585"/>
      <c r="C115" s="585"/>
      <c r="D115" s="585"/>
      <c r="E115" s="585"/>
      <c r="F115" s="585"/>
      <c r="G115" s="585"/>
      <c r="H115" s="585"/>
      <c r="I115" s="585"/>
      <c r="J115" s="585"/>
      <c r="K115" s="585"/>
      <c r="L115" s="585"/>
      <c r="M115" s="585"/>
      <c r="N115" s="585"/>
      <c r="O115" s="585"/>
      <c r="P115" s="574"/>
      <c r="Q115" s="574"/>
      <c r="R115" s="574"/>
      <c r="S115" s="574"/>
      <c r="T115" s="574"/>
      <c r="U115" s="574"/>
      <c r="V115" s="574"/>
      <c r="W115" s="574"/>
      <c r="X115" s="574"/>
      <c r="Y115" s="574"/>
      <c r="Z115" s="574"/>
      <c r="AA115" s="574"/>
      <c r="AB115" s="574"/>
      <c r="AC115" s="574"/>
      <c r="AD115" s="574"/>
      <c r="AE115" s="574"/>
      <c r="AF115" s="574"/>
      <c r="AG115" s="574"/>
      <c r="AH115" s="574"/>
      <c r="AI115" s="574"/>
      <c r="AJ115" s="574"/>
      <c r="AK115" s="574"/>
      <c r="AL115" s="574"/>
      <c r="AM115" s="574"/>
      <c r="AN115" s="574"/>
      <c r="AO115" s="574"/>
      <c r="AP115" s="574"/>
      <c r="AQ115" s="574"/>
      <c r="AR115" s="574"/>
      <c r="AS115" s="574"/>
      <c r="AT115" s="574"/>
      <c r="AU115" s="574"/>
      <c r="AV115" s="574"/>
      <c r="AW115" s="574"/>
      <c r="AX115" s="574"/>
      <c r="AY115" s="574"/>
      <c r="AZ115" s="574"/>
      <c r="BA115" s="574"/>
      <c r="BB115" s="574"/>
      <c r="BC115" s="574"/>
      <c r="BD115" s="574"/>
      <c r="BE115" s="574"/>
      <c r="BF115" s="574"/>
      <c r="BG115" s="585"/>
      <c r="BH115" s="585"/>
      <c r="BI115" s="585"/>
      <c r="BJ115" s="585"/>
      <c r="BK115" s="585"/>
      <c r="BL115" s="585"/>
      <c r="BM115" s="585"/>
      <c r="BN115" s="585"/>
      <c r="BO115" s="585"/>
      <c r="BP115" s="1431"/>
      <c r="BQ115" s="1431"/>
      <c r="BR115" s="585"/>
      <c r="BS115" s="585"/>
      <c r="BT115" s="1432"/>
      <c r="BU115" s="1432"/>
      <c r="BV115" s="1432"/>
      <c r="BW115" s="1432"/>
      <c r="BX115" s="1432"/>
      <c r="BY115" s="1432"/>
      <c r="BZ115" s="1432"/>
      <c r="CA115" s="1432"/>
      <c r="CB115" s="1432"/>
      <c r="CC115" s="1432"/>
      <c r="CD115" s="585"/>
      <c r="CE115" s="585"/>
      <c r="CF115" s="586"/>
    </row>
    <row r="116" spans="1:84" s="583" customFormat="1" ht="23.1" customHeight="1">
      <c r="A116" s="584"/>
      <c r="B116" s="585"/>
      <c r="C116" s="585"/>
      <c r="D116" s="585"/>
      <c r="E116" s="585"/>
      <c r="F116" s="585"/>
      <c r="G116" s="585"/>
      <c r="H116" s="585"/>
      <c r="I116" s="585"/>
      <c r="J116" s="585"/>
      <c r="K116" s="585"/>
      <c r="L116" s="585"/>
      <c r="M116" s="585"/>
      <c r="N116" s="585"/>
      <c r="O116" s="585"/>
      <c r="P116" s="585"/>
      <c r="Q116" s="585"/>
      <c r="R116" s="585"/>
      <c r="S116" s="585"/>
      <c r="T116" s="585"/>
      <c r="U116" s="585"/>
      <c r="V116" s="585"/>
      <c r="W116" s="585"/>
      <c r="X116" s="585"/>
      <c r="Y116" s="585"/>
      <c r="Z116" s="585"/>
      <c r="AA116" s="585"/>
      <c r="AB116" s="585"/>
      <c r="AC116" s="585"/>
      <c r="AD116" s="574"/>
      <c r="AE116" s="574"/>
      <c r="AF116" s="574"/>
      <c r="AG116" s="574"/>
      <c r="AH116" s="574"/>
      <c r="AI116" s="574"/>
      <c r="AJ116" s="574"/>
      <c r="AK116" s="574"/>
      <c r="AL116" s="574"/>
      <c r="AM116" s="574"/>
      <c r="AN116" s="574"/>
      <c r="AO116" s="574"/>
      <c r="AP116" s="574"/>
      <c r="AQ116" s="574"/>
      <c r="AR116" s="574"/>
      <c r="AS116" s="585"/>
      <c r="AT116" s="590"/>
      <c r="AU116" s="590"/>
      <c r="AV116" s="585"/>
      <c r="AW116" s="585"/>
      <c r="AX116" s="585"/>
      <c r="AY116" s="585"/>
      <c r="AZ116" s="585"/>
      <c r="BA116" s="585"/>
      <c r="BB116" s="585"/>
      <c r="BC116" s="585"/>
      <c r="BD116" s="585"/>
      <c r="BE116" s="585"/>
      <c r="BF116" s="585"/>
      <c r="BG116" s="585"/>
      <c r="BH116" s="585"/>
      <c r="BI116" s="585"/>
      <c r="BJ116" s="585"/>
      <c r="BK116" s="585"/>
      <c r="BL116" s="585"/>
      <c r="BM116" s="585"/>
      <c r="BN116" s="585"/>
      <c r="BO116" s="585"/>
      <c r="BP116" s="1431" t="s">
        <v>41</v>
      </c>
      <c r="BQ116" s="1431"/>
      <c r="BR116" s="585"/>
      <c r="BS116" s="585"/>
      <c r="BT116" s="1434">
        <f>BT114+BT115</f>
        <v>59020</v>
      </c>
      <c r="BU116" s="1434"/>
      <c r="BV116" s="1434"/>
      <c r="BW116" s="1434"/>
      <c r="BX116" s="1434"/>
      <c r="BY116" s="1434"/>
      <c r="BZ116" s="1434"/>
      <c r="CA116" s="1434"/>
      <c r="CB116" s="1434"/>
      <c r="CC116" s="1434"/>
      <c r="CD116" s="585"/>
      <c r="CE116" s="585"/>
      <c r="CF116" s="586"/>
    </row>
    <row r="117" spans="1:84" s="583" customFormat="1" ht="23.1" customHeight="1">
      <c r="A117" s="592"/>
      <c r="B117" s="593" t="s">
        <v>1110</v>
      </c>
      <c r="C117" s="593"/>
      <c r="D117" s="593"/>
      <c r="E117" s="593"/>
      <c r="F117" s="593"/>
      <c r="G117" s="593"/>
      <c r="H117" s="593"/>
      <c r="I117" s="593"/>
      <c r="J117" s="593"/>
      <c r="K117" s="593"/>
      <c r="L117" s="593"/>
      <c r="M117" s="593"/>
      <c r="N117" s="593"/>
      <c r="O117" s="593"/>
      <c r="P117" s="593"/>
      <c r="Q117" s="593"/>
      <c r="R117" s="593"/>
      <c r="S117" s="593"/>
      <c r="T117" s="593"/>
      <c r="U117" s="593"/>
      <c r="V117" s="593"/>
      <c r="W117" s="593"/>
      <c r="X117" s="593"/>
      <c r="Y117" s="593"/>
      <c r="Z117" s="593"/>
      <c r="AA117" s="593"/>
      <c r="AB117" s="593"/>
      <c r="AC117" s="593"/>
      <c r="AD117" s="593"/>
      <c r="AE117" s="593"/>
      <c r="AF117" s="593"/>
      <c r="AG117" s="593"/>
      <c r="AH117" s="593"/>
      <c r="AI117" s="593"/>
      <c r="AJ117" s="593"/>
      <c r="AK117" s="593"/>
      <c r="AL117" s="593"/>
      <c r="AM117" s="593"/>
      <c r="AN117" s="593"/>
      <c r="AO117" s="593"/>
      <c r="AP117" s="593"/>
      <c r="AQ117" s="593"/>
      <c r="AR117" s="593"/>
      <c r="AS117" s="593"/>
      <c r="AT117" s="593"/>
      <c r="AU117" s="593"/>
      <c r="AV117" s="593"/>
      <c r="AW117" s="593"/>
      <c r="AX117" s="593"/>
      <c r="AY117" s="593"/>
      <c r="AZ117" s="593"/>
      <c r="BA117" s="593"/>
      <c r="BB117" s="593"/>
      <c r="BC117" s="593"/>
      <c r="BD117" s="593"/>
      <c r="BE117" s="593"/>
      <c r="BF117" s="593"/>
      <c r="BG117" s="593"/>
      <c r="BH117" s="593"/>
      <c r="BI117" s="593"/>
      <c r="BJ117" s="593"/>
      <c r="BK117" s="593"/>
      <c r="BL117" s="593"/>
      <c r="BM117" s="593"/>
      <c r="BN117" s="593"/>
      <c r="BO117" s="593"/>
      <c r="BP117" s="593"/>
      <c r="BQ117" s="593"/>
      <c r="BR117" s="593"/>
      <c r="BS117" s="593"/>
      <c r="BT117" s="593"/>
      <c r="BU117" s="593"/>
      <c r="BV117" s="593"/>
      <c r="BW117" s="593"/>
      <c r="BX117" s="593"/>
      <c r="BY117" s="593"/>
      <c r="BZ117" s="593"/>
      <c r="CA117" s="593"/>
      <c r="CB117" s="593"/>
      <c r="CC117" s="593"/>
      <c r="CD117" s="593"/>
      <c r="CE117" s="593"/>
      <c r="CF117" s="595"/>
    </row>
    <row r="118" spans="1:84" s="583" customFormat="1" ht="23.1" customHeight="1">
      <c r="A118" s="584"/>
      <c r="B118" s="585"/>
      <c r="C118" s="585"/>
      <c r="D118" s="596" t="s">
        <v>1094</v>
      </c>
      <c r="E118" s="585"/>
      <c r="F118" s="585"/>
      <c r="G118" s="585"/>
      <c r="H118" s="585"/>
      <c r="I118" s="585"/>
      <c r="J118" s="585"/>
      <c r="K118" s="585"/>
      <c r="L118" s="585"/>
      <c r="M118" s="585"/>
      <c r="N118" s="585"/>
      <c r="O118" s="585"/>
      <c r="P118" s="585"/>
      <c r="Q118" s="585"/>
      <c r="R118" s="585"/>
      <c r="S118" s="585"/>
      <c r="T118" s="585"/>
      <c r="U118" s="585"/>
      <c r="V118" s="585"/>
      <c r="W118" s="585"/>
      <c r="X118" s="585"/>
      <c r="Y118" s="585"/>
      <c r="Z118" s="585"/>
      <c r="AA118" s="585"/>
      <c r="AB118" s="585"/>
      <c r="AC118" s="585"/>
      <c r="AD118" s="585"/>
      <c r="AE118" s="585"/>
      <c r="AF118" s="585"/>
      <c r="AG118" s="585"/>
      <c r="AH118" s="585"/>
      <c r="AI118" s="585"/>
      <c r="AJ118" s="585"/>
      <c r="AK118" s="585"/>
      <c r="AL118" s="585"/>
      <c r="AM118" s="585"/>
      <c r="AN118" s="585"/>
      <c r="AO118" s="585"/>
      <c r="AP118" s="585"/>
      <c r="AQ118" s="585"/>
      <c r="AR118" s="422"/>
      <c r="AS118" s="1435" t="e">
        <f>HLOOKUP(D118,$CN$1:$CO$3,3,0)</f>
        <v>#REF!</v>
      </c>
      <c r="AT118" s="1435"/>
      <c r="AU118" s="1435"/>
      <c r="AV118" s="1435"/>
      <c r="AW118" s="1435"/>
      <c r="AX118" s="1435"/>
      <c r="AY118" s="1435"/>
      <c r="AZ118" s="1435"/>
      <c r="BA118" s="1435"/>
      <c r="BB118" s="1435"/>
      <c r="BC118" s="585"/>
      <c r="BD118" s="1431" t="s">
        <v>446</v>
      </c>
      <c r="BE118" s="1431"/>
      <c r="BF118" s="585"/>
      <c r="BG118" s="1431">
        <v>11.6</v>
      </c>
      <c r="BH118" s="1431"/>
      <c r="BI118" s="1431"/>
      <c r="BJ118" s="1431"/>
      <c r="BK118" s="1431"/>
      <c r="BL118" s="585" t="s">
        <v>1111</v>
      </c>
      <c r="BM118" s="585"/>
      <c r="BN118" s="585"/>
      <c r="BO118" s="585"/>
      <c r="BP118" s="1431" t="s">
        <v>41</v>
      </c>
      <c r="BQ118" s="1431"/>
      <c r="BR118" s="585"/>
      <c r="BS118" s="585"/>
      <c r="BT118" s="1432" t="e">
        <f>INT(AS118*BG118)</f>
        <v>#REF!</v>
      </c>
      <c r="BU118" s="1432"/>
      <c r="BV118" s="1432"/>
      <c r="BW118" s="1432"/>
      <c r="BX118" s="1432"/>
      <c r="BY118" s="1432"/>
      <c r="BZ118" s="1432"/>
      <c r="CA118" s="1432"/>
      <c r="CB118" s="1432"/>
      <c r="CC118" s="1432"/>
      <c r="CD118" s="585"/>
      <c r="CE118" s="585"/>
      <c r="CF118" s="586"/>
    </row>
    <row r="119" spans="1:84" s="583" customFormat="1" ht="23.1" customHeight="1">
      <c r="A119" s="584"/>
      <c r="B119" s="585"/>
      <c r="C119" s="585"/>
      <c r="D119" s="591" t="str">
        <f>"잡재료 (주연료의 "&amp;BG119&amp;"%) :"</f>
        <v>잡재료 (주연료의 22%) :</v>
      </c>
      <c r="E119" s="585"/>
      <c r="F119" s="585"/>
      <c r="G119" s="585"/>
      <c r="H119" s="585"/>
      <c r="I119" s="585"/>
      <c r="J119" s="585"/>
      <c r="K119" s="585"/>
      <c r="L119" s="585"/>
      <c r="M119" s="585"/>
      <c r="N119" s="585"/>
      <c r="O119" s="585"/>
      <c r="P119" s="585"/>
      <c r="Q119" s="585"/>
      <c r="R119" s="585"/>
      <c r="S119" s="585"/>
      <c r="T119" s="585"/>
      <c r="U119" s="585"/>
      <c r="V119" s="585"/>
      <c r="W119" s="585"/>
      <c r="X119" s="585"/>
      <c r="Y119" s="585"/>
      <c r="Z119" s="585"/>
      <c r="AA119" s="585"/>
      <c r="AB119" s="585"/>
      <c r="AC119" s="585"/>
      <c r="AD119" s="585"/>
      <c r="AE119" s="585"/>
      <c r="AF119" s="585"/>
      <c r="AG119" s="585"/>
      <c r="AH119" s="585"/>
      <c r="AI119" s="585"/>
      <c r="AJ119" s="585"/>
      <c r="AK119" s="585"/>
      <c r="AL119" s="585"/>
      <c r="AM119" s="585"/>
      <c r="AN119" s="585"/>
      <c r="AO119" s="585"/>
      <c r="AP119" s="585"/>
      <c r="AQ119" s="585"/>
      <c r="AR119" s="422" t="e">
        <f>BT118</f>
        <v>#REF!</v>
      </c>
      <c r="AS119" s="1430" t="e">
        <f>BT118</f>
        <v>#REF!</v>
      </c>
      <c r="AT119" s="1430"/>
      <c r="AU119" s="1430"/>
      <c r="AV119" s="1430"/>
      <c r="AW119" s="1430"/>
      <c r="AX119" s="1430"/>
      <c r="AY119" s="1430"/>
      <c r="AZ119" s="1430"/>
      <c r="BA119" s="1430"/>
      <c r="BB119" s="1430"/>
      <c r="BC119" s="585"/>
      <c r="BD119" s="1431" t="s">
        <v>446</v>
      </c>
      <c r="BE119" s="1431"/>
      <c r="BF119" s="585"/>
      <c r="BG119" s="1431">
        <v>22</v>
      </c>
      <c r="BH119" s="1431"/>
      <c r="BI119" s="1431"/>
      <c r="BJ119" s="1431"/>
      <c r="BK119" s="1431"/>
      <c r="BL119" s="585" t="s">
        <v>1112</v>
      </c>
      <c r="BM119" s="585"/>
      <c r="BN119" s="585"/>
      <c r="BO119" s="585"/>
      <c r="BP119" s="1431" t="s">
        <v>41</v>
      </c>
      <c r="BQ119" s="1431"/>
      <c r="BR119" s="585"/>
      <c r="BS119" s="585"/>
      <c r="BT119" s="1432" t="e">
        <f>INT(AS119*BG119/100)</f>
        <v>#REF!</v>
      </c>
      <c r="BU119" s="1432"/>
      <c r="BV119" s="1432"/>
      <c r="BW119" s="1432"/>
      <c r="BX119" s="1432"/>
      <c r="BY119" s="1432"/>
      <c r="BZ119" s="1432"/>
      <c r="CA119" s="1432"/>
      <c r="CB119" s="1432"/>
      <c r="CC119" s="1432"/>
      <c r="CD119" s="585"/>
      <c r="CE119" s="585"/>
      <c r="CF119" s="586"/>
    </row>
    <row r="120" spans="1:84" s="583" customFormat="1" ht="23.1" customHeight="1" thickBot="1">
      <c r="A120" s="584"/>
      <c r="B120" s="585"/>
      <c r="C120" s="585"/>
      <c r="D120" s="585"/>
      <c r="E120" s="585"/>
      <c r="F120" s="585"/>
      <c r="G120" s="585"/>
      <c r="H120" s="585"/>
      <c r="I120" s="585"/>
      <c r="J120" s="585"/>
      <c r="K120" s="585"/>
      <c r="L120" s="585"/>
      <c r="M120" s="585"/>
      <c r="N120" s="585"/>
      <c r="O120" s="585"/>
      <c r="P120" s="585"/>
      <c r="Q120" s="585"/>
      <c r="R120" s="585"/>
      <c r="S120" s="585"/>
      <c r="T120" s="585"/>
      <c r="U120" s="585"/>
      <c r="V120" s="585"/>
      <c r="W120" s="585"/>
      <c r="X120" s="585"/>
      <c r="Y120" s="585"/>
      <c r="Z120" s="585"/>
      <c r="AA120" s="585"/>
      <c r="AB120" s="585"/>
      <c r="AC120" s="585"/>
      <c r="AD120" s="585"/>
      <c r="AE120" s="585"/>
      <c r="AF120" s="585"/>
      <c r="AG120" s="585"/>
      <c r="AH120" s="585"/>
      <c r="AI120" s="585"/>
      <c r="AJ120" s="585"/>
      <c r="AK120" s="585"/>
      <c r="AL120" s="585"/>
      <c r="AM120" s="585"/>
      <c r="AN120" s="585"/>
      <c r="AO120" s="585"/>
      <c r="AP120" s="585"/>
      <c r="AQ120" s="585"/>
      <c r="AR120" s="585"/>
      <c r="AS120" s="585"/>
      <c r="AT120" s="585"/>
      <c r="AU120" s="585"/>
      <c r="AV120" s="585"/>
      <c r="AW120" s="585"/>
      <c r="AX120" s="585"/>
      <c r="AY120" s="585"/>
      <c r="AZ120" s="585"/>
      <c r="BA120" s="585"/>
      <c r="BB120" s="585"/>
      <c r="BC120" s="585"/>
      <c r="BD120" s="585"/>
      <c r="BE120" s="585"/>
      <c r="BF120" s="585"/>
      <c r="BG120" s="585"/>
      <c r="BH120" s="585"/>
      <c r="BI120" s="585"/>
      <c r="BJ120" s="585"/>
      <c r="BK120" s="585"/>
      <c r="BL120" s="585"/>
      <c r="BM120" s="585"/>
      <c r="BN120" s="585"/>
      <c r="BO120" s="585"/>
      <c r="BP120" s="1431" t="s">
        <v>41</v>
      </c>
      <c r="BQ120" s="1431"/>
      <c r="BR120" s="585"/>
      <c r="BS120" s="585"/>
      <c r="BT120" s="1433" t="e">
        <f>BT118+BT119</f>
        <v>#REF!</v>
      </c>
      <c r="BU120" s="1433"/>
      <c r="BV120" s="1433"/>
      <c r="BW120" s="1433"/>
      <c r="BX120" s="1433"/>
      <c r="BY120" s="1433"/>
      <c r="BZ120" s="1433"/>
      <c r="CA120" s="1433"/>
      <c r="CB120" s="1433"/>
      <c r="CC120" s="1433"/>
      <c r="CD120" s="585"/>
      <c r="CE120" s="585"/>
      <c r="CF120" s="586"/>
    </row>
    <row r="121" spans="1:84" s="583" customFormat="1" ht="23.1" customHeight="1" thickBot="1">
      <c r="A121" s="597"/>
      <c r="B121" s="598" t="s">
        <v>1113</v>
      </c>
      <c r="C121" s="598"/>
      <c r="D121" s="598"/>
      <c r="E121" s="598"/>
      <c r="F121" s="598"/>
      <c r="G121" s="598"/>
      <c r="H121" s="598"/>
      <c r="I121" s="598"/>
      <c r="J121" s="598"/>
      <c r="K121" s="598"/>
      <c r="L121" s="598"/>
      <c r="M121" s="598"/>
      <c r="N121" s="598"/>
      <c r="O121" s="598"/>
      <c r="P121" s="598"/>
      <c r="Q121" s="598"/>
      <c r="R121" s="598"/>
      <c r="S121" s="598"/>
      <c r="T121" s="598"/>
      <c r="U121" s="598"/>
      <c r="V121" s="598"/>
      <c r="W121" s="598"/>
      <c r="X121" s="598"/>
      <c r="Y121" s="598"/>
      <c r="Z121" s="598"/>
      <c r="AA121" s="598"/>
      <c r="AB121" s="598"/>
      <c r="AC121" s="598"/>
      <c r="AD121" s="598"/>
      <c r="AE121" s="598"/>
      <c r="AF121" s="598"/>
      <c r="AG121" s="598"/>
      <c r="AH121" s="598"/>
      <c r="AI121" s="598"/>
      <c r="AJ121" s="598"/>
      <c r="AK121" s="598"/>
      <c r="AL121" s="598"/>
      <c r="AM121" s="598"/>
      <c r="AN121" s="598"/>
      <c r="AO121" s="598"/>
      <c r="AP121" s="598"/>
      <c r="AQ121" s="598"/>
      <c r="AR121" s="598"/>
      <c r="AS121" s="598"/>
      <c r="AT121" s="598"/>
      <c r="AU121" s="598"/>
      <c r="AV121" s="598"/>
      <c r="AW121" s="598"/>
      <c r="AX121" s="598"/>
      <c r="AY121" s="598"/>
      <c r="AZ121" s="598"/>
      <c r="BA121" s="598"/>
      <c r="BB121" s="598"/>
      <c r="BC121" s="598"/>
      <c r="BD121" s="598"/>
      <c r="BE121" s="598"/>
      <c r="BF121" s="598"/>
      <c r="BG121" s="598"/>
      <c r="BH121" s="598"/>
      <c r="BI121" s="598"/>
      <c r="BJ121" s="598"/>
      <c r="BK121" s="598"/>
      <c r="BL121" s="598"/>
      <c r="BM121" s="598"/>
      <c r="BN121" s="598"/>
      <c r="BO121" s="598"/>
      <c r="BP121" s="598"/>
      <c r="BQ121" s="598"/>
      <c r="BR121" s="598"/>
      <c r="BS121" s="598"/>
      <c r="BT121" s="1429" t="e">
        <f>BT112+BT116+BT120</f>
        <v>#REF!</v>
      </c>
      <c r="BU121" s="1429"/>
      <c r="BV121" s="1429"/>
      <c r="BW121" s="1429"/>
      <c r="BX121" s="1429"/>
      <c r="BY121" s="1429"/>
      <c r="BZ121" s="1429"/>
      <c r="CA121" s="1429"/>
      <c r="CB121" s="1429"/>
      <c r="CC121" s="1429"/>
      <c r="CD121" s="598"/>
      <c r="CE121" s="598"/>
      <c r="CF121" s="599"/>
    </row>
    <row r="122" spans="1:84" s="583" customFormat="1" ht="9.9499999999999993" customHeight="1">
      <c r="A122" s="574"/>
      <c r="B122" s="574"/>
      <c r="C122" s="574"/>
      <c r="D122" s="574"/>
      <c r="E122" s="574"/>
      <c r="F122" s="574"/>
      <c r="G122" s="574"/>
      <c r="H122" s="574"/>
      <c r="I122" s="574"/>
      <c r="J122" s="574"/>
      <c r="K122" s="574"/>
      <c r="L122" s="574"/>
      <c r="M122" s="574"/>
      <c r="N122" s="574"/>
      <c r="O122" s="574"/>
      <c r="P122" s="574"/>
      <c r="Q122" s="574"/>
      <c r="R122" s="574"/>
      <c r="S122" s="574"/>
      <c r="T122" s="574"/>
      <c r="U122" s="574"/>
      <c r="V122" s="574"/>
      <c r="W122" s="574"/>
      <c r="X122" s="574"/>
      <c r="Y122" s="574"/>
      <c r="Z122" s="574"/>
      <c r="AA122" s="574"/>
      <c r="AB122" s="574"/>
      <c r="AC122" s="574"/>
      <c r="AD122" s="574"/>
      <c r="AE122" s="574"/>
      <c r="AF122" s="574"/>
      <c r="AG122" s="574"/>
      <c r="AH122" s="574"/>
      <c r="AI122" s="574"/>
      <c r="AJ122" s="574"/>
      <c r="AK122" s="574"/>
      <c r="AL122" s="574"/>
      <c r="AM122" s="574"/>
      <c r="AN122" s="574"/>
      <c r="AO122" s="574"/>
      <c r="AP122" s="574"/>
      <c r="AQ122" s="574"/>
      <c r="AR122" s="574"/>
      <c r="AS122" s="574"/>
      <c r="AT122" s="574"/>
      <c r="AU122" s="574"/>
      <c r="AV122" s="574"/>
      <c r="AW122" s="574"/>
      <c r="AX122" s="574"/>
      <c r="AY122" s="574"/>
      <c r="AZ122" s="574"/>
      <c r="BA122" s="574"/>
      <c r="BB122" s="574"/>
      <c r="BC122" s="574"/>
      <c r="BD122" s="574"/>
      <c r="BE122" s="574"/>
      <c r="BF122" s="574"/>
      <c r="BG122" s="574"/>
      <c r="BH122" s="574"/>
      <c r="BI122" s="574"/>
      <c r="BJ122" s="574"/>
      <c r="BK122" s="574"/>
      <c r="BL122" s="574"/>
      <c r="BM122" s="574"/>
      <c r="BN122" s="574"/>
      <c r="BO122" s="574"/>
      <c r="BP122" s="574"/>
      <c r="BQ122" s="574"/>
      <c r="BR122" s="574"/>
      <c r="BS122" s="574"/>
      <c r="BT122" s="574"/>
      <c r="BU122" s="574"/>
      <c r="BV122" s="574"/>
      <c r="BW122" s="574"/>
      <c r="BX122" s="574"/>
      <c r="BY122" s="574"/>
      <c r="BZ122" s="574"/>
      <c r="CA122" s="574"/>
      <c r="CB122" s="574"/>
      <c r="CC122" s="574"/>
      <c r="CD122" s="574"/>
      <c r="CE122" s="574"/>
      <c r="CF122" s="574"/>
    </row>
    <row r="123" spans="1:84" s="583" customFormat="1" ht="23.1" customHeight="1" thickBot="1">
      <c r="A123" s="1446" t="s">
        <v>1095</v>
      </c>
      <c r="B123" s="1446"/>
      <c r="C123" s="1446"/>
      <c r="D123" s="1446"/>
      <c r="E123" s="1446"/>
      <c r="F123" s="1446"/>
      <c r="G123" s="1447">
        <f>G108+1</f>
        <v>9</v>
      </c>
      <c r="H123" s="1447"/>
      <c r="I123" s="1447"/>
      <c r="J123" s="1448" t="s">
        <v>1096</v>
      </c>
      <c r="K123" s="1448"/>
      <c r="L123" s="574"/>
      <c r="M123" s="574"/>
      <c r="N123" s="574"/>
      <c r="O123" s="574"/>
      <c r="P123" s="574"/>
      <c r="Q123" s="574"/>
      <c r="R123" s="574"/>
      <c r="S123" s="574"/>
      <c r="T123" s="574"/>
      <c r="U123" s="574"/>
      <c r="V123" s="574"/>
      <c r="W123" s="574"/>
      <c r="X123" s="574"/>
      <c r="Y123" s="574"/>
      <c r="Z123" s="574"/>
      <c r="AA123" s="574"/>
      <c r="AB123" s="574"/>
      <c r="AC123" s="574"/>
      <c r="AD123" s="574"/>
      <c r="AE123" s="574"/>
      <c r="AF123" s="574"/>
      <c r="AG123" s="574"/>
      <c r="AH123" s="574"/>
      <c r="AI123" s="574"/>
      <c r="AJ123" s="574"/>
      <c r="AK123" s="574"/>
      <c r="AL123" s="574"/>
      <c r="AM123" s="574"/>
      <c r="AN123" s="574"/>
      <c r="AO123" s="574"/>
      <c r="AP123" s="574"/>
      <c r="AQ123" s="574"/>
      <c r="AR123" s="574"/>
      <c r="AS123" s="574"/>
      <c r="AT123" s="574"/>
      <c r="AU123" s="574"/>
      <c r="AV123" s="574"/>
      <c r="AW123" s="574"/>
      <c r="AX123" s="574"/>
      <c r="AY123" s="574"/>
      <c r="AZ123" s="574"/>
      <c r="BA123" s="574"/>
      <c r="BB123" s="574"/>
      <c r="BC123" s="574"/>
      <c r="BD123" s="574"/>
      <c r="BE123" s="574"/>
      <c r="BF123" s="574"/>
      <c r="BG123" s="574"/>
      <c r="BH123" s="574"/>
      <c r="BI123" s="574"/>
      <c r="BJ123" s="574"/>
      <c r="BK123" s="574"/>
      <c r="BL123" s="574"/>
      <c r="BM123" s="574"/>
      <c r="BN123" s="574"/>
      <c r="BO123" s="574"/>
      <c r="BP123" s="574"/>
      <c r="BQ123" s="574"/>
      <c r="BR123" s="574"/>
      <c r="BS123" s="574"/>
      <c r="BT123" s="574"/>
      <c r="BU123" s="574"/>
      <c r="BV123" s="574"/>
      <c r="BW123" s="574"/>
      <c r="BX123" s="574"/>
      <c r="BY123" s="574"/>
      <c r="BZ123" s="574"/>
      <c r="CA123" s="574"/>
      <c r="CB123" s="574"/>
      <c r="CC123" s="574"/>
      <c r="CD123" s="574"/>
      <c r="CE123" s="574"/>
      <c r="CF123" s="574"/>
    </row>
    <row r="124" spans="1:84" s="583" customFormat="1" ht="23.1" customHeight="1" thickBot="1">
      <c r="A124" s="1483" t="s">
        <v>1097</v>
      </c>
      <c r="B124" s="1484"/>
      <c r="C124" s="1484"/>
      <c r="D124" s="1484"/>
      <c r="E124" s="1484"/>
      <c r="F124" s="1484"/>
      <c r="G124" s="1484"/>
      <c r="H124" s="1484"/>
      <c r="I124" s="581" t="s">
        <v>277</v>
      </c>
      <c r="J124" s="581"/>
      <c r="K124" s="581"/>
      <c r="L124" s="581"/>
      <c r="M124" s="581"/>
      <c r="N124" s="581"/>
      <c r="O124" s="581"/>
      <c r="P124" s="581"/>
      <c r="Q124" s="581"/>
      <c r="R124" s="581"/>
      <c r="S124" s="581"/>
      <c r="T124" s="581"/>
      <c r="U124" s="581"/>
      <c r="V124" s="581"/>
      <c r="W124" s="581"/>
      <c r="X124" s="581"/>
      <c r="Y124" s="581"/>
      <c r="Z124" s="581"/>
      <c r="AA124" s="581"/>
      <c r="AB124" s="581"/>
      <c r="AC124" s="581"/>
      <c r="AD124" s="581"/>
      <c r="AE124" s="581"/>
      <c r="AF124" s="581"/>
      <c r="AG124" s="581"/>
      <c r="AH124" s="581"/>
      <c r="AI124" s="581"/>
      <c r="AJ124" s="1484" t="s">
        <v>1099</v>
      </c>
      <c r="AK124" s="1484"/>
      <c r="AL124" s="1484"/>
      <c r="AM124" s="1484"/>
      <c r="AN124" s="1484"/>
      <c r="AO124" s="1484"/>
      <c r="AP124" s="1484"/>
      <c r="AQ124" s="581" t="s">
        <v>400</v>
      </c>
      <c r="AR124" s="581"/>
      <c r="AS124" s="581"/>
      <c r="AT124" s="581"/>
      <c r="AU124" s="581"/>
      <c r="AV124" s="581"/>
      <c r="AW124" s="581"/>
      <c r="AX124" s="581"/>
      <c r="AY124" s="581"/>
      <c r="AZ124" s="581"/>
      <c r="BA124" s="581"/>
      <c r="BB124" s="581"/>
      <c r="BC124" s="581"/>
      <c r="BD124" s="581"/>
      <c r="BE124" s="581"/>
      <c r="BF124" s="581"/>
      <c r="BG124" s="581"/>
      <c r="BH124" s="581"/>
      <c r="BI124" s="581"/>
      <c r="BJ124" s="581"/>
      <c r="BK124" s="581"/>
      <c r="BL124" s="581"/>
      <c r="BM124" s="581"/>
      <c r="BN124" s="581"/>
      <c r="BO124" s="581"/>
      <c r="BP124" s="581"/>
      <c r="BQ124" s="581"/>
      <c r="BR124" s="581"/>
      <c r="BS124" s="581"/>
      <c r="BT124" s="581" t="s">
        <v>1124</v>
      </c>
      <c r="BU124" s="581"/>
      <c r="BV124" s="581"/>
      <c r="BW124" s="581"/>
      <c r="BX124" s="581"/>
      <c r="BY124" s="581"/>
      <c r="BZ124" s="581"/>
      <c r="CA124" s="581"/>
      <c r="CB124" s="581"/>
      <c r="CC124" s="581"/>
      <c r="CD124" s="581"/>
      <c r="CE124" s="581"/>
      <c r="CF124" s="582"/>
    </row>
    <row r="125" spans="1:84" s="583" customFormat="1" ht="23.1" customHeight="1">
      <c r="A125" s="584"/>
      <c r="B125" s="585" t="s">
        <v>1102</v>
      </c>
      <c r="C125" s="585"/>
      <c r="D125" s="585"/>
      <c r="E125" s="585"/>
      <c r="F125" s="585"/>
      <c r="G125" s="585"/>
      <c r="H125" s="585"/>
      <c r="I125" s="585"/>
      <c r="J125" s="585"/>
      <c r="K125" s="585"/>
      <c r="L125" s="585"/>
      <c r="M125" s="585"/>
      <c r="N125" s="585"/>
      <c r="O125" s="585"/>
      <c r="P125" s="585"/>
      <c r="Q125" s="585"/>
      <c r="R125" s="585"/>
      <c r="S125" s="585"/>
      <c r="T125" s="585"/>
      <c r="U125" s="585"/>
      <c r="V125" s="585"/>
      <c r="W125" s="585"/>
      <c r="X125" s="585"/>
      <c r="Y125" s="585"/>
      <c r="Z125" s="585"/>
      <c r="AA125" s="585"/>
      <c r="AB125" s="585"/>
      <c r="AC125" s="585"/>
      <c r="AD125" s="585"/>
      <c r="AE125" s="585"/>
      <c r="AF125" s="585"/>
      <c r="AG125" s="585"/>
      <c r="AH125" s="585"/>
      <c r="AI125" s="585"/>
      <c r="AJ125" s="585"/>
      <c r="AK125" s="585"/>
      <c r="AL125" s="585"/>
      <c r="AM125" s="585"/>
      <c r="AN125" s="585"/>
      <c r="AO125" s="585"/>
      <c r="AP125" s="585"/>
      <c r="AQ125" s="585"/>
      <c r="AR125" s="585"/>
      <c r="AS125" s="585"/>
      <c r="AT125" s="585"/>
      <c r="AU125" s="585"/>
      <c r="AV125" s="585"/>
      <c r="AW125" s="585"/>
      <c r="AX125" s="585"/>
      <c r="AY125" s="585"/>
      <c r="AZ125" s="585"/>
      <c r="BA125" s="585"/>
      <c r="BB125" s="585"/>
      <c r="BC125" s="585"/>
      <c r="BD125" s="585"/>
      <c r="BE125" s="585"/>
      <c r="BF125" s="585"/>
      <c r="BG125" s="585"/>
      <c r="BH125" s="585"/>
      <c r="BI125" s="585"/>
      <c r="BJ125" s="585"/>
      <c r="BK125" s="585"/>
      <c r="BL125" s="585"/>
      <c r="BM125" s="585"/>
      <c r="BN125" s="585"/>
      <c r="BO125" s="585"/>
      <c r="BP125" s="585"/>
      <c r="BQ125" s="585"/>
      <c r="BR125" s="585"/>
      <c r="BS125" s="585"/>
      <c r="BT125" s="585"/>
      <c r="BU125" s="585"/>
      <c r="BV125" s="585"/>
      <c r="BW125" s="585"/>
      <c r="BX125" s="585"/>
      <c r="BY125" s="585"/>
      <c r="BZ125" s="585"/>
      <c r="CA125" s="585"/>
      <c r="CB125" s="585"/>
      <c r="CC125" s="585"/>
      <c r="CD125" s="585"/>
      <c r="CE125" s="585"/>
      <c r="CF125" s="586"/>
    </row>
    <row r="126" spans="1:84" s="583" customFormat="1" ht="23.1" customHeight="1">
      <c r="A126" s="587"/>
      <c r="B126" s="574"/>
      <c r="C126" s="574"/>
      <c r="D126" s="405"/>
      <c r="E126" s="574"/>
      <c r="F126" s="422"/>
      <c r="G126" s="422"/>
      <c r="H126" s="422"/>
      <c r="I126" s="422"/>
      <c r="J126" s="422"/>
      <c r="K126" s="422"/>
      <c r="L126" s="422"/>
      <c r="M126" s="422"/>
      <c r="N126" s="574"/>
      <c r="O126" s="574"/>
      <c r="P126" s="574"/>
      <c r="Q126" s="574"/>
      <c r="R126" s="574"/>
      <c r="S126" s="588"/>
      <c r="T126" s="588"/>
      <c r="U126" s="588"/>
      <c r="V126" s="588"/>
      <c r="W126" s="588"/>
      <c r="X126" s="588"/>
      <c r="Y126" s="588"/>
      <c r="Z126" s="588"/>
      <c r="AA126" s="574"/>
      <c r="AB126" s="588"/>
      <c r="AC126" s="585"/>
      <c r="AD126" s="585"/>
      <c r="AE126" s="600"/>
      <c r="AF126" s="600"/>
      <c r="AG126" s="600"/>
      <c r="AH126" s="600"/>
      <c r="AI126" s="600"/>
      <c r="AJ126" s="600"/>
      <c r="AK126" s="600"/>
      <c r="AL126" s="600"/>
      <c r="AM126" s="585"/>
      <c r="AN126" s="585"/>
      <c r="AO126" s="574"/>
      <c r="AP126" s="430"/>
      <c r="AQ126" s="430"/>
      <c r="AR126" s="430"/>
      <c r="AS126" s="430"/>
      <c r="AT126" s="430"/>
      <c r="AU126" s="430"/>
      <c r="AV126" s="430"/>
      <c r="AW126" s="430"/>
      <c r="AX126" s="430"/>
      <c r="AY126" s="430"/>
      <c r="AZ126" s="430"/>
      <c r="BA126" s="430"/>
      <c r="BB126" s="430"/>
      <c r="BC126" s="430"/>
      <c r="BD126" s="574"/>
      <c r="BE126" s="574"/>
      <c r="BF126" s="574"/>
      <c r="BG126" s="574"/>
      <c r="BH126" s="574"/>
      <c r="BI126" s="574"/>
      <c r="BJ126" s="574"/>
      <c r="BK126" s="574"/>
      <c r="BL126" s="574"/>
      <c r="BM126" s="574"/>
      <c r="BN126" s="574"/>
      <c r="BO126" s="574"/>
      <c r="BP126" s="574"/>
      <c r="BQ126" s="574"/>
      <c r="BR126" s="574"/>
      <c r="BS126" s="574"/>
      <c r="BT126" s="574"/>
      <c r="BU126" s="574"/>
      <c r="BV126" s="574"/>
      <c r="BW126" s="574"/>
      <c r="BX126" s="574"/>
      <c r="BY126" s="574"/>
      <c r="BZ126" s="574"/>
      <c r="CA126" s="574"/>
      <c r="CB126" s="574"/>
      <c r="CC126" s="574"/>
      <c r="CD126" s="574"/>
      <c r="CE126" s="574"/>
      <c r="CF126" s="589"/>
    </row>
    <row r="127" spans="1:84" s="583" customFormat="1" ht="23.1" customHeight="1">
      <c r="A127" s="584"/>
      <c r="B127" s="585"/>
      <c r="C127" s="585"/>
      <c r="D127" s="585"/>
      <c r="E127" s="585"/>
      <c r="F127" s="585"/>
      <c r="G127" s="585"/>
      <c r="H127" s="585"/>
      <c r="I127" s="585"/>
      <c r="J127" s="585"/>
      <c r="K127" s="585"/>
      <c r="L127" s="585"/>
      <c r="M127" s="585"/>
      <c r="N127" s="585"/>
      <c r="O127" s="585"/>
      <c r="P127" s="585"/>
      <c r="Q127" s="585"/>
      <c r="R127" s="585"/>
      <c r="S127" s="585"/>
      <c r="T127" s="585"/>
      <c r="U127" s="585"/>
      <c r="V127" s="590"/>
      <c r="W127" s="590"/>
      <c r="X127" s="590"/>
      <c r="Y127" s="590"/>
      <c r="Z127" s="590"/>
      <c r="AA127" s="590"/>
      <c r="AB127" s="590"/>
      <c r="AC127" s="590"/>
      <c r="AD127" s="574"/>
      <c r="AE127" s="1440">
        <v>129586000</v>
      </c>
      <c r="AF127" s="1440"/>
      <c r="AG127" s="1440"/>
      <c r="AH127" s="1440"/>
      <c r="AI127" s="1440"/>
      <c r="AJ127" s="1440"/>
      <c r="AK127" s="1440"/>
      <c r="AL127" s="1440"/>
      <c r="AM127" s="1440"/>
      <c r="AN127" s="1440"/>
      <c r="AO127" s="1440"/>
      <c r="AP127" s="1440"/>
      <c r="AQ127" s="1440"/>
      <c r="AR127" s="1440"/>
      <c r="AS127" s="1440"/>
      <c r="AT127" s="1431" t="s">
        <v>446</v>
      </c>
      <c r="AU127" s="1431"/>
      <c r="AV127" s="1441" t="s">
        <v>1103</v>
      </c>
      <c r="AW127" s="1441"/>
      <c r="AX127" s="1442">
        <v>2085</v>
      </c>
      <c r="AY127" s="1442"/>
      <c r="AZ127" s="1442"/>
      <c r="BA127" s="1442"/>
      <c r="BB127" s="1442"/>
      <c r="BC127" s="1442"/>
      <c r="BD127" s="585"/>
      <c r="BE127" s="1431" t="s">
        <v>446</v>
      </c>
      <c r="BF127" s="1431"/>
      <c r="BG127" s="585"/>
      <c r="BH127" s="591" t="s">
        <v>1104</v>
      </c>
      <c r="BI127" s="585"/>
      <c r="BJ127" s="585"/>
      <c r="BK127" s="585"/>
      <c r="BL127" s="1431" t="s">
        <v>1105</v>
      </c>
      <c r="BM127" s="1431"/>
      <c r="BN127" s="1431"/>
      <c r="BO127" s="585"/>
      <c r="BP127" s="1431" t="s">
        <v>41</v>
      </c>
      <c r="BQ127" s="1431"/>
      <c r="BR127" s="585"/>
      <c r="BS127" s="585"/>
      <c r="BT127" s="1437">
        <f>INT(AE127*AX127*10^-7)</f>
        <v>27018</v>
      </c>
      <c r="BU127" s="1437"/>
      <c r="BV127" s="1437"/>
      <c r="BW127" s="1437"/>
      <c r="BX127" s="1437"/>
      <c r="BY127" s="1437"/>
      <c r="BZ127" s="1437"/>
      <c r="CA127" s="1437"/>
      <c r="CB127" s="1437"/>
      <c r="CC127" s="1437"/>
      <c r="CD127" s="585"/>
      <c r="CE127" s="585"/>
      <c r="CF127" s="586"/>
    </row>
    <row r="128" spans="1:84" s="583" customFormat="1" ht="23.1" customHeight="1">
      <c r="A128" s="592"/>
      <c r="B128" s="593" t="s">
        <v>1106</v>
      </c>
      <c r="C128" s="593"/>
      <c r="D128" s="593"/>
      <c r="E128" s="593"/>
      <c r="F128" s="593"/>
      <c r="G128" s="593"/>
      <c r="H128" s="593"/>
      <c r="I128" s="593"/>
      <c r="J128" s="593"/>
      <c r="K128" s="593"/>
      <c r="L128" s="593"/>
      <c r="M128" s="593"/>
      <c r="N128" s="593"/>
      <c r="O128" s="593"/>
      <c r="P128" s="593"/>
      <c r="Q128" s="593"/>
      <c r="R128" s="593"/>
      <c r="S128" s="593"/>
      <c r="T128" s="593"/>
      <c r="U128" s="593"/>
      <c r="V128" s="593"/>
      <c r="W128" s="593"/>
      <c r="X128" s="593"/>
      <c r="Y128" s="593"/>
      <c r="Z128" s="593"/>
      <c r="AA128" s="593"/>
      <c r="AB128" s="593"/>
      <c r="AC128" s="593"/>
      <c r="AD128" s="593"/>
      <c r="AE128" s="593"/>
      <c r="AF128" s="593"/>
      <c r="AG128" s="593"/>
      <c r="AH128" s="593"/>
      <c r="AI128" s="593"/>
      <c r="AJ128" s="593"/>
      <c r="AK128" s="593"/>
      <c r="AL128" s="593"/>
      <c r="AM128" s="593"/>
      <c r="AN128" s="593"/>
      <c r="AO128" s="593"/>
      <c r="AP128" s="593"/>
      <c r="AQ128" s="593"/>
      <c r="AR128" s="593"/>
      <c r="AS128" s="593"/>
      <c r="AT128" s="593"/>
      <c r="AU128" s="593"/>
      <c r="AV128" s="593"/>
      <c r="AW128" s="593"/>
      <c r="AX128" s="593"/>
      <c r="AY128" s="593"/>
      <c r="AZ128" s="593"/>
      <c r="BA128" s="593"/>
      <c r="BB128" s="593"/>
      <c r="BC128" s="593"/>
      <c r="BD128" s="593"/>
      <c r="BE128" s="593"/>
      <c r="BF128" s="593"/>
      <c r="BG128" s="593"/>
      <c r="BH128" s="593"/>
      <c r="BI128" s="593"/>
      <c r="BJ128" s="593"/>
      <c r="BK128" s="593"/>
      <c r="BL128" s="593"/>
      <c r="BM128" s="593"/>
      <c r="BN128" s="593"/>
      <c r="BO128" s="593"/>
      <c r="BP128" s="593"/>
      <c r="BQ128" s="593"/>
      <c r="BR128" s="593"/>
      <c r="BS128" s="593"/>
      <c r="BT128" s="594"/>
      <c r="BU128" s="594"/>
      <c r="BV128" s="594"/>
      <c r="BW128" s="594"/>
      <c r="BX128" s="594"/>
      <c r="BY128" s="594"/>
      <c r="BZ128" s="594"/>
      <c r="CA128" s="594"/>
      <c r="CB128" s="594"/>
      <c r="CC128" s="594"/>
      <c r="CD128" s="593"/>
      <c r="CE128" s="593"/>
      <c r="CF128" s="595"/>
    </row>
    <row r="129" spans="1:84" s="583" customFormat="1" ht="23.1" customHeight="1">
      <c r="A129" s="584"/>
      <c r="B129" s="585"/>
      <c r="C129" s="585"/>
      <c r="D129" s="596" t="s">
        <v>268</v>
      </c>
      <c r="E129" s="585"/>
      <c r="F129" s="585"/>
      <c r="G129" s="585"/>
      <c r="H129" s="585"/>
      <c r="I129" s="585"/>
      <c r="J129" s="585"/>
      <c r="K129" s="585"/>
      <c r="L129" s="585"/>
      <c r="M129" s="585"/>
      <c r="N129" s="585"/>
      <c r="O129" s="585"/>
      <c r="P129" s="585"/>
      <c r="Q129" s="585"/>
      <c r="R129" s="585"/>
      <c r="S129" s="585"/>
      <c r="T129" s="574"/>
      <c r="U129" s="574"/>
      <c r="V129" s="1435">
        <f>HLOOKUP(D129,$CJ$1:$CM$3,3,0)</f>
        <v>283297</v>
      </c>
      <c r="W129" s="1435"/>
      <c r="X129" s="1435"/>
      <c r="Y129" s="1435"/>
      <c r="Z129" s="1435"/>
      <c r="AA129" s="1435"/>
      <c r="AB129" s="1435"/>
      <c r="AC129" s="1435"/>
      <c r="AD129" s="1435"/>
      <c r="AE129" s="1435"/>
      <c r="AF129" s="1431" t="s">
        <v>446</v>
      </c>
      <c r="AG129" s="1431"/>
      <c r="AH129" s="574"/>
      <c r="AI129" s="1436" t="s">
        <v>1107</v>
      </c>
      <c r="AJ129" s="1436"/>
      <c r="AK129" s="1436"/>
      <c r="AL129" s="1436"/>
      <c r="AM129" s="585"/>
      <c r="AN129" s="1431" t="s">
        <v>446</v>
      </c>
      <c r="AO129" s="1431"/>
      <c r="AP129" s="585"/>
      <c r="AQ129" s="1436" t="s">
        <v>1108</v>
      </c>
      <c r="AR129" s="1436"/>
      <c r="AS129" s="1436"/>
      <c r="AT129" s="1436"/>
      <c r="AU129" s="1436"/>
      <c r="AV129" s="422"/>
      <c r="AW129" s="1431" t="s">
        <v>446</v>
      </c>
      <c r="AX129" s="1431"/>
      <c r="AY129" s="440"/>
      <c r="AZ129" s="1436" t="s">
        <v>1109</v>
      </c>
      <c r="BA129" s="1436"/>
      <c r="BB129" s="1436"/>
      <c r="BC129" s="1436"/>
      <c r="BD129" s="1436"/>
      <c r="BE129" s="585"/>
      <c r="BF129" s="1431" t="s">
        <v>446</v>
      </c>
      <c r="BG129" s="1431"/>
      <c r="BH129" s="1431">
        <v>1</v>
      </c>
      <c r="BI129" s="1431"/>
      <c r="BJ129" s="1431"/>
      <c r="BK129" s="585"/>
      <c r="BL129" s="585" t="s">
        <v>366</v>
      </c>
      <c r="BM129" s="585"/>
      <c r="BN129" s="585"/>
      <c r="BO129" s="585"/>
      <c r="BP129" s="1431" t="s">
        <v>41</v>
      </c>
      <c r="BQ129" s="1431"/>
      <c r="BR129" s="585"/>
      <c r="BS129" s="585"/>
      <c r="BT129" s="1432">
        <f>INT(V129/8*16/12*25/20*BH129)</f>
        <v>59020</v>
      </c>
      <c r="BU129" s="1432"/>
      <c r="BV129" s="1432"/>
      <c r="BW129" s="1432"/>
      <c r="BX129" s="1432"/>
      <c r="BY129" s="1432"/>
      <c r="BZ129" s="1432"/>
      <c r="CA129" s="1432"/>
      <c r="CB129" s="1432"/>
      <c r="CC129" s="1432"/>
      <c r="CD129" s="585"/>
      <c r="CE129" s="585"/>
      <c r="CF129" s="586"/>
    </row>
    <row r="130" spans="1:84" s="583" customFormat="1" ht="23.1" customHeight="1">
      <c r="A130" s="584"/>
      <c r="B130" s="585"/>
      <c r="C130" s="585"/>
      <c r="D130" s="585"/>
      <c r="E130" s="585"/>
      <c r="F130" s="585"/>
      <c r="G130" s="585"/>
      <c r="H130" s="585"/>
      <c r="I130" s="585"/>
      <c r="J130" s="585"/>
      <c r="K130" s="585"/>
      <c r="L130" s="585"/>
      <c r="M130" s="585"/>
      <c r="N130" s="585"/>
      <c r="O130" s="585"/>
      <c r="P130" s="574"/>
      <c r="Q130" s="574"/>
      <c r="R130" s="574"/>
      <c r="S130" s="574"/>
      <c r="T130" s="574"/>
      <c r="U130" s="574"/>
      <c r="V130" s="574"/>
      <c r="W130" s="574"/>
      <c r="X130" s="574"/>
      <c r="Y130" s="574"/>
      <c r="Z130" s="574"/>
      <c r="AA130" s="574"/>
      <c r="AB130" s="574"/>
      <c r="AC130" s="574"/>
      <c r="AD130" s="574"/>
      <c r="AE130" s="574"/>
      <c r="AF130" s="574"/>
      <c r="AG130" s="574"/>
      <c r="AH130" s="574"/>
      <c r="AI130" s="574"/>
      <c r="AJ130" s="574"/>
      <c r="AK130" s="574"/>
      <c r="AL130" s="574"/>
      <c r="AM130" s="574"/>
      <c r="AN130" s="574"/>
      <c r="AO130" s="574"/>
      <c r="AP130" s="574"/>
      <c r="AQ130" s="574"/>
      <c r="AR130" s="574"/>
      <c r="AS130" s="574"/>
      <c r="AT130" s="574"/>
      <c r="AU130" s="574"/>
      <c r="AV130" s="574"/>
      <c r="AW130" s="574"/>
      <c r="AX130" s="574"/>
      <c r="AY130" s="574"/>
      <c r="AZ130" s="574"/>
      <c r="BA130" s="574"/>
      <c r="BB130" s="574"/>
      <c r="BC130" s="574"/>
      <c r="BD130" s="574"/>
      <c r="BE130" s="574"/>
      <c r="BF130" s="574"/>
      <c r="BG130" s="585"/>
      <c r="BH130" s="585"/>
      <c r="BI130" s="585"/>
      <c r="BJ130" s="585"/>
      <c r="BK130" s="585"/>
      <c r="BL130" s="585"/>
      <c r="BM130" s="585"/>
      <c r="BN130" s="585"/>
      <c r="BO130" s="585"/>
      <c r="BP130" s="1431"/>
      <c r="BQ130" s="1431"/>
      <c r="BR130" s="585"/>
      <c r="BS130" s="585"/>
      <c r="BT130" s="1432"/>
      <c r="BU130" s="1432"/>
      <c r="BV130" s="1432"/>
      <c r="BW130" s="1432"/>
      <c r="BX130" s="1432"/>
      <c r="BY130" s="1432"/>
      <c r="BZ130" s="1432"/>
      <c r="CA130" s="1432"/>
      <c r="CB130" s="1432"/>
      <c r="CC130" s="1432"/>
      <c r="CD130" s="585"/>
      <c r="CE130" s="585"/>
      <c r="CF130" s="586"/>
    </row>
    <row r="131" spans="1:84" s="583" customFormat="1" ht="23.1" customHeight="1">
      <c r="A131" s="584"/>
      <c r="B131" s="585"/>
      <c r="C131" s="585"/>
      <c r="D131" s="585"/>
      <c r="E131" s="585"/>
      <c r="F131" s="585"/>
      <c r="G131" s="585"/>
      <c r="H131" s="585"/>
      <c r="I131" s="585"/>
      <c r="J131" s="585"/>
      <c r="K131" s="585"/>
      <c r="L131" s="585"/>
      <c r="M131" s="585"/>
      <c r="N131" s="585"/>
      <c r="O131" s="585"/>
      <c r="P131" s="585"/>
      <c r="Q131" s="585"/>
      <c r="R131" s="585"/>
      <c r="S131" s="585"/>
      <c r="T131" s="585"/>
      <c r="U131" s="585"/>
      <c r="V131" s="585"/>
      <c r="W131" s="585"/>
      <c r="X131" s="585"/>
      <c r="Y131" s="585"/>
      <c r="Z131" s="585"/>
      <c r="AA131" s="585"/>
      <c r="AB131" s="585"/>
      <c r="AC131" s="585"/>
      <c r="AD131" s="574"/>
      <c r="AE131" s="574"/>
      <c r="AF131" s="574"/>
      <c r="AG131" s="574"/>
      <c r="AH131" s="574"/>
      <c r="AI131" s="574"/>
      <c r="AJ131" s="574"/>
      <c r="AK131" s="574"/>
      <c r="AL131" s="574"/>
      <c r="AM131" s="574"/>
      <c r="AN131" s="574"/>
      <c r="AO131" s="574"/>
      <c r="AP131" s="574"/>
      <c r="AQ131" s="574"/>
      <c r="AR131" s="574"/>
      <c r="AS131" s="585"/>
      <c r="AT131" s="590"/>
      <c r="AU131" s="590"/>
      <c r="AV131" s="585"/>
      <c r="AW131" s="585"/>
      <c r="AX131" s="585"/>
      <c r="AY131" s="585"/>
      <c r="AZ131" s="585"/>
      <c r="BA131" s="585"/>
      <c r="BB131" s="585"/>
      <c r="BC131" s="585"/>
      <c r="BD131" s="585"/>
      <c r="BE131" s="585"/>
      <c r="BF131" s="585"/>
      <c r="BG131" s="585"/>
      <c r="BH131" s="585"/>
      <c r="BI131" s="585"/>
      <c r="BJ131" s="585"/>
      <c r="BK131" s="585"/>
      <c r="BL131" s="585"/>
      <c r="BM131" s="585"/>
      <c r="BN131" s="585"/>
      <c r="BO131" s="585"/>
      <c r="BP131" s="1431" t="s">
        <v>41</v>
      </c>
      <c r="BQ131" s="1431"/>
      <c r="BR131" s="585"/>
      <c r="BS131" s="585"/>
      <c r="BT131" s="1434">
        <f>BT129+BT130</f>
        <v>59020</v>
      </c>
      <c r="BU131" s="1434"/>
      <c r="BV131" s="1434"/>
      <c r="BW131" s="1434"/>
      <c r="BX131" s="1434"/>
      <c r="BY131" s="1434"/>
      <c r="BZ131" s="1434"/>
      <c r="CA131" s="1434"/>
      <c r="CB131" s="1434"/>
      <c r="CC131" s="1434"/>
      <c r="CD131" s="585"/>
      <c r="CE131" s="585"/>
      <c r="CF131" s="586"/>
    </row>
    <row r="132" spans="1:84" s="583" customFormat="1" ht="23.1" customHeight="1">
      <c r="A132" s="592"/>
      <c r="B132" s="593" t="s">
        <v>1110</v>
      </c>
      <c r="C132" s="593"/>
      <c r="D132" s="593"/>
      <c r="E132" s="593"/>
      <c r="F132" s="593"/>
      <c r="G132" s="593"/>
      <c r="H132" s="593"/>
      <c r="I132" s="593"/>
      <c r="J132" s="593"/>
      <c r="K132" s="593"/>
      <c r="L132" s="593"/>
      <c r="M132" s="593"/>
      <c r="N132" s="593"/>
      <c r="O132" s="593"/>
      <c r="P132" s="593"/>
      <c r="Q132" s="593"/>
      <c r="R132" s="593"/>
      <c r="S132" s="593"/>
      <c r="T132" s="593"/>
      <c r="U132" s="593"/>
      <c r="V132" s="593"/>
      <c r="W132" s="593"/>
      <c r="X132" s="593"/>
      <c r="Y132" s="593"/>
      <c r="Z132" s="593"/>
      <c r="AA132" s="593"/>
      <c r="AB132" s="593"/>
      <c r="AC132" s="593"/>
      <c r="AD132" s="593"/>
      <c r="AE132" s="593"/>
      <c r="AF132" s="593"/>
      <c r="AG132" s="593"/>
      <c r="AH132" s="593"/>
      <c r="AI132" s="593"/>
      <c r="AJ132" s="593"/>
      <c r="AK132" s="593"/>
      <c r="AL132" s="593"/>
      <c r="AM132" s="593"/>
      <c r="AN132" s="593"/>
      <c r="AO132" s="593"/>
      <c r="AP132" s="593"/>
      <c r="AQ132" s="593"/>
      <c r="AR132" s="593"/>
      <c r="AS132" s="593"/>
      <c r="AT132" s="593"/>
      <c r="AU132" s="593"/>
      <c r="AV132" s="593"/>
      <c r="AW132" s="593"/>
      <c r="AX132" s="593"/>
      <c r="AY132" s="593"/>
      <c r="AZ132" s="593"/>
      <c r="BA132" s="593"/>
      <c r="BB132" s="593"/>
      <c r="BC132" s="593"/>
      <c r="BD132" s="593"/>
      <c r="BE132" s="593"/>
      <c r="BF132" s="593"/>
      <c r="BG132" s="593"/>
      <c r="BH132" s="593"/>
      <c r="BI132" s="593"/>
      <c r="BJ132" s="593"/>
      <c r="BK132" s="593"/>
      <c r="BL132" s="593"/>
      <c r="BM132" s="593"/>
      <c r="BN132" s="593"/>
      <c r="BO132" s="593"/>
      <c r="BP132" s="593"/>
      <c r="BQ132" s="593"/>
      <c r="BR132" s="593"/>
      <c r="BS132" s="593"/>
      <c r="BT132" s="593"/>
      <c r="BU132" s="593"/>
      <c r="BV132" s="593"/>
      <c r="BW132" s="593"/>
      <c r="BX132" s="593"/>
      <c r="BY132" s="593"/>
      <c r="BZ132" s="593"/>
      <c r="CA132" s="593"/>
      <c r="CB132" s="593"/>
      <c r="CC132" s="593"/>
      <c r="CD132" s="593"/>
      <c r="CE132" s="593"/>
      <c r="CF132" s="595"/>
    </row>
    <row r="133" spans="1:84" s="583" customFormat="1" ht="23.1" customHeight="1">
      <c r="A133" s="584"/>
      <c r="B133" s="585"/>
      <c r="C133" s="585"/>
      <c r="D133" s="596" t="s">
        <v>1094</v>
      </c>
      <c r="E133" s="585"/>
      <c r="F133" s="585"/>
      <c r="G133" s="585"/>
      <c r="H133" s="585"/>
      <c r="I133" s="585"/>
      <c r="J133" s="585"/>
      <c r="K133" s="585"/>
      <c r="L133" s="585"/>
      <c r="M133" s="585"/>
      <c r="N133" s="585"/>
      <c r="O133" s="585"/>
      <c r="P133" s="585"/>
      <c r="Q133" s="585"/>
      <c r="R133" s="585"/>
      <c r="S133" s="585"/>
      <c r="T133" s="585"/>
      <c r="U133" s="585"/>
      <c r="V133" s="585"/>
      <c r="W133" s="585"/>
      <c r="X133" s="585"/>
      <c r="Y133" s="585"/>
      <c r="Z133" s="585"/>
      <c r="AA133" s="585"/>
      <c r="AB133" s="585"/>
      <c r="AC133" s="585"/>
      <c r="AD133" s="585"/>
      <c r="AE133" s="585"/>
      <c r="AF133" s="585"/>
      <c r="AG133" s="585"/>
      <c r="AH133" s="585"/>
      <c r="AI133" s="585"/>
      <c r="AJ133" s="585"/>
      <c r="AK133" s="585"/>
      <c r="AL133" s="585"/>
      <c r="AM133" s="585"/>
      <c r="AN133" s="585"/>
      <c r="AO133" s="585"/>
      <c r="AP133" s="585"/>
      <c r="AQ133" s="585"/>
      <c r="AR133" s="422"/>
      <c r="AS133" s="1435" t="e">
        <f>HLOOKUP(D133,$CN$1:$CO$3,3,0)</f>
        <v>#REF!</v>
      </c>
      <c r="AT133" s="1435"/>
      <c r="AU133" s="1435"/>
      <c r="AV133" s="1435"/>
      <c r="AW133" s="1435"/>
      <c r="AX133" s="1435"/>
      <c r="AY133" s="1435"/>
      <c r="AZ133" s="1435"/>
      <c r="BA133" s="1435"/>
      <c r="BB133" s="1435"/>
      <c r="BC133" s="585"/>
      <c r="BD133" s="1431" t="s">
        <v>446</v>
      </c>
      <c r="BE133" s="1431"/>
      <c r="BF133" s="585"/>
      <c r="BG133" s="1431">
        <v>15.3</v>
      </c>
      <c r="BH133" s="1431"/>
      <c r="BI133" s="1431"/>
      <c r="BJ133" s="1431"/>
      <c r="BK133" s="1431"/>
      <c r="BL133" s="585" t="s">
        <v>1111</v>
      </c>
      <c r="BM133" s="585"/>
      <c r="BN133" s="585"/>
      <c r="BO133" s="585"/>
      <c r="BP133" s="1431" t="s">
        <v>41</v>
      </c>
      <c r="BQ133" s="1431"/>
      <c r="BR133" s="585"/>
      <c r="BS133" s="585"/>
      <c r="BT133" s="1432" t="e">
        <f>INT(AS133*BG133)</f>
        <v>#REF!</v>
      </c>
      <c r="BU133" s="1432"/>
      <c r="BV133" s="1432"/>
      <c r="BW133" s="1432"/>
      <c r="BX133" s="1432"/>
      <c r="BY133" s="1432"/>
      <c r="BZ133" s="1432"/>
      <c r="CA133" s="1432"/>
      <c r="CB133" s="1432"/>
      <c r="CC133" s="1432"/>
      <c r="CD133" s="585"/>
      <c r="CE133" s="585"/>
      <c r="CF133" s="586"/>
    </row>
    <row r="134" spans="1:84" s="583" customFormat="1" ht="23.1" customHeight="1">
      <c r="A134" s="584"/>
      <c r="B134" s="585"/>
      <c r="C134" s="585"/>
      <c r="D134" s="591" t="str">
        <f>"잡재료 (주연료의 "&amp;BG134&amp;"%) :"</f>
        <v>잡재료 (주연료의 22%) :</v>
      </c>
      <c r="E134" s="585"/>
      <c r="F134" s="585"/>
      <c r="G134" s="585"/>
      <c r="H134" s="585"/>
      <c r="I134" s="585"/>
      <c r="J134" s="585"/>
      <c r="K134" s="585"/>
      <c r="L134" s="585"/>
      <c r="M134" s="585"/>
      <c r="N134" s="585"/>
      <c r="O134" s="585"/>
      <c r="P134" s="585"/>
      <c r="Q134" s="585"/>
      <c r="R134" s="585"/>
      <c r="S134" s="585"/>
      <c r="T134" s="585"/>
      <c r="U134" s="585"/>
      <c r="V134" s="585"/>
      <c r="W134" s="585"/>
      <c r="X134" s="585"/>
      <c r="Y134" s="585"/>
      <c r="Z134" s="585"/>
      <c r="AA134" s="585"/>
      <c r="AB134" s="585"/>
      <c r="AC134" s="585"/>
      <c r="AD134" s="585"/>
      <c r="AE134" s="585"/>
      <c r="AF134" s="585"/>
      <c r="AG134" s="585"/>
      <c r="AH134" s="585"/>
      <c r="AI134" s="585"/>
      <c r="AJ134" s="585"/>
      <c r="AK134" s="585"/>
      <c r="AL134" s="585"/>
      <c r="AM134" s="585"/>
      <c r="AN134" s="585"/>
      <c r="AO134" s="585"/>
      <c r="AP134" s="585"/>
      <c r="AQ134" s="585"/>
      <c r="AR134" s="422" t="e">
        <f>BT133</f>
        <v>#REF!</v>
      </c>
      <c r="AS134" s="1430" t="e">
        <f>BT133</f>
        <v>#REF!</v>
      </c>
      <c r="AT134" s="1430"/>
      <c r="AU134" s="1430"/>
      <c r="AV134" s="1430"/>
      <c r="AW134" s="1430"/>
      <c r="AX134" s="1430"/>
      <c r="AY134" s="1430"/>
      <c r="AZ134" s="1430"/>
      <c r="BA134" s="1430"/>
      <c r="BB134" s="1430"/>
      <c r="BC134" s="585"/>
      <c r="BD134" s="1431" t="s">
        <v>446</v>
      </c>
      <c r="BE134" s="1431"/>
      <c r="BF134" s="585"/>
      <c r="BG134" s="1431">
        <v>22</v>
      </c>
      <c r="BH134" s="1431"/>
      <c r="BI134" s="1431"/>
      <c r="BJ134" s="1431"/>
      <c r="BK134" s="1431"/>
      <c r="BL134" s="585" t="s">
        <v>1112</v>
      </c>
      <c r="BM134" s="585"/>
      <c r="BN134" s="585"/>
      <c r="BO134" s="585"/>
      <c r="BP134" s="1431" t="s">
        <v>41</v>
      </c>
      <c r="BQ134" s="1431"/>
      <c r="BR134" s="585"/>
      <c r="BS134" s="585"/>
      <c r="BT134" s="1432" t="e">
        <f>INT(AS134*BG134/100)</f>
        <v>#REF!</v>
      </c>
      <c r="BU134" s="1432"/>
      <c r="BV134" s="1432"/>
      <c r="BW134" s="1432"/>
      <c r="BX134" s="1432"/>
      <c r="BY134" s="1432"/>
      <c r="BZ134" s="1432"/>
      <c r="CA134" s="1432"/>
      <c r="CB134" s="1432"/>
      <c r="CC134" s="1432"/>
      <c r="CD134" s="585"/>
      <c r="CE134" s="585"/>
      <c r="CF134" s="586"/>
    </row>
    <row r="135" spans="1:84" s="583" customFormat="1" ht="23.1" customHeight="1" thickBot="1">
      <c r="A135" s="584"/>
      <c r="B135" s="585"/>
      <c r="C135" s="585"/>
      <c r="D135" s="585"/>
      <c r="E135" s="585"/>
      <c r="F135" s="585"/>
      <c r="G135" s="585"/>
      <c r="H135" s="585"/>
      <c r="I135" s="585"/>
      <c r="J135" s="585"/>
      <c r="K135" s="585"/>
      <c r="L135" s="585"/>
      <c r="M135" s="585"/>
      <c r="N135" s="585"/>
      <c r="O135" s="585"/>
      <c r="P135" s="585"/>
      <c r="Q135" s="585"/>
      <c r="R135" s="585"/>
      <c r="S135" s="585"/>
      <c r="T135" s="585"/>
      <c r="U135" s="585"/>
      <c r="V135" s="585"/>
      <c r="W135" s="585"/>
      <c r="X135" s="585"/>
      <c r="Y135" s="585"/>
      <c r="Z135" s="585"/>
      <c r="AA135" s="585"/>
      <c r="AB135" s="585"/>
      <c r="AC135" s="585"/>
      <c r="AD135" s="585"/>
      <c r="AE135" s="585"/>
      <c r="AF135" s="585"/>
      <c r="AG135" s="585"/>
      <c r="AH135" s="585"/>
      <c r="AI135" s="585"/>
      <c r="AJ135" s="585"/>
      <c r="AK135" s="585"/>
      <c r="AL135" s="585"/>
      <c r="AM135" s="585"/>
      <c r="AN135" s="585"/>
      <c r="AO135" s="585"/>
      <c r="AP135" s="585"/>
      <c r="AQ135" s="585"/>
      <c r="AR135" s="585"/>
      <c r="AS135" s="585"/>
      <c r="AT135" s="585"/>
      <c r="AU135" s="585"/>
      <c r="AV135" s="585"/>
      <c r="AW135" s="585"/>
      <c r="AX135" s="585"/>
      <c r="AY135" s="585"/>
      <c r="AZ135" s="585"/>
      <c r="BA135" s="585"/>
      <c r="BB135" s="585"/>
      <c r="BC135" s="585"/>
      <c r="BD135" s="585"/>
      <c r="BE135" s="585"/>
      <c r="BF135" s="585"/>
      <c r="BG135" s="585"/>
      <c r="BH135" s="585"/>
      <c r="BI135" s="585"/>
      <c r="BJ135" s="585"/>
      <c r="BK135" s="585"/>
      <c r="BL135" s="585"/>
      <c r="BM135" s="585"/>
      <c r="BN135" s="585"/>
      <c r="BO135" s="585"/>
      <c r="BP135" s="1431" t="s">
        <v>41</v>
      </c>
      <c r="BQ135" s="1431"/>
      <c r="BR135" s="585"/>
      <c r="BS135" s="585"/>
      <c r="BT135" s="1433" t="e">
        <f>BT133+BT134</f>
        <v>#REF!</v>
      </c>
      <c r="BU135" s="1433"/>
      <c r="BV135" s="1433"/>
      <c r="BW135" s="1433"/>
      <c r="BX135" s="1433"/>
      <c r="BY135" s="1433"/>
      <c r="BZ135" s="1433"/>
      <c r="CA135" s="1433"/>
      <c r="CB135" s="1433"/>
      <c r="CC135" s="1433"/>
      <c r="CD135" s="585"/>
      <c r="CE135" s="585"/>
      <c r="CF135" s="586"/>
    </row>
    <row r="136" spans="1:84" s="583" customFormat="1" ht="23.1" customHeight="1" thickBot="1">
      <c r="A136" s="597"/>
      <c r="B136" s="598" t="s">
        <v>1113</v>
      </c>
      <c r="C136" s="598"/>
      <c r="D136" s="598"/>
      <c r="E136" s="598"/>
      <c r="F136" s="598"/>
      <c r="G136" s="598"/>
      <c r="H136" s="598"/>
      <c r="I136" s="598"/>
      <c r="J136" s="598"/>
      <c r="K136" s="598"/>
      <c r="L136" s="598"/>
      <c r="M136" s="598"/>
      <c r="N136" s="598"/>
      <c r="O136" s="598"/>
      <c r="P136" s="598"/>
      <c r="Q136" s="598"/>
      <c r="R136" s="598"/>
      <c r="S136" s="598"/>
      <c r="T136" s="598"/>
      <c r="U136" s="598"/>
      <c r="V136" s="598"/>
      <c r="W136" s="598"/>
      <c r="X136" s="598"/>
      <c r="Y136" s="598"/>
      <c r="Z136" s="598"/>
      <c r="AA136" s="598"/>
      <c r="AB136" s="598"/>
      <c r="AC136" s="598"/>
      <c r="AD136" s="598"/>
      <c r="AE136" s="598"/>
      <c r="AF136" s="598"/>
      <c r="AG136" s="598"/>
      <c r="AH136" s="598"/>
      <c r="AI136" s="598"/>
      <c r="AJ136" s="598"/>
      <c r="AK136" s="598"/>
      <c r="AL136" s="598"/>
      <c r="AM136" s="598"/>
      <c r="AN136" s="598"/>
      <c r="AO136" s="598"/>
      <c r="AP136" s="598"/>
      <c r="AQ136" s="598"/>
      <c r="AR136" s="598"/>
      <c r="AS136" s="598"/>
      <c r="AT136" s="598"/>
      <c r="AU136" s="598"/>
      <c r="AV136" s="598"/>
      <c r="AW136" s="598"/>
      <c r="AX136" s="598"/>
      <c r="AY136" s="598"/>
      <c r="AZ136" s="598"/>
      <c r="BA136" s="598"/>
      <c r="BB136" s="598"/>
      <c r="BC136" s="598"/>
      <c r="BD136" s="598"/>
      <c r="BE136" s="598"/>
      <c r="BF136" s="598"/>
      <c r="BG136" s="598"/>
      <c r="BH136" s="598"/>
      <c r="BI136" s="598"/>
      <c r="BJ136" s="598"/>
      <c r="BK136" s="598"/>
      <c r="BL136" s="598"/>
      <c r="BM136" s="598"/>
      <c r="BN136" s="598"/>
      <c r="BO136" s="598"/>
      <c r="BP136" s="598"/>
      <c r="BQ136" s="598"/>
      <c r="BR136" s="598"/>
      <c r="BS136" s="598"/>
      <c r="BT136" s="1429" t="e">
        <f>BT127+BT131+BT135</f>
        <v>#REF!</v>
      </c>
      <c r="BU136" s="1429"/>
      <c r="BV136" s="1429"/>
      <c r="BW136" s="1429"/>
      <c r="BX136" s="1429"/>
      <c r="BY136" s="1429"/>
      <c r="BZ136" s="1429"/>
      <c r="CA136" s="1429"/>
      <c r="CB136" s="1429"/>
      <c r="CC136" s="1429"/>
      <c r="CD136" s="598"/>
      <c r="CE136" s="598"/>
      <c r="CF136" s="599"/>
    </row>
    <row r="137" spans="1:84" s="583" customFormat="1" ht="9.9499999999999993" customHeight="1">
      <c r="A137" s="574"/>
      <c r="B137" s="574"/>
      <c r="C137" s="574"/>
      <c r="D137" s="574"/>
      <c r="E137" s="574"/>
      <c r="F137" s="574"/>
      <c r="G137" s="574"/>
      <c r="H137" s="574"/>
      <c r="I137" s="574"/>
      <c r="J137" s="574"/>
      <c r="K137" s="574"/>
      <c r="L137" s="574"/>
      <c r="M137" s="574"/>
      <c r="N137" s="574"/>
      <c r="O137" s="574"/>
      <c r="P137" s="574"/>
      <c r="Q137" s="574"/>
      <c r="R137" s="574"/>
      <c r="S137" s="574"/>
      <c r="T137" s="574"/>
      <c r="U137" s="574"/>
      <c r="V137" s="574"/>
      <c r="W137" s="574"/>
      <c r="X137" s="574"/>
      <c r="Y137" s="574"/>
      <c r="Z137" s="574"/>
      <c r="AA137" s="574"/>
      <c r="AB137" s="574"/>
      <c r="AC137" s="574"/>
      <c r="AD137" s="574"/>
      <c r="AE137" s="574"/>
      <c r="AF137" s="574"/>
      <c r="AG137" s="574"/>
      <c r="AH137" s="574"/>
      <c r="AI137" s="574"/>
      <c r="AJ137" s="574"/>
      <c r="AK137" s="574"/>
      <c r="AL137" s="574"/>
      <c r="AM137" s="574"/>
      <c r="AN137" s="574"/>
      <c r="AO137" s="574"/>
      <c r="AP137" s="574"/>
      <c r="AQ137" s="574"/>
      <c r="AR137" s="574"/>
      <c r="AS137" s="574"/>
      <c r="AT137" s="574"/>
      <c r="AU137" s="574"/>
      <c r="AV137" s="574"/>
      <c r="AW137" s="574"/>
      <c r="AX137" s="574"/>
      <c r="AY137" s="574"/>
      <c r="AZ137" s="574"/>
      <c r="BA137" s="574"/>
      <c r="BB137" s="574"/>
      <c r="BC137" s="574"/>
      <c r="BD137" s="574"/>
      <c r="BE137" s="574"/>
      <c r="BF137" s="574"/>
      <c r="BG137" s="574"/>
      <c r="BH137" s="574"/>
      <c r="BI137" s="574"/>
      <c r="BJ137" s="574"/>
      <c r="BK137" s="574"/>
      <c r="BL137" s="574"/>
      <c r="BM137" s="574"/>
      <c r="BN137" s="574"/>
      <c r="BO137" s="574"/>
      <c r="BP137" s="574"/>
      <c r="BQ137" s="574"/>
      <c r="BR137" s="574"/>
      <c r="BS137" s="574"/>
      <c r="BT137" s="574"/>
      <c r="BU137" s="574"/>
      <c r="BV137" s="574"/>
      <c r="BW137" s="574"/>
      <c r="BX137" s="574"/>
      <c r="BY137" s="574"/>
      <c r="BZ137" s="574"/>
      <c r="CA137" s="574"/>
      <c r="CB137" s="574"/>
      <c r="CC137" s="574"/>
      <c r="CD137" s="574"/>
      <c r="CE137" s="574"/>
      <c r="CF137" s="574"/>
    </row>
    <row r="138" spans="1:84" s="583" customFormat="1" ht="23.1" customHeight="1" thickBot="1">
      <c r="A138" s="1446" t="s">
        <v>1095</v>
      </c>
      <c r="B138" s="1446"/>
      <c r="C138" s="1446"/>
      <c r="D138" s="1446"/>
      <c r="E138" s="1446"/>
      <c r="F138" s="1446"/>
      <c r="G138" s="1447">
        <f>G123+1</f>
        <v>10</v>
      </c>
      <c r="H138" s="1447"/>
      <c r="I138" s="1447"/>
      <c r="J138" s="1448" t="s">
        <v>1096</v>
      </c>
      <c r="K138" s="1448"/>
      <c r="L138" s="574"/>
      <c r="M138" s="574"/>
      <c r="N138" s="574"/>
      <c r="O138" s="574"/>
      <c r="P138" s="574"/>
      <c r="Q138" s="574"/>
      <c r="R138" s="574"/>
      <c r="S138" s="574"/>
      <c r="T138" s="574"/>
      <c r="U138" s="574"/>
      <c r="V138" s="574"/>
      <c r="W138" s="574"/>
      <c r="X138" s="574"/>
      <c r="Y138" s="574"/>
      <c r="Z138" s="574"/>
      <c r="AA138" s="574"/>
      <c r="AB138" s="574"/>
      <c r="AC138" s="574"/>
      <c r="AD138" s="574"/>
      <c r="AE138" s="574"/>
      <c r="AF138" s="574"/>
      <c r="AG138" s="574"/>
      <c r="AH138" s="574"/>
      <c r="AI138" s="574"/>
      <c r="AJ138" s="574"/>
      <c r="AK138" s="574"/>
      <c r="AL138" s="574"/>
      <c r="AM138" s="574"/>
      <c r="AN138" s="574"/>
      <c r="AO138" s="574"/>
      <c r="AP138" s="574"/>
      <c r="AQ138" s="574"/>
      <c r="AR138" s="574"/>
      <c r="AS138" s="574"/>
      <c r="AT138" s="574"/>
      <c r="AU138" s="574"/>
      <c r="AV138" s="574"/>
      <c r="AW138" s="574"/>
      <c r="AX138" s="574"/>
      <c r="AY138" s="574"/>
      <c r="AZ138" s="574"/>
      <c r="BA138" s="574"/>
      <c r="BB138" s="574"/>
      <c r="BC138" s="574"/>
      <c r="BD138" s="574"/>
      <c r="BE138" s="574"/>
      <c r="BF138" s="574"/>
      <c r="BG138" s="574"/>
      <c r="BH138" s="574"/>
      <c r="BI138" s="574"/>
      <c r="BJ138" s="574"/>
      <c r="BK138" s="574"/>
      <c r="BL138" s="574"/>
      <c r="BM138" s="574"/>
      <c r="BN138" s="574"/>
      <c r="BO138" s="574"/>
      <c r="BP138" s="574"/>
      <c r="BQ138" s="574"/>
      <c r="BR138" s="574"/>
      <c r="BS138" s="574"/>
      <c r="BT138" s="574"/>
      <c r="BU138" s="574"/>
      <c r="BV138" s="574"/>
      <c r="BW138" s="574"/>
      <c r="BX138" s="574"/>
      <c r="BY138" s="574"/>
      <c r="BZ138" s="574"/>
      <c r="CA138" s="574"/>
      <c r="CB138" s="574"/>
      <c r="CC138" s="574"/>
      <c r="CD138" s="574"/>
      <c r="CE138" s="574"/>
      <c r="CF138" s="574"/>
    </row>
    <row r="139" spans="1:84" s="583" customFormat="1" ht="23.1" customHeight="1" thickBot="1">
      <c r="A139" s="1483" t="s">
        <v>1097</v>
      </c>
      <c r="B139" s="1484"/>
      <c r="C139" s="1484"/>
      <c r="D139" s="1484"/>
      <c r="E139" s="1484"/>
      <c r="F139" s="1484"/>
      <c r="G139" s="1484"/>
      <c r="H139" s="1484"/>
      <c r="I139" s="581" t="s">
        <v>277</v>
      </c>
      <c r="J139" s="581"/>
      <c r="K139" s="581"/>
      <c r="L139" s="581"/>
      <c r="M139" s="581"/>
      <c r="N139" s="581"/>
      <c r="O139" s="581"/>
      <c r="P139" s="581"/>
      <c r="Q139" s="581"/>
      <c r="R139" s="581"/>
      <c r="S139" s="581"/>
      <c r="T139" s="581"/>
      <c r="U139" s="581"/>
      <c r="V139" s="581"/>
      <c r="W139" s="581"/>
      <c r="X139" s="581"/>
      <c r="Y139" s="581"/>
      <c r="Z139" s="581"/>
      <c r="AA139" s="581"/>
      <c r="AB139" s="581"/>
      <c r="AC139" s="581"/>
      <c r="AD139" s="581"/>
      <c r="AE139" s="581"/>
      <c r="AF139" s="581"/>
      <c r="AG139" s="581"/>
      <c r="AH139" s="581"/>
      <c r="AI139" s="581"/>
      <c r="AJ139" s="1484" t="s">
        <v>1099</v>
      </c>
      <c r="AK139" s="1484"/>
      <c r="AL139" s="1484"/>
      <c r="AM139" s="1484"/>
      <c r="AN139" s="1484"/>
      <c r="AO139" s="1484"/>
      <c r="AP139" s="1484"/>
      <c r="AQ139" s="581" t="s">
        <v>401</v>
      </c>
      <c r="AR139" s="581"/>
      <c r="AS139" s="581"/>
      <c r="AT139" s="581"/>
      <c r="AU139" s="581"/>
      <c r="AV139" s="581"/>
      <c r="AW139" s="581"/>
      <c r="AX139" s="581"/>
      <c r="AY139" s="581"/>
      <c r="AZ139" s="581"/>
      <c r="BA139" s="581"/>
      <c r="BB139" s="581"/>
      <c r="BC139" s="581"/>
      <c r="BD139" s="581"/>
      <c r="BE139" s="581"/>
      <c r="BF139" s="581"/>
      <c r="BG139" s="581"/>
      <c r="BH139" s="581"/>
      <c r="BI139" s="581"/>
      <c r="BJ139" s="581"/>
      <c r="BK139" s="581"/>
      <c r="BL139" s="581"/>
      <c r="BM139" s="581"/>
      <c r="BN139" s="581"/>
      <c r="BO139" s="581"/>
      <c r="BP139" s="581"/>
      <c r="BQ139" s="581"/>
      <c r="BR139" s="581"/>
      <c r="BS139" s="581"/>
      <c r="BT139" s="581" t="s">
        <v>1125</v>
      </c>
      <c r="BU139" s="581"/>
      <c r="BV139" s="581"/>
      <c r="BW139" s="581"/>
      <c r="BX139" s="581"/>
      <c r="BY139" s="581"/>
      <c r="BZ139" s="581"/>
      <c r="CA139" s="581"/>
      <c r="CB139" s="581"/>
      <c r="CC139" s="581"/>
      <c r="CD139" s="581"/>
      <c r="CE139" s="581"/>
      <c r="CF139" s="582"/>
    </row>
    <row r="140" spans="1:84" s="583" customFormat="1" ht="23.1" customHeight="1">
      <c r="A140" s="584"/>
      <c r="B140" s="585" t="s">
        <v>1102</v>
      </c>
      <c r="C140" s="585"/>
      <c r="D140" s="585"/>
      <c r="E140" s="585"/>
      <c r="F140" s="585"/>
      <c r="G140" s="585"/>
      <c r="H140" s="585"/>
      <c r="I140" s="585"/>
      <c r="J140" s="585"/>
      <c r="K140" s="585"/>
      <c r="L140" s="585"/>
      <c r="M140" s="585"/>
      <c r="N140" s="585"/>
      <c r="O140" s="585"/>
      <c r="P140" s="585"/>
      <c r="Q140" s="585"/>
      <c r="R140" s="585"/>
      <c r="S140" s="585"/>
      <c r="T140" s="585"/>
      <c r="U140" s="585"/>
      <c r="V140" s="585"/>
      <c r="W140" s="585"/>
      <c r="X140" s="585"/>
      <c r="Y140" s="585"/>
      <c r="Z140" s="585"/>
      <c r="AA140" s="585"/>
      <c r="AB140" s="585"/>
      <c r="AC140" s="585"/>
      <c r="AD140" s="585"/>
      <c r="AE140" s="585"/>
      <c r="AF140" s="585"/>
      <c r="AG140" s="585"/>
      <c r="AH140" s="585"/>
      <c r="AI140" s="585"/>
      <c r="AJ140" s="585"/>
      <c r="AK140" s="585"/>
      <c r="AL140" s="585"/>
      <c r="AM140" s="585"/>
      <c r="AN140" s="585"/>
      <c r="AO140" s="585"/>
      <c r="AP140" s="585"/>
      <c r="AQ140" s="585"/>
      <c r="AR140" s="585"/>
      <c r="AS140" s="585"/>
      <c r="AT140" s="585"/>
      <c r="AU140" s="585"/>
      <c r="AV140" s="585"/>
      <c r="AW140" s="585"/>
      <c r="AX140" s="585"/>
      <c r="AY140" s="585"/>
      <c r="AZ140" s="585"/>
      <c r="BA140" s="585"/>
      <c r="BB140" s="585"/>
      <c r="BC140" s="585"/>
      <c r="BD140" s="585"/>
      <c r="BE140" s="585"/>
      <c r="BF140" s="585"/>
      <c r="BG140" s="585"/>
      <c r="BH140" s="585"/>
      <c r="BI140" s="585"/>
      <c r="BJ140" s="585"/>
      <c r="BK140" s="585"/>
      <c r="BL140" s="585"/>
      <c r="BM140" s="585"/>
      <c r="BN140" s="585"/>
      <c r="BO140" s="585"/>
      <c r="BP140" s="585"/>
      <c r="BQ140" s="585"/>
      <c r="BR140" s="585"/>
      <c r="BS140" s="585"/>
      <c r="BT140" s="585"/>
      <c r="BU140" s="585"/>
      <c r="BV140" s="585"/>
      <c r="BW140" s="585"/>
      <c r="BX140" s="585"/>
      <c r="BY140" s="585"/>
      <c r="BZ140" s="585"/>
      <c r="CA140" s="585"/>
      <c r="CB140" s="585"/>
      <c r="CC140" s="585"/>
      <c r="CD140" s="585"/>
      <c r="CE140" s="585"/>
      <c r="CF140" s="586"/>
    </row>
    <row r="141" spans="1:84" s="583" customFormat="1" ht="23.1" customHeight="1">
      <c r="A141" s="587"/>
      <c r="B141" s="574"/>
      <c r="C141" s="574"/>
      <c r="D141" s="405"/>
      <c r="E141" s="574"/>
      <c r="F141" s="422"/>
      <c r="G141" s="422"/>
      <c r="H141" s="422"/>
      <c r="I141" s="422"/>
      <c r="J141" s="422"/>
      <c r="K141" s="422"/>
      <c r="L141" s="422"/>
      <c r="M141" s="422"/>
      <c r="N141" s="574"/>
      <c r="O141" s="574"/>
      <c r="P141" s="574"/>
      <c r="Q141" s="574"/>
      <c r="R141" s="574"/>
      <c r="S141" s="588"/>
      <c r="T141" s="588"/>
      <c r="U141" s="588"/>
      <c r="V141" s="588"/>
      <c r="W141" s="588"/>
      <c r="X141" s="588"/>
      <c r="Y141" s="588"/>
      <c r="Z141" s="588"/>
      <c r="AA141" s="574"/>
      <c r="AB141" s="588"/>
      <c r="AC141" s="585"/>
      <c r="AD141" s="585"/>
      <c r="AE141" s="600"/>
      <c r="AF141" s="600"/>
      <c r="AG141" s="600"/>
      <c r="AH141" s="600"/>
      <c r="AI141" s="600"/>
      <c r="AJ141" s="600"/>
      <c r="AK141" s="600"/>
      <c r="AL141" s="600"/>
      <c r="AM141" s="585"/>
      <c r="AN141" s="585"/>
      <c r="AO141" s="574"/>
      <c r="AP141" s="430"/>
      <c r="AQ141" s="430"/>
      <c r="AR141" s="430"/>
      <c r="AS141" s="430"/>
      <c r="AT141" s="430"/>
      <c r="AU141" s="430"/>
      <c r="AV141" s="430"/>
      <c r="AW141" s="430"/>
      <c r="AX141" s="430"/>
      <c r="AY141" s="430"/>
      <c r="AZ141" s="430"/>
      <c r="BA141" s="430"/>
      <c r="BB141" s="430"/>
      <c r="BC141" s="430"/>
      <c r="BD141" s="574"/>
      <c r="BE141" s="574"/>
      <c r="BF141" s="574"/>
      <c r="BG141" s="574"/>
      <c r="BH141" s="574"/>
      <c r="BI141" s="574"/>
      <c r="BJ141" s="574"/>
      <c r="BK141" s="574"/>
      <c r="BL141" s="574"/>
      <c r="BM141" s="574"/>
      <c r="BN141" s="574"/>
      <c r="BO141" s="574"/>
      <c r="BP141" s="574"/>
      <c r="BQ141" s="574"/>
      <c r="BR141" s="574"/>
      <c r="BS141" s="574"/>
      <c r="BT141" s="574"/>
      <c r="BU141" s="574"/>
      <c r="BV141" s="574"/>
      <c r="BW141" s="574"/>
      <c r="BX141" s="574"/>
      <c r="BY141" s="574"/>
      <c r="BZ141" s="574"/>
      <c r="CA141" s="574"/>
      <c r="CB141" s="574"/>
      <c r="CC141" s="574"/>
      <c r="CD141" s="574"/>
      <c r="CE141" s="574"/>
      <c r="CF141" s="589"/>
    </row>
    <row r="142" spans="1:84" s="583" customFormat="1" ht="23.1" customHeight="1">
      <c r="A142" s="584"/>
      <c r="B142" s="585"/>
      <c r="C142" s="585"/>
      <c r="D142" s="585"/>
      <c r="E142" s="585"/>
      <c r="F142" s="585"/>
      <c r="G142" s="585"/>
      <c r="H142" s="585"/>
      <c r="I142" s="585"/>
      <c r="J142" s="585"/>
      <c r="K142" s="585"/>
      <c r="L142" s="585"/>
      <c r="M142" s="585"/>
      <c r="N142" s="585"/>
      <c r="O142" s="585"/>
      <c r="P142" s="585"/>
      <c r="Q142" s="585"/>
      <c r="R142" s="585"/>
      <c r="S142" s="585"/>
      <c r="T142" s="585"/>
      <c r="U142" s="585"/>
      <c r="V142" s="590"/>
      <c r="W142" s="590"/>
      <c r="X142" s="590"/>
      <c r="Y142" s="590"/>
      <c r="Z142" s="590"/>
      <c r="AA142" s="590"/>
      <c r="AB142" s="590"/>
      <c r="AC142" s="590"/>
      <c r="AD142" s="574"/>
      <c r="AE142" s="1440">
        <v>142069000</v>
      </c>
      <c r="AF142" s="1440"/>
      <c r="AG142" s="1440"/>
      <c r="AH142" s="1440"/>
      <c r="AI142" s="1440"/>
      <c r="AJ142" s="1440"/>
      <c r="AK142" s="1440"/>
      <c r="AL142" s="1440"/>
      <c r="AM142" s="1440"/>
      <c r="AN142" s="1440"/>
      <c r="AO142" s="1440"/>
      <c r="AP142" s="1440"/>
      <c r="AQ142" s="1440"/>
      <c r="AR142" s="1440"/>
      <c r="AS142" s="1440"/>
      <c r="AT142" s="1491" t="s">
        <v>446</v>
      </c>
      <c r="AU142" s="1491"/>
      <c r="AV142" s="1500" t="s">
        <v>1103</v>
      </c>
      <c r="AW142" s="1500"/>
      <c r="AX142" s="1442">
        <v>2085</v>
      </c>
      <c r="AY142" s="1442"/>
      <c r="AZ142" s="1442"/>
      <c r="BA142" s="1442"/>
      <c r="BB142" s="1442"/>
      <c r="BC142" s="1442"/>
      <c r="BD142" s="585"/>
      <c r="BE142" s="1491" t="s">
        <v>446</v>
      </c>
      <c r="BF142" s="1491"/>
      <c r="BG142" s="585"/>
      <c r="BH142" s="591" t="s">
        <v>1104</v>
      </c>
      <c r="BI142" s="585"/>
      <c r="BJ142" s="585"/>
      <c r="BK142" s="585"/>
      <c r="BL142" s="1491" t="s">
        <v>1105</v>
      </c>
      <c r="BM142" s="1491"/>
      <c r="BN142" s="1491"/>
      <c r="BO142" s="585"/>
      <c r="BP142" s="1491" t="s">
        <v>41</v>
      </c>
      <c r="BQ142" s="1491"/>
      <c r="BR142" s="585"/>
      <c r="BS142" s="585"/>
      <c r="BT142" s="1437">
        <f>INT(AE142*AX142*10^-7)</f>
        <v>29621</v>
      </c>
      <c r="BU142" s="1437"/>
      <c r="BV142" s="1437"/>
      <c r="BW142" s="1437"/>
      <c r="BX142" s="1437"/>
      <c r="BY142" s="1437"/>
      <c r="BZ142" s="1437"/>
      <c r="CA142" s="1437"/>
      <c r="CB142" s="1437"/>
      <c r="CC142" s="1437"/>
      <c r="CD142" s="585"/>
      <c r="CE142" s="585"/>
      <c r="CF142" s="586"/>
    </row>
    <row r="143" spans="1:84" s="583" customFormat="1" ht="23.1" customHeight="1">
      <c r="A143" s="592"/>
      <c r="B143" s="593" t="s">
        <v>1106</v>
      </c>
      <c r="C143" s="593"/>
      <c r="D143" s="593"/>
      <c r="E143" s="593"/>
      <c r="F143" s="593"/>
      <c r="G143" s="593"/>
      <c r="H143" s="593"/>
      <c r="I143" s="593"/>
      <c r="J143" s="593"/>
      <c r="K143" s="593"/>
      <c r="L143" s="593"/>
      <c r="M143" s="593"/>
      <c r="N143" s="593"/>
      <c r="O143" s="593"/>
      <c r="P143" s="593"/>
      <c r="Q143" s="593"/>
      <c r="R143" s="593"/>
      <c r="S143" s="593"/>
      <c r="T143" s="593"/>
      <c r="U143" s="593"/>
      <c r="V143" s="593"/>
      <c r="W143" s="593"/>
      <c r="X143" s="593"/>
      <c r="Y143" s="593"/>
      <c r="Z143" s="593"/>
      <c r="AA143" s="593"/>
      <c r="AB143" s="593"/>
      <c r="AC143" s="593"/>
      <c r="AD143" s="593"/>
      <c r="AE143" s="593"/>
      <c r="AF143" s="593"/>
      <c r="AG143" s="593"/>
      <c r="AH143" s="593"/>
      <c r="AI143" s="593"/>
      <c r="AJ143" s="593"/>
      <c r="AK143" s="593"/>
      <c r="AL143" s="593"/>
      <c r="AM143" s="593"/>
      <c r="AN143" s="593"/>
      <c r="AO143" s="593"/>
      <c r="AP143" s="593"/>
      <c r="AQ143" s="593"/>
      <c r="AR143" s="593"/>
      <c r="AS143" s="593"/>
      <c r="AT143" s="593"/>
      <c r="AU143" s="593"/>
      <c r="AV143" s="593"/>
      <c r="AW143" s="593"/>
      <c r="AX143" s="593"/>
      <c r="AY143" s="593"/>
      <c r="AZ143" s="593"/>
      <c r="BA143" s="593"/>
      <c r="BB143" s="593"/>
      <c r="BC143" s="593"/>
      <c r="BD143" s="593"/>
      <c r="BE143" s="593"/>
      <c r="BF143" s="593"/>
      <c r="BG143" s="593"/>
      <c r="BH143" s="593"/>
      <c r="BI143" s="593"/>
      <c r="BJ143" s="593"/>
      <c r="BK143" s="593"/>
      <c r="BL143" s="593"/>
      <c r="BM143" s="593"/>
      <c r="BN143" s="593"/>
      <c r="BO143" s="593"/>
      <c r="BP143" s="593"/>
      <c r="BQ143" s="593"/>
      <c r="BR143" s="593"/>
      <c r="BS143" s="593"/>
      <c r="BT143" s="594"/>
      <c r="BU143" s="594"/>
      <c r="BV143" s="594"/>
      <c r="BW143" s="594"/>
      <c r="BX143" s="594"/>
      <c r="BY143" s="594"/>
      <c r="BZ143" s="594"/>
      <c r="CA143" s="594"/>
      <c r="CB143" s="594"/>
      <c r="CC143" s="594"/>
      <c r="CD143" s="593"/>
      <c r="CE143" s="593"/>
      <c r="CF143" s="595"/>
    </row>
    <row r="144" spans="1:84" s="583" customFormat="1" ht="23.1" customHeight="1">
      <c r="A144" s="584"/>
      <c r="B144" s="585"/>
      <c r="C144" s="585"/>
      <c r="D144" s="596" t="s">
        <v>268</v>
      </c>
      <c r="E144" s="585"/>
      <c r="F144" s="585"/>
      <c r="G144" s="585"/>
      <c r="H144" s="585"/>
      <c r="I144" s="585"/>
      <c r="J144" s="585"/>
      <c r="K144" s="585"/>
      <c r="L144" s="585"/>
      <c r="M144" s="585"/>
      <c r="N144" s="585"/>
      <c r="O144" s="585"/>
      <c r="P144" s="585"/>
      <c r="Q144" s="585"/>
      <c r="R144" s="585"/>
      <c r="S144" s="585"/>
      <c r="T144" s="574"/>
      <c r="U144" s="574"/>
      <c r="V144" s="1435">
        <f>HLOOKUP(D144,$CJ$1:$CM$3,3,0)</f>
        <v>283297</v>
      </c>
      <c r="W144" s="1435"/>
      <c r="X144" s="1435"/>
      <c r="Y144" s="1435"/>
      <c r="Z144" s="1435"/>
      <c r="AA144" s="1435"/>
      <c r="AB144" s="1435"/>
      <c r="AC144" s="1435"/>
      <c r="AD144" s="1435"/>
      <c r="AE144" s="1435"/>
      <c r="AF144" s="1431" t="s">
        <v>446</v>
      </c>
      <c r="AG144" s="1431"/>
      <c r="AH144" s="574"/>
      <c r="AI144" s="1436" t="s">
        <v>1107</v>
      </c>
      <c r="AJ144" s="1436"/>
      <c r="AK144" s="1436"/>
      <c r="AL144" s="1436"/>
      <c r="AM144" s="585"/>
      <c r="AN144" s="1431" t="s">
        <v>446</v>
      </c>
      <c r="AO144" s="1431"/>
      <c r="AP144" s="585"/>
      <c r="AQ144" s="1436" t="s">
        <v>1108</v>
      </c>
      <c r="AR144" s="1436"/>
      <c r="AS144" s="1436"/>
      <c r="AT144" s="1436"/>
      <c r="AU144" s="1436"/>
      <c r="AV144" s="422"/>
      <c r="AW144" s="1431" t="s">
        <v>446</v>
      </c>
      <c r="AX144" s="1431"/>
      <c r="AY144" s="440"/>
      <c r="AZ144" s="1436" t="s">
        <v>1109</v>
      </c>
      <c r="BA144" s="1436"/>
      <c r="BB144" s="1436"/>
      <c r="BC144" s="1436"/>
      <c r="BD144" s="1436"/>
      <c r="BE144" s="585"/>
      <c r="BF144" s="1431" t="s">
        <v>446</v>
      </c>
      <c r="BG144" s="1431"/>
      <c r="BH144" s="1431">
        <v>1</v>
      </c>
      <c r="BI144" s="1431"/>
      <c r="BJ144" s="1431"/>
      <c r="BK144" s="585"/>
      <c r="BL144" s="585" t="s">
        <v>366</v>
      </c>
      <c r="BM144" s="585"/>
      <c r="BN144" s="585"/>
      <c r="BO144" s="585"/>
      <c r="BP144" s="1431" t="s">
        <v>41</v>
      </c>
      <c r="BQ144" s="1431"/>
      <c r="BR144" s="585"/>
      <c r="BS144" s="585"/>
      <c r="BT144" s="1432">
        <f>INT(V144/8*16/12*25/20*BH144)</f>
        <v>59020</v>
      </c>
      <c r="BU144" s="1432"/>
      <c r="BV144" s="1432"/>
      <c r="BW144" s="1432"/>
      <c r="BX144" s="1432"/>
      <c r="BY144" s="1432"/>
      <c r="BZ144" s="1432"/>
      <c r="CA144" s="1432"/>
      <c r="CB144" s="1432"/>
      <c r="CC144" s="1432"/>
      <c r="CD144" s="585"/>
      <c r="CE144" s="585"/>
      <c r="CF144" s="586"/>
    </row>
    <row r="145" spans="1:84" s="583" customFormat="1" ht="23.1" customHeight="1">
      <c r="A145" s="584"/>
      <c r="B145" s="585"/>
      <c r="C145" s="585"/>
      <c r="D145" s="585"/>
      <c r="E145" s="585"/>
      <c r="F145" s="585"/>
      <c r="G145" s="585"/>
      <c r="H145" s="585"/>
      <c r="I145" s="585"/>
      <c r="J145" s="585"/>
      <c r="K145" s="585"/>
      <c r="L145" s="585"/>
      <c r="M145" s="585"/>
      <c r="N145" s="585"/>
      <c r="O145" s="585"/>
      <c r="P145" s="574"/>
      <c r="Q145" s="574"/>
      <c r="R145" s="574"/>
      <c r="S145" s="574"/>
      <c r="T145" s="574"/>
      <c r="U145" s="574"/>
      <c r="V145" s="574"/>
      <c r="W145" s="574"/>
      <c r="X145" s="574"/>
      <c r="Y145" s="574"/>
      <c r="Z145" s="574"/>
      <c r="AA145" s="574"/>
      <c r="AB145" s="574"/>
      <c r="AC145" s="574"/>
      <c r="AD145" s="574"/>
      <c r="AE145" s="574"/>
      <c r="AF145" s="574"/>
      <c r="AG145" s="574"/>
      <c r="AH145" s="574"/>
      <c r="AI145" s="574"/>
      <c r="AJ145" s="574"/>
      <c r="AK145" s="574"/>
      <c r="AL145" s="574"/>
      <c r="AM145" s="574"/>
      <c r="AN145" s="574"/>
      <c r="AO145" s="574"/>
      <c r="AP145" s="574"/>
      <c r="AQ145" s="574"/>
      <c r="AR145" s="574"/>
      <c r="AS145" s="574"/>
      <c r="AT145" s="574"/>
      <c r="AU145" s="574"/>
      <c r="AV145" s="574"/>
      <c r="AW145" s="574"/>
      <c r="AX145" s="574"/>
      <c r="AY145" s="574"/>
      <c r="AZ145" s="574"/>
      <c r="BA145" s="574"/>
      <c r="BB145" s="574"/>
      <c r="BC145" s="574"/>
      <c r="BD145" s="574"/>
      <c r="BE145" s="574"/>
      <c r="BF145" s="574"/>
      <c r="BG145" s="585"/>
      <c r="BH145" s="585"/>
      <c r="BI145" s="585"/>
      <c r="BJ145" s="585"/>
      <c r="BK145" s="585"/>
      <c r="BL145" s="585"/>
      <c r="BM145" s="585"/>
      <c r="BN145" s="585"/>
      <c r="BO145" s="585"/>
      <c r="BP145" s="1431"/>
      <c r="BQ145" s="1431"/>
      <c r="BR145" s="585"/>
      <c r="BS145" s="585"/>
      <c r="BT145" s="1487"/>
      <c r="BU145" s="1487"/>
      <c r="BV145" s="1487"/>
      <c r="BW145" s="1487"/>
      <c r="BX145" s="1487"/>
      <c r="BY145" s="1487"/>
      <c r="BZ145" s="1487"/>
      <c r="CA145" s="1487"/>
      <c r="CB145" s="1487"/>
      <c r="CC145" s="1487"/>
      <c r="CD145" s="585"/>
      <c r="CE145" s="585"/>
      <c r="CF145" s="586"/>
    </row>
    <row r="146" spans="1:84" s="583" customFormat="1" ht="23.1" customHeight="1">
      <c r="A146" s="584"/>
      <c r="B146" s="585"/>
      <c r="C146" s="585"/>
      <c r="D146" s="585"/>
      <c r="E146" s="585"/>
      <c r="F146" s="585"/>
      <c r="G146" s="585"/>
      <c r="H146" s="585"/>
      <c r="I146" s="585"/>
      <c r="J146" s="585"/>
      <c r="K146" s="585"/>
      <c r="L146" s="585"/>
      <c r="M146" s="585"/>
      <c r="N146" s="585"/>
      <c r="O146" s="585"/>
      <c r="P146" s="585"/>
      <c r="Q146" s="585"/>
      <c r="R146" s="585"/>
      <c r="S146" s="585"/>
      <c r="T146" s="585"/>
      <c r="U146" s="585"/>
      <c r="V146" s="585"/>
      <c r="W146" s="585"/>
      <c r="X146" s="585"/>
      <c r="Y146" s="585"/>
      <c r="Z146" s="585"/>
      <c r="AA146" s="585"/>
      <c r="AB146" s="585"/>
      <c r="AC146" s="585"/>
      <c r="AD146" s="574"/>
      <c r="AE146" s="574"/>
      <c r="AF146" s="574"/>
      <c r="AG146" s="574"/>
      <c r="AH146" s="574"/>
      <c r="AI146" s="574"/>
      <c r="AJ146" s="574"/>
      <c r="AK146" s="574"/>
      <c r="AL146" s="574"/>
      <c r="AM146" s="574"/>
      <c r="AN146" s="574"/>
      <c r="AO146" s="574"/>
      <c r="AP146" s="574"/>
      <c r="AQ146" s="574"/>
      <c r="AR146" s="574"/>
      <c r="AS146" s="585"/>
      <c r="AT146" s="590"/>
      <c r="AU146" s="590"/>
      <c r="AV146" s="585"/>
      <c r="AW146" s="585"/>
      <c r="AX146" s="585"/>
      <c r="AY146" s="585"/>
      <c r="AZ146" s="585"/>
      <c r="BA146" s="585"/>
      <c r="BB146" s="585"/>
      <c r="BC146" s="585"/>
      <c r="BD146" s="585"/>
      <c r="BE146" s="585"/>
      <c r="BF146" s="585"/>
      <c r="BG146" s="585"/>
      <c r="BH146" s="585"/>
      <c r="BI146" s="585"/>
      <c r="BJ146" s="585"/>
      <c r="BK146" s="585"/>
      <c r="BL146" s="585"/>
      <c r="BM146" s="585"/>
      <c r="BN146" s="585"/>
      <c r="BO146" s="585"/>
      <c r="BP146" s="1491" t="s">
        <v>41</v>
      </c>
      <c r="BQ146" s="1491"/>
      <c r="BR146" s="585"/>
      <c r="BS146" s="585"/>
      <c r="BT146" s="1434">
        <f>BT144+BT145</f>
        <v>59020</v>
      </c>
      <c r="BU146" s="1434"/>
      <c r="BV146" s="1434"/>
      <c r="BW146" s="1434"/>
      <c r="BX146" s="1434"/>
      <c r="BY146" s="1434"/>
      <c r="BZ146" s="1434"/>
      <c r="CA146" s="1434"/>
      <c r="CB146" s="1434"/>
      <c r="CC146" s="1434"/>
      <c r="CD146" s="585"/>
      <c r="CE146" s="585"/>
      <c r="CF146" s="586"/>
    </row>
    <row r="147" spans="1:84" s="583" customFormat="1" ht="23.1" customHeight="1">
      <c r="A147" s="592"/>
      <c r="B147" s="593" t="s">
        <v>1110</v>
      </c>
      <c r="C147" s="593"/>
      <c r="D147" s="593"/>
      <c r="E147" s="593"/>
      <c r="F147" s="593"/>
      <c r="G147" s="593"/>
      <c r="H147" s="593"/>
      <c r="I147" s="593"/>
      <c r="J147" s="593"/>
      <c r="K147" s="593"/>
      <c r="L147" s="593"/>
      <c r="M147" s="593"/>
      <c r="N147" s="593"/>
      <c r="O147" s="593"/>
      <c r="P147" s="593"/>
      <c r="Q147" s="593"/>
      <c r="R147" s="593"/>
      <c r="S147" s="593"/>
      <c r="T147" s="593"/>
      <c r="U147" s="593"/>
      <c r="V147" s="593"/>
      <c r="W147" s="593"/>
      <c r="X147" s="593"/>
      <c r="Y147" s="593"/>
      <c r="Z147" s="593"/>
      <c r="AA147" s="593"/>
      <c r="AB147" s="593"/>
      <c r="AC147" s="593"/>
      <c r="AD147" s="593"/>
      <c r="AE147" s="593"/>
      <c r="AF147" s="593"/>
      <c r="AG147" s="593"/>
      <c r="AH147" s="593"/>
      <c r="AI147" s="593"/>
      <c r="AJ147" s="593"/>
      <c r="AK147" s="593"/>
      <c r="AL147" s="593"/>
      <c r="AM147" s="593"/>
      <c r="AN147" s="593"/>
      <c r="AO147" s="593"/>
      <c r="AP147" s="593"/>
      <c r="AQ147" s="593"/>
      <c r="AR147" s="593"/>
      <c r="AS147" s="593"/>
      <c r="AT147" s="593"/>
      <c r="AU147" s="593"/>
      <c r="AV147" s="593"/>
      <c r="AW147" s="593"/>
      <c r="AX147" s="593"/>
      <c r="AY147" s="593"/>
      <c r="AZ147" s="593"/>
      <c r="BA147" s="593"/>
      <c r="BB147" s="593"/>
      <c r="BC147" s="593"/>
      <c r="BD147" s="593"/>
      <c r="BE147" s="593"/>
      <c r="BF147" s="593"/>
      <c r="BG147" s="593"/>
      <c r="BH147" s="593"/>
      <c r="BI147" s="593"/>
      <c r="BJ147" s="593"/>
      <c r="BK147" s="593"/>
      <c r="BL147" s="593"/>
      <c r="BM147" s="593"/>
      <c r="BN147" s="593"/>
      <c r="BO147" s="593"/>
      <c r="BP147" s="593"/>
      <c r="BQ147" s="593"/>
      <c r="BR147" s="593"/>
      <c r="BS147" s="593"/>
      <c r="BT147" s="593"/>
      <c r="BU147" s="593"/>
      <c r="BV147" s="593"/>
      <c r="BW147" s="593"/>
      <c r="BX147" s="593"/>
      <c r="BY147" s="593"/>
      <c r="BZ147" s="593"/>
      <c r="CA147" s="593"/>
      <c r="CB147" s="593"/>
      <c r="CC147" s="593"/>
      <c r="CD147" s="593"/>
      <c r="CE147" s="593"/>
      <c r="CF147" s="595"/>
    </row>
    <row r="148" spans="1:84" s="583" customFormat="1" ht="23.1" customHeight="1">
      <c r="A148" s="584"/>
      <c r="B148" s="585"/>
      <c r="C148" s="585"/>
      <c r="D148" s="596" t="s">
        <v>1094</v>
      </c>
      <c r="E148" s="585"/>
      <c r="F148" s="585"/>
      <c r="G148" s="585"/>
      <c r="H148" s="585"/>
      <c r="I148" s="585"/>
      <c r="J148" s="585"/>
      <c r="K148" s="585"/>
      <c r="L148" s="585"/>
      <c r="M148" s="585"/>
      <c r="N148" s="585"/>
      <c r="O148" s="585"/>
      <c r="P148" s="585"/>
      <c r="Q148" s="585"/>
      <c r="R148" s="585"/>
      <c r="S148" s="585"/>
      <c r="T148" s="585"/>
      <c r="U148" s="585"/>
      <c r="V148" s="585"/>
      <c r="W148" s="585"/>
      <c r="X148" s="585"/>
      <c r="Y148" s="585"/>
      <c r="Z148" s="585"/>
      <c r="AA148" s="585"/>
      <c r="AB148" s="585"/>
      <c r="AC148" s="585"/>
      <c r="AD148" s="585"/>
      <c r="AE148" s="585"/>
      <c r="AF148" s="585"/>
      <c r="AG148" s="585"/>
      <c r="AH148" s="585"/>
      <c r="AI148" s="585"/>
      <c r="AJ148" s="585"/>
      <c r="AK148" s="585"/>
      <c r="AL148" s="585"/>
      <c r="AM148" s="585"/>
      <c r="AN148" s="585"/>
      <c r="AO148" s="585"/>
      <c r="AP148" s="585"/>
      <c r="AQ148" s="585"/>
      <c r="AR148" s="422"/>
      <c r="AS148" s="1435" t="e">
        <f>HLOOKUP(D148,$CN$1:$CO$3,3,0)</f>
        <v>#REF!</v>
      </c>
      <c r="AT148" s="1435"/>
      <c r="AU148" s="1435"/>
      <c r="AV148" s="1435"/>
      <c r="AW148" s="1435"/>
      <c r="AX148" s="1435"/>
      <c r="AY148" s="1435"/>
      <c r="AZ148" s="1435"/>
      <c r="BA148" s="1435"/>
      <c r="BB148" s="1435"/>
      <c r="BC148" s="585"/>
      <c r="BD148" s="1431" t="s">
        <v>446</v>
      </c>
      <c r="BE148" s="1431"/>
      <c r="BF148" s="585"/>
      <c r="BG148" s="1431">
        <v>19.5</v>
      </c>
      <c r="BH148" s="1431"/>
      <c r="BI148" s="1431"/>
      <c r="BJ148" s="1431"/>
      <c r="BK148" s="1431"/>
      <c r="BL148" s="585" t="s">
        <v>1111</v>
      </c>
      <c r="BM148" s="585"/>
      <c r="BN148" s="585"/>
      <c r="BO148" s="585"/>
      <c r="BP148" s="1431" t="s">
        <v>41</v>
      </c>
      <c r="BQ148" s="1431"/>
      <c r="BR148" s="585"/>
      <c r="BS148" s="585"/>
      <c r="BT148" s="1432" t="e">
        <f>INT(AS148*BG148)</f>
        <v>#REF!</v>
      </c>
      <c r="BU148" s="1432"/>
      <c r="BV148" s="1432"/>
      <c r="BW148" s="1432"/>
      <c r="BX148" s="1432"/>
      <c r="BY148" s="1432"/>
      <c r="BZ148" s="1432"/>
      <c r="CA148" s="1432"/>
      <c r="CB148" s="1432"/>
      <c r="CC148" s="1432"/>
      <c r="CD148" s="585"/>
      <c r="CE148" s="585"/>
      <c r="CF148" s="586"/>
    </row>
    <row r="149" spans="1:84" s="583" customFormat="1" ht="23.1" customHeight="1">
      <c r="A149" s="584"/>
      <c r="B149" s="585"/>
      <c r="C149" s="585"/>
      <c r="D149" s="591" t="str">
        <f>"잡재료 (주연료의 "&amp;BG149&amp;"%) :"</f>
        <v>잡재료 (주연료의 22%) :</v>
      </c>
      <c r="E149" s="585"/>
      <c r="F149" s="585"/>
      <c r="G149" s="585"/>
      <c r="H149" s="585"/>
      <c r="I149" s="585"/>
      <c r="J149" s="585"/>
      <c r="K149" s="585"/>
      <c r="L149" s="585"/>
      <c r="M149" s="585"/>
      <c r="N149" s="585"/>
      <c r="O149" s="585"/>
      <c r="P149" s="585"/>
      <c r="Q149" s="585"/>
      <c r="R149" s="585"/>
      <c r="S149" s="585"/>
      <c r="T149" s="585"/>
      <c r="U149" s="585"/>
      <c r="V149" s="585"/>
      <c r="W149" s="585"/>
      <c r="X149" s="585"/>
      <c r="Y149" s="585"/>
      <c r="Z149" s="585"/>
      <c r="AA149" s="585"/>
      <c r="AB149" s="585"/>
      <c r="AC149" s="585"/>
      <c r="AD149" s="585"/>
      <c r="AE149" s="585"/>
      <c r="AF149" s="585"/>
      <c r="AG149" s="585"/>
      <c r="AH149" s="585"/>
      <c r="AI149" s="585"/>
      <c r="AJ149" s="585"/>
      <c r="AK149" s="585"/>
      <c r="AL149" s="585"/>
      <c r="AM149" s="585"/>
      <c r="AN149" s="585"/>
      <c r="AO149" s="585"/>
      <c r="AP149" s="585"/>
      <c r="AQ149" s="585"/>
      <c r="AR149" s="422" t="e">
        <f>BT148</f>
        <v>#REF!</v>
      </c>
      <c r="AS149" s="1430" t="e">
        <f>BT148</f>
        <v>#REF!</v>
      </c>
      <c r="AT149" s="1430"/>
      <c r="AU149" s="1430"/>
      <c r="AV149" s="1430"/>
      <c r="AW149" s="1430"/>
      <c r="AX149" s="1430"/>
      <c r="AY149" s="1430"/>
      <c r="AZ149" s="1430"/>
      <c r="BA149" s="1430"/>
      <c r="BB149" s="1430"/>
      <c r="BC149" s="585"/>
      <c r="BD149" s="1431" t="s">
        <v>446</v>
      </c>
      <c r="BE149" s="1431"/>
      <c r="BF149" s="585"/>
      <c r="BG149" s="1431">
        <v>22</v>
      </c>
      <c r="BH149" s="1431"/>
      <c r="BI149" s="1431"/>
      <c r="BJ149" s="1431"/>
      <c r="BK149" s="1431"/>
      <c r="BL149" s="585" t="s">
        <v>1112</v>
      </c>
      <c r="BM149" s="585"/>
      <c r="BN149" s="585"/>
      <c r="BO149" s="585"/>
      <c r="BP149" s="1431" t="s">
        <v>41</v>
      </c>
      <c r="BQ149" s="1431"/>
      <c r="BR149" s="585"/>
      <c r="BS149" s="585"/>
      <c r="BT149" s="1487" t="e">
        <f>INT(AS149*BG149/100)</f>
        <v>#REF!</v>
      </c>
      <c r="BU149" s="1487"/>
      <c r="BV149" s="1487"/>
      <c r="BW149" s="1487"/>
      <c r="BX149" s="1487"/>
      <c r="BY149" s="1487"/>
      <c r="BZ149" s="1487"/>
      <c r="CA149" s="1487"/>
      <c r="CB149" s="1487"/>
      <c r="CC149" s="1487"/>
      <c r="CD149" s="585"/>
      <c r="CE149" s="585"/>
      <c r="CF149" s="586"/>
    </row>
    <row r="150" spans="1:84" s="583" customFormat="1" ht="23.1" customHeight="1" thickBot="1">
      <c r="A150" s="584"/>
      <c r="B150" s="585"/>
      <c r="C150" s="585"/>
      <c r="D150" s="585"/>
      <c r="E150" s="585"/>
      <c r="F150" s="585"/>
      <c r="G150" s="585"/>
      <c r="H150" s="585"/>
      <c r="I150" s="585"/>
      <c r="J150" s="585"/>
      <c r="K150" s="585"/>
      <c r="L150" s="585"/>
      <c r="M150" s="585"/>
      <c r="N150" s="585"/>
      <c r="O150" s="585"/>
      <c r="P150" s="585"/>
      <c r="Q150" s="585"/>
      <c r="R150" s="585"/>
      <c r="S150" s="585"/>
      <c r="T150" s="585"/>
      <c r="U150" s="585"/>
      <c r="V150" s="585"/>
      <c r="W150" s="585"/>
      <c r="X150" s="585"/>
      <c r="Y150" s="585"/>
      <c r="Z150" s="585"/>
      <c r="AA150" s="585"/>
      <c r="AB150" s="585"/>
      <c r="AC150" s="585"/>
      <c r="AD150" s="585"/>
      <c r="AE150" s="585"/>
      <c r="AF150" s="585"/>
      <c r="AG150" s="585"/>
      <c r="AH150" s="585"/>
      <c r="AI150" s="585"/>
      <c r="AJ150" s="585"/>
      <c r="AK150" s="585"/>
      <c r="AL150" s="585"/>
      <c r="AM150" s="585"/>
      <c r="AN150" s="585"/>
      <c r="AO150" s="585"/>
      <c r="AP150" s="585"/>
      <c r="AQ150" s="585"/>
      <c r="AR150" s="585"/>
      <c r="AS150" s="585"/>
      <c r="AT150" s="585"/>
      <c r="AU150" s="585"/>
      <c r="AV150" s="585"/>
      <c r="AW150" s="585"/>
      <c r="AX150" s="585"/>
      <c r="AY150" s="585"/>
      <c r="AZ150" s="585"/>
      <c r="BA150" s="585"/>
      <c r="BB150" s="585"/>
      <c r="BC150" s="585"/>
      <c r="BD150" s="585"/>
      <c r="BE150" s="585"/>
      <c r="BF150" s="585"/>
      <c r="BG150" s="585"/>
      <c r="BH150" s="585"/>
      <c r="BI150" s="585"/>
      <c r="BJ150" s="585"/>
      <c r="BK150" s="585"/>
      <c r="BL150" s="585"/>
      <c r="BM150" s="585"/>
      <c r="BN150" s="585"/>
      <c r="BO150" s="585"/>
      <c r="BP150" s="1488" t="s">
        <v>41</v>
      </c>
      <c r="BQ150" s="1488"/>
      <c r="BR150" s="585"/>
      <c r="BS150" s="585"/>
      <c r="BT150" s="1489" t="e">
        <f>BT148+BT149</f>
        <v>#REF!</v>
      </c>
      <c r="BU150" s="1489"/>
      <c r="BV150" s="1489"/>
      <c r="BW150" s="1489"/>
      <c r="BX150" s="1489"/>
      <c r="BY150" s="1489"/>
      <c r="BZ150" s="1489"/>
      <c r="CA150" s="1489"/>
      <c r="CB150" s="1489"/>
      <c r="CC150" s="1489"/>
      <c r="CD150" s="585"/>
      <c r="CE150" s="585"/>
      <c r="CF150" s="586"/>
    </row>
    <row r="151" spans="1:84" s="583" customFormat="1" ht="23.1" customHeight="1" thickBot="1">
      <c r="A151" s="597"/>
      <c r="B151" s="598" t="s">
        <v>1113</v>
      </c>
      <c r="C151" s="598"/>
      <c r="D151" s="598"/>
      <c r="E151" s="598"/>
      <c r="F151" s="598"/>
      <c r="G151" s="598"/>
      <c r="H151" s="598"/>
      <c r="I151" s="598"/>
      <c r="J151" s="598"/>
      <c r="K151" s="598"/>
      <c r="L151" s="598"/>
      <c r="M151" s="598"/>
      <c r="N151" s="598"/>
      <c r="O151" s="598"/>
      <c r="P151" s="598"/>
      <c r="Q151" s="598"/>
      <c r="R151" s="598"/>
      <c r="S151" s="598"/>
      <c r="T151" s="598"/>
      <c r="U151" s="598"/>
      <c r="V151" s="598"/>
      <c r="W151" s="598"/>
      <c r="X151" s="598"/>
      <c r="Y151" s="598"/>
      <c r="Z151" s="598"/>
      <c r="AA151" s="598"/>
      <c r="AB151" s="598"/>
      <c r="AC151" s="598"/>
      <c r="AD151" s="598"/>
      <c r="AE151" s="598"/>
      <c r="AF151" s="598"/>
      <c r="AG151" s="598"/>
      <c r="AH151" s="598"/>
      <c r="AI151" s="598"/>
      <c r="AJ151" s="598"/>
      <c r="AK151" s="598"/>
      <c r="AL151" s="598"/>
      <c r="AM151" s="598"/>
      <c r="AN151" s="598"/>
      <c r="AO151" s="598"/>
      <c r="AP151" s="598"/>
      <c r="AQ151" s="598"/>
      <c r="AR151" s="598"/>
      <c r="AS151" s="598"/>
      <c r="AT151" s="598"/>
      <c r="AU151" s="598"/>
      <c r="AV151" s="598"/>
      <c r="AW151" s="598"/>
      <c r="AX151" s="598"/>
      <c r="AY151" s="598"/>
      <c r="AZ151" s="598"/>
      <c r="BA151" s="598"/>
      <c r="BB151" s="598"/>
      <c r="BC151" s="598"/>
      <c r="BD151" s="598"/>
      <c r="BE151" s="598"/>
      <c r="BF151" s="598"/>
      <c r="BG151" s="598"/>
      <c r="BH151" s="598"/>
      <c r="BI151" s="598"/>
      <c r="BJ151" s="598"/>
      <c r="BK151" s="598"/>
      <c r="BL151" s="598"/>
      <c r="BM151" s="598"/>
      <c r="BN151" s="598"/>
      <c r="BO151" s="598"/>
      <c r="BP151" s="598"/>
      <c r="BQ151" s="598"/>
      <c r="BR151" s="598"/>
      <c r="BS151" s="598"/>
      <c r="BT151" s="1429" t="e">
        <f>BT142+BT146+BT150</f>
        <v>#REF!</v>
      </c>
      <c r="BU151" s="1429"/>
      <c r="BV151" s="1429"/>
      <c r="BW151" s="1429"/>
      <c r="BX151" s="1429"/>
      <c r="BY151" s="1429"/>
      <c r="BZ151" s="1429"/>
      <c r="CA151" s="1429"/>
      <c r="CB151" s="1429"/>
      <c r="CC151" s="1429"/>
      <c r="CD151" s="598"/>
      <c r="CE151" s="598"/>
      <c r="CF151" s="599"/>
    </row>
    <row r="152" spans="1:84" s="583" customFormat="1" ht="9.9499999999999993" customHeight="1">
      <c r="A152" s="574"/>
      <c r="B152" s="574"/>
      <c r="C152" s="574"/>
      <c r="D152" s="574"/>
      <c r="E152" s="574"/>
      <c r="F152" s="574"/>
      <c r="G152" s="574"/>
      <c r="H152" s="574"/>
      <c r="I152" s="574"/>
      <c r="J152" s="574"/>
      <c r="K152" s="574"/>
      <c r="L152" s="574"/>
      <c r="M152" s="574"/>
      <c r="N152" s="574"/>
      <c r="O152" s="574"/>
      <c r="P152" s="574"/>
      <c r="Q152" s="574"/>
      <c r="R152" s="574"/>
      <c r="S152" s="574"/>
      <c r="T152" s="574"/>
      <c r="U152" s="574"/>
      <c r="V152" s="574"/>
      <c r="W152" s="574"/>
      <c r="X152" s="574"/>
      <c r="Y152" s="574"/>
      <c r="Z152" s="574"/>
      <c r="AA152" s="574"/>
      <c r="AB152" s="574"/>
      <c r="AC152" s="574"/>
      <c r="AD152" s="574"/>
      <c r="AE152" s="574"/>
      <c r="AF152" s="574"/>
      <c r="AG152" s="574"/>
      <c r="AH152" s="574"/>
      <c r="AI152" s="574"/>
      <c r="AJ152" s="574"/>
      <c r="AK152" s="574"/>
      <c r="AL152" s="574"/>
      <c r="AM152" s="574"/>
      <c r="AN152" s="574"/>
      <c r="AO152" s="574"/>
      <c r="AP152" s="574"/>
      <c r="AQ152" s="574"/>
      <c r="AR152" s="574"/>
      <c r="AS152" s="574"/>
      <c r="AT152" s="574"/>
      <c r="AU152" s="574"/>
      <c r="AV152" s="574"/>
      <c r="AW152" s="574"/>
      <c r="AX152" s="574"/>
      <c r="AY152" s="574"/>
      <c r="AZ152" s="574"/>
      <c r="BA152" s="574"/>
      <c r="BB152" s="574"/>
      <c r="BC152" s="574"/>
      <c r="BD152" s="574"/>
      <c r="BE152" s="574"/>
      <c r="BF152" s="574"/>
      <c r="BG152" s="574"/>
      <c r="BH152" s="574"/>
      <c r="BI152" s="574"/>
      <c r="BJ152" s="574"/>
      <c r="BK152" s="574"/>
      <c r="BL152" s="574"/>
      <c r="BM152" s="574"/>
      <c r="BN152" s="574"/>
      <c r="BO152" s="574"/>
      <c r="BP152" s="574"/>
      <c r="BQ152" s="574"/>
      <c r="BR152" s="574"/>
      <c r="BS152" s="574"/>
      <c r="BT152" s="574"/>
      <c r="BU152" s="574"/>
      <c r="BV152" s="574"/>
      <c r="BW152" s="574"/>
      <c r="BX152" s="574"/>
      <c r="BY152" s="574"/>
      <c r="BZ152" s="574"/>
      <c r="CA152" s="574"/>
      <c r="CB152" s="574"/>
      <c r="CC152" s="574"/>
      <c r="CD152" s="574"/>
      <c r="CE152" s="574"/>
      <c r="CF152" s="574"/>
    </row>
    <row r="153" spans="1:84" s="583" customFormat="1" ht="23.1" customHeight="1" thickBot="1">
      <c r="A153" s="1446" t="s">
        <v>1095</v>
      </c>
      <c r="B153" s="1446"/>
      <c r="C153" s="1446"/>
      <c r="D153" s="1446"/>
      <c r="E153" s="1446"/>
      <c r="F153" s="1446"/>
      <c r="G153" s="1447">
        <f>G138+1</f>
        <v>11</v>
      </c>
      <c r="H153" s="1447"/>
      <c r="I153" s="1447"/>
      <c r="J153" s="1448" t="s">
        <v>1096</v>
      </c>
      <c r="K153" s="1448"/>
      <c r="L153" s="574"/>
      <c r="M153" s="574"/>
      <c r="N153" s="574"/>
      <c r="O153" s="574"/>
      <c r="P153" s="574"/>
      <c r="Q153" s="574"/>
      <c r="R153" s="574"/>
      <c r="S153" s="574"/>
      <c r="T153" s="574"/>
      <c r="U153" s="574"/>
      <c r="V153" s="574"/>
      <c r="W153" s="574"/>
      <c r="X153" s="574"/>
      <c r="Y153" s="574"/>
      <c r="Z153" s="574"/>
      <c r="AA153" s="574"/>
      <c r="AB153" s="574"/>
      <c r="AC153" s="574"/>
      <c r="AD153" s="574"/>
      <c r="AE153" s="574"/>
      <c r="AF153" s="574"/>
      <c r="AG153" s="574"/>
      <c r="AH153" s="574"/>
      <c r="AI153" s="574"/>
      <c r="AJ153" s="574"/>
      <c r="AK153" s="574"/>
      <c r="AL153" s="574"/>
      <c r="AM153" s="574"/>
      <c r="AN153" s="574"/>
      <c r="AO153" s="574"/>
      <c r="AP153" s="574"/>
      <c r="AQ153" s="574"/>
      <c r="AR153" s="574"/>
      <c r="AS153" s="574"/>
      <c r="AT153" s="574"/>
      <c r="AU153" s="574"/>
      <c r="AV153" s="574"/>
      <c r="AW153" s="574"/>
      <c r="AX153" s="574"/>
      <c r="AY153" s="574"/>
      <c r="AZ153" s="574"/>
      <c r="BA153" s="574"/>
      <c r="BB153" s="574"/>
      <c r="BC153" s="574"/>
      <c r="BD153" s="574"/>
      <c r="BE153" s="574"/>
      <c r="BF153" s="574"/>
      <c r="BG153" s="574"/>
      <c r="BH153" s="574"/>
      <c r="BI153" s="574"/>
      <c r="BJ153" s="574"/>
      <c r="BK153" s="574"/>
      <c r="BL153" s="574"/>
      <c r="BM153" s="574"/>
      <c r="BN153" s="574"/>
      <c r="BO153" s="574"/>
      <c r="BP153" s="574"/>
      <c r="BQ153" s="574"/>
      <c r="BR153" s="574"/>
      <c r="BS153" s="574"/>
      <c r="BT153" s="574"/>
      <c r="BU153" s="574"/>
      <c r="BV153" s="574"/>
      <c r="BW153" s="574"/>
      <c r="BX153" s="574"/>
      <c r="BY153" s="574"/>
      <c r="BZ153" s="574"/>
      <c r="CA153" s="574"/>
      <c r="CB153" s="574"/>
      <c r="CC153" s="574"/>
      <c r="CD153" s="574"/>
      <c r="CE153" s="574"/>
      <c r="CF153" s="574"/>
    </row>
    <row r="154" spans="1:84" s="583" customFormat="1" ht="23.1" customHeight="1" thickBot="1">
      <c r="A154" s="1483" t="s">
        <v>1097</v>
      </c>
      <c r="B154" s="1484"/>
      <c r="C154" s="1484"/>
      <c r="D154" s="1484"/>
      <c r="E154" s="1484"/>
      <c r="F154" s="1484"/>
      <c r="G154" s="1484"/>
      <c r="H154" s="1484"/>
      <c r="I154" s="581" t="s">
        <v>1126</v>
      </c>
      <c r="J154" s="581"/>
      <c r="K154" s="581"/>
      <c r="L154" s="581"/>
      <c r="M154" s="581"/>
      <c r="N154" s="581"/>
      <c r="O154" s="581"/>
      <c r="P154" s="581"/>
      <c r="Q154" s="581"/>
      <c r="R154" s="581"/>
      <c r="S154" s="581"/>
      <c r="T154" s="581"/>
      <c r="U154" s="581"/>
      <c r="V154" s="581"/>
      <c r="W154" s="581"/>
      <c r="X154" s="581"/>
      <c r="Y154" s="581"/>
      <c r="Z154" s="581"/>
      <c r="AA154" s="581"/>
      <c r="AB154" s="581"/>
      <c r="AC154" s="581"/>
      <c r="AD154" s="581"/>
      <c r="AE154" s="581"/>
      <c r="AF154" s="581"/>
      <c r="AG154" s="581"/>
      <c r="AH154" s="581"/>
      <c r="AI154" s="581"/>
      <c r="AJ154" s="1484" t="s">
        <v>1099</v>
      </c>
      <c r="AK154" s="1484"/>
      <c r="AL154" s="1484"/>
      <c r="AM154" s="1484"/>
      <c r="AN154" s="1484"/>
      <c r="AO154" s="1484"/>
      <c r="AP154" s="1484"/>
      <c r="AQ154" s="581" t="s">
        <v>392</v>
      </c>
      <c r="AR154" s="581"/>
      <c r="AS154" s="581"/>
      <c r="AT154" s="581"/>
      <c r="AU154" s="581"/>
      <c r="AV154" s="581"/>
      <c r="AW154" s="581"/>
      <c r="AX154" s="581"/>
      <c r="AY154" s="581"/>
      <c r="AZ154" s="581"/>
      <c r="BA154" s="581"/>
      <c r="BB154" s="581"/>
      <c r="BC154" s="581"/>
      <c r="BD154" s="581"/>
      <c r="BE154" s="581"/>
      <c r="BF154" s="581"/>
      <c r="BG154" s="581"/>
      <c r="BH154" s="581"/>
      <c r="BI154" s="581"/>
      <c r="BJ154" s="581"/>
      <c r="BK154" s="581"/>
      <c r="BL154" s="581"/>
      <c r="BM154" s="581"/>
      <c r="BN154" s="581"/>
      <c r="BO154" s="581"/>
      <c r="BP154" s="581"/>
      <c r="BQ154" s="581"/>
      <c r="BR154" s="581"/>
      <c r="BS154" s="581"/>
      <c r="BT154" s="581" t="s">
        <v>1119</v>
      </c>
      <c r="BU154" s="581"/>
      <c r="BV154" s="581"/>
      <c r="BW154" s="581"/>
      <c r="BX154" s="581"/>
      <c r="BY154" s="581"/>
      <c r="BZ154" s="581"/>
      <c r="CA154" s="581"/>
      <c r="CB154" s="581"/>
      <c r="CC154" s="581"/>
      <c r="CD154" s="581"/>
      <c r="CE154" s="581"/>
      <c r="CF154" s="582"/>
    </row>
    <row r="155" spans="1:84" s="583" customFormat="1" ht="23.1" customHeight="1">
      <c r="A155" s="584"/>
      <c r="B155" s="585" t="s">
        <v>1102</v>
      </c>
      <c r="C155" s="585"/>
      <c r="D155" s="585"/>
      <c r="E155" s="585"/>
      <c r="F155" s="585"/>
      <c r="G155" s="585"/>
      <c r="H155" s="585"/>
      <c r="I155" s="585"/>
      <c r="J155" s="585"/>
      <c r="K155" s="585"/>
      <c r="L155" s="585"/>
      <c r="M155" s="585"/>
      <c r="N155" s="585"/>
      <c r="O155" s="585"/>
      <c r="P155" s="585"/>
      <c r="Q155" s="585"/>
      <c r="R155" s="585"/>
      <c r="S155" s="585"/>
      <c r="T155" s="585"/>
      <c r="U155" s="585"/>
      <c r="V155" s="585"/>
      <c r="W155" s="585"/>
      <c r="X155" s="585"/>
      <c r="Y155" s="585"/>
      <c r="Z155" s="585"/>
      <c r="AA155" s="585"/>
      <c r="AB155" s="585"/>
      <c r="AC155" s="585"/>
      <c r="AD155" s="585"/>
      <c r="AE155" s="585"/>
      <c r="AF155" s="585"/>
      <c r="AG155" s="585"/>
      <c r="AH155" s="585"/>
      <c r="AI155" s="585"/>
      <c r="AJ155" s="585"/>
      <c r="AK155" s="585"/>
      <c r="AL155" s="585"/>
      <c r="AM155" s="585"/>
      <c r="AN155" s="585"/>
      <c r="AO155" s="585"/>
      <c r="AP155" s="585"/>
      <c r="AQ155" s="585"/>
      <c r="AR155" s="585"/>
      <c r="AS155" s="585"/>
      <c r="AT155" s="585"/>
      <c r="AU155" s="585"/>
      <c r="AV155" s="585"/>
      <c r="AW155" s="585"/>
      <c r="AX155" s="585"/>
      <c r="AY155" s="585"/>
      <c r="AZ155" s="585"/>
      <c r="BA155" s="585"/>
      <c r="BB155" s="585"/>
      <c r="BC155" s="585"/>
      <c r="BD155" s="585"/>
      <c r="BE155" s="585"/>
      <c r="BF155" s="585"/>
      <c r="BG155" s="585"/>
      <c r="BH155" s="585"/>
      <c r="BI155" s="585"/>
      <c r="BJ155" s="585"/>
      <c r="BK155" s="585"/>
      <c r="BL155" s="585"/>
      <c r="BM155" s="585"/>
      <c r="BN155" s="585"/>
      <c r="BO155" s="585"/>
      <c r="BP155" s="585"/>
      <c r="BQ155" s="585"/>
      <c r="BR155" s="585"/>
      <c r="BS155" s="585"/>
      <c r="BT155" s="585"/>
      <c r="BU155" s="585"/>
      <c r="BV155" s="585"/>
      <c r="BW155" s="585"/>
      <c r="BX155" s="585"/>
      <c r="BY155" s="585"/>
      <c r="BZ155" s="585"/>
      <c r="CA155" s="585"/>
      <c r="CB155" s="585"/>
      <c r="CC155" s="585"/>
      <c r="CD155" s="585"/>
      <c r="CE155" s="585"/>
      <c r="CF155" s="586"/>
    </row>
    <row r="156" spans="1:84" s="583" customFormat="1" ht="23.1" customHeight="1">
      <c r="A156" s="587"/>
      <c r="B156" s="574"/>
      <c r="C156" s="574"/>
      <c r="D156" s="405"/>
      <c r="E156" s="574"/>
      <c r="F156" s="422"/>
      <c r="G156" s="422"/>
      <c r="H156" s="422"/>
      <c r="I156" s="422"/>
      <c r="J156" s="422"/>
      <c r="K156" s="422"/>
      <c r="L156" s="422"/>
      <c r="M156" s="422"/>
      <c r="N156" s="574"/>
      <c r="O156" s="574"/>
      <c r="P156" s="574"/>
      <c r="Q156" s="574"/>
      <c r="R156" s="574"/>
      <c r="S156" s="588"/>
      <c r="T156" s="588"/>
      <c r="U156" s="588"/>
      <c r="V156" s="588"/>
      <c r="W156" s="588"/>
      <c r="X156" s="588"/>
      <c r="Y156" s="588"/>
      <c r="Z156" s="588"/>
      <c r="AA156" s="574"/>
      <c r="AB156" s="588"/>
      <c r="AC156" s="585"/>
      <c r="AD156" s="585"/>
      <c r="AE156" s="600"/>
      <c r="AF156" s="600"/>
      <c r="AG156" s="600"/>
      <c r="AH156" s="600"/>
      <c r="AI156" s="600"/>
      <c r="AJ156" s="600"/>
      <c r="AK156" s="600"/>
      <c r="AL156" s="600"/>
      <c r="AM156" s="585"/>
      <c r="AN156" s="585"/>
      <c r="AO156" s="574"/>
      <c r="AP156" s="430"/>
      <c r="AQ156" s="430"/>
      <c r="AR156" s="430"/>
      <c r="AS156" s="430"/>
      <c r="AT156" s="430"/>
      <c r="AU156" s="430"/>
      <c r="AV156" s="430"/>
      <c r="AW156" s="430"/>
      <c r="AX156" s="430"/>
      <c r="AY156" s="430"/>
      <c r="AZ156" s="430"/>
      <c r="BA156" s="430"/>
      <c r="BB156" s="430"/>
      <c r="BC156" s="430"/>
      <c r="BD156" s="574"/>
      <c r="BE156" s="574"/>
      <c r="BF156" s="574"/>
      <c r="BG156" s="574"/>
      <c r="BH156" s="574"/>
      <c r="BI156" s="574"/>
      <c r="BJ156" s="574"/>
      <c r="BK156" s="574"/>
      <c r="BL156" s="574"/>
      <c r="BM156" s="574"/>
      <c r="BN156" s="574"/>
      <c r="BO156" s="574"/>
      <c r="BP156" s="574"/>
      <c r="BQ156" s="574"/>
      <c r="BR156" s="574"/>
      <c r="BS156" s="574"/>
      <c r="BT156" s="574"/>
      <c r="BU156" s="574"/>
      <c r="BV156" s="574"/>
      <c r="BW156" s="574"/>
      <c r="BX156" s="574"/>
      <c r="BY156" s="574"/>
      <c r="BZ156" s="574"/>
      <c r="CA156" s="574"/>
      <c r="CB156" s="574"/>
      <c r="CC156" s="574"/>
      <c r="CD156" s="574"/>
      <c r="CE156" s="574"/>
      <c r="CF156" s="589"/>
    </row>
    <row r="157" spans="1:84" s="583" customFormat="1" ht="23.1" customHeight="1">
      <c r="A157" s="584"/>
      <c r="B157" s="585"/>
      <c r="C157" s="585"/>
      <c r="H157" s="1502">
        <f>$AE$52</f>
        <v>45070000</v>
      </c>
      <c r="I157" s="1502"/>
      <c r="J157" s="1502"/>
      <c r="K157" s="1502"/>
      <c r="L157" s="1502"/>
      <c r="M157" s="1502"/>
      <c r="N157" s="1502"/>
      <c r="O157" s="1502"/>
      <c r="P157" s="1502"/>
      <c r="Q157" s="1502"/>
      <c r="R157" s="1502"/>
      <c r="S157" s="1502"/>
      <c r="T157" s="1502"/>
      <c r="U157" s="1502"/>
      <c r="V157" s="1502"/>
      <c r="W157" s="1491" t="s">
        <v>446</v>
      </c>
      <c r="X157" s="1491"/>
      <c r="Y157" s="1491" t="s">
        <v>1127</v>
      </c>
      <c r="Z157" s="1491"/>
      <c r="AA157" s="1503" t="s">
        <v>1103</v>
      </c>
      <c r="AB157" s="1503"/>
      <c r="AC157" s="1442">
        <v>900</v>
      </c>
      <c r="AD157" s="1442"/>
      <c r="AE157" s="1442"/>
      <c r="AF157" s="1442"/>
      <c r="AG157" s="1442"/>
      <c r="AH157" s="1442"/>
      <c r="AI157" s="1491" t="s">
        <v>1128</v>
      </c>
      <c r="AJ157" s="1491"/>
      <c r="AK157" s="1442">
        <v>700</v>
      </c>
      <c r="AL157" s="1442"/>
      <c r="AM157" s="1442"/>
      <c r="AN157" s="1442"/>
      <c r="AO157" s="1442"/>
      <c r="AP157" s="1442"/>
      <c r="AQ157" s="1503" t="s">
        <v>1105</v>
      </c>
      <c r="AR157" s="1503"/>
      <c r="AS157" s="1491" t="s">
        <v>446</v>
      </c>
      <c r="AT157" s="1491"/>
      <c r="AU157" s="1504">
        <v>1.1000000000000001</v>
      </c>
      <c r="AV157" s="1504"/>
      <c r="AW157" s="1504"/>
      <c r="AX157" s="1504"/>
      <c r="AY157" s="1504"/>
      <c r="AZ157" s="1491" t="s">
        <v>1128</v>
      </c>
      <c r="BA157" s="1491"/>
      <c r="BB157" s="1491">
        <v>485</v>
      </c>
      <c r="BC157" s="1491"/>
      <c r="BD157" s="1491"/>
      <c r="BE157" s="1491"/>
      <c r="BF157" s="1491"/>
      <c r="BG157" s="1491" t="s">
        <v>1096</v>
      </c>
      <c r="BH157" s="1491"/>
      <c r="BI157" s="1491" t="s">
        <v>446</v>
      </c>
      <c r="BJ157" s="1491"/>
      <c r="BK157" s="591" t="s">
        <v>1104</v>
      </c>
      <c r="BL157" s="585"/>
      <c r="BM157" s="585"/>
      <c r="BN157" s="585"/>
      <c r="BO157" s="585"/>
      <c r="BP157" s="1491" t="s">
        <v>41</v>
      </c>
      <c r="BQ157" s="1491"/>
      <c r="BR157" s="585"/>
      <c r="BS157" s="585"/>
      <c r="BT157" s="1437">
        <f>INT(H157*((AC157+AK157)*AU157+BB157)*10^-7)</f>
        <v>10118</v>
      </c>
      <c r="BU157" s="1437"/>
      <c r="BV157" s="1437"/>
      <c r="BW157" s="1437"/>
      <c r="BX157" s="1437"/>
      <c r="BY157" s="1437"/>
      <c r="BZ157" s="1437"/>
      <c r="CA157" s="1437"/>
      <c r="CB157" s="1437"/>
      <c r="CC157" s="1437"/>
      <c r="CD157" s="585"/>
      <c r="CE157" s="585"/>
      <c r="CF157" s="586"/>
    </row>
    <row r="158" spans="1:84" s="583" customFormat="1" ht="23.1" customHeight="1">
      <c r="A158" s="592"/>
      <c r="B158" s="593" t="s">
        <v>1106</v>
      </c>
      <c r="C158" s="593"/>
      <c r="D158" s="593"/>
      <c r="E158" s="593"/>
      <c r="F158" s="593"/>
      <c r="G158" s="593"/>
      <c r="H158" s="593"/>
      <c r="I158" s="593"/>
      <c r="J158" s="593"/>
      <c r="K158" s="593"/>
      <c r="L158" s="593"/>
      <c r="M158" s="593"/>
      <c r="N158" s="593"/>
      <c r="O158" s="593"/>
      <c r="P158" s="593"/>
      <c r="Q158" s="593"/>
      <c r="R158" s="593"/>
      <c r="S158" s="593"/>
      <c r="T158" s="593"/>
      <c r="U158" s="593"/>
      <c r="V158" s="593"/>
      <c r="W158" s="593"/>
      <c r="X158" s="593"/>
      <c r="Y158" s="593"/>
      <c r="Z158" s="593"/>
      <c r="AA158" s="593"/>
      <c r="AB158" s="593"/>
      <c r="AC158" s="593"/>
      <c r="AD158" s="593"/>
      <c r="AE158" s="593"/>
      <c r="AF158" s="593"/>
      <c r="AG158" s="593"/>
      <c r="AH158" s="593"/>
      <c r="AI158" s="593"/>
      <c r="AJ158" s="593"/>
      <c r="AK158" s="593"/>
      <c r="AL158" s="593"/>
      <c r="AM158" s="593"/>
      <c r="AN158" s="593"/>
      <c r="AO158" s="593"/>
      <c r="AP158" s="593"/>
      <c r="AQ158" s="593"/>
      <c r="AR158" s="593"/>
      <c r="AS158" s="593"/>
      <c r="AT158" s="593"/>
      <c r="AU158" s="593"/>
      <c r="AV158" s="593"/>
      <c r="AW158" s="593"/>
      <c r="AX158" s="593"/>
      <c r="AY158" s="593"/>
      <c r="AZ158" s="593"/>
      <c r="BA158" s="593"/>
      <c r="BB158" s="593"/>
      <c r="BC158" s="593"/>
      <c r="BD158" s="593"/>
      <c r="BE158" s="593"/>
      <c r="BF158" s="593"/>
      <c r="BG158" s="593"/>
      <c r="BH158" s="593"/>
      <c r="BI158" s="593"/>
      <c r="BJ158" s="593"/>
      <c r="BK158" s="593"/>
      <c r="BL158" s="593"/>
      <c r="BM158" s="593"/>
      <c r="BN158" s="593"/>
      <c r="BO158" s="593"/>
      <c r="BP158" s="593"/>
      <c r="BQ158" s="593"/>
      <c r="BR158" s="593"/>
      <c r="BS158" s="593"/>
      <c r="BT158" s="594"/>
      <c r="BU158" s="594"/>
      <c r="BV158" s="594"/>
      <c r="BW158" s="594"/>
      <c r="BX158" s="594"/>
      <c r="BY158" s="594"/>
      <c r="BZ158" s="594"/>
      <c r="CA158" s="594"/>
      <c r="CB158" s="594"/>
      <c r="CC158" s="594"/>
      <c r="CD158" s="593"/>
      <c r="CE158" s="593"/>
      <c r="CF158" s="595"/>
    </row>
    <row r="159" spans="1:84" s="583" customFormat="1" ht="23.1" customHeight="1">
      <c r="A159" s="584"/>
      <c r="B159" s="585"/>
      <c r="C159" s="585"/>
      <c r="D159" s="596" t="s">
        <v>268</v>
      </c>
      <c r="E159" s="585"/>
      <c r="F159" s="585"/>
      <c r="G159" s="585"/>
      <c r="H159" s="585"/>
      <c r="I159" s="585"/>
      <c r="J159" s="585"/>
      <c r="K159" s="585"/>
      <c r="L159" s="585"/>
      <c r="M159" s="585"/>
      <c r="N159" s="585"/>
      <c r="O159" s="585"/>
      <c r="P159" s="585"/>
      <c r="Q159" s="585"/>
      <c r="R159" s="585"/>
      <c r="S159" s="585"/>
      <c r="T159" s="574"/>
      <c r="U159" s="574"/>
      <c r="V159" s="1435">
        <f>HLOOKUP(D159,$CJ$1:$CM$3,3,0)</f>
        <v>283297</v>
      </c>
      <c r="W159" s="1435"/>
      <c r="X159" s="1435"/>
      <c r="Y159" s="1435"/>
      <c r="Z159" s="1435"/>
      <c r="AA159" s="1435"/>
      <c r="AB159" s="1435"/>
      <c r="AC159" s="1435"/>
      <c r="AD159" s="1435"/>
      <c r="AE159" s="1435"/>
      <c r="AF159" s="1431" t="s">
        <v>446</v>
      </c>
      <c r="AG159" s="1431"/>
      <c r="AH159" s="574"/>
      <c r="AI159" s="1436" t="s">
        <v>1107</v>
      </c>
      <c r="AJ159" s="1436"/>
      <c r="AK159" s="1436"/>
      <c r="AL159" s="1436"/>
      <c r="AM159" s="585"/>
      <c r="AN159" s="1431" t="s">
        <v>446</v>
      </c>
      <c r="AO159" s="1431"/>
      <c r="AP159" s="585"/>
      <c r="AQ159" s="1436" t="s">
        <v>1108</v>
      </c>
      <c r="AR159" s="1436"/>
      <c r="AS159" s="1436"/>
      <c r="AT159" s="1436"/>
      <c r="AU159" s="1436"/>
      <c r="AV159" s="422"/>
      <c r="AW159" s="1431" t="s">
        <v>446</v>
      </c>
      <c r="AX159" s="1431"/>
      <c r="AY159" s="440"/>
      <c r="AZ159" s="1436" t="s">
        <v>1109</v>
      </c>
      <c r="BA159" s="1436"/>
      <c r="BB159" s="1436"/>
      <c r="BC159" s="1436"/>
      <c r="BD159" s="1436"/>
      <c r="BE159" s="585"/>
      <c r="BF159" s="1431" t="s">
        <v>446</v>
      </c>
      <c r="BG159" s="1431"/>
      <c r="BH159" s="1431">
        <v>1</v>
      </c>
      <c r="BI159" s="1431"/>
      <c r="BJ159" s="1431"/>
      <c r="BK159" s="585"/>
      <c r="BL159" s="585" t="s">
        <v>366</v>
      </c>
      <c r="BM159" s="585"/>
      <c r="BN159" s="585"/>
      <c r="BO159" s="585"/>
      <c r="BP159" s="1431" t="s">
        <v>41</v>
      </c>
      <c r="BQ159" s="1431"/>
      <c r="BR159" s="585"/>
      <c r="BS159" s="585"/>
      <c r="BT159" s="1432">
        <f>INT(V159/8*16/12*25/20*BH159)</f>
        <v>59020</v>
      </c>
      <c r="BU159" s="1432"/>
      <c r="BV159" s="1432"/>
      <c r="BW159" s="1432"/>
      <c r="BX159" s="1432"/>
      <c r="BY159" s="1432"/>
      <c r="BZ159" s="1432"/>
      <c r="CA159" s="1432"/>
      <c r="CB159" s="1432"/>
      <c r="CC159" s="1432"/>
      <c r="CD159" s="585"/>
      <c r="CE159" s="585"/>
      <c r="CF159" s="586"/>
    </row>
    <row r="160" spans="1:84" s="583" customFormat="1" ht="23.1" customHeight="1">
      <c r="A160" s="584"/>
      <c r="B160" s="585"/>
      <c r="C160" s="585"/>
      <c r="D160" s="585"/>
      <c r="E160" s="585"/>
      <c r="F160" s="585"/>
      <c r="G160" s="585"/>
      <c r="H160" s="585"/>
      <c r="I160" s="585"/>
      <c r="J160" s="585"/>
      <c r="K160" s="585"/>
      <c r="L160" s="585"/>
      <c r="M160" s="585"/>
      <c r="N160" s="585"/>
      <c r="O160" s="585"/>
      <c r="P160" s="574"/>
      <c r="Q160" s="574"/>
      <c r="R160" s="574"/>
      <c r="S160" s="574"/>
      <c r="T160" s="574"/>
      <c r="U160" s="574"/>
      <c r="V160" s="574"/>
      <c r="W160" s="574"/>
      <c r="X160" s="574"/>
      <c r="Y160" s="574"/>
      <c r="Z160" s="574"/>
      <c r="AA160" s="574"/>
      <c r="AB160" s="574"/>
      <c r="AC160" s="574"/>
      <c r="AD160" s="574"/>
      <c r="AE160" s="574"/>
      <c r="AF160" s="574"/>
      <c r="AG160" s="574"/>
      <c r="AH160" s="574"/>
      <c r="AI160" s="574"/>
      <c r="AJ160" s="574"/>
      <c r="AK160" s="574"/>
      <c r="AL160" s="574"/>
      <c r="AM160" s="574"/>
      <c r="AN160" s="574"/>
      <c r="AO160" s="574"/>
      <c r="AP160" s="574"/>
      <c r="AQ160" s="574"/>
      <c r="AR160" s="574"/>
      <c r="AS160" s="574"/>
      <c r="AT160" s="574"/>
      <c r="AU160" s="574"/>
      <c r="AV160" s="574"/>
      <c r="AW160" s="574"/>
      <c r="AX160" s="574"/>
      <c r="AY160" s="574"/>
      <c r="AZ160" s="574"/>
      <c r="BA160" s="574"/>
      <c r="BB160" s="574"/>
      <c r="BC160" s="574"/>
      <c r="BD160" s="574"/>
      <c r="BE160" s="574"/>
      <c r="BF160" s="574"/>
      <c r="BG160" s="585"/>
      <c r="BH160" s="585"/>
      <c r="BI160" s="585"/>
      <c r="BJ160" s="585"/>
      <c r="BK160" s="585"/>
      <c r="BL160" s="585"/>
      <c r="BM160" s="585"/>
      <c r="BN160" s="585"/>
      <c r="BO160" s="585"/>
      <c r="BP160" s="1431"/>
      <c r="BQ160" s="1431"/>
      <c r="BR160" s="585"/>
      <c r="BS160" s="585"/>
      <c r="BT160" s="1487"/>
      <c r="BU160" s="1487"/>
      <c r="BV160" s="1487"/>
      <c r="BW160" s="1487"/>
      <c r="BX160" s="1487"/>
      <c r="BY160" s="1487"/>
      <c r="BZ160" s="1487"/>
      <c r="CA160" s="1487"/>
      <c r="CB160" s="1487"/>
      <c r="CC160" s="1487"/>
      <c r="CD160" s="585"/>
      <c r="CE160" s="585"/>
      <c r="CF160" s="586"/>
    </row>
    <row r="161" spans="1:84" s="583" customFormat="1" ht="23.1" customHeight="1">
      <c r="A161" s="584"/>
      <c r="B161" s="585"/>
      <c r="C161" s="585"/>
      <c r="D161" s="585"/>
      <c r="E161" s="585"/>
      <c r="F161" s="585"/>
      <c r="G161" s="585"/>
      <c r="H161" s="585"/>
      <c r="I161" s="585"/>
      <c r="J161" s="585"/>
      <c r="K161" s="585"/>
      <c r="L161" s="585"/>
      <c r="M161" s="585"/>
      <c r="N161" s="585"/>
      <c r="O161" s="585"/>
      <c r="P161" s="585"/>
      <c r="Q161" s="585"/>
      <c r="R161" s="585"/>
      <c r="S161" s="585"/>
      <c r="T161" s="585"/>
      <c r="U161" s="585"/>
      <c r="V161" s="585"/>
      <c r="W161" s="585"/>
      <c r="X161" s="585"/>
      <c r="Y161" s="585"/>
      <c r="Z161" s="585"/>
      <c r="AA161" s="585"/>
      <c r="AB161" s="585"/>
      <c r="AC161" s="585"/>
      <c r="AD161" s="574"/>
      <c r="AE161" s="574"/>
      <c r="AF161" s="574"/>
      <c r="AG161" s="574"/>
      <c r="AH161" s="574"/>
      <c r="AI161" s="574"/>
      <c r="AJ161" s="574"/>
      <c r="AK161" s="574"/>
      <c r="AL161" s="574"/>
      <c r="AM161" s="574"/>
      <c r="AN161" s="574"/>
      <c r="AO161" s="574"/>
      <c r="AP161" s="574"/>
      <c r="AQ161" s="574"/>
      <c r="AR161" s="574"/>
      <c r="AS161" s="585"/>
      <c r="AT161" s="590"/>
      <c r="AU161" s="590"/>
      <c r="AV161" s="585"/>
      <c r="AW161" s="585"/>
      <c r="AX161" s="585"/>
      <c r="AY161" s="585"/>
      <c r="AZ161" s="585"/>
      <c r="BA161" s="585"/>
      <c r="BB161" s="585"/>
      <c r="BC161" s="585"/>
      <c r="BD161" s="585"/>
      <c r="BE161" s="585"/>
      <c r="BF161" s="585"/>
      <c r="BG161" s="585"/>
      <c r="BH161" s="585"/>
      <c r="BI161" s="585"/>
      <c r="BJ161" s="585"/>
      <c r="BK161" s="585"/>
      <c r="BL161" s="585"/>
      <c r="BM161" s="585"/>
      <c r="BN161" s="585"/>
      <c r="BO161" s="585"/>
      <c r="BP161" s="1491" t="s">
        <v>41</v>
      </c>
      <c r="BQ161" s="1491"/>
      <c r="BR161" s="585"/>
      <c r="BS161" s="585"/>
      <c r="BT161" s="1434">
        <f>BT159+BT160</f>
        <v>59020</v>
      </c>
      <c r="BU161" s="1434"/>
      <c r="BV161" s="1434"/>
      <c r="BW161" s="1434"/>
      <c r="BX161" s="1434"/>
      <c r="BY161" s="1434"/>
      <c r="BZ161" s="1434"/>
      <c r="CA161" s="1434"/>
      <c r="CB161" s="1434"/>
      <c r="CC161" s="1434"/>
      <c r="CD161" s="585"/>
      <c r="CE161" s="585"/>
      <c r="CF161" s="586"/>
    </row>
    <row r="162" spans="1:84" s="583" customFormat="1" ht="23.1" customHeight="1">
      <c r="A162" s="592"/>
      <c r="B162" s="593" t="s">
        <v>1110</v>
      </c>
      <c r="C162" s="593"/>
      <c r="D162" s="593"/>
      <c r="E162" s="593"/>
      <c r="F162" s="593"/>
      <c r="G162" s="593"/>
      <c r="H162" s="593"/>
      <c r="I162" s="593"/>
      <c r="J162" s="593"/>
      <c r="K162" s="593"/>
      <c r="L162" s="593"/>
      <c r="M162" s="593"/>
      <c r="N162" s="593"/>
      <c r="O162" s="593"/>
      <c r="P162" s="593"/>
      <c r="Q162" s="593"/>
      <c r="R162" s="593"/>
      <c r="S162" s="593"/>
      <c r="T162" s="593"/>
      <c r="U162" s="593"/>
      <c r="V162" s="593"/>
      <c r="W162" s="593"/>
      <c r="X162" s="593"/>
      <c r="Y162" s="593"/>
      <c r="Z162" s="593"/>
      <c r="AA162" s="593"/>
      <c r="AB162" s="593"/>
      <c r="AC162" s="593"/>
      <c r="AD162" s="593"/>
      <c r="AE162" s="593"/>
      <c r="AF162" s="593"/>
      <c r="AG162" s="593"/>
      <c r="AH162" s="593"/>
      <c r="AI162" s="593"/>
      <c r="AJ162" s="593"/>
      <c r="AK162" s="593"/>
      <c r="AL162" s="593"/>
      <c r="AM162" s="593"/>
      <c r="AN162" s="593"/>
      <c r="AO162" s="593"/>
      <c r="AP162" s="593"/>
      <c r="AQ162" s="593"/>
      <c r="AR162" s="593"/>
      <c r="AS162" s="593"/>
      <c r="AT162" s="593"/>
      <c r="AU162" s="593"/>
      <c r="AV162" s="593"/>
      <c r="AW162" s="593"/>
      <c r="AX162" s="593"/>
      <c r="AY162" s="593"/>
      <c r="AZ162" s="593"/>
      <c r="BA162" s="593"/>
      <c r="BB162" s="593"/>
      <c r="BC162" s="593"/>
      <c r="BD162" s="593"/>
      <c r="BE162" s="593"/>
      <c r="BF162" s="593"/>
      <c r="BG162" s="593"/>
      <c r="BH162" s="593"/>
      <c r="BI162" s="593"/>
      <c r="BJ162" s="593"/>
      <c r="BK162" s="593"/>
      <c r="BL162" s="593"/>
      <c r="BM162" s="593"/>
      <c r="BN162" s="593"/>
      <c r="BO162" s="593"/>
      <c r="BP162" s="593"/>
      <c r="BQ162" s="593"/>
      <c r="BR162" s="593"/>
      <c r="BS162" s="593"/>
      <c r="BT162" s="593"/>
      <c r="BU162" s="593"/>
      <c r="BV162" s="593"/>
      <c r="BW162" s="593"/>
      <c r="BX162" s="593"/>
      <c r="BY162" s="593"/>
      <c r="BZ162" s="593"/>
      <c r="CA162" s="593"/>
      <c r="CB162" s="593"/>
      <c r="CC162" s="593"/>
      <c r="CD162" s="593"/>
      <c r="CE162" s="593"/>
      <c r="CF162" s="595"/>
    </row>
    <row r="163" spans="1:84" s="583" customFormat="1" ht="23.1" customHeight="1">
      <c r="A163" s="584"/>
      <c r="B163" s="585"/>
      <c r="C163" s="585"/>
      <c r="D163" s="596" t="s">
        <v>1094</v>
      </c>
      <c r="E163" s="585"/>
      <c r="F163" s="585"/>
      <c r="G163" s="585"/>
      <c r="H163" s="585"/>
      <c r="I163" s="585"/>
      <c r="J163" s="585"/>
      <c r="K163" s="585"/>
      <c r="L163" s="585"/>
      <c r="M163" s="585"/>
      <c r="N163" s="585"/>
      <c r="O163" s="585"/>
      <c r="P163" s="585"/>
      <c r="Q163" s="585"/>
      <c r="R163" s="585"/>
      <c r="S163" s="585"/>
      <c r="T163" s="585"/>
      <c r="U163" s="585"/>
      <c r="V163" s="585"/>
      <c r="W163" s="585"/>
      <c r="X163" s="585"/>
      <c r="Y163" s="585"/>
      <c r="Z163" s="585"/>
      <c r="AA163" s="585"/>
      <c r="AB163" s="585"/>
      <c r="AC163" s="585"/>
      <c r="AD163" s="585"/>
      <c r="AE163" s="585"/>
      <c r="AF163" s="585"/>
      <c r="AG163" s="585"/>
      <c r="AH163" s="585"/>
      <c r="AI163" s="585"/>
      <c r="AJ163" s="585"/>
      <c r="AK163" s="585"/>
      <c r="AL163" s="585"/>
      <c r="AM163" s="585"/>
      <c r="AN163" s="585"/>
      <c r="AO163" s="585"/>
      <c r="AP163" s="585"/>
      <c r="AQ163" s="585"/>
      <c r="AR163" s="422"/>
      <c r="AS163" s="1435" t="e">
        <f>HLOOKUP(D163,$CN$1:$CO$3,3,0)</f>
        <v>#REF!</v>
      </c>
      <c r="AT163" s="1435"/>
      <c r="AU163" s="1435"/>
      <c r="AV163" s="1435"/>
      <c r="AW163" s="1435"/>
      <c r="AX163" s="1435"/>
      <c r="AY163" s="1435"/>
      <c r="AZ163" s="1435"/>
      <c r="BA163" s="1435"/>
      <c r="BB163" s="1435"/>
      <c r="BC163" s="585"/>
      <c r="BD163" s="1431" t="s">
        <v>446</v>
      </c>
      <c r="BE163" s="1431"/>
      <c r="BF163" s="585"/>
      <c r="BG163" s="1431">
        <v>3.2</v>
      </c>
      <c r="BH163" s="1431"/>
      <c r="BI163" s="1431"/>
      <c r="BJ163" s="1431"/>
      <c r="BK163" s="1431"/>
      <c r="BL163" s="585" t="s">
        <v>1111</v>
      </c>
      <c r="BM163" s="585"/>
      <c r="BN163" s="585"/>
      <c r="BO163" s="585"/>
      <c r="BP163" s="1431" t="s">
        <v>41</v>
      </c>
      <c r="BQ163" s="1431"/>
      <c r="BR163" s="585"/>
      <c r="BS163" s="585"/>
      <c r="BT163" s="1432" t="e">
        <f>INT(AS163*BG163)</f>
        <v>#REF!</v>
      </c>
      <c r="BU163" s="1432"/>
      <c r="BV163" s="1432"/>
      <c r="BW163" s="1432"/>
      <c r="BX163" s="1432"/>
      <c r="BY163" s="1432"/>
      <c r="BZ163" s="1432"/>
      <c r="CA163" s="1432"/>
      <c r="CB163" s="1432"/>
      <c r="CC163" s="1432"/>
      <c r="CD163" s="585"/>
      <c r="CE163" s="585"/>
      <c r="CF163" s="586"/>
    </row>
    <row r="164" spans="1:84" s="583" customFormat="1" ht="23.1" customHeight="1">
      <c r="A164" s="584"/>
      <c r="B164" s="585"/>
      <c r="C164" s="585"/>
      <c r="D164" s="591" t="str">
        <f>"잡재료 (주연료의 "&amp;BG164&amp;"%) :"</f>
        <v>잡재료 (주연료의 21%) :</v>
      </c>
      <c r="E164" s="585"/>
      <c r="F164" s="585"/>
      <c r="G164" s="585"/>
      <c r="H164" s="585"/>
      <c r="I164" s="585"/>
      <c r="J164" s="585"/>
      <c r="K164" s="585"/>
      <c r="L164" s="585"/>
      <c r="M164" s="585"/>
      <c r="N164" s="585"/>
      <c r="O164" s="585"/>
      <c r="P164" s="585"/>
      <c r="Q164" s="585"/>
      <c r="R164" s="585"/>
      <c r="S164" s="585"/>
      <c r="T164" s="585"/>
      <c r="U164" s="585"/>
      <c r="V164" s="585"/>
      <c r="W164" s="585"/>
      <c r="X164" s="585"/>
      <c r="Y164" s="585"/>
      <c r="Z164" s="585"/>
      <c r="AA164" s="585"/>
      <c r="AB164" s="585"/>
      <c r="AC164" s="585"/>
      <c r="AD164" s="585"/>
      <c r="AE164" s="585"/>
      <c r="AF164" s="585"/>
      <c r="AG164" s="585"/>
      <c r="AH164" s="585"/>
      <c r="AI164" s="585"/>
      <c r="AJ164" s="585"/>
      <c r="AK164" s="585"/>
      <c r="AL164" s="585"/>
      <c r="AM164" s="585"/>
      <c r="AN164" s="585"/>
      <c r="AO164" s="585"/>
      <c r="AP164" s="585"/>
      <c r="AQ164" s="585"/>
      <c r="AR164" s="422" t="e">
        <f>BT163</f>
        <v>#REF!</v>
      </c>
      <c r="AS164" s="1430" t="e">
        <f>BT163</f>
        <v>#REF!</v>
      </c>
      <c r="AT164" s="1430"/>
      <c r="AU164" s="1430"/>
      <c r="AV164" s="1430"/>
      <c r="AW164" s="1430"/>
      <c r="AX164" s="1430"/>
      <c r="AY164" s="1430"/>
      <c r="AZ164" s="1430"/>
      <c r="BA164" s="1430"/>
      <c r="BB164" s="1430"/>
      <c r="BC164" s="585"/>
      <c r="BD164" s="1431" t="s">
        <v>446</v>
      </c>
      <c r="BE164" s="1431"/>
      <c r="BF164" s="585"/>
      <c r="BG164" s="1431">
        <v>21</v>
      </c>
      <c r="BH164" s="1431"/>
      <c r="BI164" s="1431"/>
      <c r="BJ164" s="1431"/>
      <c r="BK164" s="1431"/>
      <c r="BL164" s="585" t="s">
        <v>1112</v>
      </c>
      <c r="BM164" s="585"/>
      <c r="BN164" s="585"/>
      <c r="BO164" s="585"/>
      <c r="BP164" s="1431" t="s">
        <v>41</v>
      </c>
      <c r="BQ164" s="1431"/>
      <c r="BR164" s="585"/>
      <c r="BS164" s="585"/>
      <c r="BT164" s="1487" t="e">
        <f>INT(AS164*BG164/100)</f>
        <v>#REF!</v>
      </c>
      <c r="BU164" s="1487"/>
      <c r="BV164" s="1487"/>
      <c r="BW164" s="1487"/>
      <c r="BX164" s="1487"/>
      <c r="BY164" s="1487"/>
      <c r="BZ164" s="1487"/>
      <c r="CA164" s="1487"/>
      <c r="CB164" s="1487"/>
      <c r="CC164" s="1487"/>
      <c r="CD164" s="585"/>
      <c r="CE164" s="585"/>
      <c r="CF164" s="586"/>
    </row>
    <row r="165" spans="1:84" s="583" customFormat="1" ht="23.1" customHeight="1" thickBot="1">
      <c r="A165" s="584"/>
      <c r="B165" s="585"/>
      <c r="C165" s="585"/>
      <c r="D165" s="585"/>
      <c r="E165" s="585"/>
      <c r="F165" s="585"/>
      <c r="G165" s="585"/>
      <c r="H165" s="585"/>
      <c r="I165" s="585"/>
      <c r="J165" s="585"/>
      <c r="K165" s="585"/>
      <c r="L165" s="585"/>
      <c r="M165" s="585"/>
      <c r="N165" s="585"/>
      <c r="O165" s="585"/>
      <c r="P165" s="585"/>
      <c r="Q165" s="585"/>
      <c r="R165" s="585"/>
      <c r="S165" s="585"/>
      <c r="T165" s="585"/>
      <c r="U165" s="585"/>
      <c r="V165" s="585"/>
      <c r="W165" s="585"/>
      <c r="X165" s="585"/>
      <c r="Y165" s="585"/>
      <c r="Z165" s="585"/>
      <c r="AA165" s="585"/>
      <c r="AB165" s="585"/>
      <c r="AC165" s="585"/>
      <c r="AD165" s="585"/>
      <c r="AE165" s="585"/>
      <c r="AF165" s="585"/>
      <c r="AG165" s="585"/>
      <c r="AH165" s="585"/>
      <c r="AI165" s="585"/>
      <c r="AJ165" s="585"/>
      <c r="AK165" s="585"/>
      <c r="AL165" s="585"/>
      <c r="AM165" s="585"/>
      <c r="AN165" s="585"/>
      <c r="AO165" s="585"/>
      <c r="AP165" s="585"/>
      <c r="AQ165" s="585"/>
      <c r="AR165" s="585"/>
      <c r="AS165" s="585"/>
      <c r="AT165" s="585"/>
      <c r="AU165" s="585"/>
      <c r="AV165" s="585"/>
      <c r="AW165" s="585"/>
      <c r="AX165" s="585"/>
      <c r="AY165" s="585"/>
      <c r="AZ165" s="585"/>
      <c r="BA165" s="585"/>
      <c r="BB165" s="585"/>
      <c r="BC165" s="585"/>
      <c r="BD165" s="585"/>
      <c r="BE165" s="585"/>
      <c r="BF165" s="585"/>
      <c r="BG165" s="585"/>
      <c r="BH165" s="585"/>
      <c r="BI165" s="585"/>
      <c r="BJ165" s="585"/>
      <c r="BK165" s="585"/>
      <c r="BL165" s="585"/>
      <c r="BM165" s="585"/>
      <c r="BN165" s="585"/>
      <c r="BO165" s="585"/>
      <c r="BP165" s="1488" t="s">
        <v>41</v>
      </c>
      <c r="BQ165" s="1488"/>
      <c r="BR165" s="585"/>
      <c r="BS165" s="585"/>
      <c r="BT165" s="1489" t="e">
        <f>BT163+BT164</f>
        <v>#REF!</v>
      </c>
      <c r="BU165" s="1489"/>
      <c r="BV165" s="1489"/>
      <c r="BW165" s="1489"/>
      <c r="BX165" s="1489"/>
      <c r="BY165" s="1489"/>
      <c r="BZ165" s="1489"/>
      <c r="CA165" s="1489"/>
      <c r="CB165" s="1489"/>
      <c r="CC165" s="1489"/>
      <c r="CD165" s="585"/>
      <c r="CE165" s="585"/>
      <c r="CF165" s="586"/>
    </row>
    <row r="166" spans="1:84" s="583" customFormat="1" ht="23.1" customHeight="1" thickBot="1">
      <c r="A166" s="597"/>
      <c r="B166" s="598" t="s">
        <v>1113</v>
      </c>
      <c r="C166" s="598"/>
      <c r="D166" s="598"/>
      <c r="E166" s="598"/>
      <c r="F166" s="598"/>
      <c r="G166" s="598"/>
      <c r="H166" s="598"/>
      <c r="I166" s="598"/>
      <c r="J166" s="598"/>
      <c r="K166" s="598"/>
      <c r="L166" s="598"/>
      <c r="M166" s="598"/>
      <c r="N166" s="598"/>
      <c r="O166" s="598"/>
      <c r="P166" s="598"/>
      <c r="Q166" s="598"/>
      <c r="R166" s="598"/>
      <c r="S166" s="598"/>
      <c r="T166" s="598"/>
      <c r="U166" s="598"/>
      <c r="V166" s="598"/>
      <c r="W166" s="598"/>
      <c r="X166" s="598"/>
      <c r="Y166" s="598"/>
      <c r="Z166" s="598"/>
      <c r="AA166" s="598"/>
      <c r="AB166" s="598"/>
      <c r="AC166" s="598"/>
      <c r="AD166" s="598"/>
      <c r="AE166" s="598"/>
      <c r="AF166" s="598"/>
      <c r="AG166" s="598"/>
      <c r="AH166" s="598"/>
      <c r="AI166" s="598"/>
      <c r="AJ166" s="598"/>
      <c r="AK166" s="598"/>
      <c r="AL166" s="598"/>
      <c r="AM166" s="598"/>
      <c r="AN166" s="598"/>
      <c r="AO166" s="598"/>
      <c r="AP166" s="598"/>
      <c r="AQ166" s="598"/>
      <c r="AR166" s="598"/>
      <c r="AS166" s="598"/>
      <c r="AT166" s="598"/>
      <c r="AU166" s="598"/>
      <c r="AV166" s="598"/>
      <c r="AW166" s="598"/>
      <c r="AX166" s="598"/>
      <c r="AY166" s="598"/>
      <c r="AZ166" s="598"/>
      <c r="BA166" s="598"/>
      <c r="BB166" s="598"/>
      <c r="BC166" s="598"/>
      <c r="BD166" s="598"/>
      <c r="BE166" s="598"/>
      <c r="BF166" s="598"/>
      <c r="BG166" s="598"/>
      <c r="BH166" s="598"/>
      <c r="BI166" s="598"/>
      <c r="BJ166" s="598"/>
      <c r="BK166" s="598"/>
      <c r="BL166" s="598"/>
      <c r="BM166" s="598"/>
      <c r="BN166" s="598"/>
      <c r="BO166" s="598"/>
      <c r="BP166" s="598"/>
      <c r="BQ166" s="598"/>
      <c r="BR166" s="598"/>
      <c r="BS166" s="598"/>
      <c r="BT166" s="1429" t="e">
        <f>BT157+BT161+BT165</f>
        <v>#REF!</v>
      </c>
      <c r="BU166" s="1429"/>
      <c r="BV166" s="1429"/>
      <c r="BW166" s="1429"/>
      <c r="BX166" s="1429"/>
      <c r="BY166" s="1429"/>
      <c r="BZ166" s="1429"/>
      <c r="CA166" s="1429"/>
      <c r="CB166" s="1429"/>
      <c r="CC166" s="1429"/>
      <c r="CD166" s="598"/>
      <c r="CE166" s="598"/>
      <c r="CF166" s="599"/>
    </row>
    <row r="167" spans="1:84" s="583" customFormat="1" ht="9.9499999999999993" customHeight="1">
      <c r="A167" s="574"/>
      <c r="B167" s="574"/>
      <c r="C167" s="574"/>
      <c r="D167" s="574"/>
      <c r="E167" s="574"/>
      <c r="F167" s="574"/>
      <c r="G167" s="574"/>
      <c r="H167" s="574"/>
      <c r="I167" s="574"/>
      <c r="J167" s="574"/>
      <c r="K167" s="574"/>
      <c r="L167" s="574"/>
      <c r="M167" s="574"/>
      <c r="N167" s="574"/>
      <c r="O167" s="574"/>
      <c r="P167" s="574"/>
      <c r="Q167" s="574"/>
      <c r="R167" s="574"/>
      <c r="S167" s="574"/>
      <c r="T167" s="574"/>
      <c r="U167" s="574"/>
      <c r="V167" s="574"/>
      <c r="W167" s="574"/>
      <c r="X167" s="574"/>
      <c r="Y167" s="574"/>
      <c r="Z167" s="574"/>
      <c r="AA167" s="574"/>
      <c r="AB167" s="574"/>
      <c r="AC167" s="574"/>
      <c r="AD167" s="574"/>
      <c r="AE167" s="574"/>
      <c r="AF167" s="574"/>
      <c r="AG167" s="574"/>
      <c r="AH167" s="574"/>
      <c r="AI167" s="574"/>
      <c r="AJ167" s="574"/>
      <c r="AK167" s="574"/>
      <c r="AL167" s="574"/>
      <c r="AM167" s="574"/>
      <c r="AN167" s="574"/>
      <c r="AO167" s="574"/>
      <c r="AP167" s="574"/>
      <c r="AQ167" s="574"/>
      <c r="AR167" s="574"/>
      <c r="AS167" s="574"/>
      <c r="AT167" s="574"/>
      <c r="AU167" s="574"/>
      <c r="AV167" s="574"/>
      <c r="AW167" s="574"/>
      <c r="AX167" s="574"/>
      <c r="AY167" s="574"/>
      <c r="AZ167" s="574"/>
      <c r="BA167" s="574"/>
      <c r="BB167" s="574"/>
      <c r="BC167" s="574"/>
      <c r="BD167" s="574"/>
      <c r="BE167" s="574"/>
      <c r="BF167" s="574"/>
      <c r="BG167" s="574"/>
      <c r="BH167" s="574"/>
      <c r="BI167" s="574"/>
      <c r="BJ167" s="574"/>
      <c r="BK167" s="574"/>
      <c r="BL167" s="574"/>
      <c r="BM167" s="574"/>
      <c r="BN167" s="574"/>
      <c r="BO167" s="574"/>
      <c r="BP167" s="574"/>
      <c r="BQ167" s="574"/>
      <c r="BR167" s="574"/>
      <c r="BS167" s="574"/>
      <c r="BT167" s="574"/>
      <c r="BU167" s="574"/>
      <c r="BV167" s="574"/>
      <c r="BW167" s="574"/>
      <c r="BX167" s="574"/>
      <c r="BY167" s="574"/>
      <c r="BZ167" s="574"/>
      <c r="CA167" s="574"/>
      <c r="CB167" s="574"/>
      <c r="CC167" s="574"/>
      <c r="CD167" s="574"/>
      <c r="CE167" s="574"/>
      <c r="CF167" s="574"/>
    </row>
    <row r="168" spans="1:84" s="583" customFormat="1" ht="23.1" customHeight="1" thickBot="1">
      <c r="A168" s="1446" t="s">
        <v>1095</v>
      </c>
      <c r="B168" s="1446"/>
      <c r="C168" s="1446"/>
      <c r="D168" s="1446"/>
      <c r="E168" s="1446"/>
      <c r="F168" s="1446"/>
      <c r="G168" s="1447">
        <f>G153+1</f>
        <v>12</v>
      </c>
      <c r="H168" s="1447"/>
      <c r="I168" s="1447"/>
      <c r="J168" s="1448" t="s">
        <v>1096</v>
      </c>
      <c r="K168" s="1448"/>
      <c r="L168" s="574"/>
      <c r="M168" s="574"/>
      <c r="N168" s="574"/>
      <c r="O168" s="574"/>
      <c r="P168" s="574"/>
      <c r="Q168" s="574"/>
      <c r="R168" s="574"/>
      <c r="S168" s="574"/>
      <c r="T168" s="574"/>
      <c r="U168" s="574"/>
      <c r="V168" s="574"/>
      <c r="W168" s="574"/>
      <c r="X168" s="574"/>
      <c r="Y168" s="574"/>
      <c r="Z168" s="574"/>
      <c r="AA168" s="574"/>
      <c r="AB168" s="574"/>
      <c r="AC168" s="574"/>
      <c r="AD168" s="574"/>
      <c r="AE168" s="574"/>
      <c r="AF168" s="574"/>
      <c r="AG168" s="574"/>
      <c r="AH168" s="574"/>
      <c r="AI168" s="574"/>
      <c r="AJ168" s="574"/>
      <c r="AK168" s="574"/>
      <c r="AL168" s="574"/>
      <c r="AM168" s="574"/>
      <c r="AN168" s="574"/>
      <c r="AO168" s="574"/>
      <c r="AP168" s="574"/>
      <c r="AQ168" s="574"/>
      <c r="AR168" s="574"/>
      <c r="AS168" s="574"/>
      <c r="AT168" s="574"/>
      <c r="AU168" s="574"/>
      <c r="AV168" s="574"/>
      <c r="AW168" s="574"/>
      <c r="AX168" s="574"/>
      <c r="AY168" s="574"/>
      <c r="AZ168" s="574"/>
      <c r="BA168" s="574"/>
      <c r="BB168" s="574"/>
      <c r="BC168" s="574"/>
      <c r="BD168" s="574"/>
      <c r="BE168" s="574"/>
      <c r="BF168" s="574"/>
      <c r="BG168" s="574"/>
      <c r="BH168" s="574"/>
      <c r="BI168" s="574"/>
      <c r="BJ168" s="574"/>
      <c r="BK168" s="574"/>
      <c r="BL168" s="574"/>
      <c r="BM168" s="574"/>
      <c r="BN168" s="574"/>
      <c r="BO168" s="574"/>
      <c r="BP168" s="574"/>
      <c r="BQ168" s="574"/>
      <c r="BR168" s="574"/>
      <c r="BS168" s="574"/>
      <c r="BT168" s="574"/>
      <c r="BU168" s="574"/>
      <c r="BV168" s="574"/>
      <c r="BW168" s="574"/>
      <c r="BX168" s="574"/>
      <c r="BY168" s="574"/>
      <c r="BZ168" s="574"/>
      <c r="CA168" s="574"/>
      <c r="CB168" s="574"/>
      <c r="CC168" s="574"/>
      <c r="CD168" s="574"/>
      <c r="CE168" s="574"/>
      <c r="CF168" s="574"/>
    </row>
    <row r="169" spans="1:84" s="583" customFormat="1" ht="23.1" customHeight="1" thickBot="1">
      <c r="A169" s="1483" t="s">
        <v>1097</v>
      </c>
      <c r="B169" s="1484"/>
      <c r="C169" s="1484"/>
      <c r="D169" s="1484"/>
      <c r="E169" s="1484"/>
      <c r="F169" s="1484"/>
      <c r="G169" s="1484"/>
      <c r="H169" s="1484"/>
      <c r="I169" s="581" t="s">
        <v>1126</v>
      </c>
      <c r="J169" s="581"/>
      <c r="K169" s="581"/>
      <c r="L169" s="581"/>
      <c r="M169" s="581"/>
      <c r="N169" s="581"/>
      <c r="O169" s="581"/>
      <c r="P169" s="581"/>
      <c r="Q169" s="581"/>
      <c r="R169" s="581"/>
      <c r="S169" s="581"/>
      <c r="T169" s="581"/>
      <c r="U169" s="581"/>
      <c r="V169" s="581"/>
      <c r="W169" s="581"/>
      <c r="X169" s="581"/>
      <c r="Y169" s="581"/>
      <c r="Z169" s="581"/>
      <c r="AA169" s="581"/>
      <c r="AB169" s="581"/>
      <c r="AC169" s="581"/>
      <c r="AD169" s="581"/>
      <c r="AE169" s="581"/>
      <c r="AF169" s="581"/>
      <c r="AG169" s="581"/>
      <c r="AH169" s="581"/>
      <c r="AI169" s="581"/>
      <c r="AJ169" s="1484" t="s">
        <v>1099</v>
      </c>
      <c r="AK169" s="1484"/>
      <c r="AL169" s="1484"/>
      <c r="AM169" s="1484"/>
      <c r="AN169" s="1484"/>
      <c r="AO169" s="1484"/>
      <c r="AP169" s="1484"/>
      <c r="AQ169" s="581" t="s">
        <v>395</v>
      </c>
      <c r="AR169" s="581"/>
      <c r="AS169" s="581"/>
      <c r="AT169" s="581"/>
      <c r="AU169" s="581"/>
      <c r="AV169" s="581"/>
      <c r="AW169" s="581"/>
      <c r="AX169" s="581"/>
      <c r="AY169" s="581"/>
      <c r="AZ169" s="581"/>
      <c r="BA169" s="581"/>
      <c r="BB169" s="581"/>
      <c r="BC169" s="581"/>
      <c r="BD169" s="581"/>
      <c r="BE169" s="581"/>
      <c r="BF169" s="581"/>
      <c r="BG169" s="581"/>
      <c r="BH169" s="581"/>
      <c r="BI169" s="581"/>
      <c r="BJ169" s="581"/>
      <c r="BK169" s="581"/>
      <c r="BL169" s="581"/>
      <c r="BM169" s="581"/>
      <c r="BN169" s="581"/>
      <c r="BO169" s="581"/>
      <c r="BP169" s="581"/>
      <c r="BQ169" s="581"/>
      <c r="BR169" s="581"/>
      <c r="BS169" s="581"/>
      <c r="BT169" s="581" t="s">
        <v>1120</v>
      </c>
      <c r="BU169" s="581"/>
      <c r="BV169" s="581"/>
      <c r="BW169" s="581"/>
      <c r="BX169" s="581"/>
      <c r="BY169" s="581"/>
      <c r="BZ169" s="581"/>
      <c r="CA169" s="581"/>
      <c r="CB169" s="581"/>
      <c r="CC169" s="581"/>
      <c r="CD169" s="581"/>
      <c r="CE169" s="581"/>
      <c r="CF169" s="582"/>
    </row>
    <row r="170" spans="1:84" s="583" customFormat="1" ht="23.1" customHeight="1">
      <c r="A170" s="584"/>
      <c r="B170" s="585" t="s">
        <v>1102</v>
      </c>
      <c r="C170" s="585"/>
      <c r="D170" s="585"/>
      <c r="E170" s="585"/>
      <c r="F170" s="585"/>
      <c r="G170" s="585"/>
      <c r="H170" s="585"/>
      <c r="I170" s="585"/>
      <c r="J170" s="585"/>
      <c r="K170" s="585"/>
      <c r="L170" s="585"/>
      <c r="M170" s="585"/>
      <c r="N170" s="585"/>
      <c r="O170" s="585"/>
      <c r="P170" s="585"/>
      <c r="Q170" s="585"/>
      <c r="R170" s="585"/>
      <c r="S170" s="585"/>
      <c r="T170" s="585"/>
      <c r="U170" s="585"/>
      <c r="V170" s="585"/>
      <c r="W170" s="585"/>
      <c r="X170" s="585"/>
      <c r="Y170" s="585"/>
      <c r="Z170" s="585"/>
      <c r="AA170" s="585"/>
      <c r="AB170" s="585"/>
      <c r="AC170" s="585"/>
      <c r="AD170" s="585"/>
      <c r="AE170" s="585"/>
      <c r="AF170" s="585"/>
      <c r="AG170" s="585"/>
      <c r="AH170" s="585"/>
      <c r="AI170" s="585"/>
      <c r="AJ170" s="585"/>
      <c r="AK170" s="585"/>
      <c r="AL170" s="585"/>
      <c r="AM170" s="585"/>
      <c r="AN170" s="585"/>
      <c r="AO170" s="585"/>
      <c r="AP170" s="585"/>
      <c r="AQ170" s="585"/>
      <c r="AR170" s="585"/>
      <c r="AS170" s="585"/>
      <c r="AT170" s="585"/>
      <c r="AU170" s="585"/>
      <c r="AV170" s="585"/>
      <c r="AW170" s="585"/>
      <c r="AX170" s="585"/>
      <c r="AY170" s="585"/>
      <c r="AZ170" s="585"/>
      <c r="BA170" s="585"/>
      <c r="BB170" s="585"/>
      <c r="BC170" s="585"/>
      <c r="BD170" s="585"/>
      <c r="BE170" s="585"/>
      <c r="BF170" s="585"/>
      <c r="BG170" s="585"/>
      <c r="BH170" s="585"/>
      <c r="BI170" s="585"/>
      <c r="BJ170" s="585"/>
      <c r="BK170" s="585"/>
      <c r="BL170" s="585"/>
      <c r="BM170" s="585"/>
      <c r="BN170" s="585"/>
      <c r="BO170" s="585"/>
      <c r="BP170" s="585"/>
      <c r="BQ170" s="585"/>
      <c r="BR170" s="585"/>
      <c r="BS170" s="585"/>
      <c r="BT170" s="585"/>
      <c r="BU170" s="585"/>
      <c r="BV170" s="585"/>
      <c r="BW170" s="585"/>
      <c r="BX170" s="585"/>
      <c r="BY170" s="585"/>
      <c r="BZ170" s="585"/>
      <c r="CA170" s="585"/>
      <c r="CB170" s="585"/>
      <c r="CC170" s="585"/>
      <c r="CD170" s="585"/>
      <c r="CE170" s="585"/>
      <c r="CF170" s="586"/>
    </row>
    <row r="171" spans="1:84" s="583" customFormat="1" ht="23.1" customHeight="1">
      <c r="A171" s="587"/>
      <c r="B171" s="574"/>
      <c r="C171" s="574"/>
      <c r="D171" s="405"/>
      <c r="E171" s="574"/>
      <c r="F171" s="422"/>
      <c r="G171" s="422"/>
      <c r="H171" s="422"/>
      <c r="I171" s="422"/>
      <c r="J171" s="422"/>
      <c r="K171" s="422"/>
      <c r="L171" s="422"/>
      <c r="M171" s="422"/>
      <c r="N171" s="574"/>
      <c r="O171" s="574"/>
      <c r="P171" s="574"/>
      <c r="Q171" s="574"/>
      <c r="R171" s="574"/>
      <c r="S171" s="588"/>
      <c r="T171" s="588"/>
      <c r="U171" s="588"/>
      <c r="V171" s="588"/>
      <c r="W171" s="588"/>
      <c r="X171" s="588"/>
      <c r="Y171" s="588"/>
      <c r="Z171" s="588"/>
      <c r="AA171" s="574"/>
      <c r="AB171" s="588"/>
      <c r="AC171" s="585"/>
      <c r="AD171" s="585"/>
      <c r="AE171" s="600"/>
      <c r="AF171" s="600"/>
      <c r="AG171" s="600"/>
      <c r="AH171" s="600"/>
      <c r="AI171" s="600"/>
      <c r="AJ171" s="600"/>
      <c r="AK171" s="600"/>
      <c r="AL171" s="600"/>
      <c r="AM171" s="585"/>
      <c r="AN171" s="585"/>
      <c r="AO171" s="574"/>
      <c r="AP171" s="430"/>
      <c r="AQ171" s="430"/>
      <c r="AR171" s="430"/>
      <c r="AS171" s="430"/>
      <c r="AT171" s="430"/>
      <c r="AU171" s="430"/>
      <c r="AV171" s="430"/>
      <c r="AW171" s="430"/>
      <c r="AX171" s="430"/>
      <c r="AY171" s="430"/>
      <c r="AZ171" s="430"/>
      <c r="BA171" s="430"/>
      <c r="BB171" s="430"/>
      <c r="BC171" s="430"/>
      <c r="BD171" s="574"/>
      <c r="BE171" s="574"/>
      <c r="BF171" s="574"/>
      <c r="BG171" s="574"/>
      <c r="BH171" s="574"/>
      <c r="BI171" s="574"/>
      <c r="BJ171" s="574"/>
      <c r="BK171" s="574"/>
      <c r="BL171" s="574"/>
      <c r="BM171" s="574"/>
      <c r="BN171" s="574"/>
      <c r="BO171" s="574"/>
      <c r="BP171" s="574"/>
      <c r="BQ171" s="574"/>
      <c r="BR171" s="574"/>
      <c r="BS171" s="574"/>
      <c r="BT171" s="574"/>
      <c r="BU171" s="574"/>
      <c r="BV171" s="574"/>
      <c r="BW171" s="574"/>
      <c r="BX171" s="574"/>
      <c r="BY171" s="574"/>
      <c r="BZ171" s="574"/>
      <c r="CA171" s="574"/>
      <c r="CB171" s="574"/>
      <c r="CC171" s="574"/>
      <c r="CD171" s="574"/>
      <c r="CE171" s="574"/>
      <c r="CF171" s="589"/>
    </row>
    <row r="172" spans="1:84" s="583" customFormat="1" ht="23.1" customHeight="1">
      <c r="A172" s="584"/>
      <c r="B172" s="585"/>
      <c r="C172" s="585"/>
      <c r="H172" s="1502">
        <f>$AE$67</f>
        <v>66538000</v>
      </c>
      <c r="I172" s="1502"/>
      <c r="J172" s="1502"/>
      <c r="K172" s="1502"/>
      <c r="L172" s="1502"/>
      <c r="M172" s="1502"/>
      <c r="N172" s="1502"/>
      <c r="O172" s="1502"/>
      <c r="P172" s="1502"/>
      <c r="Q172" s="1502"/>
      <c r="R172" s="1502"/>
      <c r="S172" s="1502"/>
      <c r="T172" s="1502"/>
      <c r="U172" s="1502"/>
      <c r="V172" s="1502"/>
      <c r="W172" s="1491" t="s">
        <v>446</v>
      </c>
      <c r="X172" s="1491"/>
      <c r="Y172" s="1491" t="s">
        <v>1127</v>
      </c>
      <c r="Z172" s="1491"/>
      <c r="AA172" s="1503" t="s">
        <v>1103</v>
      </c>
      <c r="AB172" s="1503"/>
      <c r="AC172" s="1442">
        <v>900</v>
      </c>
      <c r="AD172" s="1442"/>
      <c r="AE172" s="1442"/>
      <c r="AF172" s="1442"/>
      <c r="AG172" s="1442"/>
      <c r="AH172" s="1442"/>
      <c r="AI172" s="1491" t="s">
        <v>1128</v>
      </c>
      <c r="AJ172" s="1491"/>
      <c r="AK172" s="1442">
        <v>700</v>
      </c>
      <c r="AL172" s="1442"/>
      <c r="AM172" s="1442"/>
      <c r="AN172" s="1442"/>
      <c r="AO172" s="1442"/>
      <c r="AP172" s="1442"/>
      <c r="AQ172" s="1503" t="s">
        <v>1105</v>
      </c>
      <c r="AR172" s="1503"/>
      <c r="AS172" s="1491" t="s">
        <v>446</v>
      </c>
      <c r="AT172" s="1491"/>
      <c r="AU172" s="1504">
        <v>1.1000000000000001</v>
      </c>
      <c r="AV172" s="1504"/>
      <c r="AW172" s="1504"/>
      <c r="AX172" s="1504"/>
      <c r="AY172" s="1504"/>
      <c r="AZ172" s="1491" t="s">
        <v>1128</v>
      </c>
      <c r="BA172" s="1491"/>
      <c r="BB172" s="1491">
        <v>485</v>
      </c>
      <c r="BC172" s="1491"/>
      <c r="BD172" s="1491"/>
      <c r="BE172" s="1491"/>
      <c r="BF172" s="1491"/>
      <c r="BG172" s="1491" t="s">
        <v>1096</v>
      </c>
      <c r="BH172" s="1491"/>
      <c r="BI172" s="1491" t="s">
        <v>446</v>
      </c>
      <c r="BJ172" s="1491"/>
      <c r="BK172" s="591" t="s">
        <v>1104</v>
      </c>
      <c r="BL172" s="585"/>
      <c r="BM172" s="585"/>
      <c r="BN172" s="585"/>
      <c r="BO172" s="585"/>
      <c r="BP172" s="1491" t="s">
        <v>41</v>
      </c>
      <c r="BQ172" s="1491"/>
      <c r="BR172" s="585"/>
      <c r="BS172" s="585"/>
      <c r="BT172" s="1437">
        <f>INT(H172*((AC172+AK172)*AU172+BB172)*10^-7)</f>
        <v>14937</v>
      </c>
      <c r="BU172" s="1437"/>
      <c r="BV172" s="1437"/>
      <c r="BW172" s="1437"/>
      <c r="BX172" s="1437"/>
      <c r="BY172" s="1437"/>
      <c r="BZ172" s="1437"/>
      <c r="CA172" s="1437"/>
      <c r="CB172" s="1437"/>
      <c r="CC172" s="1437"/>
      <c r="CD172" s="585"/>
      <c r="CE172" s="585"/>
      <c r="CF172" s="586"/>
    </row>
    <row r="173" spans="1:84" s="583" customFormat="1" ht="23.1" customHeight="1">
      <c r="A173" s="592"/>
      <c r="B173" s="593" t="s">
        <v>1106</v>
      </c>
      <c r="C173" s="593"/>
      <c r="D173" s="593"/>
      <c r="E173" s="593"/>
      <c r="F173" s="593"/>
      <c r="G173" s="593"/>
      <c r="H173" s="593"/>
      <c r="I173" s="593"/>
      <c r="J173" s="593"/>
      <c r="K173" s="593"/>
      <c r="L173" s="593"/>
      <c r="M173" s="593"/>
      <c r="N173" s="593"/>
      <c r="O173" s="593"/>
      <c r="P173" s="593"/>
      <c r="Q173" s="593"/>
      <c r="R173" s="593"/>
      <c r="S173" s="593"/>
      <c r="T173" s="593"/>
      <c r="U173" s="593"/>
      <c r="V173" s="593"/>
      <c r="W173" s="593"/>
      <c r="X173" s="593"/>
      <c r="Y173" s="593"/>
      <c r="Z173" s="593"/>
      <c r="AA173" s="593"/>
      <c r="AB173" s="593"/>
      <c r="AC173" s="593"/>
      <c r="AD173" s="593"/>
      <c r="AE173" s="593"/>
      <c r="AF173" s="593"/>
      <c r="AG173" s="593"/>
      <c r="AH173" s="593"/>
      <c r="AI173" s="593"/>
      <c r="AJ173" s="593"/>
      <c r="AK173" s="593"/>
      <c r="AL173" s="593"/>
      <c r="AM173" s="593"/>
      <c r="AN173" s="593"/>
      <c r="AO173" s="593"/>
      <c r="AP173" s="593"/>
      <c r="AQ173" s="593"/>
      <c r="AR173" s="593"/>
      <c r="AS173" s="593"/>
      <c r="AT173" s="593"/>
      <c r="AU173" s="593"/>
      <c r="AV173" s="593"/>
      <c r="AW173" s="593"/>
      <c r="AX173" s="593"/>
      <c r="AY173" s="593"/>
      <c r="AZ173" s="593"/>
      <c r="BA173" s="593"/>
      <c r="BB173" s="593"/>
      <c r="BC173" s="593"/>
      <c r="BD173" s="593"/>
      <c r="BE173" s="593"/>
      <c r="BF173" s="593"/>
      <c r="BG173" s="593"/>
      <c r="BH173" s="593"/>
      <c r="BI173" s="593"/>
      <c r="BJ173" s="593"/>
      <c r="BK173" s="593"/>
      <c r="BL173" s="593"/>
      <c r="BM173" s="593"/>
      <c r="BN173" s="593"/>
      <c r="BO173" s="593"/>
      <c r="BP173" s="593"/>
      <c r="BQ173" s="593"/>
      <c r="BR173" s="593"/>
      <c r="BS173" s="593"/>
      <c r="BT173" s="594"/>
      <c r="BU173" s="594"/>
      <c r="BV173" s="594"/>
      <c r="BW173" s="594"/>
      <c r="BX173" s="594"/>
      <c r="BY173" s="594"/>
      <c r="BZ173" s="594"/>
      <c r="CA173" s="594"/>
      <c r="CB173" s="594"/>
      <c r="CC173" s="594"/>
      <c r="CD173" s="593"/>
      <c r="CE173" s="593"/>
      <c r="CF173" s="595"/>
    </row>
    <row r="174" spans="1:84" s="583" customFormat="1" ht="23.1" customHeight="1">
      <c r="A174" s="584"/>
      <c r="B174" s="585"/>
      <c r="C174" s="585"/>
      <c r="D174" s="596" t="s">
        <v>268</v>
      </c>
      <c r="E174" s="585"/>
      <c r="F174" s="585"/>
      <c r="G174" s="585"/>
      <c r="H174" s="585"/>
      <c r="I174" s="585"/>
      <c r="J174" s="585"/>
      <c r="K174" s="585"/>
      <c r="L174" s="585"/>
      <c r="M174" s="585"/>
      <c r="N174" s="585"/>
      <c r="O174" s="585"/>
      <c r="P174" s="585"/>
      <c r="Q174" s="585"/>
      <c r="R174" s="585"/>
      <c r="S174" s="585"/>
      <c r="T174" s="574"/>
      <c r="U174" s="574"/>
      <c r="V174" s="1435">
        <f>HLOOKUP(D174,$CJ$1:$CM$3,3,0)</f>
        <v>283297</v>
      </c>
      <c r="W174" s="1435"/>
      <c r="X174" s="1435"/>
      <c r="Y174" s="1435"/>
      <c r="Z174" s="1435"/>
      <c r="AA174" s="1435"/>
      <c r="AB174" s="1435"/>
      <c r="AC174" s="1435"/>
      <c r="AD174" s="1435"/>
      <c r="AE174" s="1435"/>
      <c r="AF174" s="1431" t="s">
        <v>446</v>
      </c>
      <c r="AG174" s="1431"/>
      <c r="AH174" s="574"/>
      <c r="AI174" s="1436" t="s">
        <v>1107</v>
      </c>
      <c r="AJ174" s="1436"/>
      <c r="AK174" s="1436"/>
      <c r="AL174" s="1436"/>
      <c r="AM174" s="585"/>
      <c r="AN174" s="1431" t="s">
        <v>446</v>
      </c>
      <c r="AO174" s="1431"/>
      <c r="AP174" s="585"/>
      <c r="AQ174" s="1436" t="s">
        <v>1108</v>
      </c>
      <c r="AR174" s="1436"/>
      <c r="AS174" s="1436"/>
      <c r="AT174" s="1436"/>
      <c r="AU174" s="1436"/>
      <c r="AV174" s="422"/>
      <c r="AW174" s="1431" t="s">
        <v>446</v>
      </c>
      <c r="AX174" s="1431"/>
      <c r="AY174" s="440"/>
      <c r="AZ174" s="1436" t="s">
        <v>1109</v>
      </c>
      <c r="BA174" s="1436"/>
      <c r="BB174" s="1436"/>
      <c r="BC174" s="1436"/>
      <c r="BD174" s="1436"/>
      <c r="BE174" s="585"/>
      <c r="BF174" s="1431" t="s">
        <v>446</v>
      </c>
      <c r="BG174" s="1431"/>
      <c r="BH174" s="1431">
        <v>1</v>
      </c>
      <c r="BI174" s="1431"/>
      <c r="BJ174" s="1431"/>
      <c r="BK174" s="585"/>
      <c r="BL174" s="585" t="s">
        <v>366</v>
      </c>
      <c r="BM174" s="585"/>
      <c r="BN174" s="585"/>
      <c r="BO174" s="585"/>
      <c r="BP174" s="1431" t="s">
        <v>41</v>
      </c>
      <c r="BQ174" s="1431"/>
      <c r="BR174" s="585"/>
      <c r="BS174" s="585"/>
      <c r="BT174" s="1432">
        <f>INT(V174/8*16/12*25/20*BH174)</f>
        <v>59020</v>
      </c>
      <c r="BU174" s="1432"/>
      <c r="BV174" s="1432"/>
      <c r="BW174" s="1432"/>
      <c r="BX174" s="1432"/>
      <c r="BY174" s="1432"/>
      <c r="BZ174" s="1432"/>
      <c r="CA174" s="1432"/>
      <c r="CB174" s="1432"/>
      <c r="CC174" s="1432"/>
      <c r="CD174" s="585"/>
      <c r="CE174" s="585"/>
      <c r="CF174" s="586"/>
    </row>
    <row r="175" spans="1:84" s="583" customFormat="1" ht="23.1" customHeight="1">
      <c r="A175" s="584"/>
      <c r="B175" s="585"/>
      <c r="C175" s="585"/>
      <c r="D175" s="585"/>
      <c r="E175" s="585"/>
      <c r="F175" s="585"/>
      <c r="G175" s="585"/>
      <c r="H175" s="585"/>
      <c r="I175" s="585"/>
      <c r="J175" s="585"/>
      <c r="K175" s="585"/>
      <c r="L175" s="585"/>
      <c r="M175" s="585"/>
      <c r="N175" s="585"/>
      <c r="O175" s="585"/>
      <c r="P175" s="574"/>
      <c r="Q175" s="574"/>
      <c r="R175" s="574"/>
      <c r="S175" s="574"/>
      <c r="T175" s="574"/>
      <c r="U175" s="574"/>
      <c r="V175" s="574"/>
      <c r="W175" s="574"/>
      <c r="X175" s="574"/>
      <c r="Y175" s="574"/>
      <c r="Z175" s="574"/>
      <c r="AA175" s="574"/>
      <c r="AB175" s="574"/>
      <c r="AC175" s="574"/>
      <c r="AD175" s="574"/>
      <c r="AE175" s="574"/>
      <c r="AF175" s="574"/>
      <c r="AG175" s="574"/>
      <c r="AH175" s="574"/>
      <c r="AI175" s="574"/>
      <c r="AJ175" s="574"/>
      <c r="AK175" s="574"/>
      <c r="AL175" s="574"/>
      <c r="AM175" s="574"/>
      <c r="AN175" s="574"/>
      <c r="AO175" s="574"/>
      <c r="AP175" s="574"/>
      <c r="AQ175" s="574"/>
      <c r="AR175" s="574"/>
      <c r="AS175" s="574"/>
      <c r="AT175" s="574"/>
      <c r="AU175" s="574"/>
      <c r="AV175" s="574"/>
      <c r="AW175" s="574"/>
      <c r="AX175" s="574"/>
      <c r="AY175" s="574"/>
      <c r="AZ175" s="574"/>
      <c r="BA175" s="574"/>
      <c r="BB175" s="574"/>
      <c r="BC175" s="574"/>
      <c r="BD175" s="574"/>
      <c r="BE175" s="574"/>
      <c r="BF175" s="574"/>
      <c r="BG175" s="585"/>
      <c r="BH175" s="585"/>
      <c r="BI175" s="585"/>
      <c r="BJ175" s="585"/>
      <c r="BK175" s="585"/>
      <c r="BL175" s="585"/>
      <c r="BM175" s="585"/>
      <c r="BN175" s="585"/>
      <c r="BO175" s="585"/>
      <c r="BP175" s="1431"/>
      <c r="BQ175" s="1431"/>
      <c r="BR175" s="585"/>
      <c r="BS175" s="585"/>
      <c r="BT175" s="1487"/>
      <c r="BU175" s="1487"/>
      <c r="BV175" s="1487"/>
      <c r="BW175" s="1487"/>
      <c r="BX175" s="1487"/>
      <c r="BY175" s="1487"/>
      <c r="BZ175" s="1487"/>
      <c r="CA175" s="1487"/>
      <c r="CB175" s="1487"/>
      <c r="CC175" s="1487"/>
      <c r="CD175" s="585"/>
      <c r="CE175" s="585"/>
      <c r="CF175" s="586"/>
    </row>
    <row r="176" spans="1:84" s="583" customFormat="1" ht="23.1" customHeight="1">
      <c r="A176" s="584"/>
      <c r="B176" s="585"/>
      <c r="C176" s="585"/>
      <c r="D176" s="585"/>
      <c r="E176" s="585"/>
      <c r="F176" s="585"/>
      <c r="G176" s="585"/>
      <c r="H176" s="585"/>
      <c r="I176" s="585"/>
      <c r="J176" s="585"/>
      <c r="K176" s="585"/>
      <c r="L176" s="585"/>
      <c r="M176" s="585"/>
      <c r="N176" s="585"/>
      <c r="O176" s="585"/>
      <c r="P176" s="585"/>
      <c r="Q176" s="585"/>
      <c r="R176" s="585"/>
      <c r="S176" s="585"/>
      <c r="T176" s="585"/>
      <c r="U176" s="585"/>
      <c r="V176" s="585"/>
      <c r="W176" s="585"/>
      <c r="X176" s="585"/>
      <c r="Y176" s="585"/>
      <c r="Z176" s="585"/>
      <c r="AA176" s="585"/>
      <c r="AB176" s="585"/>
      <c r="AC176" s="585"/>
      <c r="AD176" s="574"/>
      <c r="AE176" s="574"/>
      <c r="AF176" s="574"/>
      <c r="AG176" s="574"/>
      <c r="AH176" s="574"/>
      <c r="AI176" s="574"/>
      <c r="AJ176" s="574"/>
      <c r="AK176" s="574"/>
      <c r="AL176" s="574"/>
      <c r="AM176" s="574"/>
      <c r="AN176" s="574"/>
      <c r="AO176" s="574"/>
      <c r="AP176" s="574"/>
      <c r="AQ176" s="574"/>
      <c r="AR176" s="574"/>
      <c r="AS176" s="585"/>
      <c r="AT176" s="590"/>
      <c r="AU176" s="590"/>
      <c r="AV176" s="585"/>
      <c r="AW176" s="585"/>
      <c r="AX176" s="585"/>
      <c r="AY176" s="585"/>
      <c r="AZ176" s="585"/>
      <c r="BA176" s="585"/>
      <c r="BB176" s="585"/>
      <c r="BC176" s="585"/>
      <c r="BD176" s="585"/>
      <c r="BE176" s="585"/>
      <c r="BF176" s="585"/>
      <c r="BG176" s="585"/>
      <c r="BH176" s="585"/>
      <c r="BI176" s="585"/>
      <c r="BJ176" s="585"/>
      <c r="BK176" s="585"/>
      <c r="BL176" s="585"/>
      <c r="BM176" s="585"/>
      <c r="BN176" s="585"/>
      <c r="BO176" s="585"/>
      <c r="BP176" s="1491" t="s">
        <v>41</v>
      </c>
      <c r="BQ176" s="1491"/>
      <c r="BR176" s="585"/>
      <c r="BS176" s="585"/>
      <c r="BT176" s="1434">
        <f>BT174+BT175</f>
        <v>59020</v>
      </c>
      <c r="BU176" s="1434"/>
      <c r="BV176" s="1434"/>
      <c r="BW176" s="1434"/>
      <c r="BX176" s="1434"/>
      <c r="BY176" s="1434"/>
      <c r="BZ176" s="1434"/>
      <c r="CA176" s="1434"/>
      <c r="CB176" s="1434"/>
      <c r="CC176" s="1434"/>
      <c r="CD176" s="585"/>
      <c r="CE176" s="585"/>
      <c r="CF176" s="586"/>
    </row>
    <row r="177" spans="1:84" s="583" customFormat="1" ht="23.1" customHeight="1">
      <c r="A177" s="592"/>
      <c r="B177" s="593" t="s">
        <v>1110</v>
      </c>
      <c r="C177" s="593"/>
      <c r="D177" s="593"/>
      <c r="E177" s="593"/>
      <c r="F177" s="593"/>
      <c r="G177" s="593"/>
      <c r="H177" s="593"/>
      <c r="I177" s="593"/>
      <c r="J177" s="593"/>
      <c r="K177" s="593"/>
      <c r="L177" s="593"/>
      <c r="M177" s="593"/>
      <c r="N177" s="593"/>
      <c r="O177" s="593"/>
      <c r="P177" s="593"/>
      <c r="Q177" s="593"/>
      <c r="R177" s="593"/>
      <c r="S177" s="593"/>
      <c r="T177" s="593"/>
      <c r="U177" s="593"/>
      <c r="V177" s="593"/>
      <c r="W177" s="593"/>
      <c r="X177" s="593"/>
      <c r="Y177" s="593"/>
      <c r="Z177" s="593"/>
      <c r="AA177" s="593"/>
      <c r="AB177" s="593"/>
      <c r="AC177" s="593"/>
      <c r="AD177" s="593"/>
      <c r="AE177" s="593"/>
      <c r="AF177" s="593"/>
      <c r="AG177" s="593"/>
      <c r="AH177" s="593"/>
      <c r="AI177" s="593"/>
      <c r="AJ177" s="593"/>
      <c r="AK177" s="593"/>
      <c r="AL177" s="593"/>
      <c r="AM177" s="593"/>
      <c r="AN177" s="593"/>
      <c r="AO177" s="593"/>
      <c r="AP177" s="593"/>
      <c r="AQ177" s="593"/>
      <c r="AR177" s="593"/>
      <c r="AS177" s="593"/>
      <c r="AT177" s="593"/>
      <c r="AU177" s="593"/>
      <c r="AV177" s="593"/>
      <c r="AW177" s="593"/>
      <c r="AX177" s="593"/>
      <c r="AY177" s="593"/>
      <c r="AZ177" s="593"/>
      <c r="BA177" s="593"/>
      <c r="BB177" s="593"/>
      <c r="BC177" s="593"/>
      <c r="BD177" s="593"/>
      <c r="BE177" s="593"/>
      <c r="BF177" s="593"/>
      <c r="BG177" s="593"/>
      <c r="BH177" s="593"/>
      <c r="BI177" s="593"/>
      <c r="BJ177" s="593"/>
      <c r="BK177" s="593"/>
      <c r="BL177" s="593"/>
      <c r="BM177" s="593"/>
      <c r="BN177" s="593"/>
      <c r="BO177" s="593"/>
      <c r="BP177" s="593"/>
      <c r="BQ177" s="593"/>
      <c r="BR177" s="593"/>
      <c r="BS177" s="593"/>
      <c r="BT177" s="593"/>
      <c r="BU177" s="593"/>
      <c r="BV177" s="593"/>
      <c r="BW177" s="593"/>
      <c r="BX177" s="593"/>
      <c r="BY177" s="593"/>
      <c r="BZ177" s="593"/>
      <c r="CA177" s="593"/>
      <c r="CB177" s="593"/>
      <c r="CC177" s="593"/>
      <c r="CD177" s="593"/>
      <c r="CE177" s="593"/>
      <c r="CF177" s="595"/>
    </row>
    <row r="178" spans="1:84" s="583" customFormat="1" ht="23.1" customHeight="1">
      <c r="A178" s="584"/>
      <c r="B178" s="585"/>
      <c r="C178" s="585"/>
      <c r="D178" s="596" t="s">
        <v>1094</v>
      </c>
      <c r="E178" s="585"/>
      <c r="F178" s="585"/>
      <c r="G178" s="585"/>
      <c r="H178" s="585"/>
      <c r="I178" s="585"/>
      <c r="J178" s="585"/>
      <c r="K178" s="585"/>
      <c r="L178" s="585"/>
      <c r="M178" s="585"/>
      <c r="N178" s="585"/>
      <c r="O178" s="585"/>
      <c r="P178" s="585"/>
      <c r="Q178" s="585"/>
      <c r="R178" s="585"/>
      <c r="S178" s="585"/>
      <c r="T178" s="585"/>
      <c r="U178" s="585"/>
      <c r="V178" s="585"/>
      <c r="W178" s="585"/>
      <c r="X178" s="585"/>
      <c r="Y178" s="585"/>
      <c r="Z178" s="585"/>
      <c r="AA178" s="585"/>
      <c r="AB178" s="585"/>
      <c r="AC178" s="585"/>
      <c r="AD178" s="585"/>
      <c r="AE178" s="585"/>
      <c r="AF178" s="585"/>
      <c r="AG178" s="585"/>
      <c r="AH178" s="585"/>
      <c r="AI178" s="585"/>
      <c r="AJ178" s="585"/>
      <c r="AK178" s="585"/>
      <c r="AL178" s="585"/>
      <c r="AM178" s="585"/>
      <c r="AN178" s="585"/>
      <c r="AO178" s="585"/>
      <c r="AP178" s="585"/>
      <c r="AQ178" s="585"/>
      <c r="AR178" s="422"/>
      <c r="AS178" s="1435" t="e">
        <f>HLOOKUP(D178,$CN$1:$CO$3,3,0)</f>
        <v>#REF!</v>
      </c>
      <c r="AT178" s="1435"/>
      <c r="AU178" s="1435"/>
      <c r="AV178" s="1435"/>
      <c r="AW178" s="1435"/>
      <c r="AX178" s="1435"/>
      <c r="AY178" s="1435"/>
      <c r="AZ178" s="1435"/>
      <c r="BA178" s="1435"/>
      <c r="BB178" s="1435"/>
      <c r="BC178" s="585"/>
      <c r="BD178" s="1431" t="s">
        <v>446</v>
      </c>
      <c r="BE178" s="1431"/>
      <c r="BF178" s="585"/>
      <c r="BG178" s="1431">
        <v>5</v>
      </c>
      <c r="BH178" s="1431"/>
      <c r="BI178" s="1431"/>
      <c r="BJ178" s="1431"/>
      <c r="BK178" s="1431"/>
      <c r="BL178" s="585" t="s">
        <v>1111</v>
      </c>
      <c r="BM178" s="585"/>
      <c r="BN178" s="585"/>
      <c r="BO178" s="585"/>
      <c r="BP178" s="1431" t="s">
        <v>41</v>
      </c>
      <c r="BQ178" s="1431"/>
      <c r="BR178" s="585"/>
      <c r="BS178" s="585"/>
      <c r="BT178" s="1432" t="e">
        <f>INT(AS178*BG178)</f>
        <v>#REF!</v>
      </c>
      <c r="BU178" s="1432"/>
      <c r="BV178" s="1432"/>
      <c r="BW178" s="1432"/>
      <c r="BX178" s="1432"/>
      <c r="BY178" s="1432"/>
      <c r="BZ178" s="1432"/>
      <c r="CA178" s="1432"/>
      <c r="CB178" s="1432"/>
      <c r="CC178" s="1432"/>
      <c r="CD178" s="585"/>
      <c r="CE178" s="585"/>
      <c r="CF178" s="586"/>
    </row>
    <row r="179" spans="1:84" s="583" customFormat="1" ht="23.1" customHeight="1">
      <c r="A179" s="584"/>
      <c r="B179" s="585"/>
      <c r="C179" s="585"/>
      <c r="D179" s="591" t="str">
        <f>"잡재료 (주연료의 "&amp;BG179&amp;"%) :"</f>
        <v>잡재료 (주연료의 21%) :</v>
      </c>
      <c r="E179" s="585"/>
      <c r="F179" s="585"/>
      <c r="G179" s="585"/>
      <c r="H179" s="585"/>
      <c r="I179" s="585"/>
      <c r="J179" s="585"/>
      <c r="K179" s="585"/>
      <c r="L179" s="585"/>
      <c r="M179" s="585"/>
      <c r="N179" s="585"/>
      <c r="O179" s="585"/>
      <c r="P179" s="585"/>
      <c r="Q179" s="585"/>
      <c r="R179" s="585"/>
      <c r="S179" s="585"/>
      <c r="T179" s="585"/>
      <c r="U179" s="585"/>
      <c r="V179" s="585"/>
      <c r="W179" s="585"/>
      <c r="X179" s="585"/>
      <c r="Y179" s="585"/>
      <c r="Z179" s="585"/>
      <c r="AA179" s="585"/>
      <c r="AB179" s="585"/>
      <c r="AC179" s="585"/>
      <c r="AD179" s="585"/>
      <c r="AE179" s="585"/>
      <c r="AF179" s="585"/>
      <c r="AG179" s="585"/>
      <c r="AH179" s="585"/>
      <c r="AI179" s="585"/>
      <c r="AJ179" s="585"/>
      <c r="AK179" s="585"/>
      <c r="AL179" s="585"/>
      <c r="AM179" s="585"/>
      <c r="AN179" s="585"/>
      <c r="AO179" s="585"/>
      <c r="AP179" s="585"/>
      <c r="AQ179" s="585"/>
      <c r="AR179" s="422" t="e">
        <f>BT178</f>
        <v>#REF!</v>
      </c>
      <c r="AS179" s="1430" t="e">
        <f>BT178</f>
        <v>#REF!</v>
      </c>
      <c r="AT179" s="1430"/>
      <c r="AU179" s="1430"/>
      <c r="AV179" s="1430"/>
      <c r="AW179" s="1430"/>
      <c r="AX179" s="1430"/>
      <c r="AY179" s="1430"/>
      <c r="AZ179" s="1430"/>
      <c r="BA179" s="1430"/>
      <c r="BB179" s="1430"/>
      <c r="BC179" s="585"/>
      <c r="BD179" s="1431" t="s">
        <v>446</v>
      </c>
      <c r="BE179" s="1431"/>
      <c r="BF179" s="585"/>
      <c r="BG179" s="1431">
        <v>21</v>
      </c>
      <c r="BH179" s="1431"/>
      <c r="BI179" s="1431"/>
      <c r="BJ179" s="1431"/>
      <c r="BK179" s="1431"/>
      <c r="BL179" s="585" t="s">
        <v>1112</v>
      </c>
      <c r="BM179" s="585"/>
      <c r="BN179" s="585"/>
      <c r="BO179" s="585"/>
      <c r="BP179" s="1431" t="s">
        <v>41</v>
      </c>
      <c r="BQ179" s="1431"/>
      <c r="BR179" s="585"/>
      <c r="BS179" s="585"/>
      <c r="BT179" s="1487" t="e">
        <f>INT(AS179*BG179/100)</f>
        <v>#REF!</v>
      </c>
      <c r="BU179" s="1487"/>
      <c r="BV179" s="1487"/>
      <c r="BW179" s="1487"/>
      <c r="BX179" s="1487"/>
      <c r="BY179" s="1487"/>
      <c r="BZ179" s="1487"/>
      <c r="CA179" s="1487"/>
      <c r="CB179" s="1487"/>
      <c r="CC179" s="1487"/>
      <c r="CD179" s="585"/>
      <c r="CE179" s="585"/>
      <c r="CF179" s="586"/>
    </row>
    <row r="180" spans="1:84" s="583" customFormat="1" ht="23.1" customHeight="1" thickBot="1">
      <c r="A180" s="584"/>
      <c r="B180" s="585"/>
      <c r="C180" s="585"/>
      <c r="D180" s="585"/>
      <c r="E180" s="585"/>
      <c r="F180" s="585"/>
      <c r="G180" s="585"/>
      <c r="H180" s="585"/>
      <c r="I180" s="585"/>
      <c r="J180" s="585"/>
      <c r="K180" s="585"/>
      <c r="L180" s="585"/>
      <c r="M180" s="585"/>
      <c r="N180" s="585"/>
      <c r="O180" s="585"/>
      <c r="P180" s="585"/>
      <c r="Q180" s="585"/>
      <c r="R180" s="585"/>
      <c r="S180" s="585"/>
      <c r="T180" s="585"/>
      <c r="U180" s="585"/>
      <c r="V180" s="585"/>
      <c r="W180" s="585"/>
      <c r="X180" s="585"/>
      <c r="Y180" s="585"/>
      <c r="Z180" s="585"/>
      <c r="AA180" s="585"/>
      <c r="AB180" s="585"/>
      <c r="AC180" s="585"/>
      <c r="AD180" s="585"/>
      <c r="AE180" s="585"/>
      <c r="AF180" s="585"/>
      <c r="AG180" s="585"/>
      <c r="AH180" s="585"/>
      <c r="AI180" s="585"/>
      <c r="AJ180" s="585"/>
      <c r="AK180" s="585"/>
      <c r="AL180" s="585"/>
      <c r="AM180" s="585"/>
      <c r="AN180" s="585"/>
      <c r="AO180" s="585"/>
      <c r="AP180" s="585"/>
      <c r="AQ180" s="585"/>
      <c r="AR180" s="585"/>
      <c r="AS180" s="585"/>
      <c r="AT180" s="585"/>
      <c r="AU180" s="585"/>
      <c r="AV180" s="585"/>
      <c r="AW180" s="585"/>
      <c r="AX180" s="585"/>
      <c r="AY180" s="585"/>
      <c r="AZ180" s="585"/>
      <c r="BA180" s="585"/>
      <c r="BB180" s="585"/>
      <c r="BC180" s="585"/>
      <c r="BD180" s="585"/>
      <c r="BE180" s="585"/>
      <c r="BF180" s="585"/>
      <c r="BG180" s="585"/>
      <c r="BH180" s="585"/>
      <c r="BI180" s="585"/>
      <c r="BJ180" s="585"/>
      <c r="BK180" s="585"/>
      <c r="BL180" s="585"/>
      <c r="BM180" s="585"/>
      <c r="BN180" s="585"/>
      <c r="BO180" s="585"/>
      <c r="BP180" s="1488" t="s">
        <v>41</v>
      </c>
      <c r="BQ180" s="1488"/>
      <c r="BR180" s="585"/>
      <c r="BS180" s="585"/>
      <c r="BT180" s="1489" t="e">
        <f>BT178+BT179</f>
        <v>#REF!</v>
      </c>
      <c r="BU180" s="1489"/>
      <c r="BV180" s="1489"/>
      <c r="BW180" s="1489"/>
      <c r="BX180" s="1489"/>
      <c r="BY180" s="1489"/>
      <c r="BZ180" s="1489"/>
      <c r="CA180" s="1489"/>
      <c r="CB180" s="1489"/>
      <c r="CC180" s="1489"/>
      <c r="CD180" s="585"/>
      <c r="CE180" s="585"/>
      <c r="CF180" s="586"/>
    </row>
    <row r="181" spans="1:84" s="583" customFormat="1" ht="23.1" customHeight="1" thickBot="1">
      <c r="A181" s="597"/>
      <c r="B181" s="598" t="s">
        <v>1113</v>
      </c>
      <c r="C181" s="598"/>
      <c r="D181" s="598"/>
      <c r="E181" s="598"/>
      <c r="F181" s="598"/>
      <c r="G181" s="598"/>
      <c r="H181" s="598"/>
      <c r="I181" s="598"/>
      <c r="J181" s="598"/>
      <c r="K181" s="598"/>
      <c r="L181" s="598"/>
      <c r="M181" s="598"/>
      <c r="N181" s="598"/>
      <c r="O181" s="598"/>
      <c r="P181" s="598"/>
      <c r="Q181" s="598"/>
      <c r="R181" s="598"/>
      <c r="S181" s="598"/>
      <c r="T181" s="598"/>
      <c r="U181" s="598"/>
      <c r="V181" s="598"/>
      <c r="W181" s="598"/>
      <c r="X181" s="598"/>
      <c r="Y181" s="598"/>
      <c r="Z181" s="598"/>
      <c r="AA181" s="598"/>
      <c r="AB181" s="598"/>
      <c r="AC181" s="598"/>
      <c r="AD181" s="598"/>
      <c r="AE181" s="598"/>
      <c r="AF181" s="598"/>
      <c r="AG181" s="598"/>
      <c r="AH181" s="598"/>
      <c r="AI181" s="598"/>
      <c r="AJ181" s="598"/>
      <c r="AK181" s="598"/>
      <c r="AL181" s="598"/>
      <c r="AM181" s="598"/>
      <c r="AN181" s="598"/>
      <c r="AO181" s="598"/>
      <c r="AP181" s="598"/>
      <c r="AQ181" s="598"/>
      <c r="AR181" s="598"/>
      <c r="AS181" s="598"/>
      <c r="AT181" s="598"/>
      <c r="AU181" s="598"/>
      <c r="AV181" s="598"/>
      <c r="AW181" s="598"/>
      <c r="AX181" s="598"/>
      <c r="AY181" s="598"/>
      <c r="AZ181" s="598"/>
      <c r="BA181" s="598"/>
      <c r="BB181" s="598"/>
      <c r="BC181" s="598"/>
      <c r="BD181" s="598"/>
      <c r="BE181" s="598"/>
      <c r="BF181" s="598"/>
      <c r="BG181" s="598"/>
      <c r="BH181" s="598"/>
      <c r="BI181" s="598"/>
      <c r="BJ181" s="598"/>
      <c r="BK181" s="598"/>
      <c r="BL181" s="598"/>
      <c r="BM181" s="598"/>
      <c r="BN181" s="598"/>
      <c r="BO181" s="598"/>
      <c r="BP181" s="598"/>
      <c r="BQ181" s="598"/>
      <c r="BR181" s="598"/>
      <c r="BS181" s="598"/>
      <c r="BT181" s="1429" t="e">
        <f>BT172+BT176+BT180</f>
        <v>#REF!</v>
      </c>
      <c r="BU181" s="1429"/>
      <c r="BV181" s="1429"/>
      <c r="BW181" s="1429"/>
      <c r="BX181" s="1429"/>
      <c r="BY181" s="1429"/>
      <c r="BZ181" s="1429"/>
      <c r="CA181" s="1429"/>
      <c r="CB181" s="1429"/>
      <c r="CC181" s="1429"/>
      <c r="CD181" s="598"/>
      <c r="CE181" s="598"/>
      <c r="CF181" s="599"/>
    </row>
    <row r="182" spans="1:84" s="583" customFormat="1" ht="9.9499999999999993" customHeight="1">
      <c r="A182" s="574"/>
      <c r="B182" s="574"/>
      <c r="C182" s="574"/>
      <c r="D182" s="574"/>
      <c r="E182" s="574"/>
      <c r="F182" s="574"/>
      <c r="G182" s="574"/>
      <c r="H182" s="574"/>
      <c r="I182" s="574"/>
      <c r="J182" s="574"/>
      <c r="K182" s="574"/>
      <c r="L182" s="574"/>
      <c r="M182" s="574"/>
      <c r="N182" s="574"/>
      <c r="O182" s="574"/>
      <c r="P182" s="574"/>
      <c r="Q182" s="574"/>
      <c r="R182" s="574"/>
      <c r="S182" s="574"/>
      <c r="T182" s="574"/>
      <c r="U182" s="574"/>
      <c r="V182" s="574"/>
      <c r="W182" s="574"/>
      <c r="X182" s="574"/>
      <c r="Y182" s="574"/>
      <c r="Z182" s="574"/>
      <c r="AA182" s="574"/>
      <c r="AB182" s="574"/>
      <c r="AC182" s="574"/>
      <c r="AD182" s="574"/>
      <c r="AE182" s="574"/>
      <c r="AF182" s="574"/>
      <c r="AG182" s="574"/>
      <c r="AH182" s="574"/>
      <c r="AI182" s="574"/>
      <c r="AJ182" s="574"/>
      <c r="AK182" s="574"/>
      <c r="AL182" s="574"/>
      <c r="AM182" s="574"/>
      <c r="AN182" s="574"/>
      <c r="AO182" s="574"/>
      <c r="AP182" s="574"/>
      <c r="AQ182" s="574"/>
      <c r="AR182" s="574"/>
      <c r="AS182" s="574"/>
      <c r="AT182" s="574"/>
      <c r="AU182" s="574"/>
      <c r="AV182" s="574"/>
      <c r="AW182" s="574"/>
      <c r="AX182" s="574"/>
      <c r="AY182" s="574"/>
      <c r="AZ182" s="574"/>
      <c r="BA182" s="574"/>
      <c r="BB182" s="574"/>
      <c r="BC182" s="574"/>
      <c r="BD182" s="574"/>
      <c r="BE182" s="574"/>
      <c r="BF182" s="574"/>
      <c r="BG182" s="574"/>
      <c r="BH182" s="574"/>
      <c r="BI182" s="574"/>
      <c r="BJ182" s="574"/>
      <c r="BK182" s="574"/>
      <c r="BL182" s="574"/>
      <c r="BM182" s="574"/>
      <c r="BN182" s="574"/>
      <c r="BO182" s="574"/>
      <c r="BP182" s="574"/>
      <c r="BQ182" s="574"/>
      <c r="BR182" s="574"/>
      <c r="BS182" s="574"/>
      <c r="BT182" s="574"/>
      <c r="BU182" s="574"/>
      <c r="BV182" s="574"/>
      <c r="BW182" s="574"/>
      <c r="BX182" s="574"/>
      <c r="BY182" s="574"/>
      <c r="BZ182" s="574"/>
      <c r="CA182" s="574"/>
      <c r="CB182" s="574"/>
      <c r="CC182" s="574"/>
      <c r="CD182" s="574"/>
      <c r="CE182" s="574"/>
      <c r="CF182" s="574"/>
    </row>
    <row r="183" spans="1:84" s="583" customFormat="1" ht="23.1" customHeight="1" thickBot="1">
      <c r="A183" s="1446" t="s">
        <v>1095</v>
      </c>
      <c r="B183" s="1446"/>
      <c r="C183" s="1446"/>
      <c r="D183" s="1446"/>
      <c r="E183" s="1446"/>
      <c r="F183" s="1446"/>
      <c r="G183" s="1447">
        <f>G168+1</f>
        <v>13</v>
      </c>
      <c r="H183" s="1447"/>
      <c r="I183" s="1447"/>
      <c r="J183" s="1448" t="s">
        <v>1096</v>
      </c>
      <c r="K183" s="1448"/>
      <c r="L183" s="574"/>
      <c r="M183" s="574"/>
      <c r="N183" s="574"/>
      <c r="O183" s="574"/>
      <c r="P183" s="574"/>
      <c r="Q183" s="574"/>
      <c r="R183" s="574"/>
      <c r="S183" s="574"/>
      <c r="T183" s="574"/>
      <c r="U183" s="574"/>
      <c r="V183" s="574"/>
      <c r="W183" s="574"/>
      <c r="X183" s="574"/>
      <c r="Y183" s="574"/>
      <c r="Z183" s="574"/>
      <c r="AA183" s="574"/>
      <c r="AB183" s="574"/>
      <c r="AC183" s="574"/>
      <c r="AD183" s="574"/>
      <c r="AE183" s="574"/>
      <c r="AF183" s="574"/>
      <c r="AG183" s="574"/>
      <c r="AH183" s="574"/>
      <c r="AI183" s="574"/>
      <c r="AJ183" s="574"/>
      <c r="AK183" s="574"/>
      <c r="AL183" s="574"/>
      <c r="AM183" s="574"/>
      <c r="AN183" s="574"/>
      <c r="AO183" s="574"/>
      <c r="AP183" s="574"/>
      <c r="AQ183" s="574"/>
      <c r="AR183" s="574"/>
      <c r="AS183" s="574"/>
      <c r="AT183" s="574"/>
      <c r="AU183" s="574"/>
      <c r="AV183" s="574"/>
      <c r="AW183" s="574"/>
      <c r="AX183" s="574"/>
      <c r="AY183" s="574"/>
      <c r="AZ183" s="574"/>
      <c r="BA183" s="574"/>
      <c r="BB183" s="574"/>
      <c r="BC183" s="574"/>
      <c r="BD183" s="574"/>
      <c r="BE183" s="574"/>
      <c r="BF183" s="574"/>
      <c r="BG183" s="574"/>
      <c r="BH183" s="574"/>
      <c r="BI183" s="574"/>
      <c r="BJ183" s="574"/>
      <c r="BK183" s="574"/>
      <c r="BL183" s="574"/>
      <c r="BM183" s="574"/>
      <c r="BN183" s="574"/>
      <c r="BO183" s="574"/>
      <c r="BP183" s="574"/>
      <c r="BQ183" s="574"/>
      <c r="BR183" s="574"/>
      <c r="BS183" s="574"/>
      <c r="BT183" s="574"/>
      <c r="BU183" s="574"/>
      <c r="BV183" s="574"/>
      <c r="BW183" s="574"/>
      <c r="BX183" s="574"/>
      <c r="BY183" s="574"/>
      <c r="BZ183" s="574"/>
      <c r="CA183" s="574"/>
      <c r="CB183" s="574"/>
      <c r="CC183" s="574"/>
      <c r="CD183" s="574"/>
      <c r="CE183" s="574"/>
      <c r="CF183" s="574"/>
    </row>
    <row r="184" spans="1:84" s="583" customFormat="1" ht="23.1" customHeight="1" thickBot="1">
      <c r="A184" s="1483" t="s">
        <v>1097</v>
      </c>
      <c r="B184" s="1484"/>
      <c r="C184" s="1484"/>
      <c r="D184" s="1484"/>
      <c r="E184" s="1484"/>
      <c r="F184" s="1484"/>
      <c r="G184" s="1484"/>
      <c r="H184" s="1484"/>
      <c r="I184" s="581" t="s">
        <v>1126</v>
      </c>
      <c r="J184" s="581"/>
      <c r="K184" s="581"/>
      <c r="L184" s="581"/>
      <c r="M184" s="581"/>
      <c r="N184" s="581"/>
      <c r="O184" s="581"/>
      <c r="P184" s="581"/>
      <c r="Q184" s="581"/>
      <c r="R184" s="581"/>
      <c r="S184" s="581"/>
      <c r="T184" s="581"/>
      <c r="U184" s="581"/>
      <c r="V184" s="581"/>
      <c r="W184" s="581"/>
      <c r="X184" s="581"/>
      <c r="Y184" s="581"/>
      <c r="Z184" s="581"/>
      <c r="AA184" s="581"/>
      <c r="AB184" s="581"/>
      <c r="AC184" s="581"/>
      <c r="AD184" s="581"/>
      <c r="AE184" s="581"/>
      <c r="AF184" s="581"/>
      <c r="AG184" s="581"/>
      <c r="AH184" s="581"/>
      <c r="AI184" s="581"/>
      <c r="AJ184" s="1484" t="s">
        <v>1099</v>
      </c>
      <c r="AK184" s="1484"/>
      <c r="AL184" s="1484"/>
      <c r="AM184" s="1484"/>
      <c r="AN184" s="1484"/>
      <c r="AO184" s="1484"/>
      <c r="AP184" s="1484"/>
      <c r="AQ184" s="581" t="s">
        <v>359</v>
      </c>
      <c r="AR184" s="581"/>
      <c r="AS184" s="581"/>
      <c r="AT184" s="581"/>
      <c r="AU184" s="581"/>
      <c r="AV184" s="581"/>
      <c r="AW184" s="581"/>
      <c r="AX184" s="581"/>
      <c r="AY184" s="581"/>
      <c r="AZ184" s="581"/>
      <c r="BA184" s="581"/>
      <c r="BB184" s="581"/>
      <c r="BC184" s="581"/>
      <c r="BD184" s="581"/>
      <c r="BE184" s="581"/>
      <c r="BF184" s="581"/>
      <c r="BG184" s="581"/>
      <c r="BH184" s="581"/>
      <c r="BI184" s="581"/>
      <c r="BJ184" s="581"/>
      <c r="BK184" s="581"/>
      <c r="BL184" s="581"/>
      <c r="BM184" s="581"/>
      <c r="BN184" s="581"/>
      <c r="BO184" s="581"/>
      <c r="BP184" s="581"/>
      <c r="BQ184" s="581"/>
      <c r="BR184" s="581"/>
      <c r="BS184" s="581"/>
      <c r="BT184" s="581" t="s">
        <v>1121</v>
      </c>
      <c r="BU184" s="581"/>
      <c r="BV184" s="581"/>
      <c r="BW184" s="581"/>
      <c r="BX184" s="581"/>
      <c r="BY184" s="581"/>
      <c r="BZ184" s="581"/>
      <c r="CA184" s="581"/>
      <c r="CB184" s="581"/>
      <c r="CC184" s="581"/>
      <c r="CD184" s="581"/>
      <c r="CE184" s="581"/>
      <c r="CF184" s="582"/>
    </row>
    <row r="185" spans="1:84" s="583" customFormat="1" ht="23.1" customHeight="1">
      <c r="A185" s="584"/>
      <c r="B185" s="585" t="s">
        <v>1102</v>
      </c>
      <c r="C185" s="585"/>
      <c r="D185" s="585"/>
      <c r="E185" s="585"/>
      <c r="F185" s="585"/>
      <c r="G185" s="585"/>
      <c r="H185" s="585"/>
      <c r="I185" s="585"/>
      <c r="J185" s="585"/>
      <c r="K185" s="585"/>
      <c r="L185" s="585"/>
      <c r="M185" s="585"/>
      <c r="N185" s="585"/>
      <c r="O185" s="585"/>
      <c r="P185" s="585"/>
      <c r="Q185" s="585"/>
      <c r="R185" s="585"/>
      <c r="S185" s="585"/>
      <c r="T185" s="585"/>
      <c r="U185" s="585"/>
      <c r="V185" s="585"/>
      <c r="W185" s="585"/>
      <c r="X185" s="585"/>
      <c r="Y185" s="585"/>
      <c r="Z185" s="585"/>
      <c r="AA185" s="585"/>
      <c r="AB185" s="585"/>
      <c r="AC185" s="585"/>
      <c r="AD185" s="585"/>
      <c r="AE185" s="585"/>
      <c r="AF185" s="585"/>
      <c r="AG185" s="585"/>
      <c r="AH185" s="585"/>
      <c r="AI185" s="585"/>
      <c r="AJ185" s="585"/>
      <c r="AK185" s="585"/>
      <c r="AL185" s="585"/>
      <c r="AM185" s="585"/>
      <c r="AN185" s="585"/>
      <c r="AO185" s="585"/>
      <c r="AP185" s="585"/>
      <c r="AQ185" s="585"/>
      <c r="AR185" s="585"/>
      <c r="AS185" s="585"/>
      <c r="AT185" s="585"/>
      <c r="AU185" s="585"/>
      <c r="AV185" s="585"/>
      <c r="AW185" s="585"/>
      <c r="AX185" s="585"/>
      <c r="AY185" s="585"/>
      <c r="AZ185" s="585"/>
      <c r="BA185" s="585"/>
      <c r="BB185" s="585"/>
      <c r="BC185" s="585"/>
      <c r="BD185" s="585"/>
      <c r="BE185" s="585"/>
      <c r="BF185" s="585"/>
      <c r="BG185" s="585"/>
      <c r="BH185" s="585"/>
      <c r="BI185" s="585"/>
      <c r="BJ185" s="585"/>
      <c r="BK185" s="585"/>
      <c r="BL185" s="585"/>
      <c r="BM185" s="585"/>
      <c r="BN185" s="585"/>
      <c r="BO185" s="585"/>
      <c r="BP185" s="585"/>
      <c r="BQ185" s="585"/>
      <c r="BR185" s="585"/>
      <c r="BS185" s="585"/>
      <c r="BT185" s="585"/>
      <c r="BU185" s="585"/>
      <c r="BV185" s="585"/>
      <c r="BW185" s="585"/>
      <c r="BX185" s="585"/>
      <c r="BY185" s="585"/>
      <c r="BZ185" s="585"/>
      <c r="CA185" s="585"/>
      <c r="CB185" s="585"/>
      <c r="CC185" s="585"/>
      <c r="CD185" s="585"/>
      <c r="CE185" s="585"/>
      <c r="CF185" s="586"/>
    </row>
    <row r="186" spans="1:84" s="583" customFormat="1" ht="23.1" customHeight="1">
      <c r="A186" s="587"/>
      <c r="B186" s="574"/>
      <c r="C186" s="574"/>
      <c r="D186" s="405"/>
      <c r="E186" s="574"/>
      <c r="F186" s="422"/>
      <c r="G186" s="422"/>
      <c r="H186" s="422"/>
      <c r="I186" s="422"/>
      <c r="J186" s="422"/>
      <c r="K186" s="422"/>
      <c r="L186" s="422"/>
      <c r="M186" s="422"/>
      <c r="N186" s="574"/>
      <c r="O186" s="574"/>
      <c r="P186" s="574"/>
      <c r="Q186" s="574"/>
      <c r="R186" s="574"/>
      <c r="S186" s="588"/>
      <c r="T186" s="588"/>
      <c r="U186" s="588"/>
      <c r="V186" s="588"/>
      <c r="W186" s="588"/>
      <c r="X186" s="588"/>
      <c r="Y186" s="588"/>
      <c r="Z186" s="588"/>
      <c r="AA186" s="574"/>
      <c r="AB186" s="588"/>
      <c r="AC186" s="585"/>
      <c r="AD186" s="585"/>
      <c r="AE186" s="600"/>
      <c r="AF186" s="600"/>
      <c r="AG186" s="600"/>
      <c r="AH186" s="600"/>
      <c r="AI186" s="600"/>
      <c r="AJ186" s="600"/>
      <c r="AK186" s="600"/>
      <c r="AL186" s="600"/>
      <c r="AM186" s="585"/>
      <c r="AN186" s="585"/>
      <c r="AO186" s="574"/>
      <c r="AP186" s="430"/>
      <c r="AQ186" s="430"/>
      <c r="AR186" s="430"/>
      <c r="AS186" s="430"/>
      <c r="AT186" s="430"/>
      <c r="AU186" s="430"/>
      <c r="AV186" s="430"/>
      <c r="AW186" s="430"/>
      <c r="AX186" s="430"/>
      <c r="AY186" s="430"/>
      <c r="AZ186" s="430"/>
      <c r="BA186" s="430"/>
      <c r="BB186" s="430"/>
      <c r="BC186" s="430"/>
      <c r="BD186" s="574"/>
      <c r="BE186" s="574"/>
      <c r="BF186" s="574"/>
      <c r="BG186" s="574"/>
      <c r="BH186" s="574"/>
      <c r="BI186" s="574"/>
      <c r="BJ186" s="574"/>
      <c r="BK186" s="574"/>
      <c r="BL186" s="574"/>
      <c r="BM186" s="574"/>
      <c r="BN186" s="574"/>
      <c r="BO186" s="574"/>
      <c r="BP186" s="574"/>
      <c r="BQ186" s="574"/>
      <c r="BR186" s="574"/>
      <c r="BS186" s="574"/>
      <c r="BT186" s="574"/>
      <c r="BU186" s="574"/>
      <c r="BV186" s="574"/>
      <c r="BW186" s="574"/>
      <c r="BX186" s="574"/>
      <c r="BY186" s="574"/>
      <c r="BZ186" s="574"/>
      <c r="CA186" s="574"/>
      <c r="CB186" s="574"/>
      <c r="CC186" s="574"/>
      <c r="CD186" s="574"/>
      <c r="CE186" s="574"/>
      <c r="CF186" s="589"/>
    </row>
    <row r="187" spans="1:84" s="583" customFormat="1" ht="23.1" customHeight="1">
      <c r="A187" s="584"/>
      <c r="B187" s="585"/>
      <c r="C187" s="585"/>
      <c r="H187" s="1502">
        <f>$AE$82</f>
        <v>84000000</v>
      </c>
      <c r="I187" s="1502"/>
      <c r="J187" s="1502"/>
      <c r="K187" s="1502"/>
      <c r="L187" s="1502"/>
      <c r="M187" s="1502"/>
      <c r="N187" s="1502"/>
      <c r="O187" s="1502"/>
      <c r="P187" s="1502"/>
      <c r="Q187" s="1502"/>
      <c r="R187" s="1502"/>
      <c r="S187" s="1502"/>
      <c r="T187" s="1502"/>
      <c r="U187" s="1502"/>
      <c r="V187" s="1502"/>
      <c r="W187" s="1491" t="s">
        <v>446</v>
      </c>
      <c r="X187" s="1491"/>
      <c r="Y187" s="1491" t="s">
        <v>1127</v>
      </c>
      <c r="Z187" s="1491"/>
      <c r="AA187" s="1503" t="s">
        <v>1103</v>
      </c>
      <c r="AB187" s="1503"/>
      <c r="AC187" s="1442">
        <v>900</v>
      </c>
      <c r="AD187" s="1442"/>
      <c r="AE187" s="1442"/>
      <c r="AF187" s="1442"/>
      <c r="AG187" s="1442"/>
      <c r="AH187" s="1442"/>
      <c r="AI187" s="1491" t="s">
        <v>1128</v>
      </c>
      <c r="AJ187" s="1491"/>
      <c r="AK187" s="1442">
        <v>700</v>
      </c>
      <c r="AL187" s="1442"/>
      <c r="AM187" s="1442"/>
      <c r="AN187" s="1442"/>
      <c r="AO187" s="1442"/>
      <c r="AP187" s="1442"/>
      <c r="AQ187" s="1503" t="s">
        <v>1105</v>
      </c>
      <c r="AR187" s="1503"/>
      <c r="AS187" s="1491" t="s">
        <v>446</v>
      </c>
      <c r="AT187" s="1491"/>
      <c r="AU187" s="1504">
        <v>1.1000000000000001</v>
      </c>
      <c r="AV187" s="1504"/>
      <c r="AW187" s="1504"/>
      <c r="AX187" s="1504"/>
      <c r="AY187" s="1504"/>
      <c r="AZ187" s="1491" t="s">
        <v>1128</v>
      </c>
      <c r="BA187" s="1491"/>
      <c r="BB187" s="1491">
        <v>485</v>
      </c>
      <c r="BC187" s="1491"/>
      <c r="BD187" s="1491"/>
      <c r="BE187" s="1491"/>
      <c r="BF187" s="1491"/>
      <c r="BG187" s="1491" t="s">
        <v>1096</v>
      </c>
      <c r="BH187" s="1491"/>
      <c r="BI187" s="1491" t="s">
        <v>446</v>
      </c>
      <c r="BJ187" s="1491"/>
      <c r="BK187" s="591" t="s">
        <v>1104</v>
      </c>
      <c r="BL187" s="585"/>
      <c r="BM187" s="585"/>
      <c r="BN187" s="585"/>
      <c r="BO187" s="585"/>
      <c r="BP187" s="1491" t="s">
        <v>41</v>
      </c>
      <c r="BQ187" s="1491"/>
      <c r="BR187" s="585"/>
      <c r="BS187" s="585"/>
      <c r="BT187" s="1437">
        <f>INT(H187*((AC187+AK187)*AU187+BB187)*10^-7)</f>
        <v>18858</v>
      </c>
      <c r="BU187" s="1437"/>
      <c r="BV187" s="1437"/>
      <c r="BW187" s="1437"/>
      <c r="BX187" s="1437"/>
      <c r="BY187" s="1437"/>
      <c r="BZ187" s="1437"/>
      <c r="CA187" s="1437"/>
      <c r="CB187" s="1437"/>
      <c r="CC187" s="1437"/>
      <c r="CD187" s="585"/>
      <c r="CE187" s="585"/>
      <c r="CF187" s="586"/>
    </row>
    <row r="188" spans="1:84" s="583" customFormat="1" ht="23.1" customHeight="1">
      <c r="A188" s="592"/>
      <c r="B188" s="593" t="s">
        <v>1106</v>
      </c>
      <c r="C188" s="593"/>
      <c r="D188" s="593"/>
      <c r="E188" s="593"/>
      <c r="F188" s="593"/>
      <c r="G188" s="593"/>
      <c r="H188" s="593"/>
      <c r="I188" s="593"/>
      <c r="J188" s="593"/>
      <c r="K188" s="593"/>
      <c r="L188" s="593"/>
      <c r="M188" s="593"/>
      <c r="N188" s="593"/>
      <c r="O188" s="593"/>
      <c r="P188" s="593"/>
      <c r="Q188" s="593"/>
      <c r="R188" s="593"/>
      <c r="S188" s="593"/>
      <c r="T188" s="593"/>
      <c r="U188" s="593"/>
      <c r="V188" s="593"/>
      <c r="W188" s="593"/>
      <c r="X188" s="593"/>
      <c r="Y188" s="593"/>
      <c r="Z188" s="593"/>
      <c r="AA188" s="593"/>
      <c r="AB188" s="593"/>
      <c r="AC188" s="593"/>
      <c r="AD188" s="593"/>
      <c r="AE188" s="593"/>
      <c r="AF188" s="593"/>
      <c r="AG188" s="593"/>
      <c r="AH188" s="593"/>
      <c r="AI188" s="593"/>
      <c r="AJ188" s="593"/>
      <c r="AK188" s="593"/>
      <c r="AL188" s="593"/>
      <c r="AM188" s="593"/>
      <c r="AN188" s="593"/>
      <c r="AO188" s="593"/>
      <c r="AP188" s="593"/>
      <c r="AQ188" s="593"/>
      <c r="AR188" s="593"/>
      <c r="AS188" s="593"/>
      <c r="AT188" s="593"/>
      <c r="AU188" s="593"/>
      <c r="AV188" s="593"/>
      <c r="AW188" s="593"/>
      <c r="AX188" s="593"/>
      <c r="AY188" s="593"/>
      <c r="AZ188" s="593"/>
      <c r="BA188" s="593"/>
      <c r="BB188" s="593"/>
      <c r="BC188" s="593"/>
      <c r="BD188" s="593"/>
      <c r="BE188" s="593"/>
      <c r="BF188" s="593"/>
      <c r="BG188" s="593"/>
      <c r="BH188" s="593"/>
      <c r="BI188" s="593"/>
      <c r="BJ188" s="593"/>
      <c r="BK188" s="593"/>
      <c r="BL188" s="593"/>
      <c r="BM188" s="593"/>
      <c r="BN188" s="593"/>
      <c r="BO188" s="593"/>
      <c r="BP188" s="593"/>
      <c r="BQ188" s="593"/>
      <c r="BR188" s="593"/>
      <c r="BS188" s="593"/>
      <c r="BT188" s="594"/>
      <c r="BU188" s="594"/>
      <c r="BV188" s="594"/>
      <c r="BW188" s="594"/>
      <c r="BX188" s="594"/>
      <c r="BY188" s="594"/>
      <c r="BZ188" s="594"/>
      <c r="CA188" s="594"/>
      <c r="CB188" s="594"/>
      <c r="CC188" s="594"/>
      <c r="CD188" s="593"/>
      <c r="CE188" s="593"/>
      <c r="CF188" s="595"/>
    </row>
    <row r="189" spans="1:84" s="583" customFormat="1" ht="23.1" customHeight="1">
      <c r="A189" s="584"/>
      <c r="B189" s="585"/>
      <c r="C189" s="585"/>
      <c r="D189" s="596" t="s">
        <v>268</v>
      </c>
      <c r="E189" s="585"/>
      <c r="F189" s="585"/>
      <c r="G189" s="585"/>
      <c r="H189" s="585"/>
      <c r="I189" s="585"/>
      <c r="J189" s="585"/>
      <c r="K189" s="585"/>
      <c r="L189" s="585"/>
      <c r="M189" s="585"/>
      <c r="N189" s="585"/>
      <c r="O189" s="585"/>
      <c r="P189" s="585"/>
      <c r="Q189" s="585"/>
      <c r="R189" s="585"/>
      <c r="S189" s="585"/>
      <c r="T189" s="574"/>
      <c r="U189" s="574"/>
      <c r="V189" s="1435">
        <f>HLOOKUP(D189,$CJ$1:$CM$3,3,0)</f>
        <v>283297</v>
      </c>
      <c r="W189" s="1435"/>
      <c r="X189" s="1435"/>
      <c r="Y189" s="1435"/>
      <c r="Z189" s="1435"/>
      <c r="AA189" s="1435"/>
      <c r="AB189" s="1435"/>
      <c r="AC189" s="1435"/>
      <c r="AD189" s="1435"/>
      <c r="AE189" s="1435"/>
      <c r="AF189" s="1431" t="s">
        <v>446</v>
      </c>
      <c r="AG189" s="1431"/>
      <c r="AH189" s="574"/>
      <c r="AI189" s="1436" t="s">
        <v>1107</v>
      </c>
      <c r="AJ189" s="1436"/>
      <c r="AK189" s="1436"/>
      <c r="AL189" s="1436"/>
      <c r="AM189" s="585"/>
      <c r="AN189" s="1431" t="s">
        <v>446</v>
      </c>
      <c r="AO189" s="1431"/>
      <c r="AP189" s="585"/>
      <c r="AQ189" s="1436" t="s">
        <v>1108</v>
      </c>
      <c r="AR189" s="1436"/>
      <c r="AS189" s="1436"/>
      <c r="AT189" s="1436"/>
      <c r="AU189" s="1436"/>
      <c r="AV189" s="422"/>
      <c r="AW189" s="1431" t="s">
        <v>446</v>
      </c>
      <c r="AX189" s="1431"/>
      <c r="AY189" s="440"/>
      <c r="AZ189" s="1436" t="s">
        <v>1109</v>
      </c>
      <c r="BA189" s="1436"/>
      <c r="BB189" s="1436"/>
      <c r="BC189" s="1436"/>
      <c r="BD189" s="1436"/>
      <c r="BE189" s="585"/>
      <c r="BF189" s="1431" t="s">
        <v>446</v>
      </c>
      <c r="BG189" s="1431"/>
      <c r="BH189" s="1431">
        <v>1</v>
      </c>
      <c r="BI189" s="1431"/>
      <c r="BJ189" s="1431"/>
      <c r="BK189" s="585"/>
      <c r="BL189" s="585" t="s">
        <v>366</v>
      </c>
      <c r="BM189" s="585"/>
      <c r="BN189" s="585"/>
      <c r="BO189" s="585"/>
      <c r="BP189" s="1431" t="s">
        <v>41</v>
      </c>
      <c r="BQ189" s="1431"/>
      <c r="BR189" s="585"/>
      <c r="BS189" s="585"/>
      <c r="BT189" s="1432">
        <f>INT(V189/8*16/12*25/20*BH189)</f>
        <v>59020</v>
      </c>
      <c r="BU189" s="1432"/>
      <c r="BV189" s="1432"/>
      <c r="BW189" s="1432"/>
      <c r="BX189" s="1432"/>
      <c r="BY189" s="1432"/>
      <c r="BZ189" s="1432"/>
      <c r="CA189" s="1432"/>
      <c r="CB189" s="1432"/>
      <c r="CC189" s="1432"/>
      <c r="CD189" s="585"/>
      <c r="CE189" s="585"/>
      <c r="CF189" s="586"/>
    </row>
    <row r="190" spans="1:84" s="583" customFormat="1" ht="23.1" customHeight="1">
      <c r="A190" s="584"/>
      <c r="B190" s="585"/>
      <c r="C190" s="585"/>
      <c r="D190" s="585"/>
      <c r="E190" s="585"/>
      <c r="F190" s="585"/>
      <c r="G190" s="585"/>
      <c r="H190" s="585"/>
      <c r="I190" s="585"/>
      <c r="J190" s="585"/>
      <c r="K190" s="585"/>
      <c r="L190" s="585"/>
      <c r="M190" s="585"/>
      <c r="N190" s="585"/>
      <c r="O190" s="585"/>
      <c r="P190" s="574"/>
      <c r="Q190" s="574"/>
      <c r="R190" s="574"/>
      <c r="S190" s="574"/>
      <c r="T190" s="574"/>
      <c r="U190" s="574"/>
      <c r="V190" s="574"/>
      <c r="W190" s="574"/>
      <c r="X190" s="574"/>
      <c r="Y190" s="574"/>
      <c r="Z190" s="574"/>
      <c r="AA190" s="574"/>
      <c r="AB190" s="574"/>
      <c r="AC190" s="574"/>
      <c r="AD190" s="574"/>
      <c r="AE190" s="574"/>
      <c r="AF190" s="574"/>
      <c r="AG190" s="574"/>
      <c r="AH190" s="574"/>
      <c r="AI190" s="574"/>
      <c r="AJ190" s="574"/>
      <c r="AK190" s="574"/>
      <c r="AL190" s="574"/>
      <c r="AM190" s="574"/>
      <c r="AN190" s="574"/>
      <c r="AO190" s="574"/>
      <c r="AP190" s="574"/>
      <c r="AQ190" s="574"/>
      <c r="AR190" s="574"/>
      <c r="AS190" s="574"/>
      <c r="AT190" s="574"/>
      <c r="AU190" s="574"/>
      <c r="AV190" s="574"/>
      <c r="AW190" s="574"/>
      <c r="AX190" s="574"/>
      <c r="AY190" s="574"/>
      <c r="AZ190" s="574"/>
      <c r="BA190" s="574"/>
      <c r="BB190" s="574"/>
      <c r="BC190" s="574"/>
      <c r="BD190" s="574"/>
      <c r="BE190" s="574"/>
      <c r="BF190" s="574"/>
      <c r="BG190" s="585"/>
      <c r="BH190" s="585"/>
      <c r="BI190" s="585"/>
      <c r="BJ190" s="585"/>
      <c r="BK190" s="585"/>
      <c r="BL190" s="585"/>
      <c r="BM190" s="585"/>
      <c r="BN190" s="585"/>
      <c r="BO190" s="585"/>
      <c r="BP190" s="1431"/>
      <c r="BQ190" s="1431"/>
      <c r="BR190" s="585"/>
      <c r="BS190" s="585"/>
      <c r="BT190" s="1487"/>
      <c r="BU190" s="1487"/>
      <c r="BV190" s="1487"/>
      <c r="BW190" s="1487"/>
      <c r="BX190" s="1487"/>
      <c r="BY190" s="1487"/>
      <c r="BZ190" s="1487"/>
      <c r="CA190" s="1487"/>
      <c r="CB190" s="1487"/>
      <c r="CC190" s="1487"/>
      <c r="CD190" s="585"/>
      <c r="CE190" s="585"/>
      <c r="CF190" s="586"/>
    </row>
    <row r="191" spans="1:84" s="583" customFormat="1" ht="23.1" customHeight="1">
      <c r="A191" s="584"/>
      <c r="B191" s="585"/>
      <c r="C191" s="585"/>
      <c r="D191" s="585"/>
      <c r="E191" s="585"/>
      <c r="F191" s="585"/>
      <c r="G191" s="585"/>
      <c r="H191" s="585"/>
      <c r="I191" s="585"/>
      <c r="J191" s="585"/>
      <c r="K191" s="585"/>
      <c r="L191" s="585"/>
      <c r="M191" s="585"/>
      <c r="N191" s="585"/>
      <c r="O191" s="585"/>
      <c r="P191" s="585"/>
      <c r="Q191" s="585"/>
      <c r="R191" s="585"/>
      <c r="S191" s="585"/>
      <c r="T191" s="585"/>
      <c r="U191" s="585"/>
      <c r="V191" s="585"/>
      <c r="W191" s="585"/>
      <c r="X191" s="585"/>
      <c r="Y191" s="585"/>
      <c r="Z191" s="585"/>
      <c r="AA191" s="585"/>
      <c r="AB191" s="585"/>
      <c r="AC191" s="585"/>
      <c r="AD191" s="574"/>
      <c r="AE191" s="574"/>
      <c r="AF191" s="574"/>
      <c r="AG191" s="574"/>
      <c r="AH191" s="574"/>
      <c r="AI191" s="574"/>
      <c r="AJ191" s="574"/>
      <c r="AK191" s="574"/>
      <c r="AL191" s="574"/>
      <c r="AM191" s="574"/>
      <c r="AN191" s="574"/>
      <c r="AO191" s="574"/>
      <c r="AP191" s="574"/>
      <c r="AQ191" s="574"/>
      <c r="AR191" s="574"/>
      <c r="AS191" s="585"/>
      <c r="AT191" s="590"/>
      <c r="AU191" s="590"/>
      <c r="AV191" s="585"/>
      <c r="AW191" s="585"/>
      <c r="AX191" s="585"/>
      <c r="AY191" s="585"/>
      <c r="AZ191" s="585"/>
      <c r="BA191" s="585"/>
      <c r="BB191" s="585"/>
      <c r="BC191" s="585"/>
      <c r="BD191" s="585"/>
      <c r="BE191" s="585"/>
      <c r="BF191" s="585"/>
      <c r="BG191" s="585"/>
      <c r="BH191" s="585"/>
      <c r="BI191" s="585"/>
      <c r="BJ191" s="585"/>
      <c r="BK191" s="585"/>
      <c r="BL191" s="585"/>
      <c r="BM191" s="585"/>
      <c r="BN191" s="585"/>
      <c r="BO191" s="585"/>
      <c r="BP191" s="1491" t="s">
        <v>41</v>
      </c>
      <c r="BQ191" s="1491"/>
      <c r="BR191" s="585"/>
      <c r="BS191" s="585"/>
      <c r="BT191" s="1434">
        <f>BT189+BT190</f>
        <v>59020</v>
      </c>
      <c r="BU191" s="1434"/>
      <c r="BV191" s="1434"/>
      <c r="BW191" s="1434"/>
      <c r="BX191" s="1434"/>
      <c r="BY191" s="1434"/>
      <c r="BZ191" s="1434"/>
      <c r="CA191" s="1434"/>
      <c r="CB191" s="1434"/>
      <c r="CC191" s="1434"/>
      <c r="CD191" s="585"/>
      <c r="CE191" s="585"/>
      <c r="CF191" s="586"/>
    </row>
    <row r="192" spans="1:84" s="583" customFormat="1" ht="23.1" customHeight="1">
      <c r="A192" s="592"/>
      <c r="B192" s="593" t="s">
        <v>1110</v>
      </c>
      <c r="C192" s="593"/>
      <c r="D192" s="593"/>
      <c r="E192" s="593"/>
      <c r="F192" s="593"/>
      <c r="G192" s="593"/>
      <c r="H192" s="593"/>
      <c r="I192" s="593"/>
      <c r="J192" s="593"/>
      <c r="K192" s="593"/>
      <c r="L192" s="593"/>
      <c r="M192" s="593"/>
      <c r="N192" s="593"/>
      <c r="O192" s="593"/>
      <c r="P192" s="593"/>
      <c r="Q192" s="593"/>
      <c r="R192" s="593"/>
      <c r="S192" s="593"/>
      <c r="T192" s="593"/>
      <c r="U192" s="593"/>
      <c r="V192" s="593"/>
      <c r="W192" s="593"/>
      <c r="X192" s="593"/>
      <c r="Y192" s="593"/>
      <c r="Z192" s="593"/>
      <c r="AA192" s="593"/>
      <c r="AB192" s="593"/>
      <c r="AC192" s="593"/>
      <c r="AD192" s="593"/>
      <c r="AE192" s="593"/>
      <c r="AF192" s="593"/>
      <c r="AG192" s="593"/>
      <c r="AH192" s="593"/>
      <c r="AI192" s="593"/>
      <c r="AJ192" s="593"/>
      <c r="AK192" s="593"/>
      <c r="AL192" s="593"/>
      <c r="AM192" s="593"/>
      <c r="AN192" s="593"/>
      <c r="AO192" s="593"/>
      <c r="AP192" s="593"/>
      <c r="AQ192" s="593"/>
      <c r="AR192" s="593"/>
      <c r="AS192" s="593"/>
      <c r="AT192" s="593"/>
      <c r="AU192" s="593"/>
      <c r="AV192" s="593"/>
      <c r="AW192" s="593"/>
      <c r="AX192" s="593"/>
      <c r="AY192" s="593"/>
      <c r="AZ192" s="593"/>
      <c r="BA192" s="593"/>
      <c r="BB192" s="593"/>
      <c r="BC192" s="593"/>
      <c r="BD192" s="593"/>
      <c r="BE192" s="593"/>
      <c r="BF192" s="593"/>
      <c r="BG192" s="593"/>
      <c r="BH192" s="593"/>
      <c r="BI192" s="593"/>
      <c r="BJ192" s="593"/>
      <c r="BK192" s="593"/>
      <c r="BL192" s="593"/>
      <c r="BM192" s="593"/>
      <c r="BN192" s="593"/>
      <c r="BO192" s="593"/>
      <c r="BP192" s="593"/>
      <c r="BQ192" s="593"/>
      <c r="BR192" s="593"/>
      <c r="BS192" s="593"/>
      <c r="BT192" s="593"/>
      <c r="BU192" s="593"/>
      <c r="BV192" s="593"/>
      <c r="BW192" s="593"/>
      <c r="BX192" s="593"/>
      <c r="BY192" s="593"/>
      <c r="BZ192" s="593"/>
      <c r="CA192" s="593"/>
      <c r="CB192" s="593"/>
      <c r="CC192" s="593"/>
      <c r="CD192" s="593"/>
      <c r="CE192" s="593"/>
      <c r="CF192" s="595"/>
    </row>
    <row r="193" spans="1:84" s="583" customFormat="1" ht="23.1" customHeight="1">
      <c r="A193" s="584"/>
      <c r="B193" s="585"/>
      <c r="C193" s="585"/>
      <c r="D193" s="596" t="s">
        <v>1094</v>
      </c>
      <c r="E193" s="585"/>
      <c r="F193" s="585"/>
      <c r="G193" s="585"/>
      <c r="H193" s="585"/>
      <c r="I193" s="585"/>
      <c r="J193" s="585"/>
      <c r="K193" s="585"/>
      <c r="L193" s="585"/>
      <c r="M193" s="585"/>
      <c r="N193" s="585"/>
      <c r="O193" s="585"/>
      <c r="P193" s="585"/>
      <c r="Q193" s="585"/>
      <c r="R193" s="585"/>
      <c r="S193" s="585"/>
      <c r="T193" s="585"/>
      <c r="U193" s="585"/>
      <c r="V193" s="585"/>
      <c r="W193" s="585"/>
      <c r="X193" s="585"/>
      <c r="Y193" s="585"/>
      <c r="Z193" s="585"/>
      <c r="AA193" s="585"/>
      <c r="AB193" s="585"/>
      <c r="AC193" s="585"/>
      <c r="AD193" s="585"/>
      <c r="AE193" s="585"/>
      <c r="AF193" s="585"/>
      <c r="AG193" s="585"/>
      <c r="AH193" s="585"/>
      <c r="AI193" s="585"/>
      <c r="AJ193" s="585"/>
      <c r="AK193" s="585"/>
      <c r="AL193" s="585"/>
      <c r="AM193" s="585"/>
      <c r="AN193" s="585"/>
      <c r="AO193" s="585"/>
      <c r="AP193" s="585"/>
      <c r="AQ193" s="585"/>
      <c r="AR193" s="422"/>
      <c r="AS193" s="1435" t="e">
        <f>HLOOKUP(D193,$CN$1:$CO$3,3,0)</f>
        <v>#REF!</v>
      </c>
      <c r="AT193" s="1435"/>
      <c r="AU193" s="1435"/>
      <c r="AV193" s="1435"/>
      <c r="AW193" s="1435"/>
      <c r="AX193" s="1435"/>
      <c r="AY193" s="1435"/>
      <c r="AZ193" s="1435"/>
      <c r="BA193" s="1435"/>
      <c r="BB193" s="1435"/>
      <c r="BC193" s="585"/>
      <c r="BD193" s="1431" t="s">
        <v>446</v>
      </c>
      <c r="BE193" s="1431"/>
      <c r="BF193" s="585"/>
      <c r="BG193" s="1431">
        <v>9.9</v>
      </c>
      <c r="BH193" s="1431"/>
      <c r="BI193" s="1431"/>
      <c r="BJ193" s="1431"/>
      <c r="BK193" s="1431"/>
      <c r="BL193" s="585" t="s">
        <v>1111</v>
      </c>
      <c r="BM193" s="585"/>
      <c r="BN193" s="585"/>
      <c r="BO193" s="585"/>
      <c r="BP193" s="1431" t="s">
        <v>41</v>
      </c>
      <c r="BQ193" s="1431"/>
      <c r="BR193" s="585"/>
      <c r="BS193" s="585"/>
      <c r="BT193" s="1432" t="e">
        <f>INT(AS193*BG193)</f>
        <v>#REF!</v>
      </c>
      <c r="BU193" s="1432"/>
      <c r="BV193" s="1432"/>
      <c r="BW193" s="1432"/>
      <c r="BX193" s="1432"/>
      <c r="BY193" s="1432"/>
      <c r="BZ193" s="1432"/>
      <c r="CA193" s="1432"/>
      <c r="CB193" s="1432"/>
      <c r="CC193" s="1432"/>
      <c r="CD193" s="585"/>
      <c r="CE193" s="585"/>
      <c r="CF193" s="586"/>
    </row>
    <row r="194" spans="1:84" s="583" customFormat="1" ht="23.1" customHeight="1">
      <c r="A194" s="584"/>
      <c r="B194" s="585"/>
      <c r="C194" s="585"/>
      <c r="D194" s="591" t="str">
        <f>"잡재료 (주연료의 "&amp;BG194&amp;"%) :"</f>
        <v>잡재료 (주연료의 22%) :</v>
      </c>
      <c r="E194" s="585"/>
      <c r="F194" s="585"/>
      <c r="G194" s="585"/>
      <c r="H194" s="585"/>
      <c r="I194" s="585"/>
      <c r="J194" s="585"/>
      <c r="K194" s="585"/>
      <c r="L194" s="585"/>
      <c r="M194" s="585"/>
      <c r="N194" s="585"/>
      <c r="O194" s="585"/>
      <c r="P194" s="585"/>
      <c r="Q194" s="585"/>
      <c r="R194" s="585"/>
      <c r="S194" s="585"/>
      <c r="T194" s="585"/>
      <c r="U194" s="585"/>
      <c r="V194" s="585"/>
      <c r="W194" s="585"/>
      <c r="X194" s="585"/>
      <c r="Y194" s="585"/>
      <c r="Z194" s="585"/>
      <c r="AA194" s="585"/>
      <c r="AB194" s="585"/>
      <c r="AC194" s="585"/>
      <c r="AD194" s="585"/>
      <c r="AE194" s="585"/>
      <c r="AF194" s="585"/>
      <c r="AG194" s="585"/>
      <c r="AH194" s="585"/>
      <c r="AI194" s="585"/>
      <c r="AJ194" s="585"/>
      <c r="AK194" s="585"/>
      <c r="AL194" s="585"/>
      <c r="AM194" s="585"/>
      <c r="AN194" s="585"/>
      <c r="AO194" s="585"/>
      <c r="AP194" s="585"/>
      <c r="AQ194" s="585"/>
      <c r="AR194" s="422" t="e">
        <f>BT193</f>
        <v>#REF!</v>
      </c>
      <c r="AS194" s="1430" t="e">
        <f>BT193</f>
        <v>#REF!</v>
      </c>
      <c r="AT194" s="1430"/>
      <c r="AU194" s="1430"/>
      <c r="AV194" s="1430"/>
      <c r="AW194" s="1430"/>
      <c r="AX194" s="1430"/>
      <c r="AY194" s="1430"/>
      <c r="AZ194" s="1430"/>
      <c r="BA194" s="1430"/>
      <c r="BB194" s="1430"/>
      <c r="BC194" s="585"/>
      <c r="BD194" s="1431" t="s">
        <v>446</v>
      </c>
      <c r="BE194" s="1431"/>
      <c r="BF194" s="585"/>
      <c r="BG194" s="1431">
        <v>22</v>
      </c>
      <c r="BH194" s="1431"/>
      <c r="BI194" s="1431"/>
      <c r="BJ194" s="1431"/>
      <c r="BK194" s="1431"/>
      <c r="BL194" s="585" t="s">
        <v>1112</v>
      </c>
      <c r="BM194" s="585"/>
      <c r="BN194" s="585"/>
      <c r="BO194" s="585"/>
      <c r="BP194" s="1431" t="s">
        <v>41</v>
      </c>
      <c r="BQ194" s="1431"/>
      <c r="BR194" s="585"/>
      <c r="BS194" s="585"/>
      <c r="BT194" s="1487" t="e">
        <f>INT(AS194*BG194/100)</f>
        <v>#REF!</v>
      </c>
      <c r="BU194" s="1487"/>
      <c r="BV194" s="1487"/>
      <c r="BW194" s="1487"/>
      <c r="BX194" s="1487"/>
      <c r="BY194" s="1487"/>
      <c r="BZ194" s="1487"/>
      <c r="CA194" s="1487"/>
      <c r="CB194" s="1487"/>
      <c r="CC194" s="1487"/>
      <c r="CD194" s="585"/>
      <c r="CE194" s="585"/>
      <c r="CF194" s="586"/>
    </row>
    <row r="195" spans="1:84" s="583" customFormat="1" ht="23.1" customHeight="1" thickBot="1">
      <c r="A195" s="584"/>
      <c r="B195" s="585"/>
      <c r="C195" s="585"/>
      <c r="D195" s="585"/>
      <c r="E195" s="585"/>
      <c r="F195" s="585"/>
      <c r="G195" s="585"/>
      <c r="H195" s="585"/>
      <c r="I195" s="585"/>
      <c r="J195" s="585"/>
      <c r="K195" s="585"/>
      <c r="L195" s="585"/>
      <c r="M195" s="585"/>
      <c r="N195" s="585"/>
      <c r="O195" s="585"/>
      <c r="P195" s="585"/>
      <c r="Q195" s="585"/>
      <c r="R195" s="585"/>
      <c r="S195" s="585"/>
      <c r="T195" s="585"/>
      <c r="U195" s="585"/>
      <c r="V195" s="585"/>
      <c r="W195" s="585"/>
      <c r="X195" s="585"/>
      <c r="Y195" s="585"/>
      <c r="Z195" s="585"/>
      <c r="AA195" s="585"/>
      <c r="AB195" s="585"/>
      <c r="AC195" s="585"/>
      <c r="AD195" s="585"/>
      <c r="AE195" s="585"/>
      <c r="AF195" s="585"/>
      <c r="AG195" s="585"/>
      <c r="AH195" s="585"/>
      <c r="AI195" s="585"/>
      <c r="AJ195" s="585"/>
      <c r="AK195" s="585"/>
      <c r="AL195" s="585"/>
      <c r="AM195" s="585"/>
      <c r="AN195" s="585"/>
      <c r="AO195" s="585"/>
      <c r="AP195" s="585"/>
      <c r="AQ195" s="585"/>
      <c r="AR195" s="585"/>
      <c r="AS195" s="585"/>
      <c r="AT195" s="585"/>
      <c r="AU195" s="585"/>
      <c r="AV195" s="585"/>
      <c r="AW195" s="585"/>
      <c r="AX195" s="585"/>
      <c r="AY195" s="585"/>
      <c r="AZ195" s="585"/>
      <c r="BA195" s="585"/>
      <c r="BB195" s="585"/>
      <c r="BC195" s="585"/>
      <c r="BD195" s="585"/>
      <c r="BE195" s="585"/>
      <c r="BF195" s="585"/>
      <c r="BG195" s="585"/>
      <c r="BH195" s="585"/>
      <c r="BI195" s="585"/>
      <c r="BJ195" s="585"/>
      <c r="BK195" s="585"/>
      <c r="BL195" s="585"/>
      <c r="BM195" s="585"/>
      <c r="BN195" s="585"/>
      <c r="BO195" s="585"/>
      <c r="BP195" s="1488" t="s">
        <v>41</v>
      </c>
      <c r="BQ195" s="1488"/>
      <c r="BR195" s="585"/>
      <c r="BS195" s="585"/>
      <c r="BT195" s="1489" t="e">
        <f>BT193+BT194</f>
        <v>#REF!</v>
      </c>
      <c r="BU195" s="1489"/>
      <c r="BV195" s="1489"/>
      <c r="BW195" s="1489"/>
      <c r="BX195" s="1489"/>
      <c r="BY195" s="1489"/>
      <c r="BZ195" s="1489"/>
      <c r="CA195" s="1489"/>
      <c r="CB195" s="1489"/>
      <c r="CC195" s="1489"/>
      <c r="CD195" s="585"/>
      <c r="CE195" s="585"/>
      <c r="CF195" s="586"/>
    </row>
    <row r="196" spans="1:84" s="583" customFormat="1" ht="23.1" customHeight="1" thickBot="1">
      <c r="A196" s="597"/>
      <c r="B196" s="598" t="s">
        <v>1113</v>
      </c>
      <c r="C196" s="598"/>
      <c r="D196" s="598"/>
      <c r="E196" s="598"/>
      <c r="F196" s="598"/>
      <c r="G196" s="598"/>
      <c r="H196" s="598"/>
      <c r="I196" s="598"/>
      <c r="J196" s="598"/>
      <c r="K196" s="598"/>
      <c r="L196" s="598"/>
      <c r="M196" s="598"/>
      <c r="N196" s="598"/>
      <c r="O196" s="598"/>
      <c r="P196" s="598"/>
      <c r="Q196" s="598"/>
      <c r="R196" s="598"/>
      <c r="S196" s="598"/>
      <c r="T196" s="598"/>
      <c r="U196" s="598"/>
      <c r="V196" s="598"/>
      <c r="W196" s="598"/>
      <c r="X196" s="598"/>
      <c r="Y196" s="598"/>
      <c r="Z196" s="598"/>
      <c r="AA196" s="598"/>
      <c r="AB196" s="598"/>
      <c r="AC196" s="598"/>
      <c r="AD196" s="598"/>
      <c r="AE196" s="598"/>
      <c r="AF196" s="598"/>
      <c r="AG196" s="598"/>
      <c r="AH196" s="598"/>
      <c r="AI196" s="598"/>
      <c r="AJ196" s="598"/>
      <c r="AK196" s="598"/>
      <c r="AL196" s="598"/>
      <c r="AM196" s="598"/>
      <c r="AN196" s="598"/>
      <c r="AO196" s="598"/>
      <c r="AP196" s="598"/>
      <c r="AQ196" s="598"/>
      <c r="AR196" s="598"/>
      <c r="AS196" s="598"/>
      <c r="AT196" s="598"/>
      <c r="AU196" s="598"/>
      <c r="AV196" s="598"/>
      <c r="AW196" s="598"/>
      <c r="AX196" s="598"/>
      <c r="AY196" s="598"/>
      <c r="AZ196" s="598"/>
      <c r="BA196" s="598"/>
      <c r="BB196" s="598"/>
      <c r="BC196" s="598"/>
      <c r="BD196" s="598"/>
      <c r="BE196" s="598"/>
      <c r="BF196" s="598"/>
      <c r="BG196" s="598"/>
      <c r="BH196" s="598"/>
      <c r="BI196" s="598"/>
      <c r="BJ196" s="598"/>
      <c r="BK196" s="598"/>
      <c r="BL196" s="598"/>
      <c r="BM196" s="598"/>
      <c r="BN196" s="598"/>
      <c r="BO196" s="598"/>
      <c r="BP196" s="598"/>
      <c r="BQ196" s="598"/>
      <c r="BR196" s="598"/>
      <c r="BS196" s="598"/>
      <c r="BT196" s="1429" t="e">
        <f>BT187+BT191+BT195</f>
        <v>#REF!</v>
      </c>
      <c r="BU196" s="1429"/>
      <c r="BV196" s="1429"/>
      <c r="BW196" s="1429"/>
      <c r="BX196" s="1429"/>
      <c r="BY196" s="1429"/>
      <c r="BZ196" s="1429"/>
      <c r="CA196" s="1429"/>
      <c r="CB196" s="1429"/>
      <c r="CC196" s="1429"/>
      <c r="CD196" s="598"/>
      <c r="CE196" s="598"/>
      <c r="CF196" s="599"/>
    </row>
    <row r="197" spans="1:84" s="583" customFormat="1" ht="9.9499999999999993" customHeight="1">
      <c r="A197" s="574"/>
      <c r="B197" s="574"/>
      <c r="C197" s="574"/>
      <c r="D197" s="574"/>
      <c r="E197" s="574"/>
      <c r="F197" s="574"/>
      <c r="G197" s="574"/>
      <c r="H197" s="574"/>
      <c r="I197" s="574"/>
      <c r="J197" s="574"/>
      <c r="K197" s="574"/>
      <c r="L197" s="574"/>
      <c r="M197" s="574"/>
      <c r="N197" s="574"/>
      <c r="O197" s="574"/>
      <c r="P197" s="574"/>
      <c r="Q197" s="574"/>
      <c r="R197" s="574"/>
      <c r="S197" s="574"/>
      <c r="T197" s="574"/>
      <c r="U197" s="574"/>
      <c r="V197" s="574"/>
      <c r="W197" s="574"/>
      <c r="X197" s="574"/>
      <c r="Y197" s="574"/>
      <c r="Z197" s="574"/>
      <c r="AA197" s="574"/>
      <c r="AB197" s="574"/>
      <c r="AC197" s="574"/>
      <c r="AD197" s="574"/>
      <c r="AE197" s="574"/>
      <c r="AF197" s="574"/>
      <c r="AG197" s="574"/>
      <c r="AH197" s="574"/>
      <c r="AI197" s="574"/>
      <c r="AJ197" s="574"/>
      <c r="AK197" s="574"/>
      <c r="AL197" s="574"/>
      <c r="AM197" s="574"/>
      <c r="AN197" s="574"/>
      <c r="AO197" s="574"/>
      <c r="AP197" s="574"/>
      <c r="AQ197" s="574"/>
      <c r="AR197" s="574"/>
      <c r="AS197" s="574"/>
      <c r="AT197" s="574"/>
      <c r="AU197" s="574"/>
      <c r="AV197" s="574"/>
      <c r="AW197" s="574"/>
      <c r="AX197" s="574"/>
      <c r="AY197" s="574"/>
      <c r="AZ197" s="574"/>
      <c r="BA197" s="574"/>
      <c r="BB197" s="574"/>
      <c r="BC197" s="574"/>
      <c r="BD197" s="574"/>
      <c r="BE197" s="574"/>
      <c r="BF197" s="574"/>
      <c r="BG197" s="574"/>
      <c r="BH197" s="574"/>
      <c r="BI197" s="574"/>
      <c r="BJ197" s="574"/>
      <c r="BK197" s="574"/>
      <c r="BL197" s="574"/>
      <c r="BM197" s="574"/>
      <c r="BN197" s="574"/>
      <c r="BO197" s="574"/>
      <c r="BP197" s="574"/>
      <c r="BQ197" s="574"/>
      <c r="BR197" s="574"/>
      <c r="BS197" s="574"/>
      <c r="BT197" s="574"/>
      <c r="BU197" s="574"/>
      <c r="BV197" s="574"/>
      <c r="BW197" s="574"/>
      <c r="BX197" s="574"/>
      <c r="BY197" s="574"/>
      <c r="BZ197" s="574"/>
      <c r="CA197" s="574"/>
      <c r="CB197" s="574"/>
      <c r="CC197" s="574"/>
      <c r="CD197" s="574"/>
      <c r="CE197" s="574"/>
      <c r="CF197" s="574"/>
    </row>
    <row r="198" spans="1:84" s="583" customFormat="1" ht="23.1" customHeight="1" thickBot="1">
      <c r="A198" s="1446" t="s">
        <v>1095</v>
      </c>
      <c r="B198" s="1446"/>
      <c r="C198" s="1446"/>
      <c r="D198" s="1446"/>
      <c r="E198" s="1446"/>
      <c r="F198" s="1446"/>
      <c r="G198" s="1447">
        <f>G183+1</f>
        <v>14</v>
      </c>
      <c r="H198" s="1447"/>
      <c r="I198" s="1447"/>
      <c r="J198" s="1448" t="s">
        <v>1096</v>
      </c>
      <c r="K198" s="1448"/>
      <c r="L198" s="574"/>
      <c r="M198" s="574"/>
      <c r="N198" s="574"/>
      <c r="O198" s="574"/>
      <c r="P198" s="574"/>
      <c r="Q198" s="574"/>
      <c r="R198" s="574"/>
      <c r="S198" s="574"/>
      <c r="T198" s="574"/>
      <c r="U198" s="574"/>
      <c r="V198" s="574"/>
      <c r="W198" s="574"/>
      <c r="X198" s="574"/>
      <c r="Y198" s="574"/>
      <c r="Z198" s="574"/>
      <c r="AA198" s="574"/>
      <c r="AB198" s="574"/>
      <c r="AC198" s="574"/>
      <c r="AD198" s="574"/>
      <c r="AE198" s="574"/>
      <c r="AF198" s="574"/>
      <c r="AG198" s="574"/>
      <c r="AH198" s="574"/>
      <c r="AI198" s="574"/>
      <c r="AJ198" s="574"/>
      <c r="AK198" s="574"/>
      <c r="AL198" s="574"/>
      <c r="AM198" s="574"/>
      <c r="AN198" s="574"/>
      <c r="AO198" s="574"/>
      <c r="AP198" s="574"/>
      <c r="AQ198" s="574"/>
      <c r="AR198" s="574"/>
      <c r="AS198" s="574"/>
      <c r="AT198" s="574"/>
      <c r="AU198" s="574"/>
      <c r="AV198" s="574"/>
      <c r="AW198" s="574"/>
      <c r="AX198" s="574"/>
      <c r="AY198" s="574"/>
      <c r="AZ198" s="574"/>
      <c r="BA198" s="574"/>
      <c r="BB198" s="574"/>
      <c r="BC198" s="574"/>
      <c r="BD198" s="574"/>
      <c r="BE198" s="574"/>
      <c r="BF198" s="574"/>
      <c r="BG198" s="574"/>
      <c r="BH198" s="574"/>
      <c r="BI198" s="574"/>
      <c r="BJ198" s="574"/>
      <c r="BK198" s="574"/>
      <c r="BL198" s="574"/>
      <c r="BM198" s="574"/>
      <c r="BN198" s="574"/>
      <c r="BO198" s="574"/>
      <c r="BP198" s="574"/>
      <c r="BQ198" s="574"/>
      <c r="BR198" s="574"/>
      <c r="BS198" s="574"/>
      <c r="BT198" s="574"/>
      <c r="BU198" s="574"/>
      <c r="BV198" s="574"/>
      <c r="BW198" s="574"/>
      <c r="BX198" s="574"/>
      <c r="BY198" s="574"/>
      <c r="BZ198" s="574"/>
      <c r="CA198" s="574"/>
      <c r="CB198" s="574"/>
      <c r="CC198" s="574"/>
      <c r="CD198" s="574"/>
      <c r="CE198" s="574"/>
      <c r="CF198" s="574"/>
    </row>
    <row r="199" spans="1:84" s="583" customFormat="1" ht="23.1" customHeight="1" thickBot="1">
      <c r="A199" s="1483" t="s">
        <v>1097</v>
      </c>
      <c r="B199" s="1484"/>
      <c r="C199" s="1484"/>
      <c r="D199" s="1484"/>
      <c r="E199" s="1484"/>
      <c r="F199" s="1484"/>
      <c r="G199" s="1484"/>
      <c r="H199" s="1484"/>
      <c r="I199" s="581" t="s">
        <v>1126</v>
      </c>
      <c r="J199" s="581"/>
      <c r="K199" s="581"/>
      <c r="L199" s="581"/>
      <c r="M199" s="581"/>
      <c r="N199" s="581"/>
      <c r="O199" s="581"/>
      <c r="P199" s="581"/>
      <c r="Q199" s="581"/>
      <c r="R199" s="581"/>
      <c r="S199" s="581"/>
      <c r="T199" s="581"/>
      <c r="U199" s="581"/>
      <c r="V199" s="581"/>
      <c r="W199" s="581"/>
      <c r="X199" s="581"/>
      <c r="Y199" s="581"/>
      <c r="Z199" s="581"/>
      <c r="AA199" s="581"/>
      <c r="AB199" s="581"/>
      <c r="AC199" s="581"/>
      <c r="AD199" s="581"/>
      <c r="AE199" s="581"/>
      <c r="AF199" s="581"/>
      <c r="AG199" s="581"/>
      <c r="AH199" s="581"/>
      <c r="AI199" s="581"/>
      <c r="AJ199" s="1484" t="s">
        <v>1099</v>
      </c>
      <c r="AK199" s="1484"/>
      <c r="AL199" s="1484"/>
      <c r="AM199" s="1484"/>
      <c r="AN199" s="1484"/>
      <c r="AO199" s="1484"/>
      <c r="AP199" s="1484"/>
      <c r="AQ199" s="581" t="s">
        <v>397</v>
      </c>
      <c r="AR199" s="581"/>
      <c r="AS199" s="581"/>
      <c r="AT199" s="581"/>
      <c r="AU199" s="581"/>
      <c r="AV199" s="581"/>
      <c r="AW199" s="581"/>
      <c r="AX199" s="581"/>
      <c r="AY199" s="581"/>
      <c r="AZ199" s="581"/>
      <c r="BA199" s="581"/>
      <c r="BB199" s="581"/>
      <c r="BC199" s="581"/>
      <c r="BD199" s="581"/>
      <c r="BE199" s="581"/>
      <c r="BF199" s="581"/>
      <c r="BG199" s="581"/>
      <c r="BH199" s="581"/>
      <c r="BI199" s="581"/>
      <c r="BJ199" s="581"/>
      <c r="BK199" s="581"/>
      <c r="BL199" s="581"/>
      <c r="BM199" s="581"/>
      <c r="BN199" s="581"/>
      <c r="BO199" s="581"/>
      <c r="BP199" s="581"/>
      <c r="BQ199" s="581"/>
      <c r="BR199" s="581"/>
      <c r="BS199" s="581"/>
      <c r="BT199" s="581" t="s">
        <v>1122</v>
      </c>
      <c r="BU199" s="581"/>
      <c r="BV199" s="581"/>
      <c r="BW199" s="581"/>
      <c r="BX199" s="581"/>
      <c r="BY199" s="581"/>
      <c r="BZ199" s="581"/>
      <c r="CA199" s="581"/>
      <c r="CB199" s="581"/>
      <c r="CC199" s="581"/>
      <c r="CD199" s="581"/>
      <c r="CE199" s="581"/>
      <c r="CF199" s="582"/>
    </row>
    <row r="200" spans="1:84" s="583" customFormat="1" ht="23.1" customHeight="1">
      <c r="A200" s="584"/>
      <c r="B200" s="585" t="s">
        <v>1102</v>
      </c>
      <c r="C200" s="585"/>
      <c r="D200" s="585"/>
      <c r="E200" s="585"/>
      <c r="F200" s="585"/>
      <c r="G200" s="585"/>
      <c r="H200" s="585"/>
      <c r="I200" s="585"/>
      <c r="J200" s="585"/>
      <c r="K200" s="585"/>
      <c r="L200" s="585"/>
      <c r="M200" s="585"/>
      <c r="N200" s="585"/>
      <c r="O200" s="585"/>
      <c r="P200" s="585"/>
      <c r="Q200" s="585"/>
      <c r="R200" s="585"/>
      <c r="S200" s="585"/>
      <c r="T200" s="585"/>
      <c r="U200" s="585"/>
      <c r="V200" s="585"/>
      <c r="W200" s="585"/>
      <c r="X200" s="585"/>
      <c r="Y200" s="585"/>
      <c r="Z200" s="585"/>
      <c r="AA200" s="585"/>
      <c r="AB200" s="585"/>
      <c r="AC200" s="585"/>
      <c r="AD200" s="585"/>
      <c r="AE200" s="585"/>
      <c r="AF200" s="585"/>
      <c r="AG200" s="585"/>
      <c r="AH200" s="585"/>
      <c r="AI200" s="585"/>
      <c r="AJ200" s="585"/>
      <c r="AK200" s="585"/>
      <c r="AL200" s="585"/>
      <c r="AM200" s="585"/>
      <c r="AN200" s="585"/>
      <c r="AO200" s="585"/>
      <c r="AP200" s="585"/>
      <c r="AQ200" s="585"/>
      <c r="AR200" s="585"/>
      <c r="AS200" s="585"/>
      <c r="AT200" s="585"/>
      <c r="AU200" s="585"/>
      <c r="AV200" s="585"/>
      <c r="AW200" s="585"/>
      <c r="AX200" s="585"/>
      <c r="AY200" s="585"/>
      <c r="AZ200" s="585"/>
      <c r="BA200" s="585"/>
      <c r="BB200" s="585"/>
      <c r="BC200" s="585"/>
      <c r="BD200" s="585"/>
      <c r="BE200" s="585"/>
      <c r="BF200" s="585"/>
      <c r="BG200" s="585"/>
      <c r="BH200" s="585"/>
      <c r="BI200" s="585"/>
      <c r="BJ200" s="585"/>
      <c r="BK200" s="585"/>
      <c r="BL200" s="585"/>
      <c r="BM200" s="585"/>
      <c r="BN200" s="585"/>
      <c r="BO200" s="585"/>
      <c r="BP200" s="585"/>
      <c r="BQ200" s="585"/>
      <c r="BR200" s="585"/>
      <c r="BS200" s="585"/>
      <c r="BT200" s="585"/>
      <c r="BU200" s="585"/>
      <c r="BV200" s="585"/>
      <c r="BW200" s="585"/>
      <c r="BX200" s="585"/>
      <c r="BY200" s="585"/>
      <c r="BZ200" s="585"/>
      <c r="CA200" s="585"/>
      <c r="CB200" s="585"/>
      <c r="CC200" s="585"/>
      <c r="CD200" s="585"/>
      <c r="CE200" s="585"/>
      <c r="CF200" s="586"/>
    </row>
    <row r="201" spans="1:84" s="583" customFormat="1" ht="23.1" customHeight="1">
      <c r="A201" s="587"/>
      <c r="B201" s="574"/>
      <c r="C201" s="574"/>
      <c r="D201" s="405"/>
      <c r="E201" s="574"/>
      <c r="F201" s="422"/>
      <c r="G201" s="422"/>
      <c r="H201" s="422"/>
      <c r="I201" s="422"/>
      <c r="J201" s="422"/>
      <c r="K201" s="422"/>
      <c r="L201" s="422"/>
      <c r="M201" s="422"/>
      <c r="N201" s="574"/>
      <c r="O201" s="574"/>
      <c r="P201" s="574"/>
      <c r="Q201" s="574"/>
      <c r="R201" s="574"/>
      <c r="S201" s="588"/>
      <c r="T201" s="588"/>
      <c r="U201" s="588"/>
      <c r="V201" s="588"/>
      <c r="W201" s="588"/>
      <c r="X201" s="588"/>
      <c r="Y201" s="588"/>
      <c r="Z201" s="588"/>
      <c r="AA201" s="574"/>
      <c r="AB201" s="588"/>
      <c r="AC201" s="585"/>
      <c r="AD201" s="585"/>
      <c r="AE201" s="600"/>
      <c r="AF201" s="600"/>
      <c r="AG201" s="600"/>
      <c r="AH201" s="600"/>
      <c r="AI201" s="600"/>
      <c r="AJ201" s="600"/>
      <c r="AK201" s="600"/>
      <c r="AL201" s="600"/>
      <c r="AM201" s="585"/>
      <c r="AN201" s="585"/>
      <c r="AO201" s="574"/>
      <c r="AP201" s="430"/>
      <c r="AQ201" s="430"/>
      <c r="AR201" s="430"/>
      <c r="AS201" s="430"/>
      <c r="AT201" s="430"/>
      <c r="AU201" s="430"/>
      <c r="AV201" s="430"/>
      <c r="AW201" s="430"/>
      <c r="AX201" s="430"/>
      <c r="AY201" s="430"/>
      <c r="AZ201" s="430"/>
      <c r="BA201" s="430"/>
      <c r="BB201" s="430"/>
      <c r="BC201" s="430"/>
      <c r="BD201" s="574"/>
      <c r="BE201" s="574"/>
      <c r="BF201" s="574"/>
      <c r="BG201" s="574"/>
      <c r="BH201" s="574"/>
      <c r="BI201" s="574"/>
      <c r="BJ201" s="574"/>
      <c r="BK201" s="574"/>
      <c r="BL201" s="574"/>
      <c r="BM201" s="574"/>
      <c r="BN201" s="574"/>
      <c r="BO201" s="574"/>
      <c r="BP201" s="574"/>
      <c r="BQ201" s="574"/>
      <c r="BR201" s="574"/>
      <c r="BS201" s="574"/>
      <c r="BT201" s="574"/>
      <c r="BU201" s="574"/>
      <c r="BV201" s="574"/>
      <c r="BW201" s="574"/>
      <c r="BX201" s="574"/>
      <c r="BY201" s="574"/>
      <c r="BZ201" s="574"/>
      <c r="CA201" s="574"/>
      <c r="CB201" s="574"/>
      <c r="CC201" s="574"/>
      <c r="CD201" s="574"/>
      <c r="CE201" s="574"/>
      <c r="CF201" s="589"/>
    </row>
    <row r="202" spans="1:84" s="583" customFormat="1" ht="23.1" customHeight="1">
      <c r="A202" s="584"/>
      <c r="B202" s="585"/>
      <c r="C202" s="585"/>
      <c r="H202" s="1502">
        <f>$AE$97</f>
        <v>112342000</v>
      </c>
      <c r="I202" s="1502"/>
      <c r="J202" s="1502"/>
      <c r="K202" s="1502"/>
      <c r="L202" s="1502"/>
      <c r="M202" s="1502"/>
      <c r="N202" s="1502"/>
      <c r="O202" s="1502"/>
      <c r="P202" s="1502"/>
      <c r="Q202" s="1502"/>
      <c r="R202" s="1502"/>
      <c r="S202" s="1502"/>
      <c r="T202" s="1502"/>
      <c r="U202" s="1502"/>
      <c r="V202" s="1502"/>
      <c r="W202" s="1491" t="s">
        <v>446</v>
      </c>
      <c r="X202" s="1491"/>
      <c r="Y202" s="1491" t="s">
        <v>1127</v>
      </c>
      <c r="Z202" s="1491"/>
      <c r="AA202" s="1503" t="s">
        <v>1103</v>
      </c>
      <c r="AB202" s="1503"/>
      <c r="AC202" s="1442">
        <v>900</v>
      </c>
      <c r="AD202" s="1442"/>
      <c r="AE202" s="1442"/>
      <c r="AF202" s="1442"/>
      <c r="AG202" s="1442"/>
      <c r="AH202" s="1442"/>
      <c r="AI202" s="1491" t="s">
        <v>1128</v>
      </c>
      <c r="AJ202" s="1491"/>
      <c r="AK202" s="1442">
        <v>700</v>
      </c>
      <c r="AL202" s="1442"/>
      <c r="AM202" s="1442"/>
      <c r="AN202" s="1442"/>
      <c r="AO202" s="1442"/>
      <c r="AP202" s="1442"/>
      <c r="AQ202" s="1503" t="s">
        <v>1105</v>
      </c>
      <c r="AR202" s="1503"/>
      <c r="AS202" s="1491" t="s">
        <v>446</v>
      </c>
      <c r="AT202" s="1491"/>
      <c r="AU202" s="1504">
        <v>1.1000000000000001</v>
      </c>
      <c r="AV202" s="1504"/>
      <c r="AW202" s="1504"/>
      <c r="AX202" s="1504"/>
      <c r="AY202" s="1504"/>
      <c r="AZ202" s="1491" t="s">
        <v>1128</v>
      </c>
      <c r="BA202" s="1491"/>
      <c r="BB202" s="1491">
        <v>485</v>
      </c>
      <c r="BC202" s="1491"/>
      <c r="BD202" s="1491"/>
      <c r="BE202" s="1491"/>
      <c r="BF202" s="1491"/>
      <c r="BG202" s="1491" t="s">
        <v>1096</v>
      </c>
      <c r="BH202" s="1491"/>
      <c r="BI202" s="1491" t="s">
        <v>446</v>
      </c>
      <c r="BJ202" s="1491"/>
      <c r="BK202" s="591" t="s">
        <v>1104</v>
      </c>
      <c r="BL202" s="585"/>
      <c r="BM202" s="585"/>
      <c r="BN202" s="585"/>
      <c r="BO202" s="585"/>
      <c r="BP202" s="1491" t="s">
        <v>41</v>
      </c>
      <c r="BQ202" s="1491"/>
      <c r="BR202" s="585"/>
      <c r="BS202" s="585"/>
      <c r="BT202" s="1437">
        <f>INT(H202*((AC202+AK202)*AU202+BB202)*10^-7)</f>
        <v>25220</v>
      </c>
      <c r="BU202" s="1437"/>
      <c r="BV202" s="1437"/>
      <c r="BW202" s="1437"/>
      <c r="BX202" s="1437"/>
      <c r="BY202" s="1437"/>
      <c r="BZ202" s="1437"/>
      <c r="CA202" s="1437"/>
      <c r="CB202" s="1437"/>
      <c r="CC202" s="1437"/>
      <c r="CD202" s="585"/>
      <c r="CE202" s="585"/>
      <c r="CF202" s="586"/>
    </row>
    <row r="203" spans="1:84" s="583" customFormat="1" ht="23.1" customHeight="1">
      <c r="A203" s="592"/>
      <c r="B203" s="593" t="s">
        <v>1106</v>
      </c>
      <c r="C203" s="593"/>
      <c r="D203" s="593"/>
      <c r="E203" s="593"/>
      <c r="F203" s="593"/>
      <c r="G203" s="593"/>
      <c r="H203" s="593"/>
      <c r="I203" s="593"/>
      <c r="J203" s="593"/>
      <c r="K203" s="593"/>
      <c r="L203" s="593"/>
      <c r="M203" s="593"/>
      <c r="N203" s="593"/>
      <c r="O203" s="593"/>
      <c r="P203" s="593"/>
      <c r="Q203" s="593"/>
      <c r="R203" s="593"/>
      <c r="S203" s="593"/>
      <c r="T203" s="593"/>
      <c r="U203" s="593"/>
      <c r="V203" s="593"/>
      <c r="W203" s="593"/>
      <c r="X203" s="593"/>
      <c r="Y203" s="593"/>
      <c r="Z203" s="593"/>
      <c r="AA203" s="593"/>
      <c r="AB203" s="593"/>
      <c r="AC203" s="593"/>
      <c r="AD203" s="593"/>
      <c r="AE203" s="593"/>
      <c r="AF203" s="593"/>
      <c r="AG203" s="593"/>
      <c r="AH203" s="593"/>
      <c r="AI203" s="593"/>
      <c r="AJ203" s="593"/>
      <c r="AK203" s="593"/>
      <c r="AL203" s="593"/>
      <c r="AM203" s="593"/>
      <c r="AN203" s="593"/>
      <c r="AO203" s="593"/>
      <c r="AP203" s="593"/>
      <c r="AQ203" s="593"/>
      <c r="AR203" s="593"/>
      <c r="AS203" s="593"/>
      <c r="AT203" s="593"/>
      <c r="AU203" s="593"/>
      <c r="AV203" s="593"/>
      <c r="AW203" s="593"/>
      <c r="AX203" s="593"/>
      <c r="AY203" s="593"/>
      <c r="AZ203" s="593"/>
      <c r="BA203" s="593"/>
      <c r="BB203" s="593"/>
      <c r="BC203" s="593"/>
      <c r="BD203" s="593"/>
      <c r="BE203" s="593"/>
      <c r="BF203" s="593"/>
      <c r="BG203" s="593"/>
      <c r="BH203" s="593"/>
      <c r="BI203" s="593"/>
      <c r="BJ203" s="593"/>
      <c r="BK203" s="593"/>
      <c r="BL203" s="593"/>
      <c r="BM203" s="593"/>
      <c r="BN203" s="593"/>
      <c r="BO203" s="593"/>
      <c r="BP203" s="593"/>
      <c r="BQ203" s="593"/>
      <c r="BR203" s="593"/>
      <c r="BS203" s="593"/>
      <c r="BT203" s="594"/>
      <c r="BU203" s="594"/>
      <c r="BV203" s="594"/>
      <c r="BW203" s="594"/>
      <c r="BX203" s="594"/>
      <c r="BY203" s="594"/>
      <c r="BZ203" s="594"/>
      <c r="CA203" s="594"/>
      <c r="CB203" s="594"/>
      <c r="CC203" s="594"/>
      <c r="CD203" s="593"/>
      <c r="CE203" s="593"/>
      <c r="CF203" s="595"/>
    </row>
    <row r="204" spans="1:84" s="583" customFormat="1" ht="23.1" customHeight="1">
      <c r="A204" s="584"/>
      <c r="B204" s="585"/>
      <c r="C204" s="585"/>
      <c r="D204" s="596" t="s">
        <v>268</v>
      </c>
      <c r="E204" s="585"/>
      <c r="F204" s="585"/>
      <c r="G204" s="585"/>
      <c r="H204" s="585"/>
      <c r="I204" s="585"/>
      <c r="J204" s="585"/>
      <c r="K204" s="585"/>
      <c r="L204" s="585"/>
      <c r="M204" s="585"/>
      <c r="N204" s="585"/>
      <c r="O204" s="585"/>
      <c r="P204" s="585"/>
      <c r="Q204" s="585"/>
      <c r="R204" s="585"/>
      <c r="S204" s="585"/>
      <c r="T204" s="574"/>
      <c r="U204" s="574"/>
      <c r="V204" s="1435">
        <f>HLOOKUP(D204,$CJ$1:$CM$3,3,0)</f>
        <v>283297</v>
      </c>
      <c r="W204" s="1435"/>
      <c r="X204" s="1435"/>
      <c r="Y204" s="1435"/>
      <c r="Z204" s="1435"/>
      <c r="AA204" s="1435"/>
      <c r="AB204" s="1435"/>
      <c r="AC204" s="1435"/>
      <c r="AD204" s="1435"/>
      <c r="AE204" s="1435"/>
      <c r="AF204" s="1431" t="s">
        <v>446</v>
      </c>
      <c r="AG204" s="1431"/>
      <c r="AH204" s="574"/>
      <c r="AI204" s="1436" t="s">
        <v>1107</v>
      </c>
      <c r="AJ204" s="1436"/>
      <c r="AK204" s="1436"/>
      <c r="AL204" s="1436"/>
      <c r="AM204" s="585"/>
      <c r="AN204" s="1431" t="s">
        <v>446</v>
      </c>
      <c r="AO204" s="1431"/>
      <c r="AP204" s="585"/>
      <c r="AQ204" s="1436" t="s">
        <v>1108</v>
      </c>
      <c r="AR204" s="1436"/>
      <c r="AS204" s="1436"/>
      <c r="AT204" s="1436"/>
      <c r="AU204" s="1436"/>
      <c r="AV204" s="422"/>
      <c r="AW204" s="1431" t="s">
        <v>446</v>
      </c>
      <c r="AX204" s="1431"/>
      <c r="AY204" s="440"/>
      <c r="AZ204" s="1436" t="s">
        <v>1109</v>
      </c>
      <c r="BA204" s="1436"/>
      <c r="BB204" s="1436"/>
      <c r="BC204" s="1436"/>
      <c r="BD204" s="1436"/>
      <c r="BE204" s="585"/>
      <c r="BF204" s="1431" t="s">
        <v>446</v>
      </c>
      <c r="BG204" s="1431"/>
      <c r="BH204" s="1431">
        <v>1</v>
      </c>
      <c r="BI204" s="1431"/>
      <c r="BJ204" s="1431"/>
      <c r="BK204" s="585"/>
      <c r="BL204" s="585" t="s">
        <v>366</v>
      </c>
      <c r="BM204" s="585"/>
      <c r="BN204" s="585"/>
      <c r="BO204" s="585"/>
      <c r="BP204" s="1431" t="s">
        <v>41</v>
      </c>
      <c r="BQ204" s="1431"/>
      <c r="BR204" s="585"/>
      <c r="BS204" s="585"/>
      <c r="BT204" s="1432">
        <f>INT(V204/8*16/12*25/20*BH204)</f>
        <v>59020</v>
      </c>
      <c r="BU204" s="1432"/>
      <c r="BV204" s="1432"/>
      <c r="BW204" s="1432"/>
      <c r="BX204" s="1432"/>
      <c r="BY204" s="1432"/>
      <c r="BZ204" s="1432"/>
      <c r="CA204" s="1432"/>
      <c r="CB204" s="1432"/>
      <c r="CC204" s="1432"/>
      <c r="CD204" s="585"/>
      <c r="CE204" s="585"/>
      <c r="CF204" s="586"/>
    </row>
    <row r="205" spans="1:84" s="583" customFormat="1" ht="23.1" customHeight="1">
      <c r="A205" s="584"/>
      <c r="B205" s="585"/>
      <c r="C205" s="585"/>
      <c r="D205" s="585"/>
      <c r="E205" s="585"/>
      <c r="F205" s="585"/>
      <c r="G205" s="585"/>
      <c r="H205" s="585"/>
      <c r="I205" s="585"/>
      <c r="J205" s="585"/>
      <c r="K205" s="585"/>
      <c r="L205" s="585"/>
      <c r="M205" s="585"/>
      <c r="N205" s="585"/>
      <c r="O205" s="585"/>
      <c r="P205" s="574"/>
      <c r="Q205" s="574"/>
      <c r="R205" s="574"/>
      <c r="S205" s="574"/>
      <c r="T205" s="574"/>
      <c r="U205" s="574"/>
      <c r="V205" s="574"/>
      <c r="W205" s="574"/>
      <c r="X205" s="574"/>
      <c r="Y205" s="574"/>
      <c r="Z205" s="574"/>
      <c r="AA205" s="574"/>
      <c r="AB205" s="574"/>
      <c r="AC205" s="574"/>
      <c r="AD205" s="574"/>
      <c r="AE205" s="574"/>
      <c r="AF205" s="574"/>
      <c r="AG205" s="574"/>
      <c r="AH205" s="574"/>
      <c r="AI205" s="574"/>
      <c r="AJ205" s="574"/>
      <c r="AK205" s="574"/>
      <c r="AL205" s="574"/>
      <c r="AM205" s="574"/>
      <c r="AN205" s="574"/>
      <c r="AO205" s="574"/>
      <c r="AP205" s="574"/>
      <c r="AQ205" s="574"/>
      <c r="AR205" s="574"/>
      <c r="AS205" s="574"/>
      <c r="AT205" s="574"/>
      <c r="AU205" s="574"/>
      <c r="AV205" s="574"/>
      <c r="AW205" s="574"/>
      <c r="AX205" s="574"/>
      <c r="AY205" s="574"/>
      <c r="AZ205" s="574"/>
      <c r="BA205" s="574"/>
      <c r="BB205" s="574"/>
      <c r="BC205" s="574"/>
      <c r="BD205" s="574"/>
      <c r="BE205" s="574"/>
      <c r="BF205" s="574"/>
      <c r="BG205" s="585"/>
      <c r="BH205" s="585"/>
      <c r="BI205" s="585"/>
      <c r="BJ205" s="585"/>
      <c r="BK205" s="585"/>
      <c r="BL205" s="585"/>
      <c r="BM205" s="585"/>
      <c r="BN205" s="585"/>
      <c r="BO205" s="585"/>
      <c r="BP205" s="1431"/>
      <c r="BQ205" s="1431"/>
      <c r="BR205" s="585"/>
      <c r="BS205" s="585"/>
      <c r="BT205" s="1487"/>
      <c r="BU205" s="1487"/>
      <c r="BV205" s="1487"/>
      <c r="BW205" s="1487"/>
      <c r="BX205" s="1487"/>
      <c r="BY205" s="1487"/>
      <c r="BZ205" s="1487"/>
      <c r="CA205" s="1487"/>
      <c r="CB205" s="1487"/>
      <c r="CC205" s="1487"/>
      <c r="CD205" s="585"/>
      <c r="CE205" s="585"/>
      <c r="CF205" s="586"/>
    </row>
    <row r="206" spans="1:84" s="583" customFormat="1" ht="23.1" customHeight="1">
      <c r="A206" s="584"/>
      <c r="B206" s="585"/>
      <c r="C206" s="585"/>
      <c r="D206" s="585"/>
      <c r="E206" s="585"/>
      <c r="F206" s="585"/>
      <c r="G206" s="585"/>
      <c r="H206" s="585"/>
      <c r="I206" s="585"/>
      <c r="J206" s="585"/>
      <c r="K206" s="585"/>
      <c r="L206" s="585"/>
      <c r="M206" s="585"/>
      <c r="N206" s="585"/>
      <c r="O206" s="585"/>
      <c r="P206" s="585"/>
      <c r="Q206" s="585"/>
      <c r="R206" s="585"/>
      <c r="S206" s="585"/>
      <c r="T206" s="585"/>
      <c r="U206" s="585"/>
      <c r="V206" s="585"/>
      <c r="W206" s="585"/>
      <c r="X206" s="585"/>
      <c r="Y206" s="585"/>
      <c r="Z206" s="585"/>
      <c r="AA206" s="585"/>
      <c r="AB206" s="585"/>
      <c r="AC206" s="585"/>
      <c r="AD206" s="574"/>
      <c r="AE206" s="574"/>
      <c r="AF206" s="574"/>
      <c r="AG206" s="574"/>
      <c r="AH206" s="574"/>
      <c r="AI206" s="574"/>
      <c r="AJ206" s="574"/>
      <c r="AK206" s="574"/>
      <c r="AL206" s="574"/>
      <c r="AM206" s="574"/>
      <c r="AN206" s="574"/>
      <c r="AO206" s="574"/>
      <c r="AP206" s="574"/>
      <c r="AQ206" s="574"/>
      <c r="AR206" s="574"/>
      <c r="AS206" s="585"/>
      <c r="AT206" s="590"/>
      <c r="AU206" s="590"/>
      <c r="AV206" s="585"/>
      <c r="AW206" s="585"/>
      <c r="AX206" s="585"/>
      <c r="AY206" s="585"/>
      <c r="AZ206" s="585"/>
      <c r="BA206" s="585"/>
      <c r="BB206" s="585"/>
      <c r="BC206" s="585"/>
      <c r="BD206" s="585"/>
      <c r="BE206" s="585"/>
      <c r="BF206" s="585"/>
      <c r="BG206" s="585"/>
      <c r="BH206" s="585"/>
      <c r="BI206" s="585"/>
      <c r="BJ206" s="585"/>
      <c r="BK206" s="585"/>
      <c r="BL206" s="585"/>
      <c r="BM206" s="585"/>
      <c r="BN206" s="585"/>
      <c r="BO206" s="585"/>
      <c r="BP206" s="1491" t="s">
        <v>41</v>
      </c>
      <c r="BQ206" s="1491"/>
      <c r="BR206" s="585"/>
      <c r="BS206" s="585"/>
      <c r="BT206" s="1434">
        <f>BT204+BT205</f>
        <v>59020</v>
      </c>
      <c r="BU206" s="1434"/>
      <c r="BV206" s="1434"/>
      <c r="BW206" s="1434"/>
      <c r="BX206" s="1434"/>
      <c r="BY206" s="1434"/>
      <c r="BZ206" s="1434"/>
      <c r="CA206" s="1434"/>
      <c r="CB206" s="1434"/>
      <c r="CC206" s="1434"/>
      <c r="CD206" s="585"/>
      <c r="CE206" s="585"/>
      <c r="CF206" s="586"/>
    </row>
    <row r="207" spans="1:84" s="583" customFormat="1" ht="23.1" customHeight="1">
      <c r="A207" s="592"/>
      <c r="B207" s="593" t="s">
        <v>1110</v>
      </c>
      <c r="C207" s="593"/>
      <c r="D207" s="593"/>
      <c r="E207" s="593"/>
      <c r="F207" s="593"/>
      <c r="G207" s="593"/>
      <c r="H207" s="593"/>
      <c r="I207" s="593"/>
      <c r="J207" s="593"/>
      <c r="K207" s="593"/>
      <c r="L207" s="593"/>
      <c r="M207" s="593"/>
      <c r="N207" s="593"/>
      <c r="O207" s="593"/>
      <c r="P207" s="593"/>
      <c r="Q207" s="593"/>
      <c r="R207" s="593"/>
      <c r="S207" s="593"/>
      <c r="T207" s="593"/>
      <c r="U207" s="593"/>
      <c r="V207" s="593"/>
      <c r="W207" s="593"/>
      <c r="X207" s="593"/>
      <c r="Y207" s="593"/>
      <c r="Z207" s="593"/>
      <c r="AA207" s="593"/>
      <c r="AB207" s="593"/>
      <c r="AC207" s="593"/>
      <c r="AD207" s="593"/>
      <c r="AE207" s="593"/>
      <c r="AF207" s="593"/>
      <c r="AG207" s="593"/>
      <c r="AH207" s="593"/>
      <c r="AI207" s="593"/>
      <c r="AJ207" s="593"/>
      <c r="AK207" s="593"/>
      <c r="AL207" s="593"/>
      <c r="AM207" s="593"/>
      <c r="AN207" s="593"/>
      <c r="AO207" s="593"/>
      <c r="AP207" s="593"/>
      <c r="AQ207" s="593"/>
      <c r="AR207" s="593"/>
      <c r="AS207" s="593"/>
      <c r="AT207" s="593"/>
      <c r="AU207" s="593"/>
      <c r="AV207" s="593"/>
      <c r="AW207" s="593"/>
      <c r="AX207" s="593"/>
      <c r="AY207" s="593"/>
      <c r="AZ207" s="593"/>
      <c r="BA207" s="593"/>
      <c r="BB207" s="593"/>
      <c r="BC207" s="593"/>
      <c r="BD207" s="593"/>
      <c r="BE207" s="593"/>
      <c r="BF207" s="593"/>
      <c r="BG207" s="593"/>
      <c r="BH207" s="593"/>
      <c r="BI207" s="593"/>
      <c r="BJ207" s="593"/>
      <c r="BK207" s="593"/>
      <c r="BL207" s="593"/>
      <c r="BM207" s="593"/>
      <c r="BN207" s="593"/>
      <c r="BO207" s="593"/>
      <c r="BP207" s="593"/>
      <c r="BQ207" s="593"/>
      <c r="BR207" s="593"/>
      <c r="BS207" s="593"/>
      <c r="BT207" s="593"/>
      <c r="BU207" s="593"/>
      <c r="BV207" s="593"/>
      <c r="BW207" s="593"/>
      <c r="BX207" s="593"/>
      <c r="BY207" s="593"/>
      <c r="BZ207" s="593"/>
      <c r="CA207" s="593"/>
      <c r="CB207" s="593"/>
      <c r="CC207" s="593"/>
      <c r="CD207" s="593"/>
      <c r="CE207" s="593"/>
      <c r="CF207" s="595"/>
    </row>
    <row r="208" spans="1:84" s="583" customFormat="1" ht="23.1" customHeight="1">
      <c r="A208" s="584"/>
      <c r="B208" s="585"/>
      <c r="C208" s="585"/>
      <c r="D208" s="596" t="s">
        <v>1094</v>
      </c>
      <c r="E208" s="585"/>
      <c r="F208" s="585"/>
      <c r="G208" s="585"/>
      <c r="H208" s="585"/>
      <c r="I208" s="585"/>
      <c r="J208" s="585"/>
      <c r="K208" s="585"/>
      <c r="L208" s="585"/>
      <c r="M208" s="585"/>
      <c r="N208" s="585"/>
      <c r="O208" s="585"/>
      <c r="P208" s="585"/>
      <c r="Q208" s="585"/>
      <c r="R208" s="585"/>
      <c r="S208" s="585"/>
      <c r="T208" s="585"/>
      <c r="U208" s="585"/>
      <c r="V208" s="585"/>
      <c r="W208" s="585"/>
      <c r="X208" s="585"/>
      <c r="Y208" s="585"/>
      <c r="Z208" s="585"/>
      <c r="AA208" s="585"/>
      <c r="AB208" s="585"/>
      <c r="AC208" s="585"/>
      <c r="AD208" s="585"/>
      <c r="AE208" s="585"/>
      <c r="AF208" s="585"/>
      <c r="AG208" s="585"/>
      <c r="AH208" s="585"/>
      <c r="AI208" s="585"/>
      <c r="AJ208" s="585"/>
      <c r="AK208" s="585"/>
      <c r="AL208" s="585"/>
      <c r="AM208" s="585"/>
      <c r="AN208" s="585"/>
      <c r="AO208" s="585"/>
      <c r="AP208" s="585"/>
      <c r="AQ208" s="585"/>
      <c r="AR208" s="422"/>
      <c r="AS208" s="1435" t="e">
        <f>HLOOKUP(D208,$CN$1:$CO$3,3,0)</f>
        <v>#REF!</v>
      </c>
      <c r="AT208" s="1435"/>
      <c r="AU208" s="1435"/>
      <c r="AV208" s="1435"/>
      <c r="AW208" s="1435"/>
      <c r="AX208" s="1435"/>
      <c r="AY208" s="1435"/>
      <c r="AZ208" s="1435"/>
      <c r="BA208" s="1435"/>
      <c r="BB208" s="1435"/>
      <c r="BC208" s="585"/>
      <c r="BD208" s="1431" t="s">
        <v>446</v>
      </c>
      <c r="BE208" s="1431"/>
      <c r="BF208" s="585"/>
      <c r="BG208" s="1431">
        <v>10.199999999999999</v>
      </c>
      <c r="BH208" s="1431"/>
      <c r="BI208" s="1431"/>
      <c r="BJ208" s="1431"/>
      <c r="BK208" s="1431"/>
      <c r="BL208" s="585" t="s">
        <v>1111</v>
      </c>
      <c r="BM208" s="585"/>
      <c r="BN208" s="585"/>
      <c r="BO208" s="585"/>
      <c r="BP208" s="1431" t="s">
        <v>41</v>
      </c>
      <c r="BQ208" s="1431"/>
      <c r="BR208" s="585"/>
      <c r="BS208" s="585"/>
      <c r="BT208" s="1432" t="e">
        <f>INT(AS208*BG208)</f>
        <v>#REF!</v>
      </c>
      <c r="BU208" s="1432"/>
      <c r="BV208" s="1432"/>
      <c r="BW208" s="1432"/>
      <c r="BX208" s="1432"/>
      <c r="BY208" s="1432"/>
      <c r="BZ208" s="1432"/>
      <c r="CA208" s="1432"/>
      <c r="CB208" s="1432"/>
      <c r="CC208" s="1432"/>
      <c r="CD208" s="585"/>
      <c r="CE208" s="585"/>
      <c r="CF208" s="586"/>
    </row>
    <row r="209" spans="1:84" s="583" customFormat="1" ht="23.1" customHeight="1">
      <c r="A209" s="584"/>
      <c r="B209" s="585"/>
      <c r="C209" s="585"/>
      <c r="D209" s="591" t="str">
        <f>"잡재료 (주연료의 "&amp;BG209&amp;"%) :"</f>
        <v>잡재료 (주연료의 22%) :</v>
      </c>
      <c r="E209" s="585"/>
      <c r="F209" s="585"/>
      <c r="G209" s="585"/>
      <c r="H209" s="585"/>
      <c r="I209" s="585"/>
      <c r="J209" s="585"/>
      <c r="K209" s="585"/>
      <c r="L209" s="585"/>
      <c r="M209" s="585"/>
      <c r="N209" s="585"/>
      <c r="O209" s="585"/>
      <c r="P209" s="585"/>
      <c r="Q209" s="585"/>
      <c r="R209" s="585"/>
      <c r="S209" s="585"/>
      <c r="T209" s="585"/>
      <c r="U209" s="585"/>
      <c r="V209" s="585"/>
      <c r="W209" s="585"/>
      <c r="X209" s="585"/>
      <c r="Y209" s="585"/>
      <c r="Z209" s="585"/>
      <c r="AA209" s="585"/>
      <c r="AB209" s="585"/>
      <c r="AC209" s="585"/>
      <c r="AD209" s="585"/>
      <c r="AE209" s="585"/>
      <c r="AF209" s="585"/>
      <c r="AG209" s="585"/>
      <c r="AH209" s="585"/>
      <c r="AI209" s="585"/>
      <c r="AJ209" s="585"/>
      <c r="AK209" s="585"/>
      <c r="AL209" s="585"/>
      <c r="AM209" s="585"/>
      <c r="AN209" s="585"/>
      <c r="AO209" s="585"/>
      <c r="AP209" s="585"/>
      <c r="AQ209" s="585"/>
      <c r="AR209" s="422" t="e">
        <f>BT208</f>
        <v>#REF!</v>
      </c>
      <c r="AS209" s="1430" t="e">
        <f>BT208</f>
        <v>#REF!</v>
      </c>
      <c r="AT209" s="1430"/>
      <c r="AU209" s="1430"/>
      <c r="AV209" s="1430"/>
      <c r="AW209" s="1430"/>
      <c r="AX209" s="1430"/>
      <c r="AY209" s="1430"/>
      <c r="AZ209" s="1430"/>
      <c r="BA209" s="1430"/>
      <c r="BB209" s="1430"/>
      <c r="BC209" s="585"/>
      <c r="BD209" s="1431" t="s">
        <v>446</v>
      </c>
      <c r="BE209" s="1431"/>
      <c r="BF209" s="585"/>
      <c r="BG209" s="1431">
        <v>22</v>
      </c>
      <c r="BH209" s="1431"/>
      <c r="BI209" s="1431"/>
      <c r="BJ209" s="1431"/>
      <c r="BK209" s="1431"/>
      <c r="BL209" s="585" t="s">
        <v>1112</v>
      </c>
      <c r="BM209" s="585"/>
      <c r="BN209" s="585"/>
      <c r="BO209" s="585"/>
      <c r="BP209" s="1431" t="s">
        <v>41</v>
      </c>
      <c r="BQ209" s="1431"/>
      <c r="BR209" s="585"/>
      <c r="BS209" s="585"/>
      <c r="BT209" s="1487" t="e">
        <f>INT(AS209*BG209/100)</f>
        <v>#REF!</v>
      </c>
      <c r="BU209" s="1487"/>
      <c r="BV209" s="1487"/>
      <c r="BW209" s="1487"/>
      <c r="BX209" s="1487"/>
      <c r="BY209" s="1487"/>
      <c r="BZ209" s="1487"/>
      <c r="CA209" s="1487"/>
      <c r="CB209" s="1487"/>
      <c r="CC209" s="1487"/>
      <c r="CD209" s="585"/>
      <c r="CE209" s="585"/>
      <c r="CF209" s="586"/>
    </row>
    <row r="210" spans="1:84" s="583" customFormat="1" ht="23.1" customHeight="1" thickBot="1">
      <c r="A210" s="584"/>
      <c r="B210" s="585"/>
      <c r="C210" s="585"/>
      <c r="D210" s="585"/>
      <c r="E210" s="585"/>
      <c r="F210" s="585"/>
      <c r="G210" s="585"/>
      <c r="H210" s="585"/>
      <c r="I210" s="585"/>
      <c r="J210" s="585"/>
      <c r="K210" s="585"/>
      <c r="L210" s="585"/>
      <c r="M210" s="585"/>
      <c r="N210" s="585"/>
      <c r="O210" s="585"/>
      <c r="P210" s="585"/>
      <c r="Q210" s="585"/>
      <c r="R210" s="585"/>
      <c r="S210" s="585"/>
      <c r="T210" s="585"/>
      <c r="U210" s="585"/>
      <c r="V210" s="585"/>
      <c r="W210" s="585"/>
      <c r="X210" s="585"/>
      <c r="Y210" s="585"/>
      <c r="Z210" s="585"/>
      <c r="AA210" s="585"/>
      <c r="AB210" s="585"/>
      <c r="AC210" s="585"/>
      <c r="AD210" s="585"/>
      <c r="AE210" s="585"/>
      <c r="AF210" s="585"/>
      <c r="AG210" s="585"/>
      <c r="AH210" s="585"/>
      <c r="AI210" s="585"/>
      <c r="AJ210" s="585"/>
      <c r="AK210" s="585"/>
      <c r="AL210" s="585"/>
      <c r="AM210" s="585"/>
      <c r="AN210" s="585"/>
      <c r="AO210" s="585"/>
      <c r="AP210" s="585"/>
      <c r="AQ210" s="585"/>
      <c r="AR210" s="585"/>
      <c r="AS210" s="585"/>
      <c r="AT210" s="585"/>
      <c r="AU210" s="585"/>
      <c r="AV210" s="585"/>
      <c r="AW210" s="585"/>
      <c r="AX210" s="585"/>
      <c r="AY210" s="585"/>
      <c r="AZ210" s="585"/>
      <c r="BA210" s="585"/>
      <c r="BB210" s="585"/>
      <c r="BC210" s="585"/>
      <c r="BD210" s="585"/>
      <c r="BE210" s="585"/>
      <c r="BF210" s="585"/>
      <c r="BG210" s="585"/>
      <c r="BH210" s="585"/>
      <c r="BI210" s="585"/>
      <c r="BJ210" s="585"/>
      <c r="BK210" s="585"/>
      <c r="BL210" s="585"/>
      <c r="BM210" s="585"/>
      <c r="BN210" s="585"/>
      <c r="BO210" s="585"/>
      <c r="BP210" s="1488" t="s">
        <v>41</v>
      </c>
      <c r="BQ210" s="1488"/>
      <c r="BR210" s="585"/>
      <c r="BS210" s="585"/>
      <c r="BT210" s="1489" t="e">
        <f>BT208+BT209</f>
        <v>#REF!</v>
      </c>
      <c r="BU210" s="1489"/>
      <c r="BV210" s="1489"/>
      <c r="BW210" s="1489"/>
      <c r="BX210" s="1489"/>
      <c r="BY210" s="1489"/>
      <c r="BZ210" s="1489"/>
      <c r="CA210" s="1489"/>
      <c r="CB210" s="1489"/>
      <c r="CC210" s="1489"/>
      <c r="CD210" s="585"/>
      <c r="CE210" s="585"/>
      <c r="CF210" s="586"/>
    </row>
    <row r="211" spans="1:84" s="583" customFormat="1" ht="23.1" customHeight="1" thickBot="1">
      <c r="A211" s="597"/>
      <c r="B211" s="598" t="s">
        <v>1113</v>
      </c>
      <c r="C211" s="598"/>
      <c r="D211" s="598"/>
      <c r="E211" s="598"/>
      <c r="F211" s="598"/>
      <c r="G211" s="598"/>
      <c r="H211" s="598"/>
      <c r="I211" s="598"/>
      <c r="J211" s="598"/>
      <c r="K211" s="598"/>
      <c r="L211" s="598"/>
      <c r="M211" s="598"/>
      <c r="N211" s="598"/>
      <c r="O211" s="598"/>
      <c r="P211" s="598"/>
      <c r="Q211" s="598"/>
      <c r="R211" s="598"/>
      <c r="S211" s="598"/>
      <c r="T211" s="598"/>
      <c r="U211" s="598"/>
      <c r="V211" s="598"/>
      <c r="W211" s="598"/>
      <c r="X211" s="598"/>
      <c r="Y211" s="598"/>
      <c r="Z211" s="598"/>
      <c r="AA211" s="598"/>
      <c r="AB211" s="598"/>
      <c r="AC211" s="598"/>
      <c r="AD211" s="598"/>
      <c r="AE211" s="598"/>
      <c r="AF211" s="598"/>
      <c r="AG211" s="598"/>
      <c r="AH211" s="598"/>
      <c r="AI211" s="598"/>
      <c r="AJ211" s="598"/>
      <c r="AK211" s="598"/>
      <c r="AL211" s="598"/>
      <c r="AM211" s="598"/>
      <c r="AN211" s="598"/>
      <c r="AO211" s="598"/>
      <c r="AP211" s="598"/>
      <c r="AQ211" s="598"/>
      <c r="AR211" s="598"/>
      <c r="AS211" s="598"/>
      <c r="AT211" s="598"/>
      <c r="AU211" s="598"/>
      <c r="AV211" s="598"/>
      <c r="AW211" s="598"/>
      <c r="AX211" s="598"/>
      <c r="AY211" s="598"/>
      <c r="AZ211" s="598"/>
      <c r="BA211" s="598"/>
      <c r="BB211" s="598"/>
      <c r="BC211" s="598"/>
      <c r="BD211" s="598"/>
      <c r="BE211" s="598"/>
      <c r="BF211" s="598"/>
      <c r="BG211" s="598"/>
      <c r="BH211" s="598"/>
      <c r="BI211" s="598"/>
      <c r="BJ211" s="598"/>
      <c r="BK211" s="598"/>
      <c r="BL211" s="598"/>
      <c r="BM211" s="598"/>
      <c r="BN211" s="598"/>
      <c r="BO211" s="598"/>
      <c r="BP211" s="598"/>
      <c r="BQ211" s="598"/>
      <c r="BR211" s="598"/>
      <c r="BS211" s="598"/>
      <c r="BT211" s="1429" t="e">
        <f>BT202+BT206+BT210</f>
        <v>#REF!</v>
      </c>
      <c r="BU211" s="1429"/>
      <c r="BV211" s="1429"/>
      <c r="BW211" s="1429"/>
      <c r="BX211" s="1429"/>
      <c r="BY211" s="1429"/>
      <c r="BZ211" s="1429"/>
      <c r="CA211" s="1429"/>
      <c r="CB211" s="1429"/>
      <c r="CC211" s="1429"/>
      <c r="CD211" s="598"/>
      <c r="CE211" s="598"/>
      <c r="CF211" s="599"/>
    </row>
    <row r="212" spans="1:84" s="583" customFormat="1" ht="9.9499999999999993" customHeight="1">
      <c r="A212" s="574"/>
      <c r="B212" s="574"/>
      <c r="C212" s="574"/>
      <c r="D212" s="574"/>
      <c r="E212" s="574"/>
      <c r="F212" s="574"/>
      <c r="G212" s="574"/>
      <c r="H212" s="574"/>
      <c r="I212" s="574"/>
      <c r="J212" s="574"/>
      <c r="K212" s="574"/>
      <c r="L212" s="574"/>
      <c r="M212" s="574"/>
      <c r="N212" s="574"/>
      <c r="O212" s="574"/>
      <c r="P212" s="574"/>
      <c r="Q212" s="574"/>
      <c r="R212" s="574"/>
      <c r="S212" s="574"/>
      <c r="T212" s="574"/>
      <c r="U212" s="574"/>
      <c r="V212" s="574"/>
      <c r="W212" s="574"/>
      <c r="X212" s="574"/>
      <c r="Y212" s="574"/>
      <c r="Z212" s="574"/>
      <c r="AA212" s="574"/>
      <c r="AB212" s="574"/>
      <c r="AC212" s="574"/>
      <c r="AD212" s="574"/>
      <c r="AE212" s="574"/>
      <c r="AF212" s="574"/>
      <c r="AG212" s="574"/>
      <c r="AH212" s="574"/>
      <c r="AI212" s="574"/>
      <c r="AJ212" s="574"/>
      <c r="AK212" s="574"/>
      <c r="AL212" s="574"/>
      <c r="AM212" s="574"/>
      <c r="AN212" s="574"/>
      <c r="AO212" s="574"/>
      <c r="AP212" s="574"/>
      <c r="AQ212" s="574"/>
      <c r="AR212" s="574"/>
      <c r="AS212" s="574"/>
      <c r="AT212" s="574"/>
      <c r="AU212" s="574"/>
      <c r="AV212" s="574"/>
      <c r="AW212" s="574"/>
      <c r="AX212" s="574"/>
      <c r="AY212" s="574"/>
      <c r="AZ212" s="574"/>
      <c r="BA212" s="574"/>
      <c r="BB212" s="574"/>
      <c r="BC212" s="574"/>
      <c r="BD212" s="574"/>
      <c r="BE212" s="574"/>
      <c r="BF212" s="574"/>
      <c r="BG212" s="574"/>
      <c r="BH212" s="574"/>
      <c r="BI212" s="574"/>
      <c r="BJ212" s="574"/>
      <c r="BK212" s="574"/>
      <c r="BL212" s="574"/>
      <c r="BM212" s="574"/>
      <c r="BN212" s="574"/>
      <c r="BO212" s="574"/>
      <c r="BP212" s="574"/>
      <c r="BQ212" s="574"/>
      <c r="BR212" s="574"/>
      <c r="BS212" s="574"/>
      <c r="BT212" s="574"/>
      <c r="BU212" s="574"/>
      <c r="BV212" s="574"/>
      <c r="BW212" s="574"/>
      <c r="BX212" s="574"/>
      <c r="BY212" s="574"/>
      <c r="BZ212" s="574"/>
      <c r="CA212" s="574"/>
      <c r="CB212" s="574"/>
      <c r="CC212" s="574"/>
      <c r="CD212" s="574"/>
      <c r="CE212" s="574"/>
      <c r="CF212" s="574"/>
    </row>
    <row r="213" spans="1:84" s="583" customFormat="1" ht="23.1" customHeight="1" thickBot="1">
      <c r="A213" s="1446" t="s">
        <v>1095</v>
      </c>
      <c r="B213" s="1446"/>
      <c r="C213" s="1446"/>
      <c r="D213" s="1446"/>
      <c r="E213" s="1446"/>
      <c r="F213" s="1446"/>
      <c r="G213" s="1447">
        <f>G198+1</f>
        <v>15</v>
      </c>
      <c r="H213" s="1447"/>
      <c r="I213" s="1447"/>
      <c r="J213" s="1448" t="s">
        <v>1096</v>
      </c>
      <c r="K213" s="1448"/>
      <c r="L213" s="574"/>
      <c r="M213" s="574"/>
      <c r="N213" s="574"/>
      <c r="O213" s="574"/>
      <c r="P213" s="574"/>
      <c r="Q213" s="574"/>
      <c r="R213" s="574"/>
      <c r="S213" s="574"/>
      <c r="T213" s="574"/>
      <c r="U213" s="574"/>
      <c r="V213" s="574"/>
      <c r="W213" s="574"/>
      <c r="X213" s="574"/>
      <c r="Y213" s="574"/>
      <c r="Z213" s="574"/>
      <c r="AA213" s="574"/>
      <c r="AB213" s="574"/>
      <c r="AC213" s="574"/>
      <c r="AD213" s="574"/>
      <c r="AE213" s="574"/>
      <c r="AF213" s="574"/>
      <c r="AG213" s="574"/>
      <c r="AH213" s="574"/>
      <c r="AI213" s="574"/>
      <c r="AJ213" s="574"/>
      <c r="AK213" s="574"/>
      <c r="AL213" s="574"/>
      <c r="AM213" s="574"/>
      <c r="AN213" s="574"/>
      <c r="AO213" s="574"/>
      <c r="AP213" s="574"/>
      <c r="AQ213" s="574"/>
      <c r="AR213" s="574"/>
      <c r="AS213" s="574"/>
      <c r="AT213" s="574"/>
      <c r="AU213" s="574"/>
      <c r="AV213" s="574"/>
      <c r="AW213" s="574"/>
      <c r="AX213" s="574"/>
      <c r="AY213" s="574"/>
      <c r="AZ213" s="574"/>
      <c r="BA213" s="574"/>
      <c r="BB213" s="574"/>
      <c r="BC213" s="574"/>
      <c r="BD213" s="574"/>
      <c r="BE213" s="574"/>
      <c r="BF213" s="574"/>
      <c r="BG213" s="574"/>
      <c r="BH213" s="574"/>
      <c r="BI213" s="574"/>
      <c r="BJ213" s="574"/>
      <c r="BK213" s="574"/>
      <c r="BL213" s="574"/>
      <c r="BM213" s="574"/>
      <c r="BN213" s="574"/>
      <c r="BO213" s="574"/>
      <c r="BP213" s="574"/>
      <c r="BQ213" s="574"/>
      <c r="BR213" s="574"/>
      <c r="BS213" s="574"/>
      <c r="BT213" s="574"/>
      <c r="BU213" s="574"/>
      <c r="BV213" s="574"/>
      <c r="BW213" s="574"/>
      <c r="BX213" s="574"/>
      <c r="BY213" s="574"/>
      <c r="BZ213" s="574"/>
      <c r="CA213" s="574"/>
      <c r="CB213" s="574"/>
      <c r="CC213" s="574"/>
      <c r="CD213" s="574"/>
      <c r="CE213" s="574"/>
      <c r="CF213" s="574"/>
    </row>
    <row r="214" spans="1:84" s="583" customFormat="1" ht="23.1" customHeight="1" thickBot="1">
      <c r="A214" s="1483" t="s">
        <v>1097</v>
      </c>
      <c r="B214" s="1484"/>
      <c r="C214" s="1484"/>
      <c r="D214" s="1484"/>
      <c r="E214" s="1484"/>
      <c r="F214" s="1484"/>
      <c r="G214" s="1484"/>
      <c r="H214" s="1484"/>
      <c r="I214" s="581" t="s">
        <v>1126</v>
      </c>
      <c r="J214" s="581"/>
      <c r="K214" s="581"/>
      <c r="L214" s="581"/>
      <c r="M214" s="581"/>
      <c r="N214" s="581"/>
      <c r="O214" s="581"/>
      <c r="P214" s="581"/>
      <c r="Q214" s="581"/>
      <c r="R214" s="581"/>
      <c r="S214" s="581"/>
      <c r="T214" s="581"/>
      <c r="U214" s="581"/>
      <c r="V214" s="581"/>
      <c r="W214" s="581"/>
      <c r="X214" s="581"/>
      <c r="Y214" s="581"/>
      <c r="Z214" s="581"/>
      <c r="AA214" s="581"/>
      <c r="AB214" s="581"/>
      <c r="AC214" s="581"/>
      <c r="AD214" s="581"/>
      <c r="AE214" s="581"/>
      <c r="AF214" s="581"/>
      <c r="AG214" s="581"/>
      <c r="AH214" s="581"/>
      <c r="AI214" s="581"/>
      <c r="AJ214" s="1484" t="s">
        <v>1099</v>
      </c>
      <c r="AK214" s="1484"/>
      <c r="AL214" s="1484"/>
      <c r="AM214" s="1484"/>
      <c r="AN214" s="1484"/>
      <c r="AO214" s="1484"/>
      <c r="AP214" s="1484"/>
      <c r="AQ214" s="581" t="s">
        <v>399</v>
      </c>
      <c r="AR214" s="581"/>
      <c r="AS214" s="581"/>
      <c r="AT214" s="581"/>
      <c r="AU214" s="581"/>
      <c r="AV214" s="581"/>
      <c r="AW214" s="581"/>
      <c r="AX214" s="581"/>
      <c r="AY214" s="581"/>
      <c r="AZ214" s="581"/>
      <c r="BA214" s="581"/>
      <c r="BB214" s="581"/>
      <c r="BC214" s="581"/>
      <c r="BD214" s="581"/>
      <c r="BE214" s="581"/>
      <c r="BF214" s="581"/>
      <c r="BG214" s="581"/>
      <c r="BH214" s="581"/>
      <c r="BI214" s="581"/>
      <c r="BJ214" s="581"/>
      <c r="BK214" s="581"/>
      <c r="BL214" s="581"/>
      <c r="BM214" s="581"/>
      <c r="BN214" s="581"/>
      <c r="BO214" s="581"/>
      <c r="BP214" s="581"/>
      <c r="BQ214" s="581"/>
      <c r="BR214" s="581"/>
      <c r="BS214" s="581"/>
      <c r="BT214" s="581" t="s">
        <v>1123</v>
      </c>
      <c r="BU214" s="581"/>
      <c r="BV214" s="581"/>
      <c r="BW214" s="581"/>
      <c r="BX214" s="581"/>
      <c r="BY214" s="581"/>
      <c r="BZ214" s="581"/>
      <c r="CA214" s="581"/>
      <c r="CB214" s="581"/>
      <c r="CC214" s="581"/>
      <c r="CD214" s="581"/>
      <c r="CE214" s="581"/>
      <c r="CF214" s="582"/>
    </row>
    <row r="215" spans="1:84" s="583" customFormat="1" ht="23.1" customHeight="1">
      <c r="A215" s="584"/>
      <c r="B215" s="585" t="s">
        <v>1102</v>
      </c>
      <c r="C215" s="585"/>
      <c r="D215" s="585"/>
      <c r="E215" s="585"/>
      <c r="F215" s="585"/>
      <c r="G215" s="585"/>
      <c r="H215" s="585"/>
      <c r="I215" s="585"/>
      <c r="J215" s="585"/>
      <c r="K215" s="585"/>
      <c r="L215" s="585"/>
      <c r="M215" s="585"/>
      <c r="N215" s="585"/>
      <c r="O215" s="585"/>
      <c r="P215" s="585"/>
      <c r="Q215" s="585"/>
      <c r="R215" s="585"/>
      <c r="S215" s="585"/>
      <c r="T215" s="585"/>
      <c r="U215" s="585"/>
      <c r="V215" s="585"/>
      <c r="W215" s="585"/>
      <c r="X215" s="585"/>
      <c r="Y215" s="585"/>
      <c r="Z215" s="585"/>
      <c r="AA215" s="585"/>
      <c r="AB215" s="585"/>
      <c r="AC215" s="585"/>
      <c r="AD215" s="585"/>
      <c r="AE215" s="585"/>
      <c r="AF215" s="585"/>
      <c r="AG215" s="585"/>
      <c r="AH215" s="585"/>
      <c r="AI215" s="585"/>
      <c r="AJ215" s="585"/>
      <c r="AK215" s="585"/>
      <c r="AL215" s="585"/>
      <c r="AM215" s="585"/>
      <c r="AN215" s="585"/>
      <c r="AO215" s="585"/>
      <c r="AP215" s="585"/>
      <c r="AQ215" s="585"/>
      <c r="AR215" s="585"/>
      <c r="AS215" s="585"/>
      <c r="AT215" s="585"/>
      <c r="AU215" s="585"/>
      <c r="AV215" s="585"/>
      <c r="AW215" s="585"/>
      <c r="AX215" s="585"/>
      <c r="AY215" s="585"/>
      <c r="AZ215" s="585"/>
      <c r="BA215" s="585"/>
      <c r="BB215" s="585"/>
      <c r="BC215" s="585"/>
      <c r="BD215" s="585"/>
      <c r="BE215" s="585"/>
      <c r="BF215" s="585"/>
      <c r="BG215" s="585"/>
      <c r="BH215" s="585"/>
      <c r="BI215" s="585"/>
      <c r="BJ215" s="585"/>
      <c r="BK215" s="585"/>
      <c r="BL215" s="585"/>
      <c r="BM215" s="585"/>
      <c r="BN215" s="585"/>
      <c r="BO215" s="585"/>
      <c r="BP215" s="585"/>
      <c r="BQ215" s="585"/>
      <c r="BR215" s="585"/>
      <c r="BS215" s="585"/>
      <c r="BT215" s="585"/>
      <c r="BU215" s="585"/>
      <c r="BV215" s="585"/>
      <c r="BW215" s="585"/>
      <c r="BX215" s="585"/>
      <c r="BY215" s="585"/>
      <c r="BZ215" s="585"/>
      <c r="CA215" s="585"/>
      <c r="CB215" s="585"/>
      <c r="CC215" s="585"/>
      <c r="CD215" s="585"/>
      <c r="CE215" s="585"/>
      <c r="CF215" s="586"/>
    </row>
    <row r="216" spans="1:84" s="583" customFormat="1" ht="23.1" customHeight="1">
      <c r="A216" s="587"/>
      <c r="B216" s="574"/>
      <c r="C216" s="574"/>
      <c r="D216" s="405"/>
      <c r="E216" s="574"/>
      <c r="F216" s="422"/>
      <c r="G216" s="422"/>
      <c r="H216" s="422"/>
      <c r="I216" s="422"/>
      <c r="J216" s="422"/>
      <c r="K216" s="422"/>
      <c r="L216" s="422"/>
      <c r="M216" s="422"/>
      <c r="N216" s="574"/>
      <c r="O216" s="574"/>
      <c r="P216" s="574"/>
      <c r="Q216" s="574"/>
      <c r="R216" s="574"/>
      <c r="S216" s="588"/>
      <c r="T216" s="588"/>
      <c r="U216" s="588"/>
      <c r="V216" s="588"/>
      <c r="W216" s="588"/>
      <c r="X216" s="588"/>
      <c r="Y216" s="588"/>
      <c r="Z216" s="588"/>
      <c r="AA216" s="574"/>
      <c r="AB216" s="588"/>
      <c r="AC216" s="585"/>
      <c r="AD216" s="585"/>
      <c r="AE216" s="600"/>
      <c r="AF216" s="600"/>
      <c r="AG216" s="600"/>
      <c r="AH216" s="600"/>
      <c r="AI216" s="600"/>
      <c r="AJ216" s="600"/>
      <c r="AK216" s="600"/>
      <c r="AL216" s="600"/>
      <c r="AM216" s="585"/>
      <c r="AN216" s="585"/>
      <c r="AO216" s="574"/>
      <c r="AP216" s="430"/>
      <c r="AQ216" s="430"/>
      <c r="AR216" s="430"/>
      <c r="AS216" s="430"/>
      <c r="AT216" s="430"/>
      <c r="AU216" s="430"/>
      <c r="AV216" s="430"/>
      <c r="AW216" s="430"/>
      <c r="AX216" s="430"/>
      <c r="AY216" s="430"/>
      <c r="AZ216" s="430"/>
      <c r="BA216" s="430"/>
      <c r="BB216" s="430"/>
      <c r="BC216" s="430"/>
      <c r="BD216" s="574"/>
      <c r="BE216" s="574"/>
      <c r="BF216" s="574"/>
      <c r="BG216" s="574"/>
      <c r="BH216" s="574"/>
      <c r="BI216" s="574"/>
      <c r="BJ216" s="574"/>
      <c r="BK216" s="574"/>
      <c r="BL216" s="574"/>
      <c r="BM216" s="574"/>
      <c r="BN216" s="574"/>
      <c r="BO216" s="574"/>
      <c r="BP216" s="574"/>
      <c r="BQ216" s="574"/>
      <c r="BR216" s="574"/>
      <c r="BS216" s="574"/>
      <c r="BT216" s="574"/>
      <c r="BU216" s="574"/>
      <c r="BV216" s="574"/>
      <c r="BW216" s="574"/>
      <c r="BX216" s="574"/>
      <c r="BY216" s="574"/>
      <c r="BZ216" s="574"/>
      <c r="CA216" s="574"/>
      <c r="CB216" s="574"/>
      <c r="CC216" s="574"/>
      <c r="CD216" s="574"/>
      <c r="CE216" s="574"/>
      <c r="CF216" s="589"/>
    </row>
    <row r="217" spans="1:84" s="583" customFormat="1" ht="23.1" customHeight="1">
      <c r="A217" s="584"/>
      <c r="B217" s="585"/>
      <c r="C217" s="585"/>
      <c r="H217" s="1502">
        <f>$AE$112</f>
        <v>117766000</v>
      </c>
      <c r="I217" s="1502"/>
      <c r="J217" s="1502"/>
      <c r="K217" s="1502"/>
      <c r="L217" s="1502"/>
      <c r="M217" s="1502"/>
      <c r="N217" s="1502"/>
      <c r="O217" s="1502"/>
      <c r="P217" s="1502"/>
      <c r="Q217" s="1502"/>
      <c r="R217" s="1502"/>
      <c r="S217" s="1502"/>
      <c r="T217" s="1502"/>
      <c r="U217" s="1502"/>
      <c r="V217" s="1502"/>
      <c r="W217" s="1431" t="s">
        <v>446</v>
      </c>
      <c r="X217" s="1431"/>
      <c r="Y217" s="1491" t="s">
        <v>1127</v>
      </c>
      <c r="Z217" s="1491"/>
      <c r="AA217" s="1503" t="s">
        <v>1103</v>
      </c>
      <c r="AB217" s="1503"/>
      <c r="AC217" s="1442">
        <v>900</v>
      </c>
      <c r="AD217" s="1442"/>
      <c r="AE217" s="1442"/>
      <c r="AF217" s="1442"/>
      <c r="AG217" s="1442"/>
      <c r="AH217" s="1442"/>
      <c r="AI217" s="1431" t="s">
        <v>1128</v>
      </c>
      <c r="AJ217" s="1431"/>
      <c r="AK217" s="1442">
        <v>700</v>
      </c>
      <c r="AL217" s="1442"/>
      <c r="AM217" s="1442"/>
      <c r="AN217" s="1442"/>
      <c r="AO217" s="1442"/>
      <c r="AP217" s="1442"/>
      <c r="AQ217" s="1503" t="s">
        <v>1105</v>
      </c>
      <c r="AR217" s="1503"/>
      <c r="AS217" s="1431" t="s">
        <v>446</v>
      </c>
      <c r="AT217" s="1431"/>
      <c r="AU217" s="1504">
        <v>1.1000000000000001</v>
      </c>
      <c r="AV217" s="1504"/>
      <c r="AW217" s="1504"/>
      <c r="AX217" s="1504"/>
      <c r="AY217" s="1504"/>
      <c r="AZ217" s="1431" t="s">
        <v>1128</v>
      </c>
      <c r="BA217" s="1431"/>
      <c r="BB217" s="1431">
        <v>485</v>
      </c>
      <c r="BC217" s="1431"/>
      <c r="BD217" s="1431"/>
      <c r="BE217" s="1431"/>
      <c r="BF217" s="1431"/>
      <c r="BG217" s="1491" t="s">
        <v>1096</v>
      </c>
      <c r="BH217" s="1491"/>
      <c r="BI217" s="1431" t="s">
        <v>446</v>
      </c>
      <c r="BJ217" s="1431"/>
      <c r="BK217" s="591" t="s">
        <v>1104</v>
      </c>
      <c r="BL217" s="585"/>
      <c r="BM217" s="585"/>
      <c r="BN217" s="585"/>
      <c r="BO217" s="585"/>
      <c r="BP217" s="1431" t="s">
        <v>41</v>
      </c>
      <c r="BQ217" s="1431"/>
      <c r="BR217" s="585"/>
      <c r="BS217" s="585"/>
      <c r="BT217" s="1437">
        <f>INT(H217*((AC217+AK217)*AU217+BB217)*10^-7)</f>
        <v>26438</v>
      </c>
      <c r="BU217" s="1437"/>
      <c r="BV217" s="1437"/>
      <c r="BW217" s="1437"/>
      <c r="BX217" s="1437"/>
      <c r="BY217" s="1437"/>
      <c r="BZ217" s="1437"/>
      <c r="CA217" s="1437"/>
      <c r="CB217" s="1437"/>
      <c r="CC217" s="1437"/>
      <c r="CD217" s="585"/>
      <c r="CE217" s="585"/>
      <c r="CF217" s="586"/>
    </row>
    <row r="218" spans="1:84" s="583" customFormat="1" ht="23.1" customHeight="1">
      <c r="A218" s="592"/>
      <c r="B218" s="593" t="s">
        <v>1106</v>
      </c>
      <c r="C218" s="593"/>
      <c r="D218" s="593"/>
      <c r="E218" s="593"/>
      <c r="F218" s="593"/>
      <c r="G218" s="593"/>
      <c r="H218" s="593"/>
      <c r="I218" s="593"/>
      <c r="J218" s="593"/>
      <c r="K218" s="593"/>
      <c r="L218" s="593"/>
      <c r="M218" s="593"/>
      <c r="N218" s="593"/>
      <c r="O218" s="593"/>
      <c r="P218" s="593"/>
      <c r="Q218" s="593"/>
      <c r="R218" s="593"/>
      <c r="S218" s="593"/>
      <c r="T218" s="593"/>
      <c r="U218" s="593"/>
      <c r="V218" s="593"/>
      <c r="W218" s="593"/>
      <c r="X218" s="593"/>
      <c r="Y218" s="593"/>
      <c r="Z218" s="593"/>
      <c r="AA218" s="593"/>
      <c r="AB218" s="593"/>
      <c r="AC218" s="593"/>
      <c r="AD218" s="593"/>
      <c r="AE218" s="593"/>
      <c r="AF218" s="593"/>
      <c r="AG218" s="593"/>
      <c r="AH218" s="593"/>
      <c r="AI218" s="593"/>
      <c r="AJ218" s="593"/>
      <c r="AK218" s="593"/>
      <c r="AL218" s="593"/>
      <c r="AM218" s="593"/>
      <c r="AN218" s="593"/>
      <c r="AO218" s="593"/>
      <c r="AP218" s="593"/>
      <c r="AQ218" s="593"/>
      <c r="AR218" s="593"/>
      <c r="AS218" s="593"/>
      <c r="AT218" s="593"/>
      <c r="AU218" s="593"/>
      <c r="AV218" s="593"/>
      <c r="AW218" s="593"/>
      <c r="AX218" s="593"/>
      <c r="AY218" s="593"/>
      <c r="AZ218" s="593"/>
      <c r="BA218" s="593"/>
      <c r="BB218" s="593"/>
      <c r="BC218" s="593"/>
      <c r="BD218" s="593"/>
      <c r="BE218" s="593"/>
      <c r="BF218" s="593"/>
      <c r="BG218" s="593"/>
      <c r="BH218" s="593"/>
      <c r="BI218" s="593"/>
      <c r="BJ218" s="593"/>
      <c r="BK218" s="593"/>
      <c r="BL218" s="593"/>
      <c r="BM218" s="593"/>
      <c r="BN218" s="593"/>
      <c r="BO218" s="593"/>
      <c r="BP218" s="593"/>
      <c r="BQ218" s="593"/>
      <c r="BR218" s="593"/>
      <c r="BS218" s="593"/>
      <c r="BT218" s="594"/>
      <c r="BU218" s="594"/>
      <c r="BV218" s="594"/>
      <c r="BW218" s="594"/>
      <c r="BX218" s="594"/>
      <c r="BY218" s="594"/>
      <c r="BZ218" s="594"/>
      <c r="CA218" s="594"/>
      <c r="CB218" s="594"/>
      <c r="CC218" s="594"/>
      <c r="CD218" s="593"/>
      <c r="CE218" s="593"/>
      <c r="CF218" s="595"/>
    </row>
    <row r="219" spans="1:84" s="583" customFormat="1" ht="23.1" customHeight="1">
      <c r="A219" s="584"/>
      <c r="B219" s="585"/>
      <c r="C219" s="585"/>
      <c r="D219" s="596" t="s">
        <v>268</v>
      </c>
      <c r="E219" s="585"/>
      <c r="F219" s="585"/>
      <c r="G219" s="585"/>
      <c r="H219" s="585"/>
      <c r="I219" s="585"/>
      <c r="J219" s="585"/>
      <c r="K219" s="585"/>
      <c r="L219" s="585"/>
      <c r="M219" s="585"/>
      <c r="N219" s="585"/>
      <c r="O219" s="585"/>
      <c r="P219" s="585"/>
      <c r="Q219" s="585"/>
      <c r="R219" s="585"/>
      <c r="S219" s="585"/>
      <c r="T219" s="574"/>
      <c r="U219" s="574"/>
      <c r="V219" s="1435">
        <f>HLOOKUP(D219,$CJ$1:$CM$3,3,0)</f>
        <v>283297</v>
      </c>
      <c r="W219" s="1435"/>
      <c r="X219" s="1435"/>
      <c r="Y219" s="1435"/>
      <c r="Z219" s="1435"/>
      <c r="AA219" s="1435"/>
      <c r="AB219" s="1435"/>
      <c r="AC219" s="1435"/>
      <c r="AD219" s="1435"/>
      <c r="AE219" s="1435"/>
      <c r="AF219" s="1431" t="s">
        <v>446</v>
      </c>
      <c r="AG219" s="1431"/>
      <c r="AH219" s="574"/>
      <c r="AI219" s="1436" t="s">
        <v>1107</v>
      </c>
      <c r="AJ219" s="1436"/>
      <c r="AK219" s="1436"/>
      <c r="AL219" s="1436"/>
      <c r="AM219" s="585"/>
      <c r="AN219" s="1431" t="s">
        <v>446</v>
      </c>
      <c r="AO219" s="1431"/>
      <c r="AP219" s="585"/>
      <c r="AQ219" s="1436" t="s">
        <v>1108</v>
      </c>
      <c r="AR219" s="1436"/>
      <c r="AS219" s="1436"/>
      <c r="AT219" s="1436"/>
      <c r="AU219" s="1436"/>
      <c r="AV219" s="422"/>
      <c r="AW219" s="1431" t="s">
        <v>446</v>
      </c>
      <c r="AX219" s="1431"/>
      <c r="AY219" s="440"/>
      <c r="AZ219" s="1436" t="s">
        <v>1109</v>
      </c>
      <c r="BA219" s="1436"/>
      <c r="BB219" s="1436"/>
      <c r="BC219" s="1436"/>
      <c r="BD219" s="1436"/>
      <c r="BE219" s="585"/>
      <c r="BF219" s="1431" t="s">
        <v>446</v>
      </c>
      <c r="BG219" s="1431"/>
      <c r="BH219" s="1431">
        <v>1</v>
      </c>
      <c r="BI219" s="1431"/>
      <c r="BJ219" s="1431"/>
      <c r="BK219" s="585"/>
      <c r="BL219" s="585" t="s">
        <v>366</v>
      </c>
      <c r="BM219" s="585"/>
      <c r="BN219" s="585"/>
      <c r="BO219" s="585"/>
      <c r="BP219" s="1431" t="s">
        <v>41</v>
      </c>
      <c r="BQ219" s="1431"/>
      <c r="BR219" s="585"/>
      <c r="BS219" s="585"/>
      <c r="BT219" s="1432">
        <f>INT(V219/8*16/12*25/20*BH219)</f>
        <v>59020</v>
      </c>
      <c r="BU219" s="1432"/>
      <c r="BV219" s="1432"/>
      <c r="BW219" s="1432"/>
      <c r="BX219" s="1432"/>
      <c r="BY219" s="1432"/>
      <c r="BZ219" s="1432"/>
      <c r="CA219" s="1432"/>
      <c r="CB219" s="1432"/>
      <c r="CC219" s="1432"/>
      <c r="CD219" s="585"/>
      <c r="CE219" s="585"/>
      <c r="CF219" s="586"/>
    </row>
    <row r="220" spans="1:84" s="583" customFormat="1" ht="23.1" customHeight="1">
      <c r="A220" s="584"/>
      <c r="B220" s="585"/>
      <c r="C220" s="585"/>
      <c r="D220" s="585"/>
      <c r="E220" s="585"/>
      <c r="F220" s="585"/>
      <c r="G220" s="585"/>
      <c r="H220" s="585"/>
      <c r="I220" s="585"/>
      <c r="J220" s="585"/>
      <c r="K220" s="585"/>
      <c r="L220" s="585"/>
      <c r="M220" s="585"/>
      <c r="N220" s="585"/>
      <c r="O220" s="585"/>
      <c r="P220" s="574"/>
      <c r="Q220" s="574"/>
      <c r="R220" s="574"/>
      <c r="S220" s="574"/>
      <c r="T220" s="574"/>
      <c r="U220" s="574"/>
      <c r="V220" s="574"/>
      <c r="W220" s="574"/>
      <c r="X220" s="574"/>
      <c r="Y220" s="574"/>
      <c r="Z220" s="574"/>
      <c r="AA220" s="574"/>
      <c r="AB220" s="574"/>
      <c r="AC220" s="574"/>
      <c r="AD220" s="574"/>
      <c r="AE220" s="574"/>
      <c r="AF220" s="574"/>
      <c r="AG220" s="574"/>
      <c r="AH220" s="574"/>
      <c r="AI220" s="574"/>
      <c r="AJ220" s="574"/>
      <c r="AK220" s="574"/>
      <c r="AL220" s="574"/>
      <c r="AM220" s="574"/>
      <c r="AN220" s="574"/>
      <c r="AO220" s="574"/>
      <c r="AP220" s="574"/>
      <c r="AQ220" s="574"/>
      <c r="AR220" s="574"/>
      <c r="AS220" s="574"/>
      <c r="AT220" s="574"/>
      <c r="AU220" s="574"/>
      <c r="AV220" s="574"/>
      <c r="AW220" s="574"/>
      <c r="AX220" s="574"/>
      <c r="AY220" s="574"/>
      <c r="AZ220" s="574"/>
      <c r="BA220" s="574"/>
      <c r="BB220" s="574"/>
      <c r="BC220" s="574"/>
      <c r="BD220" s="574"/>
      <c r="BE220" s="574"/>
      <c r="BF220" s="574"/>
      <c r="BG220" s="585"/>
      <c r="BH220" s="585"/>
      <c r="BI220" s="585"/>
      <c r="BJ220" s="585"/>
      <c r="BK220" s="585"/>
      <c r="BL220" s="585"/>
      <c r="BM220" s="585"/>
      <c r="BN220" s="585"/>
      <c r="BO220" s="585"/>
      <c r="BP220" s="1431"/>
      <c r="BQ220" s="1431"/>
      <c r="BR220" s="585"/>
      <c r="BS220" s="585"/>
      <c r="BT220" s="1432"/>
      <c r="BU220" s="1432"/>
      <c r="BV220" s="1432"/>
      <c r="BW220" s="1432"/>
      <c r="BX220" s="1432"/>
      <c r="BY220" s="1432"/>
      <c r="BZ220" s="1432"/>
      <c r="CA220" s="1432"/>
      <c r="CB220" s="1432"/>
      <c r="CC220" s="1432"/>
      <c r="CD220" s="585"/>
      <c r="CE220" s="585"/>
      <c r="CF220" s="586"/>
    </row>
    <row r="221" spans="1:84" s="583" customFormat="1" ht="23.1" customHeight="1">
      <c r="A221" s="584"/>
      <c r="B221" s="585"/>
      <c r="C221" s="585"/>
      <c r="D221" s="585"/>
      <c r="E221" s="585"/>
      <c r="F221" s="585"/>
      <c r="G221" s="585"/>
      <c r="H221" s="585"/>
      <c r="I221" s="585"/>
      <c r="J221" s="585"/>
      <c r="K221" s="585"/>
      <c r="L221" s="585"/>
      <c r="M221" s="585"/>
      <c r="N221" s="585"/>
      <c r="O221" s="585"/>
      <c r="P221" s="585"/>
      <c r="Q221" s="585"/>
      <c r="R221" s="585"/>
      <c r="S221" s="585"/>
      <c r="T221" s="585"/>
      <c r="U221" s="585"/>
      <c r="V221" s="585"/>
      <c r="W221" s="585"/>
      <c r="X221" s="585"/>
      <c r="Y221" s="585"/>
      <c r="Z221" s="585"/>
      <c r="AA221" s="585"/>
      <c r="AB221" s="585"/>
      <c r="AC221" s="585"/>
      <c r="AD221" s="574"/>
      <c r="AE221" s="574"/>
      <c r="AF221" s="574"/>
      <c r="AG221" s="574"/>
      <c r="AH221" s="574"/>
      <c r="AI221" s="574"/>
      <c r="AJ221" s="574"/>
      <c r="AK221" s="574"/>
      <c r="AL221" s="574"/>
      <c r="AM221" s="574"/>
      <c r="AN221" s="574"/>
      <c r="AO221" s="574"/>
      <c r="AP221" s="574"/>
      <c r="AQ221" s="574"/>
      <c r="AR221" s="574"/>
      <c r="AS221" s="585"/>
      <c r="AT221" s="590"/>
      <c r="AU221" s="590"/>
      <c r="AV221" s="585"/>
      <c r="AW221" s="585"/>
      <c r="AX221" s="585"/>
      <c r="AY221" s="585"/>
      <c r="AZ221" s="585"/>
      <c r="BA221" s="585"/>
      <c r="BB221" s="585"/>
      <c r="BC221" s="585"/>
      <c r="BD221" s="585"/>
      <c r="BE221" s="585"/>
      <c r="BF221" s="585"/>
      <c r="BG221" s="585"/>
      <c r="BH221" s="585"/>
      <c r="BI221" s="585"/>
      <c r="BJ221" s="585"/>
      <c r="BK221" s="585"/>
      <c r="BL221" s="585"/>
      <c r="BM221" s="585"/>
      <c r="BN221" s="585"/>
      <c r="BO221" s="585"/>
      <c r="BP221" s="1431" t="s">
        <v>41</v>
      </c>
      <c r="BQ221" s="1431"/>
      <c r="BR221" s="585"/>
      <c r="BS221" s="585"/>
      <c r="BT221" s="1434">
        <f>BT219+BT220</f>
        <v>59020</v>
      </c>
      <c r="BU221" s="1434"/>
      <c r="BV221" s="1434"/>
      <c r="BW221" s="1434"/>
      <c r="BX221" s="1434"/>
      <c r="BY221" s="1434"/>
      <c r="BZ221" s="1434"/>
      <c r="CA221" s="1434"/>
      <c r="CB221" s="1434"/>
      <c r="CC221" s="1434"/>
      <c r="CD221" s="585"/>
      <c r="CE221" s="585"/>
      <c r="CF221" s="586"/>
    </row>
    <row r="222" spans="1:84" s="583" customFormat="1" ht="23.1" customHeight="1">
      <c r="A222" s="592"/>
      <c r="B222" s="593" t="s">
        <v>1110</v>
      </c>
      <c r="C222" s="593"/>
      <c r="D222" s="593"/>
      <c r="E222" s="593"/>
      <c r="F222" s="593"/>
      <c r="G222" s="593"/>
      <c r="H222" s="593"/>
      <c r="I222" s="593"/>
      <c r="J222" s="593"/>
      <c r="K222" s="593"/>
      <c r="L222" s="593"/>
      <c r="M222" s="593"/>
      <c r="N222" s="593"/>
      <c r="O222" s="593"/>
      <c r="P222" s="593"/>
      <c r="Q222" s="593"/>
      <c r="R222" s="593"/>
      <c r="S222" s="593"/>
      <c r="T222" s="593"/>
      <c r="U222" s="593"/>
      <c r="V222" s="593"/>
      <c r="W222" s="593"/>
      <c r="X222" s="593"/>
      <c r="Y222" s="593"/>
      <c r="Z222" s="593"/>
      <c r="AA222" s="593"/>
      <c r="AB222" s="593"/>
      <c r="AC222" s="593"/>
      <c r="AD222" s="593"/>
      <c r="AE222" s="593"/>
      <c r="AF222" s="593"/>
      <c r="AG222" s="593"/>
      <c r="AH222" s="593"/>
      <c r="AI222" s="593"/>
      <c r="AJ222" s="593"/>
      <c r="AK222" s="593"/>
      <c r="AL222" s="593"/>
      <c r="AM222" s="593"/>
      <c r="AN222" s="593"/>
      <c r="AO222" s="593"/>
      <c r="AP222" s="593"/>
      <c r="AQ222" s="593"/>
      <c r="AR222" s="593"/>
      <c r="AS222" s="593"/>
      <c r="AT222" s="593"/>
      <c r="AU222" s="593"/>
      <c r="AV222" s="593"/>
      <c r="AW222" s="593"/>
      <c r="AX222" s="593"/>
      <c r="AY222" s="593"/>
      <c r="AZ222" s="593"/>
      <c r="BA222" s="593"/>
      <c r="BB222" s="593"/>
      <c r="BC222" s="593"/>
      <c r="BD222" s="593"/>
      <c r="BE222" s="593"/>
      <c r="BF222" s="593"/>
      <c r="BG222" s="593"/>
      <c r="BH222" s="593"/>
      <c r="BI222" s="593"/>
      <c r="BJ222" s="593"/>
      <c r="BK222" s="593"/>
      <c r="BL222" s="593"/>
      <c r="BM222" s="593"/>
      <c r="BN222" s="593"/>
      <c r="BO222" s="593"/>
      <c r="BP222" s="593"/>
      <c r="BQ222" s="593"/>
      <c r="BR222" s="593"/>
      <c r="BS222" s="593"/>
      <c r="BT222" s="593"/>
      <c r="BU222" s="593"/>
      <c r="BV222" s="593"/>
      <c r="BW222" s="593"/>
      <c r="BX222" s="593"/>
      <c r="BY222" s="593"/>
      <c r="BZ222" s="593"/>
      <c r="CA222" s="593"/>
      <c r="CB222" s="593"/>
      <c r="CC222" s="593"/>
      <c r="CD222" s="593"/>
      <c r="CE222" s="593"/>
      <c r="CF222" s="595"/>
    </row>
    <row r="223" spans="1:84" s="583" customFormat="1" ht="23.1" customHeight="1">
      <c r="A223" s="584"/>
      <c r="B223" s="585"/>
      <c r="C223" s="585"/>
      <c r="D223" s="596" t="s">
        <v>1094</v>
      </c>
      <c r="E223" s="585"/>
      <c r="F223" s="585"/>
      <c r="G223" s="585"/>
      <c r="H223" s="585"/>
      <c r="I223" s="585"/>
      <c r="J223" s="585"/>
      <c r="K223" s="585"/>
      <c r="L223" s="585"/>
      <c r="M223" s="585"/>
      <c r="N223" s="585"/>
      <c r="O223" s="585"/>
      <c r="P223" s="585"/>
      <c r="Q223" s="585"/>
      <c r="R223" s="585"/>
      <c r="S223" s="585"/>
      <c r="T223" s="585"/>
      <c r="U223" s="585"/>
      <c r="V223" s="585"/>
      <c r="W223" s="585"/>
      <c r="X223" s="585"/>
      <c r="Y223" s="585"/>
      <c r="Z223" s="585"/>
      <c r="AA223" s="585"/>
      <c r="AB223" s="585"/>
      <c r="AC223" s="585"/>
      <c r="AD223" s="585"/>
      <c r="AE223" s="585"/>
      <c r="AF223" s="585"/>
      <c r="AG223" s="585"/>
      <c r="AH223" s="585"/>
      <c r="AI223" s="585"/>
      <c r="AJ223" s="585"/>
      <c r="AK223" s="585"/>
      <c r="AL223" s="585"/>
      <c r="AM223" s="585"/>
      <c r="AN223" s="585"/>
      <c r="AO223" s="585"/>
      <c r="AP223" s="585"/>
      <c r="AQ223" s="585"/>
      <c r="AR223" s="422"/>
      <c r="AS223" s="1435" t="e">
        <f>HLOOKUP(D223,$CN$1:$CO$3,3,0)</f>
        <v>#REF!</v>
      </c>
      <c r="AT223" s="1435"/>
      <c r="AU223" s="1435"/>
      <c r="AV223" s="1435"/>
      <c r="AW223" s="1435"/>
      <c r="AX223" s="1435"/>
      <c r="AY223" s="1435"/>
      <c r="AZ223" s="1435"/>
      <c r="BA223" s="1435"/>
      <c r="BB223" s="1435"/>
      <c r="BC223" s="585"/>
      <c r="BD223" s="1431" t="s">
        <v>446</v>
      </c>
      <c r="BE223" s="1431"/>
      <c r="BF223" s="585"/>
      <c r="BG223" s="1431">
        <v>11.6</v>
      </c>
      <c r="BH223" s="1431"/>
      <c r="BI223" s="1431"/>
      <c r="BJ223" s="1431"/>
      <c r="BK223" s="1431"/>
      <c r="BL223" s="585" t="s">
        <v>1111</v>
      </c>
      <c r="BM223" s="585"/>
      <c r="BN223" s="585"/>
      <c r="BO223" s="585"/>
      <c r="BP223" s="1431" t="s">
        <v>41</v>
      </c>
      <c r="BQ223" s="1431"/>
      <c r="BR223" s="585"/>
      <c r="BS223" s="585"/>
      <c r="BT223" s="1432" t="e">
        <f>INT(AS223*BG223)</f>
        <v>#REF!</v>
      </c>
      <c r="BU223" s="1432"/>
      <c r="BV223" s="1432"/>
      <c r="BW223" s="1432"/>
      <c r="BX223" s="1432"/>
      <c r="BY223" s="1432"/>
      <c r="BZ223" s="1432"/>
      <c r="CA223" s="1432"/>
      <c r="CB223" s="1432"/>
      <c r="CC223" s="1432"/>
      <c r="CD223" s="585"/>
      <c r="CE223" s="585"/>
      <c r="CF223" s="586"/>
    </row>
    <row r="224" spans="1:84" s="583" customFormat="1" ht="23.1" customHeight="1">
      <c r="A224" s="584"/>
      <c r="B224" s="585"/>
      <c r="C224" s="585"/>
      <c r="D224" s="591" t="str">
        <f>"잡재료 (주연료의 "&amp;BG224&amp;"%) :"</f>
        <v>잡재료 (주연료의 22%) :</v>
      </c>
      <c r="E224" s="585"/>
      <c r="F224" s="585"/>
      <c r="G224" s="585"/>
      <c r="H224" s="585"/>
      <c r="I224" s="585"/>
      <c r="J224" s="585"/>
      <c r="K224" s="585"/>
      <c r="L224" s="585"/>
      <c r="M224" s="585"/>
      <c r="N224" s="585"/>
      <c r="O224" s="585"/>
      <c r="P224" s="585"/>
      <c r="Q224" s="585"/>
      <c r="R224" s="585"/>
      <c r="S224" s="585"/>
      <c r="T224" s="585"/>
      <c r="U224" s="585"/>
      <c r="V224" s="585"/>
      <c r="W224" s="585"/>
      <c r="X224" s="585"/>
      <c r="Y224" s="585"/>
      <c r="Z224" s="585"/>
      <c r="AA224" s="585"/>
      <c r="AB224" s="585"/>
      <c r="AC224" s="585"/>
      <c r="AD224" s="585"/>
      <c r="AE224" s="585"/>
      <c r="AF224" s="585"/>
      <c r="AG224" s="585"/>
      <c r="AH224" s="585"/>
      <c r="AI224" s="585"/>
      <c r="AJ224" s="585"/>
      <c r="AK224" s="585"/>
      <c r="AL224" s="585"/>
      <c r="AM224" s="585"/>
      <c r="AN224" s="585"/>
      <c r="AO224" s="585"/>
      <c r="AP224" s="585"/>
      <c r="AQ224" s="585"/>
      <c r="AR224" s="422" t="e">
        <f>BT223</f>
        <v>#REF!</v>
      </c>
      <c r="AS224" s="1430" t="e">
        <f>BT223</f>
        <v>#REF!</v>
      </c>
      <c r="AT224" s="1430"/>
      <c r="AU224" s="1430"/>
      <c r="AV224" s="1430"/>
      <c r="AW224" s="1430"/>
      <c r="AX224" s="1430"/>
      <c r="AY224" s="1430"/>
      <c r="AZ224" s="1430"/>
      <c r="BA224" s="1430"/>
      <c r="BB224" s="1430"/>
      <c r="BC224" s="585"/>
      <c r="BD224" s="1431" t="s">
        <v>446</v>
      </c>
      <c r="BE224" s="1431"/>
      <c r="BF224" s="585"/>
      <c r="BG224" s="1431">
        <v>22</v>
      </c>
      <c r="BH224" s="1431"/>
      <c r="BI224" s="1431"/>
      <c r="BJ224" s="1431"/>
      <c r="BK224" s="1431"/>
      <c r="BL224" s="585" t="s">
        <v>1112</v>
      </c>
      <c r="BM224" s="585"/>
      <c r="BN224" s="585"/>
      <c r="BO224" s="585"/>
      <c r="BP224" s="1431" t="s">
        <v>41</v>
      </c>
      <c r="BQ224" s="1431"/>
      <c r="BR224" s="585"/>
      <c r="BS224" s="585"/>
      <c r="BT224" s="1432" t="e">
        <f>INT(AS224*BG224/100)</f>
        <v>#REF!</v>
      </c>
      <c r="BU224" s="1432"/>
      <c r="BV224" s="1432"/>
      <c r="BW224" s="1432"/>
      <c r="BX224" s="1432"/>
      <c r="BY224" s="1432"/>
      <c r="BZ224" s="1432"/>
      <c r="CA224" s="1432"/>
      <c r="CB224" s="1432"/>
      <c r="CC224" s="1432"/>
      <c r="CD224" s="585"/>
      <c r="CE224" s="585"/>
      <c r="CF224" s="586"/>
    </row>
    <row r="225" spans="1:84" s="583" customFormat="1" ht="23.1" customHeight="1" thickBot="1">
      <c r="A225" s="584"/>
      <c r="B225" s="585"/>
      <c r="C225" s="585"/>
      <c r="D225" s="585"/>
      <c r="E225" s="585"/>
      <c r="F225" s="585"/>
      <c r="G225" s="585"/>
      <c r="H225" s="585"/>
      <c r="I225" s="585"/>
      <c r="J225" s="585"/>
      <c r="K225" s="585"/>
      <c r="L225" s="585"/>
      <c r="M225" s="585"/>
      <c r="N225" s="585"/>
      <c r="O225" s="585"/>
      <c r="P225" s="585"/>
      <c r="Q225" s="585"/>
      <c r="R225" s="585"/>
      <c r="S225" s="585"/>
      <c r="T225" s="585"/>
      <c r="U225" s="585"/>
      <c r="V225" s="585"/>
      <c r="W225" s="585"/>
      <c r="X225" s="585"/>
      <c r="Y225" s="585"/>
      <c r="Z225" s="585"/>
      <c r="AA225" s="585"/>
      <c r="AB225" s="585"/>
      <c r="AC225" s="585"/>
      <c r="AD225" s="585"/>
      <c r="AE225" s="585"/>
      <c r="AF225" s="585"/>
      <c r="AG225" s="585"/>
      <c r="AH225" s="585"/>
      <c r="AI225" s="585"/>
      <c r="AJ225" s="585"/>
      <c r="AK225" s="585"/>
      <c r="AL225" s="585"/>
      <c r="AM225" s="585"/>
      <c r="AN225" s="585"/>
      <c r="AO225" s="585"/>
      <c r="AP225" s="585"/>
      <c r="AQ225" s="585"/>
      <c r="AR225" s="585"/>
      <c r="AS225" s="585"/>
      <c r="AT225" s="585"/>
      <c r="AU225" s="585"/>
      <c r="AV225" s="585"/>
      <c r="AW225" s="585"/>
      <c r="AX225" s="585"/>
      <c r="AY225" s="585"/>
      <c r="AZ225" s="585"/>
      <c r="BA225" s="585"/>
      <c r="BB225" s="585"/>
      <c r="BC225" s="585"/>
      <c r="BD225" s="585"/>
      <c r="BE225" s="585"/>
      <c r="BF225" s="585"/>
      <c r="BG225" s="585"/>
      <c r="BH225" s="585"/>
      <c r="BI225" s="585"/>
      <c r="BJ225" s="585"/>
      <c r="BK225" s="585"/>
      <c r="BL225" s="585"/>
      <c r="BM225" s="585"/>
      <c r="BN225" s="585"/>
      <c r="BO225" s="585"/>
      <c r="BP225" s="1431" t="s">
        <v>41</v>
      </c>
      <c r="BQ225" s="1431"/>
      <c r="BR225" s="585"/>
      <c r="BS225" s="585"/>
      <c r="BT225" s="1433" t="e">
        <f>BT223+BT224</f>
        <v>#REF!</v>
      </c>
      <c r="BU225" s="1433"/>
      <c r="BV225" s="1433"/>
      <c r="BW225" s="1433"/>
      <c r="BX225" s="1433"/>
      <c r="BY225" s="1433"/>
      <c r="BZ225" s="1433"/>
      <c r="CA225" s="1433"/>
      <c r="CB225" s="1433"/>
      <c r="CC225" s="1433"/>
      <c r="CD225" s="585"/>
      <c r="CE225" s="585"/>
      <c r="CF225" s="586"/>
    </row>
    <row r="226" spans="1:84" s="583" customFormat="1" ht="23.1" customHeight="1" thickBot="1">
      <c r="A226" s="597"/>
      <c r="B226" s="598" t="s">
        <v>1113</v>
      </c>
      <c r="C226" s="598"/>
      <c r="D226" s="598"/>
      <c r="E226" s="598"/>
      <c r="F226" s="598"/>
      <c r="G226" s="598"/>
      <c r="H226" s="598"/>
      <c r="I226" s="598"/>
      <c r="J226" s="598"/>
      <c r="K226" s="598"/>
      <c r="L226" s="598"/>
      <c r="M226" s="598"/>
      <c r="N226" s="598"/>
      <c r="O226" s="598"/>
      <c r="P226" s="598"/>
      <c r="Q226" s="598"/>
      <c r="R226" s="598"/>
      <c r="S226" s="598"/>
      <c r="T226" s="598"/>
      <c r="U226" s="598"/>
      <c r="V226" s="598"/>
      <c r="W226" s="598"/>
      <c r="X226" s="598"/>
      <c r="Y226" s="598"/>
      <c r="Z226" s="598"/>
      <c r="AA226" s="598"/>
      <c r="AB226" s="598"/>
      <c r="AC226" s="598"/>
      <c r="AD226" s="598"/>
      <c r="AE226" s="598"/>
      <c r="AF226" s="598"/>
      <c r="AG226" s="598"/>
      <c r="AH226" s="598"/>
      <c r="AI226" s="598"/>
      <c r="AJ226" s="598"/>
      <c r="AK226" s="598"/>
      <c r="AL226" s="598"/>
      <c r="AM226" s="598"/>
      <c r="AN226" s="598"/>
      <c r="AO226" s="598"/>
      <c r="AP226" s="598"/>
      <c r="AQ226" s="598"/>
      <c r="AR226" s="598"/>
      <c r="AS226" s="598"/>
      <c r="AT226" s="598"/>
      <c r="AU226" s="598"/>
      <c r="AV226" s="598"/>
      <c r="AW226" s="598"/>
      <c r="AX226" s="598"/>
      <c r="AY226" s="598"/>
      <c r="AZ226" s="598"/>
      <c r="BA226" s="598"/>
      <c r="BB226" s="598"/>
      <c r="BC226" s="598"/>
      <c r="BD226" s="598"/>
      <c r="BE226" s="598"/>
      <c r="BF226" s="598"/>
      <c r="BG226" s="598"/>
      <c r="BH226" s="598"/>
      <c r="BI226" s="598"/>
      <c r="BJ226" s="598"/>
      <c r="BK226" s="598"/>
      <c r="BL226" s="598"/>
      <c r="BM226" s="598"/>
      <c r="BN226" s="598"/>
      <c r="BO226" s="598"/>
      <c r="BP226" s="598"/>
      <c r="BQ226" s="598"/>
      <c r="BR226" s="598"/>
      <c r="BS226" s="598"/>
      <c r="BT226" s="1429" t="e">
        <f>BT217+BT221+BT225</f>
        <v>#REF!</v>
      </c>
      <c r="BU226" s="1429"/>
      <c r="BV226" s="1429"/>
      <c r="BW226" s="1429"/>
      <c r="BX226" s="1429"/>
      <c r="BY226" s="1429"/>
      <c r="BZ226" s="1429"/>
      <c r="CA226" s="1429"/>
      <c r="CB226" s="1429"/>
      <c r="CC226" s="1429"/>
      <c r="CD226" s="598"/>
      <c r="CE226" s="598"/>
      <c r="CF226" s="599"/>
    </row>
    <row r="227" spans="1:84" s="583" customFormat="1" ht="9.9499999999999993" customHeight="1">
      <c r="A227" s="574"/>
      <c r="B227" s="574"/>
      <c r="C227" s="574"/>
      <c r="D227" s="574"/>
      <c r="E227" s="574"/>
      <c r="F227" s="574"/>
      <c r="G227" s="574"/>
      <c r="H227" s="574"/>
      <c r="I227" s="574"/>
      <c r="J227" s="574"/>
      <c r="K227" s="574"/>
      <c r="L227" s="574"/>
      <c r="M227" s="574"/>
      <c r="N227" s="574"/>
      <c r="O227" s="574"/>
      <c r="P227" s="574"/>
      <c r="Q227" s="574"/>
      <c r="R227" s="574"/>
      <c r="S227" s="574"/>
      <c r="T227" s="574"/>
      <c r="U227" s="574"/>
      <c r="V227" s="574"/>
      <c r="W227" s="574"/>
      <c r="X227" s="574"/>
      <c r="Y227" s="574"/>
      <c r="Z227" s="574"/>
      <c r="AA227" s="574"/>
      <c r="AB227" s="574"/>
      <c r="AC227" s="574"/>
      <c r="AD227" s="574"/>
      <c r="AE227" s="574"/>
      <c r="AF227" s="574"/>
      <c r="AG227" s="574"/>
      <c r="AH227" s="574"/>
      <c r="AI227" s="574"/>
      <c r="AJ227" s="574"/>
      <c r="AK227" s="574"/>
      <c r="AL227" s="574"/>
      <c r="AM227" s="574"/>
      <c r="AN227" s="574"/>
      <c r="AO227" s="574"/>
      <c r="AP227" s="574"/>
      <c r="AQ227" s="574"/>
      <c r="AR227" s="574"/>
      <c r="AS227" s="574"/>
      <c r="AT227" s="574"/>
      <c r="AU227" s="574"/>
      <c r="AV227" s="574"/>
      <c r="AW227" s="574"/>
      <c r="AX227" s="574"/>
      <c r="AY227" s="574"/>
      <c r="AZ227" s="574"/>
      <c r="BA227" s="574"/>
      <c r="BB227" s="574"/>
      <c r="BC227" s="574"/>
      <c r="BD227" s="574"/>
      <c r="BE227" s="574"/>
      <c r="BF227" s="574"/>
      <c r="BG227" s="574"/>
      <c r="BH227" s="574"/>
      <c r="BI227" s="574"/>
      <c r="BJ227" s="574"/>
      <c r="BK227" s="574"/>
      <c r="BL227" s="574"/>
      <c r="BM227" s="574"/>
      <c r="BN227" s="574"/>
      <c r="BO227" s="574"/>
      <c r="BP227" s="574"/>
      <c r="BQ227" s="574"/>
      <c r="BR227" s="574"/>
      <c r="BS227" s="574"/>
      <c r="BT227" s="574"/>
      <c r="BU227" s="574"/>
      <c r="BV227" s="574"/>
      <c r="BW227" s="574"/>
      <c r="BX227" s="574"/>
      <c r="BY227" s="574"/>
      <c r="BZ227" s="574"/>
      <c r="CA227" s="574"/>
      <c r="CB227" s="574"/>
      <c r="CC227" s="574"/>
      <c r="CD227" s="574"/>
      <c r="CE227" s="574"/>
      <c r="CF227" s="574"/>
    </row>
    <row r="228" spans="1:84" s="583" customFormat="1" ht="23.1" customHeight="1" thickBot="1">
      <c r="A228" s="1446" t="s">
        <v>1095</v>
      </c>
      <c r="B228" s="1446"/>
      <c r="C228" s="1446"/>
      <c r="D228" s="1446"/>
      <c r="E228" s="1446"/>
      <c r="F228" s="1446"/>
      <c r="G228" s="1447">
        <f>G213+1</f>
        <v>16</v>
      </c>
      <c r="H228" s="1447"/>
      <c r="I228" s="1447"/>
      <c r="J228" s="1448" t="s">
        <v>1096</v>
      </c>
      <c r="K228" s="1448"/>
      <c r="L228" s="574"/>
      <c r="M228" s="574"/>
      <c r="N228" s="574"/>
      <c r="O228" s="574"/>
      <c r="P228" s="574"/>
      <c r="Q228" s="574"/>
      <c r="R228" s="574"/>
      <c r="S228" s="574"/>
      <c r="T228" s="574"/>
      <c r="U228" s="574"/>
      <c r="V228" s="574"/>
      <c r="W228" s="574"/>
      <c r="X228" s="574"/>
      <c r="Y228" s="574"/>
      <c r="Z228" s="574"/>
      <c r="AA228" s="574"/>
      <c r="AB228" s="574"/>
      <c r="AC228" s="574"/>
      <c r="AD228" s="574"/>
      <c r="AE228" s="574"/>
      <c r="AF228" s="574"/>
      <c r="AG228" s="574"/>
      <c r="AH228" s="574"/>
      <c r="AI228" s="574"/>
      <c r="AJ228" s="574"/>
      <c r="AK228" s="574"/>
      <c r="AL228" s="574"/>
      <c r="AM228" s="574"/>
      <c r="AN228" s="574"/>
      <c r="AO228" s="574"/>
      <c r="AP228" s="574"/>
      <c r="AQ228" s="574"/>
      <c r="AR228" s="574"/>
      <c r="AS228" s="574"/>
      <c r="AT228" s="574"/>
      <c r="AU228" s="574"/>
      <c r="AV228" s="574"/>
      <c r="AW228" s="574"/>
      <c r="AX228" s="574"/>
      <c r="AY228" s="574"/>
      <c r="AZ228" s="574"/>
      <c r="BA228" s="574"/>
      <c r="BB228" s="574"/>
      <c r="BC228" s="574"/>
      <c r="BD228" s="574"/>
      <c r="BE228" s="574"/>
      <c r="BF228" s="574"/>
      <c r="BG228" s="574"/>
      <c r="BH228" s="574"/>
      <c r="BI228" s="574"/>
      <c r="BJ228" s="574"/>
      <c r="BK228" s="574"/>
      <c r="BL228" s="574"/>
      <c r="BM228" s="574"/>
      <c r="BN228" s="574"/>
      <c r="BO228" s="574"/>
      <c r="BP228" s="574"/>
      <c r="BQ228" s="574"/>
      <c r="BR228" s="574"/>
      <c r="BS228" s="574"/>
      <c r="BT228" s="574"/>
      <c r="BU228" s="574"/>
      <c r="BV228" s="574"/>
      <c r="BW228" s="574"/>
      <c r="BX228" s="574"/>
      <c r="BY228" s="574"/>
      <c r="BZ228" s="574"/>
      <c r="CA228" s="574"/>
      <c r="CB228" s="574"/>
      <c r="CC228" s="574"/>
      <c r="CD228" s="574"/>
      <c r="CE228" s="574"/>
      <c r="CF228" s="574"/>
    </row>
    <row r="229" spans="1:84" s="583" customFormat="1" ht="23.1" customHeight="1" thickBot="1">
      <c r="A229" s="1483" t="s">
        <v>1097</v>
      </c>
      <c r="B229" s="1484"/>
      <c r="C229" s="1484"/>
      <c r="D229" s="1484"/>
      <c r="E229" s="1484"/>
      <c r="F229" s="1484"/>
      <c r="G229" s="1484"/>
      <c r="H229" s="1484"/>
      <c r="I229" s="581" t="s">
        <v>1126</v>
      </c>
      <c r="J229" s="581"/>
      <c r="K229" s="581"/>
      <c r="L229" s="581"/>
      <c r="M229" s="581"/>
      <c r="N229" s="581"/>
      <c r="O229" s="581"/>
      <c r="P229" s="581"/>
      <c r="Q229" s="581"/>
      <c r="R229" s="581"/>
      <c r="S229" s="581"/>
      <c r="T229" s="581"/>
      <c r="U229" s="581"/>
      <c r="V229" s="581"/>
      <c r="W229" s="581"/>
      <c r="X229" s="581"/>
      <c r="Y229" s="581"/>
      <c r="Z229" s="581"/>
      <c r="AA229" s="581"/>
      <c r="AB229" s="581"/>
      <c r="AC229" s="581"/>
      <c r="AD229" s="581"/>
      <c r="AE229" s="581"/>
      <c r="AF229" s="581"/>
      <c r="AG229" s="581"/>
      <c r="AH229" s="581"/>
      <c r="AI229" s="581"/>
      <c r="AJ229" s="1484" t="s">
        <v>1099</v>
      </c>
      <c r="AK229" s="1484"/>
      <c r="AL229" s="1484"/>
      <c r="AM229" s="1484"/>
      <c r="AN229" s="1484"/>
      <c r="AO229" s="1484"/>
      <c r="AP229" s="1484"/>
      <c r="AQ229" s="581" t="s">
        <v>400</v>
      </c>
      <c r="AR229" s="581"/>
      <c r="AS229" s="581"/>
      <c r="AT229" s="581"/>
      <c r="AU229" s="581"/>
      <c r="AV229" s="581"/>
      <c r="AW229" s="581"/>
      <c r="AX229" s="581"/>
      <c r="AY229" s="581"/>
      <c r="AZ229" s="581"/>
      <c r="BA229" s="581"/>
      <c r="BB229" s="581"/>
      <c r="BC229" s="581"/>
      <c r="BD229" s="581"/>
      <c r="BE229" s="581"/>
      <c r="BF229" s="581"/>
      <c r="BG229" s="581"/>
      <c r="BH229" s="581"/>
      <c r="BI229" s="581"/>
      <c r="BJ229" s="581"/>
      <c r="BK229" s="581"/>
      <c r="BL229" s="581"/>
      <c r="BM229" s="581"/>
      <c r="BN229" s="581"/>
      <c r="BO229" s="581"/>
      <c r="BP229" s="581"/>
      <c r="BQ229" s="581"/>
      <c r="BR229" s="581"/>
      <c r="BS229" s="581"/>
      <c r="BT229" s="581" t="s">
        <v>1124</v>
      </c>
      <c r="BU229" s="581"/>
      <c r="BV229" s="581"/>
      <c r="BW229" s="581"/>
      <c r="BX229" s="581"/>
      <c r="BY229" s="581"/>
      <c r="BZ229" s="581"/>
      <c r="CA229" s="581"/>
      <c r="CB229" s="581"/>
      <c r="CC229" s="581"/>
      <c r="CD229" s="581"/>
      <c r="CE229" s="581"/>
      <c r="CF229" s="582"/>
    </row>
    <row r="230" spans="1:84" s="583" customFormat="1" ht="23.1" customHeight="1">
      <c r="A230" s="584"/>
      <c r="B230" s="585" t="s">
        <v>1102</v>
      </c>
      <c r="C230" s="585"/>
      <c r="D230" s="585"/>
      <c r="E230" s="585"/>
      <c r="F230" s="585"/>
      <c r="G230" s="585"/>
      <c r="H230" s="585"/>
      <c r="I230" s="585"/>
      <c r="J230" s="585"/>
      <c r="K230" s="585"/>
      <c r="L230" s="585"/>
      <c r="M230" s="585"/>
      <c r="N230" s="585"/>
      <c r="O230" s="585"/>
      <c r="P230" s="585"/>
      <c r="Q230" s="585"/>
      <c r="R230" s="585"/>
      <c r="S230" s="585"/>
      <c r="T230" s="585"/>
      <c r="U230" s="585"/>
      <c r="V230" s="585"/>
      <c r="W230" s="585"/>
      <c r="X230" s="585"/>
      <c r="Y230" s="585"/>
      <c r="Z230" s="585"/>
      <c r="AA230" s="585"/>
      <c r="AB230" s="585"/>
      <c r="AC230" s="585"/>
      <c r="AD230" s="585"/>
      <c r="AE230" s="585"/>
      <c r="AF230" s="585"/>
      <c r="AG230" s="585"/>
      <c r="AH230" s="585"/>
      <c r="AI230" s="585"/>
      <c r="AJ230" s="585"/>
      <c r="AK230" s="585"/>
      <c r="AL230" s="585"/>
      <c r="AM230" s="585"/>
      <c r="AN230" s="585"/>
      <c r="AO230" s="585"/>
      <c r="AP230" s="585"/>
      <c r="AQ230" s="585"/>
      <c r="AR230" s="585"/>
      <c r="AS230" s="585"/>
      <c r="AT230" s="585"/>
      <c r="AU230" s="585"/>
      <c r="AV230" s="585"/>
      <c r="AW230" s="585"/>
      <c r="AX230" s="585"/>
      <c r="AY230" s="585"/>
      <c r="AZ230" s="585"/>
      <c r="BA230" s="585"/>
      <c r="BB230" s="585"/>
      <c r="BC230" s="585"/>
      <c r="BD230" s="585"/>
      <c r="BE230" s="585"/>
      <c r="BF230" s="585"/>
      <c r="BG230" s="585"/>
      <c r="BH230" s="585"/>
      <c r="BI230" s="585"/>
      <c r="BJ230" s="585"/>
      <c r="BK230" s="585"/>
      <c r="BL230" s="585"/>
      <c r="BM230" s="585"/>
      <c r="BN230" s="585"/>
      <c r="BO230" s="585"/>
      <c r="BP230" s="585"/>
      <c r="BQ230" s="585"/>
      <c r="BR230" s="585"/>
      <c r="BS230" s="585"/>
      <c r="BT230" s="585"/>
      <c r="BU230" s="585"/>
      <c r="BV230" s="585"/>
      <c r="BW230" s="585"/>
      <c r="BX230" s="585"/>
      <c r="BY230" s="585"/>
      <c r="BZ230" s="585"/>
      <c r="CA230" s="585"/>
      <c r="CB230" s="585"/>
      <c r="CC230" s="585"/>
      <c r="CD230" s="585"/>
      <c r="CE230" s="585"/>
      <c r="CF230" s="586"/>
    </row>
    <row r="231" spans="1:84" s="583" customFormat="1" ht="23.1" customHeight="1">
      <c r="A231" s="587"/>
      <c r="B231" s="574"/>
      <c r="C231" s="574"/>
      <c r="D231" s="405"/>
      <c r="E231" s="574"/>
      <c r="F231" s="422"/>
      <c r="G231" s="422"/>
      <c r="H231" s="422"/>
      <c r="I231" s="422"/>
      <c r="J231" s="422"/>
      <c r="K231" s="422"/>
      <c r="L231" s="422"/>
      <c r="M231" s="422"/>
      <c r="N231" s="574"/>
      <c r="O231" s="574"/>
      <c r="P231" s="574"/>
      <c r="Q231" s="574"/>
      <c r="R231" s="574"/>
      <c r="S231" s="588"/>
      <c r="T231" s="588"/>
      <c r="U231" s="588"/>
      <c r="V231" s="588"/>
      <c r="W231" s="588"/>
      <c r="X231" s="588"/>
      <c r="Y231" s="588"/>
      <c r="Z231" s="588"/>
      <c r="AA231" s="574"/>
      <c r="AB231" s="588"/>
      <c r="AC231" s="585"/>
      <c r="AD231" s="585"/>
      <c r="AE231" s="600"/>
      <c r="AF231" s="600"/>
      <c r="AG231" s="600"/>
      <c r="AH231" s="600"/>
      <c r="AI231" s="600"/>
      <c r="AJ231" s="600"/>
      <c r="AK231" s="600"/>
      <c r="AL231" s="600"/>
      <c r="AM231" s="585"/>
      <c r="AN231" s="585"/>
      <c r="AO231" s="574"/>
      <c r="AP231" s="430"/>
      <c r="AQ231" s="430"/>
      <c r="AR231" s="430"/>
      <c r="AS231" s="430"/>
      <c r="AT231" s="430"/>
      <c r="AU231" s="430"/>
      <c r="AV231" s="430"/>
      <c r="AW231" s="430"/>
      <c r="AX231" s="430"/>
      <c r="AY231" s="430"/>
      <c r="AZ231" s="430"/>
      <c r="BA231" s="430"/>
      <c r="BB231" s="430"/>
      <c r="BC231" s="430"/>
      <c r="BD231" s="574"/>
      <c r="BE231" s="574"/>
      <c r="BF231" s="574"/>
      <c r="BG231" s="574"/>
      <c r="BH231" s="574"/>
      <c r="BI231" s="574"/>
      <c r="BJ231" s="574"/>
      <c r="BK231" s="574"/>
      <c r="BL231" s="574"/>
      <c r="BM231" s="574"/>
      <c r="BN231" s="574"/>
      <c r="BO231" s="574"/>
      <c r="BP231" s="574"/>
      <c r="BQ231" s="574"/>
      <c r="BR231" s="574"/>
      <c r="BS231" s="574"/>
      <c r="BT231" s="574"/>
      <c r="BU231" s="574"/>
      <c r="BV231" s="574"/>
      <c r="BW231" s="574"/>
      <c r="BX231" s="574"/>
      <c r="BY231" s="574"/>
      <c r="BZ231" s="574"/>
      <c r="CA231" s="574"/>
      <c r="CB231" s="574"/>
      <c r="CC231" s="574"/>
      <c r="CD231" s="574"/>
      <c r="CE231" s="574"/>
      <c r="CF231" s="589"/>
    </row>
    <row r="232" spans="1:84" s="583" customFormat="1" ht="23.1" customHeight="1">
      <c r="A232" s="584"/>
      <c r="B232" s="585"/>
      <c r="C232" s="585"/>
      <c r="H232" s="1502">
        <f>$AE$127</f>
        <v>129586000</v>
      </c>
      <c r="I232" s="1502"/>
      <c r="J232" s="1502"/>
      <c r="K232" s="1502"/>
      <c r="L232" s="1502"/>
      <c r="M232" s="1502"/>
      <c r="N232" s="1502"/>
      <c r="O232" s="1502"/>
      <c r="P232" s="1502"/>
      <c r="Q232" s="1502"/>
      <c r="R232" s="1502"/>
      <c r="S232" s="1502"/>
      <c r="T232" s="1502"/>
      <c r="U232" s="1502"/>
      <c r="V232" s="1502"/>
      <c r="W232" s="1431" t="s">
        <v>446</v>
      </c>
      <c r="X232" s="1431"/>
      <c r="Y232" s="1491" t="s">
        <v>1127</v>
      </c>
      <c r="Z232" s="1491"/>
      <c r="AA232" s="1503" t="s">
        <v>1103</v>
      </c>
      <c r="AB232" s="1503"/>
      <c r="AC232" s="1442">
        <v>900</v>
      </c>
      <c r="AD232" s="1442"/>
      <c r="AE232" s="1442"/>
      <c r="AF232" s="1442"/>
      <c r="AG232" s="1442"/>
      <c r="AH232" s="1442"/>
      <c r="AI232" s="1431" t="s">
        <v>1128</v>
      </c>
      <c r="AJ232" s="1431"/>
      <c r="AK232" s="1442">
        <v>700</v>
      </c>
      <c r="AL232" s="1442"/>
      <c r="AM232" s="1442"/>
      <c r="AN232" s="1442"/>
      <c r="AO232" s="1442"/>
      <c r="AP232" s="1442"/>
      <c r="AQ232" s="1503" t="s">
        <v>1105</v>
      </c>
      <c r="AR232" s="1503"/>
      <c r="AS232" s="1431" t="s">
        <v>446</v>
      </c>
      <c r="AT232" s="1431"/>
      <c r="AU232" s="1504">
        <v>1.1000000000000001</v>
      </c>
      <c r="AV232" s="1504"/>
      <c r="AW232" s="1504"/>
      <c r="AX232" s="1504"/>
      <c r="AY232" s="1504"/>
      <c r="AZ232" s="1431" t="s">
        <v>1128</v>
      </c>
      <c r="BA232" s="1431"/>
      <c r="BB232" s="1431">
        <v>485</v>
      </c>
      <c r="BC232" s="1431"/>
      <c r="BD232" s="1431"/>
      <c r="BE232" s="1431"/>
      <c r="BF232" s="1431"/>
      <c r="BG232" s="1491" t="s">
        <v>1096</v>
      </c>
      <c r="BH232" s="1491"/>
      <c r="BI232" s="1431" t="s">
        <v>446</v>
      </c>
      <c r="BJ232" s="1431"/>
      <c r="BK232" s="591" t="s">
        <v>1104</v>
      </c>
      <c r="BL232" s="585"/>
      <c r="BM232" s="585"/>
      <c r="BN232" s="585"/>
      <c r="BO232" s="585"/>
      <c r="BP232" s="1431" t="s">
        <v>41</v>
      </c>
      <c r="BQ232" s="1431"/>
      <c r="BR232" s="585"/>
      <c r="BS232" s="585"/>
      <c r="BT232" s="1437">
        <f>INT(H232*((AC232+AK232)*AU232+BB232)*10^-7)</f>
        <v>29092</v>
      </c>
      <c r="BU232" s="1437"/>
      <c r="BV232" s="1437"/>
      <c r="BW232" s="1437"/>
      <c r="BX232" s="1437"/>
      <c r="BY232" s="1437"/>
      <c r="BZ232" s="1437"/>
      <c r="CA232" s="1437"/>
      <c r="CB232" s="1437"/>
      <c r="CC232" s="1437"/>
      <c r="CD232" s="585"/>
      <c r="CE232" s="585"/>
      <c r="CF232" s="586"/>
    </row>
    <row r="233" spans="1:84" s="583" customFormat="1" ht="23.1" customHeight="1">
      <c r="A233" s="592"/>
      <c r="B233" s="593" t="s">
        <v>1106</v>
      </c>
      <c r="C233" s="593"/>
      <c r="D233" s="593"/>
      <c r="E233" s="593"/>
      <c r="F233" s="593"/>
      <c r="G233" s="593"/>
      <c r="H233" s="593"/>
      <c r="I233" s="593"/>
      <c r="J233" s="593"/>
      <c r="K233" s="593"/>
      <c r="L233" s="593"/>
      <c r="M233" s="593"/>
      <c r="N233" s="593"/>
      <c r="O233" s="593"/>
      <c r="P233" s="593"/>
      <c r="Q233" s="593"/>
      <c r="R233" s="593"/>
      <c r="S233" s="593"/>
      <c r="T233" s="593"/>
      <c r="U233" s="593"/>
      <c r="V233" s="593"/>
      <c r="W233" s="593"/>
      <c r="X233" s="593"/>
      <c r="Y233" s="593"/>
      <c r="Z233" s="593"/>
      <c r="AA233" s="593"/>
      <c r="AB233" s="593"/>
      <c r="AC233" s="593"/>
      <c r="AD233" s="593"/>
      <c r="AE233" s="593"/>
      <c r="AF233" s="593"/>
      <c r="AG233" s="593"/>
      <c r="AH233" s="593"/>
      <c r="AI233" s="593"/>
      <c r="AJ233" s="593"/>
      <c r="AK233" s="593"/>
      <c r="AL233" s="593"/>
      <c r="AM233" s="593"/>
      <c r="AN233" s="593"/>
      <c r="AO233" s="593"/>
      <c r="AP233" s="593"/>
      <c r="AQ233" s="593"/>
      <c r="AR233" s="593"/>
      <c r="AS233" s="593"/>
      <c r="AT233" s="593"/>
      <c r="AU233" s="593"/>
      <c r="AV233" s="593"/>
      <c r="AW233" s="593"/>
      <c r="AX233" s="593"/>
      <c r="AY233" s="593"/>
      <c r="AZ233" s="593"/>
      <c r="BA233" s="593"/>
      <c r="BB233" s="593"/>
      <c r="BC233" s="593"/>
      <c r="BD233" s="593"/>
      <c r="BE233" s="593"/>
      <c r="BF233" s="593"/>
      <c r="BG233" s="593"/>
      <c r="BH233" s="593"/>
      <c r="BI233" s="593"/>
      <c r="BJ233" s="593"/>
      <c r="BK233" s="593"/>
      <c r="BL233" s="593"/>
      <c r="BM233" s="593"/>
      <c r="BN233" s="593"/>
      <c r="BO233" s="593"/>
      <c r="BP233" s="593"/>
      <c r="BQ233" s="593"/>
      <c r="BR233" s="593"/>
      <c r="BS233" s="593"/>
      <c r="BT233" s="594"/>
      <c r="BU233" s="594"/>
      <c r="BV233" s="594"/>
      <c r="BW233" s="594"/>
      <c r="BX233" s="594"/>
      <c r="BY233" s="594"/>
      <c r="BZ233" s="594"/>
      <c r="CA233" s="594"/>
      <c r="CB233" s="594"/>
      <c r="CC233" s="594"/>
      <c r="CD233" s="593"/>
      <c r="CE233" s="593"/>
      <c r="CF233" s="595"/>
    </row>
    <row r="234" spans="1:84" s="583" customFormat="1" ht="23.1" customHeight="1">
      <c r="A234" s="584"/>
      <c r="B234" s="585"/>
      <c r="C234" s="585"/>
      <c r="D234" s="596" t="s">
        <v>268</v>
      </c>
      <c r="E234" s="585"/>
      <c r="F234" s="585"/>
      <c r="G234" s="585"/>
      <c r="H234" s="585"/>
      <c r="I234" s="585"/>
      <c r="J234" s="585"/>
      <c r="K234" s="585"/>
      <c r="L234" s="585"/>
      <c r="M234" s="585"/>
      <c r="N234" s="585"/>
      <c r="O234" s="585"/>
      <c r="P234" s="585"/>
      <c r="Q234" s="585"/>
      <c r="R234" s="585"/>
      <c r="S234" s="585"/>
      <c r="T234" s="574"/>
      <c r="U234" s="574"/>
      <c r="V234" s="1435">
        <f>HLOOKUP(D234,$CJ$1:$CM$3,3,0)</f>
        <v>283297</v>
      </c>
      <c r="W234" s="1435"/>
      <c r="X234" s="1435"/>
      <c r="Y234" s="1435"/>
      <c r="Z234" s="1435"/>
      <c r="AA234" s="1435"/>
      <c r="AB234" s="1435"/>
      <c r="AC234" s="1435"/>
      <c r="AD234" s="1435"/>
      <c r="AE234" s="1435"/>
      <c r="AF234" s="1431" t="s">
        <v>446</v>
      </c>
      <c r="AG234" s="1431"/>
      <c r="AH234" s="574"/>
      <c r="AI234" s="1436" t="s">
        <v>1107</v>
      </c>
      <c r="AJ234" s="1436"/>
      <c r="AK234" s="1436"/>
      <c r="AL234" s="1436"/>
      <c r="AM234" s="585"/>
      <c r="AN234" s="1431" t="s">
        <v>446</v>
      </c>
      <c r="AO234" s="1431"/>
      <c r="AP234" s="585"/>
      <c r="AQ234" s="1436" t="s">
        <v>1108</v>
      </c>
      <c r="AR234" s="1436"/>
      <c r="AS234" s="1436"/>
      <c r="AT234" s="1436"/>
      <c r="AU234" s="1436"/>
      <c r="AV234" s="422"/>
      <c r="AW234" s="1431" t="s">
        <v>446</v>
      </c>
      <c r="AX234" s="1431"/>
      <c r="AY234" s="440"/>
      <c r="AZ234" s="1436" t="s">
        <v>1109</v>
      </c>
      <c r="BA234" s="1436"/>
      <c r="BB234" s="1436"/>
      <c r="BC234" s="1436"/>
      <c r="BD234" s="1436"/>
      <c r="BE234" s="585"/>
      <c r="BF234" s="1431" t="s">
        <v>446</v>
      </c>
      <c r="BG234" s="1431"/>
      <c r="BH234" s="1431">
        <v>1</v>
      </c>
      <c r="BI234" s="1431"/>
      <c r="BJ234" s="1431"/>
      <c r="BK234" s="585"/>
      <c r="BL234" s="585" t="s">
        <v>366</v>
      </c>
      <c r="BM234" s="585"/>
      <c r="BN234" s="585"/>
      <c r="BO234" s="585"/>
      <c r="BP234" s="1431" t="s">
        <v>41</v>
      </c>
      <c r="BQ234" s="1431"/>
      <c r="BR234" s="585"/>
      <c r="BS234" s="585"/>
      <c r="BT234" s="1432">
        <f>INT(V234/8*16/12*25/20*BH234)</f>
        <v>59020</v>
      </c>
      <c r="BU234" s="1432"/>
      <c r="BV234" s="1432"/>
      <c r="BW234" s="1432"/>
      <c r="BX234" s="1432"/>
      <c r="BY234" s="1432"/>
      <c r="BZ234" s="1432"/>
      <c r="CA234" s="1432"/>
      <c r="CB234" s="1432"/>
      <c r="CC234" s="1432"/>
      <c r="CD234" s="585"/>
      <c r="CE234" s="585"/>
      <c r="CF234" s="586"/>
    </row>
    <row r="235" spans="1:84" s="583" customFormat="1" ht="23.1" customHeight="1">
      <c r="A235" s="584"/>
      <c r="B235" s="585"/>
      <c r="C235" s="585"/>
      <c r="D235" s="585"/>
      <c r="E235" s="585"/>
      <c r="F235" s="585"/>
      <c r="G235" s="585"/>
      <c r="H235" s="585"/>
      <c r="I235" s="585"/>
      <c r="J235" s="585"/>
      <c r="K235" s="585"/>
      <c r="L235" s="585"/>
      <c r="M235" s="585"/>
      <c r="N235" s="585"/>
      <c r="O235" s="585"/>
      <c r="P235" s="574"/>
      <c r="Q235" s="574"/>
      <c r="R235" s="574"/>
      <c r="S235" s="574"/>
      <c r="T235" s="574"/>
      <c r="U235" s="574"/>
      <c r="V235" s="574"/>
      <c r="W235" s="574"/>
      <c r="X235" s="574"/>
      <c r="Y235" s="574"/>
      <c r="Z235" s="574"/>
      <c r="AA235" s="574"/>
      <c r="AB235" s="574"/>
      <c r="AC235" s="574"/>
      <c r="AD235" s="574"/>
      <c r="AE235" s="574"/>
      <c r="AF235" s="574"/>
      <c r="AG235" s="574"/>
      <c r="AH235" s="574"/>
      <c r="AI235" s="574"/>
      <c r="AJ235" s="574"/>
      <c r="AK235" s="574"/>
      <c r="AL235" s="574"/>
      <c r="AM235" s="574"/>
      <c r="AN235" s="574"/>
      <c r="AO235" s="574"/>
      <c r="AP235" s="574"/>
      <c r="AQ235" s="574"/>
      <c r="AR235" s="574"/>
      <c r="AS235" s="574"/>
      <c r="AT235" s="574"/>
      <c r="AU235" s="574"/>
      <c r="AV235" s="574"/>
      <c r="AW235" s="574"/>
      <c r="AX235" s="574"/>
      <c r="AY235" s="574"/>
      <c r="AZ235" s="574"/>
      <c r="BA235" s="574"/>
      <c r="BB235" s="574"/>
      <c r="BC235" s="574"/>
      <c r="BD235" s="574"/>
      <c r="BE235" s="574"/>
      <c r="BF235" s="574"/>
      <c r="BG235" s="585"/>
      <c r="BH235" s="585"/>
      <c r="BI235" s="585"/>
      <c r="BJ235" s="585"/>
      <c r="BK235" s="585"/>
      <c r="BL235" s="585"/>
      <c r="BM235" s="585"/>
      <c r="BN235" s="585"/>
      <c r="BO235" s="585"/>
      <c r="BP235" s="1431"/>
      <c r="BQ235" s="1431"/>
      <c r="BR235" s="585"/>
      <c r="BS235" s="585"/>
      <c r="BT235" s="1432"/>
      <c r="BU235" s="1432"/>
      <c r="BV235" s="1432"/>
      <c r="BW235" s="1432"/>
      <c r="BX235" s="1432"/>
      <c r="BY235" s="1432"/>
      <c r="BZ235" s="1432"/>
      <c r="CA235" s="1432"/>
      <c r="CB235" s="1432"/>
      <c r="CC235" s="1432"/>
      <c r="CD235" s="585"/>
      <c r="CE235" s="585"/>
      <c r="CF235" s="586"/>
    </row>
    <row r="236" spans="1:84" s="583" customFormat="1" ht="23.1" customHeight="1">
      <c r="A236" s="584"/>
      <c r="B236" s="585"/>
      <c r="C236" s="585"/>
      <c r="D236" s="585"/>
      <c r="E236" s="585"/>
      <c r="F236" s="585"/>
      <c r="G236" s="585"/>
      <c r="H236" s="585"/>
      <c r="I236" s="585"/>
      <c r="J236" s="585"/>
      <c r="K236" s="585"/>
      <c r="L236" s="585"/>
      <c r="M236" s="585"/>
      <c r="N236" s="585"/>
      <c r="O236" s="585"/>
      <c r="P236" s="585"/>
      <c r="Q236" s="585"/>
      <c r="R236" s="585"/>
      <c r="S236" s="585"/>
      <c r="T236" s="585"/>
      <c r="U236" s="585"/>
      <c r="V236" s="585"/>
      <c r="W236" s="585"/>
      <c r="X236" s="585"/>
      <c r="Y236" s="585"/>
      <c r="Z236" s="585"/>
      <c r="AA236" s="585"/>
      <c r="AB236" s="585"/>
      <c r="AC236" s="585"/>
      <c r="AD236" s="574"/>
      <c r="AE236" s="574"/>
      <c r="AF236" s="574"/>
      <c r="AG236" s="574"/>
      <c r="AH236" s="574"/>
      <c r="AI236" s="574"/>
      <c r="AJ236" s="574"/>
      <c r="AK236" s="574"/>
      <c r="AL236" s="574"/>
      <c r="AM236" s="574"/>
      <c r="AN236" s="574"/>
      <c r="AO236" s="574"/>
      <c r="AP236" s="574"/>
      <c r="AQ236" s="574"/>
      <c r="AR236" s="574"/>
      <c r="AS236" s="585"/>
      <c r="AT236" s="590"/>
      <c r="AU236" s="590"/>
      <c r="AV236" s="585"/>
      <c r="AW236" s="585"/>
      <c r="AX236" s="585"/>
      <c r="AY236" s="585"/>
      <c r="AZ236" s="585"/>
      <c r="BA236" s="585"/>
      <c r="BB236" s="585"/>
      <c r="BC236" s="585"/>
      <c r="BD236" s="585"/>
      <c r="BE236" s="585"/>
      <c r="BF236" s="585"/>
      <c r="BG236" s="585"/>
      <c r="BH236" s="585"/>
      <c r="BI236" s="585"/>
      <c r="BJ236" s="585"/>
      <c r="BK236" s="585"/>
      <c r="BL236" s="585"/>
      <c r="BM236" s="585"/>
      <c r="BN236" s="585"/>
      <c r="BO236" s="585"/>
      <c r="BP236" s="1431" t="s">
        <v>41</v>
      </c>
      <c r="BQ236" s="1431"/>
      <c r="BR236" s="585"/>
      <c r="BS236" s="585"/>
      <c r="BT236" s="1434">
        <f>BT234+BT235</f>
        <v>59020</v>
      </c>
      <c r="BU236" s="1434"/>
      <c r="BV236" s="1434"/>
      <c r="BW236" s="1434"/>
      <c r="BX236" s="1434"/>
      <c r="BY236" s="1434"/>
      <c r="BZ236" s="1434"/>
      <c r="CA236" s="1434"/>
      <c r="CB236" s="1434"/>
      <c r="CC236" s="1434"/>
      <c r="CD236" s="585"/>
      <c r="CE236" s="585"/>
      <c r="CF236" s="586"/>
    </row>
    <row r="237" spans="1:84" s="583" customFormat="1" ht="23.1" customHeight="1">
      <c r="A237" s="592"/>
      <c r="B237" s="593" t="s">
        <v>1110</v>
      </c>
      <c r="C237" s="593"/>
      <c r="D237" s="593"/>
      <c r="E237" s="593"/>
      <c r="F237" s="593"/>
      <c r="G237" s="593"/>
      <c r="H237" s="593"/>
      <c r="I237" s="593"/>
      <c r="J237" s="593"/>
      <c r="K237" s="593"/>
      <c r="L237" s="593"/>
      <c r="M237" s="593"/>
      <c r="N237" s="593"/>
      <c r="O237" s="593"/>
      <c r="P237" s="593"/>
      <c r="Q237" s="593"/>
      <c r="R237" s="593"/>
      <c r="S237" s="593"/>
      <c r="T237" s="593"/>
      <c r="U237" s="593"/>
      <c r="V237" s="593"/>
      <c r="W237" s="593"/>
      <c r="X237" s="593"/>
      <c r="Y237" s="593"/>
      <c r="Z237" s="593"/>
      <c r="AA237" s="593"/>
      <c r="AB237" s="593"/>
      <c r="AC237" s="593"/>
      <c r="AD237" s="593"/>
      <c r="AE237" s="593"/>
      <c r="AF237" s="593"/>
      <c r="AG237" s="593"/>
      <c r="AH237" s="593"/>
      <c r="AI237" s="593"/>
      <c r="AJ237" s="593"/>
      <c r="AK237" s="593"/>
      <c r="AL237" s="593"/>
      <c r="AM237" s="593"/>
      <c r="AN237" s="593"/>
      <c r="AO237" s="593"/>
      <c r="AP237" s="593"/>
      <c r="AQ237" s="593"/>
      <c r="AR237" s="593"/>
      <c r="AS237" s="593"/>
      <c r="AT237" s="593"/>
      <c r="AU237" s="593"/>
      <c r="AV237" s="593"/>
      <c r="AW237" s="593"/>
      <c r="AX237" s="593"/>
      <c r="AY237" s="593"/>
      <c r="AZ237" s="593"/>
      <c r="BA237" s="593"/>
      <c r="BB237" s="593"/>
      <c r="BC237" s="593"/>
      <c r="BD237" s="593"/>
      <c r="BE237" s="593"/>
      <c r="BF237" s="593"/>
      <c r="BG237" s="593"/>
      <c r="BH237" s="593"/>
      <c r="BI237" s="593"/>
      <c r="BJ237" s="593"/>
      <c r="BK237" s="593"/>
      <c r="BL237" s="593"/>
      <c r="BM237" s="593"/>
      <c r="BN237" s="593"/>
      <c r="BO237" s="593"/>
      <c r="BP237" s="593"/>
      <c r="BQ237" s="593"/>
      <c r="BR237" s="593"/>
      <c r="BS237" s="593"/>
      <c r="BT237" s="593"/>
      <c r="BU237" s="593"/>
      <c r="BV237" s="593"/>
      <c r="BW237" s="593"/>
      <c r="BX237" s="593"/>
      <c r="BY237" s="593"/>
      <c r="BZ237" s="593"/>
      <c r="CA237" s="593"/>
      <c r="CB237" s="593"/>
      <c r="CC237" s="593"/>
      <c r="CD237" s="593"/>
      <c r="CE237" s="593"/>
      <c r="CF237" s="595"/>
    </row>
    <row r="238" spans="1:84" s="583" customFormat="1" ht="23.1" customHeight="1">
      <c r="A238" s="584"/>
      <c r="B238" s="585"/>
      <c r="C238" s="585"/>
      <c r="D238" s="596" t="s">
        <v>1094</v>
      </c>
      <c r="E238" s="585"/>
      <c r="F238" s="585"/>
      <c r="G238" s="585"/>
      <c r="H238" s="585"/>
      <c r="I238" s="585"/>
      <c r="J238" s="585"/>
      <c r="K238" s="585"/>
      <c r="L238" s="585"/>
      <c r="M238" s="585"/>
      <c r="N238" s="585"/>
      <c r="O238" s="585"/>
      <c r="P238" s="585"/>
      <c r="Q238" s="585"/>
      <c r="R238" s="585"/>
      <c r="S238" s="585"/>
      <c r="T238" s="585"/>
      <c r="U238" s="585"/>
      <c r="V238" s="585"/>
      <c r="W238" s="585"/>
      <c r="X238" s="585"/>
      <c r="Y238" s="585"/>
      <c r="Z238" s="585"/>
      <c r="AA238" s="585"/>
      <c r="AB238" s="585"/>
      <c r="AC238" s="585"/>
      <c r="AD238" s="585"/>
      <c r="AE238" s="585"/>
      <c r="AF238" s="585"/>
      <c r="AG238" s="585"/>
      <c r="AH238" s="585"/>
      <c r="AI238" s="585"/>
      <c r="AJ238" s="585"/>
      <c r="AK238" s="585"/>
      <c r="AL238" s="585"/>
      <c r="AM238" s="585"/>
      <c r="AN238" s="585"/>
      <c r="AO238" s="585"/>
      <c r="AP238" s="585"/>
      <c r="AQ238" s="585"/>
      <c r="AR238" s="422"/>
      <c r="AS238" s="1435" t="e">
        <f>HLOOKUP(D238,$CN$1:$CO$3,3,0)</f>
        <v>#REF!</v>
      </c>
      <c r="AT238" s="1435"/>
      <c r="AU238" s="1435"/>
      <c r="AV238" s="1435"/>
      <c r="AW238" s="1435"/>
      <c r="AX238" s="1435"/>
      <c r="AY238" s="1435"/>
      <c r="AZ238" s="1435"/>
      <c r="BA238" s="1435"/>
      <c r="BB238" s="1435"/>
      <c r="BC238" s="585"/>
      <c r="BD238" s="1431" t="s">
        <v>446</v>
      </c>
      <c r="BE238" s="1431"/>
      <c r="BF238" s="585"/>
      <c r="BG238" s="1431">
        <v>15.3</v>
      </c>
      <c r="BH238" s="1431"/>
      <c r="BI238" s="1431"/>
      <c r="BJ238" s="1431"/>
      <c r="BK238" s="1431"/>
      <c r="BL238" s="585" t="s">
        <v>1111</v>
      </c>
      <c r="BM238" s="585"/>
      <c r="BN238" s="585"/>
      <c r="BO238" s="585"/>
      <c r="BP238" s="1431" t="s">
        <v>41</v>
      </c>
      <c r="BQ238" s="1431"/>
      <c r="BR238" s="585"/>
      <c r="BS238" s="585"/>
      <c r="BT238" s="1432" t="e">
        <f>INT(AS238*BG238)</f>
        <v>#REF!</v>
      </c>
      <c r="BU238" s="1432"/>
      <c r="BV238" s="1432"/>
      <c r="BW238" s="1432"/>
      <c r="BX238" s="1432"/>
      <c r="BY238" s="1432"/>
      <c r="BZ238" s="1432"/>
      <c r="CA238" s="1432"/>
      <c r="CB238" s="1432"/>
      <c r="CC238" s="1432"/>
      <c r="CD238" s="585"/>
      <c r="CE238" s="585"/>
      <c r="CF238" s="586"/>
    </row>
    <row r="239" spans="1:84" s="583" customFormat="1" ht="23.1" customHeight="1">
      <c r="A239" s="584"/>
      <c r="B239" s="585"/>
      <c r="C239" s="585"/>
      <c r="D239" s="591" t="str">
        <f>"잡재료 (주연료의 "&amp;BG239&amp;"%) :"</f>
        <v>잡재료 (주연료의 22%) :</v>
      </c>
      <c r="E239" s="585"/>
      <c r="F239" s="585"/>
      <c r="G239" s="585"/>
      <c r="H239" s="585"/>
      <c r="I239" s="585"/>
      <c r="J239" s="585"/>
      <c r="K239" s="585"/>
      <c r="L239" s="585"/>
      <c r="M239" s="585"/>
      <c r="N239" s="585"/>
      <c r="O239" s="585"/>
      <c r="P239" s="585"/>
      <c r="Q239" s="585"/>
      <c r="R239" s="585"/>
      <c r="S239" s="585"/>
      <c r="T239" s="585"/>
      <c r="U239" s="585"/>
      <c r="V239" s="585"/>
      <c r="W239" s="585"/>
      <c r="X239" s="585"/>
      <c r="Y239" s="585"/>
      <c r="Z239" s="585"/>
      <c r="AA239" s="585"/>
      <c r="AB239" s="585"/>
      <c r="AC239" s="585"/>
      <c r="AD239" s="585"/>
      <c r="AE239" s="585"/>
      <c r="AF239" s="585"/>
      <c r="AG239" s="585"/>
      <c r="AH239" s="585"/>
      <c r="AI239" s="585"/>
      <c r="AJ239" s="585"/>
      <c r="AK239" s="585"/>
      <c r="AL239" s="585"/>
      <c r="AM239" s="585"/>
      <c r="AN239" s="585"/>
      <c r="AO239" s="585"/>
      <c r="AP239" s="585"/>
      <c r="AQ239" s="585"/>
      <c r="AR239" s="422" t="e">
        <f>BT238</f>
        <v>#REF!</v>
      </c>
      <c r="AS239" s="1430" t="e">
        <f>BT238</f>
        <v>#REF!</v>
      </c>
      <c r="AT239" s="1430"/>
      <c r="AU239" s="1430"/>
      <c r="AV239" s="1430"/>
      <c r="AW239" s="1430"/>
      <c r="AX239" s="1430"/>
      <c r="AY239" s="1430"/>
      <c r="AZ239" s="1430"/>
      <c r="BA239" s="1430"/>
      <c r="BB239" s="1430"/>
      <c r="BC239" s="585"/>
      <c r="BD239" s="1431" t="s">
        <v>446</v>
      </c>
      <c r="BE239" s="1431"/>
      <c r="BF239" s="585"/>
      <c r="BG239" s="1431">
        <v>22</v>
      </c>
      <c r="BH239" s="1431"/>
      <c r="BI239" s="1431"/>
      <c r="BJ239" s="1431"/>
      <c r="BK239" s="1431"/>
      <c r="BL239" s="585" t="s">
        <v>1112</v>
      </c>
      <c r="BM239" s="585"/>
      <c r="BN239" s="585"/>
      <c r="BO239" s="585"/>
      <c r="BP239" s="1431" t="s">
        <v>41</v>
      </c>
      <c r="BQ239" s="1431"/>
      <c r="BR239" s="585"/>
      <c r="BS239" s="585"/>
      <c r="BT239" s="1432" t="e">
        <f>INT(AS239*BG239/100)</f>
        <v>#REF!</v>
      </c>
      <c r="BU239" s="1432"/>
      <c r="BV239" s="1432"/>
      <c r="BW239" s="1432"/>
      <c r="BX239" s="1432"/>
      <c r="BY239" s="1432"/>
      <c r="BZ239" s="1432"/>
      <c r="CA239" s="1432"/>
      <c r="CB239" s="1432"/>
      <c r="CC239" s="1432"/>
      <c r="CD239" s="585"/>
      <c r="CE239" s="585"/>
      <c r="CF239" s="586"/>
    </row>
    <row r="240" spans="1:84" s="583" customFormat="1" ht="23.1" customHeight="1" thickBot="1">
      <c r="A240" s="584"/>
      <c r="B240" s="585"/>
      <c r="C240" s="585"/>
      <c r="D240" s="585"/>
      <c r="E240" s="585"/>
      <c r="F240" s="585"/>
      <c r="G240" s="585"/>
      <c r="H240" s="585"/>
      <c r="I240" s="585"/>
      <c r="J240" s="585"/>
      <c r="K240" s="585"/>
      <c r="L240" s="585"/>
      <c r="M240" s="585"/>
      <c r="N240" s="585"/>
      <c r="O240" s="585"/>
      <c r="P240" s="585"/>
      <c r="Q240" s="585"/>
      <c r="R240" s="585"/>
      <c r="S240" s="585"/>
      <c r="T240" s="585"/>
      <c r="U240" s="585"/>
      <c r="V240" s="585"/>
      <c r="W240" s="585"/>
      <c r="X240" s="585"/>
      <c r="Y240" s="585"/>
      <c r="Z240" s="585"/>
      <c r="AA240" s="585"/>
      <c r="AB240" s="585"/>
      <c r="AC240" s="585"/>
      <c r="AD240" s="585"/>
      <c r="AE240" s="585"/>
      <c r="AF240" s="585"/>
      <c r="AG240" s="585"/>
      <c r="AH240" s="585"/>
      <c r="AI240" s="585"/>
      <c r="AJ240" s="585"/>
      <c r="AK240" s="585"/>
      <c r="AL240" s="585"/>
      <c r="AM240" s="585"/>
      <c r="AN240" s="585"/>
      <c r="AO240" s="585"/>
      <c r="AP240" s="585"/>
      <c r="AQ240" s="585"/>
      <c r="AR240" s="585"/>
      <c r="AS240" s="585"/>
      <c r="AT240" s="585"/>
      <c r="AU240" s="585"/>
      <c r="AV240" s="585"/>
      <c r="AW240" s="585"/>
      <c r="AX240" s="585"/>
      <c r="AY240" s="585"/>
      <c r="AZ240" s="585"/>
      <c r="BA240" s="585"/>
      <c r="BB240" s="585"/>
      <c r="BC240" s="585"/>
      <c r="BD240" s="585"/>
      <c r="BE240" s="585"/>
      <c r="BF240" s="585"/>
      <c r="BG240" s="585"/>
      <c r="BH240" s="585"/>
      <c r="BI240" s="585"/>
      <c r="BJ240" s="585"/>
      <c r="BK240" s="585"/>
      <c r="BL240" s="585"/>
      <c r="BM240" s="585"/>
      <c r="BN240" s="585"/>
      <c r="BO240" s="585"/>
      <c r="BP240" s="1431" t="s">
        <v>41</v>
      </c>
      <c r="BQ240" s="1431"/>
      <c r="BR240" s="585"/>
      <c r="BS240" s="585"/>
      <c r="BT240" s="1433" t="e">
        <f>BT238+BT239</f>
        <v>#REF!</v>
      </c>
      <c r="BU240" s="1433"/>
      <c r="BV240" s="1433"/>
      <c r="BW240" s="1433"/>
      <c r="BX240" s="1433"/>
      <c r="BY240" s="1433"/>
      <c r="BZ240" s="1433"/>
      <c r="CA240" s="1433"/>
      <c r="CB240" s="1433"/>
      <c r="CC240" s="1433"/>
      <c r="CD240" s="585"/>
      <c r="CE240" s="585"/>
      <c r="CF240" s="586"/>
    </row>
    <row r="241" spans="1:84" s="583" customFormat="1" ht="23.1" customHeight="1" thickBot="1">
      <c r="A241" s="597"/>
      <c r="B241" s="598" t="s">
        <v>1113</v>
      </c>
      <c r="C241" s="598"/>
      <c r="D241" s="598"/>
      <c r="E241" s="598"/>
      <c r="F241" s="598"/>
      <c r="G241" s="598"/>
      <c r="H241" s="598"/>
      <c r="I241" s="598"/>
      <c r="J241" s="598"/>
      <c r="K241" s="598"/>
      <c r="L241" s="598"/>
      <c r="M241" s="598"/>
      <c r="N241" s="598"/>
      <c r="O241" s="598"/>
      <c r="P241" s="598"/>
      <c r="Q241" s="598"/>
      <c r="R241" s="598"/>
      <c r="S241" s="598"/>
      <c r="T241" s="598"/>
      <c r="U241" s="598"/>
      <c r="V241" s="598"/>
      <c r="W241" s="598"/>
      <c r="X241" s="598"/>
      <c r="Y241" s="598"/>
      <c r="Z241" s="598"/>
      <c r="AA241" s="598"/>
      <c r="AB241" s="598"/>
      <c r="AC241" s="598"/>
      <c r="AD241" s="598"/>
      <c r="AE241" s="598"/>
      <c r="AF241" s="598"/>
      <c r="AG241" s="598"/>
      <c r="AH241" s="598"/>
      <c r="AI241" s="598"/>
      <c r="AJ241" s="598"/>
      <c r="AK241" s="598"/>
      <c r="AL241" s="598"/>
      <c r="AM241" s="598"/>
      <c r="AN241" s="598"/>
      <c r="AO241" s="598"/>
      <c r="AP241" s="598"/>
      <c r="AQ241" s="598"/>
      <c r="AR241" s="598"/>
      <c r="AS241" s="598"/>
      <c r="AT241" s="598"/>
      <c r="AU241" s="598"/>
      <c r="AV241" s="598"/>
      <c r="AW241" s="598"/>
      <c r="AX241" s="598"/>
      <c r="AY241" s="598"/>
      <c r="AZ241" s="598"/>
      <c r="BA241" s="598"/>
      <c r="BB241" s="598"/>
      <c r="BC241" s="598"/>
      <c r="BD241" s="598"/>
      <c r="BE241" s="598"/>
      <c r="BF241" s="598"/>
      <c r="BG241" s="598"/>
      <c r="BH241" s="598"/>
      <c r="BI241" s="598"/>
      <c r="BJ241" s="598"/>
      <c r="BK241" s="598"/>
      <c r="BL241" s="598"/>
      <c r="BM241" s="598"/>
      <c r="BN241" s="598"/>
      <c r="BO241" s="598"/>
      <c r="BP241" s="598"/>
      <c r="BQ241" s="598"/>
      <c r="BR241" s="598"/>
      <c r="BS241" s="598"/>
      <c r="BT241" s="1429" t="e">
        <f>BT232+BT236+BT240</f>
        <v>#REF!</v>
      </c>
      <c r="BU241" s="1429"/>
      <c r="BV241" s="1429"/>
      <c r="BW241" s="1429"/>
      <c r="BX241" s="1429"/>
      <c r="BY241" s="1429"/>
      <c r="BZ241" s="1429"/>
      <c r="CA241" s="1429"/>
      <c r="CB241" s="1429"/>
      <c r="CC241" s="1429"/>
      <c r="CD241" s="598"/>
      <c r="CE241" s="598"/>
      <c r="CF241" s="599"/>
    </row>
    <row r="242" spans="1:84" s="583" customFormat="1" ht="9.9499999999999993" customHeight="1">
      <c r="A242" s="574"/>
      <c r="B242" s="574"/>
      <c r="C242" s="574"/>
      <c r="D242" s="574"/>
      <c r="E242" s="574"/>
      <c r="F242" s="574"/>
      <c r="G242" s="574"/>
      <c r="H242" s="574"/>
      <c r="I242" s="574"/>
      <c r="J242" s="574"/>
      <c r="K242" s="574"/>
      <c r="L242" s="574"/>
      <c r="M242" s="574"/>
      <c r="N242" s="574"/>
      <c r="O242" s="574"/>
      <c r="P242" s="574"/>
      <c r="Q242" s="574"/>
      <c r="R242" s="574"/>
      <c r="S242" s="574"/>
      <c r="T242" s="574"/>
      <c r="U242" s="574"/>
      <c r="V242" s="574"/>
      <c r="W242" s="574"/>
      <c r="X242" s="574"/>
      <c r="Y242" s="574"/>
      <c r="Z242" s="574"/>
      <c r="AA242" s="574"/>
      <c r="AB242" s="574"/>
      <c r="AC242" s="574"/>
      <c r="AD242" s="574"/>
      <c r="AE242" s="574"/>
      <c r="AF242" s="574"/>
      <c r="AG242" s="574"/>
      <c r="AH242" s="574"/>
      <c r="AI242" s="574"/>
      <c r="AJ242" s="574"/>
      <c r="AK242" s="574"/>
      <c r="AL242" s="574"/>
      <c r="AM242" s="574"/>
      <c r="AN242" s="574"/>
      <c r="AO242" s="574"/>
      <c r="AP242" s="574"/>
      <c r="AQ242" s="574"/>
      <c r="AR242" s="574"/>
      <c r="AS242" s="574"/>
      <c r="AT242" s="574"/>
      <c r="AU242" s="574"/>
      <c r="AV242" s="574"/>
      <c r="AW242" s="574"/>
      <c r="AX242" s="574"/>
      <c r="AY242" s="574"/>
      <c r="AZ242" s="574"/>
      <c r="BA242" s="574"/>
      <c r="BB242" s="574"/>
      <c r="BC242" s="574"/>
      <c r="BD242" s="574"/>
      <c r="BE242" s="574"/>
      <c r="BF242" s="574"/>
      <c r="BG242" s="574"/>
      <c r="BH242" s="574"/>
      <c r="BI242" s="574"/>
      <c r="BJ242" s="574"/>
      <c r="BK242" s="574"/>
      <c r="BL242" s="574"/>
      <c r="BM242" s="574"/>
      <c r="BN242" s="574"/>
      <c r="BO242" s="574"/>
      <c r="BP242" s="574"/>
      <c r="BQ242" s="574"/>
      <c r="BR242" s="574"/>
      <c r="BS242" s="574"/>
      <c r="BT242" s="574"/>
      <c r="BU242" s="574"/>
      <c r="BV242" s="574"/>
      <c r="BW242" s="574"/>
      <c r="BX242" s="574"/>
      <c r="BY242" s="574"/>
      <c r="BZ242" s="574"/>
      <c r="CA242" s="574"/>
      <c r="CB242" s="574"/>
      <c r="CC242" s="574"/>
      <c r="CD242" s="574"/>
      <c r="CE242" s="574"/>
      <c r="CF242" s="574"/>
    </row>
    <row r="243" spans="1:84" s="583" customFormat="1" ht="23.1" customHeight="1" thickBot="1">
      <c r="A243" s="1446" t="s">
        <v>1095</v>
      </c>
      <c r="B243" s="1446"/>
      <c r="C243" s="1446"/>
      <c r="D243" s="1446"/>
      <c r="E243" s="1446"/>
      <c r="F243" s="1446"/>
      <c r="G243" s="1447">
        <f>G228+1</f>
        <v>17</v>
      </c>
      <c r="H243" s="1447"/>
      <c r="I243" s="1447"/>
      <c r="J243" s="1448" t="s">
        <v>1096</v>
      </c>
      <c r="K243" s="1448"/>
      <c r="L243" s="574"/>
      <c r="M243" s="574"/>
      <c r="N243" s="574"/>
      <c r="O243" s="574"/>
      <c r="P243" s="574"/>
      <c r="Q243" s="574"/>
      <c r="R243" s="574"/>
      <c r="S243" s="574"/>
      <c r="T243" s="574"/>
      <c r="U243" s="574"/>
      <c r="V243" s="574"/>
      <c r="W243" s="574"/>
      <c r="X243" s="574"/>
      <c r="Y243" s="574"/>
      <c r="Z243" s="574"/>
      <c r="AA243" s="574"/>
      <c r="AB243" s="574"/>
      <c r="AC243" s="574"/>
      <c r="AD243" s="574"/>
      <c r="AE243" s="574"/>
      <c r="AF243" s="574"/>
      <c r="AG243" s="574"/>
      <c r="AH243" s="574"/>
      <c r="AI243" s="574"/>
      <c r="AJ243" s="574"/>
      <c r="AK243" s="574"/>
      <c r="AL243" s="574"/>
      <c r="AM243" s="574"/>
      <c r="AN243" s="574"/>
      <c r="AO243" s="574"/>
      <c r="AP243" s="574"/>
      <c r="AQ243" s="574"/>
      <c r="AR243" s="574"/>
      <c r="AS243" s="574"/>
      <c r="AT243" s="574"/>
      <c r="AU243" s="574"/>
      <c r="AV243" s="574"/>
      <c r="AW243" s="574"/>
      <c r="AX243" s="574"/>
      <c r="AY243" s="574"/>
      <c r="AZ243" s="574"/>
      <c r="BA243" s="574"/>
      <c r="BB243" s="574"/>
      <c r="BC243" s="574"/>
      <c r="BD243" s="574"/>
      <c r="BE243" s="574"/>
      <c r="BF243" s="574"/>
      <c r="BG243" s="574"/>
      <c r="BH243" s="574"/>
      <c r="BI243" s="574"/>
      <c r="BJ243" s="574"/>
      <c r="BK243" s="574"/>
      <c r="BL243" s="574"/>
      <c r="BM243" s="574"/>
      <c r="BN243" s="574"/>
      <c r="BO243" s="574"/>
      <c r="BP243" s="574"/>
      <c r="BQ243" s="574"/>
      <c r="BR243" s="574"/>
      <c r="BS243" s="574"/>
      <c r="BT243" s="574"/>
      <c r="BU243" s="574"/>
      <c r="BV243" s="574"/>
      <c r="BW243" s="574"/>
      <c r="BX243" s="574"/>
      <c r="BY243" s="574"/>
      <c r="BZ243" s="574"/>
      <c r="CA243" s="574"/>
      <c r="CB243" s="574"/>
      <c r="CC243" s="574"/>
      <c r="CD243" s="574"/>
      <c r="CE243" s="574"/>
      <c r="CF243" s="574"/>
    </row>
    <row r="244" spans="1:84" s="583" customFormat="1" ht="23.1" customHeight="1" thickBot="1">
      <c r="A244" s="1483" t="s">
        <v>1097</v>
      </c>
      <c r="B244" s="1484"/>
      <c r="C244" s="1484"/>
      <c r="D244" s="1484"/>
      <c r="E244" s="1484"/>
      <c r="F244" s="1484"/>
      <c r="G244" s="1484"/>
      <c r="H244" s="1484"/>
      <c r="I244" s="581" t="s">
        <v>1126</v>
      </c>
      <c r="J244" s="581"/>
      <c r="K244" s="581"/>
      <c r="L244" s="581"/>
      <c r="M244" s="581"/>
      <c r="N244" s="581"/>
      <c r="O244" s="581"/>
      <c r="P244" s="581"/>
      <c r="Q244" s="581"/>
      <c r="R244" s="581"/>
      <c r="S244" s="581"/>
      <c r="T244" s="581"/>
      <c r="U244" s="581"/>
      <c r="V244" s="581"/>
      <c r="W244" s="581"/>
      <c r="X244" s="581"/>
      <c r="Y244" s="581"/>
      <c r="Z244" s="581"/>
      <c r="AA244" s="581"/>
      <c r="AB244" s="581"/>
      <c r="AC244" s="581"/>
      <c r="AD244" s="581"/>
      <c r="AE244" s="581"/>
      <c r="AF244" s="581"/>
      <c r="AG244" s="581"/>
      <c r="AH244" s="581"/>
      <c r="AI244" s="581"/>
      <c r="AJ244" s="1484" t="s">
        <v>1099</v>
      </c>
      <c r="AK244" s="1484"/>
      <c r="AL244" s="1484"/>
      <c r="AM244" s="1484"/>
      <c r="AN244" s="1484"/>
      <c r="AO244" s="1484"/>
      <c r="AP244" s="1484"/>
      <c r="AQ244" s="581" t="s">
        <v>401</v>
      </c>
      <c r="AR244" s="581"/>
      <c r="AS244" s="581"/>
      <c r="AT244" s="581"/>
      <c r="AU244" s="581"/>
      <c r="AV244" s="581"/>
      <c r="AW244" s="581"/>
      <c r="AX244" s="581"/>
      <c r="AY244" s="581"/>
      <c r="AZ244" s="581"/>
      <c r="BA244" s="581"/>
      <c r="BB244" s="581"/>
      <c r="BC244" s="581"/>
      <c r="BD244" s="581"/>
      <c r="BE244" s="581"/>
      <c r="BF244" s="581"/>
      <c r="BG244" s="581"/>
      <c r="BH244" s="581"/>
      <c r="BI244" s="581"/>
      <c r="BJ244" s="581"/>
      <c r="BK244" s="581"/>
      <c r="BL244" s="581"/>
      <c r="BM244" s="581"/>
      <c r="BN244" s="581"/>
      <c r="BO244" s="581"/>
      <c r="BP244" s="581"/>
      <c r="BQ244" s="581"/>
      <c r="BR244" s="581"/>
      <c r="BS244" s="581"/>
      <c r="BT244" s="581" t="s">
        <v>1125</v>
      </c>
      <c r="BU244" s="581"/>
      <c r="BV244" s="581"/>
      <c r="BW244" s="581"/>
      <c r="BX244" s="581"/>
      <c r="BY244" s="581"/>
      <c r="BZ244" s="581"/>
      <c r="CA244" s="581"/>
      <c r="CB244" s="581"/>
      <c r="CC244" s="581"/>
      <c r="CD244" s="581"/>
      <c r="CE244" s="581"/>
      <c r="CF244" s="582"/>
    </row>
    <row r="245" spans="1:84" s="583" customFormat="1" ht="23.1" customHeight="1">
      <c r="A245" s="584"/>
      <c r="B245" s="585" t="s">
        <v>1102</v>
      </c>
      <c r="C245" s="585"/>
      <c r="D245" s="585"/>
      <c r="E245" s="585"/>
      <c r="F245" s="585"/>
      <c r="G245" s="585"/>
      <c r="H245" s="585"/>
      <c r="I245" s="585"/>
      <c r="J245" s="585"/>
      <c r="K245" s="585"/>
      <c r="L245" s="585"/>
      <c r="M245" s="585"/>
      <c r="N245" s="585"/>
      <c r="O245" s="585"/>
      <c r="P245" s="585"/>
      <c r="Q245" s="585"/>
      <c r="R245" s="585"/>
      <c r="S245" s="585"/>
      <c r="T245" s="585"/>
      <c r="U245" s="585"/>
      <c r="V245" s="585"/>
      <c r="W245" s="585"/>
      <c r="X245" s="585"/>
      <c r="Y245" s="585"/>
      <c r="Z245" s="585"/>
      <c r="AA245" s="585"/>
      <c r="AB245" s="585"/>
      <c r="AC245" s="585"/>
      <c r="AD245" s="585"/>
      <c r="AE245" s="585"/>
      <c r="AF245" s="585"/>
      <c r="AG245" s="585"/>
      <c r="AH245" s="585"/>
      <c r="AI245" s="585"/>
      <c r="AJ245" s="585"/>
      <c r="AK245" s="585"/>
      <c r="AL245" s="585"/>
      <c r="AM245" s="585"/>
      <c r="AN245" s="585"/>
      <c r="AO245" s="585"/>
      <c r="AP245" s="585"/>
      <c r="AQ245" s="585"/>
      <c r="AR245" s="585"/>
      <c r="AS245" s="585"/>
      <c r="AT245" s="585"/>
      <c r="AU245" s="585"/>
      <c r="AV245" s="585"/>
      <c r="AW245" s="585"/>
      <c r="AX245" s="585"/>
      <c r="AY245" s="585"/>
      <c r="AZ245" s="585"/>
      <c r="BA245" s="585"/>
      <c r="BB245" s="585"/>
      <c r="BC245" s="585"/>
      <c r="BD245" s="585"/>
      <c r="BE245" s="585"/>
      <c r="BF245" s="585"/>
      <c r="BG245" s="585"/>
      <c r="BH245" s="585"/>
      <c r="BI245" s="585"/>
      <c r="BJ245" s="585"/>
      <c r="BK245" s="585"/>
      <c r="BL245" s="585"/>
      <c r="BM245" s="585"/>
      <c r="BN245" s="585"/>
      <c r="BO245" s="585"/>
      <c r="BP245" s="585"/>
      <c r="BQ245" s="585"/>
      <c r="BR245" s="585"/>
      <c r="BS245" s="585"/>
      <c r="BT245" s="585"/>
      <c r="BU245" s="585"/>
      <c r="BV245" s="585"/>
      <c r="BW245" s="585"/>
      <c r="BX245" s="585"/>
      <c r="BY245" s="585"/>
      <c r="BZ245" s="585"/>
      <c r="CA245" s="585"/>
      <c r="CB245" s="585"/>
      <c r="CC245" s="585"/>
      <c r="CD245" s="585"/>
      <c r="CE245" s="585"/>
      <c r="CF245" s="586"/>
    </row>
    <row r="246" spans="1:84" s="583" customFormat="1" ht="23.1" customHeight="1">
      <c r="A246" s="587"/>
      <c r="B246" s="574"/>
      <c r="C246" s="574"/>
      <c r="D246" s="405"/>
      <c r="E246" s="574"/>
      <c r="F246" s="422"/>
      <c r="G246" s="422"/>
      <c r="H246" s="422"/>
      <c r="I246" s="422"/>
      <c r="J246" s="422"/>
      <c r="K246" s="422"/>
      <c r="L246" s="422"/>
      <c r="M246" s="422"/>
      <c r="N246" s="574"/>
      <c r="O246" s="574"/>
      <c r="P246" s="574"/>
      <c r="Q246" s="574"/>
      <c r="R246" s="574"/>
      <c r="S246" s="588"/>
      <c r="T246" s="588"/>
      <c r="U246" s="588"/>
      <c r="V246" s="588"/>
      <c r="W246" s="588"/>
      <c r="X246" s="588"/>
      <c r="Y246" s="588"/>
      <c r="Z246" s="588"/>
      <c r="AA246" s="574"/>
      <c r="AB246" s="588"/>
      <c r="AC246" s="585"/>
      <c r="AD246" s="585"/>
      <c r="AE246" s="600"/>
      <c r="AF246" s="600"/>
      <c r="AG246" s="600"/>
      <c r="AH246" s="600"/>
      <c r="AI246" s="600"/>
      <c r="AJ246" s="600"/>
      <c r="AK246" s="600"/>
      <c r="AL246" s="600"/>
      <c r="AM246" s="585"/>
      <c r="AN246" s="585"/>
      <c r="AO246" s="574"/>
      <c r="AP246" s="430"/>
      <c r="AQ246" s="430"/>
      <c r="AR246" s="430"/>
      <c r="AS246" s="430"/>
      <c r="AT246" s="430"/>
      <c r="AU246" s="430"/>
      <c r="AV246" s="430"/>
      <c r="AW246" s="430"/>
      <c r="AX246" s="430"/>
      <c r="AY246" s="430"/>
      <c r="AZ246" s="430"/>
      <c r="BA246" s="430"/>
      <c r="BB246" s="430"/>
      <c r="BC246" s="430"/>
      <c r="BD246" s="574"/>
      <c r="BE246" s="574"/>
      <c r="BF246" s="574"/>
      <c r="BG246" s="574"/>
      <c r="BH246" s="574"/>
      <c r="BI246" s="574"/>
      <c r="BJ246" s="574"/>
      <c r="BK246" s="574"/>
      <c r="BL246" s="574"/>
      <c r="BM246" s="574"/>
      <c r="BN246" s="574"/>
      <c r="BO246" s="574"/>
      <c r="BP246" s="574"/>
      <c r="BQ246" s="574"/>
      <c r="BR246" s="574"/>
      <c r="BS246" s="574"/>
      <c r="BT246" s="574"/>
      <c r="BU246" s="574"/>
      <c r="BV246" s="574"/>
      <c r="BW246" s="574"/>
      <c r="BX246" s="574"/>
      <c r="BY246" s="574"/>
      <c r="BZ246" s="574"/>
      <c r="CA246" s="574"/>
      <c r="CB246" s="574"/>
      <c r="CC246" s="574"/>
      <c r="CD246" s="574"/>
      <c r="CE246" s="574"/>
      <c r="CF246" s="589"/>
    </row>
    <row r="247" spans="1:84" s="583" customFormat="1" ht="23.1" customHeight="1">
      <c r="A247" s="584"/>
      <c r="B247" s="585"/>
      <c r="C247" s="585"/>
      <c r="H247" s="1502">
        <f>$AE$142</f>
        <v>142069000</v>
      </c>
      <c r="I247" s="1502"/>
      <c r="J247" s="1502"/>
      <c r="K247" s="1502"/>
      <c r="L247" s="1502"/>
      <c r="M247" s="1502"/>
      <c r="N247" s="1502"/>
      <c r="O247" s="1502"/>
      <c r="P247" s="1502"/>
      <c r="Q247" s="1502"/>
      <c r="R247" s="1502"/>
      <c r="S247" s="1502"/>
      <c r="T247" s="1502"/>
      <c r="U247" s="1502"/>
      <c r="V247" s="1502"/>
      <c r="W247" s="1431" t="s">
        <v>446</v>
      </c>
      <c r="X247" s="1431"/>
      <c r="Y247" s="1491" t="s">
        <v>1127</v>
      </c>
      <c r="Z247" s="1491"/>
      <c r="AA247" s="1503" t="s">
        <v>1103</v>
      </c>
      <c r="AB247" s="1503"/>
      <c r="AC247" s="1442">
        <v>900</v>
      </c>
      <c r="AD247" s="1442"/>
      <c r="AE247" s="1442"/>
      <c r="AF247" s="1442"/>
      <c r="AG247" s="1442"/>
      <c r="AH247" s="1442"/>
      <c r="AI247" s="1431" t="s">
        <v>1128</v>
      </c>
      <c r="AJ247" s="1431"/>
      <c r="AK247" s="1442">
        <v>700</v>
      </c>
      <c r="AL247" s="1442"/>
      <c r="AM247" s="1442"/>
      <c r="AN247" s="1442"/>
      <c r="AO247" s="1442"/>
      <c r="AP247" s="1442"/>
      <c r="AQ247" s="1503" t="s">
        <v>1105</v>
      </c>
      <c r="AR247" s="1503"/>
      <c r="AS247" s="1431" t="s">
        <v>446</v>
      </c>
      <c r="AT247" s="1431"/>
      <c r="AU247" s="1504">
        <v>1.1000000000000001</v>
      </c>
      <c r="AV247" s="1504"/>
      <c r="AW247" s="1504"/>
      <c r="AX247" s="1504"/>
      <c r="AY247" s="1504"/>
      <c r="AZ247" s="1431" t="s">
        <v>1128</v>
      </c>
      <c r="BA247" s="1431"/>
      <c r="BB247" s="1431">
        <v>485</v>
      </c>
      <c r="BC247" s="1431"/>
      <c r="BD247" s="1431"/>
      <c r="BE247" s="1431"/>
      <c r="BF247" s="1431"/>
      <c r="BG247" s="1491" t="s">
        <v>1096</v>
      </c>
      <c r="BH247" s="1491"/>
      <c r="BI247" s="1431" t="s">
        <v>446</v>
      </c>
      <c r="BJ247" s="1431"/>
      <c r="BK247" s="591" t="s">
        <v>1104</v>
      </c>
      <c r="BL247" s="585"/>
      <c r="BM247" s="585"/>
      <c r="BN247" s="585"/>
      <c r="BO247" s="585"/>
      <c r="BP247" s="1431" t="s">
        <v>41</v>
      </c>
      <c r="BQ247" s="1431"/>
      <c r="BR247" s="585"/>
      <c r="BS247" s="585"/>
      <c r="BT247" s="1437">
        <f>INT(H247*((AC247+AK247)*AU247+BB247)*10^-7)</f>
        <v>31894</v>
      </c>
      <c r="BU247" s="1437"/>
      <c r="BV247" s="1437"/>
      <c r="BW247" s="1437"/>
      <c r="BX247" s="1437"/>
      <c r="BY247" s="1437"/>
      <c r="BZ247" s="1437"/>
      <c r="CA247" s="1437"/>
      <c r="CB247" s="1437"/>
      <c r="CC247" s="1437"/>
      <c r="CD247" s="585"/>
      <c r="CE247" s="585"/>
      <c r="CF247" s="586"/>
    </row>
    <row r="248" spans="1:84" s="583" customFormat="1" ht="23.1" customHeight="1">
      <c r="A248" s="592"/>
      <c r="B248" s="593" t="s">
        <v>1106</v>
      </c>
      <c r="C248" s="593"/>
      <c r="D248" s="593"/>
      <c r="E248" s="593"/>
      <c r="F248" s="593"/>
      <c r="G248" s="593"/>
      <c r="H248" s="593"/>
      <c r="I248" s="593"/>
      <c r="J248" s="593"/>
      <c r="K248" s="593"/>
      <c r="L248" s="593"/>
      <c r="M248" s="593"/>
      <c r="N248" s="593"/>
      <c r="O248" s="593"/>
      <c r="P248" s="593"/>
      <c r="Q248" s="593"/>
      <c r="R248" s="593"/>
      <c r="S248" s="593"/>
      <c r="T248" s="593"/>
      <c r="U248" s="593"/>
      <c r="V248" s="593"/>
      <c r="W248" s="593"/>
      <c r="X248" s="593"/>
      <c r="Y248" s="593"/>
      <c r="Z248" s="593"/>
      <c r="AA248" s="593"/>
      <c r="AB248" s="593"/>
      <c r="AC248" s="593"/>
      <c r="AD248" s="593"/>
      <c r="AE248" s="593"/>
      <c r="AF248" s="593"/>
      <c r="AG248" s="593"/>
      <c r="AH248" s="593"/>
      <c r="AI248" s="593"/>
      <c r="AJ248" s="593"/>
      <c r="AK248" s="593"/>
      <c r="AL248" s="593"/>
      <c r="AM248" s="593"/>
      <c r="AN248" s="593"/>
      <c r="AO248" s="593"/>
      <c r="AP248" s="593"/>
      <c r="AQ248" s="593"/>
      <c r="AR248" s="593"/>
      <c r="AS248" s="593"/>
      <c r="AT248" s="593"/>
      <c r="AU248" s="593"/>
      <c r="AV248" s="593"/>
      <c r="AW248" s="593"/>
      <c r="AX248" s="593"/>
      <c r="AY248" s="593"/>
      <c r="AZ248" s="593"/>
      <c r="BA248" s="593"/>
      <c r="BB248" s="593"/>
      <c r="BC248" s="593"/>
      <c r="BD248" s="593"/>
      <c r="BE248" s="593"/>
      <c r="BF248" s="593"/>
      <c r="BG248" s="593"/>
      <c r="BH248" s="593"/>
      <c r="BI248" s="593"/>
      <c r="BJ248" s="593"/>
      <c r="BK248" s="593"/>
      <c r="BL248" s="593"/>
      <c r="BM248" s="593"/>
      <c r="BN248" s="593"/>
      <c r="BO248" s="593"/>
      <c r="BP248" s="593"/>
      <c r="BQ248" s="593"/>
      <c r="BR248" s="593"/>
      <c r="BS248" s="593"/>
      <c r="BT248" s="594"/>
      <c r="BU248" s="594"/>
      <c r="BV248" s="594"/>
      <c r="BW248" s="594"/>
      <c r="BX248" s="594"/>
      <c r="BY248" s="594"/>
      <c r="BZ248" s="594"/>
      <c r="CA248" s="594"/>
      <c r="CB248" s="594"/>
      <c r="CC248" s="594"/>
      <c r="CD248" s="593"/>
      <c r="CE248" s="593"/>
      <c r="CF248" s="595"/>
    </row>
    <row r="249" spans="1:84" s="583" customFormat="1" ht="23.1" customHeight="1">
      <c r="A249" s="584"/>
      <c r="B249" s="585"/>
      <c r="C249" s="585"/>
      <c r="D249" s="596" t="s">
        <v>268</v>
      </c>
      <c r="E249" s="585"/>
      <c r="F249" s="585"/>
      <c r="G249" s="585"/>
      <c r="H249" s="585"/>
      <c r="I249" s="585"/>
      <c r="J249" s="585"/>
      <c r="K249" s="585"/>
      <c r="L249" s="585"/>
      <c r="M249" s="585"/>
      <c r="N249" s="585"/>
      <c r="O249" s="585"/>
      <c r="P249" s="585"/>
      <c r="Q249" s="585"/>
      <c r="R249" s="585"/>
      <c r="S249" s="585"/>
      <c r="T249" s="574"/>
      <c r="U249" s="574"/>
      <c r="V249" s="1435">
        <f>HLOOKUP(D249,$CJ$1:$CM$3,3,0)</f>
        <v>283297</v>
      </c>
      <c r="W249" s="1435"/>
      <c r="X249" s="1435"/>
      <c r="Y249" s="1435"/>
      <c r="Z249" s="1435"/>
      <c r="AA249" s="1435"/>
      <c r="AB249" s="1435"/>
      <c r="AC249" s="1435"/>
      <c r="AD249" s="1435"/>
      <c r="AE249" s="1435"/>
      <c r="AF249" s="1431" t="s">
        <v>446</v>
      </c>
      <c r="AG249" s="1431"/>
      <c r="AH249" s="574"/>
      <c r="AI249" s="1436" t="s">
        <v>1107</v>
      </c>
      <c r="AJ249" s="1436"/>
      <c r="AK249" s="1436"/>
      <c r="AL249" s="1436"/>
      <c r="AM249" s="585"/>
      <c r="AN249" s="1431" t="s">
        <v>446</v>
      </c>
      <c r="AO249" s="1431"/>
      <c r="AP249" s="585"/>
      <c r="AQ249" s="1436" t="s">
        <v>1108</v>
      </c>
      <c r="AR249" s="1436"/>
      <c r="AS249" s="1436"/>
      <c r="AT249" s="1436"/>
      <c r="AU249" s="1436"/>
      <c r="AV249" s="422"/>
      <c r="AW249" s="1431" t="s">
        <v>446</v>
      </c>
      <c r="AX249" s="1431"/>
      <c r="AY249" s="440"/>
      <c r="AZ249" s="1436" t="s">
        <v>1109</v>
      </c>
      <c r="BA249" s="1436"/>
      <c r="BB249" s="1436"/>
      <c r="BC249" s="1436"/>
      <c r="BD249" s="1436"/>
      <c r="BE249" s="585"/>
      <c r="BF249" s="1431" t="s">
        <v>446</v>
      </c>
      <c r="BG249" s="1431"/>
      <c r="BH249" s="1431">
        <v>1</v>
      </c>
      <c r="BI249" s="1431"/>
      <c r="BJ249" s="1431"/>
      <c r="BK249" s="585"/>
      <c r="BL249" s="585" t="s">
        <v>366</v>
      </c>
      <c r="BM249" s="585"/>
      <c r="BN249" s="585"/>
      <c r="BO249" s="585"/>
      <c r="BP249" s="1431" t="s">
        <v>41</v>
      </c>
      <c r="BQ249" s="1431"/>
      <c r="BR249" s="585"/>
      <c r="BS249" s="585"/>
      <c r="BT249" s="1432">
        <f>INT(V249/8*16/12*25/20*BH249)</f>
        <v>59020</v>
      </c>
      <c r="BU249" s="1432"/>
      <c r="BV249" s="1432"/>
      <c r="BW249" s="1432"/>
      <c r="BX249" s="1432"/>
      <c r="BY249" s="1432"/>
      <c r="BZ249" s="1432"/>
      <c r="CA249" s="1432"/>
      <c r="CB249" s="1432"/>
      <c r="CC249" s="1432"/>
      <c r="CD249" s="585"/>
      <c r="CE249" s="585"/>
      <c r="CF249" s="586"/>
    </row>
    <row r="250" spans="1:84" s="583" customFormat="1" ht="23.1" customHeight="1">
      <c r="A250" s="584"/>
      <c r="B250" s="585"/>
      <c r="C250" s="585"/>
      <c r="D250" s="585"/>
      <c r="E250" s="585"/>
      <c r="F250" s="585"/>
      <c r="G250" s="585"/>
      <c r="H250" s="585"/>
      <c r="I250" s="585"/>
      <c r="J250" s="585"/>
      <c r="K250" s="585"/>
      <c r="L250" s="585"/>
      <c r="M250" s="585"/>
      <c r="N250" s="585"/>
      <c r="O250" s="585"/>
      <c r="P250" s="574"/>
      <c r="Q250" s="574"/>
      <c r="R250" s="574"/>
      <c r="S250" s="574"/>
      <c r="T250" s="574"/>
      <c r="U250" s="574"/>
      <c r="V250" s="574"/>
      <c r="W250" s="574"/>
      <c r="X250" s="574"/>
      <c r="Y250" s="574"/>
      <c r="Z250" s="574"/>
      <c r="AA250" s="574"/>
      <c r="AB250" s="574"/>
      <c r="AC250" s="574"/>
      <c r="AD250" s="574"/>
      <c r="AE250" s="574"/>
      <c r="AF250" s="574"/>
      <c r="AG250" s="574"/>
      <c r="AH250" s="574"/>
      <c r="AI250" s="574"/>
      <c r="AJ250" s="574"/>
      <c r="AK250" s="574"/>
      <c r="AL250" s="574"/>
      <c r="AM250" s="574"/>
      <c r="AN250" s="574"/>
      <c r="AO250" s="574"/>
      <c r="AP250" s="574"/>
      <c r="AQ250" s="574"/>
      <c r="AR250" s="574"/>
      <c r="AS250" s="574"/>
      <c r="AT250" s="574"/>
      <c r="AU250" s="574"/>
      <c r="AV250" s="574"/>
      <c r="AW250" s="574"/>
      <c r="AX250" s="574"/>
      <c r="AY250" s="574"/>
      <c r="AZ250" s="574"/>
      <c r="BA250" s="574"/>
      <c r="BB250" s="574"/>
      <c r="BC250" s="574"/>
      <c r="BD250" s="574"/>
      <c r="BE250" s="574"/>
      <c r="BF250" s="574"/>
      <c r="BG250" s="585"/>
      <c r="BH250" s="585"/>
      <c r="BI250" s="585"/>
      <c r="BJ250" s="585"/>
      <c r="BK250" s="585"/>
      <c r="BL250" s="585"/>
      <c r="BM250" s="585"/>
      <c r="BN250" s="585"/>
      <c r="BO250" s="585"/>
      <c r="BP250" s="1431"/>
      <c r="BQ250" s="1431"/>
      <c r="BR250" s="585"/>
      <c r="BS250" s="585"/>
      <c r="BT250" s="1432"/>
      <c r="BU250" s="1432"/>
      <c r="BV250" s="1432"/>
      <c r="BW250" s="1432"/>
      <c r="BX250" s="1432"/>
      <c r="BY250" s="1432"/>
      <c r="BZ250" s="1432"/>
      <c r="CA250" s="1432"/>
      <c r="CB250" s="1432"/>
      <c r="CC250" s="1432"/>
      <c r="CD250" s="585"/>
      <c r="CE250" s="585"/>
      <c r="CF250" s="586"/>
    </row>
    <row r="251" spans="1:84" s="583" customFormat="1" ht="23.1" customHeight="1">
      <c r="A251" s="584"/>
      <c r="B251" s="585"/>
      <c r="C251" s="585"/>
      <c r="D251" s="585"/>
      <c r="E251" s="585"/>
      <c r="F251" s="585"/>
      <c r="G251" s="585"/>
      <c r="H251" s="585"/>
      <c r="I251" s="585"/>
      <c r="J251" s="585"/>
      <c r="K251" s="585"/>
      <c r="L251" s="585"/>
      <c r="M251" s="585"/>
      <c r="N251" s="585"/>
      <c r="O251" s="585"/>
      <c r="P251" s="585"/>
      <c r="Q251" s="585"/>
      <c r="R251" s="585"/>
      <c r="S251" s="585"/>
      <c r="T251" s="585"/>
      <c r="U251" s="585"/>
      <c r="V251" s="585"/>
      <c r="W251" s="585"/>
      <c r="X251" s="585"/>
      <c r="Y251" s="585"/>
      <c r="Z251" s="585"/>
      <c r="AA251" s="585"/>
      <c r="AB251" s="585"/>
      <c r="AC251" s="585"/>
      <c r="AD251" s="574"/>
      <c r="AE251" s="574"/>
      <c r="AF251" s="574"/>
      <c r="AG251" s="574"/>
      <c r="AH251" s="574"/>
      <c r="AI251" s="574"/>
      <c r="AJ251" s="574"/>
      <c r="AK251" s="574"/>
      <c r="AL251" s="574"/>
      <c r="AM251" s="574"/>
      <c r="AN251" s="574"/>
      <c r="AO251" s="574"/>
      <c r="AP251" s="574"/>
      <c r="AQ251" s="574"/>
      <c r="AR251" s="574"/>
      <c r="AS251" s="585"/>
      <c r="AT251" s="590"/>
      <c r="AU251" s="590"/>
      <c r="AV251" s="585"/>
      <c r="AW251" s="585"/>
      <c r="AX251" s="585"/>
      <c r="AY251" s="585"/>
      <c r="AZ251" s="585"/>
      <c r="BA251" s="585"/>
      <c r="BB251" s="585"/>
      <c r="BC251" s="585"/>
      <c r="BD251" s="585"/>
      <c r="BE251" s="585"/>
      <c r="BF251" s="585"/>
      <c r="BG251" s="585"/>
      <c r="BH251" s="585"/>
      <c r="BI251" s="585"/>
      <c r="BJ251" s="585"/>
      <c r="BK251" s="585"/>
      <c r="BL251" s="585"/>
      <c r="BM251" s="585"/>
      <c r="BN251" s="585"/>
      <c r="BO251" s="585"/>
      <c r="BP251" s="1431" t="s">
        <v>41</v>
      </c>
      <c r="BQ251" s="1431"/>
      <c r="BR251" s="585"/>
      <c r="BS251" s="585"/>
      <c r="BT251" s="1434">
        <f>BT249+BT250</f>
        <v>59020</v>
      </c>
      <c r="BU251" s="1434"/>
      <c r="BV251" s="1434"/>
      <c r="BW251" s="1434"/>
      <c r="BX251" s="1434"/>
      <c r="BY251" s="1434"/>
      <c r="BZ251" s="1434"/>
      <c r="CA251" s="1434"/>
      <c r="CB251" s="1434"/>
      <c r="CC251" s="1434"/>
      <c r="CD251" s="585"/>
      <c r="CE251" s="585"/>
      <c r="CF251" s="586"/>
    </row>
    <row r="252" spans="1:84" s="583" customFormat="1" ht="23.1" customHeight="1">
      <c r="A252" s="592"/>
      <c r="B252" s="593" t="s">
        <v>1110</v>
      </c>
      <c r="C252" s="593"/>
      <c r="D252" s="593"/>
      <c r="E252" s="593"/>
      <c r="F252" s="593"/>
      <c r="G252" s="593"/>
      <c r="H252" s="593"/>
      <c r="I252" s="593"/>
      <c r="J252" s="593"/>
      <c r="K252" s="593"/>
      <c r="L252" s="593"/>
      <c r="M252" s="593"/>
      <c r="N252" s="593"/>
      <c r="O252" s="593"/>
      <c r="P252" s="593"/>
      <c r="Q252" s="593"/>
      <c r="R252" s="593"/>
      <c r="S252" s="593"/>
      <c r="T252" s="593"/>
      <c r="U252" s="593"/>
      <c r="V252" s="593"/>
      <c r="W252" s="593"/>
      <c r="X252" s="593"/>
      <c r="Y252" s="593"/>
      <c r="Z252" s="593"/>
      <c r="AA252" s="593"/>
      <c r="AB252" s="593"/>
      <c r="AC252" s="593"/>
      <c r="AD252" s="593"/>
      <c r="AE252" s="593"/>
      <c r="AF252" s="593"/>
      <c r="AG252" s="593"/>
      <c r="AH252" s="593"/>
      <c r="AI252" s="593"/>
      <c r="AJ252" s="593"/>
      <c r="AK252" s="593"/>
      <c r="AL252" s="593"/>
      <c r="AM252" s="593"/>
      <c r="AN252" s="593"/>
      <c r="AO252" s="593"/>
      <c r="AP252" s="593"/>
      <c r="AQ252" s="593"/>
      <c r="AR252" s="593"/>
      <c r="AS252" s="593"/>
      <c r="AT252" s="593"/>
      <c r="AU252" s="593"/>
      <c r="AV252" s="593"/>
      <c r="AW252" s="593"/>
      <c r="AX252" s="593"/>
      <c r="AY252" s="593"/>
      <c r="AZ252" s="593"/>
      <c r="BA252" s="593"/>
      <c r="BB252" s="593"/>
      <c r="BC252" s="593"/>
      <c r="BD252" s="593"/>
      <c r="BE252" s="593"/>
      <c r="BF252" s="593"/>
      <c r="BG252" s="593"/>
      <c r="BH252" s="593"/>
      <c r="BI252" s="593"/>
      <c r="BJ252" s="593"/>
      <c r="BK252" s="593"/>
      <c r="BL252" s="593"/>
      <c r="BM252" s="593"/>
      <c r="BN252" s="593"/>
      <c r="BO252" s="593"/>
      <c r="BP252" s="593"/>
      <c r="BQ252" s="593"/>
      <c r="BR252" s="593"/>
      <c r="BS252" s="593"/>
      <c r="BT252" s="593"/>
      <c r="BU252" s="593"/>
      <c r="BV252" s="593"/>
      <c r="BW252" s="593"/>
      <c r="BX252" s="593"/>
      <c r="BY252" s="593"/>
      <c r="BZ252" s="593"/>
      <c r="CA252" s="593"/>
      <c r="CB252" s="593"/>
      <c r="CC252" s="593"/>
      <c r="CD252" s="593"/>
      <c r="CE252" s="593"/>
      <c r="CF252" s="595"/>
    </row>
    <row r="253" spans="1:84" s="583" customFormat="1" ht="23.1" customHeight="1">
      <c r="A253" s="584"/>
      <c r="B253" s="585"/>
      <c r="C253" s="585"/>
      <c r="D253" s="596" t="s">
        <v>1094</v>
      </c>
      <c r="E253" s="585"/>
      <c r="F253" s="585"/>
      <c r="G253" s="585"/>
      <c r="H253" s="585"/>
      <c r="I253" s="585"/>
      <c r="J253" s="585"/>
      <c r="K253" s="585"/>
      <c r="L253" s="585"/>
      <c r="M253" s="585"/>
      <c r="N253" s="585"/>
      <c r="O253" s="585"/>
      <c r="P253" s="585"/>
      <c r="Q253" s="585"/>
      <c r="R253" s="585"/>
      <c r="S253" s="585"/>
      <c r="T253" s="585"/>
      <c r="U253" s="585"/>
      <c r="V253" s="585"/>
      <c r="W253" s="585"/>
      <c r="X253" s="585"/>
      <c r="Y253" s="585"/>
      <c r="Z253" s="585"/>
      <c r="AA253" s="585"/>
      <c r="AB253" s="585"/>
      <c r="AC253" s="585"/>
      <c r="AD253" s="585"/>
      <c r="AE253" s="585"/>
      <c r="AF253" s="585"/>
      <c r="AG253" s="585"/>
      <c r="AH253" s="585"/>
      <c r="AI253" s="585"/>
      <c r="AJ253" s="585"/>
      <c r="AK253" s="585"/>
      <c r="AL253" s="585"/>
      <c r="AM253" s="585"/>
      <c r="AN253" s="585"/>
      <c r="AO253" s="585"/>
      <c r="AP253" s="585"/>
      <c r="AQ253" s="585"/>
      <c r="AR253" s="422"/>
      <c r="AS253" s="1435" t="e">
        <f>HLOOKUP(D253,$CN$1:$CO$3,3,0)</f>
        <v>#REF!</v>
      </c>
      <c r="AT253" s="1435"/>
      <c r="AU253" s="1435"/>
      <c r="AV253" s="1435"/>
      <c r="AW253" s="1435"/>
      <c r="AX253" s="1435"/>
      <c r="AY253" s="1435"/>
      <c r="AZ253" s="1435"/>
      <c r="BA253" s="1435"/>
      <c r="BB253" s="1435"/>
      <c r="BC253" s="585"/>
      <c r="BD253" s="1431" t="s">
        <v>446</v>
      </c>
      <c r="BE253" s="1431"/>
      <c r="BF253" s="585"/>
      <c r="BG253" s="1431">
        <v>19.5</v>
      </c>
      <c r="BH253" s="1431"/>
      <c r="BI253" s="1431"/>
      <c r="BJ253" s="1431"/>
      <c r="BK253" s="1431"/>
      <c r="BL253" s="585" t="s">
        <v>1111</v>
      </c>
      <c r="BM253" s="585"/>
      <c r="BN253" s="585"/>
      <c r="BO253" s="585"/>
      <c r="BP253" s="1431" t="s">
        <v>41</v>
      </c>
      <c r="BQ253" s="1431"/>
      <c r="BR253" s="585"/>
      <c r="BS253" s="585"/>
      <c r="BT253" s="1432" t="e">
        <f>INT(AS253*BG253)</f>
        <v>#REF!</v>
      </c>
      <c r="BU253" s="1432"/>
      <c r="BV253" s="1432"/>
      <c r="BW253" s="1432"/>
      <c r="BX253" s="1432"/>
      <c r="BY253" s="1432"/>
      <c r="BZ253" s="1432"/>
      <c r="CA253" s="1432"/>
      <c r="CB253" s="1432"/>
      <c r="CC253" s="1432"/>
      <c r="CD253" s="585"/>
      <c r="CE253" s="585"/>
      <c r="CF253" s="586"/>
    </row>
    <row r="254" spans="1:84" s="583" customFormat="1" ht="23.1" customHeight="1">
      <c r="A254" s="584"/>
      <c r="B254" s="585"/>
      <c r="C254" s="585"/>
      <c r="D254" s="591" t="str">
        <f>"잡재료 (주연료의 "&amp;BG254&amp;"%) :"</f>
        <v>잡재료 (주연료의 22%) :</v>
      </c>
      <c r="E254" s="585"/>
      <c r="F254" s="585"/>
      <c r="G254" s="585"/>
      <c r="H254" s="585"/>
      <c r="I254" s="585"/>
      <c r="J254" s="585"/>
      <c r="K254" s="585"/>
      <c r="L254" s="585"/>
      <c r="M254" s="585"/>
      <c r="N254" s="585"/>
      <c r="O254" s="585"/>
      <c r="P254" s="585"/>
      <c r="Q254" s="585"/>
      <c r="R254" s="585"/>
      <c r="S254" s="585"/>
      <c r="T254" s="585"/>
      <c r="U254" s="585"/>
      <c r="V254" s="585"/>
      <c r="W254" s="585"/>
      <c r="X254" s="585"/>
      <c r="Y254" s="585"/>
      <c r="Z254" s="585"/>
      <c r="AA254" s="585"/>
      <c r="AB254" s="585"/>
      <c r="AC254" s="585"/>
      <c r="AD254" s="585"/>
      <c r="AE254" s="585"/>
      <c r="AF254" s="585"/>
      <c r="AG254" s="585"/>
      <c r="AH254" s="585"/>
      <c r="AI254" s="585"/>
      <c r="AJ254" s="585"/>
      <c r="AK254" s="585"/>
      <c r="AL254" s="585"/>
      <c r="AM254" s="585"/>
      <c r="AN254" s="585"/>
      <c r="AO254" s="585"/>
      <c r="AP254" s="585"/>
      <c r="AQ254" s="585"/>
      <c r="AR254" s="422" t="e">
        <f>BT253</f>
        <v>#REF!</v>
      </c>
      <c r="AS254" s="1430" t="e">
        <f>BT253</f>
        <v>#REF!</v>
      </c>
      <c r="AT254" s="1430"/>
      <c r="AU254" s="1430"/>
      <c r="AV254" s="1430"/>
      <c r="AW254" s="1430"/>
      <c r="AX254" s="1430"/>
      <c r="AY254" s="1430"/>
      <c r="AZ254" s="1430"/>
      <c r="BA254" s="1430"/>
      <c r="BB254" s="1430"/>
      <c r="BC254" s="585"/>
      <c r="BD254" s="1431" t="s">
        <v>446</v>
      </c>
      <c r="BE254" s="1431"/>
      <c r="BF254" s="585"/>
      <c r="BG254" s="1431">
        <v>22</v>
      </c>
      <c r="BH254" s="1431"/>
      <c r="BI254" s="1431"/>
      <c r="BJ254" s="1431"/>
      <c r="BK254" s="1431"/>
      <c r="BL254" s="585" t="s">
        <v>1112</v>
      </c>
      <c r="BM254" s="585"/>
      <c r="BN254" s="585"/>
      <c r="BO254" s="585"/>
      <c r="BP254" s="1431" t="s">
        <v>41</v>
      </c>
      <c r="BQ254" s="1431"/>
      <c r="BR254" s="585"/>
      <c r="BS254" s="585"/>
      <c r="BT254" s="1432" t="e">
        <f>INT(AS254*BG254/100)</f>
        <v>#REF!</v>
      </c>
      <c r="BU254" s="1432"/>
      <c r="BV254" s="1432"/>
      <c r="BW254" s="1432"/>
      <c r="BX254" s="1432"/>
      <c r="BY254" s="1432"/>
      <c r="BZ254" s="1432"/>
      <c r="CA254" s="1432"/>
      <c r="CB254" s="1432"/>
      <c r="CC254" s="1432"/>
      <c r="CD254" s="585"/>
      <c r="CE254" s="585"/>
      <c r="CF254" s="586"/>
    </row>
    <row r="255" spans="1:84" s="583" customFormat="1" ht="23.1" customHeight="1" thickBot="1">
      <c r="A255" s="584"/>
      <c r="B255" s="585"/>
      <c r="C255" s="585"/>
      <c r="D255" s="585"/>
      <c r="E255" s="585"/>
      <c r="F255" s="585"/>
      <c r="G255" s="585"/>
      <c r="H255" s="585"/>
      <c r="I255" s="585"/>
      <c r="J255" s="585"/>
      <c r="K255" s="585"/>
      <c r="L255" s="585"/>
      <c r="M255" s="585"/>
      <c r="N255" s="585"/>
      <c r="O255" s="585"/>
      <c r="P255" s="585"/>
      <c r="Q255" s="585"/>
      <c r="R255" s="585"/>
      <c r="S255" s="585"/>
      <c r="T255" s="585"/>
      <c r="U255" s="585"/>
      <c r="V255" s="585"/>
      <c r="W255" s="585"/>
      <c r="X255" s="585"/>
      <c r="Y255" s="585"/>
      <c r="Z255" s="585"/>
      <c r="AA255" s="585"/>
      <c r="AB255" s="585"/>
      <c r="AC255" s="585"/>
      <c r="AD255" s="585"/>
      <c r="AE255" s="585"/>
      <c r="AF255" s="585"/>
      <c r="AG255" s="585"/>
      <c r="AH255" s="585"/>
      <c r="AI255" s="585"/>
      <c r="AJ255" s="585"/>
      <c r="AK255" s="585"/>
      <c r="AL255" s="585"/>
      <c r="AM255" s="585"/>
      <c r="AN255" s="585"/>
      <c r="AO255" s="585"/>
      <c r="AP255" s="585"/>
      <c r="AQ255" s="585"/>
      <c r="AR255" s="585"/>
      <c r="AS255" s="585"/>
      <c r="AT255" s="585"/>
      <c r="AU255" s="585"/>
      <c r="AV255" s="585"/>
      <c r="AW255" s="585"/>
      <c r="AX255" s="585"/>
      <c r="AY255" s="585"/>
      <c r="AZ255" s="585"/>
      <c r="BA255" s="585"/>
      <c r="BB255" s="585"/>
      <c r="BC255" s="585"/>
      <c r="BD255" s="585"/>
      <c r="BE255" s="585"/>
      <c r="BF255" s="585"/>
      <c r="BG255" s="585"/>
      <c r="BH255" s="585"/>
      <c r="BI255" s="585"/>
      <c r="BJ255" s="585"/>
      <c r="BK255" s="585"/>
      <c r="BL255" s="585"/>
      <c r="BM255" s="585"/>
      <c r="BN255" s="585"/>
      <c r="BO255" s="585"/>
      <c r="BP255" s="1431" t="s">
        <v>41</v>
      </c>
      <c r="BQ255" s="1431"/>
      <c r="BR255" s="585"/>
      <c r="BS255" s="585"/>
      <c r="BT255" s="1433" t="e">
        <f>BT253+BT254</f>
        <v>#REF!</v>
      </c>
      <c r="BU255" s="1433"/>
      <c r="BV255" s="1433"/>
      <c r="BW255" s="1433"/>
      <c r="BX255" s="1433"/>
      <c r="BY255" s="1433"/>
      <c r="BZ255" s="1433"/>
      <c r="CA255" s="1433"/>
      <c r="CB255" s="1433"/>
      <c r="CC255" s="1433"/>
      <c r="CD255" s="585"/>
      <c r="CE255" s="585"/>
      <c r="CF255" s="586"/>
    </row>
    <row r="256" spans="1:84" s="583" customFormat="1" ht="23.1" customHeight="1" thickBot="1">
      <c r="A256" s="597"/>
      <c r="B256" s="598" t="s">
        <v>1113</v>
      </c>
      <c r="C256" s="598"/>
      <c r="D256" s="598"/>
      <c r="E256" s="598"/>
      <c r="F256" s="598"/>
      <c r="G256" s="598"/>
      <c r="H256" s="598"/>
      <c r="I256" s="598"/>
      <c r="J256" s="598"/>
      <c r="K256" s="598"/>
      <c r="L256" s="598"/>
      <c r="M256" s="598"/>
      <c r="N256" s="598"/>
      <c r="O256" s="598"/>
      <c r="P256" s="598"/>
      <c r="Q256" s="598"/>
      <c r="R256" s="598"/>
      <c r="S256" s="598"/>
      <c r="T256" s="598"/>
      <c r="U256" s="598"/>
      <c r="V256" s="598"/>
      <c r="W256" s="598"/>
      <c r="X256" s="598"/>
      <c r="Y256" s="598"/>
      <c r="Z256" s="598"/>
      <c r="AA256" s="598"/>
      <c r="AB256" s="598"/>
      <c r="AC256" s="598"/>
      <c r="AD256" s="598"/>
      <c r="AE256" s="598"/>
      <c r="AF256" s="598"/>
      <c r="AG256" s="598"/>
      <c r="AH256" s="598"/>
      <c r="AI256" s="598"/>
      <c r="AJ256" s="598"/>
      <c r="AK256" s="598"/>
      <c r="AL256" s="598"/>
      <c r="AM256" s="598"/>
      <c r="AN256" s="598"/>
      <c r="AO256" s="598"/>
      <c r="AP256" s="598"/>
      <c r="AQ256" s="598"/>
      <c r="AR256" s="598"/>
      <c r="AS256" s="598"/>
      <c r="AT256" s="598"/>
      <c r="AU256" s="598"/>
      <c r="AV256" s="598"/>
      <c r="AW256" s="598"/>
      <c r="AX256" s="598"/>
      <c r="AY256" s="598"/>
      <c r="AZ256" s="598"/>
      <c r="BA256" s="598"/>
      <c r="BB256" s="598"/>
      <c r="BC256" s="598"/>
      <c r="BD256" s="598"/>
      <c r="BE256" s="598"/>
      <c r="BF256" s="598"/>
      <c r="BG256" s="598"/>
      <c r="BH256" s="598"/>
      <c r="BI256" s="598"/>
      <c r="BJ256" s="598"/>
      <c r="BK256" s="598"/>
      <c r="BL256" s="598"/>
      <c r="BM256" s="598"/>
      <c r="BN256" s="598"/>
      <c r="BO256" s="598"/>
      <c r="BP256" s="598"/>
      <c r="BQ256" s="598"/>
      <c r="BR256" s="598"/>
      <c r="BS256" s="598"/>
      <c r="BT256" s="1429" t="e">
        <f>BT247+BT251+BT255</f>
        <v>#REF!</v>
      </c>
      <c r="BU256" s="1429"/>
      <c r="BV256" s="1429"/>
      <c r="BW256" s="1429"/>
      <c r="BX256" s="1429"/>
      <c r="BY256" s="1429"/>
      <c r="BZ256" s="1429"/>
      <c r="CA256" s="1429"/>
      <c r="CB256" s="1429"/>
      <c r="CC256" s="1429"/>
      <c r="CD256" s="598"/>
      <c r="CE256" s="598"/>
      <c r="CF256" s="599"/>
    </row>
    <row r="257" spans="1:84" s="583" customFormat="1" ht="9.9499999999999993" customHeight="1">
      <c r="A257" s="574"/>
      <c r="B257" s="574"/>
      <c r="C257" s="574"/>
      <c r="D257" s="574"/>
      <c r="E257" s="574"/>
      <c r="F257" s="574"/>
      <c r="G257" s="574"/>
      <c r="H257" s="574"/>
      <c r="I257" s="574"/>
      <c r="J257" s="574"/>
      <c r="K257" s="574"/>
      <c r="L257" s="574"/>
      <c r="M257" s="574"/>
      <c r="N257" s="574"/>
      <c r="O257" s="574"/>
      <c r="P257" s="574"/>
      <c r="Q257" s="574"/>
      <c r="R257" s="574"/>
      <c r="S257" s="574"/>
      <c r="T257" s="574"/>
      <c r="U257" s="574"/>
      <c r="V257" s="574"/>
      <c r="W257" s="574"/>
      <c r="X257" s="574"/>
      <c r="Y257" s="574"/>
      <c r="Z257" s="574"/>
      <c r="AA257" s="574"/>
      <c r="AB257" s="574"/>
      <c r="AC257" s="574"/>
      <c r="AD257" s="574"/>
      <c r="AE257" s="574"/>
      <c r="AF257" s="574"/>
      <c r="AG257" s="574"/>
      <c r="AH257" s="574"/>
      <c r="AI257" s="574"/>
      <c r="AJ257" s="574"/>
      <c r="AK257" s="574"/>
      <c r="AL257" s="574"/>
      <c r="AM257" s="574"/>
      <c r="AN257" s="574"/>
      <c r="AO257" s="574"/>
      <c r="AP257" s="574"/>
      <c r="AQ257" s="574"/>
      <c r="AR257" s="574"/>
      <c r="AS257" s="574"/>
      <c r="AT257" s="574"/>
      <c r="AU257" s="574"/>
      <c r="AV257" s="574"/>
      <c r="AW257" s="574"/>
      <c r="AX257" s="574"/>
      <c r="AY257" s="574"/>
      <c r="AZ257" s="574"/>
      <c r="BA257" s="574"/>
      <c r="BB257" s="574"/>
      <c r="BC257" s="574"/>
      <c r="BD257" s="574"/>
      <c r="BE257" s="574"/>
      <c r="BF257" s="574"/>
      <c r="BG257" s="574"/>
      <c r="BH257" s="574"/>
      <c r="BI257" s="574"/>
      <c r="BJ257" s="574"/>
      <c r="BK257" s="574"/>
      <c r="BL257" s="574"/>
      <c r="BM257" s="574"/>
      <c r="BN257" s="574"/>
      <c r="BO257" s="574"/>
      <c r="BP257" s="574"/>
      <c r="BQ257" s="574"/>
      <c r="BR257" s="574"/>
      <c r="BS257" s="574"/>
      <c r="BT257" s="574"/>
      <c r="BU257" s="574"/>
      <c r="BV257" s="574"/>
      <c r="BW257" s="574"/>
      <c r="BX257" s="574"/>
      <c r="BY257" s="574"/>
      <c r="BZ257" s="574"/>
      <c r="CA257" s="574"/>
      <c r="CB257" s="574"/>
      <c r="CC257" s="574"/>
      <c r="CD257" s="574"/>
      <c r="CE257" s="574"/>
      <c r="CF257" s="574"/>
    </row>
    <row r="258" spans="1:84" s="583" customFormat="1" ht="23.1" customHeight="1" thickBot="1">
      <c r="A258" s="1446" t="s">
        <v>1095</v>
      </c>
      <c r="B258" s="1446"/>
      <c r="C258" s="1446"/>
      <c r="D258" s="1446"/>
      <c r="E258" s="1446"/>
      <c r="F258" s="1446"/>
      <c r="G258" s="1447">
        <f>G243+1</f>
        <v>18</v>
      </c>
      <c r="H258" s="1447"/>
      <c r="I258" s="1447"/>
      <c r="J258" s="1448" t="s">
        <v>1096</v>
      </c>
      <c r="K258" s="1448"/>
      <c r="L258" s="574"/>
      <c r="M258" s="574"/>
      <c r="N258" s="574"/>
      <c r="O258" s="574"/>
      <c r="P258" s="574"/>
      <c r="Q258" s="574"/>
      <c r="R258" s="574"/>
      <c r="S258" s="574"/>
      <c r="T258" s="574"/>
      <c r="U258" s="574"/>
      <c r="V258" s="574"/>
      <c r="W258" s="574"/>
      <c r="X258" s="574"/>
      <c r="Y258" s="574"/>
      <c r="Z258" s="574"/>
      <c r="AA258" s="574"/>
      <c r="AB258" s="574"/>
      <c r="AC258" s="574"/>
      <c r="AD258" s="574"/>
      <c r="AE258" s="574"/>
      <c r="AF258" s="574"/>
      <c r="AG258" s="574"/>
      <c r="AH258" s="574"/>
      <c r="AI258" s="574"/>
      <c r="AJ258" s="574"/>
      <c r="AK258" s="574"/>
      <c r="AL258" s="574"/>
      <c r="AM258" s="574"/>
      <c r="AN258" s="574"/>
      <c r="AO258" s="574"/>
      <c r="AP258" s="574"/>
      <c r="AQ258" s="574"/>
      <c r="AR258" s="574"/>
      <c r="AS258" s="574"/>
      <c r="AT258" s="574"/>
      <c r="AU258" s="574"/>
      <c r="AV258" s="574"/>
      <c r="AW258" s="574"/>
      <c r="AX258" s="574"/>
      <c r="AY258" s="574"/>
      <c r="AZ258" s="574"/>
      <c r="BA258" s="574"/>
      <c r="BB258" s="574"/>
      <c r="BC258" s="574"/>
      <c r="BD258" s="574"/>
      <c r="BE258" s="574"/>
      <c r="BF258" s="574"/>
      <c r="BG258" s="574"/>
      <c r="BH258" s="574"/>
      <c r="BI258" s="574"/>
      <c r="BJ258" s="574"/>
      <c r="BK258" s="574"/>
      <c r="BL258" s="574"/>
      <c r="BM258" s="574"/>
      <c r="BN258" s="574"/>
      <c r="BO258" s="574"/>
      <c r="BP258" s="574"/>
      <c r="BQ258" s="574"/>
      <c r="BR258" s="574"/>
      <c r="BS258" s="574"/>
      <c r="BT258" s="574"/>
      <c r="BU258" s="574"/>
      <c r="BV258" s="574"/>
      <c r="BW258" s="574"/>
      <c r="BX258" s="574"/>
      <c r="BY258" s="574"/>
      <c r="BZ258" s="574"/>
      <c r="CA258" s="574"/>
      <c r="CB258" s="574"/>
      <c r="CC258" s="574"/>
      <c r="CD258" s="574"/>
      <c r="CE258" s="574"/>
      <c r="CF258" s="574"/>
    </row>
    <row r="259" spans="1:84" s="583" customFormat="1" ht="23.1" customHeight="1" thickBot="1">
      <c r="A259" s="1483" t="s">
        <v>1097</v>
      </c>
      <c r="B259" s="1484"/>
      <c r="C259" s="1484"/>
      <c r="D259" s="1484"/>
      <c r="E259" s="1484"/>
      <c r="F259" s="1484"/>
      <c r="G259" s="1484"/>
      <c r="H259" s="1484"/>
      <c r="I259" s="581" t="s">
        <v>1129</v>
      </c>
      <c r="J259" s="581"/>
      <c r="K259" s="581"/>
      <c r="L259" s="581"/>
      <c r="M259" s="581"/>
      <c r="N259" s="581"/>
      <c r="O259" s="581"/>
      <c r="P259" s="581"/>
      <c r="Q259" s="581"/>
      <c r="R259" s="581"/>
      <c r="S259" s="581"/>
      <c r="T259" s="581"/>
      <c r="U259" s="581"/>
      <c r="V259" s="581"/>
      <c r="W259" s="581"/>
      <c r="X259" s="581"/>
      <c r="Y259" s="581"/>
      <c r="Z259" s="581"/>
      <c r="AA259" s="581"/>
      <c r="AB259" s="581"/>
      <c r="AC259" s="581"/>
      <c r="AD259" s="581"/>
      <c r="AE259" s="581"/>
      <c r="AF259" s="581"/>
      <c r="AG259" s="581"/>
      <c r="AH259" s="581"/>
      <c r="AI259" s="581"/>
      <c r="AJ259" s="1484" t="s">
        <v>1099</v>
      </c>
      <c r="AK259" s="1484"/>
      <c r="AL259" s="1484"/>
      <c r="AM259" s="1484"/>
      <c r="AN259" s="1484"/>
      <c r="AO259" s="1484"/>
      <c r="AP259" s="1484"/>
      <c r="AQ259" s="581" t="s">
        <v>399</v>
      </c>
      <c r="AR259" s="581"/>
      <c r="AS259" s="581"/>
      <c r="AT259" s="581"/>
      <c r="AU259" s="581"/>
      <c r="AV259" s="581"/>
      <c r="AW259" s="581"/>
      <c r="AX259" s="581"/>
      <c r="AY259" s="581"/>
      <c r="AZ259" s="581"/>
      <c r="BA259" s="581"/>
      <c r="BB259" s="581"/>
      <c r="BC259" s="581"/>
      <c r="BD259" s="581"/>
      <c r="BE259" s="581"/>
      <c r="BF259" s="581"/>
      <c r="BG259" s="581"/>
      <c r="BH259" s="581"/>
      <c r="BI259" s="581"/>
      <c r="BJ259" s="581"/>
      <c r="BK259" s="581"/>
      <c r="BL259" s="581"/>
      <c r="BM259" s="581"/>
      <c r="BN259" s="581"/>
      <c r="BO259" s="581"/>
      <c r="BP259" s="581"/>
      <c r="BQ259" s="581"/>
      <c r="BR259" s="581"/>
      <c r="BS259" s="581"/>
      <c r="BT259" s="581" t="s">
        <v>1123</v>
      </c>
      <c r="BU259" s="581"/>
      <c r="BV259" s="581"/>
      <c r="BW259" s="581"/>
      <c r="BX259" s="581"/>
      <c r="BY259" s="581"/>
      <c r="BZ259" s="581"/>
      <c r="CA259" s="581"/>
      <c r="CB259" s="581"/>
      <c r="CC259" s="581"/>
      <c r="CD259" s="581"/>
      <c r="CE259" s="581"/>
      <c r="CF259" s="582"/>
    </row>
    <row r="260" spans="1:84" s="583" customFormat="1" ht="23.1" customHeight="1">
      <c r="A260" s="584"/>
      <c r="B260" s="585" t="s">
        <v>1102</v>
      </c>
      <c r="C260" s="585"/>
      <c r="D260" s="585"/>
      <c r="E260" s="585"/>
      <c r="F260" s="585"/>
      <c r="G260" s="585"/>
      <c r="H260" s="585"/>
      <c r="I260" s="585"/>
      <c r="J260" s="585"/>
      <c r="K260" s="585"/>
      <c r="L260" s="585"/>
      <c r="M260" s="585"/>
      <c r="N260" s="585"/>
      <c r="O260" s="585"/>
      <c r="P260" s="585"/>
      <c r="Q260" s="585"/>
      <c r="R260" s="585"/>
      <c r="S260" s="585"/>
      <c r="T260" s="585"/>
      <c r="U260" s="585"/>
      <c r="V260" s="585"/>
      <c r="W260" s="585"/>
      <c r="X260" s="585"/>
      <c r="Y260" s="585"/>
      <c r="Z260" s="585"/>
      <c r="AA260" s="585"/>
      <c r="AB260" s="585"/>
      <c r="AC260" s="585"/>
      <c r="AD260" s="585"/>
      <c r="AE260" s="585"/>
      <c r="AF260" s="585"/>
      <c r="AG260" s="585"/>
      <c r="AH260" s="585"/>
      <c r="AI260" s="585"/>
      <c r="AJ260" s="585"/>
      <c r="AK260" s="585"/>
      <c r="AL260" s="585"/>
      <c r="AM260" s="585"/>
      <c r="AN260" s="585"/>
      <c r="AO260" s="585"/>
      <c r="AP260" s="585"/>
      <c r="AQ260" s="585"/>
      <c r="AR260" s="585"/>
      <c r="AS260" s="585"/>
      <c r="AT260" s="585"/>
      <c r="AU260" s="585"/>
      <c r="AV260" s="585"/>
      <c r="AW260" s="585"/>
      <c r="AX260" s="585"/>
      <c r="AY260" s="585"/>
      <c r="AZ260" s="585"/>
      <c r="BA260" s="585"/>
      <c r="BB260" s="585"/>
      <c r="BC260" s="585"/>
      <c r="BD260" s="585"/>
      <c r="BE260" s="585"/>
      <c r="BF260" s="585"/>
      <c r="BG260" s="585"/>
      <c r="BH260" s="585"/>
      <c r="BI260" s="585"/>
      <c r="BJ260" s="585"/>
      <c r="BK260" s="585"/>
      <c r="BL260" s="585"/>
      <c r="BM260" s="585"/>
      <c r="BN260" s="585"/>
      <c r="BO260" s="585"/>
      <c r="BP260" s="585"/>
      <c r="BQ260" s="585"/>
      <c r="BR260" s="585"/>
      <c r="BS260" s="585"/>
      <c r="BT260" s="585"/>
      <c r="BU260" s="585"/>
      <c r="BV260" s="585"/>
      <c r="BW260" s="585"/>
      <c r="BX260" s="585"/>
      <c r="BY260" s="585"/>
      <c r="BZ260" s="585"/>
      <c r="CA260" s="585"/>
      <c r="CB260" s="585"/>
      <c r="CC260" s="585"/>
      <c r="CD260" s="585"/>
      <c r="CE260" s="585"/>
      <c r="CF260" s="586"/>
    </row>
    <row r="261" spans="1:84" s="583" customFormat="1" ht="23.1" customHeight="1">
      <c r="A261" s="587"/>
      <c r="B261" s="574"/>
      <c r="C261" s="574"/>
      <c r="D261" s="405"/>
      <c r="E261" s="574"/>
      <c r="F261" s="422"/>
      <c r="G261" s="422"/>
      <c r="H261" s="422"/>
      <c r="I261" s="422"/>
      <c r="J261" s="422"/>
      <c r="K261" s="422"/>
      <c r="L261" s="422"/>
      <c r="M261" s="422"/>
      <c r="N261" s="574"/>
      <c r="O261" s="574"/>
      <c r="P261" s="574"/>
      <c r="Q261" s="574"/>
      <c r="R261" s="574"/>
      <c r="S261" s="588"/>
      <c r="T261" s="588"/>
      <c r="U261" s="588"/>
      <c r="V261" s="588"/>
      <c r="W261" s="588"/>
      <c r="X261" s="588"/>
      <c r="Y261" s="588"/>
      <c r="Z261" s="588"/>
      <c r="AA261" s="574"/>
      <c r="AB261" s="588"/>
      <c r="AC261" s="585"/>
      <c r="AD261" s="585"/>
      <c r="AE261" s="600"/>
      <c r="AF261" s="600"/>
      <c r="AG261" s="600"/>
      <c r="AH261" s="600"/>
      <c r="AI261" s="600"/>
      <c r="AJ261" s="600"/>
      <c r="AK261" s="600"/>
      <c r="AL261" s="600"/>
      <c r="AM261" s="585"/>
      <c r="AN261" s="585"/>
      <c r="AO261" s="574"/>
      <c r="AP261" s="430"/>
      <c r="AQ261" s="430"/>
      <c r="AR261" s="430"/>
      <c r="AS261" s="430"/>
      <c r="AT261" s="430"/>
      <c r="AU261" s="430"/>
      <c r="AV261" s="430"/>
      <c r="AW261" s="430"/>
      <c r="AX261" s="430"/>
      <c r="AY261" s="430"/>
      <c r="AZ261" s="430"/>
      <c r="BA261" s="430"/>
      <c r="BB261" s="430"/>
      <c r="BC261" s="430"/>
      <c r="BD261" s="574"/>
      <c r="BE261" s="574"/>
      <c r="BF261" s="574"/>
      <c r="BG261" s="574"/>
      <c r="BH261" s="574"/>
      <c r="BI261" s="574"/>
      <c r="BJ261" s="574"/>
      <c r="BK261" s="574"/>
      <c r="BL261" s="574"/>
      <c r="BM261" s="574"/>
      <c r="BN261" s="574"/>
      <c r="BO261" s="574"/>
      <c r="BP261" s="574"/>
      <c r="BQ261" s="574"/>
      <c r="BR261" s="574"/>
      <c r="BS261" s="574"/>
      <c r="BT261" s="574"/>
      <c r="BU261" s="574"/>
      <c r="BV261" s="574"/>
      <c r="BW261" s="574"/>
      <c r="BX261" s="574"/>
      <c r="BY261" s="574"/>
      <c r="BZ261" s="574"/>
      <c r="CA261" s="574"/>
      <c r="CB261" s="574"/>
      <c r="CC261" s="574"/>
      <c r="CD261" s="574"/>
      <c r="CE261" s="574"/>
      <c r="CF261" s="589"/>
    </row>
    <row r="262" spans="1:84" s="583" customFormat="1" ht="23.1" customHeight="1">
      <c r="A262" s="584"/>
      <c r="B262" s="585"/>
      <c r="C262" s="585"/>
      <c r="H262" s="1502">
        <f>$AE$112</f>
        <v>117766000</v>
      </c>
      <c r="I262" s="1502"/>
      <c r="J262" s="1502"/>
      <c r="K262" s="1502"/>
      <c r="L262" s="1502"/>
      <c r="M262" s="1502"/>
      <c r="N262" s="1502"/>
      <c r="O262" s="1502"/>
      <c r="P262" s="1502"/>
      <c r="Q262" s="1502"/>
      <c r="R262" s="1502"/>
      <c r="S262" s="1502"/>
      <c r="T262" s="1502"/>
      <c r="U262" s="1502"/>
      <c r="V262" s="1502"/>
      <c r="W262" s="1431" t="s">
        <v>446</v>
      </c>
      <c r="X262" s="1431"/>
      <c r="Y262" s="1491" t="s">
        <v>1127</v>
      </c>
      <c r="Z262" s="1491"/>
      <c r="AA262" s="1503" t="s">
        <v>1103</v>
      </c>
      <c r="AB262" s="1503"/>
      <c r="AC262" s="1442">
        <v>900</v>
      </c>
      <c r="AD262" s="1442"/>
      <c r="AE262" s="1442"/>
      <c r="AF262" s="1442"/>
      <c r="AG262" s="1442"/>
      <c r="AH262" s="1442"/>
      <c r="AI262" s="1431" t="s">
        <v>1128</v>
      </c>
      <c r="AJ262" s="1431"/>
      <c r="AK262" s="1442">
        <v>700</v>
      </c>
      <c r="AL262" s="1442"/>
      <c r="AM262" s="1442"/>
      <c r="AN262" s="1442"/>
      <c r="AO262" s="1442"/>
      <c r="AP262" s="1442"/>
      <c r="AQ262" s="1503" t="s">
        <v>1105</v>
      </c>
      <c r="AR262" s="1503"/>
      <c r="AS262" s="1431" t="s">
        <v>446</v>
      </c>
      <c r="AT262" s="1431"/>
      <c r="AU262" s="1505">
        <v>1.2</v>
      </c>
      <c r="AV262" s="1505"/>
      <c r="AW262" s="1505"/>
      <c r="AX262" s="1505"/>
      <c r="AY262" s="1505"/>
      <c r="AZ262" s="1431" t="s">
        <v>1128</v>
      </c>
      <c r="BA262" s="1431"/>
      <c r="BB262" s="1431">
        <v>485</v>
      </c>
      <c r="BC262" s="1431"/>
      <c r="BD262" s="1431"/>
      <c r="BE262" s="1431"/>
      <c r="BF262" s="1431"/>
      <c r="BG262" s="1491" t="s">
        <v>1096</v>
      </c>
      <c r="BH262" s="1491"/>
      <c r="BI262" s="1431" t="s">
        <v>446</v>
      </c>
      <c r="BJ262" s="1431"/>
      <c r="BK262" s="591" t="s">
        <v>1104</v>
      </c>
      <c r="BL262" s="585"/>
      <c r="BM262" s="585"/>
      <c r="BN262" s="585"/>
      <c r="BO262" s="585"/>
      <c r="BP262" s="1431" t="s">
        <v>41</v>
      </c>
      <c r="BQ262" s="1431"/>
      <c r="BR262" s="585"/>
      <c r="BS262" s="585"/>
      <c r="BT262" s="1437">
        <f>INT(H262*((AC262+AK262)*AU262+BB262)*10^-7)</f>
        <v>28322</v>
      </c>
      <c r="BU262" s="1437"/>
      <c r="BV262" s="1437"/>
      <c r="BW262" s="1437"/>
      <c r="BX262" s="1437"/>
      <c r="BY262" s="1437"/>
      <c r="BZ262" s="1437"/>
      <c r="CA262" s="1437"/>
      <c r="CB262" s="1437"/>
      <c r="CC262" s="1437"/>
      <c r="CD262" s="585"/>
      <c r="CE262" s="585"/>
      <c r="CF262" s="586"/>
    </row>
    <row r="263" spans="1:84" s="583" customFormat="1" ht="23.1" customHeight="1">
      <c r="A263" s="592"/>
      <c r="B263" s="593" t="s">
        <v>1106</v>
      </c>
      <c r="C263" s="593"/>
      <c r="D263" s="593"/>
      <c r="E263" s="593"/>
      <c r="F263" s="593"/>
      <c r="G263" s="593"/>
      <c r="H263" s="593"/>
      <c r="I263" s="593"/>
      <c r="J263" s="593"/>
      <c r="K263" s="593"/>
      <c r="L263" s="593"/>
      <c r="M263" s="593"/>
      <c r="N263" s="593"/>
      <c r="O263" s="593"/>
      <c r="P263" s="593"/>
      <c r="Q263" s="593"/>
      <c r="R263" s="593"/>
      <c r="S263" s="593"/>
      <c r="T263" s="593"/>
      <c r="U263" s="593"/>
      <c r="V263" s="593"/>
      <c r="W263" s="593"/>
      <c r="X263" s="593"/>
      <c r="Y263" s="593"/>
      <c r="Z263" s="593"/>
      <c r="AA263" s="593"/>
      <c r="AB263" s="593"/>
      <c r="AC263" s="593"/>
      <c r="AD263" s="593"/>
      <c r="AE263" s="593"/>
      <c r="AF263" s="593"/>
      <c r="AG263" s="593"/>
      <c r="AH263" s="593"/>
      <c r="AI263" s="593"/>
      <c r="AJ263" s="593"/>
      <c r="AK263" s="593"/>
      <c r="AL263" s="593"/>
      <c r="AM263" s="593"/>
      <c r="AN263" s="593"/>
      <c r="AO263" s="593"/>
      <c r="AP263" s="593"/>
      <c r="AQ263" s="593"/>
      <c r="AR263" s="593"/>
      <c r="AS263" s="593"/>
      <c r="AT263" s="593"/>
      <c r="AU263" s="593"/>
      <c r="AV263" s="593"/>
      <c r="AW263" s="593"/>
      <c r="AX263" s="593"/>
      <c r="AY263" s="593"/>
      <c r="AZ263" s="593"/>
      <c r="BA263" s="593"/>
      <c r="BB263" s="593"/>
      <c r="BC263" s="593"/>
      <c r="BD263" s="593"/>
      <c r="BE263" s="593"/>
      <c r="BF263" s="593"/>
      <c r="BG263" s="593"/>
      <c r="BH263" s="593"/>
      <c r="BI263" s="593"/>
      <c r="BJ263" s="593"/>
      <c r="BK263" s="593"/>
      <c r="BL263" s="593"/>
      <c r="BM263" s="593"/>
      <c r="BN263" s="593"/>
      <c r="BO263" s="593"/>
      <c r="BP263" s="593"/>
      <c r="BQ263" s="593"/>
      <c r="BR263" s="593"/>
      <c r="BS263" s="593"/>
      <c r="BT263" s="594"/>
      <c r="BU263" s="594"/>
      <c r="BV263" s="594"/>
      <c r="BW263" s="594"/>
      <c r="BX263" s="594"/>
      <c r="BY263" s="594"/>
      <c r="BZ263" s="594"/>
      <c r="CA263" s="594"/>
      <c r="CB263" s="594"/>
      <c r="CC263" s="594"/>
      <c r="CD263" s="593"/>
      <c r="CE263" s="593"/>
      <c r="CF263" s="595"/>
    </row>
    <row r="264" spans="1:84" s="583" customFormat="1" ht="23.1" customHeight="1">
      <c r="A264" s="584"/>
      <c r="B264" s="585"/>
      <c r="C264" s="585"/>
      <c r="D264" s="596" t="s">
        <v>268</v>
      </c>
      <c r="E264" s="585"/>
      <c r="F264" s="585"/>
      <c r="G264" s="585"/>
      <c r="H264" s="585"/>
      <c r="I264" s="585"/>
      <c r="J264" s="585"/>
      <c r="K264" s="585"/>
      <c r="L264" s="585"/>
      <c r="M264" s="585"/>
      <c r="N264" s="585"/>
      <c r="O264" s="585"/>
      <c r="P264" s="585"/>
      <c r="Q264" s="585"/>
      <c r="R264" s="585"/>
      <c r="S264" s="585"/>
      <c r="T264" s="574"/>
      <c r="U264" s="574"/>
      <c r="V264" s="1435">
        <f>HLOOKUP(D264,$CJ$1:$CM$3,3,0)</f>
        <v>283297</v>
      </c>
      <c r="W264" s="1435"/>
      <c r="X264" s="1435"/>
      <c r="Y264" s="1435"/>
      <c r="Z264" s="1435"/>
      <c r="AA264" s="1435"/>
      <c r="AB264" s="1435"/>
      <c r="AC264" s="1435"/>
      <c r="AD264" s="1435"/>
      <c r="AE264" s="1435"/>
      <c r="AF264" s="1431" t="s">
        <v>446</v>
      </c>
      <c r="AG264" s="1431"/>
      <c r="AH264" s="574"/>
      <c r="AI264" s="1436" t="s">
        <v>1107</v>
      </c>
      <c r="AJ264" s="1436"/>
      <c r="AK264" s="1436"/>
      <c r="AL264" s="1436"/>
      <c r="AM264" s="585"/>
      <c r="AN264" s="1431" t="s">
        <v>446</v>
      </c>
      <c r="AO264" s="1431"/>
      <c r="AP264" s="585"/>
      <c r="AQ264" s="1436" t="s">
        <v>1108</v>
      </c>
      <c r="AR264" s="1436"/>
      <c r="AS264" s="1436"/>
      <c r="AT264" s="1436"/>
      <c r="AU264" s="1436"/>
      <c r="AV264" s="422"/>
      <c r="AW264" s="1431" t="s">
        <v>446</v>
      </c>
      <c r="AX264" s="1431"/>
      <c r="AY264" s="440"/>
      <c r="AZ264" s="1436" t="s">
        <v>1109</v>
      </c>
      <c r="BA264" s="1436"/>
      <c r="BB264" s="1436"/>
      <c r="BC264" s="1436"/>
      <c r="BD264" s="1436"/>
      <c r="BE264" s="585"/>
      <c r="BF264" s="1431" t="s">
        <v>446</v>
      </c>
      <c r="BG264" s="1431"/>
      <c r="BH264" s="1431">
        <v>1</v>
      </c>
      <c r="BI264" s="1431"/>
      <c r="BJ264" s="1431"/>
      <c r="BK264" s="585"/>
      <c r="BL264" s="585" t="s">
        <v>366</v>
      </c>
      <c r="BM264" s="585"/>
      <c r="BN264" s="585"/>
      <c r="BO264" s="585"/>
      <c r="BP264" s="1431" t="s">
        <v>41</v>
      </c>
      <c r="BQ264" s="1431"/>
      <c r="BR264" s="585"/>
      <c r="BS264" s="585"/>
      <c r="BT264" s="1432">
        <f>INT(V264/8*16/12*25/20*BH264)</f>
        <v>59020</v>
      </c>
      <c r="BU264" s="1432"/>
      <c r="BV264" s="1432"/>
      <c r="BW264" s="1432"/>
      <c r="BX264" s="1432"/>
      <c r="BY264" s="1432"/>
      <c r="BZ264" s="1432"/>
      <c r="CA264" s="1432"/>
      <c r="CB264" s="1432"/>
      <c r="CC264" s="1432"/>
      <c r="CD264" s="585"/>
      <c r="CE264" s="585"/>
      <c r="CF264" s="586"/>
    </row>
    <row r="265" spans="1:84" s="583" customFormat="1" ht="23.1" customHeight="1">
      <c r="A265" s="584"/>
      <c r="B265" s="585"/>
      <c r="C265" s="585"/>
      <c r="D265" s="585"/>
      <c r="E265" s="585"/>
      <c r="F265" s="585"/>
      <c r="G265" s="585"/>
      <c r="H265" s="585"/>
      <c r="I265" s="585"/>
      <c r="J265" s="585"/>
      <c r="K265" s="585"/>
      <c r="L265" s="585"/>
      <c r="M265" s="585"/>
      <c r="N265" s="585"/>
      <c r="O265" s="585"/>
      <c r="P265" s="574"/>
      <c r="Q265" s="574"/>
      <c r="R265" s="574"/>
      <c r="S265" s="574"/>
      <c r="T265" s="574"/>
      <c r="U265" s="574"/>
      <c r="V265" s="574"/>
      <c r="W265" s="574"/>
      <c r="X265" s="574"/>
      <c r="Y265" s="574"/>
      <c r="Z265" s="574"/>
      <c r="AA265" s="574"/>
      <c r="AB265" s="574"/>
      <c r="AC265" s="574"/>
      <c r="AD265" s="574"/>
      <c r="AE265" s="574"/>
      <c r="AF265" s="574"/>
      <c r="AG265" s="574"/>
      <c r="AH265" s="574"/>
      <c r="AI265" s="574"/>
      <c r="AJ265" s="574"/>
      <c r="AK265" s="574"/>
      <c r="AL265" s="574"/>
      <c r="AM265" s="574"/>
      <c r="AN265" s="574"/>
      <c r="AO265" s="574"/>
      <c r="AP265" s="574"/>
      <c r="AQ265" s="574"/>
      <c r="AR265" s="574"/>
      <c r="AS265" s="574"/>
      <c r="AT265" s="574"/>
      <c r="AU265" s="574"/>
      <c r="AV265" s="574"/>
      <c r="AW265" s="574"/>
      <c r="AX265" s="574"/>
      <c r="AY265" s="574"/>
      <c r="AZ265" s="574"/>
      <c r="BA265" s="574"/>
      <c r="BB265" s="574"/>
      <c r="BC265" s="574"/>
      <c r="BD265" s="574"/>
      <c r="BE265" s="574"/>
      <c r="BF265" s="574"/>
      <c r="BG265" s="585"/>
      <c r="BH265" s="585"/>
      <c r="BI265" s="585"/>
      <c r="BJ265" s="585"/>
      <c r="BK265" s="585"/>
      <c r="BL265" s="585"/>
      <c r="BM265" s="585"/>
      <c r="BN265" s="585"/>
      <c r="BO265" s="585"/>
      <c r="BP265" s="1431"/>
      <c r="BQ265" s="1431"/>
      <c r="BR265" s="585"/>
      <c r="BS265" s="585"/>
      <c r="BT265" s="1432"/>
      <c r="BU265" s="1432"/>
      <c r="BV265" s="1432"/>
      <c r="BW265" s="1432"/>
      <c r="BX265" s="1432"/>
      <c r="BY265" s="1432"/>
      <c r="BZ265" s="1432"/>
      <c r="CA265" s="1432"/>
      <c r="CB265" s="1432"/>
      <c r="CC265" s="1432"/>
      <c r="CD265" s="585"/>
      <c r="CE265" s="585"/>
      <c r="CF265" s="586"/>
    </row>
    <row r="266" spans="1:84" s="583" customFormat="1" ht="23.1" customHeight="1">
      <c r="A266" s="584"/>
      <c r="B266" s="585"/>
      <c r="C266" s="585"/>
      <c r="D266" s="585"/>
      <c r="E266" s="585"/>
      <c r="F266" s="585"/>
      <c r="G266" s="585"/>
      <c r="H266" s="585"/>
      <c r="I266" s="585"/>
      <c r="J266" s="585"/>
      <c r="K266" s="585"/>
      <c r="L266" s="585"/>
      <c r="M266" s="585"/>
      <c r="N266" s="585"/>
      <c r="O266" s="585"/>
      <c r="P266" s="585"/>
      <c r="Q266" s="585"/>
      <c r="R266" s="585"/>
      <c r="S266" s="585"/>
      <c r="T266" s="585"/>
      <c r="U266" s="585"/>
      <c r="V266" s="585"/>
      <c r="W266" s="585"/>
      <c r="X266" s="585"/>
      <c r="Y266" s="585"/>
      <c r="Z266" s="585"/>
      <c r="AA266" s="585"/>
      <c r="AB266" s="585"/>
      <c r="AC266" s="585"/>
      <c r="AD266" s="574"/>
      <c r="AE266" s="574"/>
      <c r="AF266" s="574"/>
      <c r="AG266" s="574"/>
      <c r="AH266" s="574"/>
      <c r="AI266" s="574"/>
      <c r="AJ266" s="574"/>
      <c r="AK266" s="574"/>
      <c r="AL266" s="574"/>
      <c r="AM266" s="574"/>
      <c r="AN266" s="574"/>
      <c r="AO266" s="574"/>
      <c r="AP266" s="574"/>
      <c r="AQ266" s="574"/>
      <c r="AR266" s="574"/>
      <c r="AS266" s="585"/>
      <c r="AT266" s="590"/>
      <c r="AU266" s="590"/>
      <c r="AV266" s="585"/>
      <c r="AW266" s="585"/>
      <c r="AX266" s="585"/>
      <c r="AY266" s="585"/>
      <c r="AZ266" s="585"/>
      <c r="BA266" s="585"/>
      <c r="BB266" s="585"/>
      <c r="BC266" s="585"/>
      <c r="BD266" s="585"/>
      <c r="BE266" s="585"/>
      <c r="BF266" s="585"/>
      <c r="BG266" s="585"/>
      <c r="BH266" s="585"/>
      <c r="BI266" s="585"/>
      <c r="BJ266" s="585"/>
      <c r="BK266" s="585"/>
      <c r="BL266" s="585"/>
      <c r="BM266" s="585"/>
      <c r="BN266" s="585"/>
      <c r="BO266" s="585"/>
      <c r="BP266" s="1431" t="s">
        <v>41</v>
      </c>
      <c r="BQ266" s="1431"/>
      <c r="BR266" s="585"/>
      <c r="BS266" s="585"/>
      <c r="BT266" s="1434">
        <f>BT264+BT265</f>
        <v>59020</v>
      </c>
      <c r="BU266" s="1434"/>
      <c r="BV266" s="1434"/>
      <c r="BW266" s="1434"/>
      <c r="BX266" s="1434"/>
      <c r="BY266" s="1434"/>
      <c r="BZ266" s="1434"/>
      <c r="CA266" s="1434"/>
      <c r="CB266" s="1434"/>
      <c r="CC266" s="1434"/>
      <c r="CD266" s="585"/>
      <c r="CE266" s="585"/>
      <c r="CF266" s="586"/>
    </row>
    <row r="267" spans="1:84" s="583" customFormat="1" ht="23.1" customHeight="1">
      <c r="A267" s="592"/>
      <c r="B267" s="593" t="s">
        <v>1110</v>
      </c>
      <c r="C267" s="593"/>
      <c r="D267" s="593"/>
      <c r="E267" s="593"/>
      <c r="F267" s="593"/>
      <c r="G267" s="593"/>
      <c r="H267" s="593"/>
      <c r="I267" s="593"/>
      <c r="J267" s="593"/>
      <c r="K267" s="593"/>
      <c r="L267" s="593"/>
      <c r="M267" s="593"/>
      <c r="N267" s="593"/>
      <c r="O267" s="593"/>
      <c r="P267" s="593"/>
      <c r="Q267" s="593"/>
      <c r="R267" s="593"/>
      <c r="S267" s="593"/>
      <c r="T267" s="593"/>
      <c r="U267" s="593"/>
      <c r="V267" s="593"/>
      <c r="W267" s="593"/>
      <c r="X267" s="593"/>
      <c r="Y267" s="593"/>
      <c r="Z267" s="593"/>
      <c r="AA267" s="593"/>
      <c r="AB267" s="593"/>
      <c r="AC267" s="593"/>
      <c r="AD267" s="593"/>
      <c r="AE267" s="593"/>
      <c r="AF267" s="593"/>
      <c r="AG267" s="593"/>
      <c r="AH267" s="593"/>
      <c r="AI267" s="593"/>
      <c r="AJ267" s="593"/>
      <c r="AK267" s="593"/>
      <c r="AL267" s="593"/>
      <c r="AM267" s="593"/>
      <c r="AN267" s="593"/>
      <c r="AO267" s="593"/>
      <c r="AP267" s="593"/>
      <c r="AQ267" s="593"/>
      <c r="AR267" s="593"/>
      <c r="AS267" s="593"/>
      <c r="AT267" s="593"/>
      <c r="AU267" s="593"/>
      <c r="AV267" s="593"/>
      <c r="AW267" s="593"/>
      <c r="AX267" s="593"/>
      <c r="AY267" s="593"/>
      <c r="AZ267" s="593"/>
      <c r="BA267" s="593"/>
      <c r="BB267" s="593"/>
      <c r="BC267" s="593"/>
      <c r="BD267" s="593"/>
      <c r="BE267" s="593"/>
      <c r="BF267" s="593"/>
      <c r="BG267" s="593"/>
      <c r="BH267" s="593"/>
      <c r="BI267" s="593"/>
      <c r="BJ267" s="593"/>
      <c r="BK267" s="593"/>
      <c r="BL267" s="593"/>
      <c r="BM267" s="593"/>
      <c r="BN267" s="593"/>
      <c r="BO267" s="593"/>
      <c r="BP267" s="593"/>
      <c r="BQ267" s="593"/>
      <c r="BR267" s="593"/>
      <c r="BS267" s="593"/>
      <c r="BT267" s="593"/>
      <c r="BU267" s="593"/>
      <c r="BV267" s="593"/>
      <c r="BW267" s="593"/>
      <c r="BX267" s="593"/>
      <c r="BY267" s="593"/>
      <c r="BZ267" s="593"/>
      <c r="CA267" s="593"/>
      <c r="CB267" s="593"/>
      <c r="CC267" s="593"/>
      <c r="CD267" s="593"/>
      <c r="CE267" s="593"/>
      <c r="CF267" s="595"/>
    </row>
    <row r="268" spans="1:84" s="583" customFormat="1" ht="23.1" customHeight="1">
      <c r="A268" s="584"/>
      <c r="B268" s="585"/>
      <c r="C268" s="585"/>
      <c r="D268" s="596" t="s">
        <v>1094</v>
      </c>
      <c r="E268" s="585"/>
      <c r="F268" s="585"/>
      <c r="G268" s="585"/>
      <c r="H268" s="585"/>
      <c r="I268" s="585"/>
      <c r="J268" s="585"/>
      <c r="K268" s="585"/>
      <c r="L268" s="585"/>
      <c r="M268" s="585"/>
      <c r="N268" s="585"/>
      <c r="O268" s="585"/>
      <c r="P268" s="585"/>
      <c r="Q268" s="585"/>
      <c r="R268" s="585"/>
      <c r="S268" s="585"/>
      <c r="T268" s="585"/>
      <c r="U268" s="585"/>
      <c r="V268" s="585"/>
      <c r="W268" s="585"/>
      <c r="X268" s="585"/>
      <c r="Y268" s="585"/>
      <c r="Z268" s="585"/>
      <c r="AA268" s="585"/>
      <c r="AB268" s="585"/>
      <c r="AC268" s="585"/>
      <c r="AD268" s="585"/>
      <c r="AE268" s="585"/>
      <c r="AF268" s="585"/>
      <c r="AG268" s="585"/>
      <c r="AH268" s="585"/>
      <c r="AI268" s="585"/>
      <c r="AJ268" s="585"/>
      <c r="AK268" s="585"/>
      <c r="AL268" s="585"/>
      <c r="AM268" s="585"/>
      <c r="AN268" s="585"/>
      <c r="AO268" s="585"/>
      <c r="AP268" s="585"/>
      <c r="AQ268" s="585"/>
      <c r="AR268" s="422"/>
      <c r="AS268" s="1435" t="e">
        <f>HLOOKUP(D268,$CN$1:$CO$3,3,0)</f>
        <v>#REF!</v>
      </c>
      <c r="AT268" s="1435"/>
      <c r="AU268" s="1435"/>
      <c r="AV268" s="1435"/>
      <c r="AW268" s="1435"/>
      <c r="AX268" s="1435"/>
      <c r="AY268" s="1435"/>
      <c r="AZ268" s="1435"/>
      <c r="BA268" s="1435"/>
      <c r="BB268" s="1435"/>
      <c r="BC268" s="585"/>
      <c r="BD268" s="1431" t="s">
        <v>446</v>
      </c>
      <c r="BE268" s="1431"/>
      <c r="BF268" s="585"/>
      <c r="BG268" s="1431">
        <v>11.6</v>
      </c>
      <c r="BH268" s="1431"/>
      <c r="BI268" s="1431"/>
      <c r="BJ268" s="1431"/>
      <c r="BK268" s="1431"/>
      <c r="BL268" s="585" t="s">
        <v>1111</v>
      </c>
      <c r="BM268" s="585"/>
      <c r="BN268" s="585"/>
      <c r="BO268" s="585"/>
      <c r="BP268" s="1431" t="s">
        <v>41</v>
      </c>
      <c r="BQ268" s="1431"/>
      <c r="BR268" s="585"/>
      <c r="BS268" s="585"/>
      <c r="BT268" s="1432" t="e">
        <f>INT(AS268*BG268)</f>
        <v>#REF!</v>
      </c>
      <c r="BU268" s="1432"/>
      <c r="BV268" s="1432"/>
      <c r="BW268" s="1432"/>
      <c r="BX268" s="1432"/>
      <c r="BY268" s="1432"/>
      <c r="BZ268" s="1432"/>
      <c r="CA268" s="1432"/>
      <c r="CB268" s="1432"/>
      <c r="CC268" s="1432"/>
      <c r="CD268" s="585"/>
      <c r="CE268" s="585"/>
      <c r="CF268" s="586"/>
    </row>
    <row r="269" spans="1:84" s="583" customFormat="1" ht="23.1" customHeight="1">
      <c r="A269" s="584"/>
      <c r="B269" s="585"/>
      <c r="C269" s="585"/>
      <c r="D269" s="591" t="str">
        <f>"잡재료 (주연료의 "&amp;BG269&amp;"%) :"</f>
        <v>잡재료 (주연료의 22%) :</v>
      </c>
      <c r="E269" s="585"/>
      <c r="F269" s="585"/>
      <c r="G269" s="585"/>
      <c r="H269" s="585"/>
      <c r="I269" s="585"/>
      <c r="J269" s="585"/>
      <c r="K269" s="585"/>
      <c r="L269" s="585"/>
      <c r="M269" s="585"/>
      <c r="N269" s="585"/>
      <c r="O269" s="585"/>
      <c r="P269" s="585"/>
      <c r="Q269" s="585"/>
      <c r="R269" s="585"/>
      <c r="S269" s="585"/>
      <c r="T269" s="585"/>
      <c r="U269" s="585"/>
      <c r="V269" s="585"/>
      <c r="W269" s="585"/>
      <c r="X269" s="585"/>
      <c r="Y269" s="585"/>
      <c r="Z269" s="585"/>
      <c r="AA269" s="585"/>
      <c r="AB269" s="585"/>
      <c r="AC269" s="585"/>
      <c r="AD269" s="585"/>
      <c r="AE269" s="585"/>
      <c r="AF269" s="585"/>
      <c r="AG269" s="585"/>
      <c r="AH269" s="585"/>
      <c r="AI269" s="585"/>
      <c r="AJ269" s="585"/>
      <c r="AK269" s="585"/>
      <c r="AL269" s="585"/>
      <c r="AM269" s="585"/>
      <c r="AN269" s="585"/>
      <c r="AO269" s="585"/>
      <c r="AP269" s="585"/>
      <c r="AQ269" s="585"/>
      <c r="AR269" s="422" t="e">
        <f>BT268</f>
        <v>#REF!</v>
      </c>
      <c r="AS269" s="1430" t="e">
        <f>BT268</f>
        <v>#REF!</v>
      </c>
      <c r="AT269" s="1430"/>
      <c r="AU269" s="1430"/>
      <c r="AV269" s="1430"/>
      <c r="AW269" s="1430"/>
      <c r="AX269" s="1430"/>
      <c r="AY269" s="1430"/>
      <c r="AZ269" s="1430"/>
      <c r="BA269" s="1430"/>
      <c r="BB269" s="1430"/>
      <c r="BC269" s="585"/>
      <c r="BD269" s="1431" t="s">
        <v>446</v>
      </c>
      <c r="BE269" s="1431"/>
      <c r="BF269" s="585"/>
      <c r="BG269" s="1431">
        <v>22</v>
      </c>
      <c r="BH269" s="1431"/>
      <c r="BI269" s="1431"/>
      <c r="BJ269" s="1431"/>
      <c r="BK269" s="1431"/>
      <c r="BL269" s="585" t="s">
        <v>1112</v>
      </c>
      <c r="BM269" s="585"/>
      <c r="BN269" s="585"/>
      <c r="BO269" s="585"/>
      <c r="BP269" s="1431" t="s">
        <v>41</v>
      </c>
      <c r="BQ269" s="1431"/>
      <c r="BR269" s="585"/>
      <c r="BS269" s="585"/>
      <c r="BT269" s="1432" t="e">
        <f>INT(AS269*BG269/100)</f>
        <v>#REF!</v>
      </c>
      <c r="BU269" s="1432"/>
      <c r="BV269" s="1432"/>
      <c r="BW269" s="1432"/>
      <c r="BX269" s="1432"/>
      <c r="BY269" s="1432"/>
      <c r="BZ269" s="1432"/>
      <c r="CA269" s="1432"/>
      <c r="CB269" s="1432"/>
      <c r="CC269" s="1432"/>
      <c r="CD269" s="585"/>
      <c r="CE269" s="585"/>
      <c r="CF269" s="586"/>
    </row>
    <row r="270" spans="1:84" s="583" customFormat="1" ht="23.1" customHeight="1" thickBot="1">
      <c r="A270" s="584"/>
      <c r="B270" s="585"/>
      <c r="C270" s="585"/>
      <c r="D270" s="585"/>
      <c r="E270" s="585"/>
      <c r="F270" s="585"/>
      <c r="G270" s="585"/>
      <c r="H270" s="585"/>
      <c r="I270" s="585"/>
      <c r="J270" s="585"/>
      <c r="K270" s="585"/>
      <c r="L270" s="585"/>
      <c r="M270" s="585"/>
      <c r="N270" s="585"/>
      <c r="O270" s="585"/>
      <c r="P270" s="585"/>
      <c r="Q270" s="585"/>
      <c r="R270" s="585"/>
      <c r="S270" s="585"/>
      <c r="T270" s="585"/>
      <c r="U270" s="585"/>
      <c r="V270" s="585"/>
      <c r="W270" s="585"/>
      <c r="X270" s="585"/>
      <c r="Y270" s="585"/>
      <c r="Z270" s="585"/>
      <c r="AA270" s="585"/>
      <c r="AB270" s="585"/>
      <c r="AC270" s="585"/>
      <c r="AD270" s="585"/>
      <c r="AE270" s="585"/>
      <c r="AF270" s="585"/>
      <c r="AG270" s="585"/>
      <c r="AH270" s="585"/>
      <c r="AI270" s="585"/>
      <c r="AJ270" s="585"/>
      <c r="AK270" s="585"/>
      <c r="AL270" s="585"/>
      <c r="AM270" s="585"/>
      <c r="AN270" s="585"/>
      <c r="AO270" s="585"/>
      <c r="AP270" s="585"/>
      <c r="AQ270" s="585"/>
      <c r="AR270" s="585"/>
      <c r="AS270" s="585"/>
      <c r="AT270" s="585"/>
      <c r="AU270" s="585"/>
      <c r="AV270" s="585"/>
      <c r="AW270" s="585"/>
      <c r="AX270" s="585"/>
      <c r="AY270" s="585"/>
      <c r="AZ270" s="585"/>
      <c r="BA270" s="585"/>
      <c r="BB270" s="585"/>
      <c r="BC270" s="585"/>
      <c r="BD270" s="585"/>
      <c r="BE270" s="585"/>
      <c r="BF270" s="585"/>
      <c r="BG270" s="585"/>
      <c r="BH270" s="585"/>
      <c r="BI270" s="585"/>
      <c r="BJ270" s="585"/>
      <c r="BK270" s="585"/>
      <c r="BL270" s="585"/>
      <c r="BM270" s="585"/>
      <c r="BN270" s="585"/>
      <c r="BO270" s="585"/>
      <c r="BP270" s="1431" t="s">
        <v>41</v>
      </c>
      <c r="BQ270" s="1431"/>
      <c r="BR270" s="585"/>
      <c r="BS270" s="585"/>
      <c r="BT270" s="1433" t="e">
        <f>BT268+BT269</f>
        <v>#REF!</v>
      </c>
      <c r="BU270" s="1433"/>
      <c r="BV270" s="1433"/>
      <c r="BW270" s="1433"/>
      <c r="BX270" s="1433"/>
      <c r="BY270" s="1433"/>
      <c r="BZ270" s="1433"/>
      <c r="CA270" s="1433"/>
      <c r="CB270" s="1433"/>
      <c r="CC270" s="1433"/>
      <c r="CD270" s="585"/>
      <c r="CE270" s="585"/>
      <c r="CF270" s="586"/>
    </row>
    <row r="271" spans="1:84" s="583" customFormat="1" ht="23.1" customHeight="1" thickBot="1">
      <c r="A271" s="597"/>
      <c r="B271" s="598" t="s">
        <v>1113</v>
      </c>
      <c r="C271" s="598"/>
      <c r="D271" s="598"/>
      <c r="E271" s="598"/>
      <c r="F271" s="598"/>
      <c r="G271" s="598"/>
      <c r="H271" s="598"/>
      <c r="I271" s="598"/>
      <c r="J271" s="598"/>
      <c r="K271" s="598"/>
      <c r="L271" s="598"/>
      <c r="M271" s="598"/>
      <c r="N271" s="598"/>
      <c r="O271" s="598"/>
      <c r="P271" s="598"/>
      <c r="Q271" s="598"/>
      <c r="R271" s="598"/>
      <c r="S271" s="598"/>
      <c r="T271" s="598"/>
      <c r="U271" s="598"/>
      <c r="V271" s="598"/>
      <c r="W271" s="598"/>
      <c r="X271" s="598"/>
      <c r="Y271" s="598"/>
      <c r="Z271" s="598"/>
      <c r="AA271" s="598"/>
      <c r="AB271" s="598"/>
      <c r="AC271" s="598"/>
      <c r="AD271" s="598"/>
      <c r="AE271" s="598"/>
      <c r="AF271" s="598"/>
      <c r="AG271" s="598"/>
      <c r="AH271" s="598"/>
      <c r="AI271" s="598"/>
      <c r="AJ271" s="598"/>
      <c r="AK271" s="598"/>
      <c r="AL271" s="598"/>
      <c r="AM271" s="598"/>
      <c r="AN271" s="598"/>
      <c r="AO271" s="598"/>
      <c r="AP271" s="598"/>
      <c r="AQ271" s="598"/>
      <c r="AR271" s="598"/>
      <c r="AS271" s="598"/>
      <c r="AT271" s="598"/>
      <c r="AU271" s="598"/>
      <c r="AV271" s="598"/>
      <c r="AW271" s="598"/>
      <c r="AX271" s="598"/>
      <c r="AY271" s="598"/>
      <c r="AZ271" s="598"/>
      <c r="BA271" s="598"/>
      <c r="BB271" s="598"/>
      <c r="BC271" s="598"/>
      <c r="BD271" s="598"/>
      <c r="BE271" s="598"/>
      <c r="BF271" s="598"/>
      <c r="BG271" s="598"/>
      <c r="BH271" s="598"/>
      <c r="BI271" s="598"/>
      <c r="BJ271" s="598"/>
      <c r="BK271" s="598"/>
      <c r="BL271" s="598"/>
      <c r="BM271" s="598"/>
      <c r="BN271" s="598"/>
      <c r="BO271" s="598"/>
      <c r="BP271" s="598"/>
      <c r="BQ271" s="598"/>
      <c r="BR271" s="598"/>
      <c r="BS271" s="598"/>
      <c r="BT271" s="1429" t="e">
        <f>BT262+BT266+BT270</f>
        <v>#REF!</v>
      </c>
      <c r="BU271" s="1429"/>
      <c r="BV271" s="1429"/>
      <c r="BW271" s="1429"/>
      <c r="BX271" s="1429"/>
      <c r="BY271" s="1429"/>
      <c r="BZ271" s="1429"/>
      <c r="CA271" s="1429"/>
      <c r="CB271" s="1429"/>
      <c r="CC271" s="1429"/>
      <c r="CD271" s="598"/>
      <c r="CE271" s="598"/>
      <c r="CF271" s="599"/>
    </row>
    <row r="272" spans="1:84" s="583" customFormat="1" ht="9.9499999999999993" customHeight="1">
      <c r="A272" s="574"/>
      <c r="B272" s="574"/>
      <c r="C272" s="574"/>
      <c r="D272" s="574"/>
      <c r="E272" s="574"/>
      <c r="F272" s="574"/>
      <c r="G272" s="574"/>
      <c r="H272" s="574"/>
      <c r="I272" s="574"/>
      <c r="J272" s="574"/>
      <c r="K272" s="574"/>
      <c r="L272" s="574"/>
      <c r="M272" s="574"/>
      <c r="N272" s="574"/>
      <c r="O272" s="574"/>
      <c r="P272" s="574"/>
      <c r="Q272" s="574"/>
      <c r="R272" s="574"/>
      <c r="S272" s="574"/>
      <c r="T272" s="574"/>
      <c r="U272" s="574"/>
      <c r="V272" s="574"/>
      <c r="W272" s="574"/>
      <c r="X272" s="574"/>
      <c r="Y272" s="574"/>
      <c r="Z272" s="574"/>
      <c r="AA272" s="574"/>
      <c r="AB272" s="574"/>
      <c r="AC272" s="574"/>
      <c r="AD272" s="574"/>
      <c r="AE272" s="574"/>
      <c r="AF272" s="574"/>
      <c r="AG272" s="574"/>
      <c r="AH272" s="574"/>
      <c r="AI272" s="574"/>
      <c r="AJ272" s="574"/>
      <c r="AK272" s="574"/>
      <c r="AL272" s="574"/>
      <c r="AM272" s="574"/>
      <c r="AN272" s="574"/>
      <c r="AO272" s="574"/>
      <c r="AP272" s="574"/>
      <c r="AQ272" s="574"/>
      <c r="AR272" s="574"/>
      <c r="AS272" s="574"/>
      <c r="AT272" s="574"/>
      <c r="AU272" s="574"/>
      <c r="AV272" s="574"/>
      <c r="AW272" s="574"/>
      <c r="AX272" s="574"/>
      <c r="AY272" s="574"/>
      <c r="AZ272" s="574"/>
      <c r="BA272" s="574"/>
      <c r="BB272" s="574"/>
      <c r="BC272" s="574"/>
      <c r="BD272" s="574"/>
      <c r="BE272" s="574"/>
      <c r="BF272" s="574"/>
      <c r="BG272" s="574"/>
      <c r="BH272" s="574"/>
      <c r="BI272" s="574"/>
      <c r="BJ272" s="574"/>
      <c r="BK272" s="574"/>
      <c r="BL272" s="574"/>
      <c r="BM272" s="574"/>
      <c r="BN272" s="574"/>
      <c r="BO272" s="574"/>
      <c r="BP272" s="574"/>
      <c r="BQ272" s="574"/>
      <c r="BR272" s="574"/>
      <c r="BS272" s="574"/>
      <c r="BT272" s="574"/>
      <c r="BU272" s="574"/>
      <c r="BV272" s="574"/>
      <c r="BW272" s="574"/>
      <c r="BX272" s="574"/>
      <c r="BY272" s="574"/>
      <c r="BZ272" s="574"/>
      <c r="CA272" s="574"/>
      <c r="CB272" s="574"/>
      <c r="CC272" s="574"/>
      <c r="CD272" s="574"/>
      <c r="CE272" s="574"/>
      <c r="CF272" s="574"/>
    </row>
    <row r="273" spans="1:84" s="583" customFormat="1" ht="23.1" customHeight="1" thickBot="1">
      <c r="A273" s="1446" t="s">
        <v>1095</v>
      </c>
      <c r="B273" s="1446"/>
      <c r="C273" s="1446"/>
      <c r="D273" s="1446"/>
      <c r="E273" s="1446"/>
      <c r="F273" s="1446"/>
      <c r="G273" s="1447">
        <f>G258+1</f>
        <v>19</v>
      </c>
      <c r="H273" s="1447"/>
      <c r="I273" s="1447"/>
      <c r="J273" s="1448" t="s">
        <v>1096</v>
      </c>
      <c r="K273" s="1448"/>
      <c r="L273" s="574"/>
      <c r="M273" s="574"/>
      <c r="N273" s="574"/>
      <c r="O273" s="574"/>
      <c r="P273" s="574"/>
      <c r="Q273" s="574"/>
      <c r="R273" s="574"/>
      <c r="S273" s="574"/>
      <c r="T273" s="574"/>
      <c r="U273" s="574"/>
      <c r="V273" s="574"/>
      <c r="W273" s="574"/>
      <c r="X273" s="574"/>
      <c r="Y273" s="574"/>
      <c r="Z273" s="574"/>
      <c r="AA273" s="574"/>
      <c r="AB273" s="574"/>
      <c r="AC273" s="574"/>
      <c r="AD273" s="574"/>
      <c r="AE273" s="574"/>
      <c r="AF273" s="574"/>
      <c r="AG273" s="574"/>
      <c r="AH273" s="574"/>
      <c r="AI273" s="574"/>
      <c r="AJ273" s="574"/>
      <c r="AK273" s="574"/>
      <c r="AL273" s="574"/>
      <c r="AM273" s="574"/>
      <c r="AN273" s="574"/>
      <c r="AO273" s="574"/>
      <c r="AP273" s="574"/>
      <c r="AQ273" s="574"/>
      <c r="AR273" s="574"/>
      <c r="AS273" s="574"/>
      <c r="AT273" s="574"/>
      <c r="AU273" s="574"/>
      <c r="AV273" s="574"/>
      <c r="AW273" s="574"/>
      <c r="AX273" s="574"/>
      <c r="AY273" s="574"/>
      <c r="AZ273" s="574"/>
      <c r="BA273" s="574"/>
      <c r="BB273" s="574"/>
      <c r="BC273" s="574"/>
      <c r="BD273" s="574"/>
      <c r="BE273" s="574"/>
      <c r="BF273" s="574"/>
      <c r="BG273" s="574"/>
      <c r="BH273" s="574"/>
      <c r="BI273" s="574"/>
      <c r="BJ273" s="574"/>
      <c r="BK273" s="574"/>
      <c r="BL273" s="574"/>
      <c r="BM273" s="574"/>
      <c r="BN273" s="574"/>
      <c r="BO273" s="574"/>
      <c r="BP273" s="574"/>
      <c r="BQ273" s="574"/>
      <c r="BR273" s="574"/>
      <c r="BS273" s="574"/>
      <c r="BT273" s="574"/>
      <c r="BU273" s="574"/>
      <c r="BV273" s="574"/>
      <c r="BW273" s="574"/>
      <c r="BX273" s="574"/>
      <c r="BY273" s="574"/>
      <c r="BZ273" s="574"/>
      <c r="CA273" s="574"/>
      <c r="CB273" s="574"/>
      <c r="CC273" s="574"/>
      <c r="CD273" s="574"/>
      <c r="CE273" s="574"/>
      <c r="CF273" s="574"/>
    </row>
    <row r="274" spans="1:84" s="583" customFormat="1" ht="23.1" customHeight="1" thickBot="1">
      <c r="A274" s="1483" t="s">
        <v>1097</v>
      </c>
      <c r="B274" s="1484"/>
      <c r="C274" s="1484"/>
      <c r="D274" s="1484"/>
      <c r="E274" s="1484"/>
      <c r="F274" s="1484"/>
      <c r="G274" s="1484"/>
      <c r="H274" s="1484"/>
      <c r="I274" s="581" t="s">
        <v>409</v>
      </c>
      <c r="J274" s="581"/>
      <c r="K274" s="581"/>
      <c r="L274" s="581"/>
      <c r="M274" s="581"/>
      <c r="N274" s="581"/>
      <c r="O274" s="581"/>
      <c r="P274" s="581"/>
      <c r="Q274" s="581"/>
      <c r="R274" s="581"/>
      <c r="S274" s="581"/>
      <c r="T274" s="581"/>
      <c r="U274" s="581"/>
      <c r="V274" s="581"/>
      <c r="W274" s="581"/>
      <c r="X274" s="581"/>
      <c r="Y274" s="581"/>
      <c r="Z274" s="581"/>
      <c r="AA274" s="581"/>
      <c r="AB274" s="581"/>
      <c r="AC274" s="581"/>
      <c r="AD274" s="581"/>
      <c r="AE274" s="581"/>
      <c r="AF274" s="581"/>
      <c r="AG274" s="581"/>
      <c r="AH274" s="581"/>
      <c r="AI274" s="581"/>
      <c r="AJ274" s="1484" t="s">
        <v>1099</v>
      </c>
      <c r="AK274" s="1484"/>
      <c r="AL274" s="1484"/>
      <c r="AM274" s="1484"/>
      <c r="AN274" s="1484"/>
      <c r="AO274" s="1484"/>
      <c r="AP274" s="1484"/>
      <c r="AQ274" s="581" t="s">
        <v>394</v>
      </c>
      <c r="AR274" s="581"/>
      <c r="AS274" s="581"/>
      <c r="AT274" s="581"/>
      <c r="AU274" s="581"/>
      <c r="AV274" s="581"/>
      <c r="AW274" s="581"/>
      <c r="AX274" s="581"/>
      <c r="AY274" s="581"/>
      <c r="AZ274" s="581"/>
      <c r="BA274" s="581"/>
      <c r="BB274" s="581"/>
      <c r="BC274" s="581"/>
      <c r="BD274" s="581"/>
      <c r="BE274" s="581"/>
      <c r="BF274" s="581"/>
      <c r="BG274" s="581"/>
      <c r="BH274" s="581"/>
      <c r="BI274" s="581"/>
      <c r="BJ274" s="581"/>
      <c r="BK274" s="581"/>
      <c r="BL274" s="581"/>
      <c r="BM274" s="581"/>
      <c r="BN274" s="581"/>
      <c r="BO274" s="581"/>
      <c r="BP274" s="581"/>
      <c r="BQ274" s="581"/>
      <c r="BR274" s="581"/>
      <c r="BS274" s="581"/>
      <c r="BT274" s="581" t="s">
        <v>1130</v>
      </c>
      <c r="BU274" s="581"/>
      <c r="BV274" s="581"/>
      <c r="BW274" s="581"/>
      <c r="BX274" s="581"/>
      <c r="BY274" s="581"/>
      <c r="BZ274" s="581"/>
      <c r="CA274" s="581"/>
      <c r="CB274" s="581"/>
      <c r="CC274" s="581"/>
      <c r="CD274" s="581"/>
      <c r="CE274" s="581"/>
      <c r="CF274" s="582"/>
    </row>
    <row r="275" spans="1:84" s="583" customFormat="1" ht="23.1" customHeight="1">
      <c r="A275" s="584"/>
      <c r="B275" s="585" t="s">
        <v>1102</v>
      </c>
      <c r="C275" s="585"/>
      <c r="D275" s="585"/>
      <c r="E275" s="585"/>
      <c r="F275" s="585"/>
      <c r="G275" s="585"/>
      <c r="H275" s="585"/>
      <c r="I275" s="585"/>
      <c r="J275" s="585"/>
      <c r="K275" s="585"/>
      <c r="L275" s="585"/>
      <c r="M275" s="585"/>
      <c r="N275" s="585"/>
      <c r="O275" s="585"/>
      <c r="P275" s="585"/>
      <c r="Q275" s="585"/>
      <c r="R275" s="585"/>
      <c r="S275" s="585"/>
      <c r="T275" s="585"/>
      <c r="U275" s="585"/>
      <c r="V275" s="585"/>
      <c r="W275" s="585"/>
      <c r="X275" s="585"/>
      <c r="Y275" s="585"/>
      <c r="Z275" s="585"/>
      <c r="AA275" s="585"/>
      <c r="AB275" s="585"/>
      <c r="AC275" s="585"/>
      <c r="AD275" s="585"/>
      <c r="AE275" s="585"/>
      <c r="AF275" s="585"/>
      <c r="AG275" s="585"/>
      <c r="AH275" s="585"/>
      <c r="AI275" s="585"/>
      <c r="AJ275" s="585"/>
      <c r="AK275" s="585"/>
      <c r="AL275" s="585"/>
      <c r="AM275" s="585"/>
      <c r="AN275" s="585"/>
      <c r="AO275" s="585"/>
      <c r="AP275" s="585"/>
      <c r="AQ275" s="585"/>
      <c r="AR275" s="585"/>
      <c r="AS275" s="585"/>
      <c r="AT275" s="585"/>
      <c r="AU275" s="585"/>
      <c r="AV275" s="585"/>
      <c r="AW275" s="585"/>
      <c r="AX275" s="585"/>
      <c r="AY275" s="585"/>
      <c r="AZ275" s="585"/>
      <c r="BA275" s="585"/>
      <c r="BB275" s="585"/>
      <c r="BC275" s="585"/>
      <c r="BD275" s="585"/>
      <c r="BE275" s="585"/>
      <c r="BF275" s="585"/>
      <c r="BG275" s="585"/>
      <c r="BH275" s="585"/>
      <c r="BI275" s="585"/>
      <c r="BJ275" s="585"/>
      <c r="BK275" s="585"/>
      <c r="BL275" s="585"/>
      <c r="BM275" s="585"/>
      <c r="BN275" s="585"/>
      <c r="BO275" s="585"/>
      <c r="BP275" s="585"/>
      <c r="BQ275" s="585"/>
      <c r="BR275" s="585"/>
      <c r="BS275" s="585"/>
      <c r="BT275" s="585"/>
      <c r="BU275" s="585"/>
      <c r="BV275" s="585"/>
      <c r="BW275" s="585"/>
      <c r="BX275" s="585"/>
      <c r="BY275" s="585"/>
      <c r="BZ275" s="585"/>
      <c r="CA275" s="585"/>
      <c r="CB275" s="585"/>
      <c r="CC275" s="585"/>
      <c r="CD275" s="585"/>
      <c r="CE275" s="585"/>
      <c r="CF275" s="586"/>
    </row>
    <row r="276" spans="1:84" s="583" customFormat="1" ht="23.1" customHeight="1">
      <c r="A276" s="587"/>
      <c r="B276" s="574"/>
      <c r="C276" s="574"/>
      <c r="D276" s="405"/>
      <c r="E276" s="574"/>
      <c r="F276" s="422"/>
      <c r="G276" s="422"/>
      <c r="H276" s="422"/>
      <c r="I276" s="422"/>
      <c r="J276" s="422"/>
      <c r="K276" s="422"/>
      <c r="L276" s="422"/>
      <c r="M276" s="422"/>
      <c r="N276" s="574"/>
      <c r="O276" s="574"/>
      <c r="P276" s="574"/>
      <c r="Q276" s="574"/>
      <c r="R276" s="574"/>
      <c r="S276" s="588"/>
      <c r="T276" s="588"/>
      <c r="U276" s="588"/>
      <c r="V276" s="588"/>
      <c r="W276" s="588"/>
      <c r="X276" s="588"/>
      <c r="Y276" s="588"/>
      <c r="Z276" s="588"/>
      <c r="AA276" s="574"/>
      <c r="AB276" s="588"/>
      <c r="AC276" s="585"/>
      <c r="AD276" s="585"/>
      <c r="AE276" s="600"/>
      <c r="AF276" s="600"/>
      <c r="AG276" s="600"/>
      <c r="AH276" s="600"/>
      <c r="AI276" s="600"/>
      <c r="AJ276" s="600"/>
      <c r="AK276" s="600"/>
      <c r="AL276" s="600"/>
      <c r="AM276" s="585"/>
      <c r="AN276" s="585"/>
      <c r="AO276" s="574"/>
      <c r="AP276" s="430"/>
      <c r="AQ276" s="430"/>
      <c r="AR276" s="430"/>
      <c r="AS276" s="430"/>
      <c r="AT276" s="430"/>
      <c r="AU276" s="430"/>
      <c r="AV276" s="430"/>
      <c r="AW276" s="430"/>
      <c r="AX276" s="430"/>
      <c r="AY276" s="430"/>
      <c r="AZ276" s="430"/>
      <c r="BA276" s="430"/>
      <c r="BB276" s="430"/>
      <c r="BC276" s="430"/>
      <c r="BD276" s="574"/>
      <c r="BE276" s="574"/>
      <c r="BF276" s="574"/>
      <c r="BG276" s="574"/>
      <c r="BH276" s="574"/>
      <c r="BI276" s="574"/>
      <c r="BJ276" s="574"/>
      <c r="BK276" s="574"/>
      <c r="BL276" s="574"/>
      <c r="BM276" s="574"/>
      <c r="BN276" s="574"/>
      <c r="BO276" s="574"/>
      <c r="BP276" s="574"/>
      <c r="BQ276" s="574"/>
      <c r="BR276" s="574"/>
      <c r="BS276" s="574"/>
      <c r="BT276" s="574"/>
      <c r="BU276" s="574"/>
      <c r="BV276" s="574"/>
      <c r="BW276" s="574"/>
      <c r="BX276" s="574"/>
      <c r="BY276" s="574"/>
      <c r="BZ276" s="574"/>
      <c r="CA276" s="574"/>
      <c r="CB276" s="574"/>
      <c r="CC276" s="574"/>
      <c r="CD276" s="574"/>
      <c r="CE276" s="574"/>
      <c r="CF276" s="589"/>
    </row>
    <row r="277" spans="1:84" s="583" customFormat="1" ht="23.1" customHeight="1">
      <c r="A277" s="584"/>
      <c r="B277" s="585"/>
      <c r="C277" s="585"/>
      <c r="D277" s="585"/>
      <c r="E277" s="585"/>
      <c r="F277" s="585"/>
      <c r="G277" s="585"/>
      <c r="H277" s="585"/>
      <c r="I277" s="585"/>
      <c r="J277" s="585"/>
      <c r="K277" s="585"/>
      <c r="L277" s="585"/>
      <c r="M277" s="585"/>
      <c r="N277" s="585"/>
      <c r="O277" s="585"/>
      <c r="P277" s="585"/>
      <c r="Q277" s="585"/>
      <c r="R277" s="585"/>
      <c r="S277" s="585"/>
      <c r="T277" s="585"/>
      <c r="U277" s="585"/>
      <c r="V277" s="590"/>
      <c r="W277" s="590"/>
      <c r="X277" s="590"/>
      <c r="Y277" s="590"/>
      <c r="Z277" s="590"/>
      <c r="AA277" s="590"/>
      <c r="AB277" s="590"/>
      <c r="AC277" s="590"/>
      <c r="AD277" s="574"/>
      <c r="AE277" s="1440">
        <v>69333000</v>
      </c>
      <c r="AF277" s="1440"/>
      <c r="AG277" s="1440"/>
      <c r="AH277" s="1440"/>
      <c r="AI277" s="1440"/>
      <c r="AJ277" s="1440"/>
      <c r="AK277" s="1440"/>
      <c r="AL277" s="1440"/>
      <c r="AM277" s="1440"/>
      <c r="AN277" s="1440"/>
      <c r="AO277" s="1440"/>
      <c r="AP277" s="1440"/>
      <c r="AQ277" s="1440"/>
      <c r="AR277" s="1440"/>
      <c r="AS277" s="1440"/>
      <c r="AT277" s="1431" t="s">
        <v>446</v>
      </c>
      <c r="AU277" s="1431"/>
      <c r="AV277" s="1441" t="s">
        <v>1103</v>
      </c>
      <c r="AW277" s="1441"/>
      <c r="AX277" s="1442">
        <v>2279</v>
      </c>
      <c r="AY277" s="1442"/>
      <c r="AZ277" s="1442"/>
      <c r="BA277" s="1442"/>
      <c r="BB277" s="1442"/>
      <c r="BC277" s="1442"/>
      <c r="BD277" s="585"/>
      <c r="BE277" s="1431" t="s">
        <v>446</v>
      </c>
      <c r="BF277" s="1431"/>
      <c r="BG277" s="585"/>
      <c r="BH277" s="591" t="s">
        <v>1104</v>
      </c>
      <c r="BI277" s="585"/>
      <c r="BJ277" s="585"/>
      <c r="BK277" s="585"/>
      <c r="BL277" s="1431" t="s">
        <v>1105</v>
      </c>
      <c r="BM277" s="1431"/>
      <c r="BN277" s="1431"/>
      <c r="BO277" s="585"/>
      <c r="BP277" s="1431" t="s">
        <v>41</v>
      </c>
      <c r="BQ277" s="1431"/>
      <c r="BR277" s="585"/>
      <c r="BS277" s="585"/>
      <c r="BT277" s="1437">
        <f>INT(AE277*AX277*10^-7)</f>
        <v>15800</v>
      </c>
      <c r="BU277" s="1437"/>
      <c r="BV277" s="1437"/>
      <c r="BW277" s="1437"/>
      <c r="BX277" s="1437"/>
      <c r="BY277" s="1437"/>
      <c r="BZ277" s="1437"/>
      <c r="CA277" s="1437"/>
      <c r="CB277" s="1437"/>
      <c r="CC277" s="1437"/>
      <c r="CD277" s="585"/>
      <c r="CE277" s="585"/>
      <c r="CF277" s="586"/>
    </row>
    <row r="278" spans="1:84" s="583" customFormat="1" ht="23.1" customHeight="1">
      <c r="A278" s="592"/>
      <c r="B278" s="593" t="s">
        <v>1106</v>
      </c>
      <c r="C278" s="593"/>
      <c r="D278" s="593"/>
      <c r="E278" s="593"/>
      <c r="F278" s="593"/>
      <c r="G278" s="593"/>
      <c r="H278" s="593"/>
      <c r="I278" s="593"/>
      <c r="J278" s="593"/>
      <c r="K278" s="593"/>
      <c r="L278" s="593"/>
      <c r="M278" s="593"/>
      <c r="N278" s="593"/>
      <c r="O278" s="593"/>
      <c r="P278" s="593"/>
      <c r="Q278" s="593"/>
      <c r="R278" s="593"/>
      <c r="S278" s="593"/>
      <c r="T278" s="593"/>
      <c r="U278" s="593"/>
      <c r="V278" s="593"/>
      <c r="W278" s="593"/>
      <c r="X278" s="593"/>
      <c r="Y278" s="593"/>
      <c r="Z278" s="593"/>
      <c r="AA278" s="593"/>
      <c r="AB278" s="593"/>
      <c r="AC278" s="593"/>
      <c r="AD278" s="593"/>
      <c r="AE278" s="593"/>
      <c r="AF278" s="593"/>
      <c r="AG278" s="593"/>
      <c r="AH278" s="593"/>
      <c r="AI278" s="593"/>
      <c r="AJ278" s="593"/>
      <c r="AK278" s="593"/>
      <c r="AL278" s="593"/>
      <c r="AM278" s="593"/>
      <c r="AN278" s="593"/>
      <c r="AO278" s="593"/>
      <c r="AP278" s="593"/>
      <c r="AQ278" s="593"/>
      <c r="AR278" s="593"/>
      <c r="AS278" s="593"/>
      <c r="AT278" s="593"/>
      <c r="AU278" s="593"/>
      <c r="AV278" s="593"/>
      <c r="AW278" s="593"/>
      <c r="AX278" s="593"/>
      <c r="AY278" s="593"/>
      <c r="AZ278" s="593"/>
      <c r="BA278" s="593"/>
      <c r="BB278" s="593"/>
      <c r="BC278" s="593"/>
      <c r="BD278" s="593"/>
      <c r="BE278" s="593"/>
      <c r="BF278" s="593"/>
      <c r="BG278" s="593"/>
      <c r="BH278" s="593"/>
      <c r="BI278" s="593"/>
      <c r="BJ278" s="593"/>
      <c r="BK278" s="593"/>
      <c r="BL278" s="593"/>
      <c r="BM278" s="593"/>
      <c r="BN278" s="593"/>
      <c r="BO278" s="593"/>
      <c r="BP278" s="593"/>
      <c r="BQ278" s="593"/>
      <c r="BR278" s="593"/>
      <c r="BS278" s="593"/>
      <c r="BT278" s="594"/>
      <c r="BU278" s="594"/>
      <c r="BV278" s="594"/>
      <c r="BW278" s="594"/>
      <c r="BX278" s="594"/>
      <c r="BY278" s="594"/>
      <c r="BZ278" s="594"/>
      <c r="CA278" s="594"/>
      <c r="CB278" s="594"/>
      <c r="CC278" s="594"/>
      <c r="CD278" s="593"/>
      <c r="CE278" s="593"/>
      <c r="CF278" s="595"/>
    </row>
    <row r="279" spans="1:84" s="583" customFormat="1" ht="23.1" customHeight="1">
      <c r="A279" s="584"/>
      <c r="B279" s="585"/>
      <c r="C279" s="585"/>
      <c r="D279" s="596" t="s">
        <v>268</v>
      </c>
      <c r="E279" s="585"/>
      <c r="F279" s="585"/>
      <c r="G279" s="585"/>
      <c r="H279" s="585"/>
      <c r="I279" s="585"/>
      <c r="J279" s="585"/>
      <c r="K279" s="585"/>
      <c r="L279" s="585"/>
      <c r="M279" s="585"/>
      <c r="N279" s="585"/>
      <c r="O279" s="585"/>
      <c r="P279" s="585"/>
      <c r="Q279" s="585"/>
      <c r="R279" s="585"/>
      <c r="S279" s="585"/>
      <c r="T279" s="574"/>
      <c r="U279" s="574"/>
      <c r="V279" s="1435">
        <f>HLOOKUP(D279,$CJ$1:$CM$3,3,0)</f>
        <v>283297</v>
      </c>
      <c r="W279" s="1435"/>
      <c r="X279" s="1435"/>
      <c r="Y279" s="1435"/>
      <c r="Z279" s="1435"/>
      <c r="AA279" s="1435"/>
      <c r="AB279" s="1435"/>
      <c r="AC279" s="1435"/>
      <c r="AD279" s="1435"/>
      <c r="AE279" s="1435"/>
      <c r="AF279" s="1431" t="s">
        <v>446</v>
      </c>
      <c r="AG279" s="1431"/>
      <c r="AH279" s="574"/>
      <c r="AI279" s="1436" t="s">
        <v>1107</v>
      </c>
      <c r="AJ279" s="1436"/>
      <c r="AK279" s="1436"/>
      <c r="AL279" s="1436"/>
      <c r="AM279" s="585"/>
      <c r="AN279" s="1431" t="s">
        <v>446</v>
      </c>
      <c r="AO279" s="1431"/>
      <c r="AP279" s="585"/>
      <c r="AQ279" s="1436" t="s">
        <v>1108</v>
      </c>
      <c r="AR279" s="1436"/>
      <c r="AS279" s="1436"/>
      <c r="AT279" s="1436"/>
      <c r="AU279" s="1436"/>
      <c r="AV279" s="422"/>
      <c r="AW279" s="1431" t="s">
        <v>446</v>
      </c>
      <c r="AX279" s="1431"/>
      <c r="AY279" s="440"/>
      <c r="AZ279" s="1436" t="s">
        <v>1109</v>
      </c>
      <c r="BA279" s="1436"/>
      <c r="BB279" s="1436"/>
      <c r="BC279" s="1436"/>
      <c r="BD279" s="1436"/>
      <c r="BE279" s="585"/>
      <c r="BF279" s="1431" t="s">
        <v>446</v>
      </c>
      <c r="BG279" s="1431"/>
      <c r="BH279" s="1431">
        <v>1</v>
      </c>
      <c r="BI279" s="1431"/>
      <c r="BJ279" s="1431"/>
      <c r="BK279" s="585"/>
      <c r="BL279" s="585" t="s">
        <v>366</v>
      </c>
      <c r="BM279" s="585"/>
      <c r="BN279" s="585"/>
      <c r="BO279" s="585"/>
      <c r="BP279" s="1431" t="s">
        <v>41</v>
      </c>
      <c r="BQ279" s="1431"/>
      <c r="BR279" s="585"/>
      <c r="BS279" s="585"/>
      <c r="BT279" s="1432">
        <f>INT(V279/8*16/12*25/20*BH279)</f>
        <v>59020</v>
      </c>
      <c r="BU279" s="1432"/>
      <c r="BV279" s="1432"/>
      <c r="BW279" s="1432"/>
      <c r="BX279" s="1432"/>
      <c r="BY279" s="1432"/>
      <c r="BZ279" s="1432"/>
      <c r="CA279" s="1432"/>
      <c r="CB279" s="1432"/>
      <c r="CC279" s="1432"/>
      <c r="CD279" s="585"/>
      <c r="CE279" s="585"/>
      <c r="CF279" s="586"/>
    </row>
    <row r="280" spans="1:84" s="583" customFormat="1" ht="23.1" customHeight="1">
      <c r="A280" s="584"/>
      <c r="B280" s="585"/>
      <c r="C280" s="585"/>
      <c r="D280" s="585"/>
      <c r="E280" s="585"/>
      <c r="F280" s="585"/>
      <c r="G280" s="585"/>
      <c r="H280" s="585"/>
      <c r="I280" s="585"/>
      <c r="J280" s="585"/>
      <c r="K280" s="585"/>
      <c r="L280" s="585"/>
      <c r="M280" s="585"/>
      <c r="N280" s="585"/>
      <c r="O280" s="585"/>
      <c r="P280" s="574"/>
      <c r="Q280" s="574"/>
      <c r="R280" s="574"/>
      <c r="S280" s="574"/>
      <c r="T280" s="574"/>
      <c r="U280" s="574"/>
      <c r="V280" s="574"/>
      <c r="W280" s="574"/>
      <c r="X280" s="574"/>
      <c r="Y280" s="574"/>
      <c r="Z280" s="574"/>
      <c r="AA280" s="574"/>
      <c r="AB280" s="574"/>
      <c r="AC280" s="574"/>
      <c r="AD280" s="574"/>
      <c r="AE280" s="574"/>
      <c r="AF280" s="574"/>
      <c r="AG280" s="574"/>
      <c r="AH280" s="574"/>
      <c r="AI280" s="574"/>
      <c r="AJ280" s="574"/>
      <c r="AK280" s="574"/>
      <c r="AL280" s="574"/>
      <c r="AM280" s="574"/>
      <c r="AN280" s="574"/>
      <c r="AO280" s="574"/>
      <c r="AP280" s="574"/>
      <c r="AQ280" s="574"/>
      <c r="AR280" s="574"/>
      <c r="AS280" s="574"/>
      <c r="AT280" s="574"/>
      <c r="AU280" s="574"/>
      <c r="AV280" s="574"/>
      <c r="AW280" s="574"/>
      <c r="AX280" s="574"/>
      <c r="AY280" s="574"/>
      <c r="AZ280" s="574"/>
      <c r="BA280" s="574"/>
      <c r="BB280" s="574"/>
      <c r="BC280" s="574"/>
      <c r="BD280" s="574"/>
      <c r="BE280" s="574"/>
      <c r="BF280" s="574"/>
      <c r="BG280" s="585"/>
      <c r="BH280" s="585"/>
      <c r="BI280" s="585"/>
      <c r="BJ280" s="585"/>
      <c r="BK280" s="585"/>
      <c r="BL280" s="585"/>
      <c r="BM280" s="585"/>
      <c r="BN280" s="585"/>
      <c r="BO280" s="585"/>
      <c r="BP280" s="1431"/>
      <c r="BQ280" s="1431"/>
      <c r="BR280" s="585"/>
      <c r="BS280" s="585"/>
      <c r="BT280" s="1432"/>
      <c r="BU280" s="1432"/>
      <c r="BV280" s="1432"/>
      <c r="BW280" s="1432"/>
      <c r="BX280" s="1432"/>
      <c r="BY280" s="1432"/>
      <c r="BZ280" s="1432"/>
      <c r="CA280" s="1432"/>
      <c r="CB280" s="1432"/>
      <c r="CC280" s="1432"/>
      <c r="CD280" s="585"/>
      <c r="CE280" s="585"/>
      <c r="CF280" s="586"/>
    </row>
    <row r="281" spans="1:84" s="583" customFormat="1" ht="23.1" customHeight="1">
      <c r="A281" s="584"/>
      <c r="B281" s="585"/>
      <c r="C281" s="585"/>
      <c r="D281" s="585"/>
      <c r="E281" s="585"/>
      <c r="F281" s="585"/>
      <c r="G281" s="585"/>
      <c r="H281" s="585"/>
      <c r="I281" s="585"/>
      <c r="J281" s="585"/>
      <c r="K281" s="585"/>
      <c r="L281" s="585"/>
      <c r="M281" s="585"/>
      <c r="N281" s="585"/>
      <c r="O281" s="585"/>
      <c r="P281" s="585"/>
      <c r="Q281" s="585"/>
      <c r="R281" s="585"/>
      <c r="S281" s="585"/>
      <c r="T281" s="585"/>
      <c r="U281" s="585"/>
      <c r="V281" s="585"/>
      <c r="W281" s="585"/>
      <c r="X281" s="585"/>
      <c r="Y281" s="585"/>
      <c r="Z281" s="585"/>
      <c r="AA281" s="585"/>
      <c r="AB281" s="585"/>
      <c r="AC281" s="585"/>
      <c r="AD281" s="574"/>
      <c r="AE281" s="574"/>
      <c r="AF281" s="574"/>
      <c r="AG281" s="574"/>
      <c r="AH281" s="574"/>
      <c r="AI281" s="574"/>
      <c r="AJ281" s="574"/>
      <c r="AK281" s="574"/>
      <c r="AL281" s="574"/>
      <c r="AM281" s="574"/>
      <c r="AN281" s="574"/>
      <c r="AO281" s="574"/>
      <c r="AP281" s="574"/>
      <c r="AQ281" s="574"/>
      <c r="AR281" s="574"/>
      <c r="AS281" s="585"/>
      <c r="AT281" s="590"/>
      <c r="AU281" s="590"/>
      <c r="AV281" s="585"/>
      <c r="AW281" s="585"/>
      <c r="AX281" s="585"/>
      <c r="AY281" s="585"/>
      <c r="AZ281" s="585"/>
      <c r="BA281" s="585"/>
      <c r="BB281" s="585"/>
      <c r="BC281" s="585"/>
      <c r="BD281" s="585"/>
      <c r="BE281" s="585"/>
      <c r="BF281" s="585"/>
      <c r="BG281" s="585"/>
      <c r="BH281" s="585"/>
      <c r="BI281" s="585"/>
      <c r="BJ281" s="585"/>
      <c r="BK281" s="585"/>
      <c r="BL281" s="585"/>
      <c r="BM281" s="585"/>
      <c r="BN281" s="585"/>
      <c r="BO281" s="585"/>
      <c r="BP281" s="1431" t="s">
        <v>41</v>
      </c>
      <c r="BQ281" s="1431"/>
      <c r="BR281" s="585"/>
      <c r="BS281" s="585"/>
      <c r="BT281" s="1434">
        <f>BT279+BT280</f>
        <v>59020</v>
      </c>
      <c r="BU281" s="1434"/>
      <c r="BV281" s="1434"/>
      <c r="BW281" s="1434"/>
      <c r="BX281" s="1434"/>
      <c r="BY281" s="1434"/>
      <c r="BZ281" s="1434"/>
      <c r="CA281" s="1434"/>
      <c r="CB281" s="1434"/>
      <c r="CC281" s="1434"/>
      <c r="CD281" s="585"/>
      <c r="CE281" s="585"/>
      <c r="CF281" s="586"/>
    </row>
    <row r="282" spans="1:84" s="583" customFormat="1" ht="23.1" customHeight="1">
      <c r="A282" s="592"/>
      <c r="B282" s="593" t="s">
        <v>1110</v>
      </c>
      <c r="C282" s="593"/>
      <c r="D282" s="593"/>
      <c r="E282" s="593"/>
      <c r="F282" s="593"/>
      <c r="G282" s="593"/>
      <c r="H282" s="593"/>
      <c r="I282" s="593"/>
      <c r="J282" s="593"/>
      <c r="K282" s="593"/>
      <c r="L282" s="593"/>
      <c r="M282" s="593"/>
      <c r="N282" s="593"/>
      <c r="O282" s="593"/>
      <c r="P282" s="593"/>
      <c r="Q282" s="593"/>
      <c r="R282" s="593"/>
      <c r="S282" s="593"/>
      <c r="T282" s="593"/>
      <c r="U282" s="593"/>
      <c r="V282" s="593"/>
      <c r="W282" s="593"/>
      <c r="X282" s="593"/>
      <c r="Y282" s="593"/>
      <c r="Z282" s="593"/>
      <c r="AA282" s="593"/>
      <c r="AB282" s="593"/>
      <c r="AC282" s="593"/>
      <c r="AD282" s="593"/>
      <c r="AE282" s="593"/>
      <c r="AF282" s="593"/>
      <c r="AG282" s="593"/>
      <c r="AH282" s="593"/>
      <c r="AI282" s="593"/>
      <c r="AJ282" s="593"/>
      <c r="AK282" s="593"/>
      <c r="AL282" s="593"/>
      <c r="AM282" s="593"/>
      <c r="AN282" s="593"/>
      <c r="AO282" s="593"/>
      <c r="AP282" s="593"/>
      <c r="AQ282" s="593"/>
      <c r="AR282" s="593"/>
      <c r="AS282" s="593"/>
      <c r="AT282" s="593"/>
      <c r="AU282" s="593"/>
      <c r="AV282" s="593"/>
      <c r="AW282" s="593"/>
      <c r="AX282" s="593"/>
      <c r="AY282" s="593"/>
      <c r="AZ282" s="593"/>
      <c r="BA282" s="593"/>
      <c r="BB282" s="593"/>
      <c r="BC282" s="593"/>
      <c r="BD282" s="593"/>
      <c r="BE282" s="593"/>
      <c r="BF282" s="593"/>
      <c r="BG282" s="593"/>
      <c r="BH282" s="593"/>
      <c r="BI282" s="593"/>
      <c r="BJ282" s="593"/>
      <c r="BK282" s="593"/>
      <c r="BL282" s="593"/>
      <c r="BM282" s="593"/>
      <c r="BN282" s="593"/>
      <c r="BO282" s="593"/>
      <c r="BP282" s="593"/>
      <c r="BQ282" s="593"/>
      <c r="BR282" s="593"/>
      <c r="BS282" s="593"/>
      <c r="BT282" s="593"/>
      <c r="BU282" s="593"/>
      <c r="BV282" s="593"/>
      <c r="BW282" s="593"/>
      <c r="BX282" s="593"/>
      <c r="BY282" s="593"/>
      <c r="BZ282" s="593"/>
      <c r="CA282" s="593"/>
      <c r="CB282" s="593"/>
      <c r="CC282" s="593"/>
      <c r="CD282" s="593"/>
      <c r="CE282" s="593"/>
      <c r="CF282" s="595"/>
    </row>
    <row r="283" spans="1:84" s="583" customFormat="1" ht="23.1" customHeight="1">
      <c r="A283" s="584"/>
      <c r="B283" s="585"/>
      <c r="C283" s="585"/>
      <c r="D283" s="596" t="s">
        <v>1094</v>
      </c>
      <c r="E283" s="585"/>
      <c r="F283" s="585"/>
      <c r="G283" s="585"/>
      <c r="H283" s="585"/>
      <c r="I283" s="585"/>
      <c r="J283" s="585"/>
      <c r="K283" s="585"/>
      <c r="L283" s="585"/>
      <c r="M283" s="585"/>
      <c r="N283" s="585"/>
      <c r="O283" s="585"/>
      <c r="P283" s="585"/>
      <c r="Q283" s="585"/>
      <c r="R283" s="585"/>
      <c r="S283" s="585"/>
      <c r="T283" s="585"/>
      <c r="U283" s="585"/>
      <c r="V283" s="585"/>
      <c r="W283" s="585"/>
      <c r="X283" s="585"/>
      <c r="Y283" s="585"/>
      <c r="Z283" s="585"/>
      <c r="AA283" s="585"/>
      <c r="AB283" s="585"/>
      <c r="AC283" s="585"/>
      <c r="AD283" s="585"/>
      <c r="AE283" s="585"/>
      <c r="AF283" s="585"/>
      <c r="AG283" s="585"/>
      <c r="AH283" s="585"/>
      <c r="AI283" s="585"/>
      <c r="AJ283" s="585"/>
      <c r="AK283" s="585"/>
      <c r="AL283" s="585"/>
      <c r="AM283" s="585"/>
      <c r="AN283" s="585"/>
      <c r="AO283" s="585"/>
      <c r="AP283" s="585"/>
      <c r="AQ283" s="585"/>
      <c r="AR283" s="422"/>
      <c r="AS283" s="1435" t="e">
        <f>HLOOKUP(D283,$CN$1:$CO$3,3,0)</f>
        <v>#REF!</v>
      </c>
      <c r="AT283" s="1435"/>
      <c r="AU283" s="1435"/>
      <c r="AV283" s="1435"/>
      <c r="AW283" s="1435"/>
      <c r="AX283" s="1435"/>
      <c r="AY283" s="1435"/>
      <c r="AZ283" s="1435"/>
      <c r="BA283" s="1435"/>
      <c r="BB283" s="1435"/>
      <c r="BC283" s="585"/>
      <c r="BD283" s="1431" t="s">
        <v>446</v>
      </c>
      <c r="BE283" s="1431"/>
      <c r="BF283" s="585"/>
      <c r="BG283" s="1431">
        <v>5.6</v>
      </c>
      <c r="BH283" s="1431"/>
      <c r="BI283" s="1431"/>
      <c r="BJ283" s="1431"/>
      <c r="BK283" s="1431"/>
      <c r="BL283" s="585" t="s">
        <v>1111</v>
      </c>
      <c r="BM283" s="585"/>
      <c r="BN283" s="585"/>
      <c r="BO283" s="585"/>
      <c r="BP283" s="1431" t="s">
        <v>41</v>
      </c>
      <c r="BQ283" s="1431"/>
      <c r="BR283" s="585"/>
      <c r="BS283" s="585"/>
      <c r="BT283" s="1432" t="e">
        <f>INT(AS283*BG283)</f>
        <v>#REF!</v>
      </c>
      <c r="BU283" s="1432"/>
      <c r="BV283" s="1432"/>
      <c r="BW283" s="1432"/>
      <c r="BX283" s="1432"/>
      <c r="BY283" s="1432"/>
      <c r="BZ283" s="1432"/>
      <c r="CA283" s="1432"/>
      <c r="CB283" s="1432"/>
      <c r="CC283" s="1432"/>
      <c r="CD283" s="585"/>
      <c r="CE283" s="585"/>
      <c r="CF283" s="586"/>
    </row>
    <row r="284" spans="1:84" s="583" customFormat="1" ht="23.1" customHeight="1">
      <c r="A284" s="584"/>
      <c r="B284" s="585"/>
      <c r="C284" s="585"/>
      <c r="D284" s="591" t="str">
        <f>"잡재료 (주연료의 "&amp;BG284&amp;"%) :"</f>
        <v>잡재료 (주연료의 24%) :</v>
      </c>
      <c r="E284" s="585"/>
      <c r="F284" s="585"/>
      <c r="G284" s="585"/>
      <c r="H284" s="585"/>
      <c r="I284" s="585"/>
      <c r="J284" s="585"/>
      <c r="K284" s="585"/>
      <c r="L284" s="585"/>
      <c r="M284" s="585"/>
      <c r="N284" s="585"/>
      <c r="O284" s="585"/>
      <c r="P284" s="585"/>
      <c r="Q284" s="585"/>
      <c r="R284" s="585"/>
      <c r="S284" s="585"/>
      <c r="T284" s="585"/>
      <c r="U284" s="585"/>
      <c r="V284" s="585"/>
      <c r="W284" s="585"/>
      <c r="X284" s="585"/>
      <c r="Y284" s="585"/>
      <c r="Z284" s="585"/>
      <c r="AA284" s="585"/>
      <c r="AB284" s="585"/>
      <c r="AC284" s="585"/>
      <c r="AD284" s="585"/>
      <c r="AE284" s="585"/>
      <c r="AF284" s="585"/>
      <c r="AG284" s="585"/>
      <c r="AH284" s="585"/>
      <c r="AI284" s="585"/>
      <c r="AJ284" s="585"/>
      <c r="AK284" s="585"/>
      <c r="AL284" s="585"/>
      <c r="AM284" s="585"/>
      <c r="AN284" s="585"/>
      <c r="AO284" s="585"/>
      <c r="AP284" s="585"/>
      <c r="AQ284" s="585"/>
      <c r="AR284" s="422" t="e">
        <f>BT283</f>
        <v>#REF!</v>
      </c>
      <c r="AS284" s="1430" t="e">
        <f>BT283</f>
        <v>#REF!</v>
      </c>
      <c r="AT284" s="1430"/>
      <c r="AU284" s="1430"/>
      <c r="AV284" s="1430"/>
      <c r="AW284" s="1430"/>
      <c r="AX284" s="1430"/>
      <c r="AY284" s="1430"/>
      <c r="AZ284" s="1430"/>
      <c r="BA284" s="1430"/>
      <c r="BB284" s="1430"/>
      <c r="BC284" s="585"/>
      <c r="BD284" s="1431" t="s">
        <v>446</v>
      </c>
      <c r="BE284" s="1431"/>
      <c r="BF284" s="585"/>
      <c r="BG284" s="1431">
        <v>24</v>
      </c>
      <c r="BH284" s="1431"/>
      <c r="BI284" s="1431"/>
      <c r="BJ284" s="1431"/>
      <c r="BK284" s="1431"/>
      <c r="BL284" s="585" t="s">
        <v>1112</v>
      </c>
      <c r="BM284" s="585"/>
      <c r="BN284" s="585"/>
      <c r="BO284" s="585"/>
      <c r="BP284" s="1431" t="s">
        <v>41</v>
      </c>
      <c r="BQ284" s="1431"/>
      <c r="BR284" s="585"/>
      <c r="BS284" s="585"/>
      <c r="BT284" s="1432" t="e">
        <f>INT(AS284*BG284/100)</f>
        <v>#REF!</v>
      </c>
      <c r="BU284" s="1432"/>
      <c r="BV284" s="1432"/>
      <c r="BW284" s="1432"/>
      <c r="BX284" s="1432"/>
      <c r="BY284" s="1432"/>
      <c r="BZ284" s="1432"/>
      <c r="CA284" s="1432"/>
      <c r="CB284" s="1432"/>
      <c r="CC284" s="1432"/>
      <c r="CD284" s="585"/>
      <c r="CE284" s="585"/>
      <c r="CF284" s="586"/>
    </row>
    <row r="285" spans="1:84" s="583" customFormat="1" ht="23.1" customHeight="1" thickBot="1">
      <c r="A285" s="584"/>
      <c r="B285" s="585"/>
      <c r="C285" s="585"/>
      <c r="D285" s="585"/>
      <c r="E285" s="585"/>
      <c r="F285" s="585"/>
      <c r="G285" s="585"/>
      <c r="H285" s="585"/>
      <c r="I285" s="585"/>
      <c r="J285" s="585"/>
      <c r="K285" s="585"/>
      <c r="L285" s="585"/>
      <c r="M285" s="585"/>
      <c r="N285" s="585"/>
      <c r="O285" s="585"/>
      <c r="P285" s="585"/>
      <c r="Q285" s="585"/>
      <c r="R285" s="585"/>
      <c r="S285" s="585"/>
      <c r="T285" s="585"/>
      <c r="U285" s="585"/>
      <c r="V285" s="585"/>
      <c r="W285" s="585"/>
      <c r="X285" s="585"/>
      <c r="Y285" s="585"/>
      <c r="Z285" s="585"/>
      <c r="AA285" s="585"/>
      <c r="AB285" s="585"/>
      <c r="AC285" s="585"/>
      <c r="AD285" s="585"/>
      <c r="AE285" s="585"/>
      <c r="AF285" s="585"/>
      <c r="AG285" s="585"/>
      <c r="AH285" s="585"/>
      <c r="AI285" s="585"/>
      <c r="AJ285" s="585"/>
      <c r="AK285" s="585"/>
      <c r="AL285" s="585"/>
      <c r="AM285" s="585"/>
      <c r="AN285" s="585"/>
      <c r="AO285" s="585"/>
      <c r="AP285" s="585"/>
      <c r="AQ285" s="585"/>
      <c r="AR285" s="585"/>
      <c r="AS285" s="585"/>
      <c r="AT285" s="585"/>
      <c r="AU285" s="585"/>
      <c r="AV285" s="585"/>
      <c r="AW285" s="585"/>
      <c r="AX285" s="585"/>
      <c r="AY285" s="585"/>
      <c r="AZ285" s="585"/>
      <c r="BA285" s="585"/>
      <c r="BB285" s="585"/>
      <c r="BC285" s="585"/>
      <c r="BD285" s="585"/>
      <c r="BE285" s="585"/>
      <c r="BF285" s="585"/>
      <c r="BG285" s="585"/>
      <c r="BH285" s="585"/>
      <c r="BI285" s="585"/>
      <c r="BJ285" s="585"/>
      <c r="BK285" s="585"/>
      <c r="BL285" s="585"/>
      <c r="BM285" s="585"/>
      <c r="BN285" s="585"/>
      <c r="BO285" s="585"/>
      <c r="BP285" s="1431" t="s">
        <v>41</v>
      </c>
      <c r="BQ285" s="1431"/>
      <c r="BR285" s="585"/>
      <c r="BS285" s="585"/>
      <c r="BT285" s="1433" t="e">
        <f>BT283+BT284</f>
        <v>#REF!</v>
      </c>
      <c r="BU285" s="1433"/>
      <c r="BV285" s="1433"/>
      <c r="BW285" s="1433"/>
      <c r="BX285" s="1433"/>
      <c r="BY285" s="1433"/>
      <c r="BZ285" s="1433"/>
      <c r="CA285" s="1433"/>
      <c r="CB285" s="1433"/>
      <c r="CC285" s="1433"/>
      <c r="CD285" s="585"/>
      <c r="CE285" s="585"/>
      <c r="CF285" s="586"/>
    </row>
    <row r="286" spans="1:84" s="583" customFormat="1" ht="23.1" customHeight="1" thickBot="1">
      <c r="A286" s="597"/>
      <c r="B286" s="598" t="s">
        <v>1113</v>
      </c>
      <c r="C286" s="598"/>
      <c r="D286" s="598"/>
      <c r="E286" s="598"/>
      <c r="F286" s="598"/>
      <c r="G286" s="598"/>
      <c r="H286" s="598"/>
      <c r="I286" s="598"/>
      <c r="J286" s="598"/>
      <c r="K286" s="598"/>
      <c r="L286" s="598"/>
      <c r="M286" s="598"/>
      <c r="N286" s="598"/>
      <c r="O286" s="598"/>
      <c r="P286" s="598"/>
      <c r="Q286" s="598"/>
      <c r="R286" s="598"/>
      <c r="S286" s="598"/>
      <c r="T286" s="598"/>
      <c r="U286" s="598"/>
      <c r="V286" s="598"/>
      <c r="W286" s="598"/>
      <c r="X286" s="598"/>
      <c r="Y286" s="598"/>
      <c r="Z286" s="598"/>
      <c r="AA286" s="598"/>
      <c r="AB286" s="598"/>
      <c r="AC286" s="598"/>
      <c r="AD286" s="598"/>
      <c r="AE286" s="598"/>
      <c r="AF286" s="598"/>
      <c r="AG286" s="598"/>
      <c r="AH286" s="598"/>
      <c r="AI286" s="598"/>
      <c r="AJ286" s="598"/>
      <c r="AK286" s="598"/>
      <c r="AL286" s="598"/>
      <c r="AM286" s="598"/>
      <c r="AN286" s="598"/>
      <c r="AO286" s="598"/>
      <c r="AP286" s="598"/>
      <c r="AQ286" s="598"/>
      <c r="AR286" s="598"/>
      <c r="AS286" s="598"/>
      <c r="AT286" s="598"/>
      <c r="AU286" s="598"/>
      <c r="AV286" s="598"/>
      <c r="AW286" s="598"/>
      <c r="AX286" s="598"/>
      <c r="AY286" s="598"/>
      <c r="AZ286" s="598"/>
      <c r="BA286" s="598"/>
      <c r="BB286" s="598"/>
      <c r="BC286" s="598"/>
      <c r="BD286" s="598"/>
      <c r="BE286" s="598"/>
      <c r="BF286" s="598"/>
      <c r="BG286" s="598"/>
      <c r="BH286" s="598"/>
      <c r="BI286" s="598"/>
      <c r="BJ286" s="598"/>
      <c r="BK286" s="598"/>
      <c r="BL286" s="598"/>
      <c r="BM286" s="598"/>
      <c r="BN286" s="598"/>
      <c r="BO286" s="598"/>
      <c r="BP286" s="598"/>
      <c r="BQ286" s="598"/>
      <c r="BR286" s="598"/>
      <c r="BS286" s="598"/>
      <c r="BT286" s="1429" t="e">
        <f>BT277+BT281+BT285</f>
        <v>#REF!</v>
      </c>
      <c r="BU286" s="1429"/>
      <c r="BV286" s="1429"/>
      <c r="BW286" s="1429"/>
      <c r="BX286" s="1429"/>
      <c r="BY286" s="1429"/>
      <c r="BZ286" s="1429"/>
      <c r="CA286" s="1429"/>
      <c r="CB286" s="1429"/>
      <c r="CC286" s="1429"/>
      <c r="CD286" s="598"/>
      <c r="CE286" s="598"/>
      <c r="CF286" s="599"/>
    </row>
    <row r="287" spans="1:84" s="583" customFormat="1" ht="9.9499999999999993" customHeight="1">
      <c r="A287" s="574"/>
      <c r="B287" s="574"/>
      <c r="C287" s="574"/>
      <c r="D287" s="574"/>
      <c r="E287" s="574"/>
      <c r="F287" s="574"/>
      <c r="G287" s="574"/>
      <c r="H287" s="574"/>
      <c r="I287" s="574"/>
      <c r="J287" s="574"/>
      <c r="K287" s="574"/>
      <c r="L287" s="574"/>
      <c r="M287" s="574"/>
      <c r="N287" s="574"/>
      <c r="O287" s="574"/>
      <c r="P287" s="574"/>
      <c r="Q287" s="574"/>
      <c r="R287" s="574"/>
      <c r="S287" s="574"/>
      <c r="T287" s="574"/>
      <c r="U287" s="574"/>
      <c r="V287" s="574"/>
      <c r="W287" s="574"/>
      <c r="X287" s="574"/>
      <c r="Y287" s="574"/>
      <c r="Z287" s="574"/>
      <c r="AA287" s="574"/>
      <c r="AB287" s="574"/>
      <c r="AC287" s="574"/>
      <c r="AD287" s="574"/>
      <c r="AE287" s="574"/>
      <c r="AF287" s="574"/>
      <c r="AG287" s="574"/>
      <c r="AH287" s="574"/>
      <c r="AI287" s="574"/>
      <c r="AJ287" s="574"/>
      <c r="AK287" s="574"/>
      <c r="AL287" s="574"/>
      <c r="AM287" s="574"/>
      <c r="AN287" s="574"/>
      <c r="AO287" s="574"/>
      <c r="AP287" s="574"/>
      <c r="AQ287" s="574"/>
      <c r="AR287" s="574"/>
      <c r="AS287" s="574"/>
      <c r="AT287" s="574"/>
      <c r="AU287" s="574"/>
      <c r="AV287" s="574"/>
      <c r="AW287" s="574"/>
      <c r="AX287" s="574"/>
      <c r="AY287" s="574"/>
      <c r="AZ287" s="574"/>
      <c r="BA287" s="574"/>
      <c r="BB287" s="574"/>
      <c r="BC287" s="574"/>
      <c r="BD287" s="574"/>
      <c r="BE287" s="574"/>
      <c r="BF287" s="574"/>
      <c r="BG287" s="574"/>
      <c r="BH287" s="574"/>
      <c r="BI287" s="574"/>
      <c r="BJ287" s="574"/>
      <c r="BK287" s="574"/>
      <c r="BL287" s="574"/>
      <c r="BM287" s="574"/>
      <c r="BN287" s="574"/>
      <c r="BO287" s="574"/>
      <c r="BP287" s="574"/>
      <c r="BQ287" s="574"/>
      <c r="BR287" s="574"/>
      <c r="BS287" s="574"/>
      <c r="BT287" s="574"/>
      <c r="BU287" s="574"/>
      <c r="BV287" s="574"/>
      <c r="BW287" s="574"/>
      <c r="BX287" s="574"/>
      <c r="BY287" s="574"/>
      <c r="BZ287" s="574"/>
      <c r="CA287" s="574"/>
      <c r="CB287" s="574"/>
      <c r="CC287" s="574"/>
      <c r="CD287" s="574"/>
      <c r="CE287" s="574"/>
      <c r="CF287" s="574"/>
    </row>
    <row r="288" spans="1:84" s="583" customFormat="1" ht="23.1" customHeight="1" thickBot="1">
      <c r="A288" s="1446" t="s">
        <v>1095</v>
      </c>
      <c r="B288" s="1446"/>
      <c r="C288" s="1446"/>
      <c r="D288" s="1446"/>
      <c r="E288" s="1446"/>
      <c r="F288" s="1446"/>
      <c r="G288" s="1447">
        <f>G273+1</f>
        <v>20</v>
      </c>
      <c r="H288" s="1447"/>
      <c r="I288" s="1447"/>
      <c r="J288" s="1448" t="s">
        <v>1096</v>
      </c>
      <c r="K288" s="1448"/>
      <c r="L288" s="574"/>
      <c r="M288" s="574"/>
      <c r="N288" s="574"/>
      <c r="O288" s="574"/>
      <c r="P288" s="574"/>
      <c r="Q288" s="574"/>
      <c r="R288" s="574"/>
      <c r="S288" s="574"/>
      <c r="T288" s="574"/>
      <c r="U288" s="574"/>
      <c r="V288" s="574"/>
      <c r="W288" s="574"/>
      <c r="X288" s="574"/>
      <c r="Y288" s="574"/>
      <c r="Z288" s="574"/>
      <c r="AA288" s="574"/>
      <c r="AB288" s="574"/>
      <c r="AC288" s="574"/>
      <c r="AD288" s="574"/>
      <c r="AE288" s="574"/>
      <c r="AF288" s="574"/>
      <c r="AG288" s="574"/>
      <c r="AH288" s="574"/>
      <c r="AI288" s="574"/>
      <c r="AJ288" s="574"/>
      <c r="AK288" s="574"/>
      <c r="AL288" s="574"/>
      <c r="AM288" s="574"/>
      <c r="AN288" s="574"/>
      <c r="AO288" s="574"/>
      <c r="AP288" s="574"/>
      <c r="AQ288" s="574"/>
      <c r="AR288" s="574"/>
      <c r="AS288" s="574"/>
      <c r="AT288" s="574"/>
      <c r="AU288" s="574"/>
      <c r="AV288" s="574"/>
      <c r="AW288" s="574"/>
      <c r="AX288" s="574"/>
      <c r="AY288" s="574"/>
      <c r="AZ288" s="574"/>
      <c r="BA288" s="574"/>
      <c r="BB288" s="574"/>
      <c r="BC288" s="574"/>
      <c r="BD288" s="574"/>
      <c r="BE288" s="574"/>
      <c r="BF288" s="574"/>
      <c r="BG288" s="574"/>
      <c r="BH288" s="574"/>
      <c r="BI288" s="574"/>
      <c r="BJ288" s="574"/>
      <c r="BK288" s="574"/>
      <c r="BL288" s="574"/>
      <c r="BM288" s="574"/>
      <c r="BN288" s="574"/>
      <c r="BO288" s="574"/>
      <c r="BP288" s="574"/>
      <c r="BQ288" s="574"/>
      <c r="BR288" s="574"/>
      <c r="BS288" s="574"/>
      <c r="BT288" s="574"/>
      <c r="BU288" s="574"/>
      <c r="BV288" s="574"/>
      <c r="BW288" s="574"/>
      <c r="BX288" s="574"/>
      <c r="BY288" s="574"/>
      <c r="BZ288" s="574"/>
      <c r="CA288" s="574"/>
      <c r="CB288" s="574"/>
      <c r="CC288" s="574"/>
      <c r="CD288" s="574"/>
      <c r="CE288" s="574"/>
      <c r="CF288" s="574"/>
    </row>
    <row r="289" spans="1:89" s="583" customFormat="1" ht="23.1" customHeight="1" thickBot="1">
      <c r="A289" s="1483" t="s">
        <v>1097</v>
      </c>
      <c r="B289" s="1484"/>
      <c r="C289" s="1484"/>
      <c r="D289" s="1484"/>
      <c r="E289" s="1484"/>
      <c r="F289" s="1484"/>
      <c r="G289" s="1484"/>
      <c r="H289" s="1484"/>
      <c r="I289" s="581" t="s">
        <v>409</v>
      </c>
      <c r="J289" s="581"/>
      <c r="K289" s="581"/>
      <c r="L289" s="581"/>
      <c r="M289" s="581"/>
      <c r="N289" s="581"/>
      <c r="O289" s="581"/>
      <c r="P289" s="581"/>
      <c r="Q289" s="581"/>
      <c r="R289" s="581"/>
      <c r="S289" s="581"/>
      <c r="T289" s="581"/>
      <c r="U289" s="581"/>
      <c r="V289" s="581"/>
      <c r="W289" s="581"/>
      <c r="X289" s="581"/>
      <c r="Y289" s="581"/>
      <c r="Z289" s="581"/>
      <c r="AA289" s="581"/>
      <c r="AB289" s="581"/>
      <c r="AC289" s="581"/>
      <c r="AD289" s="581"/>
      <c r="AE289" s="581"/>
      <c r="AF289" s="581"/>
      <c r="AG289" s="581"/>
      <c r="AH289" s="581"/>
      <c r="AI289" s="581"/>
      <c r="AJ289" s="1484" t="s">
        <v>1099</v>
      </c>
      <c r="AK289" s="1484"/>
      <c r="AL289" s="1484"/>
      <c r="AM289" s="1484"/>
      <c r="AN289" s="1484"/>
      <c r="AO289" s="1484"/>
      <c r="AP289" s="1484"/>
      <c r="AQ289" s="581" t="s">
        <v>397</v>
      </c>
      <c r="AR289" s="581"/>
      <c r="AS289" s="581"/>
      <c r="AT289" s="581"/>
      <c r="AU289" s="581"/>
      <c r="AV289" s="581"/>
      <c r="AW289" s="581"/>
      <c r="AX289" s="581"/>
      <c r="AY289" s="581"/>
      <c r="AZ289" s="581"/>
      <c r="BA289" s="581"/>
      <c r="BB289" s="581"/>
      <c r="BC289" s="581"/>
      <c r="BD289" s="581"/>
      <c r="BE289" s="581"/>
      <c r="BF289" s="581"/>
      <c r="BG289" s="581"/>
      <c r="BH289" s="581"/>
      <c r="BI289" s="581"/>
      <c r="BJ289" s="581"/>
      <c r="BK289" s="581"/>
      <c r="BL289" s="581"/>
      <c r="BM289" s="581"/>
      <c r="BN289" s="581"/>
      <c r="BO289" s="581"/>
      <c r="BP289" s="581"/>
      <c r="BQ289" s="581"/>
      <c r="BR289" s="581"/>
      <c r="BS289" s="581"/>
      <c r="BT289" s="581" t="s">
        <v>1131</v>
      </c>
      <c r="BU289" s="581"/>
      <c r="BV289" s="581"/>
      <c r="BW289" s="581"/>
      <c r="BX289" s="581"/>
      <c r="BY289" s="581"/>
      <c r="BZ289" s="581"/>
      <c r="CA289" s="581"/>
      <c r="CB289" s="581"/>
      <c r="CC289" s="581"/>
      <c r="CD289" s="581"/>
      <c r="CE289" s="581"/>
      <c r="CF289" s="582"/>
    </row>
    <row r="290" spans="1:89" s="583" customFormat="1" ht="23.1" customHeight="1">
      <c r="A290" s="584"/>
      <c r="B290" s="585" t="s">
        <v>1102</v>
      </c>
      <c r="C290" s="585"/>
      <c r="D290" s="585"/>
      <c r="E290" s="585"/>
      <c r="F290" s="585"/>
      <c r="G290" s="585"/>
      <c r="H290" s="585"/>
      <c r="I290" s="585"/>
      <c r="J290" s="585"/>
      <c r="K290" s="585"/>
      <c r="L290" s="585"/>
      <c r="M290" s="585"/>
      <c r="N290" s="585"/>
      <c r="O290" s="585"/>
      <c r="P290" s="585"/>
      <c r="Q290" s="585"/>
      <c r="R290" s="585"/>
      <c r="S290" s="585"/>
      <c r="T290" s="585"/>
      <c r="U290" s="585"/>
      <c r="V290" s="585"/>
      <c r="W290" s="585"/>
      <c r="X290" s="585"/>
      <c r="Y290" s="585"/>
      <c r="Z290" s="585"/>
      <c r="AA290" s="585"/>
      <c r="AB290" s="585"/>
      <c r="AC290" s="585"/>
      <c r="AD290" s="585"/>
      <c r="AE290" s="585"/>
      <c r="AF290" s="585"/>
      <c r="AG290" s="585"/>
      <c r="AH290" s="585"/>
      <c r="AI290" s="585"/>
      <c r="AJ290" s="585"/>
      <c r="AK290" s="585"/>
      <c r="AL290" s="585"/>
      <c r="AM290" s="585"/>
      <c r="AN290" s="585"/>
      <c r="AO290" s="585"/>
      <c r="AP290" s="585"/>
      <c r="AQ290" s="585"/>
      <c r="AR290" s="585"/>
      <c r="AS290" s="585"/>
      <c r="AT290" s="585"/>
      <c r="AU290" s="585"/>
      <c r="AV290" s="585"/>
      <c r="AW290" s="585"/>
      <c r="AX290" s="585"/>
      <c r="AY290" s="585"/>
      <c r="AZ290" s="585"/>
      <c r="BA290" s="585"/>
      <c r="BB290" s="585"/>
      <c r="BC290" s="585"/>
      <c r="BD290" s="585"/>
      <c r="BE290" s="585"/>
      <c r="BF290" s="585"/>
      <c r="BG290" s="585"/>
      <c r="BH290" s="585"/>
      <c r="BI290" s="585"/>
      <c r="BJ290" s="585"/>
      <c r="BK290" s="585"/>
      <c r="BL290" s="585"/>
      <c r="BM290" s="585"/>
      <c r="BN290" s="585"/>
      <c r="BO290" s="585"/>
      <c r="BP290" s="585"/>
      <c r="BQ290" s="585"/>
      <c r="BR290" s="585"/>
      <c r="BS290" s="585"/>
      <c r="BT290" s="585"/>
      <c r="BU290" s="585"/>
      <c r="BV290" s="585"/>
      <c r="BW290" s="585"/>
      <c r="BX290" s="585"/>
      <c r="BY290" s="585"/>
      <c r="BZ290" s="585"/>
      <c r="CA290" s="585"/>
      <c r="CB290" s="585"/>
      <c r="CC290" s="585"/>
      <c r="CD290" s="585"/>
      <c r="CE290" s="585"/>
      <c r="CF290" s="586"/>
    </row>
    <row r="291" spans="1:89" s="583" customFormat="1" ht="23.1" customHeight="1">
      <c r="A291" s="587"/>
      <c r="B291" s="574"/>
      <c r="C291" s="574"/>
      <c r="D291" s="405"/>
      <c r="E291" s="574"/>
      <c r="F291" s="422"/>
      <c r="G291" s="422"/>
      <c r="H291" s="422"/>
      <c r="I291" s="422"/>
      <c r="J291" s="422"/>
      <c r="K291" s="422"/>
      <c r="L291" s="422"/>
      <c r="M291" s="422"/>
      <c r="N291" s="574"/>
      <c r="O291" s="574"/>
      <c r="P291" s="574"/>
      <c r="Q291" s="574"/>
      <c r="R291" s="574"/>
      <c r="S291" s="588"/>
      <c r="T291" s="588"/>
      <c r="U291" s="588"/>
      <c r="V291" s="588"/>
      <c r="W291" s="588"/>
      <c r="X291" s="588"/>
      <c r="Y291" s="588"/>
      <c r="Z291" s="588"/>
      <c r="AA291" s="574"/>
      <c r="AB291" s="588"/>
      <c r="AC291" s="585"/>
      <c r="AD291" s="585"/>
      <c r="AE291" s="600"/>
      <c r="AF291" s="600"/>
      <c r="AG291" s="600"/>
      <c r="AH291" s="600"/>
      <c r="AI291" s="600"/>
      <c r="AJ291" s="600"/>
      <c r="AK291" s="600"/>
      <c r="AL291" s="600"/>
      <c r="AM291" s="585"/>
      <c r="AN291" s="585"/>
      <c r="AO291" s="574"/>
      <c r="AP291" s="430"/>
      <c r="AQ291" s="430"/>
      <c r="AR291" s="430"/>
      <c r="AS291" s="430"/>
      <c r="AT291" s="430"/>
      <c r="AU291" s="430"/>
      <c r="AV291" s="430"/>
      <c r="AW291" s="430"/>
      <c r="AX291" s="430"/>
      <c r="AY291" s="430"/>
      <c r="AZ291" s="430"/>
      <c r="BA291" s="430"/>
      <c r="BB291" s="430"/>
      <c r="BC291" s="430"/>
      <c r="BD291" s="574"/>
      <c r="BE291" s="574"/>
      <c r="BF291" s="574"/>
      <c r="BG291" s="574"/>
      <c r="BH291" s="574"/>
      <c r="BI291" s="574"/>
      <c r="BJ291" s="574"/>
      <c r="BK291" s="574"/>
      <c r="BL291" s="574"/>
      <c r="BM291" s="574"/>
      <c r="BN291" s="574"/>
      <c r="BO291" s="574"/>
      <c r="BP291" s="574"/>
      <c r="BQ291" s="574"/>
      <c r="BR291" s="574"/>
      <c r="BS291" s="574"/>
      <c r="BT291" s="574"/>
      <c r="BU291" s="574"/>
      <c r="BV291" s="574"/>
      <c r="BW291" s="574"/>
      <c r="BX291" s="574"/>
      <c r="BY291" s="574"/>
      <c r="BZ291" s="574"/>
      <c r="CA291" s="574"/>
      <c r="CB291" s="574"/>
      <c r="CC291" s="574"/>
      <c r="CD291" s="574"/>
      <c r="CE291" s="574"/>
      <c r="CF291" s="589"/>
    </row>
    <row r="292" spans="1:89" s="583" customFormat="1" ht="23.1" customHeight="1">
      <c r="A292" s="584"/>
      <c r="B292" s="585"/>
      <c r="C292" s="585"/>
      <c r="D292" s="585"/>
      <c r="E292" s="585"/>
      <c r="F292" s="585"/>
      <c r="G292" s="585"/>
      <c r="H292" s="585"/>
      <c r="I292" s="585"/>
      <c r="J292" s="585"/>
      <c r="K292" s="585"/>
      <c r="L292" s="585"/>
      <c r="M292" s="585"/>
      <c r="N292" s="585"/>
      <c r="O292" s="585"/>
      <c r="P292" s="585"/>
      <c r="Q292" s="585"/>
      <c r="R292" s="585"/>
      <c r="S292" s="585"/>
      <c r="T292" s="585"/>
      <c r="U292" s="585"/>
      <c r="V292" s="590"/>
      <c r="W292" s="590"/>
      <c r="X292" s="590"/>
      <c r="Y292" s="590"/>
      <c r="Z292" s="590"/>
      <c r="AA292" s="590"/>
      <c r="AB292" s="590"/>
      <c r="AC292" s="590"/>
      <c r="AD292" s="574"/>
      <c r="AE292" s="1440">
        <v>119000000</v>
      </c>
      <c r="AF292" s="1440"/>
      <c r="AG292" s="1440"/>
      <c r="AH292" s="1440"/>
      <c r="AI292" s="1440"/>
      <c r="AJ292" s="1440"/>
      <c r="AK292" s="1440"/>
      <c r="AL292" s="1440"/>
      <c r="AM292" s="1440"/>
      <c r="AN292" s="1440"/>
      <c r="AO292" s="1440"/>
      <c r="AP292" s="1440"/>
      <c r="AQ292" s="1440"/>
      <c r="AR292" s="1440"/>
      <c r="AS292" s="1440"/>
      <c r="AT292" s="1431" t="s">
        <v>446</v>
      </c>
      <c r="AU292" s="1431"/>
      <c r="AV292" s="1441" t="s">
        <v>1103</v>
      </c>
      <c r="AW292" s="1441"/>
      <c r="AX292" s="1442">
        <v>2279</v>
      </c>
      <c r="AY292" s="1442"/>
      <c r="AZ292" s="1442"/>
      <c r="BA292" s="1442"/>
      <c r="BB292" s="1442"/>
      <c r="BC292" s="1442"/>
      <c r="BD292" s="585"/>
      <c r="BE292" s="1431" t="s">
        <v>446</v>
      </c>
      <c r="BF292" s="1431"/>
      <c r="BG292" s="585"/>
      <c r="BH292" s="591" t="s">
        <v>1104</v>
      </c>
      <c r="BI292" s="585"/>
      <c r="BJ292" s="585"/>
      <c r="BK292" s="585"/>
      <c r="BL292" s="1431" t="s">
        <v>1105</v>
      </c>
      <c r="BM292" s="1431"/>
      <c r="BN292" s="1431"/>
      <c r="BO292" s="585"/>
      <c r="BP292" s="1431" t="s">
        <v>41</v>
      </c>
      <c r="BQ292" s="1431"/>
      <c r="BR292" s="585"/>
      <c r="BS292" s="585"/>
      <c r="BT292" s="1437">
        <f>INT(AE292*AX292*10^-7)</f>
        <v>27120</v>
      </c>
      <c r="BU292" s="1437"/>
      <c r="BV292" s="1437"/>
      <c r="BW292" s="1437"/>
      <c r="BX292" s="1437"/>
      <c r="BY292" s="1437"/>
      <c r="BZ292" s="1437"/>
      <c r="CA292" s="1437"/>
      <c r="CB292" s="1437"/>
      <c r="CC292" s="1437"/>
      <c r="CD292" s="585"/>
      <c r="CE292" s="585"/>
      <c r="CF292" s="586"/>
    </row>
    <row r="293" spans="1:89" s="583" customFormat="1" ht="23.1" customHeight="1">
      <c r="A293" s="592"/>
      <c r="B293" s="593" t="s">
        <v>1106</v>
      </c>
      <c r="C293" s="593"/>
      <c r="D293" s="593"/>
      <c r="E293" s="593"/>
      <c r="F293" s="593"/>
      <c r="G293" s="593"/>
      <c r="H293" s="593"/>
      <c r="I293" s="593"/>
      <c r="J293" s="593"/>
      <c r="K293" s="593"/>
      <c r="L293" s="593"/>
      <c r="M293" s="593"/>
      <c r="N293" s="593"/>
      <c r="O293" s="593"/>
      <c r="P293" s="593"/>
      <c r="Q293" s="593"/>
      <c r="R293" s="593"/>
      <c r="S293" s="593"/>
      <c r="T293" s="593"/>
      <c r="U293" s="593"/>
      <c r="V293" s="593"/>
      <c r="W293" s="593"/>
      <c r="X293" s="593"/>
      <c r="Y293" s="593"/>
      <c r="Z293" s="593"/>
      <c r="AA293" s="593"/>
      <c r="AB293" s="593"/>
      <c r="AC293" s="593"/>
      <c r="AD293" s="593"/>
      <c r="AE293" s="593"/>
      <c r="AF293" s="593"/>
      <c r="AG293" s="593"/>
      <c r="AH293" s="593"/>
      <c r="AI293" s="593"/>
      <c r="AJ293" s="593"/>
      <c r="AK293" s="593"/>
      <c r="AL293" s="593"/>
      <c r="AM293" s="593"/>
      <c r="AN293" s="593"/>
      <c r="AO293" s="593"/>
      <c r="AP293" s="593"/>
      <c r="AQ293" s="593"/>
      <c r="AR293" s="593"/>
      <c r="AS293" s="593"/>
      <c r="AT293" s="593"/>
      <c r="AU293" s="593"/>
      <c r="AV293" s="593"/>
      <c r="AW293" s="593"/>
      <c r="AX293" s="593"/>
      <c r="AY293" s="593"/>
      <c r="AZ293" s="593"/>
      <c r="BA293" s="593"/>
      <c r="BB293" s="593"/>
      <c r="BC293" s="593"/>
      <c r="BD293" s="593"/>
      <c r="BE293" s="593"/>
      <c r="BF293" s="593"/>
      <c r="BG293" s="593"/>
      <c r="BH293" s="593"/>
      <c r="BI293" s="593"/>
      <c r="BJ293" s="593"/>
      <c r="BK293" s="593"/>
      <c r="BL293" s="593"/>
      <c r="BM293" s="593"/>
      <c r="BN293" s="593"/>
      <c r="BO293" s="593"/>
      <c r="BP293" s="593"/>
      <c r="BQ293" s="593"/>
      <c r="BR293" s="593"/>
      <c r="BS293" s="593"/>
      <c r="BT293" s="594"/>
      <c r="BU293" s="594"/>
      <c r="BV293" s="594"/>
      <c r="BW293" s="594"/>
      <c r="BX293" s="594"/>
      <c r="BY293" s="594"/>
      <c r="BZ293" s="594"/>
      <c r="CA293" s="594"/>
      <c r="CB293" s="594"/>
      <c r="CC293" s="594"/>
      <c r="CD293" s="593"/>
      <c r="CE293" s="593"/>
      <c r="CF293" s="595"/>
    </row>
    <row r="294" spans="1:89" s="583" customFormat="1" ht="23.1" customHeight="1">
      <c r="A294" s="584"/>
      <c r="B294" s="585"/>
      <c r="C294" s="585"/>
      <c r="D294" s="596" t="s">
        <v>268</v>
      </c>
      <c r="E294" s="585"/>
      <c r="F294" s="585"/>
      <c r="G294" s="585"/>
      <c r="H294" s="585"/>
      <c r="I294" s="585"/>
      <c r="J294" s="585"/>
      <c r="K294" s="585"/>
      <c r="L294" s="585"/>
      <c r="M294" s="585"/>
      <c r="N294" s="585"/>
      <c r="O294" s="585"/>
      <c r="P294" s="585"/>
      <c r="Q294" s="585"/>
      <c r="R294" s="585"/>
      <c r="S294" s="585"/>
      <c r="T294" s="574"/>
      <c r="U294" s="574"/>
      <c r="V294" s="1435">
        <f>HLOOKUP(D294,$CJ$1:$CM$3,3,0)</f>
        <v>283297</v>
      </c>
      <c r="W294" s="1435"/>
      <c r="X294" s="1435"/>
      <c r="Y294" s="1435"/>
      <c r="Z294" s="1435"/>
      <c r="AA294" s="1435"/>
      <c r="AB294" s="1435"/>
      <c r="AC294" s="1435"/>
      <c r="AD294" s="1435"/>
      <c r="AE294" s="1435"/>
      <c r="AF294" s="1431" t="s">
        <v>446</v>
      </c>
      <c r="AG294" s="1431"/>
      <c r="AH294" s="574"/>
      <c r="AI294" s="1436" t="s">
        <v>1107</v>
      </c>
      <c r="AJ294" s="1436"/>
      <c r="AK294" s="1436"/>
      <c r="AL294" s="1436"/>
      <c r="AM294" s="585"/>
      <c r="AN294" s="1431" t="s">
        <v>446</v>
      </c>
      <c r="AO294" s="1431"/>
      <c r="AP294" s="585"/>
      <c r="AQ294" s="1436" t="s">
        <v>1108</v>
      </c>
      <c r="AR294" s="1436"/>
      <c r="AS294" s="1436"/>
      <c r="AT294" s="1436"/>
      <c r="AU294" s="1436"/>
      <c r="AV294" s="422"/>
      <c r="AW294" s="1431" t="s">
        <v>446</v>
      </c>
      <c r="AX294" s="1431"/>
      <c r="AY294" s="440"/>
      <c r="AZ294" s="1436" t="s">
        <v>1109</v>
      </c>
      <c r="BA294" s="1436"/>
      <c r="BB294" s="1436"/>
      <c r="BC294" s="1436"/>
      <c r="BD294" s="1436"/>
      <c r="BE294" s="585"/>
      <c r="BF294" s="1431" t="s">
        <v>446</v>
      </c>
      <c r="BG294" s="1431"/>
      <c r="BH294" s="1431">
        <v>1</v>
      </c>
      <c r="BI294" s="1431"/>
      <c r="BJ294" s="1431"/>
      <c r="BK294" s="585"/>
      <c r="BL294" s="585" t="s">
        <v>366</v>
      </c>
      <c r="BM294" s="585"/>
      <c r="BN294" s="585"/>
      <c r="BO294" s="585"/>
      <c r="BP294" s="1431" t="s">
        <v>41</v>
      </c>
      <c r="BQ294" s="1431"/>
      <c r="BR294" s="585"/>
      <c r="BS294" s="585"/>
      <c r="BT294" s="1432">
        <f>INT(V294/8*16/12*25/20*BH294)</f>
        <v>59020</v>
      </c>
      <c r="BU294" s="1432"/>
      <c r="BV294" s="1432"/>
      <c r="BW294" s="1432"/>
      <c r="BX294" s="1432"/>
      <c r="BY294" s="1432"/>
      <c r="BZ294" s="1432"/>
      <c r="CA294" s="1432"/>
      <c r="CB294" s="1432"/>
      <c r="CC294" s="1432"/>
      <c r="CD294" s="585"/>
      <c r="CE294" s="585"/>
      <c r="CF294" s="586"/>
      <c r="CK294" s="583">
        <f>25/20</f>
        <v>1.25</v>
      </c>
    </row>
    <row r="295" spans="1:89" s="583" customFormat="1" ht="23.1" customHeight="1">
      <c r="A295" s="584"/>
      <c r="B295" s="585"/>
      <c r="C295" s="585"/>
      <c r="D295" s="585"/>
      <c r="E295" s="585"/>
      <c r="F295" s="585"/>
      <c r="G295" s="585"/>
      <c r="H295" s="585"/>
      <c r="I295" s="585"/>
      <c r="J295" s="585"/>
      <c r="K295" s="585"/>
      <c r="L295" s="585"/>
      <c r="M295" s="585"/>
      <c r="N295" s="585"/>
      <c r="O295" s="585"/>
      <c r="P295" s="574"/>
      <c r="Q295" s="574"/>
      <c r="R295" s="574"/>
      <c r="S295" s="574"/>
      <c r="T295" s="574"/>
      <c r="U295" s="574"/>
      <c r="V295" s="574"/>
      <c r="W295" s="574"/>
      <c r="X295" s="574"/>
      <c r="Y295" s="574"/>
      <c r="Z295" s="574"/>
      <c r="AA295" s="574"/>
      <c r="AB295" s="574"/>
      <c r="AC295" s="574"/>
      <c r="AD295" s="574"/>
      <c r="AE295" s="574"/>
      <c r="AF295" s="574"/>
      <c r="AG295" s="574"/>
      <c r="AH295" s="574"/>
      <c r="AI295" s="574"/>
      <c r="AJ295" s="574"/>
      <c r="AK295" s="574"/>
      <c r="AL295" s="574"/>
      <c r="AM295" s="574"/>
      <c r="AN295" s="574"/>
      <c r="AO295" s="574"/>
      <c r="AP295" s="574"/>
      <c r="AQ295" s="574"/>
      <c r="AR295" s="574"/>
      <c r="AS295" s="574"/>
      <c r="AT295" s="574"/>
      <c r="AU295" s="574"/>
      <c r="AV295" s="574"/>
      <c r="AW295" s="574"/>
      <c r="AX295" s="574"/>
      <c r="AY295" s="574"/>
      <c r="AZ295" s="574"/>
      <c r="BA295" s="574"/>
      <c r="BB295" s="574"/>
      <c r="BC295" s="574"/>
      <c r="BD295" s="574"/>
      <c r="BE295" s="574"/>
      <c r="BF295" s="574"/>
      <c r="BG295" s="585"/>
      <c r="BH295" s="585"/>
      <c r="BI295" s="585"/>
      <c r="BJ295" s="585"/>
      <c r="BK295" s="585"/>
      <c r="BL295" s="585"/>
      <c r="BM295" s="585"/>
      <c r="BN295" s="585"/>
      <c r="BO295" s="585"/>
      <c r="BP295" s="1431"/>
      <c r="BQ295" s="1431"/>
      <c r="BR295" s="585"/>
      <c r="BS295" s="585"/>
      <c r="BT295" s="1432"/>
      <c r="BU295" s="1432"/>
      <c r="BV295" s="1432"/>
      <c r="BW295" s="1432"/>
      <c r="BX295" s="1432"/>
      <c r="BY295" s="1432"/>
      <c r="BZ295" s="1432"/>
      <c r="CA295" s="1432"/>
      <c r="CB295" s="1432"/>
      <c r="CC295" s="1432"/>
      <c r="CD295" s="585"/>
      <c r="CE295" s="585"/>
      <c r="CF295" s="586"/>
    </row>
    <row r="296" spans="1:89" s="583" customFormat="1" ht="23.1" customHeight="1">
      <c r="A296" s="584"/>
      <c r="B296" s="585"/>
      <c r="C296" s="585"/>
      <c r="D296" s="585"/>
      <c r="E296" s="585"/>
      <c r="F296" s="585"/>
      <c r="G296" s="585"/>
      <c r="H296" s="585"/>
      <c r="I296" s="585"/>
      <c r="J296" s="585"/>
      <c r="K296" s="585"/>
      <c r="L296" s="585"/>
      <c r="M296" s="585"/>
      <c r="N296" s="585"/>
      <c r="O296" s="585"/>
      <c r="P296" s="585"/>
      <c r="Q296" s="585"/>
      <c r="R296" s="585"/>
      <c r="S296" s="585"/>
      <c r="T296" s="585"/>
      <c r="U296" s="585"/>
      <c r="V296" s="585"/>
      <c r="W296" s="585"/>
      <c r="X296" s="585"/>
      <c r="Y296" s="585"/>
      <c r="Z296" s="585"/>
      <c r="AA296" s="585"/>
      <c r="AB296" s="585"/>
      <c r="AC296" s="585"/>
      <c r="AD296" s="574"/>
      <c r="AE296" s="574"/>
      <c r="AF296" s="574"/>
      <c r="AG296" s="574"/>
      <c r="AH296" s="574"/>
      <c r="AI296" s="574"/>
      <c r="AJ296" s="574"/>
      <c r="AK296" s="574"/>
      <c r="AL296" s="574"/>
      <c r="AM296" s="574"/>
      <c r="AN296" s="574"/>
      <c r="AO296" s="574"/>
      <c r="AP296" s="574"/>
      <c r="AQ296" s="574"/>
      <c r="AR296" s="574"/>
      <c r="AS296" s="585"/>
      <c r="AT296" s="590"/>
      <c r="AU296" s="590"/>
      <c r="AV296" s="585"/>
      <c r="AW296" s="585"/>
      <c r="AX296" s="585"/>
      <c r="AY296" s="585"/>
      <c r="AZ296" s="585"/>
      <c r="BA296" s="585"/>
      <c r="BB296" s="585"/>
      <c r="BC296" s="585"/>
      <c r="BD296" s="585"/>
      <c r="BE296" s="585"/>
      <c r="BF296" s="585"/>
      <c r="BG296" s="585"/>
      <c r="BH296" s="585"/>
      <c r="BI296" s="585"/>
      <c r="BJ296" s="585"/>
      <c r="BK296" s="585"/>
      <c r="BL296" s="585"/>
      <c r="BM296" s="585"/>
      <c r="BN296" s="585"/>
      <c r="BO296" s="585"/>
      <c r="BP296" s="1431" t="s">
        <v>41</v>
      </c>
      <c r="BQ296" s="1431"/>
      <c r="BR296" s="585"/>
      <c r="BS296" s="585"/>
      <c r="BT296" s="1434">
        <f>BT294+BT295</f>
        <v>59020</v>
      </c>
      <c r="BU296" s="1434"/>
      <c r="BV296" s="1434"/>
      <c r="BW296" s="1434"/>
      <c r="BX296" s="1434"/>
      <c r="BY296" s="1434"/>
      <c r="BZ296" s="1434"/>
      <c r="CA296" s="1434"/>
      <c r="CB296" s="1434"/>
      <c r="CC296" s="1434"/>
      <c r="CD296" s="585"/>
      <c r="CE296" s="585"/>
      <c r="CF296" s="586"/>
    </row>
    <row r="297" spans="1:89" s="583" customFormat="1" ht="23.1" customHeight="1">
      <c r="A297" s="592"/>
      <c r="B297" s="593" t="s">
        <v>1110</v>
      </c>
      <c r="C297" s="593"/>
      <c r="D297" s="593"/>
      <c r="E297" s="593"/>
      <c r="F297" s="593"/>
      <c r="G297" s="593"/>
      <c r="H297" s="593"/>
      <c r="I297" s="593"/>
      <c r="J297" s="593"/>
      <c r="K297" s="593"/>
      <c r="L297" s="593"/>
      <c r="M297" s="593"/>
      <c r="N297" s="593"/>
      <c r="O297" s="593"/>
      <c r="P297" s="593"/>
      <c r="Q297" s="593"/>
      <c r="R297" s="593"/>
      <c r="S297" s="593"/>
      <c r="T297" s="593"/>
      <c r="U297" s="593"/>
      <c r="V297" s="593"/>
      <c r="W297" s="593"/>
      <c r="X297" s="593"/>
      <c r="Y297" s="593"/>
      <c r="Z297" s="593"/>
      <c r="AA297" s="593"/>
      <c r="AB297" s="593"/>
      <c r="AC297" s="593"/>
      <c r="AD297" s="593"/>
      <c r="AE297" s="593"/>
      <c r="AF297" s="593"/>
      <c r="AG297" s="593"/>
      <c r="AH297" s="593"/>
      <c r="AI297" s="593"/>
      <c r="AJ297" s="593"/>
      <c r="AK297" s="593"/>
      <c r="AL297" s="593"/>
      <c r="AM297" s="593"/>
      <c r="AN297" s="593"/>
      <c r="AO297" s="593"/>
      <c r="AP297" s="593"/>
      <c r="AQ297" s="593"/>
      <c r="AR297" s="593"/>
      <c r="AS297" s="593"/>
      <c r="AT297" s="593"/>
      <c r="AU297" s="593"/>
      <c r="AV297" s="593"/>
      <c r="AW297" s="593"/>
      <c r="AX297" s="593"/>
      <c r="AY297" s="593"/>
      <c r="AZ297" s="593"/>
      <c r="BA297" s="593"/>
      <c r="BB297" s="593"/>
      <c r="BC297" s="593"/>
      <c r="BD297" s="593"/>
      <c r="BE297" s="593"/>
      <c r="BF297" s="593"/>
      <c r="BG297" s="593"/>
      <c r="BH297" s="593"/>
      <c r="BI297" s="593"/>
      <c r="BJ297" s="593"/>
      <c r="BK297" s="593"/>
      <c r="BL297" s="593"/>
      <c r="BM297" s="593"/>
      <c r="BN297" s="593"/>
      <c r="BO297" s="593"/>
      <c r="BP297" s="593"/>
      <c r="BQ297" s="593"/>
      <c r="BR297" s="593"/>
      <c r="BS297" s="593"/>
      <c r="BT297" s="593"/>
      <c r="BU297" s="593"/>
      <c r="BV297" s="593"/>
      <c r="BW297" s="593"/>
      <c r="BX297" s="593"/>
      <c r="BY297" s="593"/>
      <c r="BZ297" s="593"/>
      <c r="CA297" s="593"/>
      <c r="CB297" s="593"/>
      <c r="CC297" s="593"/>
      <c r="CD297" s="593"/>
      <c r="CE297" s="593"/>
      <c r="CF297" s="595"/>
    </row>
    <row r="298" spans="1:89" s="583" customFormat="1" ht="23.1" customHeight="1">
      <c r="A298" s="584"/>
      <c r="B298" s="585"/>
      <c r="C298" s="585"/>
      <c r="D298" s="596" t="s">
        <v>1094</v>
      </c>
      <c r="E298" s="585"/>
      <c r="F298" s="585"/>
      <c r="G298" s="585"/>
      <c r="H298" s="585"/>
      <c r="I298" s="585"/>
      <c r="J298" s="585"/>
      <c r="K298" s="585"/>
      <c r="L298" s="585"/>
      <c r="M298" s="585"/>
      <c r="N298" s="585"/>
      <c r="O298" s="585"/>
      <c r="P298" s="585"/>
      <c r="Q298" s="585"/>
      <c r="R298" s="585"/>
      <c r="S298" s="585"/>
      <c r="T298" s="585"/>
      <c r="U298" s="585"/>
      <c r="V298" s="585"/>
      <c r="W298" s="585"/>
      <c r="X298" s="585"/>
      <c r="Y298" s="585"/>
      <c r="Z298" s="585"/>
      <c r="AA298" s="585"/>
      <c r="AB298" s="585"/>
      <c r="AC298" s="585"/>
      <c r="AD298" s="585"/>
      <c r="AE298" s="585"/>
      <c r="AF298" s="585"/>
      <c r="AG298" s="585"/>
      <c r="AH298" s="585"/>
      <c r="AI298" s="585"/>
      <c r="AJ298" s="585"/>
      <c r="AK298" s="585"/>
      <c r="AL298" s="585"/>
      <c r="AM298" s="585"/>
      <c r="AN298" s="585"/>
      <c r="AO298" s="585"/>
      <c r="AP298" s="585"/>
      <c r="AQ298" s="585"/>
      <c r="AR298" s="422"/>
      <c r="AS298" s="1435" t="e">
        <f>HLOOKUP(D298,$CN$1:$CO$3,3,0)</f>
        <v>#REF!</v>
      </c>
      <c r="AT298" s="1435"/>
      <c r="AU298" s="1435"/>
      <c r="AV298" s="1435"/>
      <c r="AW298" s="1435"/>
      <c r="AX298" s="1435"/>
      <c r="AY298" s="1435"/>
      <c r="AZ298" s="1435"/>
      <c r="BA298" s="1435"/>
      <c r="BB298" s="1435"/>
      <c r="BC298" s="585"/>
      <c r="BD298" s="1431" t="s">
        <v>446</v>
      </c>
      <c r="BE298" s="1431"/>
      <c r="BF298" s="585"/>
      <c r="BG298" s="1431">
        <v>11.6</v>
      </c>
      <c r="BH298" s="1431"/>
      <c r="BI298" s="1431"/>
      <c r="BJ298" s="1431"/>
      <c r="BK298" s="1431"/>
      <c r="BL298" s="585" t="s">
        <v>1111</v>
      </c>
      <c r="BM298" s="585"/>
      <c r="BN298" s="585"/>
      <c r="BO298" s="585"/>
      <c r="BP298" s="1431" t="s">
        <v>41</v>
      </c>
      <c r="BQ298" s="1431"/>
      <c r="BR298" s="585"/>
      <c r="BS298" s="585"/>
      <c r="BT298" s="1432" t="e">
        <f>INT(AS298*BG298)</f>
        <v>#REF!</v>
      </c>
      <c r="BU298" s="1432"/>
      <c r="BV298" s="1432"/>
      <c r="BW298" s="1432"/>
      <c r="BX298" s="1432"/>
      <c r="BY298" s="1432"/>
      <c r="BZ298" s="1432"/>
      <c r="CA298" s="1432"/>
      <c r="CB298" s="1432"/>
      <c r="CC298" s="1432"/>
      <c r="CD298" s="585"/>
      <c r="CE298" s="585"/>
      <c r="CF298" s="586"/>
    </row>
    <row r="299" spans="1:89" s="583" customFormat="1" ht="23.1" customHeight="1">
      <c r="A299" s="584"/>
      <c r="B299" s="585"/>
      <c r="C299" s="585"/>
      <c r="D299" s="591" t="str">
        <f>"잡재료 (주연료의 "&amp;BG299&amp;"%) :"</f>
        <v>잡재료 (주연료의 24%) :</v>
      </c>
      <c r="E299" s="585"/>
      <c r="F299" s="585"/>
      <c r="G299" s="585"/>
      <c r="H299" s="585"/>
      <c r="I299" s="585"/>
      <c r="J299" s="585"/>
      <c r="K299" s="585"/>
      <c r="L299" s="585"/>
      <c r="M299" s="585"/>
      <c r="N299" s="585"/>
      <c r="O299" s="585"/>
      <c r="P299" s="585"/>
      <c r="Q299" s="585"/>
      <c r="R299" s="585"/>
      <c r="S299" s="585"/>
      <c r="T299" s="585"/>
      <c r="U299" s="585"/>
      <c r="V299" s="585"/>
      <c r="W299" s="585"/>
      <c r="X299" s="585"/>
      <c r="Y299" s="585"/>
      <c r="Z299" s="585"/>
      <c r="AA299" s="585"/>
      <c r="AB299" s="585"/>
      <c r="AC299" s="585"/>
      <c r="AD299" s="585"/>
      <c r="AE299" s="585"/>
      <c r="AF299" s="585"/>
      <c r="AG299" s="585"/>
      <c r="AH299" s="585"/>
      <c r="AI299" s="585"/>
      <c r="AJ299" s="585"/>
      <c r="AK299" s="585"/>
      <c r="AL299" s="585"/>
      <c r="AM299" s="585"/>
      <c r="AN299" s="585"/>
      <c r="AO299" s="585"/>
      <c r="AP299" s="585"/>
      <c r="AQ299" s="585"/>
      <c r="AR299" s="422" t="e">
        <f>BT298</f>
        <v>#REF!</v>
      </c>
      <c r="AS299" s="1430" t="e">
        <f>BT298</f>
        <v>#REF!</v>
      </c>
      <c r="AT299" s="1430"/>
      <c r="AU299" s="1430"/>
      <c r="AV299" s="1430"/>
      <c r="AW299" s="1430"/>
      <c r="AX299" s="1430"/>
      <c r="AY299" s="1430"/>
      <c r="AZ299" s="1430"/>
      <c r="BA299" s="1430"/>
      <c r="BB299" s="1430"/>
      <c r="BC299" s="585"/>
      <c r="BD299" s="1431" t="s">
        <v>446</v>
      </c>
      <c r="BE299" s="1431"/>
      <c r="BF299" s="585"/>
      <c r="BG299" s="1431">
        <v>24</v>
      </c>
      <c r="BH299" s="1431"/>
      <c r="BI299" s="1431"/>
      <c r="BJ299" s="1431"/>
      <c r="BK299" s="1431"/>
      <c r="BL299" s="585" t="s">
        <v>1112</v>
      </c>
      <c r="BM299" s="585"/>
      <c r="BN299" s="585"/>
      <c r="BO299" s="585"/>
      <c r="BP299" s="1431" t="s">
        <v>41</v>
      </c>
      <c r="BQ299" s="1431"/>
      <c r="BR299" s="585"/>
      <c r="BS299" s="585"/>
      <c r="BT299" s="1432" t="e">
        <f>INT(AS299*BG299/100)</f>
        <v>#REF!</v>
      </c>
      <c r="BU299" s="1432"/>
      <c r="BV299" s="1432"/>
      <c r="BW299" s="1432"/>
      <c r="BX299" s="1432"/>
      <c r="BY299" s="1432"/>
      <c r="BZ299" s="1432"/>
      <c r="CA299" s="1432"/>
      <c r="CB299" s="1432"/>
      <c r="CC299" s="1432"/>
      <c r="CD299" s="585"/>
      <c r="CE299" s="585"/>
      <c r="CF299" s="586"/>
    </row>
    <row r="300" spans="1:89" s="583" customFormat="1" ht="23.1" customHeight="1" thickBot="1">
      <c r="A300" s="584"/>
      <c r="B300" s="585"/>
      <c r="C300" s="585"/>
      <c r="D300" s="585"/>
      <c r="E300" s="585"/>
      <c r="F300" s="585"/>
      <c r="G300" s="585"/>
      <c r="H300" s="585"/>
      <c r="I300" s="585"/>
      <c r="J300" s="585"/>
      <c r="K300" s="585"/>
      <c r="L300" s="585"/>
      <c r="M300" s="585"/>
      <c r="N300" s="585"/>
      <c r="O300" s="585"/>
      <c r="P300" s="585"/>
      <c r="Q300" s="585"/>
      <c r="R300" s="585"/>
      <c r="S300" s="585"/>
      <c r="T300" s="585"/>
      <c r="U300" s="585"/>
      <c r="V300" s="585"/>
      <c r="W300" s="585"/>
      <c r="X300" s="585"/>
      <c r="Y300" s="585"/>
      <c r="Z300" s="585"/>
      <c r="AA300" s="585"/>
      <c r="AB300" s="585"/>
      <c r="AC300" s="585"/>
      <c r="AD300" s="585"/>
      <c r="AE300" s="585"/>
      <c r="AF300" s="585"/>
      <c r="AG300" s="585"/>
      <c r="AH300" s="585"/>
      <c r="AI300" s="585"/>
      <c r="AJ300" s="585"/>
      <c r="AK300" s="585"/>
      <c r="AL300" s="585"/>
      <c r="AM300" s="585"/>
      <c r="AN300" s="585"/>
      <c r="AO300" s="585"/>
      <c r="AP300" s="585"/>
      <c r="AQ300" s="585"/>
      <c r="AR300" s="585"/>
      <c r="AS300" s="585"/>
      <c r="AT300" s="585"/>
      <c r="AU300" s="585"/>
      <c r="AV300" s="585"/>
      <c r="AW300" s="585"/>
      <c r="AX300" s="585"/>
      <c r="AY300" s="585"/>
      <c r="AZ300" s="585"/>
      <c r="BA300" s="585"/>
      <c r="BB300" s="585"/>
      <c r="BC300" s="585"/>
      <c r="BD300" s="585"/>
      <c r="BE300" s="585"/>
      <c r="BF300" s="585"/>
      <c r="BG300" s="585"/>
      <c r="BH300" s="585"/>
      <c r="BI300" s="585"/>
      <c r="BJ300" s="585"/>
      <c r="BK300" s="585"/>
      <c r="BL300" s="585"/>
      <c r="BM300" s="585"/>
      <c r="BN300" s="585"/>
      <c r="BO300" s="585"/>
      <c r="BP300" s="1431" t="s">
        <v>41</v>
      </c>
      <c r="BQ300" s="1431"/>
      <c r="BR300" s="585"/>
      <c r="BS300" s="585"/>
      <c r="BT300" s="1433" t="e">
        <f>BT298+BT299</f>
        <v>#REF!</v>
      </c>
      <c r="BU300" s="1433"/>
      <c r="BV300" s="1433"/>
      <c r="BW300" s="1433"/>
      <c r="BX300" s="1433"/>
      <c r="BY300" s="1433"/>
      <c r="BZ300" s="1433"/>
      <c r="CA300" s="1433"/>
      <c r="CB300" s="1433"/>
      <c r="CC300" s="1433"/>
      <c r="CD300" s="585"/>
      <c r="CE300" s="585"/>
      <c r="CF300" s="586"/>
    </row>
    <row r="301" spans="1:89" s="583" customFormat="1" ht="23.1" customHeight="1" thickBot="1">
      <c r="A301" s="597"/>
      <c r="B301" s="598" t="s">
        <v>1113</v>
      </c>
      <c r="C301" s="598"/>
      <c r="D301" s="598"/>
      <c r="E301" s="598"/>
      <c r="F301" s="598"/>
      <c r="G301" s="598"/>
      <c r="H301" s="598"/>
      <c r="I301" s="598"/>
      <c r="J301" s="598"/>
      <c r="K301" s="598"/>
      <c r="L301" s="598"/>
      <c r="M301" s="598"/>
      <c r="N301" s="598"/>
      <c r="O301" s="598"/>
      <c r="P301" s="598"/>
      <c r="Q301" s="598"/>
      <c r="R301" s="598"/>
      <c r="S301" s="598"/>
      <c r="T301" s="598"/>
      <c r="U301" s="598"/>
      <c r="V301" s="598"/>
      <c r="W301" s="598"/>
      <c r="X301" s="598"/>
      <c r="Y301" s="598"/>
      <c r="Z301" s="598"/>
      <c r="AA301" s="598"/>
      <c r="AB301" s="598"/>
      <c r="AC301" s="598"/>
      <c r="AD301" s="598"/>
      <c r="AE301" s="598"/>
      <c r="AF301" s="598"/>
      <c r="AG301" s="598"/>
      <c r="AH301" s="598"/>
      <c r="AI301" s="598"/>
      <c r="AJ301" s="598"/>
      <c r="AK301" s="598"/>
      <c r="AL301" s="598"/>
      <c r="AM301" s="598"/>
      <c r="AN301" s="598"/>
      <c r="AO301" s="598"/>
      <c r="AP301" s="598"/>
      <c r="AQ301" s="598"/>
      <c r="AR301" s="598"/>
      <c r="AS301" s="598"/>
      <c r="AT301" s="598"/>
      <c r="AU301" s="598"/>
      <c r="AV301" s="598"/>
      <c r="AW301" s="598"/>
      <c r="AX301" s="598"/>
      <c r="AY301" s="598"/>
      <c r="AZ301" s="598"/>
      <c r="BA301" s="598"/>
      <c r="BB301" s="598"/>
      <c r="BC301" s="598"/>
      <c r="BD301" s="598"/>
      <c r="BE301" s="598"/>
      <c r="BF301" s="598"/>
      <c r="BG301" s="598"/>
      <c r="BH301" s="598"/>
      <c r="BI301" s="598"/>
      <c r="BJ301" s="598"/>
      <c r="BK301" s="598"/>
      <c r="BL301" s="598"/>
      <c r="BM301" s="598"/>
      <c r="BN301" s="598"/>
      <c r="BO301" s="598"/>
      <c r="BP301" s="598"/>
      <c r="BQ301" s="598"/>
      <c r="BR301" s="598"/>
      <c r="BS301" s="598"/>
      <c r="BT301" s="1429" t="e">
        <f>BT292+BT296+BT300</f>
        <v>#REF!</v>
      </c>
      <c r="BU301" s="1429"/>
      <c r="BV301" s="1429"/>
      <c r="BW301" s="1429"/>
      <c r="BX301" s="1429"/>
      <c r="BY301" s="1429"/>
      <c r="BZ301" s="1429"/>
      <c r="CA301" s="1429"/>
      <c r="CB301" s="1429"/>
      <c r="CC301" s="1429"/>
      <c r="CD301" s="598"/>
      <c r="CE301" s="598"/>
      <c r="CF301" s="599"/>
    </row>
    <row r="302" spans="1:89" s="583" customFormat="1" ht="9.9499999999999993" customHeight="1">
      <c r="A302" s="574"/>
      <c r="B302" s="574"/>
      <c r="C302" s="574"/>
      <c r="D302" s="574"/>
      <c r="E302" s="574"/>
      <c r="F302" s="574"/>
      <c r="G302" s="574"/>
      <c r="H302" s="574"/>
      <c r="I302" s="574"/>
      <c r="J302" s="574"/>
      <c r="K302" s="574"/>
      <c r="L302" s="574"/>
      <c r="M302" s="574"/>
      <c r="N302" s="574"/>
      <c r="O302" s="574"/>
      <c r="P302" s="574"/>
      <c r="Q302" s="574"/>
      <c r="R302" s="574"/>
      <c r="S302" s="574"/>
      <c r="T302" s="574"/>
      <c r="U302" s="574"/>
      <c r="V302" s="574"/>
      <c r="W302" s="574"/>
      <c r="X302" s="574"/>
      <c r="Y302" s="574"/>
      <c r="Z302" s="574"/>
      <c r="AA302" s="574"/>
      <c r="AB302" s="574"/>
      <c r="AC302" s="574"/>
      <c r="AD302" s="574"/>
      <c r="AE302" s="574"/>
      <c r="AF302" s="574"/>
      <c r="AG302" s="574"/>
      <c r="AH302" s="574"/>
      <c r="AI302" s="574"/>
      <c r="AJ302" s="574"/>
      <c r="AK302" s="574"/>
      <c r="AL302" s="574"/>
      <c r="AM302" s="574"/>
      <c r="AN302" s="574"/>
      <c r="AO302" s="574"/>
      <c r="AP302" s="574"/>
      <c r="AQ302" s="574"/>
      <c r="AR302" s="574"/>
      <c r="AS302" s="574"/>
      <c r="AT302" s="574"/>
      <c r="AU302" s="574"/>
      <c r="AV302" s="574"/>
      <c r="AW302" s="574"/>
      <c r="AX302" s="574"/>
      <c r="AY302" s="574"/>
      <c r="AZ302" s="574"/>
      <c r="BA302" s="574"/>
      <c r="BB302" s="574"/>
      <c r="BC302" s="574"/>
      <c r="BD302" s="574"/>
      <c r="BE302" s="574"/>
      <c r="BF302" s="574"/>
      <c r="BG302" s="574"/>
      <c r="BH302" s="574"/>
      <c r="BI302" s="574"/>
      <c r="BJ302" s="574"/>
      <c r="BK302" s="574"/>
      <c r="BL302" s="574"/>
      <c r="BM302" s="574"/>
      <c r="BN302" s="574"/>
      <c r="BO302" s="574"/>
      <c r="BP302" s="574"/>
      <c r="BQ302" s="574"/>
      <c r="BR302" s="574"/>
      <c r="BS302" s="574"/>
      <c r="BT302" s="574"/>
      <c r="BU302" s="574"/>
      <c r="BV302" s="574"/>
      <c r="BW302" s="574"/>
      <c r="BX302" s="574"/>
      <c r="BY302" s="574"/>
      <c r="BZ302" s="574"/>
      <c r="CA302" s="574"/>
      <c r="CB302" s="574"/>
      <c r="CC302" s="574"/>
      <c r="CD302" s="574"/>
      <c r="CE302" s="574"/>
      <c r="CF302" s="574"/>
    </row>
    <row r="303" spans="1:89" s="583" customFormat="1" ht="23.1" customHeight="1" thickBot="1">
      <c r="A303" s="1446" t="s">
        <v>1095</v>
      </c>
      <c r="B303" s="1446"/>
      <c r="C303" s="1446"/>
      <c r="D303" s="1446"/>
      <c r="E303" s="1446"/>
      <c r="F303" s="1446"/>
      <c r="G303" s="1447">
        <f>G288+1</f>
        <v>21</v>
      </c>
      <c r="H303" s="1447"/>
      <c r="I303" s="1447"/>
      <c r="J303" s="1448" t="s">
        <v>1096</v>
      </c>
      <c r="K303" s="1448"/>
      <c r="L303" s="574"/>
      <c r="M303" s="574"/>
      <c r="N303" s="574"/>
      <c r="O303" s="574"/>
      <c r="P303" s="574"/>
      <c r="Q303" s="574"/>
      <c r="R303" s="574"/>
      <c r="S303" s="574"/>
      <c r="T303" s="574"/>
      <c r="U303" s="574"/>
      <c r="V303" s="574"/>
      <c r="W303" s="574"/>
      <c r="X303" s="574"/>
      <c r="Y303" s="574"/>
      <c r="Z303" s="574"/>
      <c r="AA303" s="574"/>
      <c r="AB303" s="574"/>
      <c r="AC303" s="574"/>
      <c r="AD303" s="574"/>
      <c r="AE303" s="574"/>
      <c r="AF303" s="574"/>
      <c r="AG303" s="574"/>
      <c r="AH303" s="574"/>
      <c r="AI303" s="574"/>
      <c r="AJ303" s="574"/>
      <c r="AK303" s="574"/>
      <c r="AL303" s="574"/>
      <c r="AM303" s="574"/>
      <c r="AN303" s="574"/>
      <c r="AO303" s="574"/>
      <c r="AP303" s="574"/>
      <c r="AQ303" s="574"/>
      <c r="AR303" s="574"/>
      <c r="AS303" s="574"/>
      <c r="AT303" s="574"/>
      <c r="AU303" s="574"/>
      <c r="AV303" s="574"/>
      <c r="AW303" s="574"/>
      <c r="AX303" s="574"/>
      <c r="AY303" s="574"/>
      <c r="AZ303" s="574"/>
      <c r="BA303" s="574"/>
      <c r="BB303" s="574"/>
      <c r="BC303" s="574"/>
      <c r="BD303" s="574"/>
      <c r="BE303" s="574"/>
      <c r="BF303" s="574"/>
      <c r="BG303" s="574"/>
      <c r="BH303" s="574"/>
      <c r="BI303" s="574"/>
      <c r="BJ303" s="574"/>
      <c r="BK303" s="574"/>
      <c r="BL303" s="574"/>
      <c r="BM303" s="574"/>
      <c r="BN303" s="574"/>
      <c r="BO303" s="574"/>
      <c r="BP303" s="574"/>
      <c r="BQ303" s="574"/>
      <c r="BR303" s="574"/>
      <c r="BS303" s="574"/>
      <c r="BT303" s="574"/>
      <c r="BU303" s="574"/>
      <c r="BV303" s="574"/>
      <c r="BW303" s="574"/>
      <c r="BX303" s="574"/>
      <c r="BY303" s="574"/>
      <c r="BZ303" s="574"/>
      <c r="CA303" s="574"/>
      <c r="CB303" s="574"/>
      <c r="CC303" s="574"/>
      <c r="CD303" s="574"/>
      <c r="CE303" s="574"/>
      <c r="CF303" s="574"/>
    </row>
    <row r="304" spans="1:89" s="583" customFormat="1" ht="23.1" customHeight="1" thickBot="1">
      <c r="A304" s="1483" t="s">
        <v>1097</v>
      </c>
      <c r="B304" s="1484"/>
      <c r="C304" s="1484"/>
      <c r="D304" s="1484"/>
      <c r="E304" s="1484"/>
      <c r="F304" s="1484"/>
      <c r="G304" s="1484"/>
      <c r="H304" s="1484"/>
      <c r="I304" s="581" t="s">
        <v>409</v>
      </c>
      <c r="J304" s="581"/>
      <c r="K304" s="581"/>
      <c r="L304" s="581"/>
      <c r="M304" s="581"/>
      <c r="N304" s="581"/>
      <c r="O304" s="581"/>
      <c r="P304" s="581"/>
      <c r="Q304" s="581"/>
      <c r="R304" s="581"/>
      <c r="S304" s="581"/>
      <c r="T304" s="581"/>
      <c r="U304" s="581"/>
      <c r="V304" s="581"/>
      <c r="W304" s="581"/>
      <c r="X304" s="581"/>
      <c r="Y304" s="581"/>
      <c r="Z304" s="581"/>
      <c r="AA304" s="581"/>
      <c r="AB304" s="581"/>
      <c r="AC304" s="581"/>
      <c r="AD304" s="581"/>
      <c r="AE304" s="581"/>
      <c r="AF304" s="581"/>
      <c r="AG304" s="581"/>
      <c r="AH304" s="581"/>
      <c r="AI304" s="581"/>
      <c r="AJ304" s="1484" t="s">
        <v>1099</v>
      </c>
      <c r="AK304" s="1484"/>
      <c r="AL304" s="1484"/>
      <c r="AM304" s="1484"/>
      <c r="AN304" s="1484"/>
      <c r="AO304" s="1484"/>
      <c r="AP304" s="1484"/>
      <c r="AQ304" s="581" t="s">
        <v>401</v>
      </c>
      <c r="AR304" s="581"/>
      <c r="AS304" s="581"/>
      <c r="AT304" s="581"/>
      <c r="AU304" s="581"/>
      <c r="AV304" s="581"/>
      <c r="AW304" s="581"/>
      <c r="AX304" s="581"/>
      <c r="AY304" s="581"/>
      <c r="AZ304" s="581"/>
      <c r="BA304" s="581"/>
      <c r="BB304" s="581"/>
      <c r="BC304" s="581"/>
      <c r="BD304" s="581"/>
      <c r="BE304" s="581"/>
      <c r="BF304" s="581"/>
      <c r="BG304" s="581"/>
      <c r="BH304" s="581"/>
      <c r="BI304" s="581"/>
      <c r="BJ304" s="581"/>
      <c r="BK304" s="581"/>
      <c r="BL304" s="581"/>
      <c r="BM304" s="581"/>
      <c r="BN304" s="581"/>
      <c r="BO304" s="581"/>
      <c r="BP304" s="581"/>
      <c r="BQ304" s="581"/>
      <c r="BR304" s="581"/>
      <c r="BS304" s="581"/>
      <c r="BT304" s="581" t="s">
        <v>1132</v>
      </c>
      <c r="BU304" s="581"/>
      <c r="BV304" s="581"/>
      <c r="BW304" s="581"/>
      <c r="BX304" s="581"/>
      <c r="BY304" s="581"/>
      <c r="BZ304" s="581"/>
      <c r="CA304" s="581"/>
      <c r="CB304" s="581"/>
      <c r="CC304" s="581"/>
      <c r="CD304" s="581"/>
      <c r="CE304" s="581"/>
      <c r="CF304" s="582"/>
    </row>
    <row r="305" spans="1:84" s="583" customFormat="1" ht="23.1" customHeight="1">
      <c r="A305" s="584"/>
      <c r="B305" s="585" t="s">
        <v>1102</v>
      </c>
      <c r="C305" s="585"/>
      <c r="D305" s="585"/>
      <c r="E305" s="585"/>
      <c r="F305" s="585"/>
      <c r="G305" s="585"/>
      <c r="H305" s="585"/>
      <c r="I305" s="585"/>
      <c r="J305" s="585"/>
      <c r="K305" s="585"/>
      <c r="L305" s="585"/>
      <c r="M305" s="585"/>
      <c r="N305" s="585"/>
      <c r="O305" s="585"/>
      <c r="P305" s="585"/>
      <c r="Q305" s="585"/>
      <c r="R305" s="585"/>
      <c r="S305" s="585"/>
      <c r="T305" s="585"/>
      <c r="U305" s="585"/>
      <c r="V305" s="585"/>
      <c r="W305" s="585"/>
      <c r="X305" s="585"/>
      <c r="Y305" s="585"/>
      <c r="Z305" s="585"/>
      <c r="AA305" s="585"/>
      <c r="AB305" s="585"/>
      <c r="AC305" s="585"/>
      <c r="AD305" s="585"/>
      <c r="AE305" s="585"/>
      <c r="AF305" s="585"/>
      <c r="AG305" s="585"/>
      <c r="AH305" s="585"/>
      <c r="AI305" s="585"/>
      <c r="AJ305" s="585"/>
      <c r="AK305" s="585"/>
      <c r="AL305" s="585"/>
      <c r="AM305" s="585"/>
      <c r="AN305" s="585"/>
      <c r="AO305" s="585"/>
      <c r="AP305" s="585"/>
      <c r="AQ305" s="585"/>
      <c r="AR305" s="585"/>
      <c r="AS305" s="585"/>
      <c r="AT305" s="585"/>
      <c r="AU305" s="585"/>
      <c r="AV305" s="585"/>
      <c r="AW305" s="585"/>
      <c r="AX305" s="585"/>
      <c r="AY305" s="585"/>
      <c r="AZ305" s="585"/>
      <c r="BA305" s="585"/>
      <c r="BB305" s="585"/>
      <c r="BC305" s="585"/>
      <c r="BD305" s="585"/>
      <c r="BE305" s="585"/>
      <c r="BF305" s="585"/>
      <c r="BG305" s="585"/>
      <c r="BH305" s="585"/>
      <c r="BI305" s="585"/>
      <c r="BJ305" s="585"/>
      <c r="BK305" s="585"/>
      <c r="BL305" s="585"/>
      <c r="BM305" s="585"/>
      <c r="BN305" s="585"/>
      <c r="BO305" s="585"/>
      <c r="BP305" s="585"/>
      <c r="BQ305" s="585"/>
      <c r="BR305" s="585"/>
      <c r="BS305" s="585"/>
      <c r="BT305" s="585"/>
      <c r="BU305" s="585"/>
      <c r="BV305" s="585"/>
      <c r="BW305" s="585"/>
      <c r="BX305" s="585"/>
      <c r="BY305" s="585"/>
      <c r="BZ305" s="585"/>
      <c r="CA305" s="585"/>
      <c r="CB305" s="585"/>
      <c r="CC305" s="585"/>
      <c r="CD305" s="585"/>
      <c r="CE305" s="585"/>
      <c r="CF305" s="586"/>
    </row>
    <row r="306" spans="1:84" s="583" customFormat="1" ht="23.1" customHeight="1">
      <c r="A306" s="587"/>
      <c r="B306" s="574"/>
      <c r="C306" s="574"/>
      <c r="D306" s="405"/>
      <c r="E306" s="574"/>
      <c r="F306" s="422"/>
      <c r="G306" s="422"/>
      <c r="H306" s="422"/>
      <c r="I306" s="422"/>
      <c r="J306" s="422"/>
      <c r="K306" s="422"/>
      <c r="L306" s="422"/>
      <c r="M306" s="422"/>
      <c r="N306" s="574"/>
      <c r="O306" s="574"/>
      <c r="P306" s="574"/>
      <c r="Q306" s="574"/>
      <c r="R306" s="574"/>
      <c r="S306" s="588"/>
      <c r="T306" s="588"/>
      <c r="U306" s="588"/>
      <c r="V306" s="588"/>
      <c r="W306" s="588"/>
      <c r="X306" s="588"/>
      <c r="Y306" s="588"/>
      <c r="Z306" s="588"/>
      <c r="AA306" s="574"/>
      <c r="AB306" s="588"/>
      <c r="AC306" s="585"/>
      <c r="AD306" s="585"/>
      <c r="AE306" s="600"/>
      <c r="AF306" s="600"/>
      <c r="AG306" s="600"/>
      <c r="AH306" s="600"/>
      <c r="AI306" s="600"/>
      <c r="AJ306" s="600"/>
      <c r="AK306" s="600"/>
      <c r="AL306" s="600"/>
      <c r="AM306" s="585"/>
      <c r="AN306" s="585"/>
      <c r="AO306" s="574"/>
      <c r="AP306" s="430"/>
      <c r="AQ306" s="430"/>
      <c r="AR306" s="430"/>
      <c r="AS306" s="430"/>
      <c r="AT306" s="430"/>
      <c r="AU306" s="430"/>
      <c r="AV306" s="430"/>
      <c r="AW306" s="430"/>
      <c r="AX306" s="430"/>
      <c r="AY306" s="430"/>
      <c r="AZ306" s="430"/>
      <c r="BA306" s="430"/>
      <c r="BB306" s="430"/>
      <c r="BC306" s="430"/>
      <c r="BD306" s="574"/>
      <c r="BE306" s="574"/>
      <c r="BF306" s="574"/>
      <c r="BG306" s="574"/>
      <c r="BH306" s="574"/>
      <c r="BI306" s="574"/>
      <c r="BJ306" s="574"/>
      <c r="BK306" s="574"/>
      <c r="BL306" s="574"/>
      <c r="BM306" s="574"/>
      <c r="BN306" s="574"/>
      <c r="BO306" s="574"/>
      <c r="BP306" s="574"/>
      <c r="BQ306" s="574"/>
      <c r="BR306" s="574"/>
      <c r="BS306" s="574"/>
      <c r="BT306" s="574"/>
      <c r="BU306" s="574"/>
      <c r="BV306" s="574"/>
      <c r="BW306" s="574"/>
      <c r="BX306" s="574"/>
      <c r="BY306" s="574"/>
      <c r="BZ306" s="574"/>
      <c r="CA306" s="574"/>
      <c r="CB306" s="574"/>
      <c r="CC306" s="574"/>
      <c r="CD306" s="574"/>
      <c r="CE306" s="574"/>
      <c r="CF306" s="589"/>
    </row>
    <row r="307" spans="1:84" s="583" customFormat="1" ht="23.1" customHeight="1">
      <c r="A307" s="584"/>
      <c r="B307" s="585"/>
      <c r="C307" s="585"/>
      <c r="D307" s="585"/>
      <c r="E307" s="585"/>
      <c r="F307" s="585"/>
      <c r="G307" s="585"/>
      <c r="H307" s="585"/>
      <c r="I307" s="585"/>
      <c r="J307" s="585"/>
      <c r="K307" s="585"/>
      <c r="L307" s="585"/>
      <c r="M307" s="585"/>
      <c r="N307" s="585"/>
      <c r="O307" s="585"/>
      <c r="P307" s="585"/>
      <c r="Q307" s="585"/>
      <c r="R307" s="585"/>
      <c r="S307" s="585"/>
      <c r="T307" s="585"/>
      <c r="U307" s="585"/>
      <c r="V307" s="590"/>
      <c r="W307" s="590"/>
      <c r="X307" s="590"/>
      <c r="Y307" s="590"/>
      <c r="Z307" s="590"/>
      <c r="AA307" s="590"/>
      <c r="AB307" s="590"/>
      <c r="AC307" s="590"/>
      <c r="AD307" s="574"/>
      <c r="AE307" s="1440">
        <v>144360000</v>
      </c>
      <c r="AF307" s="1440"/>
      <c r="AG307" s="1440"/>
      <c r="AH307" s="1440"/>
      <c r="AI307" s="1440"/>
      <c r="AJ307" s="1440"/>
      <c r="AK307" s="1440"/>
      <c r="AL307" s="1440"/>
      <c r="AM307" s="1440"/>
      <c r="AN307" s="1440"/>
      <c r="AO307" s="1440"/>
      <c r="AP307" s="1440"/>
      <c r="AQ307" s="1440"/>
      <c r="AR307" s="1440"/>
      <c r="AS307" s="1440"/>
      <c r="AT307" s="1431" t="s">
        <v>446</v>
      </c>
      <c r="AU307" s="1431"/>
      <c r="AV307" s="1441" t="s">
        <v>1103</v>
      </c>
      <c r="AW307" s="1441"/>
      <c r="AX307" s="1442">
        <v>2279</v>
      </c>
      <c r="AY307" s="1442"/>
      <c r="AZ307" s="1442"/>
      <c r="BA307" s="1442"/>
      <c r="BB307" s="1442"/>
      <c r="BC307" s="1442"/>
      <c r="BD307" s="585"/>
      <c r="BE307" s="1431" t="s">
        <v>446</v>
      </c>
      <c r="BF307" s="1431"/>
      <c r="BG307" s="585"/>
      <c r="BH307" s="591" t="s">
        <v>1104</v>
      </c>
      <c r="BI307" s="585"/>
      <c r="BJ307" s="585"/>
      <c r="BK307" s="585"/>
      <c r="BL307" s="1431" t="s">
        <v>1105</v>
      </c>
      <c r="BM307" s="1431"/>
      <c r="BN307" s="1431"/>
      <c r="BO307" s="585"/>
      <c r="BP307" s="1431" t="s">
        <v>41</v>
      </c>
      <c r="BQ307" s="1431"/>
      <c r="BR307" s="585"/>
      <c r="BS307" s="585"/>
      <c r="BT307" s="1437">
        <f>INT(AE307*AX307*10^-7)</f>
        <v>32899</v>
      </c>
      <c r="BU307" s="1437"/>
      <c r="BV307" s="1437"/>
      <c r="BW307" s="1437"/>
      <c r="BX307" s="1437"/>
      <c r="BY307" s="1437"/>
      <c r="BZ307" s="1437"/>
      <c r="CA307" s="1437"/>
      <c r="CB307" s="1437"/>
      <c r="CC307" s="1437"/>
      <c r="CD307" s="585"/>
      <c r="CE307" s="585"/>
      <c r="CF307" s="586"/>
    </row>
    <row r="308" spans="1:84" s="583" customFormat="1" ht="23.1" customHeight="1">
      <c r="A308" s="592"/>
      <c r="B308" s="593" t="s">
        <v>1106</v>
      </c>
      <c r="C308" s="593"/>
      <c r="D308" s="593"/>
      <c r="E308" s="593"/>
      <c r="F308" s="593"/>
      <c r="G308" s="593"/>
      <c r="H308" s="593"/>
      <c r="I308" s="593"/>
      <c r="J308" s="593"/>
      <c r="K308" s="593"/>
      <c r="L308" s="593"/>
      <c r="M308" s="593"/>
      <c r="N308" s="593"/>
      <c r="O308" s="593"/>
      <c r="P308" s="593"/>
      <c r="Q308" s="593"/>
      <c r="R308" s="593"/>
      <c r="S308" s="593"/>
      <c r="T308" s="593"/>
      <c r="U308" s="593"/>
      <c r="V308" s="593"/>
      <c r="W308" s="593"/>
      <c r="X308" s="593"/>
      <c r="Y308" s="593"/>
      <c r="Z308" s="593"/>
      <c r="AA308" s="593"/>
      <c r="AB308" s="593"/>
      <c r="AC308" s="593"/>
      <c r="AD308" s="593"/>
      <c r="AE308" s="593"/>
      <c r="AF308" s="593"/>
      <c r="AG308" s="593"/>
      <c r="AH308" s="593"/>
      <c r="AI308" s="593"/>
      <c r="AJ308" s="593"/>
      <c r="AK308" s="593"/>
      <c r="AL308" s="593"/>
      <c r="AM308" s="593"/>
      <c r="AN308" s="593"/>
      <c r="AO308" s="593"/>
      <c r="AP308" s="593"/>
      <c r="AQ308" s="593"/>
      <c r="AR308" s="593"/>
      <c r="AS308" s="593"/>
      <c r="AT308" s="593"/>
      <c r="AU308" s="593"/>
      <c r="AV308" s="593"/>
      <c r="AW308" s="593"/>
      <c r="AX308" s="593"/>
      <c r="AY308" s="593"/>
      <c r="AZ308" s="593"/>
      <c r="BA308" s="593"/>
      <c r="BB308" s="593"/>
      <c r="BC308" s="593"/>
      <c r="BD308" s="593"/>
      <c r="BE308" s="593"/>
      <c r="BF308" s="593"/>
      <c r="BG308" s="593"/>
      <c r="BH308" s="593"/>
      <c r="BI308" s="593"/>
      <c r="BJ308" s="593"/>
      <c r="BK308" s="593"/>
      <c r="BL308" s="593"/>
      <c r="BM308" s="593"/>
      <c r="BN308" s="593"/>
      <c r="BO308" s="593"/>
      <c r="BP308" s="593"/>
      <c r="BQ308" s="593"/>
      <c r="BR308" s="593"/>
      <c r="BS308" s="593"/>
      <c r="BT308" s="594"/>
      <c r="BU308" s="594"/>
      <c r="BV308" s="594"/>
      <c r="BW308" s="594"/>
      <c r="BX308" s="594"/>
      <c r="BY308" s="594"/>
      <c r="BZ308" s="594"/>
      <c r="CA308" s="594"/>
      <c r="CB308" s="594"/>
      <c r="CC308" s="594"/>
      <c r="CD308" s="593"/>
      <c r="CE308" s="593"/>
      <c r="CF308" s="595"/>
    </row>
    <row r="309" spans="1:84" s="583" customFormat="1" ht="23.1" customHeight="1">
      <c r="A309" s="584"/>
      <c r="B309" s="585"/>
      <c r="C309" s="585"/>
      <c r="D309" s="596" t="s">
        <v>268</v>
      </c>
      <c r="E309" s="585"/>
      <c r="F309" s="585"/>
      <c r="G309" s="585"/>
      <c r="H309" s="585"/>
      <c r="I309" s="585"/>
      <c r="J309" s="585"/>
      <c r="K309" s="585"/>
      <c r="L309" s="585"/>
      <c r="M309" s="585"/>
      <c r="N309" s="585"/>
      <c r="O309" s="585"/>
      <c r="P309" s="585"/>
      <c r="Q309" s="585"/>
      <c r="R309" s="585"/>
      <c r="S309" s="585"/>
      <c r="T309" s="574"/>
      <c r="U309" s="574"/>
      <c r="V309" s="1435">
        <f>HLOOKUP(D309,$CJ$1:$CM$3,3,0)</f>
        <v>283297</v>
      </c>
      <c r="W309" s="1435"/>
      <c r="X309" s="1435"/>
      <c r="Y309" s="1435"/>
      <c r="Z309" s="1435"/>
      <c r="AA309" s="1435"/>
      <c r="AB309" s="1435"/>
      <c r="AC309" s="1435"/>
      <c r="AD309" s="1435"/>
      <c r="AE309" s="1435"/>
      <c r="AF309" s="1431" t="s">
        <v>446</v>
      </c>
      <c r="AG309" s="1431"/>
      <c r="AH309" s="574"/>
      <c r="AI309" s="1436" t="s">
        <v>1107</v>
      </c>
      <c r="AJ309" s="1436"/>
      <c r="AK309" s="1436"/>
      <c r="AL309" s="1436"/>
      <c r="AM309" s="585"/>
      <c r="AN309" s="1431" t="s">
        <v>446</v>
      </c>
      <c r="AO309" s="1431"/>
      <c r="AP309" s="585"/>
      <c r="AQ309" s="1436" t="s">
        <v>1108</v>
      </c>
      <c r="AR309" s="1436"/>
      <c r="AS309" s="1436"/>
      <c r="AT309" s="1436"/>
      <c r="AU309" s="1436"/>
      <c r="AV309" s="422"/>
      <c r="AW309" s="1431" t="s">
        <v>446</v>
      </c>
      <c r="AX309" s="1431"/>
      <c r="AY309" s="440"/>
      <c r="AZ309" s="1436" t="s">
        <v>1109</v>
      </c>
      <c r="BA309" s="1436"/>
      <c r="BB309" s="1436"/>
      <c r="BC309" s="1436"/>
      <c r="BD309" s="1436"/>
      <c r="BE309" s="585"/>
      <c r="BF309" s="1431" t="s">
        <v>446</v>
      </c>
      <c r="BG309" s="1431"/>
      <c r="BH309" s="1431">
        <v>1</v>
      </c>
      <c r="BI309" s="1431"/>
      <c r="BJ309" s="1431"/>
      <c r="BK309" s="585"/>
      <c r="BL309" s="585" t="s">
        <v>366</v>
      </c>
      <c r="BM309" s="585"/>
      <c r="BN309" s="585"/>
      <c r="BO309" s="585"/>
      <c r="BP309" s="1431" t="s">
        <v>41</v>
      </c>
      <c r="BQ309" s="1431"/>
      <c r="BR309" s="585"/>
      <c r="BS309" s="585"/>
      <c r="BT309" s="1432">
        <f>INT(V309/8*16/12*25/20*BH309)</f>
        <v>59020</v>
      </c>
      <c r="BU309" s="1432"/>
      <c r="BV309" s="1432"/>
      <c r="BW309" s="1432"/>
      <c r="BX309" s="1432"/>
      <c r="BY309" s="1432"/>
      <c r="BZ309" s="1432"/>
      <c r="CA309" s="1432"/>
      <c r="CB309" s="1432"/>
      <c r="CC309" s="1432"/>
      <c r="CD309" s="585"/>
      <c r="CE309" s="585"/>
      <c r="CF309" s="586"/>
    </row>
    <row r="310" spans="1:84" s="583" customFormat="1" ht="23.1" customHeight="1">
      <c r="A310" s="584"/>
      <c r="B310" s="585"/>
      <c r="C310" s="585"/>
      <c r="D310" s="585"/>
      <c r="E310" s="585"/>
      <c r="F310" s="585"/>
      <c r="G310" s="585"/>
      <c r="H310" s="585"/>
      <c r="I310" s="585"/>
      <c r="J310" s="585"/>
      <c r="K310" s="585"/>
      <c r="L310" s="585"/>
      <c r="M310" s="585"/>
      <c r="N310" s="585"/>
      <c r="O310" s="585"/>
      <c r="P310" s="574"/>
      <c r="Q310" s="574"/>
      <c r="R310" s="574"/>
      <c r="S310" s="574"/>
      <c r="T310" s="574"/>
      <c r="U310" s="574"/>
      <c r="V310" s="574"/>
      <c r="W310" s="574"/>
      <c r="X310" s="574"/>
      <c r="Y310" s="574"/>
      <c r="Z310" s="574"/>
      <c r="AA310" s="574"/>
      <c r="AB310" s="574"/>
      <c r="AC310" s="574"/>
      <c r="AD310" s="574"/>
      <c r="AE310" s="574"/>
      <c r="AF310" s="574"/>
      <c r="AG310" s="574"/>
      <c r="AH310" s="574"/>
      <c r="AI310" s="574"/>
      <c r="AJ310" s="574"/>
      <c r="AK310" s="574"/>
      <c r="AL310" s="574"/>
      <c r="AM310" s="574"/>
      <c r="AN310" s="574"/>
      <c r="AO310" s="574"/>
      <c r="AP310" s="574"/>
      <c r="AQ310" s="574"/>
      <c r="AR310" s="574"/>
      <c r="AS310" s="574"/>
      <c r="AT310" s="574"/>
      <c r="AU310" s="574"/>
      <c r="AV310" s="574"/>
      <c r="AW310" s="574"/>
      <c r="AX310" s="574"/>
      <c r="AY310" s="574"/>
      <c r="AZ310" s="574"/>
      <c r="BA310" s="574"/>
      <c r="BB310" s="574"/>
      <c r="BC310" s="574"/>
      <c r="BD310" s="574"/>
      <c r="BE310" s="574"/>
      <c r="BF310" s="574"/>
      <c r="BG310" s="585"/>
      <c r="BH310" s="585"/>
      <c r="BI310" s="585"/>
      <c r="BJ310" s="585"/>
      <c r="BK310" s="585"/>
      <c r="BL310" s="585"/>
      <c r="BM310" s="585"/>
      <c r="BN310" s="585"/>
      <c r="BO310" s="585"/>
      <c r="BP310" s="1431"/>
      <c r="BQ310" s="1431"/>
      <c r="BR310" s="585"/>
      <c r="BS310" s="585"/>
      <c r="BT310" s="1432"/>
      <c r="BU310" s="1432"/>
      <c r="BV310" s="1432"/>
      <c r="BW310" s="1432"/>
      <c r="BX310" s="1432"/>
      <c r="BY310" s="1432"/>
      <c r="BZ310" s="1432"/>
      <c r="CA310" s="1432"/>
      <c r="CB310" s="1432"/>
      <c r="CC310" s="1432"/>
      <c r="CD310" s="585"/>
      <c r="CE310" s="585"/>
      <c r="CF310" s="586"/>
    </row>
    <row r="311" spans="1:84" s="583" customFormat="1" ht="23.1" customHeight="1">
      <c r="A311" s="584"/>
      <c r="B311" s="585"/>
      <c r="C311" s="585"/>
      <c r="D311" s="585"/>
      <c r="E311" s="585"/>
      <c r="F311" s="585"/>
      <c r="G311" s="585"/>
      <c r="H311" s="585"/>
      <c r="I311" s="585"/>
      <c r="J311" s="585"/>
      <c r="K311" s="585"/>
      <c r="L311" s="585"/>
      <c r="M311" s="585"/>
      <c r="N311" s="585"/>
      <c r="O311" s="585"/>
      <c r="P311" s="585"/>
      <c r="Q311" s="585"/>
      <c r="R311" s="585"/>
      <c r="S311" s="585"/>
      <c r="T311" s="585"/>
      <c r="U311" s="585"/>
      <c r="V311" s="585"/>
      <c r="W311" s="585"/>
      <c r="X311" s="585"/>
      <c r="Y311" s="585"/>
      <c r="Z311" s="585"/>
      <c r="AA311" s="585"/>
      <c r="AB311" s="585"/>
      <c r="AC311" s="585"/>
      <c r="AD311" s="574"/>
      <c r="AE311" s="574"/>
      <c r="AF311" s="574"/>
      <c r="AG311" s="574"/>
      <c r="AH311" s="574"/>
      <c r="AI311" s="574"/>
      <c r="AJ311" s="574"/>
      <c r="AK311" s="574"/>
      <c r="AL311" s="574"/>
      <c r="AM311" s="574"/>
      <c r="AN311" s="574"/>
      <c r="AO311" s="574"/>
      <c r="AP311" s="574"/>
      <c r="AQ311" s="574"/>
      <c r="AR311" s="574"/>
      <c r="AS311" s="585"/>
      <c r="AT311" s="590"/>
      <c r="AU311" s="590"/>
      <c r="AV311" s="585"/>
      <c r="AW311" s="585"/>
      <c r="AX311" s="585"/>
      <c r="AY311" s="585"/>
      <c r="AZ311" s="585"/>
      <c r="BA311" s="585"/>
      <c r="BB311" s="585"/>
      <c r="BC311" s="585"/>
      <c r="BD311" s="585"/>
      <c r="BE311" s="585"/>
      <c r="BF311" s="585"/>
      <c r="BG311" s="585"/>
      <c r="BH311" s="585"/>
      <c r="BI311" s="585"/>
      <c r="BJ311" s="585"/>
      <c r="BK311" s="585"/>
      <c r="BL311" s="585"/>
      <c r="BM311" s="585"/>
      <c r="BN311" s="585"/>
      <c r="BO311" s="585"/>
      <c r="BP311" s="1431" t="s">
        <v>41</v>
      </c>
      <c r="BQ311" s="1431"/>
      <c r="BR311" s="585"/>
      <c r="BS311" s="585"/>
      <c r="BT311" s="1434">
        <f>BT309+BT310</f>
        <v>59020</v>
      </c>
      <c r="BU311" s="1434"/>
      <c r="BV311" s="1434"/>
      <c r="BW311" s="1434"/>
      <c r="BX311" s="1434"/>
      <c r="BY311" s="1434"/>
      <c r="BZ311" s="1434"/>
      <c r="CA311" s="1434"/>
      <c r="CB311" s="1434"/>
      <c r="CC311" s="1434"/>
      <c r="CD311" s="585"/>
      <c r="CE311" s="585"/>
      <c r="CF311" s="586"/>
    </row>
    <row r="312" spans="1:84" s="583" customFormat="1" ht="23.1" customHeight="1">
      <c r="A312" s="592"/>
      <c r="B312" s="593" t="s">
        <v>1110</v>
      </c>
      <c r="C312" s="593"/>
      <c r="D312" s="593"/>
      <c r="E312" s="593"/>
      <c r="F312" s="593"/>
      <c r="G312" s="593"/>
      <c r="H312" s="593"/>
      <c r="I312" s="593"/>
      <c r="J312" s="593"/>
      <c r="K312" s="593"/>
      <c r="L312" s="593"/>
      <c r="M312" s="593"/>
      <c r="N312" s="593"/>
      <c r="O312" s="593"/>
      <c r="P312" s="593"/>
      <c r="Q312" s="593"/>
      <c r="R312" s="593"/>
      <c r="S312" s="593"/>
      <c r="T312" s="593"/>
      <c r="U312" s="593"/>
      <c r="V312" s="593"/>
      <c r="W312" s="593"/>
      <c r="X312" s="593"/>
      <c r="Y312" s="593"/>
      <c r="Z312" s="593"/>
      <c r="AA312" s="593"/>
      <c r="AB312" s="593"/>
      <c r="AC312" s="593"/>
      <c r="AD312" s="593"/>
      <c r="AE312" s="593"/>
      <c r="AF312" s="593"/>
      <c r="AG312" s="593"/>
      <c r="AH312" s="593"/>
      <c r="AI312" s="593"/>
      <c r="AJ312" s="593"/>
      <c r="AK312" s="593"/>
      <c r="AL312" s="593"/>
      <c r="AM312" s="593"/>
      <c r="AN312" s="593"/>
      <c r="AO312" s="593"/>
      <c r="AP312" s="593"/>
      <c r="AQ312" s="593"/>
      <c r="AR312" s="593"/>
      <c r="AS312" s="593"/>
      <c r="AT312" s="593"/>
      <c r="AU312" s="593"/>
      <c r="AV312" s="593"/>
      <c r="AW312" s="593"/>
      <c r="AX312" s="593"/>
      <c r="AY312" s="593"/>
      <c r="AZ312" s="593"/>
      <c r="BA312" s="593"/>
      <c r="BB312" s="593"/>
      <c r="BC312" s="593"/>
      <c r="BD312" s="593"/>
      <c r="BE312" s="593"/>
      <c r="BF312" s="593"/>
      <c r="BG312" s="593"/>
      <c r="BH312" s="593"/>
      <c r="BI312" s="593"/>
      <c r="BJ312" s="593"/>
      <c r="BK312" s="593"/>
      <c r="BL312" s="593"/>
      <c r="BM312" s="593"/>
      <c r="BN312" s="593"/>
      <c r="BO312" s="593"/>
      <c r="BP312" s="593"/>
      <c r="BQ312" s="593"/>
      <c r="BR312" s="593"/>
      <c r="BS312" s="593"/>
      <c r="BT312" s="593"/>
      <c r="BU312" s="593"/>
      <c r="BV312" s="593"/>
      <c r="BW312" s="593"/>
      <c r="BX312" s="593"/>
      <c r="BY312" s="593"/>
      <c r="BZ312" s="593"/>
      <c r="CA312" s="593"/>
      <c r="CB312" s="593"/>
      <c r="CC312" s="593"/>
      <c r="CD312" s="593"/>
      <c r="CE312" s="593"/>
      <c r="CF312" s="595"/>
    </row>
    <row r="313" spans="1:84" s="583" customFormat="1" ht="23.1" customHeight="1">
      <c r="A313" s="584"/>
      <c r="B313" s="585"/>
      <c r="C313" s="585"/>
      <c r="D313" s="596" t="s">
        <v>1094</v>
      </c>
      <c r="E313" s="585"/>
      <c r="F313" s="585"/>
      <c r="G313" s="585"/>
      <c r="H313" s="585"/>
      <c r="I313" s="585"/>
      <c r="J313" s="585"/>
      <c r="K313" s="585"/>
      <c r="L313" s="585"/>
      <c r="M313" s="585"/>
      <c r="N313" s="585"/>
      <c r="O313" s="585"/>
      <c r="P313" s="585"/>
      <c r="Q313" s="585"/>
      <c r="R313" s="585"/>
      <c r="S313" s="585"/>
      <c r="T313" s="585"/>
      <c r="U313" s="585"/>
      <c r="V313" s="585"/>
      <c r="W313" s="585"/>
      <c r="X313" s="585"/>
      <c r="Y313" s="585"/>
      <c r="Z313" s="585"/>
      <c r="AA313" s="585"/>
      <c r="AB313" s="585"/>
      <c r="AC313" s="585"/>
      <c r="AD313" s="585"/>
      <c r="AE313" s="585"/>
      <c r="AF313" s="585"/>
      <c r="AG313" s="585"/>
      <c r="AH313" s="585"/>
      <c r="AI313" s="585"/>
      <c r="AJ313" s="585"/>
      <c r="AK313" s="585"/>
      <c r="AL313" s="585"/>
      <c r="AM313" s="585"/>
      <c r="AN313" s="585"/>
      <c r="AO313" s="585"/>
      <c r="AP313" s="585"/>
      <c r="AQ313" s="585"/>
      <c r="AR313" s="422"/>
      <c r="AS313" s="1435" t="e">
        <f>HLOOKUP(D313,$CN$1:$CO$3,3,0)</f>
        <v>#REF!</v>
      </c>
      <c r="AT313" s="1435"/>
      <c r="AU313" s="1435"/>
      <c r="AV313" s="1435"/>
      <c r="AW313" s="1435"/>
      <c r="AX313" s="1435"/>
      <c r="AY313" s="1435"/>
      <c r="AZ313" s="1435"/>
      <c r="BA313" s="1435"/>
      <c r="BB313" s="1435"/>
      <c r="BC313" s="585"/>
      <c r="BD313" s="1431" t="s">
        <v>446</v>
      </c>
      <c r="BE313" s="1431"/>
      <c r="BF313" s="585"/>
      <c r="BG313" s="1431">
        <v>20.5</v>
      </c>
      <c r="BH313" s="1431"/>
      <c r="BI313" s="1431"/>
      <c r="BJ313" s="1431"/>
      <c r="BK313" s="1431"/>
      <c r="BL313" s="585" t="s">
        <v>1111</v>
      </c>
      <c r="BM313" s="585"/>
      <c r="BN313" s="585"/>
      <c r="BO313" s="585"/>
      <c r="BP313" s="1431" t="s">
        <v>41</v>
      </c>
      <c r="BQ313" s="1431"/>
      <c r="BR313" s="585"/>
      <c r="BS313" s="585"/>
      <c r="BT313" s="1432" t="e">
        <f>INT(AS313*BG313)</f>
        <v>#REF!</v>
      </c>
      <c r="BU313" s="1432"/>
      <c r="BV313" s="1432"/>
      <c r="BW313" s="1432"/>
      <c r="BX313" s="1432"/>
      <c r="BY313" s="1432"/>
      <c r="BZ313" s="1432"/>
      <c r="CA313" s="1432"/>
      <c r="CB313" s="1432"/>
      <c r="CC313" s="1432"/>
      <c r="CD313" s="585"/>
      <c r="CE313" s="585"/>
      <c r="CF313" s="586"/>
    </row>
    <row r="314" spans="1:84" s="583" customFormat="1" ht="23.1" customHeight="1">
      <c r="A314" s="584"/>
      <c r="B314" s="585"/>
      <c r="C314" s="585"/>
      <c r="D314" s="591" t="str">
        <f>"잡재료 (주연료의 "&amp;BG314&amp;"%) :"</f>
        <v>잡재료 (주연료의 24%) :</v>
      </c>
      <c r="E314" s="585"/>
      <c r="F314" s="585"/>
      <c r="G314" s="585"/>
      <c r="H314" s="585"/>
      <c r="I314" s="585"/>
      <c r="J314" s="585"/>
      <c r="K314" s="585"/>
      <c r="L314" s="585"/>
      <c r="M314" s="585"/>
      <c r="N314" s="585"/>
      <c r="O314" s="585"/>
      <c r="P314" s="585"/>
      <c r="Q314" s="585"/>
      <c r="R314" s="585"/>
      <c r="S314" s="585"/>
      <c r="T314" s="585"/>
      <c r="U314" s="585"/>
      <c r="V314" s="585"/>
      <c r="W314" s="585"/>
      <c r="X314" s="585"/>
      <c r="Y314" s="585"/>
      <c r="Z314" s="585"/>
      <c r="AA314" s="585"/>
      <c r="AB314" s="585"/>
      <c r="AC314" s="585"/>
      <c r="AD314" s="585"/>
      <c r="AE314" s="585"/>
      <c r="AF314" s="585"/>
      <c r="AG314" s="585"/>
      <c r="AH314" s="585"/>
      <c r="AI314" s="585"/>
      <c r="AJ314" s="585"/>
      <c r="AK314" s="585"/>
      <c r="AL314" s="585"/>
      <c r="AM314" s="585"/>
      <c r="AN314" s="585"/>
      <c r="AO314" s="585"/>
      <c r="AP314" s="585"/>
      <c r="AQ314" s="585"/>
      <c r="AR314" s="422" t="e">
        <f>BT313</f>
        <v>#REF!</v>
      </c>
      <c r="AS314" s="1430" t="e">
        <f>BT313</f>
        <v>#REF!</v>
      </c>
      <c r="AT314" s="1430"/>
      <c r="AU314" s="1430"/>
      <c r="AV314" s="1430"/>
      <c r="AW314" s="1430"/>
      <c r="AX314" s="1430"/>
      <c r="AY314" s="1430"/>
      <c r="AZ314" s="1430"/>
      <c r="BA314" s="1430"/>
      <c r="BB314" s="1430"/>
      <c r="BC314" s="585"/>
      <c r="BD314" s="1431" t="s">
        <v>446</v>
      </c>
      <c r="BE314" s="1431"/>
      <c r="BF314" s="585"/>
      <c r="BG314" s="1431">
        <v>24</v>
      </c>
      <c r="BH314" s="1431"/>
      <c r="BI314" s="1431"/>
      <c r="BJ314" s="1431"/>
      <c r="BK314" s="1431"/>
      <c r="BL314" s="585" t="s">
        <v>1112</v>
      </c>
      <c r="BM314" s="585"/>
      <c r="BN314" s="585"/>
      <c r="BO314" s="585"/>
      <c r="BP314" s="1431" t="s">
        <v>41</v>
      </c>
      <c r="BQ314" s="1431"/>
      <c r="BR314" s="585"/>
      <c r="BS314" s="585"/>
      <c r="BT314" s="1432" t="e">
        <f>INT(AS314*BG314/100)</f>
        <v>#REF!</v>
      </c>
      <c r="BU314" s="1432"/>
      <c r="BV314" s="1432"/>
      <c r="BW314" s="1432"/>
      <c r="BX314" s="1432"/>
      <c r="BY314" s="1432"/>
      <c r="BZ314" s="1432"/>
      <c r="CA314" s="1432"/>
      <c r="CB314" s="1432"/>
      <c r="CC314" s="1432"/>
      <c r="CD314" s="585"/>
      <c r="CE314" s="585"/>
      <c r="CF314" s="586"/>
    </row>
    <row r="315" spans="1:84" s="583" customFormat="1" ht="23.1" customHeight="1" thickBot="1">
      <c r="A315" s="584"/>
      <c r="B315" s="585"/>
      <c r="C315" s="585"/>
      <c r="D315" s="585"/>
      <c r="E315" s="585"/>
      <c r="F315" s="585"/>
      <c r="G315" s="585"/>
      <c r="H315" s="585"/>
      <c r="I315" s="585"/>
      <c r="J315" s="585"/>
      <c r="K315" s="585"/>
      <c r="L315" s="585"/>
      <c r="M315" s="585"/>
      <c r="N315" s="585"/>
      <c r="O315" s="585"/>
      <c r="P315" s="585"/>
      <c r="Q315" s="585"/>
      <c r="R315" s="585"/>
      <c r="S315" s="585"/>
      <c r="T315" s="585"/>
      <c r="U315" s="585"/>
      <c r="V315" s="585"/>
      <c r="W315" s="585"/>
      <c r="X315" s="585"/>
      <c r="Y315" s="585"/>
      <c r="Z315" s="585"/>
      <c r="AA315" s="585"/>
      <c r="AB315" s="585"/>
      <c r="AC315" s="585"/>
      <c r="AD315" s="585"/>
      <c r="AE315" s="585"/>
      <c r="AF315" s="585"/>
      <c r="AG315" s="585"/>
      <c r="AH315" s="585"/>
      <c r="AI315" s="585"/>
      <c r="AJ315" s="585"/>
      <c r="AK315" s="585"/>
      <c r="AL315" s="585"/>
      <c r="AM315" s="585"/>
      <c r="AN315" s="585"/>
      <c r="AO315" s="585"/>
      <c r="AP315" s="585"/>
      <c r="AQ315" s="585"/>
      <c r="AR315" s="585"/>
      <c r="AS315" s="585"/>
      <c r="AT315" s="585"/>
      <c r="AU315" s="585"/>
      <c r="AV315" s="585"/>
      <c r="AW315" s="585"/>
      <c r="AX315" s="585"/>
      <c r="AY315" s="585"/>
      <c r="AZ315" s="585"/>
      <c r="BA315" s="585"/>
      <c r="BB315" s="585"/>
      <c r="BC315" s="585"/>
      <c r="BD315" s="585"/>
      <c r="BE315" s="585"/>
      <c r="BF315" s="585"/>
      <c r="BG315" s="585"/>
      <c r="BH315" s="585"/>
      <c r="BI315" s="585"/>
      <c r="BJ315" s="585"/>
      <c r="BK315" s="585"/>
      <c r="BL315" s="585"/>
      <c r="BM315" s="585"/>
      <c r="BN315" s="585"/>
      <c r="BO315" s="585"/>
      <c r="BP315" s="1431" t="s">
        <v>41</v>
      </c>
      <c r="BQ315" s="1431"/>
      <c r="BR315" s="585"/>
      <c r="BS315" s="585"/>
      <c r="BT315" s="1433" t="e">
        <f>BT313+BT314</f>
        <v>#REF!</v>
      </c>
      <c r="BU315" s="1433"/>
      <c r="BV315" s="1433"/>
      <c r="BW315" s="1433"/>
      <c r="BX315" s="1433"/>
      <c r="BY315" s="1433"/>
      <c r="BZ315" s="1433"/>
      <c r="CA315" s="1433"/>
      <c r="CB315" s="1433"/>
      <c r="CC315" s="1433"/>
      <c r="CD315" s="585"/>
      <c r="CE315" s="585"/>
      <c r="CF315" s="586"/>
    </row>
    <row r="316" spans="1:84" s="583" customFormat="1" ht="23.1" customHeight="1" thickBot="1">
      <c r="A316" s="597"/>
      <c r="B316" s="598" t="s">
        <v>1113</v>
      </c>
      <c r="C316" s="598"/>
      <c r="D316" s="598"/>
      <c r="E316" s="598"/>
      <c r="F316" s="598"/>
      <c r="G316" s="598"/>
      <c r="H316" s="598"/>
      <c r="I316" s="598"/>
      <c r="J316" s="598"/>
      <c r="K316" s="598"/>
      <c r="L316" s="598"/>
      <c r="M316" s="598"/>
      <c r="N316" s="598"/>
      <c r="O316" s="598"/>
      <c r="P316" s="598"/>
      <c r="Q316" s="598"/>
      <c r="R316" s="598"/>
      <c r="S316" s="598"/>
      <c r="T316" s="598"/>
      <c r="U316" s="598"/>
      <c r="V316" s="598"/>
      <c r="W316" s="598"/>
      <c r="X316" s="598"/>
      <c r="Y316" s="598"/>
      <c r="Z316" s="598"/>
      <c r="AA316" s="598"/>
      <c r="AB316" s="598"/>
      <c r="AC316" s="598"/>
      <c r="AD316" s="598"/>
      <c r="AE316" s="598"/>
      <c r="AF316" s="598"/>
      <c r="AG316" s="598"/>
      <c r="AH316" s="598"/>
      <c r="AI316" s="598"/>
      <c r="AJ316" s="598"/>
      <c r="AK316" s="598"/>
      <c r="AL316" s="598"/>
      <c r="AM316" s="598"/>
      <c r="AN316" s="598"/>
      <c r="AO316" s="598"/>
      <c r="AP316" s="598"/>
      <c r="AQ316" s="598"/>
      <c r="AR316" s="598"/>
      <c r="AS316" s="598"/>
      <c r="AT316" s="598"/>
      <c r="AU316" s="598"/>
      <c r="AV316" s="598"/>
      <c r="AW316" s="598"/>
      <c r="AX316" s="598"/>
      <c r="AY316" s="598"/>
      <c r="AZ316" s="598"/>
      <c r="BA316" s="598"/>
      <c r="BB316" s="598"/>
      <c r="BC316" s="598"/>
      <c r="BD316" s="598"/>
      <c r="BE316" s="598"/>
      <c r="BF316" s="598"/>
      <c r="BG316" s="598"/>
      <c r="BH316" s="598"/>
      <c r="BI316" s="598"/>
      <c r="BJ316" s="598"/>
      <c r="BK316" s="598"/>
      <c r="BL316" s="598"/>
      <c r="BM316" s="598"/>
      <c r="BN316" s="598"/>
      <c r="BO316" s="598"/>
      <c r="BP316" s="598"/>
      <c r="BQ316" s="598"/>
      <c r="BR316" s="598"/>
      <c r="BS316" s="598"/>
      <c r="BT316" s="1429" t="e">
        <f>BT307+BT311+BT315</f>
        <v>#REF!</v>
      </c>
      <c r="BU316" s="1429"/>
      <c r="BV316" s="1429"/>
      <c r="BW316" s="1429"/>
      <c r="BX316" s="1429"/>
      <c r="BY316" s="1429"/>
      <c r="BZ316" s="1429"/>
      <c r="CA316" s="1429"/>
      <c r="CB316" s="1429"/>
      <c r="CC316" s="1429"/>
      <c r="CD316" s="598"/>
      <c r="CE316" s="598"/>
      <c r="CF316" s="599"/>
    </row>
    <row r="317" spans="1:84" s="583" customFormat="1" ht="9.9499999999999993" customHeight="1">
      <c r="A317" s="574"/>
      <c r="B317" s="574"/>
      <c r="C317" s="574"/>
      <c r="D317" s="574"/>
      <c r="E317" s="574"/>
      <c r="F317" s="574"/>
      <c r="G317" s="574"/>
      <c r="H317" s="574"/>
      <c r="I317" s="574"/>
      <c r="J317" s="574"/>
      <c r="K317" s="574"/>
      <c r="L317" s="574"/>
      <c r="M317" s="574"/>
      <c r="N317" s="574"/>
      <c r="O317" s="574"/>
      <c r="P317" s="574"/>
      <c r="Q317" s="574"/>
      <c r="R317" s="574"/>
      <c r="S317" s="574"/>
      <c r="T317" s="574"/>
      <c r="U317" s="574"/>
      <c r="V317" s="574"/>
      <c r="W317" s="574"/>
      <c r="X317" s="574"/>
      <c r="Y317" s="574"/>
      <c r="Z317" s="574"/>
      <c r="AA317" s="574"/>
      <c r="AB317" s="574"/>
      <c r="AC317" s="574"/>
      <c r="AD317" s="574"/>
      <c r="AE317" s="574"/>
      <c r="AF317" s="574"/>
      <c r="AG317" s="574"/>
      <c r="AH317" s="574"/>
      <c r="AI317" s="574"/>
      <c r="AJ317" s="574"/>
      <c r="AK317" s="574"/>
      <c r="AL317" s="574"/>
      <c r="AM317" s="574"/>
      <c r="AN317" s="574"/>
      <c r="AO317" s="574"/>
      <c r="AP317" s="574"/>
      <c r="AQ317" s="574"/>
      <c r="AR317" s="574"/>
      <c r="AS317" s="574"/>
      <c r="AT317" s="574"/>
      <c r="AU317" s="574"/>
      <c r="AV317" s="574"/>
      <c r="AW317" s="574"/>
      <c r="AX317" s="574"/>
      <c r="AY317" s="574"/>
      <c r="AZ317" s="574"/>
      <c r="BA317" s="574"/>
      <c r="BB317" s="574"/>
      <c r="BC317" s="574"/>
      <c r="BD317" s="574"/>
      <c r="BE317" s="574"/>
      <c r="BF317" s="574"/>
      <c r="BG317" s="574"/>
      <c r="BH317" s="574"/>
      <c r="BI317" s="574"/>
      <c r="BJ317" s="574"/>
      <c r="BK317" s="574"/>
      <c r="BL317" s="574"/>
      <c r="BM317" s="574"/>
      <c r="BN317" s="574"/>
      <c r="BO317" s="574"/>
      <c r="BP317" s="574"/>
      <c r="BQ317" s="574"/>
      <c r="BR317" s="574"/>
      <c r="BS317" s="574"/>
      <c r="BT317" s="574"/>
      <c r="BU317" s="574"/>
      <c r="BV317" s="574"/>
      <c r="BW317" s="574"/>
      <c r="BX317" s="574"/>
      <c r="BY317" s="574"/>
      <c r="BZ317" s="574"/>
      <c r="CA317" s="574"/>
      <c r="CB317" s="574"/>
      <c r="CC317" s="574"/>
      <c r="CD317" s="574"/>
      <c r="CE317" s="574"/>
      <c r="CF317" s="574"/>
    </row>
    <row r="318" spans="1:84" s="583" customFormat="1" ht="23.1" customHeight="1" thickBot="1">
      <c r="A318" s="1446" t="s">
        <v>1095</v>
      </c>
      <c r="B318" s="1446"/>
      <c r="C318" s="1446"/>
      <c r="D318" s="1446"/>
      <c r="E318" s="1446"/>
      <c r="F318" s="1446"/>
      <c r="G318" s="1447">
        <f>G303+1</f>
        <v>22</v>
      </c>
      <c r="H318" s="1447"/>
      <c r="I318" s="1447"/>
      <c r="J318" s="1448" t="s">
        <v>1096</v>
      </c>
      <c r="K318" s="1448"/>
      <c r="L318" s="574"/>
      <c r="M318" s="574"/>
      <c r="N318" s="574"/>
      <c r="O318" s="574"/>
      <c r="P318" s="574"/>
      <c r="Q318" s="574"/>
      <c r="R318" s="574"/>
      <c r="S318" s="574"/>
      <c r="T318" s="574"/>
      <c r="U318" s="574"/>
      <c r="V318" s="574"/>
      <c r="W318" s="574"/>
      <c r="X318" s="574"/>
      <c r="Y318" s="574"/>
      <c r="Z318" s="574"/>
      <c r="AA318" s="574"/>
      <c r="AB318" s="574"/>
      <c r="AC318" s="574"/>
      <c r="AD318" s="574"/>
      <c r="AE318" s="574"/>
      <c r="AF318" s="574"/>
      <c r="AG318" s="574"/>
      <c r="AH318" s="574"/>
      <c r="AI318" s="574"/>
      <c r="AJ318" s="574"/>
      <c r="AK318" s="574"/>
      <c r="AL318" s="574"/>
      <c r="AM318" s="574"/>
      <c r="AN318" s="574"/>
      <c r="AO318" s="574"/>
      <c r="AP318" s="574"/>
      <c r="AQ318" s="574"/>
      <c r="AR318" s="574"/>
      <c r="AS318" s="574"/>
      <c r="AT318" s="574"/>
      <c r="AU318" s="574"/>
      <c r="AV318" s="574"/>
      <c r="AW318" s="574"/>
      <c r="AX318" s="574"/>
      <c r="AY318" s="574"/>
      <c r="AZ318" s="574"/>
      <c r="BA318" s="574"/>
      <c r="BB318" s="574"/>
      <c r="BC318" s="574"/>
      <c r="BD318" s="574"/>
      <c r="BE318" s="574"/>
      <c r="BF318" s="574"/>
      <c r="BG318" s="574"/>
      <c r="BH318" s="574"/>
      <c r="BI318" s="574"/>
      <c r="BJ318" s="574"/>
      <c r="BK318" s="574"/>
      <c r="BL318" s="574"/>
      <c r="BM318" s="574"/>
      <c r="BN318" s="574"/>
      <c r="BO318" s="574"/>
      <c r="BP318" s="574"/>
      <c r="BQ318" s="574"/>
      <c r="BR318" s="574"/>
      <c r="BS318" s="574"/>
      <c r="BT318" s="574"/>
      <c r="BU318" s="574"/>
      <c r="BV318" s="574"/>
      <c r="BW318" s="574"/>
      <c r="BX318" s="574"/>
      <c r="BY318" s="574"/>
      <c r="BZ318" s="574"/>
      <c r="CA318" s="574"/>
      <c r="CB318" s="574"/>
      <c r="CC318" s="574"/>
      <c r="CD318" s="574"/>
      <c r="CE318" s="574"/>
      <c r="CF318" s="574"/>
    </row>
    <row r="319" spans="1:84" s="583" customFormat="1" ht="23.1" customHeight="1" thickBot="1">
      <c r="A319" s="1483" t="s">
        <v>1097</v>
      </c>
      <c r="B319" s="1484"/>
      <c r="C319" s="1484"/>
      <c r="D319" s="1484"/>
      <c r="E319" s="1484"/>
      <c r="F319" s="1484"/>
      <c r="G319" s="1484"/>
      <c r="H319" s="1484"/>
      <c r="I319" s="581" t="s">
        <v>277</v>
      </c>
      <c r="J319" s="581"/>
      <c r="K319" s="581"/>
      <c r="L319" s="581"/>
      <c r="M319" s="581"/>
      <c r="N319" s="581"/>
      <c r="O319" s="581"/>
      <c r="P319" s="581"/>
      <c r="Q319" s="581"/>
      <c r="R319" s="581"/>
      <c r="S319" s="581"/>
      <c r="T319" s="581"/>
      <c r="U319" s="581"/>
      <c r="V319" s="581"/>
      <c r="W319" s="581"/>
      <c r="X319" s="581"/>
      <c r="Y319" s="581"/>
      <c r="Z319" s="581"/>
      <c r="AA319" s="581"/>
      <c r="AB319" s="581"/>
      <c r="AC319" s="581"/>
      <c r="AD319" s="581"/>
      <c r="AE319" s="581"/>
      <c r="AF319" s="581"/>
      <c r="AG319" s="581"/>
      <c r="AH319" s="581"/>
      <c r="AI319" s="581"/>
      <c r="AJ319" s="1484" t="s">
        <v>1099</v>
      </c>
      <c r="AK319" s="1484"/>
      <c r="AL319" s="1484"/>
      <c r="AM319" s="1484"/>
      <c r="AN319" s="1484"/>
      <c r="AO319" s="1484"/>
      <c r="AP319" s="1484"/>
      <c r="AQ319" s="581" t="s">
        <v>1133</v>
      </c>
      <c r="AR319" s="581"/>
      <c r="AS319" s="581"/>
      <c r="AT319" s="581"/>
      <c r="AU319" s="581"/>
      <c r="AV319" s="581"/>
      <c r="AW319" s="581"/>
      <c r="AX319" s="581"/>
      <c r="AY319" s="581"/>
      <c r="AZ319" s="581"/>
      <c r="BA319" s="581"/>
      <c r="BB319" s="581"/>
      <c r="BC319" s="581"/>
      <c r="BD319" s="581"/>
      <c r="BE319" s="581"/>
      <c r="BF319" s="581"/>
      <c r="BG319" s="581"/>
      <c r="BH319" s="581"/>
      <c r="BI319" s="581"/>
      <c r="BJ319" s="581"/>
      <c r="BK319" s="581"/>
      <c r="BL319" s="581"/>
      <c r="BM319" s="581"/>
      <c r="BN319" s="581"/>
      <c r="BO319" s="581"/>
      <c r="BP319" s="581"/>
      <c r="BQ319" s="581"/>
      <c r="BR319" s="581"/>
      <c r="BS319" s="581"/>
      <c r="BT319" s="581" t="s">
        <v>1121</v>
      </c>
      <c r="BU319" s="581"/>
      <c r="BV319" s="581"/>
      <c r="BW319" s="581"/>
      <c r="BX319" s="581"/>
      <c r="BY319" s="581"/>
      <c r="BZ319" s="581"/>
      <c r="CA319" s="581"/>
      <c r="CB319" s="581"/>
      <c r="CC319" s="581"/>
      <c r="CD319" s="581"/>
      <c r="CE319" s="581"/>
      <c r="CF319" s="582"/>
    </row>
    <row r="320" spans="1:84" s="583" customFormat="1" ht="23.1" customHeight="1">
      <c r="A320" s="584"/>
      <c r="B320" s="585" t="s">
        <v>1102</v>
      </c>
      <c r="C320" s="585"/>
      <c r="D320" s="585"/>
      <c r="E320" s="585"/>
      <c r="F320" s="585"/>
      <c r="G320" s="585"/>
      <c r="H320" s="585"/>
      <c r="I320" s="585"/>
      <c r="J320" s="585"/>
      <c r="K320" s="585"/>
      <c r="L320" s="585"/>
      <c r="M320" s="585"/>
      <c r="N320" s="585"/>
      <c r="O320" s="585"/>
      <c r="P320" s="585"/>
      <c r="Q320" s="585"/>
      <c r="R320" s="585"/>
      <c r="S320" s="585"/>
      <c r="T320" s="585"/>
      <c r="U320" s="585"/>
      <c r="V320" s="585"/>
      <c r="W320" s="585"/>
      <c r="X320" s="585"/>
      <c r="Y320" s="585"/>
      <c r="Z320" s="585"/>
      <c r="AA320" s="585"/>
      <c r="AB320" s="585"/>
      <c r="AC320" s="585"/>
      <c r="AD320" s="585"/>
      <c r="AE320" s="585"/>
      <c r="AF320" s="585"/>
      <c r="AG320" s="585"/>
      <c r="AH320" s="585"/>
      <c r="AI320" s="585"/>
      <c r="AJ320" s="585"/>
      <c r="AK320" s="585"/>
      <c r="AL320" s="585"/>
      <c r="AM320" s="585"/>
      <c r="AN320" s="585"/>
      <c r="AO320" s="585"/>
      <c r="AP320" s="585"/>
      <c r="AQ320" s="585"/>
      <c r="AR320" s="585"/>
      <c r="AS320" s="585"/>
      <c r="AT320" s="585"/>
      <c r="AU320" s="585"/>
      <c r="AV320" s="585"/>
      <c r="AW320" s="585"/>
      <c r="AX320" s="585"/>
      <c r="AY320" s="585"/>
      <c r="AZ320" s="585"/>
      <c r="BA320" s="585"/>
      <c r="BB320" s="585"/>
      <c r="BC320" s="585"/>
      <c r="BD320" s="585"/>
      <c r="BE320" s="585"/>
      <c r="BF320" s="585"/>
      <c r="BG320" s="585"/>
      <c r="BH320" s="585"/>
      <c r="BI320" s="585"/>
      <c r="BJ320" s="585"/>
      <c r="BK320" s="585"/>
      <c r="BL320" s="585"/>
      <c r="BM320" s="585"/>
      <c r="BN320" s="585"/>
      <c r="BO320" s="585"/>
      <c r="BP320" s="585"/>
      <c r="BQ320" s="585"/>
      <c r="BR320" s="585"/>
      <c r="BS320" s="585"/>
      <c r="BT320" s="585"/>
      <c r="BU320" s="585"/>
      <c r="BV320" s="585"/>
      <c r="BW320" s="585"/>
      <c r="BX320" s="585"/>
      <c r="BY320" s="585"/>
      <c r="BZ320" s="585"/>
      <c r="CA320" s="585"/>
      <c r="CB320" s="585"/>
      <c r="CC320" s="585"/>
      <c r="CD320" s="585"/>
      <c r="CE320" s="585"/>
      <c r="CF320" s="586"/>
    </row>
    <row r="321" spans="1:84" s="583" customFormat="1" ht="23.1" customHeight="1">
      <c r="A321" s="587"/>
      <c r="B321" s="574"/>
      <c r="C321" s="574"/>
      <c r="D321" s="405"/>
      <c r="E321" s="574"/>
      <c r="F321" s="422"/>
      <c r="G321" s="422"/>
      <c r="H321" s="422"/>
      <c r="I321" s="422"/>
      <c r="J321" s="422"/>
      <c r="K321" s="422"/>
      <c r="L321" s="422"/>
      <c r="M321" s="422"/>
      <c r="N321" s="574"/>
      <c r="O321" s="574"/>
      <c r="P321" s="574"/>
      <c r="Q321" s="574"/>
      <c r="R321" s="574"/>
      <c r="S321" s="588"/>
      <c r="T321" s="588"/>
      <c r="U321" s="588"/>
      <c r="V321" s="588"/>
      <c r="W321" s="588"/>
      <c r="X321" s="588"/>
      <c r="Y321" s="588"/>
      <c r="Z321" s="588"/>
      <c r="AA321" s="574"/>
      <c r="AB321" s="588"/>
      <c r="AC321" s="585"/>
      <c r="AD321" s="585"/>
      <c r="AE321" s="600"/>
      <c r="AF321" s="600"/>
      <c r="AG321" s="600"/>
      <c r="AH321" s="600"/>
      <c r="AI321" s="600"/>
      <c r="AJ321" s="600"/>
      <c r="AK321" s="600"/>
      <c r="AL321" s="600"/>
      <c r="AM321" s="585"/>
      <c r="AN321" s="585"/>
      <c r="AO321" s="574"/>
      <c r="AP321" s="430"/>
      <c r="AQ321" s="430"/>
      <c r="AR321" s="430"/>
      <c r="AS321" s="430"/>
      <c r="AT321" s="430"/>
      <c r="AU321" s="430"/>
      <c r="AV321" s="430"/>
      <c r="AW321" s="430"/>
      <c r="AX321" s="430"/>
      <c r="AY321" s="430"/>
      <c r="AZ321" s="430"/>
      <c r="BA321" s="430"/>
      <c r="BB321" s="430"/>
      <c r="BC321" s="430"/>
      <c r="BD321" s="574"/>
      <c r="BE321" s="574"/>
      <c r="BF321" s="574"/>
      <c r="BG321" s="574"/>
      <c r="BH321" s="574"/>
      <c r="BI321" s="574"/>
      <c r="BJ321" s="574"/>
      <c r="BK321" s="574"/>
      <c r="BL321" s="574"/>
      <c r="BM321" s="574"/>
      <c r="BN321" s="574"/>
      <c r="BO321" s="574"/>
      <c r="BP321" s="574"/>
      <c r="BQ321" s="574"/>
      <c r="BR321" s="574"/>
      <c r="BS321" s="574"/>
      <c r="BT321" s="574"/>
      <c r="BU321" s="574"/>
      <c r="BV321" s="574"/>
      <c r="BW321" s="574"/>
      <c r="BX321" s="574"/>
      <c r="BY321" s="574"/>
      <c r="BZ321" s="574"/>
      <c r="CA321" s="574"/>
      <c r="CB321" s="574"/>
      <c r="CC321" s="574"/>
      <c r="CD321" s="574"/>
      <c r="CE321" s="574"/>
      <c r="CF321" s="589"/>
    </row>
    <row r="322" spans="1:84" s="583" customFormat="1" ht="23.1" customHeight="1">
      <c r="A322" s="584"/>
      <c r="B322" s="585"/>
      <c r="C322" s="585"/>
      <c r="D322" s="585"/>
      <c r="E322" s="585"/>
      <c r="F322" s="585"/>
      <c r="G322" s="585"/>
      <c r="H322" s="585"/>
      <c r="I322" s="585"/>
      <c r="J322" s="585"/>
      <c r="K322" s="585"/>
      <c r="L322" s="585"/>
      <c r="M322" s="585"/>
      <c r="N322" s="585"/>
      <c r="O322" s="585"/>
      <c r="P322" s="585"/>
      <c r="Q322" s="585"/>
      <c r="R322" s="585"/>
      <c r="S322" s="585"/>
      <c r="T322" s="585"/>
      <c r="U322" s="585"/>
      <c r="V322" s="590"/>
      <c r="W322" s="590"/>
      <c r="X322" s="590"/>
      <c r="Y322" s="590"/>
      <c r="Z322" s="590"/>
      <c r="AA322" s="590"/>
      <c r="AB322" s="590"/>
      <c r="AC322" s="590"/>
      <c r="AD322" s="574"/>
      <c r="AE322" s="1502">
        <f>$AE$82</f>
        <v>84000000</v>
      </c>
      <c r="AF322" s="1502"/>
      <c r="AG322" s="1502"/>
      <c r="AH322" s="1502"/>
      <c r="AI322" s="1502"/>
      <c r="AJ322" s="1502"/>
      <c r="AK322" s="1502"/>
      <c r="AL322" s="1502"/>
      <c r="AM322" s="1502"/>
      <c r="AN322" s="1502"/>
      <c r="AO322" s="1502"/>
      <c r="AP322" s="1502"/>
      <c r="AQ322" s="1502"/>
      <c r="AR322" s="1502"/>
      <c r="AS322" s="1502"/>
      <c r="AT322" s="1431" t="s">
        <v>446</v>
      </c>
      <c r="AU322" s="1431"/>
      <c r="AV322" s="1441" t="s">
        <v>1103</v>
      </c>
      <c r="AW322" s="1441"/>
      <c r="AX322" s="1442">
        <v>2085</v>
      </c>
      <c r="AY322" s="1442"/>
      <c r="AZ322" s="1442"/>
      <c r="BA322" s="1442"/>
      <c r="BB322" s="1442"/>
      <c r="BC322" s="1442"/>
      <c r="BD322" s="585"/>
      <c r="BE322" s="1431" t="s">
        <v>446</v>
      </c>
      <c r="BF322" s="1431"/>
      <c r="BG322" s="585"/>
      <c r="BH322" s="591" t="s">
        <v>1104</v>
      </c>
      <c r="BI322" s="585"/>
      <c r="BJ322" s="585"/>
      <c r="BK322" s="585"/>
      <c r="BL322" s="1431" t="s">
        <v>1105</v>
      </c>
      <c r="BM322" s="1431"/>
      <c r="BN322" s="1431"/>
      <c r="BO322" s="585"/>
      <c r="BP322" s="1431" t="s">
        <v>41</v>
      </c>
      <c r="BQ322" s="1431"/>
      <c r="BR322" s="585"/>
      <c r="BS322" s="585"/>
      <c r="BT322" s="1437">
        <f>INT(AE322*AX322*10^-7)</f>
        <v>17514</v>
      </c>
      <c r="BU322" s="1437"/>
      <c r="BV322" s="1437"/>
      <c r="BW322" s="1437"/>
      <c r="BX322" s="1437"/>
      <c r="BY322" s="1437"/>
      <c r="BZ322" s="1437"/>
      <c r="CA322" s="1437"/>
      <c r="CB322" s="1437"/>
      <c r="CC322" s="1437"/>
      <c r="CD322" s="585"/>
      <c r="CE322" s="585"/>
      <c r="CF322" s="586"/>
    </row>
    <row r="323" spans="1:84" s="583" customFormat="1" ht="23.1" customHeight="1">
      <c r="A323" s="592"/>
      <c r="B323" s="593" t="s">
        <v>1106</v>
      </c>
      <c r="C323" s="593"/>
      <c r="D323" s="593"/>
      <c r="E323" s="593"/>
      <c r="F323" s="593"/>
      <c r="G323" s="593"/>
      <c r="H323" s="593"/>
      <c r="I323" s="593"/>
      <c r="J323" s="593"/>
      <c r="K323" s="593"/>
      <c r="L323" s="593"/>
      <c r="M323" s="593"/>
      <c r="N323" s="593"/>
      <c r="O323" s="593"/>
      <c r="P323" s="593"/>
      <c r="Q323" s="593"/>
      <c r="R323" s="593"/>
      <c r="S323" s="593"/>
      <c r="T323" s="593"/>
      <c r="U323" s="593"/>
      <c r="V323" s="593"/>
      <c r="W323" s="593"/>
      <c r="X323" s="593"/>
      <c r="Y323" s="593"/>
      <c r="Z323" s="593"/>
      <c r="AA323" s="593"/>
      <c r="AB323" s="593"/>
      <c r="AC323" s="593"/>
      <c r="AD323" s="593"/>
      <c r="AE323" s="593"/>
      <c r="AF323" s="593"/>
      <c r="AG323" s="593"/>
      <c r="AH323" s="593"/>
      <c r="AI323" s="593"/>
      <c r="AJ323" s="593"/>
      <c r="AK323" s="593"/>
      <c r="AL323" s="593"/>
      <c r="AM323" s="593"/>
      <c r="AN323" s="593"/>
      <c r="AO323" s="593"/>
      <c r="AP323" s="593"/>
      <c r="AQ323" s="593"/>
      <c r="AR323" s="593"/>
      <c r="AS323" s="593"/>
      <c r="AT323" s="593"/>
      <c r="AU323" s="593"/>
      <c r="AV323" s="593"/>
      <c r="AW323" s="593"/>
      <c r="AX323" s="593"/>
      <c r="AY323" s="593"/>
      <c r="AZ323" s="593"/>
      <c r="BA323" s="593"/>
      <c r="BB323" s="593"/>
      <c r="BC323" s="593"/>
      <c r="BD323" s="593"/>
      <c r="BE323" s="593"/>
      <c r="BF323" s="593"/>
      <c r="BG323" s="593"/>
      <c r="BH323" s="593"/>
      <c r="BI323" s="593"/>
      <c r="BJ323" s="593"/>
      <c r="BK323" s="593"/>
      <c r="BL323" s="593"/>
      <c r="BM323" s="593"/>
      <c r="BN323" s="593"/>
      <c r="BO323" s="593"/>
      <c r="BP323" s="593"/>
      <c r="BQ323" s="593"/>
      <c r="BR323" s="593"/>
      <c r="BS323" s="593"/>
      <c r="BT323" s="594"/>
      <c r="BU323" s="594"/>
      <c r="BV323" s="594"/>
      <c r="BW323" s="594"/>
      <c r="BX323" s="594"/>
      <c r="BY323" s="594"/>
      <c r="BZ323" s="594"/>
      <c r="CA323" s="594"/>
      <c r="CB323" s="594"/>
      <c r="CC323" s="594"/>
      <c r="CD323" s="593"/>
      <c r="CE323" s="593"/>
      <c r="CF323" s="595"/>
    </row>
    <row r="324" spans="1:84" s="583" customFormat="1" ht="23.1" customHeight="1">
      <c r="A324" s="584"/>
      <c r="B324" s="585"/>
      <c r="C324" s="585"/>
      <c r="D324" s="596" t="s">
        <v>268</v>
      </c>
      <c r="E324" s="585"/>
      <c r="F324" s="585"/>
      <c r="G324" s="585"/>
      <c r="H324" s="585"/>
      <c r="I324" s="585"/>
      <c r="J324" s="585"/>
      <c r="K324" s="585"/>
      <c r="L324" s="585"/>
      <c r="M324" s="585"/>
      <c r="N324" s="585"/>
      <c r="O324" s="585"/>
      <c r="P324" s="585"/>
      <c r="Q324" s="585"/>
      <c r="R324" s="585"/>
      <c r="S324" s="585"/>
      <c r="T324" s="574"/>
      <c r="U324" s="574"/>
      <c r="V324" s="1435">
        <f>HLOOKUP(D324,$CJ$1:$CM$3,3,0)</f>
        <v>283297</v>
      </c>
      <c r="W324" s="1435"/>
      <c r="X324" s="1435"/>
      <c r="Y324" s="1435"/>
      <c r="Z324" s="1435"/>
      <c r="AA324" s="1435"/>
      <c r="AB324" s="1435"/>
      <c r="AC324" s="1435"/>
      <c r="AD324" s="1435"/>
      <c r="AE324" s="1435"/>
      <c r="AF324" s="1431" t="s">
        <v>446</v>
      </c>
      <c r="AG324" s="1431"/>
      <c r="AH324" s="574"/>
      <c r="AI324" s="1436" t="s">
        <v>1107</v>
      </c>
      <c r="AJ324" s="1436"/>
      <c r="AK324" s="1436"/>
      <c r="AL324" s="1436"/>
      <c r="AM324" s="585"/>
      <c r="AN324" s="1431" t="s">
        <v>446</v>
      </c>
      <c r="AO324" s="1431"/>
      <c r="AP324" s="585"/>
      <c r="AQ324" s="1436" t="s">
        <v>1108</v>
      </c>
      <c r="AR324" s="1436"/>
      <c r="AS324" s="1436"/>
      <c r="AT324" s="1436"/>
      <c r="AU324" s="1436"/>
      <c r="AV324" s="422"/>
      <c r="AW324" s="1431" t="s">
        <v>446</v>
      </c>
      <c r="AX324" s="1431"/>
      <c r="AY324" s="440"/>
      <c r="AZ324" s="1436" t="s">
        <v>1109</v>
      </c>
      <c r="BA324" s="1436"/>
      <c r="BB324" s="1436"/>
      <c r="BC324" s="1436"/>
      <c r="BD324" s="1436"/>
      <c r="BE324" s="585"/>
      <c r="BF324" s="1431" t="s">
        <v>446</v>
      </c>
      <c r="BG324" s="1431"/>
      <c r="BH324" s="1431">
        <v>1</v>
      </c>
      <c r="BI324" s="1431"/>
      <c r="BJ324" s="1431"/>
      <c r="BK324" s="585"/>
      <c r="BL324" s="585" t="s">
        <v>366</v>
      </c>
      <c r="BM324" s="585"/>
      <c r="BN324" s="585"/>
      <c r="BO324" s="585"/>
      <c r="BP324" s="1431" t="s">
        <v>41</v>
      </c>
      <c r="BQ324" s="1431"/>
      <c r="BR324" s="585"/>
      <c r="BS324" s="585"/>
      <c r="BT324" s="1432">
        <f>INT(V324/8*16/12*25/20*BH324)</f>
        <v>59020</v>
      </c>
      <c r="BU324" s="1432"/>
      <c r="BV324" s="1432"/>
      <c r="BW324" s="1432"/>
      <c r="BX324" s="1432"/>
      <c r="BY324" s="1432"/>
      <c r="BZ324" s="1432"/>
      <c r="CA324" s="1432"/>
      <c r="CB324" s="1432"/>
      <c r="CC324" s="1432"/>
      <c r="CD324" s="585"/>
      <c r="CE324" s="585"/>
      <c r="CF324" s="586"/>
    </row>
    <row r="325" spans="1:84" s="583" customFormat="1" ht="23.1" customHeight="1">
      <c r="A325" s="584"/>
      <c r="B325" s="585"/>
      <c r="C325" s="585"/>
      <c r="D325" s="585"/>
      <c r="E325" s="585"/>
      <c r="F325" s="585"/>
      <c r="G325" s="585"/>
      <c r="H325" s="585"/>
      <c r="I325" s="585"/>
      <c r="J325" s="585"/>
      <c r="K325" s="585"/>
      <c r="L325" s="585"/>
      <c r="M325" s="585"/>
      <c r="N325" s="585"/>
      <c r="O325" s="585"/>
      <c r="P325" s="574"/>
      <c r="Q325" s="574"/>
      <c r="R325" s="574"/>
      <c r="S325" s="574"/>
      <c r="T325" s="574"/>
      <c r="U325" s="574"/>
      <c r="V325" s="574"/>
      <c r="W325" s="574"/>
      <c r="X325" s="574"/>
      <c r="Y325" s="574"/>
      <c r="Z325" s="574"/>
      <c r="AA325" s="574"/>
      <c r="AB325" s="574"/>
      <c r="AC325" s="574"/>
      <c r="AD325" s="574"/>
      <c r="AE325" s="574"/>
      <c r="AF325" s="574"/>
      <c r="AG325" s="574"/>
      <c r="AH325" s="574"/>
      <c r="AI325" s="574"/>
      <c r="AJ325" s="574"/>
      <c r="AK325" s="574"/>
      <c r="AL325" s="574"/>
      <c r="AM325" s="574"/>
      <c r="AN325" s="574"/>
      <c r="AO325" s="574"/>
      <c r="AP325" s="574"/>
      <c r="AQ325" s="574"/>
      <c r="AR325" s="574"/>
      <c r="AS325" s="574"/>
      <c r="AT325" s="574"/>
      <c r="AU325" s="574"/>
      <c r="AV325" s="574"/>
      <c r="AW325" s="574"/>
      <c r="AX325" s="574"/>
      <c r="AY325" s="574"/>
      <c r="AZ325" s="574"/>
      <c r="BA325" s="574"/>
      <c r="BB325" s="574"/>
      <c r="BC325" s="574"/>
      <c r="BD325" s="574"/>
      <c r="BE325" s="574"/>
      <c r="BF325" s="574"/>
      <c r="BG325" s="585"/>
      <c r="BH325" s="585"/>
      <c r="BI325" s="585"/>
      <c r="BJ325" s="585"/>
      <c r="BK325" s="585"/>
      <c r="BL325" s="585"/>
      <c r="BM325" s="585"/>
      <c r="BN325" s="585"/>
      <c r="BO325" s="585"/>
      <c r="BP325" s="1431"/>
      <c r="BQ325" s="1431"/>
      <c r="BR325" s="585"/>
      <c r="BS325" s="585"/>
      <c r="BT325" s="1432"/>
      <c r="BU325" s="1432"/>
      <c r="BV325" s="1432"/>
      <c r="BW325" s="1432"/>
      <c r="BX325" s="1432"/>
      <c r="BY325" s="1432"/>
      <c r="BZ325" s="1432"/>
      <c r="CA325" s="1432"/>
      <c r="CB325" s="1432"/>
      <c r="CC325" s="1432"/>
      <c r="CD325" s="585"/>
      <c r="CE325" s="585"/>
      <c r="CF325" s="586"/>
    </row>
    <row r="326" spans="1:84" s="583" customFormat="1" ht="23.1" customHeight="1">
      <c r="A326" s="584"/>
      <c r="B326" s="585"/>
      <c r="C326" s="585"/>
      <c r="D326" s="585"/>
      <c r="E326" s="585"/>
      <c r="F326" s="585"/>
      <c r="G326" s="585"/>
      <c r="H326" s="585"/>
      <c r="I326" s="585"/>
      <c r="J326" s="585"/>
      <c r="K326" s="585"/>
      <c r="L326" s="585"/>
      <c r="M326" s="585"/>
      <c r="N326" s="585"/>
      <c r="O326" s="585"/>
      <c r="P326" s="585"/>
      <c r="Q326" s="585"/>
      <c r="R326" s="585"/>
      <c r="S326" s="585"/>
      <c r="T326" s="585"/>
      <c r="U326" s="585"/>
      <c r="V326" s="585"/>
      <c r="W326" s="585"/>
      <c r="X326" s="585"/>
      <c r="Y326" s="585"/>
      <c r="Z326" s="585"/>
      <c r="AA326" s="585"/>
      <c r="AB326" s="585"/>
      <c r="AC326" s="585"/>
      <c r="AD326" s="574"/>
      <c r="AE326" s="574"/>
      <c r="AF326" s="574"/>
      <c r="AG326" s="574"/>
      <c r="AH326" s="574"/>
      <c r="AI326" s="574"/>
      <c r="AJ326" s="574"/>
      <c r="AK326" s="574"/>
      <c r="AL326" s="574"/>
      <c r="AM326" s="574"/>
      <c r="AN326" s="574"/>
      <c r="AO326" s="574"/>
      <c r="AP326" s="574"/>
      <c r="AQ326" s="574"/>
      <c r="AR326" s="574"/>
      <c r="AS326" s="585"/>
      <c r="AT326" s="590"/>
      <c r="AU326" s="590"/>
      <c r="AV326" s="585"/>
      <c r="AW326" s="585"/>
      <c r="AX326" s="585"/>
      <c r="AY326" s="585"/>
      <c r="AZ326" s="585"/>
      <c r="BA326" s="585"/>
      <c r="BB326" s="585"/>
      <c r="BC326" s="585"/>
      <c r="BD326" s="585"/>
      <c r="BE326" s="585"/>
      <c r="BF326" s="585"/>
      <c r="BG326" s="585"/>
      <c r="BH326" s="585"/>
      <c r="BI326" s="585"/>
      <c r="BJ326" s="585"/>
      <c r="BK326" s="585"/>
      <c r="BL326" s="585"/>
      <c r="BM326" s="585"/>
      <c r="BN326" s="585"/>
      <c r="BO326" s="585"/>
      <c r="BP326" s="1431" t="s">
        <v>41</v>
      </c>
      <c r="BQ326" s="1431"/>
      <c r="BR326" s="585"/>
      <c r="BS326" s="585"/>
      <c r="BT326" s="1434">
        <f>BT324+BT325</f>
        <v>59020</v>
      </c>
      <c r="BU326" s="1434"/>
      <c r="BV326" s="1434"/>
      <c r="BW326" s="1434"/>
      <c r="BX326" s="1434"/>
      <c r="BY326" s="1434"/>
      <c r="BZ326" s="1434"/>
      <c r="CA326" s="1434"/>
      <c r="CB326" s="1434"/>
      <c r="CC326" s="1434"/>
      <c r="CD326" s="585"/>
      <c r="CE326" s="585"/>
      <c r="CF326" s="586"/>
    </row>
    <row r="327" spans="1:84" s="583" customFormat="1" ht="23.1" customHeight="1">
      <c r="A327" s="592"/>
      <c r="B327" s="593" t="s">
        <v>1110</v>
      </c>
      <c r="C327" s="593"/>
      <c r="D327" s="593"/>
      <c r="E327" s="593"/>
      <c r="F327" s="593"/>
      <c r="G327" s="593"/>
      <c r="H327" s="593"/>
      <c r="I327" s="593"/>
      <c r="J327" s="593"/>
      <c r="K327" s="593"/>
      <c r="L327" s="593"/>
      <c r="M327" s="593"/>
      <c r="N327" s="593"/>
      <c r="O327" s="593"/>
      <c r="P327" s="593"/>
      <c r="Q327" s="593"/>
      <c r="R327" s="593"/>
      <c r="S327" s="593"/>
      <c r="T327" s="593"/>
      <c r="U327" s="593"/>
      <c r="V327" s="593"/>
      <c r="W327" s="593"/>
      <c r="X327" s="593"/>
      <c r="Y327" s="593"/>
      <c r="Z327" s="593"/>
      <c r="AA327" s="593"/>
      <c r="AB327" s="593"/>
      <c r="AC327" s="593"/>
      <c r="AD327" s="593"/>
      <c r="AE327" s="593"/>
      <c r="AF327" s="593"/>
      <c r="AG327" s="593"/>
      <c r="AH327" s="593"/>
      <c r="AI327" s="593"/>
      <c r="AJ327" s="593"/>
      <c r="AK327" s="593"/>
      <c r="AL327" s="593"/>
      <c r="AM327" s="593"/>
      <c r="AN327" s="593"/>
      <c r="AO327" s="593"/>
      <c r="AP327" s="593"/>
      <c r="AQ327" s="593"/>
      <c r="AR327" s="593"/>
      <c r="AS327" s="593"/>
      <c r="AT327" s="593"/>
      <c r="AU327" s="593"/>
      <c r="AV327" s="593"/>
      <c r="AW327" s="593"/>
      <c r="AX327" s="593"/>
      <c r="AY327" s="593"/>
      <c r="AZ327" s="593"/>
      <c r="BA327" s="593"/>
      <c r="BB327" s="593"/>
      <c r="BC327" s="593"/>
      <c r="BD327" s="593"/>
      <c r="BE327" s="593"/>
      <c r="BF327" s="593"/>
      <c r="BG327" s="593"/>
      <c r="BH327" s="593"/>
      <c r="BI327" s="593"/>
      <c r="BJ327" s="593"/>
      <c r="BK327" s="593"/>
      <c r="BL327" s="593"/>
      <c r="BM327" s="593"/>
      <c r="BN327" s="593"/>
      <c r="BO327" s="593"/>
      <c r="BP327" s="593"/>
      <c r="BQ327" s="593"/>
      <c r="BR327" s="593"/>
      <c r="BS327" s="593"/>
      <c r="BT327" s="593"/>
      <c r="BU327" s="593"/>
      <c r="BV327" s="593"/>
      <c r="BW327" s="593"/>
      <c r="BX327" s="593"/>
      <c r="BY327" s="593"/>
      <c r="BZ327" s="593"/>
      <c r="CA327" s="593"/>
      <c r="CB327" s="593"/>
      <c r="CC327" s="593"/>
      <c r="CD327" s="593"/>
      <c r="CE327" s="593"/>
      <c r="CF327" s="595"/>
    </row>
    <row r="328" spans="1:84" s="583" customFormat="1" ht="23.1" customHeight="1">
      <c r="A328" s="584"/>
      <c r="B328" s="585"/>
      <c r="C328" s="585"/>
      <c r="D328" s="596" t="s">
        <v>1094</v>
      </c>
      <c r="E328" s="585"/>
      <c r="F328" s="585"/>
      <c r="G328" s="585"/>
      <c r="H328" s="585"/>
      <c r="I328" s="585"/>
      <c r="J328" s="585"/>
      <c r="K328" s="585"/>
      <c r="L328" s="585"/>
      <c r="M328" s="585"/>
      <c r="N328" s="585"/>
      <c r="O328" s="585"/>
      <c r="P328" s="585"/>
      <c r="Q328" s="585"/>
      <c r="R328" s="585"/>
      <c r="S328" s="585"/>
      <c r="T328" s="585"/>
      <c r="U328" s="585"/>
      <c r="V328" s="585"/>
      <c r="W328" s="585"/>
      <c r="X328" s="585"/>
      <c r="Y328" s="585"/>
      <c r="Z328" s="585"/>
      <c r="AA328" s="585"/>
      <c r="AB328" s="585"/>
      <c r="AC328" s="585"/>
      <c r="AD328" s="585"/>
      <c r="AE328" s="585"/>
      <c r="AF328" s="585"/>
      <c r="AG328" s="585"/>
      <c r="AH328" s="585"/>
      <c r="AI328" s="585"/>
      <c r="AJ328" s="585"/>
      <c r="AK328" s="585"/>
      <c r="AL328" s="585"/>
      <c r="AM328" s="585"/>
      <c r="AN328" s="585"/>
      <c r="AO328" s="585"/>
      <c r="AP328" s="585"/>
      <c r="AQ328" s="585"/>
      <c r="AR328" s="422"/>
      <c r="AS328" s="1435" t="e">
        <f>HLOOKUP(D328,$CN$1:$CO$3,3,0)</f>
        <v>#REF!</v>
      </c>
      <c r="AT328" s="1435"/>
      <c r="AU328" s="1435"/>
      <c r="AV328" s="1435"/>
      <c r="AW328" s="1435"/>
      <c r="AX328" s="1435"/>
      <c r="AY328" s="1435"/>
      <c r="AZ328" s="1435"/>
      <c r="BA328" s="1435"/>
      <c r="BB328" s="1435"/>
      <c r="BC328" s="585"/>
      <c r="BD328" s="1431" t="s">
        <v>446</v>
      </c>
      <c r="BE328" s="1431"/>
      <c r="BF328" s="585"/>
      <c r="BG328" s="1431">
        <v>9.9</v>
      </c>
      <c r="BH328" s="1431"/>
      <c r="BI328" s="1431"/>
      <c r="BJ328" s="1431"/>
      <c r="BK328" s="1431"/>
      <c r="BL328" s="585" t="s">
        <v>1111</v>
      </c>
      <c r="BM328" s="585"/>
      <c r="BN328" s="585"/>
      <c r="BO328" s="585"/>
      <c r="BP328" s="1431" t="s">
        <v>41</v>
      </c>
      <c r="BQ328" s="1431"/>
      <c r="BR328" s="585"/>
      <c r="BS328" s="585"/>
      <c r="BT328" s="1432" t="e">
        <f>INT(AS328*BG328)</f>
        <v>#REF!</v>
      </c>
      <c r="BU328" s="1432"/>
      <c r="BV328" s="1432"/>
      <c r="BW328" s="1432"/>
      <c r="BX328" s="1432"/>
      <c r="BY328" s="1432"/>
      <c r="BZ328" s="1432"/>
      <c r="CA328" s="1432"/>
      <c r="CB328" s="1432"/>
      <c r="CC328" s="1432"/>
      <c r="CD328" s="585"/>
      <c r="CE328" s="585"/>
      <c r="CF328" s="586"/>
    </row>
    <row r="329" spans="1:84" s="583" customFormat="1" ht="23.1" customHeight="1">
      <c r="A329" s="584"/>
      <c r="B329" s="585"/>
      <c r="C329" s="585"/>
      <c r="D329" s="591" t="str">
        <f>"잡재료 (주연료의 "&amp;BG329&amp;"%) :"</f>
        <v>잡재료 (주연료의 22%) :</v>
      </c>
      <c r="E329" s="585"/>
      <c r="F329" s="585"/>
      <c r="G329" s="585"/>
      <c r="H329" s="585"/>
      <c r="I329" s="585"/>
      <c r="J329" s="585"/>
      <c r="K329" s="585"/>
      <c r="L329" s="585"/>
      <c r="M329" s="585"/>
      <c r="N329" s="585"/>
      <c r="O329" s="585"/>
      <c r="P329" s="585"/>
      <c r="Q329" s="585"/>
      <c r="R329" s="585"/>
      <c r="S329" s="585"/>
      <c r="T329" s="585"/>
      <c r="U329" s="585"/>
      <c r="V329" s="585"/>
      <c r="W329" s="585"/>
      <c r="X329" s="585"/>
      <c r="Y329" s="585"/>
      <c r="Z329" s="585"/>
      <c r="AA329" s="585"/>
      <c r="AB329" s="585"/>
      <c r="AC329" s="585"/>
      <c r="AD329" s="585"/>
      <c r="AE329" s="585"/>
      <c r="AF329" s="585"/>
      <c r="AG329" s="585"/>
      <c r="AH329" s="585"/>
      <c r="AI329" s="585"/>
      <c r="AJ329" s="585"/>
      <c r="AK329" s="585"/>
      <c r="AL329" s="585"/>
      <c r="AM329" s="585"/>
      <c r="AN329" s="585"/>
      <c r="AO329" s="585"/>
      <c r="AP329" s="585"/>
      <c r="AQ329" s="585"/>
      <c r="AR329" s="422" t="e">
        <f>BT328</f>
        <v>#REF!</v>
      </c>
      <c r="AS329" s="1430" t="e">
        <f>BT328</f>
        <v>#REF!</v>
      </c>
      <c r="AT329" s="1430"/>
      <c r="AU329" s="1430"/>
      <c r="AV329" s="1430"/>
      <c r="AW329" s="1430"/>
      <c r="AX329" s="1430"/>
      <c r="AY329" s="1430"/>
      <c r="AZ329" s="1430"/>
      <c r="BA329" s="1430"/>
      <c r="BB329" s="1430"/>
      <c r="BC329" s="585"/>
      <c r="BD329" s="1431" t="s">
        <v>446</v>
      </c>
      <c r="BE329" s="1431"/>
      <c r="BF329" s="585"/>
      <c r="BG329" s="1431">
        <v>22</v>
      </c>
      <c r="BH329" s="1431"/>
      <c r="BI329" s="1431"/>
      <c r="BJ329" s="1431"/>
      <c r="BK329" s="1431"/>
      <c r="BL329" s="585" t="s">
        <v>1112</v>
      </c>
      <c r="BM329" s="585"/>
      <c r="BN329" s="585"/>
      <c r="BO329" s="585"/>
      <c r="BP329" s="1431" t="s">
        <v>41</v>
      </c>
      <c r="BQ329" s="1431"/>
      <c r="BR329" s="585"/>
      <c r="BS329" s="585"/>
      <c r="BT329" s="1432" t="e">
        <f>INT(AS329*BG329/100)</f>
        <v>#REF!</v>
      </c>
      <c r="BU329" s="1432"/>
      <c r="BV329" s="1432"/>
      <c r="BW329" s="1432"/>
      <c r="BX329" s="1432"/>
      <c r="BY329" s="1432"/>
      <c r="BZ329" s="1432"/>
      <c r="CA329" s="1432"/>
      <c r="CB329" s="1432"/>
      <c r="CC329" s="1432"/>
      <c r="CD329" s="585"/>
      <c r="CE329" s="585"/>
      <c r="CF329" s="586"/>
    </row>
    <row r="330" spans="1:84" s="583" customFormat="1" ht="23.1" customHeight="1" thickBot="1">
      <c r="A330" s="584"/>
      <c r="B330" s="585"/>
      <c r="C330" s="585"/>
      <c r="D330" s="585"/>
      <c r="E330" s="585"/>
      <c r="F330" s="585"/>
      <c r="G330" s="585"/>
      <c r="H330" s="585"/>
      <c r="I330" s="585"/>
      <c r="J330" s="585"/>
      <c r="K330" s="585"/>
      <c r="L330" s="585"/>
      <c r="M330" s="585"/>
      <c r="N330" s="585"/>
      <c r="O330" s="585"/>
      <c r="P330" s="585"/>
      <c r="Q330" s="585"/>
      <c r="R330" s="585"/>
      <c r="S330" s="585"/>
      <c r="T330" s="585"/>
      <c r="U330" s="585"/>
      <c r="V330" s="585"/>
      <c r="W330" s="585"/>
      <c r="X330" s="585"/>
      <c r="Y330" s="585"/>
      <c r="Z330" s="585"/>
      <c r="AA330" s="585"/>
      <c r="AB330" s="585"/>
      <c r="AC330" s="585"/>
      <c r="AD330" s="585"/>
      <c r="AE330" s="585"/>
      <c r="AF330" s="585"/>
      <c r="AG330" s="585"/>
      <c r="AH330" s="585"/>
      <c r="AI330" s="585"/>
      <c r="AJ330" s="585"/>
      <c r="AK330" s="585"/>
      <c r="AL330" s="585"/>
      <c r="AM330" s="585"/>
      <c r="AN330" s="585"/>
      <c r="AO330" s="585"/>
      <c r="AP330" s="585"/>
      <c r="AQ330" s="585"/>
      <c r="AR330" s="585"/>
      <c r="AS330" s="585"/>
      <c r="AT330" s="585"/>
      <c r="AU330" s="585"/>
      <c r="AV330" s="585"/>
      <c r="AW330" s="585"/>
      <c r="AX330" s="585"/>
      <c r="AY330" s="585"/>
      <c r="AZ330" s="585"/>
      <c r="BA330" s="585"/>
      <c r="BB330" s="585"/>
      <c r="BC330" s="585"/>
      <c r="BD330" s="585"/>
      <c r="BE330" s="585"/>
      <c r="BF330" s="585"/>
      <c r="BG330" s="585"/>
      <c r="BH330" s="585"/>
      <c r="BI330" s="585"/>
      <c r="BJ330" s="585"/>
      <c r="BK330" s="585"/>
      <c r="BL330" s="585"/>
      <c r="BM330" s="585"/>
      <c r="BN330" s="585"/>
      <c r="BO330" s="585"/>
      <c r="BP330" s="1431" t="s">
        <v>41</v>
      </c>
      <c r="BQ330" s="1431"/>
      <c r="BR330" s="585"/>
      <c r="BS330" s="585"/>
      <c r="BT330" s="1433" t="e">
        <f>BT328+BT329</f>
        <v>#REF!</v>
      </c>
      <c r="BU330" s="1433"/>
      <c r="BV330" s="1433"/>
      <c r="BW330" s="1433"/>
      <c r="BX330" s="1433"/>
      <c r="BY330" s="1433"/>
      <c r="BZ330" s="1433"/>
      <c r="CA330" s="1433"/>
      <c r="CB330" s="1433"/>
      <c r="CC330" s="1433"/>
      <c r="CD330" s="585"/>
      <c r="CE330" s="585"/>
      <c r="CF330" s="586"/>
    </row>
    <row r="331" spans="1:84" s="583" customFormat="1" ht="23.1" customHeight="1" thickBot="1">
      <c r="A331" s="597"/>
      <c r="B331" s="598" t="s">
        <v>1113</v>
      </c>
      <c r="C331" s="598"/>
      <c r="D331" s="598"/>
      <c r="E331" s="598"/>
      <c r="F331" s="598"/>
      <c r="G331" s="598"/>
      <c r="H331" s="598"/>
      <c r="I331" s="598"/>
      <c r="J331" s="598"/>
      <c r="K331" s="598"/>
      <c r="L331" s="598"/>
      <c r="M331" s="598"/>
      <c r="N331" s="598"/>
      <c r="O331" s="598"/>
      <c r="P331" s="598"/>
      <c r="Q331" s="598"/>
      <c r="R331" s="598"/>
      <c r="S331" s="598"/>
      <c r="T331" s="598"/>
      <c r="U331" s="598"/>
      <c r="V331" s="598"/>
      <c r="W331" s="598"/>
      <c r="X331" s="598"/>
      <c r="Y331" s="598"/>
      <c r="Z331" s="598"/>
      <c r="AA331" s="598"/>
      <c r="AB331" s="598"/>
      <c r="AC331" s="598"/>
      <c r="AD331" s="598"/>
      <c r="AE331" s="598"/>
      <c r="AF331" s="598"/>
      <c r="AG331" s="598"/>
      <c r="AH331" s="598"/>
      <c r="AI331" s="598"/>
      <c r="AJ331" s="598"/>
      <c r="AK331" s="598"/>
      <c r="AL331" s="598"/>
      <c r="AM331" s="598"/>
      <c r="AN331" s="598"/>
      <c r="AO331" s="598"/>
      <c r="AP331" s="598"/>
      <c r="AQ331" s="598"/>
      <c r="AR331" s="598"/>
      <c r="AS331" s="598"/>
      <c r="AT331" s="598"/>
      <c r="AU331" s="598"/>
      <c r="AV331" s="598"/>
      <c r="AW331" s="598"/>
      <c r="AX331" s="598"/>
      <c r="AY331" s="598"/>
      <c r="AZ331" s="598"/>
      <c r="BA331" s="598"/>
      <c r="BB331" s="598"/>
      <c r="BC331" s="598"/>
      <c r="BD331" s="598"/>
      <c r="BE331" s="598"/>
      <c r="BF331" s="598"/>
      <c r="BG331" s="598"/>
      <c r="BH331" s="598"/>
      <c r="BI331" s="598"/>
      <c r="BJ331" s="598"/>
      <c r="BK331" s="598"/>
      <c r="BL331" s="598"/>
      <c r="BM331" s="598"/>
      <c r="BN331" s="598"/>
      <c r="BO331" s="598"/>
      <c r="BP331" s="598"/>
      <c r="BQ331" s="598"/>
      <c r="BR331" s="598"/>
      <c r="BS331" s="598"/>
      <c r="BT331" s="1429" t="e">
        <f>BT322+BT326+BT330</f>
        <v>#REF!</v>
      </c>
      <c r="BU331" s="1429"/>
      <c r="BV331" s="1429"/>
      <c r="BW331" s="1429"/>
      <c r="BX331" s="1429"/>
      <c r="BY331" s="1429"/>
      <c r="BZ331" s="1429"/>
      <c r="CA331" s="1429"/>
      <c r="CB331" s="1429"/>
      <c r="CC331" s="1429"/>
      <c r="CD331" s="598"/>
      <c r="CE331" s="598"/>
      <c r="CF331" s="599"/>
    </row>
    <row r="332" spans="1:84" s="583" customFormat="1" ht="9.9499999999999993" customHeight="1">
      <c r="A332" s="574"/>
      <c r="B332" s="574"/>
      <c r="C332" s="574"/>
      <c r="D332" s="574"/>
      <c r="E332" s="574"/>
      <c r="F332" s="574"/>
      <c r="G332" s="574"/>
      <c r="H332" s="574"/>
      <c r="I332" s="574"/>
      <c r="J332" s="574"/>
      <c r="K332" s="574"/>
      <c r="L332" s="574"/>
      <c r="M332" s="574"/>
      <c r="N332" s="574"/>
      <c r="O332" s="574"/>
      <c r="P332" s="574"/>
      <c r="Q332" s="574"/>
      <c r="R332" s="574"/>
      <c r="S332" s="574"/>
      <c r="T332" s="574"/>
      <c r="U332" s="574"/>
      <c r="V332" s="574"/>
      <c r="W332" s="574"/>
      <c r="X332" s="574"/>
      <c r="Y332" s="574"/>
      <c r="Z332" s="574"/>
      <c r="AA332" s="574"/>
      <c r="AB332" s="574"/>
      <c r="AC332" s="574"/>
      <c r="AD332" s="574"/>
      <c r="AE332" s="574"/>
      <c r="AF332" s="574"/>
      <c r="AG332" s="574"/>
      <c r="AH332" s="574"/>
      <c r="AI332" s="574"/>
      <c r="AJ332" s="574"/>
      <c r="AK332" s="574"/>
      <c r="AL332" s="574"/>
      <c r="AM332" s="574"/>
      <c r="AN332" s="574"/>
      <c r="AO332" s="574"/>
      <c r="AP332" s="574"/>
      <c r="AQ332" s="574"/>
      <c r="AR332" s="574"/>
      <c r="AS332" s="574"/>
      <c r="AT332" s="574"/>
      <c r="AU332" s="574"/>
      <c r="AV332" s="574"/>
      <c r="AW332" s="574"/>
      <c r="AX332" s="574"/>
      <c r="AY332" s="574"/>
      <c r="AZ332" s="574"/>
      <c r="BA332" s="574"/>
      <c r="BB332" s="574"/>
      <c r="BC332" s="574"/>
      <c r="BD332" s="574"/>
      <c r="BE332" s="574"/>
      <c r="BF332" s="574"/>
      <c r="BG332" s="574"/>
      <c r="BH332" s="574"/>
      <c r="BI332" s="574"/>
      <c r="BJ332" s="574"/>
      <c r="BK332" s="574"/>
      <c r="BL332" s="574"/>
      <c r="BM332" s="574"/>
      <c r="BN332" s="574"/>
      <c r="BO332" s="574"/>
      <c r="BP332" s="574"/>
      <c r="BQ332" s="574"/>
      <c r="BR332" s="574"/>
      <c r="BS332" s="574"/>
      <c r="BT332" s="574"/>
      <c r="BU332" s="574"/>
      <c r="BV332" s="574"/>
      <c r="BW332" s="574"/>
      <c r="BX332" s="574"/>
      <c r="BY332" s="574"/>
      <c r="BZ332" s="574"/>
      <c r="CA332" s="574"/>
      <c r="CB332" s="574"/>
      <c r="CC332" s="574"/>
      <c r="CD332" s="574"/>
      <c r="CE332" s="574"/>
      <c r="CF332" s="574"/>
    </row>
    <row r="333" spans="1:84" s="583" customFormat="1" ht="22.5" customHeight="1" thickBot="1">
      <c r="A333" s="1446" t="s">
        <v>1095</v>
      </c>
      <c r="B333" s="1446"/>
      <c r="C333" s="1446"/>
      <c r="D333" s="1446"/>
      <c r="E333" s="1446"/>
      <c r="F333" s="1446"/>
      <c r="G333" s="1447">
        <f>G318+1</f>
        <v>23</v>
      </c>
      <c r="H333" s="1447"/>
      <c r="I333" s="1447"/>
      <c r="J333" s="1448" t="s">
        <v>1096</v>
      </c>
      <c r="K333" s="1448"/>
      <c r="L333" s="574"/>
      <c r="M333" s="574"/>
      <c r="N333" s="574"/>
      <c r="O333" s="574"/>
      <c r="P333" s="574"/>
      <c r="Q333" s="574"/>
      <c r="R333" s="574"/>
      <c r="S333" s="574"/>
      <c r="T333" s="574"/>
      <c r="U333" s="574"/>
      <c r="V333" s="574"/>
      <c r="W333" s="574"/>
      <c r="X333" s="574"/>
      <c r="Y333" s="574"/>
      <c r="Z333" s="574"/>
      <c r="AA333" s="574"/>
      <c r="AB333" s="574"/>
      <c r="AC333" s="574"/>
      <c r="AD333" s="574"/>
      <c r="AE333" s="574"/>
      <c r="AF333" s="574"/>
      <c r="AG333" s="574"/>
      <c r="AH333" s="574"/>
      <c r="AI333" s="574"/>
      <c r="AJ333" s="574"/>
      <c r="AK333" s="574"/>
      <c r="AL333" s="574"/>
      <c r="AM333" s="574"/>
      <c r="AN333" s="574"/>
      <c r="AO333" s="574"/>
      <c r="AP333" s="574"/>
      <c r="AQ333" s="574"/>
      <c r="AR333" s="574"/>
      <c r="AS333" s="574"/>
      <c r="AT333" s="574"/>
      <c r="AU333" s="574"/>
      <c r="AV333" s="574"/>
      <c r="AW333" s="574"/>
      <c r="AX333" s="574"/>
      <c r="AY333" s="574"/>
      <c r="AZ333" s="574"/>
      <c r="BA333" s="574"/>
      <c r="BB333" s="574"/>
      <c r="BC333" s="574"/>
      <c r="BD333" s="574"/>
      <c r="BE333" s="574"/>
      <c r="BF333" s="574"/>
      <c r="BG333" s="574"/>
      <c r="BH333" s="574"/>
      <c r="BI333" s="574"/>
      <c r="BJ333" s="574"/>
      <c r="BK333" s="574"/>
      <c r="BL333" s="574"/>
      <c r="BM333" s="574"/>
      <c r="BN333" s="574"/>
      <c r="BO333" s="574"/>
      <c r="BP333" s="574"/>
      <c r="BQ333" s="574"/>
      <c r="BR333" s="574"/>
      <c r="BS333" s="574"/>
      <c r="BT333" s="574"/>
      <c r="BU333" s="574"/>
      <c r="BV333" s="574"/>
      <c r="BW333" s="574"/>
      <c r="BX333" s="574"/>
      <c r="BY333" s="574"/>
      <c r="BZ333" s="574"/>
      <c r="CA333" s="574"/>
      <c r="CB333" s="574"/>
      <c r="CC333" s="574"/>
      <c r="CD333" s="574"/>
      <c r="CE333" s="574"/>
      <c r="CF333" s="574"/>
    </row>
    <row r="334" spans="1:84" s="583" customFormat="1" ht="23.1" customHeight="1" thickBot="1">
      <c r="A334" s="1483" t="s">
        <v>1097</v>
      </c>
      <c r="B334" s="1484"/>
      <c r="C334" s="1484"/>
      <c r="D334" s="1484"/>
      <c r="E334" s="1484"/>
      <c r="F334" s="1484"/>
      <c r="G334" s="1484"/>
      <c r="H334" s="1484"/>
      <c r="I334" s="581" t="s">
        <v>277</v>
      </c>
      <c r="J334" s="581"/>
      <c r="K334" s="581"/>
      <c r="L334" s="581"/>
      <c r="M334" s="581"/>
      <c r="N334" s="581"/>
      <c r="O334" s="581"/>
      <c r="P334" s="581"/>
      <c r="Q334" s="581"/>
      <c r="R334" s="581"/>
      <c r="S334" s="581"/>
      <c r="T334" s="581"/>
      <c r="U334" s="581"/>
      <c r="V334" s="581"/>
      <c r="W334" s="581"/>
      <c r="X334" s="581"/>
      <c r="Y334" s="581"/>
      <c r="Z334" s="581"/>
      <c r="AA334" s="581"/>
      <c r="AB334" s="581"/>
      <c r="AC334" s="581"/>
      <c r="AD334" s="581"/>
      <c r="AE334" s="581"/>
      <c r="AF334" s="581"/>
      <c r="AG334" s="581"/>
      <c r="AH334" s="581"/>
      <c r="AI334" s="581"/>
      <c r="AJ334" s="1484" t="s">
        <v>1099</v>
      </c>
      <c r="AK334" s="1484"/>
      <c r="AL334" s="1484"/>
      <c r="AM334" s="1484"/>
      <c r="AN334" s="1484"/>
      <c r="AO334" s="1484"/>
      <c r="AP334" s="1484"/>
      <c r="AQ334" s="581" t="s">
        <v>1134</v>
      </c>
      <c r="AR334" s="581"/>
      <c r="AS334" s="581"/>
      <c r="AT334" s="581"/>
      <c r="AU334" s="581"/>
      <c r="AV334" s="581"/>
      <c r="AW334" s="581"/>
      <c r="AX334" s="581"/>
      <c r="AY334" s="581"/>
      <c r="AZ334" s="581"/>
      <c r="BA334" s="581"/>
      <c r="BB334" s="581"/>
      <c r="BC334" s="581"/>
      <c r="BD334" s="581"/>
      <c r="BE334" s="581"/>
      <c r="BF334" s="581"/>
      <c r="BG334" s="581"/>
      <c r="BH334" s="581"/>
      <c r="BI334" s="581"/>
      <c r="BJ334" s="581"/>
      <c r="BK334" s="581"/>
      <c r="BL334" s="581"/>
      <c r="BM334" s="581"/>
      <c r="BN334" s="581"/>
      <c r="BO334" s="581"/>
      <c r="BP334" s="581"/>
      <c r="BQ334" s="581"/>
      <c r="BR334" s="581"/>
      <c r="BS334" s="581"/>
      <c r="BT334" s="581" t="s">
        <v>1123</v>
      </c>
      <c r="BU334" s="581"/>
      <c r="BV334" s="581"/>
      <c r="BW334" s="581"/>
      <c r="BX334" s="581"/>
      <c r="BY334" s="581"/>
      <c r="BZ334" s="581"/>
      <c r="CA334" s="581"/>
      <c r="CB334" s="581"/>
      <c r="CC334" s="581"/>
      <c r="CD334" s="581"/>
      <c r="CE334" s="581"/>
      <c r="CF334" s="582"/>
    </row>
    <row r="335" spans="1:84" s="583" customFormat="1" ht="23.1" customHeight="1">
      <c r="A335" s="584"/>
      <c r="B335" s="585" t="s">
        <v>1102</v>
      </c>
      <c r="C335" s="585"/>
      <c r="D335" s="585"/>
      <c r="E335" s="585"/>
      <c r="F335" s="585"/>
      <c r="G335" s="585"/>
      <c r="H335" s="585"/>
      <c r="I335" s="585"/>
      <c r="J335" s="585"/>
      <c r="K335" s="585"/>
      <c r="L335" s="585"/>
      <c r="M335" s="585"/>
      <c r="N335" s="585"/>
      <c r="O335" s="585"/>
      <c r="P335" s="585"/>
      <c r="Q335" s="585"/>
      <c r="R335" s="585"/>
      <c r="S335" s="585"/>
      <c r="T335" s="585"/>
      <c r="U335" s="585"/>
      <c r="V335" s="585"/>
      <c r="W335" s="585"/>
      <c r="X335" s="585"/>
      <c r="Y335" s="585"/>
      <c r="Z335" s="585"/>
      <c r="AA335" s="585"/>
      <c r="AB335" s="585"/>
      <c r="AC335" s="585"/>
      <c r="AD335" s="585"/>
      <c r="AE335" s="585"/>
      <c r="AF335" s="585"/>
      <c r="AG335" s="585"/>
      <c r="AH335" s="585"/>
      <c r="AI335" s="585"/>
      <c r="AJ335" s="585"/>
      <c r="AK335" s="585"/>
      <c r="AL335" s="585"/>
      <c r="AM335" s="585"/>
      <c r="AN335" s="585"/>
      <c r="AO335" s="585"/>
      <c r="AP335" s="585"/>
      <c r="AQ335" s="585"/>
      <c r="AR335" s="585"/>
      <c r="AS335" s="585"/>
      <c r="AT335" s="585"/>
      <c r="AU335" s="585"/>
      <c r="AV335" s="585"/>
      <c r="AW335" s="585"/>
      <c r="AX335" s="585"/>
      <c r="AY335" s="585"/>
      <c r="AZ335" s="585"/>
      <c r="BA335" s="585"/>
      <c r="BB335" s="585"/>
      <c r="BC335" s="585"/>
      <c r="BD335" s="585"/>
      <c r="BE335" s="585"/>
      <c r="BF335" s="585"/>
      <c r="BG335" s="585"/>
      <c r="BH335" s="585"/>
      <c r="BI335" s="585"/>
      <c r="BJ335" s="585"/>
      <c r="BK335" s="585"/>
      <c r="BL335" s="585"/>
      <c r="BM335" s="585"/>
      <c r="BN335" s="585"/>
      <c r="BO335" s="585"/>
      <c r="BP335" s="585"/>
      <c r="BQ335" s="585"/>
      <c r="BR335" s="585"/>
      <c r="BS335" s="585"/>
      <c r="BT335" s="585"/>
      <c r="BU335" s="585"/>
      <c r="BV335" s="585"/>
      <c r="BW335" s="585"/>
      <c r="BX335" s="585"/>
      <c r="BY335" s="585"/>
      <c r="BZ335" s="585"/>
      <c r="CA335" s="585"/>
      <c r="CB335" s="585"/>
      <c r="CC335" s="585"/>
      <c r="CD335" s="585"/>
      <c r="CE335" s="585"/>
      <c r="CF335" s="586"/>
    </row>
    <row r="336" spans="1:84" s="583" customFormat="1" ht="23.1" customHeight="1">
      <c r="A336" s="587"/>
      <c r="B336" s="574"/>
      <c r="C336" s="574"/>
      <c r="D336" s="405"/>
      <c r="E336" s="574"/>
      <c r="F336" s="422"/>
      <c r="G336" s="422"/>
      <c r="H336" s="422"/>
      <c r="I336" s="422"/>
      <c r="J336" s="422"/>
      <c r="K336" s="422"/>
      <c r="L336" s="422"/>
      <c r="M336" s="422"/>
      <c r="N336" s="574"/>
      <c r="O336" s="574"/>
      <c r="P336" s="574"/>
      <c r="Q336" s="574"/>
      <c r="R336" s="574"/>
      <c r="S336" s="588"/>
      <c r="T336" s="588"/>
      <c r="U336" s="588"/>
      <c r="V336" s="588"/>
      <c r="W336" s="588"/>
      <c r="X336" s="588"/>
      <c r="Y336" s="588"/>
      <c r="Z336" s="588"/>
      <c r="AA336" s="574"/>
      <c r="AB336" s="588"/>
      <c r="AC336" s="585"/>
      <c r="AD336" s="585"/>
      <c r="AE336" s="600"/>
      <c r="AF336" s="600"/>
      <c r="AG336" s="600"/>
      <c r="AH336" s="600"/>
      <c r="AI336" s="600"/>
      <c r="AJ336" s="600"/>
      <c r="AK336" s="600"/>
      <c r="AL336" s="600"/>
      <c r="AM336" s="585"/>
      <c r="AN336" s="585"/>
      <c r="AO336" s="574"/>
      <c r="AP336" s="430"/>
      <c r="AQ336" s="430"/>
      <c r="AR336" s="430"/>
      <c r="AS336" s="430"/>
      <c r="AT336" s="430"/>
      <c r="AU336" s="430"/>
      <c r="AV336" s="430"/>
      <c r="AW336" s="430"/>
      <c r="AX336" s="430"/>
      <c r="AY336" s="430"/>
      <c r="AZ336" s="430"/>
      <c r="BA336" s="430"/>
      <c r="BB336" s="430"/>
      <c r="BC336" s="430"/>
      <c r="BD336" s="574"/>
      <c r="BE336" s="574"/>
      <c r="BF336" s="574"/>
      <c r="BG336" s="574"/>
      <c r="BH336" s="574"/>
      <c r="BI336" s="574"/>
      <c r="BJ336" s="574"/>
      <c r="BK336" s="574"/>
      <c r="BL336" s="574"/>
      <c r="BM336" s="574"/>
      <c r="BN336" s="574"/>
      <c r="BO336" s="574"/>
      <c r="BP336" s="574"/>
      <c r="BQ336" s="574"/>
      <c r="BR336" s="574"/>
      <c r="BS336" s="574"/>
      <c r="BT336" s="574"/>
      <c r="BU336" s="574"/>
      <c r="BV336" s="574"/>
      <c r="BW336" s="574"/>
      <c r="BX336" s="574"/>
      <c r="BY336" s="574"/>
      <c r="BZ336" s="574"/>
      <c r="CA336" s="574"/>
      <c r="CB336" s="574"/>
      <c r="CC336" s="574"/>
      <c r="CD336" s="574"/>
      <c r="CE336" s="574"/>
      <c r="CF336" s="589"/>
    </row>
    <row r="337" spans="1:84" s="583" customFormat="1" ht="23.1" customHeight="1">
      <c r="A337" s="584"/>
      <c r="B337" s="585"/>
      <c r="C337" s="585"/>
      <c r="D337" s="585"/>
      <c r="E337" s="585"/>
      <c r="F337" s="585"/>
      <c r="G337" s="585"/>
      <c r="H337" s="585"/>
      <c r="I337" s="585"/>
      <c r="J337" s="585"/>
      <c r="K337" s="585"/>
      <c r="L337" s="585"/>
      <c r="M337" s="585"/>
      <c r="N337" s="585"/>
      <c r="O337" s="585"/>
      <c r="P337" s="585"/>
      <c r="Q337" s="585"/>
      <c r="R337" s="585"/>
      <c r="S337" s="585"/>
      <c r="T337" s="585"/>
      <c r="U337" s="585"/>
      <c r="V337" s="590"/>
      <c r="W337" s="590"/>
      <c r="X337" s="590"/>
      <c r="Y337" s="590"/>
      <c r="Z337" s="590"/>
      <c r="AA337" s="590"/>
      <c r="AB337" s="590"/>
      <c r="AC337" s="590"/>
      <c r="AD337" s="574"/>
      <c r="AE337" s="1502">
        <f>$AE$112</f>
        <v>117766000</v>
      </c>
      <c r="AF337" s="1502"/>
      <c r="AG337" s="1502"/>
      <c r="AH337" s="1502"/>
      <c r="AI337" s="1502"/>
      <c r="AJ337" s="1502"/>
      <c r="AK337" s="1502"/>
      <c r="AL337" s="1502"/>
      <c r="AM337" s="1502"/>
      <c r="AN337" s="1502"/>
      <c r="AO337" s="1502"/>
      <c r="AP337" s="1502"/>
      <c r="AQ337" s="1502"/>
      <c r="AR337" s="1502"/>
      <c r="AS337" s="1502"/>
      <c r="AT337" s="1431" t="s">
        <v>446</v>
      </c>
      <c r="AU337" s="1431"/>
      <c r="AV337" s="1441" t="s">
        <v>1103</v>
      </c>
      <c r="AW337" s="1441"/>
      <c r="AX337" s="1442">
        <v>2085</v>
      </c>
      <c r="AY337" s="1442"/>
      <c r="AZ337" s="1442"/>
      <c r="BA337" s="1442"/>
      <c r="BB337" s="1442"/>
      <c r="BC337" s="1442"/>
      <c r="BD337" s="585"/>
      <c r="BE337" s="1431" t="s">
        <v>446</v>
      </c>
      <c r="BF337" s="1431"/>
      <c r="BG337" s="585"/>
      <c r="BH337" s="591" t="s">
        <v>1104</v>
      </c>
      <c r="BI337" s="585"/>
      <c r="BJ337" s="585"/>
      <c r="BK337" s="585"/>
      <c r="BL337" s="1431" t="s">
        <v>1105</v>
      </c>
      <c r="BM337" s="1431"/>
      <c r="BN337" s="1431"/>
      <c r="BO337" s="585"/>
      <c r="BP337" s="1431" t="s">
        <v>41</v>
      </c>
      <c r="BQ337" s="1431"/>
      <c r="BR337" s="585"/>
      <c r="BS337" s="585"/>
      <c r="BT337" s="1437">
        <f>INT(AE337*AX337*10^-7)</f>
        <v>24554</v>
      </c>
      <c r="BU337" s="1437"/>
      <c r="BV337" s="1437"/>
      <c r="BW337" s="1437"/>
      <c r="BX337" s="1437"/>
      <c r="BY337" s="1437"/>
      <c r="BZ337" s="1437"/>
      <c r="CA337" s="1437"/>
      <c r="CB337" s="1437"/>
      <c r="CC337" s="1437"/>
      <c r="CD337" s="585"/>
      <c r="CE337" s="585"/>
      <c r="CF337" s="586"/>
    </row>
    <row r="338" spans="1:84" s="583" customFormat="1" ht="23.1" customHeight="1">
      <c r="A338" s="592"/>
      <c r="B338" s="593" t="s">
        <v>1106</v>
      </c>
      <c r="C338" s="593"/>
      <c r="D338" s="593"/>
      <c r="E338" s="593"/>
      <c r="F338" s="593"/>
      <c r="G338" s="593"/>
      <c r="H338" s="593"/>
      <c r="I338" s="593"/>
      <c r="J338" s="593"/>
      <c r="K338" s="593"/>
      <c r="L338" s="593"/>
      <c r="M338" s="593"/>
      <c r="N338" s="593"/>
      <c r="O338" s="593"/>
      <c r="P338" s="593"/>
      <c r="Q338" s="593"/>
      <c r="R338" s="593"/>
      <c r="S338" s="593"/>
      <c r="T338" s="593"/>
      <c r="U338" s="593"/>
      <c r="V338" s="593"/>
      <c r="W338" s="593"/>
      <c r="X338" s="593"/>
      <c r="Y338" s="593"/>
      <c r="Z338" s="593"/>
      <c r="AA338" s="593"/>
      <c r="AB338" s="593"/>
      <c r="AC338" s="593"/>
      <c r="AD338" s="593"/>
      <c r="AE338" s="593"/>
      <c r="AF338" s="593"/>
      <c r="AG338" s="593"/>
      <c r="AH338" s="593"/>
      <c r="AI338" s="593"/>
      <c r="AJ338" s="593"/>
      <c r="AK338" s="593"/>
      <c r="AL338" s="593"/>
      <c r="AM338" s="593"/>
      <c r="AN338" s="593"/>
      <c r="AO338" s="593"/>
      <c r="AP338" s="593"/>
      <c r="AQ338" s="593"/>
      <c r="AR338" s="593"/>
      <c r="AS338" s="593"/>
      <c r="AT338" s="593"/>
      <c r="AU338" s="593"/>
      <c r="AV338" s="593"/>
      <c r="AW338" s="593"/>
      <c r="AX338" s="593"/>
      <c r="AY338" s="593"/>
      <c r="AZ338" s="593"/>
      <c r="BA338" s="593"/>
      <c r="BB338" s="593"/>
      <c r="BC338" s="593"/>
      <c r="BD338" s="593"/>
      <c r="BE338" s="593"/>
      <c r="BF338" s="593"/>
      <c r="BG338" s="593"/>
      <c r="BH338" s="593"/>
      <c r="BI338" s="593"/>
      <c r="BJ338" s="593"/>
      <c r="BK338" s="593"/>
      <c r="BL338" s="593"/>
      <c r="BM338" s="593"/>
      <c r="BN338" s="593"/>
      <c r="BO338" s="593"/>
      <c r="BP338" s="593"/>
      <c r="BQ338" s="593"/>
      <c r="BR338" s="593"/>
      <c r="BS338" s="593"/>
      <c r="BT338" s="594"/>
      <c r="BU338" s="594"/>
      <c r="BV338" s="594"/>
      <c r="BW338" s="594"/>
      <c r="BX338" s="594"/>
      <c r="BY338" s="594"/>
      <c r="BZ338" s="594"/>
      <c r="CA338" s="594"/>
      <c r="CB338" s="594"/>
      <c r="CC338" s="594"/>
      <c r="CD338" s="593"/>
      <c r="CE338" s="593"/>
      <c r="CF338" s="595"/>
    </row>
    <row r="339" spans="1:84" s="583" customFormat="1" ht="23.1" customHeight="1">
      <c r="A339" s="584"/>
      <c r="B339" s="585"/>
      <c r="C339" s="585"/>
      <c r="D339" s="596" t="s">
        <v>268</v>
      </c>
      <c r="E339" s="585"/>
      <c r="F339" s="585"/>
      <c r="G339" s="585"/>
      <c r="H339" s="585"/>
      <c r="I339" s="585"/>
      <c r="J339" s="585"/>
      <c r="K339" s="585"/>
      <c r="L339" s="585"/>
      <c r="M339" s="585"/>
      <c r="N339" s="585"/>
      <c r="O339" s="585"/>
      <c r="P339" s="585"/>
      <c r="Q339" s="585"/>
      <c r="R339" s="585"/>
      <c r="S339" s="585"/>
      <c r="T339" s="574"/>
      <c r="U339" s="574"/>
      <c r="V339" s="1435">
        <f>HLOOKUP(D339,$CJ$1:$CM$3,3,0)</f>
        <v>283297</v>
      </c>
      <c r="W339" s="1435"/>
      <c r="X339" s="1435"/>
      <c r="Y339" s="1435"/>
      <c r="Z339" s="1435"/>
      <c r="AA339" s="1435"/>
      <c r="AB339" s="1435"/>
      <c r="AC339" s="1435"/>
      <c r="AD339" s="1435"/>
      <c r="AE339" s="1435"/>
      <c r="AF339" s="1431" t="s">
        <v>446</v>
      </c>
      <c r="AG339" s="1431"/>
      <c r="AH339" s="574"/>
      <c r="AI339" s="1436" t="s">
        <v>1107</v>
      </c>
      <c r="AJ339" s="1436"/>
      <c r="AK339" s="1436"/>
      <c r="AL339" s="1436"/>
      <c r="AM339" s="585"/>
      <c r="AN339" s="1431" t="s">
        <v>446</v>
      </c>
      <c r="AO339" s="1431"/>
      <c r="AP339" s="585"/>
      <c r="AQ339" s="1436" t="s">
        <v>1108</v>
      </c>
      <c r="AR339" s="1436"/>
      <c r="AS339" s="1436"/>
      <c r="AT339" s="1436"/>
      <c r="AU339" s="1436"/>
      <c r="AV339" s="422"/>
      <c r="AW339" s="1431" t="s">
        <v>446</v>
      </c>
      <c r="AX339" s="1431"/>
      <c r="AY339" s="440"/>
      <c r="AZ339" s="1436" t="s">
        <v>1109</v>
      </c>
      <c r="BA339" s="1436"/>
      <c r="BB339" s="1436"/>
      <c r="BC339" s="1436"/>
      <c r="BD339" s="1436"/>
      <c r="BE339" s="585"/>
      <c r="BF339" s="1431" t="s">
        <v>446</v>
      </c>
      <c r="BG339" s="1431"/>
      <c r="BH339" s="1431">
        <v>1</v>
      </c>
      <c r="BI339" s="1431"/>
      <c r="BJ339" s="1431"/>
      <c r="BK339" s="585"/>
      <c r="BL339" s="585" t="s">
        <v>366</v>
      </c>
      <c r="BM339" s="585"/>
      <c r="BN339" s="585"/>
      <c r="BO339" s="585"/>
      <c r="BP339" s="1431" t="s">
        <v>41</v>
      </c>
      <c r="BQ339" s="1431"/>
      <c r="BR339" s="585"/>
      <c r="BS339" s="585"/>
      <c r="BT339" s="1432">
        <f>INT(V339/8*16/12*25/20*BH339)</f>
        <v>59020</v>
      </c>
      <c r="BU339" s="1432"/>
      <c r="BV339" s="1432"/>
      <c r="BW339" s="1432"/>
      <c r="BX339" s="1432"/>
      <c r="BY339" s="1432"/>
      <c r="BZ339" s="1432"/>
      <c r="CA339" s="1432"/>
      <c r="CB339" s="1432"/>
      <c r="CC339" s="1432"/>
      <c r="CD339" s="585"/>
      <c r="CE339" s="585"/>
      <c r="CF339" s="586"/>
    </row>
    <row r="340" spans="1:84" s="583" customFormat="1" ht="23.1" customHeight="1">
      <c r="A340" s="584"/>
      <c r="B340" s="585"/>
      <c r="C340" s="585"/>
      <c r="D340" s="585"/>
      <c r="E340" s="585"/>
      <c r="F340" s="585"/>
      <c r="G340" s="585"/>
      <c r="H340" s="585"/>
      <c r="I340" s="585"/>
      <c r="J340" s="585"/>
      <c r="K340" s="585"/>
      <c r="L340" s="585"/>
      <c r="M340" s="585"/>
      <c r="N340" s="585"/>
      <c r="O340" s="585"/>
      <c r="P340" s="574"/>
      <c r="Q340" s="574"/>
      <c r="R340" s="574"/>
      <c r="S340" s="574"/>
      <c r="T340" s="574"/>
      <c r="U340" s="574"/>
      <c r="V340" s="574"/>
      <c r="W340" s="574"/>
      <c r="X340" s="574"/>
      <c r="Y340" s="574"/>
      <c r="Z340" s="574"/>
      <c r="AA340" s="574"/>
      <c r="AB340" s="574"/>
      <c r="AC340" s="574"/>
      <c r="AD340" s="574"/>
      <c r="AE340" s="574"/>
      <c r="AF340" s="574"/>
      <c r="AG340" s="574"/>
      <c r="AH340" s="574"/>
      <c r="AI340" s="574"/>
      <c r="AJ340" s="574"/>
      <c r="AK340" s="574"/>
      <c r="AL340" s="574"/>
      <c r="AM340" s="574"/>
      <c r="AN340" s="574"/>
      <c r="AO340" s="574"/>
      <c r="AP340" s="574"/>
      <c r="AQ340" s="574"/>
      <c r="AR340" s="574"/>
      <c r="AS340" s="574"/>
      <c r="AT340" s="574"/>
      <c r="AU340" s="574"/>
      <c r="AV340" s="574"/>
      <c r="AW340" s="574"/>
      <c r="AX340" s="574"/>
      <c r="AY340" s="574"/>
      <c r="AZ340" s="574"/>
      <c r="BA340" s="574"/>
      <c r="BB340" s="574"/>
      <c r="BC340" s="574"/>
      <c r="BD340" s="574"/>
      <c r="BE340" s="574"/>
      <c r="BF340" s="574"/>
      <c r="BG340" s="585"/>
      <c r="BH340" s="585"/>
      <c r="BI340" s="585"/>
      <c r="BJ340" s="585"/>
      <c r="BK340" s="585"/>
      <c r="BL340" s="585"/>
      <c r="BM340" s="585"/>
      <c r="BN340" s="585"/>
      <c r="BO340" s="585"/>
      <c r="BP340" s="1431"/>
      <c r="BQ340" s="1431"/>
      <c r="BR340" s="585"/>
      <c r="BS340" s="585"/>
      <c r="BT340" s="1432"/>
      <c r="BU340" s="1432"/>
      <c r="BV340" s="1432"/>
      <c r="BW340" s="1432"/>
      <c r="BX340" s="1432"/>
      <c r="BY340" s="1432"/>
      <c r="BZ340" s="1432"/>
      <c r="CA340" s="1432"/>
      <c r="CB340" s="1432"/>
      <c r="CC340" s="1432"/>
      <c r="CD340" s="585"/>
      <c r="CE340" s="585"/>
      <c r="CF340" s="586"/>
    </row>
    <row r="341" spans="1:84" s="583" customFormat="1" ht="23.1" customHeight="1">
      <c r="A341" s="584"/>
      <c r="B341" s="585"/>
      <c r="C341" s="585"/>
      <c r="D341" s="585"/>
      <c r="E341" s="585"/>
      <c r="F341" s="585"/>
      <c r="G341" s="585"/>
      <c r="H341" s="585"/>
      <c r="I341" s="585"/>
      <c r="J341" s="585"/>
      <c r="K341" s="585"/>
      <c r="L341" s="585"/>
      <c r="M341" s="585"/>
      <c r="N341" s="585"/>
      <c r="O341" s="585"/>
      <c r="P341" s="585"/>
      <c r="Q341" s="585"/>
      <c r="R341" s="585"/>
      <c r="S341" s="585"/>
      <c r="T341" s="585"/>
      <c r="U341" s="585"/>
      <c r="V341" s="585"/>
      <c r="W341" s="585"/>
      <c r="X341" s="585"/>
      <c r="Y341" s="585"/>
      <c r="Z341" s="585"/>
      <c r="AA341" s="585"/>
      <c r="AB341" s="585"/>
      <c r="AC341" s="585"/>
      <c r="AD341" s="574"/>
      <c r="AE341" s="574"/>
      <c r="AF341" s="574"/>
      <c r="AG341" s="574"/>
      <c r="AH341" s="574"/>
      <c r="AI341" s="574"/>
      <c r="AJ341" s="574"/>
      <c r="AK341" s="574"/>
      <c r="AL341" s="574"/>
      <c r="AM341" s="574"/>
      <c r="AN341" s="574"/>
      <c r="AO341" s="574"/>
      <c r="AP341" s="574"/>
      <c r="AQ341" s="574"/>
      <c r="AR341" s="574"/>
      <c r="AS341" s="585"/>
      <c r="AT341" s="590"/>
      <c r="AU341" s="590"/>
      <c r="AV341" s="585"/>
      <c r="AW341" s="585"/>
      <c r="AX341" s="585"/>
      <c r="AY341" s="585"/>
      <c r="AZ341" s="585"/>
      <c r="BA341" s="585"/>
      <c r="BB341" s="585"/>
      <c r="BC341" s="585"/>
      <c r="BD341" s="585"/>
      <c r="BE341" s="585"/>
      <c r="BF341" s="585"/>
      <c r="BG341" s="585"/>
      <c r="BH341" s="585"/>
      <c r="BI341" s="585"/>
      <c r="BJ341" s="585"/>
      <c r="BK341" s="585"/>
      <c r="BL341" s="585"/>
      <c r="BM341" s="585"/>
      <c r="BN341" s="585"/>
      <c r="BO341" s="585"/>
      <c r="BP341" s="1431" t="s">
        <v>41</v>
      </c>
      <c r="BQ341" s="1431"/>
      <c r="BR341" s="585"/>
      <c r="BS341" s="585"/>
      <c r="BT341" s="1434">
        <f>BT339+BT340</f>
        <v>59020</v>
      </c>
      <c r="BU341" s="1434"/>
      <c r="BV341" s="1434"/>
      <c r="BW341" s="1434"/>
      <c r="BX341" s="1434"/>
      <c r="BY341" s="1434"/>
      <c r="BZ341" s="1434"/>
      <c r="CA341" s="1434"/>
      <c r="CB341" s="1434"/>
      <c r="CC341" s="1434"/>
      <c r="CD341" s="585"/>
      <c r="CE341" s="585"/>
      <c r="CF341" s="586"/>
    </row>
    <row r="342" spans="1:84" s="583" customFormat="1" ht="23.1" customHeight="1">
      <c r="A342" s="592"/>
      <c r="B342" s="593" t="s">
        <v>1110</v>
      </c>
      <c r="C342" s="593"/>
      <c r="D342" s="593"/>
      <c r="E342" s="593"/>
      <c r="F342" s="593"/>
      <c r="G342" s="593"/>
      <c r="H342" s="593"/>
      <c r="I342" s="593"/>
      <c r="J342" s="593"/>
      <c r="K342" s="593"/>
      <c r="L342" s="593"/>
      <c r="M342" s="593"/>
      <c r="N342" s="593"/>
      <c r="O342" s="593"/>
      <c r="P342" s="593"/>
      <c r="Q342" s="593"/>
      <c r="R342" s="593"/>
      <c r="S342" s="593"/>
      <c r="T342" s="593"/>
      <c r="U342" s="593"/>
      <c r="V342" s="593"/>
      <c r="W342" s="593"/>
      <c r="X342" s="593"/>
      <c r="Y342" s="593"/>
      <c r="Z342" s="593"/>
      <c r="AA342" s="593"/>
      <c r="AB342" s="593"/>
      <c r="AC342" s="593"/>
      <c r="AD342" s="593"/>
      <c r="AE342" s="593"/>
      <c r="AF342" s="593"/>
      <c r="AG342" s="593"/>
      <c r="AH342" s="593"/>
      <c r="AI342" s="593"/>
      <c r="AJ342" s="593"/>
      <c r="AK342" s="593"/>
      <c r="AL342" s="593"/>
      <c r="AM342" s="593"/>
      <c r="AN342" s="593"/>
      <c r="AO342" s="593"/>
      <c r="AP342" s="593"/>
      <c r="AQ342" s="593"/>
      <c r="AR342" s="593"/>
      <c r="AS342" s="593"/>
      <c r="AT342" s="593"/>
      <c r="AU342" s="593"/>
      <c r="AV342" s="593"/>
      <c r="AW342" s="593"/>
      <c r="AX342" s="593"/>
      <c r="AY342" s="593"/>
      <c r="AZ342" s="593"/>
      <c r="BA342" s="593"/>
      <c r="BB342" s="593"/>
      <c r="BC342" s="593"/>
      <c r="BD342" s="593"/>
      <c r="BE342" s="593"/>
      <c r="BF342" s="593"/>
      <c r="BG342" s="593"/>
      <c r="BH342" s="593"/>
      <c r="BI342" s="593"/>
      <c r="BJ342" s="593"/>
      <c r="BK342" s="593"/>
      <c r="BL342" s="593"/>
      <c r="BM342" s="593"/>
      <c r="BN342" s="593"/>
      <c r="BO342" s="593"/>
      <c r="BP342" s="593"/>
      <c r="BQ342" s="593"/>
      <c r="BR342" s="593"/>
      <c r="BS342" s="593"/>
      <c r="BT342" s="593"/>
      <c r="BU342" s="593"/>
      <c r="BV342" s="593"/>
      <c r="BW342" s="593"/>
      <c r="BX342" s="593"/>
      <c r="BY342" s="593"/>
      <c r="BZ342" s="593"/>
      <c r="CA342" s="593"/>
      <c r="CB342" s="593"/>
      <c r="CC342" s="593"/>
      <c r="CD342" s="593"/>
      <c r="CE342" s="593"/>
      <c r="CF342" s="595"/>
    </row>
    <row r="343" spans="1:84" s="583" customFormat="1" ht="23.1" customHeight="1">
      <c r="A343" s="584"/>
      <c r="B343" s="585"/>
      <c r="C343" s="585"/>
      <c r="D343" s="596" t="s">
        <v>1094</v>
      </c>
      <c r="E343" s="585"/>
      <c r="F343" s="585"/>
      <c r="G343" s="585"/>
      <c r="H343" s="585"/>
      <c r="I343" s="585"/>
      <c r="J343" s="585"/>
      <c r="K343" s="585"/>
      <c r="L343" s="585"/>
      <c r="M343" s="585"/>
      <c r="N343" s="585"/>
      <c r="O343" s="585"/>
      <c r="P343" s="585"/>
      <c r="Q343" s="585"/>
      <c r="R343" s="585"/>
      <c r="S343" s="585"/>
      <c r="T343" s="585"/>
      <c r="U343" s="585"/>
      <c r="V343" s="585"/>
      <c r="W343" s="585"/>
      <c r="X343" s="585"/>
      <c r="Y343" s="585"/>
      <c r="Z343" s="585"/>
      <c r="AA343" s="585"/>
      <c r="AB343" s="585"/>
      <c r="AC343" s="585"/>
      <c r="AD343" s="585"/>
      <c r="AE343" s="585"/>
      <c r="AF343" s="585"/>
      <c r="AG343" s="585"/>
      <c r="AH343" s="585"/>
      <c r="AI343" s="585"/>
      <c r="AJ343" s="585"/>
      <c r="AK343" s="585"/>
      <c r="AL343" s="585"/>
      <c r="AM343" s="585"/>
      <c r="AN343" s="585"/>
      <c r="AO343" s="585"/>
      <c r="AP343" s="585"/>
      <c r="AQ343" s="585"/>
      <c r="AR343" s="422"/>
      <c r="AS343" s="1435" t="e">
        <f>HLOOKUP(D343,$CN$1:$CO$3,3,0)</f>
        <v>#REF!</v>
      </c>
      <c r="AT343" s="1435"/>
      <c r="AU343" s="1435"/>
      <c r="AV343" s="1435"/>
      <c r="AW343" s="1435"/>
      <c r="AX343" s="1435"/>
      <c r="AY343" s="1435"/>
      <c r="AZ343" s="1435"/>
      <c r="BA343" s="1435"/>
      <c r="BB343" s="1435"/>
      <c r="BC343" s="585"/>
      <c r="BD343" s="1431" t="s">
        <v>446</v>
      </c>
      <c r="BE343" s="1431"/>
      <c r="BF343" s="585"/>
      <c r="BG343" s="1431">
        <v>11.6</v>
      </c>
      <c r="BH343" s="1431"/>
      <c r="BI343" s="1431"/>
      <c r="BJ343" s="1431"/>
      <c r="BK343" s="1431"/>
      <c r="BL343" s="585" t="s">
        <v>1111</v>
      </c>
      <c r="BM343" s="585"/>
      <c r="BN343" s="585"/>
      <c r="BO343" s="585"/>
      <c r="BP343" s="1431" t="s">
        <v>41</v>
      </c>
      <c r="BQ343" s="1431"/>
      <c r="BR343" s="585"/>
      <c r="BS343" s="585"/>
      <c r="BT343" s="1432" t="e">
        <f>INT(AS343*BG343)</f>
        <v>#REF!</v>
      </c>
      <c r="BU343" s="1432"/>
      <c r="BV343" s="1432"/>
      <c r="BW343" s="1432"/>
      <c r="BX343" s="1432"/>
      <c r="BY343" s="1432"/>
      <c r="BZ343" s="1432"/>
      <c r="CA343" s="1432"/>
      <c r="CB343" s="1432"/>
      <c r="CC343" s="1432"/>
      <c r="CD343" s="585"/>
      <c r="CE343" s="585"/>
      <c r="CF343" s="586"/>
    </row>
    <row r="344" spans="1:84" s="583" customFormat="1" ht="23.1" customHeight="1">
      <c r="A344" s="584"/>
      <c r="B344" s="585"/>
      <c r="C344" s="585"/>
      <c r="D344" s="591" t="str">
        <f>"잡재료 (주연료의 "&amp;BG344&amp;"%) :"</f>
        <v>잡재료 (주연료의 22%) :</v>
      </c>
      <c r="E344" s="585"/>
      <c r="F344" s="585"/>
      <c r="G344" s="585"/>
      <c r="H344" s="585"/>
      <c r="I344" s="585"/>
      <c r="J344" s="585"/>
      <c r="K344" s="585"/>
      <c r="L344" s="585"/>
      <c r="M344" s="585"/>
      <c r="N344" s="585"/>
      <c r="O344" s="585"/>
      <c r="P344" s="585"/>
      <c r="Q344" s="585"/>
      <c r="R344" s="585"/>
      <c r="S344" s="585"/>
      <c r="T344" s="585"/>
      <c r="U344" s="585"/>
      <c r="V344" s="585"/>
      <c r="W344" s="585"/>
      <c r="X344" s="585"/>
      <c r="Y344" s="585"/>
      <c r="Z344" s="585"/>
      <c r="AA344" s="585"/>
      <c r="AB344" s="585"/>
      <c r="AC344" s="585"/>
      <c r="AD344" s="585"/>
      <c r="AE344" s="585"/>
      <c r="AF344" s="585"/>
      <c r="AG344" s="585"/>
      <c r="AH344" s="585"/>
      <c r="AI344" s="585"/>
      <c r="AJ344" s="585"/>
      <c r="AK344" s="585"/>
      <c r="AL344" s="585"/>
      <c r="AM344" s="585"/>
      <c r="AN344" s="585"/>
      <c r="AO344" s="585"/>
      <c r="AP344" s="585"/>
      <c r="AQ344" s="585"/>
      <c r="AR344" s="422" t="e">
        <f>BT343</f>
        <v>#REF!</v>
      </c>
      <c r="AS344" s="1430" t="e">
        <f>BT343</f>
        <v>#REF!</v>
      </c>
      <c r="AT344" s="1430"/>
      <c r="AU344" s="1430"/>
      <c r="AV344" s="1430"/>
      <c r="AW344" s="1430"/>
      <c r="AX344" s="1430"/>
      <c r="AY344" s="1430"/>
      <c r="AZ344" s="1430"/>
      <c r="BA344" s="1430"/>
      <c r="BB344" s="1430"/>
      <c r="BC344" s="585"/>
      <c r="BD344" s="1431" t="s">
        <v>446</v>
      </c>
      <c r="BE344" s="1431"/>
      <c r="BF344" s="585"/>
      <c r="BG344" s="1431">
        <v>22</v>
      </c>
      <c r="BH344" s="1431"/>
      <c r="BI344" s="1431"/>
      <c r="BJ344" s="1431"/>
      <c r="BK344" s="1431"/>
      <c r="BL344" s="585" t="s">
        <v>1112</v>
      </c>
      <c r="BM344" s="585"/>
      <c r="BN344" s="585"/>
      <c r="BO344" s="585"/>
      <c r="BP344" s="1431" t="s">
        <v>41</v>
      </c>
      <c r="BQ344" s="1431"/>
      <c r="BR344" s="585"/>
      <c r="BS344" s="585"/>
      <c r="BT344" s="1432" t="e">
        <f>INT(AS344*BG344/100)</f>
        <v>#REF!</v>
      </c>
      <c r="BU344" s="1432"/>
      <c r="BV344" s="1432"/>
      <c r="BW344" s="1432"/>
      <c r="BX344" s="1432"/>
      <c r="BY344" s="1432"/>
      <c r="BZ344" s="1432"/>
      <c r="CA344" s="1432"/>
      <c r="CB344" s="1432"/>
      <c r="CC344" s="1432"/>
      <c r="CD344" s="585"/>
      <c r="CE344" s="585"/>
      <c r="CF344" s="586"/>
    </row>
    <row r="345" spans="1:84" s="583" customFormat="1" ht="23.1" customHeight="1" thickBot="1">
      <c r="A345" s="584"/>
      <c r="B345" s="585"/>
      <c r="C345" s="585"/>
      <c r="D345" s="585"/>
      <c r="E345" s="585"/>
      <c r="F345" s="585"/>
      <c r="G345" s="585"/>
      <c r="H345" s="585"/>
      <c r="I345" s="585"/>
      <c r="J345" s="585"/>
      <c r="K345" s="585"/>
      <c r="L345" s="585"/>
      <c r="M345" s="585"/>
      <c r="N345" s="585"/>
      <c r="O345" s="585"/>
      <c r="P345" s="585"/>
      <c r="Q345" s="585"/>
      <c r="R345" s="585"/>
      <c r="S345" s="585"/>
      <c r="T345" s="585"/>
      <c r="U345" s="585"/>
      <c r="V345" s="585"/>
      <c r="W345" s="585"/>
      <c r="X345" s="585"/>
      <c r="Y345" s="585"/>
      <c r="Z345" s="585"/>
      <c r="AA345" s="585"/>
      <c r="AB345" s="585"/>
      <c r="AC345" s="585"/>
      <c r="AD345" s="585"/>
      <c r="AE345" s="585"/>
      <c r="AF345" s="585"/>
      <c r="AG345" s="585"/>
      <c r="AH345" s="585"/>
      <c r="AI345" s="585"/>
      <c r="AJ345" s="585"/>
      <c r="AK345" s="585"/>
      <c r="AL345" s="585"/>
      <c r="AM345" s="585"/>
      <c r="AN345" s="585"/>
      <c r="AO345" s="585"/>
      <c r="AP345" s="585"/>
      <c r="AQ345" s="585"/>
      <c r="AR345" s="585"/>
      <c r="AS345" s="585"/>
      <c r="AT345" s="585"/>
      <c r="AU345" s="585"/>
      <c r="AV345" s="585"/>
      <c r="AW345" s="585"/>
      <c r="AX345" s="585"/>
      <c r="AY345" s="585"/>
      <c r="AZ345" s="585"/>
      <c r="BA345" s="585"/>
      <c r="BB345" s="585"/>
      <c r="BC345" s="585"/>
      <c r="BD345" s="585"/>
      <c r="BE345" s="585"/>
      <c r="BF345" s="585"/>
      <c r="BG345" s="585"/>
      <c r="BH345" s="585"/>
      <c r="BI345" s="585"/>
      <c r="BJ345" s="585"/>
      <c r="BK345" s="585"/>
      <c r="BL345" s="585"/>
      <c r="BM345" s="585"/>
      <c r="BN345" s="585"/>
      <c r="BO345" s="585"/>
      <c r="BP345" s="1431" t="s">
        <v>41</v>
      </c>
      <c r="BQ345" s="1431"/>
      <c r="BR345" s="585"/>
      <c r="BS345" s="585"/>
      <c r="BT345" s="1433" t="e">
        <f>BT343+BT344</f>
        <v>#REF!</v>
      </c>
      <c r="BU345" s="1433"/>
      <c r="BV345" s="1433"/>
      <c r="BW345" s="1433"/>
      <c r="BX345" s="1433"/>
      <c r="BY345" s="1433"/>
      <c r="BZ345" s="1433"/>
      <c r="CA345" s="1433"/>
      <c r="CB345" s="1433"/>
      <c r="CC345" s="1433"/>
      <c r="CD345" s="585"/>
      <c r="CE345" s="585"/>
      <c r="CF345" s="586"/>
    </row>
    <row r="346" spans="1:84" s="583" customFormat="1" ht="23.1" customHeight="1" thickBot="1">
      <c r="A346" s="597"/>
      <c r="B346" s="598" t="s">
        <v>1113</v>
      </c>
      <c r="C346" s="598"/>
      <c r="D346" s="598"/>
      <c r="E346" s="598"/>
      <c r="F346" s="598"/>
      <c r="G346" s="598"/>
      <c r="H346" s="598"/>
      <c r="I346" s="598"/>
      <c r="J346" s="598"/>
      <c r="K346" s="598"/>
      <c r="L346" s="598"/>
      <c r="M346" s="598"/>
      <c r="N346" s="598"/>
      <c r="O346" s="598"/>
      <c r="P346" s="598"/>
      <c r="Q346" s="598"/>
      <c r="R346" s="598"/>
      <c r="S346" s="598"/>
      <c r="T346" s="598"/>
      <c r="U346" s="598"/>
      <c r="V346" s="598"/>
      <c r="W346" s="598"/>
      <c r="X346" s="598"/>
      <c r="Y346" s="598"/>
      <c r="Z346" s="598"/>
      <c r="AA346" s="598"/>
      <c r="AB346" s="598"/>
      <c r="AC346" s="598"/>
      <c r="AD346" s="598"/>
      <c r="AE346" s="598"/>
      <c r="AF346" s="598"/>
      <c r="AG346" s="598"/>
      <c r="AH346" s="598"/>
      <c r="AI346" s="598"/>
      <c r="AJ346" s="598"/>
      <c r="AK346" s="598"/>
      <c r="AL346" s="598"/>
      <c r="AM346" s="598"/>
      <c r="AN346" s="598"/>
      <c r="AO346" s="598"/>
      <c r="AP346" s="598"/>
      <c r="AQ346" s="598"/>
      <c r="AR346" s="598"/>
      <c r="AS346" s="598"/>
      <c r="AT346" s="598"/>
      <c r="AU346" s="598"/>
      <c r="AV346" s="598"/>
      <c r="AW346" s="598"/>
      <c r="AX346" s="598"/>
      <c r="AY346" s="598"/>
      <c r="AZ346" s="598"/>
      <c r="BA346" s="598"/>
      <c r="BB346" s="598"/>
      <c r="BC346" s="598"/>
      <c r="BD346" s="598"/>
      <c r="BE346" s="598"/>
      <c r="BF346" s="598"/>
      <c r="BG346" s="598"/>
      <c r="BH346" s="598"/>
      <c r="BI346" s="598"/>
      <c r="BJ346" s="598"/>
      <c r="BK346" s="598"/>
      <c r="BL346" s="598"/>
      <c r="BM346" s="598"/>
      <c r="BN346" s="598"/>
      <c r="BO346" s="598"/>
      <c r="BP346" s="598"/>
      <c r="BQ346" s="598"/>
      <c r="BR346" s="598"/>
      <c r="BS346" s="598"/>
      <c r="BT346" s="1429" t="e">
        <f>BT337+BT341+BT345</f>
        <v>#REF!</v>
      </c>
      <c r="BU346" s="1429"/>
      <c r="BV346" s="1429"/>
      <c r="BW346" s="1429"/>
      <c r="BX346" s="1429"/>
      <c r="BY346" s="1429"/>
      <c r="BZ346" s="1429"/>
      <c r="CA346" s="1429"/>
      <c r="CB346" s="1429"/>
      <c r="CC346" s="1429"/>
      <c r="CD346" s="598"/>
      <c r="CE346" s="598"/>
      <c r="CF346" s="599"/>
    </row>
    <row r="347" spans="1:84" s="583" customFormat="1" ht="9.9499999999999993" customHeight="1">
      <c r="A347" s="574"/>
      <c r="B347" s="574"/>
      <c r="C347" s="574"/>
      <c r="D347" s="574"/>
      <c r="E347" s="574"/>
      <c r="F347" s="574"/>
      <c r="G347" s="574"/>
      <c r="H347" s="574"/>
      <c r="I347" s="574"/>
      <c r="J347" s="574"/>
      <c r="K347" s="574"/>
      <c r="L347" s="574"/>
      <c r="M347" s="574"/>
      <c r="N347" s="574"/>
      <c r="O347" s="574"/>
      <c r="P347" s="574"/>
      <c r="Q347" s="574"/>
      <c r="R347" s="574"/>
      <c r="S347" s="574"/>
      <c r="T347" s="574"/>
      <c r="U347" s="574"/>
      <c r="V347" s="574"/>
      <c r="W347" s="574"/>
      <c r="X347" s="574"/>
      <c r="Y347" s="574"/>
      <c r="Z347" s="574"/>
      <c r="AA347" s="574"/>
      <c r="AB347" s="574"/>
      <c r="AC347" s="574"/>
      <c r="AD347" s="574"/>
      <c r="AE347" s="574"/>
      <c r="AF347" s="574"/>
      <c r="AG347" s="574"/>
      <c r="AH347" s="574"/>
      <c r="AI347" s="574"/>
      <c r="AJ347" s="574"/>
      <c r="AK347" s="574"/>
      <c r="AL347" s="574"/>
      <c r="AM347" s="574"/>
      <c r="AN347" s="574"/>
      <c r="AO347" s="574"/>
      <c r="AP347" s="574"/>
      <c r="AQ347" s="574"/>
      <c r="AR347" s="574"/>
      <c r="AS347" s="574"/>
      <c r="AT347" s="574"/>
      <c r="AU347" s="574"/>
      <c r="AV347" s="574"/>
      <c r="AW347" s="574"/>
      <c r="AX347" s="574"/>
      <c r="AY347" s="574"/>
      <c r="AZ347" s="574"/>
      <c r="BA347" s="574"/>
      <c r="BB347" s="574"/>
      <c r="BC347" s="574"/>
      <c r="BD347" s="574"/>
      <c r="BE347" s="574"/>
      <c r="BF347" s="574"/>
      <c r="BG347" s="574"/>
      <c r="BH347" s="574"/>
      <c r="BI347" s="574"/>
      <c r="BJ347" s="574"/>
      <c r="BK347" s="574"/>
      <c r="BL347" s="574"/>
      <c r="BM347" s="574"/>
      <c r="BN347" s="574"/>
      <c r="BO347" s="574"/>
      <c r="BP347" s="574"/>
      <c r="BQ347" s="574"/>
      <c r="BR347" s="574"/>
      <c r="BS347" s="574"/>
      <c r="BT347" s="574"/>
      <c r="BU347" s="574"/>
      <c r="BV347" s="574"/>
      <c r="BW347" s="574"/>
      <c r="BX347" s="574"/>
      <c r="BY347" s="574"/>
      <c r="BZ347" s="574"/>
      <c r="CA347" s="574"/>
      <c r="CB347" s="574"/>
      <c r="CC347" s="574"/>
      <c r="CD347" s="574"/>
      <c r="CE347" s="574"/>
      <c r="CF347" s="574"/>
    </row>
    <row r="348" spans="1:84" s="583" customFormat="1" ht="23.1" customHeight="1" thickBot="1">
      <c r="A348" s="1446" t="s">
        <v>1095</v>
      </c>
      <c r="B348" s="1446"/>
      <c r="C348" s="1446"/>
      <c r="D348" s="1446"/>
      <c r="E348" s="1446"/>
      <c r="F348" s="1446"/>
      <c r="G348" s="1447">
        <f>G333+1</f>
        <v>24</v>
      </c>
      <c r="H348" s="1447"/>
      <c r="I348" s="1447"/>
      <c r="J348" s="1448" t="s">
        <v>1096</v>
      </c>
      <c r="K348" s="1448"/>
      <c r="L348" s="574"/>
      <c r="M348" s="574"/>
      <c r="N348" s="574"/>
      <c r="O348" s="574"/>
      <c r="P348" s="574"/>
      <c r="Q348" s="574"/>
      <c r="R348" s="574"/>
      <c r="S348" s="574"/>
      <c r="T348" s="574"/>
      <c r="U348" s="574"/>
      <c r="V348" s="574"/>
      <c r="W348" s="574"/>
      <c r="X348" s="574"/>
      <c r="Y348" s="574"/>
      <c r="Z348" s="574"/>
      <c r="AA348" s="574"/>
      <c r="AB348" s="574"/>
      <c r="AC348" s="574"/>
      <c r="AD348" s="574"/>
      <c r="AE348" s="574"/>
      <c r="AF348" s="574"/>
      <c r="AG348" s="574"/>
      <c r="AH348" s="574"/>
      <c r="AI348" s="574"/>
      <c r="AJ348" s="574"/>
      <c r="AK348" s="574"/>
      <c r="AL348" s="574"/>
      <c r="AM348" s="574"/>
      <c r="AN348" s="574"/>
      <c r="AO348" s="574"/>
      <c r="AP348" s="574"/>
      <c r="AQ348" s="574"/>
      <c r="AR348" s="574"/>
      <c r="AS348" s="574"/>
      <c r="AT348" s="574"/>
      <c r="AU348" s="574"/>
      <c r="AV348" s="574"/>
      <c r="AW348" s="574"/>
      <c r="AX348" s="574"/>
      <c r="AY348" s="574"/>
      <c r="AZ348" s="574"/>
      <c r="BA348" s="574"/>
      <c r="BB348" s="574"/>
      <c r="BC348" s="574"/>
      <c r="BD348" s="574"/>
      <c r="BE348" s="574"/>
      <c r="BF348" s="574"/>
      <c r="BG348" s="574"/>
      <c r="BH348" s="574"/>
      <c r="BI348" s="574"/>
      <c r="BJ348" s="574"/>
      <c r="BK348" s="574"/>
      <c r="BL348" s="574"/>
      <c r="BM348" s="574"/>
      <c r="BN348" s="574"/>
      <c r="BO348" s="574"/>
      <c r="BP348" s="574"/>
      <c r="BQ348" s="574"/>
      <c r="BR348" s="574"/>
      <c r="BS348" s="574"/>
      <c r="BT348" s="574"/>
      <c r="BU348" s="574"/>
      <c r="BV348" s="574"/>
      <c r="BW348" s="574"/>
      <c r="BX348" s="574"/>
      <c r="BY348" s="574"/>
      <c r="BZ348" s="574"/>
      <c r="CA348" s="574"/>
      <c r="CB348" s="574"/>
      <c r="CC348" s="574"/>
      <c r="CD348" s="574"/>
      <c r="CE348" s="574"/>
      <c r="CF348" s="574"/>
    </row>
    <row r="349" spans="1:84" s="583" customFormat="1" ht="23.1" customHeight="1" thickBot="1">
      <c r="A349" s="1483" t="s">
        <v>1097</v>
      </c>
      <c r="B349" s="1484"/>
      <c r="C349" s="1484"/>
      <c r="D349" s="1484"/>
      <c r="E349" s="1484"/>
      <c r="F349" s="1484"/>
      <c r="G349" s="1484"/>
      <c r="H349" s="1484"/>
      <c r="I349" s="581" t="s">
        <v>409</v>
      </c>
      <c r="J349" s="581"/>
      <c r="K349" s="581"/>
      <c r="L349" s="581"/>
      <c r="M349" s="581"/>
      <c r="N349" s="581"/>
      <c r="O349" s="581"/>
      <c r="P349" s="581"/>
      <c r="Q349" s="581"/>
      <c r="R349" s="581"/>
      <c r="S349" s="581"/>
      <c r="T349" s="581"/>
      <c r="U349" s="581"/>
      <c r="V349" s="581"/>
      <c r="W349" s="581"/>
      <c r="X349" s="581"/>
      <c r="Y349" s="581"/>
      <c r="Z349" s="581"/>
      <c r="AA349" s="581"/>
      <c r="AB349" s="581"/>
      <c r="AC349" s="581"/>
      <c r="AD349" s="581"/>
      <c r="AE349" s="581"/>
      <c r="AF349" s="581"/>
      <c r="AG349" s="581"/>
      <c r="AH349" s="581"/>
      <c r="AI349" s="581"/>
      <c r="AJ349" s="1484" t="s">
        <v>1099</v>
      </c>
      <c r="AK349" s="1484"/>
      <c r="AL349" s="1484"/>
      <c r="AM349" s="1484"/>
      <c r="AN349" s="1484"/>
      <c r="AO349" s="1484"/>
      <c r="AP349" s="1484"/>
      <c r="AQ349" s="581" t="s">
        <v>1135</v>
      </c>
      <c r="AR349" s="581"/>
      <c r="AS349" s="581"/>
      <c r="AT349" s="581"/>
      <c r="AU349" s="581"/>
      <c r="AV349" s="581"/>
      <c r="AW349" s="581"/>
      <c r="AX349" s="581"/>
      <c r="AY349" s="581"/>
      <c r="AZ349" s="581"/>
      <c r="BA349" s="581"/>
      <c r="BB349" s="581"/>
      <c r="BC349" s="581"/>
      <c r="BD349" s="581"/>
      <c r="BE349" s="581"/>
      <c r="BF349" s="581"/>
      <c r="BG349" s="581"/>
      <c r="BH349" s="581"/>
      <c r="BI349" s="581"/>
      <c r="BJ349" s="581"/>
      <c r="BK349" s="581"/>
      <c r="BL349" s="581"/>
      <c r="BM349" s="581"/>
      <c r="BN349" s="581"/>
      <c r="BO349" s="581"/>
      <c r="BP349" s="581"/>
      <c r="BQ349" s="581"/>
      <c r="BR349" s="581"/>
      <c r="BS349" s="581"/>
      <c r="BT349" s="581" t="s">
        <v>1130</v>
      </c>
      <c r="BU349" s="581"/>
      <c r="BV349" s="581"/>
      <c r="BW349" s="581"/>
      <c r="BX349" s="581"/>
      <c r="BY349" s="581"/>
      <c r="BZ349" s="581"/>
      <c r="CA349" s="581"/>
      <c r="CB349" s="581"/>
      <c r="CC349" s="581"/>
      <c r="CD349" s="581"/>
      <c r="CE349" s="581"/>
      <c r="CF349" s="582"/>
    </row>
    <row r="350" spans="1:84" s="583" customFormat="1" ht="23.1" customHeight="1">
      <c r="A350" s="584"/>
      <c r="B350" s="585" t="s">
        <v>1102</v>
      </c>
      <c r="C350" s="585"/>
      <c r="D350" s="585"/>
      <c r="E350" s="585"/>
      <c r="F350" s="585"/>
      <c r="G350" s="585"/>
      <c r="H350" s="585"/>
      <c r="I350" s="585"/>
      <c r="J350" s="585"/>
      <c r="K350" s="585"/>
      <c r="L350" s="585"/>
      <c r="M350" s="585"/>
      <c r="N350" s="585"/>
      <c r="O350" s="585"/>
      <c r="P350" s="585"/>
      <c r="Q350" s="585"/>
      <c r="R350" s="585"/>
      <c r="S350" s="585"/>
      <c r="T350" s="585"/>
      <c r="U350" s="585"/>
      <c r="V350" s="585"/>
      <c r="W350" s="585"/>
      <c r="X350" s="585"/>
      <c r="Y350" s="585"/>
      <c r="Z350" s="585"/>
      <c r="AA350" s="585"/>
      <c r="AB350" s="585"/>
      <c r="AC350" s="585"/>
      <c r="AD350" s="585"/>
      <c r="AE350" s="585"/>
      <c r="AF350" s="585"/>
      <c r="AG350" s="585"/>
      <c r="AH350" s="585"/>
      <c r="AI350" s="585"/>
      <c r="AJ350" s="585"/>
      <c r="AK350" s="585"/>
      <c r="AL350" s="585"/>
      <c r="AM350" s="585"/>
      <c r="AN350" s="585"/>
      <c r="AO350" s="585"/>
      <c r="AP350" s="585"/>
      <c r="AQ350" s="585"/>
      <c r="AR350" s="585"/>
      <c r="AS350" s="585"/>
      <c r="AT350" s="585"/>
      <c r="AU350" s="585"/>
      <c r="AV350" s="585"/>
      <c r="AW350" s="585"/>
      <c r="AX350" s="585"/>
      <c r="AY350" s="585"/>
      <c r="AZ350" s="585"/>
      <c r="BA350" s="585"/>
      <c r="BB350" s="585"/>
      <c r="BC350" s="585"/>
      <c r="BD350" s="585"/>
      <c r="BE350" s="585"/>
      <c r="BF350" s="585"/>
      <c r="BG350" s="585"/>
      <c r="BH350" s="585"/>
      <c r="BI350" s="585"/>
      <c r="BJ350" s="585"/>
      <c r="BK350" s="585"/>
      <c r="BL350" s="585"/>
      <c r="BM350" s="585"/>
      <c r="BN350" s="585"/>
      <c r="BO350" s="585"/>
      <c r="BP350" s="585"/>
      <c r="BQ350" s="585"/>
      <c r="BR350" s="585"/>
      <c r="BS350" s="585"/>
      <c r="BT350" s="585"/>
      <c r="BU350" s="585"/>
      <c r="BV350" s="585"/>
      <c r="BW350" s="585"/>
      <c r="BX350" s="585"/>
      <c r="BY350" s="585"/>
      <c r="BZ350" s="585"/>
      <c r="CA350" s="585"/>
      <c r="CB350" s="585"/>
      <c r="CC350" s="585"/>
      <c r="CD350" s="585"/>
      <c r="CE350" s="585"/>
      <c r="CF350" s="586"/>
    </row>
    <row r="351" spans="1:84" s="583" customFormat="1" ht="23.1" customHeight="1">
      <c r="A351" s="587"/>
      <c r="B351" s="574"/>
      <c r="C351" s="574"/>
      <c r="D351" s="405"/>
      <c r="E351" s="574"/>
      <c r="F351" s="422"/>
      <c r="G351" s="422"/>
      <c r="H351" s="422"/>
      <c r="I351" s="422"/>
      <c r="J351" s="422"/>
      <c r="K351" s="422"/>
      <c r="L351" s="422"/>
      <c r="M351" s="422"/>
      <c r="N351" s="574"/>
      <c r="O351" s="574"/>
      <c r="P351" s="574"/>
      <c r="Q351" s="574"/>
      <c r="R351" s="574"/>
      <c r="S351" s="588"/>
      <c r="T351" s="588"/>
      <c r="U351" s="588"/>
      <c r="V351" s="588"/>
      <c r="W351" s="588"/>
      <c r="X351" s="588"/>
      <c r="Y351" s="588"/>
      <c r="Z351" s="588"/>
      <c r="AA351" s="574"/>
      <c r="AB351" s="588"/>
      <c r="AC351" s="585"/>
      <c r="AD351" s="585"/>
      <c r="AE351" s="600"/>
      <c r="AF351" s="600"/>
      <c r="AG351" s="600"/>
      <c r="AH351" s="600"/>
      <c r="AI351" s="600"/>
      <c r="AJ351" s="600"/>
      <c r="AK351" s="600"/>
      <c r="AL351" s="600"/>
      <c r="AM351" s="585"/>
      <c r="AN351" s="585"/>
      <c r="AO351" s="574"/>
      <c r="AP351" s="430"/>
      <c r="AQ351" s="430"/>
      <c r="AR351" s="430"/>
      <c r="AS351" s="430"/>
      <c r="AT351" s="430"/>
      <c r="AU351" s="430"/>
      <c r="AV351" s="430"/>
      <c r="AW351" s="430"/>
      <c r="AX351" s="430"/>
      <c r="AY351" s="430"/>
      <c r="AZ351" s="430"/>
      <c r="BA351" s="430"/>
      <c r="BB351" s="430"/>
      <c r="BC351" s="430"/>
      <c r="BD351" s="574"/>
      <c r="BE351" s="574"/>
      <c r="BF351" s="574"/>
      <c r="BG351" s="574"/>
      <c r="BH351" s="574"/>
      <c r="BI351" s="574"/>
      <c r="BJ351" s="574"/>
      <c r="BK351" s="574"/>
      <c r="BL351" s="574"/>
      <c r="BM351" s="574"/>
      <c r="BN351" s="574"/>
      <c r="BO351" s="574"/>
      <c r="BP351" s="574"/>
      <c r="BQ351" s="574"/>
      <c r="BR351" s="574"/>
      <c r="BS351" s="574"/>
      <c r="BT351" s="574"/>
      <c r="BU351" s="574"/>
      <c r="BV351" s="574"/>
      <c r="BW351" s="574"/>
      <c r="BX351" s="574"/>
      <c r="BY351" s="574"/>
      <c r="BZ351" s="574"/>
      <c r="CA351" s="574"/>
      <c r="CB351" s="574"/>
      <c r="CC351" s="574"/>
      <c r="CD351" s="574"/>
      <c r="CE351" s="574"/>
      <c r="CF351" s="589"/>
    </row>
    <row r="352" spans="1:84" s="583" customFormat="1" ht="23.1" customHeight="1">
      <c r="A352" s="584"/>
      <c r="B352" s="585"/>
      <c r="C352" s="585"/>
      <c r="D352" s="585"/>
      <c r="E352" s="585"/>
      <c r="F352" s="585"/>
      <c r="G352" s="585"/>
      <c r="H352" s="585"/>
      <c r="I352" s="585"/>
      <c r="J352" s="585"/>
      <c r="K352" s="585"/>
      <c r="L352" s="585"/>
      <c r="M352" s="585"/>
      <c r="N352" s="585"/>
      <c r="O352" s="585"/>
      <c r="P352" s="585"/>
      <c r="Q352" s="585"/>
      <c r="R352" s="585"/>
      <c r="S352" s="585"/>
      <c r="T352" s="585"/>
      <c r="U352" s="585"/>
      <c r="V352" s="590"/>
      <c r="W352" s="590"/>
      <c r="X352" s="590"/>
      <c r="Y352" s="590"/>
      <c r="Z352" s="590"/>
      <c r="AA352" s="590"/>
      <c r="AB352" s="590"/>
      <c r="AC352" s="590"/>
      <c r="AD352" s="574"/>
      <c r="AE352" s="1502">
        <f>$AE$277</f>
        <v>69333000</v>
      </c>
      <c r="AF352" s="1502"/>
      <c r="AG352" s="1502"/>
      <c r="AH352" s="1502"/>
      <c r="AI352" s="1502"/>
      <c r="AJ352" s="1502"/>
      <c r="AK352" s="1502"/>
      <c r="AL352" s="1502"/>
      <c r="AM352" s="1502"/>
      <c r="AN352" s="1502"/>
      <c r="AO352" s="1502"/>
      <c r="AP352" s="1502"/>
      <c r="AQ352" s="1502"/>
      <c r="AR352" s="1502"/>
      <c r="AS352" s="1502"/>
      <c r="AT352" s="1431" t="s">
        <v>446</v>
      </c>
      <c r="AU352" s="1431"/>
      <c r="AV352" s="1441" t="s">
        <v>1103</v>
      </c>
      <c r="AW352" s="1441"/>
      <c r="AX352" s="1442">
        <v>2279</v>
      </c>
      <c r="AY352" s="1442"/>
      <c r="AZ352" s="1442"/>
      <c r="BA352" s="1442"/>
      <c r="BB352" s="1442"/>
      <c r="BC352" s="1442"/>
      <c r="BD352" s="585"/>
      <c r="BE352" s="1431" t="s">
        <v>446</v>
      </c>
      <c r="BF352" s="1431"/>
      <c r="BG352" s="585"/>
      <c r="BH352" s="591" t="s">
        <v>1104</v>
      </c>
      <c r="BI352" s="585"/>
      <c r="BJ352" s="585"/>
      <c r="BK352" s="585"/>
      <c r="BL352" s="1431" t="s">
        <v>1105</v>
      </c>
      <c r="BM352" s="1431"/>
      <c r="BN352" s="1431"/>
      <c r="BO352" s="585"/>
      <c r="BP352" s="1431" t="s">
        <v>41</v>
      </c>
      <c r="BQ352" s="1431"/>
      <c r="BR352" s="585"/>
      <c r="BS352" s="585"/>
      <c r="BT352" s="1437">
        <f>INT(AE352*AX352*10^-7)</f>
        <v>15800</v>
      </c>
      <c r="BU352" s="1437"/>
      <c r="BV352" s="1437"/>
      <c r="BW352" s="1437"/>
      <c r="BX352" s="1437"/>
      <c r="BY352" s="1437"/>
      <c r="BZ352" s="1437"/>
      <c r="CA352" s="1437"/>
      <c r="CB352" s="1437"/>
      <c r="CC352" s="1437"/>
      <c r="CD352" s="585"/>
      <c r="CE352" s="585"/>
      <c r="CF352" s="586"/>
    </row>
    <row r="353" spans="1:84" s="583" customFormat="1" ht="23.1" customHeight="1">
      <c r="A353" s="592"/>
      <c r="B353" s="593" t="s">
        <v>1106</v>
      </c>
      <c r="C353" s="593"/>
      <c r="D353" s="593"/>
      <c r="E353" s="593"/>
      <c r="F353" s="593"/>
      <c r="G353" s="593"/>
      <c r="H353" s="593"/>
      <c r="I353" s="593"/>
      <c r="J353" s="593"/>
      <c r="K353" s="593"/>
      <c r="L353" s="593"/>
      <c r="M353" s="593"/>
      <c r="N353" s="593"/>
      <c r="O353" s="593"/>
      <c r="P353" s="593"/>
      <c r="Q353" s="593"/>
      <c r="R353" s="593"/>
      <c r="S353" s="593"/>
      <c r="T353" s="593"/>
      <c r="U353" s="593"/>
      <c r="V353" s="593"/>
      <c r="W353" s="593"/>
      <c r="X353" s="593"/>
      <c r="Y353" s="593"/>
      <c r="Z353" s="593"/>
      <c r="AA353" s="593"/>
      <c r="AB353" s="593"/>
      <c r="AC353" s="593"/>
      <c r="AD353" s="593"/>
      <c r="AE353" s="593"/>
      <c r="AF353" s="593"/>
      <c r="AG353" s="593"/>
      <c r="AH353" s="593"/>
      <c r="AI353" s="593"/>
      <c r="AJ353" s="593"/>
      <c r="AK353" s="593"/>
      <c r="AL353" s="593"/>
      <c r="AM353" s="593"/>
      <c r="AN353" s="593"/>
      <c r="AO353" s="593"/>
      <c r="AP353" s="593"/>
      <c r="AQ353" s="593"/>
      <c r="AR353" s="593"/>
      <c r="AS353" s="593"/>
      <c r="AT353" s="593"/>
      <c r="AU353" s="593"/>
      <c r="AV353" s="593"/>
      <c r="AW353" s="593"/>
      <c r="AX353" s="593"/>
      <c r="AY353" s="593"/>
      <c r="AZ353" s="593"/>
      <c r="BA353" s="593"/>
      <c r="BB353" s="593"/>
      <c r="BC353" s="593"/>
      <c r="BD353" s="593"/>
      <c r="BE353" s="593"/>
      <c r="BF353" s="593"/>
      <c r="BG353" s="593"/>
      <c r="BH353" s="593"/>
      <c r="BI353" s="593"/>
      <c r="BJ353" s="593"/>
      <c r="BK353" s="593"/>
      <c r="BL353" s="593"/>
      <c r="BM353" s="593"/>
      <c r="BN353" s="593"/>
      <c r="BO353" s="593"/>
      <c r="BP353" s="593"/>
      <c r="BQ353" s="593"/>
      <c r="BR353" s="593"/>
      <c r="BS353" s="593"/>
      <c r="BT353" s="594"/>
      <c r="BU353" s="594"/>
      <c r="BV353" s="594"/>
      <c r="BW353" s="594"/>
      <c r="BX353" s="594"/>
      <c r="BY353" s="594"/>
      <c r="BZ353" s="594"/>
      <c r="CA353" s="594"/>
      <c r="CB353" s="594"/>
      <c r="CC353" s="594"/>
      <c r="CD353" s="593"/>
      <c r="CE353" s="593"/>
      <c r="CF353" s="595"/>
    </row>
    <row r="354" spans="1:84" s="583" customFormat="1" ht="23.1" customHeight="1">
      <c r="A354" s="584"/>
      <c r="B354" s="585"/>
      <c r="C354" s="585"/>
      <c r="D354" s="596" t="s">
        <v>268</v>
      </c>
      <c r="E354" s="585"/>
      <c r="F354" s="585"/>
      <c r="G354" s="585"/>
      <c r="H354" s="585"/>
      <c r="I354" s="585"/>
      <c r="J354" s="585"/>
      <c r="K354" s="585"/>
      <c r="L354" s="585"/>
      <c r="M354" s="585"/>
      <c r="N354" s="585"/>
      <c r="O354" s="585"/>
      <c r="P354" s="585"/>
      <c r="Q354" s="585"/>
      <c r="R354" s="585"/>
      <c r="S354" s="585"/>
      <c r="T354" s="574"/>
      <c r="U354" s="574"/>
      <c r="V354" s="1435">
        <f>HLOOKUP(D354,$CJ$1:$CM$3,3,0)</f>
        <v>283297</v>
      </c>
      <c r="W354" s="1435"/>
      <c r="X354" s="1435"/>
      <c r="Y354" s="1435"/>
      <c r="Z354" s="1435"/>
      <c r="AA354" s="1435"/>
      <c r="AB354" s="1435"/>
      <c r="AC354" s="1435"/>
      <c r="AD354" s="1435"/>
      <c r="AE354" s="1435"/>
      <c r="AF354" s="1431" t="s">
        <v>446</v>
      </c>
      <c r="AG354" s="1431"/>
      <c r="AH354" s="574"/>
      <c r="AI354" s="1436" t="s">
        <v>1107</v>
      </c>
      <c r="AJ354" s="1436"/>
      <c r="AK354" s="1436"/>
      <c r="AL354" s="1436"/>
      <c r="AM354" s="585"/>
      <c r="AN354" s="1431" t="s">
        <v>446</v>
      </c>
      <c r="AO354" s="1431"/>
      <c r="AP354" s="585"/>
      <c r="AQ354" s="1436" t="s">
        <v>1108</v>
      </c>
      <c r="AR354" s="1436"/>
      <c r="AS354" s="1436"/>
      <c r="AT354" s="1436"/>
      <c r="AU354" s="1436"/>
      <c r="AV354" s="422"/>
      <c r="AW354" s="1431" t="s">
        <v>446</v>
      </c>
      <c r="AX354" s="1431"/>
      <c r="AY354" s="440"/>
      <c r="AZ354" s="1436" t="s">
        <v>1109</v>
      </c>
      <c r="BA354" s="1436"/>
      <c r="BB354" s="1436"/>
      <c r="BC354" s="1436"/>
      <c r="BD354" s="1436"/>
      <c r="BE354" s="585"/>
      <c r="BF354" s="1431" t="s">
        <v>446</v>
      </c>
      <c r="BG354" s="1431"/>
      <c r="BH354" s="1431">
        <v>1</v>
      </c>
      <c r="BI354" s="1431"/>
      <c r="BJ354" s="1431"/>
      <c r="BK354" s="585"/>
      <c r="BL354" s="585" t="s">
        <v>366</v>
      </c>
      <c r="BM354" s="585"/>
      <c r="BN354" s="585"/>
      <c r="BO354" s="585"/>
      <c r="BP354" s="1431" t="s">
        <v>41</v>
      </c>
      <c r="BQ354" s="1431"/>
      <c r="BR354" s="585"/>
      <c r="BS354" s="585"/>
      <c r="BT354" s="1432">
        <f>INT(V354/8*16/12*25/20*BH354)</f>
        <v>59020</v>
      </c>
      <c r="BU354" s="1432"/>
      <c r="BV354" s="1432"/>
      <c r="BW354" s="1432"/>
      <c r="BX354" s="1432"/>
      <c r="BY354" s="1432"/>
      <c r="BZ354" s="1432"/>
      <c r="CA354" s="1432"/>
      <c r="CB354" s="1432"/>
      <c r="CC354" s="1432"/>
      <c r="CD354" s="585"/>
      <c r="CE354" s="585"/>
      <c r="CF354" s="586"/>
    </row>
    <row r="355" spans="1:84" s="583" customFormat="1" ht="23.1" customHeight="1">
      <c r="A355" s="584"/>
      <c r="B355" s="585"/>
      <c r="C355" s="585"/>
      <c r="D355" s="585"/>
      <c r="E355" s="585"/>
      <c r="F355" s="585"/>
      <c r="G355" s="585"/>
      <c r="H355" s="585"/>
      <c r="I355" s="585"/>
      <c r="J355" s="585"/>
      <c r="K355" s="585"/>
      <c r="L355" s="585"/>
      <c r="M355" s="585"/>
      <c r="N355" s="585"/>
      <c r="O355" s="585"/>
      <c r="P355" s="574"/>
      <c r="Q355" s="574"/>
      <c r="R355" s="574"/>
      <c r="S355" s="574"/>
      <c r="T355" s="574"/>
      <c r="U355" s="574"/>
      <c r="V355" s="574"/>
      <c r="W355" s="574"/>
      <c r="X355" s="574"/>
      <c r="Y355" s="574"/>
      <c r="Z355" s="574"/>
      <c r="AA355" s="574"/>
      <c r="AB355" s="574"/>
      <c r="AC355" s="574"/>
      <c r="AD355" s="574"/>
      <c r="AE355" s="574"/>
      <c r="AF355" s="574"/>
      <c r="AG355" s="574"/>
      <c r="AH355" s="574"/>
      <c r="AI355" s="574"/>
      <c r="AJ355" s="574"/>
      <c r="AK355" s="574"/>
      <c r="AL355" s="574"/>
      <c r="AM355" s="574"/>
      <c r="AN355" s="574"/>
      <c r="AO355" s="574"/>
      <c r="AP355" s="574"/>
      <c r="AQ355" s="574"/>
      <c r="AR355" s="574"/>
      <c r="AS355" s="574"/>
      <c r="AT355" s="574"/>
      <c r="AU355" s="574"/>
      <c r="AV355" s="574"/>
      <c r="AW355" s="574"/>
      <c r="AX355" s="574"/>
      <c r="AY355" s="574"/>
      <c r="AZ355" s="574"/>
      <c r="BA355" s="574"/>
      <c r="BB355" s="574"/>
      <c r="BC355" s="574"/>
      <c r="BD355" s="574"/>
      <c r="BE355" s="574"/>
      <c r="BF355" s="574"/>
      <c r="BG355" s="585"/>
      <c r="BH355" s="585"/>
      <c r="BI355" s="585"/>
      <c r="BJ355" s="585"/>
      <c r="BK355" s="585"/>
      <c r="BL355" s="585"/>
      <c r="BM355" s="585"/>
      <c r="BN355" s="585"/>
      <c r="BO355" s="585"/>
      <c r="BP355" s="1431"/>
      <c r="BQ355" s="1431"/>
      <c r="BR355" s="585"/>
      <c r="BS355" s="585"/>
      <c r="BT355" s="1432"/>
      <c r="BU355" s="1432"/>
      <c r="BV355" s="1432"/>
      <c r="BW355" s="1432"/>
      <c r="BX355" s="1432"/>
      <c r="BY355" s="1432"/>
      <c r="BZ355" s="1432"/>
      <c r="CA355" s="1432"/>
      <c r="CB355" s="1432"/>
      <c r="CC355" s="1432"/>
      <c r="CD355" s="585"/>
      <c r="CE355" s="585"/>
      <c r="CF355" s="586"/>
    </row>
    <row r="356" spans="1:84" s="583" customFormat="1" ht="23.1" customHeight="1">
      <c r="A356" s="584"/>
      <c r="B356" s="585"/>
      <c r="C356" s="585"/>
      <c r="D356" s="585"/>
      <c r="E356" s="585"/>
      <c r="F356" s="585"/>
      <c r="G356" s="585"/>
      <c r="H356" s="585"/>
      <c r="I356" s="585"/>
      <c r="J356" s="585"/>
      <c r="K356" s="585"/>
      <c r="L356" s="585"/>
      <c r="M356" s="585"/>
      <c r="N356" s="585"/>
      <c r="O356" s="585"/>
      <c r="P356" s="585"/>
      <c r="Q356" s="585"/>
      <c r="R356" s="585"/>
      <c r="S356" s="585"/>
      <c r="T356" s="585"/>
      <c r="U356" s="585"/>
      <c r="V356" s="585"/>
      <c r="W356" s="585"/>
      <c r="X356" s="585"/>
      <c r="Y356" s="585"/>
      <c r="Z356" s="585"/>
      <c r="AA356" s="585"/>
      <c r="AB356" s="585"/>
      <c r="AC356" s="585"/>
      <c r="AD356" s="574"/>
      <c r="AE356" s="574"/>
      <c r="AF356" s="574"/>
      <c r="AG356" s="574"/>
      <c r="AH356" s="574"/>
      <c r="AI356" s="574"/>
      <c r="AJ356" s="574"/>
      <c r="AK356" s="574"/>
      <c r="AL356" s="574"/>
      <c r="AM356" s="574"/>
      <c r="AN356" s="574"/>
      <c r="AO356" s="574"/>
      <c r="AP356" s="574"/>
      <c r="AQ356" s="574"/>
      <c r="AR356" s="574"/>
      <c r="AS356" s="585"/>
      <c r="AT356" s="590"/>
      <c r="AU356" s="590"/>
      <c r="AV356" s="585"/>
      <c r="AW356" s="585"/>
      <c r="AX356" s="585"/>
      <c r="AY356" s="585"/>
      <c r="AZ356" s="585"/>
      <c r="BA356" s="585"/>
      <c r="BB356" s="585"/>
      <c r="BC356" s="585"/>
      <c r="BD356" s="585"/>
      <c r="BE356" s="585"/>
      <c r="BF356" s="585"/>
      <c r="BG356" s="585"/>
      <c r="BH356" s="585"/>
      <c r="BI356" s="585"/>
      <c r="BJ356" s="585"/>
      <c r="BK356" s="585"/>
      <c r="BL356" s="585"/>
      <c r="BM356" s="585"/>
      <c r="BN356" s="585"/>
      <c r="BO356" s="585"/>
      <c r="BP356" s="1431" t="s">
        <v>41</v>
      </c>
      <c r="BQ356" s="1431"/>
      <c r="BR356" s="585"/>
      <c r="BS356" s="585"/>
      <c r="BT356" s="1434">
        <f>BT354+BT355</f>
        <v>59020</v>
      </c>
      <c r="BU356" s="1434"/>
      <c r="BV356" s="1434"/>
      <c r="BW356" s="1434"/>
      <c r="BX356" s="1434"/>
      <c r="BY356" s="1434"/>
      <c r="BZ356" s="1434"/>
      <c r="CA356" s="1434"/>
      <c r="CB356" s="1434"/>
      <c r="CC356" s="1434"/>
      <c r="CD356" s="585"/>
      <c r="CE356" s="585"/>
      <c r="CF356" s="586"/>
    </row>
    <row r="357" spans="1:84" s="583" customFormat="1" ht="23.1" customHeight="1">
      <c r="A357" s="592"/>
      <c r="B357" s="593" t="s">
        <v>1110</v>
      </c>
      <c r="C357" s="593"/>
      <c r="D357" s="593"/>
      <c r="E357" s="593"/>
      <c r="F357" s="593"/>
      <c r="G357" s="593"/>
      <c r="H357" s="593"/>
      <c r="I357" s="593"/>
      <c r="J357" s="593"/>
      <c r="K357" s="593"/>
      <c r="L357" s="593"/>
      <c r="M357" s="593"/>
      <c r="N357" s="593"/>
      <c r="O357" s="593"/>
      <c r="P357" s="593"/>
      <c r="Q357" s="593"/>
      <c r="R357" s="593"/>
      <c r="S357" s="593"/>
      <c r="T357" s="593"/>
      <c r="U357" s="593"/>
      <c r="V357" s="593"/>
      <c r="W357" s="593"/>
      <c r="X357" s="593"/>
      <c r="Y357" s="593"/>
      <c r="Z357" s="593"/>
      <c r="AA357" s="593"/>
      <c r="AB357" s="593"/>
      <c r="AC357" s="593"/>
      <c r="AD357" s="593"/>
      <c r="AE357" s="593"/>
      <c r="AF357" s="593"/>
      <c r="AG357" s="593"/>
      <c r="AH357" s="593"/>
      <c r="AI357" s="593"/>
      <c r="AJ357" s="593"/>
      <c r="AK357" s="593"/>
      <c r="AL357" s="593"/>
      <c r="AM357" s="593"/>
      <c r="AN357" s="593"/>
      <c r="AO357" s="593"/>
      <c r="AP357" s="593"/>
      <c r="AQ357" s="593"/>
      <c r="AR357" s="593"/>
      <c r="AS357" s="593"/>
      <c r="AT357" s="593"/>
      <c r="AU357" s="593"/>
      <c r="AV357" s="593"/>
      <c r="AW357" s="593"/>
      <c r="AX357" s="593"/>
      <c r="AY357" s="593"/>
      <c r="AZ357" s="593"/>
      <c r="BA357" s="593"/>
      <c r="BB357" s="593"/>
      <c r="BC357" s="593"/>
      <c r="BD357" s="593"/>
      <c r="BE357" s="593"/>
      <c r="BF357" s="593"/>
      <c r="BG357" s="593"/>
      <c r="BH357" s="593"/>
      <c r="BI357" s="593"/>
      <c r="BJ357" s="593"/>
      <c r="BK357" s="593"/>
      <c r="BL357" s="593"/>
      <c r="BM357" s="593"/>
      <c r="BN357" s="593"/>
      <c r="BO357" s="593"/>
      <c r="BP357" s="593"/>
      <c r="BQ357" s="593"/>
      <c r="BR357" s="593"/>
      <c r="BS357" s="593"/>
      <c r="BT357" s="593"/>
      <c r="BU357" s="593"/>
      <c r="BV357" s="593"/>
      <c r="BW357" s="593"/>
      <c r="BX357" s="593"/>
      <c r="BY357" s="593"/>
      <c r="BZ357" s="593"/>
      <c r="CA357" s="593"/>
      <c r="CB357" s="593"/>
      <c r="CC357" s="593"/>
      <c r="CD357" s="593"/>
      <c r="CE357" s="593"/>
      <c r="CF357" s="595"/>
    </row>
    <row r="358" spans="1:84" s="583" customFormat="1" ht="23.1" customHeight="1">
      <c r="A358" s="584"/>
      <c r="B358" s="585"/>
      <c r="C358" s="585"/>
      <c r="D358" s="596" t="s">
        <v>1094</v>
      </c>
      <c r="E358" s="585"/>
      <c r="F358" s="585"/>
      <c r="G358" s="585"/>
      <c r="H358" s="585"/>
      <c r="I358" s="585"/>
      <c r="J358" s="585"/>
      <c r="K358" s="585"/>
      <c r="L358" s="585"/>
      <c r="M358" s="585"/>
      <c r="N358" s="585"/>
      <c r="O358" s="585"/>
      <c r="P358" s="585"/>
      <c r="Q358" s="585"/>
      <c r="R358" s="585"/>
      <c r="S358" s="585"/>
      <c r="T358" s="585"/>
      <c r="U358" s="585"/>
      <c r="V358" s="585"/>
      <c r="W358" s="585"/>
      <c r="X358" s="585"/>
      <c r="Y358" s="585"/>
      <c r="Z358" s="585"/>
      <c r="AA358" s="585"/>
      <c r="AB358" s="585"/>
      <c r="AC358" s="585"/>
      <c r="AD358" s="585"/>
      <c r="AE358" s="585"/>
      <c r="AF358" s="585"/>
      <c r="AG358" s="585"/>
      <c r="AH358" s="585"/>
      <c r="AI358" s="585"/>
      <c r="AJ358" s="585"/>
      <c r="AK358" s="585"/>
      <c r="AL358" s="585"/>
      <c r="AM358" s="585"/>
      <c r="AN358" s="585"/>
      <c r="AO358" s="585"/>
      <c r="AP358" s="585"/>
      <c r="AQ358" s="585"/>
      <c r="AR358" s="422"/>
      <c r="AS358" s="1435" t="e">
        <f>HLOOKUP(D358,$CN$1:$CO$3,3,0)</f>
        <v>#REF!</v>
      </c>
      <c r="AT358" s="1435"/>
      <c r="AU358" s="1435"/>
      <c r="AV358" s="1435"/>
      <c r="AW358" s="1435"/>
      <c r="AX358" s="1435"/>
      <c r="AY358" s="1435"/>
      <c r="AZ358" s="1435"/>
      <c r="BA358" s="1435"/>
      <c r="BB358" s="1435"/>
      <c r="BC358" s="585"/>
      <c r="BD358" s="1431" t="s">
        <v>446</v>
      </c>
      <c r="BE358" s="1431"/>
      <c r="BF358" s="585"/>
      <c r="BG358" s="1431">
        <v>5.6</v>
      </c>
      <c r="BH358" s="1431"/>
      <c r="BI358" s="1431"/>
      <c r="BJ358" s="1431"/>
      <c r="BK358" s="1431"/>
      <c r="BL358" s="585" t="s">
        <v>1111</v>
      </c>
      <c r="BM358" s="585"/>
      <c r="BN358" s="585"/>
      <c r="BO358" s="585"/>
      <c r="BP358" s="1431" t="s">
        <v>41</v>
      </c>
      <c r="BQ358" s="1431"/>
      <c r="BR358" s="585"/>
      <c r="BS358" s="585"/>
      <c r="BT358" s="1432" t="e">
        <f>INT(AS358*BG358)</f>
        <v>#REF!</v>
      </c>
      <c r="BU358" s="1432"/>
      <c r="BV358" s="1432"/>
      <c r="BW358" s="1432"/>
      <c r="BX358" s="1432"/>
      <c r="BY358" s="1432"/>
      <c r="BZ358" s="1432"/>
      <c r="CA358" s="1432"/>
      <c r="CB358" s="1432"/>
      <c r="CC358" s="1432"/>
      <c r="CD358" s="585"/>
      <c r="CE358" s="585"/>
      <c r="CF358" s="586"/>
    </row>
    <row r="359" spans="1:84" s="583" customFormat="1" ht="23.1" customHeight="1">
      <c r="A359" s="584"/>
      <c r="B359" s="585"/>
      <c r="C359" s="585"/>
      <c r="D359" s="591" t="str">
        <f>"잡재료 (주연료의 "&amp;BG359&amp;"%) :"</f>
        <v>잡재료 (주연료의 24%) :</v>
      </c>
      <c r="E359" s="585"/>
      <c r="F359" s="585"/>
      <c r="G359" s="585"/>
      <c r="H359" s="585"/>
      <c r="I359" s="585"/>
      <c r="J359" s="585"/>
      <c r="K359" s="585"/>
      <c r="L359" s="585"/>
      <c r="M359" s="585"/>
      <c r="N359" s="585"/>
      <c r="O359" s="585"/>
      <c r="P359" s="585"/>
      <c r="Q359" s="585"/>
      <c r="R359" s="585"/>
      <c r="S359" s="585"/>
      <c r="T359" s="585"/>
      <c r="U359" s="585"/>
      <c r="V359" s="585"/>
      <c r="W359" s="585"/>
      <c r="X359" s="585"/>
      <c r="Y359" s="585"/>
      <c r="Z359" s="585"/>
      <c r="AA359" s="585"/>
      <c r="AB359" s="585"/>
      <c r="AC359" s="585"/>
      <c r="AD359" s="585"/>
      <c r="AE359" s="585"/>
      <c r="AF359" s="585"/>
      <c r="AG359" s="585"/>
      <c r="AH359" s="585"/>
      <c r="AI359" s="585"/>
      <c r="AJ359" s="585"/>
      <c r="AK359" s="585"/>
      <c r="AL359" s="585"/>
      <c r="AM359" s="585"/>
      <c r="AN359" s="585"/>
      <c r="AO359" s="585"/>
      <c r="AP359" s="585"/>
      <c r="AQ359" s="585"/>
      <c r="AR359" s="422" t="e">
        <f>BT358</f>
        <v>#REF!</v>
      </c>
      <c r="AS359" s="1430" t="e">
        <f>BT358</f>
        <v>#REF!</v>
      </c>
      <c r="AT359" s="1430"/>
      <c r="AU359" s="1430"/>
      <c r="AV359" s="1430"/>
      <c r="AW359" s="1430"/>
      <c r="AX359" s="1430"/>
      <c r="AY359" s="1430"/>
      <c r="AZ359" s="1430"/>
      <c r="BA359" s="1430"/>
      <c r="BB359" s="1430"/>
      <c r="BC359" s="585"/>
      <c r="BD359" s="1431" t="s">
        <v>446</v>
      </c>
      <c r="BE359" s="1431"/>
      <c r="BF359" s="585"/>
      <c r="BG359" s="1431">
        <v>24</v>
      </c>
      <c r="BH359" s="1431"/>
      <c r="BI359" s="1431"/>
      <c r="BJ359" s="1431"/>
      <c r="BK359" s="1431"/>
      <c r="BL359" s="585" t="s">
        <v>1112</v>
      </c>
      <c r="BM359" s="585"/>
      <c r="BN359" s="585"/>
      <c r="BO359" s="585"/>
      <c r="BP359" s="1431" t="s">
        <v>41</v>
      </c>
      <c r="BQ359" s="1431"/>
      <c r="BR359" s="585"/>
      <c r="BS359" s="585"/>
      <c r="BT359" s="1432" t="e">
        <f>INT(AS359*BG359/100)</f>
        <v>#REF!</v>
      </c>
      <c r="BU359" s="1432"/>
      <c r="BV359" s="1432"/>
      <c r="BW359" s="1432"/>
      <c r="BX359" s="1432"/>
      <c r="BY359" s="1432"/>
      <c r="BZ359" s="1432"/>
      <c r="CA359" s="1432"/>
      <c r="CB359" s="1432"/>
      <c r="CC359" s="1432"/>
      <c r="CD359" s="585"/>
      <c r="CE359" s="585"/>
      <c r="CF359" s="586"/>
    </row>
    <row r="360" spans="1:84" s="583" customFormat="1" ht="23.1" customHeight="1" thickBot="1">
      <c r="A360" s="584"/>
      <c r="B360" s="585"/>
      <c r="C360" s="585"/>
      <c r="D360" s="585"/>
      <c r="E360" s="585"/>
      <c r="F360" s="585"/>
      <c r="G360" s="585"/>
      <c r="H360" s="585"/>
      <c r="I360" s="585"/>
      <c r="J360" s="585"/>
      <c r="K360" s="585"/>
      <c r="L360" s="585"/>
      <c r="M360" s="585"/>
      <c r="N360" s="585"/>
      <c r="O360" s="585"/>
      <c r="P360" s="585"/>
      <c r="Q360" s="585"/>
      <c r="R360" s="585"/>
      <c r="S360" s="585"/>
      <c r="T360" s="585"/>
      <c r="U360" s="585"/>
      <c r="V360" s="585"/>
      <c r="W360" s="585"/>
      <c r="X360" s="585"/>
      <c r="Y360" s="585"/>
      <c r="Z360" s="585"/>
      <c r="AA360" s="585"/>
      <c r="AB360" s="585"/>
      <c r="AC360" s="585"/>
      <c r="AD360" s="585"/>
      <c r="AE360" s="585"/>
      <c r="AF360" s="585"/>
      <c r="AG360" s="585"/>
      <c r="AH360" s="585"/>
      <c r="AI360" s="585"/>
      <c r="AJ360" s="585"/>
      <c r="AK360" s="585"/>
      <c r="AL360" s="585"/>
      <c r="AM360" s="585"/>
      <c r="AN360" s="585"/>
      <c r="AO360" s="585"/>
      <c r="AP360" s="585"/>
      <c r="AQ360" s="585"/>
      <c r="AR360" s="585"/>
      <c r="AS360" s="585"/>
      <c r="AT360" s="585"/>
      <c r="AU360" s="585"/>
      <c r="AV360" s="585"/>
      <c r="AW360" s="585"/>
      <c r="AX360" s="585"/>
      <c r="AY360" s="585"/>
      <c r="AZ360" s="585"/>
      <c r="BA360" s="585"/>
      <c r="BB360" s="585"/>
      <c r="BC360" s="585"/>
      <c r="BD360" s="585"/>
      <c r="BE360" s="585"/>
      <c r="BF360" s="585"/>
      <c r="BG360" s="585"/>
      <c r="BH360" s="585"/>
      <c r="BI360" s="585"/>
      <c r="BJ360" s="585"/>
      <c r="BK360" s="585"/>
      <c r="BL360" s="585"/>
      <c r="BM360" s="585"/>
      <c r="BN360" s="585"/>
      <c r="BO360" s="585"/>
      <c r="BP360" s="1431" t="s">
        <v>41</v>
      </c>
      <c r="BQ360" s="1431"/>
      <c r="BR360" s="585"/>
      <c r="BS360" s="585"/>
      <c r="BT360" s="1433" t="e">
        <f>BT358+BT359</f>
        <v>#REF!</v>
      </c>
      <c r="BU360" s="1433"/>
      <c r="BV360" s="1433"/>
      <c r="BW360" s="1433"/>
      <c r="BX360" s="1433"/>
      <c r="BY360" s="1433"/>
      <c r="BZ360" s="1433"/>
      <c r="CA360" s="1433"/>
      <c r="CB360" s="1433"/>
      <c r="CC360" s="1433"/>
      <c r="CD360" s="585"/>
      <c r="CE360" s="585"/>
      <c r="CF360" s="586"/>
    </row>
    <row r="361" spans="1:84" s="583" customFormat="1" ht="23.1" customHeight="1" thickBot="1">
      <c r="A361" s="597"/>
      <c r="B361" s="598" t="s">
        <v>1113</v>
      </c>
      <c r="C361" s="598"/>
      <c r="D361" s="598"/>
      <c r="E361" s="598"/>
      <c r="F361" s="598"/>
      <c r="G361" s="598"/>
      <c r="H361" s="598"/>
      <c r="I361" s="598"/>
      <c r="J361" s="598"/>
      <c r="K361" s="598"/>
      <c r="L361" s="598"/>
      <c r="M361" s="598"/>
      <c r="N361" s="598"/>
      <c r="O361" s="598"/>
      <c r="P361" s="598"/>
      <c r="Q361" s="598"/>
      <c r="R361" s="598"/>
      <c r="S361" s="598"/>
      <c r="T361" s="598"/>
      <c r="U361" s="598"/>
      <c r="V361" s="598"/>
      <c r="W361" s="598"/>
      <c r="X361" s="598"/>
      <c r="Y361" s="598"/>
      <c r="Z361" s="598"/>
      <c r="AA361" s="598"/>
      <c r="AB361" s="598"/>
      <c r="AC361" s="598"/>
      <c r="AD361" s="598"/>
      <c r="AE361" s="598"/>
      <c r="AF361" s="598"/>
      <c r="AG361" s="598"/>
      <c r="AH361" s="598"/>
      <c r="AI361" s="598"/>
      <c r="AJ361" s="598"/>
      <c r="AK361" s="598"/>
      <c r="AL361" s="598"/>
      <c r="AM361" s="598"/>
      <c r="AN361" s="598"/>
      <c r="AO361" s="598"/>
      <c r="AP361" s="598"/>
      <c r="AQ361" s="598"/>
      <c r="AR361" s="598"/>
      <c r="AS361" s="598"/>
      <c r="AT361" s="598"/>
      <c r="AU361" s="598"/>
      <c r="AV361" s="598"/>
      <c r="AW361" s="598"/>
      <c r="AX361" s="598"/>
      <c r="AY361" s="598"/>
      <c r="AZ361" s="598"/>
      <c r="BA361" s="598"/>
      <c r="BB361" s="598"/>
      <c r="BC361" s="598"/>
      <c r="BD361" s="598"/>
      <c r="BE361" s="598"/>
      <c r="BF361" s="598"/>
      <c r="BG361" s="598"/>
      <c r="BH361" s="598"/>
      <c r="BI361" s="598"/>
      <c r="BJ361" s="598"/>
      <c r="BK361" s="598"/>
      <c r="BL361" s="598"/>
      <c r="BM361" s="598"/>
      <c r="BN361" s="598"/>
      <c r="BO361" s="598"/>
      <c r="BP361" s="598"/>
      <c r="BQ361" s="598"/>
      <c r="BR361" s="598"/>
      <c r="BS361" s="598"/>
      <c r="BT361" s="1429" t="e">
        <f>BT352+BT356+BT360</f>
        <v>#REF!</v>
      </c>
      <c r="BU361" s="1429"/>
      <c r="BV361" s="1429"/>
      <c r="BW361" s="1429"/>
      <c r="BX361" s="1429"/>
      <c r="BY361" s="1429"/>
      <c r="BZ361" s="1429"/>
      <c r="CA361" s="1429"/>
      <c r="CB361" s="1429"/>
      <c r="CC361" s="1429"/>
      <c r="CD361" s="598"/>
      <c r="CE361" s="598"/>
      <c r="CF361" s="599"/>
    </row>
    <row r="362" spans="1:84" s="583" customFormat="1" ht="9.9499999999999993" customHeight="1">
      <c r="A362" s="574"/>
      <c r="B362" s="574"/>
      <c r="C362" s="574"/>
      <c r="D362" s="574"/>
      <c r="E362" s="574"/>
      <c r="F362" s="574"/>
      <c r="G362" s="574"/>
      <c r="H362" s="574"/>
      <c r="I362" s="574"/>
      <c r="J362" s="574"/>
      <c r="K362" s="574"/>
      <c r="L362" s="574"/>
      <c r="M362" s="574"/>
      <c r="N362" s="574"/>
      <c r="O362" s="574"/>
      <c r="P362" s="574"/>
      <c r="Q362" s="574"/>
      <c r="R362" s="574"/>
      <c r="S362" s="574"/>
      <c r="T362" s="574"/>
      <c r="U362" s="574"/>
      <c r="V362" s="574"/>
      <c r="W362" s="574"/>
      <c r="X362" s="574"/>
      <c r="Y362" s="574"/>
      <c r="Z362" s="574"/>
      <c r="AA362" s="574"/>
      <c r="AB362" s="574"/>
      <c r="AC362" s="574"/>
      <c r="AD362" s="574"/>
      <c r="AE362" s="574"/>
      <c r="AF362" s="574"/>
      <c r="AG362" s="574"/>
      <c r="AH362" s="574"/>
      <c r="AI362" s="574"/>
      <c r="AJ362" s="574"/>
      <c r="AK362" s="574"/>
      <c r="AL362" s="574"/>
      <c r="AM362" s="574"/>
      <c r="AN362" s="574"/>
      <c r="AO362" s="574"/>
      <c r="AP362" s="574"/>
      <c r="AQ362" s="574"/>
      <c r="AR362" s="574"/>
      <c r="AS362" s="574"/>
      <c r="AT362" s="574"/>
      <c r="AU362" s="574"/>
      <c r="AV362" s="574"/>
      <c r="AW362" s="574"/>
      <c r="AX362" s="574"/>
      <c r="AY362" s="574"/>
      <c r="AZ362" s="574"/>
      <c r="BA362" s="574"/>
      <c r="BB362" s="574"/>
      <c r="BC362" s="574"/>
      <c r="BD362" s="574"/>
      <c r="BE362" s="574"/>
      <c r="BF362" s="574"/>
      <c r="BG362" s="574"/>
      <c r="BH362" s="574"/>
      <c r="BI362" s="574"/>
      <c r="BJ362" s="574"/>
      <c r="BK362" s="574"/>
      <c r="BL362" s="574"/>
      <c r="BM362" s="574"/>
      <c r="BN362" s="574"/>
      <c r="BO362" s="574"/>
      <c r="BP362" s="574"/>
      <c r="BQ362" s="574"/>
      <c r="BR362" s="574"/>
      <c r="BS362" s="574"/>
      <c r="BT362" s="574"/>
      <c r="BU362" s="574"/>
      <c r="BV362" s="574"/>
      <c r="BW362" s="574"/>
      <c r="BX362" s="574"/>
      <c r="BY362" s="574"/>
      <c r="BZ362" s="574"/>
      <c r="CA362" s="574"/>
      <c r="CB362" s="574"/>
      <c r="CC362" s="574"/>
      <c r="CD362" s="574"/>
      <c r="CE362" s="574"/>
      <c r="CF362" s="574"/>
    </row>
    <row r="363" spans="1:84" s="583" customFormat="1" ht="23.1" customHeight="1" thickBot="1">
      <c r="A363" s="1446" t="s">
        <v>1095</v>
      </c>
      <c r="B363" s="1446"/>
      <c r="C363" s="1446"/>
      <c r="D363" s="1446"/>
      <c r="E363" s="1446"/>
      <c r="F363" s="1446"/>
      <c r="G363" s="1447">
        <f>G348+1</f>
        <v>25</v>
      </c>
      <c r="H363" s="1447"/>
      <c r="I363" s="1447"/>
      <c r="J363" s="1448" t="s">
        <v>1096</v>
      </c>
      <c r="K363" s="1448"/>
      <c r="L363" s="574"/>
      <c r="M363" s="574"/>
      <c r="N363" s="574"/>
      <c r="O363" s="574"/>
      <c r="P363" s="574"/>
      <c r="Q363" s="574"/>
      <c r="R363" s="574"/>
      <c r="S363" s="574"/>
      <c r="T363" s="574"/>
      <c r="U363" s="574"/>
      <c r="V363" s="574"/>
      <c r="W363" s="574"/>
      <c r="X363" s="574"/>
      <c r="Y363" s="574"/>
      <c r="Z363" s="574"/>
      <c r="AA363" s="574"/>
      <c r="AB363" s="574"/>
      <c r="AC363" s="574"/>
      <c r="AD363" s="574"/>
      <c r="AE363" s="574"/>
      <c r="AF363" s="574"/>
      <c r="AG363" s="574"/>
      <c r="AH363" s="574"/>
      <c r="AI363" s="574"/>
      <c r="AJ363" s="574"/>
      <c r="AK363" s="574"/>
      <c r="AL363" s="574"/>
      <c r="AM363" s="574"/>
      <c r="AN363" s="574"/>
      <c r="AO363" s="574"/>
      <c r="AP363" s="574"/>
      <c r="AQ363" s="574"/>
      <c r="AR363" s="574"/>
      <c r="AS363" s="574"/>
      <c r="AT363" s="574"/>
      <c r="AU363" s="574"/>
      <c r="AV363" s="574"/>
      <c r="AW363" s="574"/>
      <c r="AX363" s="574"/>
      <c r="AY363" s="574"/>
      <c r="AZ363" s="574"/>
      <c r="BA363" s="574"/>
      <c r="BB363" s="574"/>
      <c r="BC363" s="574"/>
      <c r="BD363" s="574"/>
      <c r="BE363" s="574"/>
      <c r="BF363" s="574"/>
      <c r="BG363" s="574"/>
      <c r="BH363" s="574"/>
      <c r="BI363" s="574"/>
      <c r="BJ363" s="574"/>
      <c r="BK363" s="574"/>
      <c r="BL363" s="574"/>
      <c r="BM363" s="574"/>
      <c r="BN363" s="574"/>
      <c r="BO363" s="574"/>
      <c r="BP363" s="574"/>
      <c r="BQ363" s="574"/>
      <c r="BR363" s="574"/>
      <c r="BS363" s="574"/>
      <c r="BT363" s="574"/>
      <c r="BU363" s="574"/>
      <c r="BV363" s="574"/>
      <c r="BW363" s="574"/>
      <c r="BX363" s="574"/>
      <c r="BY363" s="574"/>
      <c r="BZ363" s="574"/>
      <c r="CA363" s="574"/>
      <c r="CB363" s="574"/>
      <c r="CC363" s="574"/>
      <c r="CD363" s="574"/>
      <c r="CE363" s="574"/>
      <c r="CF363" s="574"/>
    </row>
    <row r="364" spans="1:84" s="583" customFormat="1" ht="23.1" customHeight="1" thickBot="1">
      <c r="A364" s="1483" t="s">
        <v>1097</v>
      </c>
      <c r="B364" s="1484"/>
      <c r="C364" s="1484"/>
      <c r="D364" s="1484"/>
      <c r="E364" s="1484"/>
      <c r="F364" s="1484"/>
      <c r="G364" s="1484"/>
      <c r="H364" s="1484"/>
      <c r="I364" s="581" t="s">
        <v>409</v>
      </c>
      <c r="J364" s="581"/>
      <c r="K364" s="581"/>
      <c r="L364" s="581"/>
      <c r="M364" s="581"/>
      <c r="N364" s="581"/>
      <c r="O364" s="581"/>
      <c r="P364" s="581"/>
      <c r="Q364" s="581"/>
      <c r="R364" s="581"/>
      <c r="S364" s="581"/>
      <c r="T364" s="581"/>
      <c r="U364" s="581"/>
      <c r="V364" s="581"/>
      <c r="W364" s="581"/>
      <c r="X364" s="581"/>
      <c r="Y364" s="581"/>
      <c r="Z364" s="581"/>
      <c r="AA364" s="581"/>
      <c r="AB364" s="581"/>
      <c r="AC364" s="581"/>
      <c r="AD364" s="581"/>
      <c r="AE364" s="581"/>
      <c r="AF364" s="581"/>
      <c r="AG364" s="581"/>
      <c r="AH364" s="581"/>
      <c r="AI364" s="581"/>
      <c r="AJ364" s="1484" t="s">
        <v>1099</v>
      </c>
      <c r="AK364" s="1484"/>
      <c r="AL364" s="1484"/>
      <c r="AM364" s="1484"/>
      <c r="AN364" s="1484"/>
      <c r="AO364" s="1484"/>
      <c r="AP364" s="1484"/>
      <c r="AQ364" s="581" t="s">
        <v>1136</v>
      </c>
      <c r="AR364" s="581"/>
      <c r="AS364" s="581"/>
      <c r="AT364" s="581"/>
      <c r="AU364" s="581"/>
      <c r="AV364" s="581"/>
      <c r="AW364" s="581"/>
      <c r="AX364" s="581"/>
      <c r="AY364" s="581"/>
      <c r="AZ364" s="581"/>
      <c r="BA364" s="581"/>
      <c r="BB364" s="581"/>
      <c r="BC364" s="581"/>
      <c r="BD364" s="581"/>
      <c r="BE364" s="581"/>
      <c r="BF364" s="581"/>
      <c r="BG364" s="581"/>
      <c r="BH364" s="581"/>
      <c r="BI364" s="581"/>
      <c r="BJ364" s="581"/>
      <c r="BK364" s="581"/>
      <c r="BL364" s="581"/>
      <c r="BM364" s="581"/>
      <c r="BN364" s="581"/>
      <c r="BO364" s="581"/>
      <c r="BP364" s="581"/>
      <c r="BQ364" s="581"/>
      <c r="BR364" s="581"/>
      <c r="BS364" s="581"/>
      <c r="BT364" s="581" t="s">
        <v>1131</v>
      </c>
      <c r="BU364" s="581"/>
      <c r="BV364" s="581"/>
      <c r="BW364" s="581"/>
      <c r="BX364" s="581"/>
      <c r="BY364" s="581"/>
      <c r="BZ364" s="581"/>
      <c r="CA364" s="581"/>
      <c r="CB364" s="581"/>
      <c r="CC364" s="581"/>
      <c r="CD364" s="581"/>
      <c r="CE364" s="581"/>
      <c r="CF364" s="582"/>
    </row>
    <row r="365" spans="1:84" s="583" customFormat="1" ht="23.1" customHeight="1">
      <c r="A365" s="584"/>
      <c r="B365" s="585" t="s">
        <v>1102</v>
      </c>
      <c r="C365" s="585"/>
      <c r="D365" s="585"/>
      <c r="E365" s="585"/>
      <c r="F365" s="585"/>
      <c r="G365" s="585"/>
      <c r="H365" s="585"/>
      <c r="I365" s="585"/>
      <c r="J365" s="585"/>
      <c r="K365" s="585"/>
      <c r="L365" s="585"/>
      <c r="M365" s="585"/>
      <c r="N365" s="585"/>
      <c r="O365" s="585"/>
      <c r="P365" s="585"/>
      <c r="Q365" s="585"/>
      <c r="R365" s="585"/>
      <c r="S365" s="585"/>
      <c r="T365" s="585"/>
      <c r="U365" s="585"/>
      <c r="V365" s="585"/>
      <c r="W365" s="585"/>
      <c r="X365" s="585"/>
      <c r="Y365" s="585"/>
      <c r="Z365" s="585"/>
      <c r="AA365" s="585"/>
      <c r="AB365" s="585"/>
      <c r="AC365" s="585"/>
      <c r="AD365" s="585"/>
      <c r="AE365" s="585"/>
      <c r="AF365" s="585"/>
      <c r="AG365" s="585"/>
      <c r="AH365" s="585"/>
      <c r="AI365" s="585"/>
      <c r="AJ365" s="585"/>
      <c r="AK365" s="585"/>
      <c r="AL365" s="585"/>
      <c r="AM365" s="585"/>
      <c r="AN365" s="585"/>
      <c r="AO365" s="585"/>
      <c r="AP365" s="585"/>
      <c r="AQ365" s="585"/>
      <c r="AR365" s="585"/>
      <c r="AS365" s="585"/>
      <c r="AT365" s="585"/>
      <c r="AU365" s="585"/>
      <c r="AV365" s="585"/>
      <c r="AW365" s="585"/>
      <c r="AX365" s="585"/>
      <c r="AY365" s="585"/>
      <c r="AZ365" s="585"/>
      <c r="BA365" s="585"/>
      <c r="BB365" s="585"/>
      <c r="BC365" s="585"/>
      <c r="BD365" s="585"/>
      <c r="BE365" s="585"/>
      <c r="BF365" s="585"/>
      <c r="BG365" s="585"/>
      <c r="BH365" s="585"/>
      <c r="BI365" s="585"/>
      <c r="BJ365" s="585"/>
      <c r="BK365" s="585"/>
      <c r="BL365" s="585"/>
      <c r="BM365" s="585"/>
      <c r="BN365" s="585"/>
      <c r="BO365" s="585"/>
      <c r="BP365" s="585"/>
      <c r="BQ365" s="585"/>
      <c r="BR365" s="585"/>
      <c r="BS365" s="585"/>
      <c r="BT365" s="585"/>
      <c r="BU365" s="585"/>
      <c r="BV365" s="585"/>
      <c r="BW365" s="585"/>
      <c r="BX365" s="585"/>
      <c r="BY365" s="585"/>
      <c r="BZ365" s="585"/>
      <c r="CA365" s="585"/>
      <c r="CB365" s="585"/>
      <c r="CC365" s="585"/>
      <c r="CD365" s="585"/>
      <c r="CE365" s="585"/>
      <c r="CF365" s="586"/>
    </row>
    <row r="366" spans="1:84" s="583" customFormat="1" ht="23.1" customHeight="1">
      <c r="A366" s="587"/>
      <c r="B366" s="574"/>
      <c r="C366" s="574"/>
      <c r="D366" s="405"/>
      <c r="E366" s="574"/>
      <c r="F366" s="422"/>
      <c r="G366" s="422"/>
      <c r="H366" s="422"/>
      <c r="I366" s="422"/>
      <c r="J366" s="422"/>
      <c r="K366" s="422"/>
      <c r="L366" s="422"/>
      <c r="M366" s="422"/>
      <c r="N366" s="574"/>
      <c r="O366" s="574"/>
      <c r="P366" s="574"/>
      <c r="Q366" s="574"/>
      <c r="R366" s="574"/>
      <c r="S366" s="588"/>
      <c r="T366" s="588"/>
      <c r="U366" s="588"/>
      <c r="V366" s="588"/>
      <c r="W366" s="588"/>
      <c r="X366" s="588"/>
      <c r="Y366" s="588"/>
      <c r="Z366" s="588"/>
      <c r="AA366" s="574"/>
      <c r="AB366" s="588"/>
      <c r="AC366" s="585"/>
      <c r="AD366" s="585"/>
      <c r="AE366" s="600"/>
      <c r="AF366" s="600"/>
      <c r="AG366" s="600"/>
      <c r="AH366" s="600"/>
      <c r="AI366" s="600"/>
      <c r="AJ366" s="600"/>
      <c r="AK366" s="600"/>
      <c r="AL366" s="600"/>
      <c r="AM366" s="585"/>
      <c r="AN366" s="585"/>
      <c r="AO366" s="574"/>
      <c r="AP366" s="430"/>
      <c r="AQ366" s="430"/>
      <c r="AR366" s="430"/>
      <c r="AS366" s="430"/>
      <c r="AT366" s="430"/>
      <c r="AU366" s="430"/>
      <c r="AV366" s="430"/>
      <c r="AW366" s="430"/>
      <c r="AX366" s="430"/>
      <c r="AY366" s="430"/>
      <c r="AZ366" s="430"/>
      <c r="BA366" s="430"/>
      <c r="BB366" s="430"/>
      <c r="BC366" s="430"/>
      <c r="BD366" s="574"/>
      <c r="BE366" s="574"/>
      <c r="BF366" s="574"/>
      <c r="BG366" s="574"/>
      <c r="BH366" s="574"/>
      <c r="BI366" s="574"/>
      <c r="BJ366" s="574"/>
      <c r="BK366" s="574"/>
      <c r="BL366" s="574"/>
      <c r="BM366" s="574"/>
      <c r="BN366" s="574"/>
      <c r="BO366" s="574"/>
      <c r="BP366" s="574"/>
      <c r="BQ366" s="574"/>
      <c r="BR366" s="574"/>
      <c r="BS366" s="574"/>
      <c r="BT366" s="574"/>
      <c r="BU366" s="574"/>
      <c r="BV366" s="574"/>
      <c r="BW366" s="574"/>
      <c r="BX366" s="574"/>
      <c r="BY366" s="574"/>
      <c r="BZ366" s="574"/>
      <c r="CA366" s="574"/>
      <c r="CB366" s="574"/>
      <c r="CC366" s="574"/>
      <c r="CD366" s="574"/>
      <c r="CE366" s="574"/>
      <c r="CF366" s="589"/>
    </row>
    <row r="367" spans="1:84" s="583" customFormat="1" ht="23.1" customHeight="1">
      <c r="A367" s="584"/>
      <c r="B367" s="585"/>
      <c r="C367" s="585"/>
      <c r="D367" s="585"/>
      <c r="E367" s="585"/>
      <c r="F367" s="585"/>
      <c r="G367" s="585"/>
      <c r="H367" s="585"/>
      <c r="I367" s="585"/>
      <c r="J367" s="585"/>
      <c r="K367" s="585"/>
      <c r="L367" s="585"/>
      <c r="M367" s="585"/>
      <c r="N367" s="585"/>
      <c r="O367" s="585"/>
      <c r="P367" s="585"/>
      <c r="Q367" s="585"/>
      <c r="R367" s="585"/>
      <c r="S367" s="585"/>
      <c r="T367" s="585"/>
      <c r="U367" s="585"/>
      <c r="V367" s="590"/>
      <c r="W367" s="590"/>
      <c r="X367" s="590"/>
      <c r="Y367" s="590"/>
      <c r="Z367" s="590"/>
      <c r="AA367" s="590"/>
      <c r="AB367" s="590"/>
      <c r="AC367" s="590"/>
      <c r="AD367" s="574"/>
      <c r="AE367" s="1502">
        <f>$AE$292</f>
        <v>119000000</v>
      </c>
      <c r="AF367" s="1502"/>
      <c r="AG367" s="1502"/>
      <c r="AH367" s="1502"/>
      <c r="AI367" s="1502"/>
      <c r="AJ367" s="1502"/>
      <c r="AK367" s="1502"/>
      <c r="AL367" s="1502"/>
      <c r="AM367" s="1502"/>
      <c r="AN367" s="1502"/>
      <c r="AO367" s="1502"/>
      <c r="AP367" s="1502"/>
      <c r="AQ367" s="1502"/>
      <c r="AR367" s="1502"/>
      <c r="AS367" s="1502"/>
      <c r="AT367" s="1431" t="s">
        <v>446</v>
      </c>
      <c r="AU367" s="1431"/>
      <c r="AV367" s="1441" t="s">
        <v>1103</v>
      </c>
      <c r="AW367" s="1441"/>
      <c r="AX367" s="1442">
        <v>2279</v>
      </c>
      <c r="AY367" s="1442"/>
      <c r="AZ367" s="1442"/>
      <c r="BA367" s="1442"/>
      <c r="BB367" s="1442"/>
      <c r="BC367" s="1442"/>
      <c r="BD367" s="585"/>
      <c r="BE367" s="1431" t="s">
        <v>446</v>
      </c>
      <c r="BF367" s="1431"/>
      <c r="BG367" s="585"/>
      <c r="BH367" s="591" t="s">
        <v>1104</v>
      </c>
      <c r="BI367" s="585"/>
      <c r="BJ367" s="585"/>
      <c r="BK367" s="585"/>
      <c r="BL367" s="1431" t="s">
        <v>1105</v>
      </c>
      <c r="BM367" s="1431"/>
      <c r="BN367" s="1431"/>
      <c r="BO367" s="585"/>
      <c r="BP367" s="1431" t="s">
        <v>41</v>
      </c>
      <c r="BQ367" s="1431"/>
      <c r="BR367" s="585"/>
      <c r="BS367" s="585"/>
      <c r="BT367" s="1437">
        <f>INT(AE367*AX367*10^-7)</f>
        <v>27120</v>
      </c>
      <c r="BU367" s="1437"/>
      <c r="BV367" s="1437"/>
      <c r="BW367" s="1437"/>
      <c r="BX367" s="1437"/>
      <c r="BY367" s="1437"/>
      <c r="BZ367" s="1437"/>
      <c r="CA367" s="1437"/>
      <c r="CB367" s="1437"/>
      <c r="CC367" s="1437"/>
      <c r="CD367" s="585"/>
      <c r="CE367" s="585"/>
      <c r="CF367" s="586"/>
    </row>
    <row r="368" spans="1:84" s="583" customFormat="1" ht="23.1" customHeight="1">
      <c r="A368" s="592"/>
      <c r="B368" s="593" t="s">
        <v>1106</v>
      </c>
      <c r="C368" s="593"/>
      <c r="D368" s="593"/>
      <c r="E368" s="593"/>
      <c r="F368" s="593"/>
      <c r="G368" s="593"/>
      <c r="H368" s="593"/>
      <c r="I368" s="593"/>
      <c r="J368" s="593"/>
      <c r="K368" s="593"/>
      <c r="L368" s="593"/>
      <c r="M368" s="593"/>
      <c r="N368" s="593"/>
      <c r="O368" s="593"/>
      <c r="P368" s="593"/>
      <c r="Q368" s="593"/>
      <c r="R368" s="593"/>
      <c r="S368" s="593"/>
      <c r="T368" s="593"/>
      <c r="U368" s="593"/>
      <c r="V368" s="593"/>
      <c r="W368" s="593"/>
      <c r="X368" s="593"/>
      <c r="Y368" s="593"/>
      <c r="Z368" s="593"/>
      <c r="AA368" s="593"/>
      <c r="AB368" s="593"/>
      <c r="AC368" s="593"/>
      <c r="AD368" s="593"/>
      <c r="AE368" s="593"/>
      <c r="AF368" s="593"/>
      <c r="AG368" s="593"/>
      <c r="AH368" s="593"/>
      <c r="AI368" s="593"/>
      <c r="AJ368" s="593"/>
      <c r="AK368" s="593"/>
      <c r="AL368" s="593"/>
      <c r="AM368" s="593"/>
      <c r="AN368" s="593"/>
      <c r="AO368" s="593"/>
      <c r="AP368" s="593"/>
      <c r="AQ368" s="593"/>
      <c r="AR368" s="593"/>
      <c r="AS368" s="593"/>
      <c r="AT368" s="593"/>
      <c r="AU368" s="593"/>
      <c r="AV368" s="593"/>
      <c r="AW368" s="593"/>
      <c r="AX368" s="593"/>
      <c r="AY368" s="593"/>
      <c r="AZ368" s="593"/>
      <c r="BA368" s="593"/>
      <c r="BB368" s="593"/>
      <c r="BC368" s="593"/>
      <c r="BD368" s="593"/>
      <c r="BE368" s="593"/>
      <c r="BF368" s="593"/>
      <c r="BG368" s="593"/>
      <c r="BH368" s="593"/>
      <c r="BI368" s="593"/>
      <c r="BJ368" s="593"/>
      <c r="BK368" s="593"/>
      <c r="BL368" s="593"/>
      <c r="BM368" s="593"/>
      <c r="BN368" s="593"/>
      <c r="BO368" s="593"/>
      <c r="BP368" s="593"/>
      <c r="BQ368" s="593"/>
      <c r="BR368" s="593"/>
      <c r="BS368" s="593"/>
      <c r="BT368" s="594"/>
      <c r="BU368" s="594"/>
      <c r="BV368" s="594"/>
      <c r="BW368" s="594"/>
      <c r="BX368" s="594"/>
      <c r="BY368" s="594"/>
      <c r="BZ368" s="594"/>
      <c r="CA368" s="594"/>
      <c r="CB368" s="594"/>
      <c r="CC368" s="594"/>
      <c r="CD368" s="593"/>
      <c r="CE368" s="593"/>
      <c r="CF368" s="595"/>
    </row>
    <row r="369" spans="1:84" s="583" customFormat="1" ht="23.1" customHeight="1">
      <c r="A369" s="584"/>
      <c r="B369" s="585"/>
      <c r="C369" s="585"/>
      <c r="D369" s="596" t="s">
        <v>268</v>
      </c>
      <c r="E369" s="585"/>
      <c r="F369" s="585"/>
      <c r="G369" s="585"/>
      <c r="H369" s="585"/>
      <c r="I369" s="585"/>
      <c r="J369" s="585"/>
      <c r="K369" s="585"/>
      <c r="L369" s="585"/>
      <c r="M369" s="585"/>
      <c r="N369" s="585"/>
      <c r="O369" s="585"/>
      <c r="P369" s="585"/>
      <c r="Q369" s="585"/>
      <c r="R369" s="585"/>
      <c r="S369" s="585"/>
      <c r="T369" s="574"/>
      <c r="U369" s="574"/>
      <c r="V369" s="1435">
        <f>HLOOKUP(D369,$CJ$1:$CM$3,3,0)</f>
        <v>283297</v>
      </c>
      <c r="W369" s="1435"/>
      <c r="X369" s="1435"/>
      <c r="Y369" s="1435"/>
      <c r="Z369" s="1435"/>
      <c r="AA369" s="1435"/>
      <c r="AB369" s="1435"/>
      <c r="AC369" s="1435"/>
      <c r="AD369" s="1435"/>
      <c r="AE369" s="1435"/>
      <c r="AF369" s="1431" t="s">
        <v>446</v>
      </c>
      <c r="AG369" s="1431"/>
      <c r="AH369" s="574"/>
      <c r="AI369" s="1436" t="s">
        <v>1107</v>
      </c>
      <c r="AJ369" s="1436"/>
      <c r="AK369" s="1436"/>
      <c r="AL369" s="1436"/>
      <c r="AM369" s="585"/>
      <c r="AN369" s="1431" t="s">
        <v>446</v>
      </c>
      <c r="AO369" s="1431"/>
      <c r="AP369" s="585"/>
      <c r="AQ369" s="1436" t="s">
        <v>1108</v>
      </c>
      <c r="AR369" s="1436"/>
      <c r="AS369" s="1436"/>
      <c r="AT369" s="1436"/>
      <c r="AU369" s="1436"/>
      <c r="AV369" s="422"/>
      <c r="AW369" s="1431" t="s">
        <v>446</v>
      </c>
      <c r="AX369" s="1431"/>
      <c r="AY369" s="440"/>
      <c r="AZ369" s="1436" t="s">
        <v>1109</v>
      </c>
      <c r="BA369" s="1436"/>
      <c r="BB369" s="1436"/>
      <c r="BC369" s="1436"/>
      <c r="BD369" s="1436"/>
      <c r="BE369" s="585"/>
      <c r="BF369" s="1431" t="s">
        <v>446</v>
      </c>
      <c r="BG369" s="1431"/>
      <c r="BH369" s="1431">
        <v>1</v>
      </c>
      <c r="BI369" s="1431"/>
      <c r="BJ369" s="1431"/>
      <c r="BK369" s="585"/>
      <c r="BL369" s="585" t="s">
        <v>366</v>
      </c>
      <c r="BM369" s="585"/>
      <c r="BN369" s="585"/>
      <c r="BO369" s="585"/>
      <c r="BP369" s="1431" t="s">
        <v>41</v>
      </c>
      <c r="BQ369" s="1431"/>
      <c r="BR369" s="585"/>
      <c r="BS369" s="585"/>
      <c r="BT369" s="1432">
        <f>INT(V369/8*16/12*25/20*BH369)</f>
        <v>59020</v>
      </c>
      <c r="BU369" s="1432"/>
      <c r="BV369" s="1432"/>
      <c r="BW369" s="1432"/>
      <c r="BX369" s="1432"/>
      <c r="BY369" s="1432"/>
      <c r="BZ369" s="1432"/>
      <c r="CA369" s="1432"/>
      <c r="CB369" s="1432"/>
      <c r="CC369" s="1432"/>
      <c r="CD369" s="585"/>
      <c r="CE369" s="585"/>
      <c r="CF369" s="586"/>
    </row>
    <row r="370" spans="1:84" s="583" customFormat="1" ht="23.1" customHeight="1">
      <c r="A370" s="584"/>
      <c r="B370" s="585"/>
      <c r="C370" s="585"/>
      <c r="D370" s="585"/>
      <c r="E370" s="585"/>
      <c r="F370" s="585"/>
      <c r="G370" s="585"/>
      <c r="H370" s="585"/>
      <c r="I370" s="585"/>
      <c r="J370" s="585"/>
      <c r="K370" s="585"/>
      <c r="L370" s="585"/>
      <c r="M370" s="585"/>
      <c r="N370" s="585"/>
      <c r="O370" s="585"/>
      <c r="P370" s="574"/>
      <c r="Q370" s="574"/>
      <c r="R370" s="574"/>
      <c r="S370" s="574"/>
      <c r="T370" s="574"/>
      <c r="U370" s="574"/>
      <c r="V370" s="574"/>
      <c r="W370" s="574"/>
      <c r="X370" s="574"/>
      <c r="Y370" s="574"/>
      <c r="Z370" s="574"/>
      <c r="AA370" s="574"/>
      <c r="AB370" s="574"/>
      <c r="AC370" s="574"/>
      <c r="AD370" s="574"/>
      <c r="AE370" s="574"/>
      <c r="AF370" s="574"/>
      <c r="AG370" s="574"/>
      <c r="AH370" s="574"/>
      <c r="AI370" s="574"/>
      <c r="AJ370" s="574"/>
      <c r="AK370" s="574"/>
      <c r="AL370" s="574"/>
      <c r="AM370" s="574"/>
      <c r="AN370" s="574"/>
      <c r="AO370" s="574"/>
      <c r="AP370" s="574"/>
      <c r="AQ370" s="574"/>
      <c r="AR370" s="574"/>
      <c r="AS370" s="574"/>
      <c r="AT370" s="574"/>
      <c r="AU370" s="574"/>
      <c r="AV370" s="574"/>
      <c r="AW370" s="574"/>
      <c r="AX370" s="574"/>
      <c r="AY370" s="574"/>
      <c r="AZ370" s="574"/>
      <c r="BA370" s="574"/>
      <c r="BB370" s="574"/>
      <c r="BC370" s="574"/>
      <c r="BD370" s="574"/>
      <c r="BE370" s="574"/>
      <c r="BF370" s="574"/>
      <c r="BG370" s="585"/>
      <c r="BH370" s="585"/>
      <c r="BI370" s="585"/>
      <c r="BJ370" s="585"/>
      <c r="BK370" s="585"/>
      <c r="BL370" s="585"/>
      <c r="BM370" s="585"/>
      <c r="BN370" s="585"/>
      <c r="BO370" s="585"/>
      <c r="BP370" s="1431"/>
      <c r="BQ370" s="1431"/>
      <c r="BR370" s="585"/>
      <c r="BS370" s="585"/>
      <c r="BT370" s="1432"/>
      <c r="BU370" s="1432"/>
      <c r="BV370" s="1432"/>
      <c r="BW370" s="1432"/>
      <c r="BX370" s="1432"/>
      <c r="BY370" s="1432"/>
      <c r="BZ370" s="1432"/>
      <c r="CA370" s="1432"/>
      <c r="CB370" s="1432"/>
      <c r="CC370" s="1432"/>
      <c r="CD370" s="585"/>
      <c r="CE370" s="585"/>
      <c r="CF370" s="586"/>
    </row>
    <row r="371" spans="1:84" s="583" customFormat="1" ht="23.1" customHeight="1">
      <c r="A371" s="584"/>
      <c r="B371" s="585"/>
      <c r="C371" s="585"/>
      <c r="D371" s="585"/>
      <c r="E371" s="585"/>
      <c r="F371" s="585"/>
      <c r="G371" s="585"/>
      <c r="H371" s="585"/>
      <c r="I371" s="585"/>
      <c r="J371" s="585"/>
      <c r="K371" s="585"/>
      <c r="L371" s="585"/>
      <c r="M371" s="585"/>
      <c r="N371" s="585"/>
      <c r="O371" s="585"/>
      <c r="P371" s="585"/>
      <c r="Q371" s="585"/>
      <c r="R371" s="585"/>
      <c r="S371" s="585"/>
      <c r="T371" s="585"/>
      <c r="U371" s="585"/>
      <c r="V371" s="585"/>
      <c r="W371" s="585"/>
      <c r="X371" s="585"/>
      <c r="Y371" s="585"/>
      <c r="Z371" s="585"/>
      <c r="AA371" s="585"/>
      <c r="AB371" s="585"/>
      <c r="AC371" s="585"/>
      <c r="AD371" s="574"/>
      <c r="AE371" s="574"/>
      <c r="AF371" s="574"/>
      <c r="AG371" s="574"/>
      <c r="AH371" s="574"/>
      <c r="AI371" s="574"/>
      <c r="AJ371" s="574"/>
      <c r="AK371" s="574"/>
      <c r="AL371" s="574"/>
      <c r="AM371" s="574"/>
      <c r="AN371" s="574"/>
      <c r="AO371" s="574"/>
      <c r="AP371" s="574"/>
      <c r="AQ371" s="574"/>
      <c r="AR371" s="574"/>
      <c r="AS371" s="585"/>
      <c r="AT371" s="590"/>
      <c r="AU371" s="590"/>
      <c r="AV371" s="585"/>
      <c r="AW371" s="585"/>
      <c r="AX371" s="585"/>
      <c r="AY371" s="585"/>
      <c r="AZ371" s="585"/>
      <c r="BA371" s="585"/>
      <c r="BB371" s="585"/>
      <c r="BC371" s="585"/>
      <c r="BD371" s="585"/>
      <c r="BE371" s="585"/>
      <c r="BF371" s="585"/>
      <c r="BG371" s="585"/>
      <c r="BH371" s="585"/>
      <c r="BI371" s="585"/>
      <c r="BJ371" s="585"/>
      <c r="BK371" s="585"/>
      <c r="BL371" s="585"/>
      <c r="BM371" s="585"/>
      <c r="BN371" s="585"/>
      <c r="BO371" s="585"/>
      <c r="BP371" s="1431" t="s">
        <v>41</v>
      </c>
      <c r="BQ371" s="1431"/>
      <c r="BR371" s="585"/>
      <c r="BS371" s="585"/>
      <c r="BT371" s="1434">
        <f>BT369+BT370</f>
        <v>59020</v>
      </c>
      <c r="BU371" s="1434"/>
      <c r="BV371" s="1434"/>
      <c r="BW371" s="1434"/>
      <c r="BX371" s="1434"/>
      <c r="BY371" s="1434"/>
      <c r="BZ371" s="1434"/>
      <c r="CA371" s="1434"/>
      <c r="CB371" s="1434"/>
      <c r="CC371" s="1434"/>
      <c r="CD371" s="585"/>
      <c r="CE371" s="585"/>
      <c r="CF371" s="586"/>
    </row>
    <row r="372" spans="1:84" s="583" customFormat="1" ht="23.1" customHeight="1">
      <c r="A372" s="592"/>
      <c r="B372" s="593" t="s">
        <v>1110</v>
      </c>
      <c r="C372" s="593"/>
      <c r="D372" s="593"/>
      <c r="E372" s="593"/>
      <c r="F372" s="593"/>
      <c r="G372" s="593"/>
      <c r="H372" s="593"/>
      <c r="I372" s="593"/>
      <c r="J372" s="593"/>
      <c r="K372" s="593"/>
      <c r="L372" s="593"/>
      <c r="M372" s="593"/>
      <c r="N372" s="593"/>
      <c r="O372" s="593"/>
      <c r="P372" s="593"/>
      <c r="Q372" s="593"/>
      <c r="R372" s="593"/>
      <c r="S372" s="593"/>
      <c r="T372" s="593"/>
      <c r="U372" s="593"/>
      <c r="V372" s="593"/>
      <c r="W372" s="593"/>
      <c r="X372" s="593"/>
      <c r="Y372" s="593"/>
      <c r="Z372" s="593"/>
      <c r="AA372" s="593"/>
      <c r="AB372" s="593"/>
      <c r="AC372" s="593"/>
      <c r="AD372" s="593"/>
      <c r="AE372" s="593"/>
      <c r="AF372" s="593"/>
      <c r="AG372" s="593"/>
      <c r="AH372" s="593"/>
      <c r="AI372" s="593"/>
      <c r="AJ372" s="593"/>
      <c r="AK372" s="593"/>
      <c r="AL372" s="593"/>
      <c r="AM372" s="593"/>
      <c r="AN372" s="593"/>
      <c r="AO372" s="593"/>
      <c r="AP372" s="593"/>
      <c r="AQ372" s="593"/>
      <c r="AR372" s="593"/>
      <c r="AS372" s="593"/>
      <c r="AT372" s="593"/>
      <c r="AU372" s="593"/>
      <c r="AV372" s="593"/>
      <c r="AW372" s="593"/>
      <c r="AX372" s="593"/>
      <c r="AY372" s="593"/>
      <c r="AZ372" s="593"/>
      <c r="BA372" s="593"/>
      <c r="BB372" s="593"/>
      <c r="BC372" s="593"/>
      <c r="BD372" s="593"/>
      <c r="BE372" s="593"/>
      <c r="BF372" s="593"/>
      <c r="BG372" s="593"/>
      <c r="BH372" s="593"/>
      <c r="BI372" s="593"/>
      <c r="BJ372" s="593"/>
      <c r="BK372" s="593"/>
      <c r="BL372" s="593"/>
      <c r="BM372" s="593"/>
      <c r="BN372" s="593"/>
      <c r="BO372" s="593"/>
      <c r="BP372" s="593"/>
      <c r="BQ372" s="593"/>
      <c r="BR372" s="593"/>
      <c r="BS372" s="593"/>
      <c r="BT372" s="593"/>
      <c r="BU372" s="593"/>
      <c r="BV372" s="593"/>
      <c r="BW372" s="593"/>
      <c r="BX372" s="593"/>
      <c r="BY372" s="593"/>
      <c r="BZ372" s="593"/>
      <c r="CA372" s="593"/>
      <c r="CB372" s="593"/>
      <c r="CC372" s="593"/>
      <c r="CD372" s="593"/>
      <c r="CE372" s="593"/>
      <c r="CF372" s="595"/>
    </row>
    <row r="373" spans="1:84" s="583" customFormat="1" ht="23.1" customHeight="1">
      <c r="A373" s="584"/>
      <c r="B373" s="585"/>
      <c r="C373" s="585"/>
      <c r="D373" s="596" t="s">
        <v>1094</v>
      </c>
      <c r="E373" s="585"/>
      <c r="F373" s="585"/>
      <c r="G373" s="585"/>
      <c r="H373" s="585"/>
      <c r="I373" s="585"/>
      <c r="J373" s="585"/>
      <c r="K373" s="585"/>
      <c r="L373" s="585"/>
      <c r="M373" s="585"/>
      <c r="N373" s="585"/>
      <c r="O373" s="585"/>
      <c r="P373" s="585"/>
      <c r="Q373" s="585"/>
      <c r="R373" s="585"/>
      <c r="S373" s="585"/>
      <c r="T373" s="585"/>
      <c r="U373" s="585"/>
      <c r="V373" s="585"/>
      <c r="W373" s="585"/>
      <c r="X373" s="585"/>
      <c r="Y373" s="585"/>
      <c r="Z373" s="585"/>
      <c r="AA373" s="585"/>
      <c r="AB373" s="585"/>
      <c r="AC373" s="585"/>
      <c r="AD373" s="585"/>
      <c r="AE373" s="585"/>
      <c r="AF373" s="585"/>
      <c r="AG373" s="585"/>
      <c r="AH373" s="585"/>
      <c r="AI373" s="585"/>
      <c r="AJ373" s="585"/>
      <c r="AK373" s="585"/>
      <c r="AL373" s="585"/>
      <c r="AM373" s="585"/>
      <c r="AN373" s="585"/>
      <c r="AO373" s="585"/>
      <c r="AP373" s="585"/>
      <c r="AQ373" s="585"/>
      <c r="AR373" s="422"/>
      <c r="AS373" s="1435" t="e">
        <f>HLOOKUP(D373,$CN$1:$CO$3,3,0)</f>
        <v>#REF!</v>
      </c>
      <c r="AT373" s="1435"/>
      <c r="AU373" s="1435"/>
      <c r="AV373" s="1435"/>
      <c r="AW373" s="1435"/>
      <c r="AX373" s="1435"/>
      <c r="AY373" s="1435"/>
      <c r="AZ373" s="1435"/>
      <c r="BA373" s="1435"/>
      <c r="BB373" s="1435"/>
      <c r="BC373" s="585"/>
      <c r="BD373" s="1431" t="s">
        <v>446</v>
      </c>
      <c r="BE373" s="1431"/>
      <c r="BF373" s="585"/>
      <c r="BG373" s="1431">
        <v>11.6</v>
      </c>
      <c r="BH373" s="1431"/>
      <c r="BI373" s="1431"/>
      <c r="BJ373" s="1431"/>
      <c r="BK373" s="1431"/>
      <c r="BL373" s="585" t="s">
        <v>1111</v>
      </c>
      <c r="BM373" s="585"/>
      <c r="BN373" s="585"/>
      <c r="BO373" s="585"/>
      <c r="BP373" s="1431" t="s">
        <v>41</v>
      </c>
      <c r="BQ373" s="1431"/>
      <c r="BR373" s="585"/>
      <c r="BS373" s="585"/>
      <c r="BT373" s="1432" t="e">
        <f>INT(AS373*BG373)</f>
        <v>#REF!</v>
      </c>
      <c r="BU373" s="1432"/>
      <c r="BV373" s="1432"/>
      <c r="BW373" s="1432"/>
      <c r="BX373" s="1432"/>
      <c r="BY373" s="1432"/>
      <c r="BZ373" s="1432"/>
      <c r="CA373" s="1432"/>
      <c r="CB373" s="1432"/>
      <c r="CC373" s="1432"/>
      <c r="CD373" s="585"/>
      <c r="CE373" s="585"/>
      <c r="CF373" s="586"/>
    </row>
    <row r="374" spans="1:84" s="583" customFormat="1" ht="23.1" customHeight="1">
      <c r="A374" s="584"/>
      <c r="B374" s="585"/>
      <c r="C374" s="585"/>
      <c r="D374" s="591" t="str">
        <f>"잡재료 (주연료의 "&amp;BG374&amp;"%) :"</f>
        <v>잡재료 (주연료의 24%) :</v>
      </c>
      <c r="E374" s="585"/>
      <c r="F374" s="585"/>
      <c r="G374" s="585"/>
      <c r="H374" s="585"/>
      <c r="I374" s="585"/>
      <c r="J374" s="585"/>
      <c r="K374" s="585"/>
      <c r="L374" s="585"/>
      <c r="M374" s="585"/>
      <c r="N374" s="585"/>
      <c r="O374" s="585"/>
      <c r="P374" s="585"/>
      <c r="Q374" s="585"/>
      <c r="R374" s="585"/>
      <c r="S374" s="585"/>
      <c r="T374" s="585"/>
      <c r="U374" s="585"/>
      <c r="V374" s="585"/>
      <c r="W374" s="585"/>
      <c r="X374" s="585"/>
      <c r="Y374" s="585"/>
      <c r="Z374" s="585"/>
      <c r="AA374" s="585"/>
      <c r="AB374" s="585"/>
      <c r="AC374" s="585"/>
      <c r="AD374" s="585"/>
      <c r="AE374" s="585"/>
      <c r="AF374" s="585"/>
      <c r="AG374" s="585"/>
      <c r="AH374" s="585"/>
      <c r="AI374" s="585"/>
      <c r="AJ374" s="585"/>
      <c r="AK374" s="585"/>
      <c r="AL374" s="585"/>
      <c r="AM374" s="585"/>
      <c r="AN374" s="585"/>
      <c r="AO374" s="585"/>
      <c r="AP374" s="585"/>
      <c r="AQ374" s="585"/>
      <c r="AR374" s="422" t="e">
        <f>BT373</f>
        <v>#REF!</v>
      </c>
      <c r="AS374" s="1430" t="e">
        <f>BT373</f>
        <v>#REF!</v>
      </c>
      <c r="AT374" s="1430"/>
      <c r="AU374" s="1430"/>
      <c r="AV374" s="1430"/>
      <c r="AW374" s="1430"/>
      <c r="AX374" s="1430"/>
      <c r="AY374" s="1430"/>
      <c r="AZ374" s="1430"/>
      <c r="BA374" s="1430"/>
      <c r="BB374" s="1430"/>
      <c r="BC374" s="585"/>
      <c r="BD374" s="1431" t="s">
        <v>446</v>
      </c>
      <c r="BE374" s="1431"/>
      <c r="BF374" s="585"/>
      <c r="BG374" s="1431">
        <v>24</v>
      </c>
      <c r="BH374" s="1431"/>
      <c r="BI374" s="1431"/>
      <c r="BJ374" s="1431"/>
      <c r="BK374" s="1431"/>
      <c r="BL374" s="585" t="s">
        <v>1112</v>
      </c>
      <c r="BM374" s="585"/>
      <c r="BN374" s="585"/>
      <c r="BO374" s="585"/>
      <c r="BP374" s="1431" t="s">
        <v>41</v>
      </c>
      <c r="BQ374" s="1431"/>
      <c r="BR374" s="585"/>
      <c r="BS374" s="585"/>
      <c r="BT374" s="1432" t="e">
        <f>INT(AS374*BG374/100)</f>
        <v>#REF!</v>
      </c>
      <c r="BU374" s="1432"/>
      <c r="BV374" s="1432"/>
      <c r="BW374" s="1432"/>
      <c r="BX374" s="1432"/>
      <c r="BY374" s="1432"/>
      <c r="BZ374" s="1432"/>
      <c r="CA374" s="1432"/>
      <c r="CB374" s="1432"/>
      <c r="CC374" s="1432"/>
      <c r="CD374" s="585"/>
      <c r="CE374" s="585"/>
      <c r="CF374" s="586"/>
    </row>
    <row r="375" spans="1:84" s="583" customFormat="1" ht="23.1" customHeight="1" thickBot="1">
      <c r="A375" s="584"/>
      <c r="B375" s="585"/>
      <c r="C375" s="585"/>
      <c r="D375" s="585"/>
      <c r="E375" s="585"/>
      <c r="F375" s="585"/>
      <c r="G375" s="585"/>
      <c r="H375" s="585"/>
      <c r="I375" s="585"/>
      <c r="J375" s="585"/>
      <c r="K375" s="585"/>
      <c r="L375" s="585"/>
      <c r="M375" s="585"/>
      <c r="N375" s="585"/>
      <c r="O375" s="585"/>
      <c r="P375" s="585"/>
      <c r="Q375" s="585"/>
      <c r="R375" s="585"/>
      <c r="S375" s="585"/>
      <c r="T375" s="585"/>
      <c r="U375" s="585"/>
      <c r="V375" s="585"/>
      <c r="W375" s="585"/>
      <c r="X375" s="585"/>
      <c r="Y375" s="585"/>
      <c r="Z375" s="585"/>
      <c r="AA375" s="585"/>
      <c r="AB375" s="585"/>
      <c r="AC375" s="585"/>
      <c r="AD375" s="585"/>
      <c r="AE375" s="585"/>
      <c r="AF375" s="585"/>
      <c r="AG375" s="585"/>
      <c r="AH375" s="585"/>
      <c r="AI375" s="585"/>
      <c r="AJ375" s="585"/>
      <c r="AK375" s="585"/>
      <c r="AL375" s="585"/>
      <c r="AM375" s="585"/>
      <c r="AN375" s="585"/>
      <c r="AO375" s="585"/>
      <c r="AP375" s="585"/>
      <c r="AQ375" s="585"/>
      <c r="AR375" s="585"/>
      <c r="AS375" s="585"/>
      <c r="AT375" s="585"/>
      <c r="AU375" s="585"/>
      <c r="AV375" s="585"/>
      <c r="AW375" s="585"/>
      <c r="AX375" s="585"/>
      <c r="AY375" s="585"/>
      <c r="AZ375" s="585"/>
      <c r="BA375" s="585"/>
      <c r="BB375" s="585"/>
      <c r="BC375" s="585"/>
      <c r="BD375" s="585"/>
      <c r="BE375" s="585"/>
      <c r="BF375" s="585"/>
      <c r="BG375" s="585"/>
      <c r="BH375" s="585"/>
      <c r="BI375" s="585"/>
      <c r="BJ375" s="585"/>
      <c r="BK375" s="585"/>
      <c r="BL375" s="585"/>
      <c r="BM375" s="585"/>
      <c r="BN375" s="585"/>
      <c r="BO375" s="585"/>
      <c r="BP375" s="1431" t="s">
        <v>41</v>
      </c>
      <c r="BQ375" s="1431"/>
      <c r="BR375" s="585"/>
      <c r="BS375" s="585"/>
      <c r="BT375" s="1433" t="e">
        <f>BT373+BT374</f>
        <v>#REF!</v>
      </c>
      <c r="BU375" s="1433"/>
      <c r="BV375" s="1433"/>
      <c r="BW375" s="1433"/>
      <c r="BX375" s="1433"/>
      <c r="BY375" s="1433"/>
      <c r="BZ375" s="1433"/>
      <c r="CA375" s="1433"/>
      <c r="CB375" s="1433"/>
      <c r="CC375" s="1433"/>
      <c r="CD375" s="585"/>
      <c r="CE375" s="585"/>
      <c r="CF375" s="586"/>
    </row>
    <row r="376" spans="1:84" s="583" customFormat="1" ht="23.1" customHeight="1" thickBot="1">
      <c r="A376" s="597"/>
      <c r="B376" s="598" t="s">
        <v>1113</v>
      </c>
      <c r="C376" s="598"/>
      <c r="D376" s="598"/>
      <c r="E376" s="598"/>
      <c r="F376" s="598"/>
      <c r="G376" s="598"/>
      <c r="H376" s="598"/>
      <c r="I376" s="598"/>
      <c r="J376" s="598"/>
      <c r="K376" s="598"/>
      <c r="L376" s="598"/>
      <c r="M376" s="598"/>
      <c r="N376" s="598"/>
      <c r="O376" s="598"/>
      <c r="P376" s="598"/>
      <c r="Q376" s="598"/>
      <c r="R376" s="598"/>
      <c r="S376" s="598"/>
      <c r="T376" s="598"/>
      <c r="U376" s="598"/>
      <c r="V376" s="598"/>
      <c r="W376" s="598"/>
      <c r="X376" s="598"/>
      <c r="Y376" s="598"/>
      <c r="Z376" s="598"/>
      <c r="AA376" s="598"/>
      <c r="AB376" s="598"/>
      <c r="AC376" s="598"/>
      <c r="AD376" s="598"/>
      <c r="AE376" s="598"/>
      <c r="AF376" s="598"/>
      <c r="AG376" s="598"/>
      <c r="AH376" s="598"/>
      <c r="AI376" s="598"/>
      <c r="AJ376" s="598"/>
      <c r="AK376" s="598"/>
      <c r="AL376" s="598"/>
      <c r="AM376" s="598"/>
      <c r="AN376" s="598"/>
      <c r="AO376" s="598"/>
      <c r="AP376" s="598"/>
      <c r="AQ376" s="598"/>
      <c r="AR376" s="598"/>
      <c r="AS376" s="598"/>
      <c r="AT376" s="598"/>
      <c r="AU376" s="598"/>
      <c r="AV376" s="598"/>
      <c r="AW376" s="598"/>
      <c r="AX376" s="598"/>
      <c r="AY376" s="598"/>
      <c r="AZ376" s="598"/>
      <c r="BA376" s="598"/>
      <c r="BB376" s="598"/>
      <c r="BC376" s="598"/>
      <c r="BD376" s="598"/>
      <c r="BE376" s="598"/>
      <c r="BF376" s="598"/>
      <c r="BG376" s="598"/>
      <c r="BH376" s="598"/>
      <c r="BI376" s="598"/>
      <c r="BJ376" s="598"/>
      <c r="BK376" s="598"/>
      <c r="BL376" s="598"/>
      <c r="BM376" s="598"/>
      <c r="BN376" s="598"/>
      <c r="BO376" s="598"/>
      <c r="BP376" s="598"/>
      <c r="BQ376" s="598"/>
      <c r="BR376" s="598"/>
      <c r="BS376" s="598"/>
      <c r="BT376" s="1429" t="e">
        <f>BT367+BT371+BT375</f>
        <v>#REF!</v>
      </c>
      <c r="BU376" s="1429"/>
      <c r="BV376" s="1429"/>
      <c r="BW376" s="1429"/>
      <c r="BX376" s="1429"/>
      <c r="BY376" s="1429"/>
      <c r="BZ376" s="1429"/>
      <c r="CA376" s="1429"/>
      <c r="CB376" s="1429"/>
      <c r="CC376" s="1429"/>
      <c r="CD376" s="598"/>
      <c r="CE376" s="598"/>
      <c r="CF376" s="599"/>
    </row>
    <row r="377" spans="1:84" s="583" customFormat="1" ht="9.9499999999999993" customHeight="1">
      <c r="A377" s="574"/>
      <c r="B377" s="574"/>
      <c r="C377" s="574"/>
      <c r="D377" s="574"/>
      <c r="E377" s="574"/>
      <c r="F377" s="574"/>
      <c r="G377" s="574"/>
      <c r="H377" s="574"/>
      <c r="I377" s="574"/>
      <c r="J377" s="574"/>
      <c r="K377" s="574"/>
      <c r="L377" s="574"/>
      <c r="M377" s="574"/>
      <c r="N377" s="574"/>
      <c r="O377" s="574"/>
      <c r="P377" s="574"/>
      <c r="Q377" s="574"/>
      <c r="R377" s="574"/>
      <c r="S377" s="574"/>
      <c r="T377" s="574"/>
      <c r="U377" s="574"/>
      <c r="V377" s="574"/>
      <c r="W377" s="574"/>
      <c r="X377" s="574"/>
      <c r="Y377" s="574"/>
      <c r="Z377" s="574"/>
      <c r="AA377" s="574"/>
      <c r="AB377" s="574"/>
      <c r="AC377" s="574"/>
      <c r="AD377" s="574"/>
      <c r="AE377" s="574"/>
      <c r="AF377" s="574"/>
      <c r="AG377" s="574"/>
      <c r="AH377" s="574"/>
      <c r="AI377" s="574"/>
      <c r="AJ377" s="574"/>
      <c r="AK377" s="574"/>
      <c r="AL377" s="574"/>
      <c r="AM377" s="574"/>
      <c r="AN377" s="574"/>
      <c r="AO377" s="574"/>
      <c r="AP377" s="574"/>
      <c r="AQ377" s="574"/>
      <c r="AR377" s="574"/>
      <c r="AS377" s="574"/>
      <c r="AT377" s="574"/>
      <c r="AU377" s="574"/>
      <c r="AV377" s="574"/>
      <c r="AW377" s="574"/>
      <c r="AX377" s="574"/>
      <c r="AY377" s="574"/>
      <c r="AZ377" s="574"/>
      <c r="BA377" s="574"/>
      <c r="BB377" s="574"/>
      <c r="BC377" s="574"/>
      <c r="BD377" s="574"/>
      <c r="BE377" s="574"/>
      <c r="BF377" s="574"/>
      <c r="BG377" s="574"/>
      <c r="BH377" s="574"/>
      <c r="BI377" s="574"/>
      <c r="BJ377" s="574"/>
      <c r="BK377" s="574"/>
      <c r="BL377" s="574"/>
      <c r="BM377" s="574"/>
      <c r="BN377" s="574"/>
      <c r="BO377" s="574"/>
      <c r="BP377" s="574"/>
      <c r="BQ377" s="574"/>
      <c r="BR377" s="574"/>
      <c r="BS377" s="574"/>
      <c r="BT377" s="574"/>
      <c r="BU377" s="574"/>
      <c r="BV377" s="574"/>
      <c r="BW377" s="574"/>
      <c r="BX377" s="574"/>
      <c r="BY377" s="574"/>
      <c r="BZ377" s="574"/>
      <c r="CA377" s="574"/>
      <c r="CB377" s="574"/>
      <c r="CC377" s="574"/>
      <c r="CD377" s="574"/>
      <c r="CE377" s="574"/>
      <c r="CF377" s="574"/>
    </row>
    <row r="378" spans="1:84" s="583" customFormat="1" ht="23.1" customHeight="1" thickBot="1">
      <c r="A378" s="1446" t="s">
        <v>1095</v>
      </c>
      <c r="B378" s="1446"/>
      <c r="C378" s="1446"/>
      <c r="D378" s="1446"/>
      <c r="E378" s="1446"/>
      <c r="F378" s="1446"/>
      <c r="G378" s="1447">
        <f>G363+1</f>
        <v>26</v>
      </c>
      <c r="H378" s="1447"/>
      <c r="I378" s="1447"/>
      <c r="J378" s="1448" t="s">
        <v>1096</v>
      </c>
      <c r="K378" s="1448"/>
      <c r="L378" s="574"/>
      <c r="M378" s="574"/>
      <c r="N378" s="574"/>
      <c r="O378" s="574"/>
      <c r="P378" s="574"/>
      <c r="Q378" s="574"/>
      <c r="R378" s="574"/>
      <c r="S378" s="574"/>
      <c r="T378" s="574"/>
      <c r="U378" s="574"/>
      <c r="V378" s="574"/>
      <c r="W378" s="574"/>
      <c r="X378" s="574"/>
      <c r="Y378" s="574"/>
      <c r="Z378" s="574"/>
      <c r="AA378" s="574"/>
      <c r="AB378" s="574"/>
      <c r="AC378" s="574"/>
      <c r="AD378" s="574"/>
      <c r="AE378" s="574"/>
      <c r="AF378" s="574"/>
      <c r="AG378" s="574"/>
      <c r="AH378" s="574"/>
      <c r="AI378" s="574"/>
      <c r="AJ378" s="574"/>
      <c r="AK378" s="574"/>
      <c r="AL378" s="574"/>
      <c r="AM378" s="574"/>
      <c r="AN378" s="574"/>
      <c r="AO378" s="574"/>
      <c r="AP378" s="574"/>
      <c r="AQ378" s="574"/>
      <c r="AR378" s="574"/>
      <c r="AS378" s="574"/>
      <c r="AT378" s="574"/>
      <c r="AU378" s="574"/>
      <c r="AV378" s="574"/>
      <c r="AW378" s="574"/>
      <c r="AX378" s="574"/>
      <c r="AY378" s="574"/>
      <c r="AZ378" s="574"/>
      <c r="BA378" s="574"/>
      <c r="BB378" s="574"/>
      <c r="BC378" s="574"/>
      <c r="BD378" s="574"/>
      <c r="BE378" s="574"/>
      <c r="BF378" s="574"/>
      <c r="BG378" s="574"/>
      <c r="BH378" s="574"/>
      <c r="BI378" s="574"/>
      <c r="BJ378" s="574"/>
      <c r="BK378" s="574"/>
      <c r="BL378" s="574"/>
      <c r="BM378" s="574"/>
      <c r="BN378" s="574"/>
      <c r="BO378" s="574"/>
      <c r="BP378" s="574"/>
      <c r="BQ378" s="574"/>
      <c r="BR378" s="574"/>
      <c r="BS378" s="574"/>
      <c r="BT378" s="574"/>
      <c r="BU378" s="574"/>
      <c r="BV378" s="574"/>
      <c r="BW378" s="574"/>
      <c r="BX378" s="574"/>
      <c r="BY378" s="574"/>
      <c r="BZ378" s="574"/>
      <c r="CA378" s="574"/>
      <c r="CB378" s="574"/>
      <c r="CC378" s="574"/>
      <c r="CD378" s="574"/>
      <c r="CE378" s="574"/>
      <c r="CF378" s="574"/>
    </row>
    <row r="379" spans="1:84" s="583" customFormat="1" ht="23.1" customHeight="1" thickBot="1">
      <c r="A379" s="1483" t="s">
        <v>1097</v>
      </c>
      <c r="B379" s="1484"/>
      <c r="C379" s="1484"/>
      <c r="D379" s="1484"/>
      <c r="E379" s="1484"/>
      <c r="F379" s="1484"/>
      <c r="G379" s="1484"/>
      <c r="H379" s="1484"/>
      <c r="I379" s="581" t="s">
        <v>530</v>
      </c>
      <c r="J379" s="581"/>
      <c r="K379" s="581"/>
      <c r="L379" s="581"/>
      <c r="M379" s="581"/>
      <c r="N379" s="581"/>
      <c r="O379" s="581"/>
      <c r="P379" s="581"/>
      <c r="Q379" s="581"/>
      <c r="R379" s="581"/>
      <c r="S379" s="581"/>
      <c r="T379" s="581"/>
      <c r="U379" s="581"/>
      <c r="V379" s="581"/>
      <c r="W379" s="581"/>
      <c r="X379" s="581"/>
      <c r="Y379" s="581"/>
      <c r="Z379" s="581"/>
      <c r="AA379" s="581"/>
      <c r="AB379" s="581"/>
      <c r="AC379" s="581"/>
      <c r="AD379" s="581"/>
      <c r="AE379" s="581"/>
      <c r="AF379" s="581"/>
      <c r="AG379" s="581"/>
      <c r="AH379" s="581"/>
      <c r="AI379" s="581"/>
      <c r="AJ379" s="1484" t="s">
        <v>1099</v>
      </c>
      <c r="AK379" s="1484"/>
      <c r="AL379" s="1484"/>
      <c r="AM379" s="1484"/>
      <c r="AN379" s="1484"/>
      <c r="AO379" s="1484"/>
      <c r="AP379" s="1484"/>
      <c r="AQ379" s="581" t="s">
        <v>738</v>
      </c>
      <c r="AR379" s="581"/>
      <c r="AS379" s="581"/>
      <c r="AT379" s="581"/>
      <c r="AU379" s="581"/>
      <c r="AV379" s="581"/>
      <c r="AW379" s="581"/>
      <c r="AX379" s="581"/>
      <c r="AY379" s="581"/>
      <c r="AZ379" s="581"/>
      <c r="BA379" s="581"/>
      <c r="BB379" s="581"/>
      <c r="BC379" s="581"/>
      <c r="BD379" s="581"/>
      <c r="BE379" s="581"/>
      <c r="BF379" s="581"/>
      <c r="BG379" s="581"/>
      <c r="BH379" s="581"/>
      <c r="BI379" s="581"/>
      <c r="BJ379" s="581"/>
      <c r="BK379" s="581"/>
      <c r="BL379" s="581"/>
      <c r="BM379" s="581"/>
      <c r="BN379" s="581"/>
      <c r="BO379" s="581"/>
      <c r="BP379" s="581"/>
      <c r="BQ379" s="581"/>
      <c r="BR379" s="581"/>
      <c r="BS379" s="581"/>
      <c r="BT379" s="581" t="s">
        <v>1137</v>
      </c>
      <c r="BU379" s="581"/>
      <c r="BV379" s="581"/>
      <c r="BW379" s="581"/>
      <c r="BX379" s="581"/>
      <c r="BY379" s="581"/>
      <c r="BZ379" s="581"/>
      <c r="CA379" s="581"/>
      <c r="CB379" s="581"/>
      <c r="CC379" s="581"/>
      <c r="CD379" s="581"/>
      <c r="CE379" s="581"/>
      <c r="CF379" s="582"/>
    </row>
    <row r="380" spans="1:84" s="583" customFormat="1" ht="23.1" customHeight="1">
      <c r="A380" s="584"/>
      <c r="B380" s="585" t="s">
        <v>1102</v>
      </c>
      <c r="C380" s="585"/>
      <c r="D380" s="585"/>
      <c r="E380" s="585"/>
      <c r="F380" s="585"/>
      <c r="G380" s="585"/>
      <c r="H380" s="585"/>
      <c r="I380" s="585"/>
      <c r="J380" s="585"/>
      <c r="K380" s="585"/>
      <c r="L380" s="585"/>
      <c r="M380" s="585"/>
      <c r="N380" s="585"/>
      <c r="O380" s="585"/>
      <c r="P380" s="585"/>
      <c r="Q380" s="585"/>
      <c r="R380" s="585"/>
      <c r="S380" s="585"/>
      <c r="T380" s="585"/>
      <c r="U380" s="585"/>
      <c r="V380" s="585"/>
      <c r="W380" s="585"/>
      <c r="X380" s="585"/>
      <c r="Y380" s="585"/>
      <c r="Z380" s="585"/>
      <c r="AA380" s="585"/>
      <c r="AB380" s="585"/>
      <c r="AC380" s="585"/>
      <c r="AD380" s="585"/>
      <c r="AE380" s="585"/>
      <c r="AF380" s="585"/>
      <c r="AG380" s="585"/>
      <c r="AH380" s="585"/>
      <c r="AI380" s="585"/>
      <c r="AJ380" s="585"/>
      <c r="AK380" s="585"/>
      <c r="AL380" s="585"/>
      <c r="AM380" s="585"/>
      <c r="AN380" s="585"/>
      <c r="AO380" s="585"/>
      <c r="AP380" s="585"/>
      <c r="AQ380" s="585"/>
      <c r="AR380" s="585"/>
      <c r="AS380" s="585"/>
      <c r="AT380" s="585"/>
      <c r="AU380" s="585"/>
      <c r="AV380" s="585"/>
      <c r="AW380" s="585"/>
      <c r="AX380" s="585"/>
      <c r="AY380" s="585"/>
      <c r="AZ380" s="585"/>
      <c r="BA380" s="585"/>
      <c r="BB380" s="585"/>
      <c r="BC380" s="585"/>
      <c r="BD380" s="585"/>
      <c r="BE380" s="585"/>
      <c r="BF380" s="585"/>
      <c r="BG380" s="585"/>
      <c r="BH380" s="585"/>
      <c r="BI380" s="585"/>
      <c r="BJ380" s="585"/>
      <c r="BK380" s="585"/>
      <c r="BL380" s="585"/>
      <c r="BM380" s="585"/>
      <c r="BN380" s="585"/>
      <c r="BO380" s="585"/>
      <c r="BP380" s="585"/>
      <c r="BQ380" s="585"/>
      <c r="BR380" s="585"/>
      <c r="BS380" s="585"/>
      <c r="BT380" s="585"/>
      <c r="BU380" s="585"/>
      <c r="BV380" s="585"/>
      <c r="BW380" s="585"/>
      <c r="BX380" s="585"/>
      <c r="BY380" s="585"/>
      <c r="BZ380" s="585"/>
      <c r="CA380" s="585"/>
      <c r="CB380" s="585"/>
      <c r="CC380" s="585"/>
      <c r="CD380" s="585"/>
      <c r="CE380" s="585"/>
      <c r="CF380" s="586"/>
    </row>
    <row r="381" spans="1:84" s="583" customFormat="1" ht="23.1" customHeight="1">
      <c r="A381" s="587"/>
      <c r="B381" s="574"/>
      <c r="C381" s="574"/>
      <c r="D381" s="405"/>
      <c r="E381" s="574"/>
      <c r="F381" s="422"/>
      <c r="G381" s="422"/>
      <c r="H381" s="422"/>
      <c r="I381" s="422"/>
      <c r="J381" s="422"/>
      <c r="K381" s="422"/>
      <c r="L381" s="422"/>
      <c r="M381" s="422"/>
      <c r="N381" s="574"/>
      <c r="O381" s="574"/>
      <c r="P381" s="574"/>
      <c r="Q381" s="574"/>
      <c r="R381" s="574"/>
      <c r="S381" s="588"/>
      <c r="T381" s="588"/>
      <c r="U381" s="588"/>
      <c r="V381" s="588"/>
      <c r="W381" s="588"/>
      <c r="X381" s="588"/>
      <c r="Y381" s="588"/>
      <c r="Z381" s="588"/>
      <c r="AA381" s="574"/>
      <c r="AB381" s="588"/>
      <c r="AC381" s="585"/>
      <c r="AD381" s="585"/>
      <c r="AE381" s="600"/>
      <c r="AF381" s="600"/>
      <c r="AG381" s="600"/>
      <c r="AH381" s="600"/>
      <c r="AI381" s="600"/>
      <c r="AJ381" s="600"/>
      <c r="AK381" s="600"/>
      <c r="AL381" s="600"/>
      <c r="AM381" s="585"/>
      <c r="AN381" s="585"/>
      <c r="AO381" s="574"/>
      <c r="AP381" s="430"/>
      <c r="AQ381" s="430"/>
      <c r="AR381" s="430"/>
      <c r="AS381" s="430"/>
      <c r="AT381" s="430"/>
      <c r="AU381" s="430"/>
      <c r="AV381" s="430"/>
      <c r="AW381" s="430"/>
      <c r="AX381" s="430"/>
      <c r="AY381" s="430"/>
      <c r="AZ381" s="430"/>
      <c r="BA381" s="430"/>
      <c r="BB381" s="430"/>
      <c r="BC381" s="430"/>
      <c r="BD381" s="574"/>
      <c r="BE381" s="574"/>
      <c r="BF381" s="574"/>
      <c r="BG381" s="574"/>
      <c r="BH381" s="574"/>
      <c r="BI381" s="574"/>
      <c r="BJ381" s="574"/>
      <c r="BK381" s="574"/>
      <c r="BL381" s="574"/>
      <c r="BM381" s="574"/>
      <c r="BN381" s="574"/>
      <c r="BO381" s="574"/>
      <c r="BP381" s="574"/>
      <c r="BQ381" s="574"/>
      <c r="BR381" s="574"/>
      <c r="BS381" s="574"/>
      <c r="BT381" s="574"/>
      <c r="BU381" s="574"/>
      <c r="BV381" s="574"/>
      <c r="BW381" s="574"/>
      <c r="BX381" s="574"/>
      <c r="BY381" s="574"/>
      <c r="BZ381" s="574"/>
      <c r="CA381" s="574"/>
      <c r="CB381" s="574"/>
      <c r="CC381" s="574"/>
      <c r="CD381" s="574"/>
      <c r="CE381" s="574"/>
      <c r="CF381" s="589"/>
    </row>
    <row r="382" spans="1:84" s="583" customFormat="1" ht="23.1" customHeight="1">
      <c r="A382" s="584"/>
      <c r="B382" s="585"/>
      <c r="C382" s="585"/>
      <c r="D382" s="585"/>
      <c r="E382" s="585"/>
      <c r="F382" s="585"/>
      <c r="G382" s="585"/>
      <c r="H382" s="585"/>
      <c r="I382" s="585"/>
      <c r="J382" s="585"/>
      <c r="K382" s="585"/>
      <c r="L382" s="585"/>
      <c r="M382" s="585"/>
      <c r="N382" s="585"/>
      <c r="O382" s="585"/>
      <c r="P382" s="585"/>
      <c r="Q382" s="585"/>
      <c r="R382" s="585"/>
      <c r="S382" s="585"/>
      <c r="T382" s="585"/>
      <c r="U382" s="585"/>
      <c r="V382" s="590"/>
      <c r="W382" s="590"/>
      <c r="X382" s="590"/>
      <c r="Y382" s="590"/>
      <c r="Z382" s="590"/>
      <c r="AA382" s="590"/>
      <c r="AB382" s="590"/>
      <c r="AC382" s="590"/>
      <c r="AD382" s="574"/>
      <c r="AE382" s="1440">
        <v>4559000</v>
      </c>
      <c r="AF382" s="1440"/>
      <c r="AG382" s="1440"/>
      <c r="AH382" s="1440"/>
      <c r="AI382" s="1440"/>
      <c r="AJ382" s="1440"/>
      <c r="AK382" s="1440"/>
      <c r="AL382" s="1440"/>
      <c r="AM382" s="1440"/>
      <c r="AN382" s="1440"/>
      <c r="AO382" s="1440"/>
      <c r="AP382" s="1440"/>
      <c r="AQ382" s="1440"/>
      <c r="AR382" s="1440"/>
      <c r="AS382" s="1440"/>
      <c r="AT382" s="1431" t="s">
        <v>446</v>
      </c>
      <c r="AU382" s="1431"/>
      <c r="AV382" s="1441" t="s">
        <v>1103</v>
      </c>
      <c r="AW382" s="1441"/>
      <c r="AX382" s="1442">
        <v>6601</v>
      </c>
      <c r="AY382" s="1442"/>
      <c r="AZ382" s="1442"/>
      <c r="BA382" s="1442"/>
      <c r="BB382" s="1442"/>
      <c r="BC382" s="1442"/>
      <c r="BD382" s="585"/>
      <c r="BE382" s="1431" t="s">
        <v>446</v>
      </c>
      <c r="BF382" s="1431"/>
      <c r="BG382" s="585"/>
      <c r="BH382" s="591" t="s">
        <v>1104</v>
      </c>
      <c r="BI382" s="585"/>
      <c r="BJ382" s="585"/>
      <c r="BK382" s="585"/>
      <c r="BL382" s="1431" t="s">
        <v>1105</v>
      </c>
      <c r="BM382" s="1431"/>
      <c r="BN382" s="1431"/>
      <c r="BO382" s="585"/>
      <c r="BP382" s="1431" t="s">
        <v>41</v>
      </c>
      <c r="BQ382" s="1431"/>
      <c r="BR382" s="585"/>
      <c r="BS382" s="585"/>
      <c r="BT382" s="1437">
        <f>INT(AE382*AX382*10^-7)</f>
        <v>3009</v>
      </c>
      <c r="BU382" s="1437"/>
      <c r="BV382" s="1437"/>
      <c r="BW382" s="1437"/>
      <c r="BX382" s="1437"/>
      <c r="BY382" s="1437"/>
      <c r="BZ382" s="1437"/>
      <c r="CA382" s="1437"/>
      <c r="CB382" s="1437"/>
      <c r="CC382" s="1437"/>
      <c r="CD382" s="585"/>
      <c r="CE382" s="585"/>
      <c r="CF382" s="586"/>
    </row>
    <row r="383" spans="1:84" s="583" customFormat="1" ht="23.1" customHeight="1">
      <c r="A383" s="592"/>
      <c r="B383" s="593" t="s">
        <v>1106</v>
      </c>
      <c r="C383" s="593"/>
      <c r="D383" s="593"/>
      <c r="E383" s="593"/>
      <c r="F383" s="593"/>
      <c r="G383" s="593"/>
      <c r="H383" s="593"/>
      <c r="I383" s="593"/>
      <c r="J383" s="593"/>
      <c r="K383" s="593"/>
      <c r="L383" s="593"/>
      <c r="M383" s="593"/>
      <c r="N383" s="593"/>
      <c r="O383" s="593"/>
      <c r="P383" s="593"/>
      <c r="Q383" s="593"/>
      <c r="R383" s="593"/>
      <c r="S383" s="593"/>
      <c r="T383" s="593"/>
      <c r="U383" s="593"/>
      <c r="V383" s="593"/>
      <c r="W383" s="593"/>
      <c r="X383" s="593"/>
      <c r="Y383" s="593"/>
      <c r="Z383" s="593"/>
      <c r="AA383" s="593"/>
      <c r="AB383" s="593"/>
      <c r="AC383" s="593"/>
      <c r="AD383" s="593"/>
      <c r="AE383" s="593"/>
      <c r="AF383" s="593"/>
      <c r="AG383" s="593"/>
      <c r="AH383" s="593"/>
      <c r="AI383" s="593"/>
      <c r="AJ383" s="593"/>
      <c r="AK383" s="593"/>
      <c r="AL383" s="593"/>
      <c r="AM383" s="593"/>
      <c r="AN383" s="593"/>
      <c r="AO383" s="593"/>
      <c r="AP383" s="593"/>
      <c r="AQ383" s="593"/>
      <c r="AR383" s="593"/>
      <c r="AS383" s="593"/>
      <c r="AT383" s="593"/>
      <c r="AU383" s="593"/>
      <c r="AV383" s="593"/>
      <c r="AW383" s="593"/>
      <c r="AX383" s="593"/>
      <c r="AY383" s="593"/>
      <c r="AZ383" s="593"/>
      <c r="BA383" s="593"/>
      <c r="BB383" s="593"/>
      <c r="BC383" s="593"/>
      <c r="BD383" s="593"/>
      <c r="BE383" s="593"/>
      <c r="BF383" s="593"/>
      <c r="BG383" s="593"/>
      <c r="BH383" s="593"/>
      <c r="BI383" s="593"/>
      <c r="BJ383" s="593"/>
      <c r="BK383" s="593"/>
      <c r="BL383" s="593"/>
      <c r="BM383" s="593"/>
      <c r="BN383" s="593"/>
      <c r="BO383" s="593"/>
      <c r="BP383" s="593"/>
      <c r="BQ383" s="593"/>
      <c r="BR383" s="593"/>
      <c r="BS383" s="593"/>
      <c r="BT383" s="594"/>
      <c r="BU383" s="594"/>
      <c r="BV383" s="594"/>
      <c r="BW383" s="594"/>
      <c r="BX383" s="594"/>
      <c r="BY383" s="594"/>
      <c r="BZ383" s="594"/>
      <c r="CA383" s="594"/>
      <c r="CB383" s="594"/>
      <c r="CC383" s="594"/>
      <c r="CD383" s="593"/>
      <c r="CE383" s="593"/>
      <c r="CF383" s="595"/>
    </row>
    <row r="384" spans="1:84" s="583" customFormat="1" ht="23.1" customHeight="1">
      <c r="A384" s="584"/>
      <c r="B384" s="585"/>
      <c r="C384" s="585"/>
      <c r="D384" s="585"/>
      <c r="E384" s="585"/>
      <c r="F384" s="585"/>
      <c r="G384" s="585"/>
      <c r="H384" s="585"/>
      <c r="I384" s="585"/>
      <c r="J384" s="585"/>
      <c r="K384" s="585"/>
      <c r="L384" s="585"/>
      <c r="M384" s="585"/>
      <c r="N384" s="585"/>
      <c r="O384" s="585"/>
      <c r="P384" s="585"/>
      <c r="Q384" s="585"/>
      <c r="R384" s="585"/>
      <c r="S384" s="585"/>
      <c r="T384" s="574"/>
      <c r="U384" s="574"/>
      <c r="V384" s="588"/>
      <c r="W384" s="588"/>
      <c r="X384" s="588"/>
      <c r="Y384" s="588"/>
      <c r="Z384" s="588"/>
      <c r="AA384" s="588"/>
      <c r="AB384" s="588"/>
      <c r="AC384" s="588"/>
      <c r="AD384" s="588"/>
      <c r="AE384" s="588"/>
      <c r="AF384" s="585"/>
      <c r="AG384" s="585"/>
      <c r="AH384" s="574"/>
      <c r="AI384" s="440"/>
      <c r="AJ384" s="440"/>
      <c r="AK384" s="440"/>
      <c r="AL384" s="440"/>
      <c r="AM384" s="585"/>
      <c r="AN384" s="585"/>
      <c r="AO384" s="585"/>
      <c r="AP384" s="585"/>
      <c r="AQ384" s="440"/>
      <c r="AR384" s="440"/>
      <c r="AS384" s="440"/>
      <c r="AT384" s="440"/>
      <c r="AU384" s="440"/>
      <c r="AV384" s="422"/>
      <c r="AW384" s="585"/>
      <c r="AX384" s="585"/>
      <c r="AY384" s="440"/>
      <c r="AZ384" s="440"/>
      <c r="BA384" s="440"/>
      <c r="BB384" s="440"/>
      <c r="BC384" s="440"/>
      <c r="BD384" s="440"/>
      <c r="BE384" s="585"/>
      <c r="BF384" s="585"/>
      <c r="BG384" s="585"/>
      <c r="BH384" s="585"/>
      <c r="BI384" s="585"/>
      <c r="BJ384" s="585"/>
      <c r="BK384" s="585"/>
      <c r="BL384" s="585"/>
      <c r="BM384" s="585"/>
      <c r="BN384" s="585"/>
      <c r="BO384" s="585"/>
      <c r="BP384" s="1431"/>
      <c r="BQ384" s="1431"/>
      <c r="BR384" s="585"/>
      <c r="BS384" s="585"/>
      <c r="BT384" s="1432"/>
      <c r="BU384" s="1432"/>
      <c r="BV384" s="1432"/>
      <c r="BW384" s="1432"/>
      <c r="BX384" s="1432"/>
      <c r="BY384" s="1432"/>
      <c r="BZ384" s="1432"/>
      <c r="CA384" s="1432"/>
      <c r="CB384" s="1432"/>
      <c r="CC384" s="1432"/>
      <c r="CD384" s="585"/>
      <c r="CE384" s="585"/>
      <c r="CF384" s="586"/>
    </row>
    <row r="385" spans="1:84" s="583" customFormat="1" ht="23.1" customHeight="1">
      <c r="A385" s="584"/>
      <c r="B385" s="585"/>
      <c r="C385" s="585"/>
      <c r="D385" s="585"/>
      <c r="E385" s="585"/>
      <c r="F385" s="585"/>
      <c r="G385" s="585"/>
      <c r="H385" s="585"/>
      <c r="I385" s="585"/>
      <c r="J385" s="585"/>
      <c r="K385" s="585"/>
      <c r="L385" s="585"/>
      <c r="M385" s="585"/>
      <c r="N385" s="585"/>
      <c r="O385" s="585"/>
      <c r="P385" s="574"/>
      <c r="Q385" s="574"/>
      <c r="R385" s="574"/>
      <c r="S385" s="574"/>
      <c r="T385" s="574"/>
      <c r="U385" s="574"/>
      <c r="V385" s="574"/>
      <c r="W385" s="574"/>
      <c r="X385" s="574"/>
      <c r="Y385" s="574"/>
      <c r="Z385" s="574"/>
      <c r="AA385" s="574"/>
      <c r="AB385" s="574"/>
      <c r="AC385" s="574"/>
      <c r="AD385" s="574"/>
      <c r="AE385" s="574"/>
      <c r="AF385" s="574"/>
      <c r="AG385" s="574"/>
      <c r="AH385" s="574"/>
      <c r="AI385" s="574"/>
      <c r="AJ385" s="574"/>
      <c r="AK385" s="574"/>
      <c r="AL385" s="574"/>
      <c r="AM385" s="574"/>
      <c r="AN385" s="574"/>
      <c r="AO385" s="574"/>
      <c r="AP385" s="574"/>
      <c r="AQ385" s="574"/>
      <c r="AR385" s="574"/>
      <c r="AS385" s="574"/>
      <c r="AT385" s="574"/>
      <c r="AU385" s="574"/>
      <c r="AV385" s="574"/>
      <c r="AW385" s="574"/>
      <c r="AX385" s="574"/>
      <c r="AY385" s="574"/>
      <c r="AZ385" s="574"/>
      <c r="BA385" s="574"/>
      <c r="BB385" s="574"/>
      <c r="BC385" s="574"/>
      <c r="BD385" s="574"/>
      <c r="BE385" s="574"/>
      <c r="BF385" s="574"/>
      <c r="BG385" s="585"/>
      <c r="BH385" s="585"/>
      <c r="BI385" s="585"/>
      <c r="BJ385" s="585"/>
      <c r="BK385" s="585"/>
      <c r="BL385" s="585"/>
      <c r="BM385" s="585"/>
      <c r="BN385" s="585"/>
      <c r="BO385" s="585"/>
      <c r="BP385" s="1431"/>
      <c r="BQ385" s="1431"/>
      <c r="BR385" s="585"/>
      <c r="BS385" s="585"/>
      <c r="BT385" s="1432"/>
      <c r="BU385" s="1432"/>
      <c r="BV385" s="1432"/>
      <c r="BW385" s="1432"/>
      <c r="BX385" s="1432"/>
      <c r="BY385" s="1432"/>
      <c r="BZ385" s="1432"/>
      <c r="CA385" s="1432"/>
      <c r="CB385" s="1432"/>
      <c r="CC385" s="1432"/>
      <c r="CD385" s="585"/>
      <c r="CE385" s="585"/>
      <c r="CF385" s="586"/>
    </row>
    <row r="386" spans="1:84" s="583" customFormat="1" ht="23.1" customHeight="1">
      <c r="A386" s="584"/>
      <c r="B386" s="585"/>
      <c r="C386" s="585"/>
      <c r="D386" s="585"/>
      <c r="E386" s="585"/>
      <c r="F386" s="585"/>
      <c r="G386" s="585"/>
      <c r="H386" s="585"/>
      <c r="I386" s="585"/>
      <c r="J386" s="585"/>
      <c r="K386" s="585"/>
      <c r="L386" s="585"/>
      <c r="M386" s="585"/>
      <c r="N386" s="585"/>
      <c r="O386" s="585"/>
      <c r="P386" s="585"/>
      <c r="Q386" s="585"/>
      <c r="R386" s="585"/>
      <c r="S386" s="585"/>
      <c r="T386" s="585"/>
      <c r="U386" s="585"/>
      <c r="V386" s="585"/>
      <c r="W386" s="585"/>
      <c r="X386" s="585"/>
      <c r="Y386" s="585"/>
      <c r="Z386" s="585"/>
      <c r="AA386" s="585"/>
      <c r="AB386" s="585"/>
      <c r="AC386" s="585"/>
      <c r="AD386" s="574"/>
      <c r="AE386" s="574"/>
      <c r="AF386" s="574"/>
      <c r="AG386" s="574"/>
      <c r="AH386" s="574"/>
      <c r="AI386" s="574"/>
      <c r="AJ386" s="574"/>
      <c r="AK386" s="574"/>
      <c r="AL386" s="574"/>
      <c r="AM386" s="574"/>
      <c r="AN386" s="574"/>
      <c r="AO386" s="574"/>
      <c r="AP386" s="574"/>
      <c r="AQ386" s="574"/>
      <c r="AR386" s="574"/>
      <c r="AS386" s="585"/>
      <c r="AT386" s="590"/>
      <c r="AU386" s="590"/>
      <c r="AV386" s="585"/>
      <c r="AW386" s="585"/>
      <c r="AX386" s="585"/>
      <c r="AY386" s="585"/>
      <c r="AZ386" s="585"/>
      <c r="BA386" s="585"/>
      <c r="BB386" s="585"/>
      <c r="BC386" s="585"/>
      <c r="BD386" s="585"/>
      <c r="BE386" s="585"/>
      <c r="BF386" s="585"/>
      <c r="BG386" s="585"/>
      <c r="BH386" s="585"/>
      <c r="BI386" s="585"/>
      <c r="BJ386" s="585"/>
      <c r="BK386" s="585"/>
      <c r="BL386" s="585"/>
      <c r="BM386" s="585"/>
      <c r="BN386" s="585"/>
      <c r="BO386" s="585"/>
      <c r="BP386" s="1431" t="s">
        <v>41</v>
      </c>
      <c r="BQ386" s="1431"/>
      <c r="BR386" s="585"/>
      <c r="BS386" s="585"/>
      <c r="BT386" s="1434">
        <f>BT384+BT385</f>
        <v>0</v>
      </c>
      <c r="BU386" s="1434"/>
      <c r="BV386" s="1434"/>
      <c r="BW386" s="1434"/>
      <c r="BX386" s="1434"/>
      <c r="BY386" s="1434"/>
      <c r="BZ386" s="1434"/>
      <c r="CA386" s="1434"/>
      <c r="CB386" s="1434"/>
      <c r="CC386" s="1434"/>
      <c r="CD386" s="585"/>
      <c r="CE386" s="585"/>
      <c r="CF386" s="586"/>
    </row>
    <row r="387" spans="1:84" s="583" customFormat="1" ht="23.1" customHeight="1">
      <c r="A387" s="592"/>
      <c r="B387" s="593" t="s">
        <v>1110</v>
      </c>
      <c r="C387" s="593"/>
      <c r="D387" s="593"/>
      <c r="E387" s="593"/>
      <c r="F387" s="593"/>
      <c r="G387" s="593"/>
      <c r="H387" s="593"/>
      <c r="I387" s="593"/>
      <c r="J387" s="593"/>
      <c r="K387" s="593"/>
      <c r="L387" s="593"/>
      <c r="M387" s="593"/>
      <c r="N387" s="593"/>
      <c r="O387" s="593"/>
      <c r="P387" s="593"/>
      <c r="Q387" s="593"/>
      <c r="R387" s="593"/>
      <c r="S387" s="593"/>
      <c r="T387" s="593"/>
      <c r="U387" s="593"/>
      <c r="V387" s="593"/>
      <c r="W387" s="593"/>
      <c r="X387" s="593"/>
      <c r="Y387" s="593"/>
      <c r="Z387" s="593"/>
      <c r="AA387" s="593"/>
      <c r="AB387" s="593"/>
      <c r="AC387" s="593"/>
      <c r="AD387" s="593"/>
      <c r="AE387" s="593"/>
      <c r="AF387" s="593"/>
      <c r="AG387" s="593"/>
      <c r="AH387" s="593"/>
      <c r="AI387" s="593"/>
      <c r="AJ387" s="593"/>
      <c r="AK387" s="593"/>
      <c r="AL387" s="593"/>
      <c r="AM387" s="593"/>
      <c r="AN387" s="593"/>
      <c r="AO387" s="593"/>
      <c r="AP387" s="593"/>
      <c r="AQ387" s="593"/>
      <c r="AR387" s="593"/>
      <c r="AS387" s="593"/>
      <c r="AT387" s="593"/>
      <c r="AU387" s="593"/>
      <c r="AV387" s="593"/>
      <c r="AW387" s="593"/>
      <c r="AX387" s="593"/>
      <c r="AY387" s="593"/>
      <c r="AZ387" s="593"/>
      <c r="BA387" s="593"/>
      <c r="BB387" s="593"/>
      <c r="BC387" s="593"/>
      <c r="BD387" s="593"/>
      <c r="BE387" s="593"/>
      <c r="BF387" s="593"/>
      <c r="BG387" s="593"/>
      <c r="BH387" s="593"/>
      <c r="BI387" s="593"/>
      <c r="BJ387" s="593"/>
      <c r="BK387" s="593"/>
      <c r="BL387" s="593"/>
      <c r="BM387" s="593"/>
      <c r="BN387" s="593"/>
      <c r="BO387" s="593"/>
      <c r="BP387" s="593"/>
      <c r="BQ387" s="593"/>
      <c r="BR387" s="593"/>
      <c r="BS387" s="593"/>
      <c r="BT387" s="593"/>
      <c r="BU387" s="593"/>
      <c r="BV387" s="593"/>
      <c r="BW387" s="593"/>
      <c r="BX387" s="593"/>
      <c r="BY387" s="593"/>
      <c r="BZ387" s="593"/>
      <c r="CA387" s="593"/>
      <c r="CB387" s="593"/>
      <c r="CC387" s="593"/>
      <c r="CD387" s="593"/>
      <c r="CE387" s="593"/>
      <c r="CF387" s="595"/>
    </row>
    <row r="388" spans="1:84" s="583" customFormat="1" ht="23.1" customHeight="1">
      <c r="A388" s="584"/>
      <c r="B388" s="585"/>
      <c r="C388" s="585"/>
      <c r="D388" s="585"/>
      <c r="E388" s="585"/>
      <c r="F388" s="585"/>
      <c r="G388" s="585"/>
      <c r="H388" s="585"/>
      <c r="I388" s="585"/>
      <c r="J388" s="585"/>
      <c r="K388" s="585"/>
      <c r="L388" s="585"/>
      <c r="M388" s="585"/>
      <c r="N388" s="585"/>
      <c r="O388" s="585"/>
      <c r="P388" s="585"/>
      <c r="Q388" s="585"/>
      <c r="R388" s="585"/>
      <c r="S388" s="585"/>
      <c r="T388" s="585"/>
      <c r="U388" s="585"/>
      <c r="V388" s="585"/>
      <c r="W388" s="585"/>
      <c r="X388" s="585"/>
      <c r="Y388" s="585"/>
      <c r="Z388" s="585"/>
      <c r="AA388" s="585"/>
      <c r="AB388" s="585"/>
      <c r="AC388" s="585"/>
      <c r="AD388" s="585"/>
      <c r="AE388" s="585"/>
      <c r="AF388" s="585"/>
      <c r="AG388" s="585"/>
      <c r="AH388" s="585"/>
      <c r="AI388" s="585"/>
      <c r="AJ388" s="585"/>
      <c r="AK388" s="585"/>
      <c r="AL388" s="585"/>
      <c r="AM388" s="585"/>
      <c r="AN388" s="585"/>
      <c r="AO388" s="585"/>
      <c r="AP388" s="585"/>
      <c r="AQ388" s="585"/>
      <c r="AR388" s="422"/>
      <c r="AS388" s="604"/>
      <c r="AT388" s="604"/>
      <c r="AU388" s="604"/>
      <c r="AV388" s="604"/>
      <c r="AW388" s="604"/>
      <c r="AX388" s="604"/>
      <c r="AY388" s="604"/>
      <c r="AZ388" s="604"/>
      <c r="BA388" s="604"/>
      <c r="BB388" s="604"/>
      <c r="BC388" s="585"/>
      <c r="BD388" s="585"/>
      <c r="BE388" s="585"/>
      <c r="BF388" s="585"/>
      <c r="BG388" s="585"/>
      <c r="BH388" s="585"/>
      <c r="BI388" s="585"/>
      <c r="BJ388" s="585"/>
      <c r="BK388" s="585"/>
      <c r="BL388" s="585"/>
      <c r="BM388" s="585"/>
      <c r="BN388" s="585"/>
      <c r="BO388" s="585"/>
      <c r="BP388" s="1431"/>
      <c r="BQ388" s="1431"/>
      <c r="BR388" s="585"/>
      <c r="BS388" s="585"/>
      <c r="BT388" s="1432"/>
      <c r="BU388" s="1432"/>
      <c r="BV388" s="1432"/>
      <c r="BW388" s="1432"/>
      <c r="BX388" s="1432"/>
      <c r="BY388" s="1432"/>
      <c r="BZ388" s="1432"/>
      <c r="CA388" s="1432"/>
      <c r="CB388" s="1432"/>
      <c r="CC388" s="1432"/>
      <c r="CD388" s="585"/>
      <c r="CE388" s="585"/>
      <c r="CF388" s="586"/>
    </row>
    <row r="389" spans="1:84" s="583" customFormat="1" ht="23.1" customHeight="1">
      <c r="A389" s="584"/>
      <c r="B389" s="585"/>
      <c r="C389" s="585"/>
      <c r="D389" s="591"/>
      <c r="E389" s="585"/>
      <c r="F389" s="585"/>
      <c r="G389" s="585"/>
      <c r="H389" s="585"/>
      <c r="I389" s="585"/>
      <c r="J389" s="585"/>
      <c r="K389" s="585"/>
      <c r="L389" s="585"/>
      <c r="M389" s="585"/>
      <c r="N389" s="585"/>
      <c r="O389" s="585"/>
      <c r="P389" s="585"/>
      <c r="Q389" s="585"/>
      <c r="R389" s="585"/>
      <c r="S389" s="585"/>
      <c r="T389" s="585"/>
      <c r="U389" s="585"/>
      <c r="V389" s="585"/>
      <c r="W389" s="585"/>
      <c r="X389" s="585"/>
      <c r="Y389" s="585"/>
      <c r="Z389" s="585"/>
      <c r="AA389" s="585"/>
      <c r="AB389" s="585"/>
      <c r="AC389" s="585"/>
      <c r="AD389" s="585"/>
      <c r="AE389" s="585"/>
      <c r="AF389" s="585"/>
      <c r="AG389" s="585"/>
      <c r="AH389" s="585"/>
      <c r="AI389" s="585"/>
      <c r="AJ389" s="585"/>
      <c r="AK389" s="585"/>
      <c r="AL389" s="585"/>
      <c r="AM389" s="585"/>
      <c r="AN389" s="585"/>
      <c r="AO389" s="585"/>
      <c r="AP389" s="585"/>
      <c r="AQ389" s="585"/>
      <c r="AR389" s="422"/>
      <c r="AS389" s="604"/>
      <c r="AT389" s="604"/>
      <c r="AU389" s="604"/>
      <c r="AV389" s="604"/>
      <c r="AW389" s="604"/>
      <c r="AX389" s="604"/>
      <c r="AY389" s="604"/>
      <c r="AZ389" s="604"/>
      <c r="BA389" s="604"/>
      <c r="BB389" s="604"/>
      <c r="BC389" s="585"/>
      <c r="BD389" s="585"/>
      <c r="BE389" s="585"/>
      <c r="BF389" s="585"/>
      <c r="BG389" s="585"/>
      <c r="BH389" s="585"/>
      <c r="BI389" s="585"/>
      <c r="BJ389" s="585"/>
      <c r="BK389" s="585"/>
      <c r="BL389" s="585"/>
      <c r="BM389" s="585"/>
      <c r="BN389" s="585"/>
      <c r="BO389" s="585"/>
      <c r="BP389" s="1431"/>
      <c r="BQ389" s="1431"/>
      <c r="BR389" s="585"/>
      <c r="BS389" s="585"/>
      <c r="BT389" s="1432"/>
      <c r="BU389" s="1432"/>
      <c r="BV389" s="1432"/>
      <c r="BW389" s="1432"/>
      <c r="BX389" s="1432"/>
      <c r="BY389" s="1432"/>
      <c r="BZ389" s="1432"/>
      <c r="CA389" s="1432"/>
      <c r="CB389" s="1432"/>
      <c r="CC389" s="1432"/>
      <c r="CD389" s="585"/>
      <c r="CE389" s="585"/>
      <c r="CF389" s="586"/>
    </row>
    <row r="390" spans="1:84" s="583" customFormat="1" ht="23.1" customHeight="1" thickBot="1">
      <c r="A390" s="584"/>
      <c r="B390" s="585"/>
      <c r="C390" s="585"/>
      <c r="D390" s="585"/>
      <c r="E390" s="585"/>
      <c r="F390" s="585"/>
      <c r="G390" s="585"/>
      <c r="H390" s="585"/>
      <c r="I390" s="585"/>
      <c r="J390" s="585"/>
      <c r="K390" s="585"/>
      <c r="L390" s="585"/>
      <c r="M390" s="585"/>
      <c r="N390" s="585"/>
      <c r="O390" s="585"/>
      <c r="P390" s="585"/>
      <c r="Q390" s="585"/>
      <c r="R390" s="585"/>
      <c r="S390" s="585"/>
      <c r="T390" s="585"/>
      <c r="U390" s="585"/>
      <c r="V390" s="585"/>
      <c r="W390" s="585"/>
      <c r="X390" s="585"/>
      <c r="Y390" s="585"/>
      <c r="Z390" s="585"/>
      <c r="AA390" s="585"/>
      <c r="AB390" s="585"/>
      <c r="AC390" s="585"/>
      <c r="AD390" s="585"/>
      <c r="AE390" s="585"/>
      <c r="AF390" s="585"/>
      <c r="AG390" s="585"/>
      <c r="AH390" s="585"/>
      <c r="AI390" s="585"/>
      <c r="AJ390" s="585"/>
      <c r="AK390" s="585"/>
      <c r="AL390" s="585"/>
      <c r="AM390" s="585"/>
      <c r="AN390" s="585"/>
      <c r="AO390" s="585"/>
      <c r="AP390" s="585"/>
      <c r="AQ390" s="585"/>
      <c r="AR390" s="585"/>
      <c r="AS390" s="585"/>
      <c r="AT390" s="585"/>
      <c r="AU390" s="585"/>
      <c r="AV390" s="585"/>
      <c r="AW390" s="585"/>
      <c r="AX390" s="585"/>
      <c r="AY390" s="585"/>
      <c r="AZ390" s="585"/>
      <c r="BA390" s="585"/>
      <c r="BB390" s="585"/>
      <c r="BC390" s="585"/>
      <c r="BD390" s="585"/>
      <c r="BE390" s="585"/>
      <c r="BF390" s="585"/>
      <c r="BG390" s="585"/>
      <c r="BH390" s="585"/>
      <c r="BI390" s="585"/>
      <c r="BJ390" s="585"/>
      <c r="BK390" s="585"/>
      <c r="BL390" s="585"/>
      <c r="BM390" s="585"/>
      <c r="BN390" s="585"/>
      <c r="BO390" s="585"/>
      <c r="BP390" s="1431" t="s">
        <v>41</v>
      </c>
      <c r="BQ390" s="1431"/>
      <c r="BR390" s="585"/>
      <c r="BS390" s="585"/>
      <c r="BT390" s="1433">
        <f>BT388+BT389</f>
        <v>0</v>
      </c>
      <c r="BU390" s="1433"/>
      <c r="BV390" s="1433"/>
      <c r="BW390" s="1433"/>
      <c r="BX390" s="1433"/>
      <c r="BY390" s="1433"/>
      <c r="BZ390" s="1433"/>
      <c r="CA390" s="1433"/>
      <c r="CB390" s="1433"/>
      <c r="CC390" s="1433"/>
      <c r="CD390" s="585"/>
      <c r="CE390" s="585"/>
      <c r="CF390" s="586"/>
    </row>
    <row r="391" spans="1:84" s="583" customFormat="1" ht="23.1" customHeight="1" thickBot="1">
      <c r="A391" s="597"/>
      <c r="B391" s="598" t="s">
        <v>1113</v>
      </c>
      <c r="C391" s="598"/>
      <c r="D391" s="598"/>
      <c r="E391" s="598"/>
      <c r="F391" s="598"/>
      <c r="G391" s="598"/>
      <c r="H391" s="598"/>
      <c r="I391" s="598"/>
      <c r="J391" s="598"/>
      <c r="K391" s="598"/>
      <c r="L391" s="598"/>
      <c r="M391" s="598"/>
      <c r="N391" s="598"/>
      <c r="O391" s="598"/>
      <c r="P391" s="598"/>
      <c r="Q391" s="598"/>
      <c r="R391" s="598"/>
      <c r="S391" s="598"/>
      <c r="T391" s="598"/>
      <c r="U391" s="598"/>
      <c r="V391" s="598"/>
      <c r="W391" s="598"/>
      <c r="X391" s="598"/>
      <c r="Y391" s="598"/>
      <c r="Z391" s="598"/>
      <c r="AA391" s="598"/>
      <c r="AB391" s="598"/>
      <c r="AC391" s="598"/>
      <c r="AD391" s="598"/>
      <c r="AE391" s="598"/>
      <c r="AF391" s="598"/>
      <c r="AG391" s="598"/>
      <c r="AH391" s="598"/>
      <c r="AI391" s="598"/>
      <c r="AJ391" s="598"/>
      <c r="AK391" s="598"/>
      <c r="AL391" s="598"/>
      <c r="AM391" s="598"/>
      <c r="AN391" s="598"/>
      <c r="AO391" s="598"/>
      <c r="AP391" s="598"/>
      <c r="AQ391" s="598"/>
      <c r="AR391" s="598"/>
      <c r="AS391" s="598"/>
      <c r="AT391" s="598"/>
      <c r="AU391" s="598"/>
      <c r="AV391" s="598"/>
      <c r="AW391" s="598"/>
      <c r="AX391" s="598"/>
      <c r="AY391" s="598"/>
      <c r="AZ391" s="598"/>
      <c r="BA391" s="598"/>
      <c r="BB391" s="598"/>
      <c r="BC391" s="598"/>
      <c r="BD391" s="598"/>
      <c r="BE391" s="598"/>
      <c r="BF391" s="598"/>
      <c r="BG391" s="598"/>
      <c r="BH391" s="598"/>
      <c r="BI391" s="598"/>
      <c r="BJ391" s="598"/>
      <c r="BK391" s="598"/>
      <c r="BL391" s="598"/>
      <c r="BM391" s="598"/>
      <c r="BN391" s="598"/>
      <c r="BO391" s="598"/>
      <c r="BP391" s="598"/>
      <c r="BQ391" s="598"/>
      <c r="BR391" s="598"/>
      <c r="BS391" s="598"/>
      <c r="BT391" s="1429">
        <f>BT382+BT386+BT390</f>
        <v>3009</v>
      </c>
      <c r="BU391" s="1429"/>
      <c r="BV391" s="1429"/>
      <c r="BW391" s="1429"/>
      <c r="BX391" s="1429"/>
      <c r="BY391" s="1429"/>
      <c r="BZ391" s="1429"/>
      <c r="CA391" s="1429"/>
      <c r="CB391" s="1429"/>
      <c r="CC391" s="1429"/>
      <c r="CD391" s="598"/>
      <c r="CE391" s="598"/>
      <c r="CF391" s="599"/>
    </row>
    <row r="392" spans="1:84" s="583" customFormat="1" ht="9.9499999999999993" customHeight="1">
      <c r="A392" s="574"/>
      <c r="B392" s="574"/>
      <c r="C392" s="574"/>
      <c r="D392" s="574"/>
      <c r="E392" s="574"/>
      <c r="F392" s="574"/>
      <c r="G392" s="574"/>
      <c r="H392" s="574"/>
      <c r="I392" s="574"/>
      <c r="J392" s="574"/>
      <c r="K392" s="574"/>
      <c r="L392" s="574"/>
      <c r="M392" s="574"/>
      <c r="N392" s="574"/>
      <c r="O392" s="574"/>
      <c r="P392" s="574"/>
      <c r="Q392" s="574"/>
      <c r="R392" s="574"/>
      <c r="S392" s="574"/>
      <c r="T392" s="574"/>
      <c r="U392" s="574"/>
      <c r="V392" s="574"/>
      <c r="W392" s="574"/>
      <c r="X392" s="574"/>
      <c r="Y392" s="574"/>
      <c r="Z392" s="574"/>
      <c r="AA392" s="574"/>
      <c r="AB392" s="574"/>
      <c r="AC392" s="574"/>
      <c r="AD392" s="574"/>
      <c r="AE392" s="574"/>
      <c r="AF392" s="574"/>
      <c r="AG392" s="574"/>
      <c r="AH392" s="574"/>
      <c r="AI392" s="574"/>
      <c r="AJ392" s="574"/>
      <c r="AK392" s="574"/>
      <c r="AL392" s="574"/>
      <c r="AM392" s="574"/>
      <c r="AN392" s="574"/>
      <c r="AO392" s="574"/>
      <c r="AP392" s="574"/>
      <c r="AQ392" s="574"/>
      <c r="AR392" s="574"/>
      <c r="AS392" s="574"/>
      <c r="AT392" s="574"/>
      <c r="AU392" s="574"/>
      <c r="AV392" s="574"/>
      <c r="AW392" s="574"/>
      <c r="AX392" s="574"/>
      <c r="AY392" s="574"/>
      <c r="AZ392" s="574"/>
      <c r="BA392" s="574"/>
      <c r="BB392" s="574"/>
      <c r="BC392" s="574"/>
      <c r="BD392" s="574"/>
      <c r="BE392" s="574"/>
      <c r="BF392" s="574"/>
      <c r="BG392" s="574"/>
      <c r="BH392" s="574"/>
      <c r="BI392" s="574"/>
      <c r="BJ392" s="574"/>
      <c r="BK392" s="574"/>
      <c r="BL392" s="574"/>
      <c r="BM392" s="574"/>
      <c r="BN392" s="574"/>
      <c r="BO392" s="574"/>
      <c r="BP392" s="574"/>
      <c r="BQ392" s="574"/>
      <c r="BR392" s="574"/>
      <c r="BS392" s="574"/>
      <c r="BT392" s="574"/>
      <c r="BU392" s="574"/>
      <c r="BV392" s="574"/>
      <c r="BW392" s="574"/>
      <c r="BX392" s="574"/>
      <c r="BY392" s="574"/>
      <c r="BZ392" s="574"/>
      <c r="CA392" s="574"/>
      <c r="CB392" s="574"/>
      <c r="CC392" s="574"/>
      <c r="CD392" s="574"/>
      <c r="CE392" s="574"/>
      <c r="CF392" s="574"/>
    </row>
    <row r="393" spans="1:84" s="583" customFormat="1" ht="23.1" customHeight="1" thickBot="1">
      <c r="A393" s="1446" t="s">
        <v>1095</v>
      </c>
      <c r="B393" s="1446"/>
      <c r="C393" s="1446"/>
      <c r="D393" s="1446"/>
      <c r="E393" s="1446"/>
      <c r="F393" s="1446"/>
      <c r="G393" s="1447">
        <f>G378+1</f>
        <v>27</v>
      </c>
      <c r="H393" s="1447"/>
      <c r="I393" s="1447"/>
      <c r="J393" s="1448" t="s">
        <v>1096</v>
      </c>
      <c r="K393" s="1448"/>
      <c r="L393" s="574"/>
      <c r="M393" s="574"/>
      <c r="N393" s="574"/>
      <c r="O393" s="574"/>
      <c r="P393" s="574"/>
      <c r="Q393" s="574"/>
      <c r="R393" s="574"/>
      <c r="S393" s="574"/>
      <c r="T393" s="574"/>
      <c r="U393" s="574"/>
      <c r="V393" s="574"/>
      <c r="W393" s="574"/>
      <c r="X393" s="574"/>
      <c r="Y393" s="574"/>
      <c r="Z393" s="574"/>
      <c r="AA393" s="574"/>
      <c r="AB393" s="574"/>
      <c r="AC393" s="574"/>
      <c r="AD393" s="574"/>
      <c r="AE393" s="574"/>
      <c r="AF393" s="574"/>
      <c r="AG393" s="574"/>
      <c r="AH393" s="574"/>
      <c r="AI393" s="574"/>
      <c r="AJ393" s="574"/>
      <c r="AK393" s="574"/>
      <c r="AL393" s="574"/>
      <c r="AM393" s="574"/>
      <c r="AN393" s="574"/>
      <c r="AO393" s="574"/>
      <c r="AP393" s="574"/>
      <c r="AQ393" s="574"/>
      <c r="AR393" s="574"/>
      <c r="AS393" s="574"/>
      <c r="AT393" s="574"/>
      <c r="AU393" s="574"/>
      <c r="AV393" s="574"/>
      <c r="AW393" s="574"/>
      <c r="AX393" s="574"/>
      <c r="AY393" s="574"/>
      <c r="AZ393" s="574"/>
      <c r="BA393" s="574"/>
      <c r="BB393" s="574"/>
      <c r="BC393" s="574"/>
      <c r="BD393" s="574"/>
      <c r="BE393" s="574"/>
      <c r="BF393" s="574"/>
      <c r="BG393" s="574"/>
      <c r="BH393" s="574"/>
      <c r="BI393" s="574"/>
      <c r="BJ393" s="574"/>
      <c r="BK393" s="574"/>
      <c r="BL393" s="574"/>
      <c r="BM393" s="574"/>
      <c r="BN393" s="574"/>
      <c r="BO393" s="574"/>
      <c r="BP393" s="574"/>
      <c r="BQ393" s="574"/>
      <c r="BR393" s="574"/>
      <c r="BS393" s="574"/>
      <c r="BT393" s="574"/>
      <c r="BU393" s="574"/>
      <c r="BV393" s="574"/>
      <c r="BW393" s="574"/>
      <c r="BX393" s="574"/>
      <c r="BY393" s="574"/>
      <c r="BZ393" s="574"/>
      <c r="CA393" s="574"/>
      <c r="CB393" s="574"/>
      <c r="CC393" s="574"/>
      <c r="CD393" s="574"/>
      <c r="CE393" s="574"/>
      <c r="CF393" s="574"/>
    </row>
    <row r="394" spans="1:84" s="583" customFormat="1" ht="23.1" customHeight="1" thickBot="1">
      <c r="A394" s="1483" t="s">
        <v>1097</v>
      </c>
      <c r="B394" s="1484"/>
      <c r="C394" s="1484"/>
      <c r="D394" s="1484"/>
      <c r="E394" s="1484"/>
      <c r="F394" s="1484"/>
      <c r="G394" s="1484"/>
      <c r="H394" s="1484"/>
      <c r="I394" s="581" t="s">
        <v>530</v>
      </c>
      <c r="J394" s="581"/>
      <c r="K394" s="581"/>
      <c r="L394" s="581"/>
      <c r="M394" s="581"/>
      <c r="N394" s="581"/>
      <c r="O394" s="581"/>
      <c r="P394" s="581"/>
      <c r="Q394" s="581"/>
      <c r="R394" s="581"/>
      <c r="S394" s="581"/>
      <c r="T394" s="581"/>
      <c r="U394" s="581"/>
      <c r="V394" s="581"/>
      <c r="W394" s="581"/>
      <c r="X394" s="581"/>
      <c r="Y394" s="581"/>
      <c r="Z394" s="581"/>
      <c r="AA394" s="581"/>
      <c r="AB394" s="581"/>
      <c r="AC394" s="581"/>
      <c r="AD394" s="581"/>
      <c r="AE394" s="581"/>
      <c r="AF394" s="581"/>
      <c r="AG394" s="581"/>
      <c r="AH394" s="581"/>
      <c r="AI394" s="581"/>
      <c r="AJ394" s="1484" t="s">
        <v>1099</v>
      </c>
      <c r="AK394" s="1484"/>
      <c r="AL394" s="1484"/>
      <c r="AM394" s="1484"/>
      <c r="AN394" s="1484"/>
      <c r="AO394" s="1484"/>
      <c r="AP394" s="1484"/>
      <c r="AQ394" s="581" t="s">
        <v>479</v>
      </c>
      <c r="AR394" s="581"/>
      <c r="AS394" s="581"/>
      <c r="AT394" s="581"/>
      <c r="AU394" s="581"/>
      <c r="AV394" s="581"/>
      <c r="AW394" s="581"/>
      <c r="AX394" s="581"/>
      <c r="AY394" s="581"/>
      <c r="AZ394" s="581"/>
      <c r="BA394" s="581"/>
      <c r="BB394" s="581"/>
      <c r="BC394" s="581"/>
      <c r="BD394" s="581"/>
      <c r="BE394" s="581"/>
      <c r="BF394" s="581"/>
      <c r="BG394" s="581"/>
      <c r="BH394" s="581"/>
      <c r="BI394" s="581"/>
      <c r="BJ394" s="581"/>
      <c r="BK394" s="581"/>
      <c r="BL394" s="581"/>
      <c r="BM394" s="581"/>
      <c r="BN394" s="581"/>
      <c r="BO394" s="581"/>
      <c r="BP394" s="581"/>
      <c r="BQ394" s="581"/>
      <c r="BR394" s="581"/>
      <c r="BS394" s="581"/>
      <c r="BT394" s="581" t="s">
        <v>1138</v>
      </c>
      <c r="BU394" s="581"/>
      <c r="BV394" s="581"/>
      <c r="BW394" s="581"/>
      <c r="BX394" s="581"/>
      <c r="BY394" s="581"/>
      <c r="BZ394" s="581"/>
      <c r="CA394" s="581"/>
      <c r="CB394" s="581"/>
      <c r="CC394" s="581"/>
      <c r="CD394" s="581"/>
      <c r="CE394" s="581"/>
      <c r="CF394" s="582"/>
    </row>
    <row r="395" spans="1:84" s="583" customFormat="1" ht="23.1" customHeight="1">
      <c r="A395" s="584"/>
      <c r="B395" s="585" t="s">
        <v>1102</v>
      </c>
      <c r="C395" s="585"/>
      <c r="D395" s="585"/>
      <c r="E395" s="585"/>
      <c r="F395" s="585"/>
      <c r="G395" s="585"/>
      <c r="H395" s="585"/>
      <c r="I395" s="585"/>
      <c r="J395" s="585"/>
      <c r="K395" s="585"/>
      <c r="L395" s="585"/>
      <c r="M395" s="585"/>
      <c r="N395" s="585"/>
      <c r="O395" s="585"/>
      <c r="P395" s="585"/>
      <c r="Q395" s="585"/>
      <c r="R395" s="585"/>
      <c r="S395" s="585"/>
      <c r="T395" s="585"/>
      <c r="U395" s="585"/>
      <c r="V395" s="585"/>
      <c r="W395" s="585"/>
      <c r="X395" s="585"/>
      <c r="Y395" s="585"/>
      <c r="Z395" s="585"/>
      <c r="AA395" s="585"/>
      <c r="AB395" s="585"/>
      <c r="AC395" s="585"/>
      <c r="AD395" s="585"/>
      <c r="AE395" s="585"/>
      <c r="AF395" s="585"/>
      <c r="AG395" s="585"/>
      <c r="AH395" s="585"/>
      <c r="AI395" s="585"/>
      <c r="AJ395" s="585"/>
      <c r="AK395" s="585"/>
      <c r="AL395" s="585"/>
      <c r="AM395" s="585"/>
      <c r="AN395" s="585"/>
      <c r="AO395" s="585"/>
      <c r="AP395" s="585"/>
      <c r="AQ395" s="585"/>
      <c r="AR395" s="585"/>
      <c r="AS395" s="585"/>
      <c r="AT395" s="585"/>
      <c r="AU395" s="585"/>
      <c r="AV395" s="585"/>
      <c r="AW395" s="585"/>
      <c r="AX395" s="585"/>
      <c r="AY395" s="585"/>
      <c r="AZ395" s="585"/>
      <c r="BA395" s="585"/>
      <c r="BB395" s="585"/>
      <c r="BC395" s="585"/>
      <c r="BD395" s="585"/>
      <c r="BE395" s="585"/>
      <c r="BF395" s="585"/>
      <c r="BG395" s="585"/>
      <c r="BH395" s="585"/>
      <c r="BI395" s="585"/>
      <c r="BJ395" s="585"/>
      <c r="BK395" s="585"/>
      <c r="BL395" s="585"/>
      <c r="BM395" s="585"/>
      <c r="BN395" s="585"/>
      <c r="BO395" s="585"/>
      <c r="BP395" s="585"/>
      <c r="BQ395" s="585"/>
      <c r="BR395" s="585"/>
      <c r="BS395" s="585"/>
      <c r="BT395" s="585"/>
      <c r="BU395" s="585"/>
      <c r="BV395" s="585"/>
      <c r="BW395" s="585"/>
      <c r="BX395" s="585"/>
      <c r="BY395" s="585"/>
      <c r="BZ395" s="585"/>
      <c r="CA395" s="585"/>
      <c r="CB395" s="585"/>
      <c r="CC395" s="585"/>
      <c r="CD395" s="585"/>
      <c r="CE395" s="585"/>
      <c r="CF395" s="586"/>
    </row>
    <row r="396" spans="1:84" s="583" customFormat="1" ht="23.1" customHeight="1">
      <c r="A396" s="587"/>
      <c r="B396" s="574"/>
      <c r="C396" s="574"/>
      <c r="D396" s="405"/>
      <c r="E396" s="574"/>
      <c r="F396" s="422"/>
      <c r="G396" s="422"/>
      <c r="H396" s="422"/>
      <c r="I396" s="422"/>
      <c r="J396" s="422"/>
      <c r="K396" s="422"/>
      <c r="L396" s="422"/>
      <c r="M396" s="422"/>
      <c r="N396" s="574"/>
      <c r="O396" s="574"/>
      <c r="P396" s="574"/>
      <c r="Q396" s="574"/>
      <c r="R396" s="574"/>
      <c r="S396" s="588"/>
      <c r="T396" s="588"/>
      <c r="U396" s="588"/>
      <c r="V396" s="588"/>
      <c r="W396" s="588"/>
      <c r="X396" s="588"/>
      <c r="Y396" s="588"/>
      <c r="Z396" s="588"/>
      <c r="AA396" s="574"/>
      <c r="AB396" s="588"/>
      <c r="AC396" s="585"/>
      <c r="AD396" s="585"/>
      <c r="AE396" s="600"/>
      <c r="AF396" s="600"/>
      <c r="AG396" s="600"/>
      <c r="AH396" s="600"/>
      <c r="AI396" s="600"/>
      <c r="AJ396" s="600"/>
      <c r="AK396" s="600"/>
      <c r="AL396" s="600"/>
      <c r="AM396" s="585"/>
      <c r="AN396" s="585"/>
      <c r="AO396" s="574"/>
      <c r="AP396" s="430"/>
      <c r="AQ396" s="430"/>
      <c r="AR396" s="430"/>
      <c r="AS396" s="430"/>
      <c r="AT396" s="430"/>
      <c r="AU396" s="430"/>
      <c r="AV396" s="430"/>
      <c r="AW396" s="430"/>
      <c r="AX396" s="430"/>
      <c r="AY396" s="430"/>
      <c r="AZ396" s="430"/>
      <c r="BA396" s="430"/>
      <c r="BB396" s="430"/>
      <c r="BC396" s="430"/>
      <c r="BD396" s="574"/>
      <c r="BE396" s="574"/>
      <c r="BF396" s="574"/>
      <c r="BG396" s="574"/>
      <c r="BH396" s="574"/>
      <c r="BI396" s="574"/>
      <c r="BJ396" s="574"/>
      <c r="BK396" s="574"/>
      <c r="BL396" s="574"/>
      <c r="BM396" s="574"/>
      <c r="BN396" s="574"/>
      <c r="BO396" s="574"/>
      <c r="BP396" s="574"/>
      <c r="BQ396" s="574"/>
      <c r="BR396" s="574"/>
      <c r="BS396" s="574"/>
      <c r="BT396" s="574"/>
      <c r="BU396" s="574"/>
      <c r="BV396" s="574"/>
      <c r="BW396" s="574"/>
      <c r="BX396" s="574"/>
      <c r="BY396" s="574"/>
      <c r="BZ396" s="574"/>
      <c r="CA396" s="574"/>
      <c r="CB396" s="574"/>
      <c r="CC396" s="574"/>
      <c r="CD396" s="574"/>
      <c r="CE396" s="574"/>
      <c r="CF396" s="589"/>
    </row>
    <row r="397" spans="1:84" s="583" customFormat="1" ht="23.1" customHeight="1">
      <c r="A397" s="584"/>
      <c r="B397" s="585"/>
      <c r="C397" s="585"/>
      <c r="D397" s="585"/>
      <c r="E397" s="585"/>
      <c r="F397" s="585"/>
      <c r="G397" s="585"/>
      <c r="H397" s="585"/>
      <c r="I397" s="585"/>
      <c r="J397" s="585"/>
      <c r="K397" s="585"/>
      <c r="L397" s="585"/>
      <c r="M397" s="585"/>
      <c r="N397" s="585"/>
      <c r="O397" s="585"/>
      <c r="P397" s="585"/>
      <c r="Q397" s="585"/>
      <c r="R397" s="585"/>
      <c r="S397" s="585"/>
      <c r="T397" s="585"/>
      <c r="U397" s="585"/>
      <c r="V397" s="590"/>
      <c r="W397" s="590"/>
      <c r="X397" s="590"/>
      <c r="Y397" s="590"/>
      <c r="Z397" s="590"/>
      <c r="AA397" s="590"/>
      <c r="AB397" s="590"/>
      <c r="AC397" s="590"/>
      <c r="AD397" s="574"/>
      <c r="AE397" s="1440">
        <v>8352000</v>
      </c>
      <c r="AF397" s="1440"/>
      <c r="AG397" s="1440"/>
      <c r="AH397" s="1440"/>
      <c r="AI397" s="1440"/>
      <c r="AJ397" s="1440"/>
      <c r="AK397" s="1440"/>
      <c r="AL397" s="1440"/>
      <c r="AM397" s="1440"/>
      <c r="AN397" s="1440"/>
      <c r="AO397" s="1440"/>
      <c r="AP397" s="1440"/>
      <c r="AQ397" s="1440"/>
      <c r="AR397" s="1440"/>
      <c r="AS397" s="1440"/>
      <c r="AT397" s="1431" t="s">
        <v>446</v>
      </c>
      <c r="AU397" s="1431"/>
      <c r="AV397" s="1441" t="s">
        <v>1103</v>
      </c>
      <c r="AW397" s="1441"/>
      <c r="AX397" s="1442">
        <v>6601</v>
      </c>
      <c r="AY397" s="1442"/>
      <c r="AZ397" s="1442"/>
      <c r="BA397" s="1442"/>
      <c r="BB397" s="1442"/>
      <c r="BC397" s="1442"/>
      <c r="BD397" s="585"/>
      <c r="BE397" s="1431" t="s">
        <v>446</v>
      </c>
      <c r="BF397" s="1431"/>
      <c r="BG397" s="585"/>
      <c r="BH397" s="591" t="s">
        <v>1104</v>
      </c>
      <c r="BI397" s="585"/>
      <c r="BJ397" s="585"/>
      <c r="BK397" s="585"/>
      <c r="BL397" s="1431" t="s">
        <v>1105</v>
      </c>
      <c r="BM397" s="1431"/>
      <c r="BN397" s="1431"/>
      <c r="BO397" s="585"/>
      <c r="BP397" s="1431" t="s">
        <v>41</v>
      </c>
      <c r="BQ397" s="1431"/>
      <c r="BR397" s="585"/>
      <c r="BS397" s="585"/>
      <c r="BT397" s="1437">
        <f>INT(AE397*AX397*10^-7)</f>
        <v>5513</v>
      </c>
      <c r="BU397" s="1437"/>
      <c r="BV397" s="1437"/>
      <c r="BW397" s="1437"/>
      <c r="BX397" s="1437"/>
      <c r="BY397" s="1437"/>
      <c r="BZ397" s="1437"/>
      <c r="CA397" s="1437"/>
      <c r="CB397" s="1437"/>
      <c r="CC397" s="1437"/>
      <c r="CD397" s="585"/>
      <c r="CE397" s="585"/>
      <c r="CF397" s="586"/>
    </row>
    <row r="398" spans="1:84" s="583" customFormat="1" ht="23.1" customHeight="1">
      <c r="A398" s="592"/>
      <c r="B398" s="593" t="s">
        <v>1106</v>
      </c>
      <c r="C398" s="593"/>
      <c r="D398" s="593"/>
      <c r="E398" s="593"/>
      <c r="F398" s="593"/>
      <c r="G398" s="593"/>
      <c r="H398" s="593"/>
      <c r="I398" s="593"/>
      <c r="J398" s="593"/>
      <c r="K398" s="593"/>
      <c r="L398" s="593"/>
      <c r="M398" s="593"/>
      <c r="N398" s="593"/>
      <c r="O398" s="593"/>
      <c r="P398" s="593"/>
      <c r="Q398" s="593"/>
      <c r="R398" s="593"/>
      <c r="S398" s="593"/>
      <c r="T398" s="593"/>
      <c r="U398" s="593"/>
      <c r="V398" s="593"/>
      <c r="W398" s="593"/>
      <c r="X398" s="593"/>
      <c r="Y398" s="593"/>
      <c r="Z398" s="593"/>
      <c r="AA398" s="593"/>
      <c r="AB398" s="593"/>
      <c r="AC398" s="593"/>
      <c r="AD398" s="593"/>
      <c r="AE398" s="593"/>
      <c r="AF398" s="593"/>
      <c r="AG398" s="593"/>
      <c r="AH398" s="593"/>
      <c r="AI398" s="593"/>
      <c r="AJ398" s="593"/>
      <c r="AK398" s="593"/>
      <c r="AL398" s="593"/>
      <c r="AM398" s="593"/>
      <c r="AN398" s="593"/>
      <c r="AO398" s="593"/>
      <c r="AP398" s="593"/>
      <c r="AQ398" s="593"/>
      <c r="AR398" s="593"/>
      <c r="AS398" s="593"/>
      <c r="AT398" s="593"/>
      <c r="AU398" s="593"/>
      <c r="AV398" s="593"/>
      <c r="AW398" s="593"/>
      <c r="AX398" s="593"/>
      <c r="AY398" s="593"/>
      <c r="AZ398" s="593"/>
      <c r="BA398" s="593"/>
      <c r="BB398" s="593"/>
      <c r="BC398" s="593"/>
      <c r="BD398" s="593"/>
      <c r="BE398" s="593"/>
      <c r="BF398" s="593"/>
      <c r="BG398" s="593"/>
      <c r="BH398" s="593"/>
      <c r="BI398" s="593"/>
      <c r="BJ398" s="593"/>
      <c r="BK398" s="593"/>
      <c r="BL398" s="593"/>
      <c r="BM398" s="593"/>
      <c r="BN398" s="593"/>
      <c r="BO398" s="593"/>
      <c r="BP398" s="593"/>
      <c r="BQ398" s="593"/>
      <c r="BR398" s="593"/>
      <c r="BS398" s="593"/>
      <c r="BT398" s="594"/>
      <c r="BU398" s="594"/>
      <c r="BV398" s="594"/>
      <c r="BW398" s="594"/>
      <c r="BX398" s="594"/>
      <c r="BY398" s="594"/>
      <c r="BZ398" s="594"/>
      <c r="CA398" s="594"/>
      <c r="CB398" s="594"/>
      <c r="CC398" s="594"/>
      <c r="CD398" s="593"/>
      <c r="CE398" s="593"/>
      <c r="CF398" s="595"/>
    </row>
    <row r="399" spans="1:84" s="583" customFormat="1" ht="23.1" customHeight="1">
      <c r="A399" s="584"/>
      <c r="B399" s="585"/>
      <c r="C399" s="585"/>
      <c r="D399" s="585"/>
      <c r="E399" s="585"/>
      <c r="F399" s="585"/>
      <c r="G399" s="585"/>
      <c r="H399" s="585"/>
      <c r="I399" s="585"/>
      <c r="J399" s="585"/>
      <c r="K399" s="585"/>
      <c r="L399" s="585"/>
      <c r="M399" s="585"/>
      <c r="N399" s="585"/>
      <c r="O399" s="585"/>
      <c r="P399" s="585"/>
      <c r="Q399" s="585"/>
      <c r="R399" s="585"/>
      <c r="S399" s="585"/>
      <c r="T399" s="574"/>
      <c r="U399" s="574"/>
      <c r="V399" s="588"/>
      <c r="W399" s="588"/>
      <c r="X399" s="588"/>
      <c r="Y399" s="588"/>
      <c r="Z399" s="588"/>
      <c r="AA399" s="588"/>
      <c r="AB399" s="588"/>
      <c r="AC399" s="588"/>
      <c r="AD399" s="588"/>
      <c r="AE399" s="588"/>
      <c r="AF399" s="585"/>
      <c r="AG399" s="585"/>
      <c r="AH399" s="574"/>
      <c r="AI399" s="440"/>
      <c r="AJ399" s="440"/>
      <c r="AK399" s="440"/>
      <c r="AL399" s="440"/>
      <c r="AM399" s="585"/>
      <c r="AN399" s="585"/>
      <c r="AO399" s="585"/>
      <c r="AP399" s="585"/>
      <c r="AQ399" s="440"/>
      <c r="AR399" s="440"/>
      <c r="AS399" s="440"/>
      <c r="AT399" s="440"/>
      <c r="AU399" s="440"/>
      <c r="AV399" s="422"/>
      <c r="AW399" s="585"/>
      <c r="AX399" s="585"/>
      <c r="AY399" s="440"/>
      <c r="AZ399" s="440"/>
      <c r="BA399" s="440"/>
      <c r="BB399" s="440"/>
      <c r="BC399" s="440"/>
      <c r="BD399" s="440"/>
      <c r="BE399" s="585"/>
      <c r="BF399" s="585"/>
      <c r="BG399" s="585"/>
      <c r="BH399" s="585"/>
      <c r="BI399" s="585"/>
      <c r="BJ399" s="585"/>
      <c r="BK399" s="585"/>
      <c r="BL399" s="585"/>
      <c r="BM399" s="585"/>
      <c r="BN399" s="585"/>
      <c r="BO399" s="585"/>
      <c r="BP399" s="1431"/>
      <c r="BQ399" s="1431"/>
      <c r="BR399" s="585"/>
      <c r="BS399" s="585"/>
      <c r="BT399" s="1432"/>
      <c r="BU399" s="1432"/>
      <c r="BV399" s="1432"/>
      <c r="BW399" s="1432"/>
      <c r="BX399" s="1432"/>
      <c r="BY399" s="1432"/>
      <c r="BZ399" s="1432"/>
      <c r="CA399" s="1432"/>
      <c r="CB399" s="1432"/>
      <c r="CC399" s="1432"/>
      <c r="CD399" s="585"/>
      <c r="CE399" s="585"/>
      <c r="CF399" s="586"/>
    </row>
    <row r="400" spans="1:84" s="583" customFormat="1" ht="23.1" customHeight="1">
      <c r="A400" s="584"/>
      <c r="B400" s="585"/>
      <c r="C400" s="585"/>
      <c r="D400" s="585"/>
      <c r="E400" s="585"/>
      <c r="F400" s="585"/>
      <c r="G400" s="585"/>
      <c r="H400" s="585"/>
      <c r="I400" s="585"/>
      <c r="J400" s="585"/>
      <c r="K400" s="585"/>
      <c r="L400" s="585"/>
      <c r="M400" s="585"/>
      <c r="N400" s="585"/>
      <c r="O400" s="585"/>
      <c r="P400" s="574"/>
      <c r="Q400" s="574"/>
      <c r="R400" s="574"/>
      <c r="S400" s="574"/>
      <c r="T400" s="574"/>
      <c r="U400" s="574"/>
      <c r="V400" s="574"/>
      <c r="W400" s="574"/>
      <c r="X400" s="574"/>
      <c r="Y400" s="574"/>
      <c r="Z400" s="574"/>
      <c r="AA400" s="574"/>
      <c r="AB400" s="574"/>
      <c r="AC400" s="574"/>
      <c r="AD400" s="574"/>
      <c r="AE400" s="574"/>
      <c r="AF400" s="574"/>
      <c r="AG400" s="574"/>
      <c r="AH400" s="574"/>
      <c r="AI400" s="574"/>
      <c r="AJ400" s="574"/>
      <c r="AK400" s="574"/>
      <c r="AL400" s="574"/>
      <c r="AM400" s="574"/>
      <c r="AN400" s="574"/>
      <c r="AO400" s="574"/>
      <c r="AP400" s="574"/>
      <c r="AQ400" s="574"/>
      <c r="AR400" s="574"/>
      <c r="AS400" s="574"/>
      <c r="AT400" s="574"/>
      <c r="AU400" s="574"/>
      <c r="AV400" s="574"/>
      <c r="AW400" s="574"/>
      <c r="AX400" s="574"/>
      <c r="AY400" s="574"/>
      <c r="AZ400" s="574"/>
      <c r="BA400" s="574"/>
      <c r="BB400" s="574"/>
      <c r="BC400" s="574"/>
      <c r="BD400" s="574"/>
      <c r="BE400" s="574"/>
      <c r="BF400" s="574"/>
      <c r="BG400" s="585"/>
      <c r="BH400" s="585"/>
      <c r="BI400" s="585"/>
      <c r="BJ400" s="585"/>
      <c r="BK400" s="585"/>
      <c r="BL400" s="585"/>
      <c r="BM400" s="585"/>
      <c r="BN400" s="585"/>
      <c r="BO400" s="585"/>
      <c r="BP400" s="1431"/>
      <c r="BQ400" s="1431"/>
      <c r="BR400" s="585"/>
      <c r="BS400" s="585"/>
      <c r="BT400" s="1432"/>
      <c r="BU400" s="1432"/>
      <c r="BV400" s="1432"/>
      <c r="BW400" s="1432"/>
      <c r="BX400" s="1432"/>
      <c r="BY400" s="1432"/>
      <c r="BZ400" s="1432"/>
      <c r="CA400" s="1432"/>
      <c r="CB400" s="1432"/>
      <c r="CC400" s="1432"/>
      <c r="CD400" s="585"/>
      <c r="CE400" s="585"/>
      <c r="CF400" s="586"/>
    </row>
    <row r="401" spans="1:84" s="583" customFormat="1" ht="23.1" customHeight="1">
      <c r="A401" s="584"/>
      <c r="B401" s="585"/>
      <c r="C401" s="585"/>
      <c r="D401" s="585"/>
      <c r="E401" s="585"/>
      <c r="F401" s="585"/>
      <c r="G401" s="585"/>
      <c r="H401" s="585"/>
      <c r="I401" s="585"/>
      <c r="J401" s="585"/>
      <c r="K401" s="585"/>
      <c r="L401" s="585"/>
      <c r="M401" s="585"/>
      <c r="N401" s="585"/>
      <c r="O401" s="585"/>
      <c r="P401" s="585"/>
      <c r="Q401" s="585"/>
      <c r="R401" s="585"/>
      <c r="S401" s="585"/>
      <c r="T401" s="585"/>
      <c r="U401" s="585"/>
      <c r="V401" s="585"/>
      <c r="W401" s="585"/>
      <c r="X401" s="585"/>
      <c r="Y401" s="585"/>
      <c r="Z401" s="585"/>
      <c r="AA401" s="585"/>
      <c r="AB401" s="585"/>
      <c r="AC401" s="585"/>
      <c r="AD401" s="574"/>
      <c r="AE401" s="574"/>
      <c r="AF401" s="574"/>
      <c r="AG401" s="574"/>
      <c r="AH401" s="574"/>
      <c r="AI401" s="574"/>
      <c r="AJ401" s="574"/>
      <c r="AK401" s="574"/>
      <c r="AL401" s="574"/>
      <c r="AM401" s="574"/>
      <c r="AN401" s="574"/>
      <c r="AO401" s="574"/>
      <c r="AP401" s="574"/>
      <c r="AQ401" s="574"/>
      <c r="AR401" s="574"/>
      <c r="AS401" s="585"/>
      <c r="AT401" s="590"/>
      <c r="AU401" s="590"/>
      <c r="AV401" s="585"/>
      <c r="AW401" s="585"/>
      <c r="AX401" s="585"/>
      <c r="AY401" s="585"/>
      <c r="AZ401" s="585"/>
      <c r="BA401" s="585"/>
      <c r="BB401" s="585"/>
      <c r="BC401" s="585"/>
      <c r="BD401" s="585"/>
      <c r="BE401" s="585"/>
      <c r="BF401" s="585"/>
      <c r="BG401" s="585"/>
      <c r="BH401" s="585"/>
      <c r="BI401" s="585"/>
      <c r="BJ401" s="585"/>
      <c r="BK401" s="585"/>
      <c r="BL401" s="585"/>
      <c r="BM401" s="585"/>
      <c r="BN401" s="585"/>
      <c r="BO401" s="585"/>
      <c r="BP401" s="1431" t="s">
        <v>41</v>
      </c>
      <c r="BQ401" s="1431"/>
      <c r="BR401" s="585"/>
      <c r="BS401" s="585"/>
      <c r="BT401" s="1434">
        <f>BT399+BT400</f>
        <v>0</v>
      </c>
      <c r="BU401" s="1434"/>
      <c r="BV401" s="1434"/>
      <c r="BW401" s="1434"/>
      <c r="BX401" s="1434"/>
      <c r="BY401" s="1434"/>
      <c r="BZ401" s="1434"/>
      <c r="CA401" s="1434"/>
      <c r="CB401" s="1434"/>
      <c r="CC401" s="1434"/>
      <c r="CD401" s="585"/>
      <c r="CE401" s="585"/>
      <c r="CF401" s="586"/>
    </row>
    <row r="402" spans="1:84" s="583" customFormat="1" ht="23.1" customHeight="1">
      <c r="A402" s="592"/>
      <c r="B402" s="593" t="s">
        <v>1110</v>
      </c>
      <c r="C402" s="593"/>
      <c r="D402" s="593"/>
      <c r="E402" s="593"/>
      <c r="F402" s="593"/>
      <c r="G402" s="593"/>
      <c r="H402" s="593"/>
      <c r="I402" s="593"/>
      <c r="J402" s="593"/>
      <c r="K402" s="593"/>
      <c r="L402" s="593"/>
      <c r="M402" s="593"/>
      <c r="N402" s="593"/>
      <c r="O402" s="593"/>
      <c r="P402" s="593"/>
      <c r="Q402" s="593"/>
      <c r="R402" s="593"/>
      <c r="S402" s="593"/>
      <c r="T402" s="593"/>
      <c r="U402" s="593"/>
      <c r="V402" s="593"/>
      <c r="W402" s="593"/>
      <c r="X402" s="593"/>
      <c r="Y402" s="593"/>
      <c r="Z402" s="593"/>
      <c r="AA402" s="593"/>
      <c r="AB402" s="593"/>
      <c r="AC402" s="593"/>
      <c r="AD402" s="593"/>
      <c r="AE402" s="593"/>
      <c r="AF402" s="593"/>
      <c r="AG402" s="593"/>
      <c r="AH402" s="593"/>
      <c r="AI402" s="593"/>
      <c r="AJ402" s="593"/>
      <c r="AK402" s="593"/>
      <c r="AL402" s="593"/>
      <c r="AM402" s="593"/>
      <c r="AN402" s="593"/>
      <c r="AO402" s="593"/>
      <c r="AP402" s="593"/>
      <c r="AQ402" s="593"/>
      <c r="AR402" s="593"/>
      <c r="AS402" s="593"/>
      <c r="AT402" s="593"/>
      <c r="AU402" s="593"/>
      <c r="AV402" s="593"/>
      <c r="AW402" s="593"/>
      <c r="AX402" s="593"/>
      <c r="AY402" s="593"/>
      <c r="AZ402" s="593"/>
      <c r="BA402" s="593"/>
      <c r="BB402" s="593"/>
      <c r="BC402" s="593"/>
      <c r="BD402" s="593"/>
      <c r="BE402" s="593"/>
      <c r="BF402" s="593"/>
      <c r="BG402" s="593"/>
      <c r="BH402" s="593"/>
      <c r="BI402" s="593"/>
      <c r="BJ402" s="593"/>
      <c r="BK402" s="593"/>
      <c r="BL402" s="593"/>
      <c r="BM402" s="593"/>
      <c r="BN402" s="593"/>
      <c r="BO402" s="593"/>
      <c r="BP402" s="593"/>
      <c r="BQ402" s="593"/>
      <c r="BR402" s="593"/>
      <c r="BS402" s="593"/>
      <c r="BT402" s="593"/>
      <c r="BU402" s="593"/>
      <c r="BV402" s="593"/>
      <c r="BW402" s="593"/>
      <c r="BX402" s="593"/>
      <c r="BY402" s="593"/>
      <c r="BZ402" s="593"/>
      <c r="CA402" s="593"/>
      <c r="CB402" s="593"/>
      <c r="CC402" s="593"/>
      <c r="CD402" s="593"/>
      <c r="CE402" s="593"/>
      <c r="CF402" s="595"/>
    </row>
    <row r="403" spans="1:84" s="583" customFormat="1" ht="23.1" customHeight="1">
      <c r="A403" s="584"/>
      <c r="B403" s="585"/>
      <c r="C403" s="585"/>
      <c r="D403" s="585"/>
      <c r="E403" s="585"/>
      <c r="F403" s="585"/>
      <c r="G403" s="585"/>
      <c r="H403" s="585"/>
      <c r="I403" s="585"/>
      <c r="J403" s="585"/>
      <c r="K403" s="585"/>
      <c r="L403" s="585"/>
      <c r="M403" s="585"/>
      <c r="N403" s="585"/>
      <c r="O403" s="585"/>
      <c r="P403" s="585"/>
      <c r="Q403" s="585"/>
      <c r="R403" s="585"/>
      <c r="S403" s="585"/>
      <c r="T403" s="585"/>
      <c r="U403" s="585"/>
      <c r="V403" s="585"/>
      <c r="W403" s="585"/>
      <c r="X403" s="585"/>
      <c r="Y403" s="585"/>
      <c r="Z403" s="585"/>
      <c r="AA403" s="585"/>
      <c r="AB403" s="585"/>
      <c r="AC403" s="585"/>
      <c r="AD403" s="585"/>
      <c r="AE403" s="585"/>
      <c r="AF403" s="585"/>
      <c r="AG403" s="585"/>
      <c r="AH403" s="585"/>
      <c r="AI403" s="585"/>
      <c r="AJ403" s="585"/>
      <c r="AK403" s="585"/>
      <c r="AL403" s="585"/>
      <c r="AM403" s="585"/>
      <c r="AN403" s="585"/>
      <c r="AO403" s="585"/>
      <c r="AP403" s="585"/>
      <c r="AQ403" s="585"/>
      <c r="AR403" s="422"/>
      <c r="AS403" s="604"/>
      <c r="AT403" s="604"/>
      <c r="AU403" s="604"/>
      <c r="AV403" s="604"/>
      <c r="AW403" s="604"/>
      <c r="AX403" s="604"/>
      <c r="AY403" s="604"/>
      <c r="AZ403" s="604"/>
      <c r="BA403" s="604"/>
      <c r="BB403" s="604"/>
      <c r="BC403" s="585"/>
      <c r="BD403" s="585"/>
      <c r="BE403" s="585"/>
      <c r="BF403" s="585"/>
      <c r="BG403" s="585"/>
      <c r="BH403" s="585"/>
      <c r="BI403" s="585"/>
      <c r="BJ403" s="585"/>
      <c r="BK403" s="585"/>
      <c r="BL403" s="585"/>
      <c r="BM403" s="585"/>
      <c r="BN403" s="585"/>
      <c r="BO403" s="585"/>
      <c r="BP403" s="1431"/>
      <c r="BQ403" s="1431"/>
      <c r="BR403" s="585"/>
      <c r="BS403" s="585"/>
      <c r="BT403" s="1432"/>
      <c r="BU403" s="1432"/>
      <c r="BV403" s="1432"/>
      <c r="BW403" s="1432"/>
      <c r="BX403" s="1432"/>
      <c r="BY403" s="1432"/>
      <c r="BZ403" s="1432"/>
      <c r="CA403" s="1432"/>
      <c r="CB403" s="1432"/>
      <c r="CC403" s="1432"/>
      <c r="CD403" s="585"/>
      <c r="CE403" s="585"/>
      <c r="CF403" s="586"/>
    </row>
    <row r="404" spans="1:84" s="583" customFormat="1" ht="23.1" customHeight="1">
      <c r="A404" s="584"/>
      <c r="B404" s="585"/>
      <c r="C404" s="585"/>
      <c r="D404" s="591"/>
      <c r="E404" s="585"/>
      <c r="F404" s="585"/>
      <c r="G404" s="585"/>
      <c r="H404" s="585"/>
      <c r="I404" s="585"/>
      <c r="J404" s="585"/>
      <c r="K404" s="585"/>
      <c r="L404" s="585"/>
      <c r="M404" s="585"/>
      <c r="N404" s="585"/>
      <c r="O404" s="585"/>
      <c r="P404" s="585"/>
      <c r="Q404" s="585"/>
      <c r="R404" s="585"/>
      <c r="S404" s="585"/>
      <c r="T404" s="585"/>
      <c r="U404" s="585"/>
      <c r="V404" s="585"/>
      <c r="W404" s="585"/>
      <c r="X404" s="585"/>
      <c r="Y404" s="585"/>
      <c r="Z404" s="585"/>
      <c r="AA404" s="585"/>
      <c r="AB404" s="585"/>
      <c r="AC404" s="585"/>
      <c r="AD404" s="585"/>
      <c r="AE404" s="585"/>
      <c r="AF404" s="585"/>
      <c r="AG404" s="585"/>
      <c r="AH404" s="585"/>
      <c r="AI404" s="585"/>
      <c r="AJ404" s="585"/>
      <c r="AK404" s="585"/>
      <c r="AL404" s="585"/>
      <c r="AM404" s="585"/>
      <c r="AN404" s="585"/>
      <c r="AO404" s="585"/>
      <c r="AP404" s="585"/>
      <c r="AQ404" s="585"/>
      <c r="AR404" s="422"/>
      <c r="AS404" s="604"/>
      <c r="AT404" s="604"/>
      <c r="AU404" s="604"/>
      <c r="AV404" s="604"/>
      <c r="AW404" s="604"/>
      <c r="AX404" s="604"/>
      <c r="AY404" s="604"/>
      <c r="AZ404" s="604"/>
      <c r="BA404" s="604"/>
      <c r="BB404" s="604"/>
      <c r="BC404" s="585"/>
      <c r="BD404" s="585"/>
      <c r="BE404" s="585"/>
      <c r="BF404" s="585"/>
      <c r="BG404" s="585"/>
      <c r="BH404" s="585"/>
      <c r="BI404" s="585"/>
      <c r="BJ404" s="585"/>
      <c r="BK404" s="585"/>
      <c r="BL404" s="585"/>
      <c r="BM404" s="585"/>
      <c r="BN404" s="585"/>
      <c r="BO404" s="585"/>
      <c r="BP404" s="1431"/>
      <c r="BQ404" s="1431"/>
      <c r="BR404" s="585"/>
      <c r="BS404" s="585"/>
      <c r="BT404" s="1432"/>
      <c r="BU404" s="1432"/>
      <c r="BV404" s="1432"/>
      <c r="BW404" s="1432"/>
      <c r="BX404" s="1432"/>
      <c r="BY404" s="1432"/>
      <c r="BZ404" s="1432"/>
      <c r="CA404" s="1432"/>
      <c r="CB404" s="1432"/>
      <c r="CC404" s="1432"/>
      <c r="CD404" s="585"/>
      <c r="CE404" s="585"/>
      <c r="CF404" s="586"/>
    </row>
    <row r="405" spans="1:84" s="583" customFormat="1" ht="23.1" customHeight="1" thickBot="1">
      <c r="A405" s="584"/>
      <c r="B405" s="585"/>
      <c r="C405" s="585"/>
      <c r="D405" s="585"/>
      <c r="E405" s="585"/>
      <c r="F405" s="585"/>
      <c r="G405" s="585"/>
      <c r="H405" s="585"/>
      <c r="I405" s="585"/>
      <c r="J405" s="585"/>
      <c r="K405" s="585"/>
      <c r="L405" s="585"/>
      <c r="M405" s="585"/>
      <c r="N405" s="585"/>
      <c r="O405" s="585"/>
      <c r="P405" s="585"/>
      <c r="Q405" s="585"/>
      <c r="R405" s="585"/>
      <c r="S405" s="585"/>
      <c r="T405" s="585"/>
      <c r="U405" s="585"/>
      <c r="V405" s="585"/>
      <c r="W405" s="585"/>
      <c r="X405" s="585"/>
      <c r="Y405" s="585"/>
      <c r="Z405" s="585"/>
      <c r="AA405" s="585"/>
      <c r="AB405" s="585"/>
      <c r="AC405" s="585"/>
      <c r="AD405" s="585"/>
      <c r="AE405" s="585"/>
      <c r="AF405" s="585"/>
      <c r="AG405" s="585"/>
      <c r="AH405" s="585"/>
      <c r="AI405" s="585"/>
      <c r="AJ405" s="585"/>
      <c r="AK405" s="585"/>
      <c r="AL405" s="585"/>
      <c r="AM405" s="585"/>
      <c r="AN405" s="585"/>
      <c r="AO405" s="585"/>
      <c r="AP405" s="585"/>
      <c r="AQ405" s="585"/>
      <c r="AR405" s="585"/>
      <c r="AS405" s="585"/>
      <c r="AT405" s="585"/>
      <c r="AU405" s="585"/>
      <c r="AV405" s="585"/>
      <c r="AW405" s="585"/>
      <c r="AX405" s="585"/>
      <c r="AY405" s="585"/>
      <c r="AZ405" s="585"/>
      <c r="BA405" s="585"/>
      <c r="BB405" s="585"/>
      <c r="BC405" s="585"/>
      <c r="BD405" s="585"/>
      <c r="BE405" s="585"/>
      <c r="BF405" s="585"/>
      <c r="BG405" s="585"/>
      <c r="BH405" s="585"/>
      <c r="BI405" s="585"/>
      <c r="BJ405" s="585"/>
      <c r="BK405" s="585"/>
      <c r="BL405" s="585"/>
      <c r="BM405" s="585"/>
      <c r="BN405" s="585"/>
      <c r="BO405" s="585"/>
      <c r="BP405" s="1431" t="s">
        <v>41</v>
      </c>
      <c r="BQ405" s="1431"/>
      <c r="BR405" s="585"/>
      <c r="BS405" s="585"/>
      <c r="BT405" s="1433">
        <f>BT403+BT404</f>
        <v>0</v>
      </c>
      <c r="BU405" s="1433"/>
      <c r="BV405" s="1433"/>
      <c r="BW405" s="1433"/>
      <c r="BX405" s="1433"/>
      <c r="BY405" s="1433"/>
      <c r="BZ405" s="1433"/>
      <c r="CA405" s="1433"/>
      <c r="CB405" s="1433"/>
      <c r="CC405" s="1433"/>
      <c r="CD405" s="585"/>
      <c r="CE405" s="585"/>
      <c r="CF405" s="586"/>
    </row>
    <row r="406" spans="1:84" s="583" customFormat="1" ht="23.1" customHeight="1" thickBot="1">
      <c r="A406" s="597"/>
      <c r="B406" s="598" t="s">
        <v>1113</v>
      </c>
      <c r="C406" s="598"/>
      <c r="D406" s="598"/>
      <c r="E406" s="598"/>
      <c r="F406" s="598"/>
      <c r="G406" s="598"/>
      <c r="H406" s="598"/>
      <c r="I406" s="598"/>
      <c r="J406" s="598"/>
      <c r="K406" s="598"/>
      <c r="L406" s="598"/>
      <c r="M406" s="598"/>
      <c r="N406" s="598"/>
      <c r="O406" s="598"/>
      <c r="P406" s="598"/>
      <c r="Q406" s="598"/>
      <c r="R406" s="598"/>
      <c r="S406" s="598"/>
      <c r="T406" s="598"/>
      <c r="U406" s="598"/>
      <c r="V406" s="598"/>
      <c r="W406" s="598"/>
      <c r="X406" s="598"/>
      <c r="Y406" s="598"/>
      <c r="Z406" s="598"/>
      <c r="AA406" s="598"/>
      <c r="AB406" s="598"/>
      <c r="AC406" s="598"/>
      <c r="AD406" s="598"/>
      <c r="AE406" s="598"/>
      <c r="AF406" s="598"/>
      <c r="AG406" s="598"/>
      <c r="AH406" s="598"/>
      <c r="AI406" s="598"/>
      <c r="AJ406" s="598"/>
      <c r="AK406" s="598"/>
      <c r="AL406" s="598"/>
      <c r="AM406" s="598"/>
      <c r="AN406" s="598"/>
      <c r="AO406" s="598"/>
      <c r="AP406" s="598"/>
      <c r="AQ406" s="598"/>
      <c r="AR406" s="598"/>
      <c r="AS406" s="598"/>
      <c r="AT406" s="598"/>
      <c r="AU406" s="598"/>
      <c r="AV406" s="598"/>
      <c r="AW406" s="598"/>
      <c r="AX406" s="598"/>
      <c r="AY406" s="598"/>
      <c r="AZ406" s="598"/>
      <c r="BA406" s="598"/>
      <c r="BB406" s="598"/>
      <c r="BC406" s="598"/>
      <c r="BD406" s="598"/>
      <c r="BE406" s="598"/>
      <c r="BF406" s="598"/>
      <c r="BG406" s="598"/>
      <c r="BH406" s="598"/>
      <c r="BI406" s="598"/>
      <c r="BJ406" s="598"/>
      <c r="BK406" s="598"/>
      <c r="BL406" s="598"/>
      <c r="BM406" s="598"/>
      <c r="BN406" s="598"/>
      <c r="BO406" s="598"/>
      <c r="BP406" s="598"/>
      <c r="BQ406" s="598"/>
      <c r="BR406" s="598"/>
      <c r="BS406" s="598"/>
      <c r="BT406" s="1429">
        <f>BT397+BT401+BT405</f>
        <v>5513</v>
      </c>
      <c r="BU406" s="1429"/>
      <c r="BV406" s="1429"/>
      <c r="BW406" s="1429"/>
      <c r="BX406" s="1429"/>
      <c r="BY406" s="1429"/>
      <c r="BZ406" s="1429"/>
      <c r="CA406" s="1429"/>
      <c r="CB406" s="1429"/>
      <c r="CC406" s="1429"/>
      <c r="CD406" s="598"/>
      <c r="CE406" s="598"/>
      <c r="CF406" s="599"/>
    </row>
    <row r="407" spans="1:84" s="583" customFormat="1" ht="9.9499999999999993" customHeight="1">
      <c r="A407" s="574"/>
      <c r="B407" s="574"/>
      <c r="C407" s="574"/>
      <c r="D407" s="574"/>
      <c r="E407" s="574"/>
      <c r="F407" s="574"/>
      <c r="G407" s="574"/>
      <c r="H407" s="574"/>
      <c r="I407" s="574"/>
      <c r="J407" s="574"/>
      <c r="K407" s="574"/>
      <c r="L407" s="574"/>
      <c r="M407" s="574"/>
      <c r="N407" s="574"/>
      <c r="O407" s="574"/>
      <c r="P407" s="574"/>
      <c r="Q407" s="574"/>
      <c r="R407" s="574"/>
      <c r="S407" s="574"/>
      <c r="T407" s="574"/>
      <c r="U407" s="574"/>
      <c r="V407" s="574"/>
      <c r="W407" s="574"/>
      <c r="X407" s="574"/>
      <c r="Y407" s="574"/>
      <c r="Z407" s="574"/>
      <c r="AA407" s="574"/>
      <c r="AB407" s="574"/>
      <c r="AC407" s="574"/>
      <c r="AD407" s="574"/>
      <c r="AE407" s="574"/>
      <c r="AF407" s="574"/>
      <c r="AG407" s="574"/>
      <c r="AH407" s="574"/>
      <c r="AI407" s="574"/>
      <c r="AJ407" s="574"/>
      <c r="AK407" s="574"/>
      <c r="AL407" s="574"/>
      <c r="AM407" s="574"/>
      <c r="AN407" s="574"/>
      <c r="AO407" s="574"/>
      <c r="AP407" s="574"/>
      <c r="AQ407" s="574"/>
      <c r="AR407" s="574"/>
      <c r="AS407" s="574"/>
      <c r="AT407" s="574"/>
      <c r="AU407" s="574"/>
      <c r="AV407" s="574"/>
      <c r="AW407" s="574"/>
      <c r="AX407" s="574"/>
      <c r="AY407" s="574"/>
      <c r="AZ407" s="574"/>
      <c r="BA407" s="574"/>
      <c r="BB407" s="574"/>
      <c r="BC407" s="574"/>
      <c r="BD407" s="574"/>
      <c r="BE407" s="574"/>
      <c r="BF407" s="574"/>
      <c r="BG407" s="574"/>
      <c r="BH407" s="574"/>
      <c r="BI407" s="574"/>
      <c r="BJ407" s="574"/>
      <c r="BK407" s="574"/>
      <c r="BL407" s="574"/>
      <c r="BM407" s="574"/>
      <c r="BN407" s="574"/>
      <c r="BO407" s="574"/>
      <c r="BP407" s="574"/>
      <c r="BQ407" s="574"/>
      <c r="BR407" s="574"/>
      <c r="BS407" s="574"/>
      <c r="BT407" s="574"/>
      <c r="BU407" s="574"/>
      <c r="BV407" s="574"/>
      <c r="BW407" s="574"/>
      <c r="BX407" s="574"/>
      <c r="BY407" s="574"/>
      <c r="BZ407" s="574"/>
      <c r="CA407" s="574"/>
      <c r="CB407" s="574"/>
      <c r="CC407" s="574"/>
      <c r="CD407" s="574"/>
      <c r="CE407" s="574"/>
      <c r="CF407" s="574"/>
    </row>
    <row r="408" spans="1:84" s="583" customFormat="1" ht="23.1" customHeight="1" thickBot="1">
      <c r="A408" s="1446" t="s">
        <v>1095</v>
      </c>
      <c r="B408" s="1446"/>
      <c r="C408" s="1446"/>
      <c r="D408" s="1446"/>
      <c r="E408" s="1446"/>
      <c r="F408" s="1446"/>
      <c r="G408" s="1447">
        <f>G393+1</f>
        <v>28</v>
      </c>
      <c r="H408" s="1447"/>
      <c r="I408" s="1447"/>
      <c r="J408" s="1448" t="s">
        <v>1096</v>
      </c>
      <c r="K408" s="1448"/>
      <c r="L408" s="574"/>
      <c r="M408" s="574"/>
      <c r="N408" s="574"/>
      <c r="O408" s="574"/>
      <c r="P408" s="574"/>
      <c r="Q408" s="574"/>
      <c r="R408" s="574"/>
      <c r="S408" s="574"/>
      <c r="T408" s="574"/>
      <c r="U408" s="574"/>
      <c r="V408" s="574"/>
      <c r="W408" s="574"/>
      <c r="X408" s="574"/>
      <c r="Y408" s="574"/>
      <c r="Z408" s="574"/>
      <c r="AA408" s="574"/>
      <c r="AB408" s="574"/>
      <c r="AC408" s="574"/>
      <c r="AD408" s="574"/>
      <c r="AE408" s="574"/>
      <c r="AF408" s="574"/>
      <c r="AG408" s="574"/>
      <c r="AH408" s="574"/>
      <c r="AI408" s="574"/>
      <c r="AJ408" s="574"/>
      <c r="AK408" s="574"/>
      <c r="AL408" s="574"/>
      <c r="AM408" s="574"/>
      <c r="AN408" s="574"/>
      <c r="AO408" s="574"/>
      <c r="AP408" s="574"/>
      <c r="AQ408" s="574"/>
      <c r="AR408" s="574"/>
      <c r="AS408" s="574"/>
      <c r="AT408" s="574"/>
      <c r="AU408" s="574"/>
      <c r="AV408" s="574"/>
      <c r="AW408" s="574"/>
      <c r="AX408" s="574"/>
      <c r="AY408" s="574"/>
      <c r="AZ408" s="574"/>
      <c r="BA408" s="574"/>
      <c r="BB408" s="574"/>
      <c r="BC408" s="574"/>
      <c r="BD408" s="574"/>
      <c r="BE408" s="574"/>
      <c r="BF408" s="574"/>
      <c r="BG408" s="574"/>
      <c r="BH408" s="574"/>
      <c r="BI408" s="574"/>
      <c r="BJ408" s="574"/>
      <c r="BK408" s="574"/>
      <c r="BL408" s="574"/>
      <c r="BM408" s="574"/>
      <c r="BN408" s="574"/>
      <c r="BO408" s="574"/>
      <c r="BP408" s="574"/>
      <c r="BQ408" s="574"/>
      <c r="BR408" s="574"/>
      <c r="BS408" s="574"/>
      <c r="BT408" s="574"/>
      <c r="BU408" s="574"/>
      <c r="BV408" s="574"/>
      <c r="BW408" s="574"/>
      <c r="BX408" s="574"/>
      <c r="BY408" s="574"/>
      <c r="BZ408" s="574"/>
      <c r="CA408" s="574"/>
      <c r="CB408" s="574"/>
      <c r="CC408" s="574"/>
      <c r="CD408" s="574"/>
      <c r="CE408" s="574"/>
      <c r="CF408" s="574"/>
    </row>
    <row r="409" spans="1:84" s="583" customFormat="1" ht="23.1" customHeight="1" thickBot="1">
      <c r="A409" s="1483" t="s">
        <v>1097</v>
      </c>
      <c r="B409" s="1484"/>
      <c r="C409" s="1484"/>
      <c r="D409" s="1484"/>
      <c r="E409" s="1484"/>
      <c r="F409" s="1484"/>
      <c r="G409" s="1484"/>
      <c r="H409" s="1484"/>
      <c r="I409" s="581" t="s">
        <v>530</v>
      </c>
      <c r="J409" s="581"/>
      <c r="K409" s="581"/>
      <c r="L409" s="581"/>
      <c r="M409" s="581"/>
      <c r="N409" s="581"/>
      <c r="O409" s="581"/>
      <c r="P409" s="581"/>
      <c r="Q409" s="581"/>
      <c r="R409" s="581"/>
      <c r="S409" s="581"/>
      <c r="T409" s="581"/>
      <c r="U409" s="581"/>
      <c r="V409" s="581"/>
      <c r="W409" s="581"/>
      <c r="X409" s="581"/>
      <c r="Y409" s="581"/>
      <c r="Z409" s="581"/>
      <c r="AA409" s="581"/>
      <c r="AB409" s="581"/>
      <c r="AC409" s="581"/>
      <c r="AD409" s="581"/>
      <c r="AE409" s="581"/>
      <c r="AF409" s="581"/>
      <c r="AG409" s="581"/>
      <c r="AH409" s="581"/>
      <c r="AI409" s="581"/>
      <c r="AJ409" s="1484" t="s">
        <v>1099</v>
      </c>
      <c r="AK409" s="1484"/>
      <c r="AL409" s="1484"/>
      <c r="AM409" s="1484"/>
      <c r="AN409" s="1484"/>
      <c r="AO409" s="1484"/>
      <c r="AP409" s="1484"/>
      <c r="AQ409" s="581" t="s">
        <v>1139</v>
      </c>
      <c r="AR409" s="581"/>
      <c r="AS409" s="581"/>
      <c r="AT409" s="581"/>
      <c r="AU409" s="581"/>
      <c r="AV409" s="581"/>
      <c r="AW409" s="581"/>
      <c r="AX409" s="581"/>
      <c r="AY409" s="581"/>
      <c r="AZ409" s="581"/>
      <c r="BA409" s="581"/>
      <c r="BB409" s="581"/>
      <c r="BC409" s="581"/>
      <c r="BD409" s="581"/>
      <c r="BE409" s="581"/>
      <c r="BF409" s="581"/>
      <c r="BG409" s="581"/>
      <c r="BH409" s="581"/>
      <c r="BI409" s="581"/>
      <c r="BJ409" s="581"/>
      <c r="BK409" s="581"/>
      <c r="BL409" s="581"/>
      <c r="BM409" s="581"/>
      <c r="BN409" s="581"/>
      <c r="BO409" s="581"/>
      <c r="BP409" s="581"/>
      <c r="BQ409" s="581"/>
      <c r="BR409" s="581"/>
      <c r="BS409" s="581"/>
      <c r="BT409" s="581" t="s">
        <v>1140</v>
      </c>
      <c r="BU409" s="581"/>
      <c r="BV409" s="581"/>
      <c r="BW409" s="581"/>
      <c r="BX409" s="581"/>
      <c r="BY409" s="581"/>
      <c r="BZ409" s="581"/>
      <c r="CA409" s="581"/>
      <c r="CB409" s="581"/>
      <c r="CC409" s="581"/>
      <c r="CD409" s="581"/>
      <c r="CE409" s="581"/>
      <c r="CF409" s="582"/>
    </row>
    <row r="410" spans="1:84" s="583" customFormat="1" ht="23.1" customHeight="1">
      <c r="A410" s="584"/>
      <c r="B410" s="585" t="s">
        <v>1102</v>
      </c>
      <c r="C410" s="585"/>
      <c r="D410" s="585"/>
      <c r="E410" s="585"/>
      <c r="F410" s="585"/>
      <c r="G410" s="585"/>
      <c r="H410" s="585"/>
      <c r="I410" s="585"/>
      <c r="J410" s="585"/>
      <c r="K410" s="585"/>
      <c r="L410" s="585"/>
      <c r="M410" s="585"/>
      <c r="N410" s="585"/>
      <c r="O410" s="585"/>
      <c r="P410" s="585"/>
      <c r="Q410" s="585"/>
      <c r="R410" s="585"/>
      <c r="S410" s="585"/>
      <c r="T410" s="585"/>
      <c r="U410" s="585"/>
      <c r="V410" s="585"/>
      <c r="W410" s="585"/>
      <c r="X410" s="585"/>
      <c r="Y410" s="585"/>
      <c r="Z410" s="585"/>
      <c r="AA410" s="585"/>
      <c r="AB410" s="585"/>
      <c r="AC410" s="585"/>
      <c r="AD410" s="585"/>
      <c r="AE410" s="585"/>
      <c r="AF410" s="585"/>
      <c r="AG410" s="585"/>
      <c r="AH410" s="585"/>
      <c r="AI410" s="585"/>
      <c r="AJ410" s="585"/>
      <c r="AK410" s="585"/>
      <c r="AL410" s="585"/>
      <c r="AM410" s="585"/>
      <c r="AN410" s="585"/>
      <c r="AO410" s="585"/>
      <c r="AP410" s="585"/>
      <c r="AQ410" s="585"/>
      <c r="AR410" s="585"/>
      <c r="AS410" s="585"/>
      <c r="AT410" s="585"/>
      <c r="AU410" s="585"/>
      <c r="AV410" s="585"/>
      <c r="AW410" s="585"/>
      <c r="AX410" s="585"/>
      <c r="AY410" s="585"/>
      <c r="AZ410" s="585"/>
      <c r="BA410" s="585"/>
      <c r="BB410" s="585"/>
      <c r="BC410" s="585"/>
      <c r="BD410" s="585"/>
      <c r="BE410" s="585"/>
      <c r="BF410" s="585"/>
      <c r="BG410" s="585"/>
      <c r="BH410" s="585"/>
      <c r="BI410" s="585"/>
      <c r="BJ410" s="585"/>
      <c r="BK410" s="585"/>
      <c r="BL410" s="585"/>
      <c r="BM410" s="585"/>
      <c r="BN410" s="585"/>
      <c r="BO410" s="585"/>
      <c r="BP410" s="585"/>
      <c r="BQ410" s="585"/>
      <c r="BR410" s="585"/>
      <c r="BS410" s="585"/>
      <c r="BT410" s="585"/>
      <c r="BU410" s="585"/>
      <c r="BV410" s="585"/>
      <c r="BW410" s="585"/>
      <c r="BX410" s="585"/>
      <c r="BY410" s="585"/>
      <c r="BZ410" s="585"/>
      <c r="CA410" s="585"/>
      <c r="CB410" s="585"/>
      <c r="CC410" s="585"/>
      <c r="CD410" s="585"/>
      <c r="CE410" s="585"/>
      <c r="CF410" s="586"/>
    </row>
    <row r="411" spans="1:84" s="583" customFormat="1" ht="23.1" customHeight="1">
      <c r="A411" s="587"/>
      <c r="B411" s="574"/>
      <c r="C411" s="574"/>
      <c r="D411" s="405"/>
      <c r="E411" s="574"/>
      <c r="F411" s="422"/>
      <c r="G411" s="422"/>
      <c r="H411" s="422"/>
      <c r="I411" s="422"/>
      <c r="J411" s="422"/>
      <c r="K411" s="422"/>
      <c r="L411" s="422"/>
      <c r="M411" s="422"/>
      <c r="N411" s="574"/>
      <c r="O411" s="574"/>
      <c r="P411" s="574"/>
      <c r="Q411" s="574"/>
      <c r="R411" s="574"/>
      <c r="S411" s="588"/>
      <c r="T411" s="588"/>
      <c r="U411" s="588"/>
      <c r="V411" s="588"/>
      <c r="W411" s="588"/>
      <c r="X411" s="588"/>
      <c r="Y411" s="588"/>
      <c r="Z411" s="588"/>
      <c r="AA411" s="574"/>
      <c r="AB411" s="588"/>
      <c r="AC411" s="585"/>
      <c r="AD411" s="585"/>
      <c r="AE411" s="600"/>
      <c r="AF411" s="600"/>
      <c r="AG411" s="600"/>
      <c r="AH411" s="600"/>
      <c r="AI411" s="600"/>
      <c r="AJ411" s="600"/>
      <c r="AK411" s="600"/>
      <c r="AL411" s="600"/>
      <c r="AM411" s="585"/>
      <c r="AN411" s="585"/>
      <c r="AO411" s="574"/>
      <c r="AP411" s="430"/>
      <c r="AQ411" s="430"/>
      <c r="AR411" s="430"/>
      <c r="AS411" s="430"/>
      <c r="AT411" s="430"/>
      <c r="AU411" s="430"/>
      <c r="AV411" s="430"/>
      <c r="AW411" s="430"/>
      <c r="AX411" s="430"/>
      <c r="AY411" s="430"/>
      <c r="AZ411" s="430"/>
      <c r="BA411" s="430"/>
      <c r="BB411" s="430"/>
      <c r="BC411" s="430"/>
      <c r="BD411" s="574"/>
      <c r="BE411" s="574"/>
      <c r="BF411" s="574"/>
      <c r="BG411" s="574"/>
      <c r="BH411" s="574"/>
      <c r="BI411" s="574"/>
      <c r="BJ411" s="574"/>
      <c r="BK411" s="574"/>
      <c r="BL411" s="574"/>
      <c r="BM411" s="574"/>
      <c r="BN411" s="574"/>
      <c r="BO411" s="574"/>
      <c r="BP411" s="574"/>
      <c r="BQ411" s="574"/>
      <c r="BR411" s="574"/>
      <c r="BS411" s="574"/>
      <c r="BT411" s="574"/>
      <c r="BU411" s="574"/>
      <c r="BV411" s="574"/>
      <c r="BW411" s="574"/>
      <c r="BX411" s="574"/>
      <c r="BY411" s="574"/>
      <c r="BZ411" s="574"/>
      <c r="CA411" s="574"/>
      <c r="CB411" s="574"/>
      <c r="CC411" s="574"/>
      <c r="CD411" s="574"/>
      <c r="CE411" s="574"/>
      <c r="CF411" s="589"/>
    </row>
    <row r="412" spans="1:84" s="583" customFormat="1" ht="23.1" customHeight="1">
      <c r="A412" s="584"/>
      <c r="B412" s="585"/>
      <c r="C412" s="585"/>
      <c r="D412" s="585"/>
      <c r="E412" s="585"/>
      <c r="F412" s="585"/>
      <c r="G412" s="585"/>
      <c r="H412" s="585"/>
      <c r="I412" s="585"/>
      <c r="J412" s="585"/>
      <c r="K412" s="585"/>
      <c r="L412" s="585"/>
      <c r="M412" s="585"/>
      <c r="N412" s="585"/>
      <c r="O412" s="585"/>
      <c r="P412" s="585"/>
      <c r="Q412" s="585"/>
      <c r="R412" s="585"/>
      <c r="S412" s="585"/>
      <c r="T412" s="585"/>
      <c r="U412" s="585"/>
      <c r="V412" s="590"/>
      <c r="W412" s="590"/>
      <c r="X412" s="590"/>
      <c r="Y412" s="590"/>
      <c r="Z412" s="590"/>
      <c r="AA412" s="590"/>
      <c r="AB412" s="590"/>
      <c r="AC412" s="590"/>
      <c r="AD412" s="574"/>
      <c r="AE412" s="1440">
        <v>14174000</v>
      </c>
      <c r="AF412" s="1440"/>
      <c r="AG412" s="1440"/>
      <c r="AH412" s="1440"/>
      <c r="AI412" s="1440"/>
      <c r="AJ412" s="1440"/>
      <c r="AK412" s="1440"/>
      <c r="AL412" s="1440"/>
      <c r="AM412" s="1440"/>
      <c r="AN412" s="1440"/>
      <c r="AO412" s="1440"/>
      <c r="AP412" s="1440"/>
      <c r="AQ412" s="1440"/>
      <c r="AR412" s="1440"/>
      <c r="AS412" s="1440"/>
      <c r="AT412" s="1431" t="s">
        <v>446</v>
      </c>
      <c r="AU412" s="1431"/>
      <c r="AV412" s="1441" t="s">
        <v>1103</v>
      </c>
      <c r="AW412" s="1441"/>
      <c r="AX412" s="1442">
        <v>6601</v>
      </c>
      <c r="AY412" s="1442"/>
      <c r="AZ412" s="1442"/>
      <c r="BA412" s="1442"/>
      <c r="BB412" s="1442"/>
      <c r="BC412" s="1442"/>
      <c r="BD412" s="585"/>
      <c r="BE412" s="1431" t="s">
        <v>446</v>
      </c>
      <c r="BF412" s="1431"/>
      <c r="BG412" s="585"/>
      <c r="BH412" s="591" t="s">
        <v>1104</v>
      </c>
      <c r="BI412" s="585"/>
      <c r="BJ412" s="585"/>
      <c r="BK412" s="585"/>
      <c r="BL412" s="1431" t="s">
        <v>1105</v>
      </c>
      <c r="BM412" s="1431"/>
      <c r="BN412" s="1431"/>
      <c r="BO412" s="585"/>
      <c r="BP412" s="1431" t="s">
        <v>41</v>
      </c>
      <c r="BQ412" s="1431"/>
      <c r="BR412" s="585"/>
      <c r="BS412" s="585"/>
      <c r="BT412" s="1437">
        <f>INT(AE412*AX412*10^-7)</f>
        <v>9356</v>
      </c>
      <c r="BU412" s="1437"/>
      <c r="BV412" s="1437"/>
      <c r="BW412" s="1437"/>
      <c r="BX412" s="1437"/>
      <c r="BY412" s="1437"/>
      <c r="BZ412" s="1437"/>
      <c r="CA412" s="1437"/>
      <c r="CB412" s="1437"/>
      <c r="CC412" s="1437"/>
      <c r="CD412" s="585"/>
      <c r="CE412" s="585"/>
      <c r="CF412" s="586"/>
    </row>
    <row r="413" spans="1:84" s="583" customFormat="1" ht="23.1" customHeight="1">
      <c r="A413" s="592"/>
      <c r="B413" s="593" t="s">
        <v>1106</v>
      </c>
      <c r="C413" s="593"/>
      <c r="D413" s="593"/>
      <c r="E413" s="593"/>
      <c r="F413" s="593"/>
      <c r="G413" s="593"/>
      <c r="H413" s="593"/>
      <c r="I413" s="593"/>
      <c r="J413" s="593"/>
      <c r="K413" s="593"/>
      <c r="L413" s="593"/>
      <c r="M413" s="593"/>
      <c r="N413" s="593"/>
      <c r="O413" s="593"/>
      <c r="P413" s="593"/>
      <c r="Q413" s="593"/>
      <c r="R413" s="593"/>
      <c r="S413" s="593"/>
      <c r="T413" s="593"/>
      <c r="U413" s="593"/>
      <c r="V413" s="593"/>
      <c r="W413" s="593"/>
      <c r="X413" s="593"/>
      <c r="Y413" s="593"/>
      <c r="Z413" s="593"/>
      <c r="AA413" s="593"/>
      <c r="AB413" s="593"/>
      <c r="AC413" s="593"/>
      <c r="AD413" s="593"/>
      <c r="AE413" s="593"/>
      <c r="AF413" s="593"/>
      <c r="AG413" s="593"/>
      <c r="AH413" s="593"/>
      <c r="AI413" s="593"/>
      <c r="AJ413" s="593"/>
      <c r="AK413" s="593"/>
      <c r="AL413" s="593"/>
      <c r="AM413" s="593"/>
      <c r="AN413" s="593"/>
      <c r="AO413" s="593"/>
      <c r="AP413" s="593"/>
      <c r="AQ413" s="593"/>
      <c r="AR413" s="593"/>
      <c r="AS413" s="593"/>
      <c r="AT413" s="593"/>
      <c r="AU413" s="593"/>
      <c r="AV413" s="593"/>
      <c r="AW413" s="593"/>
      <c r="AX413" s="593"/>
      <c r="AY413" s="593"/>
      <c r="AZ413" s="593"/>
      <c r="BA413" s="593"/>
      <c r="BB413" s="593"/>
      <c r="BC413" s="593"/>
      <c r="BD413" s="593"/>
      <c r="BE413" s="593"/>
      <c r="BF413" s="593"/>
      <c r="BG413" s="593"/>
      <c r="BH413" s="593"/>
      <c r="BI413" s="593"/>
      <c r="BJ413" s="593"/>
      <c r="BK413" s="593"/>
      <c r="BL413" s="593"/>
      <c r="BM413" s="593"/>
      <c r="BN413" s="593"/>
      <c r="BO413" s="593"/>
      <c r="BP413" s="593"/>
      <c r="BQ413" s="593"/>
      <c r="BR413" s="593"/>
      <c r="BS413" s="593"/>
      <c r="BT413" s="594"/>
      <c r="BU413" s="594"/>
      <c r="BV413" s="594"/>
      <c r="BW413" s="594"/>
      <c r="BX413" s="594"/>
      <c r="BY413" s="594"/>
      <c r="BZ413" s="594"/>
      <c r="CA413" s="594"/>
      <c r="CB413" s="594"/>
      <c r="CC413" s="594"/>
      <c r="CD413" s="593"/>
      <c r="CE413" s="593"/>
      <c r="CF413" s="595"/>
    </row>
    <row r="414" spans="1:84" s="583" customFormat="1" ht="23.1" customHeight="1">
      <c r="A414" s="584"/>
      <c r="B414" s="585"/>
      <c r="C414" s="585"/>
      <c r="D414" s="585"/>
      <c r="E414" s="585"/>
      <c r="F414" s="585"/>
      <c r="G414" s="585"/>
      <c r="H414" s="585"/>
      <c r="I414" s="585"/>
      <c r="J414" s="585"/>
      <c r="K414" s="585"/>
      <c r="L414" s="585"/>
      <c r="M414" s="585"/>
      <c r="N414" s="585"/>
      <c r="O414" s="585"/>
      <c r="P414" s="585"/>
      <c r="Q414" s="585"/>
      <c r="R414" s="585"/>
      <c r="S414" s="585"/>
      <c r="T414" s="574"/>
      <c r="U414" s="574"/>
      <c r="V414" s="588"/>
      <c r="W414" s="588"/>
      <c r="X414" s="588"/>
      <c r="Y414" s="588"/>
      <c r="Z414" s="588"/>
      <c r="AA414" s="588"/>
      <c r="AB414" s="588"/>
      <c r="AC414" s="588"/>
      <c r="AD414" s="588"/>
      <c r="AE414" s="588"/>
      <c r="AF414" s="585"/>
      <c r="AG414" s="585"/>
      <c r="AH414" s="574"/>
      <c r="AI414" s="440"/>
      <c r="AJ414" s="440"/>
      <c r="AK414" s="440"/>
      <c r="AL414" s="440"/>
      <c r="AM414" s="585"/>
      <c r="AN414" s="585"/>
      <c r="AO414" s="585"/>
      <c r="AP414" s="585"/>
      <c r="AQ414" s="440"/>
      <c r="AR414" s="440"/>
      <c r="AS414" s="440"/>
      <c r="AT414" s="440"/>
      <c r="AU414" s="440"/>
      <c r="AV414" s="422"/>
      <c r="AW414" s="585"/>
      <c r="AX414" s="585"/>
      <c r="AY414" s="440"/>
      <c r="AZ414" s="440"/>
      <c r="BA414" s="440"/>
      <c r="BB414" s="440"/>
      <c r="BC414" s="440"/>
      <c r="BD414" s="440"/>
      <c r="BE414" s="585"/>
      <c r="BF414" s="585"/>
      <c r="BG414" s="585"/>
      <c r="BH414" s="585"/>
      <c r="BI414" s="585"/>
      <c r="BJ414" s="585"/>
      <c r="BK414" s="585"/>
      <c r="BL414" s="585"/>
      <c r="BM414" s="585"/>
      <c r="BN414" s="585"/>
      <c r="BO414" s="585"/>
      <c r="BP414" s="1431"/>
      <c r="BQ414" s="1431"/>
      <c r="BR414" s="585"/>
      <c r="BS414" s="585"/>
      <c r="BT414" s="1432"/>
      <c r="BU414" s="1432"/>
      <c r="BV414" s="1432"/>
      <c r="BW414" s="1432"/>
      <c r="BX414" s="1432"/>
      <c r="BY414" s="1432"/>
      <c r="BZ414" s="1432"/>
      <c r="CA414" s="1432"/>
      <c r="CB414" s="1432"/>
      <c r="CC414" s="1432"/>
      <c r="CD414" s="585"/>
      <c r="CE414" s="585"/>
      <c r="CF414" s="586"/>
    </row>
    <row r="415" spans="1:84" s="583" customFormat="1" ht="23.1" customHeight="1">
      <c r="A415" s="584"/>
      <c r="B415" s="585"/>
      <c r="C415" s="585"/>
      <c r="D415" s="585"/>
      <c r="E415" s="585"/>
      <c r="F415" s="585"/>
      <c r="G415" s="585"/>
      <c r="H415" s="585"/>
      <c r="I415" s="585"/>
      <c r="J415" s="585"/>
      <c r="K415" s="585"/>
      <c r="L415" s="585"/>
      <c r="M415" s="585"/>
      <c r="N415" s="585"/>
      <c r="O415" s="585"/>
      <c r="P415" s="574"/>
      <c r="Q415" s="574"/>
      <c r="R415" s="574"/>
      <c r="S415" s="574"/>
      <c r="T415" s="574"/>
      <c r="U415" s="574"/>
      <c r="V415" s="574"/>
      <c r="W415" s="574"/>
      <c r="X415" s="574"/>
      <c r="Y415" s="574"/>
      <c r="Z415" s="574"/>
      <c r="AA415" s="574"/>
      <c r="AB415" s="574"/>
      <c r="AC415" s="574"/>
      <c r="AD415" s="574"/>
      <c r="AE415" s="574"/>
      <c r="AF415" s="574"/>
      <c r="AG415" s="574"/>
      <c r="AH415" s="574"/>
      <c r="AI415" s="574"/>
      <c r="AJ415" s="574"/>
      <c r="AK415" s="574"/>
      <c r="AL415" s="574"/>
      <c r="AM415" s="574"/>
      <c r="AN415" s="574"/>
      <c r="AO415" s="574"/>
      <c r="AP415" s="574"/>
      <c r="AQ415" s="574"/>
      <c r="AR415" s="574"/>
      <c r="AS415" s="574"/>
      <c r="AT415" s="574"/>
      <c r="AU415" s="574"/>
      <c r="AV415" s="574"/>
      <c r="AW415" s="574"/>
      <c r="AX415" s="574"/>
      <c r="AY415" s="574"/>
      <c r="AZ415" s="574"/>
      <c r="BA415" s="574"/>
      <c r="BB415" s="574"/>
      <c r="BC415" s="574"/>
      <c r="BD415" s="574"/>
      <c r="BE415" s="574"/>
      <c r="BF415" s="574"/>
      <c r="BG415" s="585"/>
      <c r="BH415" s="585"/>
      <c r="BI415" s="585"/>
      <c r="BJ415" s="585"/>
      <c r="BK415" s="585"/>
      <c r="BL415" s="585"/>
      <c r="BM415" s="585"/>
      <c r="BN415" s="585"/>
      <c r="BO415" s="585"/>
      <c r="BP415" s="1431"/>
      <c r="BQ415" s="1431"/>
      <c r="BR415" s="585"/>
      <c r="BS415" s="585"/>
      <c r="BT415" s="1432"/>
      <c r="BU415" s="1432"/>
      <c r="BV415" s="1432"/>
      <c r="BW415" s="1432"/>
      <c r="BX415" s="1432"/>
      <c r="BY415" s="1432"/>
      <c r="BZ415" s="1432"/>
      <c r="CA415" s="1432"/>
      <c r="CB415" s="1432"/>
      <c r="CC415" s="1432"/>
      <c r="CD415" s="585"/>
      <c r="CE415" s="585"/>
      <c r="CF415" s="586"/>
    </row>
    <row r="416" spans="1:84" s="583" customFormat="1" ht="23.1" customHeight="1">
      <c r="A416" s="584"/>
      <c r="B416" s="585"/>
      <c r="C416" s="585"/>
      <c r="D416" s="585"/>
      <c r="E416" s="585"/>
      <c r="F416" s="585"/>
      <c r="G416" s="585"/>
      <c r="H416" s="585"/>
      <c r="I416" s="585"/>
      <c r="J416" s="585"/>
      <c r="K416" s="585"/>
      <c r="L416" s="585"/>
      <c r="M416" s="585"/>
      <c r="N416" s="585"/>
      <c r="O416" s="585"/>
      <c r="P416" s="585"/>
      <c r="Q416" s="585"/>
      <c r="R416" s="585"/>
      <c r="S416" s="585"/>
      <c r="T416" s="585"/>
      <c r="U416" s="585"/>
      <c r="V416" s="585"/>
      <c r="W416" s="585"/>
      <c r="X416" s="585"/>
      <c r="Y416" s="585"/>
      <c r="Z416" s="585"/>
      <c r="AA416" s="585"/>
      <c r="AB416" s="585"/>
      <c r="AC416" s="585"/>
      <c r="AD416" s="574"/>
      <c r="AE416" s="574"/>
      <c r="AF416" s="574"/>
      <c r="AG416" s="574"/>
      <c r="AH416" s="574"/>
      <c r="AI416" s="574"/>
      <c r="AJ416" s="574"/>
      <c r="AK416" s="574"/>
      <c r="AL416" s="574"/>
      <c r="AM416" s="574"/>
      <c r="AN416" s="574"/>
      <c r="AO416" s="574"/>
      <c r="AP416" s="574"/>
      <c r="AQ416" s="574"/>
      <c r="AR416" s="574"/>
      <c r="AS416" s="585"/>
      <c r="AT416" s="590"/>
      <c r="AU416" s="590"/>
      <c r="AV416" s="585"/>
      <c r="AW416" s="585"/>
      <c r="AX416" s="585"/>
      <c r="AY416" s="585"/>
      <c r="AZ416" s="585"/>
      <c r="BA416" s="585"/>
      <c r="BB416" s="585"/>
      <c r="BC416" s="585"/>
      <c r="BD416" s="585"/>
      <c r="BE416" s="585"/>
      <c r="BF416" s="585"/>
      <c r="BG416" s="585"/>
      <c r="BH416" s="585"/>
      <c r="BI416" s="585"/>
      <c r="BJ416" s="585"/>
      <c r="BK416" s="585"/>
      <c r="BL416" s="585"/>
      <c r="BM416" s="585"/>
      <c r="BN416" s="585"/>
      <c r="BO416" s="585"/>
      <c r="BP416" s="1431" t="s">
        <v>41</v>
      </c>
      <c r="BQ416" s="1431"/>
      <c r="BR416" s="585"/>
      <c r="BS416" s="585"/>
      <c r="BT416" s="1434">
        <f>BT414+BT415</f>
        <v>0</v>
      </c>
      <c r="BU416" s="1434"/>
      <c r="BV416" s="1434"/>
      <c r="BW416" s="1434"/>
      <c r="BX416" s="1434"/>
      <c r="BY416" s="1434"/>
      <c r="BZ416" s="1434"/>
      <c r="CA416" s="1434"/>
      <c r="CB416" s="1434"/>
      <c r="CC416" s="1434"/>
      <c r="CD416" s="585"/>
      <c r="CE416" s="585"/>
      <c r="CF416" s="586"/>
    </row>
    <row r="417" spans="1:84" s="583" customFormat="1" ht="23.1" customHeight="1">
      <c r="A417" s="592"/>
      <c r="B417" s="593" t="s">
        <v>1110</v>
      </c>
      <c r="C417" s="593"/>
      <c r="D417" s="593"/>
      <c r="E417" s="593"/>
      <c r="F417" s="593"/>
      <c r="G417" s="593"/>
      <c r="H417" s="593"/>
      <c r="I417" s="593"/>
      <c r="J417" s="593"/>
      <c r="K417" s="593"/>
      <c r="L417" s="593"/>
      <c r="M417" s="593"/>
      <c r="N417" s="593"/>
      <c r="O417" s="593"/>
      <c r="P417" s="593"/>
      <c r="Q417" s="593"/>
      <c r="R417" s="593"/>
      <c r="S417" s="593"/>
      <c r="T417" s="593"/>
      <c r="U417" s="593"/>
      <c r="V417" s="593"/>
      <c r="W417" s="593"/>
      <c r="X417" s="593"/>
      <c r="Y417" s="593"/>
      <c r="Z417" s="593"/>
      <c r="AA417" s="593"/>
      <c r="AB417" s="593"/>
      <c r="AC417" s="593"/>
      <c r="AD417" s="593"/>
      <c r="AE417" s="593"/>
      <c r="AF417" s="593"/>
      <c r="AG417" s="593"/>
      <c r="AH417" s="593"/>
      <c r="AI417" s="593"/>
      <c r="AJ417" s="593"/>
      <c r="AK417" s="593"/>
      <c r="AL417" s="593"/>
      <c r="AM417" s="593"/>
      <c r="AN417" s="593"/>
      <c r="AO417" s="593"/>
      <c r="AP417" s="593"/>
      <c r="AQ417" s="593"/>
      <c r="AR417" s="593"/>
      <c r="AS417" s="593"/>
      <c r="AT417" s="593"/>
      <c r="AU417" s="593"/>
      <c r="AV417" s="593"/>
      <c r="AW417" s="593"/>
      <c r="AX417" s="593"/>
      <c r="AY417" s="593"/>
      <c r="AZ417" s="593"/>
      <c r="BA417" s="593"/>
      <c r="BB417" s="593"/>
      <c r="BC417" s="593"/>
      <c r="BD417" s="593"/>
      <c r="BE417" s="593"/>
      <c r="BF417" s="593"/>
      <c r="BG417" s="593"/>
      <c r="BH417" s="593"/>
      <c r="BI417" s="593"/>
      <c r="BJ417" s="593"/>
      <c r="BK417" s="593"/>
      <c r="BL417" s="593"/>
      <c r="BM417" s="593"/>
      <c r="BN417" s="593"/>
      <c r="BO417" s="593"/>
      <c r="BP417" s="593"/>
      <c r="BQ417" s="593"/>
      <c r="BR417" s="593"/>
      <c r="BS417" s="593"/>
      <c r="BT417" s="593"/>
      <c r="BU417" s="593"/>
      <c r="BV417" s="593"/>
      <c r="BW417" s="593"/>
      <c r="BX417" s="593"/>
      <c r="BY417" s="593"/>
      <c r="BZ417" s="593"/>
      <c r="CA417" s="593"/>
      <c r="CB417" s="593"/>
      <c r="CC417" s="593"/>
      <c r="CD417" s="593"/>
      <c r="CE417" s="593"/>
      <c r="CF417" s="595"/>
    </row>
    <row r="418" spans="1:84" s="583" customFormat="1" ht="23.1" customHeight="1">
      <c r="A418" s="584"/>
      <c r="B418" s="585"/>
      <c r="C418" s="585"/>
      <c r="D418" s="585"/>
      <c r="E418" s="585"/>
      <c r="F418" s="585"/>
      <c r="G418" s="585"/>
      <c r="H418" s="585"/>
      <c r="I418" s="585"/>
      <c r="J418" s="585"/>
      <c r="K418" s="585"/>
      <c r="L418" s="585"/>
      <c r="M418" s="585"/>
      <c r="N418" s="585"/>
      <c r="O418" s="585"/>
      <c r="P418" s="585"/>
      <c r="Q418" s="585"/>
      <c r="R418" s="585"/>
      <c r="S418" s="585"/>
      <c r="T418" s="585"/>
      <c r="U418" s="585"/>
      <c r="V418" s="585"/>
      <c r="W418" s="585"/>
      <c r="X418" s="585"/>
      <c r="Y418" s="585"/>
      <c r="Z418" s="585"/>
      <c r="AA418" s="585"/>
      <c r="AB418" s="585"/>
      <c r="AC418" s="585"/>
      <c r="AD418" s="585"/>
      <c r="AE418" s="585"/>
      <c r="AF418" s="585"/>
      <c r="AG418" s="585"/>
      <c r="AH418" s="585"/>
      <c r="AI418" s="585"/>
      <c r="AJ418" s="585"/>
      <c r="AK418" s="585"/>
      <c r="AL418" s="585"/>
      <c r="AM418" s="585"/>
      <c r="AN418" s="585"/>
      <c r="AO418" s="585"/>
      <c r="AP418" s="585"/>
      <c r="AQ418" s="585"/>
      <c r="AR418" s="422"/>
      <c r="AS418" s="604"/>
      <c r="AT418" s="604"/>
      <c r="AU418" s="604"/>
      <c r="AV418" s="604"/>
      <c r="AW418" s="604"/>
      <c r="AX418" s="604"/>
      <c r="AY418" s="604"/>
      <c r="AZ418" s="604"/>
      <c r="BA418" s="604"/>
      <c r="BB418" s="604"/>
      <c r="BC418" s="585"/>
      <c r="BD418" s="585"/>
      <c r="BE418" s="585"/>
      <c r="BF418" s="585"/>
      <c r="BG418" s="585"/>
      <c r="BH418" s="585"/>
      <c r="BI418" s="585"/>
      <c r="BJ418" s="585"/>
      <c r="BK418" s="585"/>
      <c r="BL418" s="585"/>
      <c r="BM418" s="585"/>
      <c r="BN418" s="585"/>
      <c r="BO418" s="585"/>
      <c r="BP418" s="1431"/>
      <c r="BQ418" s="1431"/>
      <c r="BR418" s="585"/>
      <c r="BS418" s="585"/>
      <c r="BT418" s="1432"/>
      <c r="BU418" s="1432"/>
      <c r="BV418" s="1432"/>
      <c r="BW418" s="1432"/>
      <c r="BX418" s="1432"/>
      <c r="BY418" s="1432"/>
      <c r="BZ418" s="1432"/>
      <c r="CA418" s="1432"/>
      <c r="CB418" s="1432"/>
      <c r="CC418" s="1432"/>
      <c r="CD418" s="585"/>
      <c r="CE418" s="585"/>
      <c r="CF418" s="586"/>
    </row>
    <row r="419" spans="1:84" s="583" customFormat="1" ht="23.1" customHeight="1">
      <c r="A419" s="584"/>
      <c r="B419" s="585"/>
      <c r="C419" s="585"/>
      <c r="D419" s="591"/>
      <c r="E419" s="585"/>
      <c r="F419" s="585"/>
      <c r="G419" s="585"/>
      <c r="H419" s="585"/>
      <c r="I419" s="585"/>
      <c r="J419" s="585"/>
      <c r="K419" s="585"/>
      <c r="L419" s="585"/>
      <c r="M419" s="585"/>
      <c r="N419" s="585"/>
      <c r="O419" s="585"/>
      <c r="P419" s="585"/>
      <c r="Q419" s="585"/>
      <c r="R419" s="585"/>
      <c r="S419" s="585"/>
      <c r="T419" s="585"/>
      <c r="U419" s="585"/>
      <c r="V419" s="585"/>
      <c r="W419" s="585"/>
      <c r="X419" s="585"/>
      <c r="Y419" s="585"/>
      <c r="Z419" s="585"/>
      <c r="AA419" s="585"/>
      <c r="AB419" s="585"/>
      <c r="AC419" s="585"/>
      <c r="AD419" s="585"/>
      <c r="AE419" s="585"/>
      <c r="AF419" s="585"/>
      <c r="AG419" s="585"/>
      <c r="AH419" s="585"/>
      <c r="AI419" s="585"/>
      <c r="AJ419" s="585"/>
      <c r="AK419" s="585"/>
      <c r="AL419" s="585"/>
      <c r="AM419" s="585"/>
      <c r="AN419" s="585"/>
      <c r="AO419" s="585"/>
      <c r="AP419" s="585"/>
      <c r="AQ419" s="585"/>
      <c r="AR419" s="422"/>
      <c r="AS419" s="604"/>
      <c r="AT419" s="604"/>
      <c r="AU419" s="604"/>
      <c r="AV419" s="604"/>
      <c r="AW419" s="604"/>
      <c r="AX419" s="604"/>
      <c r="AY419" s="604"/>
      <c r="AZ419" s="604"/>
      <c r="BA419" s="604"/>
      <c r="BB419" s="604"/>
      <c r="BC419" s="585"/>
      <c r="BD419" s="585"/>
      <c r="BE419" s="585"/>
      <c r="BF419" s="585"/>
      <c r="BG419" s="585"/>
      <c r="BH419" s="585"/>
      <c r="BI419" s="585"/>
      <c r="BJ419" s="585"/>
      <c r="BK419" s="585"/>
      <c r="BL419" s="585"/>
      <c r="BM419" s="585"/>
      <c r="BN419" s="585"/>
      <c r="BO419" s="585"/>
      <c r="BP419" s="1431"/>
      <c r="BQ419" s="1431"/>
      <c r="BR419" s="585"/>
      <c r="BS419" s="585"/>
      <c r="BT419" s="1432"/>
      <c r="BU419" s="1432"/>
      <c r="BV419" s="1432"/>
      <c r="BW419" s="1432"/>
      <c r="BX419" s="1432"/>
      <c r="BY419" s="1432"/>
      <c r="BZ419" s="1432"/>
      <c r="CA419" s="1432"/>
      <c r="CB419" s="1432"/>
      <c r="CC419" s="1432"/>
      <c r="CD419" s="585"/>
      <c r="CE419" s="585"/>
      <c r="CF419" s="586"/>
    </row>
    <row r="420" spans="1:84" s="583" customFormat="1" ht="23.1" customHeight="1" thickBot="1">
      <c r="A420" s="584"/>
      <c r="B420" s="585"/>
      <c r="C420" s="585"/>
      <c r="D420" s="585"/>
      <c r="E420" s="585"/>
      <c r="F420" s="585"/>
      <c r="G420" s="585"/>
      <c r="H420" s="585"/>
      <c r="I420" s="585"/>
      <c r="J420" s="585"/>
      <c r="K420" s="585"/>
      <c r="L420" s="585"/>
      <c r="M420" s="585"/>
      <c r="N420" s="585"/>
      <c r="O420" s="585"/>
      <c r="P420" s="585"/>
      <c r="Q420" s="585"/>
      <c r="R420" s="585"/>
      <c r="S420" s="585"/>
      <c r="T420" s="585"/>
      <c r="U420" s="585"/>
      <c r="V420" s="585"/>
      <c r="W420" s="585"/>
      <c r="X420" s="585"/>
      <c r="Y420" s="585"/>
      <c r="Z420" s="585"/>
      <c r="AA420" s="585"/>
      <c r="AB420" s="585"/>
      <c r="AC420" s="585"/>
      <c r="AD420" s="585"/>
      <c r="AE420" s="585"/>
      <c r="AF420" s="585"/>
      <c r="AG420" s="585"/>
      <c r="AH420" s="585"/>
      <c r="AI420" s="585"/>
      <c r="AJ420" s="585"/>
      <c r="AK420" s="585"/>
      <c r="AL420" s="585"/>
      <c r="AM420" s="585"/>
      <c r="AN420" s="585"/>
      <c r="AO420" s="585"/>
      <c r="AP420" s="585"/>
      <c r="AQ420" s="585"/>
      <c r="AR420" s="585"/>
      <c r="AS420" s="585"/>
      <c r="AT420" s="585"/>
      <c r="AU420" s="585"/>
      <c r="AV420" s="585"/>
      <c r="AW420" s="585"/>
      <c r="AX420" s="585"/>
      <c r="AY420" s="585"/>
      <c r="AZ420" s="585"/>
      <c r="BA420" s="585"/>
      <c r="BB420" s="585"/>
      <c r="BC420" s="585"/>
      <c r="BD420" s="585"/>
      <c r="BE420" s="585"/>
      <c r="BF420" s="585"/>
      <c r="BG420" s="585"/>
      <c r="BH420" s="585"/>
      <c r="BI420" s="585"/>
      <c r="BJ420" s="585"/>
      <c r="BK420" s="585"/>
      <c r="BL420" s="585"/>
      <c r="BM420" s="585"/>
      <c r="BN420" s="585"/>
      <c r="BO420" s="585"/>
      <c r="BP420" s="1431" t="s">
        <v>41</v>
      </c>
      <c r="BQ420" s="1431"/>
      <c r="BR420" s="585"/>
      <c r="BS420" s="585"/>
      <c r="BT420" s="1433">
        <f>BT418+BT419</f>
        <v>0</v>
      </c>
      <c r="BU420" s="1433"/>
      <c r="BV420" s="1433"/>
      <c r="BW420" s="1433"/>
      <c r="BX420" s="1433"/>
      <c r="BY420" s="1433"/>
      <c r="BZ420" s="1433"/>
      <c r="CA420" s="1433"/>
      <c r="CB420" s="1433"/>
      <c r="CC420" s="1433"/>
      <c r="CD420" s="585"/>
      <c r="CE420" s="585"/>
      <c r="CF420" s="586"/>
    </row>
    <row r="421" spans="1:84" s="583" customFormat="1" ht="23.1" customHeight="1" thickBot="1">
      <c r="A421" s="597"/>
      <c r="B421" s="598" t="s">
        <v>1113</v>
      </c>
      <c r="C421" s="598"/>
      <c r="D421" s="598"/>
      <c r="E421" s="598"/>
      <c r="F421" s="598"/>
      <c r="G421" s="598"/>
      <c r="H421" s="598"/>
      <c r="I421" s="598"/>
      <c r="J421" s="598"/>
      <c r="K421" s="598"/>
      <c r="L421" s="598"/>
      <c r="M421" s="598"/>
      <c r="N421" s="598"/>
      <c r="O421" s="598"/>
      <c r="P421" s="598"/>
      <c r="Q421" s="598"/>
      <c r="R421" s="598"/>
      <c r="S421" s="598"/>
      <c r="T421" s="598"/>
      <c r="U421" s="598"/>
      <c r="V421" s="598"/>
      <c r="W421" s="598"/>
      <c r="X421" s="598"/>
      <c r="Y421" s="598"/>
      <c r="Z421" s="598"/>
      <c r="AA421" s="598"/>
      <c r="AB421" s="598"/>
      <c r="AC421" s="598"/>
      <c r="AD421" s="598"/>
      <c r="AE421" s="598"/>
      <c r="AF421" s="598"/>
      <c r="AG421" s="598"/>
      <c r="AH421" s="598"/>
      <c r="AI421" s="598"/>
      <c r="AJ421" s="598"/>
      <c r="AK421" s="598"/>
      <c r="AL421" s="598"/>
      <c r="AM421" s="598"/>
      <c r="AN421" s="598"/>
      <c r="AO421" s="598"/>
      <c r="AP421" s="598"/>
      <c r="AQ421" s="598"/>
      <c r="AR421" s="598"/>
      <c r="AS421" s="598"/>
      <c r="AT421" s="598"/>
      <c r="AU421" s="598"/>
      <c r="AV421" s="598"/>
      <c r="AW421" s="598"/>
      <c r="AX421" s="598"/>
      <c r="AY421" s="598"/>
      <c r="AZ421" s="598"/>
      <c r="BA421" s="598"/>
      <c r="BB421" s="598"/>
      <c r="BC421" s="598"/>
      <c r="BD421" s="598"/>
      <c r="BE421" s="598"/>
      <c r="BF421" s="598"/>
      <c r="BG421" s="598"/>
      <c r="BH421" s="598"/>
      <c r="BI421" s="598"/>
      <c r="BJ421" s="598"/>
      <c r="BK421" s="598"/>
      <c r="BL421" s="598"/>
      <c r="BM421" s="598"/>
      <c r="BN421" s="598"/>
      <c r="BO421" s="598"/>
      <c r="BP421" s="598"/>
      <c r="BQ421" s="598"/>
      <c r="BR421" s="598"/>
      <c r="BS421" s="598"/>
      <c r="BT421" s="1429">
        <f>BT412+BT416+BT420</f>
        <v>9356</v>
      </c>
      <c r="BU421" s="1429"/>
      <c r="BV421" s="1429"/>
      <c r="BW421" s="1429"/>
      <c r="BX421" s="1429"/>
      <c r="BY421" s="1429"/>
      <c r="BZ421" s="1429"/>
      <c r="CA421" s="1429"/>
      <c r="CB421" s="1429"/>
      <c r="CC421" s="1429"/>
      <c r="CD421" s="598"/>
      <c r="CE421" s="598"/>
      <c r="CF421" s="599"/>
    </row>
    <row r="422" spans="1:84" s="583" customFormat="1" ht="9.9499999999999993" customHeight="1">
      <c r="A422" s="574"/>
      <c r="B422" s="574"/>
      <c r="C422" s="574"/>
      <c r="D422" s="574"/>
      <c r="E422" s="574"/>
      <c r="F422" s="574"/>
      <c r="G422" s="574"/>
      <c r="H422" s="574"/>
      <c r="I422" s="574"/>
      <c r="J422" s="574"/>
      <c r="K422" s="574"/>
      <c r="L422" s="574"/>
      <c r="M422" s="574"/>
      <c r="N422" s="574"/>
      <c r="O422" s="574"/>
      <c r="P422" s="574"/>
      <c r="Q422" s="574"/>
      <c r="R422" s="574"/>
      <c r="S422" s="574"/>
      <c r="T422" s="574"/>
      <c r="U422" s="574"/>
      <c r="V422" s="574"/>
      <c r="W422" s="574"/>
      <c r="X422" s="574"/>
      <c r="Y422" s="574"/>
      <c r="Z422" s="574"/>
      <c r="AA422" s="574"/>
      <c r="AB422" s="574"/>
      <c r="AC422" s="574"/>
      <c r="AD422" s="574"/>
      <c r="AE422" s="574"/>
      <c r="AF422" s="574"/>
      <c r="AG422" s="574"/>
      <c r="AH422" s="574"/>
      <c r="AI422" s="574"/>
      <c r="AJ422" s="574"/>
      <c r="AK422" s="574"/>
      <c r="AL422" s="574"/>
      <c r="AM422" s="574"/>
      <c r="AN422" s="574"/>
      <c r="AO422" s="574"/>
      <c r="AP422" s="574"/>
      <c r="AQ422" s="574"/>
      <c r="AR422" s="574"/>
      <c r="AS422" s="574"/>
      <c r="AT422" s="574"/>
      <c r="AU422" s="574"/>
      <c r="AV422" s="574"/>
      <c r="AW422" s="574"/>
      <c r="AX422" s="574"/>
      <c r="AY422" s="574"/>
      <c r="AZ422" s="574"/>
      <c r="BA422" s="574"/>
      <c r="BB422" s="574"/>
      <c r="BC422" s="574"/>
      <c r="BD422" s="574"/>
      <c r="BE422" s="574"/>
      <c r="BF422" s="574"/>
      <c r="BG422" s="574"/>
      <c r="BH422" s="574"/>
      <c r="BI422" s="574"/>
      <c r="BJ422" s="574"/>
      <c r="BK422" s="574"/>
      <c r="BL422" s="574"/>
      <c r="BM422" s="574"/>
      <c r="BN422" s="574"/>
      <c r="BO422" s="574"/>
      <c r="BP422" s="574"/>
      <c r="BQ422" s="574"/>
      <c r="BR422" s="574"/>
      <c r="BS422" s="574"/>
      <c r="BT422" s="574"/>
      <c r="BU422" s="574"/>
      <c r="BV422" s="574"/>
      <c r="BW422" s="574"/>
      <c r="BX422" s="574"/>
      <c r="BY422" s="574"/>
      <c r="BZ422" s="574"/>
      <c r="CA422" s="574"/>
      <c r="CB422" s="574"/>
      <c r="CC422" s="574"/>
      <c r="CD422" s="574"/>
      <c r="CE422" s="574"/>
      <c r="CF422" s="574"/>
    </row>
    <row r="423" spans="1:84" s="583" customFormat="1" ht="23.1" customHeight="1" thickBot="1">
      <c r="A423" s="1446" t="s">
        <v>1095</v>
      </c>
      <c r="B423" s="1446"/>
      <c r="C423" s="1446"/>
      <c r="D423" s="1446"/>
      <c r="E423" s="1446"/>
      <c r="F423" s="1446"/>
      <c r="G423" s="1447">
        <f>G408+1</f>
        <v>29</v>
      </c>
      <c r="H423" s="1447"/>
      <c r="I423" s="1447"/>
      <c r="J423" s="1448" t="s">
        <v>1096</v>
      </c>
      <c r="K423" s="1448"/>
      <c r="L423" s="574"/>
      <c r="M423" s="574"/>
      <c r="N423" s="574"/>
      <c r="O423" s="574"/>
      <c r="P423" s="574"/>
      <c r="Q423" s="574"/>
      <c r="R423" s="574"/>
      <c r="S423" s="574"/>
      <c r="T423" s="574"/>
      <c r="U423" s="574"/>
      <c r="V423" s="574"/>
      <c r="W423" s="574"/>
      <c r="X423" s="574"/>
      <c r="Y423" s="574"/>
      <c r="Z423" s="574"/>
      <c r="AA423" s="574"/>
      <c r="AB423" s="574"/>
      <c r="AC423" s="574"/>
      <c r="AD423" s="574"/>
      <c r="AE423" s="574"/>
      <c r="AF423" s="574"/>
      <c r="AG423" s="574"/>
      <c r="AH423" s="574"/>
      <c r="AI423" s="574"/>
      <c r="AJ423" s="574"/>
      <c r="AK423" s="574"/>
      <c r="AL423" s="574"/>
      <c r="AM423" s="574"/>
      <c r="AN423" s="574"/>
      <c r="AO423" s="574"/>
      <c r="AP423" s="574"/>
      <c r="AQ423" s="574"/>
      <c r="AR423" s="574"/>
      <c r="AS423" s="574"/>
      <c r="AT423" s="574"/>
      <c r="AU423" s="574"/>
      <c r="AV423" s="574"/>
      <c r="AW423" s="574"/>
      <c r="AX423" s="574"/>
      <c r="AY423" s="574"/>
      <c r="AZ423" s="574"/>
      <c r="BA423" s="574"/>
      <c r="BB423" s="574"/>
      <c r="BC423" s="574"/>
      <c r="BD423" s="574"/>
      <c r="BE423" s="574"/>
      <c r="BF423" s="574"/>
      <c r="BG423" s="574"/>
      <c r="BH423" s="574"/>
      <c r="BI423" s="574"/>
      <c r="BJ423" s="574"/>
      <c r="BK423" s="574"/>
      <c r="BL423" s="574"/>
      <c r="BM423" s="574"/>
      <c r="BN423" s="574"/>
      <c r="BO423" s="574"/>
      <c r="BP423" s="574"/>
      <c r="BQ423" s="574"/>
      <c r="BR423" s="574"/>
      <c r="BS423" s="574"/>
      <c r="BT423" s="574"/>
      <c r="BU423" s="574"/>
      <c r="BV423" s="574"/>
      <c r="BW423" s="574"/>
      <c r="BX423" s="574"/>
      <c r="BY423" s="574"/>
      <c r="BZ423" s="574"/>
      <c r="CA423" s="574"/>
      <c r="CB423" s="574"/>
      <c r="CC423" s="574"/>
      <c r="CD423" s="574"/>
      <c r="CE423" s="574"/>
      <c r="CF423" s="574"/>
    </row>
    <row r="424" spans="1:84" s="583" customFormat="1" ht="23.1" customHeight="1" thickBot="1">
      <c r="A424" s="1483" t="s">
        <v>1097</v>
      </c>
      <c r="B424" s="1484"/>
      <c r="C424" s="1484"/>
      <c r="D424" s="1484"/>
      <c r="E424" s="1484"/>
      <c r="F424" s="1484"/>
      <c r="G424" s="1484"/>
      <c r="H424" s="1484"/>
      <c r="I424" s="581" t="s">
        <v>530</v>
      </c>
      <c r="J424" s="581"/>
      <c r="K424" s="581"/>
      <c r="L424" s="581"/>
      <c r="M424" s="581"/>
      <c r="N424" s="581"/>
      <c r="O424" s="581"/>
      <c r="P424" s="581"/>
      <c r="Q424" s="581"/>
      <c r="R424" s="581"/>
      <c r="S424" s="581"/>
      <c r="T424" s="581"/>
      <c r="U424" s="581"/>
      <c r="V424" s="581"/>
      <c r="W424" s="581"/>
      <c r="X424" s="581"/>
      <c r="Y424" s="581"/>
      <c r="Z424" s="581"/>
      <c r="AA424" s="581"/>
      <c r="AB424" s="581"/>
      <c r="AC424" s="581"/>
      <c r="AD424" s="581"/>
      <c r="AE424" s="581"/>
      <c r="AF424" s="581"/>
      <c r="AG424" s="581"/>
      <c r="AH424" s="581"/>
      <c r="AI424" s="581"/>
      <c r="AJ424" s="1484" t="s">
        <v>1099</v>
      </c>
      <c r="AK424" s="1484"/>
      <c r="AL424" s="1484"/>
      <c r="AM424" s="1484"/>
      <c r="AN424" s="1484"/>
      <c r="AO424" s="1484"/>
      <c r="AP424" s="1484"/>
      <c r="AQ424" s="581" t="s">
        <v>480</v>
      </c>
      <c r="AR424" s="581"/>
      <c r="AS424" s="581"/>
      <c r="AT424" s="581"/>
      <c r="AU424" s="581"/>
      <c r="AV424" s="581"/>
      <c r="AW424" s="581"/>
      <c r="AX424" s="581"/>
      <c r="AY424" s="581"/>
      <c r="AZ424" s="581"/>
      <c r="BA424" s="581"/>
      <c r="BB424" s="581"/>
      <c r="BC424" s="581"/>
      <c r="BD424" s="581"/>
      <c r="BE424" s="581"/>
      <c r="BF424" s="581"/>
      <c r="BG424" s="581"/>
      <c r="BH424" s="581"/>
      <c r="BI424" s="581"/>
      <c r="BJ424" s="581"/>
      <c r="BK424" s="581"/>
      <c r="BL424" s="581"/>
      <c r="BM424" s="581"/>
      <c r="BN424" s="581"/>
      <c r="BO424" s="581"/>
      <c r="BP424" s="581"/>
      <c r="BQ424" s="581"/>
      <c r="BR424" s="581"/>
      <c r="BS424" s="581"/>
      <c r="BT424" s="581" t="s">
        <v>1141</v>
      </c>
      <c r="BU424" s="581"/>
      <c r="BV424" s="581"/>
      <c r="BW424" s="581"/>
      <c r="BX424" s="581"/>
      <c r="BY424" s="581"/>
      <c r="BZ424" s="581"/>
      <c r="CA424" s="581"/>
      <c r="CB424" s="581"/>
      <c r="CC424" s="581"/>
      <c r="CD424" s="581"/>
      <c r="CE424" s="581"/>
      <c r="CF424" s="582"/>
    </row>
    <row r="425" spans="1:84" s="583" customFormat="1" ht="23.1" customHeight="1">
      <c r="A425" s="584"/>
      <c r="B425" s="585" t="s">
        <v>1102</v>
      </c>
      <c r="C425" s="585"/>
      <c r="D425" s="585"/>
      <c r="E425" s="585"/>
      <c r="F425" s="585"/>
      <c r="G425" s="585"/>
      <c r="H425" s="585"/>
      <c r="I425" s="585"/>
      <c r="J425" s="585"/>
      <c r="K425" s="585"/>
      <c r="L425" s="585"/>
      <c r="M425" s="585"/>
      <c r="N425" s="585"/>
      <c r="O425" s="585"/>
      <c r="P425" s="585"/>
      <c r="Q425" s="585"/>
      <c r="R425" s="585"/>
      <c r="S425" s="585"/>
      <c r="T425" s="585"/>
      <c r="U425" s="585"/>
      <c r="V425" s="585"/>
      <c r="W425" s="585"/>
      <c r="X425" s="585"/>
      <c r="Y425" s="585"/>
      <c r="Z425" s="585"/>
      <c r="AA425" s="585"/>
      <c r="AB425" s="585"/>
      <c r="AC425" s="585"/>
      <c r="AD425" s="585"/>
      <c r="AE425" s="585"/>
      <c r="AF425" s="585"/>
      <c r="AG425" s="585"/>
      <c r="AH425" s="585"/>
      <c r="AI425" s="585"/>
      <c r="AJ425" s="585"/>
      <c r="AK425" s="585"/>
      <c r="AL425" s="585"/>
      <c r="AM425" s="585"/>
      <c r="AN425" s="585"/>
      <c r="AO425" s="585"/>
      <c r="AP425" s="585"/>
      <c r="AQ425" s="585"/>
      <c r="AR425" s="585"/>
      <c r="AS425" s="585"/>
      <c r="AT425" s="585"/>
      <c r="AU425" s="585"/>
      <c r="AV425" s="585"/>
      <c r="AW425" s="585"/>
      <c r="AX425" s="585"/>
      <c r="AY425" s="585"/>
      <c r="AZ425" s="585"/>
      <c r="BA425" s="585"/>
      <c r="BB425" s="585"/>
      <c r="BC425" s="585"/>
      <c r="BD425" s="585"/>
      <c r="BE425" s="585"/>
      <c r="BF425" s="585"/>
      <c r="BG425" s="585"/>
      <c r="BH425" s="585"/>
      <c r="BI425" s="585"/>
      <c r="BJ425" s="585"/>
      <c r="BK425" s="585"/>
      <c r="BL425" s="585"/>
      <c r="BM425" s="585"/>
      <c r="BN425" s="585"/>
      <c r="BO425" s="585"/>
      <c r="BP425" s="585"/>
      <c r="BQ425" s="585"/>
      <c r="BR425" s="585"/>
      <c r="BS425" s="585"/>
      <c r="BT425" s="585"/>
      <c r="BU425" s="585"/>
      <c r="BV425" s="585"/>
      <c r="BW425" s="585"/>
      <c r="BX425" s="585"/>
      <c r="BY425" s="585"/>
      <c r="BZ425" s="585"/>
      <c r="CA425" s="585"/>
      <c r="CB425" s="585"/>
      <c r="CC425" s="585"/>
      <c r="CD425" s="585"/>
      <c r="CE425" s="585"/>
      <c r="CF425" s="586"/>
    </row>
    <row r="426" spans="1:84" s="583" customFormat="1" ht="23.1" customHeight="1">
      <c r="A426" s="587"/>
      <c r="B426" s="574"/>
      <c r="C426" s="574"/>
      <c r="D426" s="405"/>
      <c r="E426" s="574"/>
      <c r="F426" s="422"/>
      <c r="G426" s="422"/>
      <c r="H426" s="422"/>
      <c r="I426" s="422"/>
      <c r="J426" s="422"/>
      <c r="K426" s="422"/>
      <c r="L426" s="422"/>
      <c r="M426" s="422"/>
      <c r="N426" s="574"/>
      <c r="O426" s="574"/>
      <c r="P426" s="574"/>
      <c r="Q426" s="574"/>
      <c r="R426" s="574"/>
      <c r="S426" s="588"/>
      <c r="T426" s="588"/>
      <c r="U426" s="588"/>
      <c r="V426" s="588"/>
      <c r="W426" s="588"/>
      <c r="X426" s="588"/>
      <c r="Y426" s="588"/>
      <c r="Z426" s="588"/>
      <c r="AA426" s="574"/>
      <c r="AB426" s="588"/>
      <c r="AC426" s="585"/>
      <c r="AD426" s="585"/>
      <c r="AE426" s="600"/>
      <c r="AF426" s="600"/>
      <c r="AG426" s="600"/>
      <c r="AH426" s="600"/>
      <c r="AI426" s="600"/>
      <c r="AJ426" s="600"/>
      <c r="AK426" s="600"/>
      <c r="AL426" s="600"/>
      <c r="AM426" s="585"/>
      <c r="AN426" s="585"/>
      <c r="AO426" s="574"/>
      <c r="AP426" s="430"/>
      <c r="AQ426" s="430"/>
      <c r="AR426" s="430"/>
      <c r="AS426" s="430"/>
      <c r="AT426" s="430"/>
      <c r="AU426" s="430"/>
      <c r="AV426" s="430"/>
      <c r="AW426" s="430"/>
      <c r="AX426" s="430"/>
      <c r="AY426" s="430"/>
      <c r="AZ426" s="430"/>
      <c r="BA426" s="430"/>
      <c r="BB426" s="430"/>
      <c r="BC426" s="430"/>
      <c r="BD426" s="574"/>
      <c r="BE426" s="574"/>
      <c r="BF426" s="574"/>
      <c r="BG426" s="574"/>
      <c r="BH426" s="574"/>
      <c r="BI426" s="574"/>
      <c r="BJ426" s="574"/>
      <c r="BK426" s="574"/>
      <c r="BL426" s="574"/>
      <c r="BM426" s="574"/>
      <c r="BN426" s="574"/>
      <c r="BO426" s="574"/>
      <c r="BP426" s="574"/>
      <c r="BQ426" s="574"/>
      <c r="BR426" s="574"/>
      <c r="BS426" s="574"/>
      <c r="BT426" s="574"/>
      <c r="BU426" s="574"/>
      <c r="BV426" s="574"/>
      <c r="BW426" s="574"/>
      <c r="BX426" s="574"/>
      <c r="BY426" s="574"/>
      <c r="BZ426" s="574"/>
      <c r="CA426" s="574"/>
      <c r="CB426" s="574"/>
      <c r="CC426" s="574"/>
      <c r="CD426" s="574"/>
      <c r="CE426" s="574"/>
      <c r="CF426" s="589"/>
    </row>
    <row r="427" spans="1:84" s="583" customFormat="1" ht="23.1" customHeight="1">
      <c r="A427" s="584"/>
      <c r="B427" s="585"/>
      <c r="C427" s="585"/>
      <c r="D427" s="585"/>
      <c r="E427" s="585"/>
      <c r="F427" s="585"/>
      <c r="G427" s="585"/>
      <c r="H427" s="585"/>
      <c r="I427" s="585"/>
      <c r="J427" s="585"/>
      <c r="K427" s="585"/>
      <c r="L427" s="585"/>
      <c r="M427" s="585"/>
      <c r="N427" s="585"/>
      <c r="O427" s="585"/>
      <c r="P427" s="585"/>
      <c r="Q427" s="585"/>
      <c r="R427" s="585"/>
      <c r="S427" s="585"/>
      <c r="T427" s="585"/>
      <c r="U427" s="585"/>
      <c r="V427" s="590"/>
      <c r="W427" s="590"/>
      <c r="X427" s="590"/>
      <c r="Y427" s="590"/>
      <c r="Z427" s="590"/>
      <c r="AA427" s="590"/>
      <c r="AB427" s="590"/>
      <c r="AC427" s="590"/>
      <c r="AD427" s="574"/>
      <c r="AE427" s="1440">
        <v>17289000</v>
      </c>
      <c r="AF427" s="1440"/>
      <c r="AG427" s="1440"/>
      <c r="AH427" s="1440"/>
      <c r="AI427" s="1440"/>
      <c r="AJ427" s="1440"/>
      <c r="AK427" s="1440"/>
      <c r="AL427" s="1440"/>
      <c r="AM427" s="1440"/>
      <c r="AN427" s="1440"/>
      <c r="AO427" s="1440"/>
      <c r="AP427" s="1440"/>
      <c r="AQ427" s="1440"/>
      <c r="AR427" s="1440"/>
      <c r="AS427" s="1440"/>
      <c r="AT427" s="1431" t="s">
        <v>446</v>
      </c>
      <c r="AU427" s="1431"/>
      <c r="AV427" s="1441" t="s">
        <v>1103</v>
      </c>
      <c r="AW427" s="1441"/>
      <c r="AX427" s="1442">
        <v>6601</v>
      </c>
      <c r="AY427" s="1442"/>
      <c r="AZ427" s="1442"/>
      <c r="BA427" s="1442"/>
      <c r="BB427" s="1442"/>
      <c r="BC427" s="1442"/>
      <c r="BD427" s="585"/>
      <c r="BE427" s="1431" t="s">
        <v>446</v>
      </c>
      <c r="BF427" s="1431"/>
      <c r="BG427" s="585"/>
      <c r="BH427" s="591" t="s">
        <v>1104</v>
      </c>
      <c r="BI427" s="585"/>
      <c r="BJ427" s="585"/>
      <c r="BK427" s="585"/>
      <c r="BL427" s="1431" t="s">
        <v>1105</v>
      </c>
      <c r="BM427" s="1431"/>
      <c r="BN427" s="1431"/>
      <c r="BO427" s="585"/>
      <c r="BP427" s="1431" t="s">
        <v>41</v>
      </c>
      <c r="BQ427" s="1431"/>
      <c r="BR427" s="585"/>
      <c r="BS427" s="585"/>
      <c r="BT427" s="1437">
        <f>INT(AE427*AX427*10^-7)</f>
        <v>11412</v>
      </c>
      <c r="BU427" s="1437"/>
      <c r="BV427" s="1437"/>
      <c r="BW427" s="1437"/>
      <c r="BX427" s="1437"/>
      <c r="BY427" s="1437"/>
      <c r="BZ427" s="1437"/>
      <c r="CA427" s="1437"/>
      <c r="CB427" s="1437"/>
      <c r="CC427" s="1437"/>
      <c r="CD427" s="585"/>
      <c r="CE427" s="585"/>
      <c r="CF427" s="586"/>
    </row>
    <row r="428" spans="1:84" s="583" customFormat="1" ht="23.1" customHeight="1">
      <c r="A428" s="592"/>
      <c r="B428" s="593" t="s">
        <v>1106</v>
      </c>
      <c r="C428" s="593"/>
      <c r="D428" s="593"/>
      <c r="E428" s="593"/>
      <c r="F428" s="593"/>
      <c r="G428" s="593"/>
      <c r="H428" s="593"/>
      <c r="I428" s="593"/>
      <c r="J428" s="593"/>
      <c r="K428" s="593"/>
      <c r="L428" s="593"/>
      <c r="M428" s="593"/>
      <c r="N428" s="593"/>
      <c r="O428" s="593"/>
      <c r="P428" s="593"/>
      <c r="Q428" s="593"/>
      <c r="R428" s="593"/>
      <c r="S428" s="593"/>
      <c r="T428" s="593"/>
      <c r="U428" s="593"/>
      <c r="V428" s="593"/>
      <c r="W428" s="593"/>
      <c r="X428" s="593"/>
      <c r="Y428" s="593"/>
      <c r="Z428" s="593"/>
      <c r="AA428" s="593"/>
      <c r="AB428" s="593"/>
      <c r="AC428" s="593"/>
      <c r="AD428" s="593"/>
      <c r="AE428" s="593"/>
      <c r="AF428" s="593"/>
      <c r="AG428" s="593"/>
      <c r="AH428" s="593"/>
      <c r="AI428" s="593"/>
      <c r="AJ428" s="593"/>
      <c r="AK428" s="593"/>
      <c r="AL428" s="593"/>
      <c r="AM428" s="593"/>
      <c r="AN428" s="593"/>
      <c r="AO428" s="593"/>
      <c r="AP428" s="593"/>
      <c r="AQ428" s="593"/>
      <c r="AR428" s="593"/>
      <c r="AS428" s="593"/>
      <c r="AT428" s="593"/>
      <c r="AU428" s="593"/>
      <c r="AV428" s="593"/>
      <c r="AW428" s="593"/>
      <c r="AX428" s="593"/>
      <c r="AY428" s="593"/>
      <c r="AZ428" s="593"/>
      <c r="BA428" s="593"/>
      <c r="BB428" s="593"/>
      <c r="BC428" s="593"/>
      <c r="BD428" s="593"/>
      <c r="BE428" s="593"/>
      <c r="BF428" s="593"/>
      <c r="BG428" s="593"/>
      <c r="BH428" s="593"/>
      <c r="BI428" s="593"/>
      <c r="BJ428" s="593"/>
      <c r="BK428" s="593"/>
      <c r="BL428" s="593"/>
      <c r="BM428" s="593"/>
      <c r="BN428" s="593"/>
      <c r="BO428" s="593"/>
      <c r="BP428" s="593"/>
      <c r="BQ428" s="593"/>
      <c r="BR428" s="593"/>
      <c r="BS428" s="593"/>
      <c r="BT428" s="594"/>
      <c r="BU428" s="594"/>
      <c r="BV428" s="594"/>
      <c r="BW428" s="594"/>
      <c r="BX428" s="594"/>
      <c r="BY428" s="594"/>
      <c r="BZ428" s="594"/>
      <c r="CA428" s="594"/>
      <c r="CB428" s="594"/>
      <c r="CC428" s="594"/>
      <c r="CD428" s="593"/>
      <c r="CE428" s="593"/>
      <c r="CF428" s="595"/>
    </row>
    <row r="429" spans="1:84" s="583" customFormat="1" ht="23.1" customHeight="1">
      <c r="A429" s="584"/>
      <c r="B429" s="585"/>
      <c r="C429" s="585"/>
      <c r="D429" s="585"/>
      <c r="E429" s="585"/>
      <c r="F429" s="585"/>
      <c r="G429" s="585"/>
      <c r="H429" s="585"/>
      <c r="I429" s="585"/>
      <c r="J429" s="585"/>
      <c r="K429" s="585"/>
      <c r="L429" s="585"/>
      <c r="M429" s="585"/>
      <c r="N429" s="585"/>
      <c r="O429" s="585"/>
      <c r="P429" s="585"/>
      <c r="Q429" s="585"/>
      <c r="R429" s="585"/>
      <c r="S429" s="585"/>
      <c r="T429" s="574"/>
      <c r="U429" s="574"/>
      <c r="V429" s="1430"/>
      <c r="W429" s="1430"/>
      <c r="X429" s="1430"/>
      <c r="Y429" s="1430"/>
      <c r="Z429" s="1430"/>
      <c r="AA429" s="1430"/>
      <c r="AB429" s="1430"/>
      <c r="AC429" s="1430"/>
      <c r="AD429" s="1430"/>
      <c r="AE429" s="1430"/>
      <c r="AF429" s="1431"/>
      <c r="AG429" s="1431"/>
      <c r="AH429" s="574"/>
      <c r="AI429" s="1436"/>
      <c r="AJ429" s="1436"/>
      <c r="AK429" s="1436"/>
      <c r="AL429" s="1436"/>
      <c r="AM429" s="585"/>
      <c r="AN429" s="1431"/>
      <c r="AO429" s="1431"/>
      <c r="AP429" s="585"/>
      <c r="AQ429" s="1436"/>
      <c r="AR429" s="1436"/>
      <c r="AS429" s="1436"/>
      <c r="AT429" s="1436"/>
      <c r="AU429" s="1436"/>
      <c r="AV429" s="422"/>
      <c r="AW429" s="1431"/>
      <c r="AX429" s="1431"/>
      <c r="AY429" s="440"/>
      <c r="AZ429" s="1436"/>
      <c r="BA429" s="1436"/>
      <c r="BB429" s="1436"/>
      <c r="BC429" s="1436"/>
      <c r="BD429" s="1436"/>
      <c r="BE429" s="585"/>
      <c r="BF429" s="1431"/>
      <c r="BG429" s="1431"/>
      <c r="BH429" s="1431"/>
      <c r="BI429" s="1431"/>
      <c r="BJ429" s="1431"/>
      <c r="BK429" s="585"/>
      <c r="BL429" s="585"/>
      <c r="BM429" s="585"/>
      <c r="BN429" s="585"/>
      <c r="BO429" s="585"/>
      <c r="BP429" s="1431"/>
      <c r="BQ429" s="1431"/>
      <c r="BR429" s="585"/>
      <c r="BS429" s="585"/>
      <c r="BT429" s="1432"/>
      <c r="BU429" s="1432"/>
      <c r="BV429" s="1432"/>
      <c r="BW429" s="1432"/>
      <c r="BX429" s="1432"/>
      <c r="BY429" s="1432"/>
      <c r="BZ429" s="1432"/>
      <c r="CA429" s="1432"/>
      <c r="CB429" s="1432"/>
      <c r="CC429" s="1432"/>
      <c r="CD429" s="585"/>
      <c r="CE429" s="585"/>
      <c r="CF429" s="586"/>
    </row>
    <row r="430" spans="1:84" s="583" customFormat="1" ht="23.1" customHeight="1">
      <c r="A430" s="584"/>
      <c r="B430" s="585"/>
      <c r="C430" s="585"/>
      <c r="D430" s="585"/>
      <c r="E430" s="585"/>
      <c r="F430" s="585"/>
      <c r="G430" s="585"/>
      <c r="H430" s="585"/>
      <c r="I430" s="585"/>
      <c r="J430" s="585"/>
      <c r="K430" s="585"/>
      <c r="L430" s="585"/>
      <c r="M430" s="585"/>
      <c r="N430" s="585"/>
      <c r="O430" s="585"/>
      <c r="P430" s="574"/>
      <c r="Q430" s="574"/>
      <c r="R430" s="574"/>
      <c r="S430" s="574"/>
      <c r="T430" s="574"/>
      <c r="U430" s="574"/>
      <c r="V430" s="574"/>
      <c r="W430" s="574"/>
      <c r="X430" s="574"/>
      <c r="Y430" s="574"/>
      <c r="Z430" s="574"/>
      <c r="AA430" s="574"/>
      <c r="AB430" s="574"/>
      <c r="AC430" s="574"/>
      <c r="AD430" s="574"/>
      <c r="AE430" s="574"/>
      <c r="AF430" s="574"/>
      <c r="AG430" s="574"/>
      <c r="AH430" s="574"/>
      <c r="AI430" s="574"/>
      <c r="AJ430" s="574"/>
      <c r="AK430" s="574"/>
      <c r="AL430" s="574"/>
      <c r="AM430" s="574"/>
      <c r="AN430" s="574"/>
      <c r="AO430" s="574"/>
      <c r="AP430" s="574"/>
      <c r="AQ430" s="574"/>
      <c r="AR430" s="574"/>
      <c r="AS430" s="574"/>
      <c r="AT430" s="574"/>
      <c r="AU430" s="574"/>
      <c r="AV430" s="574"/>
      <c r="AW430" s="574"/>
      <c r="AX430" s="574"/>
      <c r="AY430" s="574"/>
      <c r="AZ430" s="574"/>
      <c r="BA430" s="574"/>
      <c r="BB430" s="574"/>
      <c r="BC430" s="574"/>
      <c r="BD430" s="574"/>
      <c r="BE430" s="574"/>
      <c r="BF430" s="574"/>
      <c r="BG430" s="585"/>
      <c r="BH430" s="585"/>
      <c r="BI430" s="585"/>
      <c r="BJ430" s="585"/>
      <c r="BK430" s="585"/>
      <c r="BL430" s="585"/>
      <c r="BM430" s="585"/>
      <c r="BN430" s="585"/>
      <c r="BO430" s="585"/>
      <c r="BP430" s="1431"/>
      <c r="BQ430" s="1431"/>
      <c r="BR430" s="585"/>
      <c r="BS430" s="585"/>
      <c r="BT430" s="1432"/>
      <c r="BU430" s="1432"/>
      <c r="BV430" s="1432"/>
      <c r="BW430" s="1432"/>
      <c r="BX430" s="1432"/>
      <c r="BY430" s="1432"/>
      <c r="BZ430" s="1432"/>
      <c r="CA430" s="1432"/>
      <c r="CB430" s="1432"/>
      <c r="CC430" s="1432"/>
      <c r="CD430" s="585"/>
      <c r="CE430" s="585"/>
      <c r="CF430" s="586"/>
    </row>
    <row r="431" spans="1:84" s="583" customFormat="1" ht="23.1" customHeight="1">
      <c r="A431" s="584"/>
      <c r="B431" s="585"/>
      <c r="C431" s="585"/>
      <c r="D431" s="585"/>
      <c r="E431" s="585"/>
      <c r="F431" s="585"/>
      <c r="G431" s="585"/>
      <c r="H431" s="585"/>
      <c r="I431" s="585"/>
      <c r="J431" s="585"/>
      <c r="K431" s="585"/>
      <c r="L431" s="585"/>
      <c r="M431" s="585"/>
      <c r="N431" s="585"/>
      <c r="O431" s="585"/>
      <c r="P431" s="585"/>
      <c r="Q431" s="585"/>
      <c r="R431" s="585"/>
      <c r="S431" s="585"/>
      <c r="T431" s="585"/>
      <c r="U431" s="585"/>
      <c r="V431" s="585"/>
      <c r="W431" s="585"/>
      <c r="X431" s="585"/>
      <c r="Y431" s="585"/>
      <c r="Z431" s="585"/>
      <c r="AA431" s="585"/>
      <c r="AB431" s="585"/>
      <c r="AC431" s="585"/>
      <c r="AD431" s="574"/>
      <c r="AE431" s="574"/>
      <c r="AF431" s="574"/>
      <c r="AG431" s="574"/>
      <c r="AH431" s="574"/>
      <c r="AI431" s="574"/>
      <c r="AJ431" s="574"/>
      <c r="AK431" s="574"/>
      <c r="AL431" s="574"/>
      <c r="AM431" s="574"/>
      <c r="AN431" s="574"/>
      <c r="AO431" s="574"/>
      <c r="AP431" s="574"/>
      <c r="AQ431" s="574"/>
      <c r="AR431" s="574"/>
      <c r="AS431" s="585"/>
      <c r="AT431" s="590"/>
      <c r="AU431" s="590"/>
      <c r="AV431" s="585"/>
      <c r="AW431" s="585"/>
      <c r="AX431" s="585"/>
      <c r="AY431" s="585"/>
      <c r="AZ431" s="585"/>
      <c r="BA431" s="585"/>
      <c r="BB431" s="585"/>
      <c r="BC431" s="585"/>
      <c r="BD431" s="585"/>
      <c r="BE431" s="585"/>
      <c r="BF431" s="585"/>
      <c r="BG431" s="585"/>
      <c r="BH431" s="585"/>
      <c r="BI431" s="585"/>
      <c r="BJ431" s="585"/>
      <c r="BK431" s="585"/>
      <c r="BL431" s="585"/>
      <c r="BM431" s="585"/>
      <c r="BN431" s="585"/>
      <c r="BO431" s="585"/>
      <c r="BP431" s="1431" t="s">
        <v>41</v>
      </c>
      <c r="BQ431" s="1431"/>
      <c r="BR431" s="585"/>
      <c r="BS431" s="585"/>
      <c r="BT431" s="1434">
        <f>BT429+BT430</f>
        <v>0</v>
      </c>
      <c r="BU431" s="1434"/>
      <c r="BV431" s="1434"/>
      <c r="BW431" s="1434"/>
      <c r="BX431" s="1434"/>
      <c r="BY431" s="1434"/>
      <c r="BZ431" s="1434"/>
      <c r="CA431" s="1434"/>
      <c r="CB431" s="1434"/>
      <c r="CC431" s="1434"/>
      <c r="CD431" s="585"/>
      <c r="CE431" s="585"/>
      <c r="CF431" s="586"/>
    </row>
    <row r="432" spans="1:84" s="583" customFormat="1" ht="23.1" customHeight="1">
      <c r="A432" s="592"/>
      <c r="B432" s="593" t="s">
        <v>1110</v>
      </c>
      <c r="C432" s="593"/>
      <c r="D432" s="593"/>
      <c r="E432" s="593"/>
      <c r="F432" s="593"/>
      <c r="G432" s="593"/>
      <c r="H432" s="593"/>
      <c r="I432" s="593"/>
      <c r="J432" s="593"/>
      <c r="K432" s="593"/>
      <c r="L432" s="593"/>
      <c r="M432" s="593"/>
      <c r="N432" s="593"/>
      <c r="O432" s="593"/>
      <c r="P432" s="593"/>
      <c r="Q432" s="593"/>
      <c r="R432" s="593"/>
      <c r="S432" s="593"/>
      <c r="T432" s="593"/>
      <c r="U432" s="593"/>
      <c r="V432" s="593"/>
      <c r="W432" s="593"/>
      <c r="X432" s="593"/>
      <c r="Y432" s="593"/>
      <c r="Z432" s="593"/>
      <c r="AA432" s="593"/>
      <c r="AB432" s="593"/>
      <c r="AC432" s="593"/>
      <c r="AD432" s="593"/>
      <c r="AE432" s="593"/>
      <c r="AF432" s="593"/>
      <c r="AG432" s="593"/>
      <c r="AH432" s="593"/>
      <c r="AI432" s="593"/>
      <c r="AJ432" s="593"/>
      <c r="AK432" s="593"/>
      <c r="AL432" s="593"/>
      <c r="AM432" s="593"/>
      <c r="AN432" s="593"/>
      <c r="AO432" s="593"/>
      <c r="AP432" s="593"/>
      <c r="AQ432" s="593"/>
      <c r="AR432" s="593"/>
      <c r="AS432" s="593"/>
      <c r="AT432" s="593"/>
      <c r="AU432" s="593"/>
      <c r="AV432" s="593"/>
      <c r="AW432" s="593"/>
      <c r="AX432" s="593"/>
      <c r="AY432" s="593"/>
      <c r="AZ432" s="593"/>
      <c r="BA432" s="593"/>
      <c r="BB432" s="593"/>
      <c r="BC432" s="593"/>
      <c r="BD432" s="593"/>
      <c r="BE432" s="593"/>
      <c r="BF432" s="593"/>
      <c r="BG432" s="593"/>
      <c r="BH432" s="593"/>
      <c r="BI432" s="593"/>
      <c r="BJ432" s="593"/>
      <c r="BK432" s="593"/>
      <c r="BL432" s="593"/>
      <c r="BM432" s="593"/>
      <c r="BN432" s="593"/>
      <c r="BO432" s="593"/>
      <c r="BP432" s="593"/>
      <c r="BQ432" s="593"/>
      <c r="BR432" s="593"/>
      <c r="BS432" s="593"/>
      <c r="BT432" s="593"/>
      <c r="BU432" s="593"/>
      <c r="BV432" s="593"/>
      <c r="BW432" s="593"/>
      <c r="BX432" s="593"/>
      <c r="BY432" s="593"/>
      <c r="BZ432" s="593"/>
      <c r="CA432" s="593"/>
      <c r="CB432" s="593"/>
      <c r="CC432" s="593"/>
      <c r="CD432" s="593"/>
      <c r="CE432" s="593"/>
      <c r="CF432" s="595"/>
    </row>
    <row r="433" spans="1:84" s="583" customFormat="1" ht="23.1" customHeight="1">
      <c r="A433" s="584"/>
      <c r="B433" s="585"/>
      <c r="C433" s="585"/>
      <c r="D433" s="585"/>
      <c r="E433" s="585"/>
      <c r="F433" s="585"/>
      <c r="G433" s="585"/>
      <c r="H433" s="585"/>
      <c r="I433" s="585"/>
      <c r="J433" s="585"/>
      <c r="K433" s="585"/>
      <c r="L433" s="585"/>
      <c r="M433" s="585"/>
      <c r="N433" s="585"/>
      <c r="O433" s="585"/>
      <c r="P433" s="585"/>
      <c r="Q433" s="585"/>
      <c r="R433" s="585"/>
      <c r="S433" s="585"/>
      <c r="T433" s="585"/>
      <c r="U433" s="585"/>
      <c r="V433" s="585"/>
      <c r="W433" s="585"/>
      <c r="X433" s="585"/>
      <c r="Y433" s="585"/>
      <c r="Z433" s="585"/>
      <c r="AA433" s="585"/>
      <c r="AB433" s="585"/>
      <c r="AC433" s="585"/>
      <c r="AD433" s="585"/>
      <c r="AE433" s="585"/>
      <c r="AF433" s="585"/>
      <c r="AG433" s="585"/>
      <c r="AH433" s="585"/>
      <c r="AI433" s="585"/>
      <c r="AJ433" s="585"/>
      <c r="AK433" s="585"/>
      <c r="AL433" s="585"/>
      <c r="AM433" s="585"/>
      <c r="AN433" s="585"/>
      <c r="AO433" s="585"/>
      <c r="AP433" s="585"/>
      <c r="AQ433" s="585"/>
      <c r="AR433" s="422"/>
      <c r="AS433" s="604"/>
      <c r="AT433" s="604"/>
      <c r="AU433" s="604"/>
      <c r="AV433" s="604"/>
      <c r="AW433" s="604"/>
      <c r="AX433" s="604"/>
      <c r="AY433" s="604"/>
      <c r="AZ433" s="604"/>
      <c r="BA433" s="604"/>
      <c r="BB433" s="604"/>
      <c r="BC433" s="585"/>
      <c r="BD433" s="585"/>
      <c r="BE433" s="585"/>
      <c r="BF433" s="585"/>
      <c r="BG433" s="585"/>
      <c r="BH433" s="585"/>
      <c r="BI433" s="585"/>
      <c r="BJ433" s="585"/>
      <c r="BK433" s="585"/>
      <c r="BL433" s="585"/>
      <c r="BM433" s="585"/>
      <c r="BN433" s="585"/>
      <c r="BO433" s="585"/>
      <c r="BP433" s="1431"/>
      <c r="BQ433" s="1431"/>
      <c r="BR433" s="585"/>
      <c r="BS433" s="585"/>
      <c r="BT433" s="1432"/>
      <c r="BU433" s="1432"/>
      <c r="BV433" s="1432"/>
      <c r="BW433" s="1432"/>
      <c r="BX433" s="1432"/>
      <c r="BY433" s="1432"/>
      <c r="BZ433" s="1432"/>
      <c r="CA433" s="1432"/>
      <c r="CB433" s="1432"/>
      <c r="CC433" s="1432"/>
      <c r="CD433" s="585"/>
      <c r="CE433" s="585"/>
      <c r="CF433" s="586"/>
    </row>
    <row r="434" spans="1:84" s="583" customFormat="1" ht="23.1" customHeight="1">
      <c r="A434" s="584"/>
      <c r="B434" s="585"/>
      <c r="C434" s="585"/>
      <c r="D434" s="591"/>
      <c r="E434" s="585"/>
      <c r="F434" s="585"/>
      <c r="G434" s="585"/>
      <c r="H434" s="585"/>
      <c r="I434" s="585"/>
      <c r="J434" s="585"/>
      <c r="K434" s="585"/>
      <c r="L434" s="585"/>
      <c r="M434" s="585"/>
      <c r="N434" s="585"/>
      <c r="O434" s="585"/>
      <c r="P434" s="585"/>
      <c r="Q434" s="585"/>
      <c r="R434" s="585"/>
      <c r="S434" s="585"/>
      <c r="T434" s="585"/>
      <c r="U434" s="585"/>
      <c r="V434" s="585"/>
      <c r="W434" s="585"/>
      <c r="X434" s="585"/>
      <c r="Y434" s="585"/>
      <c r="Z434" s="585"/>
      <c r="AA434" s="585"/>
      <c r="AB434" s="585"/>
      <c r="AC434" s="585"/>
      <c r="AD434" s="585"/>
      <c r="AE434" s="585"/>
      <c r="AF434" s="585"/>
      <c r="AG434" s="585"/>
      <c r="AH434" s="585"/>
      <c r="AI434" s="585"/>
      <c r="AJ434" s="585"/>
      <c r="AK434" s="585"/>
      <c r="AL434" s="585"/>
      <c r="AM434" s="585"/>
      <c r="AN434" s="585"/>
      <c r="AO434" s="585"/>
      <c r="AP434" s="585"/>
      <c r="AQ434" s="585"/>
      <c r="AR434" s="422"/>
      <c r="AS434" s="604"/>
      <c r="AT434" s="604"/>
      <c r="AU434" s="604"/>
      <c r="AV434" s="604"/>
      <c r="AW434" s="604"/>
      <c r="AX434" s="604"/>
      <c r="AY434" s="604"/>
      <c r="AZ434" s="604"/>
      <c r="BA434" s="604"/>
      <c r="BB434" s="604"/>
      <c r="BC434" s="585"/>
      <c r="BD434" s="585"/>
      <c r="BE434" s="585"/>
      <c r="BF434" s="585"/>
      <c r="BG434" s="585"/>
      <c r="BH434" s="585"/>
      <c r="BI434" s="585"/>
      <c r="BJ434" s="585"/>
      <c r="BK434" s="585"/>
      <c r="BL434" s="585"/>
      <c r="BM434" s="585"/>
      <c r="BN434" s="585"/>
      <c r="BO434" s="585"/>
      <c r="BP434" s="1431"/>
      <c r="BQ434" s="1431"/>
      <c r="BR434" s="585"/>
      <c r="BS434" s="585"/>
      <c r="BT434" s="1432"/>
      <c r="BU434" s="1432"/>
      <c r="BV434" s="1432"/>
      <c r="BW434" s="1432"/>
      <c r="BX434" s="1432"/>
      <c r="BY434" s="1432"/>
      <c r="BZ434" s="1432"/>
      <c r="CA434" s="1432"/>
      <c r="CB434" s="1432"/>
      <c r="CC434" s="1432"/>
      <c r="CD434" s="585"/>
      <c r="CE434" s="585"/>
      <c r="CF434" s="586"/>
    </row>
    <row r="435" spans="1:84" s="583" customFormat="1" ht="23.1" customHeight="1" thickBot="1">
      <c r="A435" s="584"/>
      <c r="B435" s="585"/>
      <c r="C435" s="585"/>
      <c r="D435" s="585"/>
      <c r="E435" s="585"/>
      <c r="F435" s="585"/>
      <c r="G435" s="585"/>
      <c r="H435" s="585"/>
      <c r="I435" s="585"/>
      <c r="J435" s="585"/>
      <c r="K435" s="585"/>
      <c r="L435" s="585"/>
      <c r="M435" s="585"/>
      <c r="N435" s="585"/>
      <c r="O435" s="585"/>
      <c r="P435" s="585"/>
      <c r="Q435" s="585"/>
      <c r="R435" s="585"/>
      <c r="S435" s="585"/>
      <c r="T435" s="585"/>
      <c r="U435" s="585"/>
      <c r="V435" s="585"/>
      <c r="W435" s="585"/>
      <c r="X435" s="585"/>
      <c r="Y435" s="585"/>
      <c r="Z435" s="585"/>
      <c r="AA435" s="585"/>
      <c r="AB435" s="585"/>
      <c r="AC435" s="585"/>
      <c r="AD435" s="585"/>
      <c r="AE435" s="585"/>
      <c r="AF435" s="585"/>
      <c r="AG435" s="585"/>
      <c r="AH435" s="585"/>
      <c r="AI435" s="585"/>
      <c r="AJ435" s="585"/>
      <c r="AK435" s="585"/>
      <c r="AL435" s="585"/>
      <c r="AM435" s="585"/>
      <c r="AN435" s="585"/>
      <c r="AO435" s="585"/>
      <c r="AP435" s="585"/>
      <c r="AQ435" s="585"/>
      <c r="AR435" s="585"/>
      <c r="AS435" s="585"/>
      <c r="AT435" s="585"/>
      <c r="AU435" s="585"/>
      <c r="AV435" s="585"/>
      <c r="AW435" s="585"/>
      <c r="AX435" s="585"/>
      <c r="AY435" s="585"/>
      <c r="AZ435" s="585"/>
      <c r="BA435" s="585"/>
      <c r="BB435" s="585"/>
      <c r="BC435" s="585"/>
      <c r="BD435" s="585"/>
      <c r="BE435" s="585"/>
      <c r="BF435" s="585"/>
      <c r="BG435" s="585"/>
      <c r="BH435" s="585"/>
      <c r="BI435" s="585"/>
      <c r="BJ435" s="585"/>
      <c r="BK435" s="585"/>
      <c r="BL435" s="585"/>
      <c r="BM435" s="585"/>
      <c r="BN435" s="585"/>
      <c r="BO435" s="585"/>
      <c r="BP435" s="1431" t="s">
        <v>41</v>
      </c>
      <c r="BQ435" s="1431"/>
      <c r="BR435" s="585"/>
      <c r="BS435" s="585"/>
      <c r="BT435" s="1433">
        <f>BT433+BT434</f>
        <v>0</v>
      </c>
      <c r="BU435" s="1433"/>
      <c r="BV435" s="1433"/>
      <c r="BW435" s="1433"/>
      <c r="BX435" s="1433"/>
      <c r="BY435" s="1433"/>
      <c r="BZ435" s="1433"/>
      <c r="CA435" s="1433"/>
      <c r="CB435" s="1433"/>
      <c r="CC435" s="1433"/>
      <c r="CD435" s="585"/>
      <c r="CE435" s="585"/>
      <c r="CF435" s="586"/>
    </row>
    <row r="436" spans="1:84" s="583" customFormat="1" ht="23.1" customHeight="1" thickBot="1">
      <c r="A436" s="597"/>
      <c r="B436" s="598" t="s">
        <v>1113</v>
      </c>
      <c r="C436" s="598"/>
      <c r="D436" s="598"/>
      <c r="E436" s="598"/>
      <c r="F436" s="598"/>
      <c r="G436" s="598"/>
      <c r="H436" s="598"/>
      <c r="I436" s="598"/>
      <c r="J436" s="598"/>
      <c r="K436" s="598"/>
      <c r="L436" s="598"/>
      <c r="M436" s="598"/>
      <c r="N436" s="598"/>
      <c r="O436" s="598"/>
      <c r="P436" s="598"/>
      <c r="Q436" s="598"/>
      <c r="R436" s="598"/>
      <c r="S436" s="598"/>
      <c r="T436" s="598"/>
      <c r="U436" s="598"/>
      <c r="V436" s="598"/>
      <c r="W436" s="598"/>
      <c r="X436" s="598"/>
      <c r="Y436" s="598"/>
      <c r="Z436" s="598"/>
      <c r="AA436" s="598"/>
      <c r="AB436" s="598"/>
      <c r="AC436" s="598"/>
      <c r="AD436" s="598"/>
      <c r="AE436" s="598"/>
      <c r="AF436" s="598"/>
      <c r="AG436" s="598"/>
      <c r="AH436" s="598"/>
      <c r="AI436" s="598"/>
      <c r="AJ436" s="598"/>
      <c r="AK436" s="598"/>
      <c r="AL436" s="598"/>
      <c r="AM436" s="598"/>
      <c r="AN436" s="598"/>
      <c r="AO436" s="598"/>
      <c r="AP436" s="598"/>
      <c r="AQ436" s="598"/>
      <c r="AR436" s="598"/>
      <c r="AS436" s="598"/>
      <c r="AT436" s="598"/>
      <c r="AU436" s="598"/>
      <c r="AV436" s="598"/>
      <c r="AW436" s="598"/>
      <c r="AX436" s="598"/>
      <c r="AY436" s="598"/>
      <c r="AZ436" s="598"/>
      <c r="BA436" s="598"/>
      <c r="BB436" s="598"/>
      <c r="BC436" s="598"/>
      <c r="BD436" s="598"/>
      <c r="BE436" s="598"/>
      <c r="BF436" s="598"/>
      <c r="BG436" s="598"/>
      <c r="BH436" s="598"/>
      <c r="BI436" s="598"/>
      <c r="BJ436" s="598"/>
      <c r="BK436" s="598"/>
      <c r="BL436" s="598"/>
      <c r="BM436" s="598"/>
      <c r="BN436" s="598"/>
      <c r="BO436" s="598"/>
      <c r="BP436" s="598"/>
      <c r="BQ436" s="598"/>
      <c r="BR436" s="598"/>
      <c r="BS436" s="598"/>
      <c r="BT436" s="1429">
        <f>BT427+BT431+BT435</f>
        <v>11412</v>
      </c>
      <c r="BU436" s="1429"/>
      <c r="BV436" s="1429"/>
      <c r="BW436" s="1429"/>
      <c r="BX436" s="1429"/>
      <c r="BY436" s="1429"/>
      <c r="BZ436" s="1429"/>
      <c r="CA436" s="1429"/>
      <c r="CB436" s="1429"/>
      <c r="CC436" s="1429"/>
      <c r="CD436" s="598"/>
      <c r="CE436" s="598"/>
      <c r="CF436" s="599"/>
    </row>
    <row r="437" spans="1:84" s="583" customFormat="1" ht="9.9499999999999993" customHeight="1">
      <c r="A437" s="574"/>
      <c r="B437" s="574"/>
      <c r="C437" s="574"/>
      <c r="D437" s="574"/>
      <c r="E437" s="574"/>
      <c r="F437" s="574"/>
      <c r="G437" s="574"/>
      <c r="H437" s="574"/>
      <c r="I437" s="574"/>
      <c r="J437" s="574"/>
      <c r="K437" s="574"/>
      <c r="L437" s="574"/>
      <c r="M437" s="574"/>
      <c r="N437" s="574"/>
      <c r="O437" s="574"/>
      <c r="P437" s="574"/>
      <c r="Q437" s="574"/>
      <c r="R437" s="574"/>
      <c r="S437" s="574"/>
      <c r="T437" s="574"/>
      <c r="U437" s="574"/>
      <c r="V437" s="574"/>
      <c r="W437" s="574"/>
      <c r="X437" s="574"/>
      <c r="Y437" s="574"/>
      <c r="Z437" s="574"/>
      <c r="AA437" s="574"/>
      <c r="AB437" s="574"/>
      <c r="AC437" s="574"/>
      <c r="AD437" s="574"/>
      <c r="AE437" s="574"/>
      <c r="AF437" s="574"/>
      <c r="AG437" s="574"/>
      <c r="AH437" s="574"/>
      <c r="AI437" s="574"/>
      <c r="AJ437" s="574"/>
      <c r="AK437" s="574"/>
      <c r="AL437" s="574"/>
      <c r="AM437" s="574"/>
      <c r="AN437" s="574"/>
      <c r="AO437" s="574"/>
      <c r="AP437" s="574"/>
      <c r="AQ437" s="574"/>
      <c r="AR437" s="574"/>
      <c r="AS437" s="574"/>
      <c r="AT437" s="574"/>
      <c r="AU437" s="574"/>
      <c r="AV437" s="574"/>
      <c r="AW437" s="574"/>
      <c r="AX437" s="574"/>
      <c r="AY437" s="574"/>
      <c r="AZ437" s="574"/>
      <c r="BA437" s="574"/>
      <c r="BB437" s="574"/>
      <c r="BC437" s="574"/>
      <c r="BD437" s="574"/>
      <c r="BE437" s="574"/>
      <c r="BF437" s="574"/>
      <c r="BG437" s="574"/>
      <c r="BH437" s="574"/>
      <c r="BI437" s="574"/>
      <c r="BJ437" s="574"/>
      <c r="BK437" s="574"/>
      <c r="BL437" s="574"/>
      <c r="BM437" s="574"/>
      <c r="BN437" s="574"/>
      <c r="BO437" s="574"/>
      <c r="BP437" s="574"/>
      <c r="BQ437" s="574"/>
      <c r="BR437" s="574"/>
      <c r="BS437" s="574"/>
      <c r="BT437" s="574"/>
      <c r="BU437" s="574"/>
      <c r="BV437" s="574"/>
      <c r="BW437" s="574"/>
      <c r="BX437" s="574"/>
      <c r="BY437" s="574"/>
      <c r="BZ437" s="574"/>
      <c r="CA437" s="574"/>
      <c r="CB437" s="574"/>
      <c r="CC437" s="574"/>
      <c r="CD437" s="574"/>
      <c r="CE437" s="574"/>
      <c r="CF437" s="574"/>
    </row>
    <row r="438" spans="1:84" s="583" customFormat="1" ht="23.1" customHeight="1" thickBot="1">
      <c r="A438" s="1446" t="s">
        <v>1095</v>
      </c>
      <c r="B438" s="1446"/>
      <c r="C438" s="1446"/>
      <c r="D438" s="1446"/>
      <c r="E438" s="1446"/>
      <c r="F438" s="1446"/>
      <c r="G438" s="1447">
        <f>G423+1</f>
        <v>30</v>
      </c>
      <c r="H438" s="1447"/>
      <c r="I438" s="1447"/>
      <c r="J438" s="605" t="s">
        <v>1096</v>
      </c>
      <c r="K438" s="605"/>
      <c r="L438" s="574"/>
      <c r="M438" s="574"/>
      <c r="N438" s="574"/>
      <c r="O438" s="574"/>
      <c r="P438" s="574"/>
      <c r="Q438" s="574"/>
      <c r="R438" s="574"/>
      <c r="S438" s="574"/>
      <c r="T438" s="574"/>
      <c r="U438" s="574"/>
      <c r="V438" s="574"/>
      <c r="W438" s="574"/>
      <c r="X438" s="574"/>
      <c r="Y438" s="574"/>
      <c r="Z438" s="574"/>
      <c r="AA438" s="574"/>
      <c r="AB438" s="574"/>
      <c r="AC438" s="574"/>
      <c r="AD438" s="574"/>
      <c r="AE438" s="574"/>
      <c r="AF438" s="574"/>
      <c r="AG438" s="574"/>
      <c r="AH438" s="574"/>
      <c r="AI438" s="574"/>
      <c r="AJ438" s="574"/>
      <c r="AK438" s="574"/>
      <c r="AL438" s="574"/>
      <c r="AM438" s="574"/>
      <c r="AN438" s="574"/>
      <c r="AO438" s="574"/>
      <c r="AP438" s="574"/>
      <c r="AQ438" s="574"/>
      <c r="AR438" s="574"/>
      <c r="AS438" s="574"/>
      <c r="AT438" s="574"/>
      <c r="AU438" s="574"/>
      <c r="AV438" s="574"/>
      <c r="AW438" s="574"/>
      <c r="AX438" s="574"/>
      <c r="AY438" s="574"/>
      <c r="AZ438" s="574"/>
      <c r="BA438" s="574"/>
      <c r="BB438" s="574"/>
      <c r="BC438" s="574"/>
      <c r="BD438" s="574"/>
      <c r="BE438" s="574"/>
      <c r="BF438" s="574"/>
      <c r="BG438" s="574"/>
      <c r="BH438" s="574"/>
      <c r="BI438" s="574"/>
      <c r="BJ438" s="574"/>
      <c r="BK438" s="574"/>
      <c r="BL438" s="574"/>
      <c r="BM438" s="574"/>
      <c r="BN438" s="574"/>
      <c r="BO438" s="574"/>
      <c r="BP438" s="574"/>
      <c r="BQ438" s="574"/>
      <c r="BR438" s="574"/>
      <c r="BS438" s="574"/>
      <c r="BT438" s="574"/>
      <c r="BU438" s="574"/>
      <c r="BV438" s="574"/>
      <c r="BW438" s="574"/>
      <c r="BX438" s="574"/>
      <c r="BY438" s="574"/>
      <c r="BZ438" s="574"/>
      <c r="CA438" s="574"/>
      <c r="CB438" s="574"/>
      <c r="CC438" s="574"/>
      <c r="CD438" s="574"/>
      <c r="CE438" s="574"/>
      <c r="CF438" s="574"/>
    </row>
    <row r="439" spans="1:84" s="583" customFormat="1" ht="23.1" customHeight="1" thickBot="1">
      <c r="A439" s="1483" t="s">
        <v>1097</v>
      </c>
      <c r="B439" s="1484"/>
      <c r="C439" s="1484"/>
      <c r="D439" s="1484"/>
      <c r="E439" s="1484"/>
      <c r="F439" s="1484"/>
      <c r="G439" s="1484"/>
      <c r="H439" s="1484"/>
      <c r="I439" s="581" t="s">
        <v>515</v>
      </c>
      <c r="J439" s="581"/>
      <c r="K439" s="581"/>
      <c r="L439" s="581"/>
      <c r="M439" s="581"/>
      <c r="N439" s="581"/>
      <c r="O439" s="581"/>
      <c r="P439" s="581"/>
      <c r="Q439" s="581"/>
      <c r="R439" s="581"/>
      <c r="S439" s="581"/>
      <c r="T439" s="581"/>
      <c r="U439" s="581"/>
      <c r="V439" s="581"/>
      <c r="W439" s="581"/>
      <c r="X439" s="581"/>
      <c r="Y439" s="581"/>
      <c r="Z439" s="581"/>
      <c r="AA439" s="581"/>
      <c r="AB439" s="581"/>
      <c r="AC439" s="581"/>
      <c r="AD439" s="581"/>
      <c r="AE439" s="581"/>
      <c r="AF439" s="581"/>
      <c r="AG439" s="581"/>
      <c r="AH439" s="581"/>
      <c r="AI439" s="581"/>
      <c r="AJ439" s="1484" t="s">
        <v>1099</v>
      </c>
      <c r="AK439" s="1484"/>
      <c r="AL439" s="1484"/>
      <c r="AM439" s="1484"/>
      <c r="AN439" s="1484"/>
      <c r="AO439" s="1484"/>
      <c r="AP439" s="1484"/>
      <c r="AQ439" s="581" t="s">
        <v>1142</v>
      </c>
      <c r="AR439" s="581"/>
      <c r="AS439" s="581"/>
      <c r="AT439" s="581"/>
      <c r="AU439" s="581"/>
      <c r="AV439" s="581"/>
      <c r="AW439" s="581"/>
      <c r="AX439" s="581"/>
      <c r="AY439" s="581"/>
      <c r="AZ439" s="581"/>
      <c r="BA439" s="581"/>
      <c r="BB439" s="581"/>
      <c r="BC439" s="581"/>
      <c r="BD439" s="581"/>
      <c r="BE439" s="581"/>
      <c r="BF439" s="581"/>
      <c r="BG439" s="581"/>
      <c r="BH439" s="581"/>
      <c r="BI439" s="581"/>
      <c r="BJ439" s="581"/>
      <c r="BK439" s="581"/>
      <c r="BL439" s="581"/>
      <c r="BM439" s="581"/>
      <c r="BN439" s="581"/>
      <c r="BO439" s="581"/>
      <c r="BP439" s="581"/>
      <c r="BQ439" s="581"/>
      <c r="BR439" s="581"/>
      <c r="BS439" s="581"/>
      <c r="BT439" s="581" t="s">
        <v>1143</v>
      </c>
      <c r="BU439" s="581"/>
      <c r="BV439" s="581"/>
      <c r="BW439" s="581"/>
      <c r="BX439" s="581"/>
      <c r="BY439" s="581"/>
      <c r="BZ439" s="581"/>
      <c r="CA439" s="581"/>
      <c r="CB439" s="581"/>
      <c r="CC439" s="581"/>
      <c r="CD439" s="581"/>
      <c r="CE439" s="581"/>
      <c r="CF439" s="582"/>
    </row>
    <row r="440" spans="1:84" s="583" customFormat="1" ht="23.1" customHeight="1">
      <c r="A440" s="584"/>
      <c r="B440" s="585" t="s">
        <v>1102</v>
      </c>
      <c r="C440" s="585"/>
      <c r="D440" s="585"/>
      <c r="E440" s="585"/>
      <c r="F440" s="585"/>
      <c r="G440" s="585"/>
      <c r="H440" s="585"/>
      <c r="I440" s="585"/>
      <c r="J440" s="585"/>
      <c r="K440" s="585"/>
      <c r="L440" s="585"/>
      <c r="M440" s="585"/>
      <c r="N440" s="585"/>
      <c r="O440" s="585"/>
      <c r="P440" s="585"/>
      <c r="Q440" s="585"/>
      <c r="R440" s="585"/>
      <c r="S440" s="585"/>
      <c r="T440" s="585"/>
      <c r="U440" s="585"/>
      <c r="V440" s="585"/>
      <c r="W440" s="585"/>
      <c r="X440" s="585"/>
      <c r="Y440" s="585"/>
      <c r="Z440" s="585"/>
      <c r="AA440" s="585"/>
      <c r="AB440" s="585"/>
      <c r="AC440" s="585"/>
      <c r="AD440" s="585"/>
      <c r="AE440" s="585"/>
      <c r="AF440" s="585"/>
      <c r="AG440" s="585"/>
      <c r="AH440" s="585"/>
      <c r="AI440" s="585"/>
      <c r="AJ440" s="585"/>
      <c r="AK440" s="585"/>
      <c r="AL440" s="585"/>
      <c r="AM440" s="585"/>
      <c r="AN440" s="585"/>
      <c r="AO440" s="585"/>
      <c r="AP440" s="585"/>
      <c r="AQ440" s="585"/>
      <c r="AR440" s="585"/>
      <c r="AS440" s="585"/>
      <c r="AT440" s="585"/>
      <c r="AU440" s="585"/>
      <c r="AV440" s="585"/>
      <c r="AW440" s="585"/>
      <c r="AX440" s="585"/>
      <c r="AY440" s="585"/>
      <c r="AZ440" s="585"/>
      <c r="BA440" s="585"/>
      <c r="BB440" s="585"/>
      <c r="BC440" s="585"/>
      <c r="BD440" s="585"/>
      <c r="BE440" s="585"/>
      <c r="BF440" s="585"/>
      <c r="BG440" s="585"/>
      <c r="BH440" s="585"/>
      <c r="BI440" s="585"/>
      <c r="BJ440" s="585"/>
      <c r="BK440" s="585"/>
      <c r="BL440" s="585"/>
      <c r="BM440" s="585"/>
      <c r="BN440" s="585"/>
      <c r="BO440" s="585"/>
      <c r="BP440" s="585"/>
      <c r="BQ440" s="585"/>
      <c r="BR440" s="585"/>
      <c r="BS440" s="585"/>
      <c r="BT440" s="585"/>
      <c r="BU440" s="585"/>
      <c r="BV440" s="585"/>
      <c r="BW440" s="585"/>
      <c r="BX440" s="585"/>
      <c r="BY440" s="585"/>
      <c r="BZ440" s="585"/>
      <c r="CA440" s="585"/>
      <c r="CB440" s="585"/>
      <c r="CC440" s="585"/>
      <c r="CD440" s="585"/>
      <c r="CE440" s="585"/>
      <c r="CF440" s="586"/>
    </row>
    <row r="441" spans="1:84" s="583" customFormat="1" ht="23.1" customHeight="1">
      <c r="A441" s="587"/>
      <c r="B441" s="574"/>
      <c r="C441" s="574"/>
      <c r="D441" s="405"/>
      <c r="E441" s="574"/>
      <c r="F441" s="422"/>
      <c r="G441" s="422"/>
      <c r="H441" s="422"/>
      <c r="I441" s="422"/>
      <c r="J441" s="422"/>
      <c r="K441" s="422"/>
      <c r="L441" s="422"/>
      <c r="M441" s="422"/>
      <c r="N441" s="574"/>
      <c r="O441" s="574"/>
      <c r="P441" s="574"/>
      <c r="Q441" s="574"/>
      <c r="R441" s="574"/>
      <c r="S441" s="588"/>
      <c r="T441" s="588"/>
      <c r="U441" s="588"/>
      <c r="V441" s="588"/>
      <c r="W441" s="588"/>
      <c r="X441" s="588"/>
      <c r="Y441" s="588"/>
      <c r="Z441" s="588"/>
      <c r="AA441" s="574"/>
      <c r="AB441" s="588"/>
      <c r="AC441" s="585"/>
      <c r="AD441" s="585"/>
      <c r="AE441" s="600"/>
      <c r="AF441" s="600"/>
      <c r="AG441" s="600"/>
      <c r="AH441" s="600"/>
      <c r="AI441" s="600"/>
      <c r="AJ441" s="600"/>
      <c r="AK441" s="600"/>
      <c r="AL441" s="600"/>
      <c r="AM441" s="585"/>
      <c r="AN441" s="585"/>
      <c r="AO441" s="574"/>
      <c r="AP441" s="430"/>
      <c r="AQ441" s="430"/>
      <c r="AR441" s="430"/>
      <c r="AS441" s="430"/>
      <c r="AT441" s="430"/>
      <c r="AU441" s="430"/>
      <c r="AV441" s="430"/>
      <c r="AW441" s="430"/>
      <c r="AX441" s="430"/>
      <c r="AY441" s="430"/>
      <c r="AZ441" s="430"/>
      <c r="BA441" s="430"/>
      <c r="BB441" s="430"/>
      <c r="BC441" s="430"/>
      <c r="BD441" s="574"/>
      <c r="BE441" s="574"/>
      <c r="BF441" s="574"/>
      <c r="BG441" s="574"/>
      <c r="BH441" s="574"/>
      <c r="BI441" s="574"/>
      <c r="BJ441" s="574"/>
      <c r="BK441" s="574"/>
      <c r="BL441" s="574"/>
      <c r="BM441" s="574"/>
      <c r="BN441" s="574"/>
      <c r="BO441" s="574"/>
      <c r="BP441" s="574"/>
      <c r="BQ441" s="574"/>
      <c r="BR441" s="574"/>
      <c r="BS441" s="574"/>
      <c r="BT441" s="574"/>
      <c r="BU441" s="574"/>
      <c r="BV441" s="574"/>
      <c r="BW441" s="574"/>
      <c r="BX441" s="574"/>
      <c r="BY441" s="574"/>
      <c r="BZ441" s="574"/>
      <c r="CA441" s="574"/>
      <c r="CB441" s="574"/>
      <c r="CC441" s="574"/>
      <c r="CD441" s="574"/>
      <c r="CE441" s="574"/>
      <c r="CF441" s="589"/>
    </row>
    <row r="442" spans="1:84" s="583" customFormat="1" ht="23.1" customHeight="1">
      <c r="A442" s="584"/>
      <c r="B442" s="585"/>
      <c r="C442" s="585"/>
      <c r="D442" s="585"/>
      <c r="E442" s="585"/>
      <c r="F442" s="585"/>
      <c r="G442" s="585"/>
      <c r="H442" s="585"/>
      <c r="I442" s="585"/>
      <c r="J442" s="585"/>
      <c r="K442" s="585"/>
      <c r="L442" s="585"/>
      <c r="M442" s="585"/>
      <c r="N442" s="585"/>
      <c r="O442" s="585"/>
      <c r="P442" s="585"/>
      <c r="Q442" s="585"/>
      <c r="R442" s="585"/>
      <c r="S442" s="585"/>
      <c r="T442" s="585"/>
      <c r="U442" s="585"/>
      <c r="V442" s="590"/>
      <c r="W442" s="590"/>
      <c r="X442" s="590"/>
      <c r="Y442" s="590"/>
      <c r="Z442" s="590"/>
      <c r="AA442" s="590"/>
      <c r="AB442" s="590"/>
      <c r="AC442" s="590"/>
      <c r="AD442" s="574"/>
      <c r="AE442" s="1440">
        <v>30197000</v>
      </c>
      <c r="AF442" s="1440"/>
      <c r="AG442" s="1440"/>
      <c r="AH442" s="1440"/>
      <c r="AI442" s="1440"/>
      <c r="AJ442" s="1440"/>
      <c r="AK442" s="1440"/>
      <c r="AL442" s="1440"/>
      <c r="AM442" s="1440"/>
      <c r="AN442" s="1440"/>
      <c r="AO442" s="1440"/>
      <c r="AP442" s="1440"/>
      <c r="AQ442" s="1440"/>
      <c r="AR442" s="1440"/>
      <c r="AS442" s="1440"/>
      <c r="AT442" s="1431" t="s">
        <v>446</v>
      </c>
      <c r="AU442" s="1431"/>
      <c r="AV442" s="1441" t="s">
        <v>1103</v>
      </c>
      <c r="AW442" s="1441"/>
      <c r="AX442" s="1442">
        <v>2085</v>
      </c>
      <c r="AY442" s="1442"/>
      <c r="AZ442" s="1442"/>
      <c r="BA442" s="1442"/>
      <c r="BB442" s="1442"/>
      <c r="BC442" s="1442"/>
      <c r="BD442" s="585"/>
      <c r="BE442" s="1431" t="s">
        <v>446</v>
      </c>
      <c r="BF442" s="1431"/>
      <c r="BG442" s="585"/>
      <c r="BH442" s="591" t="s">
        <v>1104</v>
      </c>
      <c r="BI442" s="585"/>
      <c r="BJ442" s="585"/>
      <c r="BK442" s="585"/>
      <c r="BL442" s="1431" t="s">
        <v>1105</v>
      </c>
      <c r="BM442" s="1431"/>
      <c r="BN442" s="1431"/>
      <c r="BO442" s="585"/>
      <c r="BP442" s="1431" t="s">
        <v>41</v>
      </c>
      <c r="BQ442" s="1431"/>
      <c r="BR442" s="585"/>
      <c r="BS442" s="585"/>
      <c r="BT442" s="1437">
        <f>INT(AE442*AX442*10^-7)</f>
        <v>6296</v>
      </c>
      <c r="BU442" s="1437"/>
      <c r="BV442" s="1437"/>
      <c r="BW442" s="1437"/>
      <c r="BX442" s="1437"/>
      <c r="BY442" s="1437"/>
      <c r="BZ442" s="1437"/>
      <c r="CA442" s="1437"/>
      <c r="CB442" s="1437"/>
      <c r="CC442" s="1437"/>
      <c r="CD442" s="585"/>
      <c r="CE442" s="585"/>
      <c r="CF442" s="586"/>
    </row>
    <row r="443" spans="1:84" s="583" customFormat="1" ht="23.1" customHeight="1">
      <c r="A443" s="592"/>
      <c r="B443" s="593" t="s">
        <v>1106</v>
      </c>
      <c r="C443" s="593"/>
      <c r="D443" s="593"/>
      <c r="E443" s="593"/>
      <c r="F443" s="593"/>
      <c r="G443" s="593"/>
      <c r="H443" s="593"/>
      <c r="I443" s="593"/>
      <c r="J443" s="593"/>
      <c r="K443" s="593"/>
      <c r="L443" s="593"/>
      <c r="M443" s="593"/>
      <c r="N443" s="593"/>
      <c r="O443" s="593"/>
      <c r="P443" s="593"/>
      <c r="Q443" s="593"/>
      <c r="R443" s="593"/>
      <c r="S443" s="593"/>
      <c r="T443" s="593"/>
      <c r="U443" s="593"/>
      <c r="V443" s="593"/>
      <c r="W443" s="593"/>
      <c r="X443" s="593"/>
      <c r="Y443" s="593"/>
      <c r="Z443" s="593"/>
      <c r="AA443" s="593"/>
      <c r="AB443" s="593"/>
      <c r="AC443" s="593"/>
      <c r="AD443" s="593"/>
      <c r="AE443" s="593"/>
      <c r="AF443" s="593"/>
      <c r="AG443" s="593"/>
      <c r="AH443" s="593"/>
      <c r="AI443" s="593"/>
      <c r="AJ443" s="593"/>
      <c r="AK443" s="593"/>
      <c r="AL443" s="593"/>
      <c r="AM443" s="593"/>
      <c r="AN443" s="593"/>
      <c r="AO443" s="593"/>
      <c r="AP443" s="593"/>
      <c r="AQ443" s="593"/>
      <c r="AR443" s="593"/>
      <c r="AS443" s="593"/>
      <c r="AT443" s="593"/>
      <c r="AU443" s="593"/>
      <c r="AV443" s="593"/>
      <c r="AW443" s="593"/>
      <c r="AX443" s="593"/>
      <c r="AY443" s="593"/>
      <c r="AZ443" s="593"/>
      <c r="BA443" s="593"/>
      <c r="BB443" s="593"/>
      <c r="BC443" s="593"/>
      <c r="BD443" s="593"/>
      <c r="BE443" s="593"/>
      <c r="BF443" s="593"/>
      <c r="BG443" s="593"/>
      <c r="BH443" s="593"/>
      <c r="BI443" s="593"/>
      <c r="BJ443" s="593"/>
      <c r="BK443" s="593"/>
      <c r="BL443" s="593"/>
      <c r="BM443" s="593"/>
      <c r="BN443" s="593"/>
      <c r="BO443" s="593"/>
      <c r="BP443" s="593"/>
      <c r="BQ443" s="593"/>
      <c r="BR443" s="593"/>
      <c r="BS443" s="593"/>
      <c r="BT443" s="594"/>
      <c r="BU443" s="594"/>
      <c r="BV443" s="594"/>
      <c r="BW443" s="594"/>
      <c r="BX443" s="594"/>
      <c r="BY443" s="594"/>
      <c r="BZ443" s="594"/>
      <c r="CA443" s="594"/>
      <c r="CB443" s="594"/>
      <c r="CC443" s="594"/>
      <c r="CD443" s="593"/>
      <c r="CE443" s="593"/>
      <c r="CF443" s="595"/>
    </row>
    <row r="444" spans="1:84" s="583" customFormat="1" ht="23.1" customHeight="1">
      <c r="A444" s="584"/>
      <c r="B444" s="585"/>
      <c r="C444" s="585"/>
      <c r="D444" s="596" t="s">
        <v>268</v>
      </c>
      <c r="E444" s="585"/>
      <c r="F444" s="585"/>
      <c r="G444" s="585"/>
      <c r="H444" s="585"/>
      <c r="I444" s="585"/>
      <c r="J444" s="585"/>
      <c r="K444" s="585"/>
      <c r="L444" s="585"/>
      <c r="M444" s="585"/>
      <c r="N444" s="585"/>
      <c r="O444" s="585"/>
      <c r="P444" s="585"/>
      <c r="Q444" s="585"/>
      <c r="R444" s="585"/>
      <c r="S444" s="585"/>
      <c r="T444" s="574"/>
      <c r="U444" s="574"/>
      <c r="V444" s="1435">
        <f>HLOOKUP(D444,$CJ$1:$CM$3,3,0)</f>
        <v>283297</v>
      </c>
      <c r="W444" s="1435"/>
      <c r="X444" s="1435"/>
      <c r="Y444" s="1435"/>
      <c r="Z444" s="1435"/>
      <c r="AA444" s="1435"/>
      <c r="AB444" s="1435"/>
      <c r="AC444" s="1435"/>
      <c r="AD444" s="1435"/>
      <c r="AE444" s="1435"/>
      <c r="AF444" s="1431" t="s">
        <v>446</v>
      </c>
      <c r="AG444" s="1431"/>
      <c r="AH444" s="574"/>
      <c r="AI444" s="1436" t="s">
        <v>1107</v>
      </c>
      <c r="AJ444" s="1436"/>
      <c r="AK444" s="1436"/>
      <c r="AL444" s="1436"/>
      <c r="AM444" s="585"/>
      <c r="AN444" s="1431" t="s">
        <v>446</v>
      </c>
      <c r="AO444" s="1431"/>
      <c r="AP444" s="585"/>
      <c r="AQ444" s="1436" t="s">
        <v>1108</v>
      </c>
      <c r="AR444" s="1436"/>
      <c r="AS444" s="1436"/>
      <c r="AT444" s="1436"/>
      <c r="AU444" s="1436"/>
      <c r="AV444" s="422"/>
      <c r="AW444" s="1431" t="s">
        <v>446</v>
      </c>
      <c r="AX444" s="1431"/>
      <c r="AY444" s="440"/>
      <c r="AZ444" s="1436" t="s">
        <v>1109</v>
      </c>
      <c r="BA444" s="1436"/>
      <c r="BB444" s="1436"/>
      <c r="BC444" s="1436"/>
      <c r="BD444" s="1436"/>
      <c r="BE444" s="585"/>
      <c r="BF444" s="1431" t="s">
        <v>446</v>
      </c>
      <c r="BG444" s="1431"/>
      <c r="BH444" s="1431">
        <v>1</v>
      </c>
      <c r="BI444" s="1431"/>
      <c r="BJ444" s="1431"/>
      <c r="BK444" s="585"/>
      <c r="BL444" s="585" t="s">
        <v>366</v>
      </c>
      <c r="BM444" s="585"/>
      <c r="BN444" s="585"/>
      <c r="BO444" s="585"/>
      <c r="BP444" s="1431" t="s">
        <v>41</v>
      </c>
      <c r="BQ444" s="1431"/>
      <c r="BR444" s="585"/>
      <c r="BS444" s="585"/>
      <c r="BT444" s="1432">
        <f>INT(V444/8*16/12*25/20*BH444)</f>
        <v>59020</v>
      </c>
      <c r="BU444" s="1432"/>
      <c r="BV444" s="1432"/>
      <c r="BW444" s="1432"/>
      <c r="BX444" s="1432"/>
      <c r="BY444" s="1432"/>
      <c r="BZ444" s="1432"/>
      <c r="CA444" s="1432"/>
      <c r="CB444" s="1432"/>
      <c r="CC444" s="1432"/>
      <c r="CD444" s="585"/>
      <c r="CE444" s="585"/>
      <c r="CF444" s="586"/>
    </row>
    <row r="445" spans="1:84" s="583" customFormat="1" ht="23.1" customHeight="1">
      <c r="A445" s="584"/>
      <c r="B445" s="585"/>
      <c r="C445" s="585"/>
      <c r="D445" s="585"/>
      <c r="E445" s="585"/>
      <c r="F445" s="585"/>
      <c r="G445" s="585"/>
      <c r="H445" s="585"/>
      <c r="I445" s="585"/>
      <c r="J445" s="585"/>
      <c r="K445" s="585"/>
      <c r="L445" s="585"/>
      <c r="M445" s="585"/>
      <c r="N445" s="585"/>
      <c r="O445" s="585"/>
      <c r="P445" s="574"/>
      <c r="Q445" s="574"/>
      <c r="R445" s="574"/>
      <c r="S445" s="574"/>
      <c r="T445" s="574"/>
      <c r="U445" s="574"/>
      <c r="V445" s="574"/>
      <c r="W445" s="574"/>
      <c r="X445" s="574"/>
      <c r="Y445" s="574"/>
      <c r="Z445" s="574"/>
      <c r="AA445" s="574"/>
      <c r="AB445" s="574"/>
      <c r="AC445" s="574"/>
      <c r="AD445" s="574"/>
      <c r="AE445" s="574"/>
      <c r="AF445" s="574"/>
      <c r="AG445" s="574"/>
      <c r="AH445" s="574"/>
      <c r="AI445" s="574"/>
      <c r="AJ445" s="574"/>
      <c r="AK445" s="574"/>
      <c r="AL445" s="574"/>
      <c r="AM445" s="574"/>
      <c r="AN445" s="574"/>
      <c r="AO445" s="574"/>
      <c r="AP445" s="574"/>
      <c r="AQ445" s="574"/>
      <c r="AR445" s="574"/>
      <c r="AS445" s="574"/>
      <c r="AT445" s="574"/>
      <c r="AU445" s="574"/>
      <c r="AV445" s="574"/>
      <c r="AW445" s="574"/>
      <c r="AX445" s="574"/>
      <c r="AY445" s="574"/>
      <c r="AZ445" s="574"/>
      <c r="BA445" s="574"/>
      <c r="BB445" s="574"/>
      <c r="BC445" s="574"/>
      <c r="BD445" s="574"/>
      <c r="BE445" s="574"/>
      <c r="BF445" s="574"/>
      <c r="BG445" s="585"/>
      <c r="BH445" s="585"/>
      <c r="BI445" s="585"/>
      <c r="BJ445" s="585"/>
      <c r="BK445" s="585"/>
      <c r="BL445" s="585"/>
      <c r="BM445" s="585"/>
      <c r="BN445" s="585"/>
      <c r="BO445" s="585"/>
      <c r="BP445" s="1431"/>
      <c r="BQ445" s="1431"/>
      <c r="BR445" s="585"/>
      <c r="BS445" s="585"/>
      <c r="BT445" s="1432"/>
      <c r="BU445" s="1432"/>
      <c r="BV445" s="1432"/>
      <c r="BW445" s="1432"/>
      <c r="BX445" s="1432"/>
      <c r="BY445" s="1432"/>
      <c r="BZ445" s="1432"/>
      <c r="CA445" s="1432"/>
      <c r="CB445" s="1432"/>
      <c r="CC445" s="1432"/>
      <c r="CD445" s="585"/>
      <c r="CE445" s="585"/>
      <c r="CF445" s="586"/>
    </row>
    <row r="446" spans="1:84" s="583" customFormat="1" ht="23.1" customHeight="1">
      <c r="A446" s="584"/>
      <c r="B446" s="585"/>
      <c r="C446" s="585"/>
      <c r="D446" s="585"/>
      <c r="E446" s="585"/>
      <c r="F446" s="585"/>
      <c r="G446" s="585"/>
      <c r="H446" s="585"/>
      <c r="I446" s="585"/>
      <c r="J446" s="585"/>
      <c r="K446" s="585"/>
      <c r="L446" s="585"/>
      <c r="M446" s="585"/>
      <c r="N446" s="585"/>
      <c r="O446" s="585"/>
      <c r="P446" s="585"/>
      <c r="Q446" s="585"/>
      <c r="R446" s="585"/>
      <c r="S446" s="585"/>
      <c r="T446" s="585"/>
      <c r="U446" s="585"/>
      <c r="V446" s="585"/>
      <c r="W446" s="585"/>
      <c r="X446" s="585"/>
      <c r="Y446" s="585"/>
      <c r="Z446" s="585"/>
      <c r="AA446" s="585"/>
      <c r="AB446" s="585"/>
      <c r="AC446" s="585"/>
      <c r="AD446" s="574"/>
      <c r="AE446" s="574"/>
      <c r="AF446" s="574"/>
      <c r="AG446" s="574"/>
      <c r="AH446" s="574"/>
      <c r="AI446" s="574"/>
      <c r="AJ446" s="574"/>
      <c r="AK446" s="574"/>
      <c r="AL446" s="574"/>
      <c r="AM446" s="574"/>
      <c r="AN446" s="574"/>
      <c r="AO446" s="574"/>
      <c r="AP446" s="574"/>
      <c r="AQ446" s="574"/>
      <c r="AR446" s="574"/>
      <c r="AS446" s="585"/>
      <c r="AT446" s="590"/>
      <c r="AU446" s="590"/>
      <c r="AV446" s="585"/>
      <c r="AW446" s="585"/>
      <c r="AX446" s="585"/>
      <c r="AY446" s="585"/>
      <c r="AZ446" s="585"/>
      <c r="BA446" s="585"/>
      <c r="BB446" s="585"/>
      <c r="BC446" s="585"/>
      <c r="BD446" s="585"/>
      <c r="BE446" s="585"/>
      <c r="BF446" s="585"/>
      <c r="BG446" s="585"/>
      <c r="BH446" s="585"/>
      <c r="BI446" s="585"/>
      <c r="BJ446" s="585"/>
      <c r="BK446" s="585"/>
      <c r="BL446" s="585"/>
      <c r="BM446" s="585"/>
      <c r="BN446" s="585"/>
      <c r="BO446" s="585"/>
      <c r="BP446" s="1431" t="s">
        <v>41</v>
      </c>
      <c r="BQ446" s="1431"/>
      <c r="BR446" s="585"/>
      <c r="BS446" s="585"/>
      <c r="BT446" s="1434">
        <f>BT444+BT445</f>
        <v>59020</v>
      </c>
      <c r="BU446" s="1434"/>
      <c r="BV446" s="1434"/>
      <c r="BW446" s="1434"/>
      <c r="BX446" s="1434"/>
      <c r="BY446" s="1434"/>
      <c r="BZ446" s="1434"/>
      <c r="CA446" s="1434"/>
      <c r="CB446" s="1434"/>
      <c r="CC446" s="1434"/>
      <c r="CD446" s="585"/>
      <c r="CE446" s="585"/>
      <c r="CF446" s="586"/>
    </row>
    <row r="447" spans="1:84" s="583" customFormat="1" ht="23.1" customHeight="1">
      <c r="A447" s="592"/>
      <c r="B447" s="593" t="s">
        <v>1110</v>
      </c>
      <c r="C447" s="593"/>
      <c r="D447" s="593"/>
      <c r="E447" s="593"/>
      <c r="F447" s="593"/>
      <c r="G447" s="593"/>
      <c r="H447" s="593"/>
      <c r="I447" s="593"/>
      <c r="J447" s="593"/>
      <c r="K447" s="593"/>
      <c r="L447" s="593"/>
      <c r="M447" s="593"/>
      <c r="N447" s="593"/>
      <c r="O447" s="593"/>
      <c r="P447" s="593"/>
      <c r="Q447" s="593"/>
      <c r="R447" s="593"/>
      <c r="S447" s="593"/>
      <c r="T447" s="593"/>
      <c r="U447" s="593"/>
      <c r="V447" s="593"/>
      <c r="W447" s="593"/>
      <c r="X447" s="593"/>
      <c r="Y447" s="593"/>
      <c r="Z447" s="593"/>
      <c r="AA447" s="593"/>
      <c r="AB447" s="593"/>
      <c r="AC447" s="593"/>
      <c r="AD447" s="593"/>
      <c r="AE447" s="593"/>
      <c r="AF447" s="593"/>
      <c r="AG447" s="593"/>
      <c r="AH447" s="593"/>
      <c r="AI447" s="593"/>
      <c r="AJ447" s="593"/>
      <c r="AK447" s="593"/>
      <c r="AL447" s="593"/>
      <c r="AM447" s="593"/>
      <c r="AN447" s="593"/>
      <c r="AO447" s="593"/>
      <c r="AP447" s="593"/>
      <c r="AQ447" s="593"/>
      <c r="AR447" s="593"/>
      <c r="AS447" s="593"/>
      <c r="AT447" s="593"/>
      <c r="AU447" s="593"/>
      <c r="AV447" s="593"/>
      <c r="AW447" s="593"/>
      <c r="AX447" s="593"/>
      <c r="AY447" s="593"/>
      <c r="AZ447" s="593"/>
      <c r="BA447" s="593"/>
      <c r="BB447" s="593"/>
      <c r="BC447" s="593"/>
      <c r="BD447" s="593"/>
      <c r="BE447" s="593"/>
      <c r="BF447" s="593"/>
      <c r="BG447" s="593"/>
      <c r="BH447" s="593"/>
      <c r="BI447" s="593"/>
      <c r="BJ447" s="593"/>
      <c r="BK447" s="593"/>
      <c r="BL447" s="593"/>
      <c r="BM447" s="593"/>
      <c r="BN447" s="593"/>
      <c r="BO447" s="593"/>
      <c r="BP447" s="593"/>
      <c r="BQ447" s="593"/>
      <c r="BR447" s="593"/>
      <c r="BS447" s="593"/>
      <c r="BT447" s="593"/>
      <c r="BU447" s="593"/>
      <c r="BV447" s="593"/>
      <c r="BW447" s="593"/>
      <c r="BX447" s="593"/>
      <c r="BY447" s="593"/>
      <c r="BZ447" s="593"/>
      <c r="CA447" s="593"/>
      <c r="CB447" s="593"/>
      <c r="CC447" s="593"/>
      <c r="CD447" s="593"/>
      <c r="CE447" s="593"/>
      <c r="CF447" s="595"/>
    </row>
    <row r="448" spans="1:84" s="583" customFormat="1" ht="23.1" customHeight="1">
      <c r="A448" s="584"/>
      <c r="B448" s="585"/>
      <c r="C448" s="585"/>
      <c r="D448" s="596" t="s">
        <v>1094</v>
      </c>
      <c r="E448" s="585"/>
      <c r="F448" s="585"/>
      <c r="G448" s="585"/>
      <c r="H448" s="585"/>
      <c r="I448" s="585"/>
      <c r="J448" s="585"/>
      <c r="K448" s="585"/>
      <c r="L448" s="585"/>
      <c r="M448" s="585"/>
      <c r="N448" s="585"/>
      <c r="O448" s="585"/>
      <c r="P448" s="585"/>
      <c r="Q448" s="585"/>
      <c r="R448" s="585"/>
      <c r="S448" s="585"/>
      <c r="T448" s="585"/>
      <c r="U448" s="585"/>
      <c r="V448" s="585"/>
      <c r="W448" s="585"/>
      <c r="X448" s="585"/>
      <c r="Y448" s="585"/>
      <c r="Z448" s="585"/>
      <c r="AA448" s="585"/>
      <c r="AB448" s="585"/>
      <c r="AC448" s="585"/>
      <c r="AD448" s="585"/>
      <c r="AE448" s="585"/>
      <c r="AF448" s="585"/>
      <c r="AG448" s="585"/>
      <c r="AH448" s="585"/>
      <c r="AI448" s="585"/>
      <c r="AJ448" s="585"/>
      <c r="AK448" s="585"/>
      <c r="AL448" s="585"/>
      <c r="AM448" s="585"/>
      <c r="AN448" s="585"/>
      <c r="AO448" s="585"/>
      <c r="AP448" s="585"/>
      <c r="AQ448" s="585"/>
      <c r="AR448" s="422"/>
      <c r="AS448" s="1435" t="e">
        <f>HLOOKUP(D448,$CN$1:$CO$3,3,0)</f>
        <v>#REF!</v>
      </c>
      <c r="AT448" s="1435"/>
      <c r="AU448" s="1435"/>
      <c r="AV448" s="1435"/>
      <c r="AW448" s="1435"/>
      <c r="AX448" s="1435"/>
      <c r="AY448" s="1435"/>
      <c r="AZ448" s="1435"/>
      <c r="BA448" s="1435"/>
      <c r="BB448" s="1435"/>
      <c r="BC448" s="585"/>
      <c r="BD448" s="1431" t="s">
        <v>446</v>
      </c>
      <c r="BE448" s="1431"/>
      <c r="BF448" s="585"/>
      <c r="BG448" s="1431">
        <v>3.3</v>
      </c>
      <c r="BH448" s="1431"/>
      <c r="BI448" s="1431"/>
      <c r="BJ448" s="1431"/>
      <c r="BK448" s="1431"/>
      <c r="BL448" s="585" t="s">
        <v>1111</v>
      </c>
      <c r="BM448" s="585"/>
      <c r="BN448" s="585"/>
      <c r="BO448" s="585"/>
      <c r="BP448" s="1431" t="s">
        <v>41</v>
      </c>
      <c r="BQ448" s="1431"/>
      <c r="BR448" s="585"/>
      <c r="BS448" s="585"/>
      <c r="BT448" s="1432" t="e">
        <f>INT(AS448*BG448)</f>
        <v>#REF!</v>
      </c>
      <c r="BU448" s="1432"/>
      <c r="BV448" s="1432"/>
      <c r="BW448" s="1432"/>
      <c r="BX448" s="1432"/>
      <c r="BY448" s="1432"/>
      <c r="BZ448" s="1432"/>
      <c r="CA448" s="1432"/>
      <c r="CB448" s="1432"/>
      <c r="CC448" s="1432"/>
      <c r="CD448" s="585"/>
      <c r="CE448" s="585"/>
      <c r="CF448" s="586"/>
    </row>
    <row r="449" spans="1:84" s="583" customFormat="1" ht="23.1" customHeight="1">
      <c r="A449" s="584"/>
      <c r="B449" s="585"/>
      <c r="C449" s="585"/>
      <c r="D449" s="591" t="str">
        <f>"잡재료 (주연료의 "&amp;BG449&amp;"%) :"</f>
        <v>잡재료 (주연료의 44%) :</v>
      </c>
      <c r="E449" s="585"/>
      <c r="F449" s="585"/>
      <c r="G449" s="585"/>
      <c r="H449" s="585"/>
      <c r="I449" s="585"/>
      <c r="J449" s="585"/>
      <c r="K449" s="585"/>
      <c r="L449" s="585"/>
      <c r="M449" s="585"/>
      <c r="N449" s="585"/>
      <c r="O449" s="585"/>
      <c r="P449" s="585"/>
      <c r="Q449" s="585"/>
      <c r="R449" s="585"/>
      <c r="S449" s="585"/>
      <c r="T449" s="585"/>
      <c r="U449" s="585"/>
      <c r="V449" s="585"/>
      <c r="W449" s="585"/>
      <c r="X449" s="585"/>
      <c r="Y449" s="585"/>
      <c r="Z449" s="585"/>
      <c r="AA449" s="585"/>
      <c r="AB449" s="585"/>
      <c r="AC449" s="585"/>
      <c r="AD449" s="585"/>
      <c r="AE449" s="585"/>
      <c r="AF449" s="585"/>
      <c r="AG449" s="585"/>
      <c r="AH449" s="585"/>
      <c r="AI449" s="585"/>
      <c r="AJ449" s="585"/>
      <c r="AK449" s="585"/>
      <c r="AL449" s="585"/>
      <c r="AM449" s="585"/>
      <c r="AN449" s="585"/>
      <c r="AO449" s="585"/>
      <c r="AP449" s="585"/>
      <c r="AQ449" s="585"/>
      <c r="AR449" s="422" t="e">
        <f>BT448</f>
        <v>#REF!</v>
      </c>
      <c r="AS449" s="1430" t="e">
        <f>BT448</f>
        <v>#REF!</v>
      </c>
      <c r="AT449" s="1430"/>
      <c r="AU449" s="1430"/>
      <c r="AV449" s="1430"/>
      <c r="AW449" s="1430"/>
      <c r="AX449" s="1430"/>
      <c r="AY449" s="1430"/>
      <c r="AZ449" s="1430"/>
      <c r="BA449" s="1430"/>
      <c r="BB449" s="1430"/>
      <c r="BC449" s="585"/>
      <c r="BD449" s="1431" t="s">
        <v>446</v>
      </c>
      <c r="BE449" s="1431"/>
      <c r="BF449" s="585"/>
      <c r="BG449" s="1431">
        <v>44</v>
      </c>
      <c r="BH449" s="1431"/>
      <c r="BI449" s="1431"/>
      <c r="BJ449" s="1431"/>
      <c r="BK449" s="1431"/>
      <c r="BL449" s="585" t="s">
        <v>1112</v>
      </c>
      <c r="BM449" s="585"/>
      <c r="BN449" s="585"/>
      <c r="BO449" s="585"/>
      <c r="BP449" s="1431" t="s">
        <v>41</v>
      </c>
      <c r="BQ449" s="1431"/>
      <c r="BR449" s="585"/>
      <c r="BS449" s="585"/>
      <c r="BT449" s="1432" t="e">
        <f>INT(AS449*BG449/100)</f>
        <v>#REF!</v>
      </c>
      <c r="BU449" s="1432"/>
      <c r="BV449" s="1432"/>
      <c r="BW449" s="1432"/>
      <c r="BX449" s="1432"/>
      <c r="BY449" s="1432"/>
      <c r="BZ449" s="1432"/>
      <c r="CA449" s="1432"/>
      <c r="CB449" s="1432"/>
      <c r="CC449" s="1432"/>
      <c r="CD449" s="585"/>
      <c r="CE449" s="585"/>
      <c r="CF449" s="586"/>
    </row>
    <row r="450" spans="1:84" s="583" customFormat="1" ht="23.1" customHeight="1" thickBot="1">
      <c r="A450" s="584"/>
      <c r="B450" s="585"/>
      <c r="C450" s="585"/>
      <c r="D450" s="585"/>
      <c r="E450" s="585"/>
      <c r="F450" s="585"/>
      <c r="G450" s="585"/>
      <c r="H450" s="585"/>
      <c r="I450" s="585"/>
      <c r="J450" s="585"/>
      <c r="K450" s="585"/>
      <c r="L450" s="585"/>
      <c r="M450" s="585"/>
      <c r="N450" s="585"/>
      <c r="O450" s="585"/>
      <c r="P450" s="585"/>
      <c r="Q450" s="585"/>
      <c r="R450" s="585"/>
      <c r="S450" s="585"/>
      <c r="T450" s="585"/>
      <c r="U450" s="585"/>
      <c r="V450" s="585"/>
      <c r="W450" s="585"/>
      <c r="X450" s="585"/>
      <c r="Y450" s="585"/>
      <c r="Z450" s="585"/>
      <c r="AA450" s="585"/>
      <c r="AB450" s="585"/>
      <c r="AC450" s="585"/>
      <c r="AD450" s="585"/>
      <c r="AE450" s="585"/>
      <c r="AF450" s="585"/>
      <c r="AG450" s="585"/>
      <c r="AH450" s="585"/>
      <c r="AI450" s="585"/>
      <c r="AJ450" s="585"/>
      <c r="AK450" s="585"/>
      <c r="AL450" s="585"/>
      <c r="AM450" s="585"/>
      <c r="AN450" s="585"/>
      <c r="AO450" s="585"/>
      <c r="AP450" s="585"/>
      <c r="AQ450" s="585"/>
      <c r="AR450" s="585"/>
      <c r="AS450" s="585"/>
      <c r="AT450" s="585"/>
      <c r="AU450" s="585"/>
      <c r="AV450" s="585"/>
      <c r="AW450" s="585"/>
      <c r="AX450" s="585"/>
      <c r="AY450" s="585"/>
      <c r="AZ450" s="585"/>
      <c r="BA450" s="585"/>
      <c r="BB450" s="585"/>
      <c r="BC450" s="585"/>
      <c r="BD450" s="585"/>
      <c r="BE450" s="585"/>
      <c r="BF450" s="585"/>
      <c r="BG450" s="585"/>
      <c r="BH450" s="585"/>
      <c r="BI450" s="585"/>
      <c r="BJ450" s="585"/>
      <c r="BK450" s="585"/>
      <c r="BL450" s="585"/>
      <c r="BM450" s="585"/>
      <c r="BN450" s="585"/>
      <c r="BO450" s="585"/>
      <c r="BP450" s="1431" t="s">
        <v>41</v>
      </c>
      <c r="BQ450" s="1431"/>
      <c r="BR450" s="585"/>
      <c r="BS450" s="585"/>
      <c r="BT450" s="1433" t="e">
        <f>BT448+BT449</f>
        <v>#REF!</v>
      </c>
      <c r="BU450" s="1433"/>
      <c r="BV450" s="1433"/>
      <c r="BW450" s="1433"/>
      <c r="BX450" s="1433"/>
      <c r="BY450" s="1433"/>
      <c r="BZ450" s="1433"/>
      <c r="CA450" s="1433"/>
      <c r="CB450" s="1433"/>
      <c r="CC450" s="1433"/>
      <c r="CD450" s="585"/>
      <c r="CE450" s="585"/>
      <c r="CF450" s="586"/>
    </row>
    <row r="451" spans="1:84" s="583" customFormat="1" ht="23.1" customHeight="1" thickBot="1">
      <c r="A451" s="597"/>
      <c r="B451" s="598" t="s">
        <v>1113</v>
      </c>
      <c r="C451" s="598"/>
      <c r="D451" s="598"/>
      <c r="E451" s="598"/>
      <c r="F451" s="598"/>
      <c r="G451" s="598"/>
      <c r="H451" s="598"/>
      <c r="I451" s="598"/>
      <c r="J451" s="598"/>
      <c r="K451" s="598"/>
      <c r="L451" s="598"/>
      <c r="M451" s="598"/>
      <c r="N451" s="598"/>
      <c r="O451" s="598"/>
      <c r="P451" s="598"/>
      <c r="Q451" s="598"/>
      <c r="R451" s="598"/>
      <c r="S451" s="598"/>
      <c r="T451" s="598"/>
      <c r="U451" s="598"/>
      <c r="V451" s="598"/>
      <c r="W451" s="598"/>
      <c r="X451" s="598"/>
      <c r="Y451" s="598"/>
      <c r="Z451" s="598"/>
      <c r="AA451" s="598"/>
      <c r="AB451" s="598"/>
      <c r="AC451" s="598"/>
      <c r="AD451" s="598"/>
      <c r="AE451" s="598"/>
      <c r="AF451" s="598"/>
      <c r="AG451" s="598"/>
      <c r="AH451" s="598"/>
      <c r="AI451" s="598"/>
      <c r="AJ451" s="598"/>
      <c r="AK451" s="598"/>
      <c r="AL451" s="598"/>
      <c r="AM451" s="598"/>
      <c r="AN451" s="598"/>
      <c r="AO451" s="598"/>
      <c r="AP451" s="598"/>
      <c r="AQ451" s="598"/>
      <c r="AR451" s="598"/>
      <c r="AS451" s="598"/>
      <c r="AT451" s="598"/>
      <c r="AU451" s="598"/>
      <c r="AV451" s="598"/>
      <c r="AW451" s="598"/>
      <c r="AX451" s="598"/>
      <c r="AY451" s="598"/>
      <c r="AZ451" s="598"/>
      <c r="BA451" s="598"/>
      <c r="BB451" s="598"/>
      <c r="BC451" s="598"/>
      <c r="BD451" s="598"/>
      <c r="BE451" s="598"/>
      <c r="BF451" s="598"/>
      <c r="BG451" s="598"/>
      <c r="BH451" s="598"/>
      <c r="BI451" s="598"/>
      <c r="BJ451" s="598"/>
      <c r="BK451" s="598"/>
      <c r="BL451" s="598"/>
      <c r="BM451" s="598"/>
      <c r="BN451" s="598"/>
      <c r="BO451" s="598"/>
      <c r="BP451" s="598"/>
      <c r="BQ451" s="598"/>
      <c r="BR451" s="598"/>
      <c r="BS451" s="598"/>
      <c r="BT451" s="1429" t="e">
        <f>BT442+BT446+BT450</f>
        <v>#REF!</v>
      </c>
      <c r="BU451" s="1429"/>
      <c r="BV451" s="1429"/>
      <c r="BW451" s="1429"/>
      <c r="BX451" s="1429"/>
      <c r="BY451" s="1429"/>
      <c r="BZ451" s="1429"/>
      <c r="CA451" s="1429"/>
      <c r="CB451" s="1429"/>
      <c r="CC451" s="1429"/>
      <c r="CD451" s="598"/>
      <c r="CE451" s="598"/>
      <c r="CF451" s="599"/>
    </row>
    <row r="452" spans="1:84" s="583" customFormat="1" ht="9.9499999999999993" customHeight="1">
      <c r="A452" s="574"/>
      <c r="B452" s="574"/>
      <c r="C452" s="574"/>
      <c r="D452" s="574"/>
      <c r="E452" s="574"/>
      <c r="F452" s="574"/>
      <c r="G452" s="574"/>
      <c r="H452" s="574"/>
      <c r="I452" s="574"/>
      <c r="J452" s="574"/>
      <c r="K452" s="574"/>
      <c r="L452" s="574"/>
      <c r="M452" s="574"/>
      <c r="N452" s="574"/>
      <c r="O452" s="574"/>
      <c r="P452" s="574"/>
      <c r="Q452" s="574"/>
      <c r="R452" s="574"/>
      <c r="S452" s="574"/>
      <c r="T452" s="574"/>
      <c r="U452" s="574"/>
      <c r="V452" s="574"/>
      <c r="W452" s="574"/>
      <c r="X452" s="574"/>
      <c r="Y452" s="574"/>
      <c r="Z452" s="574"/>
      <c r="AA452" s="574"/>
      <c r="AB452" s="574"/>
      <c r="AC452" s="574"/>
      <c r="AD452" s="574"/>
      <c r="AE452" s="574"/>
      <c r="AF452" s="574"/>
      <c r="AG452" s="574"/>
      <c r="AH452" s="574"/>
      <c r="AI452" s="574"/>
      <c r="AJ452" s="574"/>
      <c r="AK452" s="574"/>
      <c r="AL452" s="574"/>
      <c r="AM452" s="574"/>
      <c r="AN452" s="574"/>
      <c r="AO452" s="574"/>
      <c r="AP452" s="574"/>
      <c r="AQ452" s="574"/>
      <c r="AR452" s="574"/>
      <c r="AS452" s="574"/>
      <c r="AT452" s="574"/>
      <c r="AU452" s="574"/>
      <c r="AV452" s="574"/>
      <c r="AW452" s="574"/>
      <c r="AX452" s="574"/>
      <c r="AY452" s="574"/>
      <c r="AZ452" s="574"/>
      <c r="BA452" s="574"/>
      <c r="BB452" s="574"/>
      <c r="BC452" s="574"/>
      <c r="BD452" s="574"/>
      <c r="BE452" s="574"/>
      <c r="BF452" s="574"/>
      <c r="BG452" s="574"/>
      <c r="BH452" s="574"/>
      <c r="BI452" s="574"/>
      <c r="BJ452" s="574"/>
      <c r="BK452" s="574"/>
      <c r="BL452" s="574"/>
      <c r="BM452" s="574"/>
      <c r="BN452" s="574"/>
      <c r="BO452" s="574"/>
      <c r="BP452" s="574"/>
      <c r="BQ452" s="574"/>
      <c r="BR452" s="574"/>
      <c r="BS452" s="574"/>
      <c r="BT452" s="574"/>
      <c r="BU452" s="574"/>
      <c r="BV452" s="574"/>
      <c r="BW452" s="574"/>
      <c r="BX452" s="574"/>
      <c r="BY452" s="574"/>
      <c r="BZ452" s="574"/>
      <c r="CA452" s="574"/>
      <c r="CB452" s="574"/>
      <c r="CC452" s="574"/>
      <c r="CD452" s="574"/>
      <c r="CE452" s="574"/>
      <c r="CF452" s="574"/>
    </row>
    <row r="453" spans="1:84" s="583" customFormat="1" ht="23.1" customHeight="1" thickBot="1">
      <c r="A453" s="1446" t="s">
        <v>1095</v>
      </c>
      <c r="B453" s="1446"/>
      <c r="C453" s="1446"/>
      <c r="D453" s="1446"/>
      <c r="E453" s="1446"/>
      <c r="F453" s="1446"/>
      <c r="G453" s="1447">
        <f>G438+1</f>
        <v>31</v>
      </c>
      <c r="H453" s="1447"/>
      <c r="I453" s="1447"/>
      <c r="J453" s="1448" t="s">
        <v>1096</v>
      </c>
      <c r="K453" s="1448"/>
      <c r="L453" s="574"/>
      <c r="M453" s="574"/>
      <c r="N453" s="574"/>
      <c r="O453" s="574"/>
      <c r="P453" s="574"/>
      <c r="Q453" s="574"/>
      <c r="R453" s="574"/>
      <c r="S453" s="574"/>
      <c r="T453" s="574"/>
      <c r="U453" s="574"/>
      <c r="V453" s="574"/>
      <c r="W453" s="574"/>
      <c r="X453" s="574"/>
      <c r="Y453" s="574"/>
      <c r="Z453" s="574"/>
      <c r="AA453" s="574"/>
      <c r="AB453" s="574"/>
      <c r="AC453" s="574"/>
      <c r="AD453" s="574"/>
      <c r="AE453" s="574"/>
      <c r="AF453" s="574"/>
      <c r="AG453" s="574"/>
      <c r="AH453" s="574"/>
      <c r="AI453" s="574"/>
      <c r="AJ453" s="574"/>
      <c r="AK453" s="574"/>
      <c r="AL453" s="574"/>
      <c r="AM453" s="574"/>
      <c r="AN453" s="574"/>
      <c r="AO453" s="574"/>
      <c r="AP453" s="574"/>
      <c r="AQ453" s="574"/>
      <c r="AR453" s="574"/>
      <c r="AS453" s="574"/>
      <c r="AT453" s="574"/>
      <c r="AU453" s="574"/>
      <c r="AV453" s="574"/>
      <c r="AW453" s="574"/>
      <c r="AX453" s="574"/>
      <c r="AY453" s="574"/>
      <c r="AZ453" s="574"/>
      <c r="BA453" s="574"/>
      <c r="BB453" s="574"/>
      <c r="BC453" s="574"/>
      <c r="BD453" s="574"/>
      <c r="BE453" s="574"/>
      <c r="BF453" s="574"/>
      <c r="BG453" s="574"/>
      <c r="BH453" s="574"/>
      <c r="BI453" s="574"/>
      <c r="BJ453" s="574"/>
      <c r="BK453" s="574"/>
      <c r="BL453" s="574"/>
      <c r="BM453" s="574"/>
      <c r="BN453" s="574"/>
      <c r="BO453" s="574"/>
      <c r="BP453" s="574"/>
      <c r="BQ453" s="574"/>
      <c r="BR453" s="574"/>
      <c r="BS453" s="574"/>
      <c r="BT453" s="574"/>
      <c r="BU453" s="574"/>
      <c r="BV453" s="574"/>
      <c r="BW453" s="574"/>
      <c r="BX453" s="574"/>
      <c r="BY453" s="574"/>
      <c r="BZ453" s="574"/>
      <c r="CA453" s="574"/>
      <c r="CB453" s="574"/>
      <c r="CC453" s="574"/>
      <c r="CD453" s="574"/>
      <c r="CE453" s="574"/>
      <c r="CF453" s="574"/>
    </row>
    <row r="454" spans="1:84" s="583" customFormat="1" ht="23.1" customHeight="1" thickBot="1">
      <c r="A454" s="1483" t="s">
        <v>1097</v>
      </c>
      <c r="B454" s="1484"/>
      <c r="C454" s="1484"/>
      <c r="D454" s="1484"/>
      <c r="E454" s="1484"/>
      <c r="F454" s="1484"/>
      <c r="G454" s="1484"/>
      <c r="H454" s="1484"/>
      <c r="I454" s="581" t="s">
        <v>515</v>
      </c>
      <c r="J454" s="581"/>
      <c r="K454" s="581"/>
      <c r="L454" s="581"/>
      <c r="M454" s="581"/>
      <c r="N454" s="581"/>
      <c r="O454" s="581"/>
      <c r="P454" s="581"/>
      <c r="Q454" s="581"/>
      <c r="R454" s="581"/>
      <c r="S454" s="581"/>
      <c r="T454" s="581"/>
      <c r="U454" s="581"/>
      <c r="V454" s="581"/>
      <c r="W454" s="581"/>
      <c r="X454" s="581"/>
      <c r="Y454" s="581"/>
      <c r="Z454" s="581"/>
      <c r="AA454" s="581"/>
      <c r="AB454" s="581"/>
      <c r="AC454" s="581"/>
      <c r="AD454" s="581"/>
      <c r="AE454" s="581"/>
      <c r="AF454" s="581"/>
      <c r="AG454" s="581"/>
      <c r="AH454" s="581"/>
      <c r="AI454" s="581"/>
      <c r="AJ454" s="1484" t="s">
        <v>1099</v>
      </c>
      <c r="AK454" s="1484"/>
      <c r="AL454" s="1484"/>
      <c r="AM454" s="1484"/>
      <c r="AN454" s="1484"/>
      <c r="AO454" s="1484"/>
      <c r="AP454" s="1484"/>
      <c r="AQ454" s="581" t="s">
        <v>555</v>
      </c>
      <c r="AR454" s="581"/>
      <c r="AS454" s="581"/>
      <c r="AT454" s="581"/>
      <c r="AU454" s="581"/>
      <c r="AV454" s="581"/>
      <c r="AW454" s="581"/>
      <c r="AX454" s="581"/>
      <c r="AY454" s="581"/>
      <c r="AZ454" s="581"/>
      <c r="BA454" s="581"/>
      <c r="BB454" s="581"/>
      <c r="BC454" s="581"/>
      <c r="BD454" s="581"/>
      <c r="BE454" s="581"/>
      <c r="BF454" s="581"/>
      <c r="BG454" s="581"/>
      <c r="BH454" s="581"/>
      <c r="BI454" s="581"/>
      <c r="BJ454" s="581"/>
      <c r="BK454" s="581"/>
      <c r="BL454" s="581"/>
      <c r="BM454" s="581"/>
      <c r="BN454" s="581"/>
      <c r="BO454" s="581"/>
      <c r="BP454" s="581"/>
      <c r="BQ454" s="581"/>
      <c r="BR454" s="581"/>
      <c r="BS454" s="581"/>
      <c r="BT454" s="581" t="s">
        <v>1144</v>
      </c>
      <c r="BU454" s="581"/>
      <c r="BV454" s="581"/>
      <c r="BW454" s="581"/>
      <c r="BX454" s="581"/>
      <c r="BY454" s="581"/>
      <c r="BZ454" s="581"/>
      <c r="CA454" s="581"/>
      <c r="CB454" s="581"/>
      <c r="CC454" s="581"/>
      <c r="CD454" s="581"/>
      <c r="CE454" s="581"/>
      <c r="CF454" s="582"/>
    </row>
    <row r="455" spans="1:84" s="583" customFormat="1" ht="23.1" customHeight="1">
      <c r="A455" s="584"/>
      <c r="B455" s="585" t="s">
        <v>1102</v>
      </c>
      <c r="C455" s="585"/>
      <c r="D455" s="585"/>
      <c r="E455" s="585"/>
      <c r="F455" s="585"/>
      <c r="G455" s="585"/>
      <c r="H455" s="585"/>
      <c r="I455" s="585"/>
      <c r="J455" s="585"/>
      <c r="K455" s="585"/>
      <c r="L455" s="585"/>
      <c r="M455" s="585"/>
      <c r="N455" s="585"/>
      <c r="O455" s="585"/>
      <c r="P455" s="585"/>
      <c r="Q455" s="585"/>
      <c r="R455" s="585"/>
      <c r="S455" s="585"/>
      <c r="T455" s="585"/>
      <c r="U455" s="585"/>
      <c r="V455" s="585"/>
      <c r="W455" s="585"/>
      <c r="X455" s="585"/>
      <c r="Y455" s="585"/>
      <c r="Z455" s="585"/>
      <c r="AA455" s="585"/>
      <c r="AB455" s="585"/>
      <c r="AC455" s="585"/>
      <c r="AD455" s="585"/>
      <c r="AE455" s="585"/>
      <c r="AF455" s="585"/>
      <c r="AG455" s="585"/>
      <c r="AH455" s="585"/>
      <c r="AI455" s="585"/>
      <c r="AJ455" s="585"/>
      <c r="AK455" s="585"/>
      <c r="AL455" s="585"/>
      <c r="AM455" s="585"/>
      <c r="AN455" s="585"/>
      <c r="AO455" s="585"/>
      <c r="AP455" s="585"/>
      <c r="AQ455" s="585"/>
      <c r="AR455" s="585"/>
      <c r="AS455" s="585"/>
      <c r="AT455" s="585"/>
      <c r="AU455" s="585"/>
      <c r="AV455" s="585"/>
      <c r="AW455" s="585"/>
      <c r="AX455" s="585"/>
      <c r="AY455" s="585"/>
      <c r="AZ455" s="585"/>
      <c r="BA455" s="585"/>
      <c r="BB455" s="585"/>
      <c r="BC455" s="585"/>
      <c r="BD455" s="585"/>
      <c r="BE455" s="585"/>
      <c r="BF455" s="585"/>
      <c r="BG455" s="585"/>
      <c r="BH455" s="585"/>
      <c r="BI455" s="585"/>
      <c r="BJ455" s="585"/>
      <c r="BK455" s="585"/>
      <c r="BL455" s="585"/>
      <c r="BM455" s="585"/>
      <c r="BN455" s="585"/>
      <c r="BO455" s="585"/>
      <c r="BP455" s="585"/>
      <c r="BQ455" s="585"/>
      <c r="BR455" s="585"/>
      <c r="BS455" s="585"/>
      <c r="BT455" s="585"/>
      <c r="BU455" s="585"/>
      <c r="BV455" s="585"/>
      <c r="BW455" s="585"/>
      <c r="BX455" s="585"/>
      <c r="BY455" s="585"/>
      <c r="BZ455" s="585"/>
      <c r="CA455" s="585"/>
      <c r="CB455" s="585"/>
      <c r="CC455" s="585"/>
      <c r="CD455" s="585"/>
      <c r="CE455" s="585"/>
      <c r="CF455" s="586"/>
    </row>
    <row r="456" spans="1:84" s="583" customFormat="1" ht="23.1" customHeight="1">
      <c r="A456" s="587"/>
      <c r="B456" s="574"/>
      <c r="C456" s="574"/>
      <c r="D456" s="405"/>
      <c r="E456" s="574"/>
      <c r="F456" s="422"/>
      <c r="G456" s="422"/>
      <c r="H456" s="422"/>
      <c r="I456" s="422"/>
      <c r="J456" s="422"/>
      <c r="K456" s="422"/>
      <c r="L456" s="422"/>
      <c r="M456" s="422"/>
      <c r="N456" s="574"/>
      <c r="O456" s="574"/>
      <c r="P456" s="574"/>
      <c r="Q456" s="574"/>
      <c r="R456" s="574"/>
      <c r="S456" s="588"/>
      <c r="T456" s="588"/>
      <c r="U456" s="588"/>
      <c r="V456" s="588"/>
      <c r="W456" s="588"/>
      <c r="X456" s="588"/>
      <c r="Y456" s="588"/>
      <c r="Z456" s="588"/>
      <c r="AA456" s="574"/>
      <c r="AB456" s="588"/>
      <c r="AC456" s="585"/>
      <c r="AD456" s="585"/>
      <c r="AE456" s="600"/>
      <c r="AF456" s="600"/>
      <c r="AG456" s="600"/>
      <c r="AH456" s="600"/>
      <c r="AI456" s="600"/>
      <c r="AJ456" s="600"/>
      <c r="AK456" s="600"/>
      <c r="AL456" s="600"/>
      <c r="AM456" s="585"/>
      <c r="AN456" s="585"/>
      <c r="AO456" s="574"/>
      <c r="AP456" s="588"/>
      <c r="AQ456" s="588"/>
      <c r="AR456" s="588"/>
      <c r="AS456" s="588"/>
      <c r="AT456" s="588"/>
      <c r="AU456" s="588"/>
      <c r="AV456" s="588"/>
      <c r="AW456" s="588"/>
      <c r="AX456" s="588"/>
      <c r="AY456" s="588"/>
      <c r="AZ456" s="588"/>
      <c r="BA456" s="588"/>
      <c r="BB456" s="588"/>
      <c r="BC456" s="588"/>
      <c r="BD456" s="574"/>
      <c r="BE456" s="574"/>
      <c r="BF456" s="574"/>
      <c r="BG456" s="574"/>
      <c r="BH456" s="574"/>
      <c r="BI456" s="574"/>
      <c r="BJ456" s="574"/>
      <c r="BK456" s="574"/>
      <c r="BL456" s="574"/>
      <c r="BM456" s="574"/>
      <c r="BN456" s="574"/>
      <c r="BO456" s="574"/>
      <c r="BP456" s="574"/>
      <c r="BQ456" s="574"/>
      <c r="BR456" s="574"/>
      <c r="BS456" s="574"/>
      <c r="BT456" s="574"/>
      <c r="BU456" s="574"/>
      <c r="BV456" s="574"/>
      <c r="BW456" s="574"/>
      <c r="BX456" s="574"/>
      <c r="BY456" s="574"/>
      <c r="BZ456" s="574"/>
      <c r="CA456" s="574"/>
      <c r="CB456" s="574"/>
      <c r="CC456" s="574"/>
      <c r="CD456" s="574"/>
      <c r="CE456" s="574"/>
      <c r="CF456" s="589"/>
    </row>
    <row r="457" spans="1:84" s="583" customFormat="1" ht="23.1" customHeight="1">
      <c r="A457" s="584"/>
      <c r="B457" s="585"/>
      <c r="C457" s="585"/>
      <c r="D457" s="585"/>
      <c r="E457" s="585"/>
      <c r="F457" s="585"/>
      <c r="G457" s="585"/>
      <c r="H457" s="585"/>
      <c r="I457" s="585"/>
      <c r="J457" s="585"/>
      <c r="K457" s="585"/>
      <c r="L457" s="585"/>
      <c r="M457" s="585"/>
      <c r="N457" s="585"/>
      <c r="O457" s="585"/>
      <c r="P457" s="585"/>
      <c r="Q457" s="585"/>
      <c r="R457" s="585"/>
      <c r="S457" s="585"/>
      <c r="T457" s="585"/>
      <c r="U457" s="585"/>
      <c r="V457" s="590"/>
      <c r="W457" s="590"/>
      <c r="X457" s="590"/>
      <c r="Y457" s="590"/>
      <c r="Z457" s="590"/>
      <c r="AA457" s="590"/>
      <c r="AB457" s="590"/>
      <c r="AC457" s="590"/>
      <c r="AD457" s="574"/>
      <c r="AE457" s="1440">
        <v>35999000</v>
      </c>
      <c r="AF457" s="1440"/>
      <c r="AG457" s="1440"/>
      <c r="AH457" s="1440"/>
      <c r="AI457" s="1440"/>
      <c r="AJ457" s="1440"/>
      <c r="AK457" s="1440"/>
      <c r="AL457" s="1440"/>
      <c r="AM457" s="1440"/>
      <c r="AN457" s="1440"/>
      <c r="AO457" s="1440"/>
      <c r="AP457" s="1440"/>
      <c r="AQ457" s="1440"/>
      <c r="AR457" s="1440"/>
      <c r="AS457" s="1440"/>
      <c r="AT457" s="1431" t="s">
        <v>446</v>
      </c>
      <c r="AU457" s="1431"/>
      <c r="AV457" s="1441" t="s">
        <v>1103</v>
      </c>
      <c r="AW457" s="1441"/>
      <c r="AX457" s="1442">
        <v>2085</v>
      </c>
      <c r="AY457" s="1442"/>
      <c r="AZ457" s="1442"/>
      <c r="BA457" s="1442"/>
      <c r="BB457" s="1442"/>
      <c r="BC457" s="1442"/>
      <c r="BD457" s="585"/>
      <c r="BE457" s="1431" t="s">
        <v>446</v>
      </c>
      <c r="BF457" s="1431"/>
      <c r="BG457" s="585"/>
      <c r="BH457" s="591" t="s">
        <v>1104</v>
      </c>
      <c r="BI457" s="585"/>
      <c r="BJ457" s="585"/>
      <c r="BK457" s="585"/>
      <c r="BL457" s="1431" t="s">
        <v>1105</v>
      </c>
      <c r="BM457" s="1431"/>
      <c r="BN457" s="1431"/>
      <c r="BO457" s="585"/>
      <c r="BP457" s="1431" t="s">
        <v>41</v>
      </c>
      <c r="BQ457" s="1431"/>
      <c r="BR457" s="585"/>
      <c r="BS457" s="585"/>
      <c r="BT457" s="1437">
        <f>INT(AE457*AX457*10^-7)</f>
        <v>7505</v>
      </c>
      <c r="BU457" s="1437"/>
      <c r="BV457" s="1437"/>
      <c r="BW457" s="1437"/>
      <c r="BX457" s="1437"/>
      <c r="BY457" s="1437"/>
      <c r="BZ457" s="1437"/>
      <c r="CA457" s="1437"/>
      <c r="CB457" s="1437"/>
      <c r="CC457" s="1437"/>
      <c r="CD457" s="585"/>
      <c r="CE457" s="585"/>
      <c r="CF457" s="586"/>
    </row>
    <row r="458" spans="1:84" s="583" customFormat="1" ht="23.1" customHeight="1">
      <c r="A458" s="592"/>
      <c r="B458" s="593" t="s">
        <v>1106</v>
      </c>
      <c r="C458" s="593"/>
      <c r="D458" s="593"/>
      <c r="E458" s="593"/>
      <c r="F458" s="593"/>
      <c r="G458" s="593"/>
      <c r="H458" s="593"/>
      <c r="I458" s="593"/>
      <c r="J458" s="593"/>
      <c r="K458" s="593"/>
      <c r="L458" s="593"/>
      <c r="M458" s="593"/>
      <c r="N458" s="593"/>
      <c r="O458" s="593"/>
      <c r="P458" s="593"/>
      <c r="Q458" s="593"/>
      <c r="R458" s="593"/>
      <c r="S458" s="593"/>
      <c r="T458" s="593"/>
      <c r="U458" s="593"/>
      <c r="V458" s="593"/>
      <c r="W458" s="593"/>
      <c r="X458" s="593"/>
      <c r="Y458" s="593"/>
      <c r="Z458" s="593"/>
      <c r="AA458" s="593"/>
      <c r="AB458" s="593"/>
      <c r="AC458" s="593"/>
      <c r="AD458" s="593"/>
      <c r="AE458" s="593"/>
      <c r="AF458" s="593"/>
      <c r="AG458" s="593"/>
      <c r="AH458" s="593"/>
      <c r="AI458" s="593"/>
      <c r="AJ458" s="593"/>
      <c r="AK458" s="593"/>
      <c r="AL458" s="593"/>
      <c r="AM458" s="593"/>
      <c r="AN458" s="593"/>
      <c r="AO458" s="593"/>
      <c r="AP458" s="593"/>
      <c r="AQ458" s="593"/>
      <c r="AR458" s="593"/>
      <c r="AS458" s="593"/>
      <c r="AT458" s="593"/>
      <c r="AU458" s="593"/>
      <c r="AV458" s="593"/>
      <c r="AW458" s="593"/>
      <c r="AX458" s="593"/>
      <c r="AY458" s="593"/>
      <c r="AZ458" s="593"/>
      <c r="BA458" s="593"/>
      <c r="BB458" s="593"/>
      <c r="BC458" s="593"/>
      <c r="BD458" s="593"/>
      <c r="BE458" s="593"/>
      <c r="BF458" s="593"/>
      <c r="BG458" s="593"/>
      <c r="BH458" s="593"/>
      <c r="BI458" s="593"/>
      <c r="BJ458" s="593"/>
      <c r="BK458" s="593"/>
      <c r="BL458" s="593"/>
      <c r="BM458" s="593"/>
      <c r="BN458" s="593"/>
      <c r="BO458" s="593"/>
      <c r="BP458" s="593"/>
      <c r="BQ458" s="593"/>
      <c r="BR458" s="593"/>
      <c r="BS458" s="593"/>
      <c r="BT458" s="594"/>
      <c r="BU458" s="594"/>
      <c r="BV458" s="594"/>
      <c r="BW458" s="594"/>
      <c r="BX458" s="594"/>
      <c r="BY458" s="594"/>
      <c r="BZ458" s="594"/>
      <c r="CA458" s="594"/>
      <c r="CB458" s="594"/>
      <c r="CC458" s="594"/>
      <c r="CD458" s="593"/>
      <c r="CE458" s="593"/>
      <c r="CF458" s="595"/>
    </row>
    <row r="459" spans="1:84" s="583" customFormat="1" ht="23.1" customHeight="1">
      <c r="A459" s="584"/>
      <c r="B459" s="585"/>
      <c r="C459" s="585"/>
      <c r="D459" s="596" t="s">
        <v>268</v>
      </c>
      <c r="E459" s="585"/>
      <c r="F459" s="585"/>
      <c r="G459" s="585"/>
      <c r="H459" s="585"/>
      <c r="I459" s="585"/>
      <c r="J459" s="585"/>
      <c r="K459" s="585"/>
      <c r="L459" s="585"/>
      <c r="M459" s="585"/>
      <c r="N459" s="585"/>
      <c r="O459" s="585"/>
      <c r="P459" s="585"/>
      <c r="Q459" s="585"/>
      <c r="R459" s="585"/>
      <c r="S459" s="585"/>
      <c r="T459" s="574"/>
      <c r="U459" s="574"/>
      <c r="V459" s="1435">
        <f>HLOOKUP(D459,$CJ$1:$CM$3,3,0)</f>
        <v>283297</v>
      </c>
      <c r="W459" s="1435"/>
      <c r="X459" s="1435"/>
      <c r="Y459" s="1435"/>
      <c r="Z459" s="1435"/>
      <c r="AA459" s="1435"/>
      <c r="AB459" s="1435"/>
      <c r="AC459" s="1435"/>
      <c r="AD459" s="1435"/>
      <c r="AE459" s="1435"/>
      <c r="AF459" s="1431" t="s">
        <v>446</v>
      </c>
      <c r="AG459" s="1431"/>
      <c r="AH459" s="574"/>
      <c r="AI459" s="1436" t="s">
        <v>1107</v>
      </c>
      <c r="AJ459" s="1436"/>
      <c r="AK459" s="1436"/>
      <c r="AL459" s="1436"/>
      <c r="AM459" s="585"/>
      <c r="AN459" s="1431" t="s">
        <v>446</v>
      </c>
      <c r="AO459" s="1431"/>
      <c r="AP459" s="585"/>
      <c r="AQ459" s="1436" t="s">
        <v>1108</v>
      </c>
      <c r="AR459" s="1436"/>
      <c r="AS459" s="1436"/>
      <c r="AT459" s="1436"/>
      <c r="AU459" s="1436"/>
      <c r="AV459" s="422"/>
      <c r="AW459" s="1431" t="s">
        <v>446</v>
      </c>
      <c r="AX459" s="1431"/>
      <c r="AY459" s="440"/>
      <c r="AZ459" s="1436" t="s">
        <v>1109</v>
      </c>
      <c r="BA459" s="1436"/>
      <c r="BB459" s="1436"/>
      <c r="BC459" s="1436"/>
      <c r="BD459" s="1436"/>
      <c r="BE459" s="585"/>
      <c r="BF459" s="1431" t="s">
        <v>446</v>
      </c>
      <c r="BG459" s="1431"/>
      <c r="BH459" s="1431">
        <v>1</v>
      </c>
      <c r="BI459" s="1431"/>
      <c r="BJ459" s="1431"/>
      <c r="BK459" s="585"/>
      <c r="BL459" s="585" t="s">
        <v>366</v>
      </c>
      <c r="BM459" s="585"/>
      <c r="BN459" s="585"/>
      <c r="BO459" s="585"/>
      <c r="BP459" s="1431" t="s">
        <v>41</v>
      </c>
      <c r="BQ459" s="1431"/>
      <c r="BR459" s="585"/>
      <c r="BS459" s="585"/>
      <c r="BT459" s="1432">
        <f>INT(V459/8*(16/12)*(25/20)*BH459)</f>
        <v>59020</v>
      </c>
      <c r="BU459" s="1432"/>
      <c r="BV459" s="1432"/>
      <c r="BW459" s="1432"/>
      <c r="BX459" s="1432"/>
      <c r="BY459" s="1432"/>
      <c r="BZ459" s="1432"/>
      <c r="CA459" s="1432"/>
      <c r="CB459" s="1432"/>
      <c r="CC459" s="1432"/>
      <c r="CD459" s="585"/>
      <c r="CE459" s="585"/>
      <c r="CF459" s="586"/>
    </row>
    <row r="460" spans="1:84" s="583" customFormat="1" ht="23.1" customHeight="1">
      <c r="A460" s="584"/>
      <c r="B460" s="585"/>
      <c r="C460" s="585"/>
      <c r="D460" s="585"/>
      <c r="E460" s="585"/>
      <c r="F460" s="585"/>
      <c r="G460" s="585"/>
      <c r="H460" s="585"/>
      <c r="I460" s="585"/>
      <c r="J460" s="585"/>
      <c r="K460" s="585"/>
      <c r="L460" s="585"/>
      <c r="M460" s="585"/>
      <c r="N460" s="585"/>
      <c r="O460" s="585"/>
      <c r="P460" s="574"/>
      <c r="Q460" s="574"/>
      <c r="R460" s="574"/>
      <c r="S460" s="574"/>
      <c r="T460" s="574"/>
      <c r="U460" s="574"/>
      <c r="V460" s="574"/>
      <c r="W460" s="574"/>
      <c r="X460" s="574"/>
      <c r="Y460" s="574"/>
      <c r="Z460" s="574"/>
      <c r="AA460" s="574"/>
      <c r="AB460" s="574"/>
      <c r="AC460" s="574"/>
      <c r="AD460" s="574"/>
      <c r="AE460" s="574"/>
      <c r="AF460" s="574"/>
      <c r="AG460" s="574"/>
      <c r="AH460" s="574"/>
      <c r="AI460" s="574"/>
      <c r="AJ460" s="574"/>
      <c r="AK460" s="574"/>
      <c r="AL460" s="574"/>
      <c r="AM460" s="574"/>
      <c r="AN460" s="574"/>
      <c r="AO460" s="574"/>
      <c r="AP460" s="574"/>
      <c r="AQ460" s="574"/>
      <c r="AR460" s="574"/>
      <c r="AS460" s="574"/>
      <c r="AT460" s="574"/>
      <c r="AU460" s="574"/>
      <c r="AV460" s="574"/>
      <c r="AW460" s="574"/>
      <c r="AX460" s="574"/>
      <c r="AY460" s="574"/>
      <c r="AZ460" s="574"/>
      <c r="BA460" s="574"/>
      <c r="BB460" s="574"/>
      <c r="BC460" s="574"/>
      <c r="BD460" s="574"/>
      <c r="BE460" s="574"/>
      <c r="BF460" s="574"/>
      <c r="BG460" s="585"/>
      <c r="BH460" s="585"/>
      <c r="BI460" s="585"/>
      <c r="BJ460" s="585"/>
      <c r="BK460" s="585"/>
      <c r="BL460" s="585"/>
      <c r="BM460" s="585"/>
      <c r="BN460" s="585"/>
      <c r="BO460" s="585"/>
      <c r="BP460" s="1431"/>
      <c r="BQ460" s="1431"/>
      <c r="BR460" s="585"/>
      <c r="BS460" s="585"/>
      <c r="BT460" s="1432"/>
      <c r="BU460" s="1432"/>
      <c r="BV460" s="1432"/>
      <c r="BW460" s="1432"/>
      <c r="BX460" s="1432"/>
      <c r="BY460" s="1432"/>
      <c r="BZ460" s="1432"/>
      <c r="CA460" s="1432"/>
      <c r="CB460" s="1432"/>
      <c r="CC460" s="1432"/>
      <c r="CD460" s="585"/>
      <c r="CE460" s="585"/>
      <c r="CF460" s="586"/>
    </row>
    <row r="461" spans="1:84" s="583" customFormat="1" ht="23.1" customHeight="1">
      <c r="A461" s="584"/>
      <c r="B461" s="585"/>
      <c r="C461" s="585"/>
      <c r="D461" s="585"/>
      <c r="E461" s="585"/>
      <c r="F461" s="585"/>
      <c r="G461" s="585"/>
      <c r="H461" s="585"/>
      <c r="I461" s="585"/>
      <c r="J461" s="585"/>
      <c r="K461" s="585"/>
      <c r="L461" s="585"/>
      <c r="M461" s="585"/>
      <c r="N461" s="585"/>
      <c r="O461" s="585"/>
      <c r="P461" s="585"/>
      <c r="Q461" s="585"/>
      <c r="R461" s="585"/>
      <c r="S461" s="585"/>
      <c r="T461" s="585"/>
      <c r="U461" s="585"/>
      <c r="V461" s="585"/>
      <c r="W461" s="585"/>
      <c r="X461" s="585"/>
      <c r="Y461" s="585"/>
      <c r="Z461" s="585"/>
      <c r="AA461" s="585"/>
      <c r="AB461" s="585"/>
      <c r="AC461" s="585"/>
      <c r="AD461" s="574"/>
      <c r="AE461" s="574"/>
      <c r="AF461" s="574"/>
      <c r="AG461" s="574"/>
      <c r="AH461" s="574"/>
      <c r="AI461" s="574"/>
      <c r="AJ461" s="574"/>
      <c r="AK461" s="574"/>
      <c r="AL461" s="574"/>
      <c r="AM461" s="574"/>
      <c r="AN461" s="574"/>
      <c r="AO461" s="574"/>
      <c r="AP461" s="574"/>
      <c r="AQ461" s="574"/>
      <c r="AR461" s="574"/>
      <c r="AS461" s="585"/>
      <c r="AT461" s="590"/>
      <c r="AU461" s="590"/>
      <c r="AV461" s="585"/>
      <c r="AW461" s="585"/>
      <c r="AX461" s="585"/>
      <c r="AY461" s="585"/>
      <c r="AZ461" s="585"/>
      <c r="BA461" s="585"/>
      <c r="BB461" s="585"/>
      <c r="BC461" s="585"/>
      <c r="BD461" s="585"/>
      <c r="BE461" s="585"/>
      <c r="BF461" s="585"/>
      <c r="BG461" s="585"/>
      <c r="BH461" s="585"/>
      <c r="BI461" s="585"/>
      <c r="BJ461" s="585"/>
      <c r="BK461" s="585"/>
      <c r="BL461" s="585"/>
      <c r="BM461" s="585"/>
      <c r="BN461" s="585"/>
      <c r="BO461" s="585"/>
      <c r="BP461" s="1431" t="s">
        <v>41</v>
      </c>
      <c r="BQ461" s="1431"/>
      <c r="BR461" s="585"/>
      <c r="BS461" s="585"/>
      <c r="BT461" s="1434">
        <f>BT459+BT460</f>
        <v>59020</v>
      </c>
      <c r="BU461" s="1434"/>
      <c r="BV461" s="1434"/>
      <c r="BW461" s="1434"/>
      <c r="BX461" s="1434"/>
      <c r="BY461" s="1434"/>
      <c r="BZ461" s="1434"/>
      <c r="CA461" s="1434"/>
      <c r="CB461" s="1434"/>
      <c r="CC461" s="1434"/>
      <c r="CD461" s="585"/>
      <c r="CE461" s="585"/>
      <c r="CF461" s="586"/>
    </row>
    <row r="462" spans="1:84" s="583" customFormat="1" ht="23.1" customHeight="1">
      <c r="A462" s="592"/>
      <c r="B462" s="593" t="s">
        <v>1110</v>
      </c>
      <c r="C462" s="593"/>
      <c r="D462" s="593"/>
      <c r="E462" s="593"/>
      <c r="F462" s="593"/>
      <c r="G462" s="593"/>
      <c r="H462" s="593"/>
      <c r="I462" s="593"/>
      <c r="J462" s="593"/>
      <c r="K462" s="593"/>
      <c r="L462" s="593"/>
      <c r="M462" s="593"/>
      <c r="N462" s="593"/>
      <c r="O462" s="593"/>
      <c r="P462" s="593"/>
      <c r="Q462" s="593"/>
      <c r="R462" s="593"/>
      <c r="S462" s="593"/>
      <c r="T462" s="593"/>
      <c r="U462" s="593"/>
      <c r="V462" s="593"/>
      <c r="W462" s="593"/>
      <c r="X462" s="593"/>
      <c r="Y462" s="593"/>
      <c r="Z462" s="593"/>
      <c r="AA462" s="593"/>
      <c r="AB462" s="593"/>
      <c r="AC462" s="593"/>
      <c r="AD462" s="593"/>
      <c r="AE462" s="593"/>
      <c r="AF462" s="593"/>
      <c r="AG462" s="593"/>
      <c r="AH462" s="593"/>
      <c r="AI462" s="593"/>
      <c r="AJ462" s="593"/>
      <c r="AK462" s="593"/>
      <c r="AL462" s="593"/>
      <c r="AM462" s="593"/>
      <c r="AN462" s="593"/>
      <c r="AO462" s="593"/>
      <c r="AP462" s="593"/>
      <c r="AQ462" s="593"/>
      <c r="AR462" s="593"/>
      <c r="AS462" s="593"/>
      <c r="AT462" s="593"/>
      <c r="AU462" s="593"/>
      <c r="AV462" s="593"/>
      <c r="AW462" s="593"/>
      <c r="AX462" s="593"/>
      <c r="AY462" s="593"/>
      <c r="AZ462" s="593"/>
      <c r="BA462" s="593"/>
      <c r="BB462" s="593"/>
      <c r="BC462" s="593"/>
      <c r="BD462" s="593"/>
      <c r="BE462" s="593"/>
      <c r="BF462" s="593"/>
      <c r="BG462" s="593"/>
      <c r="BH462" s="593"/>
      <c r="BI462" s="593"/>
      <c r="BJ462" s="593"/>
      <c r="BK462" s="593"/>
      <c r="BL462" s="593"/>
      <c r="BM462" s="593"/>
      <c r="BN462" s="593"/>
      <c r="BO462" s="593"/>
      <c r="BP462" s="593"/>
      <c r="BQ462" s="593"/>
      <c r="BR462" s="593"/>
      <c r="BS462" s="593"/>
      <c r="BT462" s="593"/>
      <c r="BU462" s="593"/>
      <c r="BV462" s="593"/>
      <c r="BW462" s="593"/>
      <c r="BX462" s="593"/>
      <c r="BY462" s="593"/>
      <c r="BZ462" s="593"/>
      <c r="CA462" s="593"/>
      <c r="CB462" s="593"/>
      <c r="CC462" s="593"/>
      <c r="CD462" s="593"/>
      <c r="CE462" s="593"/>
      <c r="CF462" s="595"/>
    </row>
    <row r="463" spans="1:84" s="583" customFormat="1" ht="23.1" customHeight="1">
      <c r="A463" s="584"/>
      <c r="B463" s="585"/>
      <c r="C463" s="585"/>
      <c r="D463" s="596" t="s">
        <v>1094</v>
      </c>
      <c r="E463" s="585"/>
      <c r="F463" s="585"/>
      <c r="G463" s="585"/>
      <c r="H463" s="585"/>
      <c r="I463" s="585"/>
      <c r="J463" s="585"/>
      <c r="K463" s="585"/>
      <c r="L463" s="585"/>
      <c r="M463" s="585"/>
      <c r="N463" s="585"/>
      <c r="O463" s="585"/>
      <c r="P463" s="585"/>
      <c r="Q463" s="585"/>
      <c r="R463" s="585"/>
      <c r="S463" s="585"/>
      <c r="T463" s="585"/>
      <c r="U463" s="585"/>
      <c r="V463" s="585"/>
      <c r="W463" s="585"/>
      <c r="X463" s="585"/>
      <c r="Y463" s="585"/>
      <c r="Z463" s="585"/>
      <c r="AA463" s="585"/>
      <c r="AB463" s="585"/>
      <c r="AC463" s="585"/>
      <c r="AD463" s="585"/>
      <c r="AE463" s="585"/>
      <c r="AF463" s="585"/>
      <c r="AG463" s="585"/>
      <c r="AH463" s="585"/>
      <c r="AI463" s="585"/>
      <c r="AJ463" s="585"/>
      <c r="AK463" s="585"/>
      <c r="AL463" s="585"/>
      <c r="AM463" s="585"/>
      <c r="AN463" s="585"/>
      <c r="AO463" s="585"/>
      <c r="AP463" s="585"/>
      <c r="AQ463" s="585"/>
      <c r="AR463" s="422"/>
      <c r="AS463" s="1435" t="e">
        <f>HLOOKUP(D463,$CN$1:$CO$3,3,0)</f>
        <v>#REF!</v>
      </c>
      <c r="AT463" s="1435"/>
      <c r="AU463" s="1435"/>
      <c r="AV463" s="1435"/>
      <c r="AW463" s="1435"/>
      <c r="AX463" s="1435"/>
      <c r="AY463" s="1435"/>
      <c r="AZ463" s="1435"/>
      <c r="BA463" s="1435"/>
      <c r="BB463" s="1435"/>
      <c r="BC463" s="585"/>
      <c r="BD463" s="1431" t="s">
        <v>446</v>
      </c>
      <c r="BE463" s="1431"/>
      <c r="BF463" s="585"/>
      <c r="BG463" s="1431">
        <v>3.5</v>
      </c>
      <c r="BH463" s="1431"/>
      <c r="BI463" s="1431"/>
      <c r="BJ463" s="1431"/>
      <c r="BK463" s="1431"/>
      <c r="BL463" s="585" t="s">
        <v>1111</v>
      </c>
      <c r="BM463" s="585"/>
      <c r="BN463" s="585"/>
      <c r="BO463" s="585"/>
      <c r="BP463" s="1431" t="s">
        <v>41</v>
      </c>
      <c r="BQ463" s="1431"/>
      <c r="BR463" s="585"/>
      <c r="BS463" s="585"/>
      <c r="BT463" s="1432" t="e">
        <f>INT(AS463*BG463)</f>
        <v>#REF!</v>
      </c>
      <c r="BU463" s="1432"/>
      <c r="BV463" s="1432"/>
      <c r="BW463" s="1432"/>
      <c r="BX463" s="1432"/>
      <c r="BY463" s="1432"/>
      <c r="BZ463" s="1432"/>
      <c r="CA463" s="1432"/>
      <c r="CB463" s="1432"/>
      <c r="CC463" s="1432"/>
      <c r="CD463" s="585"/>
      <c r="CE463" s="585"/>
      <c r="CF463" s="586"/>
    </row>
    <row r="464" spans="1:84" s="583" customFormat="1" ht="23.1" customHeight="1">
      <c r="A464" s="584"/>
      <c r="B464" s="585"/>
      <c r="C464" s="585"/>
      <c r="D464" s="591" t="str">
        <f>"잡재료 (주연료의 "&amp;BG464&amp;"%) :"</f>
        <v>잡재료 (주연료의 44%) :</v>
      </c>
      <c r="E464" s="585"/>
      <c r="F464" s="585"/>
      <c r="G464" s="585"/>
      <c r="H464" s="585"/>
      <c r="I464" s="585"/>
      <c r="J464" s="585"/>
      <c r="K464" s="585"/>
      <c r="L464" s="585"/>
      <c r="M464" s="585"/>
      <c r="N464" s="585"/>
      <c r="O464" s="585"/>
      <c r="P464" s="585"/>
      <c r="Q464" s="585"/>
      <c r="R464" s="585"/>
      <c r="S464" s="585"/>
      <c r="T464" s="585"/>
      <c r="U464" s="585"/>
      <c r="V464" s="585"/>
      <c r="W464" s="585"/>
      <c r="X464" s="585"/>
      <c r="Y464" s="585"/>
      <c r="Z464" s="585"/>
      <c r="AA464" s="585"/>
      <c r="AB464" s="585"/>
      <c r="AC464" s="585"/>
      <c r="AD464" s="585"/>
      <c r="AE464" s="585"/>
      <c r="AF464" s="585"/>
      <c r="AG464" s="585"/>
      <c r="AH464" s="585"/>
      <c r="AI464" s="585"/>
      <c r="AJ464" s="585"/>
      <c r="AK464" s="585"/>
      <c r="AL464" s="585"/>
      <c r="AM464" s="585"/>
      <c r="AN464" s="585"/>
      <c r="AO464" s="585"/>
      <c r="AP464" s="585"/>
      <c r="AQ464" s="585"/>
      <c r="AR464" s="422" t="e">
        <f>BT463</f>
        <v>#REF!</v>
      </c>
      <c r="AS464" s="1430" t="e">
        <f>BT463</f>
        <v>#REF!</v>
      </c>
      <c r="AT464" s="1430"/>
      <c r="AU464" s="1430"/>
      <c r="AV464" s="1430"/>
      <c r="AW464" s="1430"/>
      <c r="AX464" s="1430"/>
      <c r="AY464" s="1430"/>
      <c r="AZ464" s="1430"/>
      <c r="BA464" s="1430"/>
      <c r="BB464" s="1430"/>
      <c r="BC464" s="585"/>
      <c r="BD464" s="1431" t="s">
        <v>446</v>
      </c>
      <c r="BE464" s="1431"/>
      <c r="BF464" s="585"/>
      <c r="BG464" s="1431">
        <v>44</v>
      </c>
      <c r="BH464" s="1431"/>
      <c r="BI464" s="1431"/>
      <c r="BJ464" s="1431"/>
      <c r="BK464" s="1431"/>
      <c r="BL464" s="585" t="s">
        <v>1112</v>
      </c>
      <c r="BM464" s="585"/>
      <c r="BN464" s="585"/>
      <c r="BO464" s="585"/>
      <c r="BP464" s="1431" t="s">
        <v>41</v>
      </c>
      <c r="BQ464" s="1431"/>
      <c r="BR464" s="585"/>
      <c r="BS464" s="585"/>
      <c r="BT464" s="1432" t="e">
        <f>INT(AS464*BG464/100)</f>
        <v>#REF!</v>
      </c>
      <c r="BU464" s="1432"/>
      <c r="BV464" s="1432"/>
      <c r="BW464" s="1432"/>
      <c r="BX464" s="1432"/>
      <c r="BY464" s="1432"/>
      <c r="BZ464" s="1432"/>
      <c r="CA464" s="1432"/>
      <c r="CB464" s="1432"/>
      <c r="CC464" s="1432"/>
      <c r="CD464" s="585"/>
      <c r="CE464" s="585"/>
      <c r="CF464" s="586"/>
    </row>
    <row r="465" spans="1:85" s="583" customFormat="1" ht="23.1" customHeight="1" thickBot="1">
      <c r="A465" s="584"/>
      <c r="B465" s="585"/>
      <c r="C465" s="585"/>
      <c r="D465" s="585"/>
      <c r="E465" s="585"/>
      <c r="F465" s="585"/>
      <c r="G465" s="585"/>
      <c r="H465" s="585"/>
      <c r="I465" s="585"/>
      <c r="J465" s="585"/>
      <c r="K465" s="585"/>
      <c r="L465" s="585"/>
      <c r="M465" s="585"/>
      <c r="N465" s="585"/>
      <c r="O465" s="585"/>
      <c r="P465" s="585"/>
      <c r="Q465" s="585"/>
      <c r="R465" s="585"/>
      <c r="S465" s="585"/>
      <c r="T465" s="585"/>
      <c r="U465" s="585"/>
      <c r="V465" s="585"/>
      <c r="W465" s="585"/>
      <c r="X465" s="585"/>
      <c r="Y465" s="585"/>
      <c r="Z465" s="585"/>
      <c r="AA465" s="585"/>
      <c r="AB465" s="585"/>
      <c r="AC465" s="585"/>
      <c r="AD465" s="585"/>
      <c r="AE465" s="585"/>
      <c r="AF465" s="585"/>
      <c r="AG465" s="585"/>
      <c r="AH465" s="585"/>
      <c r="AI465" s="585"/>
      <c r="AJ465" s="585"/>
      <c r="AK465" s="585"/>
      <c r="AL465" s="585"/>
      <c r="AM465" s="585"/>
      <c r="AN465" s="585"/>
      <c r="AO465" s="585"/>
      <c r="AP465" s="585"/>
      <c r="AQ465" s="585"/>
      <c r="AR465" s="585"/>
      <c r="AS465" s="585"/>
      <c r="AT465" s="585"/>
      <c r="AU465" s="585"/>
      <c r="AV465" s="585"/>
      <c r="AW465" s="585"/>
      <c r="AX465" s="585"/>
      <c r="AY465" s="585"/>
      <c r="AZ465" s="585"/>
      <c r="BA465" s="585"/>
      <c r="BB465" s="585"/>
      <c r="BC465" s="585"/>
      <c r="BD465" s="585"/>
      <c r="BE465" s="585"/>
      <c r="BF465" s="585"/>
      <c r="BG465" s="585"/>
      <c r="BH465" s="585"/>
      <c r="BI465" s="585"/>
      <c r="BJ465" s="585"/>
      <c r="BK465" s="585"/>
      <c r="BL465" s="585"/>
      <c r="BM465" s="585"/>
      <c r="BN465" s="585"/>
      <c r="BO465" s="585"/>
      <c r="BP465" s="1431" t="s">
        <v>41</v>
      </c>
      <c r="BQ465" s="1431"/>
      <c r="BR465" s="585"/>
      <c r="BS465" s="585"/>
      <c r="BT465" s="1433" t="e">
        <f>BT463+BT464</f>
        <v>#REF!</v>
      </c>
      <c r="BU465" s="1433"/>
      <c r="BV465" s="1433"/>
      <c r="BW465" s="1433"/>
      <c r="BX465" s="1433"/>
      <c r="BY465" s="1433"/>
      <c r="BZ465" s="1433"/>
      <c r="CA465" s="1433"/>
      <c r="CB465" s="1433"/>
      <c r="CC465" s="1433"/>
      <c r="CD465" s="585"/>
      <c r="CE465" s="585"/>
      <c r="CF465" s="586"/>
    </row>
    <row r="466" spans="1:85" s="583" customFormat="1" ht="23.1" customHeight="1" thickBot="1">
      <c r="A466" s="597"/>
      <c r="B466" s="598" t="s">
        <v>1113</v>
      </c>
      <c r="C466" s="598"/>
      <c r="D466" s="598"/>
      <c r="E466" s="598"/>
      <c r="F466" s="598"/>
      <c r="G466" s="598"/>
      <c r="H466" s="598"/>
      <c r="I466" s="598"/>
      <c r="J466" s="598"/>
      <c r="K466" s="598"/>
      <c r="L466" s="598"/>
      <c r="M466" s="598"/>
      <c r="N466" s="598"/>
      <c r="O466" s="598"/>
      <c r="P466" s="598"/>
      <c r="Q466" s="598"/>
      <c r="R466" s="598"/>
      <c r="S466" s="598"/>
      <c r="T466" s="598"/>
      <c r="U466" s="598"/>
      <c r="V466" s="598"/>
      <c r="W466" s="598"/>
      <c r="X466" s="598"/>
      <c r="Y466" s="598"/>
      <c r="Z466" s="598"/>
      <c r="AA466" s="598"/>
      <c r="AB466" s="598"/>
      <c r="AC466" s="598"/>
      <c r="AD466" s="598"/>
      <c r="AE466" s="598"/>
      <c r="AF466" s="598"/>
      <c r="AG466" s="598"/>
      <c r="AH466" s="598"/>
      <c r="AI466" s="598"/>
      <c r="AJ466" s="598"/>
      <c r="AK466" s="598"/>
      <c r="AL466" s="598"/>
      <c r="AM466" s="598"/>
      <c r="AN466" s="598"/>
      <c r="AO466" s="598"/>
      <c r="AP466" s="598"/>
      <c r="AQ466" s="598"/>
      <c r="AR466" s="598"/>
      <c r="AS466" s="598"/>
      <c r="AT466" s="598"/>
      <c r="AU466" s="598"/>
      <c r="AV466" s="598"/>
      <c r="AW466" s="598"/>
      <c r="AX466" s="598"/>
      <c r="AY466" s="598"/>
      <c r="AZ466" s="598"/>
      <c r="BA466" s="598"/>
      <c r="BB466" s="598"/>
      <c r="BC466" s="598"/>
      <c r="BD466" s="598"/>
      <c r="BE466" s="598"/>
      <c r="BF466" s="598"/>
      <c r="BG466" s="598"/>
      <c r="BH466" s="598"/>
      <c r="BI466" s="598"/>
      <c r="BJ466" s="598"/>
      <c r="BK466" s="598"/>
      <c r="BL466" s="598"/>
      <c r="BM466" s="598"/>
      <c r="BN466" s="598"/>
      <c r="BO466" s="598"/>
      <c r="BP466" s="598"/>
      <c r="BQ466" s="598"/>
      <c r="BR466" s="598"/>
      <c r="BS466" s="598"/>
      <c r="BT466" s="1429" t="e">
        <f>BT457+BT461+BT465</f>
        <v>#REF!</v>
      </c>
      <c r="BU466" s="1429"/>
      <c r="BV466" s="1429"/>
      <c r="BW466" s="1429"/>
      <c r="BX466" s="1429"/>
      <c r="BY466" s="1429"/>
      <c r="BZ466" s="1429"/>
      <c r="CA466" s="1429"/>
      <c r="CB466" s="1429"/>
      <c r="CC466" s="1429"/>
      <c r="CD466" s="598"/>
      <c r="CE466" s="598"/>
      <c r="CF466" s="599"/>
    </row>
    <row r="467" spans="1:85" s="583" customFormat="1" ht="9.9499999999999993" customHeight="1">
      <c r="A467" s="574"/>
      <c r="B467" s="574"/>
      <c r="C467" s="574"/>
      <c r="D467" s="574"/>
      <c r="E467" s="574"/>
      <c r="F467" s="574"/>
      <c r="G467" s="574"/>
      <c r="H467" s="574"/>
      <c r="I467" s="574"/>
      <c r="J467" s="574"/>
      <c r="K467" s="574"/>
      <c r="L467" s="574"/>
      <c r="M467" s="574"/>
      <c r="N467" s="574"/>
      <c r="O467" s="574"/>
      <c r="P467" s="574"/>
      <c r="Q467" s="574"/>
      <c r="R467" s="574"/>
      <c r="S467" s="574"/>
      <c r="T467" s="574"/>
      <c r="U467" s="574"/>
      <c r="V467" s="574"/>
      <c r="W467" s="574"/>
      <c r="X467" s="574"/>
      <c r="Y467" s="574"/>
      <c r="Z467" s="574"/>
      <c r="AA467" s="574"/>
      <c r="AB467" s="574"/>
      <c r="AC467" s="574"/>
      <c r="AD467" s="574"/>
      <c r="AE467" s="574"/>
      <c r="AF467" s="574"/>
      <c r="AG467" s="574"/>
      <c r="AH467" s="574"/>
      <c r="AI467" s="574"/>
      <c r="AJ467" s="574"/>
      <c r="AK467" s="574"/>
      <c r="AL467" s="574"/>
      <c r="AM467" s="574"/>
      <c r="AN467" s="574"/>
      <c r="AO467" s="574"/>
      <c r="AP467" s="574"/>
      <c r="AQ467" s="574"/>
      <c r="AR467" s="574"/>
      <c r="AS467" s="574"/>
      <c r="AT467" s="574"/>
      <c r="AU467" s="574"/>
      <c r="AV467" s="574"/>
      <c r="AW467" s="574"/>
      <c r="AX467" s="574"/>
      <c r="AY467" s="574"/>
      <c r="AZ467" s="574"/>
      <c r="BA467" s="574"/>
      <c r="BB467" s="574"/>
      <c r="BC467" s="574"/>
      <c r="BD467" s="574"/>
      <c r="BE467" s="574"/>
      <c r="BF467" s="574"/>
      <c r="BG467" s="574"/>
      <c r="BH467" s="574"/>
      <c r="BI467" s="574"/>
      <c r="BJ467" s="574"/>
      <c r="BK467" s="574"/>
      <c r="BL467" s="574"/>
      <c r="BM467" s="574"/>
      <c r="BN467" s="574"/>
      <c r="BO467" s="574"/>
      <c r="BP467" s="574"/>
      <c r="BQ467" s="574"/>
      <c r="BR467" s="574"/>
      <c r="BS467" s="574"/>
      <c r="BT467" s="574"/>
      <c r="BU467" s="574"/>
      <c r="BV467" s="574"/>
      <c r="BW467" s="574"/>
      <c r="BX467" s="574"/>
      <c r="BY467" s="574"/>
      <c r="BZ467" s="574"/>
      <c r="CA467" s="574"/>
      <c r="CB467" s="574"/>
      <c r="CC467" s="574"/>
      <c r="CD467" s="574"/>
      <c r="CE467" s="574"/>
      <c r="CF467" s="574"/>
    </row>
    <row r="468" spans="1:85" s="583" customFormat="1" ht="23.1" customHeight="1" thickBot="1">
      <c r="A468" s="1446" t="s">
        <v>1095</v>
      </c>
      <c r="B468" s="1446"/>
      <c r="C468" s="1446"/>
      <c r="D468" s="1446"/>
      <c r="E468" s="1446"/>
      <c r="F468" s="1446"/>
      <c r="G468" s="1447">
        <f>G453+1</f>
        <v>32</v>
      </c>
      <c r="H468" s="1447"/>
      <c r="I468" s="1447"/>
      <c r="J468" s="1448" t="s">
        <v>1096</v>
      </c>
      <c r="K468" s="1448"/>
      <c r="L468" s="574"/>
      <c r="M468" s="574"/>
      <c r="N468" s="574"/>
      <c r="O468" s="574"/>
      <c r="P468" s="574"/>
      <c r="Q468" s="574"/>
      <c r="R468" s="574"/>
      <c r="S468" s="574"/>
      <c r="T468" s="574"/>
      <c r="U468" s="574"/>
      <c r="V468" s="574"/>
      <c r="W468" s="574"/>
      <c r="X468" s="574"/>
      <c r="Y468" s="574"/>
      <c r="Z468" s="574"/>
      <c r="AA468" s="574"/>
      <c r="AB468" s="574"/>
      <c r="AC468" s="574"/>
      <c r="AD468" s="574"/>
      <c r="AE468" s="574"/>
      <c r="AF468" s="574"/>
      <c r="AG468" s="574"/>
      <c r="AH468" s="574"/>
      <c r="AI468" s="574"/>
      <c r="AJ468" s="574"/>
      <c r="AK468" s="574"/>
      <c r="AL468" s="574"/>
      <c r="AM468" s="574"/>
      <c r="AN468" s="574"/>
      <c r="AO468" s="574"/>
      <c r="AP468" s="574"/>
      <c r="AQ468" s="574"/>
      <c r="AR468" s="574"/>
      <c r="AS468" s="574"/>
      <c r="AT468" s="574"/>
      <c r="AU468" s="574"/>
      <c r="AV468" s="574"/>
      <c r="AW468" s="574"/>
      <c r="AX468" s="574"/>
      <c r="AY468" s="574"/>
      <c r="AZ468" s="574"/>
      <c r="BA468" s="574"/>
      <c r="BB468" s="574"/>
      <c r="BC468" s="574"/>
      <c r="BD468" s="574"/>
      <c r="BE468" s="574"/>
      <c r="BF468" s="574"/>
      <c r="BG468" s="574"/>
      <c r="BH468" s="574"/>
      <c r="BI468" s="574"/>
      <c r="BJ468" s="574"/>
      <c r="BK468" s="574"/>
      <c r="BL468" s="574"/>
      <c r="BM468" s="574"/>
      <c r="BN468" s="574"/>
      <c r="BO468" s="574"/>
      <c r="BP468" s="574"/>
      <c r="BQ468" s="574"/>
      <c r="BR468" s="574"/>
      <c r="BS468" s="574"/>
      <c r="BT468" s="574"/>
      <c r="BU468" s="574"/>
      <c r="BV468" s="574"/>
      <c r="BW468" s="574"/>
      <c r="BX468" s="574"/>
      <c r="BY468" s="574"/>
      <c r="BZ468" s="574"/>
      <c r="CA468" s="574"/>
      <c r="CB468" s="574"/>
      <c r="CC468" s="574"/>
      <c r="CD468" s="574"/>
      <c r="CE468" s="574"/>
      <c r="CF468" s="574"/>
      <c r="CG468" s="583" t="s">
        <v>1145</v>
      </c>
    </row>
    <row r="469" spans="1:85" s="583" customFormat="1" ht="23.1" customHeight="1" thickBot="1">
      <c r="A469" s="1483" t="s">
        <v>1097</v>
      </c>
      <c r="B469" s="1484"/>
      <c r="C469" s="1484"/>
      <c r="D469" s="1484"/>
      <c r="E469" s="1484"/>
      <c r="F469" s="1484"/>
      <c r="G469" s="1484"/>
      <c r="H469" s="1484"/>
      <c r="I469" s="581" t="s">
        <v>515</v>
      </c>
      <c r="J469" s="581"/>
      <c r="K469" s="581"/>
      <c r="L469" s="581"/>
      <c r="M469" s="581"/>
      <c r="N469" s="581"/>
      <c r="O469" s="581"/>
      <c r="P469" s="581"/>
      <c r="Q469" s="581"/>
      <c r="R469" s="581"/>
      <c r="S469" s="581"/>
      <c r="T469" s="581"/>
      <c r="U469" s="581"/>
      <c r="V469" s="581"/>
      <c r="W469" s="581"/>
      <c r="X469" s="581"/>
      <c r="Y469" s="581"/>
      <c r="Z469" s="581"/>
      <c r="AA469" s="581"/>
      <c r="AB469" s="581"/>
      <c r="AC469" s="581"/>
      <c r="AD469" s="581"/>
      <c r="AE469" s="581"/>
      <c r="AF469" s="581"/>
      <c r="AG469" s="581"/>
      <c r="AH469" s="581"/>
      <c r="AI469" s="581"/>
      <c r="AJ469" s="1484" t="s">
        <v>1099</v>
      </c>
      <c r="AK469" s="1484"/>
      <c r="AL469" s="1484"/>
      <c r="AM469" s="1484"/>
      <c r="AN469" s="1484"/>
      <c r="AO469" s="1484"/>
      <c r="AP469" s="1484"/>
      <c r="AQ469" s="581" t="s">
        <v>1146</v>
      </c>
      <c r="AR469" s="581"/>
      <c r="AS469" s="581"/>
      <c r="AT469" s="581"/>
      <c r="AU469" s="581"/>
      <c r="AV469" s="581"/>
      <c r="AW469" s="581"/>
      <c r="AX469" s="581"/>
      <c r="AY469" s="581"/>
      <c r="AZ469" s="581"/>
      <c r="BA469" s="581"/>
      <c r="BB469" s="581"/>
      <c r="BC469" s="581"/>
      <c r="BD469" s="581"/>
      <c r="BE469" s="581"/>
      <c r="BF469" s="581"/>
      <c r="BG469" s="581"/>
      <c r="BH469" s="581"/>
      <c r="BI469" s="581"/>
      <c r="BJ469" s="581"/>
      <c r="BK469" s="581"/>
      <c r="BL469" s="581"/>
      <c r="BM469" s="581"/>
      <c r="BN469" s="581"/>
      <c r="BO469" s="581"/>
      <c r="BP469" s="581"/>
      <c r="BQ469" s="581"/>
      <c r="BR469" s="581"/>
      <c r="BS469" s="581"/>
      <c r="BT469" s="581" t="s">
        <v>1147</v>
      </c>
      <c r="BU469" s="581"/>
      <c r="BV469" s="581"/>
      <c r="BW469" s="581"/>
      <c r="BX469" s="581"/>
      <c r="BY469" s="581"/>
      <c r="BZ469" s="581"/>
      <c r="CA469" s="581"/>
      <c r="CB469" s="581"/>
      <c r="CC469" s="581"/>
      <c r="CD469" s="581"/>
      <c r="CE469" s="581"/>
      <c r="CF469" s="582"/>
    </row>
    <row r="470" spans="1:85" s="583" customFormat="1" ht="23.1" customHeight="1">
      <c r="A470" s="584"/>
      <c r="B470" s="585" t="s">
        <v>1102</v>
      </c>
      <c r="C470" s="585"/>
      <c r="D470" s="585"/>
      <c r="E470" s="585"/>
      <c r="F470" s="585"/>
      <c r="G470" s="585"/>
      <c r="H470" s="585"/>
      <c r="I470" s="585"/>
      <c r="J470" s="585"/>
      <c r="K470" s="585"/>
      <c r="L470" s="585"/>
      <c r="M470" s="585"/>
      <c r="N470" s="585"/>
      <c r="O470" s="585"/>
      <c r="P470" s="585"/>
      <c r="Q470" s="585"/>
      <c r="R470" s="585"/>
      <c r="S470" s="585"/>
      <c r="T470" s="585"/>
      <c r="U470" s="585"/>
      <c r="V470" s="585"/>
      <c r="W470" s="585"/>
      <c r="X470" s="585"/>
      <c r="Y470" s="585"/>
      <c r="Z470" s="585"/>
      <c r="AA470" s="585"/>
      <c r="AB470" s="585"/>
      <c r="AC470" s="585"/>
      <c r="AD470" s="585"/>
      <c r="AE470" s="585"/>
      <c r="AF470" s="585"/>
      <c r="AG470" s="585"/>
      <c r="AH470" s="585"/>
      <c r="AI470" s="585"/>
      <c r="AJ470" s="585"/>
      <c r="AK470" s="585"/>
      <c r="AL470" s="585"/>
      <c r="AM470" s="585"/>
      <c r="AN470" s="585"/>
      <c r="AO470" s="585"/>
      <c r="AP470" s="585"/>
      <c r="AQ470" s="585"/>
      <c r="AR470" s="585"/>
      <c r="AS470" s="585"/>
      <c r="AT470" s="585"/>
      <c r="AU470" s="585"/>
      <c r="AV470" s="585"/>
      <c r="AW470" s="585"/>
      <c r="AX470" s="585"/>
      <c r="AY470" s="585"/>
      <c r="AZ470" s="585"/>
      <c r="BA470" s="585"/>
      <c r="BB470" s="585"/>
      <c r="BC470" s="585"/>
      <c r="BD470" s="585"/>
      <c r="BE470" s="585"/>
      <c r="BF470" s="585"/>
      <c r="BG470" s="585"/>
      <c r="BH470" s="585"/>
      <c r="BI470" s="585"/>
      <c r="BJ470" s="585"/>
      <c r="BK470" s="585"/>
      <c r="BL470" s="585"/>
      <c r="BM470" s="585"/>
      <c r="BN470" s="585"/>
      <c r="BO470" s="585"/>
      <c r="BP470" s="585"/>
      <c r="BQ470" s="585"/>
      <c r="BR470" s="585"/>
      <c r="BS470" s="585"/>
      <c r="BT470" s="585"/>
      <c r="BU470" s="585"/>
      <c r="BV470" s="585"/>
      <c r="BW470" s="585"/>
      <c r="BX470" s="585"/>
      <c r="BY470" s="585"/>
      <c r="BZ470" s="585"/>
      <c r="CA470" s="585"/>
      <c r="CB470" s="585"/>
      <c r="CC470" s="585"/>
      <c r="CD470" s="585"/>
      <c r="CE470" s="585"/>
      <c r="CF470" s="586"/>
    </row>
    <row r="471" spans="1:85" s="583" customFormat="1" ht="23.1" customHeight="1">
      <c r="A471" s="587"/>
      <c r="B471" s="574"/>
      <c r="C471" s="574"/>
      <c r="D471" s="405"/>
      <c r="E471" s="574"/>
      <c r="F471" s="422"/>
      <c r="G471" s="422"/>
      <c r="H471" s="422"/>
      <c r="I471" s="422"/>
      <c r="J471" s="422"/>
      <c r="K471" s="422"/>
      <c r="L471" s="422"/>
      <c r="M471" s="422"/>
      <c r="N471" s="574"/>
      <c r="O471" s="574"/>
      <c r="P471" s="574"/>
      <c r="Q471" s="574"/>
      <c r="R471" s="574"/>
      <c r="S471" s="588"/>
      <c r="T471" s="588"/>
      <c r="U471" s="588"/>
      <c r="V471" s="588"/>
      <c r="W471" s="588"/>
      <c r="X471" s="588"/>
      <c r="Y471" s="588"/>
      <c r="Z471" s="588"/>
      <c r="AA471" s="574"/>
      <c r="AB471" s="588"/>
      <c r="AC471" s="585"/>
      <c r="AD471" s="585"/>
      <c r="AE471" s="600"/>
      <c r="AF471" s="600"/>
      <c r="AG471" s="600"/>
      <c r="AH471" s="600"/>
      <c r="AI471" s="600"/>
      <c r="AJ471" s="600"/>
      <c r="AK471" s="600"/>
      <c r="AL471" s="600"/>
      <c r="AM471" s="585"/>
      <c r="AN471" s="585"/>
      <c r="AO471" s="574"/>
      <c r="AP471" s="588"/>
      <c r="AQ471" s="588"/>
      <c r="AR471" s="588"/>
      <c r="AS471" s="588"/>
      <c r="AT471" s="588"/>
      <c r="AU471" s="588"/>
      <c r="AV471" s="588"/>
      <c r="AW471" s="588"/>
      <c r="AX471" s="588"/>
      <c r="AY471" s="588"/>
      <c r="AZ471" s="588"/>
      <c r="BA471" s="588"/>
      <c r="BB471" s="588"/>
      <c r="BC471" s="588"/>
      <c r="BD471" s="574"/>
      <c r="BE471" s="574"/>
      <c r="BF471" s="574"/>
      <c r="BG471" s="574"/>
      <c r="BH471" s="574"/>
      <c r="BI471" s="574"/>
      <c r="BJ471" s="574"/>
      <c r="BK471" s="574"/>
      <c r="BL471" s="574"/>
      <c r="BM471" s="574"/>
      <c r="BN471" s="574"/>
      <c r="BO471" s="574"/>
      <c r="BP471" s="574"/>
      <c r="BQ471" s="574"/>
      <c r="BR471" s="574"/>
      <c r="BS471" s="574"/>
      <c r="BT471" s="574"/>
      <c r="BU471" s="574"/>
      <c r="BV471" s="574"/>
      <c r="BW471" s="574"/>
      <c r="BX471" s="574"/>
      <c r="BY471" s="574"/>
      <c r="BZ471" s="574"/>
      <c r="CA471" s="574"/>
      <c r="CB471" s="574"/>
      <c r="CC471" s="574"/>
      <c r="CD471" s="574"/>
      <c r="CE471" s="574"/>
      <c r="CF471" s="589"/>
    </row>
    <row r="472" spans="1:85" s="583" customFormat="1" ht="23.1" customHeight="1">
      <c r="A472" s="584"/>
      <c r="B472" s="585"/>
      <c r="C472" s="585"/>
      <c r="D472" s="585"/>
      <c r="E472" s="585"/>
      <c r="F472" s="585"/>
      <c r="G472" s="585"/>
      <c r="H472" s="585"/>
      <c r="I472" s="585"/>
      <c r="J472" s="585"/>
      <c r="K472" s="585"/>
      <c r="L472" s="585"/>
      <c r="M472" s="585"/>
      <c r="N472" s="585"/>
      <c r="O472" s="585"/>
      <c r="P472" s="585"/>
      <c r="Q472" s="585"/>
      <c r="R472" s="585"/>
      <c r="S472" s="585"/>
      <c r="T472" s="585"/>
      <c r="U472" s="585"/>
      <c r="V472" s="590"/>
      <c r="W472" s="590"/>
      <c r="X472" s="590"/>
      <c r="Y472" s="590"/>
      <c r="Z472" s="590"/>
      <c r="AA472" s="590"/>
      <c r="AB472" s="590"/>
      <c r="AC472" s="590"/>
      <c r="AD472" s="574"/>
      <c r="AE472" s="1440">
        <v>46576000</v>
      </c>
      <c r="AF472" s="1440"/>
      <c r="AG472" s="1440"/>
      <c r="AH472" s="1440"/>
      <c r="AI472" s="1440"/>
      <c r="AJ472" s="1440"/>
      <c r="AK472" s="1440"/>
      <c r="AL472" s="1440"/>
      <c r="AM472" s="1440"/>
      <c r="AN472" s="1440"/>
      <c r="AO472" s="1440"/>
      <c r="AP472" s="1440"/>
      <c r="AQ472" s="1440"/>
      <c r="AR472" s="1440"/>
      <c r="AS472" s="1440"/>
      <c r="AT472" s="1431" t="s">
        <v>446</v>
      </c>
      <c r="AU472" s="1431"/>
      <c r="AV472" s="1441" t="s">
        <v>1103</v>
      </c>
      <c r="AW472" s="1441"/>
      <c r="AX472" s="1442">
        <v>2085</v>
      </c>
      <c r="AY472" s="1442"/>
      <c r="AZ472" s="1442"/>
      <c r="BA472" s="1442"/>
      <c r="BB472" s="1442"/>
      <c r="BC472" s="1442"/>
      <c r="BD472" s="585"/>
      <c r="BE472" s="1431" t="s">
        <v>446</v>
      </c>
      <c r="BF472" s="1431"/>
      <c r="BG472" s="585"/>
      <c r="BH472" s="591" t="s">
        <v>1104</v>
      </c>
      <c r="BI472" s="585"/>
      <c r="BJ472" s="585"/>
      <c r="BK472" s="585"/>
      <c r="BL472" s="1431" t="s">
        <v>1105</v>
      </c>
      <c r="BM472" s="1431"/>
      <c r="BN472" s="1431"/>
      <c r="BO472" s="585"/>
      <c r="BP472" s="1431" t="s">
        <v>41</v>
      </c>
      <c r="BQ472" s="1431"/>
      <c r="BR472" s="585"/>
      <c r="BS472" s="585"/>
      <c r="BT472" s="1437">
        <f>INT(AE472*AX472*10^-7)</f>
        <v>9711</v>
      </c>
      <c r="BU472" s="1437"/>
      <c r="BV472" s="1437"/>
      <c r="BW472" s="1437"/>
      <c r="BX472" s="1437"/>
      <c r="BY472" s="1437"/>
      <c r="BZ472" s="1437"/>
      <c r="CA472" s="1437"/>
      <c r="CB472" s="1437"/>
      <c r="CC472" s="1437"/>
      <c r="CD472" s="585"/>
      <c r="CE472" s="585"/>
      <c r="CF472" s="586"/>
    </row>
    <row r="473" spans="1:85" s="583" customFormat="1" ht="23.1" customHeight="1">
      <c r="A473" s="592"/>
      <c r="B473" s="593" t="s">
        <v>1106</v>
      </c>
      <c r="C473" s="593"/>
      <c r="D473" s="593"/>
      <c r="E473" s="593"/>
      <c r="F473" s="593"/>
      <c r="G473" s="593"/>
      <c r="H473" s="593"/>
      <c r="I473" s="593"/>
      <c r="J473" s="593"/>
      <c r="K473" s="593"/>
      <c r="L473" s="593"/>
      <c r="M473" s="593"/>
      <c r="N473" s="593"/>
      <c r="O473" s="593"/>
      <c r="P473" s="593"/>
      <c r="Q473" s="593"/>
      <c r="R473" s="593"/>
      <c r="S473" s="593"/>
      <c r="T473" s="593"/>
      <c r="U473" s="593"/>
      <c r="V473" s="593"/>
      <c r="W473" s="593"/>
      <c r="X473" s="593"/>
      <c r="Y473" s="593"/>
      <c r="Z473" s="593"/>
      <c r="AA473" s="593"/>
      <c r="AB473" s="593"/>
      <c r="AC473" s="593"/>
      <c r="AD473" s="593"/>
      <c r="AE473" s="593"/>
      <c r="AF473" s="593"/>
      <c r="AG473" s="593"/>
      <c r="AH473" s="593"/>
      <c r="AI473" s="593"/>
      <c r="AJ473" s="593"/>
      <c r="AK473" s="593"/>
      <c r="AL473" s="593"/>
      <c r="AM473" s="593"/>
      <c r="AN473" s="593"/>
      <c r="AO473" s="593"/>
      <c r="AP473" s="593"/>
      <c r="AQ473" s="593"/>
      <c r="AR473" s="593"/>
      <c r="AS473" s="593"/>
      <c r="AT473" s="593"/>
      <c r="AU473" s="593"/>
      <c r="AV473" s="593"/>
      <c r="AW473" s="593"/>
      <c r="AX473" s="593"/>
      <c r="AY473" s="593"/>
      <c r="AZ473" s="593"/>
      <c r="BA473" s="593"/>
      <c r="BB473" s="593"/>
      <c r="BC473" s="593"/>
      <c r="BD473" s="593"/>
      <c r="BE473" s="593"/>
      <c r="BF473" s="593"/>
      <c r="BG473" s="593"/>
      <c r="BH473" s="593"/>
      <c r="BI473" s="593"/>
      <c r="BJ473" s="593"/>
      <c r="BK473" s="593"/>
      <c r="BL473" s="593"/>
      <c r="BM473" s="593"/>
      <c r="BN473" s="593"/>
      <c r="BO473" s="593"/>
      <c r="BP473" s="593"/>
      <c r="BQ473" s="593"/>
      <c r="BR473" s="593"/>
      <c r="BS473" s="593"/>
      <c r="BT473" s="594"/>
      <c r="BU473" s="594"/>
      <c r="BV473" s="594"/>
      <c r="BW473" s="594"/>
      <c r="BX473" s="594"/>
      <c r="BY473" s="594"/>
      <c r="BZ473" s="594"/>
      <c r="CA473" s="594"/>
      <c r="CB473" s="594"/>
      <c r="CC473" s="594"/>
      <c r="CD473" s="593"/>
      <c r="CE473" s="593"/>
      <c r="CF473" s="595"/>
    </row>
    <row r="474" spans="1:85" s="583" customFormat="1" ht="23.1" customHeight="1">
      <c r="A474" s="584"/>
      <c r="B474" s="585"/>
      <c r="C474" s="585"/>
      <c r="D474" s="596" t="s">
        <v>268</v>
      </c>
      <c r="E474" s="585"/>
      <c r="F474" s="585"/>
      <c r="G474" s="585"/>
      <c r="H474" s="585"/>
      <c r="I474" s="585"/>
      <c r="J474" s="585"/>
      <c r="K474" s="585"/>
      <c r="L474" s="585"/>
      <c r="M474" s="585"/>
      <c r="N474" s="585"/>
      <c r="O474" s="585"/>
      <c r="P474" s="585"/>
      <c r="Q474" s="585"/>
      <c r="R474" s="585"/>
      <c r="S474" s="585"/>
      <c r="T474" s="574"/>
      <c r="U474" s="574"/>
      <c r="V474" s="1435">
        <f>HLOOKUP(D474,$CJ$1:$CM$3,3,0)</f>
        <v>283297</v>
      </c>
      <c r="W474" s="1435"/>
      <c r="X474" s="1435"/>
      <c r="Y474" s="1435"/>
      <c r="Z474" s="1435"/>
      <c r="AA474" s="1435"/>
      <c r="AB474" s="1435"/>
      <c r="AC474" s="1435"/>
      <c r="AD474" s="1435"/>
      <c r="AE474" s="1435"/>
      <c r="AF474" s="1431" t="s">
        <v>446</v>
      </c>
      <c r="AG474" s="1431"/>
      <c r="AH474" s="574"/>
      <c r="AI474" s="1436" t="s">
        <v>1107</v>
      </c>
      <c r="AJ474" s="1436"/>
      <c r="AK474" s="1436"/>
      <c r="AL474" s="1436"/>
      <c r="AM474" s="585"/>
      <c r="AN474" s="1431" t="s">
        <v>446</v>
      </c>
      <c r="AO474" s="1431"/>
      <c r="AP474" s="585"/>
      <c r="AQ474" s="1436" t="s">
        <v>1108</v>
      </c>
      <c r="AR474" s="1436"/>
      <c r="AS474" s="1436"/>
      <c r="AT474" s="1436"/>
      <c r="AU474" s="1436"/>
      <c r="AV474" s="422"/>
      <c r="AW474" s="1431" t="s">
        <v>446</v>
      </c>
      <c r="AX474" s="1431"/>
      <c r="AY474" s="440"/>
      <c r="AZ474" s="1436" t="s">
        <v>1109</v>
      </c>
      <c r="BA474" s="1436"/>
      <c r="BB474" s="1436"/>
      <c r="BC474" s="1436"/>
      <c r="BD474" s="1436"/>
      <c r="BE474" s="585"/>
      <c r="BF474" s="1431" t="s">
        <v>446</v>
      </c>
      <c r="BG474" s="1431"/>
      <c r="BH474" s="1431">
        <v>1</v>
      </c>
      <c r="BI474" s="1431"/>
      <c r="BJ474" s="1431"/>
      <c r="BK474" s="585"/>
      <c r="BL474" s="585" t="s">
        <v>366</v>
      </c>
      <c r="BM474" s="585"/>
      <c r="BN474" s="585"/>
      <c r="BO474" s="585"/>
      <c r="BP474" s="1431" t="s">
        <v>41</v>
      </c>
      <c r="BQ474" s="1431"/>
      <c r="BR474" s="585"/>
      <c r="BS474" s="585"/>
      <c r="BT474" s="1432">
        <f>INT(V474/8*16/12*25/20*BH474)</f>
        <v>59020</v>
      </c>
      <c r="BU474" s="1432"/>
      <c r="BV474" s="1432"/>
      <c r="BW474" s="1432"/>
      <c r="BX474" s="1432"/>
      <c r="BY474" s="1432"/>
      <c r="BZ474" s="1432"/>
      <c r="CA474" s="1432"/>
      <c r="CB474" s="1432"/>
      <c r="CC474" s="1432"/>
      <c r="CD474" s="585"/>
      <c r="CE474" s="585"/>
      <c r="CF474" s="586"/>
    </row>
    <row r="475" spans="1:85" s="583" customFormat="1" ht="23.1" customHeight="1">
      <c r="A475" s="584"/>
      <c r="B475" s="585"/>
      <c r="C475" s="585"/>
      <c r="D475" s="585"/>
      <c r="E475" s="585"/>
      <c r="F475" s="585"/>
      <c r="G475" s="585"/>
      <c r="H475" s="585"/>
      <c r="I475" s="585"/>
      <c r="J475" s="585"/>
      <c r="K475" s="585"/>
      <c r="L475" s="585"/>
      <c r="M475" s="585"/>
      <c r="N475" s="585"/>
      <c r="O475" s="585"/>
      <c r="P475" s="574"/>
      <c r="Q475" s="574"/>
      <c r="R475" s="574"/>
      <c r="S475" s="574"/>
      <c r="T475" s="574"/>
      <c r="U475" s="574"/>
      <c r="V475" s="574"/>
      <c r="W475" s="574"/>
      <c r="X475" s="574"/>
      <c r="Y475" s="574"/>
      <c r="Z475" s="574"/>
      <c r="AA475" s="574"/>
      <c r="AB475" s="574"/>
      <c r="AC475" s="574"/>
      <c r="AD475" s="574"/>
      <c r="AE475" s="574"/>
      <c r="AF475" s="574"/>
      <c r="AG475" s="574"/>
      <c r="AH475" s="574"/>
      <c r="AI475" s="574"/>
      <c r="AJ475" s="574"/>
      <c r="AK475" s="574"/>
      <c r="AL475" s="574"/>
      <c r="AM475" s="574"/>
      <c r="AN475" s="574"/>
      <c r="AO475" s="574"/>
      <c r="AP475" s="574"/>
      <c r="AQ475" s="574"/>
      <c r="AR475" s="574"/>
      <c r="AS475" s="574"/>
      <c r="AT475" s="574"/>
      <c r="AU475" s="574"/>
      <c r="AV475" s="574"/>
      <c r="AW475" s="574"/>
      <c r="AX475" s="574"/>
      <c r="AY475" s="574"/>
      <c r="AZ475" s="574"/>
      <c r="BA475" s="574"/>
      <c r="BB475" s="574"/>
      <c r="BC475" s="574"/>
      <c r="BD475" s="574"/>
      <c r="BE475" s="574"/>
      <c r="BF475" s="574"/>
      <c r="BG475" s="585"/>
      <c r="BH475" s="585"/>
      <c r="BI475" s="585"/>
      <c r="BJ475" s="585"/>
      <c r="BK475" s="585"/>
      <c r="BL475" s="585"/>
      <c r="BM475" s="585"/>
      <c r="BN475" s="585"/>
      <c r="BO475" s="585"/>
      <c r="BP475" s="1431"/>
      <c r="BQ475" s="1431"/>
      <c r="BR475" s="585"/>
      <c r="BS475" s="585"/>
      <c r="BT475" s="1432"/>
      <c r="BU475" s="1432"/>
      <c r="BV475" s="1432"/>
      <c r="BW475" s="1432"/>
      <c r="BX475" s="1432"/>
      <c r="BY475" s="1432"/>
      <c r="BZ475" s="1432"/>
      <c r="CA475" s="1432"/>
      <c r="CB475" s="1432"/>
      <c r="CC475" s="1432"/>
      <c r="CD475" s="585"/>
      <c r="CE475" s="585"/>
      <c r="CF475" s="586"/>
    </row>
    <row r="476" spans="1:85" s="583" customFormat="1" ht="23.1" customHeight="1">
      <c r="A476" s="584"/>
      <c r="B476" s="585"/>
      <c r="C476" s="585"/>
      <c r="D476" s="585"/>
      <c r="E476" s="585"/>
      <c r="F476" s="585"/>
      <c r="G476" s="585"/>
      <c r="H476" s="585"/>
      <c r="I476" s="585"/>
      <c r="J476" s="585"/>
      <c r="K476" s="585"/>
      <c r="L476" s="585"/>
      <c r="M476" s="585"/>
      <c r="N476" s="585"/>
      <c r="O476" s="585"/>
      <c r="P476" s="585"/>
      <c r="Q476" s="585"/>
      <c r="R476" s="585"/>
      <c r="S476" s="585"/>
      <c r="T476" s="585"/>
      <c r="U476" s="585"/>
      <c r="V476" s="585"/>
      <c r="W476" s="585"/>
      <c r="X476" s="585"/>
      <c r="Y476" s="585"/>
      <c r="Z476" s="585"/>
      <c r="AA476" s="585"/>
      <c r="AB476" s="585"/>
      <c r="AC476" s="585"/>
      <c r="AD476" s="574"/>
      <c r="AE476" s="574"/>
      <c r="AF476" s="574"/>
      <c r="AG476" s="574"/>
      <c r="AH476" s="574"/>
      <c r="AI476" s="574"/>
      <c r="AJ476" s="574"/>
      <c r="AK476" s="574"/>
      <c r="AL476" s="574"/>
      <c r="AM476" s="574"/>
      <c r="AN476" s="574"/>
      <c r="AO476" s="574"/>
      <c r="AP476" s="574"/>
      <c r="AQ476" s="574"/>
      <c r="AR476" s="574"/>
      <c r="AS476" s="585"/>
      <c r="AT476" s="590"/>
      <c r="AU476" s="590"/>
      <c r="AV476" s="585"/>
      <c r="AW476" s="585"/>
      <c r="AX476" s="585"/>
      <c r="AY476" s="585"/>
      <c r="AZ476" s="585"/>
      <c r="BA476" s="585"/>
      <c r="BB476" s="585"/>
      <c r="BC476" s="585"/>
      <c r="BD476" s="585"/>
      <c r="BE476" s="585"/>
      <c r="BF476" s="585"/>
      <c r="BG476" s="585"/>
      <c r="BH476" s="585"/>
      <c r="BI476" s="585"/>
      <c r="BJ476" s="585"/>
      <c r="BK476" s="585"/>
      <c r="BL476" s="585"/>
      <c r="BM476" s="585"/>
      <c r="BN476" s="585"/>
      <c r="BO476" s="585"/>
      <c r="BP476" s="1431" t="s">
        <v>41</v>
      </c>
      <c r="BQ476" s="1431"/>
      <c r="BR476" s="585"/>
      <c r="BS476" s="585"/>
      <c r="BT476" s="1434">
        <f>BT474+BT475</f>
        <v>59020</v>
      </c>
      <c r="BU476" s="1434"/>
      <c r="BV476" s="1434"/>
      <c r="BW476" s="1434"/>
      <c r="BX476" s="1434"/>
      <c r="BY476" s="1434"/>
      <c r="BZ476" s="1434"/>
      <c r="CA476" s="1434"/>
      <c r="CB476" s="1434"/>
      <c r="CC476" s="1434"/>
      <c r="CD476" s="585"/>
      <c r="CE476" s="585"/>
      <c r="CF476" s="586"/>
    </row>
    <row r="477" spans="1:85" s="583" customFormat="1" ht="23.1" customHeight="1">
      <c r="A477" s="592"/>
      <c r="B477" s="593" t="s">
        <v>1110</v>
      </c>
      <c r="C477" s="593"/>
      <c r="D477" s="593"/>
      <c r="E477" s="593"/>
      <c r="F477" s="593"/>
      <c r="G477" s="593"/>
      <c r="H477" s="593"/>
      <c r="I477" s="593"/>
      <c r="J477" s="593"/>
      <c r="K477" s="593"/>
      <c r="L477" s="593"/>
      <c r="M477" s="593"/>
      <c r="N477" s="593"/>
      <c r="O477" s="593"/>
      <c r="P477" s="593"/>
      <c r="Q477" s="593"/>
      <c r="R477" s="593"/>
      <c r="S477" s="593"/>
      <c r="T477" s="593"/>
      <c r="U477" s="593"/>
      <c r="V477" s="593"/>
      <c r="W477" s="593"/>
      <c r="X477" s="593"/>
      <c r="Y477" s="593"/>
      <c r="Z477" s="593"/>
      <c r="AA477" s="593"/>
      <c r="AB477" s="593"/>
      <c r="AC477" s="593"/>
      <c r="AD477" s="593"/>
      <c r="AE477" s="593"/>
      <c r="AF477" s="593"/>
      <c r="AG477" s="593"/>
      <c r="AH477" s="593"/>
      <c r="AI477" s="593"/>
      <c r="AJ477" s="593"/>
      <c r="AK477" s="593"/>
      <c r="AL477" s="593"/>
      <c r="AM477" s="593"/>
      <c r="AN477" s="593"/>
      <c r="AO477" s="593"/>
      <c r="AP477" s="593"/>
      <c r="AQ477" s="593"/>
      <c r="AR477" s="593"/>
      <c r="AS477" s="593"/>
      <c r="AT477" s="593"/>
      <c r="AU477" s="593"/>
      <c r="AV477" s="593"/>
      <c r="AW477" s="593"/>
      <c r="AX477" s="593"/>
      <c r="AY477" s="593"/>
      <c r="AZ477" s="593"/>
      <c r="BA477" s="593"/>
      <c r="BB477" s="593"/>
      <c r="BC477" s="593"/>
      <c r="BD477" s="593"/>
      <c r="BE477" s="593"/>
      <c r="BF477" s="593"/>
      <c r="BG477" s="593"/>
      <c r="BH477" s="593"/>
      <c r="BI477" s="593"/>
      <c r="BJ477" s="593"/>
      <c r="BK477" s="593"/>
      <c r="BL477" s="593"/>
      <c r="BM477" s="593"/>
      <c r="BN477" s="593"/>
      <c r="BO477" s="593"/>
      <c r="BP477" s="593"/>
      <c r="BQ477" s="593"/>
      <c r="BR477" s="593"/>
      <c r="BS477" s="593"/>
      <c r="BT477" s="593"/>
      <c r="BU477" s="593"/>
      <c r="BV477" s="593"/>
      <c r="BW477" s="593"/>
      <c r="BX477" s="593"/>
      <c r="BY477" s="593"/>
      <c r="BZ477" s="593"/>
      <c r="CA477" s="593"/>
      <c r="CB477" s="593"/>
      <c r="CC477" s="593"/>
      <c r="CD477" s="593"/>
      <c r="CE477" s="593"/>
      <c r="CF477" s="595"/>
    </row>
    <row r="478" spans="1:85" s="583" customFormat="1" ht="23.1" customHeight="1">
      <c r="A478" s="584"/>
      <c r="B478" s="585"/>
      <c r="C478" s="585"/>
      <c r="D478" s="596" t="s">
        <v>1094</v>
      </c>
      <c r="E478" s="585"/>
      <c r="F478" s="585"/>
      <c r="G478" s="585"/>
      <c r="H478" s="585"/>
      <c r="I478" s="585"/>
      <c r="J478" s="585"/>
      <c r="K478" s="585"/>
      <c r="L478" s="585"/>
      <c r="M478" s="585"/>
      <c r="N478" s="585"/>
      <c r="O478" s="585"/>
      <c r="P478" s="585"/>
      <c r="Q478" s="585"/>
      <c r="R478" s="585"/>
      <c r="S478" s="585"/>
      <c r="T478" s="585"/>
      <c r="U478" s="585"/>
      <c r="V478" s="585"/>
      <c r="W478" s="585"/>
      <c r="X478" s="585"/>
      <c r="Y478" s="585"/>
      <c r="Z478" s="585"/>
      <c r="AA478" s="585"/>
      <c r="AB478" s="585"/>
      <c r="AC478" s="585"/>
      <c r="AD478" s="585"/>
      <c r="AE478" s="585"/>
      <c r="AF478" s="585"/>
      <c r="AG478" s="585"/>
      <c r="AH478" s="585"/>
      <c r="AI478" s="585"/>
      <c r="AJ478" s="585"/>
      <c r="AK478" s="585"/>
      <c r="AL478" s="585"/>
      <c r="AM478" s="585"/>
      <c r="AN478" s="585"/>
      <c r="AO478" s="585"/>
      <c r="AP478" s="585"/>
      <c r="AQ478" s="585"/>
      <c r="AR478" s="422"/>
      <c r="AS478" s="1435" t="e">
        <f>HLOOKUP(D478,$CN$1:$CO$3,3,0)</f>
        <v>#REF!</v>
      </c>
      <c r="AT478" s="1435"/>
      <c r="AU478" s="1435"/>
      <c r="AV478" s="1435"/>
      <c r="AW478" s="1435"/>
      <c r="AX478" s="1435"/>
      <c r="AY478" s="1435"/>
      <c r="AZ478" s="1435"/>
      <c r="BA478" s="1435"/>
      <c r="BB478" s="1435"/>
      <c r="BC478" s="585"/>
      <c r="BD478" s="1431" t="s">
        <v>446</v>
      </c>
      <c r="BE478" s="1431"/>
      <c r="BF478" s="585"/>
      <c r="BG478" s="1431">
        <v>6.2</v>
      </c>
      <c r="BH478" s="1431"/>
      <c r="BI478" s="1431"/>
      <c r="BJ478" s="1431"/>
      <c r="BK478" s="1431"/>
      <c r="BL478" s="585" t="s">
        <v>1111</v>
      </c>
      <c r="BM478" s="585"/>
      <c r="BN478" s="585"/>
      <c r="BO478" s="585"/>
      <c r="BP478" s="1431" t="s">
        <v>41</v>
      </c>
      <c r="BQ478" s="1431"/>
      <c r="BR478" s="585"/>
      <c r="BS478" s="585"/>
      <c r="BT478" s="1432" t="e">
        <f>INT(AS478*BG478)</f>
        <v>#REF!</v>
      </c>
      <c r="BU478" s="1432"/>
      <c r="BV478" s="1432"/>
      <c r="BW478" s="1432"/>
      <c r="BX478" s="1432"/>
      <c r="BY478" s="1432"/>
      <c r="BZ478" s="1432"/>
      <c r="CA478" s="1432"/>
      <c r="CB478" s="1432"/>
      <c r="CC478" s="1432"/>
      <c r="CD478" s="585"/>
      <c r="CE478" s="585"/>
      <c r="CF478" s="586"/>
    </row>
    <row r="479" spans="1:85" s="583" customFormat="1" ht="23.1" customHeight="1">
      <c r="A479" s="584"/>
      <c r="B479" s="585"/>
      <c r="C479" s="585"/>
      <c r="D479" s="591" t="str">
        <f>"잡재료 (주연료의 "&amp;BG479&amp;"%) :"</f>
        <v>잡재료 (주연료의 44%) :</v>
      </c>
      <c r="E479" s="585"/>
      <c r="F479" s="585"/>
      <c r="G479" s="585"/>
      <c r="H479" s="585"/>
      <c r="I479" s="585"/>
      <c r="J479" s="585"/>
      <c r="K479" s="585"/>
      <c r="L479" s="585"/>
      <c r="M479" s="585"/>
      <c r="N479" s="585"/>
      <c r="O479" s="585"/>
      <c r="P479" s="585"/>
      <c r="Q479" s="585"/>
      <c r="R479" s="585"/>
      <c r="S479" s="585"/>
      <c r="T479" s="585"/>
      <c r="U479" s="585"/>
      <c r="V479" s="585"/>
      <c r="W479" s="585"/>
      <c r="X479" s="585"/>
      <c r="Y479" s="585"/>
      <c r="Z479" s="585"/>
      <c r="AA479" s="585"/>
      <c r="AB479" s="585"/>
      <c r="AC479" s="585"/>
      <c r="AD479" s="585"/>
      <c r="AE479" s="585"/>
      <c r="AF479" s="585"/>
      <c r="AG479" s="585"/>
      <c r="AH479" s="585"/>
      <c r="AI479" s="585"/>
      <c r="AJ479" s="585"/>
      <c r="AK479" s="585"/>
      <c r="AL479" s="585"/>
      <c r="AM479" s="585"/>
      <c r="AN479" s="585"/>
      <c r="AO479" s="585"/>
      <c r="AP479" s="585"/>
      <c r="AQ479" s="585"/>
      <c r="AR479" s="422" t="e">
        <f>BT478</f>
        <v>#REF!</v>
      </c>
      <c r="AS479" s="1430" t="e">
        <f>BT478</f>
        <v>#REF!</v>
      </c>
      <c r="AT479" s="1430"/>
      <c r="AU479" s="1430"/>
      <c r="AV479" s="1430"/>
      <c r="AW479" s="1430"/>
      <c r="AX479" s="1430"/>
      <c r="AY479" s="1430"/>
      <c r="AZ479" s="1430"/>
      <c r="BA479" s="1430"/>
      <c r="BB479" s="1430"/>
      <c r="BC479" s="585"/>
      <c r="BD479" s="1431" t="s">
        <v>446</v>
      </c>
      <c r="BE479" s="1431"/>
      <c r="BF479" s="585"/>
      <c r="BG479" s="1431">
        <v>44</v>
      </c>
      <c r="BH479" s="1431"/>
      <c r="BI479" s="1431"/>
      <c r="BJ479" s="1431"/>
      <c r="BK479" s="1431"/>
      <c r="BL479" s="585" t="s">
        <v>1112</v>
      </c>
      <c r="BM479" s="585"/>
      <c r="BN479" s="585"/>
      <c r="BO479" s="585"/>
      <c r="BP479" s="1431" t="s">
        <v>41</v>
      </c>
      <c r="BQ479" s="1431"/>
      <c r="BR479" s="585"/>
      <c r="BS479" s="585"/>
      <c r="BT479" s="1432" t="e">
        <f>INT(AS479*BG479/100)</f>
        <v>#REF!</v>
      </c>
      <c r="BU479" s="1432"/>
      <c r="BV479" s="1432"/>
      <c r="BW479" s="1432"/>
      <c r="BX479" s="1432"/>
      <c r="BY479" s="1432"/>
      <c r="BZ479" s="1432"/>
      <c r="CA479" s="1432"/>
      <c r="CB479" s="1432"/>
      <c r="CC479" s="1432"/>
      <c r="CD479" s="585"/>
      <c r="CE479" s="585"/>
      <c r="CF479" s="586"/>
    </row>
    <row r="480" spans="1:85" s="583" customFormat="1" ht="23.1" customHeight="1" thickBot="1">
      <c r="A480" s="584"/>
      <c r="B480" s="585"/>
      <c r="C480" s="585"/>
      <c r="D480" s="585"/>
      <c r="E480" s="585"/>
      <c r="F480" s="585"/>
      <c r="G480" s="585"/>
      <c r="H480" s="585"/>
      <c r="I480" s="585"/>
      <c r="J480" s="585"/>
      <c r="K480" s="585"/>
      <c r="L480" s="585"/>
      <c r="M480" s="585"/>
      <c r="N480" s="585"/>
      <c r="O480" s="585"/>
      <c r="P480" s="585"/>
      <c r="Q480" s="585"/>
      <c r="R480" s="585"/>
      <c r="S480" s="585"/>
      <c r="T480" s="585"/>
      <c r="U480" s="585"/>
      <c r="V480" s="585"/>
      <c r="W480" s="585"/>
      <c r="X480" s="585"/>
      <c r="Y480" s="585"/>
      <c r="Z480" s="585"/>
      <c r="AA480" s="585"/>
      <c r="AB480" s="585"/>
      <c r="AC480" s="585"/>
      <c r="AD480" s="585"/>
      <c r="AE480" s="585"/>
      <c r="AF480" s="585"/>
      <c r="AG480" s="585"/>
      <c r="AH480" s="585"/>
      <c r="AI480" s="585"/>
      <c r="AJ480" s="585"/>
      <c r="AK480" s="585"/>
      <c r="AL480" s="585"/>
      <c r="AM480" s="585"/>
      <c r="AN480" s="585"/>
      <c r="AO480" s="585"/>
      <c r="AP480" s="585"/>
      <c r="AQ480" s="585"/>
      <c r="AR480" s="585"/>
      <c r="AS480" s="585"/>
      <c r="AT480" s="585"/>
      <c r="AU480" s="585"/>
      <c r="AV480" s="585"/>
      <c r="AW480" s="585"/>
      <c r="AX480" s="585"/>
      <c r="AY480" s="585"/>
      <c r="AZ480" s="585"/>
      <c r="BA480" s="585"/>
      <c r="BB480" s="585"/>
      <c r="BC480" s="585"/>
      <c r="BD480" s="585"/>
      <c r="BE480" s="585"/>
      <c r="BF480" s="585"/>
      <c r="BG480" s="585"/>
      <c r="BH480" s="585"/>
      <c r="BI480" s="585"/>
      <c r="BJ480" s="585"/>
      <c r="BK480" s="585"/>
      <c r="BL480" s="585"/>
      <c r="BM480" s="585"/>
      <c r="BN480" s="585"/>
      <c r="BO480" s="585"/>
      <c r="BP480" s="1431" t="s">
        <v>41</v>
      </c>
      <c r="BQ480" s="1431"/>
      <c r="BR480" s="585"/>
      <c r="BS480" s="585"/>
      <c r="BT480" s="1433" t="e">
        <f>BT478+BT479</f>
        <v>#REF!</v>
      </c>
      <c r="BU480" s="1433"/>
      <c r="BV480" s="1433"/>
      <c r="BW480" s="1433"/>
      <c r="BX480" s="1433"/>
      <c r="BY480" s="1433"/>
      <c r="BZ480" s="1433"/>
      <c r="CA480" s="1433"/>
      <c r="CB480" s="1433"/>
      <c r="CC480" s="1433"/>
      <c r="CD480" s="585"/>
      <c r="CE480" s="585"/>
      <c r="CF480" s="586"/>
    </row>
    <row r="481" spans="1:84" s="583" customFormat="1" ht="23.1" customHeight="1" thickBot="1">
      <c r="A481" s="597"/>
      <c r="B481" s="598" t="s">
        <v>1113</v>
      </c>
      <c r="C481" s="598"/>
      <c r="D481" s="598"/>
      <c r="E481" s="598"/>
      <c r="F481" s="598"/>
      <c r="G481" s="598"/>
      <c r="H481" s="598"/>
      <c r="I481" s="598"/>
      <c r="J481" s="598"/>
      <c r="K481" s="598"/>
      <c r="L481" s="598"/>
      <c r="M481" s="598"/>
      <c r="N481" s="598"/>
      <c r="O481" s="598"/>
      <c r="P481" s="598"/>
      <c r="Q481" s="598"/>
      <c r="R481" s="598"/>
      <c r="S481" s="598"/>
      <c r="T481" s="598"/>
      <c r="U481" s="598"/>
      <c r="V481" s="598"/>
      <c r="W481" s="598"/>
      <c r="X481" s="598"/>
      <c r="Y481" s="598"/>
      <c r="Z481" s="598"/>
      <c r="AA481" s="598"/>
      <c r="AB481" s="598"/>
      <c r="AC481" s="598"/>
      <c r="AD481" s="598"/>
      <c r="AE481" s="598"/>
      <c r="AF481" s="598"/>
      <c r="AG481" s="598"/>
      <c r="AH481" s="598"/>
      <c r="AI481" s="598"/>
      <c r="AJ481" s="598"/>
      <c r="AK481" s="598"/>
      <c r="AL481" s="598"/>
      <c r="AM481" s="598"/>
      <c r="AN481" s="598"/>
      <c r="AO481" s="598"/>
      <c r="AP481" s="598"/>
      <c r="AQ481" s="598"/>
      <c r="AR481" s="598"/>
      <c r="AS481" s="598"/>
      <c r="AT481" s="598"/>
      <c r="AU481" s="598"/>
      <c r="AV481" s="598"/>
      <c r="AW481" s="598"/>
      <c r="AX481" s="598"/>
      <c r="AY481" s="598"/>
      <c r="AZ481" s="598"/>
      <c r="BA481" s="598"/>
      <c r="BB481" s="598"/>
      <c r="BC481" s="598"/>
      <c r="BD481" s="598"/>
      <c r="BE481" s="598"/>
      <c r="BF481" s="598"/>
      <c r="BG481" s="598"/>
      <c r="BH481" s="598"/>
      <c r="BI481" s="598"/>
      <c r="BJ481" s="598"/>
      <c r="BK481" s="598"/>
      <c r="BL481" s="598"/>
      <c r="BM481" s="598"/>
      <c r="BN481" s="598"/>
      <c r="BO481" s="598"/>
      <c r="BP481" s="598"/>
      <c r="BQ481" s="598"/>
      <c r="BR481" s="598"/>
      <c r="BS481" s="598"/>
      <c r="BT481" s="1429" t="e">
        <f>BT472+BT476+BT480</f>
        <v>#REF!</v>
      </c>
      <c r="BU481" s="1429"/>
      <c r="BV481" s="1429"/>
      <c r="BW481" s="1429"/>
      <c r="BX481" s="1429"/>
      <c r="BY481" s="1429"/>
      <c r="BZ481" s="1429"/>
      <c r="CA481" s="1429"/>
      <c r="CB481" s="1429"/>
      <c r="CC481" s="1429"/>
      <c r="CD481" s="598"/>
      <c r="CE481" s="598"/>
      <c r="CF481" s="599"/>
    </row>
    <row r="482" spans="1:84" s="583" customFormat="1" ht="9.9499999999999993" customHeight="1">
      <c r="A482" s="574"/>
      <c r="B482" s="574"/>
      <c r="C482" s="574"/>
      <c r="D482" s="574"/>
      <c r="E482" s="574"/>
      <c r="F482" s="574"/>
      <c r="G482" s="574"/>
      <c r="H482" s="574"/>
      <c r="I482" s="574"/>
      <c r="J482" s="574"/>
      <c r="K482" s="574"/>
      <c r="L482" s="574"/>
      <c r="M482" s="574"/>
      <c r="N482" s="574"/>
      <c r="O482" s="574"/>
      <c r="P482" s="574"/>
      <c r="Q482" s="574"/>
      <c r="R482" s="574"/>
      <c r="S482" s="574"/>
      <c r="T482" s="574"/>
      <c r="U482" s="574"/>
      <c r="V482" s="574"/>
      <c r="W482" s="574"/>
      <c r="X482" s="574"/>
      <c r="Y482" s="574"/>
      <c r="Z482" s="574"/>
      <c r="AA482" s="574"/>
      <c r="AB482" s="574"/>
      <c r="AC482" s="574"/>
      <c r="AD482" s="574"/>
      <c r="AE482" s="574"/>
      <c r="AF482" s="574"/>
      <c r="AG482" s="574"/>
      <c r="AH482" s="574"/>
      <c r="AI482" s="574"/>
      <c r="AJ482" s="574"/>
      <c r="AK482" s="574"/>
      <c r="AL482" s="574"/>
      <c r="AM482" s="574"/>
      <c r="AN482" s="574"/>
      <c r="AO482" s="574"/>
      <c r="AP482" s="574"/>
      <c r="AQ482" s="574"/>
      <c r="AR482" s="574"/>
      <c r="AS482" s="574"/>
      <c r="AT482" s="574"/>
      <c r="AU482" s="574"/>
      <c r="AV482" s="574"/>
      <c r="AW482" s="574"/>
      <c r="AX482" s="574"/>
      <c r="AY482" s="574"/>
      <c r="AZ482" s="574"/>
      <c r="BA482" s="574"/>
      <c r="BB482" s="574"/>
      <c r="BC482" s="574"/>
      <c r="BD482" s="574"/>
      <c r="BE482" s="574"/>
      <c r="BF482" s="574"/>
      <c r="BG482" s="574"/>
      <c r="BH482" s="574"/>
      <c r="BI482" s="574"/>
      <c r="BJ482" s="574"/>
      <c r="BK482" s="574"/>
      <c r="BL482" s="574"/>
      <c r="BM482" s="574"/>
      <c r="BN482" s="574"/>
      <c r="BO482" s="574"/>
      <c r="BP482" s="574"/>
      <c r="BQ482" s="574"/>
      <c r="BR482" s="574"/>
      <c r="BS482" s="574"/>
      <c r="BT482" s="574"/>
      <c r="BU482" s="574"/>
      <c r="BV482" s="574"/>
      <c r="BW482" s="574"/>
      <c r="BX482" s="574"/>
      <c r="BY482" s="574"/>
      <c r="BZ482" s="574"/>
      <c r="CA482" s="574"/>
      <c r="CB482" s="574"/>
      <c r="CC482" s="574"/>
      <c r="CD482" s="574"/>
      <c r="CE482" s="574"/>
      <c r="CF482" s="574"/>
    </row>
    <row r="483" spans="1:84" s="583" customFormat="1" ht="23.1" customHeight="1" thickBot="1">
      <c r="A483" s="1446" t="s">
        <v>1095</v>
      </c>
      <c r="B483" s="1446"/>
      <c r="C483" s="1446"/>
      <c r="D483" s="1446"/>
      <c r="E483" s="1446"/>
      <c r="F483" s="1446"/>
      <c r="G483" s="1447">
        <f>G468+1</f>
        <v>33</v>
      </c>
      <c r="H483" s="1447"/>
      <c r="I483" s="1447"/>
      <c r="J483" s="1448" t="s">
        <v>1096</v>
      </c>
      <c r="K483" s="1448"/>
      <c r="L483" s="574"/>
      <c r="M483" s="574"/>
      <c r="N483" s="574"/>
      <c r="O483" s="574"/>
      <c r="P483" s="574"/>
      <c r="Q483" s="574"/>
      <c r="R483" s="574"/>
      <c r="S483" s="574"/>
      <c r="T483" s="574"/>
      <c r="U483" s="574"/>
      <c r="V483" s="574"/>
      <c r="W483" s="574"/>
      <c r="X483" s="574"/>
      <c r="Y483" s="574"/>
      <c r="Z483" s="574"/>
      <c r="AA483" s="574"/>
      <c r="AB483" s="574"/>
      <c r="AC483" s="574"/>
      <c r="AD483" s="574"/>
      <c r="AE483" s="574"/>
      <c r="AF483" s="574"/>
      <c r="AG483" s="574"/>
      <c r="AH483" s="574"/>
      <c r="AI483" s="574"/>
      <c r="AJ483" s="574"/>
      <c r="AK483" s="574"/>
      <c r="AL483" s="574"/>
      <c r="AM483" s="574"/>
      <c r="AN483" s="574"/>
      <c r="AO483" s="574"/>
      <c r="AP483" s="574"/>
      <c r="AQ483" s="574"/>
      <c r="AR483" s="574"/>
      <c r="AS483" s="574"/>
      <c r="AT483" s="574"/>
      <c r="AU483" s="574"/>
      <c r="AV483" s="574"/>
      <c r="AW483" s="574"/>
      <c r="AX483" s="574"/>
      <c r="AY483" s="574"/>
      <c r="AZ483" s="574"/>
      <c r="BA483" s="574"/>
      <c r="BB483" s="574"/>
      <c r="BC483" s="574"/>
      <c r="BD483" s="574"/>
      <c r="BE483" s="574"/>
      <c r="BF483" s="574"/>
      <c r="BG483" s="574"/>
      <c r="BH483" s="574"/>
      <c r="BI483" s="574"/>
      <c r="BJ483" s="574"/>
      <c r="BK483" s="574"/>
      <c r="BL483" s="574"/>
      <c r="BM483" s="574"/>
      <c r="BN483" s="574"/>
      <c r="BO483" s="574"/>
      <c r="BP483" s="574"/>
      <c r="BQ483" s="574"/>
      <c r="BR483" s="574"/>
      <c r="BS483" s="574"/>
      <c r="BT483" s="574"/>
      <c r="BU483" s="574"/>
      <c r="BV483" s="574"/>
      <c r="BW483" s="574"/>
      <c r="BX483" s="574"/>
      <c r="BY483" s="574"/>
      <c r="BZ483" s="574"/>
      <c r="CA483" s="574"/>
      <c r="CB483" s="574"/>
      <c r="CC483" s="574"/>
      <c r="CD483" s="574"/>
      <c r="CE483" s="574"/>
      <c r="CF483" s="574"/>
    </row>
    <row r="484" spans="1:84" s="583" customFormat="1" ht="23.1" customHeight="1" thickBot="1">
      <c r="A484" s="1483" t="s">
        <v>1097</v>
      </c>
      <c r="B484" s="1484"/>
      <c r="C484" s="1484"/>
      <c r="D484" s="1484"/>
      <c r="E484" s="1484"/>
      <c r="F484" s="1484"/>
      <c r="G484" s="1484"/>
      <c r="H484" s="1484"/>
      <c r="I484" s="581" t="s">
        <v>515</v>
      </c>
      <c r="J484" s="581"/>
      <c r="K484" s="581"/>
      <c r="L484" s="581"/>
      <c r="M484" s="581"/>
      <c r="N484" s="581"/>
      <c r="O484" s="581"/>
      <c r="P484" s="581"/>
      <c r="Q484" s="581"/>
      <c r="R484" s="581"/>
      <c r="S484" s="581"/>
      <c r="T484" s="581"/>
      <c r="U484" s="581"/>
      <c r="V484" s="581"/>
      <c r="W484" s="581"/>
      <c r="X484" s="581"/>
      <c r="Y484" s="581"/>
      <c r="Z484" s="581"/>
      <c r="AA484" s="581"/>
      <c r="AB484" s="581"/>
      <c r="AC484" s="581"/>
      <c r="AD484" s="581"/>
      <c r="AE484" s="581"/>
      <c r="AF484" s="581"/>
      <c r="AG484" s="581"/>
      <c r="AH484" s="581"/>
      <c r="AI484" s="581"/>
      <c r="AJ484" s="1484" t="s">
        <v>1099</v>
      </c>
      <c r="AK484" s="1484"/>
      <c r="AL484" s="1484"/>
      <c r="AM484" s="1484"/>
      <c r="AN484" s="1484"/>
      <c r="AO484" s="1484"/>
      <c r="AP484" s="1484"/>
      <c r="AQ484" s="581" t="s">
        <v>514</v>
      </c>
      <c r="AR484" s="581"/>
      <c r="AS484" s="581"/>
      <c r="AT484" s="581"/>
      <c r="AU484" s="581"/>
      <c r="AV484" s="581"/>
      <c r="AW484" s="581"/>
      <c r="AX484" s="581"/>
      <c r="AY484" s="581"/>
      <c r="AZ484" s="581"/>
      <c r="BA484" s="581"/>
      <c r="BB484" s="581"/>
      <c r="BC484" s="581"/>
      <c r="BD484" s="581"/>
      <c r="BE484" s="581"/>
      <c r="BF484" s="581"/>
      <c r="BG484" s="581"/>
      <c r="BH484" s="581"/>
      <c r="BI484" s="581"/>
      <c r="BJ484" s="581"/>
      <c r="BK484" s="581"/>
      <c r="BL484" s="581"/>
      <c r="BM484" s="581"/>
      <c r="BN484" s="581"/>
      <c r="BO484" s="581"/>
      <c r="BP484" s="581"/>
      <c r="BQ484" s="581"/>
      <c r="BR484" s="581"/>
      <c r="BS484" s="581"/>
      <c r="BT484" s="581" t="s">
        <v>1148</v>
      </c>
      <c r="BU484" s="581"/>
      <c r="BV484" s="581"/>
      <c r="BW484" s="581"/>
      <c r="BX484" s="581"/>
      <c r="BY484" s="581"/>
      <c r="BZ484" s="581"/>
      <c r="CA484" s="581"/>
      <c r="CB484" s="581"/>
      <c r="CC484" s="581"/>
      <c r="CD484" s="581"/>
      <c r="CE484" s="581"/>
      <c r="CF484" s="582"/>
    </row>
    <row r="485" spans="1:84" s="583" customFormat="1" ht="23.1" customHeight="1">
      <c r="A485" s="584"/>
      <c r="B485" s="585" t="s">
        <v>1102</v>
      </c>
      <c r="C485" s="585"/>
      <c r="D485" s="585"/>
      <c r="E485" s="585"/>
      <c r="F485" s="585"/>
      <c r="G485" s="585"/>
      <c r="H485" s="585"/>
      <c r="I485" s="585"/>
      <c r="J485" s="585"/>
      <c r="K485" s="585"/>
      <c r="L485" s="585"/>
      <c r="M485" s="585"/>
      <c r="N485" s="585"/>
      <c r="O485" s="585"/>
      <c r="P485" s="585"/>
      <c r="Q485" s="585"/>
      <c r="R485" s="585"/>
      <c r="S485" s="585"/>
      <c r="T485" s="585"/>
      <c r="U485" s="585"/>
      <c r="V485" s="585"/>
      <c r="W485" s="585"/>
      <c r="X485" s="585"/>
      <c r="Y485" s="585"/>
      <c r="Z485" s="585"/>
      <c r="AA485" s="585"/>
      <c r="AB485" s="585"/>
      <c r="AC485" s="585"/>
      <c r="AD485" s="585"/>
      <c r="AE485" s="585"/>
      <c r="AF485" s="585"/>
      <c r="AG485" s="585"/>
      <c r="AH485" s="585"/>
      <c r="AI485" s="585"/>
      <c r="AJ485" s="585"/>
      <c r="AK485" s="585"/>
      <c r="AL485" s="585"/>
      <c r="AM485" s="585"/>
      <c r="AN485" s="585"/>
      <c r="AO485" s="585"/>
      <c r="AP485" s="585"/>
      <c r="AQ485" s="585"/>
      <c r="AR485" s="585"/>
      <c r="AS485" s="585"/>
      <c r="AT485" s="585"/>
      <c r="AU485" s="585"/>
      <c r="AV485" s="585"/>
      <c r="AW485" s="606"/>
      <c r="AX485" s="585"/>
      <c r="AY485" s="585"/>
      <c r="AZ485" s="585"/>
      <c r="BA485" s="585"/>
      <c r="BB485" s="585"/>
      <c r="BC485" s="585"/>
      <c r="BD485" s="585"/>
      <c r="BE485" s="585"/>
      <c r="BF485" s="585"/>
      <c r="BG485" s="585"/>
      <c r="BH485" s="585"/>
      <c r="BI485" s="585"/>
      <c r="BJ485" s="585"/>
      <c r="BK485" s="585"/>
      <c r="BL485" s="585"/>
      <c r="BM485" s="585"/>
      <c r="BN485" s="585"/>
      <c r="BO485" s="585"/>
      <c r="BP485" s="585"/>
      <c r="BQ485" s="585"/>
      <c r="BR485" s="585"/>
      <c r="BS485" s="585"/>
      <c r="BT485" s="585"/>
      <c r="BU485" s="585"/>
      <c r="BV485" s="585"/>
      <c r="BW485" s="585"/>
      <c r="BX485" s="585"/>
      <c r="BY485" s="585"/>
      <c r="BZ485" s="585"/>
      <c r="CA485" s="585"/>
      <c r="CB485" s="585"/>
      <c r="CC485" s="585"/>
      <c r="CD485" s="585"/>
      <c r="CE485" s="585"/>
      <c r="CF485" s="586"/>
    </row>
    <row r="486" spans="1:84" s="583" customFormat="1" ht="23.1" customHeight="1">
      <c r="A486" s="587"/>
      <c r="B486" s="574"/>
      <c r="C486" s="574"/>
      <c r="D486" s="405"/>
      <c r="E486" s="574"/>
      <c r="F486" s="422"/>
      <c r="G486" s="422"/>
      <c r="H486" s="422"/>
      <c r="I486" s="422"/>
      <c r="J486" s="422"/>
      <c r="K486" s="422"/>
      <c r="L486" s="422"/>
      <c r="M486" s="422"/>
      <c r="N486" s="574"/>
      <c r="O486" s="574"/>
      <c r="P486" s="574"/>
      <c r="Q486" s="574"/>
      <c r="R486" s="574"/>
      <c r="S486" s="588"/>
      <c r="T486" s="588"/>
      <c r="U486" s="588"/>
      <c r="V486" s="588"/>
      <c r="W486" s="588"/>
      <c r="X486" s="588"/>
      <c r="Y486" s="588"/>
      <c r="Z486" s="588"/>
      <c r="AA486" s="574"/>
      <c r="AB486" s="588"/>
      <c r="AC486" s="585"/>
      <c r="AD486" s="585"/>
      <c r="AE486" s="600"/>
      <c r="AF486" s="600"/>
      <c r="AG486" s="600"/>
      <c r="AH486" s="600"/>
      <c r="AI486" s="600"/>
      <c r="AJ486" s="600"/>
      <c r="AK486" s="600"/>
      <c r="AL486" s="600"/>
      <c r="AM486" s="585"/>
      <c r="AN486" s="585"/>
      <c r="AO486" s="574"/>
      <c r="AP486" s="430"/>
      <c r="AQ486" s="430"/>
      <c r="AR486" s="430"/>
      <c r="AS486" s="430"/>
      <c r="AT486" s="430"/>
      <c r="AU486" s="430"/>
      <c r="AV486" s="430"/>
      <c r="AW486" s="430"/>
      <c r="AX486" s="430"/>
      <c r="AY486" s="430"/>
      <c r="AZ486" s="430"/>
      <c r="BA486" s="430"/>
      <c r="BB486" s="430"/>
      <c r="BC486" s="430"/>
      <c r="BD486" s="574"/>
      <c r="BE486" s="574"/>
      <c r="BF486" s="574"/>
      <c r="BG486" s="574"/>
      <c r="BH486" s="574"/>
      <c r="BI486" s="574"/>
      <c r="BJ486" s="574"/>
      <c r="BK486" s="574"/>
      <c r="BL486" s="574"/>
      <c r="BM486" s="574"/>
      <c r="BN486" s="574"/>
      <c r="BO486" s="574"/>
      <c r="BP486" s="574"/>
      <c r="BQ486" s="574"/>
      <c r="BR486" s="574"/>
      <c r="BS486" s="574"/>
      <c r="BT486" s="574"/>
      <c r="BU486" s="574"/>
      <c r="BV486" s="574"/>
      <c r="BW486" s="574"/>
      <c r="BX486" s="574"/>
      <c r="BY486" s="574"/>
      <c r="BZ486" s="574"/>
      <c r="CA486" s="574"/>
      <c r="CB486" s="574"/>
      <c r="CC486" s="574"/>
      <c r="CD486" s="574"/>
      <c r="CE486" s="574"/>
      <c r="CF486" s="589"/>
    </row>
    <row r="487" spans="1:84" s="583" customFormat="1" ht="23.1" customHeight="1">
      <c r="A487" s="584"/>
      <c r="B487" s="585"/>
      <c r="C487" s="585"/>
      <c r="D487" s="585"/>
      <c r="E487" s="585"/>
      <c r="F487" s="585"/>
      <c r="G487" s="585"/>
      <c r="H487" s="585"/>
      <c r="I487" s="585"/>
      <c r="J487" s="585"/>
      <c r="K487" s="585"/>
      <c r="L487" s="585"/>
      <c r="M487" s="585"/>
      <c r="N487" s="585"/>
      <c r="O487" s="585"/>
      <c r="P487" s="585"/>
      <c r="Q487" s="585"/>
      <c r="R487" s="585"/>
      <c r="S487" s="585"/>
      <c r="T487" s="585"/>
      <c r="U487" s="585"/>
      <c r="V487" s="590"/>
      <c r="W487" s="590"/>
      <c r="X487" s="590"/>
      <c r="Y487" s="590"/>
      <c r="Z487" s="590"/>
      <c r="AA487" s="590"/>
      <c r="AB487" s="590"/>
      <c r="AC487" s="590"/>
      <c r="AD487" s="574"/>
      <c r="AE487" s="1440">
        <v>117351000</v>
      </c>
      <c r="AF487" s="1440"/>
      <c r="AG487" s="1440"/>
      <c r="AH487" s="1440"/>
      <c r="AI487" s="1440"/>
      <c r="AJ487" s="1440"/>
      <c r="AK487" s="1440"/>
      <c r="AL487" s="1440"/>
      <c r="AM487" s="1440"/>
      <c r="AN487" s="1440"/>
      <c r="AO487" s="1440"/>
      <c r="AP487" s="1440"/>
      <c r="AQ487" s="1440"/>
      <c r="AR487" s="1440"/>
      <c r="AS487" s="1440"/>
      <c r="AT487" s="1431" t="s">
        <v>446</v>
      </c>
      <c r="AU487" s="1431"/>
      <c r="AV487" s="1441" t="s">
        <v>1103</v>
      </c>
      <c r="AW487" s="1441"/>
      <c r="AX487" s="1442">
        <v>2085</v>
      </c>
      <c r="AY487" s="1442"/>
      <c r="AZ487" s="1442"/>
      <c r="BA487" s="1442"/>
      <c r="BB487" s="1442"/>
      <c r="BC487" s="1442"/>
      <c r="BD487" s="585"/>
      <c r="BE487" s="1431" t="s">
        <v>446</v>
      </c>
      <c r="BF487" s="1431"/>
      <c r="BG487" s="585"/>
      <c r="BH487" s="591" t="s">
        <v>1104</v>
      </c>
      <c r="BI487" s="585"/>
      <c r="BJ487" s="585"/>
      <c r="BK487" s="585"/>
      <c r="BL487" s="1431" t="s">
        <v>1105</v>
      </c>
      <c r="BM487" s="1431"/>
      <c r="BN487" s="1431"/>
      <c r="BO487" s="585"/>
      <c r="BP487" s="1431" t="s">
        <v>41</v>
      </c>
      <c r="BQ487" s="1431"/>
      <c r="BR487" s="585"/>
      <c r="BS487" s="585"/>
      <c r="BT487" s="1437">
        <f>INT(AE487*AX487*10^-7)</f>
        <v>24467</v>
      </c>
      <c r="BU487" s="1437"/>
      <c r="BV487" s="1437"/>
      <c r="BW487" s="1437"/>
      <c r="BX487" s="1437"/>
      <c r="BY487" s="1437"/>
      <c r="BZ487" s="1437"/>
      <c r="CA487" s="1437"/>
      <c r="CB487" s="1437"/>
      <c r="CC487" s="1437"/>
      <c r="CD487" s="585"/>
      <c r="CE487" s="585"/>
      <c r="CF487" s="586"/>
    </row>
    <row r="488" spans="1:84" s="583" customFormat="1" ht="23.1" customHeight="1">
      <c r="A488" s="592"/>
      <c r="B488" s="593" t="s">
        <v>1106</v>
      </c>
      <c r="C488" s="593"/>
      <c r="D488" s="593"/>
      <c r="E488" s="593"/>
      <c r="F488" s="593"/>
      <c r="G488" s="593"/>
      <c r="H488" s="593"/>
      <c r="I488" s="593"/>
      <c r="J488" s="593"/>
      <c r="K488" s="593"/>
      <c r="L488" s="593"/>
      <c r="M488" s="593"/>
      <c r="N488" s="593"/>
      <c r="O488" s="593"/>
      <c r="P488" s="593"/>
      <c r="Q488" s="593"/>
      <c r="R488" s="593"/>
      <c r="S488" s="593"/>
      <c r="T488" s="593"/>
      <c r="U488" s="593"/>
      <c r="V488" s="593"/>
      <c r="W488" s="593"/>
      <c r="X488" s="593"/>
      <c r="Y488" s="593"/>
      <c r="Z488" s="593"/>
      <c r="AA488" s="593"/>
      <c r="AB488" s="593"/>
      <c r="AC488" s="593"/>
      <c r="AD488" s="593"/>
      <c r="AE488" s="593"/>
      <c r="AF488" s="593"/>
      <c r="AG488" s="593"/>
      <c r="AH488" s="593"/>
      <c r="AI488" s="593"/>
      <c r="AJ488" s="593"/>
      <c r="AK488" s="593"/>
      <c r="AL488" s="593"/>
      <c r="AM488" s="593"/>
      <c r="AN488" s="593"/>
      <c r="AO488" s="593"/>
      <c r="AP488" s="593"/>
      <c r="AQ488" s="593"/>
      <c r="AR488" s="593"/>
      <c r="AS488" s="593"/>
      <c r="AT488" s="593"/>
      <c r="AU488" s="593"/>
      <c r="AV488" s="593"/>
      <c r="AW488" s="593"/>
      <c r="AX488" s="593"/>
      <c r="AY488" s="593"/>
      <c r="AZ488" s="593"/>
      <c r="BA488" s="593"/>
      <c r="BB488" s="593"/>
      <c r="BC488" s="593"/>
      <c r="BD488" s="593"/>
      <c r="BE488" s="593"/>
      <c r="BF488" s="593"/>
      <c r="BG488" s="593"/>
      <c r="BH488" s="593"/>
      <c r="BI488" s="593"/>
      <c r="BJ488" s="593"/>
      <c r="BK488" s="593"/>
      <c r="BL488" s="593"/>
      <c r="BM488" s="593"/>
      <c r="BN488" s="593"/>
      <c r="BO488" s="593"/>
      <c r="BP488" s="593"/>
      <c r="BQ488" s="593"/>
      <c r="BR488" s="593"/>
      <c r="BS488" s="593"/>
      <c r="BT488" s="594"/>
      <c r="BU488" s="594"/>
      <c r="BV488" s="594"/>
      <c r="BW488" s="594"/>
      <c r="BX488" s="594"/>
      <c r="BY488" s="594"/>
      <c r="BZ488" s="594"/>
      <c r="CA488" s="594"/>
      <c r="CB488" s="594"/>
      <c r="CC488" s="594"/>
      <c r="CD488" s="593"/>
      <c r="CE488" s="593"/>
      <c r="CF488" s="595"/>
    </row>
    <row r="489" spans="1:84" s="583" customFormat="1" ht="23.1" customHeight="1">
      <c r="A489" s="584"/>
      <c r="B489" s="585"/>
      <c r="C489" s="585"/>
      <c r="D489" s="596" t="s">
        <v>268</v>
      </c>
      <c r="E489" s="585"/>
      <c r="F489" s="585"/>
      <c r="G489" s="585"/>
      <c r="H489" s="585"/>
      <c r="I489" s="585"/>
      <c r="J489" s="585"/>
      <c r="K489" s="585"/>
      <c r="L489" s="585"/>
      <c r="M489" s="585"/>
      <c r="N489" s="585"/>
      <c r="O489" s="585"/>
      <c r="P489" s="585"/>
      <c r="Q489" s="585"/>
      <c r="R489" s="585"/>
      <c r="S489" s="585"/>
      <c r="T489" s="574"/>
      <c r="U489" s="574"/>
      <c r="V489" s="1435">
        <f>HLOOKUP(D489,$CJ$1:$CM$3,3,0)</f>
        <v>283297</v>
      </c>
      <c r="W489" s="1435"/>
      <c r="X489" s="1435"/>
      <c r="Y489" s="1435"/>
      <c r="Z489" s="1435"/>
      <c r="AA489" s="1435"/>
      <c r="AB489" s="1435"/>
      <c r="AC489" s="1435"/>
      <c r="AD489" s="1435"/>
      <c r="AE489" s="1435"/>
      <c r="AF489" s="1431" t="s">
        <v>446</v>
      </c>
      <c r="AG489" s="1431"/>
      <c r="AH489" s="574"/>
      <c r="AI489" s="1436" t="s">
        <v>1107</v>
      </c>
      <c r="AJ489" s="1436"/>
      <c r="AK489" s="1436"/>
      <c r="AL489" s="1436"/>
      <c r="AM489" s="585"/>
      <c r="AN489" s="1431" t="s">
        <v>446</v>
      </c>
      <c r="AO489" s="1431"/>
      <c r="AP489" s="585"/>
      <c r="AQ489" s="1436" t="s">
        <v>1108</v>
      </c>
      <c r="AR489" s="1436"/>
      <c r="AS489" s="1436"/>
      <c r="AT489" s="1436"/>
      <c r="AU489" s="1436"/>
      <c r="AV489" s="422"/>
      <c r="AW489" s="1431" t="s">
        <v>446</v>
      </c>
      <c r="AX489" s="1431"/>
      <c r="AY489" s="440"/>
      <c r="AZ489" s="1436" t="s">
        <v>1109</v>
      </c>
      <c r="BA489" s="1436"/>
      <c r="BB489" s="1436"/>
      <c r="BC489" s="1436"/>
      <c r="BD489" s="1436"/>
      <c r="BE489" s="585"/>
      <c r="BF489" s="1431" t="s">
        <v>446</v>
      </c>
      <c r="BG489" s="1431"/>
      <c r="BH489" s="1431">
        <v>1</v>
      </c>
      <c r="BI489" s="1431"/>
      <c r="BJ489" s="1431"/>
      <c r="BK489" s="585"/>
      <c r="BL489" s="585" t="s">
        <v>366</v>
      </c>
      <c r="BM489" s="585"/>
      <c r="BN489" s="585"/>
      <c r="BO489" s="585"/>
      <c r="BP489" s="1431" t="s">
        <v>41</v>
      </c>
      <c r="BQ489" s="1431"/>
      <c r="BR489" s="585"/>
      <c r="BS489" s="585"/>
      <c r="BT489" s="1432">
        <f>INT(V489/8*16/12*25/20*BH489)</f>
        <v>59020</v>
      </c>
      <c r="BU489" s="1432"/>
      <c r="BV489" s="1432"/>
      <c r="BW489" s="1432"/>
      <c r="BX489" s="1432"/>
      <c r="BY489" s="1432"/>
      <c r="BZ489" s="1432"/>
      <c r="CA489" s="1432"/>
      <c r="CB489" s="1432"/>
      <c r="CC489" s="1432"/>
      <c r="CD489" s="585"/>
      <c r="CE489" s="585"/>
      <c r="CF489" s="586"/>
    </row>
    <row r="490" spans="1:84" s="583" customFormat="1" ht="23.1" customHeight="1">
      <c r="A490" s="584"/>
      <c r="B490" s="585"/>
      <c r="C490" s="585"/>
      <c r="D490" s="585"/>
      <c r="E490" s="585"/>
      <c r="F490" s="585"/>
      <c r="G490" s="585"/>
      <c r="H490" s="585"/>
      <c r="I490" s="585"/>
      <c r="J490" s="585"/>
      <c r="K490" s="585"/>
      <c r="L490" s="585"/>
      <c r="M490" s="585"/>
      <c r="N490" s="585"/>
      <c r="O490" s="585"/>
      <c r="P490" s="574"/>
      <c r="Q490" s="574"/>
      <c r="R490" s="574"/>
      <c r="S490" s="574"/>
      <c r="T490" s="574"/>
      <c r="U490" s="574"/>
      <c r="V490" s="574"/>
      <c r="W490" s="574"/>
      <c r="X490" s="574"/>
      <c r="Y490" s="574"/>
      <c r="Z490" s="574"/>
      <c r="AA490" s="574"/>
      <c r="AB490" s="574"/>
      <c r="AC490" s="574"/>
      <c r="AD490" s="574"/>
      <c r="AE490" s="574"/>
      <c r="AF490" s="574"/>
      <c r="AG490" s="574"/>
      <c r="AH490" s="574"/>
      <c r="AI490" s="574"/>
      <c r="AJ490" s="574"/>
      <c r="AK490" s="574"/>
      <c r="AL490" s="574"/>
      <c r="AM490" s="574"/>
      <c r="AN490" s="574"/>
      <c r="AO490" s="574"/>
      <c r="AP490" s="574"/>
      <c r="AQ490" s="574"/>
      <c r="AR490" s="574"/>
      <c r="AS490" s="574"/>
      <c r="AT490" s="574"/>
      <c r="AU490" s="574"/>
      <c r="AV490" s="574"/>
      <c r="AW490" s="574"/>
      <c r="AX490" s="574"/>
      <c r="AY490" s="574"/>
      <c r="AZ490" s="574"/>
      <c r="BA490" s="574"/>
      <c r="BB490" s="574"/>
      <c r="BC490" s="574"/>
      <c r="BD490" s="574"/>
      <c r="BE490" s="574"/>
      <c r="BF490" s="574"/>
      <c r="BG490" s="585"/>
      <c r="BH490" s="585"/>
      <c r="BI490" s="585"/>
      <c r="BJ490" s="585"/>
      <c r="BK490" s="585"/>
      <c r="BL490" s="585"/>
      <c r="BM490" s="585"/>
      <c r="BN490" s="585"/>
      <c r="BO490" s="585"/>
      <c r="BP490" s="1431"/>
      <c r="BQ490" s="1431"/>
      <c r="BR490" s="585"/>
      <c r="BS490" s="585"/>
      <c r="BT490" s="1432"/>
      <c r="BU490" s="1432"/>
      <c r="BV490" s="1432"/>
      <c r="BW490" s="1432"/>
      <c r="BX490" s="1432"/>
      <c r="BY490" s="1432"/>
      <c r="BZ490" s="1432"/>
      <c r="CA490" s="1432"/>
      <c r="CB490" s="1432"/>
      <c r="CC490" s="1432"/>
      <c r="CD490" s="585"/>
      <c r="CE490" s="585"/>
      <c r="CF490" s="586"/>
    </row>
    <row r="491" spans="1:84" s="583" customFormat="1" ht="23.1" customHeight="1">
      <c r="A491" s="584"/>
      <c r="B491" s="585"/>
      <c r="C491" s="585"/>
      <c r="D491" s="585"/>
      <c r="E491" s="585"/>
      <c r="F491" s="585"/>
      <c r="G491" s="585"/>
      <c r="H491" s="585"/>
      <c r="I491" s="585"/>
      <c r="J491" s="585"/>
      <c r="K491" s="585"/>
      <c r="L491" s="585"/>
      <c r="M491" s="585"/>
      <c r="N491" s="585"/>
      <c r="O491" s="585"/>
      <c r="P491" s="585"/>
      <c r="Q491" s="585"/>
      <c r="R491" s="585"/>
      <c r="S491" s="585"/>
      <c r="T491" s="585"/>
      <c r="U491" s="585"/>
      <c r="V491" s="585"/>
      <c r="W491" s="585"/>
      <c r="X491" s="585"/>
      <c r="Y491" s="585"/>
      <c r="Z491" s="585"/>
      <c r="AA491" s="585"/>
      <c r="AB491" s="585"/>
      <c r="AC491" s="585"/>
      <c r="AD491" s="574"/>
      <c r="AE491" s="574"/>
      <c r="AF491" s="574"/>
      <c r="AG491" s="574"/>
      <c r="AH491" s="574"/>
      <c r="AI491" s="574"/>
      <c r="AJ491" s="574"/>
      <c r="AK491" s="574"/>
      <c r="AL491" s="574"/>
      <c r="AM491" s="574"/>
      <c r="AN491" s="574"/>
      <c r="AO491" s="574"/>
      <c r="AP491" s="574"/>
      <c r="AQ491" s="574"/>
      <c r="AR491" s="574"/>
      <c r="AS491" s="585"/>
      <c r="AT491" s="590"/>
      <c r="AU491" s="590"/>
      <c r="AV491" s="585"/>
      <c r="AW491" s="585"/>
      <c r="AX491" s="585"/>
      <c r="AY491" s="585"/>
      <c r="AZ491" s="585"/>
      <c r="BA491" s="585"/>
      <c r="BB491" s="585"/>
      <c r="BC491" s="585"/>
      <c r="BD491" s="585"/>
      <c r="BE491" s="585"/>
      <c r="BF491" s="585"/>
      <c r="BG491" s="585"/>
      <c r="BH491" s="585"/>
      <c r="BI491" s="585"/>
      <c r="BJ491" s="585"/>
      <c r="BK491" s="585"/>
      <c r="BL491" s="585"/>
      <c r="BM491" s="585"/>
      <c r="BN491" s="585"/>
      <c r="BO491" s="585"/>
      <c r="BP491" s="1431" t="s">
        <v>41</v>
      </c>
      <c r="BQ491" s="1431"/>
      <c r="BR491" s="585"/>
      <c r="BS491" s="585"/>
      <c r="BT491" s="1434">
        <f>BT489+BT490</f>
        <v>59020</v>
      </c>
      <c r="BU491" s="1434"/>
      <c r="BV491" s="1434"/>
      <c r="BW491" s="1434"/>
      <c r="BX491" s="1434"/>
      <c r="BY491" s="1434"/>
      <c r="BZ491" s="1434"/>
      <c r="CA491" s="1434"/>
      <c r="CB491" s="1434"/>
      <c r="CC491" s="1434"/>
      <c r="CD491" s="585"/>
      <c r="CE491" s="585"/>
      <c r="CF491" s="586"/>
    </row>
    <row r="492" spans="1:84" s="583" customFormat="1" ht="23.1" customHeight="1">
      <c r="A492" s="592"/>
      <c r="B492" s="593" t="s">
        <v>1110</v>
      </c>
      <c r="C492" s="593"/>
      <c r="D492" s="593"/>
      <c r="E492" s="593"/>
      <c r="F492" s="593"/>
      <c r="G492" s="593"/>
      <c r="H492" s="593"/>
      <c r="I492" s="593"/>
      <c r="J492" s="593"/>
      <c r="K492" s="593"/>
      <c r="L492" s="593"/>
      <c r="M492" s="593"/>
      <c r="N492" s="593"/>
      <c r="O492" s="593"/>
      <c r="P492" s="593"/>
      <c r="Q492" s="593"/>
      <c r="R492" s="593"/>
      <c r="S492" s="593"/>
      <c r="T492" s="593"/>
      <c r="U492" s="593"/>
      <c r="V492" s="593"/>
      <c r="W492" s="593"/>
      <c r="X492" s="593"/>
      <c r="Y492" s="593"/>
      <c r="Z492" s="593"/>
      <c r="AA492" s="593"/>
      <c r="AB492" s="593"/>
      <c r="AC492" s="593"/>
      <c r="AD492" s="593"/>
      <c r="AE492" s="593"/>
      <c r="AF492" s="593"/>
      <c r="AG492" s="593"/>
      <c r="AH492" s="593"/>
      <c r="AI492" s="593"/>
      <c r="AJ492" s="593"/>
      <c r="AK492" s="593"/>
      <c r="AL492" s="593"/>
      <c r="AM492" s="593"/>
      <c r="AN492" s="593"/>
      <c r="AO492" s="593"/>
      <c r="AP492" s="593"/>
      <c r="AQ492" s="593"/>
      <c r="AR492" s="593"/>
      <c r="AS492" s="593"/>
      <c r="AT492" s="593"/>
      <c r="AU492" s="593"/>
      <c r="AV492" s="593"/>
      <c r="AW492" s="593"/>
      <c r="AX492" s="593"/>
      <c r="AY492" s="593"/>
      <c r="AZ492" s="593"/>
      <c r="BA492" s="593"/>
      <c r="BB492" s="593"/>
      <c r="BC492" s="593"/>
      <c r="BD492" s="593"/>
      <c r="BE492" s="593"/>
      <c r="BF492" s="593"/>
      <c r="BG492" s="593"/>
      <c r="BH492" s="593"/>
      <c r="BI492" s="593"/>
      <c r="BJ492" s="593"/>
      <c r="BK492" s="593"/>
      <c r="BL492" s="593"/>
      <c r="BM492" s="593"/>
      <c r="BN492" s="593"/>
      <c r="BO492" s="593"/>
      <c r="BP492" s="593"/>
      <c r="BQ492" s="593"/>
      <c r="BR492" s="593"/>
      <c r="BS492" s="593"/>
      <c r="BT492" s="593"/>
      <c r="BU492" s="593"/>
      <c r="BV492" s="593"/>
      <c r="BW492" s="593"/>
      <c r="BX492" s="593"/>
      <c r="BY492" s="593"/>
      <c r="BZ492" s="593"/>
      <c r="CA492" s="593"/>
      <c r="CB492" s="593"/>
      <c r="CC492" s="593"/>
      <c r="CD492" s="593"/>
      <c r="CE492" s="593"/>
      <c r="CF492" s="595"/>
    </row>
    <row r="493" spans="1:84" s="583" customFormat="1" ht="23.1" customHeight="1">
      <c r="A493" s="584"/>
      <c r="B493" s="585"/>
      <c r="C493" s="585"/>
      <c r="D493" s="596" t="s">
        <v>1094</v>
      </c>
      <c r="E493" s="585"/>
      <c r="F493" s="585"/>
      <c r="G493" s="585"/>
      <c r="H493" s="585"/>
      <c r="I493" s="585"/>
      <c r="J493" s="585"/>
      <c r="K493" s="585"/>
      <c r="L493" s="585"/>
      <c r="M493" s="585"/>
      <c r="N493" s="585"/>
      <c r="O493" s="585"/>
      <c r="P493" s="585"/>
      <c r="Q493" s="585"/>
      <c r="R493" s="585"/>
      <c r="S493" s="585"/>
      <c r="T493" s="585"/>
      <c r="U493" s="585"/>
      <c r="V493" s="585"/>
      <c r="W493" s="585"/>
      <c r="X493" s="585"/>
      <c r="Y493" s="585"/>
      <c r="Z493" s="585"/>
      <c r="AA493" s="585"/>
      <c r="AB493" s="585"/>
      <c r="AC493" s="585"/>
      <c r="AD493" s="585"/>
      <c r="AE493" s="585"/>
      <c r="AF493" s="585"/>
      <c r="AG493" s="585"/>
      <c r="AH493" s="585"/>
      <c r="AI493" s="585"/>
      <c r="AJ493" s="585"/>
      <c r="AK493" s="585"/>
      <c r="AL493" s="585"/>
      <c r="AM493" s="585"/>
      <c r="AN493" s="585"/>
      <c r="AO493" s="585"/>
      <c r="AP493" s="585"/>
      <c r="AQ493" s="585"/>
      <c r="AR493" s="422"/>
      <c r="AS493" s="1435" t="e">
        <f>HLOOKUP(D493,$CN$1:$CO$3,3,0)</f>
        <v>#REF!</v>
      </c>
      <c r="AT493" s="1435"/>
      <c r="AU493" s="1435"/>
      <c r="AV493" s="1435"/>
      <c r="AW493" s="1435"/>
      <c r="AX493" s="1435"/>
      <c r="AY493" s="1435"/>
      <c r="AZ493" s="1435"/>
      <c r="BA493" s="1435"/>
      <c r="BB493" s="1435"/>
      <c r="BC493" s="585"/>
      <c r="BD493" s="1431" t="s">
        <v>446</v>
      </c>
      <c r="BE493" s="1431"/>
      <c r="BF493" s="585"/>
      <c r="BG493" s="1431">
        <v>9.8000000000000007</v>
      </c>
      <c r="BH493" s="1431"/>
      <c r="BI493" s="1431"/>
      <c r="BJ493" s="1431"/>
      <c r="BK493" s="1431"/>
      <c r="BL493" s="585" t="s">
        <v>1111</v>
      </c>
      <c r="BM493" s="585"/>
      <c r="BN493" s="585"/>
      <c r="BO493" s="585"/>
      <c r="BP493" s="1431" t="s">
        <v>41</v>
      </c>
      <c r="BQ493" s="1431"/>
      <c r="BR493" s="585"/>
      <c r="BS493" s="585"/>
      <c r="BT493" s="1432" t="e">
        <f>INT(AS493*BG493)</f>
        <v>#REF!</v>
      </c>
      <c r="BU493" s="1432"/>
      <c r="BV493" s="1432"/>
      <c r="BW493" s="1432"/>
      <c r="BX493" s="1432"/>
      <c r="BY493" s="1432"/>
      <c r="BZ493" s="1432"/>
      <c r="CA493" s="1432"/>
      <c r="CB493" s="1432"/>
      <c r="CC493" s="1432"/>
      <c r="CD493" s="585"/>
      <c r="CE493" s="585"/>
      <c r="CF493" s="586"/>
    </row>
    <row r="494" spans="1:84" s="583" customFormat="1" ht="23.1" customHeight="1">
      <c r="A494" s="584"/>
      <c r="B494" s="585"/>
      <c r="C494" s="585"/>
      <c r="D494" s="591" t="str">
        <f>"잡재료 (주연료의 "&amp;BG494&amp;"%) :"</f>
        <v>잡재료 (주연료의 44%) :</v>
      </c>
      <c r="E494" s="585"/>
      <c r="F494" s="585"/>
      <c r="G494" s="585"/>
      <c r="H494" s="585"/>
      <c r="I494" s="585"/>
      <c r="J494" s="585"/>
      <c r="K494" s="585"/>
      <c r="L494" s="585"/>
      <c r="M494" s="585"/>
      <c r="N494" s="585"/>
      <c r="O494" s="585"/>
      <c r="P494" s="585"/>
      <c r="Q494" s="585"/>
      <c r="R494" s="585"/>
      <c r="S494" s="585"/>
      <c r="T494" s="585"/>
      <c r="U494" s="585"/>
      <c r="V494" s="585"/>
      <c r="W494" s="585"/>
      <c r="X494" s="585"/>
      <c r="Y494" s="585"/>
      <c r="Z494" s="585"/>
      <c r="AA494" s="585"/>
      <c r="AB494" s="585"/>
      <c r="AC494" s="585"/>
      <c r="AD494" s="585"/>
      <c r="AE494" s="585"/>
      <c r="AF494" s="585"/>
      <c r="AG494" s="585"/>
      <c r="AH494" s="585"/>
      <c r="AI494" s="585"/>
      <c r="AJ494" s="585"/>
      <c r="AK494" s="585"/>
      <c r="AL494" s="585"/>
      <c r="AM494" s="585"/>
      <c r="AN494" s="585"/>
      <c r="AO494" s="585"/>
      <c r="AP494" s="585"/>
      <c r="AQ494" s="585"/>
      <c r="AR494" s="422" t="e">
        <f>BT493</f>
        <v>#REF!</v>
      </c>
      <c r="AS494" s="1430" t="e">
        <f>BT493</f>
        <v>#REF!</v>
      </c>
      <c r="AT494" s="1430"/>
      <c r="AU494" s="1430"/>
      <c r="AV494" s="1430"/>
      <c r="AW494" s="1430"/>
      <c r="AX494" s="1430"/>
      <c r="AY494" s="1430"/>
      <c r="AZ494" s="1430"/>
      <c r="BA494" s="1430"/>
      <c r="BB494" s="1430"/>
      <c r="BC494" s="585"/>
      <c r="BD494" s="1431" t="s">
        <v>446</v>
      </c>
      <c r="BE494" s="1431"/>
      <c r="BF494" s="585"/>
      <c r="BG494" s="1431">
        <v>44</v>
      </c>
      <c r="BH494" s="1431"/>
      <c r="BI494" s="1431"/>
      <c r="BJ494" s="1431"/>
      <c r="BK494" s="1431"/>
      <c r="BL494" s="585" t="s">
        <v>1112</v>
      </c>
      <c r="BM494" s="585"/>
      <c r="BN494" s="585"/>
      <c r="BO494" s="585"/>
      <c r="BP494" s="1431" t="s">
        <v>41</v>
      </c>
      <c r="BQ494" s="1431"/>
      <c r="BR494" s="585"/>
      <c r="BS494" s="585"/>
      <c r="BT494" s="1432" t="e">
        <f>INT(AS494*BG494/100)</f>
        <v>#REF!</v>
      </c>
      <c r="BU494" s="1432"/>
      <c r="BV494" s="1432"/>
      <c r="BW494" s="1432"/>
      <c r="BX494" s="1432"/>
      <c r="BY494" s="1432"/>
      <c r="BZ494" s="1432"/>
      <c r="CA494" s="1432"/>
      <c r="CB494" s="1432"/>
      <c r="CC494" s="1432"/>
      <c r="CD494" s="585"/>
      <c r="CE494" s="585"/>
      <c r="CF494" s="586"/>
    </row>
    <row r="495" spans="1:84" s="583" customFormat="1" ht="23.1" customHeight="1" thickBot="1">
      <c r="A495" s="584"/>
      <c r="B495" s="585"/>
      <c r="C495" s="585"/>
      <c r="D495" s="585"/>
      <c r="E495" s="585"/>
      <c r="F495" s="585"/>
      <c r="G495" s="585"/>
      <c r="H495" s="585"/>
      <c r="I495" s="585"/>
      <c r="J495" s="585"/>
      <c r="K495" s="585"/>
      <c r="L495" s="585"/>
      <c r="M495" s="585"/>
      <c r="N495" s="585"/>
      <c r="O495" s="585"/>
      <c r="P495" s="585"/>
      <c r="Q495" s="585"/>
      <c r="R495" s="585"/>
      <c r="S495" s="585"/>
      <c r="T495" s="585"/>
      <c r="U495" s="585"/>
      <c r="V495" s="585"/>
      <c r="W495" s="585"/>
      <c r="X495" s="585"/>
      <c r="Y495" s="585"/>
      <c r="Z495" s="585"/>
      <c r="AA495" s="585"/>
      <c r="AB495" s="585"/>
      <c r="AC495" s="585"/>
      <c r="AD495" s="585"/>
      <c r="AE495" s="585"/>
      <c r="AF495" s="585"/>
      <c r="AG495" s="585"/>
      <c r="AH495" s="585"/>
      <c r="AI495" s="585"/>
      <c r="AJ495" s="585"/>
      <c r="AK495" s="585"/>
      <c r="AL495" s="585"/>
      <c r="AM495" s="585"/>
      <c r="AN495" s="585"/>
      <c r="AO495" s="585"/>
      <c r="AP495" s="585"/>
      <c r="AQ495" s="585"/>
      <c r="AR495" s="585"/>
      <c r="AS495" s="585"/>
      <c r="AT495" s="585"/>
      <c r="AU495" s="585"/>
      <c r="AV495" s="585"/>
      <c r="AW495" s="585"/>
      <c r="AX495" s="585"/>
      <c r="AY495" s="585"/>
      <c r="AZ495" s="585"/>
      <c r="BA495" s="585"/>
      <c r="BB495" s="585"/>
      <c r="BC495" s="585"/>
      <c r="BD495" s="585"/>
      <c r="BE495" s="585"/>
      <c r="BF495" s="585"/>
      <c r="BG495" s="585"/>
      <c r="BH495" s="585"/>
      <c r="BI495" s="585"/>
      <c r="BJ495" s="585"/>
      <c r="BK495" s="585"/>
      <c r="BL495" s="585"/>
      <c r="BM495" s="585"/>
      <c r="BN495" s="585"/>
      <c r="BO495" s="585"/>
      <c r="BP495" s="1431" t="s">
        <v>41</v>
      </c>
      <c r="BQ495" s="1431"/>
      <c r="BR495" s="585"/>
      <c r="BS495" s="585"/>
      <c r="BT495" s="1433" t="e">
        <f>BT493+BT494</f>
        <v>#REF!</v>
      </c>
      <c r="BU495" s="1433"/>
      <c r="BV495" s="1433"/>
      <c r="BW495" s="1433"/>
      <c r="BX495" s="1433"/>
      <c r="BY495" s="1433"/>
      <c r="BZ495" s="1433"/>
      <c r="CA495" s="1433"/>
      <c r="CB495" s="1433"/>
      <c r="CC495" s="1433"/>
      <c r="CD495" s="585"/>
      <c r="CE495" s="585"/>
      <c r="CF495" s="586"/>
    </row>
    <row r="496" spans="1:84" s="583" customFormat="1" ht="23.1" customHeight="1" thickBot="1">
      <c r="A496" s="597"/>
      <c r="B496" s="598" t="s">
        <v>1113</v>
      </c>
      <c r="C496" s="598"/>
      <c r="D496" s="598"/>
      <c r="E496" s="598"/>
      <c r="F496" s="598"/>
      <c r="G496" s="598"/>
      <c r="H496" s="598"/>
      <c r="I496" s="598"/>
      <c r="J496" s="598"/>
      <c r="K496" s="598"/>
      <c r="L496" s="598"/>
      <c r="M496" s="598"/>
      <c r="N496" s="598"/>
      <c r="O496" s="598"/>
      <c r="P496" s="598"/>
      <c r="Q496" s="598"/>
      <c r="R496" s="598"/>
      <c r="S496" s="598"/>
      <c r="T496" s="598"/>
      <c r="U496" s="598"/>
      <c r="V496" s="598"/>
      <c r="W496" s="598"/>
      <c r="X496" s="598"/>
      <c r="Y496" s="598"/>
      <c r="Z496" s="598"/>
      <c r="AA496" s="598"/>
      <c r="AB496" s="598"/>
      <c r="AC496" s="598"/>
      <c r="AD496" s="598"/>
      <c r="AE496" s="598"/>
      <c r="AF496" s="598"/>
      <c r="AG496" s="598"/>
      <c r="AH496" s="598"/>
      <c r="AI496" s="598"/>
      <c r="AJ496" s="598"/>
      <c r="AK496" s="598"/>
      <c r="AL496" s="598"/>
      <c r="AM496" s="598"/>
      <c r="AN496" s="598"/>
      <c r="AO496" s="598"/>
      <c r="AP496" s="598"/>
      <c r="AQ496" s="598"/>
      <c r="AR496" s="598"/>
      <c r="AS496" s="598"/>
      <c r="AT496" s="598"/>
      <c r="AU496" s="598"/>
      <c r="AV496" s="598"/>
      <c r="AW496" s="598"/>
      <c r="AX496" s="598"/>
      <c r="AY496" s="598"/>
      <c r="AZ496" s="598"/>
      <c r="BA496" s="598"/>
      <c r="BB496" s="598"/>
      <c r="BC496" s="598"/>
      <c r="BD496" s="598"/>
      <c r="BE496" s="598"/>
      <c r="BF496" s="598"/>
      <c r="BG496" s="598"/>
      <c r="BH496" s="598"/>
      <c r="BI496" s="598"/>
      <c r="BJ496" s="598"/>
      <c r="BK496" s="598"/>
      <c r="BL496" s="598"/>
      <c r="BM496" s="598"/>
      <c r="BN496" s="598"/>
      <c r="BO496" s="598"/>
      <c r="BP496" s="598"/>
      <c r="BQ496" s="598"/>
      <c r="BR496" s="598"/>
      <c r="BS496" s="598"/>
      <c r="BT496" s="1429" t="e">
        <f>BT487+BT491+BT495</f>
        <v>#REF!</v>
      </c>
      <c r="BU496" s="1429"/>
      <c r="BV496" s="1429"/>
      <c r="BW496" s="1429"/>
      <c r="BX496" s="1429"/>
      <c r="BY496" s="1429"/>
      <c r="BZ496" s="1429"/>
      <c r="CA496" s="1429"/>
      <c r="CB496" s="1429"/>
      <c r="CC496" s="1429"/>
      <c r="CD496" s="598"/>
      <c r="CE496" s="598"/>
      <c r="CF496" s="599"/>
    </row>
    <row r="497" spans="1:84" s="583" customFormat="1" ht="9.9499999999999993" customHeight="1">
      <c r="A497" s="574"/>
      <c r="B497" s="574"/>
      <c r="C497" s="574"/>
      <c r="D497" s="574"/>
      <c r="E497" s="574"/>
      <c r="F497" s="574"/>
      <c r="G497" s="574"/>
      <c r="H497" s="574"/>
      <c r="I497" s="574"/>
      <c r="J497" s="574"/>
      <c r="K497" s="574"/>
      <c r="L497" s="574"/>
      <c r="M497" s="574"/>
      <c r="N497" s="574"/>
      <c r="O497" s="574"/>
      <c r="P497" s="574"/>
      <c r="Q497" s="574"/>
      <c r="R497" s="574"/>
      <c r="S497" s="574"/>
      <c r="T497" s="574"/>
      <c r="U497" s="574"/>
      <c r="V497" s="574"/>
      <c r="W497" s="574"/>
      <c r="X497" s="574"/>
      <c r="Y497" s="574"/>
      <c r="Z497" s="574"/>
      <c r="AA497" s="574"/>
      <c r="AB497" s="574"/>
      <c r="AC497" s="574"/>
      <c r="AD497" s="574"/>
      <c r="AE497" s="574"/>
      <c r="AF497" s="574"/>
      <c r="AG497" s="574"/>
      <c r="AH497" s="574"/>
      <c r="AI497" s="574"/>
      <c r="AJ497" s="574"/>
      <c r="AK497" s="574"/>
      <c r="AL497" s="574"/>
      <c r="AM497" s="574"/>
      <c r="AN497" s="574"/>
      <c r="AO497" s="574"/>
      <c r="AP497" s="574"/>
      <c r="AQ497" s="574"/>
      <c r="AR497" s="574"/>
      <c r="AS497" s="574"/>
      <c r="AT497" s="574"/>
      <c r="AU497" s="574"/>
      <c r="AV497" s="574"/>
      <c r="AW497" s="574"/>
      <c r="AX497" s="574"/>
      <c r="AY497" s="574"/>
      <c r="AZ497" s="574"/>
      <c r="BA497" s="574"/>
      <c r="BB497" s="574"/>
      <c r="BC497" s="574"/>
      <c r="BD497" s="574"/>
      <c r="BE497" s="574"/>
      <c r="BF497" s="574"/>
      <c r="BG497" s="574"/>
      <c r="BH497" s="574"/>
      <c r="BI497" s="574"/>
      <c r="BJ497" s="574"/>
      <c r="BK497" s="574"/>
      <c r="BL497" s="574"/>
      <c r="BM497" s="574"/>
      <c r="BN497" s="574"/>
      <c r="BO497" s="574"/>
      <c r="BP497" s="574"/>
      <c r="BQ497" s="574"/>
      <c r="BR497" s="574"/>
      <c r="BS497" s="574"/>
      <c r="BT497" s="574"/>
      <c r="BU497" s="574"/>
      <c r="BV497" s="574"/>
      <c r="BW497" s="574"/>
      <c r="BX497" s="574"/>
      <c r="BY497" s="574"/>
      <c r="BZ497" s="574"/>
      <c r="CA497" s="574"/>
      <c r="CB497" s="574"/>
      <c r="CC497" s="574"/>
      <c r="CD497" s="574"/>
      <c r="CE497" s="574"/>
      <c r="CF497" s="574"/>
    </row>
    <row r="498" spans="1:84" s="583" customFormat="1" ht="23.1" customHeight="1" thickBot="1">
      <c r="A498" s="1446" t="s">
        <v>1095</v>
      </c>
      <c r="B498" s="1446"/>
      <c r="C498" s="1446"/>
      <c r="D498" s="1446"/>
      <c r="E498" s="1446"/>
      <c r="F498" s="1446"/>
      <c r="G498" s="1447">
        <f>G483+1</f>
        <v>34</v>
      </c>
      <c r="H498" s="1447"/>
      <c r="I498" s="1447"/>
      <c r="J498" s="1448" t="s">
        <v>1096</v>
      </c>
      <c r="K498" s="1448"/>
      <c r="L498" s="574"/>
      <c r="M498" s="574"/>
      <c r="N498" s="574"/>
      <c r="O498" s="574"/>
      <c r="P498" s="574"/>
      <c r="Q498" s="574"/>
      <c r="R498" s="574"/>
      <c r="S498" s="574"/>
      <c r="T498" s="574"/>
      <c r="U498" s="574"/>
      <c r="V498" s="574"/>
      <c r="W498" s="574"/>
      <c r="X498" s="574"/>
      <c r="Y498" s="574"/>
      <c r="Z498" s="574"/>
      <c r="AA498" s="574"/>
      <c r="AB498" s="574"/>
      <c r="AC498" s="574"/>
      <c r="AD498" s="574"/>
      <c r="AE498" s="574"/>
      <c r="AF498" s="574"/>
      <c r="AG498" s="574"/>
      <c r="AH498" s="574"/>
      <c r="AI498" s="574"/>
      <c r="AJ498" s="574"/>
      <c r="AK498" s="574"/>
      <c r="AL498" s="574"/>
      <c r="AM498" s="574"/>
      <c r="AN498" s="574"/>
      <c r="AO498" s="574"/>
      <c r="AP498" s="574"/>
      <c r="AQ498" s="574"/>
      <c r="AR498" s="574"/>
      <c r="AS498" s="574"/>
      <c r="AT498" s="574"/>
      <c r="AU498" s="574"/>
      <c r="AV498" s="574"/>
      <c r="AW498" s="574"/>
      <c r="AX498" s="574"/>
      <c r="AY498" s="574"/>
      <c r="AZ498" s="574"/>
      <c r="BA498" s="574"/>
      <c r="BB498" s="574"/>
      <c r="BC498" s="574"/>
      <c r="BD498" s="574"/>
      <c r="BE498" s="574"/>
      <c r="BF498" s="574"/>
      <c r="BG498" s="574"/>
      <c r="BH498" s="574"/>
      <c r="BI498" s="574"/>
      <c r="BJ498" s="574"/>
      <c r="BK498" s="574"/>
      <c r="BL498" s="574"/>
      <c r="BM498" s="574"/>
      <c r="BN498" s="574"/>
      <c r="BO498" s="574"/>
      <c r="BP498" s="574"/>
      <c r="BQ498" s="574"/>
      <c r="BR498" s="574"/>
      <c r="BS498" s="574"/>
      <c r="BT498" s="574"/>
      <c r="BU498" s="574"/>
      <c r="BV498" s="574"/>
      <c r="BW498" s="574"/>
      <c r="BX498" s="574"/>
      <c r="BY498" s="574"/>
      <c r="BZ498" s="574"/>
      <c r="CA498" s="574"/>
      <c r="CB498" s="574"/>
      <c r="CC498" s="574"/>
      <c r="CD498" s="574"/>
      <c r="CE498" s="574"/>
      <c r="CF498" s="574"/>
    </row>
    <row r="499" spans="1:84" s="583" customFormat="1" ht="23.1" customHeight="1" thickBot="1">
      <c r="A499" s="1483" t="s">
        <v>1097</v>
      </c>
      <c r="B499" s="1484"/>
      <c r="C499" s="1484"/>
      <c r="D499" s="1484"/>
      <c r="E499" s="1484"/>
      <c r="F499" s="1484"/>
      <c r="G499" s="1484"/>
      <c r="H499" s="1484"/>
      <c r="I499" s="581" t="s">
        <v>1149</v>
      </c>
      <c r="J499" s="581"/>
      <c r="K499" s="581"/>
      <c r="L499" s="581"/>
      <c r="M499" s="581"/>
      <c r="N499" s="581"/>
      <c r="O499" s="581"/>
      <c r="P499" s="581"/>
      <c r="Q499" s="581"/>
      <c r="R499" s="581"/>
      <c r="S499" s="581"/>
      <c r="T499" s="581"/>
      <c r="U499" s="581"/>
      <c r="V499" s="581"/>
      <c r="W499" s="581"/>
      <c r="X499" s="581"/>
      <c r="Y499" s="581"/>
      <c r="Z499" s="581"/>
      <c r="AA499" s="581"/>
      <c r="AB499" s="581"/>
      <c r="AC499" s="581"/>
      <c r="AD499" s="581"/>
      <c r="AE499" s="581"/>
      <c r="AF499" s="581"/>
      <c r="AG499" s="581"/>
      <c r="AH499" s="581"/>
      <c r="AI499" s="581"/>
      <c r="AJ499" s="1484" t="s">
        <v>1099</v>
      </c>
      <c r="AK499" s="1484"/>
      <c r="AL499" s="1484"/>
      <c r="AM499" s="1484"/>
      <c r="AN499" s="1484"/>
      <c r="AO499" s="1484"/>
      <c r="AP499" s="1484"/>
      <c r="AQ499" s="581" t="s">
        <v>1150</v>
      </c>
      <c r="AR499" s="581"/>
      <c r="AS499" s="581"/>
      <c r="AT499" s="581"/>
      <c r="AU499" s="581"/>
      <c r="AV499" s="581"/>
      <c r="AW499" s="581"/>
      <c r="AX499" s="581"/>
      <c r="AY499" s="581"/>
      <c r="AZ499" s="581"/>
      <c r="BA499" s="581"/>
      <c r="BB499" s="581"/>
      <c r="BC499" s="581"/>
      <c r="BD499" s="581"/>
      <c r="BE499" s="581"/>
      <c r="BF499" s="581"/>
      <c r="BG499" s="581"/>
      <c r="BH499" s="581"/>
      <c r="BI499" s="581"/>
      <c r="BJ499" s="581"/>
      <c r="BK499" s="581"/>
      <c r="BL499" s="581"/>
      <c r="BM499" s="581"/>
      <c r="BN499" s="581"/>
      <c r="BO499" s="581"/>
      <c r="BP499" s="581"/>
      <c r="BQ499" s="581"/>
      <c r="BR499" s="581"/>
      <c r="BS499" s="581"/>
      <c r="BT499" s="581" t="s">
        <v>1151</v>
      </c>
      <c r="BU499" s="581"/>
      <c r="BV499" s="581"/>
      <c r="BW499" s="581"/>
      <c r="BX499" s="581"/>
      <c r="BY499" s="581"/>
      <c r="BZ499" s="581"/>
      <c r="CA499" s="581"/>
      <c r="CB499" s="581"/>
      <c r="CC499" s="581"/>
      <c r="CD499" s="581"/>
      <c r="CE499" s="581"/>
      <c r="CF499" s="582"/>
    </row>
    <row r="500" spans="1:84" s="583" customFormat="1" ht="23.1" customHeight="1">
      <c r="A500" s="584"/>
      <c r="B500" s="585" t="s">
        <v>1102</v>
      </c>
      <c r="C500" s="585"/>
      <c r="D500" s="585"/>
      <c r="E500" s="585"/>
      <c r="F500" s="585"/>
      <c r="G500" s="585"/>
      <c r="H500" s="585"/>
      <c r="I500" s="585"/>
      <c r="J500" s="585"/>
      <c r="K500" s="585"/>
      <c r="L500" s="585"/>
      <c r="M500" s="585"/>
      <c r="N500" s="585"/>
      <c r="O500" s="585"/>
      <c r="P500" s="585"/>
      <c r="Q500" s="585"/>
      <c r="R500" s="585"/>
      <c r="S500" s="585"/>
      <c r="T500" s="585"/>
      <c r="U500" s="585"/>
      <c r="V500" s="585"/>
      <c r="W500" s="585"/>
      <c r="X500" s="585"/>
      <c r="Y500" s="585"/>
      <c r="Z500" s="585"/>
      <c r="AA500" s="585"/>
      <c r="AB500" s="585"/>
      <c r="AC500" s="585"/>
      <c r="AD500" s="585"/>
      <c r="AE500" s="585"/>
      <c r="AF500" s="585"/>
      <c r="AG500" s="585"/>
      <c r="AH500" s="585"/>
      <c r="AI500" s="585"/>
      <c r="AJ500" s="585"/>
      <c r="AK500" s="585"/>
      <c r="AL500" s="585"/>
      <c r="AM500" s="585"/>
      <c r="AN500" s="585"/>
      <c r="AO500" s="585"/>
      <c r="AP500" s="585"/>
      <c r="AQ500" s="585"/>
      <c r="AR500" s="585"/>
      <c r="AS500" s="585"/>
      <c r="AT500" s="585"/>
      <c r="AU500" s="585"/>
      <c r="AV500" s="585"/>
      <c r="AW500" s="585"/>
      <c r="AX500" s="585"/>
      <c r="AY500" s="585"/>
      <c r="AZ500" s="585"/>
      <c r="BA500" s="585"/>
      <c r="BB500" s="585"/>
      <c r="BC500" s="585"/>
      <c r="BD500" s="585"/>
      <c r="BE500" s="585"/>
      <c r="BF500" s="585"/>
      <c r="BG500" s="585"/>
      <c r="BH500" s="585"/>
      <c r="BI500" s="585"/>
      <c r="BJ500" s="585"/>
      <c r="BK500" s="585"/>
      <c r="BL500" s="585"/>
      <c r="BM500" s="585"/>
      <c r="BN500" s="585"/>
      <c r="BO500" s="585"/>
      <c r="BP500" s="585"/>
      <c r="BQ500" s="585"/>
      <c r="BR500" s="585"/>
      <c r="BS500" s="585"/>
      <c r="BT500" s="585"/>
      <c r="BU500" s="585"/>
      <c r="BV500" s="585"/>
      <c r="BW500" s="585"/>
      <c r="BX500" s="585"/>
      <c r="BY500" s="585"/>
      <c r="BZ500" s="585"/>
      <c r="CA500" s="585"/>
      <c r="CB500" s="585"/>
      <c r="CC500" s="585"/>
      <c r="CD500" s="585"/>
      <c r="CE500" s="585"/>
      <c r="CF500" s="586"/>
    </row>
    <row r="501" spans="1:84" s="583" customFormat="1" ht="23.1" customHeight="1">
      <c r="A501" s="587"/>
      <c r="B501" s="574"/>
      <c r="C501" s="574"/>
      <c r="D501" s="405"/>
      <c r="E501" s="574"/>
      <c r="F501" s="422"/>
      <c r="G501" s="422"/>
      <c r="H501" s="422"/>
      <c r="I501" s="422"/>
      <c r="J501" s="422"/>
      <c r="K501" s="422"/>
      <c r="L501" s="422"/>
      <c r="M501" s="422"/>
      <c r="N501" s="574"/>
      <c r="O501" s="574"/>
      <c r="P501" s="574"/>
      <c r="Q501" s="574"/>
      <c r="R501" s="574"/>
      <c r="S501" s="588"/>
      <c r="T501" s="588"/>
      <c r="U501" s="588"/>
      <c r="V501" s="588"/>
      <c r="W501" s="588"/>
      <c r="X501" s="588"/>
      <c r="Y501" s="588"/>
      <c r="Z501" s="588"/>
      <c r="AA501" s="574"/>
      <c r="AB501" s="588"/>
      <c r="AC501" s="585"/>
      <c r="AD501" s="585"/>
      <c r="AE501" s="600"/>
      <c r="AF501" s="600"/>
      <c r="AG501" s="600"/>
      <c r="AH501" s="600"/>
      <c r="AI501" s="600"/>
      <c r="AJ501" s="600"/>
      <c r="AK501" s="600"/>
      <c r="AL501" s="600"/>
      <c r="AM501" s="585"/>
      <c r="AN501" s="585"/>
      <c r="AO501" s="574"/>
      <c r="AP501" s="588"/>
      <c r="AQ501" s="588"/>
      <c r="AR501" s="588"/>
      <c r="AS501" s="588"/>
      <c r="AT501" s="588"/>
      <c r="AU501" s="588"/>
      <c r="AV501" s="588"/>
      <c r="AW501" s="588"/>
      <c r="AX501" s="588"/>
      <c r="AY501" s="588"/>
      <c r="AZ501" s="588"/>
      <c r="BA501" s="588"/>
      <c r="BB501" s="588"/>
      <c r="BC501" s="588"/>
      <c r="BD501" s="574"/>
      <c r="BE501" s="574"/>
      <c r="BF501" s="574"/>
      <c r="BG501" s="574"/>
      <c r="BH501" s="574"/>
      <c r="BI501" s="574"/>
      <c r="BJ501" s="574"/>
      <c r="BK501" s="574"/>
      <c r="BL501" s="574"/>
      <c r="BM501" s="574"/>
      <c r="BN501" s="574"/>
      <c r="BO501" s="574"/>
      <c r="BP501" s="574"/>
      <c r="BQ501" s="574"/>
      <c r="BR501" s="574"/>
      <c r="BS501" s="574"/>
      <c r="BT501" s="574"/>
      <c r="BU501" s="574"/>
      <c r="BV501" s="574"/>
      <c r="BW501" s="574"/>
      <c r="BX501" s="574"/>
      <c r="BY501" s="574"/>
      <c r="BZ501" s="574"/>
      <c r="CA501" s="574"/>
      <c r="CB501" s="574"/>
      <c r="CC501" s="574"/>
      <c r="CD501" s="574"/>
      <c r="CE501" s="574"/>
      <c r="CF501" s="589"/>
    </row>
    <row r="502" spans="1:84" s="583" customFormat="1" ht="23.1" customHeight="1">
      <c r="A502" s="584"/>
      <c r="B502" s="585"/>
      <c r="C502" s="585"/>
      <c r="D502" s="585"/>
      <c r="E502" s="585"/>
      <c r="F502" s="585"/>
      <c r="G502" s="585"/>
      <c r="H502" s="585"/>
      <c r="I502" s="585"/>
      <c r="J502" s="585"/>
      <c r="K502" s="585"/>
      <c r="L502" s="585"/>
      <c r="M502" s="585"/>
      <c r="N502" s="585"/>
      <c r="O502" s="585"/>
      <c r="P502" s="585"/>
      <c r="Q502" s="585"/>
      <c r="R502" s="585"/>
      <c r="S502" s="585"/>
      <c r="T502" s="585"/>
      <c r="U502" s="585"/>
      <c r="V502" s="590"/>
      <c r="W502" s="590"/>
      <c r="X502" s="590"/>
      <c r="Y502" s="590"/>
      <c r="Z502" s="590"/>
      <c r="AA502" s="590"/>
      <c r="AB502" s="590"/>
      <c r="AC502" s="590"/>
      <c r="AD502" s="574"/>
      <c r="AE502" s="1440">
        <v>310687000</v>
      </c>
      <c r="AF502" s="1440"/>
      <c r="AG502" s="1440"/>
      <c r="AH502" s="1440"/>
      <c r="AI502" s="1440"/>
      <c r="AJ502" s="1440"/>
      <c r="AK502" s="1440"/>
      <c r="AL502" s="1440"/>
      <c r="AM502" s="1440"/>
      <c r="AN502" s="1440"/>
      <c r="AO502" s="1440"/>
      <c r="AP502" s="1440"/>
      <c r="AQ502" s="1440"/>
      <c r="AR502" s="1440"/>
      <c r="AS502" s="1440"/>
      <c r="AT502" s="1431" t="s">
        <v>446</v>
      </c>
      <c r="AU502" s="1431"/>
      <c r="AV502" s="1441" t="s">
        <v>1103</v>
      </c>
      <c r="AW502" s="1441"/>
      <c r="AX502" s="1442">
        <v>1508</v>
      </c>
      <c r="AY502" s="1442"/>
      <c r="AZ502" s="1442"/>
      <c r="BA502" s="1442"/>
      <c r="BB502" s="1442"/>
      <c r="BC502" s="1442"/>
      <c r="BD502" s="585"/>
      <c r="BE502" s="1431" t="s">
        <v>446</v>
      </c>
      <c r="BF502" s="1431"/>
      <c r="BG502" s="585"/>
      <c r="BH502" s="591" t="s">
        <v>1104</v>
      </c>
      <c r="BI502" s="585"/>
      <c r="BJ502" s="585"/>
      <c r="BK502" s="585"/>
      <c r="BL502" s="1431" t="s">
        <v>1105</v>
      </c>
      <c r="BM502" s="1431"/>
      <c r="BN502" s="1431"/>
      <c r="BO502" s="585"/>
      <c r="BP502" s="1431" t="s">
        <v>41</v>
      </c>
      <c r="BQ502" s="1431"/>
      <c r="BR502" s="585"/>
      <c r="BS502" s="585"/>
      <c r="BT502" s="1437">
        <f>INT(AE502*AX502*10^-7)</f>
        <v>46851</v>
      </c>
      <c r="BU502" s="1437"/>
      <c r="BV502" s="1437"/>
      <c r="BW502" s="1437"/>
      <c r="BX502" s="1437"/>
      <c r="BY502" s="1437"/>
      <c r="BZ502" s="1437"/>
      <c r="CA502" s="1437"/>
      <c r="CB502" s="1437"/>
      <c r="CC502" s="1437"/>
      <c r="CD502" s="585"/>
      <c r="CE502" s="585"/>
      <c r="CF502" s="586"/>
    </row>
    <row r="503" spans="1:84" s="583" customFormat="1" ht="23.1" customHeight="1">
      <c r="A503" s="592"/>
      <c r="B503" s="593" t="s">
        <v>1106</v>
      </c>
      <c r="C503" s="593"/>
      <c r="D503" s="593"/>
      <c r="E503" s="593"/>
      <c r="F503" s="593"/>
      <c r="G503" s="593"/>
      <c r="H503" s="593"/>
      <c r="I503" s="593"/>
      <c r="J503" s="593"/>
      <c r="K503" s="593"/>
      <c r="L503" s="593"/>
      <c r="M503" s="593"/>
      <c r="N503" s="593"/>
      <c r="O503" s="593"/>
      <c r="P503" s="593"/>
      <c r="Q503" s="593"/>
      <c r="R503" s="593"/>
      <c r="S503" s="593"/>
      <c r="T503" s="593"/>
      <c r="U503" s="593"/>
      <c r="V503" s="593"/>
      <c r="W503" s="593"/>
      <c r="X503" s="593"/>
      <c r="Y503" s="593"/>
      <c r="Z503" s="593"/>
      <c r="AA503" s="593"/>
      <c r="AB503" s="593"/>
      <c r="AC503" s="593"/>
      <c r="AD503" s="593"/>
      <c r="AE503" s="593"/>
      <c r="AF503" s="593"/>
      <c r="AG503" s="593"/>
      <c r="AH503" s="593"/>
      <c r="AI503" s="593"/>
      <c r="AJ503" s="593"/>
      <c r="AK503" s="593"/>
      <c r="AL503" s="593"/>
      <c r="AM503" s="593"/>
      <c r="AN503" s="593"/>
      <c r="AO503" s="593"/>
      <c r="AP503" s="593"/>
      <c r="AQ503" s="593"/>
      <c r="AR503" s="593"/>
      <c r="AS503" s="593"/>
      <c r="AT503" s="593"/>
      <c r="AU503" s="593"/>
      <c r="AV503" s="593"/>
      <c r="AW503" s="593"/>
      <c r="AX503" s="593"/>
      <c r="AY503" s="593"/>
      <c r="AZ503" s="593"/>
      <c r="BA503" s="593"/>
      <c r="BB503" s="593"/>
      <c r="BC503" s="593"/>
      <c r="BD503" s="593"/>
      <c r="BE503" s="593"/>
      <c r="BF503" s="593"/>
      <c r="BG503" s="593"/>
      <c r="BH503" s="593"/>
      <c r="BI503" s="593"/>
      <c r="BJ503" s="593"/>
      <c r="BK503" s="593"/>
      <c r="BL503" s="593"/>
      <c r="BM503" s="593"/>
      <c r="BN503" s="593"/>
      <c r="BO503" s="593"/>
      <c r="BP503" s="593"/>
      <c r="BQ503" s="593"/>
      <c r="BR503" s="593"/>
      <c r="BS503" s="593"/>
      <c r="BT503" s="594"/>
      <c r="BU503" s="594"/>
      <c r="BV503" s="594"/>
      <c r="BW503" s="594"/>
      <c r="BX503" s="594"/>
      <c r="BY503" s="594"/>
      <c r="BZ503" s="594"/>
      <c r="CA503" s="594"/>
      <c r="CB503" s="594"/>
      <c r="CC503" s="594"/>
      <c r="CD503" s="593"/>
      <c r="CE503" s="593"/>
      <c r="CF503" s="595"/>
    </row>
    <row r="504" spans="1:84" s="583" customFormat="1" ht="23.1" customHeight="1">
      <c r="A504" s="584"/>
      <c r="B504" s="585"/>
      <c r="C504" s="585"/>
      <c r="D504" s="596" t="s">
        <v>268</v>
      </c>
      <c r="E504" s="585"/>
      <c r="F504" s="585"/>
      <c r="G504" s="585"/>
      <c r="H504" s="585"/>
      <c r="I504" s="585"/>
      <c r="J504" s="585"/>
      <c r="K504" s="585"/>
      <c r="L504" s="585"/>
      <c r="M504" s="585"/>
      <c r="N504" s="585"/>
      <c r="O504" s="585"/>
      <c r="P504" s="585"/>
      <c r="Q504" s="585"/>
      <c r="R504" s="585"/>
      <c r="S504" s="585"/>
      <c r="T504" s="574"/>
      <c r="U504" s="574"/>
      <c r="V504" s="1435">
        <f>HLOOKUP(D504,$CJ$1:$CM$3,3,0)</f>
        <v>283297</v>
      </c>
      <c r="W504" s="1435"/>
      <c r="X504" s="1435"/>
      <c r="Y504" s="1435"/>
      <c r="Z504" s="1435"/>
      <c r="AA504" s="1435"/>
      <c r="AB504" s="1435"/>
      <c r="AC504" s="1435"/>
      <c r="AD504" s="1435"/>
      <c r="AE504" s="1435"/>
      <c r="AF504" s="1431" t="s">
        <v>446</v>
      </c>
      <c r="AG504" s="1431"/>
      <c r="AH504" s="574"/>
      <c r="AI504" s="1436" t="s">
        <v>1107</v>
      </c>
      <c r="AJ504" s="1436"/>
      <c r="AK504" s="1436"/>
      <c r="AL504" s="1436"/>
      <c r="AM504" s="585"/>
      <c r="AN504" s="1431" t="s">
        <v>446</v>
      </c>
      <c r="AO504" s="1431"/>
      <c r="AP504" s="585"/>
      <c r="AQ504" s="1436" t="s">
        <v>1108</v>
      </c>
      <c r="AR504" s="1436"/>
      <c r="AS504" s="1436"/>
      <c r="AT504" s="1436"/>
      <c r="AU504" s="1436"/>
      <c r="AV504" s="422"/>
      <c r="AW504" s="1431" t="s">
        <v>446</v>
      </c>
      <c r="AX504" s="1431"/>
      <c r="AY504" s="440"/>
      <c r="AZ504" s="1436" t="s">
        <v>1109</v>
      </c>
      <c r="BA504" s="1436"/>
      <c r="BB504" s="1436"/>
      <c r="BC504" s="1436"/>
      <c r="BD504" s="1436"/>
      <c r="BE504" s="585"/>
      <c r="BF504" s="1431" t="s">
        <v>446</v>
      </c>
      <c r="BG504" s="1431"/>
      <c r="BH504" s="1431">
        <v>1</v>
      </c>
      <c r="BI504" s="1431"/>
      <c r="BJ504" s="1431"/>
      <c r="BK504" s="585"/>
      <c r="BL504" s="585" t="s">
        <v>366</v>
      </c>
      <c r="BM504" s="585"/>
      <c r="BN504" s="585"/>
      <c r="BO504" s="585"/>
      <c r="BP504" s="1431" t="s">
        <v>41</v>
      </c>
      <c r="BQ504" s="1431"/>
      <c r="BR504" s="585"/>
      <c r="BS504" s="585"/>
      <c r="BT504" s="1432">
        <f>INT(V504/8*16/12*25/20*BH504)</f>
        <v>59020</v>
      </c>
      <c r="BU504" s="1432"/>
      <c r="BV504" s="1432"/>
      <c r="BW504" s="1432"/>
      <c r="BX504" s="1432"/>
      <c r="BY504" s="1432"/>
      <c r="BZ504" s="1432"/>
      <c r="CA504" s="1432"/>
      <c r="CB504" s="1432"/>
      <c r="CC504" s="1432"/>
      <c r="CD504" s="585"/>
      <c r="CE504" s="585"/>
      <c r="CF504" s="586"/>
    </row>
    <row r="505" spans="1:84" s="583" customFormat="1" ht="23.1" customHeight="1">
      <c r="A505" s="584"/>
      <c r="B505" s="585"/>
      <c r="C505" s="585"/>
      <c r="D505" s="585"/>
      <c r="E505" s="585"/>
      <c r="F505" s="585"/>
      <c r="G505" s="585"/>
      <c r="H505" s="585"/>
      <c r="I505" s="585"/>
      <c r="J505" s="585"/>
      <c r="K505" s="585"/>
      <c r="L505" s="585"/>
      <c r="M505" s="585"/>
      <c r="N505" s="585"/>
      <c r="O505" s="585"/>
      <c r="P505" s="574"/>
      <c r="Q505" s="574"/>
      <c r="R505" s="574"/>
      <c r="S505" s="574"/>
      <c r="T505" s="574"/>
      <c r="U505" s="574"/>
      <c r="V505" s="574"/>
      <c r="W505" s="574"/>
      <c r="X505" s="574"/>
      <c r="Y505" s="574"/>
      <c r="Z505" s="574"/>
      <c r="AA505" s="574"/>
      <c r="AB505" s="574"/>
      <c r="AC505" s="574"/>
      <c r="AD505" s="574"/>
      <c r="AE505" s="574"/>
      <c r="AF505" s="574"/>
      <c r="AG505" s="574"/>
      <c r="AH505" s="574"/>
      <c r="AI505" s="574"/>
      <c r="AJ505" s="574"/>
      <c r="AK505" s="574"/>
      <c r="AL505" s="574"/>
      <c r="AM505" s="574"/>
      <c r="AN505" s="574"/>
      <c r="AO505" s="574"/>
      <c r="AP505" s="574"/>
      <c r="AQ505" s="574"/>
      <c r="AR505" s="574"/>
      <c r="AS505" s="574"/>
      <c r="AT505" s="574"/>
      <c r="AU505" s="574"/>
      <c r="AV505" s="574"/>
      <c r="AW505" s="574"/>
      <c r="AX505" s="574"/>
      <c r="AY505" s="574"/>
      <c r="AZ505" s="574"/>
      <c r="BA505" s="574"/>
      <c r="BB505" s="574"/>
      <c r="BC505" s="574"/>
      <c r="BD505" s="574"/>
      <c r="BE505" s="574"/>
      <c r="BF505" s="574"/>
      <c r="BG505" s="585"/>
      <c r="BH505" s="585"/>
      <c r="BI505" s="585"/>
      <c r="BJ505" s="585"/>
      <c r="BK505" s="585"/>
      <c r="BL505" s="585"/>
      <c r="BM505" s="585"/>
      <c r="BN505" s="585"/>
      <c r="BO505" s="585"/>
      <c r="BP505" s="1431"/>
      <c r="BQ505" s="1431"/>
      <c r="BR505" s="585"/>
      <c r="BS505" s="585"/>
      <c r="BT505" s="1432"/>
      <c r="BU505" s="1432"/>
      <c r="BV505" s="1432"/>
      <c r="BW505" s="1432"/>
      <c r="BX505" s="1432"/>
      <c r="BY505" s="1432"/>
      <c r="BZ505" s="1432"/>
      <c r="CA505" s="1432"/>
      <c r="CB505" s="1432"/>
      <c r="CC505" s="1432"/>
      <c r="CD505" s="585"/>
      <c r="CE505" s="585"/>
      <c r="CF505" s="586"/>
    </row>
    <row r="506" spans="1:84" s="583" customFormat="1" ht="23.1" customHeight="1">
      <c r="A506" s="584"/>
      <c r="B506" s="585"/>
      <c r="C506" s="585"/>
      <c r="D506" s="585"/>
      <c r="E506" s="585"/>
      <c r="F506" s="585"/>
      <c r="G506" s="585"/>
      <c r="H506" s="585"/>
      <c r="I506" s="585"/>
      <c r="J506" s="585"/>
      <c r="K506" s="585"/>
      <c r="L506" s="585"/>
      <c r="M506" s="585"/>
      <c r="N506" s="585"/>
      <c r="O506" s="585"/>
      <c r="P506" s="585"/>
      <c r="Q506" s="585"/>
      <c r="R506" s="585"/>
      <c r="S506" s="585"/>
      <c r="T506" s="585"/>
      <c r="U506" s="585"/>
      <c r="V506" s="585"/>
      <c r="W506" s="585"/>
      <c r="X506" s="585"/>
      <c r="Y506" s="585"/>
      <c r="Z506" s="585"/>
      <c r="AA506" s="585"/>
      <c r="AB506" s="585"/>
      <c r="AC506" s="585"/>
      <c r="AD506" s="574"/>
      <c r="AE506" s="574"/>
      <c r="AF506" s="574"/>
      <c r="AG506" s="574"/>
      <c r="AH506" s="574"/>
      <c r="AI506" s="574"/>
      <c r="AJ506" s="574"/>
      <c r="AK506" s="574"/>
      <c r="AL506" s="574"/>
      <c r="AM506" s="574"/>
      <c r="AN506" s="574"/>
      <c r="AO506" s="574"/>
      <c r="AP506" s="574"/>
      <c r="AQ506" s="574"/>
      <c r="AR506" s="574"/>
      <c r="AS506" s="585"/>
      <c r="AT506" s="590"/>
      <c r="AU506" s="590"/>
      <c r="AV506" s="585"/>
      <c r="AW506" s="585"/>
      <c r="AX506" s="585"/>
      <c r="AY506" s="585"/>
      <c r="AZ506" s="585"/>
      <c r="BA506" s="585"/>
      <c r="BB506" s="585"/>
      <c r="BC506" s="585"/>
      <c r="BD506" s="585"/>
      <c r="BE506" s="585"/>
      <c r="BF506" s="585"/>
      <c r="BG506" s="585"/>
      <c r="BH506" s="585"/>
      <c r="BI506" s="585"/>
      <c r="BJ506" s="585"/>
      <c r="BK506" s="585"/>
      <c r="BL506" s="585"/>
      <c r="BM506" s="585"/>
      <c r="BN506" s="585"/>
      <c r="BO506" s="585"/>
      <c r="BP506" s="1431" t="s">
        <v>41</v>
      </c>
      <c r="BQ506" s="1431"/>
      <c r="BR506" s="585"/>
      <c r="BS506" s="585"/>
      <c r="BT506" s="1434">
        <f>BT504+BT505</f>
        <v>59020</v>
      </c>
      <c r="BU506" s="1434"/>
      <c r="BV506" s="1434"/>
      <c r="BW506" s="1434"/>
      <c r="BX506" s="1434"/>
      <c r="BY506" s="1434"/>
      <c r="BZ506" s="1434"/>
      <c r="CA506" s="1434"/>
      <c r="CB506" s="1434"/>
      <c r="CC506" s="1434"/>
      <c r="CD506" s="585"/>
      <c r="CE506" s="585"/>
      <c r="CF506" s="586"/>
    </row>
    <row r="507" spans="1:84" s="583" customFormat="1" ht="23.1" customHeight="1">
      <c r="A507" s="592"/>
      <c r="B507" s="593" t="s">
        <v>1110</v>
      </c>
      <c r="C507" s="593"/>
      <c r="D507" s="593"/>
      <c r="E507" s="593"/>
      <c r="F507" s="593"/>
      <c r="G507" s="593"/>
      <c r="H507" s="593"/>
      <c r="I507" s="593"/>
      <c r="J507" s="593"/>
      <c r="K507" s="593"/>
      <c r="L507" s="593"/>
      <c r="M507" s="593"/>
      <c r="N507" s="593"/>
      <c r="O507" s="593"/>
      <c r="P507" s="593"/>
      <c r="Q507" s="593"/>
      <c r="R507" s="593"/>
      <c r="S507" s="593"/>
      <c r="T507" s="593"/>
      <c r="U507" s="593"/>
      <c r="V507" s="593"/>
      <c r="W507" s="593"/>
      <c r="X507" s="593"/>
      <c r="Y507" s="593"/>
      <c r="Z507" s="593"/>
      <c r="AA507" s="593"/>
      <c r="AB507" s="593"/>
      <c r="AC507" s="593"/>
      <c r="AD507" s="593"/>
      <c r="AE507" s="593"/>
      <c r="AF507" s="593"/>
      <c r="AG507" s="593"/>
      <c r="AH507" s="593"/>
      <c r="AI507" s="593"/>
      <c r="AJ507" s="593"/>
      <c r="AK507" s="593"/>
      <c r="AL507" s="593"/>
      <c r="AM507" s="593"/>
      <c r="AN507" s="593"/>
      <c r="AO507" s="593"/>
      <c r="AP507" s="593"/>
      <c r="AQ507" s="593"/>
      <c r="AR507" s="593"/>
      <c r="AS507" s="593"/>
      <c r="AT507" s="593"/>
      <c r="AU507" s="593"/>
      <c r="AV507" s="593"/>
      <c r="AW507" s="593"/>
      <c r="AX507" s="593"/>
      <c r="AY507" s="593"/>
      <c r="AZ507" s="593"/>
      <c r="BA507" s="593"/>
      <c r="BB507" s="593"/>
      <c r="BC507" s="593"/>
      <c r="BD507" s="593"/>
      <c r="BE507" s="593"/>
      <c r="BF507" s="593"/>
      <c r="BG507" s="593"/>
      <c r="BH507" s="593"/>
      <c r="BI507" s="593"/>
      <c r="BJ507" s="593"/>
      <c r="BK507" s="593"/>
      <c r="BL507" s="593"/>
      <c r="BM507" s="593"/>
      <c r="BN507" s="593"/>
      <c r="BO507" s="593"/>
      <c r="BP507" s="593"/>
      <c r="BQ507" s="593"/>
      <c r="BR507" s="593"/>
      <c r="BS507" s="593"/>
      <c r="BT507" s="593"/>
      <c r="BU507" s="593"/>
      <c r="BV507" s="593"/>
      <c r="BW507" s="593"/>
      <c r="BX507" s="593"/>
      <c r="BY507" s="593"/>
      <c r="BZ507" s="593"/>
      <c r="CA507" s="593"/>
      <c r="CB507" s="593"/>
      <c r="CC507" s="593"/>
      <c r="CD507" s="593"/>
      <c r="CE507" s="593"/>
      <c r="CF507" s="595"/>
    </row>
    <row r="508" spans="1:84" s="583" customFormat="1" ht="23.1" customHeight="1">
      <c r="A508" s="584"/>
      <c r="B508" s="585"/>
      <c r="C508" s="585"/>
      <c r="D508" s="596" t="s">
        <v>1094</v>
      </c>
      <c r="E508" s="585"/>
      <c r="F508" s="585"/>
      <c r="G508" s="585"/>
      <c r="H508" s="585"/>
      <c r="I508" s="585"/>
      <c r="J508" s="585"/>
      <c r="K508" s="585"/>
      <c r="L508" s="585"/>
      <c r="M508" s="585"/>
      <c r="N508" s="585"/>
      <c r="O508" s="585"/>
      <c r="P508" s="585"/>
      <c r="Q508" s="585"/>
      <c r="R508" s="585"/>
      <c r="S508" s="585"/>
      <c r="T508" s="585"/>
      <c r="U508" s="585"/>
      <c r="V508" s="585"/>
      <c r="W508" s="585"/>
      <c r="X508" s="585"/>
      <c r="Y508" s="585"/>
      <c r="Z508" s="585"/>
      <c r="AA508" s="585"/>
      <c r="AB508" s="585"/>
      <c r="AC508" s="585"/>
      <c r="AD508" s="585"/>
      <c r="AE508" s="585"/>
      <c r="AF508" s="585"/>
      <c r="AG508" s="585"/>
      <c r="AH508" s="585"/>
      <c r="AI508" s="585"/>
      <c r="AJ508" s="585"/>
      <c r="AK508" s="585"/>
      <c r="AL508" s="585"/>
      <c r="AM508" s="585"/>
      <c r="AN508" s="585"/>
      <c r="AO508" s="585"/>
      <c r="AP508" s="585"/>
      <c r="AQ508" s="585"/>
      <c r="AR508" s="422"/>
      <c r="AS508" s="1435" t="e">
        <f>HLOOKUP(D508,$CN$1:$CO$3,3,0)</f>
        <v>#REF!</v>
      </c>
      <c r="AT508" s="1435"/>
      <c r="AU508" s="1435"/>
      <c r="AV508" s="1435"/>
      <c r="AW508" s="1435"/>
      <c r="AX508" s="1435"/>
      <c r="AY508" s="1435"/>
      <c r="AZ508" s="1435"/>
      <c r="BA508" s="1435"/>
      <c r="BB508" s="1435"/>
      <c r="BC508" s="585"/>
      <c r="BD508" s="1431" t="s">
        <v>446</v>
      </c>
      <c r="BE508" s="1431"/>
      <c r="BF508" s="585"/>
      <c r="BG508" s="1431">
        <v>16.2</v>
      </c>
      <c r="BH508" s="1431"/>
      <c r="BI508" s="1431"/>
      <c r="BJ508" s="1431"/>
      <c r="BK508" s="1431"/>
      <c r="BL508" s="585" t="s">
        <v>1111</v>
      </c>
      <c r="BM508" s="585"/>
      <c r="BN508" s="585"/>
      <c r="BO508" s="585"/>
      <c r="BP508" s="1431" t="s">
        <v>41</v>
      </c>
      <c r="BQ508" s="1431"/>
      <c r="BR508" s="585"/>
      <c r="BS508" s="585"/>
      <c r="BT508" s="1432" t="e">
        <f>INT(AS508*BG508)</f>
        <v>#REF!</v>
      </c>
      <c r="BU508" s="1432"/>
      <c r="BV508" s="1432"/>
      <c r="BW508" s="1432"/>
      <c r="BX508" s="1432"/>
      <c r="BY508" s="1432"/>
      <c r="BZ508" s="1432"/>
      <c r="CA508" s="1432"/>
      <c r="CB508" s="1432"/>
      <c r="CC508" s="1432"/>
      <c r="CD508" s="585"/>
      <c r="CE508" s="585"/>
      <c r="CF508" s="586"/>
    </row>
    <row r="509" spans="1:84" s="583" customFormat="1" ht="23.1" customHeight="1">
      <c r="A509" s="584"/>
      <c r="B509" s="585"/>
      <c r="C509" s="585"/>
      <c r="D509" s="591" t="str">
        <f>"잡재료 (주연료의 "&amp;BG509&amp;"%) :"</f>
        <v>잡재료 (주연료의 39%) :</v>
      </c>
      <c r="E509" s="585"/>
      <c r="F509" s="585"/>
      <c r="G509" s="585"/>
      <c r="H509" s="585"/>
      <c r="I509" s="585"/>
      <c r="J509" s="585"/>
      <c r="K509" s="585"/>
      <c r="L509" s="585"/>
      <c r="M509" s="585"/>
      <c r="N509" s="585"/>
      <c r="O509" s="585"/>
      <c r="P509" s="585"/>
      <c r="Q509" s="585"/>
      <c r="R509" s="585"/>
      <c r="S509" s="585"/>
      <c r="T509" s="585"/>
      <c r="U509" s="585"/>
      <c r="V509" s="585"/>
      <c r="W509" s="585"/>
      <c r="X509" s="585"/>
      <c r="Y509" s="585"/>
      <c r="Z509" s="585"/>
      <c r="AA509" s="585"/>
      <c r="AB509" s="585"/>
      <c r="AC509" s="585"/>
      <c r="AD509" s="585"/>
      <c r="AE509" s="585"/>
      <c r="AF509" s="585"/>
      <c r="AG509" s="585"/>
      <c r="AH509" s="585"/>
      <c r="AI509" s="585"/>
      <c r="AJ509" s="585"/>
      <c r="AK509" s="585"/>
      <c r="AL509" s="585"/>
      <c r="AM509" s="585"/>
      <c r="AN509" s="585"/>
      <c r="AO509" s="585"/>
      <c r="AP509" s="585"/>
      <c r="AQ509" s="585"/>
      <c r="AR509" s="422" t="e">
        <f>BT508</f>
        <v>#REF!</v>
      </c>
      <c r="AS509" s="1430" t="e">
        <f>BT508</f>
        <v>#REF!</v>
      </c>
      <c r="AT509" s="1430"/>
      <c r="AU509" s="1430"/>
      <c r="AV509" s="1430"/>
      <c r="AW509" s="1430"/>
      <c r="AX509" s="1430"/>
      <c r="AY509" s="1430"/>
      <c r="AZ509" s="1430"/>
      <c r="BA509" s="1430"/>
      <c r="BB509" s="1430"/>
      <c r="BC509" s="585"/>
      <c r="BD509" s="1431" t="s">
        <v>446</v>
      </c>
      <c r="BE509" s="1431"/>
      <c r="BF509" s="585"/>
      <c r="BG509" s="1431">
        <v>39</v>
      </c>
      <c r="BH509" s="1431"/>
      <c r="BI509" s="1431"/>
      <c r="BJ509" s="1431"/>
      <c r="BK509" s="1431"/>
      <c r="BL509" s="585" t="s">
        <v>1112</v>
      </c>
      <c r="BM509" s="585"/>
      <c r="BN509" s="585"/>
      <c r="BO509" s="585"/>
      <c r="BP509" s="1431" t="s">
        <v>41</v>
      </c>
      <c r="BQ509" s="1431"/>
      <c r="BR509" s="585"/>
      <c r="BS509" s="585"/>
      <c r="BT509" s="1432" t="e">
        <f>INT(AS509*BG509/100)</f>
        <v>#REF!</v>
      </c>
      <c r="BU509" s="1432"/>
      <c r="BV509" s="1432"/>
      <c r="BW509" s="1432"/>
      <c r="BX509" s="1432"/>
      <c r="BY509" s="1432"/>
      <c r="BZ509" s="1432"/>
      <c r="CA509" s="1432"/>
      <c r="CB509" s="1432"/>
      <c r="CC509" s="1432"/>
      <c r="CD509" s="585"/>
      <c r="CE509" s="585"/>
      <c r="CF509" s="586"/>
    </row>
    <row r="510" spans="1:84" s="583" customFormat="1" ht="23.1" customHeight="1" thickBot="1">
      <c r="A510" s="584"/>
      <c r="B510" s="585"/>
      <c r="C510" s="585"/>
      <c r="D510" s="585"/>
      <c r="E510" s="585"/>
      <c r="F510" s="585"/>
      <c r="G510" s="585"/>
      <c r="H510" s="585"/>
      <c r="I510" s="585"/>
      <c r="J510" s="585"/>
      <c r="K510" s="585"/>
      <c r="L510" s="585"/>
      <c r="M510" s="585"/>
      <c r="N510" s="585"/>
      <c r="O510" s="585"/>
      <c r="P510" s="585"/>
      <c r="Q510" s="585"/>
      <c r="R510" s="585"/>
      <c r="S510" s="585"/>
      <c r="T510" s="585"/>
      <c r="U510" s="585"/>
      <c r="V510" s="585"/>
      <c r="W510" s="585"/>
      <c r="X510" s="585"/>
      <c r="Y510" s="585"/>
      <c r="Z510" s="585"/>
      <c r="AA510" s="585"/>
      <c r="AB510" s="585"/>
      <c r="AC510" s="585"/>
      <c r="AD510" s="585"/>
      <c r="AE510" s="585"/>
      <c r="AF510" s="585"/>
      <c r="AG510" s="585"/>
      <c r="AH510" s="585"/>
      <c r="AI510" s="585"/>
      <c r="AJ510" s="585"/>
      <c r="AK510" s="585"/>
      <c r="AL510" s="585"/>
      <c r="AM510" s="585"/>
      <c r="AN510" s="585"/>
      <c r="AO510" s="585"/>
      <c r="AP510" s="585"/>
      <c r="AQ510" s="585"/>
      <c r="AR510" s="585"/>
      <c r="AS510" s="585"/>
      <c r="AT510" s="585"/>
      <c r="AU510" s="585"/>
      <c r="AV510" s="585"/>
      <c r="AW510" s="585"/>
      <c r="AX510" s="585"/>
      <c r="AY510" s="585"/>
      <c r="AZ510" s="585"/>
      <c r="BA510" s="585"/>
      <c r="BB510" s="585"/>
      <c r="BC510" s="585"/>
      <c r="BD510" s="585"/>
      <c r="BE510" s="585"/>
      <c r="BF510" s="585"/>
      <c r="BG510" s="585"/>
      <c r="BH510" s="585"/>
      <c r="BI510" s="585"/>
      <c r="BJ510" s="585"/>
      <c r="BK510" s="585"/>
      <c r="BL510" s="585"/>
      <c r="BM510" s="585"/>
      <c r="BN510" s="585"/>
      <c r="BO510" s="585"/>
      <c r="BP510" s="1431" t="s">
        <v>41</v>
      </c>
      <c r="BQ510" s="1431"/>
      <c r="BR510" s="585"/>
      <c r="BS510" s="585"/>
      <c r="BT510" s="1433" t="e">
        <f>BT508+BT509</f>
        <v>#REF!</v>
      </c>
      <c r="BU510" s="1433"/>
      <c r="BV510" s="1433"/>
      <c r="BW510" s="1433"/>
      <c r="BX510" s="1433"/>
      <c r="BY510" s="1433"/>
      <c r="BZ510" s="1433"/>
      <c r="CA510" s="1433"/>
      <c r="CB510" s="1433"/>
      <c r="CC510" s="1433"/>
      <c r="CD510" s="585"/>
      <c r="CE510" s="585"/>
      <c r="CF510" s="586"/>
    </row>
    <row r="511" spans="1:84" s="583" customFormat="1" ht="23.1" customHeight="1" thickBot="1">
      <c r="A511" s="597"/>
      <c r="B511" s="598" t="s">
        <v>1113</v>
      </c>
      <c r="C511" s="598"/>
      <c r="D511" s="598"/>
      <c r="E511" s="598"/>
      <c r="F511" s="598"/>
      <c r="G511" s="598"/>
      <c r="H511" s="598"/>
      <c r="I511" s="598"/>
      <c r="J511" s="598"/>
      <c r="K511" s="598"/>
      <c r="L511" s="598"/>
      <c r="M511" s="598"/>
      <c r="N511" s="598"/>
      <c r="O511" s="598"/>
      <c r="P511" s="598"/>
      <c r="Q511" s="598"/>
      <c r="R511" s="598"/>
      <c r="S511" s="598"/>
      <c r="T511" s="598"/>
      <c r="U511" s="598"/>
      <c r="V511" s="598"/>
      <c r="W511" s="598"/>
      <c r="X511" s="598"/>
      <c r="Y511" s="598"/>
      <c r="Z511" s="598"/>
      <c r="AA511" s="598"/>
      <c r="AB511" s="598"/>
      <c r="AC511" s="598"/>
      <c r="AD511" s="598"/>
      <c r="AE511" s="598"/>
      <c r="AF511" s="598"/>
      <c r="AG511" s="598"/>
      <c r="AH511" s="598"/>
      <c r="AI511" s="598"/>
      <c r="AJ511" s="598"/>
      <c r="AK511" s="598"/>
      <c r="AL511" s="598"/>
      <c r="AM511" s="598"/>
      <c r="AN511" s="598"/>
      <c r="AO511" s="598"/>
      <c r="AP511" s="598"/>
      <c r="AQ511" s="598"/>
      <c r="AR511" s="598"/>
      <c r="AS511" s="598"/>
      <c r="AT511" s="598"/>
      <c r="AU511" s="598"/>
      <c r="AV511" s="598"/>
      <c r="AW511" s="598"/>
      <c r="AX511" s="598"/>
      <c r="AY511" s="598"/>
      <c r="AZ511" s="598"/>
      <c r="BA511" s="598"/>
      <c r="BB511" s="598"/>
      <c r="BC511" s="598"/>
      <c r="BD511" s="598"/>
      <c r="BE511" s="598"/>
      <c r="BF511" s="598"/>
      <c r="BG511" s="598"/>
      <c r="BH511" s="598"/>
      <c r="BI511" s="598"/>
      <c r="BJ511" s="598"/>
      <c r="BK511" s="598"/>
      <c r="BL511" s="598"/>
      <c r="BM511" s="598"/>
      <c r="BN511" s="598"/>
      <c r="BO511" s="598"/>
      <c r="BP511" s="598"/>
      <c r="BQ511" s="598"/>
      <c r="BR511" s="598"/>
      <c r="BS511" s="598"/>
      <c r="BT511" s="1429" t="e">
        <f>BT502+BT506+BT510</f>
        <v>#REF!</v>
      </c>
      <c r="BU511" s="1429"/>
      <c r="BV511" s="1429"/>
      <c r="BW511" s="1429"/>
      <c r="BX511" s="1429"/>
      <c r="BY511" s="1429"/>
      <c r="BZ511" s="1429"/>
      <c r="CA511" s="1429"/>
      <c r="CB511" s="1429"/>
      <c r="CC511" s="1429"/>
      <c r="CD511" s="598"/>
      <c r="CE511" s="598"/>
      <c r="CF511" s="599"/>
    </row>
    <row r="512" spans="1:84" s="583" customFormat="1" ht="9.9499999999999993" customHeight="1">
      <c r="A512" s="574"/>
      <c r="B512" s="574"/>
      <c r="C512" s="574"/>
      <c r="D512" s="574"/>
      <c r="E512" s="574"/>
      <c r="F512" s="574"/>
      <c r="G512" s="574"/>
      <c r="H512" s="574"/>
      <c r="I512" s="574"/>
      <c r="J512" s="574"/>
      <c r="K512" s="574"/>
      <c r="L512" s="574"/>
      <c r="M512" s="574"/>
      <c r="N512" s="574"/>
      <c r="O512" s="574"/>
      <c r="P512" s="574"/>
      <c r="Q512" s="574"/>
      <c r="R512" s="574"/>
      <c r="S512" s="574"/>
      <c r="T512" s="574"/>
      <c r="U512" s="574"/>
      <c r="V512" s="574"/>
      <c r="W512" s="574"/>
      <c r="X512" s="574"/>
      <c r="Y512" s="574"/>
      <c r="Z512" s="574"/>
      <c r="AA512" s="574"/>
      <c r="AB512" s="574"/>
      <c r="AC512" s="574"/>
      <c r="AD512" s="574"/>
      <c r="AE512" s="574"/>
      <c r="AF512" s="574"/>
      <c r="AG512" s="574"/>
      <c r="AH512" s="574"/>
      <c r="AI512" s="574"/>
      <c r="AJ512" s="574"/>
      <c r="AK512" s="574"/>
      <c r="AL512" s="574"/>
      <c r="AM512" s="574"/>
      <c r="AN512" s="574"/>
      <c r="AO512" s="574"/>
      <c r="AP512" s="574"/>
      <c r="AQ512" s="574"/>
      <c r="AR512" s="574"/>
      <c r="AS512" s="574"/>
      <c r="AT512" s="574"/>
      <c r="AU512" s="574"/>
      <c r="AV512" s="574"/>
      <c r="AW512" s="574"/>
      <c r="AX512" s="574"/>
      <c r="AY512" s="574"/>
      <c r="AZ512" s="574"/>
      <c r="BA512" s="574"/>
      <c r="BB512" s="574"/>
      <c r="BC512" s="574"/>
      <c r="BD512" s="574"/>
      <c r="BE512" s="574"/>
      <c r="BF512" s="574"/>
      <c r="BG512" s="574"/>
      <c r="BH512" s="574"/>
      <c r="BI512" s="574"/>
      <c r="BJ512" s="574"/>
      <c r="BK512" s="574"/>
      <c r="BL512" s="574"/>
      <c r="BM512" s="574"/>
      <c r="BN512" s="574"/>
      <c r="BO512" s="574"/>
      <c r="BP512" s="574"/>
      <c r="BQ512" s="574"/>
      <c r="BR512" s="574"/>
      <c r="BS512" s="574"/>
      <c r="BT512" s="574"/>
      <c r="BU512" s="574"/>
      <c r="BV512" s="574"/>
      <c r="BW512" s="574"/>
      <c r="BX512" s="574"/>
      <c r="BY512" s="574"/>
      <c r="BZ512" s="574"/>
      <c r="CA512" s="574"/>
      <c r="CB512" s="574"/>
      <c r="CC512" s="574"/>
      <c r="CD512" s="574"/>
      <c r="CE512" s="574"/>
      <c r="CF512" s="574"/>
    </row>
    <row r="513" spans="1:84" s="583" customFormat="1" ht="23.1" customHeight="1" thickBot="1">
      <c r="A513" s="1446" t="s">
        <v>1095</v>
      </c>
      <c r="B513" s="1446"/>
      <c r="C513" s="1446"/>
      <c r="D513" s="1446"/>
      <c r="E513" s="1446"/>
      <c r="F513" s="1446"/>
      <c r="G513" s="1447">
        <f>G498+1</f>
        <v>35</v>
      </c>
      <c r="H513" s="1447"/>
      <c r="I513" s="1447"/>
      <c r="J513" s="1448" t="s">
        <v>1096</v>
      </c>
      <c r="K513" s="1448"/>
      <c r="L513" s="574"/>
      <c r="M513" s="574"/>
      <c r="N513" s="574"/>
      <c r="O513" s="574"/>
      <c r="P513" s="574"/>
      <c r="Q513" s="574"/>
      <c r="R513" s="574"/>
      <c r="S513" s="574"/>
      <c r="T513" s="574"/>
      <c r="U513" s="574"/>
      <c r="V513" s="574"/>
      <c r="W513" s="574"/>
      <c r="X513" s="574"/>
      <c r="Y513" s="574"/>
      <c r="Z513" s="574"/>
      <c r="AA513" s="574"/>
      <c r="AB513" s="574"/>
      <c r="AC513" s="574"/>
      <c r="AD513" s="574"/>
      <c r="AE513" s="574"/>
      <c r="AF513" s="574"/>
      <c r="AG513" s="574"/>
      <c r="AH513" s="574"/>
      <c r="AI513" s="574"/>
      <c r="AJ513" s="574"/>
      <c r="AK513" s="574"/>
      <c r="AL513" s="574"/>
      <c r="AM513" s="574"/>
      <c r="AN513" s="574"/>
      <c r="AO513" s="574"/>
      <c r="AP513" s="574"/>
      <c r="AQ513" s="574"/>
      <c r="AR513" s="574"/>
      <c r="AS513" s="574"/>
      <c r="AT513" s="574"/>
      <c r="AU513" s="574"/>
      <c r="AV513" s="574"/>
      <c r="AW513" s="574"/>
      <c r="AX513" s="574"/>
      <c r="AY513" s="574"/>
      <c r="AZ513" s="574"/>
      <c r="BA513" s="574"/>
      <c r="BB513" s="574"/>
      <c r="BC513" s="574"/>
      <c r="BD513" s="574"/>
      <c r="BE513" s="574"/>
      <c r="BF513" s="574"/>
      <c r="BG513" s="574"/>
      <c r="BH513" s="574"/>
      <c r="BI513" s="574"/>
      <c r="BJ513" s="574"/>
      <c r="BK513" s="574"/>
      <c r="BL513" s="574"/>
      <c r="BM513" s="574"/>
      <c r="BN513" s="574"/>
      <c r="BO513" s="574"/>
      <c r="BP513" s="574"/>
      <c r="BQ513" s="574"/>
      <c r="BR513" s="574"/>
      <c r="BS513" s="574"/>
      <c r="BT513" s="574"/>
      <c r="BU513" s="574"/>
      <c r="BV513" s="574"/>
      <c r="BW513" s="574"/>
      <c r="BX513" s="574"/>
      <c r="BY513" s="574"/>
      <c r="BZ513" s="574"/>
      <c r="CA513" s="574"/>
      <c r="CB513" s="574"/>
      <c r="CC513" s="574"/>
      <c r="CD513" s="574"/>
      <c r="CE513" s="574"/>
      <c r="CF513" s="574"/>
    </row>
    <row r="514" spans="1:84" s="583" customFormat="1" ht="23.1" customHeight="1" thickBot="1">
      <c r="A514" s="1483" t="s">
        <v>1097</v>
      </c>
      <c r="B514" s="1484"/>
      <c r="C514" s="1484"/>
      <c r="D514" s="1484"/>
      <c r="E514" s="1484"/>
      <c r="F514" s="1484"/>
      <c r="G514" s="1484"/>
      <c r="H514" s="1484"/>
      <c r="I514" s="581" t="s">
        <v>1152</v>
      </c>
      <c r="J514" s="581"/>
      <c r="K514" s="581"/>
      <c r="L514" s="581"/>
      <c r="M514" s="581"/>
      <c r="N514" s="581"/>
      <c r="O514" s="581"/>
      <c r="P514" s="581"/>
      <c r="Q514" s="581"/>
      <c r="R514" s="581"/>
      <c r="S514" s="581"/>
      <c r="T514" s="581"/>
      <c r="U514" s="581"/>
      <c r="V514" s="581"/>
      <c r="W514" s="581"/>
      <c r="X514" s="581"/>
      <c r="Y514" s="581"/>
      <c r="Z514" s="581"/>
      <c r="AA514" s="581"/>
      <c r="AB514" s="581"/>
      <c r="AC514" s="581"/>
      <c r="AD514" s="581"/>
      <c r="AE514" s="581"/>
      <c r="AF514" s="581"/>
      <c r="AG514" s="581"/>
      <c r="AH514" s="581"/>
      <c r="AI514" s="581"/>
      <c r="AJ514" s="1484" t="s">
        <v>1099</v>
      </c>
      <c r="AK514" s="1484"/>
      <c r="AL514" s="1484"/>
      <c r="AM514" s="1484"/>
      <c r="AN514" s="1484"/>
      <c r="AO514" s="1484"/>
      <c r="AP514" s="1484"/>
      <c r="AQ514" s="581" t="s">
        <v>642</v>
      </c>
      <c r="AR514" s="581"/>
      <c r="AS514" s="581"/>
      <c r="AT514" s="581"/>
      <c r="AU514" s="581"/>
      <c r="AV514" s="581"/>
      <c r="AW514" s="581"/>
      <c r="AX514" s="581"/>
      <c r="AY514" s="581"/>
      <c r="AZ514" s="581"/>
      <c r="BA514" s="581"/>
      <c r="BB514" s="581"/>
      <c r="BC514" s="581"/>
      <c r="BD514" s="581"/>
      <c r="BE514" s="581"/>
      <c r="BF514" s="581"/>
      <c r="BG514" s="581"/>
      <c r="BH514" s="581"/>
      <c r="BI514" s="581"/>
      <c r="BJ514" s="581"/>
      <c r="BK514" s="581"/>
      <c r="BL514" s="581"/>
      <c r="BM514" s="581"/>
      <c r="BN514" s="581"/>
      <c r="BO514" s="581"/>
      <c r="BP514" s="581"/>
      <c r="BQ514" s="581"/>
      <c r="BR514" s="581"/>
      <c r="BS514" s="581"/>
      <c r="BT514" s="581" t="s">
        <v>1153</v>
      </c>
      <c r="BU514" s="581"/>
      <c r="BV514" s="581"/>
      <c r="BW514" s="581"/>
      <c r="BX514" s="581"/>
      <c r="BY514" s="581"/>
      <c r="BZ514" s="581"/>
      <c r="CA514" s="581"/>
      <c r="CB514" s="581"/>
      <c r="CC514" s="581"/>
      <c r="CD514" s="581"/>
      <c r="CE514" s="581"/>
      <c r="CF514" s="582"/>
    </row>
    <row r="515" spans="1:84" s="583" customFormat="1" ht="23.1" customHeight="1">
      <c r="A515" s="584"/>
      <c r="B515" s="585" t="s">
        <v>1102</v>
      </c>
      <c r="C515" s="585"/>
      <c r="D515" s="585"/>
      <c r="E515" s="585"/>
      <c r="F515" s="585"/>
      <c r="G515" s="585"/>
      <c r="H515" s="585"/>
      <c r="I515" s="585"/>
      <c r="J515" s="585"/>
      <c r="K515" s="585"/>
      <c r="L515" s="585"/>
      <c r="M515" s="585"/>
      <c r="N515" s="585"/>
      <c r="O515" s="585"/>
      <c r="P515" s="585"/>
      <c r="Q515" s="585"/>
      <c r="R515" s="585"/>
      <c r="S515" s="585"/>
      <c r="T515" s="585"/>
      <c r="U515" s="585"/>
      <c r="V515" s="585"/>
      <c r="W515" s="585"/>
      <c r="X515" s="585"/>
      <c r="Y515" s="585"/>
      <c r="Z515" s="585"/>
      <c r="AA515" s="585"/>
      <c r="AB515" s="585"/>
      <c r="AC515" s="585"/>
      <c r="AD515" s="585"/>
      <c r="AE515" s="585"/>
      <c r="AF515" s="585"/>
      <c r="AG515" s="585"/>
      <c r="AH515" s="585"/>
      <c r="AI515" s="585"/>
      <c r="AJ515" s="585"/>
      <c r="AK515" s="585"/>
      <c r="AL515" s="585"/>
      <c r="AM515" s="585"/>
      <c r="AN515" s="585"/>
      <c r="AO515" s="585"/>
      <c r="AP515" s="585"/>
      <c r="AQ515" s="585"/>
      <c r="AR515" s="585"/>
      <c r="AS515" s="585"/>
      <c r="AT515" s="585"/>
      <c r="AU515" s="585"/>
      <c r="AV515" s="585"/>
      <c r="AW515" s="585"/>
      <c r="AX515" s="585"/>
      <c r="AY515" s="585"/>
      <c r="AZ515" s="585"/>
      <c r="BA515" s="585"/>
      <c r="BB515" s="585"/>
      <c r="BC515" s="585"/>
      <c r="BD515" s="585"/>
      <c r="BE515" s="585"/>
      <c r="BF515" s="585"/>
      <c r="BG515" s="585"/>
      <c r="BH515" s="585"/>
      <c r="BI515" s="585"/>
      <c r="BJ515" s="585"/>
      <c r="BK515" s="585"/>
      <c r="BL515" s="585"/>
      <c r="BM515" s="585"/>
      <c r="BN515" s="585"/>
      <c r="BO515" s="585"/>
      <c r="BP515" s="585"/>
      <c r="BQ515" s="585"/>
      <c r="BR515" s="585"/>
      <c r="BS515" s="585"/>
      <c r="BT515" s="585"/>
      <c r="BU515" s="585"/>
      <c r="BV515" s="585"/>
      <c r="BW515" s="585"/>
      <c r="BX515" s="585"/>
      <c r="BY515" s="585"/>
      <c r="BZ515" s="585"/>
      <c r="CA515" s="585"/>
      <c r="CB515" s="585"/>
      <c r="CC515" s="585"/>
      <c r="CD515" s="585"/>
      <c r="CE515" s="585"/>
      <c r="CF515" s="586"/>
    </row>
    <row r="516" spans="1:84" s="583" customFormat="1" ht="23.1" customHeight="1">
      <c r="A516" s="587"/>
      <c r="B516" s="574"/>
      <c r="C516" s="574"/>
      <c r="D516" s="405"/>
      <c r="E516" s="574"/>
      <c r="F516" s="422"/>
      <c r="G516" s="422"/>
      <c r="H516" s="422"/>
      <c r="I516" s="422"/>
      <c r="J516" s="422"/>
      <c r="K516" s="422"/>
      <c r="L516" s="422"/>
      <c r="M516" s="422"/>
      <c r="N516" s="574"/>
      <c r="O516" s="574"/>
      <c r="P516" s="574"/>
      <c r="Q516" s="574"/>
      <c r="R516" s="574"/>
      <c r="S516" s="588"/>
      <c r="T516" s="588"/>
      <c r="U516" s="588"/>
      <c r="V516" s="588"/>
      <c r="W516" s="588"/>
      <c r="X516" s="588"/>
      <c r="Y516" s="588"/>
      <c r="Z516" s="588"/>
      <c r="AA516" s="574"/>
      <c r="AB516" s="588"/>
      <c r="AC516" s="585"/>
      <c r="AD516" s="585"/>
      <c r="AE516" s="600"/>
      <c r="AF516" s="600"/>
      <c r="AG516" s="600"/>
      <c r="AH516" s="600"/>
      <c r="AI516" s="600"/>
      <c r="AJ516" s="600"/>
      <c r="AK516" s="600"/>
      <c r="AL516" s="600"/>
      <c r="AM516" s="585"/>
      <c r="AN516" s="585"/>
      <c r="AO516" s="574"/>
      <c r="AP516" s="430"/>
      <c r="AQ516" s="430"/>
      <c r="AR516" s="430"/>
      <c r="AS516" s="430"/>
      <c r="AT516" s="430"/>
      <c r="AU516" s="430"/>
      <c r="AV516" s="430"/>
      <c r="AW516" s="430"/>
      <c r="AX516" s="430"/>
      <c r="AY516" s="430"/>
      <c r="AZ516" s="430"/>
      <c r="BA516" s="430"/>
      <c r="BB516" s="430"/>
      <c r="BC516" s="430"/>
      <c r="BD516" s="574"/>
      <c r="BE516" s="574"/>
      <c r="BF516" s="574"/>
      <c r="BG516" s="574"/>
      <c r="BH516" s="574"/>
      <c r="BI516" s="574"/>
      <c r="BJ516" s="574"/>
      <c r="BK516" s="574"/>
      <c r="BL516" s="574"/>
      <c r="BM516" s="574"/>
      <c r="BN516" s="574"/>
      <c r="BO516" s="574"/>
      <c r="BP516" s="574"/>
      <c r="BQ516" s="574"/>
      <c r="BR516" s="574"/>
      <c r="BS516" s="574"/>
      <c r="BT516" s="574"/>
      <c r="BU516" s="574"/>
      <c r="BV516" s="574"/>
      <c r="BW516" s="574"/>
      <c r="BX516" s="574"/>
      <c r="BY516" s="574"/>
      <c r="BZ516" s="574"/>
      <c r="CA516" s="574"/>
      <c r="CB516" s="574"/>
      <c r="CC516" s="574"/>
      <c r="CD516" s="574"/>
      <c r="CE516" s="574"/>
      <c r="CF516" s="589"/>
    </row>
    <row r="517" spans="1:84" s="583" customFormat="1" ht="23.1" customHeight="1">
      <c r="A517" s="584"/>
      <c r="B517" s="585"/>
      <c r="C517" s="585"/>
      <c r="D517" s="585"/>
      <c r="E517" s="585"/>
      <c r="F517" s="585"/>
      <c r="G517" s="585"/>
      <c r="H517" s="585"/>
      <c r="I517" s="585"/>
      <c r="J517" s="585"/>
      <c r="K517" s="585"/>
      <c r="L517" s="585"/>
      <c r="M517" s="585"/>
      <c r="N517" s="585"/>
      <c r="O517" s="585"/>
      <c r="P517" s="585"/>
      <c r="Q517" s="585"/>
      <c r="R517" s="585"/>
      <c r="S517" s="585"/>
      <c r="T517" s="585"/>
      <c r="U517" s="585"/>
      <c r="V517" s="590"/>
      <c r="W517" s="590"/>
      <c r="X517" s="590"/>
      <c r="Y517" s="590"/>
      <c r="Z517" s="590"/>
      <c r="AA517" s="590"/>
      <c r="AB517" s="590"/>
      <c r="AC517" s="590"/>
      <c r="AD517" s="574"/>
      <c r="AE517" s="1440">
        <v>21982000</v>
      </c>
      <c r="AF517" s="1440"/>
      <c r="AG517" s="1440"/>
      <c r="AH517" s="1440"/>
      <c r="AI517" s="1440"/>
      <c r="AJ517" s="1440"/>
      <c r="AK517" s="1440"/>
      <c r="AL517" s="1440"/>
      <c r="AM517" s="1440"/>
      <c r="AN517" s="1440"/>
      <c r="AO517" s="1440"/>
      <c r="AP517" s="1440"/>
      <c r="AQ517" s="1440"/>
      <c r="AR517" s="1440"/>
      <c r="AS517" s="1440"/>
      <c r="AT517" s="1431" t="s">
        <v>446</v>
      </c>
      <c r="AU517" s="1431"/>
      <c r="AV517" s="1441" t="s">
        <v>1103</v>
      </c>
      <c r="AW517" s="1441"/>
      <c r="AX517" s="1442">
        <v>2967</v>
      </c>
      <c r="AY517" s="1442"/>
      <c r="AZ517" s="1442"/>
      <c r="BA517" s="1442"/>
      <c r="BB517" s="1442"/>
      <c r="BC517" s="1442"/>
      <c r="BD517" s="585"/>
      <c r="BE517" s="1431" t="s">
        <v>446</v>
      </c>
      <c r="BF517" s="1431"/>
      <c r="BG517" s="585"/>
      <c r="BH517" s="591" t="s">
        <v>1104</v>
      </c>
      <c r="BI517" s="585"/>
      <c r="BJ517" s="585"/>
      <c r="BK517" s="585"/>
      <c r="BL517" s="1431" t="s">
        <v>1105</v>
      </c>
      <c r="BM517" s="1431"/>
      <c r="BN517" s="1431"/>
      <c r="BO517" s="585"/>
      <c r="BP517" s="1431" t="s">
        <v>41</v>
      </c>
      <c r="BQ517" s="1431"/>
      <c r="BR517" s="585"/>
      <c r="BS517" s="585"/>
      <c r="BT517" s="1437">
        <f>INT(AE517*AX517*10^-7)</f>
        <v>6522</v>
      </c>
      <c r="BU517" s="1437"/>
      <c r="BV517" s="1437"/>
      <c r="BW517" s="1437"/>
      <c r="BX517" s="1437"/>
      <c r="BY517" s="1437"/>
      <c r="BZ517" s="1437"/>
      <c r="CA517" s="1437"/>
      <c r="CB517" s="1437"/>
      <c r="CC517" s="1437"/>
      <c r="CD517" s="585"/>
      <c r="CE517" s="585"/>
      <c r="CF517" s="586"/>
    </row>
    <row r="518" spans="1:84" s="583" customFormat="1" ht="23.1" customHeight="1">
      <c r="A518" s="592"/>
      <c r="B518" s="593" t="s">
        <v>1106</v>
      </c>
      <c r="C518" s="593"/>
      <c r="D518" s="593"/>
      <c r="E518" s="593"/>
      <c r="F518" s="593"/>
      <c r="G518" s="593"/>
      <c r="H518" s="593"/>
      <c r="I518" s="593"/>
      <c r="J518" s="593"/>
      <c r="K518" s="593"/>
      <c r="L518" s="593"/>
      <c r="M518" s="593"/>
      <c r="N518" s="593"/>
      <c r="O518" s="593"/>
      <c r="P518" s="593"/>
      <c r="Q518" s="593"/>
      <c r="R518" s="593"/>
      <c r="S518" s="593"/>
      <c r="T518" s="593"/>
      <c r="U518" s="593"/>
      <c r="V518" s="593"/>
      <c r="W518" s="593"/>
      <c r="X518" s="593"/>
      <c r="Y518" s="593"/>
      <c r="Z518" s="593"/>
      <c r="AA518" s="593"/>
      <c r="AB518" s="593"/>
      <c r="AC518" s="593"/>
      <c r="AD518" s="593"/>
      <c r="AE518" s="593"/>
      <c r="AF518" s="593"/>
      <c r="AG518" s="593"/>
      <c r="AH518" s="593"/>
      <c r="AI518" s="593"/>
      <c r="AJ518" s="593"/>
      <c r="AK518" s="593"/>
      <c r="AL518" s="593"/>
      <c r="AM518" s="593"/>
      <c r="AN518" s="593"/>
      <c r="AO518" s="593"/>
      <c r="AP518" s="593"/>
      <c r="AQ518" s="593"/>
      <c r="AR518" s="593"/>
      <c r="AS518" s="593"/>
      <c r="AT518" s="593"/>
      <c r="AU518" s="593"/>
      <c r="AV518" s="593"/>
      <c r="AW518" s="593"/>
      <c r="AX518" s="593"/>
      <c r="AY518" s="593"/>
      <c r="AZ518" s="593"/>
      <c r="BA518" s="593"/>
      <c r="BB518" s="593"/>
      <c r="BC518" s="593"/>
      <c r="BD518" s="593"/>
      <c r="BE518" s="593"/>
      <c r="BF518" s="593"/>
      <c r="BG518" s="593"/>
      <c r="BH518" s="593"/>
      <c r="BI518" s="593"/>
      <c r="BJ518" s="593"/>
      <c r="BK518" s="593"/>
      <c r="BL518" s="593"/>
      <c r="BM518" s="593"/>
      <c r="BN518" s="593"/>
      <c r="BO518" s="593"/>
      <c r="BP518" s="593"/>
      <c r="BQ518" s="593"/>
      <c r="BR518" s="593"/>
      <c r="BS518" s="593"/>
      <c r="BT518" s="594"/>
      <c r="BU518" s="594"/>
      <c r="BV518" s="594"/>
      <c r="BW518" s="594"/>
      <c r="BX518" s="594"/>
      <c r="BY518" s="594"/>
      <c r="BZ518" s="594"/>
      <c r="CA518" s="594"/>
      <c r="CB518" s="594"/>
      <c r="CC518" s="594"/>
      <c r="CD518" s="593"/>
      <c r="CE518" s="593"/>
      <c r="CF518" s="595"/>
    </row>
    <row r="519" spans="1:84" s="583" customFormat="1" ht="23.1" customHeight="1">
      <c r="A519" s="584"/>
      <c r="B519" s="585"/>
      <c r="C519" s="585"/>
      <c r="D519" s="596" t="s">
        <v>1092</v>
      </c>
      <c r="E519" s="585"/>
      <c r="F519" s="585"/>
      <c r="G519" s="585"/>
      <c r="H519" s="585"/>
      <c r="I519" s="585"/>
      <c r="J519" s="585"/>
      <c r="K519" s="585"/>
      <c r="L519" s="585"/>
      <c r="M519" s="585"/>
      <c r="N519" s="585"/>
      <c r="O519" s="585"/>
      <c r="P519" s="585"/>
      <c r="Q519" s="585"/>
      <c r="R519" s="585"/>
      <c r="S519" s="585"/>
      <c r="T519" s="574"/>
      <c r="U519" s="574"/>
      <c r="V519" s="1435">
        <f>HLOOKUP(D519,$CJ$1:$CM$3,3,0)</f>
        <v>238936</v>
      </c>
      <c r="W519" s="1435"/>
      <c r="X519" s="1435"/>
      <c r="Y519" s="1435"/>
      <c r="Z519" s="1435"/>
      <c r="AA519" s="1435"/>
      <c r="AB519" s="1435"/>
      <c r="AC519" s="1435"/>
      <c r="AD519" s="1435"/>
      <c r="AE519" s="1435"/>
      <c r="AF519" s="1431" t="s">
        <v>446</v>
      </c>
      <c r="AG519" s="1431"/>
      <c r="AH519" s="574"/>
      <c r="AI519" s="1436" t="s">
        <v>1107</v>
      </c>
      <c r="AJ519" s="1436"/>
      <c r="AK519" s="1436"/>
      <c r="AL519" s="1436"/>
      <c r="AM519" s="585"/>
      <c r="AN519" s="1431" t="s">
        <v>446</v>
      </c>
      <c r="AO519" s="1431"/>
      <c r="AP519" s="585"/>
      <c r="AQ519" s="1436" t="s">
        <v>1108</v>
      </c>
      <c r="AR519" s="1436"/>
      <c r="AS519" s="1436"/>
      <c r="AT519" s="1436"/>
      <c r="AU519" s="1436"/>
      <c r="AV519" s="422"/>
      <c r="AW519" s="1431" t="s">
        <v>446</v>
      </c>
      <c r="AX519" s="1431"/>
      <c r="AY519" s="440"/>
      <c r="AZ519" s="1436" t="s">
        <v>1109</v>
      </c>
      <c r="BA519" s="1436"/>
      <c r="BB519" s="1436"/>
      <c r="BC519" s="1436"/>
      <c r="BD519" s="1436"/>
      <c r="BE519" s="585"/>
      <c r="BF519" s="1431" t="s">
        <v>446</v>
      </c>
      <c r="BG519" s="1431"/>
      <c r="BH519" s="1431">
        <v>1</v>
      </c>
      <c r="BI519" s="1431"/>
      <c r="BJ519" s="1431"/>
      <c r="BK519" s="585"/>
      <c r="BL519" s="585" t="s">
        <v>366</v>
      </c>
      <c r="BM519" s="585"/>
      <c r="BN519" s="585"/>
      <c r="BO519" s="585"/>
      <c r="BP519" s="1431" t="s">
        <v>41</v>
      </c>
      <c r="BQ519" s="1431"/>
      <c r="BR519" s="585"/>
      <c r="BS519" s="585"/>
      <c r="BT519" s="1432">
        <f>INT(V519/8*16/12*25/20*BH519)</f>
        <v>49778</v>
      </c>
      <c r="BU519" s="1432"/>
      <c r="BV519" s="1432"/>
      <c r="BW519" s="1432"/>
      <c r="BX519" s="1432"/>
      <c r="BY519" s="1432"/>
      <c r="BZ519" s="1432"/>
      <c r="CA519" s="1432"/>
      <c r="CB519" s="1432"/>
      <c r="CC519" s="1432"/>
      <c r="CD519" s="585"/>
      <c r="CE519" s="585"/>
      <c r="CF519" s="586"/>
    </row>
    <row r="520" spans="1:84" s="583" customFormat="1" ht="23.1" customHeight="1">
      <c r="A520" s="584"/>
      <c r="B520" s="585"/>
      <c r="C520" s="585"/>
      <c r="D520" s="585"/>
      <c r="E520" s="585"/>
      <c r="F520" s="585"/>
      <c r="G520" s="585"/>
      <c r="H520" s="585"/>
      <c r="I520" s="585"/>
      <c r="J520" s="585"/>
      <c r="K520" s="585"/>
      <c r="L520" s="585"/>
      <c r="M520" s="585"/>
      <c r="N520" s="585"/>
      <c r="O520" s="585"/>
      <c r="P520" s="574"/>
      <c r="Q520" s="574"/>
      <c r="R520" s="574"/>
      <c r="S520" s="574"/>
      <c r="T520" s="574"/>
      <c r="U520" s="574"/>
      <c r="V520" s="574"/>
      <c r="W520" s="574"/>
      <c r="X520" s="574"/>
      <c r="Y520" s="574"/>
      <c r="Z520" s="574"/>
      <c r="AA520" s="574"/>
      <c r="AB520" s="574"/>
      <c r="AC520" s="574"/>
      <c r="AD520" s="574"/>
      <c r="AE520" s="574"/>
      <c r="AF520" s="574"/>
      <c r="AG520" s="574"/>
      <c r="AH520" s="574"/>
      <c r="AI520" s="574"/>
      <c r="AJ520" s="574"/>
      <c r="AK520" s="574"/>
      <c r="AL520" s="574"/>
      <c r="AM520" s="574"/>
      <c r="AN520" s="574"/>
      <c r="AO520" s="574"/>
      <c r="AP520" s="574"/>
      <c r="AQ520" s="574"/>
      <c r="AR520" s="574"/>
      <c r="AS520" s="574"/>
      <c r="AT520" s="574"/>
      <c r="AU520" s="574"/>
      <c r="AV520" s="574"/>
      <c r="AW520" s="574"/>
      <c r="AX520" s="574"/>
      <c r="AY520" s="574"/>
      <c r="AZ520" s="574"/>
      <c r="BA520" s="574"/>
      <c r="BB520" s="574"/>
      <c r="BC520" s="574"/>
      <c r="BD520" s="574"/>
      <c r="BE520" s="574"/>
      <c r="BF520" s="574"/>
      <c r="BG520" s="585"/>
      <c r="BH520" s="585"/>
      <c r="BI520" s="585"/>
      <c r="BJ520" s="585"/>
      <c r="BK520" s="585"/>
      <c r="BL520" s="585"/>
      <c r="BM520" s="585"/>
      <c r="BN520" s="585"/>
      <c r="BO520" s="585"/>
      <c r="BP520" s="1431"/>
      <c r="BQ520" s="1431"/>
      <c r="BR520" s="585"/>
      <c r="BS520" s="585"/>
      <c r="BT520" s="1432"/>
      <c r="BU520" s="1432"/>
      <c r="BV520" s="1432"/>
      <c r="BW520" s="1432"/>
      <c r="BX520" s="1432"/>
      <c r="BY520" s="1432"/>
      <c r="BZ520" s="1432"/>
      <c r="CA520" s="1432"/>
      <c r="CB520" s="1432"/>
      <c r="CC520" s="1432"/>
      <c r="CD520" s="585"/>
      <c r="CE520" s="585"/>
      <c r="CF520" s="586"/>
    </row>
    <row r="521" spans="1:84" s="583" customFormat="1" ht="23.1" customHeight="1">
      <c r="A521" s="584"/>
      <c r="B521" s="585"/>
      <c r="C521" s="585"/>
      <c r="D521" s="585"/>
      <c r="E521" s="585"/>
      <c r="F521" s="585"/>
      <c r="G521" s="585"/>
      <c r="H521" s="585"/>
      <c r="I521" s="585"/>
      <c r="J521" s="585"/>
      <c r="K521" s="585"/>
      <c r="L521" s="585"/>
      <c r="M521" s="585"/>
      <c r="N521" s="585"/>
      <c r="O521" s="585"/>
      <c r="P521" s="585"/>
      <c r="Q521" s="585"/>
      <c r="R521" s="585"/>
      <c r="S521" s="585"/>
      <c r="T521" s="585"/>
      <c r="U521" s="585"/>
      <c r="V521" s="585"/>
      <c r="W521" s="585"/>
      <c r="X521" s="585"/>
      <c r="Y521" s="585"/>
      <c r="Z521" s="585"/>
      <c r="AA521" s="585"/>
      <c r="AB521" s="585"/>
      <c r="AC521" s="585"/>
      <c r="AD521" s="574"/>
      <c r="AE521" s="574"/>
      <c r="AF521" s="574"/>
      <c r="AG521" s="574"/>
      <c r="AH521" s="574"/>
      <c r="AI521" s="574"/>
      <c r="AJ521" s="574"/>
      <c r="AK521" s="574"/>
      <c r="AL521" s="574"/>
      <c r="AM521" s="574"/>
      <c r="AN521" s="574"/>
      <c r="AO521" s="574"/>
      <c r="AP521" s="574"/>
      <c r="AQ521" s="574"/>
      <c r="AR521" s="574"/>
      <c r="AS521" s="585"/>
      <c r="AT521" s="590"/>
      <c r="AU521" s="590"/>
      <c r="AV521" s="585"/>
      <c r="AW521" s="585"/>
      <c r="AX521" s="585"/>
      <c r="AY521" s="585"/>
      <c r="AZ521" s="585"/>
      <c r="BA521" s="585"/>
      <c r="BB521" s="585"/>
      <c r="BC521" s="585"/>
      <c r="BD521" s="585"/>
      <c r="BE521" s="585"/>
      <c r="BF521" s="585"/>
      <c r="BG521" s="585"/>
      <c r="BH521" s="585"/>
      <c r="BI521" s="585"/>
      <c r="BJ521" s="585"/>
      <c r="BK521" s="585"/>
      <c r="BL521" s="585"/>
      <c r="BM521" s="585"/>
      <c r="BN521" s="585"/>
      <c r="BO521" s="585"/>
      <c r="BP521" s="1431" t="s">
        <v>41</v>
      </c>
      <c r="BQ521" s="1431"/>
      <c r="BR521" s="585"/>
      <c r="BS521" s="585"/>
      <c r="BT521" s="1434">
        <f>BT519+BT520</f>
        <v>49778</v>
      </c>
      <c r="BU521" s="1434"/>
      <c r="BV521" s="1434"/>
      <c r="BW521" s="1434"/>
      <c r="BX521" s="1434"/>
      <c r="BY521" s="1434"/>
      <c r="BZ521" s="1434"/>
      <c r="CA521" s="1434"/>
      <c r="CB521" s="1434"/>
      <c r="CC521" s="1434"/>
      <c r="CD521" s="585"/>
      <c r="CE521" s="585"/>
      <c r="CF521" s="586"/>
    </row>
    <row r="522" spans="1:84" s="583" customFormat="1" ht="23.1" customHeight="1">
      <c r="A522" s="592"/>
      <c r="B522" s="593" t="s">
        <v>1110</v>
      </c>
      <c r="C522" s="593"/>
      <c r="D522" s="593"/>
      <c r="E522" s="593"/>
      <c r="F522" s="593"/>
      <c r="G522" s="593"/>
      <c r="H522" s="593"/>
      <c r="I522" s="593"/>
      <c r="J522" s="593"/>
      <c r="K522" s="593"/>
      <c r="L522" s="593"/>
      <c r="M522" s="593"/>
      <c r="N522" s="593"/>
      <c r="O522" s="593"/>
      <c r="P522" s="593"/>
      <c r="Q522" s="593"/>
      <c r="R522" s="593"/>
      <c r="S522" s="593"/>
      <c r="T522" s="593"/>
      <c r="U522" s="593"/>
      <c r="V522" s="593"/>
      <c r="W522" s="593"/>
      <c r="X522" s="593"/>
      <c r="Y522" s="593"/>
      <c r="Z522" s="593"/>
      <c r="AA522" s="593"/>
      <c r="AB522" s="593"/>
      <c r="AC522" s="593"/>
      <c r="AD522" s="593"/>
      <c r="AE522" s="593"/>
      <c r="AF522" s="593"/>
      <c r="AG522" s="593"/>
      <c r="AH522" s="593"/>
      <c r="AI522" s="593"/>
      <c r="AJ522" s="593"/>
      <c r="AK522" s="593"/>
      <c r="AL522" s="593"/>
      <c r="AM522" s="593"/>
      <c r="AN522" s="593"/>
      <c r="AO522" s="593"/>
      <c r="AP522" s="593"/>
      <c r="AQ522" s="593"/>
      <c r="AR522" s="593"/>
      <c r="AS522" s="593"/>
      <c r="AT522" s="593"/>
      <c r="AU522" s="593"/>
      <c r="AV522" s="593"/>
      <c r="AW522" s="593"/>
      <c r="AX522" s="593"/>
      <c r="AY522" s="593"/>
      <c r="AZ522" s="593"/>
      <c r="BA522" s="593"/>
      <c r="BB522" s="593"/>
      <c r="BC522" s="593"/>
      <c r="BD522" s="593"/>
      <c r="BE522" s="593"/>
      <c r="BF522" s="593"/>
      <c r="BG522" s="593"/>
      <c r="BH522" s="593"/>
      <c r="BI522" s="593"/>
      <c r="BJ522" s="593"/>
      <c r="BK522" s="593"/>
      <c r="BL522" s="593"/>
      <c r="BM522" s="593"/>
      <c r="BN522" s="593"/>
      <c r="BO522" s="593"/>
      <c r="BP522" s="593"/>
      <c r="BQ522" s="593"/>
      <c r="BR522" s="593"/>
      <c r="BS522" s="593"/>
      <c r="BT522" s="593"/>
      <c r="BU522" s="593"/>
      <c r="BV522" s="593"/>
      <c r="BW522" s="593"/>
      <c r="BX522" s="593"/>
      <c r="BY522" s="593"/>
      <c r="BZ522" s="593"/>
      <c r="CA522" s="593"/>
      <c r="CB522" s="593"/>
      <c r="CC522" s="593"/>
      <c r="CD522" s="593"/>
      <c r="CE522" s="593"/>
      <c r="CF522" s="595"/>
    </row>
    <row r="523" spans="1:84" s="583" customFormat="1" ht="23.1" customHeight="1">
      <c r="A523" s="584"/>
      <c r="B523" s="585"/>
      <c r="C523" s="585"/>
      <c r="D523" s="596" t="s">
        <v>1094</v>
      </c>
      <c r="E523" s="585"/>
      <c r="F523" s="585"/>
      <c r="G523" s="585"/>
      <c r="H523" s="585"/>
      <c r="I523" s="585"/>
      <c r="J523" s="585"/>
      <c r="K523" s="585"/>
      <c r="L523" s="585"/>
      <c r="M523" s="585"/>
      <c r="N523" s="585"/>
      <c r="O523" s="585"/>
      <c r="P523" s="585"/>
      <c r="Q523" s="585"/>
      <c r="R523" s="585"/>
      <c r="S523" s="585"/>
      <c r="T523" s="585"/>
      <c r="U523" s="585"/>
      <c r="V523" s="585"/>
      <c r="W523" s="585"/>
      <c r="X523" s="585"/>
      <c r="Y523" s="585"/>
      <c r="Z523" s="585"/>
      <c r="AA523" s="585"/>
      <c r="AB523" s="585"/>
      <c r="AC523" s="585"/>
      <c r="AD523" s="585"/>
      <c r="AE523" s="585"/>
      <c r="AF523" s="585"/>
      <c r="AG523" s="585"/>
      <c r="AH523" s="585"/>
      <c r="AI523" s="585"/>
      <c r="AJ523" s="585"/>
      <c r="AK523" s="585"/>
      <c r="AL523" s="585"/>
      <c r="AM523" s="585"/>
      <c r="AN523" s="585"/>
      <c r="AO523" s="585"/>
      <c r="AP523" s="585"/>
      <c r="AQ523" s="585"/>
      <c r="AR523" s="422"/>
      <c r="AS523" s="1435" t="e">
        <f>HLOOKUP(D523,$CN$1:$CO$3,3,0)</f>
        <v>#REF!</v>
      </c>
      <c r="AT523" s="1435"/>
      <c r="AU523" s="1435"/>
      <c r="AV523" s="1435"/>
      <c r="AW523" s="1435"/>
      <c r="AX523" s="1435"/>
      <c r="AY523" s="1435"/>
      <c r="AZ523" s="1435"/>
      <c r="BA523" s="1435"/>
      <c r="BB523" s="1435"/>
      <c r="BC523" s="585"/>
      <c r="BD523" s="1431" t="s">
        <v>446</v>
      </c>
      <c r="BE523" s="1431"/>
      <c r="BF523" s="585"/>
      <c r="BG523" s="1431">
        <v>2.9</v>
      </c>
      <c r="BH523" s="1431"/>
      <c r="BI523" s="1431"/>
      <c r="BJ523" s="1431"/>
      <c r="BK523" s="1431"/>
      <c r="BL523" s="585" t="s">
        <v>1111</v>
      </c>
      <c r="BM523" s="585"/>
      <c r="BN523" s="585"/>
      <c r="BO523" s="585"/>
      <c r="BP523" s="1431" t="s">
        <v>41</v>
      </c>
      <c r="BQ523" s="1431"/>
      <c r="BR523" s="585"/>
      <c r="BS523" s="585"/>
      <c r="BT523" s="1432" t="e">
        <f>INT(AS523*BG523)</f>
        <v>#REF!</v>
      </c>
      <c r="BU523" s="1432"/>
      <c r="BV523" s="1432"/>
      <c r="BW523" s="1432"/>
      <c r="BX523" s="1432"/>
      <c r="BY523" s="1432"/>
      <c r="BZ523" s="1432"/>
      <c r="CA523" s="1432"/>
      <c r="CB523" s="1432"/>
      <c r="CC523" s="1432"/>
      <c r="CD523" s="585"/>
      <c r="CE523" s="585"/>
      <c r="CF523" s="586"/>
    </row>
    <row r="524" spans="1:84" s="583" customFormat="1" ht="23.1" customHeight="1">
      <c r="A524" s="584"/>
      <c r="B524" s="585"/>
      <c r="C524" s="585"/>
      <c r="D524" s="591" t="str">
        <f>"잡재료 (주연료의 "&amp;BG524&amp;"%) :"</f>
        <v>잡재료 (주연료의 38%) :</v>
      </c>
      <c r="E524" s="585"/>
      <c r="F524" s="585"/>
      <c r="G524" s="585"/>
      <c r="H524" s="585"/>
      <c r="I524" s="585"/>
      <c r="J524" s="585"/>
      <c r="K524" s="585"/>
      <c r="L524" s="585"/>
      <c r="M524" s="585"/>
      <c r="N524" s="585"/>
      <c r="O524" s="585"/>
      <c r="P524" s="585"/>
      <c r="Q524" s="585"/>
      <c r="R524" s="585"/>
      <c r="S524" s="585"/>
      <c r="T524" s="585"/>
      <c r="U524" s="585"/>
      <c r="V524" s="585"/>
      <c r="W524" s="585"/>
      <c r="X524" s="585"/>
      <c r="Y524" s="585"/>
      <c r="Z524" s="585"/>
      <c r="AA524" s="585"/>
      <c r="AB524" s="585"/>
      <c r="AC524" s="585"/>
      <c r="AD524" s="585"/>
      <c r="AE524" s="585"/>
      <c r="AF524" s="585"/>
      <c r="AG524" s="585"/>
      <c r="AH524" s="585"/>
      <c r="AI524" s="585"/>
      <c r="AJ524" s="585"/>
      <c r="AK524" s="585"/>
      <c r="AL524" s="585"/>
      <c r="AM524" s="585"/>
      <c r="AN524" s="585"/>
      <c r="AO524" s="585"/>
      <c r="AP524" s="585"/>
      <c r="AQ524" s="585"/>
      <c r="AR524" s="422" t="e">
        <f>BT523</f>
        <v>#REF!</v>
      </c>
      <c r="AS524" s="1430" t="e">
        <f>BT523</f>
        <v>#REF!</v>
      </c>
      <c r="AT524" s="1430"/>
      <c r="AU524" s="1430"/>
      <c r="AV524" s="1430"/>
      <c r="AW524" s="1430"/>
      <c r="AX524" s="1430"/>
      <c r="AY524" s="1430"/>
      <c r="AZ524" s="1430"/>
      <c r="BA524" s="1430"/>
      <c r="BB524" s="1430"/>
      <c r="BC524" s="585"/>
      <c r="BD524" s="1431" t="s">
        <v>446</v>
      </c>
      <c r="BE524" s="1431"/>
      <c r="BF524" s="585"/>
      <c r="BG524" s="1431">
        <v>38</v>
      </c>
      <c r="BH524" s="1431"/>
      <c r="BI524" s="1431"/>
      <c r="BJ524" s="1431"/>
      <c r="BK524" s="1431"/>
      <c r="BL524" s="585" t="s">
        <v>1112</v>
      </c>
      <c r="BM524" s="585"/>
      <c r="BN524" s="585"/>
      <c r="BO524" s="585"/>
      <c r="BP524" s="1431" t="s">
        <v>41</v>
      </c>
      <c r="BQ524" s="1431"/>
      <c r="BR524" s="585"/>
      <c r="BS524" s="585"/>
      <c r="BT524" s="1432" t="e">
        <f>INT(AS524*BG524/100)</f>
        <v>#REF!</v>
      </c>
      <c r="BU524" s="1432"/>
      <c r="BV524" s="1432"/>
      <c r="BW524" s="1432"/>
      <c r="BX524" s="1432"/>
      <c r="BY524" s="1432"/>
      <c r="BZ524" s="1432"/>
      <c r="CA524" s="1432"/>
      <c r="CB524" s="1432"/>
      <c r="CC524" s="1432"/>
      <c r="CD524" s="585"/>
      <c r="CE524" s="585"/>
      <c r="CF524" s="586"/>
    </row>
    <row r="525" spans="1:84" s="583" customFormat="1" ht="23.1" customHeight="1" thickBot="1">
      <c r="A525" s="584"/>
      <c r="B525" s="585"/>
      <c r="C525" s="585"/>
      <c r="D525" s="585"/>
      <c r="E525" s="585"/>
      <c r="F525" s="585"/>
      <c r="G525" s="585"/>
      <c r="H525" s="585"/>
      <c r="I525" s="585"/>
      <c r="J525" s="585"/>
      <c r="K525" s="585"/>
      <c r="L525" s="585"/>
      <c r="M525" s="585"/>
      <c r="N525" s="585"/>
      <c r="O525" s="585"/>
      <c r="P525" s="585"/>
      <c r="Q525" s="585"/>
      <c r="R525" s="585"/>
      <c r="S525" s="585"/>
      <c r="T525" s="585"/>
      <c r="U525" s="585"/>
      <c r="V525" s="585"/>
      <c r="W525" s="585"/>
      <c r="X525" s="585"/>
      <c r="Y525" s="585"/>
      <c r="Z525" s="585"/>
      <c r="AA525" s="585"/>
      <c r="AB525" s="585"/>
      <c r="AC525" s="585"/>
      <c r="AD525" s="585"/>
      <c r="AE525" s="585"/>
      <c r="AF525" s="585"/>
      <c r="AG525" s="585"/>
      <c r="AH525" s="585"/>
      <c r="AI525" s="585"/>
      <c r="AJ525" s="585"/>
      <c r="AK525" s="585"/>
      <c r="AL525" s="585"/>
      <c r="AM525" s="585"/>
      <c r="AN525" s="585"/>
      <c r="AO525" s="585"/>
      <c r="AP525" s="585"/>
      <c r="AQ525" s="585"/>
      <c r="AR525" s="585"/>
      <c r="AS525" s="585"/>
      <c r="AT525" s="585"/>
      <c r="AU525" s="585"/>
      <c r="AV525" s="585"/>
      <c r="AW525" s="585"/>
      <c r="AX525" s="585"/>
      <c r="AY525" s="585"/>
      <c r="AZ525" s="585"/>
      <c r="BA525" s="585"/>
      <c r="BB525" s="585"/>
      <c r="BC525" s="585"/>
      <c r="BD525" s="585"/>
      <c r="BE525" s="585"/>
      <c r="BF525" s="585"/>
      <c r="BG525" s="585"/>
      <c r="BH525" s="585"/>
      <c r="BI525" s="585"/>
      <c r="BJ525" s="585"/>
      <c r="BK525" s="585"/>
      <c r="BL525" s="585"/>
      <c r="BM525" s="585"/>
      <c r="BN525" s="585"/>
      <c r="BO525" s="585"/>
      <c r="BP525" s="1431" t="s">
        <v>41</v>
      </c>
      <c r="BQ525" s="1431"/>
      <c r="BR525" s="585"/>
      <c r="BS525" s="585"/>
      <c r="BT525" s="1433" t="e">
        <f>BT523+BT524</f>
        <v>#REF!</v>
      </c>
      <c r="BU525" s="1433"/>
      <c r="BV525" s="1433"/>
      <c r="BW525" s="1433"/>
      <c r="BX525" s="1433"/>
      <c r="BY525" s="1433"/>
      <c r="BZ525" s="1433"/>
      <c r="CA525" s="1433"/>
      <c r="CB525" s="1433"/>
      <c r="CC525" s="1433"/>
      <c r="CD525" s="585"/>
      <c r="CE525" s="585"/>
      <c r="CF525" s="586"/>
    </row>
    <row r="526" spans="1:84" s="583" customFormat="1" ht="23.1" customHeight="1" thickBot="1">
      <c r="A526" s="597"/>
      <c r="B526" s="598" t="s">
        <v>1113</v>
      </c>
      <c r="C526" s="598"/>
      <c r="D526" s="598"/>
      <c r="E526" s="598"/>
      <c r="F526" s="598"/>
      <c r="G526" s="598"/>
      <c r="H526" s="598"/>
      <c r="I526" s="598"/>
      <c r="J526" s="598"/>
      <c r="K526" s="598"/>
      <c r="L526" s="598"/>
      <c r="M526" s="598"/>
      <c r="N526" s="598"/>
      <c r="O526" s="598"/>
      <c r="P526" s="598"/>
      <c r="Q526" s="598"/>
      <c r="R526" s="598"/>
      <c r="S526" s="598"/>
      <c r="T526" s="598"/>
      <c r="U526" s="598"/>
      <c r="V526" s="598"/>
      <c r="W526" s="598"/>
      <c r="X526" s="598"/>
      <c r="Y526" s="598"/>
      <c r="Z526" s="598"/>
      <c r="AA526" s="598"/>
      <c r="AB526" s="598"/>
      <c r="AC526" s="598"/>
      <c r="AD526" s="598"/>
      <c r="AE526" s="598"/>
      <c r="AF526" s="598"/>
      <c r="AG526" s="598"/>
      <c r="AH526" s="598"/>
      <c r="AI526" s="598"/>
      <c r="AJ526" s="598"/>
      <c r="AK526" s="598"/>
      <c r="AL526" s="598"/>
      <c r="AM526" s="598"/>
      <c r="AN526" s="598"/>
      <c r="AO526" s="598"/>
      <c r="AP526" s="598"/>
      <c r="AQ526" s="598"/>
      <c r="AR526" s="598"/>
      <c r="AS526" s="598"/>
      <c r="AT526" s="598"/>
      <c r="AU526" s="598"/>
      <c r="AV526" s="598"/>
      <c r="AW526" s="598"/>
      <c r="AX526" s="598"/>
      <c r="AY526" s="598"/>
      <c r="AZ526" s="598"/>
      <c r="BA526" s="598"/>
      <c r="BB526" s="598"/>
      <c r="BC526" s="598"/>
      <c r="BD526" s="598"/>
      <c r="BE526" s="598"/>
      <c r="BF526" s="598"/>
      <c r="BG526" s="598"/>
      <c r="BH526" s="598"/>
      <c r="BI526" s="598"/>
      <c r="BJ526" s="598"/>
      <c r="BK526" s="598"/>
      <c r="BL526" s="598"/>
      <c r="BM526" s="598"/>
      <c r="BN526" s="598"/>
      <c r="BO526" s="598"/>
      <c r="BP526" s="598"/>
      <c r="BQ526" s="598"/>
      <c r="BR526" s="598"/>
      <c r="BS526" s="598"/>
      <c r="BT526" s="1429" t="e">
        <f>BT517+BT521+BT525</f>
        <v>#REF!</v>
      </c>
      <c r="BU526" s="1429"/>
      <c r="BV526" s="1429"/>
      <c r="BW526" s="1429"/>
      <c r="BX526" s="1429"/>
      <c r="BY526" s="1429"/>
      <c r="BZ526" s="1429"/>
      <c r="CA526" s="1429"/>
      <c r="CB526" s="1429"/>
      <c r="CC526" s="1429"/>
      <c r="CD526" s="598"/>
      <c r="CE526" s="598"/>
      <c r="CF526" s="599"/>
    </row>
    <row r="527" spans="1:84" s="583" customFormat="1" ht="9.9499999999999993" customHeight="1">
      <c r="A527" s="574"/>
      <c r="B527" s="574"/>
      <c r="C527" s="574"/>
      <c r="D527" s="574"/>
      <c r="E527" s="574"/>
      <c r="F527" s="574"/>
      <c r="G527" s="574"/>
      <c r="H527" s="574"/>
      <c r="I527" s="574"/>
      <c r="J527" s="574"/>
      <c r="K527" s="574"/>
      <c r="L527" s="574"/>
      <c r="M527" s="574"/>
      <c r="N527" s="574"/>
      <c r="O527" s="574"/>
      <c r="P527" s="574"/>
      <c r="Q527" s="574"/>
      <c r="R527" s="574"/>
      <c r="S527" s="574"/>
      <c r="T527" s="574"/>
      <c r="U527" s="574"/>
      <c r="V527" s="574"/>
      <c r="W527" s="574"/>
      <c r="X527" s="574"/>
      <c r="Y527" s="574"/>
      <c r="Z527" s="574"/>
      <c r="AA527" s="574"/>
      <c r="AB527" s="574"/>
      <c r="AC527" s="574"/>
      <c r="AD527" s="574"/>
      <c r="AE527" s="574"/>
      <c r="AF527" s="574"/>
      <c r="AG527" s="574"/>
      <c r="AH527" s="574"/>
      <c r="AI527" s="574"/>
      <c r="AJ527" s="574"/>
      <c r="AK527" s="574"/>
      <c r="AL527" s="574"/>
      <c r="AM527" s="574"/>
      <c r="AN527" s="574"/>
      <c r="AO527" s="574"/>
      <c r="AP527" s="574"/>
      <c r="AQ527" s="574"/>
      <c r="AR527" s="574"/>
      <c r="AS527" s="574"/>
      <c r="AT527" s="574"/>
      <c r="AU527" s="574"/>
      <c r="AV527" s="574"/>
      <c r="AW527" s="574"/>
      <c r="AX527" s="574"/>
      <c r="AY527" s="574"/>
      <c r="AZ527" s="574"/>
      <c r="BA527" s="574"/>
      <c r="BB527" s="574"/>
      <c r="BC527" s="574"/>
      <c r="BD527" s="574"/>
      <c r="BE527" s="574"/>
      <c r="BF527" s="574"/>
      <c r="BG527" s="574"/>
      <c r="BH527" s="574"/>
      <c r="BI527" s="574"/>
      <c r="BJ527" s="574"/>
      <c r="BK527" s="574"/>
      <c r="BL527" s="574"/>
      <c r="BM527" s="574"/>
      <c r="BN527" s="574"/>
      <c r="BO527" s="574"/>
      <c r="BP527" s="574"/>
      <c r="BQ527" s="574"/>
      <c r="BR527" s="574"/>
      <c r="BS527" s="574"/>
      <c r="BT527" s="574"/>
      <c r="BU527" s="574"/>
      <c r="BV527" s="574"/>
      <c r="BW527" s="574"/>
      <c r="BX527" s="574"/>
      <c r="BY527" s="574"/>
      <c r="BZ527" s="574"/>
      <c r="CA527" s="574"/>
      <c r="CB527" s="574"/>
      <c r="CC527" s="574"/>
      <c r="CD527" s="574"/>
      <c r="CE527" s="574"/>
      <c r="CF527" s="574"/>
    </row>
    <row r="528" spans="1:84" s="583" customFormat="1" ht="23.1" customHeight="1" thickBot="1">
      <c r="A528" s="1446" t="s">
        <v>1095</v>
      </c>
      <c r="B528" s="1446"/>
      <c r="C528" s="1446"/>
      <c r="D528" s="1446"/>
      <c r="E528" s="1446"/>
      <c r="F528" s="1446"/>
      <c r="G528" s="1447">
        <f>G513+1</f>
        <v>36</v>
      </c>
      <c r="H528" s="1447"/>
      <c r="I528" s="1447"/>
      <c r="J528" s="1448" t="s">
        <v>1096</v>
      </c>
      <c r="K528" s="1448"/>
      <c r="L528" s="574"/>
      <c r="M528" s="574"/>
      <c r="N528" s="574"/>
      <c r="O528" s="574"/>
      <c r="P528" s="574"/>
      <c r="Q528" s="574"/>
      <c r="R528" s="574"/>
      <c r="S528" s="574"/>
      <c r="T528" s="574"/>
      <c r="U528" s="574"/>
      <c r="V528" s="574"/>
      <c r="W528" s="574"/>
      <c r="X528" s="574"/>
      <c r="Y528" s="574"/>
      <c r="Z528" s="574"/>
      <c r="AA528" s="574"/>
      <c r="AB528" s="574"/>
      <c r="AC528" s="574"/>
      <c r="AD528" s="574"/>
      <c r="AE528" s="574"/>
      <c r="AF528" s="574"/>
      <c r="AG528" s="574"/>
      <c r="AH528" s="574"/>
      <c r="AI528" s="574"/>
      <c r="AJ528" s="574"/>
      <c r="AK528" s="574"/>
      <c r="AL528" s="574"/>
      <c r="AM528" s="574"/>
      <c r="AN528" s="574"/>
      <c r="AO528" s="574"/>
      <c r="AP528" s="574"/>
      <c r="AQ528" s="574"/>
      <c r="AR528" s="574"/>
      <c r="AS528" s="574"/>
      <c r="AT528" s="574"/>
      <c r="AU528" s="574"/>
      <c r="AV528" s="574"/>
      <c r="AW528" s="574"/>
      <c r="AX528" s="574"/>
      <c r="AY528" s="574"/>
      <c r="AZ528" s="574"/>
      <c r="BA528" s="574"/>
      <c r="BB528" s="574"/>
      <c r="BC528" s="574"/>
      <c r="BD528" s="574"/>
      <c r="BE528" s="574"/>
      <c r="BF528" s="574"/>
      <c r="BG528" s="574"/>
      <c r="BH528" s="574"/>
      <c r="BI528" s="574"/>
      <c r="BJ528" s="574"/>
      <c r="BK528" s="574"/>
      <c r="BL528" s="574"/>
      <c r="BM528" s="574"/>
      <c r="BN528" s="574"/>
      <c r="BO528" s="574"/>
      <c r="BP528" s="574"/>
      <c r="BQ528" s="574"/>
      <c r="BR528" s="574"/>
      <c r="BS528" s="574"/>
      <c r="BT528" s="574"/>
      <c r="BU528" s="574"/>
      <c r="BV528" s="574"/>
      <c r="BW528" s="574"/>
      <c r="BX528" s="574"/>
      <c r="BY528" s="574"/>
      <c r="BZ528" s="574"/>
      <c r="CA528" s="574"/>
      <c r="CB528" s="574"/>
      <c r="CC528" s="574"/>
      <c r="CD528" s="574"/>
      <c r="CE528" s="574"/>
      <c r="CF528" s="574"/>
    </row>
    <row r="529" spans="1:84" s="603" customFormat="1" ht="23.1" customHeight="1" thickBot="1">
      <c r="A529" s="1438" t="s">
        <v>1097</v>
      </c>
      <c r="B529" s="1439"/>
      <c r="C529" s="1439"/>
      <c r="D529" s="1439"/>
      <c r="E529" s="1439"/>
      <c r="F529" s="1439"/>
      <c r="G529" s="1439"/>
      <c r="H529" s="1439"/>
      <c r="I529" s="601" t="s">
        <v>1152</v>
      </c>
      <c r="J529" s="601"/>
      <c r="K529" s="601"/>
      <c r="L529" s="601"/>
      <c r="M529" s="601"/>
      <c r="N529" s="601"/>
      <c r="O529" s="601"/>
      <c r="P529" s="601"/>
      <c r="Q529" s="601"/>
      <c r="R529" s="601"/>
      <c r="S529" s="601"/>
      <c r="T529" s="601"/>
      <c r="U529" s="601"/>
      <c r="V529" s="601"/>
      <c r="W529" s="601"/>
      <c r="X529" s="601"/>
      <c r="Y529" s="601"/>
      <c r="Z529" s="601"/>
      <c r="AA529" s="601"/>
      <c r="AB529" s="601"/>
      <c r="AC529" s="601"/>
      <c r="AD529" s="601"/>
      <c r="AE529" s="601"/>
      <c r="AF529" s="601"/>
      <c r="AG529" s="601"/>
      <c r="AH529" s="601"/>
      <c r="AI529" s="601"/>
      <c r="AJ529" s="1439" t="s">
        <v>1099</v>
      </c>
      <c r="AK529" s="1439"/>
      <c r="AL529" s="1439"/>
      <c r="AM529" s="1439"/>
      <c r="AN529" s="1439"/>
      <c r="AO529" s="1439"/>
      <c r="AP529" s="1439"/>
      <c r="AQ529" s="601" t="s">
        <v>1154</v>
      </c>
      <c r="AR529" s="601"/>
      <c r="AS529" s="601"/>
      <c r="AT529" s="601"/>
      <c r="AU529" s="601"/>
      <c r="AV529" s="601"/>
      <c r="AW529" s="601"/>
      <c r="AX529" s="601"/>
      <c r="AY529" s="601"/>
      <c r="AZ529" s="601"/>
      <c r="BA529" s="601"/>
      <c r="BB529" s="601"/>
      <c r="BC529" s="601"/>
      <c r="BD529" s="601"/>
      <c r="BE529" s="601"/>
      <c r="BF529" s="601"/>
      <c r="BG529" s="601"/>
      <c r="BH529" s="601"/>
      <c r="BI529" s="601"/>
      <c r="BJ529" s="601"/>
      <c r="BK529" s="601"/>
      <c r="BL529" s="601"/>
      <c r="BM529" s="601"/>
      <c r="BN529" s="601"/>
      <c r="BO529" s="601"/>
      <c r="BP529" s="601"/>
      <c r="BQ529" s="601"/>
      <c r="BR529" s="601"/>
      <c r="BS529" s="601"/>
      <c r="BT529" s="601" t="s">
        <v>1155</v>
      </c>
      <c r="BU529" s="601"/>
      <c r="BV529" s="601"/>
      <c r="BW529" s="601"/>
      <c r="BX529" s="601"/>
      <c r="BY529" s="601"/>
      <c r="BZ529" s="601"/>
      <c r="CA529" s="601"/>
      <c r="CB529" s="601"/>
      <c r="CC529" s="601"/>
      <c r="CD529" s="601"/>
      <c r="CE529" s="601"/>
      <c r="CF529" s="602"/>
    </row>
    <row r="530" spans="1:84" s="583" customFormat="1" ht="23.1" customHeight="1">
      <c r="A530" s="584"/>
      <c r="B530" s="585" t="s">
        <v>1102</v>
      </c>
      <c r="C530" s="585"/>
      <c r="D530" s="585"/>
      <c r="E530" s="585"/>
      <c r="F530" s="585"/>
      <c r="G530" s="585"/>
      <c r="H530" s="585"/>
      <c r="I530" s="585"/>
      <c r="J530" s="585"/>
      <c r="K530" s="585"/>
      <c r="L530" s="585"/>
      <c r="M530" s="585"/>
      <c r="N530" s="585"/>
      <c r="O530" s="585"/>
      <c r="P530" s="585"/>
      <c r="Q530" s="585"/>
      <c r="R530" s="585"/>
      <c r="S530" s="585"/>
      <c r="T530" s="585"/>
      <c r="U530" s="585"/>
      <c r="V530" s="585"/>
      <c r="W530" s="585"/>
      <c r="X530" s="585"/>
      <c r="Y530" s="585"/>
      <c r="Z530" s="585"/>
      <c r="AA530" s="585"/>
      <c r="AB530" s="585"/>
      <c r="AC530" s="585"/>
      <c r="AD530" s="585"/>
      <c r="AE530" s="585"/>
      <c r="AF530" s="585"/>
      <c r="AG530" s="585"/>
      <c r="AH530" s="585"/>
      <c r="AI530" s="585"/>
      <c r="AJ530" s="585"/>
      <c r="AK530" s="585"/>
      <c r="AL530" s="585"/>
      <c r="AM530" s="585"/>
      <c r="AN530" s="585"/>
      <c r="AO530" s="585"/>
      <c r="AP530" s="585"/>
      <c r="AQ530" s="585"/>
      <c r="AR530" s="585"/>
      <c r="AS530" s="585"/>
      <c r="AT530" s="585"/>
      <c r="AU530" s="585"/>
      <c r="AV530" s="585"/>
      <c r="AW530" s="585"/>
      <c r="AX530" s="585"/>
      <c r="AY530" s="585"/>
      <c r="AZ530" s="585"/>
      <c r="BA530" s="585"/>
      <c r="BB530" s="585"/>
      <c r="BC530" s="585"/>
      <c r="BD530" s="585"/>
      <c r="BE530" s="585"/>
      <c r="BF530" s="585"/>
      <c r="BG530" s="585"/>
      <c r="BH530" s="585"/>
      <c r="BI530" s="585"/>
      <c r="BJ530" s="585"/>
      <c r="BK530" s="585"/>
      <c r="BL530" s="585"/>
      <c r="BM530" s="585"/>
      <c r="BN530" s="585"/>
      <c r="BO530" s="585"/>
      <c r="BP530" s="585"/>
      <c r="BQ530" s="585"/>
      <c r="BR530" s="585"/>
      <c r="BS530" s="585"/>
      <c r="BT530" s="585"/>
      <c r="BU530" s="585"/>
      <c r="BV530" s="585"/>
      <c r="BW530" s="585"/>
      <c r="BX530" s="585"/>
      <c r="BY530" s="585"/>
      <c r="BZ530" s="585"/>
      <c r="CA530" s="585"/>
      <c r="CB530" s="585"/>
      <c r="CC530" s="585"/>
      <c r="CD530" s="585"/>
      <c r="CE530" s="585"/>
      <c r="CF530" s="586"/>
    </row>
    <row r="531" spans="1:84" s="583" customFormat="1" ht="23.1" customHeight="1">
      <c r="A531" s="587"/>
      <c r="B531" s="574"/>
      <c r="C531" s="574"/>
      <c r="D531" s="405"/>
      <c r="E531" s="574"/>
      <c r="F531" s="422"/>
      <c r="G531" s="422"/>
      <c r="H531" s="422"/>
      <c r="I531" s="422"/>
      <c r="J531" s="422"/>
      <c r="K531" s="422"/>
      <c r="L531" s="422"/>
      <c r="M531" s="422"/>
      <c r="N531" s="574"/>
      <c r="O531" s="574"/>
      <c r="P531" s="574"/>
      <c r="Q531" s="574"/>
      <c r="R531" s="574"/>
      <c r="S531" s="588"/>
      <c r="T531" s="588"/>
      <c r="U531" s="588"/>
      <c r="V531" s="588"/>
      <c r="W531" s="588"/>
      <c r="X531" s="588"/>
      <c r="Y531" s="588"/>
      <c r="Z531" s="588"/>
      <c r="AA531" s="574"/>
      <c r="AB531" s="588"/>
      <c r="AC531" s="585"/>
      <c r="AD531" s="585"/>
      <c r="AE531" s="600"/>
      <c r="AF531" s="600"/>
      <c r="AG531" s="600"/>
      <c r="AH531" s="600"/>
      <c r="AI531" s="600"/>
      <c r="AJ531" s="600"/>
      <c r="AK531" s="600"/>
      <c r="AL531" s="600"/>
      <c r="AM531" s="585"/>
      <c r="AN531" s="585"/>
      <c r="AO531" s="574"/>
      <c r="AP531" s="588"/>
      <c r="AQ531" s="588"/>
      <c r="AR531" s="588"/>
      <c r="AS531" s="588"/>
      <c r="AT531" s="588"/>
      <c r="AU531" s="588"/>
      <c r="AV531" s="588"/>
      <c r="AW531" s="588"/>
      <c r="AX531" s="588"/>
      <c r="AY531" s="588"/>
      <c r="AZ531" s="588"/>
      <c r="BA531" s="588"/>
      <c r="BB531" s="588"/>
      <c r="BC531" s="588"/>
      <c r="BD531" s="574"/>
      <c r="BE531" s="574"/>
      <c r="BF531" s="574"/>
      <c r="BG531" s="574"/>
      <c r="BH531" s="574"/>
      <c r="BI531" s="574"/>
      <c r="BJ531" s="574"/>
      <c r="BK531" s="574"/>
      <c r="BL531" s="574"/>
      <c r="BM531" s="574"/>
      <c r="BN531" s="574"/>
      <c r="BO531" s="574"/>
      <c r="BP531" s="574"/>
      <c r="BQ531" s="574"/>
      <c r="BR531" s="574"/>
      <c r="BS531" s="574"/>
      <c r="BT531" s="574"/>
      <c r="BU531" s="574"/>
      <c r="BV531" s="574"/>
      <c r="BW531" s="574"/>
      <c r="BX531" s="574"/>
      <c r="BY531" s="574"/>
      <c r="BZ531" s="574"/>
      <c r="CA531" s="574"/>
      <c r="CB531" s="574"/>
      <c r="CC531" s="574"/>
      <c r="CD531" s="574"/>
      <c r="CE531" s="574"/>
      <c r="CF531" s="589"/>
    </row>
    <row r="532" spans="1:84" s="583" customFormat="1" ht="23.1" customHeight="1">
      <c r="A532" s="584"/>
      <c r="B532" s="585"/>
      <c r="C532" s="585"/>
      <c r="D532" s="585"/>
      <c r="E532" s="585"/>
      <c r="F532" s="585"/>
      <c r="G532" s="585"/>
      <c r="H532" s="585"/>
      <c r="I532" s="585"/>
      <c r="J532" s="585"/>
      <c r="K532" s="585"/>
      <c r="L532" s="585"/>
      <c r="M532" s="585"/>
      <c r="N532" s="585"/>
      <c r="O532" s="585"/>
      <c r="P532" s="585"/>
      <c r="Q532" s="585"/>
      <c r="R532" s="585"/>
      <c r="S532" s="585"/>
      <c r="T532" s="585"/>
      <c r="U532" s="585"/>
      <c r="V532" s="590"/>
      <c r="W532" s="590"/>
      <c r="X532" s="590"/>
      <c r="Y532" s="590"/>
      <c r="Z532" s="590"/>
      <c r="AA532" s="590"/>
      <c r="AB532" s="590"/>
      <c r="AC532" s="590"/>
      <c r="AD532" s="574"/>
      <c r="AE532" s="1440">
        <v>25662000</v>
      </c>
      <c r="AF532" s="1440"/>
      <c r="AG532" s="1440"/>
      <c r="AH532" s="1440"/>
      <c r="AI532" s="1440"/>
      <c r="AJ532" s="1440"/>
      <c r="AK532" s="1440"/>
      <c r="AL532" s="1440"/>
      <c r="AM532" s="1440"/>
      <c r="AN532" s="1440"/>
      <c r="AO532" s="1440"/>
      <c r="AP532" s="1440"/>
      <c r="AQ532" s="1440"/>
      <c r="AR532" s="1440"/>
      <c r="AS532" s="1440"/>
      <c r="AT532" s="1431" t="s">
        <v>446</v>
      </c>
      <c r="AU532" s="1431"/>
      <c r="AV532" s="1441" t="s">
        <v>1103</v>
      </c>
      <c r="AW532" s="1441"/>
      <c r="AX532" s="1442">
        <v>2967</v>
      </c>
      <c r="AY532" s="1442"/>
      <c r="AZ532" s="1442"/>
      <c r="BA532" s="1442"/>
      <c r="BB532" s="1442"/>
      <c r="BC532" s="1442"/>
      <c r="BD532" s="585"/>
      <c r="BE532" s="1431" t="s">
        <v>446</v>
      </c>
      <c r="BF532" s="1431"/>
      <c r="BG532" s="585"/>
      <c r="BH532" s="591" t="s">
        <v>1104</v>
      </c>
      <c r="BI532" s="585"/>
      <c r="BJ532" s="585"/>
      <c r="BK532" s="585"/>
      <c r="BL532" s="1431" t="s">
        <v>1105</v>
      </c>
      <c r="BM532" s="1431"/>
      <c r="BN532" s="1431"/>
      <c r="BO532" s="585"/>
      <c r="BP532" s="1431" t="s">
        <v>41</v>
      </c>
      <c r="BQ532" s="1431"/>
      <c r="BR532" s="585"/>
      <c r="BS532" s="585"/>
      <c r="BT532" s="1437">
        <f>INT(AE532*AX532*10^-7)</f>
        <v>7613</v>
      </c>
      <c r="BU532" s="1437"/>
      <c r="BV532" s="1437"/>
      <c r="BW532" s="1437"/>
      <c r="BX532" s="1437"/>
      <c r="BY532" s="1437"/>
      <c r="BZ532" s="1437"/>
      <c r="CA532" s="1437"/>
      <c r="CB532" s="1437"/>
      <c r="CC532" s="1437"/>
      <c r="CD532" s="585"/>
      <c r="CE532" s="585"/>
      <c r="CF532" s="586"/>
    </row>
    <row r="533" spans="1:84" s="583" customFormat="1" ht="23.1" customHeight="1">
      <c r="A533" s="592"/>
      <c r="B533" s="593" t="s">
        <v>1106</v>
      </c>
      <c r="C533" s="593"/>
      <c r="D533" s="593"/>
      <c r="E533" s="593"/>
      <c r="F533" s="593"/>
      <c r="G533" s="593"/>
      <c r="H533" s="593"/>
      <c r="I533" s="593"/>
      <c r="J533" s="593"/>
      <c r="K533" s="593"/>
      <c r="L533" s="593"/>
      <c r="M533" s="593"/>
      <c r="N533" s="593"/>
      <c r="O533" s="593"/>
      <c r="P533" s="593"/>
      <c r="Q533" s="593"/>
      <c r="R533" s="593"/>
      <c r="S533" s="593"/>
      <c r="T533" s="593"/>
      <c r="U533" s="593"/>
      <c r="V533" s="593"/>
      <c r="W533" s="593"/>
      <c r="X533" s="593"/>
      <c r="Y533" s="593"/>
      <c r="Z533" s="593"/>
      <c r="AA533" s="593"/>
      <c r="AB533" s="593"/>
      <c r="AC533" s="593"/>
      <c r="AD533" s="593"/>
      <c r="AE533" s="593"/>
      <c r="AF533" s="593"/>
      <c r="AG533" s="593"/>
      <c r="AH533" s="593"/>
      <c r="AI533" s="593"/>
      <c r="AJ533" s="593"/>
      <c r="AK533" s="593"/>
      <c r="AL533" s="593"/>
      <c r="AM533" s="593"/>
      <c r="AN533" s="593"/>
      <c r="AO533" s="593"/>
      <c r="AP533" s="593"/>
      <c r="AQ533" s="593"/>
      <c r="AR533" s="593"/>
      <c r="AS533" s="593"/>
      <c r="AT533" s="593"/>
      <c r="AU533" s="593"/>
      <c r="AV533" s="593"/>
      <c r="AW533" s="593"/>
      <c r="AX533" s="593"/>
      <c r="AY533" s="593"/>
      <c r="AZ533" s="593"/>
      <c r="BA533" s="593"/>
      <c r="BB533" s="593"/>
      <c r="BC533" s="593"/>
      <c r="BD533" s="593"/>
      <c r="BE533" s="593"/>
      <c r="BF533" s="593"/>
      <c r="BG533" s="593"/>
      <c r="BH533" s="593"/>
      <c r="BI533" s="593"/>
      <c r="BJ533" s="593"/>
      <c r="BK533" s="593"/>
      <c r="BL533" s="593"/>
      <c r="BM533" s="593"/>
      <c r="BN533" s="593"/>
      <c r="BO533" s="593"/>
      <c r="BP533" s="593"/>
      <c r="BQ533" s="593"/>
      <c r="BR533" s="593"/>
      <c r="BS533" s="593"/>
      <c r="BT533" s="594"/>
      <c r="BU533" s="594"/>
      <c r="BV533" s="594"/>
      <c r="BW533" s="594"/>
      <c r="BX533" s="594"/>
      <c r="BY533" s="594"/>
      <c r="BZ533" s="594"/>
      <c r="CA533" s="594"/>
      <c r="CB533" s="594"/>
      <c r="CC533" s="594"/>
      <c r="CD533" s="593"/>
      <c r="CE533" s="593"/>
      <c r="CF533" s="595"/>
    </row>
    <row r="534" spans="1:84" s="583" customFormat="1" ht="23.1" customHeight="1">
      <c r="A534" s="584"/>
      <c r="B534" s="585"/>
      <c r="C534" s="585"/>
      <c r="D534" s="596" t="s">
        <v>1092</v>
      </c>
      <c r="E534" s="585"/>
      <c r="F534" s="585"/>
      <c r="G534" s="585"/>
      <c r="H534" s="585"/>
      <c r="I534" s="585"/>
      <c r="J534" s="585"/>
      <c r="K534" s="585"/>
      <c r="L534" s="585"/>
      <c r="M534" s="585"/>
      <c r="N534" s="585"/>
      <c r="O534" s="585"/>
      <c r="P534" s="585"/>
      <c r="Q534" s="585"/>
      <c r="R534" s="585"/>
      <c r="S534" s="585"/>
      <c r="T534" s="574"/>
      <c r="U534" s="574"/>
      <c r="V534" s="1435">
        <f>HLOOKUP(D534,$CJ$1:$CM$3,3,0)</f>
        <v>238936</v>
      </c>
      <c r="W534" s="1435"/>
      <c r="X534" s="1435"/>
      <c r="Y534" s="1435"/>
      <c r="Z534" s="1435"/>
      <c r="AA534" s="1435"/>
      <c r="AB534" s="1435"/>
      <c r="AC534" s="1435"/>
      <c r="AD534" s="1435"/>
      <c r="AE534" s="1435"/>
      <c r="AF534" s="1431" t="s">
        <v>446</v>
      </c>
      <c r="AG534" s="1431"/>
      <c r="AH534" s="574"/>
      <c r="AI534" s="1436" t="s">
        <v>1107</v>
      </c>
      <c r="AJ534" s="1436"/>
      <c r="AK534" s="1436"/>
      <c r="AL534" s="1436"/>
      <c r="AM534" s="585"/>
      <c r="AN534" s="1431" t="s">
        <v>446</v>
      </c>
      <c r="AO534" s="1431"/>
      <c r="AP534" s="585"/>
      <c r="AQ534" s="1436" t="s">
        <v>1108</v>
      </c>
      <c r="AR534" s="1436"/>
      <c r="AS534" s="1436"/>
      <c r="AT534" s="1436"/>
      <c r="AU534" s="1436"/>
      <c r="AV534" s="422"/>
      <c r="AW534" s="1431" t="s">
        <v>446</v>
      </c>
      <c r="AX534" s="1431"/>
      <c r="AY534" s="440"/>
      <c r="AZ534" s="1436" t="s">
        <v>1109</v>
      </c>
      <c r="BA534" s="1436"/>
      <c r="BB534" s="1436"/>
      <c r="BC534" s="1436"/>
      <c r="BD534" s="1436"/>
      <c r="BE534" s="585"/>
      <c r="BF534" s="1431" t="s">
        <v>446</v>
      </c>
      <c r="BG534" s="1431"/>
      <c r="BH534" s="1431">
        <v>1</v>
      </c>
      <c r="BI534" s="1431"/>
      <c r="BJ534" s="1431"/>
      <c r="BK534" s="585"/>
      <c r="BL534" s="585" t="s">
        <v>366</v>
      </c>
      <c r="BM534" s="585"/>
      <c r="BN534" s="585"/>
      <c r="BO534" s="585"/>
      <c r="BP534" s="1431" t="s">
        <v>41</v>
      </c>
      <c r="BQ534" s="1431"/>
      <c r="BR534" s="585"/>
      <c r="BS534" s="585"/>
      <c r="BT534" s="1432">
        <f>INT(V534/8*16/12*25/20*BH534)</f>
        <v>49778</v>
      </c>
      <c r="BU534" s="1432"/>
      <c r="BV534" s="1432"/>
      <c r="BW534" s="1432"/>
      <c r="BX534" s="1432"/>
      <c r="BY534" s="1432"/>
      <c r="BZ534" s="1432"/>
      <c r="CA534" s="1432"/>
      <c r="CB534" s="1432"/>
      <c r="CC534" s="1432"/>
      <c r="CD534" s="585"/>
      <c r="CE534" s="585"/>
      <c r="CF534" s="586"/>
    </row>
    <row r="535" spans="1:84" s="583" customFormat="1" ht="23.1" customHeight="1">
      <c r="A535" s="584"/>
      <c r="B535" s="585"/>
      <c r="C535" s="585"/>
      <c r="D535" s="585"/>
      <c r="E535" s="585"/>
      <c r="F535" s="585"/>
      <c r="G535" s="585"/>
      <c r="H535" s="585"/>
      <c r="I535" s="585"/>
      <c r="J535" s="585"/>
      <c r="K535" s="585"/>
      <c r="L535" s="585"/>
      <c r="M535" s="585"/>
      <c r="N535" s="585"/>
      <c r="O535" s="585"/>
      <c r="P535" s="574"/>
      <c r="Q535" s="574"/>
      <c r="R535" s="574"/>
      <c r="S535" s="574"/>
      <c r="T535" s="574"/>
      <c r="U535" s="574"/>
      <c r="V535" s="574"/>
      <c r="W535" s="574"/>
      <c r="X535" s="574"/>
      <c r="Y535" s="574"/>
      <c r="Z535" s="574"/>
      <c r="AA535" s="574"/>
      <c r="AB535" s="574"/>
      <c r="AC535" s="574"/>
      <c r="AD535" s="574"/>
      <c r="AE535" s="574"/>
      <c r="AF535" s="574"/>
      <c r="AG535" s="574"/>
      <c r="AH535" s="574"/>
      <c r="AI535" s="574"/>
      <c r="AJ535" s="574"/>
      <c r="AK535" s="574"/>
      <c r="AL535" s="574"/>
      <c r="AM535" s="574"/>
      <c r="AN535" s="574"/>
      <c r="AO535" s="574"/>
      <c r="AP535" s="574"/>
      <c r="AQ535" s="574"/>
      <c r="AR535" s="574"/>
      <c r="AS535" s="574"/>
      <c r="AT535" s="574"/>
      <c r="AU535" s="574"/>
      <c r="AV535" s="574"/>
      <c r="AW535" s="574"/>
      <c r="AX535" s="574"/>
      <c r="AY535" s="574"/>
      <c r="AZ535" s="574"/>
      <c r="BA535" s="574"/>
      <c r="BB535" s="574"/>
      <c r="BC535" s="574"/>
      <c r="BD535" s="574"/>
      <c r="BE535" s="574"/>
      <c r="BF535" s="574"/>
      <c r="BG535" s="585"/>
      <c r="BH535" s="585"/>
      <c r="BI535" s="585"/>
      <c r="BJ535" s="585"/>
      <c r="BK535" s="585"/>
      <c r="BL535" s="585"/>
      <c r="BM535" s="585"/>
      <c r="BN535" s="585"/>
      <c r="BO535" s="585"/>
      <c r="BP535" s="1431"/>
      <c r="BQ535" s="1431"/>
      <c r="BR535" s="585"/>
      <c r="BS535" s="585"/>
      <c r="BT535" s="1432"/>
      <c r="BU535" s="1432"/>
      <c r="BV535" s="1432"/>
      <c r="BW535" s="1432"/>
      <c r="BX535" s="1432"/>
      <c r="BY535" s="1432"/>
      <c r="BZ535" s="1432"/>
      <c r="CA535" s="1432"/>
      <c r="CB535" s="1432"/>
      <c r="CC535" s="1432"/>
      <c r="CD535" s="585"/>
      <c r="CE535" s="585"/>
      <c r="CF535" s="586"/>
    </row>
    <row r="536" spans="1:84" s="583" customFormat="1" ht="23.1" customHeight="1">
      <c r="A536" s="584"/>
      <c r="B536" s="585"/>
      <c r="C536" s="585"/>
      <c r="D536" s="585"/>
      <c r="E536" s="585"/>
      <c r="F536" s="585"/>
      <c r="G536" s="585"/>
      <c r="H536" s="585"/>
      <c r="I536" s="585"/>
      <c r="J536" s="585"/>
      <c r="K536" s="585"/>
      <c r="L536" s="585"/>
      <c r="M536" s="585"/>
      <c r="N536" s="585"/>
      <c r="O536" s="585"/>
      <c r="P536" s="585"/>
      <c r="Q536" s="585"/>
      <c r="R536" s="585"/>
      <c r="S536" s="585"/>
      <c r="T536" s="585"/>
      <c r="U536" s="585"/>
      <c r="V536" s="585"/>
      <c r="W536" s="585"/>
      <c r="X536" s="585"/>
      <c r="Y536" s="585"/>
      <c r="Z536" s="585"/>
      <c r="AA536" s="585"/>
      <c r="AB536" s="585"/>
      <c r="AC536" s="585"/>
      <c r="AD536" s="574"/>
      <c r="AE536" s="574"/>
      <c r="AF536" s="574"/>
      <c r="AG536" s="574"/>
      <c r="AH536" s="574"/>
      <c r="AI536" s="574"/>
      <c r="AJ536" s="574"/>
      <c r="AK536" s="574"/>
      <c r="AL536" s="574"/>
      <c r="AM536" s="574"/>
      <c r="AN536" s="574"/>
      <c r="AO536" s="574"/>
      <c r="AP536" s="574"/>
      <c r="AQ536" s="574"/>
      <c r="AR536" s="574"/>
      <c r="AS536" s="585"/>
      <c r="AT536" s="590"/>
      <c r="AU536" s="590"/>
      <c r="AV536" s="585"/>
      <c r="AW536" s="585"/>
      <c r="AX536" s="585"/>
      <c r="AY536" s="585"/>
      <c r="AZ536" s="585"/>
      <c r="BA536" s="585"/>
      <c r="BB536" s="585"/>
      <c r="BC536" s="585"/>
      <c r="BD536" s="585"/>
      <c r="BE536" s="585"/>
      <c r="BF536" s="585"/>
      <c r="BG536" s="585"/>
      <c r="BH536" s="585"/>
      <c r="BI536" s="585"/>
      <c r="BJ536" s="585"/>
      <c r="BK536" s="585"/>
      <c r="BL536" s="585"/>
      <c r="BM536" s="585"/>
      <c r="BN536" s="585"/>
      <c r="BO536" s="585"/>
      <c r="BP536" s="1431" t="s">
        <v>41</v>
      </c>
      <c r="BQ536" s="1431"/>
      <c r="BR536" s="585"/>
      <c r="BS536" s="585"/>
      <c r="BT536" s="1434">
        <f>BT534+BT535</f>
        <v>49778</v>
      </c>
      <c r="BU536" s="1434"/>
      <c r="BV536" s="1434"/>
      <c r="BW536" s="1434"/>
      <c r="BX536" s="1434"/>
      <c r="BY536" s="1434"/>
      <c r="BZ536" s="1434"/>
      <c r="CA536" s="1434"/>
      <c r="CB536" s="1434"/>
      <c r="CC536" s="1434"/>
      <c r="CD536" s="585"/>
      <c r="CE536" s="585"/>
      <c r="CF536" s="586"/>
    </row>
    <row r="537" spans="1:84" s="583" customFormat="1" ht="23.1" customHeight="1">
      <c r="A537" s="592"/>
      <c r="B537" s="593" t="s">
        <v>1110</v>
      </c>
      <c r="C537" s="593"/>
      <c r="D537" s="593"/>
      <c r="E537" s="593"/>
      <c r="F537" s="593"/>
      <c r="G537" s="593"/>
      <c r="H537" s="593"/>
      <c r="I537" s="593"/>
      <c r="J537" s="593"/>
      <c r="K537" s="593"/>
      <c r="L537" s="593"/>
      <c r="M537" s="593"/>
      <c r="N537" s="593"/>
      <c r="O537" s="593"/>
      <c r="P537" s="593"/>
      <c r="Q537" s="593"/>
      <c r="R537" s="593"/>
      <c r="S537" s="593"/>
      <c r="T537" s="593"/>
      <c r="U537" s="593"/>
      <c r="V537" s="593"/>
      <c r="W537" s="593"/>
      <c r="X537" s="593"/>
      <c r="Y537" s="593"/>
      <c r="Z537" s="593"/>
      <c r="AA537" s="593"/>
      <c r="AB537" s="593"/>
      <c r="AC537" s="593"/>
      <c r="AD537" s="593"/>
      <c r="AE537" s="593"/>
      <c r="AF537" s="593"/>
      <c r="AG537" s="593"/>
      <c r="AH537" s="593"/>
      <c r="AI537" s="593"/>
      <c r="AJ537" s="593"/>
      <c r="AK537" s="593"/>
      <c r="AL537" s="593"/>
      <c r="AM537" s="593"/>
      <c r="AN537" s="593"/>
      <c r="AO537" s="593"/>
      <c r="AP537" s="593"/>
      <c r="AQ537" s="593"/>
      <c r="AR537" s="593"/>
      <c r="AS537" s="593"/>
      <c r="AT537" s="593"/>
      <c r="AU537" s="593"/>
      <c r="AV537" s="593"/>
      <c r="AW537" s="593"/>
      <c r="AX537" s="593"/>
      <c r="AY537" s="593"/>
      <c r="AZ537" s="593"/>
      <c r="BA537" s="593"/>
      <c r="BB537" s="593"/>
      <c r="BC537" s="593"/>
      <c r="BD537" s="593"/>
      <c r="BE537" s="593"/>
      <c r="BF537" s="593"/>
      <c r="BG537" s="593"/>
      <c r="BH537" s="593"/>
      <c r="BI537" s="593"/>
      <c r="BJ537" s="593"/>
      <c r="BK537" s="593"/>
      <c r="BL537" s="593"/>
      <c r="BM537" s="593"/>
      <c r="BN537" s="593"/>
      <c r="BO537" s="593"/>
      <c r="BP537" s="593"/>
      <c r="BQ537" s="593"/>
      <c r="BR537" s="593"/>
      <c r="BS537" s="593"/>
      <c r="BT537" s="593"/>
      <c r="BU537" s="593"/>
      <c r="BV537" s="593"/>
      <c r="BW537" s="593"/>
      <c r="BX537" s="593"/>
      <c r="BY537" s="593"/>
      <c r="BZ537" s="593"/>
      <c r="CA537" s="593"/>
      <c r="CB537" s="593"/>
      <c r="CC537" s="593"/>
      <c r="CD537" s="593"/>
      <c r="CE537" s="593"/>
      <c r="CF537" s="595"/>
    </row>
    <row r="538" spans="1:84" s="583" customFormat="1" ht="23.1" customHeight="1">
      <c r="A538" s="584"/>
      <c r="B538" s="585"/>
      <c r="C538" s="585"/>
      <c r="D538" s="596" t="s">
        <v>1094</v>
      </c>
      <c r="E538" s="585"/>
      <c r="F538" s="585"/>
      <c r="G538" s="585"/>
      <c r="H538" s="585"/>
      <c r="I538" s="585"/>
      <c r="J538" s="585"/>
      <c r="K538" s="585"/>
      <c r="L538" s="585"/>
      <c r="M538" s="585"/>
      <c r="N538" s="585"/>
      <c r="O538" s="585"/>
      <c r="P538" s="585"/>
      <c r="Q538" s="585"/>
      <c r="R538" s="585"/>
      <c r="S538" s="585"/>
      <c r="T538" s="585"/>
      <c r="U538" s="585"/>
      <c r="V538" s="585"/>
      <c r="W538" s="585"/>
      <c r="X538" s="585"/>
      <c r="Y538" s="585"/>
      <c r="Z538" s="585"/>
      <c r="AA538" s="585"/>
      <c r="AB538" s="585"/>
      <c r="AC538" s="585"/>
      <c r="AD538" s="585"/>
      <c r="AE538" s="585"/>
      <c r="AF538" s="585"/>
      <c r="AG538" s="585"/>
      <c r="AH538" s="585"/>
      <c r="AI538" s="585"/>
      <c r="AJ538" s="585"/>
      <c r="AK538" s="585"/>
      <c r="AL538" s="585"/>
      <c r="AM538" s="585"/>
      <c r="AN538" s="585"/>
      <c r="AO538" s="585"/>
      <c r="AP538" s="585"/>
      <c r="AQ538" s="585"/>
      <c r="AR538" s="422"/>
      <c r="AS538" s="1435" t="e">
        <f>HLOOKUP(D538,$CN$1:$CO$3,3,0)</f>
        <v>#REF!</v>
      </c>
      <c r="AT538" s="1435"/>
      <c r="AU538" s="1435"/>
      <c r="AV538" s="1435"/>
      <c r="AW538" s="1435"/>
      <c r="AX538" s="1435"/>
      <c r="AY538" s="1435"/>
      <c r="AZ538" s="1435"/>
      <c r="BA538" s="1435"/>
      <c r="BB538" s="1435"/>
      <c r="BC538" s="585"/>
      <c r="BD538" s="1431" t="s">
        <v>446</v>
      </c>
      <c r="BE538" s="1431"/>
      <c r="BF538" s="585"/>
      <c r="BG538" s="1431">
        <v>5</v>
      </c>
      <c r="BH538" s="1431"/>
      <c r="BI538" s="1431"/>
      <c r="BJ538" s="1431"/>
      <c r="BK538" s="1431"/>
      <c r="BL538" s="585" t="s">
        <v>1111</v>
      </c>
      <c r="BM538" s="585"/>
      <c r="BN538" s="585"/>
      <c r="BO538" s="585"/>
      <c r="BP538" s="1431" t="s">
        <v>41</v>
      </c>
      <c r="BQ538" s="1431"/>
      <c r="BR538" s="585"/>
      <c r="BS538" s="585"/>
      <c r="BT538" s="1432" t="e">
        <f>INT(AS538*BG538)</f>
        <v>#REF!</v>
      </c>
      <c r="BU538" s="1432"/>
      <c r="BV538" s="1432"/>
      <c r="BW538" s="1432"/>
      <c r="BX538" s="1432"/>
      <c r="BY538" s="1432"/>
      <c r="BZ538" s="1432"/>
      <c r="CA538" s="1432"/>
      <c r="CB538" s="1432"/>
      <c r="CC538" s="1432"/>
      <c r="CD538" s="585"/>
      <c r="CE538" s="585"/>
      <c r="CF538" s="586"/>
    </row>
    <row r="539" spans="1:84" s="583" customFormat="1" ht="23.1" customHeight="1">
      <c r="A539" s="584"/>
      <c r="B539" s="585"/>
      <c r="C539" s="585"/>
      <c r="D539" s="591" t="str">
        <f>"잡재료 (주연료의 "&amp;BG539&amp;"%) :"</f>
        <v>잡재료 (주연료의 38%) :</v>
      </c>
      <c r="E539" s="585"/>
      <c r="F539" s="585"/>
      <c r="G539" s="585"/>
      <c r="H539" s="585"/>
      <c r="I539" s="585"/>
      <c r="J539" s="585"/>
      <c r="K539" s="585"/>
      <c r="L539" s="585"/>
      <c r="M539" s="585"/>
      <c r="N539" s="585"/>
      <c r="O539" s="585"/>
      <c r="P539" s="585"/>
      <c r="Q539" s="585"/>
      <c r="R539" s="585"/>
      <c r="S539" s="585"/>
      <c r="T539" s="585"/>
      <c r="U539" s="585"/>
      <c r="V539" s="585"/>
      <c r="W539" s="585"/>
      <c r="X539" s="585"/>
      <c r="Y539" s="585"/>
      <c r="Z539" s="585"/>
      <c r="AA539" s="585"/>
      <c r="AB539" s="585"/>
      <c r="AC539" s="585"/>
      <c r="AD539" s="585"/>
      <c r="AE539" s="585"/>
      <c r="AF539" s="585"/>
      <c r="AG539" s="585"/>
      <c r="AH539" s="585"/>
      <c r="AI539" s="585"/>
      <c r="AJ539" s="585"/>
      <c r="AK539" s="585"/>
      <c r="AL539" s="585"/>
      <c r="AM539" s="585"/>
      <c r="AN539" s="585"/>
      <c r="AO539" s="585"/>
      <c r="AP539" s="585"/>
      <c r="AQ539" s="585"/>
      <c r="AR539" s="422" t="e">
        <f>BT538</f>
        <v>#REF!</v>
      </c>
      <c r="AS539" s="1430" t="e">
        <f>BT538</f>
        <v>#REF!</v>
      </c>
      <c r="AT539" s="1430"/>
      <c r="AU539" s="1430"/>
      <c r="AV539" s="1430"/>
      <c r="AW539" s="1430"/>
      <c r="AX539" s="1430"/>
      <c r="AY539" s="1430"/>
      <c r="AZ539" s="1430"/>
      <c r="BA539" s="1430"/>
      <c r="BB539" s="1430"/>
      <c r="BC539" s="585"/>
      <c r="BD539" s="1431" t="s">
        <v>446</v>
      </c>
      <c r="BE539" s="1431"/>
      <c r="BF539" s="585"/>
      <c r="BG539" s="1431">
        <v>38</v>
      </c>
      <c r="BH539" s="1431"/>
      <c r="BI539" s="1431"/>
      <c r="BJ539" s="1431"/>
      <c r="BK539" s="1431"/>
      <c r="BL539" s="585" t="s">
        <v>1112</v>
      </c>
      <c r="BM539" s="585"/>
      <c r="BN539" s="585"/>
      <c r="BO539" s="585"/>
      <c r="BP539" s="1431" t="s">
        <v>41</v>
      </c>
      <c r="BQ539" s="1431"/>
      <c r="BR539" s="585"/>
      <c r="BS539" s="585"/>
      <c r="BT539" s="1432" t="e">
        <f>INT(AS539*BG539/100)</f>
        <v>#REF!</v>
      </c>
      <c r="BU539" s="1432"/>
      <c r="BV539" s="1432"/>
      <c r="BW539" s="1432"/>
      <c r="BX539" s="1432"/>
      <c r="BY539" s="1432"/>
      <c r="BZ539" s="1432"/>
      <c r="CA539" s="1432"/>
      <c r="CB539" s="1432"/>
      <c r="CC539" s="1432"/>
      <c r="CD539" s="585"/>
      <c r="CE539" s="585"/>
      <c r="CF539" s="586"/>
    </row>
    <row r="540" spans="1:84" s="583" customFormat="1" ht="23.1" customHeight="1" thickBot="1">
      <c r="A540" s="584"/>
      <c r="B540" s="585"/>
      <c r="C540" s="585"/>
      <c r="D540" s="585"/>
      <c r="E540" s="585"/>
      <c r="F540" s="585"/>
      <c r="G540" s="585"/>
      <c r="H540" s="585"/>
      <c r="I540" s="585"/>
      <c r="J540" s="585"/>
      <c r="K540" s="585"/>
      <c r="L540" s="585"/>
      <c r="M540" s="585"/>
      <c r="N540" s="585"/>
      <c r="O540" s="585"/>
      <c r="P540" s="585"/>
      <c r="Q540" s="585"/>
      <c r="R540" s="585"/>
      <c r="S540" s="585"/>
      <c r="T540" s="585"/>
      <c r="U540" s="585"/>
      <c r="V540" s="585"/>
      <c r="W540" s="585"/>
      <c r="X540" s="585"/>
      <c r="Y540" s="585"/>
      <c r="Z540" s="585"/>
      <c r="AA540" s="585"/>
      <c r="AB540" s="585"/>
      <c r="AC540" s="585"/>
      <c r="AD540" s="585"/>
      <c r="AE540" s="585"/>
      <c r="AF540" s="585"/>
      <c r="AG540" s="585"/>
      <c r="AH540" s="585"/>
      <c r="AI540" s="585"/>
      <c r="AJ540" s="585"/>
      <c r="AK540" s="585"/>
      <c r="AL540" s="585"/>
      <c r="AM540" s="585"/>
      <c r="AN540" s="585"/>
      <c r="AO540" s="585"/>
      <c r="AP540" s="585"/>
      <c r="AQ540" s="585"/>
      <c r="AR540" s="585"/>
      <c r="AS540" s="585"/>
      <c r="AT540" s="585"/>
      <c r="AU540" s="585"/>
      <c r="AV540" s="585"/>
      <c r="AW540" s="585"/>
      <c r="AX540" s="585"/>
      <c r="AY540" s="585"/>
      <c r="AZ540" s="585"/>
      <c r="BA540" s="585"/>
      <c r="BB540" s="585"/>
      <c r="BC540" s="585"/>
      <c r="BD540" s="585"/>
      <c r="BE540" s="585"/>
      <c r="BF540" s="585"/>
      <c r="BG540" s="585"/>
      <c r="BH540" s="585"/>
      <c r="BI540" s="585"/>
      <c r="BJ540" s="585"/>
      <c r="BK540" s="585"/>
      <c r="BL540" s="585"/>
      <c r="BM540" s="585"/>
      <c r="BN540" s="585"/>
      <c r="BO540" s="585"/>
      <c r="BP540" s="1431" t="s">
        <v>41</v>
      </c>
      <c r="BQ540" s="1431"/>
      <c r="BR540" s="585"/>
      <c r="BS540" s="585"/>
      <c r="BT540" s="1433" t="e">
        <f>BT538+BT539</f>
        <v>#REF!</v>
      </c>
      <c r="BU540" s="1433"/>
      <c r="BV540" s="1433"/>
      <c r="BW540" s="1433"/>
      <c r="BX540" s="1433"/>
      <c r="BY540" s="1433"/>
      <c r="BZ540" s="1433"/>
      <c r="CA540" s="1433"/>
      <c r="CB540" s="1433"/>
      <c r="CC540" s="1433"/>
      <c r="CD540" s="585"/>
      <c r="CE540" s="585"/>
      <c r="CF540" s="586"/>
    </row>
    <row r="541" spans="1:84" s="583" customFormat="1" ht="23.1" customHeight="1" thickBot="1">
      <c r="A541" s="597"/>
      <c r="B541" s="598" t="s">
        <v>1113</v>
      </c>
      <c r="C541" s="598"/>
      <c r="D541" s="598"/>
      <c r="E541" s="598"/>
      <c r="F541" s="598"/>
      <c r="G541" s="598"/>
      <c r="H541" s="598"/>
      <c r="I541" s="598"/>
      <c r="J541" s="598"/>
      <c r="K541" s="598"/>
      <c r="L541" s="598"/>
      <c r="M541" s="598"/>
      <c r="N541" s="598"/>
      <c r="O541" s="598"/>
      <c r="P541" s="598"/>
      <c r="Q541" s="598"/>
      <c r="R541" s="598"/>
      <c r="S541" s="598"/>
      <c r="T541" s="598"/>
      <c r="U541" s="598"/>
      <c r="V541" s="598"/>
      <c r="W541" s="598"/>
      <c r="X541" s="598"/>
      <c r="Y541" s="598"/>
      <c r="Z541" s="598"/>
      <c r="AA541" s="598"/>
      <c r="AB541" s="598"/>
      <c r="AC541" s="598"/>
      <c r="AD541" s="598"/>
      <c r="AE541" s="598"/>
      <c r="AF541" s="598"/>
      <c r="AG541" s="598"/>
      <c r="AH541" s="598"/>
      <c r="AI541" s="598"/>
      <c r="AJ541" s="598"/>
      <c r="AK541" s="598"/>
      <c r="AL541" s="598"/>
      <c r="AM541" s="598"/>
      <c r="AN541" s="598"/>
      <c r="AO541" s="598"/>
      <c r="AP541" s="598"/>
      <c r="AQ541" s="598"/>
      <c r="AR541" s="598"/>
      <c r="AS541" s="598"/>
      <c r="AT541" s="598"/>
      <c r="AU541" s="598"/>
      <c r="AV541" s="598"/>
      <c r="AW541" s="598"/>
      <c r="AX541" s="598"/>
      <c r="AY541" s="598"/>
      <c r="AZ541" s="598"/>
      <c r="BA541" s="607"/>
      <c r="BB541" s="598"/>
      <c r="BC541" s="598"/>
      <c r="BD541" s="598"/>
      <c r="BE541" s="598"/>
      <c r="BF541" s="598"/>
      <c r="BG541" s="598"/>
      <c r="BH541" s="598"/>
      <c r="BI541" s="598"/>
      <c r="BJ541" s="598"/>
      <c r="BK541" s="598"/>
      <c r="BL541" s="598"/>
      <c r="BM541" s="598"/>
      <c r="BN541" s="598"/>
      <c r="BO541" s="598"/>
      <c r="BP541" s="598"/>
      <c r="BQ541" s="598"/>
      <c r="BR541" s="598"/>
      <c r="BS541" s="598"/>
      <c r="BT541" s="1429" t="e">
        <f>BT532+BT536+BT540</f>
        <v>#REF!</v>
      </c>
      <c r="BU541" s="1429"/>
      <c r="BV541" s="1429"/>
      <c r="BW541" s="1429"/>
      <c r="BX541" s="1429"/>
      <c r="BY541" s="1429"/>
      <c r="BZ541" s="1429"/>
      <c r="CA541" s="1429"/>
      <c r="CB541" s="1429"/>
      <c r="CC541" s="1429"/>
      <c r="CD541" s="598"/>
      <c r="CE541" s="598"/>
      <c r="CF541" s="599"/>
    </row>
    <row r="542" spans="1:84" s="583" customFormat="1" ht="9.9499999999999993" customHeight="1">
      <c r="A542" s="574"/>
      <c r="B542" s="574"/>
      <c r="C542" s="574"/>
      <c r="D542" s="574"/>
      <c r="E542" s="574"/>
      <c r="F542" s="574"/>
      <c r="G542" s="574"/>
      <c r="H542" s="574"/>
      <c r="I542" s="574"/>
      <c r="J542" s="574"/>
      <c r="K542" s="574"/>
      <c r="L542" s="574"/>
      <c r="M542" s="574"/>
      <c r="N542" s="574"/>
      <c r="O542" s="574"/>
      <c r="P542" s="574"/>
      <c r="Q542" s="574"/>
      <c r="R542" s="574"/>
      <c r="S542" s="574"/>
      <c r="T542" s="574"/>
      <c r="U542" s="574"/>
      <c r="V542" s="574"/>
      <c r="W542" s="574"/>
      <c r="X542" s="574"/>
      <c r="Y542" s="574"/>
      <c r="Z542" s="574"/>
      <c r="AA542" s="574"/>
      <c r="AB542" s="574"/>
      <c r="AC542" s="574"/>
      <c r="AD542" s="574"/>
      <c r="AE542" s="574"/>
      <c r="AF542" s="574"/>
      <c r="AG542" s="574"/>
      <c r="AH542" s="574"/>
      <c r="AI542" s="574"/>
      <c r="AJ542" s="574"/>
      <c r="AK542" s="574"/>
      <c r="AL542" s="574"/>
      <c r="AM542" s="574"/>
      <c r="AN542" s="574"/>
      <c r="AO542" s="574"/>
      <c r="AP542" s="574"/>
      <c r="AQ542" s="574"/>
      <c r="AR542" s="574"/>
      <c r="AS542" s="574"/>
      <c r="AT542" s="574"/>
      <c r="AU542" s="574"/>
      <c r="AV542" s="574"/>
      <c r="AW542" s="574"/>
      <c r="AX542" s="574"/>
      <c r="AY542" s="574"/>
      <c r="AZ542" s="574"/>
      <c r="BA542" s="574"/>
      <c r="BB542" s="574"/>
      <c r="BC542" s="574"/>
      <c r="BD542" s="574"/>
      <c r="BE542" s="574"/>
      <c r="BF542" s="574"/>
      <c r="BG542" s="574"/>
      <c r="BH542" s="574"/>
      <c r="BI542" s="574"/>
      <c r="BJ542" s="574"/>
      <c r="BK542" s="574"/>
      <c r="BL542" s="574"/>
      <c r="BM542" s="574"/>
      <c r="BN542" s="574"/>
      <c r="BO542" s="574"/>
      <c r="BP542" s="574"/>
      <c r="BQ542" s="574"/>
      <c r="BR542" s="574"/>
      <c r="BS542" s="574"/>
      <c r="BT542" s="574"/>
      <c r="BU542" s="574"/>
      <c r="BV542" s="574"/>
      <c r="BW542" s="574"/>
      <c r="BX542" s="574"/>
      <c r="BY542" s="574"/>
      <c r="BZ542" s="574"/>
      <c r="CA542" s="574"/>
      <c r="CB542" s="574"/>
      <c r="CC542" s="574"/>
      <c r="CD542" s="574"/>
      <c r="CE542" s="574"/>
      <c r="CF542" s="574"/>
    </row>
    <row r="543" spans="1:84" s="583" customFormat="1" ht="23.1" customHeight="1" thickBot="1">
      <c r="A543" s="1446" t="s">
        <v>1095</v>
      </c>
      <c r="B543" s="1446"/>
      <c r="C543" s="1446"/>
      <c r="D543" s="1446"/>
      <c r="E543" s="1446"/>
      <c r="F543" s="1446"/>
      <c r="G543" s="1447">
        <f>G528+1</f>
        <v>37</v>
      </c>
      <c r="H543" s="1447"/>
      <c r="I543" s="1447"/>
      <c r="J543" s="1448" t="s">
        <v>1096</v>
      </c>
      <c r="K543" s="1448"/>
      <c r="L543" s="574"/>
      <c r="M543" s="574"/>
      <c r="N543" s="574"/>
      <c r="O543" s="574"/>
      <c r="P543" s="574"/>
      <c r="Q543" s="574"/>
      <c r="R543" s="574"/>
      <c r="S543" s="574"/>
      <c r="T543" s="574"/>
      <c r="U543" s="574"/>
      <c r="V543" s="574"/>
      <c r="W543" s="574"/>
      <c r="X543" s="574"/>
      <c r="Y543" s="574"/>
      <c r="Z543" s="574"/>
      <c r="AA543" s="574"/>
      <c r="AB543" s="574"/>
      <c r="AC543" s="574"/>
      <c r="AD543" s="574"/>
      <c r="AE543" s="574"/>
      <c r="AF543" s="574"/>
      <c r="AG543" s="574"/>
      <c r="AH543" s="574"/>
      <c r="AI543" s="574"/>
      <c r="AJ543" s="574"/>
      <c r="AK543" s="574"/>
      <c r="AL543" s="574"/>
      <c r="AM543" s="574"/>
      <c r="AN543" s="574"/>
      <c r="AO543" s="574"/>
      <c r="AP543" s="574"/>
      <c r="AQ543" s="574"/>
      <c r="AR543" s="574"/>
      <c r="AS543" s="574"/>
      <c r="AT543" s="574"/>
      <c r="AU543" s="574"/>
      <c r="AV543" s="574"/>
      <c r="AW543" s="574"/>
      <c r="AX543" s="574"/>
      <c r="AY543" s="574"/>
      <c r="AZ543" s="574"/>
      <c r="BA543" s="574"/>
      <c r="BB543" s="574"/>
      <c r="BC543" s="574"/>
      <c r="BD543" s="574"/>
      <c r="BE543" s="574"/>
      <c r="BF543" s="574"/>
      <c r="BG543" s="574"/>
      <c r="BH543" s="574"/>
      <c r="BI543" s="574"/>
      <c r="BJ543" s="574"/>
      <c r="BK543" s="574"/>
      <c r="BL543" s="574"/>
      <c r="BM543" s="574"/>
      <c r="BN543" s="574"/>
      <c r="BO543" s="574"/>
      <c r="BP543" s="574"/>
      <c r="BQ543" s="574"/>
      <c r="BR543" s="574"/>
      <c r="BS543" s="574"/>
      <c r="BT543" s="574"/>
      <c r="BU543" s="574"/>
      <c r="BV543" s="574"/>
      <c r="BW543" s="574"/>
      <c r="BX543" s="574"/>
      <c r="BY543" s="574"/>
      <c r="BZ543" s="574"/>
      <c r="CA543" s="574"/>
      <c r="CB543" s="574"/>
      <c r="CC543" s="574"/>
      <c r="CD543" s="574"/>
      <c r="CE543" s="574"/>
      <c r="CF543" s="574"/>
    </row>
    <row r="544" spans="1:84" s="583" customFormat="1" ht="23.1" customHeight="1" thickBot="1">
      <c r="A544" s="1483" t="s">
        <v>1097</v>
      </c>
      <c r="B544" s="1484"/>
      <c r="C544" s="1484"/>
      <c r="D544" s="1484"/>
      <c r="E544" s="1484"/>
      <c r="F544" s="1484"/>
      <c r="G544" s="1484"/>
      <c r="H544" s="1484"/>
      <c r="I544" s="581" t="s">
        <v>1152</v>
      </c>
      <c r="J544" s="581"/>
      <c r="K544" s="581"/>
      <c r="L544" s="581"/>
      <c r="M544" s="581"/>
      <c r="N544" s="581"/>
      <c r="O544" s="581"/>
      <c r="P544" s="581"/>
      <c r="Q544" s="581"/>
      <c r="R544" s="581"/>
      <c r="S544" s="581"/>
      <c r="T544" s="581"/>
      <c r="U544" s="581"/>
      <c r="V544" s="581"/>
      <c r="W544" s="581"/>
      <c r="X544" s="581"/>
      <c r="Y544" s="581"/>
      <c r="Z544" s="581"/>
      <c r="AA544" s="581"/>
      <c r="AB544" s="581"/>
      <c r="AC544" s="581"/>
      <c r="AD544" s="581"/>
      <c r="AE544" s="581"/>
      <c r="AF544" s="581"/>
      <c r="AG544" s="581"/>
      <c r="AH544" s="581"/>
      <c r="AI544" s="581"/>
      <c r="AJ544" s="1484" t="s">
        <v>1099</v>
      </c>
      <c r="AK544" s="1484"/>
      <c r="AL544" s="1484"/>
      <c r="AM544" s="1484"/>
      <c r="AN544" s="1484"/>
      <c r="AO544" s="1484"/>
      <c r="AP544" s="1484"/>
      <c r="AQ544" s="581" t="s">
        <v>1156</v>
      </c>
      <c r="AR544" s="581"/>
      <c r="AS544" s="581"/>
      <c r="AT544" s="581"/>
      <c r="AU544" s="581"/>
      <c r="AV544" s="581"/>
      <c r="AW544" s="581"/>
      <c r="AX544" s="581"/>
      <c r="AY544" s="581"/>
      <c r="AZ544" s="581"/>
      <c r="BA544" s="581"/>
      <c r="BB544" s="581"/>
      <c r="BC544" s="581"/>
      <c r="BD544" s="581"/>
      <c r="BE544" s="581"/>
      <c r="BF544" s="581"/>
      <c r="BG544" s="581"/>
      <c r="BH544" s="581"/>
      <c r="BI544" s="581"/>
      <c r="BJ544" s="581"/>
      <c r="BK544" s="581"/>
      <c r="BL544" s="581"/>
      <c r="BM544" s="581"/>
      <c r="BN544" s="581"/>
      <c r="BO544" s="581"/>
      <c r="BP544" s="581"/>
      <c r="BQ544" s="581"/>
      <c r="BR544" s="581"/>
      <c r="BS544" s="581"/>
      <c r="BT544" s="581" t="s">
        <v>1157</v>
      </c>
      <c r="BU544" s="581"/>
      <c r="BV544" s="581"/>
      <c r="BW544" s="581"/>
      <c r="BX544" s="581"/>
      <c r="BY544" s="581"/>
      <c r="BZ544" s="581"/>
      <c r="CA544" s="581"/>
      <c r="CB544" s="581"/>
      <c r="CC544" s="581"/>
      <c r="CD544" s="581"/>
      <c r="CE544" s="581"/>
      <c r="CF544" s="582"/>
    </row>
    <row r="545" spans="1:84" s="583" customFormat="1" ht="23.1" customHeight="1">
      <c r="A545" s="584"/>
      <c r="B545" s="585" t="s">
        <v>1102</v>
      </c>
      <c r="C545" s="585"/>
      <c r="D545" s="585"/>
      <c r="E545" s="585"/>
      <c r="F545" s="585"/>
      <c r="G545" s="585"/>
      <c r="H545" s="585"/>
      <c r="I545" s="585"/>
      <c r="J545" s="585"/>
      <c r="K545" s="585"/>
      <c r="L545" s="585"/>
      <c r="M545" s="585"/>
      <c r="N545" s="585"/>
      <c r="O545" s="585"/>
      <c r="P545" s="585"/>
      <c r="Q545" s="585"/>
      <c r="R545" s="585"/>
      <c r="S545" s="585"/>
      <c r="T545" s="585"/>
      <c r="U545" s="585"/>
      <c r="V545" s="585"/>
      <c r="W545" s="585"/>
      <c r="X545" s="585"/>
      <c r="Y545" s="585"/>
      <c r="Z545" s="585"/>
      <c r="AA545" s="585"/>
      <c r="AB545" s="585"/>
      <c r="AC545" s="585"/>
      <c r="AD545" s="585"/>
      <c r="AE545" s="585"/>
      <c r="AF545" s="585"/>
      <c r="AG545" s="585"/>
      <c r="AH545" s="585"/>
      <c r="AI545" s="585"/>
      <c r="AJ545" s="585"/>
      <c r="AK545" s="585"/>
      <c r="AL545" s="585"/>
      <c r="AM545" s="585"/>
      <c r="AN545" s="585"/>
      <c r="AO545" s="585"/>
      <c r="AP545" s="585"/>
      <c r="AQ545" s="585"/>
      <c r="AR545" s="585"/>
      <c r="AS545" s="585"/>
      <c r="AT545" s="585"/>
      <c r="AU545" s="585"/>
      <c r="AV545" s="585"/>
      <c r="AW545" s="585"/>
      <c r="AX545" s="585"/>
      <c r="AY545" s="585"/>
      <c r="AZ545" s="585"/>
      <c r="BA545" s="585"/>
      <c r="BB545" s="585"/>
      <c r="BC545" s="585"/>
      <c r="BD545" s="585"/>
      <c r="BE545" s="585"/>
      <c r="BF545" s="585"/>
      <c r="BG545" s="585"/>
      <c r="BH545" s="585"/>
      <c r="BI545" s="585"/>
      <c r="BJ545" s="585"/>
      <c r="BK545" s="585"/>
      <c r="BL545" s="585"/>
      <c r="BM545" s="585"/>
      <c r="BN545" s="585"/>
      <c r="BO545" s="585"/>
      <c r="BP545" s="585"/>
      <c r="BQ545" s="585"/>
      <c r="BR545" s="585"/>
      <c r="BS545" s="585"/>
      <c r="BT545" s="585"/>
      <c r="BU545" s="585"/>
      <c r="BV545" s="585"/>
      <c r="BW545" s="585"/>
      <c r="BX545" s="585"/>
      <c r="BY545" s="585"/>
      <c r="BZ545" s="585"/>
      <c r="CA545" s="585"/>
      <c r="CB545" s="585"/>
      <c r="CC545" s="585"/>
      <c r="CD545" s="585"/>
      <c r="CE545" s="585"/>
      <c r="CF545" s="586"/>
    </row>
    <row r="546" spans="1:84" s="583" customFormat="1" ht="23.1" customHeight="1">
      <c r="A546" s="587"/>
      <c r="B546" s="574"/>
      <c r="C546" s="574"/>
      <c r="D546" s="405"/>
      <c r="E546" s="574"/>
      <c r="F546" s="422"/>
      <c r="G546" s="422"/>
      <c r="H546" s="422"/>
      <c r="I546" s="422"/>
      <c r="J546" s="422"/>
      <c r="K546" s="422"/>
      <c r="L546" s="422"/>
      <c r="M546" s="422"/>
      <c r="N546" s="574"/>
      <c r="O546" s="574"/>
      <c r="P546" s="574"/>
      <c r="Q546" s="574"/>
      <c r="R546" s="574"/>
      <c r="S546" s="588"/>
      <c r="T546" s="588"/>
      <c r="U546" s="588"/>
      <c r="V546" s="588"/>
      <c r="W546" s="588"/>
      <c r="X546" s="588"/>
      <c r="Y546" s="588"/>
      <c r="Z546" s="588"/>
      <c r="AA546" s="574"/>
      <c r="AB546" s="588"/>
      <c r="AC546" s="585"/>
      <c r="AD546" s="585"/>
      <c r="AE546" s="600"/>
      <c r="AF546" s="600"/>
      <c r="AG546" s="600"/>
      <c r="AH546" s="600"/>
      <c r="AI546" s="600"/>
      <c r="AJ546" s="600"/>
      <c r="AK546" s="600"/>
      <c r="AL546" s="600"/>
      <c r="AM546" s="585"/>
      <c r="AN546" s="585"/>
      <c r="AO546" s="574"/>
      <c r="AP546" s="430"/>
      <c r="AQ546" s="430"/>
      <c r="AR546" s="430"/>
      <c r="AS546" s="430"/>
      <c r="AT546" s="430"/>
      <c r="AU546" s="430"/>
      <c r="AV546" s="430"/>
      <c r="AW546" s="430"/>
      <c r="AX546" s="430"/>
      <c r="AY546" s="430"/>
      <c r="AZ546" s="430"/>
      <c r="BA546" s="430"/>
      <c r="BB546" s="430"/>
      <c r="BC546" s="430"/>
      <c r="BD546" s="574"/>
      <c r="BE546" s="574"/>
      <c r="BF546" s="574"/>
      <c r="BG546" s="574"/>
      <c r="BH546" s="574"/>
      <c r="BI546" s="574"/>
      <c r="BJ546" s="574"/>
      <c r="BK546" s="574"/>
      <c r="BL546" s="574"/>
      <c r="BM546" s="574"/>
      <c r="BN546" s="574"/>
      <c r="BO546" s="574"/>
      <c r="BP546" s="574"/>
      <c r="BQ546" s="574"/>
      <c r="BR546" s="574"/>
      <c r="BS546" s="574"/>
      <c r="BT546" s="574"/>
      <c r="BU546" s="574"/>
      <c r="BV546" s="574"/>
      <c r="BW546" s="574"/>
      <c r="BX546" s="574"/>
      <c r="BY546" s="574"/>
      <c r="BZ546" s="574"/>
      <c r="CA546" s="574"/>
      <c r="CB546" s="574"/>
      <c r="CC546" s="574"/>
      <c r="CD546" s="574"/>
      <c r="CE546" s="574"/>
      <c r="CF546" s="589"/>
    </row>
    <row r="547" spans="1:84" s="583" customFormat="1" ht="23.1" customHeight="1">
      <c r="A547" s="584"/>
      <c r="B547" s="585"/>
      <c r="C547" s="585"/>
      <c r="D547" s="585"/>
      <c r="E547" s="585"/>
      <c r="F547" s="585"/>
      <c r="G547" s="585"/>
      <c r="H547" s="585"/>
      <c r="I547" s="585"/>
      <c r="J547" s="585"/>
      <c r="K547" s="585"/>
      <c r="L547" s="585"/>
      <c r="M547" s="585"/>
      <c r="N547" s="585"/>
      <c r="O547" s="585"/>
      <c r="P547" s="585"/>
      <c r="Q547" s="585"/>
      <c r="R547" s="585"/>
      <c r="S547" s="585"/>
      <c r="T547" s="585"/>
      <c r="U547" s="585"/>
      <c r="V547" s="590"/>
      <c r="W547" s="590"/>
      <c r="X547" s="590"/>
      <c r="Y547" s="590"/>
      <c r="Z547" s="590"/>
      <c r="AA547" s="590"/>
      <c r="AB547" s="590"/>
      <c r="AC547" s="590"/>
      <c r="AD547" s="574"/>
      <c r="AE547" s="1440">
        <v>37391000</v>
      </c>
      <c r="AF547" s="1440"/>
      <c r="AG547" s="1440"/>
      <c r="AH547" s="1440"/>
      <c r="AI547" s="1440"/>
      <c r="AJ547" s="1440"/>
      <c r="AK547" s="1440"/>
      <c r="AL547" s="1440"/>
      <c r="AM547" s="1440"/>
      <c r="AN547" s="1440"/>
      <c r="AO547" s="1440"/>
      <c r="AP547" s="1440"/>
      <c r="AQ547" s="1440"/>
      <c r="AR547" s="1440"/>
      <c r="AS547" s="1440"/>
      <c r="AT547" s="1431" t="s">
        <v>446</v>
      </c>
      <c r="AU547" s="1431"/>
      <c r="AV547" s="1441" t="s">
        <v>1103</v>
      </c>
      <c r="AW547" s="1441"/>
      <c r="AX547" s="1442">
        <v>2820</v>
      </c>
      <c r="AY547" s="1442"/>
      <c r="AZ547" s="1442"/>
      <c r="BA547" s="1442"/>
      <c r="BB547" s="1442"/>
      <c r="BC547" s="1442"/>
      <c r="BD547" s="585"/>
      <c r="BE547" s="1431" t="s">
        <v>446</v>
      </c>
      <c r="BF547" s="1431"/>
      <c r="BG547" s="585"/>
      <c r="BH547" s="591" t="s">
        <v>1104</v>
      </c>
      <c r="BI547" s="585"/>
      <c r="BJ547" s="585"/>
      <c r="BK547" s="585"/>
      <c r="BL547" s="1431" t="s">
        <v>1105</v>
      </c>
      <c r="BM547" s="1431"/>
      <c r="BN547" s="1431"/>
      <c r="BO547" s="585"/>
      <c r="BP547" s="1431" t="s">
        <v>41</v>
      </c>
      <c r="BQ547" s="1431"/>
      <c r="BR547" s="585"/>
      <c r="BS547" s="585"/>
      <c r="BT547" s="1437">
        <f>INT(AE547*AX547*10^-7)</f>
        <v>10544</v>
      </c>
      <c r="BU547" s="1437"/>
      <c r="BV547" s="1437"/>
      <c r="BW547" s="1437"/>
      <c r="BX547" s="1437"/>
      <c r="BY547" s="1437"/>
      <c r="BZ547" s="1437"/>
      <c r="CA547" s="1437"/>
      <c r="CB547" s="1437"/>
      <c r="CC547" s="1437"/>
      <c r="CD547" s="585"/>
      <c r="CE547" s="585"/>
      <c r="CF547" s="586"/>
    </row>
    <row r="548" spans="1:84" s="583" customFormat="1" ht="23.1" customHeight="1">
      <c r="A548" s="592"/>
      <c r="B548" s="593" t="s">
        <v>1106</v>
      </c>
      <c r="C548" s="593"/>
      <c r="D548" s="593"/>
      <c r="E548" s="593"/>
      <c r="F548" s="593"/>
      <c r="G548" s="593"/>
      <c r="H548" s="593"/>
      <c r="I548" s="593"/>
      <c r="J548" s="593"/>
      <c r="K548" s="593"/>
      <c r="L548" s="593"/>
      <c r="M548" s="593"/>
      <c r="N548" s="593"/>
      <c r="O548" s="593"/>
      <c r="P548" s="593"/>
      <c r="Q548" s="593"/>
      <c r="R548" s="593"/>
      <c r="S548" s="593"/>
      <c r="T548" s="593"/>
      <c r="U548" s="593"/>
      <c r="V548" s="593"/>
      <c r="W548" s="593"/>
      <c r="X548" s="593"/>
      <c r="Y548" s="593"/>
      <c r="Z548" s="593"/>
      <c r="AA548" s="593"/>
      <c r="AB548" s="593"/>
      <c r="AC548" s="593"/>
      <c r="AD548" s="593"/>
      <c r="AE548" s="593"/>
      <c r="AF548" s="593"/>
      <c r="AG548" s="593"/>
      <c r="AH548" s="593"/>
      <c r="AI548" s="593"/>
      <c r="AJ548" s="593"/>
      <c r="AK548" s="593"/>
      <c r="AL548" s="593"/>
      <c r="AM548" s="593"/>
      <c r="AN548" s="593"/>
      <c r="AO548" s="593"/>
      <c r="AP548" s="593"/>
      <c r="AQ548" s="593"/>
      <c r="AR548" s="593"/>
      <c r="AS548" s="593"/>
      <c r="AT548" s="593"/>
      <c r="AU548" s="593"/>
      <c r="AV548" s="593"/>
      <c r="AW548" s="593"/>
      <c r="AX548" s="593"/>
      <c r="AY548" s="593"/>
      <c r="AZ548" s="593"/>
      <c r="BA548" s="593"/>
      <c r="BB548" s="593"/>
      <c r="BC548" s="593"/>
      <c r="BD548" s="593"/>
      <c r="BE548" s="593"/>
      <c r="BF548" s="593"/>
      <c r="BG548" s="593"/>
      <c r="BH548" s="593"/>
      <c r="BI548" s="593"/>
      <c r="BJ548" s="593"/>
      <c r="BK548" s="593"/>
      <c r="BL548" s="593"/>
      <c r="BM548" s="593"/>
      <c r="BN548" s="593"/>
      <c r="BO548" s="593"/>
      <c r="BP548" s="593"/>
      <c r="BQ548" s="593"/>
      <c r="BR548" s="593"/>
      <c r="BS548" s="593"/>
      <c r="BT548" s="594"/>
      <c r="BU548" s="594"/>
      <c r="BV548" s="594"/>
      <c r="BW548" s="594"/>
      <c r="BX548" s="594"/>
      <c r="BY548" s="594"/>
      <c r="BZ548" s="594"/>
      <c r="CA548" s="594"/>
      <c r="CB548" s="594"/>
      <c r="CC548" s="594"/>
      <c r="CD548" s="593"/>
      <c r="CE548" s="593"/>
      <c r="CF548" s="595"/>
    </row>
    <row r="549" spans="1:84" s="583" customFormat="1" ht="23.1" customHeight="1">
      <c r="A549" s="584"/>
      <c r="B549" s="585"/>
      <c r="C549" s="585"/>
      <c r="D549" s="596" t="s">
        <v>1092</v>
      </c>
      <c r="E549" s="585"/>
      <c r="F549" s="585"/>
      <c r="G549" s="585"/>
      <c r="H549" s="585"/>
      <c r="I549" s="585"/>
      <c r="J549" s="585"/>
      <c r="K549" s="585"/>
      <c r="L549" s="585"/>
      <c r="M549" s="585"/>
      <c r="N549" s="585"/>
      <c r="O549" s="585"/>
      <c r="P549" s="585"/>
      <c r="Q549" s="585"/>
      <c r="R549" s="585"/>
      <c r="S549" s="585"/>
      <c r="T549" s="574"/>
      <c r="U549" s="574"/>
      <c r="V549" s="1435">
        <f>HLOOKUP(D549,$CJ$1:$CM$3,3,0)</f>
        <v>238936</v>
      </c>
      <c r="W549" s="1435"/>
      <c r="X549" s="1435"/>
      <c r="Y549" s="1435"/>
      <c r="Z549" s="1435"/>
      <c r="AA549" s="1435"/>
      <c r="AB549" s="1435"/>
      <c r="AC549" s="1435"/>
      <c r="AD549" s="1435"/>
      <c r="AE549" s="1435"/>
      <c r="AF549" s="1431" t="s">
        <v>446</v>
      </c>
      <c r="AG549" s="1431"/>
      <c r="AH549" s="574"/>
      <c r="AI549" s="1436" t="s">
        <v>1107</v>
      </c>
      <c r="AJ549" s="1436"/>
      <c r="AK549" s="1436"/>
      <c r="AL549" s="1436"/>
      <c r="AM549" s="585"/>
      <c r="AN549" s="1431" t="s">
        <v>446</v>
      </c>
      <c r="AO549" s="1431"/>
      <c r="AP549" s="585"/>
      <c r="AQ549" s="1436" t="s">
        <v>1108</v>
      </c>
      <c r="AR549" s="1436"/>
      <c r="AS549" s="1436"/>
      <c r="AT549" s="1436"/>
      <c r="AU549" s="1436"/>
      <c r="AV549" s="422"/>
      <c r="AW549" s="1431" t="s">
        <v>446</v>
      </c>
      <c r="AX549" s="1431"/>
      <c r="AY549" s="440"/>
      <c r="AZ549" s="1436" t="s">
        <v>1109</v>
      </c>
      <c r="BA549" s="1436"/>
      <c r="BB549" s="1436"/>
      <c r="BC549" s="1436"/>
      <c r="BD549" s="1436"/>
      <c r="BE549" s="585"/>
      <c r="BF549" s="1431" t="s">
        <v>446</v>
      </c>
      <c r="BG549" s="1431"/>
      <c r="BH549" s="1431">
        <v>1</v>
      </c>
      <c r="BI549" s="1431"/>
      <c r="BJ549" s="1431"/>
      <c r="BK549" s="585"/>
      <c r="BL549" s="585" t="s">
        <v>366</v>
      </c>
      <c r="BM549" s="585"/>
      <c r="BN549" s="585"/>
      <c r="BO549" s="585"/>
      <c r="BP549" s="1431" t="s">
        <v>41</v>
      </c>
      <c r="BQ549" s="1431"/>
      <c r="BR549" s="585"/>
      <c r="BS549" s="585"/>
      <c r="BT549" s="1432">
        <f>INT(V549/8*16/12*25/20*BH549)</f>
        <v>49778</v>
      </c>
      <c r="BU549" s="1432"/>
      <c r="BV549" s="1432"/>
      <c r="BW549" s="1432"/>
      <c r="BX549" s="1432"/>
      <c r="BY549" s="1432"/>
      <c r="BZ549" s="1432"/>
      <c r="CA549" s="1432"/>
      <c r="CB549" s="1432"/>
      <c r="CC549" s="1432"/>
      <c r="CD549" s="585"/>
      <c r="CE549" s="585"/>
      <c r="CF549" s="586"/>
    </row>
    <row r="550" spans="1:84" s="583" customFormat="1" ht="23.1" customHeight="1">
      <c r="A550" s="584"/>
      <c r="B550" s="585"/>
      <c r="C550" s="585"/>
      <c r="D550" s="585"/>
      <c r="E550" s="585"/>
      <c r="F550" s="585"/>
      <c r="G550" s="585"/>
      <c r="H550" s="585"/>
      <c r="I550" s="585"/>
      <c r="J550" s="585"/>
      <c r="K550" s="585"/>
      <c r="L550" s="585"/>
      <c r="M550" s="585"/>
      <c r="N550" s="585"/>
      <c r="O550" s="585"/>
      <c r="P550" s="574"/>
      <c r="Q550" s="574"/>
      <c r="R550" s="574"/>
      <c r="S550" s="574"/>
      <c r="T550" s="574"/>
      <c r="U550" s="574"/>
      <c r="V550" s="574"/>
      <c r="W550" s="574"/>
      <c r="X550" s="574"/>
      <c r="Y550" s="574"/>
      <c r="Z550" s="574"/>
      <c r="AA550" s="574"/>
      <c r="AB550" s="574"/>
      <c r="AC550" s="574"/>
      <c r="AD550" s="574"/>
      <c r="AE550" s="574"/>
      <c r="AF550" s="574"/>
      <c r="AG550" s="574"/>
      <c r="AH550" s="574"/>
      <c r="AI550" s="574"/>
      <c r="AJ550" s="574"/>
      <c r="AK550" s="574"/>
      <c r="AL550" s="574"/>
      <c r="AM550" s="574"/>
      <c r="AN550" s="574"/>
      <c r="AO550" s="574"/>
      <c r="AP550" s="574"/>
      <c r="AQ550" s="574"/>
      <c r="AR550" s="574"/>
      <c r="AS550" s="574"/>
      <c r="AT550" s="574"/>
      <c r="AU550" s="574"/>
      <c r="AV550" s="574"/>
      <c r="AW550" s="574"/>
      <c r="AX550" s="574"/>
      <c r="AY550" s="574"/>
      <c r="AZ550" s="574"/>
      <c r="BA550" s="574"/>
      <c r="BB550" s="574"/>
      <c r="BC550" s="574"/>
      <c r="BD550" s="574"/>
      <c r="BE550" s="574"/>
      <c r="BF550" s="574"/>
      <c r="BG550" s="585"/>
      <c r="BH550" s="585"/>
      <c r="BI550" s="585"/>
      <c r="BJ550" s="585"/>
      <c r="BK550" s="585"/>
      <c r="BL550" s="585"/>
      <c r="BM550" s="585"/>
      <c r="BN550" s="585"/>
      <c r="BO550" s="585"/>
      <c r="BP550" s="1431"/>
      <c r="BQ550" s="1431"/>
      <c r="BR550" s="585"/>
      <c r="BS550" s="585"/>
      <c r="BT550" s="1432"/>
      <c r="BU550" s="1432"/>
      <c r="BV550" s="1432"/>
      <c r="BW550" s="1432"/>
      <c r="BX550" s="1432"/>
      <c r="BY550" s="1432"/>
      <c r="BZ550" s="1432"/>
      <c r="CA550" s="1432"/>
      <c r="CB550" s="1432"/>
      <c r="CC550" s="1432"/>
      <c r="CD550" s="585"/>
      <c r="CE550" s="585"/>
      <c r="CF550" s="586"/>
    </row>
    <row r="551" spans="1:84" s="583" customFormat="1" ht="23.1" customHeight="1">
      <c r="A551" s="584"/>
      <c r="B551" s="585"/>
      <c r="C551" s="585"/>
      <c r="D551" s="585"/>
      <c r="E551" s="585"/>
      <c r="F551" s="585"/>
      <c r="G551" s="585"/>
      <c r="H551" s="585"/>
      <c r="I551" s="585"/>
      <c r="J551" s="585"/>
      <c r="K551" s="585"/>
      <c r="L551" s="585"/>
      <c r="M551" s="585"/>
      <c r="N551" s="585"/>
      <c r="O551" s="585"/>
      <c r="P551" s="585"/>
      <c r="Q551" s="585"/>
      <c r="R551" s="585"/>
      <c r="S551" s="585"/>
      <c r="T551" s="585"/>
      <c r="U551" s="585"/>
      <c r="V551" s="585"/>
      <c r="W551" s="585"/>
      <c r="X551" s="585"/>
      <c r="Y551" s="585"/>
      <c r="Z551" s="585"/>
      <c r="AA551" s="585"/>
      <c r="AB551" s="585"/>
      <c r="AC551" s="585"/>
      <c r="AD551" s="574"/>
      <c r="AE551" s="574"/>
      <c r="AF551" s="574"/>
      <c r="AG551" s="574"/>
      <c r="AH551" s="574"/>
      <c r="AI551" s="574"/>
      <c r="AJ551" s="574"/>
      <c r="AK551" s="574"/>
      <c r="AL551" s="574"/>
      <c r="AM551" s="574"/>
      <c r="AN551" s="574"/>
      <c r="AO551" s="574"/>
      <c r="AP551" s="574"/>
      <c r="AQ551" s="574"/>
      <c r="AR551" s="574"/>
      <c r="AS551" s="585"/>
      <c r="AT551" s="590"/>
      <c r="AU551" s="590"/>
      <c r="AV551" s="585"/>
      <c r="AW551" s="585"/>
      <c r="AX551" s="585"/>
      <c r="AY551" s="585"/>
      <c r="AZ551" s="585"/>
      <c r="BA551" s="585"/>
      <c r="BB551" s="585"/>
      <c r="BC551" s="585"/>
      <c r="BD551" s="585"/>
      <c r="BE551" s="585"/>
      <c r="BF551" s="585"/>
      <c r="BG551" s="585"/>
      <c r="BH551" s="585"/>
      <c r="BI551" s="585"/>
      <c r="BJ551" s="585"/>
      <c r="BK551" s="585"/>
      <c r="BL551" s="585"/>
      <c r="BM551" s="585"/>
      <c r="BN551" s="585"/>
      <c r="BO551" s="585"/>
      <c r="BP551" s="1431" t="s">
        <v>41</v>
      </c>
      <c r="BQ551" s="1431"/>
      <c r="BR551" s="585"/>
      <c r="BS551" s="585"/>
      <c r="BT551" s="1434">
        <f>BT549+BT550</f>
        <v>49778</v>
      </c>
      <c r="BU551" s="1434"/>
      <c r="BV551" s="1434"/>
      <c r="BW551" s="1434"/>
      <c r="BX551" s="1434"/>
      <c r="BY551" s="1434"/>
      <c r="BZ551" s="1434"/>
      <c r="CA551" s="1434"/>
      <c r="CB551" s="1434"/>
      <c r="CC551" s="1434"/>
      <c r="CD551" s="585"/>
      <c r="CE551" s="585"/>
      <c r="CF551" s="586"/>
    </row>
    <row r="552" spans="1:84" s="583" customFormat="1" ht="23.1" customHeight="1">
      <c r="A552" s="592"/>
      <c r="B552" s="593" t="s">
        <v>1110</v>
      </c>
      <c r="C552" s="593"/>
      <c r="D552" s="593"/>
      <c r="E552" s="593"/>
      <c r="F552" s="593"/>
      <c r="G552" s="593"/>
      <c r="H552" s="593"/>
      <c r="I552" s="593"/>
      <c r="J552" s="593"/>
      <c r="K552" s="593"/>
      <c r="L552" s="593"/>
      <c r="M552" s="593"/>
      <c r="N552" s="593"/>
      <c r="O552" s="593"/>
      <c r="P552" s="593"/>
      <c r="Q552" s="593"/>
      <c r="R552" s="593"/>
      <c r="S552" s="593"/>
      <c r="T552" s="593"/>
      <c r="U552" s="593"/>
      <c r="V552" s="593"/>
      <c r="W552" s="593"/>
      <c r="X552" s="593"/>
      <c r="Y552" s="593"/>
      <c r="Z552" s="593"/>
      <c r="AA552" s="593"/>
      <c r="AB552" s="593"/>
      <c r="AC552" s="593"/>
      <c r="AD552" s="593"/>
      <c r="AE552" s="593"/>
      <c r="AF552" s="593"/>
      <c r="AG552" s="593"/>
      <c r="AH552" s="593"/>
      <c r="AI552" s="593"/>
      <c r="AJ552" s="593"/>
      <c r="AK552" s="593"/>
      <c r="AL552" s="593"/>
      <c r="AM552" s="593"/>
      <c r="AN552" s="593"/>
      <c r="AO552" s="593"/>
      <c r="AP552" s="593"/>
      <c r="AQ552" s="593"/>
      <c r="AR552" s="593"/>
      <c r="AS552" s="593"/>
      <c r="AT552" s="593"/>
      <c r="AU552" s="593"/>
      <c r="AV552" s="593"/>
      <c r="AW552" s="593"/>
      <c r="AX552" s="593"/>
      <c r="AY552" s="593"/>
      <c r="AZ552" s="593"/>
      <c r="BA552" s="593"/>
      <c r="BB552" s="593"/>
      <c r="BC552" s="593"/>
      <c r="BD552" s="593"/>
      <c r="BE552" s="593"/>
      <c r="BF552" s="593"/>
      <c r="BG552" s="593"/>
      <c r="BH552" s="593"/>
      <c r="BI552" s="593"/>
      <c r="BJ552" s="593"/>
      <c r="BK552" s="593"/>
      <c r="BL552" s="593"/>
      <c r="BM552" s="593"/>
      <c r="BN552" s="593"/>
      <c r="BO552" s="593"/>
      <c r="BP552" s="593"/>
      <c r="BQ552" s="593"/>
      <c r="BR552" s="593"/>
      <c r="BS552" s="593"/>
      <c r="BT552" s="593"/>
      <c r="BU552" s="593"/>
      <c r="BV552" s="593"/>
      <c r="BW552" s="593"/>
      <c r="BX552" s="593"/>
      <c r="BY552" s="593"/>
      <c r="BZ552" s="593"/>
      <c r="CA552" s="593"/>
      <c r="CB552" s="593"/>
      <c r="CC552" s="593"/>
      <c r="CD552" s="593"/>
      <c r="CE552" s="593"/>
      <c r="CF552" s="595"/>
    </row>
    <row r="553" spans="1:84" s="583" customFormat="1" ht="23.1" customHeight="1">
      <c r="A553" s="584"/>
      <c r="B553" s="585"/>
      <c r="C553" s="585"/>
      <c r="D553" s="596" t="s">
        <v>1094</v>
      </c>
      <c r="E553" s="585"/>
      <c r="F553" s="585"/>
      <c r="G553" s="585"/>
      <c r="H553" s="585"/>
      <c r="I553" s="585"/>
      <c r="J553" s="585"/>
      <c r="K553" s="585"/>
      <c r="L553" s="585"/>
      <c r="M553" s="585"/>
      <c r="N553" s="585"/>
      <c r="O553" s="585"/>
      <c r="P553" s="585"/>
      <c r="Q553" s="585"/>
      <c r="R553" s="585"/>
      <c r="S553" s="585"/>
      <c r="T553" s="585"/>
      <c r="U553" s="585"/>
      <c r="V553" s="585"/>
      <c r="W553" s="585"/>
      <c r="X553" s="585"/>
      <c r="Y553" s="585"/>
      <c r="Z553" s="585"/>
      <c r="AA553" s="585"/>
      <c r="AB553" s="585"/>
      <c r="AC553" s="585"/>
      <c r="AD553" s="585"/>
      <c r="AE553" s="585"/>
      <c r="AF553" s="585"/>
      <c r="AG553" s="585"/>
      <c r="AH553" s="585"/>
      <c r="AI553" s="585"/>
      <c r="AJ553" s="585"/>
      <c r="AK553" s="585"/>
      <c r="AL553" s="585"/>
      <c r="AM553" s="585"/>
      <c r="AN553" s="585"/>
      <c r="AO553" s="585"/>
      <c r="AP553" s="585"/>
      <c r="AQ553" s="585"/>
      <c r="AR553" s="422"/>
      <c r="AS553" s="1435" t="e">
        <f>HLOOKUP(D553,$CN$1:$CO$3,3,0)</f>
        <v>#REF!</v>
      </c>
      <c r="AT553" s="1435"/>
      <c r="AU553" s="1435"/>
      <c r="AV553" s="1435"/>
      <c r="AW553" s="1435"/>
      <c r="AX553" s="1435"/>
      <c r="AY553" s="1435"/>
      <c r="AZ553" s="1435"/>
      <c r="BA553" s="1435"/>
      <c r="BB553" s="1435"/>
      <c r="BC553" s="585"/>
      <c r="BD553" s="1431" t="s">
        <v>446</v>
      </c>
      <c r="BE553" s="1431"/>
      <c r="BF553" s="585"/>
      <c r="BG553" s="1431">
        <v>9.3000000000000007</v>
      </c>
      <c r="BH553" s="1431"/>
      <c r="BI553" s="1431"/>
      <c r="BJ553" s="1431"/>
      <c r="BK553" s="1431"/>
      <c r="BL553" s="585" t="s">
        <v>1111</v>
      </c>
      <c r="BM553" s="585"/>
      <c r="BN553" s="585"/>
      <c r="BO553" s="585"/>
      <c r="BP553" s="1431" t="s">
        <v>41</v>
      </c>
      <c r="BQ553" s="1431"/>
      <c r="BR553" s="585"/>
      <c r="BS553" s="585"/>
      <c r="BT553" s="1432" t="e">
        <f>INT(AS553*BG553)</f>
        <v>#REF!</v>
      </c>
      <c r="BU553" s="1432"/>
      <c r="BV553" s="1432"/>
      <c r="BW553" s="1432"/>
      <c r="BX553" s="1432"/>
      <c r="BY553" s="1432"/>
      <c r="BZ553" s="1432"/>
      <c r="CA553" s="1432"/>
      <c r="CB553" s="1432"/>
      <c r="CC553" s="1432"/>
      <c r="CD553" s="585"/>
      <c r="CE553" s="585"/>
      <c r="CF553" s="586"/>
    </row>
    <row r="554" spans="1:84" s="583" customFormat="1" ht="23.1" customHeight="1">
      <c r="A554" s="584"/>
      <c r="B554" s="585"/>
      <c r="C554" s="585"/>
      <c r="D554" s="591" t="str">
        <f>"잡재료 (주연료의 "&amp;BG554&amp;"%) :"</f>
        <v>잡재료 (주연료의 38%) :</v>
      </c>
      <c r="E554" s="585"/>
      <c r="F554" s="585"/>
      <c r="G554" s="585"/>
      <c r="H554" s="585"/>
      <c r="I554" s="585"/>
      <c r="J554" s="585"/>
      <c r="K554" s="585"/>
      <c r="L554" s="585"/>
      <c r="M554" s="585"/>
      <c r="N554" s="585"/>
      <c r="O554" s="585"/>
      <c r="P554" s="585"/>
      <c r="Q554" s="585"/>
      <c r="R554" s="585"/>
      <c r="S554" s="585"/>
      <c r="T554" s="585"/>
      <c r="U554" s="585"/>
      <c r="V554" s="585"/>
      <c r="W554" s="585"/>
      <c r="X554" s="585"/>
      <c r="Y554" s="585"/>
      <c r="Z554" s="585"/>
      <c r="AA554" s="585"/>
      <c r="AB554" s="585"/>
      <c r="AC554" s="585"/>
      <c r="AD554" s="585"/>
      <c r="AE554" s="585"/>
      <c r="AF554" s="585"/>
      <c r="AG554" s="585"/>
      <c r="AH554" s="585"/>
      <c r="AI554" s="585"/>
      <c r="AJ554" s="585"/>
      <c r="AK554" s="585"/>
      <c r="AL554" s="585"/>
      <c r="AM554" s="585"/>
      <c r="AN554" s="585"/>
      <c r="AO554" s="585"/>
      <c r="AP554" s="585"/>
      <c r="AQ554" s="585"/>
      <c r="AR554" s="422" t="e">
        <f>BT553</f>
        <v>#REF!</v>
      </c>
      <c r="AS554" s="1430" t="e">
        <f>BT553</f>
        <v>#REF!</v>
      </c>
      <c r="AT554" s="1430"/>
      <c r="AU554" s="1430"/>
      <c r="AV554" s="1430"/>
      <c r="AW554" s="1430"/>
      <c r="AX554" s="1430"/>
      <c r="AY554" s="1430"/>
      <c r="AZ554" s="1430"/>
      <c r="BA554" s="1430"/>
      <c r="BB554" s="1430"/>
      <c r="BC554" s="585"/>
      <c r="BD554" s="1431" t="s">
        <v>446</v>
      </c>
      <c r="BE554" s="1431"/>
      <c r="BF554" s="585"/>
      <c r="BG554" s="1431">
        <v>38</v>
      </c>
      <c r="BH554" s="1431"/>
      <c r="BI554" s="1431"/>
      <c r="BJ554" s="1431"/>
      <c r="BK554" s="1431"/>
      <c r="BL554" s="585" t="s">
        <v>1112</v>
      </c>
      <c r="BM554" s="585"/>
      <c r="BN554" s="585"/>
      <c r="BO554" s="585"/>
      <c r="BP554" s="1431" t="s">
        <v>41</v>
      </c>
      <c r="BQ554" s="1431"/>
      <c r="BR554" s="585"/>
      <c r="BS554" s="585"/>
      <c r="BT554" s="1432" t="e">
        <f>INT(AS554*BG554/100)</f>
        <v>#REF!</v>
      </c>
      <c r="BU554" s="1432"/>
      <c r="BV554" s="1432"/>
      <c r="BW554" s="1432"/>
      <c r="BX554" s="1432"/>
      <c r="BY554" s="1432"/>
      <c r="BZ554" s="1432"/>
      <c r="CA554" s="1432"/>
      <c r="CB554" s="1432"/>
      <c r="CC554" s="1432"/>
      <c r="CD554" s="585"/>
      <c r="CE554" s="585"/>
      <c r="CF554" s="586"/>
    </row>
    <row r="555" spans="1:84" s="583" customFormat="1" ht="23.1" customHeight="1" thickBot="1">
      <c r="A555" s="584"/>
      <c r="B555" s="585"/>
      <c r="C555" s="585"/>
      <c r="D555" s="585"/>
      <c r="E555" s="585"/>
      <c r="F555" s="585"/>
      <c r="G555" s="585"/>
      <c r="H555" s="585"/>
      <c r="I555" s="585"/>
      <c r="J555" s="585"/>
      <c r="K555" s="585"/>
      <c r="L555" s="585"/>
      <c r="M555" s="585"/>
      <c r="N555" s="585"/>
      <c r="O555" s="585"/>
      <c r="P555" s="585"/>
      <c r="Q555" s="585"/>
      <c r="R555" s="585"/>
      <c r="S555" s="585"/>
      <c r="T555" s="585"/>
      <c r="U555" s="585"/>
      <c r="V555" s="585"/>
      <c r="W555" s="585"/>
      <c r="X555" s="585"/>
      <c r="Y555" s="585"/>
      <c r="Z555" s="585"/>
      <c r="AA555" s="585"/>
      <c r="AB555" s="585"/>
      <c r="AC555" s="585"/>
      <c r="AD555" s="585"/>
      <c r="AE555" s="585"/>
      <c r="AF555" s="585"/>
      <c r="AG555" s="585"/>
      <c r="AH555" s="585"/>
      <c r="AI555" s="585"/>
      <c r="AJ555" s="585"/>
      <c r="AK555" s="585"/>
      <c r="AL555" s="585"/>
      <c r="AM555" s="585"/>
      <c r="AN555" s="585"/>
      <c r="AO555" s="585"/>
      <c r="AP555" s="585"/>
      <c r="AQ555" s="585"/>
      <c r="AR555" s="585"/>
      <c r="AS555" s="585"/>
      <c r="AT555" s="585"/>
      <c r="AU555" s="585"/>
      <c r="AV555" s="585"/>
      <c r="AW555" s="585"/>
      <c r="AX555" s="585"/>
      <c r="AY555" s="585"/>
      <c r="AZ555" s="585"/>
      <c r="BA555" s="585"/>
      <c r="BB555" s="585"/>
      <c r="BC555" s="585"/>
      <c r="BD555" s="585"/>
      <c r="BE555" s="585"/>
      <c r="BF555" s="585"/>
      <c r="BG555" s="585"/>
      <c r="BH555" s="585"/>
      <c r="BI555" s="585"/>
      <c r="BJ555" s="585"/>
      <c r="BK555" s="585"/>
      <c r="BL555" s="585"/>
      <c r="BM555" s="585"/>
      <c r="BN555" s="585"/>
      <c r="BO555" s="585"/>
      <c r="BP555" s="1431" t="s">
        <v>41</v>
      </c>
      <c r="BQ555" s="1431"/>
      <c r="BR555" s="585"/>
      <c r="BS555" s="585"/>
      <c r="BT555" s="1433" t="e">
        <f>BT553+BT554</f>
        <v>#REF!</v>
      </c>
      <c r="BU555" s="1433"/>
      <c r="BV555" s="1433"/>
      <c r="BW555" s="1433"/>
      <c r="BX555" s="1433"/>
      <c r="BY555" s="1433"/>
      <c r="BZ555" s="1433"/>
      <c r="CA555" s="1433"/>
      <c r="CB555" s="1433"/>
      <c r="CC555" s="1433"/>
      <c r="CD555" s="585"/>
      <c r="CE555" s="585"/>
      <c r="CF555" s="586"/>
    </row>
    <row r="556" spans="1:84" s="583" customFormat="1" ht="23.1" customHeight="1" thickBot="1">
      <c r="A556" s="597"/>
      <c r="B556" s="598" t="s">
        <v>1113</v>
      </c>
      <c r="C556" s="598"/>
      <c r="D556" s="598"/>
      <c r="E556" s="598"/>
      <c r="F556" s="598"/>
      <c r="G556" s="598"/>
      <c r="H556" s="598"/>
      <c r="I556" s="598"/>
      <c r="J556" s="598"/>
      <c r="K556" s="598"/>
      <c r="L556" s="598"/>
      <c r="M556" s="598"/>
      <c r="N556" s="598"/>
      <c r="O556" s="598"/>
      <c r="P556" s="598"/>
      <c r="Q556" s="598"/>
      <c r="R556" s="598"/>
      <c r="S556" s="598"/>
      <c r="T556" s="598"/>
      <c r="U556" s="598"/>
      <c r="V556" s="598"/>
      <c r="W556" s="598"/>
      <c r="X556" s="598"/>
      <c r="Y556" s="598"/>
      <c r="Z556" s="598"/>
      <c r="AA556" s="598"/>
      <c r="AB556" s="598"/>
      <c r="AC556" s="598"/>
      <c r="AD556" s="598"/>
      <c r="AE556" s="598"/>
      <c r="AF556" s="598"/>
      <c r="AG556" s="598"/>
      <c r="AH556" s="598"/>
      <c r="AI556" s="598"/>
      <c r="AJ556" s="598"/>
      <c r="AK556" s="598"/>
      <c r="AL556" s="598"/>
      <c r="AM556" s="598"/>
      <c r="AN556" s="598"/>
      <c r="AO556" s="598"/>
      <c r="AP556" s="598"/>
      <c r="AQ556" s="598"/>
      <c r="AR556" s="598"/>
      <c r="AS556" s="598"/>
      <c r="AT556" s="598"/>
      <c r="AU556" s="598"/>
      <c r="AV556" s="598"/>
      <c r="AW556" s="598"/>
      <c r="AX556" s="598"/>
      <c r="AY556" s="598"/>
      <c r="AZ556" s="598"/>
      <c r="BA556" s="598"/>
      <c r="BB556" s="598"/>
      <c r="BC556" s="598"/>
      <c r="BD556" s="598"/>
      <c r="BE556" s="598"/>
      <c r="BF556" s="598"/>
      <c r="BG556" s="598"/>
      <c r="BH556" s="598"/>
      <c r="BI556" s="598"/>
      <c r="BJ556" s="598"/>
      <c r="BK556" s="598"/>
      <c r="BL556" s="598"/>
      <c r="BM556" s="598"/>
      <c r="BN556" s="598"/>
      <c r="BO556" s="598"/>
      <c r="BP556" s="598"/>
      <c r="BQ556" s="598"/>
      <c r="BR556" s="598"/>
      <c r="BS556" s="598"/>
      <c r="BT556" s="1429" t="e">
        <f>BT547+BT551+BT555</f>
        <v>#REF!</v>
      </c>
      <c r="BU556" s="1429"/>
      <c r="BV556" s="1429"/>
      <c r="BW556" s="1429"/>
      <c r="BX556" s="1429"/>
      <c r="BY556" s="1429"/>
      <c r="BZ556" s="1429"/>
      <c r="CA556" s="1429"/>
      <c r="CB556" s="1429"/>
      <c r="CC556" s="1429"/>
      <c r="CD556" s="598"/>
      <c r="CE556" s="598"/>
      <c r="CF556" s="599"/>
    </row>
    <row r="557" spans="1:84" s="583" customFormat="1" ht="9.9499999999999993" customHeight="1">
      <c r="A557" s="574"/>
      <c r="B557" s="574"/>
      <c r="C557" s="574"/>
      <c r="D557" s="574"/>
      <c r="E557" s="574"/>
      <c r="F557" s="574"/>
      <c r="G557" s="574"/>
      <c r="H557" s="574"/>
      <c r="I557" s="574"/>
      <c r="J557" s="574"/>
      <c r="K557" s="574"/>
      <c r="L557" s="574"/>
      <c r="M557" s="574"/>
      <c r="N557" s="574"/>
      <c r="O557" s="574"/>
      <c r="P557" s="574"/>
      <c r="Q557" s="574"/>
      <c r="R557" s="574"/>
      <c r="S557" s="574"/>
      <c r="T557" s="574"/>
      <c r="U557" s="574"/>
      <c r="V557" s="574"/>
      <c r="W557" s="574"/>
      <c r="X557" s="574"/>
      <c r="Y557" s="574"/>
      <c r="Z557" s="574"/>
      <c r="AA557" s="574"/>
      <c r="AB557" s="574"/>
      <c r="AC557" s="574"/>
      <c r="AD557" s="574"/>
      <c r="AE557" s="574"/>
      <c r="AF557" s="574"/>
      <c r="AG557" s="574"/>
      <c r="AH557" s="574"/>
      <c r="AI557" s="574"/>
      <c r="AJ557" s="574"/>
      <c r="AK557" s="574"/>
      <c r="AL557" s="574"/>
      <c r="AM557" s="574"/>
      <c r="AN557" s="574"/>
      <c r="AO557" s="574"/>
      <c r="AP557" s="574"/>
      <c r="AQ557" s="574"/>
      <c r="AR557" s="574"/>
      <c r="AS557" s="574"/>
      <c r="AT557" s="574"/>
      <c r="AU557" s="574"/>
      <c r="AV557" s="574"/>
      <c r="AW557" s="574"/>
      <c r="AX557" s="574"/>
      <c r="AY557" s="574"/>
      <c r="AZ557" s="574"/>
      <c r="BA557" s="574"/>
      <c r="BB557" s="574"/>
      <c r="BC557" s="574"/>
      <c r="BD557" s="574"/>
      <c r="BE557" s="574"/>
      <c r="BF557" s="574"/>
      <c r="BG557" s="574"/>
      <c r="BH557" s="574"/>
      <c r="BI557" s="574"/>
      <c r="BJ557" s="574"/>
      <c r="BK557" s="574"/>
      <c r="BL557" s="574"/>
      <c r="BM557" s="574"/>
      <c r="BN557" s="574"/>
      <c r="BO557" s="574"/>
      <c r="BP557" s="574"/>
      <c r="BQ557" s="574"/>
      <c r="BR557" s="574"/>
      <c r="BS557" s="574"/>
      <c r="BT557" s="574"/>
      <c r="BU557" s="574"/>
      <c r="BV557" s="574"/>
      <c r="BW557" s="574"/>
      <c r="BX557" s="574"/>
      <c r="BY557" s="574"/>
      <c r="BZ557" s="574"/>
      <c r="CA557" s="574"/>
      <c r="CB557" s="574"/>
      <c r="CC557" s="574"/>
      <c r="CD557" s="574"/>
      <c r="CE557" s="574"/>
      <c r="CF557" s="574"/>
    </row>
    <row r="558" spans="1:84" s="583" customFormat="1" ht="23.1" customHeight="1" thickBot="1">
      <c r="A558" s="1446" t="s">
        <v>1095</v>
      </c>
      <c r="B558" s="1446"/>
      <c r="C558" s="1446"/>
      <c r="D558" s="1446"/>
      <c r="E558" s="1446"/>
      <c r="F558" s="1446"/>
      <c r="G558" s="1447">
        <f>G543+1</f>
        <v>38</v>
      </c>
      <c r="H558" s="1447"/>
      <c r="I558" s="1447"/>
      <c r="J558" s="1448" t="s">
        <v>1096</v>
      </c>
      <c r="K558" s="1448"/>
      <c r="L558" s="574"/>
      <c r="M558" s="574"/>
      <c r="N558" s="574"/>
      <c r="O558" s="574"/>
      <c r="P558" s="574"/>
      <c r="Q558" s="574"/>
      <c r="R558" s="574"/>
      <c r="S558" s="574"/>
      <c r="T558" s="574"/>
      <c r="U558" s="574"/>
      <c r="V558" s="574"/>
      <c r="W558" s="574"/>
      <c r="X558" s="574"/>
      <c r="Y558" s="574"/>
      <c r="Z558" s="574"/>
      <c r="AA558" s="574"/>
      <c r="AB558" s="574"/>
      <c r="AC558" s="574"/>
      <c r="AD558" s="574"/>
      <c r="AE558" s="574"/>
      <c r="AF558" s="574"/>
      <c r="AG558" s="574"/>
      <c r="AH558" s="574"/>
      <c r="AI558" s="574"/>
      <c r="AJ558" s="574"/>
      <c r="AK558" s="574"/>
      <c r="AL558" s="574"/>
      <c r="AM558" s="574"/>
      <c r="AN558" s="574"/>
      <c r="AO558" s="574"/>
      <c r="AP558" s="574"/>
      <c r="AQ558" s="574"/>
      <c r="AR558" s="574"/>
      <c r="AS558" s="574"/>
      <c r="AT558" s="574"/>
      <c r="AU558" s="574"/>
      <c r="AV558" s="574"/>
      <c r="AW558" s="574"/>
      <c r="AX558" s="574"/>
      <c r="AY558" s="574"/>
      <c r="AZ558" s="574"/>
      <c r="BA558" s="574"/>
      <c r="BB558" s="574"/>
      <c r="BC558" s="574"/>
      <c r="BD558" s="574"/>
      <c r="BE558" s="574"/>
      <c r="BF558" s="574"/>
      <c r="BG558" s="574"/>
      <c r="BH558" s="574"/>
      <c r="BI558" s="574"/>
      <c r="BJ558" s="574"/>
      <c r="BK558" s="574"/>
      <c r="BL558" s="574"/>
      <c r="BM558" s="574"/>
      <c r="BN558" s="574"/>
      <c r="BO558" s="574"/>
      <c r="BP558" s="574"/>
      <c r="BQ558" s="574"/>
      <c r="BR558" s="574"/>
      <c r="BS558" s="574"/>
      <c r="BT558" s="574"/>
      <c r="BU558" s="574"/>
      <c r="BV558" s="574"/>
      <c r="BW558" s="574"/>
      <c r="BX558" s="574"/>
      <c r="BY558" s="574"/>
      <c r="BZ558" s="574"/>
      <c r="CA558" s="574"/>
      <c r="CB558" s="574"/>
      <c r="CC558" s="574"/>
      <c r="CD558" s="574"/>
      <c r="CE558" s="574"/>
      <c r="CF558" s="574"/>
    </row>
    <row r="559" spans="1:84" s="583" customFormat="1" ht="23.1" customHeight="1" thickBot="1">
      <c r="A559" s="1483" t="s">
        <v>1097</v>
      </c>
      <c r="B559" s="1484"/>
      <c r="C559" s="1484"/>
      <c r="D559" s="1484"/>
      <c r="E559" s="1484"/>
      <c r="F559" s="1484"/>
      <c r="G559" s="1484"/>
      <c r="H559" s="1484"/>
      <c r="I559" s="581" t="s">
        <v>1152</v>
      </c>
      <c r="J559" s="581"/>
      <c r="K559" s="581"/>
      <c r="L559" s="581"/>
      <c r="M559" s="581"/>
      <c r="N559" s="581"/>
      <c r="O559" s="581"/>
      <c r="P559" s="581"/>
      <c r="Q559" s="581"/>
      <c r="R559" s="581"/>
      <c r="S559" s="581"/>
      <c r="T559" s="581"/>
      <c r="U559" s="581"/>
      <c r="V559" s="581"/>
      <c r="W559" s="581"/>
      <c r="X559" s="581"/>
      <c r="Y559" s="581"/>
      <c r="Z559" s="581"/>
      <c r="AA559" s="581"/>
      <c r="AB559" s="581"/>
      <c r="AC559" s="581"/>
      <c r="AD559" s="581"/>
      <c r="AE559" s="581"/>
      <c r="AF559" s="581"/>
      <c r="AG559" s="581"/>
      <c r="AH559" s="581"/>
      <c r="AI559" s="581"/>
      <c r="AJ559" s="1484" t="s">
        <v>1099</v>
      </c>
      <c r="AK559" s="1484"/>
      <c r="AL559" s="1484"/>
      <c r="AM559" s="1484"/>
      <c r="AN559" s="1484"/>
      <c r="AO559" s="1484"/>
      <c r="AP559" s="1484"/>
      <c r="AQ559" s="581" t="s">
        <v>1158</v>
      </c>
      <c r="AR559" s="581"/>
      <c r="AS559" s="581"/>
      <c r="AT559" s="581"/>
      <c r="AU559" s="581"/>
      <c r="AV559" s="581"/>
      <c r="AW559" s="581"/>
      <c r="AX559" s="581"/>
      <c r="AY559" s="581"/>
      <c r="AZ559" s="581"/>
      <c r="BA559" s="581"/>
      <c r="BB559" s="581"/>
      <c r="BC559" s="581"/>
      <c r="BD559" s="581"/>
      <c r="BE559" s="581"/>
      <c r="BF559" s="581"/>
      <c r="BG559" s="581"/>
      <c r="BH559" s="581"/>
      <c r="BI559" s="581"/>
      <c r="BJ559" s="581"/>
      <c r="BK559" s="581"/>
      <c r="BL559" s="581"/>
      <c r="BM559" s="581"/>
      <c r="BN559" s="581"/>
      <c r="BO559" s="581"/>
      <c r="BP559" s="581"/>
      <c r="BQ559" s="581"/>
      <c r="BR559" s="581"/>
      <c r="BS559" s="581"/>
      <c r="BT559" s="581" t="s">
        <v>1159</v>
      </c>
      <c r="BU559" s="581"/>
      <c r="BV559" s="581"/>
      <c r="BW559" s="581"/>
      <c r="BX559" s="581"/>
      <c r="BY559" s="581"/>
      <c r="BZ559" s="581"/>
      <c r="CA559" s="581"/>
      <c r="CB559" s="581"/>
      <c r="CC559" s="581"/>
      <c r="CD559" s="581"/>
      <c r="CE559" s="581"/>
      <c r="CF559" s="582"/>
    </row>
    <row r="560" spans="1:84" s="583" customFormat="1" ht="23.1" customHeight="1">
      <c r="A560" s="584"/>
      <c r="B560" s="585" t="s">
        <v>1102</v>
      </c>
      <c r="C560" s="585"/>
      <c r="D560" s="585"/>
      <c r="E560" s="585"/>
      <c r="F560" s="585"/>
      <c r="G560" s="585"/>
      <c r="H560" s="585"/>
      <c r="I560" s="585"/>
      <c r="J560" s="585"/>
      <c r="K560" s="585"/>
      <c r="L560" s="585"/>
      <c r="M560" s="585"/>
      <c r="N560" s="585"/>
      <c r="O560" s="585"/>
      <c r="P560" s="585"/>
      <c r="Q560" s="585"/>
      <c r="R560" s="585"/>
      <c r="S560" s="585"/>
      <c r="T560" s="585"/>
      <c r="U560" s="585"/>
      <c r="V560" s="585"/>
      <c r="W560" s="585"/>
      <c r="X560" s="585"/>
      <c r="Y560" s="585"/>
      <c r="Z560" s="585"/>
      <c r="AA560" s="585"/>
      <c r="AB560" s="585"/>
      <c r="AC560" s="585"/>
      <c r="AD560" s="585"/>
      <c r="AE560" s="585"/>
      <c r="AF560" s="585"/>
      <c r="AG560" s="585"/>
      <c r="AH560" s="585"/>
      <c r="AI560" s="585"/>
      <c r="AJ560" s="585"/>
      <c r="AK560" s="585"/>
      <c r="AL560" s="585"/>
      <c r="AM560" s="585"/>
      <c r="AN560" s="585"/>
      <c r="AO560" s="585"/>
      <c r="AP560" s="585"/>
      <c r="AQ560" s="585"/>
      <c r="AR560" s="585"/>
      <c r="AS560" s="585"/>
      <c r="AT560" s="585"/>
      <c r="AU560" s="585"/>
      <c r="AV560" s="585"/>
      <c r="AW560" s="585"/>
      <c r="AX560" s="585"/>
      <c r="AY560" s="585"/>
      <c r="AZ560" s="585"/>
      <c r="BA560" s="585"/>
      <c r="BB560" s="585"/>
      <c r="BC560" s="585"/>
      <c r="BD560" s="585"/>
      <c r="BE560" s="585"/>
      <c r="BF560" s="585"/>
      <c r="BG560" s="585"/>
      <c r="BH560" s="585"/>
      <c r="BI560" s="585"/>
      <c r="BJ560" s="585"/>
      <c r="BK560" s="585"/>
      <c r="BL560" s="585"/>
      <c r="BM560" s="585"/>
      <c r="BN560" s="585"/>
      <c r="BO560" s="585"/>
      <c r="BP560" s="585"/>
      <c r="BQ560" s="585"/>
      <c r="BR560" s="585"/>
      <c r="BS560" s="585"/>
      <c r="BT560" s="585"/>
      <c r="BU560" s="585"/>
      <c r="BV560" s="585"/>
      <c r="BW560" s="585"/>
      <c r="BX560" s="585"/>
      <c r="BY560" s="585"/>
      <c r="BZ560" s="585"/>
      <c r="CA560" s="585"/>
      <c r="CB560" s="585"/>
      <c r="CC560" s="585"/>
      <c r="CD560" s="585"/>
      <c r="CE560" s="585"/>
      <c r="CF560" s="586"/>
    </row>
    <row r="561" spans="1:84" s="583" customFormat="1" ht="23.1" customHeight="1">
      <c r="A561" s="587"/>
      <c r="B561" s="574"/>
      <c r="C561" s="574"/>
      <c r="D561" s="405"/>
      <c r="E561" s="574"/>
      <c r="F561" s="422"/>
      <c r="G561" s="422"/>
      <c r="H561" s="422"/>
      <c r="I561" s="422"/>
      <c r="J561" s="422"/>
      <c r="K561" s="422"/>
      <c r="L561" s="422"/>
      <c r="M561" s="422"/>
      <c r="N561" s="574"/>
      <c r="O561" s="574"/>
      <c r="P561" s="574"/>
      <c r="Q561" s="574"/>
      <c r="R561" s="574"/>
      <c r="S561" s="588"/>
      <c r="T561" s="588"/>
      <c r="U561" s="588"/>
      <c r="V561" s="588"/>
      <c r="W561" s="588"/>
      <c r="X561" s="588"/>
      <c r="Y561" s="588"/>
      <c r="Z561" s="588"/>
      <c r="AA561" s="574"/>
      <c r="AB561" s="588"/>
      <c r="AC561" s="585"/>
      <c r="AD561" s="585"/>
      <c r="AE561" s="600"/>
      <c r="AF561" s="600"/>
      <c r="AG561" s="600"/>
      <c r="AH561" s="600"/>
      <c r="AI561" s="600"/>
      <c r="AJ561" s="600"/>
      <c r="AK561" s="600"/>
      <c r="AL561" s="600"/>
      <c r="AM561" s="585"/>
      <c r="AN561" s="585"/>
      <c r="AO561" s="574"/>
      <c r="AP561" s="430"/>
      <c r="AQ561" s="430"/>
      <c r="AR561" s="430"/>
      <c r="AS561" s="430"/>
      <c r="AT561" s="430"/>
      <c r="AU561" s="430"/>
      <c r="AV561" s="430"/>
      <c r="AW561" s="430"/>
      <c r="AX561" s="430"/>
      <c r="AY561" s="430"/>
      <c r="AZ561" s="430"/>
      <c r="BA561" s="430"/>
      <c r="BB561" s="430"/>
      <c r="BC561" s="430"/>
      <c r="BD561" s="574"/>
      <c r="BE561" s="574"/>
      <c r="BF561" s="574"/>
      <c r="BG561" s="574"/>
      <c r="BH561" s="574"/>
      <c r="BI561" s="574"/>
      <c r="BJ561" s="574"/>
      <c r="BK561" s="574"/>
      <c r="BL561" s="574"/>
      <c r="BM561" s="574"/>
      <c r="BN561" s="574"/>
      <c r="BO561" s="574"/>
      <c r="BP561" s="574"/>
      <c r="BQ561" s="574"/>
      <c r="BR561" s="574"/>
      <c r="BS561" s="574"/>
      <c r="BT561" s="574"/>
      <c r="BU561" s="574"/>
      <c r="BV561" s="574"/>
      <c r="BW561" s="574"/>
      <c r="BX561" s="574"/>
      <c r="BY561" s="574"/>
      <c r="BZ561" s="574"/>
      <c r="CA561" s="574"/>
      <c r="CB561" s="574"/>
      <c r="CC561" s="574"/>
      <c r="CD561" s="574"/>
      <c r="CE561" s="574"/>
      <c r="CF561" s="589"/>
    </row>
    <row r="562" spans="1:84" s="583" customFormat="1" ht="23.1" customHeight="1">
      <c r="A562" s="584"/>
      <c r="B562" s="585"/>
      <c r="C562" s="585"/>
      <c r="D562" s="585"/>
      <c r="E562" s="585"/>
      <c r="F562" s="585"/>
      <c r="G562" s="585"/>
      <c r="H562" s="585"/>
      <c r="I562" s="585"/>
      <c r="J562" s="585"/>
      <c r="K562" s="585"/>
      <c r="L562" s="585"/>
      <c r="M562" s="585"/>
      <c r="N562" s="585"/>
      <c r="O562" s="585"/>
      <c r="P562" s="585"/>
      <c r="Q562" s="585"/>
      <c r="R562" s="585"/>
      <c r="S562" s="585"/>
      <c r="T562" s="585"/>
      <c r="U562" s="585"/>
      <c r="V562" s="590"/>
      <c r="W562" s="590"/>
      <c r="X562" s="590"/>
      <c r="Y562" s="590"/>
      <c r="Z562" s="590"/>
      <c r="AA562" s="590"/>
      <c r="AB562" s="590"/>
      <c r="AC562" s="590"/>
      <c r="AD562" s="574"/>
      <c r="AE562" s="1440">
        <v>52810000</v>
      </c>
      <c r="AF562" s="1440"/>
      <c r="AG562" s="1440"/>
      <c r="AH562" s="1440"/>
      <c r="AI562" s="1440"/>
      <c r="AJ562" s="1440"/>
      <c r="AK562" s="1440"/>
      <c r="AL562" s="1440"/>
      <c r="AM562" s="1440"/>
      <c r="AN562" s="1440"/>
      <c r="AO562" s="1440"/>
      <c r="AP562" s="1440"/>
      <c r="AQ562" s="1440"/>
      <c r="AR562" s="1440"/>
      <c r="AS562" s="1440"/>
      <c r="AT562" s="1431" t="s">
        <v>446</v>
      </c>
      <c r="AU562" s="1431"/>
      <c r="AV562" s="1441" t="s">
        <v>1103</v>
      </c>
      <c r="AW562" s="1441"/>
      <c r="AX562" s="1442">
        <v>2279</v>
      </c>
      <c r="AY562" s="1442"/>
      <c r="AZ562" s="1442"/>
      <c r="BA562" s="1442"/>
      <c r="BB562" s="1442"/>
      <c r="BC562" s="1442"/>
      <c r="BD562" s="585"/>
      <c r="BE562" s="1431" t="s">
        <v>446</v>
      </c>
      <c r="BF562" s="1431"/>
      <c r="BG562" s="585"/>
      <c r="BH562" s="591" t="s">
        <v>1104</v>
      </c>
      <c r="BI562" s="585"/>
      <c r="BJ562" s="585"/>
      <c r="BK562" s="585"/>
      <c r="BL562" s="1431" t="s">
        <v>1105</v>
      </c>
      <c r="BM562" s="1431"/>
      <c r="BN562" s="1431"/>
      <c r="BO562" s="585"/>
      <c r="BP562" s="1431" t="s">
        <v>41</v>
      </c>
      <c r="BQ562" s="1431"/>
      <c r="BR562" s="585"/>
      <c r="BS562" s="585"/>
      <c r="BT562" s="1437">
        <f>INT(AE562*AX562*10^-7)</f>
        <v>12035</v>
      </c>
      <c r="BU562" s="1437"/>
      <c r="BV562" s="1437"/>
      <c r="BW562" s="1437"/>
      <c r="BX562" s="1437"/>
      <c r="BY562" s="1437"/>
      <c r="BZ562" s="1437"/>
      <c r="CA562" s="1437"/>
      <c r="CB562" s="1437"/>
      <c r="CC562" s="1437"/>
      <c r="CD562" s="585"/>
      <c r="CE562" s="585"/>
      <c r="CF562" s="586"/>
    </row>
    <row r="563" spans="1:84" s="583" customFormat="1" ht="23.1" customHeight="1">
      <c r="A563" s="592"/>
      <c r="B563" s="593" t="s">
        <v>1106</v>
      </c>
      <c r="C563" s="593"/>
      <c r="D563" s="593"/>
      <c r="E563" s="593"/>
      <c r="F563" s="593"/>
      <c r="G563" s="593"/>
      <c r="H563" s="593"/>
      <c r="I563" s="593"/>
      <c r="J563" s="593"/>
      <c r="K563" s="593"/>
      <c r="L563" s="593"/>
      <c r="M563" s="593"/>
      <c r="N563" s="593"/>
      <c r="O563" s="593"/>
      <c r="P563" s="593"/>
      <c r="Q563" s="593"/>
      <c r="R563" s="593"/>
      <c r="S563" s="593"/>
      <c r="T563" s="593"/>
      <c r="U563" s="593"/>
      <c r="V563" s="593"/>
      <c r="W563" s="593"/>
      <c r="X563" s="593"/>
      <c r="Y563" s="593"/>
      <c r="Z563" s="593"/>
      <c r="AA563" s="593"/>
      <c r="AB563" s="593"/>
      <c r="AC563" s="593"/>
      <c r="AD563" s="593"/>
      <c r="AE563" s="593"/>
      <c r="AF563" s="593"/>
      <c r="AG563" s="593"/>
      <c r="AH563" s="593"/>
      <c r="AI563" s="593"/>
      <c r="AJ563" s="593"/>
      <c r="AK563" s="593"/>
      <c r="AL563" s="593"/>
      <c r="AM563" s="593"/>
      <c r="AN563" s="593"/>
      <c r="AO563" s="593"/>
      <c r="AP563" s="593"/>
      <c r="AQ563" s="593"/>
      <c r="AR563" s="593"/>
      <c r="AS563" s="593"/>
      <c r="AT563" s="593"/>
      <c r="AU563" s="593"/>
      <c r="AV563" s="593"/>
      <c r="AW563" s="593"/>
      <c r="AX563" s="593"/>
      <c r="AY563" s="593"/>
      <c r="AZ563" s="593"/>
      <c r="BA563" s="593"/>
      <c r="BB563" s="593"/>
      <c r="BC563" s="593"/>
      <c r="BD563" s="593"/>
      <c r="BE563" s="593"/>
      <c r="BF563" s="593"/>
      <c r="BG563" s="593"/>
      <c r="BH563" s="593"/>
      <c r="BI563" s="593"/>
      <c r="BJ563" s="593"/>
      <c r="BK563" s="593"/>
      <c r="BL563" s="593"/>
      <c r="BM563" s="593"/>
      <c r="BN563" s="593"/>
      <c r="BO563" s="593"/>
      <c r="BP563" s="593"/>
      <c r="BQ563" s="593"/>
      <c r="BR563" s="593"/>
      <c r="BS563" s="593"/>
      <c r="BT563" s="594"/>
      <c r="BU563" s="594"/>
      <c r="BV563" s="594"/>
      <c r="BW563" s="594"/>
      <c r="BX563" s="594"/>
      <c r="BY563" s="594"/>
      <c r="BZ563" s="594"/>
      <c r="CA563" s="594"/>
      <c r="CB563" s="594"/>
      <c r="CC563" s="594"/>
      <c r="CD563" s="593"/>
      <c r="CE563" s="593"/>
      <c r="CF563" s="595"/>
    </row>
    <row r="564" spans="1:84" s="583" customFormat="1" ht="23.1" customHeight="1">
      <c r="A564" s="584"/>
      <c r="B564" s="585"/>
      <c r="C564" s="585"/>
      <c r="D564" s="596" t="s">
        <v>1092</v>
      </c>
      <c r="E564" s="585"/>
      <c r="F564" s="585"/>
      <c r="G564" s="585"/>
      <c r="H564" s="585"/>
      <c r="I564" s="585"/>
      <c r="J564" s="585"/>
      <c r="K564" s="585"/>
      <c r="L564" s="585"/>
      <c r="M564" s="585"/>
      <c r="N564" s="585"/>
      <c r="O564" s="585"/>
      <c r="P564" s="585"/>
      <c r="Q564" s="585"/>
      <c r="R564" s="585"/>
      <c r="S564" s="585"/>
      <c r="T564" s="574"/>
      <c r="U564" s="574"/>
      <c r="V564" s="1435">
        <f>HLOOKUP(D564,$CJ$1:$CM$3,3,0)</f>
        <v>238936</v>
      </c>
      <c r="W564" s="1435"/>
      <c r="X564" s="1435"/>
      <c r="Y564" s="1435"/>
      <c r="Z564" s="1435"/>
      <c r="AA564" s="1435"/>
      <c r="AB564" s="1435"/>
      <c r="AC564" s="1435"/>
      <c r="AD564" s="1435"/>
      <c r="AE564" s="1435"/>
      <c r="AF564" s="1431" t="s">
        <v>446</v>
      </c>
      <c r="AG564" s="1431"/>
      <c r="AH564" s="574"/>
      <c r="AI564" s="1436" t="s">
        <v>1107</v>
      </c>
      <c r="AJ564" s="1436"/>
      <c r="AK564" s="1436"/>
      <c r="AL564" s="1436"/>
      <c r="AM564" s="585"/>
      <c r="AN564" s="1431" t="s">
        <v>446</v>
      </c>
      <c r="AO564" s="1431"/>
      <c r="AP564" s="585"/>
      <c r="AQ564" s="1436" t="s">
        <v>1108</v>
      </c>
      <c r="AR564" s="1436"/>
      <c r="AS564" s="1436"/>
      <c r="AT564" s="1436"/>
      <c r="AU564" s="1436"/>
      <c r="AV564" s="422"/>
      <c r="AW564" s="1431" t="s">
        <v>446</v>
      </c>
      <c r="AX564" s="1431"/>
      <c r="AY564" s="440"/>
      <c r="AZ564" s="1436" t="s">
        <v>1109</v>
      </c>
      <c r="BA564" s="1436"/>
      <c r="BB564" s="1436"/>
      <c r="BC564" s="1436"/>
      <c r="BD564" s="1436"/>
      <c r="BE564" s="585"/>
      <c r="BF564" s="1431" t="s">
        <v>446</v>
      </c>
      <c r="BG564" s="1431"/>
      <c r="BH564" s="1431">
        <v>1</v>
      </c>
      <c r="BI564" s="1431"/>
      <c r="BJ564" s="1431"/>
      <c r="BK564" s="585"/>
      <c r="BL564" s="585" t="s">
        <v>366</v>
      </c>
      <c r="BM564" s="585"/>
      <c r="BN564" s="585"/>
      <c r="BO564" s="585"/>
      <c r="BP564" s="1431" t="s">
        <v>41</v>
      </c>
      <c r="BQ564" s="1431"/>
      <c r="BR564" s="585"/>
      <c r="BS564" s="585"/>
      <c r="BT564" s="1432">
        <f>INT(V564/8*16/12*25/20*BH564)</f>
        <v>49778</v>
      </c>
      <c r="BU564" s="1432"/>
      <c r="BV564" s="1432"/>
      <c r="BW564" s="1432"/>
      <c r="BX564" s="1432"/>
      <c r="BY564" s="1432"/>
      <c r="BZ564" s="1432"/>
      <c r="CA564" s="1432"/>
      <c r="CB564" s="1432"/>
      <c r="CC564" s="1432"/>
      <c r="CD564" s="585"/>
      <c r="CE564" s="585"/>
      <c r="CF564" s="586"/>
    </row>
    <row r="565" spans="1:84" s="583" customFormat="1" ht="23.1" customHeight="1">
      <c r="A565" s="584"/>
      <c r="B565" s="585"/>
      <c r="C565" s="585"/>
      <c r="D565" s="585"/>
      <c r="E565" s="585"/>
      <c r="F565" s="585"/>
      <c r="G565" s="585"/>
      <c r="H565" s="585"/>
      <c r="I565" s="585"/>
      <c r="J565" s="585"/>
      <c r="K565" s="585"/>
      <c r="L565" s="585"/>
      <c r="M565" s="585"/>
      <c r="N565" s="585"/>
      <c r="O565" s="585"/>
      <c r="P565" s="574"/>
      <c r="Q565" s="574"/>
      <c r="R565" s="574"/>
      <c r="S565" s="574"/>
      <c r="T565" s="574"/>
      <c r="U565" s="574"/>
      <c r="V565" s="574"/>
      <c r="W565" s="574"/>
      <c r="X565" s="574"/>
      <c r="Y565" s="574"/>
      <c r="Z565" s="574"/>
      <c r="AA565" s="574"/>
      <c r="AB565" s="574"/>
      <c r="AC565" s="574"/>
      <c r="AD565" s="574"/>
      <c r="AE565" s="574"/>
      <c r="AF565" s="574"/>
      <c r="AG565" s="574"/>
      <c r="AH565" s="574"/>
      <c r="AI565" s="574"/>
      <c r="AJ565" s="574"/>
      <c r="AK565" s="574"/>
      <c r="AL565" s="574"/>
      <c r="AM565" s="574"/>
      <c r="AN565" s="574"/>
      <c r="AO565" s="574"/>
      <c r="AP565" s="574"/>
      <c r="AQ565" s="574"/>
      <c r="AR565" s="574"/>
      <c r="AS565" s="574"/>
      <c r="AT565" s="574"/>
      <c r="AU565" s="574"/>
      <c r="AV565" s="574"/>
      <c r="AW565" s="574"/>
      <c r="AX565" s="574"/>
      <c r="AY565" s="574"/>
      <c r="AZ565" s="574"/>
      <c r="BA565" s="574"/>
      <c r="BB565" s="574"/>
      <c r="BC565" s="574"/>
      <c r="BD565" s="574"/>
      <c r="BE565" s="574"/>
      <c r="BF565" s="574"/>
      <c r="BG565" s="585"/>
      <c r="BH565" s="585"/>
      <c r="BI565" s="585"/>
      <c r="BJ565" s="585"/>
      <c r="BK565" s="585"/>
      <c r="BL565" s="585"/>
      <c r="BM565" s="585"/>
      <c r="BN565" s="585"/>
      <c r="BO565" s="585"/>
      <c r="BP565" s="1431"/>
      <c r="BQ565" s="1431"/>
      <c r="BR565" s="585"/>
      <c r="BS565" s="585"/>
      <c r="BT565" s="1432"/>
      <c r="BU565" s="1432"/>
      <c r="BV565" s="1432"/>
      <c r="BW565" s="1432"/>
      <c r="BX565" s="1432"/>
      <c r="BY565" s="1432"/>
      <c r="BZ565" s="1432"/>
      <c r="CA565" s="1432"/>
      <c r="CB565" s="1432"/>
      <c r="CC565" s="1432"/>
      <c r="CD565" s="585"/>
      <c r="CE565" s="585"/>
      <c r="CF565" s="586"/>
    </row>
    <row r="566" spans="1:84" s="583" customFormat="1" ht="23.1" customHeight="1">
      <c r="A566" s="584"/>
      <c r="B566" s="585"/>
      <c r="C566" s="585"/>
      <c r="D566" s="585"/>
      <c r="E566" s="585"/>
      <c r="F566" s="585"/>
      <c r="G566" s="585"/>
      <c r="H566" s="585"/>
      <c r="I566" s="585"/>
      <c r="J566" s="585"/>
      <c r="K566" s="585"/>
      <c r="L566" s="585"/>
      <c r="M566" s="585"/>
      <c r="N566" s="585"/>
      <c r="O566" s="585"/>
      <c r="P566" s="585"/>
      <c r="Q566" s="585"/>
      <c r="R566" s="585"/>
      <c r="S566" s="585"/>
      <c r="T566" s="585"/>
      <c r="U566" s="585"/>
      <c r="V566" s="585"/>
      <c r="W566" s="585"/>
      <c r="X566" s="585"/>
      <c r="Y566" s="585"/>
      <c r="Z566" s="585"/>
      <c r="AA566" s="585"/>
      <c r="AB566" s="585"/>
      <c r="AC566" s="585"/>
      <c r="AD566" s="574"/>
      <c r="AE566" s="574"/>
      <c r="AF566" s="574"/>
      <c r="AG566" s="574"/>
      <c r="AH566" s="574"/>
      <c r="AI566" s="574"/>
      <c r="AJ566" s="574"/>
      <c r="AK566" s="574"/>
      <c r="AL566" s="574"/>
      <c r="AM566" s="574"/>
      <c r="AN566" s="574"/>
      <c r="AO566" s="574"/>
      <c r="AP566" s="574"/>
      <c r="AQ566" s="574"/>
      <c r="AR566" s="574"/>
      <c r="AS566" s="585"/>
      <c r="AT566" s="590"/>
      <c r="AU566" s="590"/>
      <c r="AV566" s="585"/>
      <c r="AW566" s="585"/>
      <c r="AX566" s="585"/>
      <c r="AY566" s="585"/>
      <c r="AZ566" s="585"/>
      <c r="BA566" s="585"/>
      <c r="BB566" s="585"/>
      <c r="BC566" s="585"/>
      <c r="BD566" s="585"/>
      <c r="BE566" s="585"/>
      <c r="BF566" s="585"/>
      <c r="BG566" s="585"/>
      <c r="BH566" s="585"/>
      <c r="BI566" s="585"/>
      <c r="BJ566" s="585"/>
      <c r="BK566" s="585"/>
      <c r="BL566" s="585"/>
      <c r="BM566" s="585"/>
      <c r="BN566" s="585"/>
      <c r="BO566" s="585"/>
      <c r="BP566" s="1431" t="s">
        <v>41</v>
      </c>
      <c r="BQ566" s="1431"/>
      <c r="BR566" s="585"/>
      <c r="BS566" s="585"/>
      <c r="BT566" s="1434">
        <f>BT564+BT565</f>
        <v>49778</v>
      </c>
      <c r="BU566" s="1434"/>
      <c r="BV566" s="1434"/>
      <c r="BW566" s="1434"/>
      <c r="BX566" s="1434"/>
      <c r="BY566" s="1434"/>
      <c r="BZ566" s="1434"/>
      <c r="CA566" s="1434"/>
      <c r="CB566" s="1434"/>
      <c r="CC566" s="1434"/>
      <c r="CD566" s="585"/>
      <c r="CE566" s="585"/>
      <c r="CF566" s="586"/>
    </row>
    <row r="567" spans="1:84" s="583" customFormat="1" ht="23.1" customHeight="1">
      <c r="A567" s="592"/>
      <c r="B567" s="593" t="s">
        <v>1110</v>
      </c>
      <c r="C567" s="593"/>
      <c r="D567" s="593"/>
      <c r="E567" s="593"/>
      <c r="F567" s="593"/>
      <c r="G567" s="593"/>
      <c r="H567" s="593"/>
      <c r="I567" s="593"/>
      <c r="J567" s="593"/>
      <c r="K567" s="593"/>
      <c r="L567" s="593"/>
      <c r="M567" s="593"/>
      <c r="N567" s="593"/>
      <c r="O567" s="593"/>
      <c r="P567" s="593"/>
      <c r="Q567" s="593"/>
      <c r="R567" s="593"/>
      <c r="S567" s="593"/>
      <c r="T567" s="593"/>
      <c r="U567" s="593"/>
      <c r="V567" s="593"/>
      <c r="W567" s="593"/>
      <c r="X567" s="593"/>
      <c r="Y567" s="593"/>
      <c r="Z567" s="593"/>
      <c r="AA567" s="593"/>
      <c r="AB567" s="593"/>
      <c r="AC567" s="593"/>
      <c r="AD567" s="593"/>
      <c r="AE567" s="593"/>
      <c r="AF567" s="593"/>
      <c r="AG567" s="593"/>
      <c r="AH567" s="593"/>
      <c r="AI567" s="593"/>
      <c r="AJ567" s="593"/>
      <c r="AK567" s="593"/>
      <c r="AL567" s="593"/>
      <c r="AM567" s="593"/>
      <c r="AN567" s="593"/>
      <c r="AO567" s="593"/>
      <c r="AP567" s="593"/>
      <c r="AQ567" s="593"/>
      <c r="AR567" s="593"/>
      <c r="AS567" s="593"/>
      <c r="AT567" s="593"/>
      <c r="AU567" s="593"/>
      <c r="AV567" s="593"/>
      <c r="AW567" s="593"/>
      <c r="AX567" s="593"/>
      <c r="AY567" s="593"/>
      <c r="AZ567" s="593"/>
      <c r="BA567" s="593"/>
      <c r="BB567" s="593"/>
      <c r="BC567" s="593"/>
      <c r="BD567" s="593"/>
      <c r="BE567" s="593"/>
      <c r="BF567" s="593"/>
      <c r="BG567" s="593"/>
      <c r="BH567" s="593"/>
      <c r="BI567" s="593"/>
      <c r="BJ567" s="593"/>
      <c r="BK567" s="593"/>
      <c r="BL567" s="593"/>
      <c r="BM567" s="593"/>
      <c r="BN567" s="593"/>
      <c r="BO567" s="593"/>
      <c r="BP567" s="593"/>
      <c r="BQ567" s="593"/>
      <c r="BR567" s="593"/>
      <c r="BS567" s="593"/>
      <c r="BT567" s="593"/>
      <c r="BU567" s="593"/>
      <c r="BV567" s="593"/>
      <c r="BW567" s="593"/>
      <c r="BX567" s="593"/>
      <c r="BY567" s="593"/>
      <c r="BZ567" s="593"/>
      <c r="CA567" s="593"/>
      <c r="CB567" s="593"/>
      <c r="CC567" s="593"/>
      <c r="CD567" s="593"/>
      <c r="CE567" s="593"/>
      <c r="CF567" s="595"/>
    </row>
    <row r="568" spans="1:84" s="583" customFormat="1" ht="23.1" customHeight="1">
      <c r="A568" s="584"/>
      <c r="B568" s="585"/>
      <c r="C568" s="585"/>
      <c r="D568" s="596" t="s">
        <v>1094</v>
      </c>
      <c r="E568" s="585"/>
      <c r="F568" s="585"/>
      <c r="G568" s="585"/>
      <c r="H568" s="585"/>
      <c r="I568" s="585"/>
      <c r="J568" s="585"/>
      <c r="K568" s="585"/>
      <c r="L568" s="585"/>
      <c r="M568" s="585"/>
      <c r="N568" s="585"/>
      <c r="O568" s="585"/>
      <c r="P568" s="585"/>
      <c r="Q568" s="585"/>
      <c r="R568" s="585"/>
      <c r="S568" s="585"/>
      <c r="T568" s="585"/>
      <c r="U568" s="585"/>
      <c r="V568" s="585"/>
      <c r="W568" s="585"/>
      <c r="X568" s="585"/>
      <c r="Y568" s="585"/>
      <c r="Z568" s="585"/>
      <c r="AA568" s="585"/>
      <c r="AB568" s="585"/>
      <c r="AC568" s="585"/>
      <c r="AD568" s="585"/>
      <c r="AE568" s="585"/>
      <c r="AF568" s="585"/>
      <c r="AG568" s="585"/>
      <c r="AH568" s="585"/>
      <c r="AI568" s="585"/>
      <c r="AJ568" s="585"/>
      <c r="AK568" s="585"/>
      <c r="AL568" s="585"/>
      <c r="AM568" s="585"/>
      <c r="AN568" s="585"/>
      <c r="AO568" s="585"/>
      <c r="AP568" s="585"/>
      <c r="AQ568" s="585"/>
      <c r="AR568" s="422"/>
      <c r="AS568" s="1435" t="e">
        <f>HLOOKUP(D568,$CN$1:$CO$3,3,0)</f>
        <v>#REF!</v>
      </c>
      <c r="AT568" s="1435"/>
      <c r="AU568" s="1435"/>
      <c r="AV568" s="1435"/>
      <c r="AW568" s="1435"/>
      <c r="AX568" s="1435"/>
      <c r="AY568" s="1435"/>
      <c r="AZ568" s="1435"/>
      <c r="BA568" s="1435"/>
      <c r="BB568" s="1435"/>
      <c r="BC568" s="585"/>
      <c r="BD568" s="1431" t="s">
        <v>446</v>
      </c>
      <c r="BE568" s="1431"/>
      <c r="BF568" s="585"/>
      <c r="BG568" s="1431">
        <v>14.1</v>
      </c>
      <c r="BH568" s="1431"/>
      <c r="BI568" s="1431"/>
      <c r="BJ568" s="1431"/>
      <c r="BK568" s="1431"/>
      <c r="BL568" s="585" t="s">
        <v>1111</v>
      </c>
      <c r="BM568" s="585"/>
      <c r="BN568" s="585"/>
      <c r="BO568" s="585"/>
      <c r="BP568" s="1431" t="s">
        <v>41</v>
      </c>
      <c r="BQ568" s="1431"/>
      <c r="BR568" s="585"/>
      <c r="BS568" s="585"/>
      <c r="BT568" s="1432" t="e">
        <f>INT(AS568*BG568)</f>
        <v>#REF!</v>
      </c>
      <c r="BU568" s="1432"/>
      <c r="BV568" s="1432"/>
      <c r="BW568" s="1432"/>
      <c r="BX568" s="1432"/>
      <c r="BY568" s="1432"/>
      <c r="BZ568" s="1432"/>
      <c r="CA568" s="1432"/>
      <c r="CB568" s="1432"/>
      <c r="CC568" s="1432"/>
      <c r="CD568" s="585"/>
      <c r="CE568" s="585"/>
      <c r="CF568" s="586"/>
    </row>
    <row r="569" spans="1:84" s="583" customFormat="1" ht="23.1" customHeight="1">
      <c r="A569" s="584"/>
      <c r="B569" s="585"/>
      <c r="C569" s="585"/>
      <c r="D569" s="591" t="str">
        <f>"잡재료 (주연료의 "&amp;BG569&amp;"%) :"</f>
        <v>잡재료 (주연료의 38%) :</v>
      </c>
      <c r="E569" s="585"/>
      <c r="F569" s="585"/>
      <c r="G569" s="585"/>
      <c r="H569" s="585"/>
      <c r="I569" s="585"/>
      <c r="J569" s="585"/>
      <c r="K569" s="585"/>
      <c r="L569" s="585"/>
      <c r="M569" s="585"/>
      <c r="N569" s="585"/>
      <c r="O569" s="585"/>
      <c r="P569" s="585"/>
      <c r="Q569" s="585"/>
      <c r="R569" s="585"/>
      <c r="S569" s="585"/>
      <c r="T569" s="585"/>
      <c r="U569" s="585"/>
      <c r="V569" s="585"/>
      <c r="W569" s="585"/>
      <c r="X569" s="585"/>
      <c r="Y569" s="585"/>
      <c r="Z569" s="585"/>
      <c r="AA569" s="585"/>
      <c r="AB569" s="585"/>
      <c r="AC569" s="585"/>
      <c r="AD569" s="585"/>
      <c r="AE569" s="585"/>
      <c r="AF569" s="585"/>
      <c r="AG569" s="585"/>
      <c r="AH569" s="585"/>
      <c r="AI569" s="585"/>
      <c r="AJ569" s="585"/>
      <c r="AK569" s="585"/>
      <c r="AL569" s="585"/>
      <c r="AM569" s="585"/>
      <c r="AN569" s="585"/>
      <c r="AO569" s="585"/>
      <c r="AP569" s="585"/>
      <c r="AQ569" s="585"/>
      <c r="AR569" s="422" t="e">
        <f>BT568</f>
        <v>#REF!</v>
      </c>
      <c r="AS569" s="1430" t="e">
        <f>BT568</f>
        <v>#REF!</v>
      </c>
      <c r="AT569" s="1430"/>
      <c r="AU569" s="1430"/>
      <c r="AV569" s="1430"/>
      <c r="AW569" s="1430"/>
      <c r="AX569" s="1430"/>
      <c r="AY569" s="1430"/>
      <c r="AZ569" s="1430"/>
      <c r="BA569" s="1430"/>
      <c r="BB569" s="1430"/>
      <c r="BC569" s="585"/>
      <c r="BD569" s="1431" t="s">
        <v>446</v>
      </c>
      <c r="BE569" s="1431"/>
      <c r="BF569" s="585"/>
      <c r="BG569" s="1431">
        <v>38</v>
      </c>
      <c r="BH569" s="1431"/>
      <c r="BI569" s="1431"/>
      <c r="BJ569" s="1431"/>
      <c r="BK569" s="1431"/>
      <c r="BL569" s="585" t="s">
        <v>1112</v>
      </c>
      <c r="BM569" s="585"/>
      <c r="BN569" s="585"/>
      <c r="BO569" s="585"/>
      <c r="BP569" s="1431" t="s">
        <v>41</v>
      </c>
      <c r="BQ569" s="1431"/>
      <c r="BR569" s="585"/>
      <c r="BS569" s="585"/>
      <c r="BT569" s="1432" t="e">
        <f>INT(AS569*BG569/100)</f>
        <v>#REF!</v>
      </c>
      <c r="BU569" s="1432"/>
      <c r="BV569" s="1432"/>
      <c r="BW569" s="1432"/>
      <c r="BX569" s="1432"/>
      <c r="BY569" s="1432"/>
      <c r="BZ569" s="1432"/>
      <c r="CA569" s="1432"/>
      <c r="CB569" s="1432"/>
      <c r="CC569" s="1432"/>
      <c r="CD569" s="585"/>
      <c r="CE569" s="585"/>
      <c r="CF569" s="586"/>
    </row>
    <row r="570" spans="1:84" s="583" customFormat="1" ht="23.1" customHeight="1" thickBot="1">
      <c r="A570" s="584"/>
      <c r="B570" s="585"/>
      <c r="C570" s="585"/>
      <c r="D570" s="585"/>
      <c r="E570" s="585"/>
      <c r="F570" s="585"/>
      <c r="G570" s="585"/>
      <c r="H570" s="585"/>
      <c r="I570" s="585"/>
      <c r="J570" s="585"/>
      <c r="K570" s="585"/>
      <c r="L570" s="585"/>
      <c r="M570" s="585"/>
      <c r="N570" s="585"/>
      <c r="O570" s="585"/>
      <c r="P570" s="585"/>
      <c r="Q570" s="585"/>
      <c r="R570" s="585"/>
      <c r="S570" s="585"/>
      <c r="T570" s="585"/>
      <c r="U570" s="585"/>
      <c r="V570" s="585"/>
      <c r="W570" s="585"/>
      <c r="X570" s="585"/>
      <c r="Y570" s="585"/>
      <c r="Z570" s="585"/>
      <c r="AA570" s="585"/>
      <c r="AB570" s="585"/>
      <c r="AC570" s="585"/>
      <c r="AD570" s="585"/>
      <c r="AE570" s="585"/>
      <c r="AF570" s="585"/>
      <c r="AG570" s="585"/>
      <c r="AH570" s="585"/>
      <c r="AI570" s="585"/>
      <c r="AJ570" s="585"/>
      <c r="AK570" s="585"/>
      <c r="AL570" s="585"/>
      <c r="AM570" s="585"/>
      <c r="AN570" s="585"/>
      <c r="AO570" s="585"/>
      <c r="AP570" s="585"/>
      <c r="AQ570" s="585"/>
      <c r="AR570" s="585"/>
      <c r="AS570" s="585"/>
      <c r="AT570" s="585"/>
      <c r="AU570" s="585"/>
      <c r="AV570" s="585"/>
      <c r="AW570" s="585"/>
      <c r="AX570" s="585"/>
      <c r="AY570" s="585"/>
      <c r="AZ570" s="585"/>
      <c r="BA570" s="585"/>
      <c r="BB570" s="585"/>
      <c r="BC570" s="585"/>
      <c r="BD570" s="585"/>
      <c r="BE570" s="585"/>
      <c r="BF570" s="585"/>
      <c r="BG570" s="585"/>
      <c r="BH570" s="585"/>
      <c r="BI570" s="585"/>
      <c r="BJ570" s="585"/>
      <c r="BK570" s="585"/>
      <c r="BL570" s="585"/>
      <c r="BM570" s="585"/>
      <c r="BN570" s="585"/>
      <c r="BO570" s="585"/>
      <c r="BP570" s="1431" t="s">
        <v>41</v>
      </c>
      <c r="BQ570" s="1431"/>
      <c r="BR570" s="585"/>
      <c r="BS570" s="585"/>
      <c r="BT570" s="1433" t="e">
        <f>BT568+BT569</f>
        <v>#REF!</v>
      </c>
      <c r="BU570" s="1433"/>
      <c r="BV570" s="1433"/>
      <c r="BW570" s="1433"/>
      <c r="BX570" s="1433"/>
      <c r="BY570" s="1433"/>
      <c r="BZ570" s="1433"/>
      <c r="CA570" s="1433"/>
      <c r="CB570" s="1433"/>
      <c r="CC570" s="1433"/>
      <c r="CD570" s="585"/>
      <c r="CE570" s="585"/>
      <c r="CF570" s="586"/>
    </row>
    <row r="571" spans="1:84" s="583" customFormat="1" ht="23.1" customHeight="1" thickBot="1">
      <c r="A571" s="597"/>
      <c r="B571" s="598" t="s">
        <v>1113</v>
      </c>
      <c r="C571" s="598"/>
      <c r="D571" s="598"/>
      <c r="E571" s="598"/>
      <c r="F571" s="598"/>
      <c r="G571" s="598"/>
      <c r="H571" s="598"/>
      <c r="I571" s="598"/>
      <c r="J571" s="598"/>
      <c r="K571" s="598"/>
      <c r="L571" s="598"/>
      <c r="M571" s="598"/>
      <c r="N571" s="598"/>
      <c r="O571" s="598"/>
      <c r="P571" s="598"/>
      <c r="Q571" s="598"/>
      <c r="R571" s="598"/>
      <c r="S571" s="598"/>
      <c r="T571" s="598"/>
      <c r="U571" s="598"/>
      <c r="V571" s="598"/>
      <c r="W571" s="598"/>
      <c r="X571" s="598"/>
      <c r="Y571" s="598"/>
      <c r="Z571" s="598"/>
      <c r="AA571" s="598"/>
      <c r="AB571" s="598"/>
      <c r="AC571" s="598"/>
      <c r="AD571" s="598"/>
      <c r="AE571" s="598"/>
      <c r="AF571" s="598"/>
      <c r="AG571" s="598"/>
      <c r="AH571" s="598"/>
      <c r="AI571" s="598"/>
      <c r="AJ571" s="598"/>
      <c r="AK571" s="598"/>
      <c r="AL571" s="598"/>
      <c r="AM571" s="598"/>
      <c r="AN571" s="598"/>
      <c r="AO571" s="598"/>
      <c r="AP571" s="598"/>
      <c r="AQ571" s="598"/>
      <c r="AR571" s="598"/>
      <c r="AS571" s="598"/>
      <c r="AT571" s="598"/>
      <c r="AU571" s="598"/>
      <c r="AV571" s="598"/>
      <c r="AW571" s="598"/>
      <c r="AX571" s="598"/>
      <c r="AY571" s="598"/>
      <c r="AZ571" s="598"/>
      <c r="BA571" s="598"/>
      <c r="BB571" s="598"/>
      <c r="BC571" s="598"/>
      <c r="BD571" s="598"/>
      <c r="BE571" s="598"/>
      <c r="BF571" s="598"/>
      <c r="BG571" s="598"/>
      <c r="BH571" s="598"/>
      <c r="BI571" s="598"/>
      <c r="BJ571" s="598"/>
      <c r="BK571" s="598"/>
      <c r="BL571" s="598"/>
      <c r="BM571" s="598"/>
      <c r="BN571" s="598"/>
      <c r="BO571" s="598"/>
      <c r="BP571" s="598"/>
      <c r="BQ571" s="598"/>
      <c r="BR571" s="598"/>
      <c r="BS571" s="598"/>
      <c r="BT571" s="1429" t="e">
        <f>BT562+BT566+BT570</f>
        <v>#REF!</v>
      </c>
      <c r="BU571" s="1429"/>
      <c r="BV571" s="1429"/>
      <c r="BW571" s="1429"/>
      <c r="BX571" s="1429"/>
      <c r="BY571" s="1429"/>
      <c r="BZ571" s="1429"/>
      <c r="CA571" s="1429"/>
      <c r="CB571" s="1429"/>
      <c r="CC571" s="1429"/>
      <c r="CD571" s="598"/>
      <c r="CE571" s="598"/>
      <c r="CF571" s="599"/>
    </row>
    <row r="572" spans="1:84" s="583" customFormat="1" ht="9.9499999999999993" customHeight="1">
      <c r="A572" s="574"/>
      <c r="B572" s="574"/>
      <c r="C572" s="574"/>
      <c r="D572" s="574"/>
      <c r="E572" s="574"/>
      <c r="F572" s="574"/>
      <c r="G572" s="574"/>
      <c r="H572" s="574"/>
      <c r="I572" s="574"/>
      <c r="J572" s="574"/>
      <c r="K572" s="574"/>
      <c r="L572" s="574"/>
      <c r="M572" s="574"/>
      <c r="N572" s="574"/>
      <c r="O572" s="574"/>
      <c r="P572" s="574"/>
      <c r="Q572" s="574"/>
      <c r="R572" s="574"/>
      <c r="S572" s="574"/>
      <c r="T572" s="574"/>
      <c r="U572" s="574"/>
      <c r="V572" s="574"/>
      <c r="W572" s="574"/>
      <c r="X572" s="574"/>
      <c r="Y572" s="574"/>
      <c r="Z572" s="574"/>
      <c r="AA572" s="574"/>
      <c r="AB572" s="574"/>
      <c r="AC572" s="574"/>
      <c r="AD572" s="574"/>
      <c r="AE572" s="574"/>
      <c r="AF572" s="574"/>
      <c r="AG572" s="574"/>
      <c r="AH572" s="574"/>
      <c r="AI572" s="574"/>
      <c r="AJ572" s="574"/>
      <c r="AK572" s="574"/>
      <c r="AL572" s="574"/>
      <c r="AM572" s="574"/>
      <c r="AN572" s="574"/>
      <c r="AO572" s="574"/>
      <c r="AP572" s="574"/>
      <c r="AQ572" s="574"/>
      <c r="AR572" s="574"/>
      <c r="AS572" s="574"/>
      <c r="AT572" s="574"/>
      <c r="AU572" s="574"/>
      <c r="AV572" s="574"/>
      <c r="AW572" s="574"/>
      <c r="AX572" s="574"/>
      <c r="AY572" s="574"/>
      <c r="AZ572" s="574"/>
      <c r="BA572" s="574"/>
      <c r="BB572" s="574"/>
      <c r="BC572" s="574"/>
      <c r="BD572" s="574"/>
      <c r="BE572" s="574"/>
      <c r="BF572" s="574"/>
      <c r="BG572" s="574"/>
      <c r="BH572" s="574"/>
      <c r="BI572" s="574"/>
      <c r="BJ572" s="574"/>
      <c r="BK572" s="574"/>
      <c r="BL572" s="574"/>
      <c r="BM572" s="574"/>
      <c r="BN572" s="574"/>
      <c r="BO572" s="574"/>
      <c r="BP572" s="574"/>
      <c r="BQ572" s="574"/>
      <c r="BR572" s="574"/>
      <c r="BS572" s="574"/>
      <c r="BT572" s="574"/>
      <c r="BU572" s="574"/>
      <c r="BV572" s="574"/>
      <c r="BW572" s="574"/>
      <c r="BX572" s="574"/>
      <c r="BY572" s="574"/>
      <c r="BZ572" s="574"/>
      <c r="CA572" s="574"/>
      <c r="CB572" s="574"/>
      <c r="CC572" s="574"/>
      <c r="CD572" s="574"/>
      <c r="CE572" s="574"/>
      <c r="CF572" s="574"/>
    </row>
    <row r="573" spans="1:84" s="583" customFormat="1" ht="23.1" customHeight="1" thickBot="1">
      <c r="A573" s="1446" t="s">
        <v>1095</v>
      </c>
      <c r="B573" s="1446"/>
      <c r="C573" s="1446"/>
      <c r="D573" s="1446"/>
      <c r="E573" s="1446"/>
      <c r="F573" s="1446"/>
      <c r="G573" s="1447">
        <f>G558+1</f>
        <v>39</v>
      </c>
      <c r="H573" s="1447"/>
      <c r="I573" s="1447"/>
      <c r="J573" s="1448" t="s">
        <v>1096</v>
      </c>
      <c r="K573" s="1448"/>
      <c r="L573" s="574"/>
      <c r="M573" s="574"/>
      <c r="N573" s="574"/>
      <c r="O573" s="574"/>
      <c r="P573" s="574"/>
      <c r="Q573" s="574"/>
      <c r="R573" s="574"/>
      <c r="S573" s="574"/>
      <c r="T573" s="574"/>
      <c r="U573" s="574"/>
      <c r="V573" s="574"/>
      <c r="W573" s="574"/>
      <c r="X573" s="574"/>
      <c r="Y573" s="574"/>
      <c r="Z573" s="574"/>
      <c r="AA573" s="574"/>
      <c r="AB573" s="574"/>
      <c r="AC573" s="574"/>
      <c r="AD573" s="574"/>
      <c r="AE573" s="574"/>
      <c r="AF573" s="574"/>
      <c r="AG573" s="574"/>
      <c r="AH573" s="574"/>
      <c r="AI573" s="574"/>
      <c r="AJ573" s="574"/>
      <c r="AK573" s="574"/>
      <c r="AL573" s="574"/>
      <c r="AM573" s="574"/>
      <c r="AN573" s="574"/>
      <c r="AO573" s="574"/>
      <c r="AP573" s="574"/>
      <c r="AQ573" s="574"/>
      <c r="AR573" s="574"/>
      <c r="AS573" s="574"/>
      <c r="AT573" s="574"/>
      <c r="AU573" s="574"/>
      <c r="AV573" s="574"/>
      <c r="AW573" s="574"/>
      <c r="AX573" s="574"/>
      <c r="AY573" s="574"/>
      <c r="AZ573" s="574"/>
      <c r="BA573" s="574"/>
      <c r="BB573" s="574"/>
      <c r="BC573" s="574"/>
      <c r="BD573" s="574"/>
      <c r="BE573" s="574"/>
      <c r="BF573" s="574"/>
      <c r="BG573" s="574"/>
      <c r="BH573" s="574"/>
      <c r="BI573" s="574"/>
      <c r="BJ573" s="574"/>
      <c r="BK573" s="574"/>
      <c r="BL573" s="574"/>
      <c r="BM573" s="574"/>
      <c r="BN573" s="574"/>
      <c r="BO573" s="574"/>
      <c r="BP573" s="574"/>
      <c r="BQ573" s="574"/>
      <c r="BR573" s="574"/>
      <c r="BS573" s="574"/>
      <c r="BT573" s="574"/>
      <c r="BU573" s="574"/>
      <c r="BV573" s="574"/>
      <c r="BW573" s="574"/>
      <c r="BX573" s="574"/>
      <c r="BY573" s="574"/>
      <c r="BZ573" s="574"/>
      <c r="CA573" s="574"/>
      <c r="CB573" s="574"/>
      <c r="CC573" s="574"/>
      <c r="CD573" s="574"/>
      <c r="CE573" s="574"/>
      <c r="CF573" s="574"/>
    </row>
    <row r="574" spans="1:84" s="583" customFormat="1" ht="23.1" customHeight="1" thickBot="1">
      <c r="A574" s="1483" t="s">
        <v>1097</v>
      </c>
      <c r="B574" s="1484"/>
      <c r="C574" s="1484"/>
      <c r="D574" s="1484"/>
      <c r="E574" s="1484"/>
      <c r="F574" s="1484"/>
      <c r="G574" s="1484"/>
      <c r="H574" s="1484"/>
      <c r="I574" s="581" t="s">
        <v>1152</v>
      </c>
      <c r="J574" s="581"/>
      <c r="K574" s="581"/>
      <c r="L574" s="581"/>
      <c r="M574" s="581"/>
      <c r="N574" s="581"/>
      <c r="O574" s="581"/>
      <c r="P574" s="581"/>
      <c r="Q574" s="581"/>
      <c r="R574" s="581"/>
      <c r="S574" s="581"/>
      <c r="T574" s="581"/>
      <c r="U574" s="581"/>
      <c r="V574" s="581"/>
      <c r="W574" s="581"/>
      <c r="X574" s="581"/>
      <c r="Y574" s="581"/>
      <c r="Z574" s="581"/>
      <c r="AA574" s="581"/>
      <c r="AB574" s="581"/>
      <c r="AC574" s="581"/>
      <c r="AD574" s="581"/>
      <c r="AE574" s="581"/>
      <c r="AF574" s="581"/>
      <c r="AG574" s="581"/>
      <c r="AH574" s="581"/>
      <c r="AI574" s="581"/>
      <c r="AJ574" s="1484" t="s">
        <v>1099</v>
      </c>
      <c r="AK574" s="1484"/>
      <c r="AL574" s="1484"/>
      <c r="AM574" s="1484"/>
      <c r="AN574" s="1484"/>
      <c r="AO574" s="1484"/>
      <c r="AP574" s="1484"/>
      <c r="AQ574" s="581" t="s">
        <v>1117</v>
      </c>
      <c r="AR574" s="581"/>
      <c r="AS574" s="581"/>
      <c r="AT574" s="581"/>
      <c r="AU574" s="581"/>
      <c r="AV574" s="581"/>
      <c r="AW574" s="581"/>
      <c r="AX574" s="581"/>
      <c r="AY574" s="581"/>
      <c r="AZ574" s="581"/>
      <c r="BA574" s="581"/>
      <c r="BB574" s="581"/>
      <c r="BC574" s="581"/>
      <c r="BD574" s="581"/>
      <c r="BE574" s="581"/>
      <c r="BF574" s="581"/>
      <c r="BG574" s="581"/>
      <c r="BH574" s="581"/>
      <c r="BI574" s="581"/>
      <c r="BJ574" s="581"/>
      <c r="BK574" s="581"/>
      <c r="BL574" s="581"/>
      <c r="BM574" s="581"/>
      <c r="BN574" s="581"/>
      <c r="BO574" s="581"/>
      <c r="BP574" s="581"/>
      <c r="BQ574" s="581"/>
      <c r="BR574" s="581"/>
      <c r="BS574" s="581"/>
      <c r="BT574" s="581" t="s">
        <v>1160</v>
      </c>
      <c r="BU574" s="581"/>
      <c r="BV574" s="581"/>
      <c r="BW574" s="581"/>
      <c r="BX574" s="581"/>
      <c r="BY574" s="581"/>
      <c r="BZ574" s="581"/>
      <c r="CA574" s="581"/>
      <c r="CB574" s="581"/>
      <c r="CC574" s="581"/>
      <c r="CD574" s="581"/>
      <c r="CE574" s="581"/>
      <c r="CF574" s="582"/>
    </row>
    <row r="575" spans="1:84" s="583" customFormat="1" ht="23.1" customHeight="1">
      <c r="A575" s="584"/>
      <c r="B575" s="585" t="s">
        <v>1102</v>
      </c>
      <c r="C575" s="585"/>
      <c r="D575" s="585"/>
      <c r="E575" s="585"/>
      <c r="F575" s="585"/>
      <c r="G575" s="585"/>
      <c r="H575" s="585"/>
      <c r="I575" s="585"/>
      <c r="J575" s="585"/>
      <c r="K575" s="585"/>
      <c r="L575" s="585"/>
      <c r="M575" s="585"/>
      <c r="N575" s="585"/>
      <c r="O575" s="585"/>
      <c r="P575" s="585"/>
      <c r="Q575" s="585"/>
      <c r="R575" s="585"/>
      <c r="S575" s="585"/>
      <c r="T575" s="585"/>
      <c r="U575" s="585"/>
      <c r="V575" s="585"/>
      <c r="W575" s="585"/>
      <c r="X575" s="585"/>
      <c r="Y575" s="585"/>
      <c r="Z575" s="585"/>
      <c r="AA575" s="585"/>
      <c r="AB575" s="585"/>
      <c r="AC575" s="585"/>
      <c r="AD575" s="585"/>
      <c r="AE575" s="585"/>
      <c r="AF575" s="585"/>
      <c r="AG575" s="585"/>
      <c r="AH575" s="585"/>
      <c r="AI575" s="585"/>
      <c r="AJ575" s="585"/>
      <c r="AK575" s="585"/>
      <c r="AL575" s="585"/>
      <c r="AM575" s="585"/>
      <c r="AN575" s="585"/>
      <c r="AO575" s="585"/>
      <c r="AP575" s="585"/>
      <c r="AQ575" s="585"/>
      <c r="AR575" s="585"/>
      <c r="AS575" s="585"/>
      <c r="AT575" s="585"/>
      <c r="AU575" s="585"/>
      <c r="AV575" s="585"/>
      <c r="AW575" s="585"/>
      <c r="AX575" s="585"/>
      <c r="AY575" s="585"/>
      <c r="AZ575" s="585"/>
      <c r="BA575" s="585"/>
      <c r="BB575" s="585"/>
      <c r="BC575" s="585"/>
      <c r="BD575" s="585"/>
      <c r="BE575" s="585"/>
      <c r="BF575" s="585"/>
      <c r="BG575" s="585"/>
      <c r="BH575" s="585"/>
      <c r="BI575" s="585"/>
      <c r="BJ575" s="585"/>
      <c r="BK575" s="585"/>
      <c r="BL575" s="585"/>
      <c r="BM575" s="585"/>
      <c r="BN575" s="585"/>
      <c r="BO575" s="585"/>
      <c r="BP575" s="585"/>
      <c r="BQ575" s="585"/>
      <c r="BR575" s="585"/>
      <c r="BS575" s="585"/>
      <c r="BT575" s="585"/>
      <c r="BU575" s="585"/>
      <c r="BV575" s="585"/>
      <c r="BW575" s="585"/>
      <c r="BX575" s="585"/>
      <c r="BY575" s="585"/>
      <c r="BZ575" s="585"/>
      <c r="CA575" s="585"/>
      <c r="CB575" s="585"/>
      <c r="CC575" s="585"/>
      <c r="CD575" s="585"/>
      <c r="CE575" s="585"/>
      <c r="CF575" s="586"/>
    </row>
    <row r="576" spans="1:84" s="583" customFormat="1" ht="23.1" customHeight="1">
      <c r="A576" s="587"/>
      <c r="B576" s="574"/>
      <c r="C576" s="574"/>
      <c r="D576" s="405"/>
      <c r="E576" s="574"/>
      <c r="F576" s="422"/>
      <c r="G576" s="422"/>
      <c r="H576" s="422"/>
      <c r="I576" s="422"/>
      <c r="J576" s="422"/>
      <c r="K576" s="422"/>
      <c r="L576" s="422"/>
      <c r="M576" s="422"/>
      <c r="N576" s="574"/>
      <c r="O576" s="574"/>
      <c r="P576" s="574"/>
      <c r="Q576" s="574"/>
      <c r="R576" s="574"/>
      <c r="S576" s="588"/>
      <c r="T576" s="588"/>
      <c r="U576" s="588"/>
      <c r="V576" s="588"/>
      <c r="W576" s="588"/>
      <c r="X576" s="588"/>
      <c r="Y576" s="588"/>
      <c r="Z576" s="588"/>
      <c r="AA576" s="574"/>
      <c r="AB576" s="588"/>
      <c r="AC576" s="585"/>
      <c r="AD576" s="585"/>
      <c r="AE576" s="600"/>
      <c r="AF576" s="600"/>
      <c r="AG576" s="600"/>
      <c r="AH576" s="600"/>
      <c r="AI576" s="600"/>
      <c r="AJ576" s="600"/>
      <c r="AK576" s="600"/>
      <c r="AL576" s="600"/>
      <c r="AM576" s="585"/>
      <c r="AN576" s="585"/>
      <c r="AO576" s="574"/>
      <c r="AP576" s="430"/>
      <c r="AQ576" s="430"/>
      <c r="AR576" s="430"/>
      <c r="AS576" s="430"/>
      <c r="AT576" s="430"/>
      <c r="AU576" s="430"/>
      <c r="AV576" s="430"/>
      <c r="AW576" s="430"/>
      <c r="AX576" s="430"/>
      <c r="AY576" s="430"/>
      <c r="AZ576" s="430"/>
      <c r="BA576" s="430"/>
      <c r="BB576" s="430"/>
      <c r="BC576" s="430"/>
      <c r="BD576" s="574"/>
      <c r="BE576" s="574"/>
      <c r="BF576" s="574"/>
      <c r="BG576" s="574"/>
      <c r="BH576" s="574"/>
      <c r="BI576" s="574"/>
      <c r="BJ576" s="574"/>
      <c r="BK576" s="574"/>
      <c r="BL576" s="574"/>
      <c r="BM576" s="574"/>
      <c r="BN576" s="574"/>
      <c r="BO576" s="574"/>
      <c r="BP576" s="574"/>
      <c r="BQ576" s="574"/>
      <c r="BR576" s="574"/>
      <c r="BS576" s="574"/>
      <c r="BT576" s="574"/>
      <c r="BU576" s="574"/>
      <c r="BV576" s="574"/>
      <c r="BW576" s="574"/>
      <c r="BX576" s="574"/>
      <c r="BY576" s="574"/>
      <c r="BZ576" s="574"/>
      <c r="CA576" s="574"/>
      <c r="CB576" s="574"/>
      <c r="CC576" s="574"/>
      <c r="CD576" s="574"/>
      <c r="CE576" s="574"/>
      <c r="CF576" s="589"/>
    </row>
    <row r="577" spans="1:84" s="583" customFormat="1" ht="23.1" customHeight="1">
      <c r="A577" s="584"/>
      <c r="B577" s="585"/>
      <c r="C577" s="585"/>
      <c r="D577" s="585"/>
      <c r="E577" s="585"/>
      <c r="F577" s="585"/>
      <c r="G577" s="585"/>
      <c r="H577" s="585"/>
      <c r="I577" s="585"/>
      <c r="J577" s="585"/>
      <c r="K577" s="585"/>
      <c r="L577" s="585"/>
      <c r="M577" s="585"/>
      <c r="N577" s="585"/>
      <c r="O577" s="585"/>
      <c r="P577" s="585"/>
      <c r="Q577" s="585"/>
      <c r="R577" s="585"/>
      <c r="S577" s="585"/>
      <c r="T577" s="585"/>
      <c r="U577" s="585"/>
      <c r="V577" s="590"/>
      <c r="W577" s="590"/>
      <c r="X577" s="590"/>
      <c r="Y577" s="590"/>
      <c r="Z577" s="590"/>
      <c r="AA577" s="590"/>
      <c r="AB577" s="590"/>
      <c r="AC577" s="590"/>
      <c r="AD577" s="574"/>
      <c r="AE577" s="1440">
        <v>90653000</v>
      </c>
      <c r="AF577" s="1440"/>
      <c r="AG577" s="1440"/>
      <c r="AH577" s="1440"/>
      <c r="AI577" s="1440"/>
      <c r="AJ577" s="1440"/>
      <c r="AK577" s="1440"/>
      <c r="AL577" s="1440"/>
      <c r="AM577" s="1440"/>
      <c r="AN577" s="1440"/>
      <c r="AO577" s="1440"/>
      <c r="AP577" s="1440"/>
      <c r="AQ577" s="1440"/>
      <c r="AR577" s="1440"/>
      <c r="AS577" s="1440"/>
      <c r="AT577" s="1431" t="s">
        <v>446</v>
      </c>
      <c r="AU577" s="1431"/>
      <c r="AV577" s="1441" t="s">
        <v>1103</v>
      </c>
      <c r="AW577" s="1441"/>
      <c r="AX577" s="1442">
        <v>2279</v>
      </c>
      <c r="AY577" s="1442"/>
      <c r="AZ577" s="1442"/>
      <c r="BA577" s="1442"/>
      <c r="BB577" s="1442"/>
      <c r="BC577" s="1442"/>
      <c r="BD577" s="585"/>
      <c r="BE577" s="1431" t="s">
        <v>446</v>
      </c>
      <c r="BF577" s="1431"/>
      <c r="BG577" s="585"/>
      <c r="BH577" s="591" t="s">
        <v>1104</v>
      </c>
      <c r="BI577" s="585"/>
      <c r="BJ577" s="585"/>
      <c r="BK577" s="585"/>
      <c r="BL577" s="1431" t="s">
        <v>1105</v>
      </c>
      <c r="BM577" s="1431"/>
      <c r="BN577" s="1431"/>
      <c r="BO577" s="585"/>
      <c r="BP577" s="1431" t="s">
        <v>41</v>
      </c>
      <c r="BQ577" s="1431"/>
      <c r="BR577" s="585"/>
      <c r="BS577" s="585"/>
      <c r="BT577" s="1437">
        <f>INT(AE577*AX577*10^-7)</f>
        <v>20659</v>
      </c>
      <c r="BU577" s="1437"/>
      <c r="BV577" s="1437"/>
      <c r="BW577" s="1437"/>
      <c r="BX577" s="1437"/>
      <c r="BY577" s="1437"/>
      <c r="BZ577" s="1437"/>
      <c r="CA577" s="1437"/>
      <c r="CB577" s="1437"/>
      <c r="CC577" s="1437"/>
      <c r="CD577" s="585"/>
      <c r="CE577" s="585"/>
      <c r="CF577" s="586"/>
    </row>
    <row r="578" spans="1:84" s="583" customFormat="1" ht="23.1" customHeight="1">
      <c r="A578" s="592"/>
      <c r="B578" s="593" t="s">
        <v>1106</v>
      </c>
      <c r="C578" s="593"/>
      <c r="D578" s="593"/>
      <c r="E578" s="593"/>
      <c r="F578" s="593"/>
      <c r="G578" s="593"/>
      <c r="H578" s="593"/>
      <c r="I578" s="593"/>
      <c r="J578" s="593"/>
      <c r="K578" s="593"/>
      <c r="L578" s="593"/>
      <c r="M578" s="593"/>
      <c r="N578" s="593"/>
      <c r="O578" s="593"/>
      <c r="P578" s="593"/>
      <c r="Q578" s="593"/>
      <c r="R578" s="593"/>
      <c r="S578" s="593"/>
      <c r="T578" s="593"/>
      <c r="U578" s="593"/>
      <c r="V578" s="593"/>
      <c r="W578" s="593"/>
      <c r="X578" s="593"/>
      <c r="Y578" s="593"/>
      <c r="Z578" s="593"/>
      <c r="AA578" s="593"/>
      <c r="AB578" s="593"/>
      <c r="AC578" s="593"/>
      <c r="AD578" s="593"/>
      <c r="AE578" s="593"/>
      <c r="AF578" s="593"/>
      <c r="AG578" s="593"/>
      <c r="AH578" s="593"/>
      <c r="AI578" s="593"/>
      <c r="AJ578" s="593"/>
      <c r="AK578" s="593"/>
      <c r="AL578" s="593"/>
      <c r="AM578" s="593"/>
      <c r="AN578" s="593"/>
      <c r="AO578" s="593"/>
      <c r="AP578" s="593"/>
      <c r="AQ578" s="593"/>
      <c r="AR578" s="593"/>
      <c r="AS578" s="593"/>
      <c r="AT578" s="593"/>
      <c r="AU578" s="593"/>
      <c r="AV578" s="593"/>
      <c r="AW578" s="593"/>
      <c r="AX578" s="593"/>
      <c r="AY578" s="593"/>
      <c r="AZ578" s="593"/>
      <c r="BA578" s="593"/>
      <c r="BB578" s="593"/>
      <c r="BC578" s="593"/>
      <c r="BD578" s="593"/>
      <c r="BE578" s="593"/>
      <c r="BF578" s="593"/>
      <c r="BG578" s="593"/>
      <c r="BH578" s="593"/>
      <c r="BI578" s="593"/>
      <c r="BJ578" s="593"/>
      <c r="BK578" s="593"/>
      <c r="BL578" s="593"/>
      <c r="BM578" s="593"/>
      <c r="BN578" s="593"/>
      <c r="BO578" s="593"/>
      <c r="BP578" s="593"/>
      <c r="BQ578" s="593"/>
      <c r="BR578" s="593"/>
      <c r="BS578" s="593"/>
      <c r="BT578" s="594"/>
      <c r="BU578" s="594"/>
      <c r="BV578" s="594"/>
      <c r="BW578" s="594"/>
      <c r="BX578" s="594"/>
      <c r="BY578" s="594"/>
      <c r="BZ578" s="594"/>
      <c r="CA578" s="594"/>
      <c r="CB578" s="594"/>
      <c r="CC578" s="594"/>
      <c r="CD578" s="593"/>
      <c r="CE578" s="593"/>
      <c r="CF578" s="595"/>
    </row>
    <row r="579" spans="1:84" s="583" customFormat="1" ht="23.1" customHeight="1">
      <c r="A579" s="584"/>
      <c r="B579" s="585"/>
      <c r="C579" s="585"/>
      <c r="D579" s="596" t="s">
        <v>268</v>
      </c>
      <c r="E579" s="585"/>
      <c r="F579" s="585"/>
      <c r="G579" s="585"/>
      <c r="H579" s="585"/>
      <c r="I579" s="585"/>
      <c r="J579" s="585"/>
      <c r="K579" s="585"/>
      <c r="L579" s="585"/>
      <c r="M579" s="585"/>
      <c r="N579" s="585"/>
      <c r="O579" s="585"/>
      <c r="P579" s="585"/>
      <c r="Q579" s="585"/>
      <c r="R579" s="585"/>
      <c r="S579" s="585"/>
      <c r="T579" s="574"/>
      <c r="U579" s="574"/>
      <c r="V579" s="1435">
        <f>HLOOKUP(D579,$CJ$1:$CM$3,3,0)</f>
        <v>283297</v>
      </c>
      <c r="W579" s="1435"/>
      <c r="X579" s="1435"/>
      <c r="Y579" s="1435"/>
      <c r="Z579" s="1435"/>
      <c r="AA579" s="1435"/>
      <c r="AB579" s="1435"/>
      <c r="AC579" s="1435"/>
      <c r="AD579" s="1435"/>
      <c r="AE579" s="1435"/>
      <c r="AF579" s="1431" t="s">
        <v>446</v>
      </c>
      <c r="AG579" s="1431"/>
      <c r="AH579" s="574"/>
      <c r="AI579" s="1436" t="s">
        <v>1107</v>
      </c>
      <c r="AJ579" s="1436"/>
      <c r="AK579" s="1436"/>
      <c r="AL579" s="1436"/>
      <c r="AM579" s="585"/>
      <c r="AN579" s="1431" t="s">
        <v>446</v>
      </c>
      <c r="AO579" s="1431"/>
      <c r="AP579" s="585"/>
      <c r="AQ579" s="1436" t="s">
        <v>1108</v>
      </c>
      <c r="AR579" s="1436"/>
      <c r="AS579" s="1436"/>
      <c r="AT579" s="1436"/>
      <c r="AU579" s="1436"/>
      <c r="AV579" s="422"/>
      <c r="AW579" s="1431" t="s">
        <v>446</v>
      </c>
      <c r="AX579" s="1431"/>
      <c r="AY579" s="440"/>
      <c r="AZ579" s="1436" t="s">
        <v>1109</v>
      </c>
      <c r="BA579" s="1436"/>
      <c r="BB579" s="1436"/>
      <c r="BC579" s="1436"/>
      <c r="BD579" s="1436"/>
      <c r="BE579" s="585"/>
      <c r="BF579" s="1431" t="s">
        <v>446</v>
      </c>
      <c r="BG579" s="1431"/>
      <c r="BH579" s="1431">
        <v>1</v>
      </c>
      <c r="BI579" s="1431"/>
      <c r="BJ579" s="1431"/>
      <c r="BK579" s="585"/>
      <c r="BL579" s="585" t="s">
        <v>366</v>
      </c>
      <c r="BM579" s="585"/>
      <c r="BN579" s="585"/>
      <c r="BO579" s="585"/>
      <c r="BP579" s="1431" t="s">
        <v>41</v>
      </c>
      <c r="BQ579" s="1431"/>
      <c r="BR579" s="585"/>
      <c r="BS579" s="585"/>
      <c r="BT579" s="1432">
        <f>INT(V579/8*16/12*25/20*BH579)</f>
        <v>59020</v>
      </c>
      <c r="BU579" s="1432"/>
      <c r="BV579" s="1432"/>
      <c r="BW579" s="1432"/>
      <c r="BX579" s="1432"/>
      <c r="BY579" s="1432"/>
      <c r="BZ579" s="1432"/>
      <c r="CA579" s="1432"/>
      <c r="CB579" s="1432"/>
      <c r="CC579" s="1432"/>
      <c r="CD579" s="585"/>
      <c r="CE579" s="585"/>
      <c r="CF579" s="586"/>
    </row>
    <row r="580" spans="1:84" s="583" customFormat="1" ht="23.1" customHeight="1">
      <c r="A580" s="584"/>
      <c r="B580" s="585"/>
      <c r="C580" s="585"/>
      <c r="D580" s="585"/>
      <c r="E580" s="585"/>
      <c r="F580" s="585"/>
      <c r="G580" s="585"/>
      <c r="H580" s="585"/>
      <c r="I580" s="585"/>
      <c r="J580" s="585"/>
      <c r="K580" s="585"/>
      <c r="L580" s="585"/>
      <c r="M580" s="585"/>
      <c r="N580" s="585"/>
      <c r="O580" s="585"/>
      <c r="P580" s="574"/>
      <c r="Q580" s="574"/>
      <c r="R580" s="574"/>
      <c r="S580" s="574"/>
      <c r="T580" s="574"/>
      <c r="U580" s="574"/>
      <c r="V580" s="574"/>
      <c r="W580" s="574"/>
      <c r="X580" s="574"/>
      <c r="Y580" s="574"/>
      <c r="Z580" s="574"/>
      <c r="AA580" s="574"/>
      <c r="AB580" s="574"/>
      <c r="AC580" s="574"/>
      <c r="AD580" s="574"/>
      <c r="AE580" s="574"/>
      <c r="AF580" s="574"/>
      <c r="AG580" s="574"/>
      <c r="AH580" s="574"/>
      <c r="AI580" s="574"/>
      <c r="AJ580" s="574"/>
      <c r="AK580" s="574"/>
      <c r="AL580" s="574"/>
      <c r="AM580" s="574"/>
      <c r="AN580" s="574"/>
      <c r="AO580" s="574"/>
      <c r="AP580" s="574"/>
      <c r="AQ580" s="574"/>
      <c r="AR580" s="574"/>
      <c r="AS580" s="574"/>
      <c r="AT580" s="574"/>
      <c r="AU580" s="574"/>
      <c r="AV580" s="574"/>
      <c r="AW580" s="574"/>
      <c r="AX580" s="574"/>
      <c r="AY580" s="574"/>
      <c r="AZ580" s="574"/>
      <c r="BA580" s="574"/>
      <c r="BB580" s="574"/>
      <c r="BC580" s="574"/>
      <c r="BD580" s="574"/>
      <c r="BE580" s="574"/>
      <c r="BF580" s="574"/>
      <c r="BG580" s="585"/>
      <c r="BH580" s="585"/>
      <c r="BI580" s="585"/>
      <c r="BJ580" s="585"/>
      <c r="BK580" s="585"/>
      <c r="BL580" s="585"/>
      <c r="BM580" s="585"/>
      <c r="BN580" s="585"/>
      <c r="BO580" s="585"/>
      <c r="BP580" s="1431"/>
      <c r="BQ580" s="1431"/>
      <c r="BR580" s="585"/>
      <c r="BS580" s="585"/>
      <c r="BT580" s="1432"/>
      <c r="BU580" s="1432"/>
      <c r="BV580" s="1432"/>
      <c r="BW580" s="1432"/>
      <c r="BX580" s="1432"/>
      <c r="BY580" s="1432"/>
      <c r="BZ580" s="1432"/>
      <c r="CA580" s="1432"/>
      <c r="CB580" s="1432"/>
      <c r="CC580" s="1432"/>
      <c r="CD580" s="585"/>
      <c r="CE580" s="585"/>
      <c r="CF580" s="586"/>
    </row>
    <row r="581" spans="1:84" s="583" customFormat="1" ht="23.1" customHeight="1">
      <c r="A581" s="584"/>
      <c r="B581" s="585"/>
      <c r="C581" s="585"/>
      <c r="D581" s="585"/>
      <c r="E581" s="585"/>
      <c r="F581" s="585"/>
      <c r="G581" s="585"/>
      <c r="H581" s="585"/>
      <c r="I581" s="585"/>
      <c r="J581" s="585"/>
      <c r="K581" s="585"/>
      <c r="L581" s="585"/>
      <c r="M581" s="585"/>
      <c r="N581" s="585"/>
      <c r="O581" s="585"/>
      <c r="P581" s="585"/>
      <c r="Q581" s="585"/>
      <c r="R581" s="585"/>
      <c r="S581" s="585"/>
      <c r="T581" s="585"/>
      <c r="U581" s="585"/>
      <c r="V581" s="585"/>
      <c r="W581" s="585"/>
      <c r="X581" s="585"/>
      <c r="Y581" s="585"/>
      <c r="Z581" s="585"/>
      <c r="AA581" s="585"/>
      <c r="AB581" s="585"/>
      <c r="AC581" s="585"/>
      <c r="AD581" s="574"/>
      <c r="AE581" s="574"/>
      <c r="AF581" s="574"/>
      <c r="AG581" s="574"/>
      <c r="AH581" s="574"/>
      <c r="AI581" s="574"/>
      <c r="AJ581" s="574"/>
      <c r="AK581" s="574"/>
      <c r="AL581" s="574"/>
      <c r="AM581" s="574"/>
      <c r="AN581" s="574"/>
      <c r="AO581" s="574"/>
      <c r="AP581" s="574"/>
      <c r="AQ581" s="574"/>
      <c r="AR581" s="574"/>
      <c r="AS581" s="585"/>
      <c r="AT581" s="590"/>
      <c r="AU581" s="590"/>
      <c r="AV581" s="585"/>
      <c r="AW581" s="585"/>
      <c r="AX581" s="585"/>
      <c r="AY581" s="585"/>
      <c r="AZ581" s="585"/>
      <c r="BA581" s="585"/>
      <c r="BB581" s="585"/>
      <c r="BC581" s="585"/>
      <c r="BD581" s="585"/>
      <c r="BE581" s="585"/>
      <c r="BF581" s="585"/>
      <c r="BG581" s="585"/>
      <c r="BH581" s="585"/>
      <c r="BI581" s="585"/>
      <c r="BJ581" s="585"/>
      <c r="BK581" s="585"/>
      <c r="BL581" s="585"/>
      <c r="BM581" s="585"/>
      <c r="BN581" s="585"/>
      <c r="BO581" s="585"/>
      <c r="BP581" s="1431" t="s">
        <v>41</v>
      </c>
      <c r="BQ581" s="1431"/>
      <c r="BR581" s="585"/>
      <c r="BS581" s="585"/>
      <c r="BT581" s="1434">
        <f>BT579+BT580</f>
        <v>59020</v>
      </c>
      <c r="BU581" s="1434"/>
      <c r="BV581" s="1434"/>
      <c r="BW581" s="1434"/>
      <c r="BX581" s="1434"/>
      <c r="BY581" s="1434"/>
      <c r="BZ581" s="1434"/>
      <c r="CA581" s="1434"/>
      <c r="CB581" s="1434"/>
      <c r="CC581" s="1434"/>
      <c r="CD581" s="585"/>
      <c r="CE581" s="585"/>
      <c r="CF581" s="586"/>
    </row>
    <row r="582" spans="1:84" s="583" customFormat="1" ht="23.1" customHeight="1">
      <c r="A582" s="592"/>
      <c r="B582" s="593" t="s">
        <v>1110</v>
      </c>
      <c r="C582" s="593"/>
      <c r="D582" s="593"/>
      <c r="E582" s="593"/>
      <c r="F582" s="593"/>
      <c r="G582" s="593"/>
      <c r="H582" s="593"/>
      <c r="I582" s="593"/>
      <c r="J582" s="593"/>
      <c r="K582" s="593"/>
      <c r="L582" s="593"/>
      <c r="M582" s="593"/>
      <c r="N582" s="593"/>
      <c r="O582" s="593"/>
      <c r="P582" s="593"/>
      <c r="Q582" s="593"/>
      <c r="R582" s="593"/>
      <c r="S582" s="593"/>
      <c r="T582" s="593"/>
      <c r="U582" s="593"/>
      <c r="V582" s="593"/>
      <c r="W582" s="593"/>
      <c r="X582" s="593"/>
      <c r="Y582" s="593"/>
      <c r="Z582" s="593"/>
      <c r="AA582" s="593"/>
      <c r="AB582" s="593"/>
      <c r="AC582" s="593"/>
      <c r="AD582" s="593"/>
      <c r="AE582" s="593"/>
      <c r="AF582" s="593"/>
      <c r="AG582" s="593"/>
      <c r="AH582" s="593"/>
      <c r="AI582" s="593"/>
      <c r="AJ582" s="593"/>
      <c r="AK582" s="593"/>
      <c r="AL582" s="593"/>
      <c r="AM582" s="593"/>
      <c r="AN582" s="593"/>
      <c r="AO582" s="593"/>
      <c r="AP582" s="593"/>
      <c r="AQ582" s="593"/>
      <c r="AR582" s="593"/>
      <c r="AS582" s="593"/>
      <c r="AT582" s="593"/>
      <c r="AU582" s="593"/>
      <c r="AV582" s="593"/>
      <c r="AW582" s="593"/>
      <c r="AX582" s="593"/>
      <c r="AY582" s="593"/>
      <c r="AZ582" s="593"/>
      <c r="BA582" s="593"/>
      <c r="BB582" s="593"/>
      <c r="BC582" s="593"/>
      <c r="BD582" s="593"/>
      <c r="BE582" s="593"/>
      <c r="BF582" s="593"/>
      <c r="BG582" s="593"/>
      <c r="BH582" s="593"/>
      <c r="BI582" s="593"/>
      <c r="BJ582" s="593"/>
      <c r="BK582" s="593"/>
      <c r="BL582" s="593"/>
      <c r="BM582" s="593"/>
      <c r="BN582" s="593"/>
      <c r="BO582" s="593"/>
      <c r="BP582" s="593"/>
      <c r="BQ582" s="593"/>
      <c r="BR582" s="593"/>
      <c r="BS582" s="593"/>
      <c r="BT582" s="593"/>
      <c r="BU582" s="593"/>
      <c r="BV582" s="593"/>
      <c r="BW582" s="593"/>
      <c r="BX582" s="593"/>
      <c r="BY582" s="593"/>
      <c r="BZ582" s="593"/>
      <c r="CA582" s="593"/>
      <c r="CB582" s="593"/>
      <c r="CC582" s="593"/>
      <c r="CD582" s="593"/>
      <c r="CE582" s="593"/>
      <c r="CF582" s="595"/>
    </row>
    <row r="583" spans="1:84" s="583" customFormat="1" ht="23.1" customHeight="1">
      <c r="A583" s="584"/>
      <c r="B583" s="585"/>
      <c r="C583" s="585"/>
      <c r="D583" s="596" t="s">
        <v>1094</v>
      </c>
      <c r="E583" s="585"/>
      <c r="F583" s="585"/>
      <c r="G583" s="585"/>
      <c r="H583" s="585"/>
      <c r="I583" s="585"/>
      <c r="J583" s="585"/>
      <c r="K583" s="585"/>
      <c r="L583" s="585"/>
      <c r="M583" s="585"/>
      <c r="N583" s="585"/>
      <c r="O583" s="585"/>
      <c r="P583" s="585"/>
      <c r="Q583" s="585"/>
      <c r="R583" s="585"/>
      <c r="S583" s="585"/>
      <c r="T583" s="585"/>
      <c r="U583" s="585"/>
      <c r="V583" s="585"/>
      <c r="W583" s="585"/>
      <c r="X583" s="585"/>
      <c r="Y583" s="585"/>
      <c r="Z583" s="585"/>
      <c r="AA583" s="585"/>
      <c r="AB583" s="585"/>
      <c r="AC583" s="585"/>
      <c r="AD583" s="585"/>
      <c r="AE583" s="585"/>
      <c r="AF583" s="585"/>
      <c r="AG583" s="585"/>
      <c r="AH583" s="585"/>
      <c r="AI583" s="585"/>
      <c r="AJ583" s="585"/>
      <c r="AK583" s="585"/>
      <c r="AL583" s="585"/>
      <c r="AM583" s="585"/>
      <c r="AN583" s="585"/>
      <c r="AO583" s="585"/>
      <c r="AP583" s="585"/>
      <c r="AQ583" s="585"/>
      <c r="AR583" s="422"/>
      <c r="AS583" s="1435" t="e">
        <f>HLOOKUP(D583,$CN$1:$CO$3,3,0)</f>
        <v>#REF!</v>
      </c>
      <c r="AT583" s="1435"/>
      <c r="AU583" s="1435"/>
      <c r="AV583" s="1435"/>
      <c r="AW583" s="1435"/>
      <c r="AX583" s="1435"/>
      <c r="AY583" s="1435"/>
      <c r="AZ583" s="1435"/>
      <c r="BA583" s="1435"/>
      <c r="BB583" s="1435"/>
      <c r="BC583" s="585"/>
      <c r="BD583" s="1431" t="s">
        <v>446</v>
      </c>
      <c r="BE583" s="1431"/>
      <c r="BF583" s="585"/>
      <c r="BG583" s="1431">
        <v>15.9</v>
      </c>
      <c r="BH583" s="1431"/>
      <c r="BI583" s="1431"/>
      <c r="BJ583" s="1431"/>
      <c r="BK583" s="1431"/>
      <c r="BL583" s="585" t="s">
        <v>1111</v>
      </c>
      <c r="BM583" s="585"/>
      <c r="BN583" s="585"/>
      <c r="BO583" s="585"/>
      <c r="BP583" s="1431" t="s">
        <v>41</v>
      </c>
      <c r="BQ583" s="1431"/>
      <c r="BR583" s="585"/>
      <c r="BS583" s="585"/>
      <c r="BT583" s="1432" t="e">
        <f>INT(AS583*BG583)</f>
        <v>#REF!</v>
      </c>
      <c r="BU583" s="1432"/>
      <c r="BV583" s="1432"/>
      <c r="BW583" s="1432"/>
      <c r="BX583" s="1432"/>
      <c r="BY583" s="1432"/>
      <c r="BZ583" s="1432"/>
      <c r="CA583" s="1432"/>
      <c r="CB583" s="1432"/>
      <c r="CC583" s="1432"/>
      <c r="CD583" s="585"/>
      <c r="CE583" s="585"/>
      <c r="CF583" s="586"/>
    </row>
    <row r="584" spans="1:84" s="583" customFormat="1" ht="23.1" customHeight="1">
      <c r="A584" s="584"/>
      <c r="B584" s="585"/>
      <c r="C584" s="585"/>
      <c r="D584" s="591" t="str">
        <f>"잡재료 (주연료의 "&amp;BG584&amp;"%) :"</f>
        <v>잡재료 (주연료의 38%) :</v>
      </c>
      <c r="E584" s="585"/>
      <c r="F584" s="585"/>
      <c r="G584" s="585"/>
      <c r="H584" s="585"/>
      <c r="I584" s="585"/>
      <c r="J584" s="585"/>
      <c r="K584" s="585"/>
      <c r="L584" s="585"/>
      <c r="M584" s="585"/>
      <c r="N584" s="585"/>
      <c r="O584" s="585"/>
      <c r="P584" s="585"/>
      <c r="Q584" s="585"/>
      <c r="R584" s="585"/>
      <c r="S584" s="585"/>
      <c r="T584" s="585"/>
      <c r="U584" s="585"/>
      <c r="V584" s="585"/>
      <c r="W584" s="585"/>
      <c r="X584" s="585"/>
      <c r="Y584" s="585"/>
      <c r="Z584" s="585"/>
      <c r="AA584" s="585"/>
      <c r="AB584" s="585"/>
      <c r="AC584" s="585"/>
      <c r="AD584" s="585"/>
      <c r="AE584" s="585"/>
      <c r="AF584" s="585"/>
      <c r="AG584" s="585"/>
      <c r="AH584" s="585"/>
      <c r="AI584" s="585"/>
      <c r="AJ584" s="585"/>
      <c r="AK584" s="585"/>
      <c r="AL584" s="585"/>
      <c r="AM584" s="585"/>
      <c r="AN584" s="585"/>
      <c r="AO584" s="585"/>
      <c r="AP584" s="585"/>
      <c r="AQ584" s="585"/>
      <c r="AR584" s="422" t="e">
        <f>BT583</f>
        <v>#REF!</v>
      </c>
      <c r="AS584" s="1430" t="e">
        <f>BT583</f>
        <v>#REF!</v>
      </c>
      <c r="AT584" s="1430"/>
      <c r="AU584" s="1430"/>
      <c r="AV584" s="1430"/>
      <c r="AW584" s="1430"/>
      <c r="AX584" s="1430"/>
      <c r="AY584" s="1430"/>
      <c r="AZ584" s="1430"/>
      <c r="BA584" s="1430"/>
      <c r="BB584" s="1430"/>
      <c r="BC584" s="585"/>
      <c r="BD584" s="1431" t="s">
        <v>446</v>
      </c>
      <c r="BE584" s="1431"/>
      <c r="BF584" s="585"/>
      <c r="BG584" s="1431">
        <v>38</v>
      </c>
      <c r="BH584" s="1431"/>
      <c r="BI584" s="1431"/>
      <c r="BJ584" s="1431"/>
      <c r="BK584" s="1431"/>
      <c r="BL584" s="585" t="s">
        <v>1112</v>
      </c>
      <c r="BM584" s="585"/>
      <c r="BN584" s="585"/>
      <c r="BO584" s="585"/>
      <c r="BP584" s="1431" t="s">
        <v>41</v>
      </c>
      <c r="BQ584" s="1431"/>
      <c r="BR584" s="585"/>
      <c r="BS584" s="585"/>
      <c r="BT584" s="1432" t="e">
        <f>INT(AS584*BG584/100)</f>
        <v>#REF!</v>
      </c>
      <c r="BU584" s="1432"/>
      <c r="BV584" s="1432"/>
      <c r="BW584" s="1432"/>
      <c r="BX584" s="1432"/>
      <c r="BY584" s="1432"/>
      <c r="BZ584" s="1432"/>
      <c r="CA584" s="1432"/>
      <c r="CB584" s="1432"/>
      <c r="CC584" s="1432"/>
      <c r="CD584" s="585"/>
      <c r="CE584" s="585"/>
      <c r="CF584" s="586"/>
    </row>
    <row r="585" spans="1:84" s="583" customFormat="1" ht="23.1" customHeight="1" thickBot="1">
      <c r="A585" s="584"/>
      <c r="B585" s="585"/>
      <c r="C585" s="585"/>
      <c r="D585" s="585"/>
      <c r="E585" s="585"/>
      <c r="F585" s="585"/>
      <c r="G585" s="585"/>
      <c r="H585" s="585"/>
      <c r="I585" s="585"/>
      <c r="J585" s="585"/>
      <c r="K585" s="585"/>
      <c r="L585" s="585"/>
      <c r="M585" s="585"/>
      <c r="N585" s="585"/>
      <c r="O585" s="585"/>
      <c r="P585" s="585"/>
      <c r="Q585" s="585"/>
      <c r="R585" s="585"/>
      <c r="S585" s="585"/>
      <c r="T585" s="585"/>
      <c r="U585" s="585"/>
      <c r="V585" s="585"/>
      <c r="W585" s="585"/>
      <c r="X585" s="585"/>
      <c r="Y585" s="585"/>
      <c r="Z585" s="585"/>
      <c r="AA585" s="585"/>
      <c r="AB585" s="585"/>
      <c r="AC585" s="585"/>
      <c r="AD585" s="585"/>
      <c r="AE585" s="585"/>
      <c r="AF585" s="585"/>
      <c r="AG585" s="585"/>
      <c r="AH585" s="585"/>
      <c r="AI585" s="585"/>
      <c r="AJ585" s="585"/>
      <c r="AK585" s="585"/>
      <c r="AL585" s="585"/>
      <c r="AM585" s="585"/>
      <c r="AN585" s="585"/>
      <c r="AO585" s="585"/>
      <c r="AP585" s="585"/>
      <c r="AQ585" s="585"/>
      <c r="AR585" s="585"/>
      <c r="AS585" s="585"/>
      <c r="AT585" s="585"/>
      <c r="AU585" s="585"/>
      <c r="AV585" s="585"/>
      <c r="AW585" s="585"/>
      <c r="AX585" s="585"/>
      <c r="AY585" s="585"/>
      <c r="AZ585" s="585"/>
      <c r="BA585" s="585"/>
      <c r="BB585" s="585"/>
      <c r="BC585" s="585"/>
      <c r="BD585" s="585"/>
      <c r="BE585" s="585"/>
      <c r="BF585" s="585"/>
      <c r="BG585" s="585"/>
      <c r="BH585" s="585"/>
      <c r="BI585" s="585"/>
      <c r="BJ585" s="585"/>
      <c r="BK585" s="585"/>
      <c r="BL585" s="585"/>
      <c r="BM585" s="585"/>
      <c r="BN585" s="585"/>
      <c r="BO585" s="585"/>
      <c r="BP585" s="1431" t="s">
        <v>41</v>
      </c>
      <c r="BQ585" s="1431"/>
      <c r="BR585" s="585"/>
      <c r="BS585" s="585"/>
      <c r="BT585" s="1433" t="e">
        <f>BT583+BT584</f>
        <v>#REF!</v>
      </c>
      <c r="BU585" s="1433"/>
      <c r="BV585" s="1433"/>
      <c r="BW585" s="1433"/>
      <c r="BX585" s="1433"/>
      <c r="BY585" s="1433"/>
      <c r="BZ585" s="1433"/>
      <c r="CA585" s="1433"/>
      <c r="CB585" s="1433"/>
      <c r="CC585" s="1433"/>
      <c r="CD585" s="585"/>
      <c r="CE585" s="585"/>
      <c r="CF585" s="586"/>
    </row>
    <row r="586" spans="1:84" s="583" customFormat="1" ht="23.1" customHeight="1" thickBot="1">
      <c r="A586" s="597"/>
      <c r="B586" s="598" t="s">
        <v>1113</v>
      </c>
      <c r="C586" s="598"/>
      <c r="D586" s="598"/>
      <c r="E586" s="598"/>
      <c r="F586" s="598"/>
      <c r="G586" s="598"/>
      <c r="H586" s="598"/>
      <c r="I586" s="598"/>
      <c r="J586" s="598"/>
      <c r="K586" s="598"/>
      <c r="L586" s="598"/>
      <c r="M586" s="598"/>
      <c r="N586" s="598"/>
      <c r="O586" s="598"/>
      <c r="P586" s="598"/>
      <c r="Q586" s="598"/>
      <c r="R586" s="598"/>
      <c r="S586" s="598"/>
      <c r="T586" s="598"/>
      <c r="U586" s="598"/>
      <c r="V586" s="598"/>
      <c r="W586" s="598"/>
      <c r="X586" s="598"/>
      <c r="Y586" s="598"/>
      <c r="Z586" s="598"/>
      <c r="AA586" s="598"/>
      <c r="AB586" s="598"/>
      <c r="AC586" s="598"/>
      <c r="AD586" s="598"/>
      <c r="AE586" s="598"/>
      <c r="AF586" s="598"/>
      <c r="AG586" s="598"/>
      <c r="AH586" s="598"/>
      <c r="AI586" s="598"/>
      <c r="AJ586" s="598"/>
      <c r="AK586" s="598"/>
      <c r="AL586" s="598"/>
      <c r="AM586" s="598"/>
      <c r="AN586" s="598"/>
      <c r="AO586" s="598"/>
      <c r="AP586" s="598"/>
      <c r="AQ586" s="598"/>
      <c r="AR586" s="598"/>
      <c r="AS586" s="598"/>
      <c r="AT586" s="598"/>
      <c r="AU586" s="598"/>
      <c r="AV586" s="598"/>
      <c r="AW586" s="598"/>
      <c r="AX586" s="598"/>
      <c r="AY586" s="598"/>
      <c r="AZ586" s="598"/>
      <c r="BA586" s="598"/>
      <c r="BB586" s="598"/>
      <c r="BC586" s="598"/>
      <c r="BD586" s="598"/>
      <c r="BE586" s="598"/>
      <c r="BF586" s="598"/>
      <c r="BG586" s="598"/>
      <c r="BH586" s="598"/>
      <c r="BI586" s="598"/>
      <c r="BJ586" s="598"/>
      <c r="BK586" s="598"/>
      <c r="BL586" s="598"/>
      <c r="BM586" s="598"/>
      <c r="BN586" s="598"/>
      <c r="BO586" s="598"/>
      <c r="BP586" s="598"/>
      <c r="BQ586" s="598"/>
      <c r="BR586" s="598"/>
      <c r="BS586" s="598"/>
      <c r="BT586" s="1429" t="e">
        <f>BT577+BT581+BT585</f>
        <v>#REF!</v>
      </c>
      <c r="BU586" s="1429"/>
      <c r="BV586" s="1429"/>
      <c r="BW586" s="1429"/>
      <c r="BX586" s="1429"/>
      <c r="BY586" s="1429"/>
      <c r="BZ586" s="1429"/>
      <c r="CA586" s="1429"/>
      <c r="CB586" s="1429"/>
      <c r="CC586" s="1429"/>
      <c r="CD586" s="598"/>
      <c r="CE586" s="598"/>
      <c r="CF586" s="599"/>
    </row>
    <row r="587" spans="1:84" s="583" customFormat="1" ht="9.9499999999999993" customHeight="1">
      <c r="A587" s="574"/>
      <c r="B587" s="574"/>
      <c r="C587" s="574"/>
      <c r="D587" s="574"/>
      <c r="E587" s="574"/>
      <c r="F587" s="574"/>
      <c r="G587" s="574"/>
      <c r="H587" s="574"/>
      <c r="I587" s="574"/>
      <c r="J587" s="574"/>
      <c r="K587" s="574"/>
      <c r="L587" s="574"/>
      <c r="M587" s="574"/>
      <c r="N587" s="574"/>
      <c r="O587" s="574"/>
      <c r="P587" s="574"/>
      <c r="Q587" s="574"/>
      <c r="R587" s="574"/>
      <c r="S587" s="574"/>
      <c r="T587" s="574"/>
      <c r="U587" s="574"/>
      <c r="V587" s="574"/>
      <c r="W587" s="574"/>
      <c r="X587" s="574"/>
      <c r="Y587" s="574"/>
      <c r="Z587" s="574"/>
      <c r="AA587" s="574"/>
      <c r="AB587" s="574"/>
      <c r="AC587" s="574"/>
      <c r="AD587" s="574"/>
      <c r="AE587" s="574"/>
      <c r="AF587" s="574"/>
      <c r="AG587" s="574"/>
      <c r="AH587" s="574"/>
      <c r="AI587" s="574"/>
      <c r="AJ587" s="574"/>
      <c r="AK587" s="574"/>
      <c r="AL587" s="574"/>
      <c r="AM587" s="574"/>
      <c r="AN587" s="574"/>
      <c r="AO587" s="574"/>
      <c r="AP587" s="574"/>
      <c r="AQ587" s="574"/>
      <c r="AR587" s="574"/>
      <c r="AS587" s="574"/>
      <c r="AT587" s="574"/>
      <c r="AU587" s="574"/>
      <c r="AV587" s="574"/>
      <c r="AW587" s="574"/>
      <c r="AX587" s="574"/>
      <c r="AY587" s="574"/>
      <c r="AZ587" s="574"/>
      <c r="BA587" s="574"/>
      <c r="BB587" s="574"/>
      <c r="BC587" s="574"/>
      <c r="BD587" s="574"/>
      <c r="BE587" s="574"/>
      <c r="BF587" s="574"/>
      <c r="BG587" s="574"/>
      <c r="BH587" s="574"/>
      <c r="BI587" s="574"/>
      <c r="BJ587" s="574"/>
      <c r="BK587" s="574"/>
      <c r="BL587" s="574"/>
      <c r="BM587" s="574"/>
      <c r="BN587" s="574"/>
      <c r="BO587" s="574"/>
      <c r="BP587" s="574"/>
      <c r="BQ587" s="574"/>
      <c r="BR587" s="574"/>
      <c r="BS587" s="574"/>
      <c r="BT587" s="574"/>
      <c r="BU587" s="574"/>
      <c r="BV587" s="574"/>
      <c r="BW587" s="574"/>
      <c r="BX587" s="574"/>
      <c r="BY587" s="574"/>
      <c r="BZ587" s="574"/>
      <c r="CA587" s="574"/>
      <c r="CB587" s="574"/>
      <c r="CC587" s="574"/>
      <c r="CD587" s="574"/>
      <c r="CE587" s="574"/>
      <c r="CF587" s="574"/>
    </row>
    <row r="588" spans="1:84" s="583" customFormat="1" ht="23.1" customHeight="1" thickBot="1">
      <c r="A588" s="1446" t="s">
        <v>1095</v>
      </c>
      <c r="B588" s="1446"/>
      <c r="C588" s="1446"/>
      <c r="D588" s="1446"/>
      <c r="E588" s="1446"/>
      <c r="F588" s="1446"/>
      <c r="G588" s="1447">
        <f>G573+1</f>
        <v>40</v>
      </c>
      <c r="H588" s="1447"/>
      <c r="I588" s="1447"/>
      <c r="J588" s="1448" t="s">
        <v>1096</v>
      </c>
      <c r="K588" s="1448"/>
      <c r="L588" s="574"/>
      <c r="M588" s="574"/>
      <c r="N588" s="574"/>
      <c r="O588" s="574"/>
      <c r="P588" s="574"/>
      <c r="Q588" s="574"/>
      <c r="R588" s="574"/>
      <c r="S588" s="574"/>
      <c r="T588" s="574"/>
      <c r="U588" s="574"/>
      <c r="V588" s="574"/>
      <c r="W588" s="574"/>
      <c r="X588" s="574"/>
      <c r="Y588" s="574"/>
      <c r="Z588" s="574"/>
      <c r="AA588" s="574"/>
      <c r="AB588" s="574"/>
      <c r="AC588" s="574"/>
      <c r="AD588" s="574"/>
      <c r="AE588" s="574"/>
      <c r="AF588" s="574"/>
      <c r="AG588" s="574"/>
      <c r="AH588" s="574"/>
      <c r="AI588" s="574"/>
      <c r="AJ588" s="574"/>
      <c r="AK588" s="574"/>
      <c r="AL588" s="574"/>
      <c r="AM588" s="574"/>
      <c r="AN588" s="574"/>
      <c r="AO588" s="574"/>
      <c r="AP588" s="574"/>
      <c r="AQ588" s="574"/>
      <c r="AR588" s="574"/>
      <c r="AS588" s="574"/>
      <c r="AT588" s="574"/>
      <c r="AU588" s="574"/>
      <c r="AV588" s="574"/>
      <c r="AW588" s="574"/>
      <c r="AX588" s="574"/>
      <c r="AY588" s="574"/>
      <c r="AZ588" s="574"/>
      <c r="BA588" s="574"/>
      <c r="BB588" s="574"/>
      <c r="BC588" s="574"/>
      <c r="BD588" s="574"/>
      <c r="BE588" s="574"/>
      <c r="BF588" s="574"/>
      <c r="BG588" s="574"/>
      <c r="BH588" s="574"/>
      <c r="BI588" s="574"/>
      <c r="BJ588" s="574"/>
      <c r="BK588" s="574"/>
      <c r="BL588" s="574"/>
      <c r="BM588" s="574"/>
      <c r="BN588" s="574"/>
      <c r="BO588" s="574"/>
      <c r="BP588" s="574"/>
      <c r="BQ588" s="574"/>
      <c r="BR588" s="574"/>
      <c r="BS588" s="574"/>
      <c r="BT588" s="574"/>
      <c r="BU588" s="574"/>
      <c r="BV588" s="574"/>
      <c r="BW588" s="574"/>
      <c r="BX588" s="574"/>
      <c r="BY588" s="574"/>
      <c r="BZ588" s="574"/>
      <c r="CA588" s="574"/>
      <c r="CB588" s="574"/>
      <c r="CC588" s="574"/>
      <c r="CD588" s="574"/>
      <c r="CE588" s="574"/>
      <c r="CF588" s="574"/>
    </row>
    <row r="589" spans="1:84" s="583" customFormat="1" ht="23.1" customHeight="1" thickBot="1">
      <c r="A589" s="1483" t="s">
        <v>1097</v>
      </c>
      <c r="B589" s="1484"/>
      <c r="C589" s="1484"/>
      <c r="D589" s="1484"/>
      <c r="E589" s="1484"/>
      <c r="F589" s="1484"/>
      <c r="G589" s="1484"/>
      <c r="H589" s="1484"/>
      <c r="I589" s="581" t="s">
        <v>1161</v>
      </c>
      <c r="J589" s="581"/>
      <c r="K589" s="581"/>
      <c r="L589" s="581"/>
      <c r="M589" s="581"/>
      <c r="N589" s="581"/>
      <c r="O589" s="581"/>
      <c r="P589" s="581"/>
      <c r="Q589" s="581"/>
      <c r="R589" s="581"/>
      <c r="S589" s="581"/>
      <c r="T589" s="581"/>
      <c r="U589" s="581"/>
      <c r="V589" s="581"/>
      <c r="W589" s="581"/>
      <c r="X589" s="581"/>
      <c r="Y589" s="581"/>
      <c r="Z589" s="581"/>
      <c r="AA589" s="581"/>
      <c r="AB589" s="581"/>
      <c r="AC589" s="581"/>
      <c r="AD589" s="581"/>
      <c r="AE589" s="581"/>
      <c r="AF589" s="581"/>
      <c r="AG589" s="581"/>
      <c r="AH589" s="581"/>
      <c r="AI589" s="581"/>
      <c r="AJ589" s="1484" t="s">
        <v>1099</v>
      </c>
      <c r="AK589" s="1484"/>
      <c r="AL589" s="1484"/>
      <c r="AM589" s="1484"/>
      <c r="AN589" s="1484"/>
      <c r="AO589" s="1484"/>
      <c r="AP589" s="1484"/>
      <c r="AQ589" s="581" t="s">
        <v>1162</v>
      </c>
      <c r="AR589" s="581"/>
      <c r="AS589" s="581"/>
      <c r="AT589" s="581"/>
      <c r="AU589" s="581"/>
      <c r="AV589" s="581"/>
      <c r="AW589" s="581"/>
      <c r="AX589" s="581"/>
      <c r="AY589" s="581"/>
      <c r="AZ589" s="581"/>
      <c r="BA589" s="581"/>
      <c r="BB589" s="581"/>
      <c r="BC589" s="581"/>
      <c r="BD589" s="581"/>
      <c r="BE589" s="581"/>
      <c r="BF589" s="581"/>
      <c r="BG589" s="581"/>
      <c r="BH589" s="581"/>
      <c r="BI589" s="581"/>
      <c r="BJ589" s="581"/>
      <c r="BK589" s="581"/>
      <c r="BL589" s="581"/>
      <c r="BM589" s="581"/>
      <c r="BN589" s="581"/>
      <c r="BO589" s="581"/>
      <c r="BP589" s="581"/>
      <c r="BQ589" s="581"/>
      <c r="BR589" s="581"/>
      <c r="BS589" s="581"/>
      <c r="BT589" s="581" t="s">
        <v>1163</v>
      </c>
      <c r="BU589" s="581"/>
      <c r="BV589" s="581"/>
      <c r="BW589" s="581"/>
      <c r="BX589" s="581"/>
      <c r="BY589" s="581"/>
      <c r="BZ589" s="581"/>
      <c r="CA589" s="581"/>
      <c r="CB589" s="581"/>
      <c r="CC589" s="581"/>
      <c r="CD589" s="581"/>
      <c r="CE589" s="581"/>
      <c r="CF589" s="582"/>
    </row>
    <row r="590" spans="1:84" s="583" customFormat="1" ht="23.1" customHeight="1">
      <c r="A590" s="584"/>
      <c r="B590" s="585" t="s">
        <v>1102</v>
      </c>
      <c r="C590" s="585"/>
      <c r="D590" s="585"/>
      <c r="E590" s="585"/>
      <c r="F590" s="585"/>
      <c r="G590" s="585"/>
      <c r="H590" s="585"/>
      <c r="I590" s="585"/>
      <c r="J590" s="585"/>
      <c r="K590" s="585"/>
      <c r="L590" s="585"/>
      <c r="M590" s="585"/>
      <c r="N590" s="585"/>
      <c r="O590" s="585"/>
      <c r="P590" s="585"/>
      <c r="Q590" s="585"/>
      <c r="R590" s="585"/>
      <c r="S590" s="585"/>
      <c r="T590" s="585"/>
      <c r="U590" s="585"/>
      <c r="V590" s="585"/>
      <c r="W590" s="585"/>
      <c r="X590" s="585"/>
      <c r="Y590" s="585"/>
      <c r="Z590" s="585"/>
      <c r="AA590" s="585"/>
      <c r="AB590" s="585"/>
      <c r="AC590" s="585"/>
      <c r="AD590" s="585"/>
      <c r="AE590" s="585"/>
      <c r="AF590" s="585"/>
      <c r="AG590" s="585"/>
      <c r="AH590" s="585"/>
      <c r="AI590" s="585"/>
      <c r="AJ590" s="585"/>
      <c r="AK590" s="585"/>
      <c r="AL590" s="585"/>
      <c r="AM590" s="585"/>
      <c r="AN590" s="585"/>
      <c r="AO590" s="585"/>
      <c r="AP590" s="585"/>
      <c r="AQ590" s="585"/>
      <c r="AR590" s="585"/>
      <c r="AS590" s="585"/>
      <c r="AT590" s="585"/>
      <c r="AU590" s="585"/>
      <c r="AV590" s="585"/>
      <c r="AW590" s="585"/>
      <c r="AX590" s="585"/>
      <c r="AY590" s="585"/>
      <c r="AZ590" s="585"/>
      <c r="BA590" s="585"/>
      <c r="BB590" s="585"/>
      <c r="BC590" s="585"/>
      <c r="BD590" s="585"/>
      <c r="BE590" s="585"/>
      <c r="BF590" s="585"/>
      <c r="BG590" s="585"/>
      <c r="BH590" s="585"/>
      <c r="BI590" s="585"/>
      <c r="BJ590" s="585"/>
      <c r="BK590" s="585"/>
      <c r="BL590" s="585"/>
      <c r="BM590" s="585"/>
      <c r="BN590" s="585"/>
      <c r="BO590" s="585"/>
      <c r="BP590" s="585"/>
      <c r="BQ590" s="585"/>
      <c r="BR590" s="585"/>
      <c r="BS590" s="585"/>
      <c r="BT590" s="585"/>
      <c r="BU590" s="585"/>
      <c r="BV590" s="585"/>
      <c r="BW590" s="585"/>
      <c r="BX590" s="585"/>
      <c r="BY590" s="585"/>
      <c r="BZ590" s="585"/>
      <c r="CA590" s="585"/>
      <c r="CB590" s="585"/>
      <c r="CC590" s="585"/>
      <c r="CD590" s="585"/>
      <c r="CE590" s="585"/>
      <c r="CF590" s="586"/>
    </row>
    <row r="591" spans="1:84" s="583" customFormat="1" ht="23.1" customHeight="1">
      <c r="A591" s="587"/>
      <c r="B591" s="574"/>
      <c r="C591" s="574"/>
      <c r="D591" s="405"/>
      <c r="E591" s="574"/>
      <c r="F591" s="422"/>
      <c r="G591" s="422"/>
      <c r="H591" s="422"/>
      <c r="I591" s="422"/>
      <c r="J591" s="422"/>
      <c r="K591" s="422"/>
      <c r="L591" s="422"/>
      <c r="M591" s="422"/>
      <c r="N591" s="574"/>
      <c r="O591" s="574"/>
      <c r="P591" s="574"/>
      <c r="Q591" s="574"/>
      <c r="R591" s="574"/>
      <c r="S591" s="588"/>
      <c r="T591" s="588"/>
      <c r="U591" s="588"/>
      <c r="V591" s="588"/>
      <c r="W591" s="588"/>
      <c r="X591" s="588"/>
      <c r="Y591" s="588"/>
      <c r="Z591" s="588"/>
      <c r="AA591" s="574"/>
      <c r="AB591" s="588"/>
      <c r="AC591" s="585"/>
      <c r="AD591" s="585"/>
      <c r="AE591" s="600"/>
      <c r="AF591" s="600"/>
      <c r="AG591" s="600"/>
      <c r="AH591" s="600"/>
      <c r="AI591" s="600"/>
      <c r="AJ591" s="600"/>
      <c r="AK591" s="600"/>
      <c r="AL591" s="600"/>
      <c r="AM591" s="585"/>
      <c r="AN591" s="585"/>
      <c r="AO591" s="574"/>
      <c r="AP591" s="430"/>
      <c r="AQ591" s="430"/>
      <c r="AR591" s="430"/>
      <c r="AS591" s="430"/>
      <c r="AT591" s="430"/>
      <c r="AU591" s="430"/>
      <c r="AV591" s="430"/>
      <c r="AW591" s="430"/>
      <c r="AX591" s="430"/>
      <c r="AY591" s="430"/>
      <c r="AZ591" s="430"/>
      <c r="BA591" s="430"/>
      <c r="BB591" s="430"/>
      <c r="BC591" s="430"/>
      <c r="BD591" s="574"/>
      <c r="BE591" s="574"/>
      <c r="BF591" s="574"/>
      <c r="BG591" s="574"/>
      <c r="BH591" s="574"/>
      <c r="BI591" s="574"/>
      <c r="BJ591" s="574"/>
      <c r="BK591" s="574"/>
      <c r="BL591" s="574"/>
      <c r="BM591" s="574"/>
      <c r="BN591" s="574"/>
      <c r="BO591" s="574"/>
      <c r="BP591" s="574"/>
      <c r="BQ591" s="574"/>
      <c r="BR591" s="574"/>
      <c r="BS591" s="574"/>
      <c r="BT591" s="574"/>
      <c r="BU591" s="574"/>
      <c r="BV591" s="574"/>
      <c r="BW591" s="574"/>
      <c r="BX591" s="574"/>
      <c r="BY591" s="574"/>
      <c r="BZ591" s="574"/>
      <c r="CA591" s="574"/>
      <c r="CB591" s="574"/>
      <c r="CC591" s="574"/>
      <c r="CD591" s="574"/>
      <c r="CE591" s="574"/>
      <c r="CF591" s="589"/>
    </row>
    <row r="592" spans="1:84" s="583" customFormat="1" ht="23.1" customHeight="1">
      <c r="A592" s="584"/>
      <c r="B592" s="585"/>
      <c r="C592" s="585"/>
      <c r="D592" s="585"/>
      <c r="E592" s="585"/>
      <c r="F592" s="585"/>
      <c r="G592" s="585"/>
      <c r="H592" s="585"/>
      <c r="I592" s="585"/>
      <c r="J592" s="585"/>
      <c r="K592" s="585"/>
      <c r="L592" s="585"/>
      <c r="M592" s="585"/>
      <c r="N592" s="585"/>
      <c r="O592" s="585"/>
      <c r="P592" s="585"/>
      <c r="Q592" s="585"/>
      <c r="R592" s="585"/>
      <c r="S592" s="585"/>
      <c r="T592" s="585"/>
      <c r="U592" s="585"/>
      <c r="V592" s="590"/>
      <c r="W592" s="590"/>
      <c r="X592" s="590"/>
      <c r="Y592" s="590"/>
      <c r="Z592" s="590"/>
      <c r="AA592" s="590"/>
      <c r="AB592" s="590"/>
      <c r="AC592" s="590"/>
      <c r="AD592" s="574"/>
      <c r="AE592" s="1440">
        <v>147825000</v>
      </c>
      <c r="AF592" s="1440"/>
      <c r="AG592" s="1440"/>
      <c r="AH592" s="1440"/>
      <c r="AI592" s="1440"/>
      <c r="AJ592" s="1440"/>
      <c r="AK592" s="1440"/>
      <c r="AL592" s="1440"/>
      <c r="AM592" s="1440"/>
      <c r="AN592" s="1440"/>
      <c r="AO592" s="1440"/>
      <c r="AP592" s="1440"/>
      <c r="AQ592" s="1440"/>
      <c r="AR592" s="1440"/>
      <c r="AS592" s="1440"/>
      <c r="AT592" s="1431" t="s">
        <v>446</v>
      </c>
      <c r="AU592" s="1431"/>
      <c r="AV592" s="1441" t="s">
        <v>1103</v>
      </c>
      <c r="AW592" s="1441"/>
      <c r="AX592" s="1442">
        <v>2229</v>
      </c>
      <c r="AY592" s="1442"/>
      <c r="AZ592" s="1442"/>
      <c r="BA592" s="1442"/>
      <c r="BB592" s="1442"/>
      <c r="BC592" s="1442"/>
      <c r="BD592" s="585"/>
      <c r="BE592" s="1431" t="s">
        <v>446</v>
      </c>
      <c r="BF592" s="1431"/>
      <c r="BG592" s="585"/>
      <c r="BH592" s="591" t="s">
        <v>1104</v>
      </c>
      <c r="BI592" s="585"/>
      <c r="BJ592" s="585"/>
      <c r="BK592" s="585"/>
      <c r="BL592" s="1431" t="s">
        <v>1105</v>
      </c>
      <c r="BM592" s="1431"/>
      <c r="BN592" s="1431"/>
      <c r="BO592" s="585"/>
      <c r="BP592" s="1431" t="s">
        <v>41</v>
      </c>
      <c r="BQ592" s="1431"/>
      <c r="BR592" s="585"/>
      <c r="BS592" s="585"/>
      <c r="BT592" s="1437">
        <f>INT(AE592*AX592*10^-7)</f>
        <v>32950</v>
      </c>
      <c r="BU592" s="1437"/>
      <c r="BV592" s="1437"/>
      <c r="BW592" s="1437"/>
      <c r="BX592" s="1437"/>
      <c r="BY592" s="1437"/>
      <c r="BZ592" s="1437"/>
      <c r="CA592" s="1437"/>
      <c r="CB592" s="1437"/>
      <c r="CC592" s="1437"/>
      <c r="CD592" s="585"/>
      <c r="CE592" s="585"/>
      <c r="CF592" s="586"/>
    </row>
    <row r="593" spans="1:84" s="583" customFormat="1" ht="23.1" customHeight="1">
      <c r="A593" s="592"/>
      <c r="B593" s="593" t="s">
        <v>1106</v>
      </c>
      <c r="C593" s="593"/>
      <c r="D593" s="593"/>
      <c r="E593" s="593"/>
      <c r="F593" s="593"/>
      <c r="G593" s="593"/>
      <c r="H593" s="593"/>
      <c r="I593" s="593"/>
      <c r="J593" s="593"/>
      <c r="K593" s="593"/>
      <c r="L593" s="593"/>
      <c r="M593" s="593"/>
      <c r="N593" s="593"/>
      <c r="O593" s="593"/>
      <c r="P593" s="593"/>
      <c r="Q593" s="593"/>
      <c r="R593" s="593"/>
      <c r="S593" s="593"/>
      <c r="T593" s="593"/>
      <c r="U593" s="593"/>
      <c r="V593" s="593"/>
      <c r="W593" s="593"/>
      <c r="X593" s="593"/>
      <c r="Y593" s="593"/>
      <c r="Z593" s="593"/>
      <c r="AA593" s="593"/>
      <c r="AB593" s="593"/>
      <c r="AC593" s="593"/>
      <c r="AD593" s="593"/>
      <c r="AE593" s="593"/>
      <c r="AF593" s="593"/>
      <c r="AG593" s="593"/>
      <c r="AH593" s="593"/>
      <c r="AI593" s="593"/>
      <c r="AJ593" s="593"/>
      <c r="AK593" s="593"/>
      <c r="AL593" s="593"/>
      <c r="AM593" s="593"/>
      <c r="AN593" s="593"/>
      <c r="AO593" s="593"/>
      <c r="AP593" s="593"/>
      <c r="AQ593" s="593"/>
      <c r="AR593" s="593"/>
      <c r="AS593" s="593"/>
      <c r="AT593" s="593"/>
      <c r="AU593" s="593"/>
      <c r="AV593" s="593"/>
      <c r="AW593" s="593"/>
      <c r="AX593" s="593"/>
      <c r="AY593" s="593"/>
      <c r="AZ593" s="593"/>
      <c r="BA593" s="593"/>
      <c r="BB593" s="593"/>
      <c r="BC593" s="593"/>
      <c r="BD593" s="593"/>
      <c r="BE593" s="593"/>
      <c r="BF593" s="593"/>
      <c r="BG593" s="593"/>
      <c r="BH593" s="593"/>
      <c r="BI593" s="593"/>
      <c r="BJ593" s="593"/>
      <c r="BK593" s="593"/>
      <c r="BL593" s="593"/>
      <c r="BM593" s="593"/>
      <c r="BN593" s="593"/>
      <c r="BO593" s="593"/>
      <c r="BP593" s="593"/>
      <c r="BQ593" s="593"/>
      <c r="BR593" s="593"/>
      <c r="BS593" s="593"/>
      <c r="BT593" s="594"/>
      <c r="BU593" s="594"/>
      <c r="BV593" s="594"/>
      <c r="BW593" s="594"/>
      <c r="BX593" s="594"/>
      <c r="BY593" s="594"/>
      <c r="BZ593" s="594"/>
      <c r="CA593" s="594"/>
      <c r="CB593" s="594"/>
      <c r="CC593" s="594"/>
      <c r="CD593" s="593"/>
      <c r="CE593" s="593"/>
      <c r="CF593" s="595"/>
    </row>
    <row r="594" spans="1:84" s="583" customFormat="1" ht="23.1" customHeight="1">
      <c r="A594" s="584"/>
      <c r="B594" s="585"/>
      <c r="C594" s="585"/>
      <c r="D594" s="596" t="s">
        <v>268</v>
      </c>
      <c r="E594" s="585"/>
      <c r="F594" s="585"/>
      <c r="G594" s="585"/>
      <c r="H594" s="585"/>
      <c r="I594" s="585"/>
      <c r="J594" s="585"/>
      <c r="K594" s="585"/>
      <c r="L594" s="585"/>
      <c r="M594" s="585"/>
      <c r="N594" s="585"/>
      <c r="O594" s="585"/>
      <c r="P594" s="585"/>
      <c r="Q594" s="585"/>
      <c r="R594" s="585"/>
      <c r="S594" s="585"/>
      <c r="T594" s="574"/>
      <c r="U594" s="574"/>
      <c r="V594" s="1435">
        <f>HLOOKUP(D594,$CJ$1:$CM$3,3,0)</f>
        <v>283297</v>
      </c>
      <c r="W594" s="1435"/>
      <c r="X594" s="1435"/>
      <c r="Y594" s="1435"/>
      <c r="Z594" s="1435"/>
      <c r="AA594" s="1435"/>
      <c r="AB594" s="1435"/>
      <c r="AC594" s="1435"/>
      <c r="AD594" s="1435"/>
      <c r="AE594" s="1435"/>
      <c r="AF594" s="1431" t="s">
        <v>446</v>
      </c>
      <c r="AG594" s="1431"/>
      <c r="AH594" s="574"/>
      <c r="AI594" s="1436" t="s">
        <v>1107</v>
      </c>
      <c r="AJ594" s="1436"/>
      <c r="AK594" s="1436"/>
      <c r="AL594" s="1436"/>
      <c r="AM594" s="585"/>
      <c r="AN594" s="1431" t="s">
        <v>446</v>
      </c>
      <c r="AO594" s="1431"/>
      <c r="AP594" s="585"/>
      <c r="AQ594" s="1436" t="s">
        <v>1108</v>
      </c>
      <c r="AR594" s="1436"/>
      <c r="AS594" s="1436"/>
      <c r="AT594" s="1436"/>
      <c r="AU594" s="1436"/>
      <c r="AV594" s="422"/>
      <c r="AW594" s="1431" t="s">
        <v>446</v>
      </c>
      <c r="AX594" s="1431"/>
      <c r="AY594" s="440"/>
      <c r="AZ594" s="1436" t="s">
        <v>1109</v>
      </c>
      <c r="BA594" s="1436"/>
      <c r="BB594" s="1436"/>
      <c r="BC594" s="1436"/>
      <c r="BD594" s="1436"/>
      <c r="BE594" s="585"/>
      <c r="BF594" s="1431" t="s">
        <v>446</v>
      </c>
      <c r="BG594" s="1431"/>
      <c r="BH594" s="1431">
        <v>1</v>
      </c>
      <c r="BI594" s="1431"/>
      <c r="BJ594" s="1431"/>
      <c r="BK594" s="585"/>
      <c r="BL594" s="585" t="s">
        <v>366</v>
      </c>
      <c r="BM594" s="585"/>
      <c r="BN594" s="585"/>
      <c r="BO594" s="585"/>
      <c r="BP594" s="1431" t="s">
        <v>41</v>
      </c>
      <c r="BQ594" s="1431"/>
      <c r="BR594" s="585"/>
      <c r="BS594" s="585"/>
      <c r="BT594" s="1432">
        <f>INT(V594/8*16/12*25/20*BH594)</f>
        <v>59020</v>
      </c>
      <c r="BU594" s="1432"/>
      <c r="BV594" s="1432"/>
      <c r="BW594" s="1432"/>
      <c r="BX594" s="1432"/>
      <c r="BY594" s="1432"/>
      <c r="BZ594" s="1432"/>
      <c r="CA594" s="1432"/>
      <c r="CB594" s="1432"/>
      <c r="CC594" s="1432"/>
      <c r="CD594" s="585"/>
      <c r="CE594" s="585"/>
      <c r="CF594" s="586"/>
    </row>
    <row r="595" spans="1:84" s="583" customFormat="1" ht="23.1" customHeight="1">
      <c r="A595" s="584"/>
      <c r="B595" s="585"/>
      <c r="C595" s="585"/>
      <c r="D595" s="585"/>
      <c r="E595" s="585"/>
      <c r="F595" s="585"/>
      <c r="G595" s="585"/>
      <c r="H595" s="585"/>
      <c r="I595" s="585"/>
      <c r="J595" s="585"/>
      <c r="K595" s="585"/>
      <c r="L595" s="585"/>
      <c r="M595" s="585"/>
      <c r="N595" s="585"/>
      <c r="O595" s="585"/>
      <c r="P595" s="574"/>
      <c r="Q595" s="574"/>
      <c r="R595" s="574"/>
      <c r="S595" s="574"/>
      <c r="T595" s="574"/>
      <c r="U595" s="574"/>
      <c r="V595" s="574"/>
      <c r="W595" s="574"/>
      <c r="X595" s="574"/>
      <c r="Y595" s="574"/>
      <c r="Z595" s="574"/>
      <c r="AA595" s="574"/>
      <c r="AB595" s="574"/>
      <c r="AC595" s="574"/>
      <c r="AD595" s="574"/>
      <c r="AE595" s="574"/>
      <c r="AF595" s="574"/>
      <c r="AG595" s="574"/>
      <c r="AH595" s="574"/>
      <c r="AI595" s="574"/>
      <c r="AJ595" s="574"/>
      <c r="AK595" s="574"/>
      <c r="AL595" s="574"/>
      <c r="AM595" s="574"/>
      <c r="AN595" s="574"/>
      <c r="AO595" s="574"/>
      <c r="AP595" s="574"/>
      <c r="AQ595" s="574"/>
      <c r="AR595" s="574"/>
      <c r="AS595" s="574"/>
      <c r="AT595" s="574"/>
      <c r="AU595" s="574"/>
      <c r="AV595" s="574"/>
      <c r="AW595" s="574"/>
      <c r="AX595" s="574"/>
      <c r="AY595" s="574"/>
      <c r="AZ595" s="574"/>
      <c r="BA595" s="574"/>
      <c r="BB595" s="574"/>
      <c r="BC595" s="574"/>
      <c r="BD595" s="574"/>
      <c r="BE595" s="574"/>
      <c r="BF595" s="574"/>
      <c r="BG595" s="585"/>
      <c r="BH595" s="585"/>
      <c r="BI595" s="585"/>
      <c r="BJ595" s="585"/>
      <c r="BK595" s="585"/>
      <c r="BL595" s="585"/>
      <c r="BM595" s="585"/>
      <c r="BN595" s="585"/>
      <c r="BO595" s="585"/>
      <c r="BP595" s="1431"/>
      <c r="BQ595" s="1431"/>
      <c r="BR595" s="585"/>
      <c r="BS595" s="585"/>
      <c r="BT595" s="1432"/>
      <c r="BU595" s="1432"/>
      <c r="BV595" s="1432"/>
      <c r="BW595" s="1432"/>
      <c r="BX595" s="1432"/>
      <c r="BY595" s="1432"/>
      <c r="BZ595" s="1432"/>
      <c r="CA595" s="1432"/>
      <c r="CB595" s="1432"/>
      <c r="CC595" s="1432"/>
      <c r="CD595" s="585"/>
      <c r="CE595" s="585"/>
      <c r="CF595" s="586"/>
    </row>
    <row r="596" spans="1:84" s="583" customFormat="1" ht="23.1" customHeight="1">
      <c r="A596" s="584"/>
      <c r="B596" s="585"/>
      <c r="C596" s="585"/>
      <c r="D596" s="585"/>
      <c r="E596" s="585"/>
      <c r="F596" s="585"/>
      <c r="G596" s="585"/>
      <c r="H596" s="585"/>
      <c r="I596" s="585"/>
      <c r="J596" s="585"/>
      <c r="K596" s="585"/>
      <c r="L596" s="585"/>
      <c r="M596" s="585"/>
      <c r="N596" s="585"/>
      <c r="O596" s="585"/>
      <c r="P596" s="585"/>
      <c r="Q596" s="585"/>
      <c r="R596" s="585"/>
      <c r="S596" s="585"/>
      <c r="T596" s="585"/>
      <c r="U596" s="585"/>
      <c r="V596" s="585"/>
      <c r="W596" s="585"/>
      <c r="X596" s="585"/>
      <c r="Y596" s="585"/>
      <c r="Z596" s="585"/>
      <c r="AA596" s="585"/>
      <c r="AB596" s="585"/>
      <c r="AC596" s="585"/>
      <c r="AD596" s="574"/>
      <c r="AE596" s="574"/>
      <c r="AF596" s="574"/>
      <c r="AG596" s="574"/>
      <c r="AH596" s="574"/>
      <c r="AI596" s="574"/>
      <c r="AJ596" s="574"/>
      <c r="AK596" s="574"/>
      <c r="AL596" s="574"/>
      <c r="AM596" s="574"/>
      <c r="AN596" s="574"/>
      <c r="AO596" s="574"/>
      <c r="AP596" s="574"/>
      <c r="AQ596" s="574"/>
      <c r="AR596" s="574"/>
      <c r="AS596" s="585"/>
      <c r="AT596" s="590"/>
      <c r="AU596" s="590"/>
      <c r="AV596" s="585"/>
      <c r="AW596" s="585"/>
      <c r="AX596" s="585"/>
      <c r="AY596" s="585"/>
      <c r="AZ596" s="585"/>
      <c r="BA596" s="585"/>
      <c r="BB596" s="585"/>
      <c r="BC596" s="585"/>
      <c r="BD596" s="585"/>
      <c r="BE596" s="585"/>
      <c r="BF596" s="585"/>
      <c r="BG596" s="585"/>
      <c r="BH596" s="585"/>
      <c r="BI596" s="585"/>
      <c r="BJ596" s="585"/>
      <c r="BK596" s="585"/>
      <c r="BL596" s="585"/>
      <c r="BM596" s="585"/>
      <c r="BN596" s="585"/>
      <c r="BO596" s="585"/>
      <c r="BP596" s="1431" t="s">
        <v>41</v>
      </c>
      <c r="BQ596" s="1431"/>
      <c r="BR596" s="585"/>
      <c r="BS596" s="585"/>
      <c r="BT596" s="1434">
        <f>BT594+BT595</f>
        <v>59020</v>
      </c>
      <c r="BU596" s="1434"/>
      <c r="BV596" s="1434"/>
      <c r="BW596" s="1434"/>
      <c r="BX596" s="1434"/>
      <c r="BY596" s="1434"/>
      <c r="BZ596" s="1434"/>
      <c r="CA596" s="1434"/>
      <c r="CB596" s="1434"/>
      <c r="CC596" s="1434"/>
      <c r="CD596" s="585"/>
      <c r="CE596" s="585"/>
      <c r="CF596" s="586"/>
    </row>
    <row r="597" spans="1:84" s="583" customFormat="1" ht="23.1" customHeight="1">
      <c r="A597" s="592"/>
      <c r="B597" s="593" t="s">
        <v>1110</v>
      </c>
      <c r="C597" s="593"/>
      <c r="D597" s="593"/>
      <c r="E597" s="593"/>
      <c r="F597" s="593"/>
      <c r="G597" s="593"/>
      <c r="H597" s="593"/>
      <c r="I597" s="593"/>
      <c r="J597" s="593"/>
      <c r="K597" s="593"/>
      <c r="L597" s="593"/>
      <c r="M597" s="593"/>
      <c r="N597" s="593"/>
      <c r="O597" s="593"/>
      <c r="P597" s="593"/>
      <c r="Q597" s="593"/>
      <c r="R597" s="593"/>
      <c r="S597" s="593"/>
      <c r="T597" s="593"/>
      <c r="U597" s="593"/>
      <c r="V597" s="593"/>
      <c r="W597" s="593"/>
      <c r="X597" s="593"/>
      <c r="Y597" s="593"/>
      <c r="Z597" s="593"/>
      <c r="AA597" s="593"/>
      <c r="AB597" s="593"/>
      <c r="AC597" s="593"/>
      <c r="AD597" s="593"/>
      <c r="AE597" s="593"/>
      <c r="AF597" s="593"/>
      <c r="AG597" s="593"/>
      <c r="AH597" s="593"/>
      <c r="AI597" s="593"/>
      <c r="AJ597" s="593"/>
      <c r="AK597" s="593"/>
      <c r="AL597" s="593"/>
      <c r="AM597" s="593"/>
      <c r="AN597" s="593"/>
      <c r="AO597" s="593"/>
      <c r="AP597" s="593"/>
      <c r="AQ597" s="593"/>
      <c r="AR597" s="593"/>
      <c r="AS597" s="593"/>
      <c r="AT597" s="593"/>
      <c r="AU597" s="593"/>
      <c r="AV597" s="593"/>
      <c r="AW597" s="593"/>
      <c r="AX597" s="593"/>
      <c r="AY597" s="593"/>
      <c r="AZ597" s="593"/>
      <c r="BA597" s="593"/>
      <c r="BB597" s="593"/>
      <c r="BC597" s="593"/>
      <c r="BD597" s="593"/>
      <c r="BE597" s="593"/>
      <c r="BF597" s="593"/>
      <c r="BG597" s="593"/>
      <c r="BH597" s="593"/>
      <c r="BI597" s="593"/>
      <c r="BJ597" s="593"/>
      <c r="BK597" s="593"/>
      <c r="BL597" s="593"/>
      <c r="BM597" s="593"/>
      <c r="BN597" s="593"/>
      <c r="BO597" s="593"/>
      <c r="BP597" s="593"/>
      <c r="BQ597" s="593"/>
      <c r="BR597" s="593"/>
      <c r="BS597" s="593"/>
      <c r="BT597" s="593"/>
      <c r="BU597" s="593"/>
      <c r="BV597" s="593"/>
      <c r="BW597" s="593"/>
      <c r="BX597" s="593"/>
      <c r="BY597" s="593"/>
      <c r="BZ597" s="593"/>
      <c r="CA597" s="593"/>
      <c r="CB597" s="593"/>
      <c r="CC597" s="593"/>
      <c r="CD597" s="593"/>
      <c r="CE597" s="593"/>
      <c r="CF597" s="595"/>
    </row>
    <row r="598" spans="1:84" s="583" customFormat="1" ht="23.1" customHeight="1">
      <c r="A598" s="584"/>
      <c r="B598" s="585"/>
      <c r="C598" s="585"/>
      <c r="D598" s="596" t="s">
        <v>1094</v>
      </c>
      <c r="E598" s="585"/>
      <c r="F598" s="585"/>
      <c r="G598" s="585"/>
      <c r="H598" s="585"/>
      <c r="I598" s="585"/>
      <c r="J598" s="585"/>
      <c r="K598" s="585"/>
      <c r="L598" s="585"/>
      <c r="M598" s="585"/>
      <c r="N598" s="585"/>
      <c r="O598" s="585"/>
      <c r="P598" s="585"/>
      <c r="Q598" s="585"/>
      <c r="R598" s="585"/>
      <c r="S598" s="585"/>
      <c r="T598" s="585"/>
      <c r="U598" s="585"/>
      <c r="V598" s="585"/>
      <c r="W598" s="585"/>
      <c r="X598" s="585"/>
      <c r="Y598" s="585"/>
      <c r="Z598" s="585"/>
      <c r="AA598" s="585"/>
      <c r="AB598" s="585"/>
      <c r="AC598" s="585"/>
      <c r="AD598" s="585"/>
      <c r="AE598" s="585"/>
      <c r="AF598" s="585"/>
      <c r="AG598" s="585"/>
      <c r="AH598" s="585"/>
      <c r="AI598" s="585"/>
      <c r="AJ598" s="585"/>
      <c r="AK598" s="585"/>
      <c r="AL598" s="585"/>
      <c r="AM598" s="585"/>
      <c r="AN598" s="585"/>
      <c r="AO598" s="585"/>
      <c r="AP598" s="585"/>
      <c r="AQ598" s="585"/>
      <c r="AR598" s="422"/>
      <c r="AS598" s="1435" t="e">
        <f>HLOOKUP(D598,$CN$1:$CO$3,3,0)</f>
        <v>#REF!</v>
      </c>
      <c r="AT598" s="1435"/>
      <c r="AU598" s="1435"/>
      <c r="AV598" s="1435"/>
      <c r="AW598" s="1435"/>
      <c r="AX598" s="1435"/>
      <c r="AY598" s="1435"/>
      <c r="AZ598" s="1435"/>
      <c r="BA598" s="1435"/>
      <c r="BB598" s="1435"/>
      <c r="BC598" s="585"/>
      <c r="BD598" s="1431" t="s">
        <v>446</v>
      </c>
      <c r="BE598" s="1431"/>
      <c r="BF598" s="585"/>
      <c r="BG598" s="1431">
        <v>23</v>
      </c>
      <c r="BH598" s="1431"/>
      <c r="BI598" s="1431"/>
      <c r="BJ598" s="1431"/>
      <c r="BK598" s="1431"/>
      <c r="BL598" s="585" t="s">
        <v>1111</v>
      </c>
      <c r="BM598" s="585"/>
      <c r="BN598" s="585"/>
      <c r="BO598" s="585"/>
      <c r="BP598" s="1431" t="s">
        <v>41</v>
      </c>
      <c r="BQ598" s="1431"/>
      <c r="BR598" s="585"/>
      <c r="BS598" s="585"/>
      <c r="BT598" s="1432" t="e">
        <f>INT(AS598*BG598)</f>
        <v>#REF!</v>
      </c>
      <c r="BU598" s="1432"/>
      <c r="BV598" s="1432"/>
      <c r="BW598" s="1432"/>
      <c r="BX598" s="1432"/>
      <c r="BY598" s="1432"/>
      <c r="BZ598" s="1432"/>
      <c r="CA598" s="1432"/>
      <c r="CB598" s="1432"/>
      <c r="CC598" s="1432"/>
      <c r="CD598" s="585"/>
      <c r="CE598" s="585"/>
      <c r="CF598" s="586"/>
    </row>
    <row r="599" spans="1:84" s="583" customFormat="1" ht="23.1" customHeight="1">
      <c r="A599" s="584"/>
      <c r="B599" s="585"/>
      <c r="C599" s="585"/>
      <c r="D599" s="591" t="str">
        <f>"잡재료 (주연료의 "&amp;BG599&amp;"%) :"</f>
        <v>잡재료 (주연료의 38%) :</v>
      </c>
      <c r="E599" s="585"/>
      <c r="F599" s="585"/>
      <c r="G599" s="585"/>
      <c r="H599" s="585"/>
      <c r="I599" s="585"/>
      <c r="J599" s="585"/>
      <c r="K599" s="585"/>
      <c r="L599" s="585"/>
      <c r="M599" s="585"/>
      <c r="N599" s="585"/>
      <c r="O599" s="585"/>
      <c r="P599" s="585"/>
      <c r="Q599" s="585"/>
      <c r="R599" s="585"/>
      <c r="S599" s="585"/>
      <c r="T599" s="585"/>
      <c r="U599" s="585"/>
      <c r="V599" s="585"/>
      <c r="W599" s="585"/>
      <c r="X599" s="585"/>
      <c r="Y599" s="585"/>
      <c r="Z599" s="585"/>
      <c r="AA599" s="585"/>
      <c r="AB599" s="585"/>
      <c r="AC599" s="585"/>
      <c r="AD599" s="585"/>
      <c r="AE599" s="585"/>
      <c r="AF599" s="585"/>
      <c r="AG599" s="585"/>
      <c r="AH599" s="585"/>
      <c r="AI599" s="585"/>
      <c r="AJ599" s="585"/>
      <c r="AK599" s="585"/>
      <c r="AL599" s="585"/>
      <c r="AM599" s="585"/>
      <c r="AN599" s="585"/>
      <c r="AO599" s="585"/>
      <c r="AP599" s="585"/>
      <c r="AQ599" s="585"/>
      <c r="AR599" s="422" t="e">
        <f>BT598</f>
        <v>#REF!</v>
      </c>
      <c r="AS599" s="1430" t="e">
        <f>BT598</f>
        <v>#REF!</v>
      </c>
      <c r="AT599" s="1430"/>
      <c r="AU599" s="1430"/>
      <c r="AV599" s="1430"/>
      <c r="AW599" s="1430"/>
      <c r="AX599" s="1430"/>
      <c r="AY599" s="1430"/>
      <c r="AZ599" s="1430"/>
      <c r="BA599" s="1430"/>
      <c r="BB599" s="1430"/>
      <c r="BC599" s="585"/>
      <c r="BD599" s="1431" t="s">
        <v>446</v>
      </c>
      <c r="BE599" s="1431"/>
      <c r="BF599" s="585"/>
      <c r="BG599" s="1431">
        <v>38</v>
      </c>
      <c r="BH599" s="1431"/>
      <c r="BI599" s="1431"/>
      <c r="BJ599" s="1431"/>
      <c r="BK599" s="1431"/>
      <c r="BL599" s="585" t="s">
        <v>1112</v>
      </c>
      <c r="BM599" s="585"/>
      <c r="BN599" s="585"/>
      <c r="BO599" s="585"/>
      <c r="BP599" s="1431" t="s">
        <v>41</v>
      </c>
      <c r="BQ599" s="1431"/>
      <c r="BR599" s="585"/>
      <c r="BS599" s="585"/>
      <c r="BT599" s="1432" t="e">
        <f>INT(AS599*BG599/100)</f>
        <v>#REF!</v>
      </c>
      <c r="BU599" s="1432"/>
      <c r="BV599" s="1432"/>
      <c r="BW599" s="1432"/>
      <c r="BX599" s="1432"/>
      <c r="BY599" s="1432"/>
      <c r="BZ599" s="1432"/>
      <c r="CA599" s="1432"/>
      <c r="CB599" s="1432"/>
      <c r="CC599" s="1432"/>
      <c r="CD599" s="585"/>
      <c r="CE599" s="585"/>
      <c r="CF599" s="586"/>
    </row>
    <row r="600" spans="1:84" s="583" customFormat="1" ht="23.1" customHeight="1" thickBot="1">
      <c r="A600" s="584"/>
      <c r="B600" s="585"/>
      <c r="C600" s="585"/>
      <c r="D600" s="585"/>
      <c r="E600" s="585"/>
      <c r="F600" s="585"/>
      <c r="G600" s="585"/>
      <c r="H600" s="585"/>
      <c r="I600" s="585"/>
      <c r="J600" s="585"/>
      <c r="K600" s="585"/>
      <c r="L600" s="585"/>
      <c r="M600" s="585"/>
      <c r="N600" s="585"/>
      <c r="O600" s="585"/>
      <c r="P600" s="585"/>
      <c r="Q600" s="585"/>
      <c r="R600" s="585"/>
      <c r="S600" s="585"/>
      <c r="T600" s="585"/>
      <c r="U600" s="585"/>
      <c r="V600" s="585"/>
      <c r="W600" s="585"/>
      <c r="X600" s="585"/>
      <c r="Y600" s="585"/>
      <c r="Z600" s="585"/>
      <c r="AA600" s="585"/>
      <c r="AB600" s="585"/>
      <c r="AC600" s="585"/>
      <c r="AD600" s="585"/>
      <c r="AE600" s="585"/>
      <c r="AF600" s="585"/>
      <c r="AG600" s="585"/>
      <c r="AH600" s="585"/>
      <c r="AI600" s="585"/>
      <c r="AJ600" s="585"/>
      <c r="AK600" s="585"/>
      <c r="AL600" s="585"/>
      <c r="AM600" s="585"/>
      <c r="AN600" s="585"/>
      <c r="AO600" s="585"/>
      <c r="AP600" s="585"/>
      <c r="AQ600" s="585"/>
      <c r="AR600" s="585"/>
      <c r="AS600" s="585"/>
      <c r="AT600" s="585"/>
      <c r="AU600" s="585"/>
      <c r="AV600" s="585"/>
      <c r="AW600" s="585"/>
      <c r="AX600" s="585"/>
      <c r="AY600" s="585"/>
      <c r="AZ600" s="585"/>
      <c r="BA600" s="585"/>
      <c r="BB600" s="585"/>
      <c r="BC600" s="585"/>
      <c r="BD600" s="585"/>
      <c r="BE600" s="585"/>
      <c r="BF600" s="585"/>
      <c r="BG600" s="585"/>
      <c r="BH600" s="585"/>
      <c r="BI600" s="585"/>
      <c r="BJ600" s="585"/>
      <c r="BK600" s="585"/>
      <c r="BL600" s="585"/>
      <c r="BM600" s="585"/>
      <c r="BN600" s="585"/>
      <c r="BO600" s="585"/>
      <c r="BP600" s="1431" t="s">
        <v>41</v>
      </c>
      <c r="BQ600" s="1431"/>
      <c r="BR600" s="585"/>
      <c r="BS600" s="585"/>
      <c r="BT600" s="1433" t="e">
        <f>BT598+BT599</f>
        <v>#REF!</v>
      </c>
      <c r="BU600" s="1433"/>
      <c r="BV600" s="1433"/>
      <c r="BW600" s="1433"/>
      <c r="BX600" s="1433"/>
      <c r="BY600" s="1433"/>
      <c r="BZ600" s="1433"/>
      <c r="CA600" s="1433"/>
      <c r="CB600" s="1433"/>
      <c r="CC600" s="1433"/>
      <c r="CD600" s="585"/>
      <c r="CE600" s="585"/>
      <c r="CF600" s="586"/>
    </row>
    <row r="601" spans="1:84" s="583" customFormat="1" ht="23.1" customHeight="1" thickBot="1">
      <c r="A601" s="597"/>
      <c r="B601" s="598" t="s">
        <v>1113</v>
      </c>
      <c r="C601" s="598"/>
      <c r="D601" s="598"/>
      <c r="E601" s="598"/>
      <c r="F601" s="598"/>
      <c r="G601" s="598"/>
      <c r="H601" s="598"/>
      <c r="I601" s="598"/>
      <c r="J601" s="598"/>
      <c r="K601" s="598"/>
      <c r="L601" s="598"/>
      <c r="M601" s="598"/>
      <c r="N601" s="598"/>
      <c r="O601" s="598"/>
      <c r="P601" s="598"/>
      <c r="Q601" s="598"/>
      <c r="R601" s="598"/>
      <c r="S601" s="598"/>
      <c r="T601" s="598"/>
      <c r="U601" s="598"/>
      <c r="V601" s="598"/>
      <c r="W601" s="598"/>
      <c r="X601" s="598"/>
      <c r="Y601" s="598"/>
      <c r="Z601" s="598"/>
      <c r="AA601" s="598"/>
      <c r="AB601" s="598"/>
      <c r="AC601" s="598"/>
      <c r="AD601" s="598"/>
      <c r="AE601" s="598"/>
      <c r="AF601" s="598"/>
      <c r="AG601" s="598"/>
      <c r="AH601" s="598"/>
      <c r="AI601" s="598"/>
      <c r="AJ601" s="598"/>
      <c r="AK601" s="598"/>
      <c r="AL601" s="598"/>
      <c r="AM601" s="598"/>
      <c r="AN601" s="598"/>
      <c r="AO601" s="598"/>
      <c r="AP601" s="598"/>
      <c r="AQ601" s="598"/>
      <c r="AR601" s="598"/>
      <c r="AS601" s="598"/>
      <c r="AT601" s="598"/>
      <c r="AU601" s="598"/>
      <c r="AV601" s="598"/>
      <c r="AW601" s="598"/>
      <c r="AX601" s="598"/>
      <c r="AY601" s="598"/>
      <c r="AZ601" s="598"/>
      <c r="BA601" s="598"/>
      <c r="BB601" s="598"/>
      <c r="BC601" s="598"/>
      <c r="BD601" s="598"/>
      <c r="BE601" s="598"/>
      <c r="BF601" s="598"/>
      <c r="BG601" s="598"/>
      <c r="BH601" s="598"/>
      <c r="BI601" s="598"/>
      <c r="BJ601" s="598"/>
      <c r="BK601" s="598"/>
      <c r="BL601" s="598"/>
      <c r="BM601" s="598"/>
      <c r="BN601" s="598"/>
      <c r="BO601" s="598"/>
      <c r="BP601" s="598"/>
      <c r="BQ601" s="598"/>
      <c r="BR601" s="598"/>
      <c r="BS601" s="598"/>
      <c r="BT601" s="1429" t="e">
        <f>BT592+BT596+BT600</f>
        <v>#REF!</v>
      </c>
      <c r="BU601" s="1429"/>
      <c r="BV601" s="1429"/>
      <c r="BW601" s="1429"/>
      <c r="BX601" s="1429"/>
      <c r="BY601" s="1429"/>
      <c r="BZ601" s="1429"/>
      <c r="CA601" s="1429"/>
      <c r="CB601" s="1429"/>
      <c r="CC601" s="1429"/>
      <c r="CD601" s="598"/>
      <c r="CE601" s="598"/>
      <c r="CF601" s="599"/>
    </row>
    <row r="602" spans="1:84" s="583" customFormat="1" ht="9.9499999999999993" customHeight="1">
      <c r="A602" s="574"/>
      <c r="B602" s="574"/>
      <c r="C602" s="574"/>
      <c r="D602" s="574"/>
      <c r="E602" s="574"/>
      <c r="F602" s="574"/>
      <c r="G602" s="574"/>
      <c r="H602" s="574"/>
      <c r="I602" s="574"/>
      <c r="J602" s="574"/>
      <c r="K602" s="574"/>
      <c r="L602" s="574"/>
      <c r="M602" s="574"/>
      <c r="N602" s="574"/>
      <c r="O602" s="574"/>
      <c r="P602" s="574"/>
      <c r="Q602" s="574"/>
      <c r="R602" s="574"/>
      <c r="S602" s="574"/>
      <c r="T602" s="574"/>
      <c r="U602" s="574"/>
      <c r="V602" s="574"/>
      <c r="W602" s="574"/>
      <c r="X602" s="574"/>
      <c r="Y602" s="574"/>
      <c r="Z602" s="574"/>
      <c r="AA602" s="574"/>
      <c r="AB602" s="574"/>
      <c r="AC602" s="574"/>
      <c r="AD602" s="574"/>
      <c r="AE602" s="574"/>
      <c r="AF602" s="574"/>
      <c r="AG602" s="574"/>
      <c r="AH602" s="574"/>
      <c r="AI602" s="574"/>
      <c r="AJ602" s="574"/>
      <c r="AK602" s="574"/>
      <c r="AL602" s="574"/>
      <c r="AM602" s="574"/>
      <c r="AN602" s="574"/>
      <c r="AO602" s="574"/>
      <c r="AP602" s="574"/>
      <c r="AQ602" s="574"/>
      <c r="AR602" s="574"/>
      <c r="AS602" s="574"/>
      <c r="AT602" s="574"/>
      <c r="AU602" s="574"/>
      <c r="AV602" s="574"/>
      <c r="AW602" s="574"/>
      <c r="AX602" s="574"/>
      <c r="AY602" s="574"/>
      <c r="AZ602" s="574"/>
      <c r="BA602" s="574"/>
      <c r="BB602" s="574"/>
      <c r="BC602" s="574"/>
      <c r="BD602" s="574"/>
      <c r="BE602" s="574"/>
      <c r="BF602" s="574"/>
      <c r="BG602" s="574"/>
      <c r="BH602" s="574"/>
      <c r="BI602" s="574"/>
      <c r="BJ602" s="574"/>
      <c r="BK602" s="574"/>
      <c r="BL602" s="574"/>
      <c r="BM602" s="574"/>
      <c r="BN602" s="574"/>
      <c r="BO602" s="574"/>
      <c r="BP602" s="574"/>
      <c r="BQ602" s="574"/>
      <c r="BR602" s="574"/>
      <c r="BS602" s="574"/>
      <c r="BT602" s="574"/>
      <c r="BU602" s="574"/>
      <c r="BV602" s="574"/>
      <c r="BW602" s="574"/>
      <c r="BX602" s="574"/>
      <c r="BY602" s="574"/>
      <c r="BZ602" s="574"/>
      <c r="CA602" s="574"/>
      <c r="CB602" s="574"/>
      <c r="CC602" s="574"/>
      <c r="CD602" s="574"/>
      <c r="CE602" s="574"/>
      <c r="CF602" s="574"/>
    </row>
    <row r="603" spans="1:84" s="583" customFormat="1" ht="23.1" customHeight="1" thickBot="1">
      <c r="A603" s="1446" t="s">
        <v>1095</v>
      </c>
      <c r="B603" s="1446"/>
      <c r="C603" s="1446"/>
      <c r="D603" s="1446"/>
      <c r="E603" s="1446"/>
      <c r="F603" s="1446"/>
      <c r="G603" s="1447">
        <f>G588+1</f>
        <v>41</v>
      </c>
      <c r="H603" s="1447"/>
      <c r="I603" s="1447"/>
      <c r="J603" s="1448" t="s">
        <v>1096</v>
      </c>
      <c r="K603" s="1448"/>
      <c r="L603" s="574"/>
      <c r="M603" s="574"/>
      <c r="N603" s="574"/>
      <c r="O603" s="574"/>
      <c r="P603" s="574"/>
      <c r="Q603" s="574"/>
      <c r="R603" s="574"/>
      <c r="S603" s="574"/>
      <c r="T603" s="574"/>
      <c r="U603" s="574"/>
      <c r="V603" s="574"/>
      <c r="W603" s="574"/>
      <c r="X603" s="574"/>
      <c r="Y603" s="574"/>
      <c r="Z603" s="574"/>
      <c r="AA603" s="574"/>
      <c r="AB603" s="574"/>
      <c r="AC603" s="574"/>
      <c r="AD603" s="574"/>
      <c r="AE603" s="574"/>
      <c r="AF603" s="574"/>
      <c r="AG603" s="574"/>
      <c r="AH603" s="574"/>
      <c r="AI603" s="574"/>
      <c r="AJ603" s="574"/>
      <c r="AK603" s="574"/>
      <c r="AL603" s="574"/>
      <c r="AM603" s="574"/>
      <c r="AN603" s="574"/>
      <c r="AO603" s="574"/>
      <c r="AP603" s="574"/>
      <c r="AQ603" s="574"/>
      <c r="AR603" s="574"/>
      <c r="AS603" s="574"/>
      <c r="AT603" s="574"/>
      <c r="AU603" s="574"/>
      <c r="AV603" s="574"/>
      <c r="AW603" s="574"/>
      <c r="AX603" s="574"/>
      <c r="AY603" s="574"/>
      <c r="AZ603" s="574"/>
      <c r="BA603" s="574"/>
      <c r="BB603" s="574"/>
      <c r="BC603" s="574"/>
      <c r="BD603" s="574"/>
      <c r="BE603" s="574"/>
      <c r="BF603" s="574"/>
      <c r="BG603" s="574"/>
      <c r="BH603" s="574"/>
      <c r="BI603" s="574"/>
      <c r="BJ603" s="574"/>
      <c r="BK603" s="574"/>
      <c r="BL603" s="574"/>
      <c r="BM603" s="574"/>
      <c r="BN603" s="574"/>
      <c r="BO603" s="574"/>
      <c r="BP603" s="574"/>
      <c r="BQ603" s="574"/>
      <c r="BR603" s="574"/>
      <c r="BS603" s="574"/>
      <c r="BT603" s="574"/>
      <c r="BU603" s="574"/>
      <c r="BV603" s="574"/>
      <c r="BW603" s="574"/>
      <c r="BX603" s="574"/>
      <c r="BY603" s="574"/>
      <c r="BZ603" s="574"/>
      <c r="CA603" s="574"/>
      <c r="CB603" s="574"/>
      <c r="CC603" s="574"/>
      <c r="CD603" s="574"/>
      <c r="CE603" s="574"/>
      <c r="CF603" s="574"/>
    </row>
    <row r="604" spans="1:84" s="583" customFormat="1" ht="23.1" customHeight="1" thickBot="1">
      <c r="A604" s="1483" t="s">
        <v>1097</v>
      </c>
      <c r="B604" s="1484"/>
      <c r="C604" s="1484"/>
      <c r="D604" s="1484"/>
      <c r="E604" s="1484"/>
      <c r="F604" s="1484"/>
      <c r="G604" s="1484"/>
      <c r="H604" s="1484"/>
      <c r="I604" s="581" t="s">
        <v>1164</v>
      </c>
      <c r="J604" s="581"/>
      <c r="K604" s="581"/>
      <c r="L604" s="581"/>
      <c r="M604" s="581"/>
      <c r="N604" s="581"/>
      <c r="O604" s="581"/>
      <c r="P604" s="581"/>
      <c r="Q604" s="581"/>
      <c r="R604" s="581"/>
      <c r="S604" s="581"/>
      <c r="T604" s="581"/>
      <c r="U604" s="581"/>
      <c r="V604" s="581"/>
      <c r="W604" s="581"/>
      <c r="X604" s="581"/>
      <c r="Y604" s="581"/>
      <c r="Z604" s="581"/>
      <c r="AA604" s="581"/>
      <c r="AB604" s="581"/>
      <c r="AC604" s="581"/>
      <c r="AD604" s="581"/>
      <c r="AE604" s="581"/>
      <c r="AF604" s="581"/>
      <c r="AG604" s="581"/>
      <c r="AH604" s="581"/>
      <c r="AI604" s="581"/>
      <c r="AJ604" s="1484" t="s">
        <v>1099</v>
      </c>
      <c r="AK604" s="1484"/>
      <c r="AL604" s="1484"/>
      <c r="AM604" s="1484"/>
      <c r="AN604" s="1484"/>
      <c r="AO604" s="1484"/>
      <c r="AP604" s="1484"/>
      <c r="AQ604" s="581" t="s">
        <v>642</v>
      </c>
      <c r="AR604" s="581"/>
      <c r="AS604" s="581"/>
      <c r="AT604" s="581"/>
      <c r="AU604" s="581"/>
      <c r="AV604" s="581"/>
      <c r="AW604" s="581"/>
      <c r="AX604" s="581"/>
      <c r="AY604" s="581"/>
      <c r="AZ604" s="581"/>
      <c r="BA604" s="581"/>
      <c r="BB604" s="581"/>
      <c r="BC604" s="581"/>
      <c r="BD604" s="581"/>
      <c r="BE604" s="581"/>
      <c r="BF604" s="581"/>
      <c r="BG604" s="581"/>
      <c r="BH604" s="581"/>
      <c r="BI604" s="581"/>
      <c r="BJ604" s="581"/>
      <c r="BK604" s="581"/>
      <c r="BL604" s="581"/>
      <c r="BM604" s="581"/>
      <c r="BN604" s="581"/>
      <c r="BO604" s="581"/>
      <c r="BP604" s="581"/>
      <c r="BQ604" s="581"/>
      <c r="BR604" s="581"/>
      <c r="BS604" s="581"/>
      <c r="BT604" s="581" t="s">
        <v>1153</v>
      </c>
      <c r="BU604" s="581"/>
      <c r="BV604" s="581"/>
      <c r="BW604" s="581"/>
      <c r="BX604" s="581"/>
      <c r="BY604" s="581"/>
      <c r="BZ604" s="581"/>
      <c r="CA604" s="581"/>
      <c r="CB604" s="581"/>
      <c r="CC604" s="581"/>
      <c r="CD604" s="581"/>
      <c r="CE604" s="581"/>
      <c r="CF604" s="582"/>
    </row>
    <row r="605" spans="1:84" s="583" customFormat="1" ht="23.1" customHeight="1">
      <c r="A605" s="584"/>
      <c r="B605" s="585" t="s">
        <v>1102</v>
      </c>
      <c r="C605" s="585"/>
      <c r="D605" s="585"/>
      <c r="E605" s="585"/>
      <c r="F605" s="585"/>
      <c r="G605" s="585"/>
      <c r="H605" s="585"/>
      <c r="I605" s="585"/>
      <c r="J605" s="585"/>
      <c r="K605" s="585"/>
      <c r="L605" s="585"/>
      <c r="M605" s="585"/>
      <c r="N605" s="585"/>
      <c r="O605" s="585"/>
      <c r="P605" s="585"/>
      <c r="Q605" s="585"/>
      <c r="R605" s="585"/>
      <c r="S605" s="585"/>
      <c r="T605" s="585"/>
      <c r="U605" s="585"/>
      <c r="V605" s="585"/>
      <c r="W605" s="585"/>
      <c r="X605" s="585"/>
      <c r="Y605" s="585"/>
      <c r="Z605" s="585"/>
      <c r="AA605" s="585"/>
      <c r="AB605" s="585"/>
      <c r="AC605" s="585"/>
      <c r="AD605" s="585"/>
      <c r="AE605" s="585"/>
      <c r="AF605" s="585"/>
      <c r="AG605" s="585"/>
      <c r="AH605" s="585"/>
      <c r="AI605" s="585"/>
      <c r="AJ605" s="585"/>
      <c r="AK605" s="585"/>
      <c r="AL605" s="585"/>
      <c r="AM605" s="585"/>
      <c r="AN605" s="585"/>
      <c r="AO605" s="585"/>
      <c r="AP605" s="585"/>
      <c r="AQ605" s="585"/>
      <c r="AR605" s="585"/>
      <c r="AS605" s="585"/>
      <c r="AT605" s="585"/>
      <c r="AU605" s="585"/>
      <c r="AV605" s="585"/>
      <c r="AW605" s="585"/>
      <c r="AX605" s="585"/>
      <c r="AY605" s="585"/>
      <c r="AZ605" s="585"/>
      <c r="BA605" s="585"/>
      <c r="BB605" s="585"/>
      <c r="BC605" s="585"/>
      <c r="BD605" s="585"/>
      <c r="BE605" s="585"/>
      <c r="BF605" s="585"/>
      <c r="BG605" s="585"/>
      <c r="BH605" s="585"/>
      <c r="BI605" s="585"/>
      <c r="BJ605" s="585"/>
      <c r="BK605" s="585"/>
      <c r="BL605" s="585"/>
      <c r="BM605" s="585"/>
      <c r="BN605" s="585"/>
      <c r="BO605" s="585"/>
      <c r="BP605" s="585"/>
      <c r="BQ605" s="585"/>
      <c r="BR605" s="585"/>
      <c r="BS605" s="585"/>
      <c r="BT605" s="585"/>
      <c r="BU605" s="585"/>
      <c r="BV605" s="585"/>
      <c r="BW605" s="585"/>
      <c r="BX605" s="585"/>
      <c r="BY605" s="585"/>
      <c r="BZ605" s="585"/>
      <c r="CA605" s="585"/>
      <c r="CB605" s="585"/>
      <c r="CC605" s="585"/>
      <c r="CD605" s="585"/>
      <c r="CE605" s="585"/>
      <c r="CF605" s="586"/>
    </row>
    <row r="606" spans="1:84" s="583" customFormat="1" ht="23.1" customHeight="1">
      <c r="A606" s="587"/>
      <c r="B606" s="574"/>
      <c r="C606" s="574"/>
      <c r="S606" s="588"/>
      <c r="T606" s="588"/>
      <c r="U606" s="588"/>
      <c r="V606" s="588"/>
      <c r="W606" s="588"/>
      <c r="X606" s="588"/>
      <c r="Y606" s="588"/>
      <c r="Z606" s="588"/>
      <c r="AA606" s="574"/>
      <c r="AB606" s="588"/>
      <c r="AC606" s="585"/>
      <c r="AD606" s="585"/>
      <c r="AE606" s="600"/>
      <c r="AF606" s="600"/>
      <c r="AG606" s="600"/>
      <c r="AH606" s="600"/>
      <c r="AI606" s="600"/>
      <c r="AJ606" s="600"/>
      <c r="AK606" s="600"/>
      <c r="AL606" s="600"/>
      <c r="AM606" s="585"/>
      <c r="AN606" s="585"/>
      <c r="AO606" s="574"/>
      <c r="BG606" s="574"/>
      <c r="BH606" s="574"/>
      <c r="BK606" s="574"/>
      <c r="BL606" s="574"/>
      <c r="BM606" s="574"/>
      <c r="BN606" s="574"/>
      <c r="BO606" s="574"/>
      <c r="BP606" s="574"/>
      <c r="BQ606" s="574"/>
      <c r="BR606" s="574"/>
      <c r="BS606" s="574"/>
      <c r="BT606" s="574"/>
      <c r="BU606" s="574"/>
      <c r="BV606" s="574"/>
      <c r="BW606" s="574"/>
      <c r="BX606" s="574"/>
      <c r="BY606" s="574"/>
      <c r="BZ606" s="574"/>
      <c r="CA606" s="574"/>
      <c r="CB606" s="574"/>
      <c r="CC606" s="574"/>
      <c r="CD606" s="574"/>
      <c r="CE606" s="574"/>
      <c r="CF606" s="589"/>
    </row>
    <row r="607" spans="1:84" s="583" customFormat="1" ht="23.1" customHeight="1">
      <c r="A607" s="584"/>
      <c r="B607" s="585"/>
      <c r="C607" s="585"/>
      <c r="H607" s="1502">
        <f>$AE$517</f>
        <v>21982000</v>
      </c>
      <c r="I607" s="1502"/>
      <c r="J607" s="1502"/>
      <c r="K607" s="1502"/>
      <c r="L607" s="1502"/>
      <c r="M607" s="1502"/>
      <c r="N607" s="1502"/>
      <c r="O607" s="1502"/>
      <c r="P607" s="1502"/>
      <c r="Q607" s="1502"/>
      <c r="R607" s="1502"/>
      <c r="S607" s="1502"/>
      <c r="T607" s="1502"/>
      <c r="U607" s="1502"/>
      <c r="V607" s="1502"/>
      <c r="W607" s="1431" t="s">
        <v>446</v>
      </c>
      <c r="X607" s="1431"/>
      <c r="Y607" s="1491" t="s">
        <v>1127</v>
      </c>
      <c r="Z607" s="1491"/>
      <c r="AA607" s="1503" t="s">
        <v>1103</v>
      </c>
      <c r="AB607" s="1503"/>
      <c r="AC607" s="1442">
        <v>1200</v>
      </c>
      <c r="AD607" s="1442"/>
      <c r="AE607" s="1442"/>
      <c r="AF607" s="1442"/>
      <c r="AG607" s="1442"/>
      <c r="AH607" s="1442"/>
      <c r="AI607" s="1431" t="s">
        <v>1128</v>
      </c>
      <c r="AJ607" s="1431"/>
      <c r="AK607" s="1442">
        <v>1067</v>
      </c>
      <c r="AL607" s="1442"/>
      <c r="AM607" s="1442"/>
      <c r="AN607" s="1442"/>
      <c r="AO607" s="1442"/>
      <c r="AP607" s="1442"/>
      <c r="AQ607" s="1503" t="s">
        <v>1105</v>
      </c>
      <c r="AR607" s="1503"/>
      <c r="AS607" s="1431" t="s">
        <v>446</v>
      </c>
      <c r="AT607" s="1431"/>
      <c r="AU607" s="1504">
        <v>1.1000000000000001</v>
      </c>
      <c r="AV607" s="1504"/>
      <c r="AW607" s="1504"/>
      <c r="AX607" s="1504"/>
      <c r="AY607" s="1504"/>
      <c r="AZ607" s="1431" t="s">
        <v>1128</v>
      </c>
      <c r="BA607" s="1431"/>
      <c r="BB607" s="1431">
        <v>700</v>
      </c>
      <c r="BC607" s="1431"/>
      <c r="BD607" s="1431"/>
      <c r="BE607" s="1431"/>
      <c r="BF607" s="1431"/>
      <c r="BG607" s="1491" t="s">
        <v>1096</v>
      </c>
      <c r="BH607" s="1491"/>
      <c r="BI607" s="1431" t="s">
        <v>446</v>
      </c>
      <c r="BJ607" s="1431"/>
      <c r="BK607" s="591" t="s">
        <v>1104</v>
      </c>
      <c r="BL607" s="585"/>
      <c r="BM607" s="585"/>
      <c r="BN607" s="585"/>
      <c r="BO607" s="585"/>
      <c r="BP607" s="1431" t="s">
        <v>41</v>
      </c>
      <c r="BQ607" s="1431"/>
      <c r="BR607" s="585"/>
      <c r="BS607" s="585"/>
      <c r="BT607" s="1437">
        <f>INT(H607*((AC607+AK607)*AU607+BB607)*10^-7)</f>
        <v>7020</v>
      </c>
      <c r="BU607" s="1437"/>
      <c r="BV607" s="1437"/>
      <c r="BW607" s="1437"/>
      <c r="BX607" s="1437"/>
      <c r="BY607" s="1437"/>
      <c r="BZ607" s="1437"/>
      <c r="CA607" s="1437"/>
      <c r="CB607" s="1437"/>
      <c r="CC607" s="1437"/>
      <c r="CD607" s="585"/>
      <c r="CE607" s="585"/>
      <c r="CF607" s="586"/>
    </row>
    <row r="608" spans="1:84" s="583" customFormat="1" ht="23.1" customHeight="1">
      <c r="A608" s="592"/>
      <c r="B608" s="593" t="s">
        <v>1106</v>
      </c>
      <c r="C608" s="593"/>
      <c r="D608" s="593"/>
      <c r="E608" s="593"/>
      <c r="F608" s="593"/>
      <c r="G608" s="593"/>
      <c r="H608" s="593"/>
      <c r="I608" s="593"/>
      <c r="J608" s="593"/>
      <c r="K608" s="593"/>
      <c r="L608" s="593"/>
      <c r="M608" s="593"/>
      <c r="N608" s="593"/>
      <c r="O608" s="593"/>
      <c r="P608" s="593"/>
      <c r="Q608" s="593"/>
      <c r="R608" s="593"/>
      <c r="S608" s="593"/>
      <c r="T608" s="593"/>
      <c r="U608" s="593"/>
      <c r="V608" s="593"/>
      <c r="W608" s="593"/>
      <c r="X608" s="593"/>
      <c r="Y608" s="593"/>
      <c r="Z608" s="593"/>
      <c r="AA608" s="593"/>
      <c r="AB608" s="593"/>
      <c r="AC608" s="593"/>
      <c r="AD608" s="593"/>
      <c r="AE608" s="593"/>
      <c r="AF608" s="593"/>
      <c r="AG608" s="593"/>
      <c r="AH608" s="593"/>
      <c r="AI608" s="593"/>
      <c r="AJ608" s="593"/>
      <c r="AK608" s="593"/>
      <c r="AL608" s="593"/>
      <c r="AM608" s="593"/>
      <c r="AN608" s="593"/>
      <c r="AO608" s="593"/>
      <c r="AP608" s="593"/>
      <c r="AQ608" s="593"/>
      <c r="AR608" s="593"/>
      <c r="AS608" s="593"/>
      <c r="AT608" s="593"/>
      <c r="AU608" s="593"/>
      <c r="AV608" s="593"/>
      <c r="AW608" s="593"/>
      <c r="AX608" s="593"/>
      <c r="AY608" s="593"/>
      <c r="AZ608" s="593"/>
      <c r="BA608" s="593"/>
      <c r="BB608" s="593"/>
      <c r="BC608" s="593"/>
      <c r="BD608" s="593"/>
      <c r="BE608" s="593"/>
      <c r="BF608" s="593"/>
      <c r="BG608" s="593"/>
      <c r="BH608" s="593"/>
      <c r="BI608" s="593"/>
      <c r="BJ608" s="593"/>
      <c r="BK608" s="593"/>
      <c r="BL608" s="593"/>
      <c r="BM608" s="593"/>
      <c r="BN608" s="593"/>
      <c r="BO608" s="593"/>
      <c r="BP608" s="593"/>
      <c r="BQ608" s="593"/>
      <c r="BR608" s="593"/>
      <c r="BS608" s="593"/>
      <c r="BT608" s="594"/>
      <c r="BU608" s="594"/>
      <c r="BV608" s="594"/>
      <c r="BW608" s="594"/>
      <c r="BX608" s="594"/>
      <c r="BY608" s="594"/>
      <c r="BZ608" s="594"/>
      <c r="CA608" s="594"/>
      <c r="CB608" s="594"/>
      <c r="CC608" s="594"/>
      <c r="CD608" s="593"/>
      <c r="CE608" s="593"/>
      <c r="CF608" s="595"/>
    </row>
    <row r="609" spans="1:84" s="583" customFormat="1" ht="23.1" customHeight="1">
      <c r="A609" s="584"/>
      <c r="B609" s="585"/>
      <c r="C609" s="585"/>
      <c r="D609" s="596" t="s">
        <v>1092</v>
      </c>
      <c r="E609" s="585"/>
      <c r="F609" s="585"/>
      <c r="G609" s="585"/>
      <c r="H609" s="585"/>
      <c r="I609" s="585"/>
      <c r="J609" s="585"/>
      <c r="K609" s="585"/>
      <c r="L609" s="585"/>
      <c r="M609" s="585"/>
      <c r="N609" s="585"/>
      <c r="O609" s="585"/>
      <c r="P609" s="585"/>
      <c r="Q609" s="585"/>
      <c r="R609" s="585"/>
      <c r="S609" s="585"/>
      <c r="T609" s="574"/>
      <c r="U609" s="574"/>
      <c r="V609" s="1435">
        <f>HLOOKUP(D609,$CJ$1:$CM$3,3,0)</f>
        <v>238936</v>
      </c>
      <c r="W609" s="1435"/>
      <c r="X609" s="1435"/>
      <c r="Y609" s="1435"/>
      <c r="Z609" s="1435"/>
      <c r="AA609" s="1435"/>
      <c r="AB609" s="1435"/>
      <c r="AC609" s="1435"/>
      <c r="AD609" s="1435"/>
      <c r="AE609" s="1435"/>
      <c r="AF609" s="1431" t="s">
        <v>446</v>
      </c>
      <c r="AG609" s="1431"/>
      <c r="AH609" s="574"/>
      <c r="AI609" s="1436" t="s">
        <v>1107</v>
      </c>
      <c r="AJ609" s="1436"/>
      <c r="AK609" s="1436"/>
      <c r="AL609" s="1436"/>
      <c r="AM609" s="585"/>
      <c r="AN609" s="1431" t="s">
        <v>446</v>
      </c>
      <c r="AO609" s="1431"/>
      <c r="AP609" s="585"/>
      <c r="AQ609" s="1436" t="s">
        <v>1108</v>
      </c>
      <c r="AR609" s="1436"/>
      <c r="AS609" s="1436"/>
      <c r="AT609" s="1436"/>
      <c r="AU609" s="1436"/>
      <c r="AV609" s="422"/>
      <c r="AW609" s="1431" t="s">
        <v>446</v>
      </c>
      <c r="AX609" s="1431"/>
      <c r="AY609" s="440"/>
      <c r="AZ609" s="1436" t="s">
        <v>1109</v>
      </c>
      <c r="BA609" s="1436"/>
      <c r="BB609" s="1436"/>
      <c r="BC609" s="1436"/>
      <c r="BD609" s="1436"/>
      <c r="BE609" s="585"/>
      <c r="BF609" s="1431" t="s">
        <v>446</v>
      </c>
      <c r="BG609" s="1431"/>
      <c r="BH609" s="1431">
        <v>1</v>
      </c>
      <c r="BI609" s="1431"/>
      <c r="BJ609" s="1431"/>
      <c r="BK609" s="585"/>
      <c r="BL609" s="585" t="s">
        <v>366</v>
      </c>
      <c r="BM609" s="585"/>
      <c r="BN609" s="585"/>
      <c r="BO609" s="585"/>
      <c r="BP609" s="1431" t="s">
        <v>41</v>
      </c>
      <c r="BQ609" s="1431"/>
      <c r="BR609" s="585"/>
      <c r="BS609" s="585"/>
      <c r="BT609" s="1432">
        <f>INT(V609/8*16/12*25/20*BH609)</f>
        <v>49778</v>
      </c>
      <c r="BU609" s="1432"/>
      <c r="BV609" s="1432"/>
      <c r="BW609" s="1432"/>
      <c r="BX609" s="1432"/>
      <c r="BY609" s="1432"/>
      <c r="BZ609" s="1432"/>
      <c r="CA609" s="1432"/>
      <c r="CB609" s="1432"/>
      <c r="CC609" s="1432"/>
      <c r="CD609" s="585"/>
      <c r="CE609" s="585"/>
      <c r="CF609" s="586"/>
    </row>
    <row r="610" spans="1:84" s="583" customFormat="1" ht="23.1" customHeight="1">
      <c r="A610" s="584"/>
      <c r="B610" s="585"/>
      <c r="C610" s="585"/>
      <c r="D610" s="585"/>
      <c r="E610" s="585"/>
      <c r="F610" s="585"/>
      <c r="G610" s="585"/>
      <c r="H610" s="585"/>
      <c r="I610" s="585"/>
      <c r="J610" s="585"/>
      <c r="K610" s="585"/>
      <c r="L610" s="585"/>
      <c r="M610" s="585"/>
      <c r="N610" s="585"/>
      <c r="O610" s="585"/>
      <c r="P610" s="574"/>
      <c r="Q610" s="574"/>
      <c r="R610" s="574"/>
      <c r="S610" s="574"/>
      <c r="T610" s="574"/>
      <c r="U610" s="574"/>
      <c r="V610" s="574"/>
      <c r="W610" s="574"/>
      <c r="X610" s="574"/>
      <c r="Y610" s="574"/>
      <c r="Z610" s="574"/>
      <c r="AA610" s="574"/>
      <c r="AB610" s="574"/>
      <c r="AC610" s="574"/>
      <c r="AD610" s="574"/>
      <c r="AE610" s="574"/>
      <c r="AF610" s="574"/>
      <c r="AG610" s="574"/>
      <c r="AH610" s="574"/>
      <c r="AI610" s="574"/>
      <c r="AJ610" s="574"/>
      <c r="AK610" s="574"/>
      <c r="AL610" s="574"/>
      <c r="AM610" s="574"/>
      <c r="AN610" s="574"/>
      <c r="AO610" s="574"/>
      <c r="AP610" s="574"/>
      <c r="AQ610" s="574"/>
      <c r="AR610" s="574"/>
      <c r="AS610" s="574"/>
      <c r="AT610" s="574"/>
      <c r="AU610" s="574"/>
      <c r="AV610" s="574"/>
      <c r="AW610" s="574"/>
      <c r="AX610" s="574"/>
      <c r="AY610" s="574"/>
      <c r="AZ610" s="574"/>
      <c r="BA610" s="574"/>
      <c r="BB610" s="574"/>
      <c r="BC610" s="574"/>
      <c r="BD610" s="574"/>
      <c r="BE610" s="574"/>
      <c r="BF610" s="574"/>
      <c r="BG610" s="585"/>
      <c r="BH610" s="585"/>
      <c r="BI610" s="585"/>
      <c r="BJ610" s="585"/>
      <c r="BK610" s="585"/>
      <c r="BL610" s="585"/>
      <c r="BM610" s="585"/>
      <c r="BN610" s="585"/>
      <c r="BO610" s="585"/>
      <c r="BP610" s="1431"/>
      <c r="BQ610" s="1431"/>
      <c r="BR610" s="585"/>
      <c r="BS610" s="585"/>
      <c r="BT610" s="1432"/>
      <c r="BU610" s="1432"/>
      <c r="BV610" s="1432"/>
      <c r="BW610" s="1432"/>
      <c r="BX610" s="1432"/>
      <c r="BY610" s="1432"/>
      <c r="BZ610" s="1432"/>
      <c r="CA610" s="1432"/>
      <c r="CB610" s="1432"/>
      <c r="CC610" s="1432"/>
      <c r="CD610" s="585"/>
      <c r="CE610" s="585"/>
      <c r="CF610" s="586"/>
    </row>
    <row r="611" spans="1:84" s="583" customFormat="1" ht="23.1" customHeight="1">
      <c r="A611" s="584"/>
      <c r="B611" s="585"/>
      <c r="C611" s="585"/>
      <c r="D611" s="585"/>
      <c r="E611" s="585"/>
      <c r="F611" s="585"/>
      <c r="G611" s="585"/>
      <c r="H611" s="585"/>
      <c r="I611" s="585"/>
      <c r="J611" s="585"/>
      <c r="K611" s="585"/>
      <c r="L611" s="585"/>
      <c r="M611" s="585"/>
      <c r="N611" s="585"/>
      <c r="O611" s="585"/>
      <c r="P611" s="585"/>
      <c r="Q611" s="585"/>
      <c r="R611" s="585"/>
      <c r="S611" s="585"/>
      <c r="T611" s="585"/>
      <c r="U611" s="585"/>
      <c r="V611" s="585"/>
      <c r="W611" s="585"/>
      <c r="X611" s="585"/>
      <c r="Y611" s="585"/>
      <c r="Z611" s="585"/>
      <c r="AA611" s="585"/>
      <c r="AB611" s="585"/>
      <c r="AC611" s="585"/>
      <c r="AD611" s="574"/>
      <c r="AE611" s="574"/>
      <c r="AF611" s="574"/>
      <c r="AG611" s="574"/>
      <c r="AH611" s="574"/>
      <c r="AI611" s="574"/>
      <c r="AJ611" s="574"/>
      <c r="AK611" s="574"/>
      <c r="AL611" s="574"/>
      <c r="AM611" s="574"/>
      <c r="AN611" s="574"/>
      <c r="AO611" s="574"/>
      <c r="AP611" s="574"/>
      <c r="AQ611" s="574"/>
      <c r="AR611" s="574"/>
      <c r="AS611" s="585"/>
      <c r="AT611" s="590"/>
      <c r="AU611" s="590"/>
      <c r="AV611" s="585"/>
      <c r="AW611" s="585"/>
      <c r="AX611" s="585"/>
      <c r="AY611" s="585"/>
      <c r="AZ611" s="585"/>
      <c r="BA611" s="585"/>
      <c r="BB611" s="585"/>
      <c r="BC611" s="585"/>
      <c r="BD611" s="585"/>
      <c r="BE611" s="585"/>
      <c r="BF611" s="585"/>
      <c r="BG611" s="585"/>
      <c r="BH611" s="585"/>
      <c r="BI611" s="585"/>
      <c r="BJ611" s="585"/>
      <c r="BK611" s="585"/>
      <c r="BL611" s="585"/>
      <c r="BM611" s="585"/>
      <c r="BN611" s="585"/>
      <c r="BO611" s="585"/>
      <c r="BP611" s="1431" t="s">
        <v>41</v>
      </c>
      <c r="BQ611" s="1431"/>
      <c r="BR611" s="585"/>
      <c r="BS611" s="585"/>
      <c r="BT611" s="1434">
        <f>BT609+BT610</f>
        <v>49778</v>
      </c>
      <c r="BU611" s="1434"/>
      <c r="BV611" s="1434"/>
      <c r="BW611" s="1434"/>
      <c r="BX611" s="1434"/>
      <c r="BY611" s="1434"/>
      <c r="BZ611" s="1434"/>
      <c r="CA611" s="1434"/>
      <c r="CB611" s="1434"/>
      <c r="CC611" s="1434"/>
      <c r="CD611" s="585"/>
      <c r="CE611" s="585"/>
      <c r="CF611" s="586"/>
    </row>
    <row r="612" spans="1:84" s="583" customFormat="1" ht="23.1" customHeight="1">
      <c r="A612" s="592"/>
      <c r="B612" s="593" t="s">
        <v>1110</v>
      </c>
      <c r="C612" s="593"/>
      <c r="D612" s="593"/>
      <c r="E612" s="593"/>
      <c r="F612" s="593"/>
      <c r="G612" s="593"/>
      <c r="H612" s="593"/>
      <c r="I612" s="593"/>
      <c r="J612" s="593"/>
      <c r="K612" s="593"/>
      <c r="L612" s="593"/>
      <c r="M612" s="593"/>
      <c r="N612" s="593"/>
      <c r="O612" s="593"/>
      <c r="P612" s="593"/>
      <c r="Q612" s="593"/>
      <c r="R612" s="593"/>
      <c r="S612" s="593"/>
      <c r="T612" s="593"/>
      <c r="U612" s="593"/>
      <c r="V612" s="593"/>
      <c r="W612" s="593"/>
      <c r="X612" s="593"/>
      <c r="Y612" s="593"/>
      <c r="Z612" s="593"/>
      <c r="AA612" s="593"/>
      <c r="AB612" s="593"/>
      <c r="AC612" s="593"/>
      <c r="AD612" s="593"/>
      <c r="AE612" s="593"/>
      <c r="AF612" s="593"/>
      <c r="AG612" s="593"/>
      <c r="AH612" s="593"/>
      <c r="AI612" s="593"/>
      <c r="AJ612" s="593"/>
      <c r="AK612" s="593"/>
      <c r="AL612" s="593"/>
      <c r="AM612" s="593"/>
      <c r="AN612" s="593"/>
      <c r="AO612" s="593"/>
      <c r="AP612" s="593"/>
      <c r="AQ612" s="593"/>
      <c r="AR612" s="593"/>
      <c r="AS612" s="593"/>
      <c r="AT612" s="593"/>
      <c r="AU612" s="593"/>
      <c r="AV612" s="593"/>
      <c r="AW612" s="593"/>
      <c r="AX612" s="593"/>
      <c r="AY612" s="593"/>
      <c r="AZ612" s="593"/>
      <c r="BA612" s="593"/>
      <c r="BB612" s="593"/>
      <c r="BC612" s="593"/>
      <c r="BD612" s="593"/>
      <c r="BE612" s="593"/>
      <c r="BF612" s="593"/>
      <c r="BG612" s="593"/>
      <c r="BH612" s="593"/>
      <c r="BI612" s="593"/>
      <c r="BJ612" s="593"/>
      <c r="BK612" s="593"/>
      <c r="BL612" s="593"/>
      <c r="BM612" s="593"/>
      <c r="BN612" s="593"/>
      <c r="BO612" s="593"/>
      <c r="BP612" s="593"/>
      <c r="BQ612" s="593"/>
      <c r="BR612" s="593"/>
      <c r="BS612" s="593"/>
      <c r="BT612" s="593"/>
      <c r="BU612" s="593"/>
      <c r="BV612" s="593"/>
      <c r="BW612" s="593"/>
      <c r="BX612" s="593"/>
      <c r="BY612" s="593"/>
      <c r="BZ612" s="593"/>
      <c r="CA612" s="593"/>
      <c r="CB612" s="593"/>
      <c r="CC612" s="593"/>
      <c r="CD612" s="593"/>
      <c r="CE612" s="593"/>
      <c r="CF612" s="595"/>
    </row>
    <row r="613" spans="1:84" s="583" customFormat="1" ht="23.1" customHeight="1">
      <c r="A613" s="584"/>
      <c r="B613" s="585"/>
      <c r="C613" s="585"/>
      <c r="D613" s="596" t="s">
        <v>1094</v>
      </c>
      <c r="E613" s="585"/>
      <c r="F613" s="585"/>
      <c r="G613" s="585"/>
      <c r="H613" s="585"/>
      <c r="I613" s="585"/>
      <c r="J613" s="585"/>
      <c r="K613" s="585"/>
      <c r="L613" s="585"/>
      <c r="M613" s="585"/>
      <c r="N613" s="585"/>
      <c r="O613" s="585"/>
      <c r="P613" s="585"/>
      <c r="Q613" s="585"/>
      <c r="R613" s="585"/>
      <c r="S613" s="585"/>
      <c r="T613" s="585"/>
      <c r="U613" s="585"/>
      <c r="V613" s="585"/>
      <c r="W613" s="585"/>
      <c r="X613" s="585"/>
      <c r="Y613" s="585"/>
      <c r="Z613" s="585"/>
      <c r="AA613" s="585"/>
      <c r="AB613" s="585"/>
      <c r="AC613" s="585"/>
      <c r="AD613" s="585"/>
      <c r="AE613" s="585"/>
      <c r="AF613" s="585"/>
      <c r="AG613" s="585"/>
      <c r="AH613" s="585"/>
      <c r="AI613" s="585"/>
      <c r="AJ613" s="585"/>
      <c r="AK613" s="585"/>
      <c r="AL613" s="585"/>
      <c r="AM613" s="585"/>
      <c r="AN613" s="585"/>
      <c r="AO613" s="585"/>
      <c r="AP613" s="585"/>
      <c r="AQ613" s="585"/>
      <c r="AR613" s="422"/>
      <c r="AS613" s="1435" t="e">
        <f>HLOOKUP(D613,$CN$1:$CO$3,3,0)</f>
        <v>#REF!</v>
      </c>
      <c r="AT613" s="1435"/>
      <c r="AU613" s="1435"/>
      <c r="AV613" s="1435"/>
      <c r="AW613" s="1435"/>
      <c r="AX613" s="1435"/>
      <c r="AY613" s="1435"/>
      <c r="AZ613" s="1435"/>
      <c r="BA613" s="1435"/>
      <c r="BB613" s="1435"/>
      <c r="BC613" s="585"/>
      <c r="BD613" s="1431" t="s">
        <v>446</v>
      </c>
      <c r="BE613" s="1431"/>
      <c r="BF613" s="585"/>
      <c r="BG613" s="1431">
        <v>2.9</v>
      </c>
      <c r="BH613" s="1431"/>
      <c r="BI613" s="1431"/>
      <c r="BJ613" s="1431"/>
      <c r="BK613" s="1431"/>
      <c r="BL613" s="585" t="s">
        <v>1111</v>
      </c>
      <c r="BM613" s="585"/>
      <c r="BN613" s="585"/>
      <c r="BO613" s="585"/>
      <c r="BP613" s="1431" t="s">
        <v>41</v>
      </c>
      <c r="BQ613" s="1431"/>
      <c r="BR613" s="585"/>
      <c r="BS613" s="585"/>
      <c r="BT613" s="1432" t="e">
        <f>INT(AS613*BG613)</f>
        <v>#REF!</v>
      </c>
      <c r="BU613" s="1432"/>
      <c r="BV613" s="1432"/>
      <c r="BW613" s="1432"/>
      <c r="BX613" s="1432"/>
      <c r="BY613" s="1432"/>
      <c r="BZ613" s="1432"/>
      <c r="CA613" s="1432"/>
      <c r="CB613" s="1432"/>
      <c r="CC613" s="1432"/>
      <c r="CD613" s="585"/>
      <c r="CE613" s="585"/>
      <c r="CF613" s="586"/>
    </row>
    <row r="614" spans="1:84" s="583" customFormat="1" ht="23.1" customHeight="1">
      <c r="A614" s="584"/>
      <c r="B614" s="585"/>
      <c r="C614" s="585"/>
      <c r="D614" s="591" t="str">
        <f>"잡재료 (주연료의 "&amp;BG614&amp;"%) :"</f>
        <v>잡재료 (주연료의 38%) :</v>
      </c>
      <c r="E614" s="585"/>
      <c r="F614" s="585"/>
      <c r="G614" s="585"/>
      <c r="H614" s="585"/>
      <c r="I614" s="585"/>
      <c r="J614" s="585"/>
      <c r="K614" s="585"/>
      <c r="L614" s="585"/>
      <c r="M614" s="585"/>
      <c r="N614" s="585"/>
      <c r="O614" s="585"/>
      <c r="P614" s="585"/>
      <c r="Q614" s="585"/>
      <c r="R614" s="585"/>
      <c r="S614" s="585"/>
      <c r="T614" s="585"/>
      <c r="U614" s="585"/>
      <c r="V614" s="585"/>
      <c r="W614" s="585"/>
      <c r="X614" s="585"/>
      <c r="Y614" s="585"/>
      <c r="Z614" s="585"/>
      <c r="AA614" s="585"/>
      <c r="AB614" s="585"/>
      <c r="AC614" s="585"/>
      <c r="AD614" s="585"/>
      <c r="AE614" s="585"/>
      <c r="AF614" s="585"/>
      <c r="AG614" s="585"/>
      <c r="AH614" s="585"/>
      <c r="AI614" s="585"/>
      <c r="AJ614" s="585"/>
      <c r="AK614" s="585"/>
      <c r="AL614" s="585"/>
      <c r="AM614" s="585"/>
      <c r="AN614" s="585"/>
      <c r="AO614" s="585"/>
      <c r="AP614" s="585"/>
      <c r="AQ614" s="585"/>
      <c r="AR614" s="422" t="e">
        <f>BT613</f>
        <v>#REF!</v>
      </c>
      <c r="AS614" s="1430" t="e">
        <f>BT613</f>
        <v>#REF!</v>
      </c>
      <c r="AT614" s="1430"/>
      <c r="AU614" s="1430"/>
      <c r="AV614" s="1430"/>
      <c r="AW614" s="1430"/>
      <c r="AX614" s="1430"/>
      <c r="AY614" s="1430"/>
      <c r="AZ614" s="1430"/>
      <c r="BA614" s="1430"/>
      <c r="BB614" s="1430"/>
      <c r="BC614" s="585"/>
      <c r="BD614" s="1431" t="s">
        <v>446</v>
      </c>
      <c r="BE614" s="1431"/>
      <c r="BF614" s="585"/>
      <c r="BG614" s="1431">
        <v>38</v>
      </c>
      <c r="BH614" s="1431"/>
      <c r="BI614" s="1431"/>
      <c r="BJ614" s="1431"/>
      <c r="BK614" s="1431"/>
      <c r="BL614" s="585" t="s">
        <v>1112</v>
      </c>
      <c r="BM614" s="585"/>
      <c r="BN614" s="585"/>
      <c r="BO614" s="585"/>
      <c r="BP614" s="1431" t="s">
        <v>41</v>
      </c>
      <c r="BQ614" s="1431"/>
      <c r="BR614" s="585"/>
      <c r="BS614" s="585"/>
      <c r="BT614" s="1432" t="e">
        <f>INT(AS614*BG614/100)</f>
        <v>#REF!</v>
      </c>
      <c r="BU614" s="1432"/>
      <c r="BV614" s="1432"/>
      <c r="BW614" s="1432"/>
      <c r="BX614" s="1432"/>
      <c r="BY614" s="1432"/>
      <c r="BZ614" s="1432"/>
      <c r="CA614" s="1432"/>
      <c r="CB614" s="1432"/>
      <c r="CC614" s="1432"/>
      <c r="CD614" s="585"/>
      <c r="CE614" s="585"/>
      <c r="CF614" s="586"/>
    </row>
    <row r="615" spans="1:84" s="583" customFormat="1" ht="23.1" customHeight="1" thickBot="1">
      <c r="A615" s="584"/>
      <c r="B615" s="585"/>
      <c r="C615" s="585"/>
      <c r="D615" s="585"/>
      <c r="E615" s="585"/>
      <c r="F615" s="585"/>
      <c r="G615" s="585"/>
      <c r="H615" s="585"/>
      <c r="I615" s="585"/>
      <c r="J615" s="585"/>
      <c r="K615" s="585"/>
      <c r="L615" s="585"/>
      <c r="M615" s="585"/>
      <c r="N615" s="585"/>
      <c r="O615" s="585"/>
      <c r="P615" s="585"/>
      <c r="Q615" s="585"/>
      <c r="R615" s="585"/>
      <c r="S615" s="585"/>
      <c r="T615" s="585"/>
      <c r="U615" s="585"/>
      <c r="V615" s="585"/>
      <c r="W615" s="585"/>
      <c r="X615" s="585"/>
      <c r="Y615" s="585"/>
      <c r="Z615" s="585"/>
      <c r="AA615" s="585"/>
      <c r="AB615" s="585"/>
      <c r="AC615" s="585"/>
      <c r="AD615" s="585"/>
      <c r="AE615" s="585"/>
      <c r="AF615" s="585"/>
      <c r="AG615" s="585"/>
      <c r="AH615" s="585"/>
      <c r="AI615" s="585"/>
      <c r="AJ615" s="585"/>
      <c r="AK615" s="585"/>
      <c r="AL615" s="585"/>
      <c r="AM615" s="585"/>
      <c r="AN615" s="585"/>
      <c r="AO615" s="585"/>
      <c r="AP615" s="585"/>
      <c r="AQ615" s="585"/>
      <c r="AR615" s="585"/>
      <c r="AS615" s="585"/>
      <c r="AT615" s="585"/>
      <c r="AU615" s="585"/>
      <c r="AV615" s="585"/>
      <c r="AW615" s="585"/>
      <c r="AX615" s="585"/>
      <c r="AY615" s="585"/>
      <c r="AZ615" s="585"/>
      <c r="BA615" s="585"/>
      <c r="BB615" s="585"/>
      <c r="BC615" s="585"/>
      <c r="BD615" s="585"/>
      <c r="BE615" s="585"/>
      <c r="BF615" s="585"/>
      <c r="BG615" s="585"/>
      <c r="BH615" s="585"/>
      <c r="BI615" s="585"/>
      <c r="BJ615" s="585"/>
      <c r="BK615" s="585"/>
      <c r="BL615" s="585"/>
      <c r="BM615" s="585"/>
      <c r="BN615" s="585"/>
      <c r="BO615" s="585"/>
      <c r="BP615" s="1431" t="s">
        <v>41</v>
      </c>
      <c r="BQ615" s="1431"/>
      <c r="BR615" s="585"/>
      <c r="BS615" s="585"/>
      <c r="BT615" s="1433" t="e">
        <f>BT613+BT614</f>
        <v>#REF!</v>
      </c>
      <c r="BU615" s="1433"/>
      <c r="BV615" s="1433"/>
      <c r="BW615" s="1433"/>
      <c r="BX615" s="1433"/>
      <c r="BY615" s="1433"/>
      <c r="BZ615" s="1433"/>
      <c r="CA615" s="1433"/>
      <c r="CB615" s="1433"/>
      <c r="CC615" s="1433"/>
      <c r="CD615" s="585"/>
      <c r="CE615" s="585"/>
      <c r="CF615" s="586"/>
    </row>
    <row r="616" spans="1:84" s="583" customFormat="1" ht="23.1" customHeight="1" thickBot="1">
      <c r="A616" s="597"/>
      <c r="B616" s="598" t="s">
        <v>1113</v>
      </c>
      <c r="C616" s="598"/>
      <c r="D616" s="598"/>
      <c r="E616" s="598"/>
      <c r="F616" s="598"/>
      <c r="G616" s="598"/>
      <c r="H616" s="598"/>
      <c r="I616" s="598"/>
      <c r="J616" s="598"/>
      <c r="K616" s="598"/>
      <c r="L616" s="598"/>
      <c r="M616" s="598"/>
      <c r="N616" s="598"/>
      <c r="O616" s="598"/>
      <c r="P616" s="598"/>
      <c r="Q616" s="598"/>
      <c r="R616" s="598"/>
      <c r="S616" s="598"/>
      <c r="T616" s="598"/>
      <c r="U616" s="598"/>
      <c r="V616" s="598"/>
      <c r="W616" s="598"/>
      <c r="X616" s="598"/>
      <c r="Y616" s="598"/>
      <c r="Z616" s="598"/>
      <c r="AA616" s="598"/>
      <c r="AB616" s="598"/>
      <c r="AC616" s="598"/>
      <c r="AD616" s="598"/>
      <c r="AE616" s="598"/>
      <c r="AF616" s="598"/>
      <c r="AG616" s="598"/>
      <c r="AH616" s="598"/>
      <c r="AI616" s="598"/>
      <c r="AJ616" s="598"/>
      <c r="AK616" s="598"/>
      <c r="AL616" s="598"/>
      <c r="AM616" s="598"/>
      <c r="AN616" s="598"/>
      <c r="AO616" s="598"/>
      <c r="AP616" s="598"/>
      <c r="AQ616" s="598"/>
      <c r="AR616" s="598"/>
      <c r="AS616" s="598"/>
      <c r="AT616" s="598"/>
      <c r="AU616" s="598"/>
      <c r="AV616" s="598"/>
      <c r="AW616" s="598"/>
      <c r="AX616" s="598"/>
      <c r="AY616" s="598"/>
      <c r="AZ616" s="598"/>
      <c r="BA616" s="598"/>
      <c r="BB616" s="598"/>
      <c r="BC616" s="598"/>
      <c r="BD616" s="598"/>
      <c r="BE616" s="598"/>
      <c r="BF616" s="598"/>
      <c r="BG616" s="598"/>
      <c r="BH616" s="598"/>
      <c r="BI616" s="598"/>
      <c r="BJ616" s="598"/>
      <c r="BK616" s="598"/>
      <c r="BL616" s="598"/>
      <c r="BM616" s="598"/>
      <c r="BN616" s="598"/>
      <c r="BO616" s="598"/>
      <c r="BP616" s="598"/>
      <c r="BQ616" s="598"/>
      <c r="BR616" s="598"/>
      <c r="BS616" s="598"/>
      <c r="BT616" s="1429" t="e">
        <f>BT607+BT611+BT615</f>
        <v>#REF!</v>
      </c>
      <c r="BU616" s="1429"/>
      <c r="BV616" s="1429"/>
      <c r="BW616" s="1429"/>
      <c r="BX616" s="1429"/>
      <c r="BY616" s="1429"/>
      <c r="BZ616" s="1429"/>
      <c r="CA616" s="1429"/>
      <c r="CB616" s="1429"/>
      <c r="CC616" s="1429"/>
      <c r="CD616" s="598"/>
      <c r="CE616" s="598"/>
      <c r="CF616" s="599"/>
    </row>
    <row r="617" spans="1:84" s="583" customFormat="1" ht="9.9499999999999993" customHeight="1">
      <c r="A617" s="574"/>
      <c r="B617" s="574"/>
      <c r="C617" s="574"/>
      <c r="D617" s="574"/>
      <c r="E617" s="574"/>
      <c r="F617" s="574"/>
      <c r="G617" s="574"/>
      <c r="H617" s="574"/>
      <c r="I617" s="574"/>
      <c r="J617" s="574"/>
      <c r="K617" s="574"/>
      <c r="L617" s="574"/>
      <c r="M617" s="574"/>
      <c r="N617" s="574"/>
      <c r="O617" s="574"/>
      <c r="P617" s="574"/>
      <c r="Q617" s="574"/>
      <c r="R617" s="574"/>
      <c r="S617" s="574"/>
      <c r="T617" s="574"/>
      <c r="U617" s="574"/>
      <c r="V617" s="574"/>
      <c r="W617" s="574"/>
      <c r="X617" s="574"/>
      <c r="Y617" s="574"/>
      <c r="Z617" s="574"/>
      <c r="AA617" s="574"/>
      <c r="AB617" s="574"/>
      <c r="AC617" s="574"/>
      <c r="AD617" s="574"/>
      <c r="AE617" s="574"/>
      <c r="AF617" s="574"/>
      <c r="AG617" s="574"/>
      <c r="AH617" s="574"/>
      <c r="AI617" s="574"/>
      <c r="AJ617" s="574"/>
      <c r="AK617" s="574"/>
      <c r="AL617" s="574"/>
      <c r="AM617" s="574"/>
      <c r="AN617" s="574"/>
      <c r="AO617" s="574"/>
      <c r="AP617" s="574"/>
      <c r="AQ617" s="574"/>
      <c r="AR617" s="574"/>
      <c r="AS617" s="574"/>
      <c r="AT617" s="574"/>
      <c r="AU617" s="574"/>
      <c r="AV617" s="574"/>
      <c r="AW617" s="574"/>
      <c r="AX617" s="574"/>
      <c r="AY617" s="574"/>
      <c r="AZ617" s="574"/>
      <c r="BA617" s="574"/>
      <c r="BB617" s="574"/>
      <c r="BC617" s="574"/>
      <c r="BD617" s="574"/>
      <c r="BE617" s="574"/>
      <c r="BF617" s="574"/>
      <c r="BG617" s="574"/>
      <c r="BH617" s="574"/>
      <c r="BI617" s="574"/>
      <c r="BJ617" s="574"/>
      <c r="BK617" s="574"/>
      <c r="BL617" s="574"/>
      <c r="BM617" s="574"/>
      <c r="BN617" s="574"/>
      <c r="BO617" s="574"/>
      <c r="BP617" s="574"/>
      <c r="BQ617" s="574"/>
      <c r="BR617" s="574"/>
      <c r="BS617" s="574"/>
      <c r="BT617" s="574"/>
      <c r="BU617" s="574"/>
      <c r="BV617" s="574"/>
      <c r="BW617" s="574"/>
      <c r="BX617" s="574"/>
      <c r="BY617" s="574"/>
      <c r="BZ617" s="574"/>
      <c r="CA617" s="574"/>
      <c r="CB617" s="574"/>
      <c r="CC617" s="574"/>
      <c r="CD617" s="574"/>
      <c r="CE617" s="574"/>
      <c r="CF617" s="574"/>
    </row>
    <row r="618" spans="1:84" s="583" customFormat="1" ht="23.1" customHeight="1" thickBot="1">
      <c r="A618" s="1446" t="s">
        <v>1095</v>
      </c>
      <c r="B618" s="1446"/>
      <c r="C618" s="1446"/>
      <c r="D618" s="1446"/>
      <c r="E618" s="1446"/>
      <c r="F618" s="1446"/>
      <c r="G618" s="1447">
        <f>G603+1</f>
        <v>42</v>
      </c>
      <c r="H618" s="1447"/>
      <c r="I618" s="1447"/>
      <c r="J618" s="1448" t="s">
        <v>1096</v>
      </c>
      <c r="K618" s="1448"/>
      <c r="L618" s="574"/>
      <c r="M618" s="574"/>
      <c r="N618" s="574"/>
      <c r="O618" s="574"/>
      <c r="P618" s="574"/>
      <c r="Q618" s="574"/>
      <c r="R618" s="574"/>
      <c r="S618" s="574"/>
      <c r="T618" s="574"/>
      <c r="U618" s="574"/>
      <c r="V618" s="574"/>
      <c r="W618" s="574"/>
      <c r="X618" s="574"/>
      <c r="Y618" s="574"/>
      <c r="Z618" s="574"/>
      <c r="AA618" s="574"/>
      <c r="AB618" s="574"/>
      <c r="AC618" s="574"/>
      <c r="AD618" s="574"/>
      <c r="AE618" s="574"/>
      <c r="AF618" s="574"/>
      <c r="AG618" s="574"/>
      <c r="AH618" s="574"/>
      <c r="AI618" s="574"/>
      <c r="AJ618" s="574"/>
      <c r="AK618" s="574"/>
      <c r="AL618" s="574"/>
      <c r="AM618" s="574"/>
      <c r="AN618" s="574"/>
      <c r="AO618" s="574"/>
      <c r="AP618" s="574"/>
      <c r="AQ618" s="574"/>
      <c r="AR618" s="574"/>
      <c r="AS618" s="574"/>
      <c r="AT618" s="574"/>
      <c r="AU618" s="574"/>
      <c r="AV618" s="574"/>
      <c r="AW618" s="574"/>
      <c r="AX618" s="574"/>
      <c r="AY618" s="574"/>
      <c r="AZ618" s="574"/>
      <c r="BA618" s="574"/>
      <c r="BB618" s="574"/>
      <c r="BC618" s="574"/>
      <c r="BD618" s="574"/>
      <c r="BE618" s="574"/>
      <c r="BF618" s="574"/>
      <c r="BG618" s="574"/>
      <c r="BH618" s="574"/>
      <c r="BI618" s="574"/>
      <c r="BJ618" s="574"/>
      <c r="BK618" s="574"/>
      <c r="BL618" s="574"/>
      <c r="BM618" s="574"/>
      <c r="BN618" s="574"/>
      <c r="BO618" s="574"/>
      <c r="BP618" s="574"/>
      <c r="BQ618" s="574"/>
      <c r="BR618" s="574"/>
      <c r="BS618" s="574"/>
      <c r="BT618" s="574"/>
      <c r="BU618" s="574"/>
      <c r="BV618" s="574"/>
      <c r="BW618" s="574"/>
      <c r="BX618" s="574"/>
      <c r="BY618" s="574"/>
      <c r="BZ618" s="574"/>
      <c r="CA618" s="574"/>
      <c r="CB618" s="574"/>
      <c r="CC618" s="574"/>
      <c r="CD618" s="574"/>
      <c r="CE618" s="574"/>
      <c r="CF618" s="574"/>
    </row>
    <row r="619" spans="1:84" s="583" customFormat="1" ht="23.1" customHeight="1" thickBot="1">
      <c r="A619" s="1483" t="s">
        <v>1097</v>
      </c>
      <c r="B619" s="1484"/>
      <c r="C619" s="1484"/>
      <c r="D619" s="1484"/>
      <c r="E619" s="1484"/>
      <c r="F619" s="1484"/>
      <c r="G619" s="1484"/>
      <c r="H619" s="1484"/>
      <c r="I619" s="581" t="s">
        <v>1164</v>
      </c>
      <c r="J619" s="581"/>
      <c r="K619" s="581"/>
      <c r="L619" s="581"/>
      <c r="M619" s="581"/>
      <c r="N619" s="581"/>
      <c r="O619" s="581"/>
      <c r="P619" s="581"/>
      <c r="Q619" s="581"/>
      <c r="R619" s="581"/>
      <c r="S619" s="581"/>
      <c r="T619" s="581"/>
      <c r="U619" s="581"/>
      <c r="V619" s="581"/>
      <c r="W619" s="581"/>
      <c r="X619" s="581"/>
      <c r="Y619" s="581"/>
      <c r="Z619" s="581"/>
      <c r="AA619" s="581"/>
      <c r="AB619" s="581"/>
      <c r="AC619" s="581"/>
      <c r="AD619" s="581"/>
      <c r="AE619" s="581"/>
      <c r="AF619" s="581"/>
      <c r="AG619" s="581"/>
      <c r="AH619" s="581"/>
      <c r="AI619" s="581"/>
      <c r="AJ619" s="1484" t="s">
        <v>1099</v>
      </c>
      <c r="AK619" s="1484"/>
      <c r="AL619" s="1484"/>
      <c r="AM619" s="1484"/>
      <c r="AN619" s="1484"/>
      <c r="AO619" s="1484"/>
      <c r="AP619" s="1484"/>
      <c r="AQ619" s="581" t="s">
        <v>1154</v>
      </c>
      <c r="AR619" s="581"/>
      <c r="AS619" s="581"/>
      <c r="AT619" s="581"/>
      <c r="AU619" s="581"/>
      <c r="AV619" s="581"/>
      <c r="AW619" s="581"/>
      <c r="AX619" s="581"/>
      <c r="AY619" s="581"/>
      <c r="AZ619" s="581"/>
      <c r="BA619" s="581"/>
      <c r="BB619" s="581"/>
      <c r="BC619" s="581"/>
      <c r="BD619" s="581"/>
      <c r="BE619" s="581"/>
      <c r="BF619" s="581"/>
      <c r="BG619" s="581"/>
      <c r="BH619" s="581"/>
      <c r="BI619" s="581"/>
      <c r="BJ619" s="581"/>
      <c r="BK619" s="581"/>
      <c r="BL619" s="581"/>
      <c r="BM619" s="581"/>
      <c r="BN619" s="581"/>
      <c r="BO619" s="581"/>
      <c r="BP619" s="581"/>
      <c r="BQ619" s="581"/>
      <c r="BR619" s="581"/>
      <c r="BS619" s="581"/>
      <c r="BT619" s="581" t="s">
        <v>1155</v>
      </c>
      <c r="BU619" s="581"/>
      <c r="BV619" s="581"/>
      <c r="BW619" s="581"/>
      <c r="BX619" s="581"/>
      <c r="BY619" s="581"/>
      <c r="BZ619" s="581"/>
      <c r="CA619" s="581"/>
      <c r="CB619" s="581"/>
      <c r="CC619" s="581"/>
      <c r="CD619" s="581"/>
      <c r="CE619" s="581"/>
      <c r="CF619" s="582"/>
    </row>
    <row r="620" spans="1:84" s="583" customFormat="1" ht="23.1" customHeight="1">
      <c r="A620" s="584"/>
      <c r="B620" s="585" t="s">
        <v>1102</v>
      </c>
      <c r="C620" s="585"/>
      <c r="D620" s="585"/>
      <c r="E620" s="585"/>
      <c r="F620" s="585"/>
      <c r="G620" s="585"/>
      <c r="H620" s="585"/>
      <c r="I620" s="585"/>
      <c r="J620" s="585"/>
      <c r="K620" s="585"/>
      <c r="L620" s="585"/>
      <c r="M620" s="585"/>
      <c r="N620" s="585"/>
      <c r="O620" s="585"/>
      <c r="P620" s="585"/>
      <c r="Q620" s="585"/>
      <c r="R620" s="585"/>
      <c r="S620" s="585"/>
      <c r="T620" s="585"/>
      <c r="U620" s="585"/>
      <c r="V620" s="585"/>
      <c r="W620" s="585"/>
      <c r="X620" s="585"/>
      <c r="Y620" s="585"/>
      <c r="Z620" s="585"/>
      <c r="AA620" s="585"/>
      <c r="AB620" s="585"/>
      <c r="AC620" s="585"/>
      <c r="AD620" s="585"/>
      <c r="AE620" s="585"/>
      <c r="AF620" s="585"/>
      <c r="AG620" s="585"/>
      <c r="AH620" s="585"/>
      <c r="AI620" s="585"/>
      <c r="AJ620" s="585"/>
      <c r="AK620" s="585"/>
      <c r="AL620" s="585"/>
      <c r="AM620" s="585"/>
      <c r="AN620" s="585"/>
      <c r="AO620" s="585"/>
      <c r="AP620" s="585"/>
      <c r="AQ620" s="585"/>
      <c r="AR620" s="585"/>
      <c r="AS620" s="585"/>
      <c r="AT620" s="585"/>
      <c r="AU620" s="585"/>
      <c r="AV620" s="585"/>
      <c r="AW620" s="585"/>
      <c r="AX620" s="585"/>
      <c r="AY620" s="585"/>
      <c r="AZ620" s="585"/>
      <c r="BA620" s="585"/>
      <c r="BB620" s="585"/>
      <c r="BC620" s="585"/>
      <c r="BD620" s="585"/>
      <c r="BE620" s="585"/>
      <c r="BF620" s="585"/>
      <c r="BG620" s="585"/>
      <c r="BH620" s="585"/>
      <c r="BI620" s="585"/>
      <c r="BJ620" s="585"/>
      <c r="BK620" s="585"/>
      <c r="BL620" s="585"/>
      <c r="BM620" s="585"/>
      <c r="BN620" s="585"/>
      <c r="BO620" s="585"/>
      <c r="BP620" s="585"/>
      <c r="BQ620" s="585"/>
      <c r="BR620" s="585"/>
      <c r="BS620" s="585"/>
      <c r="BT620" s="585"/>
      <c r="BU620" s="585"/>
      <c r="BV620" s="585"/>
      <c r="BW620" s="585"/>
      <c r="BX620" s="585"/>
      <c r="BY620" s="585"/>
      <c r="BZ620" s="585"/>
      <c r="CA620" s="585"/>
      <c r="CB620" s="585"/>
      <c r="CC620" s="585"/>
      <c r="CD620" s="585"/>
      <c r="CE620" s="585"/>
      <c r="CF620" s="586"/>
    </row>
    <row r="621" spans="1:84" s="583" customFormat="1" ht="23.1" customHeight="1">
      <c r="A621" s="587"/>
      <c r="B621" s="574"/>
      <c r="C621" s="574"/>
      <c r="D621" s="405"/>
      <c r="E621" s="574"/>
      <c r="F621" s="422"/>
      <c r="G621" s="422"/>
      <c r="H621" s="422"/>
      <c r="I621" s="422"/>
      <c r="J621" s="422"/>
      <c r="K621" s="422"/>
      <c r="L621" s="422"/>
      <c r="M621" s="422"/>
      <c r="N621" s="574"/>
      <c r="O621" s="574"/>
      <c r="P621" s="574"/>
      <c r="Q621" s="574"/>
      <c r="R621" s="574"/>
      <c r="S621" s="588"/>
      <c r="T621" s="588"/>
      <c r="U621" s="588"/>
      <c r="V621" s="588"/>
      <c r="W621" s="588"/>
      <c r="X621" s="588"/>
      <c r="Y621" s="588"/>
      <c r="Z621" s="588"/>
      <c r="AA621" s="574"/>
      <c r="AB621" s="588"/>
      <c r="AC621" s="585"/>
      <c r="AD621" s="585"/>
      <c r="AE621" s="600"/>
      <c r="AF621" s="600"/>
      <c r="AG621" s="600"/>
      <c r="AH621" s="600"/>
      <c r="AI621" s="600"/>
      <c r="AJ621" s="600"/>
      <c r="AK621" s="600"/>
      <c r="AL621" s="600"/>
      <c r="AM621" s="585"/>
      <c r="AN621" s="585"/>
      <c r="AO621" s="574"/>
      <c r="AP621" s="588"/>
      <c r="AQ621" s="588"/>
      <c r="AR621" s="588"/>
      <c r="AS621" s="588"/>
      <c r="AT621" s="588"/>
      <c r="AU621" s="588"/>
      <c r="AV621" s="588"/>
      <c r="AW621" s="588"/>
      <c r="AX621" s="588"/>
      <c r="AY621" s="588"/>
      <c r="AZ621" s="588"/>
      <c r="BA621" s="588"/>
      <c r="BB621" s="588"/>
      <c r="BC621" s="588"/>
      <c r="BD621" s="574"/>
      <c r="BE621" s="574"/>
      <c r="BF621" s="574"/>
      <c r="BG621" s="574"/>
      <c r="BH621" s="574"/>
      <c r="BI621" s="574"/>
      <c r="BJ621" s="574"/>
      <c r="BK621" s="574"/>
      <c r="BL621" s="574"/>
      <c r="BM621" s="574"/>
      <c r="BN621" s="574"/>
      <c r="BO621" s="574"/>
      <c r="BP621" s="574"/>
      <c r="BQ621" s="574"/>
      <c r="BR621" s="574"/>
      <c r="BS621" s="574"/>
      <c r="BT621" s="574"/>
      <c r="BU621" s="574"/>
      <c r="BV621" s="574"/>
      <c r="BW621" s="574"/>
      <c r="BX621" s="574"/>
      <c r="BY621" s="574"/>
      <c r="BZ621" s="574"/>
      <c r="CA621" s="574"/>
      <c r="CB621" s="574"/>
      <c r="CC621" s="574"/>
      <c r="CD621" s="574"/>
      <c r="CE621" s="574"/>
      <c r="CF621" s="589"/>
    </row>
    <row r="622" spans="1:84" s="583" customFormat="1" ht="23.1" customHeight="1">
      <c r="A622" s="584"/>
      <c r="B622" s="585"/>
      <c r="C622" s="585"/>
      <c r="H622" s="1502">
        <f>$AE$532</f>
        <v>25662000</v>
      </c>
      <c r="I622" s="1502"/>
      <c r="J622" s="1502"/>
      <c r="K622" s="1502"/>
      <c r="L622" s="1502"/>
      <c r="M622" s="1502"/>
      <c r="N622" s="1502"/>
      <c r="O622" s="1502"/>
      <c r="P622" s="1502"/>
      <c r="Q622" s="1502"/>
      <c r="R622" s="1502"/>
      <c r="S622" s="1502"/>
      <c r="T622" s="1502"/>
      <c r="U622" s="1502"/>
      <c r="V622" s="1502"/>
      <c r="W622" s="1431" t="s">
        <v>446</v>
      </c>
      <c r="X622" s="1431"/>
      <c r="Y622" s="1491" t="s">
        <v>1127</v>
      </c>
      <c r="Z622" s="1491"/>
      <c r="AA622" s="1503" t="s">
        <v>1103</v>
      </c>
      <c r="AB622" s="1503"/>
      <c r="AC622" s="1442">
        <v>1200</v>
      </c>
      <c r="AD622" s="1442"/>
      <c r="AE622" s="1442"/>
      <c r="AF622" s="1442"/>
      <c r="AG622" s="1442"/>
      <c r="AH622" s="1442"/>
      <c r="AI622" s="1431" t="s">
        <v>1128</v>
      </c>
      <c r="AJ622" s="1431"/>
      <c r="AK622" s="1442">
        <v>1067</v>
      </c>
      <c r="AL622" s="1442"/>
      <c r="AM622" s="1442"/>
      <c r="AN622" s="1442"/>
      <c r="AO622" s="1442"/>
      <c r="AP622" s="1442"/>
      <c r="AQ622" s="1503" t="s">
        <v>1105</v>
      </c>
      <c r="AR622" s="1503"/>
      <c r="AS622" s="1431" t="s">
        <v>446</v>
      </c>
      <c r="AT622" s="1431"/>
      <c r="AU622" s="1504">
        <v>1.1000000000000001</v>
      </c>
      <c r="AV622" s="1504"/>
      <c r="AW622" s="1504"/>
      <c r="AX622" s="1504"/>
      <c r="AY622" s="1504"/>
      <c r="AZ622" s="1431" t="s">
        <v>1128</v>
      </c>
      <c r="BA622" s="1431"/>
      <c r="BB622" s="1431">
        <v>700</v>
      </c>
      <c r="BC622" s="1431"/>
      <c r="BD622" s="1431"/>
      <c r="BE622" s="1431"/>
      <c r="BF622" s="1431"/>
      <c r="BG622" s="1491" t="s">
        <v>1096</v>
      </c>
      <c r="BH622" s="1491"/>
      <c r="BI622" s="1431" t="s">
        <v>446</v>
      </c>
      <c r="BJ622" s="1431"/>
      <c r="BK622" s="591" t="s">
        <v>1104</v>
      </c>
      <c r="BL622" s="585"/>
      <c r="BM622" s="585"/>
      <c r="BN622" s="585"/>
      <c r="BO622" s="585"/>
      <c r="BP622" s="1431" t="s">
        <v>41</v>
      </c>
      <c r="BQ622" s="1431"/>
      <c r="BR622" s="585"/>
      <c r="BS622" s="585"/>
      <c r="BT622" s="1437">
        <f>INT(H622*((AC622+AK622)*AU622+BB622)*10^-7)</f>
        <v>8195</v>
      </c>
      <c r="BU622" s="1437"/>
      <c r="BV622" s="1437"/>
      <c r="BW622" s="1437"/>
      <c r="BX622" s="1437"/>
      <c r="BY622" s="1437"/>
      <c r="BZ622" s="1437"/>
      <c r="CA622" s="1437"/>
      <c r="CB622" s="1437"/>
      <c r="CC622" s="1437"/>
      <c r="CD622" s="585"/>
      <c r="CE622" s="585"/>
      <c r="CF622" s="586"/>
    </row>
    <row r="623" spans="1:84" s="583" customFormat="1" ht="23.1" customHeight="1">
      <c r="A623" s="592"/>
      <c r="B623" s="593" t="s">
        <v>1106</v>
      </c>
      <c r="C623" s="593"/>
      <c r="D623" s="593"/>
      <c r="E623" s="593"/>
      <c r="F623" s="593"/>
      <c r="G623" s="593"/>
      <c r="H623" s="593"/>
      <c r="I623" s="593"/>
      <c r="J623" s="593"/>
      <c r="K623" s="593"/>
      <c r="L623" s="593"/>
      <c r="M623" s="593"/>
      <c r="N623" s="593"/>
      <c r="O623" s="593"/>
      <c r="P623" s="593"/>
      <c r="Q623" s="593"/>
      <c r="R623" s="593"/>
      <c r="S623" s="593"/>
      <c r="T623" s="593"/>
      <c r="U623" s="593"/>
      <c r="V623" s="593"/>
      <c r="W623" s="593"/>
      <c r="X623" s="593"/>
      <c r="Y623" s="593"/>
      <c r="Z623" s="593"/>
      <c r="AA623" s="593"/>
      <c r="AB623" s="593"/>
      <c r="AC623" s="593"/>
      <c r="AD623" s="593"/>
      <c r="AE623" s="593"/>
      <c r="AF623" s="593"/>
      <c r="AG623" s="593"/>
      <c r="AH623" s="593"/>
      <c r="AI623" s="593"/>
      <c r="AJ623" s="593"/>
      <c r="AK623" s="593"/>
      <c r="AL623" s="593"/>
      <c r="AM623" s="593"/>
      <c r="AN623" s="593"/>
      <c r="AO623" s="593"/>
      <c r="AP623" s="593"/>
      <c r="AQ623" s="593"/>
      <c r="AR623" s="593"/>
      <c r="AS623" s="593"/>
      <c r="AT623" s="593"/>
      <c r="AU623" s="593"/>
      <c r="AV623" s="593"/>
      <c r="AW623" s="593"/>
      <c r="AX623" s="593"/>
      <c r="AY623" s="593"/>
      <c r="AZ623" s="593"/>
      <c r="BA623" s="593"/>
      <c r="BB623" s="593"/>
      <c r="BC623" s="593"/>
      <c r="BD623" s="593"/>
      <c r="BE623" s="593"/>
      <c r="BF623" s="593"/>
      <c r="BG623" s="593"/>
      <c r="BH623" s="593"/>
      <c r="BI623" s="593"/>
      <c r="BJ623" s="593"/>
      <c r="BK623" s="593"/>
      <c r="BL623" s="593"/>
      <c r="BM623" s="593"/>
      <c r="BN623" s="593"/>
      <c r="BO623" s="593"/>
      <c r="BP623" s="593"/>
      <c r="BQ623" s="593"/>
      <c r="BR623" s="593"/>
      <c r="BS623" s="593"/>
      <c r="BT623" s="594"/>
      <c r="BU623" s="594"/>
      <c r="BV623" s="594"/>
      <c r="BW623" s="594"/>
      <c r="BX623" s="594"/>
      <c r="BY623" s="594"/>
      <c r="BZ623" s="594"/>
      <c r="CA623" s="594"/>
      <c r="CB623" s="594"/>
      <c r="CC623" s="594"/>
      <c r="CD623" s="593"/>
      <c r="CE623" s="593"/>
      <c r="CF623" s="595"/>
    </row>
    <row r="624" spans="1:84" s="583" customFormat="1" ht="23.1" customHeight="1">
      <c r="A624" s="584"/>
      <c r="B624" s="585"/>
      <c r="C624" s="585"/>
      <c r="D624" s="596" t="s">
        <v>1092</v>
      </c>
      <c r="E624" s="585"/>
      <c r="F624" s="585"/>
      <c r="G624" s="585"/>
      <c r="H624" s="585"/>
      <c r="I624" s="585"/>
      <c r="J624" s="585"/>
      <c r="K624" s="585"/>
      <c r="L624" s="585"/>
      <c r="M624" s="585"/>
      <c r="N624" s="585"/>
      <c r="O624" s="585"/>
      <c r="P624" s="585"/>
      <c r="Q624" s="585"/>
      <c r="R624" s="585"/>
      <c r="S624" s="585"/>
      <c r="T624" s="574"/>
      <c r="U624" s="574"/>
      <c r="V624" s="1435">
        <f>HLOOKUP(D624,$CJ$1:$CM$3,3,0)</f>
        <v>238936</v>
      </c>
      <c r="W624" s="1435"/>
      <c r="X624" s="1435"/>
      <c r="Y624" s="1435"/>
      <c r="Z624" s="1435"/>
      <c r="AA624" s="1435"/>
      <c r="AB624" s="1435"/>
      <c r="AC624" s="1435"/>
      <c r="AD624" s="1435"/>
      <c r="AE624" s="1435"/>
      <c r="AF624" s="1431" t="s">
        <v>446</v>
      </c>
      <c r="AG624" s="1431"/>
      <c r="AH624" s="574"/>
      <c r="AI624" s="1436" t="s">
        <v>1107</v>
      </c>
      <c r="AJ624" s="1436"/>
      <c r="AK624" s="1436"/>
      <c r="AL624" s="1436"/>
      <c r="AM624" s="585"/>
      <c r="AN624" s="1431" t="s">
        <v>446</v>
      </c>
      <c r="AO624" s="1431"/>
      <c r="AP624" s="585"/>
      <c r="AQ624" s="1436" t="s">
        <v>1108</v>
      </c>
      <c r="AR624" s="1436"/>
      <c r="AS624" s="1436"/>
      <c r="AT624" s="1436"/>
      <c r="AU624" s="1436"/>
      <c r="AV624" s="422"/>
      <c r="AW624" s="1431" t="s">
        <v>446</v>
      </c>
      <c r="AX624" s="1431"/>
      <c r="AY624" s="440"/>
      <c r="AZ624" s="1436" t="s">
        <v>1109</v>
      </c>
      <c r="BA624" s="1436"/>
      <c r="BB624" s="1436"/>
      <c r="BC624" s="1436"/>
      <c r="BD624" s="1436"/>
      <c r="BE624" s="585"/>
      <c r="BF624" s="1431" t="s">
        <v>446</v>
      </c>
      <c r="BG624" s="1431"/>
      <c r="BH624" s="1431">
        <v>1</v>
      </c>
      <c r="BI624" s="1431"/>
      <c r="BJ624" s="1431"/>
      <c r="BK624" s="585"/>
      <c r="BL624" s="585" t="s">
        <v>366</v>
      </c>
      <c r="BM624" s="585"/>
      <c r="BN624" s="585"/>
      <c r="BO624" s="585"/>
      <c r="BP624" s="1431" t="s">
        <v>41</v>
      </c>
      <c r="BQ624" s="1431"/>
      <c r="BR624" s="585"/>
      <c r="BS624" s="585"/>
      <c r="BT624" s="1432">
        <f>INT(V624/8*16/12*25/20*BH624)</f>
        <v>49778</v>
      </c>
      <c r="BU624" s="1432"/>
      <c r="BV624" s="1432"/>
      <c r="BW624" s="1432"/>
      <c r="BX624" s="1432"/>
      <c r="BY624" s="1432"/>
      <c r="BZ624" s="1432"/>
      <c r="CA624" s="1432"/>
      <c r="CB624" s="1432"/>
      <c r="CC624" s="1432"/>
      <c r="CD624" s="585"/>
      <c r="CE624" s="585"/>
      <c r="CF624" s="586"/>
    </row>
    <row r="625" spans="1:84" s="583" customFormat="1" ht="23.1" customHeight="1">
      <c r="A625" s="584"/>
      <c r="B625" s="585"/>
      <c r="C625" s="585"/>
      <c r="D625" s="585"/>
      <c r="E625" s="585"/>
      <c r="F625" s="585"/>
      <c r="G625" s="585"/>
      <c r="H625" s="585"/>
      <c r="I625" s="585"/>
      <c r="J625" s="585"/>
      <c r="K625" s="585"/>
      <c r="L625" s="585"/>
      <c r="M625" s="585"/>
      <c r="N625" s="585"/>
      <c r="O625" s="585"/>
      <c r="P625" s="574"/>
      <c r="Q625" s="574"/>
      <c r="R625" s="574"/>
      <c r="S625" s="574"/>
      <c r="T625" s="574"/>
      <c r="U625" s="574"/>
      <c r="V625" s="574"/>
      <c r="W625" s="574"/>
      <c r="X625" s="574"/>
      <c r="Y625" s="574"/>
      <c r="Z625" s="574"/>
      <c r="AA625" s="574"/>
      <c r="AB625" s="574"/>
      <c r="AC625" s="574"/>
      <c r="AD625" s="574"/>
      <c r="AE625" s="574"/>
      <c r="AF625" s="574"/>
      <c r="AG625" s="574"/>
      <c r="AH625" s="574"/>
      <c r="AI625" s="574"/>
      <c r="AJ625" s="574"/>
      <c r="AK625" s="574"/>
      <c r="AL625" s="574"/>
      <c r="AM625" s="574"/>
      <c r="AN625" s="574"/>
      <c r="AO625" s="574"/>
      <c r="AP625" s="574"/>
      <c r="AQ625" s="574"/>
      <c r="AR625" s="574"/>
      <c r="AS625" s="574"/>
      <c r="AT625" s="574"/>
      <c r="AU625" s="574"/>
      <c r="AV625" s="574"/>
      <c r="AW625" s="574"/>
      <c r="AX625" s="574"/>
      <c r="AY625" s="574"/>
      <c r="AZ625" s="574"/>
      <c r="BA625" s="574"/>
      <c r="BB625" s="574"/>
      <c r="BC625" s="574"/>
      <c r="BD625" s="574"/>
      <c r="BE625" s="574"/>
      <c r="BF625" s="574"/>
      <c r="BG625" s="585"/>
      <c r="BH625" s="585"/>
      <c r="BI625" s="585"/>
      <c r="BJ625" s="585"/>
      <c r="BK625" s="585"/>
      <c r="BL625" s="585"/>
      <c r="BM625" s="585"/>
      <c r="BN625" s="585"/>
      <c r="BO625" s="585"/>
      <c r="BP625" s="1431"/>
      <c r="BQ625" s="1431"/>
      <c r="BR625" s="585"/>
      <c r="BS625" s="585"/>
      <c r="BT625" s="1432"/>
      <c r="BU625" s="1432"/>
      <c r="BV625" s="1432"/>
      <c r="BW625" s="1432"/>
      <c r="BX625" s="1432"/>
      <c r="BY625" s="1432"/>
      <c r="BZ625" s="1432"/>
      <c r="CA625" s="1432"/>
      <c r="CB625" s="1432"/>
      <c r="CC625" s="1432"/>
      <c r="CD625" s="585"/>
      <c r="CE625" s="585"/>
      <c r="CF625" s="586"/>
    </row>
    <row r="626" spans="1:84" s="583" customFormat="1" ht="23.1" customHeight="1">
      <c r="A626" s="584"/>
      <c r="B626" s="585"/>
      <c r="C626" s="585"/>
      <c r="D626" s="585"/>
      <c r="E626" s="585"/>
      <c r="F626" s="585"/>
      <c r="G626" s="585"/>
      <c r="H626" s="585"/>
      <c r="I626" s="585"/>
      <c r="J626" s="585"/>
      <c r="K626" s="585"/>
      <c r="L626" s="585"/>
      <c r="M626" s="585"/>
      <c r="N626" s="585"/>
      <c r="O626" s="585"/>
      <c r="P626" s="585"/>
      <c r="Q626" s="585"/>
      <c r="R626" s="585"/>
      <c r="S626" s="585"/>
      <c r="T626" s="585"/>
      <c r="U626" s="585"/>
      <c r="V626" s="585"/>
      <c r="W626" s="585"/>
      <c r="X626" s="585"/>
      <c r="Y626" s="585"/>
      <c r="Z626" s="585"/>
      <c r="AA626" s="585"/>
      <c r="AB626" s="585"/>
      <c r="AC626" s="585"/>
      <c r="AD626" s="574"/>
      <c r="AE626" s="574"/>
      <c r="AF626" s="574"/>
      <c r="AG626" s="574"/>
      <c r="AH626" s="574"/>
      <c r="AI626" s="574"/>
      <c r="AJ626" s="574"/>
      <c r="AK626" s="574"/>
      <c r="AL626" s="574"/>
      <c r="AM626" s="574"/>
      <c r="AN626" s="574"/>
      <c r="AO626" s="574"/>
      <c r="AP626" s="574"/>
      <c r="AQ626" s="574"/>
      <c r="AR626" s="574"/>
      <c r="AS626" s="585"/>
      <c r="AT626" s="590"/>
      <c r="AU626" s="590"/>
      <c r="AV626" s="585"/>
      <c r="AW626" s="585"/>
      <c r="AX626" s="585"/>
      <c r="AY626" s="585"/>
      <c r="AZ626" s="585"/>
      <c r="BA626" s="585"/>
      <c r="BB626" s="585"/>
      <c r="BC626" s="585"/>
      <c r="BD626" s="585"/>
      <c r="BE626" s="585"/>
      <c r="BF626" s="585"/>
      <c r="BG626" s="585"/>
      <c r="BH626" s="585"/>
      <c r="BI626" s="585"/>
      <c r="BJ626" s="585"/>
      <c r="BK626" s="585"/>
      <c r="BL626" s="585"/>
      <c r="BM626" s="585"/>
      <c r="BN626" s="585"/>
      <c r="BO626" s="585"/>
      <c r="BP626" s="1431" t="s">
        <v>41</v>
      </c>
      <c r="BQ626" s="1431"/>
      <c r="BR626" s="585"/>
      <c r="BS626" s="585"/>
      <c r="BT626" s="1434">
        <f>BT624+BT625</f>
        <v>49778</v>
      </c>
      <c r="BU626" s="1434"/>
      <c r="BV626" s="1434"/>
      <c r="BW626" s="1434"/>
      <c r="BX626" s="1434"/>
      <c r="BY626" s="1434"/>
      <c r="BZ626" s="1434"/>
      <c r="CA626" s="1434"/>
      <c r="CB626" s="1434"/>
      <c r="CC626" s="1434"/>
      <c r="CD626" s="585"/>
      <c r="CE626" s="585"/>
      <c r="CF626" s="586"/>
    </row>
    <row r="627" spans="1:84" s="583" customFormat="1" ht="23.1" customHeight="1">
      <c r="A627" s="592"/>
      <c r="B627" s="593" t="s">
        <v>1110</v>
      </c>
      <c r="C627" s="593"/>
      <c r="D627" s="593"/>
      <c r="E627" s="593"/>
      <c r="F627" s="593"/>
      <c r="G627" s="593"/>
      <c r="H627" s="593"/>
      <c r="I627" s="593"/>
      <c r="J627" s="593"/>
      <c r="K627" s="593"/>
      <c r="L627" s="593"/>
      <c r="M627" s="593"/>
      <c r="N627" s="593"/>
      <c r="O627" s="593"/>
      <c r="P627" s="593"/>
      <c r="Q627" s="593"/>
      <c r="R627" s="593"/>
      <c r="S627" s="593"/>
      <c r="T627" s="593"/>
      <c r="U627" s="593"/>
      <c r="V627" s="593"/>
      <c r="W627" s="593"/>
      <c r="X627" s="593"/>
      <c r="Y627" s="593"/>
      <c r="Z627" s="593"/>
      <c r="AA627" s="593"/>
      <c r="AB627" s="593"/>
      <c r="AC627" s="593"/>
      <c r="AD627" s="593"/>
      <c r="AE627" s="593"/>
      <c r="AF627" s="593"/>
      <c r="AG627" s="593"/>
      <c r="AH627" s="593"/>
      <c r="AI627" s="593"/>
      <c r="AJ627" s="593"/>
      <c r="AK627" s="593"/>
      <c r="AL627" s="593"/>
      <c r="AM627" s="593"/>
      <c r="AN627" s="593"/>
      <c r="AO627" s="593"/>
      <c r="AP627" s="593"/>
      <c r="AQ627" s="593"/>
      <c r="AR627" s="593"/>
      <c r="AS627" s="593"/>
      <c r="AT627" s="593"/>
      <c r="AU627" s="593"/>
      <c r="AV627" s="593"/>
      <c r="AW627" s="593"/>
      <c r="AX627" s="593"/>
      <c r="AY627" s="593"/>
      <c r="AZ627" s="593"/>
      <c r="BA627" s="593"/>
      <c r="BB627" s="593"/>
      <c r="BC627" s="593"/>
      <c r="BD627" s="593"/>
      <c r="BE627" s="593"/>
      <c r="BF627" s="593"/>
      <c r="BG627" s="593"/>
      <c r="BH627" s="593"/>
      <c r="BI627" s="593"/>
      <c r="BJ627" s="593"/>
      <c r="BK627" s="593"/>
      <c r="BL627" s="593"/>
      <c r="BM627" s="593"/>
      <c r="BN627" s="593"/>
      <c r="BO627" s="593"/>
      <c r="BP627" s="593"/>
      <c r="BQ627" s="593"/>
      <c r="BR627" s="593"/>
      <c r="BS627" s="593"/>
      <c r="BT627" s="593"/>
      <c r="BU627" s="593"/>
      <c r="BV627" s="593"/>
      <c r="BW627" s="593"/>
      <c r="BX627" s="593"/>
      <c r="BY627" s="593"/>
      <c r="BZ627" s="593"/>
      <c r="CA627" s="593"/>
      <c r="CB627" s="593"/>
      <c r="CC627" s="593"/>
      <c r="CD627" s="593"/>
      <c r="CE627" s="593"/>
      <c r="CF627" s="595"/>
    </row>
    <row r="628" spans="1:84" s="583" customFormat="1" ht="23.1" customHeight="1">
      <c r="A628" s="584"/>
      <c r="B628" s="585"/>
      <c r="C628" s="585"/>
      <c r="D628" s="596" t="s">
        <v>1094</v>
      </c>
      <c r="E628" s="585"/>
      <c r="F628" s="585"/>
      <c r="G628" s="585"/>
      <c r="H628" s="585"/>
      <c r="I628" s="585"/>
      <c r="J628" s="585"/>
      <c r="K628" s="585"/>
      <c r="L628" s="585"/>
      <c r="M628" s="585"/>
      <c r="N628" s="585"/>
      <c r="O628" s="585"/>
      <c r="P628" s="585"/>
      <c r="Q628" s="585"/>
      <c r="R628" s="585"/>
      <c r="S628" s="585"/>
      <c r="T628" s="585"/>
      <c r="U628" s="585"/>
      <c r="V628" s="585"/>
      <c r="W628" s="585"/>
      <c r="X628" s="585"/>
      <c r="Y628" s="585"/>
      <c r="Z628" s="585"/>
      <c r="AA628" s="585"/>
      <c r="AB628" s="585"/>
      <c r="AC628" s="585"/>
      <c r="AD628" s="585"/>
      <c r="AE628" s="585"/>
      <c r="AF628" s="585"/>
      <c r="AG628" s="585"/>
      <c r="AH628" s="585"/>
      <c r="AI628" s="585"/>
      <c r="AJ628" s="585"/>
      <c r="AK628" s="585"/>
      <c r="AL628" s="585"/>
      <c r="AM628" s="585"/>
      <c r="AN628" s="585"/>
      <c r="AO628" s="585"/>
      <c r="AP628" s="585"/>
      <c r="AQ628" s="585"/>
      <c r="AR628" s="422"/>
      <c r="AS628" s="1435" t="e">
        <f>HLOOKUP(D628,$CN$1:$CO$3,3,0)</f>
        <v>#REF!</v>
      </c>
      <c r="AT628" s="1435"/>
      <c r="AU628" s="1435"/>
      <c r="AV628" s="1435"/>
      <c r="AW628" s="1435"/>
      <c r="AX628" s="1435"/>
      <c r="AY628" s="1435"/>
      <c r="AZ628" s="1435"/>
      <c r="BA628" s="1435"/>
      <c r="BB628" s="1435"/>
      <c r="BC628" s="585"/>
      <c r="BD628" s="1431" t="s">
        <v>446</v>
      </c>
      <c r="BE628" s="1431"/>
      <c r="BF628" s="585"/>
      <c r="BG628" s="1431">
        <v>5</v>
      </c>
      <c r="BH628" s="1431"/>
      <c r="BI628" s="1431"/>
      <c r="BJ628" s="1431"/>
      <c r="BK628" s="1431"/>
      <c r="BL628" s="585" t="s">
        <v>1111</v>
      </c>
      <c r="BM628" s="585"/>
      <c r="BN628" s="585"/>
      <c r="BO628" s="585"/>
      <c r="BP628" s="1431" t="s">
        <v>41</v>
      </c>
      <c r="BQ628" s="1431"/>
      <c r="BR628" s="585"/>
      <c r="BS628" s="585"/>
      <c r="BT628" s="1432" t="e">
        <f>INT(AS628*BG628)</f>
        <v>#REF!</v>
      </c>
      <c r="BU628" s="1432"/>
      <c r="BV628" s="1432"/>
      <c r="BW628" s="1432"/>
      <c r="BX628" s="1432"/>
      <c r="BY628" s="1432"/>
      <c r="BZ628" s="1432"/>
      <c r="CA628" s="1432"/>
      <c r="CB628" s="1432"/>
      <c r="CC628" s="1432"/>
      <c r="CD628" s="585"/>
      <c r="CE628" s="585"/>
      <c r="CF628" s="586"/>
    </row>
    <row r="629" spans="1:84" s="583" customFormat="1" ht="23.1" customHeight="1">
      <c r="A629" s="584"/>
      <c r="B629" s="585"/>
      <c r="C629" s="585"/>
      <c r="D629" s="591" t="str">
        <f>"잡재료 (주연료의 "&amp;BG629&amp;"%) :"</f>
        <v>잡재료 (주연료의 38%) :</v>
      </c>
      <c r="E629" s="585"/>
      <c r="F629" s="585"/>
      <c r="G629" s="585"/>
      <c r="H629" s="585"/>
      <c r="I629" s="585"/>
      <c r="J629" s="585"/>
      <c r="K629" s="585"/>
      <c r="L629" s="585"/>
      <c r="M629" s="585"/>
      <c r="N629" s="585"/>
      <c r="O629" s="585"/>
      <c r="P629" s="585"/>
      <c r="Q629" s="585"/>
      <c r="R629" s="585"/>
      <c r="S629" s="585"/>
      <c r="T629" s="585"/>
      <c r="U629" s="585"/>
      <c r="V629" s="585"/>
      <c r="W629" s="585"/>
      <c r="X629" s="585"/>
      <c r="Y629" s="585"/>
      <c r="Z629" s="585"/>
      <c r="AA629" s="585"/>
      <c r="AB629" s="585"/>
      <c r="AC629" s="585"/>
      <c r="AD629" s="585"/>
      <c r="AE629" s="585"/>
      <c r="AF629" s="585"/>
      <c r="AG629" s="585"/>
      <c r="AH629" s="585"/>
      <c r="AI629" s="585"/>
      <c r="AJ629" s="585"/>
      <c r="AK629" s="585"/>
      <c r="AL629" s="585"/>
      <c r="AM629" s="585"/>
      <c r="AN629" s="585"/>
      <c r="AO629" s="585"/>
      <c r="AP629" s="585"/>
      <c r="AQ629" s="585"/>
      <c r="AR629" s="422" t="e">
        <f>BT628</f>
        <v>#REF!</v>
      </c>
      <c r="AS629" s="1430" t="e">
        <f>BT628</f>
        <v>#REF!</v>
      </c>
      <c r="AT629" s="1430"/>
      <c r="AU629" s="1430"/>
      <c r="AV629" s="1430"/>
      <c r="AW629" s="1430"/>
      <c r="AX629" s="1430"/>
      <c r="AY629" s="1430"/>
      <c r="AZ629" s="1430"/>
      <c r="BA629" s="1430"/>
      <c r="BB629" s="1430"/>
      <c r="BC629" s="585"/>
      <c r="BD629" s="1431" t="s">
        <v>446</v>
      </c>
      <c r="BE629" s="1431"/>
      <c r="BF629" s="585"/>
      <c r="BG629" s="1431">
        <v>38</v>
      </c>
      <c r="BH629" s="1431"/>
      <c r="BI629" s="1431"/>
      <c r="BJ629" s="1431"/>
      <c r="BK629" s="1431"/>
      <c r="BL629" s="585" t="s">
        <v>1112</v>
      </c>
      <c r="BM629" s="585"/>
      <c r="BN629" s="585"/>
      <c r="BO629" s="585"/>
      <c r="BP629" s="1431" t="s">
        <v>41</v>
      </c>
      <c r="BQ629" s="1431"/>
      <c r="BR629" s="585"/>
      <c r="BS629" s="585"/>
      <c r="BT629" s="1432" t="e">
        <f>INT(AS629*BG629/100)</f>
        <v>#REF!</v>
      </c>
      <c r="BU629" s="1432"/>
      <c r="BV629" s="1432"/>
      <c r="BW629" s="1432"/>
      <c r="BX629" s="1432"/>
      <c r="BY629" s="1432"/>
      <c r="BZ629" s="1432"/>
      <c r="CA629" s="1432"/>
      <c r="CB629" s="1432"/>
      <c r="CC629" s="1432"/>
      <c r="CD629" s="585"/>
      <c r="CE629" s="585"/>
      <c r="CF629" s="586"/>
    </row>
    <row r="630" spans="1:84" s="583" customFormat="1" ht="23.1" customHeight="1" thickBot="1">
      <c r="A630" s="584"/>
      <c r="B630" s="585"/>
      <c r="C630" s="585"/>
      <c r="D630" s="585"/>
      <c r="E630" s="585"/>
      <c r="F630" s="585"/>
      <c r="G630" s="585"/>
      <c r="H630" s="585"/>
      <c r="I630" s="585"/>
      <c r="J630" s="585"/>
      <c r="K630" s="585"/>
      <c r="L630" s="585"/>
      <c r="M630" s="585"/>
      <c r="N630" s="585"/>
      <c r="O630" s="585"/>
      <c r="P630" s="585"/>
      <c r="Q630" s="585"/>
      <c r="R630" s="585"/>
      <c r="S630" s="585"/>
      <c r="T630" s="585"/>
      <c r="U630" s="585"/>
      <c r="V630" s="585"/>
      <c r="W630" s="585"/>
      <c r="X630" s="585"/>
      <c r="Y630" s="585"/>
      <c r="Z630" s="585"/>
      <c r="AA630" s="585"/>
      <c r="AB630" s="585"/>
      <c r="AC630" s="585"/>
      <c r="AD630" s="585"/>
      <c r="AE630" s="585"/>
      <c r="AF630" s="585"/>
      <c r="AG630" s="585"/>
      <c r="AH630" s="585"/>
      <c r="AI630" s="585"/>
      <c r="AJ630" s="585"/>
      <c r="AK630" s="585"/>
      <c r="AL630" s="585"/>
      <c r="AM630" s="585"/>
      <c r="AN630" s="585"/>
      <c r="AO630" s="585"/>
      <c r="AP630" s="585"/>
      <c r="AQ630" s="585"/>
      <c r="AR630" s="585"/>
      <c r="AS630" s="585"/>
      <c r="AT630" s="585"/>
      <c r="AU630" s="585"/>
      <c r="AV630" s="585"/>
      <c r="AW630" s="585"/>
      <c r="AX630" s="585"/>
      <c r="AY630" s="585"/>
      <c r="AZ630" s="585"/>
      <c r="BA630" s="585"/>
      <c r="BB630" s="585"/>
      <c r="BC630" s="585"/>
      <c r="BD630" s="585"/>
      <c r="BE630" s="585"/>
      <c r="BF630" s="585"/>
      <c r="BG630" s="585"/>
      <c r="BH630" s="585"/>
      <c r="BI630" s="585"/>
      <c r="BJ630" s="585"/>
      <c r="BK630" s="585"/>
      <c r="BL630" s="585"/>
      <c r="BM630" s="585"/>
      <c r="BN630" s="585"/>
      <c r="BO630" s="585"/>
      <c r="BP630" s="1431" t="s">
        <v>41</v>
      </c>
      <c r="BQ630" s="1431"/>
      <c r="BR630" s="585"/>
      <c r="BS630" s="585"/>
      <c r="BT630" s="1433" t="e">
        <f>BT628+BT629</f>
        <v>#REF!</v>
      </c>
      <c r="BU630" s="1433"/>
      <c r="BV630" s="1433"/>
      <c r="BW630" s="1433"/>
      <c r="BX630" s="1433"/>
      <c r="BY630" s="1433"/>
      <c r="BZ630" s="1433"/>
      <c r="CA630" s="1433"/>
      <c r="CB630" s="1433"/>
      <c r="CC630" s="1433"/>
      <c r="CD630" s="585"/>
      <c r="CE630" s="585"/>
      <c r="CF630" s="586"/>
    </row>
    <row r="631" spans="1:84" s="583" customFormat="1" ht="23.1" customHeight="1" thickBot="1">
      <c r="A631" s="597"/>
      <c r="B631" s="598" t="s">
        <v>1113</v>
      </c>
      <c r="C631" s="598"/>
      <c r="D631" s="598"/>
      <c r="E631" s="598"/>
      <c r="F631" s="598"/>
      <c r="G631" s="598"/>
      <c r="H631" s="598"/>
      <c r="I631" s="598"/>
      <c r="J631" s="598"/>
      <c r="K631" s="598"/>
      <c r="L631" s="598"/>
      <c r="M631" s="598"/>
      <c r="N631" s="598"/>
      <c r="O631" s="598"/>
      <c r="P631" s="598"/>
      <c r="Q631" s="598"/>
      <c r="R631" s="598"/>
      <c r="S631" s="598"/>
      <c r="T631" s="598"/>
      <c r="U631" s="598"/>
      <c r="V631" s="598"/>
      <c r="W631" s="598"/>
      <c r="X631" s="598"/>
      <c r="Y631" s="598"/>
      <c r="Z631" s="598"/>
      <c r="AA631" s="598"/>
      <c r="AB631" s="598"/>
      <c r="AC631" s="598"/>
      <c r="AD631" s="598"/>
      <c r="AE631" s="598"/>
      <c r="AF631" s="598"/>
      <c r="AG631" s="598"/>
      <c r="AH631" s="598"/>
      <c r="AI631" s="598"/>
      <c r="AJ631" s="598"/>
      <c r="AK631" s="598"/>
      <c r="AL631" s="598"/>
      <c r="AM631" s="598"/>
      <c r="AN631" s="598"/>
      <c r="AO631" s="598"/>
      <c r="AP631" s="598"/>
      <c r="AQ631" s="598"/>
      <c r="AR631" s="598"/>
      <c r="AS631" s="598"/>
      <c r="AT631" s="598"/>
      <c r="AU631" s="598"/>
      <c r="AV631" s="598"/>
      <c r="AW631" s="598"/>
      <c r="AX631" s="598"/>
      <c r="AY631" s="598"/>
      <c r="AZ631" s="598"/>
      <c r="BA631" s="598"/>
      <c r="BB631" s="598"/>
      <c r="BC631" s="598"/>
      <c r="BD631" s="598"/>
      <c r="BE631" s="598"/>
      <c r="BF631" s="598"/>
      <c r="BG631" s="598"/>
      <c r="BH631" s="598"/>
      <c r="BI631" s="598"/>
      <c r="BJ631" s="598"/>
      <c r="BK631" s="598"/>
      <c r="BL631" s="598"/>
      <c r="BM631" s="598"/>
      <c r="BN631" s="598"/>
      <c r="BO631" s="598"/>
      <c r="BP631" s="598"/>
      <c r="BQ631" s="598"/>
      <c r="BR631" s="598"/>
      <c r="BS631" s="598"/>
      <c r="BT631" s="1429" t="e">
        <f>BT622+BT626+BT630</f>
        <v>#REF!</v>
      </c>
      <c r="BU631" s="1429"/>
      <c r="BV631" s="1429"/>
      <c r="BW631" s="1429"/>
      <c r="BX631" s="1429"/>
      <c r="BY631" s="1429"/>
      <c r="BZ631" s="1429"/>
      <c r="CA631" s="1429"/>
      <c r="CB631" s="1429"/>
      <c r="CC631" s="1429"/>
      <c r="CD631" s="598"/>
      <c r="CE631" s="598"/>
      <c r="CF631" s="599"/>
    </row>
    <row r="632" spans="1:84" s="583" customFormat="1" ht="9.9499999999999993" customHeight="1">
      <c r="A632" s="574"/>
      <c r="B632" s="574"/>
      <c r="C632" s="574"/>
      <c r="D632" s="574"/>
      <c r="E632" s="574"/>
      <c r="F632" s="574"/>
      <c r="G632" s="574"/>
      <c r="H632" s="574"/>
      <c r="I632" s="574"/>
      <c r="J632" s="574"/>
      <c r="K632" s="574"/>
      <c r="L632" s="574"/>
      <c r="M632" s="574"/>
      <c r="N632" s="574"/>
      <c r="O632" s="574"/>
      <c r="P632" s="574"/>
      <c r="Q632" s="574"/>
      <c r="R632" s="574"/>
      <c r="S632" s="574"/>
      <c r="T632" s="574"/>
      <c r="U632" s="574"/>
      <c r="V632" s="574"/>
      <c r="W632" s="574"/>
      <c r="X632" s="574"/>
      <c r="Y632" s="574"/>
      <c r="Z632" s="574"/>
      <c r="AA632" s="574"/>
      <c r="AB632" s="574"/>
      <c r="AC632" s="574"/>
      <c r="AD632" s="574"/>
      <c r="AE632" s="574"/>
      <c r="AF632" s="574"/>
      <c r="AG632" s="574"/>
      <c r="AH632" s="574"/>
      <c r="AI632" s="574"/>
      <c r="AJ632" s="574"/>
      <c r="AK632" s="574"/>
      <c r="AL632" s="574"/>
      <c r="AM632" s="574"/>
      <c r="AN632" s="574"/>
      <c r="AO632" s="574"/>
      <c r="AP632" s="574"/>
      <c r="AQ632" s="574"/>
      <c r="AR632" s="574"/>
      <c r="AS632" s="574"/>
      <c r="AT632" s="574"/>
      <c r="AU632" s="574"/>
      <c r="AV632" s="574"/>
      <c r="AW632" s="574"/>
      <c r="AX632" s="574"/>
      <c r="AY632" s="574"/>
      <c r="AZ632" s="574"/>
      <c r="BA632" s="574"/>
      <c r="BB632" s="574"/>
      <c r="BC632" s="574"/>
      <c r="BD632" s="574"/>
      <c r="BE632" s="574"/>
      <c r="BF632" s="574"/>
      <c r="BG632" s="574"/>
      <c r="BH632" s="574"/>
      <c r="BI632" s="574"/>
      <c r="BJ632" s="574"/>
      <c r="BK632" s="574"/>
      <c r="BL632" s="574"/>
      <c r="BM632" s="574"/>
      <c r="BN632" s="574"/>
      <c r="BO632" s="574"/>
      <c r="BP632" s="574"/>
      <c r="BQ632" s="574"/>
      <c r="BR632" s="574"/>
      <c r="BS632" s="574"/>
      <c r="BT632" s="574"/>
      <c r="BU632" s="574"/>
      <c r="BV632" s="574"/>
      <c r="BW632" s="574"/>
      <c r="BX632" s="574"/>
      <c r="BY632" s="574"/>
      <c r="BZ632" s="574"/>
      <c r="CA632" s="574"/>
      <c r="CB632" s="574"/>
      <c r="CC632" s="574"/>
      <c r="CD632" s="574"/>
      <c r="CE632" s="574"/>
      <c r="CF632" s="574"/>
    </row>
    <row r="633" spans="1:84" s="583" customFormat="1" ht="23.1" customHeight="1" thickBot="1">
      <c r="A633" s="1446" t="s">
        <v>1095</v>
      </c>
      <c r="B633" s="1446"/>
      <c r="C633" s="1446"/>
      <c r="D633" s="1446"/>
      <c r="E633" s="1446"/>
      <c r="F633" s="1446"/>
      <c r="G633" s="1447">
        <f>G618+1</f>
        <v>43</v>
      </c>
      <c r="H633" s="1447"/>
      <c r="I633" s="1447"/>
      <c r="J633" s="1448" t="s">
        <v>1096</v>
      </c>
      <c r="K633" s="1448"/>
      <c r="L633" s="574"/>
      <c r="M633" s="574"/>
      <c r="N633" s="574"/>
      <c r="O633" s="574"/>
      <c r="P633" s="574"/>
      <c r="Q633" s="574"/>
      <c r="R633" s="574"/>
      <c r="S633" s="574"/>
      <c r="T633" s="574"/>
      <c r="U633" s="574"/>
      <c r="V633" s="574"/>
      <c r="W633" s="574"/>
      <c r="X633" s="574"/>
      <c r="Y633" s="574"/>
      <c r="Z633" s="574"/>
      <c r="AA633" s="574"/>
      <c r="AB633" s="574"/>
      <c r="AC633" s="574"/>
      <c r="AD633" s="574"/>
      <c r="AE633" s="574"/>
      <c r="AF633" s="574"/>
      <c r="AG633" s="574"/>
      <c r="AH633" s="574"/>
      <c r="AI633" s="574"/>
      <c r="AJ633" s="574"/>
      <c r="AK633" s="574"/>
      <c r="AL633" s="574"/>
      <c r="AM633" s="574"/>
      <c r="AN633" s="574"/>
      <c r="AO633" s="574"/>
      <c r="AP633" s="574"/>
      <c r="AQ633" s="574"/>
      <c r="AR633" s="574"/>
      <c r="AS633" s="574"/>
      <c r="AT633" s="574"/>
      <c r="AU633" s="574"/>
      <c r="AV633" s="574"/>
      <c r="AW633" s="574"/>
      <c r="AX633" s="574"/>
      <c r="AY633" s="574"/>
      <c r="AZ633" s="574"/>
      <c r="BA633" s="574"/>
      <c r="BB633" s="574"/>
      <c r="BC633" s="574"/>
      <c r="BD633" s="574"/>
      <c r="BE633" s="574"/>
      <c r="BF633" s="574"/>
      <c r="BG633" s="574"/>
      <c r="BH633" s="574"/>
      <c r="BI633" s="574"/>
      <c r="BJ633" s="574"/>
      <c r="BK633" s="574"/>
      <c r="BL633" s="574"/>
      <c r="BM633" s="574"/>
      <c r="BN633" s="574"/>
      <c r="BO633" s="574"/>
      <c r="BP633" s="574"/>
      <c r="BQ633" s="574"/>
      <c r="BR633" s="574"/>
      <c r="BS633" s="574"/>
      <c r="BT633" s="574"/>
      <c r="BU633" s="574"/>
      <c r="BV633" s="574"/>
      <c r="BW633" s="574"/>
      <c r="BX633" s="574"/>
      <c r="BY633" s="574"/>
      <c r="BZ633" s="574"/>
      <c r="CA633" s="574"/>
      <c r="CB633" s="574"/>
      <c r="CC633" s="574"/>
      <c r="CD633" s="574"/>
      <c r="CE633" s="574"/>
      <c r="CF633" s="574"/>
    </row>
    <row r="634" spans="1:84" s="583" customFormat="1" ht="23.1" customHeight="1" thickBot="1">
      <c r="A634" s="1483" t="s">
        <v>1097</v>
      </c>
      <c r="B634" s="1484"/>
      <c r="C634" s="1484"/>
      <c r="D634" s="1484"/>
      <c r="E634" s="1484"/>
      <c r="F634" s="1484"/>
      <c r="G634" s="1484"/>
      <c r="H634" s="1484"/>
      <c r="I634" s="581" t="s">
        <v>1164</v>
      </c>
      <c r="J634" s="581"/>
      <c r="K634" s="581"/>
      <c r="L634" s="581"/>
      <c r="M634" s="581"/>
      <c r="N634" s="581"/>
      <c r="O634" s="581"/>
      <c r="P634" s="581"/>
      <c r="Q634" s="581"/>
      <c r="R634" s="581"/>
      <c r="S634" s="581"/>
      <c r="T634" s="581"/>
      <c r="U634" s="581"/>
      <c r="V634" s="581"/>
      <c r="W634" s="581"/>
      <c r="X634" s="581"/>
      <c r="Y634" s="581"/>
      <c r="Z634" s="581"/>
      <c r="AA634" s="581"/>
      <c r="AB634" s="581"/>
      <c r="AC634" s="581"/>
      <c r="AD634" s="581"/>
      <c r="AE634" s="581"/>
      <c r="AF634" s="581"/>
      <c r="AG634" s="581"/>
      <c r="AH634" s="581"/>
      <c r="AI634" s="581"/>
      <c r="AJ634" s="1484" t="s">
        <v>1099</v>
      </c>
      <c r="AK634" s="1484"/>
      <c r="AL634" s="1484"/>
      <c r="AM634" s="1484"/>
      <c r="AN634" s="1484"/>
      <c r="AO634" s="1484"/>
      <c r="AP634" s="1484"/>
      <c r="AQ634" s="581" t="s">
        <v>1156</v>
      </c>
      <c r="AR634" s="581"/>
      <c r="AS634" s="581"/>
      <c r="AT634" s="581"/>
      <c r="AU634" s="581"/>
      <c r="AV634" s="581"/>
      <c r="AW634" s="581"/>
      <c r="AX634" s="581"/>
      <c r="AY634" s="581"/>
      <c r="AZ634" s="581"/>
      <c r="BA634" s="581"/>
      <c r="BB634" s="581"/>
      <c r="BC634" s="581"/>
      <c r="BD634" s="581"/>
      <c r="BE634" s="581"/>
      <c r="BF634" s="581"/>
      <c r="BG634" s="581"/>
      <c r="BH634" s="581"/>
      <c r="BI634" s="581"/>
      <c r="BJ634" s="581"/>
      <c r="BK634" s="581"/>
      <c r="BL634" s="581"/>
      <c r="BM634" s="581"/>
      <c r="BN634" s="581"/>
      <c r="BO634" s="581"/>
      <c r="BP634" s="581"/>
      <c r="BQ634" s="581"/>
      <c r="BR634" s="581"/>
      <c r="BS634" s="581"/>
      <c r="BT634" s="581" t="s">
        <v>1157</v>
      </c>
      <c r="BU634" s="581"/>
      <c r="BV634" s="581"/>
      <c r="BW634" s="581"/>
      <c r="BX634" s="581"/>
      <c r="BY634" s="581"/>
      <c r="BZ634" s="581"/>
      <c r="CA634" s="581"/>
      <c r="CB634" s="581"/>
      <c r="CC634" s="581"/>
      <c r="CD634" s="581"/>
      <c r="CE634" s="581"/>
      <c r="CF634" s="582"/>
    </row>
    <row r="635" spans="1:84" s="583" customFormat="1" ht="23.1" customHeight="1">
      <c r="A635" s="584"/>
      <c r="B635" s="585" t="s">
        <v>1102</v>
      </c>
      <c r="C635" s="585"/>
      <c r="D635" s="585"/>
      <c r="E635" s="585"/>
      <c r="F635" s="585"/>
      <c r="G635" s="585"/>
      <c r="H635" s="585"/>
      <c r="I635" s="585"/>
      <c r="J635" s="585"/>
      <c r="K635" s="585"/>
      <c r="L635" s="585"/>
      <c r="M635" s="585"/>
      <c r="N635" s="585"/>
      <c r="O635" s="585"/>
      <c r="P635" s="585"/>
      <c r="Q635" s="585"/>
      <c r="R635" s="585"/>
      <c r="S635" s="585"/>
      <c r="T635" s="585"/>
      <c r="U635" s="585"/>
      <c r="V635" s="585"/>
      <c r="W635" s="585"/>
      <c r="X635" s="585"/>
      <c r="Y635" s="585"/>
      <c r="Z635" s="585"/>
      <c r="AA635" s="585"/>
      <c r="AB635" s="585"/>
      <c r="AC635" s="585"/>
      <c r="AD635" s="585"/>
      <c r="AE635" s="585"/>
      <c r="AF635" s="585"/>
      <c r="AG635" s="585"/>
      <c r="AH635" s="585"/>
      <c r="AI635" s="585"/>
      <c r="AJ635" s="585"/>
      <c r="AK635" s="585"/>
      <c r="AL635" s="585"/>
      <c r="AM635" s="585"/>
      <c r="AN635" s="585"/>
      <c r="AO635" s="585"/>
      <c r="AP635" s="585"/>
      <c r="AQ635" s="585"/>
      <c r="AR635" s="585"/>
      <c r="AS635" s="585"/>
      <c r="AT635" s="585"/>
      <c r="AU635" s="585"/>
      <c r="AV635" s="585"/>
      <c r="AW635" s="585"/>
      <c r="AX635" s="585"/>
      <c r="AY635" s="585"/>
      <c r="AZ635" s="585"/>
      <c r="BA635" s="585"/>
      <c r="BB635" s="585"/>
      <c r="BC635" s="585"/>
      <c r="BD635" s="585"/>
      <c r="BE635" s="585"/>
      <c r="BF635" s="585"/>
      <c r="BG635" s="585"/>
      <c r="BH635" s="585"/>
      <c r="BI635" s="585"/>
      <c r="BJ635" s="585"/>
      <c r="BK635" s="585"/>
      <c r="BL635" s="585"/>
      <c r="BM635" s="585"/>
      <c r="BN635" s="585"/>
      <c r="BO635" s="585"/>
      <c r="BP635" s="585"/>
      <c r="BQ635" s="585"/>
      <c r="BR635" s="585"/>
      <c r="BS635" s="585"/>
      <c r="BT635" s="585"/>
      <c r="BU635" s="585"/>
      <c r="BV635" s="585"/>
      <c r="BW635" s="585"/>
      <c r="BX635" s="585"/>
      <c r="BY635" s="585"/>
      <c r="BZ635" s="585"/>
      <c r="CA635" s="585"/>
      <c r="CB635" s="585"/>
      <c r="CC635" s="585"/>
      <c r="CD635" s="585"/>
      <c r="CE635" s="585"/>
      <c r="CF635" s="586"/>
    </row>
    <row r="636" spans="1:84" s="583" customFormat="1" ht="23.1" customHeight="1">
      <c r="A636" s="587"/>
      <c r="B636" s="574"/>
      <c r="C636" s="574"/>
      <c r="D636" s="405"/>
      <c r="E636" s="574"/>
      <c r="F636" s="422"/>
      <c r="G636" s="422"/>
      <c r="H636" s="422"/>
      <c r="I636" s="422"/>
      <c r="J636" s="422"/>
      <c r="K636" s="422"/>
      <c r="L636" s="422"/>
      <c r="M636" s="422"/>
      <c r="N636" s="574"/>
      <c r="O636" s="574"/>
      <c r="P636" s="574"/>
      <c r="Q636" s="574"/>
      <c r="R636" s="574"/>
      <c r="S636" s="588"/>
      <c r="T636" s="588"/>
      <c r="U636" s="588"/>
      <c r="V636" s="588"/>
      <c r="W636" s="588"/>
      <c r="X636" s="588"/>
      <c r="Y636" s="588"/>
      <c r="Z636" s="588"/>
      <c r="AA636" s="574"/>
      <c r="AB636" s="588"/>
      <c r="AC636" s="585"/>
      <c r="AD636" s="585"/>
      <c r="AE636" s="600"/>
      <c r="AF636" s="600"/>
      <c r="AG636" s="600"/>
      <c r="AH636" s="600"/>
      <c r="AI636" s="600"/>
      <c r="AJ636" s="600"/>
      <c r="AK636" s="600"/>
      <c r="AL636" s="600"/>
      <c r="AM636" s="585"/>
      <c r="AN636" s="585"/>
      <c r="AO636" s="574"/>
      <c r="AP636" s="430"/>
      <c r="AQ636" s="430"/>
      <c r="AR636" s="430"/>
      <c r="AS636" s="430"/>
      <c r="AT636" s="430"/>
      <c r="AU636" s="430"/>
      <c r="AV636" s="430"/>
      <c r="AW636" s="430"/>
      <c r="AX636" s="430"/>
      <c r="AY636" s="430"/>
      <c r="AZ636" s="430"/>
      <c r="BA636" s="430"/>
      <c r="BB636" s="430"/>
      <c r="BC636" s="430"/>
      <c r="BD636" s="574"/>
      <c r="BE636" s="574"/>
      <c r="BF636" s="574"/>
      <c r="BG636" s="574"/>
      <c r="BH636" s="574"/>
      <c r="BI636" s="574"/>
      <c r="BJ636" s="574"/>
      <c r="BK636" s="574"/>
      <c r="BL636" s="574"/>
      <c r="BM636" s="574"/>
      <c r="BN636" s="574"/>
      <c r="BO636" s="574"/>
      <c r="BP636" s="574"/>
      <c r="BQ636" s="574"/>
      <c r="BR636" s="574"/>
      <c r="BS636" s="574"/>
      <c r="BT636" s="574"/>
      <c r="BU636" s="574"/>
      <c r="BV636" s="574"/>
      <c r="BW636" s="574"/>
      <c r="BX636" s="574"/>
      <c r="BY636" s="574"/>
      <c r="BZ636" s="574"/>
      <c r="CA636" s="574"/>
      <c r="CB636" s="574"/>
      <c r="CC636" s="574"/>
      <c r="CD636" s="574"/>
      <c r="CE636" s="574"/>
      <c r="CF636" s="589"/>
    </row>
    <row r="637" spans="1:84" s="583" customFormat="1" ht="23.1" customHeight="1">
      <c r="A637" s="584"/>
      <c r="B637" s="585"/>
      <c r="C637" s="585"/>
      <c r="H637" s="1502">
        <f>$AE$547</f>
        <v>37391000</v>
      </c>
      <c r="I637" s="1502"/>
      <c r="J637" s="1502"/>
      <c r="K637" s="1502"/>
      <c r="L637" s="1502"/>
      <c r="M637" s="1502"/>
      <c r="N637" s="1502"/>
      <c r="O637" s="1502"/>
      <c r="P637" s="1502"/>
      <c r="Q637" s="1502"/>
      <c r="R637" s="1502"/>
      <c r="S637" s="1502"/>
      <c r="T637" s="1502"/>
      <c r="U637" s="1502"/>
      <c r="V637" s="1502"/>
      <c r="W637" s="1431" t="s">
        <v>446</v>
      </c>
      <c r="X637" s="1431"/>
      <c r="Y637" s="1491" t="s">
        <v>1127</v>
      </c>
      <c r="Z637" s="1491"/>
      <c r="AA637" s="1503" t="s">
        <v>1103</v>
      </c>
      <c r="AB637" s="1503"/>
      <c r="AC637" s="1442">
        <v>1125</v>
      </c>
      <c r="AD637" s="1442"/>
      <c r="AE637" s="1442"/>
      <c r="AF637" s="1442"/>
      <c r="AG637" s="1442"/>
      <c r="AH637" s="1442"/>
      <c r="AI637" s="1431" t="s">
        <v>1128</v>
      </c>
      <c r="AJ637" s="1431"/>
      <c r="AK637" s="1442">
        <v>1000</v>
      </c>
      <c r="AL637" s="1442"/>
      <c r="AM637" s="1442"/>
      <c r="AN637" s="1442"/>
      <c r="AO637" s="1442"/>
      <c r="AP637" s="1442"/>
      <c r="AQ637" s="1503" t="s">
        <v>1105</v>
      </c>
      <c r="AR637" s="1503"/>
      <c r="AS637" s="1431" t="s">
        <v>446</v>
      </c>
      <c r="AT637" s="1431"/>
      <c r="AU637" s="1504">
        <v>1.1000000000000001</v>
      </c>
      <c r="AV637" s="1504"/>
      <c r="AW637" s="1504"/>
      <c r="AX637" s="1504"/>
      <c r="AY637" s="1504"/>
      <c r="AZ637" s="1431" t="s">
        <v>1128</v>
      </c>
      <c r="BA637" s="1431"/>
      <c r="BB637" s="1431">
        <v>695</v>
      </c>
      <c r="BC637" s="1431"/>
      <c r="BD637" s="1431"/>
      <c r="BE637" s="1431"/>
      <c r="BF637" s="1431"/>
      <c r="BG637" s="1491" t="s">
        <v>1096</v>
      </c>
      <c r="BH637" s="1491"/>
      <c r="BI637" s="1431" t="s">
        <v>446</v>
      </c>
      <c r="BJ637" s="1431"/>
      <c r="BK637" s="591" t="s">
        <v>1104</v>
      </c>
      <c r="BL637" s="585"/>
      <c r="BM637" s="585"/>
      <c r="BN637" s="585"/>
      <c r="BO637" s="585"/>
      <c r="BP637" s="1431" t="s">
        <v>41</v>
      </c>
      <c r="BQ637" s="1431"/>
      <c r="BR637" s="585"/>
      <c r="BS637" s="585"/>
      <c r="BT637" s="1437">
        <f>INT(H637*((AC637+AK637)*AU637+BB637)*10^-7)</f>
        <v>11338</v>
      </c>
      <c r="BU637" s="1437"/>
      <c r="BV637" s="1437"/>
      <c r="BW637" s="1437"/>
      <c r="BX637" s="1437"/>
      <c r="BY637" s="1437"/>
      <c r="BZ637" s="1437"/>
      <c r="CA637" s="1437"/>
      <c r="CB637" s="1437"/>
      <c r="CC637" s="1437"/>
      <c r="CD637" s="585"/>
      <c r="CE637" s="585"/>
      <c r="CF637" s="586"/>
    </row>
    <row r="638" spans="1:84" s="583" customFormat="1" ht="23.1" customHeight="1">
      <c r="A638" s="592"/>
      <c r="B638" s="593" t="s">
        <v>1106</v>
      </c>
      <c r="C638" s="593"/>
      <c r="D638" s="593"/>
      <c r="E638" s="593"/>
      <c r="F638" s="593"/>
      <c r="G638" s="593"/>
      <c r="H638" s="593"/>
      <c r="I638" s="593"/>
      <c r="J638" s="593"/>
      <c r="K638" s="593"/>
      <c r="L638" s="593"/>
      <c r="M638" s="593"/>
      <c r="N638" s="593"/>
      <c r="O638" s="593"/>
      <c r="P638" s="593"/>
      <c r="Q638" s="593"/>
      <c r="R638" s="593"/>
      <c r="S638" s="593"/>
      <c r="T638" s="593"/>
      <c r="U638" s="593"/>
      <c r="V638" s="593"/>
      <c r="W638" s="593"/>
      <c r="X638" s="593"/>
      <c r="Y638" s="593"/>
      <c r="Z638" s="593"/>
      <c r="AA638" s="593"/>
      <c r="AB638" s="593"/>
      <c r="AC638" s="593"/>
      <c r="AD638" s="593"/>
      <c r="AE638" s="593"/>
      <c r="AF638" s="593"/>
      <c r="AG638" s="593"/>
      <c r="AH638" s="593"/>
      <c r="AI638" s="593"/>
      <c r="AJ638" s="593"/>
      <c r="AK638" s="593"/>
      <c r="AL638" s="593"/>
      <c r="AM638" s="593"/>
      <c r="AN638" s="593"/>
      <c r="AO638" s="593"/>
      <c r="AP638" s="593"/>
      <c r="AQ638" s="593"/>
      <c r="AR638" s="593"/>
      <c r="AS638" s="593"/>
      <c r="AT638" s="593"/>
      <c r="AU638" s="593"/>
      <c r="AV638" s="593"/>
      <c r="AW638" s="593"/>
      <c r="AX638" s="593"/>
      <c r="AY638" s="593"/>
      <c r="AZ638" s="593"/>
      <c r="BA638" s="593"/>
      <c r="BB638" s="593"/>
      <c r="BC638" s="593"/>
      <c r="BD638" s="593"/>
      <c r="BE638" s="593"/>
      <c r="BF638" s="593"/>
      <c r="BG638" s="593"/>
      <c r="BH638" s="593"/>
      <c r="BI638" s="593"/>
      <c r="BJ638" s="593"/>
      <c r="BK638" s="593"/>
      <c r="BL638" s="593"/>
      <c r="BM638" s="593"/>
      <c r="BN638" s="593"/>
      <c r="BO638" s="593"/>
      <c r="BP638" s="593"/>
      <c r="BQ638" s="593"/>
      <c r="BR638" s="593"/>
      <c r="BS638" s="593"/>
      <c r="BT638" s="594"/>
      <c r="BU638" s="594"/>
      <c r="BV638" s="594"/>
      <c r="BW638" s="594"/>
      <c r="BX638" s="594"/>
      <c r="BY638" s="594"/>
      <c r="BZ638" s="594"/>
      <c r="CA638" s="594"/>
      <c r="CB638" s="594"/>
      <c r="CC638" s="594"/>
      <c r="CD638" s="593"/>
      <c r="CE638" s="593"/>
      <c r="CF638" s="595"/>
    </row>
    <row r="639" spans="1:84" s="583" customFormat="1" ht="23.1" customHeight="1">
      <c r="A639" s="584"/>
      <c r="B639" s="585"/>
      <c r="C639" s="585"/>
      <c r="D639" s="596" t="s">
        <v>1092</v>
      </c>
      <c r="E639" s="585"/>
      <c r="F639" s="585"/>
      <c r="G639" s="585"/>
      <c r="H639" s="585"/>
      <c r="I639" s="585"/>
      <c r="J639" s="585"/>
      <c r="K639" s="585"/>
      <c r="L639" s="585"/>
      <c r="M639" s="585"/>
      <c r="N639" s="585"/>
      <c r="O639" s="585"/>
      <c r="P639" s="585"/>
      <c r="Q639" s="585"/>
      <c r="R639" s="585"/>
      <c r="S639" s="585"/>
      <c r="T639" s="574"/>
      <c r="U639" s="574"/>
      <c r="V639" s="1435">
        <f>HLOOKUP(D639,$CJ$1:$CM$3,3,0)</f>
        <v>238936</v>
      </c>
      <c r="W639" s="1435"/>
      <c r="X639" s="1435"/>
      <c r="Y639" s="1435"/>
      <c r="Z639" s="1435"/>
      <c r="AA639" s="1435"/>
      <c r="AB639" s="1435"/>
      <c r="AC639" s="1435"/>
      <c r="AD639" s="1435"/>
      <c r="AE639" s="1435"/>
      <c r="AF639" s="1431" t="s">
        <v>446</v>
      </c>
      <c r="AG639" s="1431"/>
      <c r="AH639" s="574"/>
      <c r="AI639" s="1436" t="s">
        <v>1107</v>
      </c>
      <c r="AJ639" s="1436"/>
      <c r="AK639" s="1436"/>
      <c r="AL639" s="1436"/>
      <c r="AM639" s="585"/>
      <c r="AN639" s="1431" t="s">
        <v>446</v>
      </c>
      <c r="AO639" s="1431"/>
      <c r="AP639" s="585"/>
      <c r="AQ639" s="1436" t="s">
        <v>1108</v>
      </c>
      <c r="AR639" s="1436"/>
      <c r="AS639" s="1436"/>
      <c r="AT639" s="1436"/>
      <c r="AU639" s="1436"/>
      <c r="AV639" s="422"/>
      <c r="AW639" s="1431" t="s">
        <v>446</v>
      </c>
      <c r="AX639" s="1431"/>
      <c r="AY639" s="440"/>
      <c r="AZ639" s="1436" t="s">
        <v>1109</v>
      </c>
      <c r="BA639" s="1436"/>
      <c r="BB639" s="1436"/>
      <c r="BC639" s="1436"/>
      <c r="BD639" s="1436"/>
      <c r="BE639" s="585"/>
      <c r="BF639" s="1431" t="s">
        <v>446</v>
      </c>
      <c r="BG639" s="1431"/>
      <c r="BH639" s="1431">
        <v>1</v>
      </c>
      <c r="BI639" s="1431"/>
      <c r="BJ639" s="1431"/>
      <c r="BK639" s="585"/>
      <c r="BL639" s="585" t="s">
        <v>366</v>
      </c>
      <c r="BM639" s="585"/>
      <c r="BN639" s="585"/>
      <c r="BO639" s="585"/>
      <c r="BP639" s="1431" t="s">
        <v>41</v>
      </c>
      <c r="BQ639" s="1431"/>
      <c r="BR639" s="585"/>
      <c r="BS639" s="585"/>
      <c r="BT639" s="1432">
        <f>INT(V639/8*16/12*25/20*BH639)</f>
        <v>49778</v>
      </c>
      <c r="BU639" s="1432"/>
      <c r="BV639" s="1432"/>
      <c r="BW639" s="1432"/>
      <c r="BX639" s="1432"/>
      <c r="BY639" s="1432"/>
      <c r="BZ639" s="1432"/>
      <c r="CA639" s="1432"/>
      <c r="CB639" s="1432"/>
      <c r="CC639" s="1432"/>
      <c r="CD639" s="585"/>
      <c r="CE639" s="585"/>
      <c r="CF639" s="586"/>
    </row>
    <row r="640" spans="1:84" s="583" customFormat="1" ht="23.1" customHeight="1">
      <c r="A640" s="584"/>
      <c r="B640" s="585"/>
      <c r="C640" s="585"/>
      <c r="D640" s="585"/>
      <c r="E640" s="585"/>
      <c r="F640" s="585"/>
      <c r="G640" s="585"/>
      <c r="H640" s="585"/>
      <c r="I640" s="585"/>
      <c r="J640" s="585"/>
      <c r="K640" s="585"/>
      <c r="L640" s="585"/>
      <c r="M640" s="585"/>
      <c r="N640" s="585"/>
      <c r="O640" s="585"/>
      <c r="P640" s="574"/>
      <c r="Q640" s="574"/>
      <c r="R640" s="574"/>
      <c r="S640" s="574"/>
      <c r="T640" s="574"/>
      <c r="U640" s="574"/>
      <c r="V640" s="574"/>
      <c r="W640" s="574"/>
      <c r="X640" s="574"/>
      <c r="Y640" s="574"/>
      <c r="Z640" s="574"/>
      <c r="AA640" s="574"/>
      <c r="AB640" s="574"/>
      <c r="AC640" s="574"/>
      <c r="AD640" s="574"/>
      <c r="AE640" s="574"/>
      <c r="AF640" s="574"/>
      <c r="AG640" s="574"/>
      <c r="AH640" s="574"/>
      <c r="AI640" s="574"/>
      <c r="AJ640" s="574"/>
      <c r="AK640" s="574"/>
      <c r="AL640" s="574"/>
      <c r="AM640" s="574"/>
      <c r="AN640" s="574"/>
      <c r="AO640" s="574"/>
      <c r="AP640" s="574"/>
      <c r="AQ640" s="574"/>
      <c r="AR640" s="574"/>
      <c r="AS640" s="574"/>
      <c r="AT640" s="574"/>
      <c r="AU640" s="574"/>
      <c r="AV640" s="574"/>
      <c r="AW640" s="574"/>
      <c r="AX640" s="574"/>
      <c r="AY640" s="574"/>
      <c r="AZ640" s="574"/>
      <c r="BA640" s="574"/>
      <c r="BB640" s="574"/>
      <c r="BC640" s="574"/>
      <c r="BD640" s="574"/>
      <c r="BE640" s="574"/>
      <c r="BF640" s="574"/>
      <c r="BG640" s="585"/>
      <c r="BH640" s="585"/>
      <c r="BI640" s="585"/>
      <c r="BJ640" s="585"/>
      <c r="BK640" s="585"/>
      <c r="BL640" s="585"/>
      <c r="BM640" s="585"/>
      <c r="BN640" s="585"/>
      <c r="BO640" s="585"/>
      <c r="BP640" s="1431"/>
      <c r="BQ640" s="1431"/>
      <c r="BR640" s="585"/>
      <c r="BS640" s="585"/>
      <c r="BT640" s="1432"/>
      <c r="BU640" s="1432"/>
      <c r="BV640" s="1432"/>
      <c r="BW640" s="1432"/>
      <c r="BX640" s="1432"/>
      <c r="BY640" s="1432"/>
      <c r="BZ640" s="1432"/>
      <c r="CA640" s="1432"/>
      <c r="CB640" s="1432"/>
      <c r="CC640" s="1432"/>
      <c r="CD640" s="585"/>
      <c r="CE640" s="585"/>
      <c r="CF640" s="586"/>
    </row>
    <row r="641" spans="1:84" s="583" customFormat="1" ht="23.1" customHeight="1">
      <c r="A641" s="584"/>
      <c r="B641" s="585"/>
      <c r="C641" s="585"/>
      <c r="D641" s="585"/>
      <c r="E641" s="585"/>
      <c r="F641" s="585"/>
      <c r="G641" s="585"/>
      <c r="H641" s="585"/>
      <c r="I641" s="585"/>
      <c r="J641" s="585"/>
      <c r="K641" s="585"/>
      <c r="L641" s="585"/>
      <c r="M641" s="585"/>
      <c r="N641" s="585"/>
      <c r="O641" s="585"/>
      <c r="P641" s="585"/>
      <c r="Q641" s="585"/>
      <c r="R641" s="585"/>
      <c r="S641" s="585"/>
      <c r="T641" s="585"/>
      <c r="U641" s="585"/>
      <c r="V641" s="585"/>
      <c r="W641" s="585"/>
      <c r="X641" s="585"/>
      <c r="Y641" s="585"/>
      <c r="Z641" s="585"/>
      <c r="AA641" s="585"/>
      <c r="AB641" s="585"/>
      <c r="AC641" s="585"/>
      <c r="AD641" s="574"/>
      <c r="AE641" s="574"/>
      <c r="AF641" s="574"/>
      <c r="AG641" s="574"/>
      <c r="AH641" s="574"/>
      <c r="AI641" s="574"/>
      <c r="AJ641" s="574"/>
      <c r="AK641" s="574"/>
      <c r="AL641" s="574"/>
      <c r="AM641" s="574"/>
      <c r="AN641" s="574"/>
      <c r="AO641" s="574"/>
      <c r="AP641" s="574"/>
      <c r="AQ641" s="574"/>
      <c r="AR641" s="574"/>
      <c r="AS641" s="585"/>
      <c r="AT641" s="590"/>
      <c r="AU641" s="590"/>
      <c r="AV641" s="585"/>
      <c r="AW641" s="585"/>
      <c r="AX641" s="585"/>
      <c r="AY641" s="585"/>
      <c r="AZ641" s="585"/>
      <c r="BA641" s="585"/>
      <c r="BB641" s="585"/>
      <c r="BC641" s="585"/>
      <c r="BD641" s="585"/>
      <c r="BE641" s="585"/>
      <c r="BF641" s="585"/>
      <c r="BG641" s="585"/>
      <c r="BH641" s="585"/>
      <c r="BI641" s="585"/>
      <c r="BJ641" s="585"/>
      <c r="BK641" s="585"/>
      <c r="BL641" s="585"/>
      <c r="BM641" s="585"/>
      <c r="BN641" s="585"/>
      <c r="BO641" s="585"/>
      <c r="BP641" s="1431" t="s">
        <v>41</v>
      </c>
      <c r="BQ641" s="1431"/>
      <c r="BR641" s="585"/>
      <c r="BS641" s="585"/>
      <c r="BT641" s="1434">
        <f>BT639+BT640</f>
        <v>49778</v>
      </c>
      <c r="BU641" s="1434"/>
      <c r="BV641" s="1434"/>
      <c r="BW641" s="1434"/>
      <c r="BX641" s="1434"/>
      <c r="BY641" s="1434"/>
      <c r="BZ641" s="1434"/>
      <c r="CA641" s="1434"/>
      <c r="CB641" s="1434"/>
      <c r="CC641" s="1434"/>
      <c r="CD641" s="585"/>
      <c r="CE641" s="585"/>
      <c r="CF641" s="586"/>
    </row>
    <row r="642" spans="1:84" s="583" customFormat="1" ht="23.1" customHeight="1">
      <c r="A642" s="592"/>
      <c r="B642" s="593" t="s">
        <v>1110</v>
      </c>
      <c r="C642" s="593"/>
      <c r="D642" s="593"/>
      <c r="E642" s="593"/>
      <c r="F642" s="593"/>
      <c r="G642" s="593"/>
      <c r="H642" s="593"/>
      <c r="I642" s="593"/>
      <c r="J642" s="593"/>
      <c r="K642" s="593"/>
      <c r="L642" s="593"/>
      <c r="M642" s="593"/>
      <c r="N642" s="593"/>
      <c r="O642" s="593"/>
      <c r="P642" s="593"/>
      <c r="Q642" s="593"/>
      <c r="R642" s="593"/>
      <c r="S642" s="593"/>
      <c r="T642" s="593"/>
      <c r="U642" s="593"/>
      <c r="V642" s="593"/>
      <c r="W642" s="593"/>
      <c r="X642" s="593"/>
      <c r="Y642" s="593"/>
      <c r="Z642" s="593"/>
      <c r="AA642" s="593"/>
      <c r="AB642" s="593"/>
      <c r="AC642" s="593"/>
      <c r="AD642" s="593"/>
      <c r="AE642" s="593"/>
      <c r="AF642" s="593"/>
      <c r="AG642" s="593"/>
      <c r="AH642" s="593"/>
      <c r="AI642" s="593"/>
      <c r="AJ642" s="593"/>
      <c r="AK642" s="593"/>
      <c r="AL642" s="593"/>
      <c r="AM642" s="593"/>
      <c r="AN642" s="593"/>
      <c r="AO642" s="593"/>
      <c r="AP642" s="593"/>
      <c r="AQ642" s="593"/>
      <c r="AR642" s="593"/>
      <c r="AS642" s="593"/>
      <c r="AT642" s="593"/>
      <c r="AU642" s="593"/>
      <c r="AV642" s="593"/>
      <c r="AW642" s="593"/>
      <c r="AX642" s="593"/>
      <c r="AY642" s="593"/>
      <c r="AZ642" s="593"/>
      <c r="BA642" s="593"/>
      <c r="BB642" s="593"/>
      <c r="BC642" s="593"/>
      <c r="BD642" s="593"/>
      <c r="BE642" s="593"/>
      <c r="BF642" s="593"/>
      <c r="BG642" s="593"/>
      <c r="BH642" s="593"/>
      <c r="BI642" s="593"/>
      <c r="BJ642" s="593"/>
      <c r="BK642" s="593"/>
      <c r="BL642" s="593"/>
      <c r="BM642" s="593"/>
      <c r="BN642" s="593"/>
      <c r="BO642" s="593"/>
      <c r="BP642" s="593"/>
      <c r="BQ642" s="593"/>
      <c r="BR642" s="593"/>
      <c r="BS642" s="593"/>
      <c r="BT642" s="593"/>
      <c r="BU642" s="593"/>
      <c r="BV642" s="593"/>
      <c r="BW642" s="593"/>
      <c r="BX642" s="593"/>
      <c r="BY642" s="593"/>
      <c r="BZ642" s="593"/>
      <c r="CA642" s="593"/>
      <c r="CB642" s="593"/>
      <c r="CC642" s="593"/>
      <c r="CD642" s="593"/>
      <c r="CE642" s="593"/>
      <c r="CF642" s="595"/>
    </row>
    <row r="643" spans="1:84" s="583" customFormat="1" ht="23.1" customHeight="1">
      <c r="A643" s="584"/>
      <c r="B643" s="585"/>
      <c r="C643" s="585"/>
      <c r="D643" s="596" t="s">
        <v>1094</v>
      </c>
      <c r="E643" s="585"/>
      <c r="F643" s="585"/>
      <c r="G643" s="585"/>
      <c r="H643" s="585"/>
      <c r="I643" s="585"/>
      <c r="J643" s="585"/>
      <c r="K643" s="585"/>
      <c r="L643" s="585"/>
      <c r="M643" s="585"/>
      <c r="N643" s="585"/>
      <c r="O643" s="585"/>
      <c r="P643" s="585"/>
      <c r="Q643" s="585"/>
      <c r="R643" s="585"/>
      <c r="S643" s="585"/>
      <c r="T643" s="585"/>
      <c r="U643" s="585"/>
      <c r="V643" s="585"/>
      <c r="W643" s="585"/>
      <c r="X643" s="585"/>
      <c r="Y643" s="585"/>
      <c r="Z643" s="585"/>
      <c r="AA643" s="585"/>
      <c r="AB643" s="585"/>
      <c r="AC643" s="585"/>
      <c r="AD643" s="585"/>
      <c r="AE643" s="585"/>
      <c r="AF643" s="585"/>
      <c r="AG643" s="585"/>
      <c r="AH643" s="585"/>
      <c r="AI643" s="585"/>
      <c r="AJ643" s="585"/>
      <c r="AK643" s="585"/>
      <c r="AL643" s="585"/>
      <c r="AM643" s="585"/>
      <c r="AN643" s="585"/>
      <c r="AO643" s="585"/>
      <c r="AP643" s="585"/>
      <c r="AQ643" s="585"/>
      <c r="AR643" s="422"/>
      <c r="AS643" s="1435" t="e">
        <f>HLOOKUP(D643,$CN$1:$CO$3,3,0)</f>
        <v>#REF!</v>
      </c>
      <c r="AT643" s="1435"/>
      <c r="AU643" s="1435"/>
      <c r="AV643" s="1435"/>
      <c r="AW643" s="1435"/>
      <c r="AX643" s="1435"/>
      <c r="AY643" s="1435"/>
      <c r="AZ643" s="1435"/>
      <c r="BA643" s="1435"/>
      <c r="BB643" s="1435"/>
      <c r="BC643" s="585"/>
      <c r="BD643" s="1431" t="s">
        <v>446</v>
      </c>
      <c r="BE643" s="1431"/>
      <c r="BF643" s="585"/>
      <c r="BG643" s="1431">
        <v>9.3000000000000007</v>
      </c>
      <c r="BH643" s="1431"/>
      <c r="BI643" s="1431"/>
      <c r="BJ643" s="1431"/>
      <c r="BK643" s="1431"/>
      <c r="BL643" s="585" t="s">
        <v>1111</v>
      </c>
      <c r="BM643" s="585"/>
      <c r="BN643" s="585"/>
      <c r="BO643" s="585"/>
      <c r="BP643" s="1431" t="s">
        <v>41</v>
      </c>
      <c r="BQ643" s="1431"/>
      <c r="BR643" s="585"/>
      <c r="BS643" s="585"/>
      <c r="BT643" s="1432" t="e">
        <f>INT(AS643*BG643)</f>
        <v>#REF!</v>
      </c>
      <c r="BU643" s="1432"/>
      <c r="BV643" s="1432"/>
      <c r="BW643" s="1432"/>
      <c r="BX643" s="1432"/>
      <c r="BY643" s="1432"/>
      <c r="BZ643" s="1432"/>
      <c r="CA643" s="1432"/>
      <c r="CB643" s="1432"/>
      <c r="CC643" s="1432"/>
      <c r="CD643" s="585"/>
      <c r="CE643" s="585"/>
      <c r="CF643" s="586"/>
    </row>
    <row r="644" spans="1:84" s="583" customFormat="1" ht="23.1" customHeight="1">
      <c r="A644" s="584"/>
      <c r="B644" s="585"/>
      <c r="C644" s="585"/>
      <c r="D644" s="591" t="str">
        <f>"잡재료 (주연료의 "&amp;BG644&amp;"%) :"</f>
        <v>잡재료 (주연료의 38%) :</v>
      </c>
      <c r="E644" s="585"/>
      <c r="F644" s="585"/>
      <c r="G644" s="585"/>
      <c r="H644" s="585"/>
      <c r="I644" s="585"/>
      <c r="J644" s="585"/>
      <c r="K644" s="585"/>
      <c r="L644" s="585"/>
      <c r="M644" s="585"/>
      <c r="N644" s="585"/>
      <c r="O644" s="585"/>
      <c r="P644" s="585"/>
      <c r="Q644" s="585"/>
      <c r="R644" s="585"/>
      <c r="S644" s="585"/>
      <c r="T644" s="585"/>
      <c r="U644" s="585"/>
      <c r="V644" s="585"/>
      <c r="W644" s="585"/>
      <c r="X644" s="585"/>
      <c r="Y644" s="585"/>
      <c r="Z644" s="585"/>
      <c r="AA644" s="585"/>
      <c r="AB644" s="585"/>
      <c r="AC644" s="585"/>
      <c r="AD644" s="585"/>
      <c r="AE644" s="585"/>
      <c r="AF644" s="585"/>
      <c r="AG644" s="585"/>
      <c r="AH644" s="585"/>
      <c r="AI644" s="585"/>
      <c r="AJ644" s="585"/>
      <c r="AK644" s="585"/>
      <c r="AL644" s="585"/>
      <c r="AM644" s="585"/>
      <c r="AN644" s="585"/>
      <c r="AO644" s="585"/>
      <c r="AP644" s="585"/>
      <c r="AQ644" s="585"/>
      <c r="AR644" s="422" t="e">
        <f>BT643</f>
        <v>#REF!</v>
      </c>
      <c r="AS644" s="1430" t="e">
        <f>BT643</f>
        <v>#REF!</v>
      </c>
      <c r="AT644" s="1430"/>
      <c r="AU644" s="1430"/>
      <c r="AV644" s="1430"/>
      <c r="AW644" s="1430"/>
      <c r="AX644" s="1430"/>
      <c r="AY644" s="1430"/>
      <c r="AZ644" s="1430"/>
      <c r="BA644" s="1430"/>
      <c r="BB644" s="1430"/>
      <c r="BC644" s="585"/>
      <c r="BD644" s="1431" t="s">
        <v>446</v>
      </c>
      <c r="BE644" s="1431"/>
      <c r="BF644" s="585"/>
      <c r="BG644" s="1431">
        <v>38</v>
      </c>
      <c r="BH644" s="1431"/>
      <c r="BI644" s="1431"/>
      <c r="BJ644" s="1431"/>
      <c r="BK644" s="1431"/>
      <c r="BL644" s="585" t="s">
        <v>1112</v>
      </c>
      <c r="BM644" s="585"/>
      <c r="BN644" s="585"/>
      <c r="BO644" s="585"/>
      <c r="BP644" s="1431" t="s">
        <v>41</v>
      </c>
      <c r="BQ644" s="1431"/>
      <c r="BR644" s="585"/>
      <c r="BS644" s="585"/>
      <c r="BT644" s="1432" t="e">
        <f>INT(AS644*BG644/100)</f>
        <v>#REF!</v>
      </c>
      <c r="BU644" s="1432"/>
      <c r="BV644" s="1432"/>
      <c r="BW644" s="1432"/>
      <c r="BX644" s="1432"/>
      <c r="BY644" s="1432"/>
      <c r="BZ644" s="1432"/>
      <c r="CA644" s="1432"/>
      <c r="CB644" s="1432"/>
      <c r="CC644" s="1432"/>
      <c r="CD644" s="585"/>
      <c r="CE644" s="585"/>
      <c r="CF644" s="586"/>
    </row>
    <row r="645" spans="1:84" s="583" customFormat="1" ht="23.1" customHeight="1" thickBot="1">
      <c r="A645" s="584"/>
      <c r="B645" s="585"/>
      <c r="C645" s="585"/>
      <c r="D645" s="585"/>
      <c r="E645" s="585"/>
      <c r="F645" s="585"/>
      <c r="G645" s="585"/>
      <c r="H645" s="585"/>
      <c r="I645" s="585"/>
      <c r="J645" s="585"/>
      <c r="K645" s="585"/>
      <c r="L645" s="585"/>
      <c r="M645" s="585"/>
      <c r="N645" s="585"/>
      <c r="O645" s="585"/>
      <c r="P645" s="585"/>
      <c r="Q645" s="585"/>
      <c r="R645" s="585"/>
      <c r="S645" s="585"/>
      <c r="T645" s="585"/>
      <c r="U645" s="585"/>
      <c r="V645" s="585"/>
      <c r="W645" s="585"/>
      <c r="X645" s="585"/>
      <c r="Y645" s="585"/>
      <c r="Z645" s="585"/>
      <c r="AA645" s="585"/>
      <c r="AB645" s="585"/>
      <c r="AC645" s="585"/>
      <c r="AD645" s="585"/>
      <c r="AE645" s="585"/>
      <c r="AF645" s="585"/>
      <c r="AG645" s="585"/>
      <c r="AH645" s="585"/>
      <c r="AI645" s="585"/>
      <c r="AJ645" s="585"/>
      <c r="AK645" s="585"/>
      <c r="AL645" s="585"/>
      <c r="AM645" s="585"/>
      <c r="AN645" s="585"/>
      <c r="AO645" s="585"/>
      <c r="AP645" s="585"/>
      <c r="AQ645" s="585"/>
      <c r="AR645" s="585"/>
      <c r="AS645" s="585"/>
      <c r="AT645" s="585"/>
      <c r="AU645" s="585"/>
      <c r="AV645" s="585"/>
      <c r="AW645" s="585"/>
      <c r="AX645" s="585"/>
      <c r="AY645" s="585"/>
      <c r="AZ645" s="585"/>
      <c r="BA645" s="585"/>
      <c r="BB645" s="585"/>
      <c r="BC645" s="585"/>
      <c r="BD645" s="585"/>
      <c r="BE645" s="585"/>
      <c r="BF645" s="585"/>
      <c r="BG645" s="585"/>
      <c r="BH645" s="585"/>
      <c r="BI645" s="585"/>
      <c r="BJ645" s="585"/>
      <c r="BK645" s="585"/>
      <c r="BL645" s="585"/>
      <c r="BM645" s="585"/>
      <c r="BN645" s="585"/>
      <c r="BO645" s="585"/>
      <c r="BP645" s="1431" t="s">
        <v>41</v>
      </c>
      <c r="BQ645" s="1431"/>
      <c r="BR645" s="585"/>
      <c r="BS645" s="585"/>
      <c r="BT645" s="1433" t="e">
        <f>BT643+BT644</f>
        <v>#REF!</v>
      </c>
      <c r="BU645" s="1433"/>
      <c r="BV645" s="1433"/>
      <c r="BW645" s="1433"/>
      <c r="BX645" s="1433"/>
      <c r="BY645" s="1433"/>
      <c r="BZ645" s="1433"/>
      <c r="CA645" s="1433"/>
      <c r="CB645" s="1433"/>
      <c r="CC645" s="1433"/>
      <c r="CD645" s="585"/>
      <c r="CE645" s="585"/>
      <c r="CF645" s="586"/>
    </row>
    <row r="646" spans="1:84" s="583" customFormat="1" ht="23.1" customHeight="1" thickBot="1">
      <c r="A646" s="597"/>
      <c r="B646" s="598" t="s">
        <v>1113</v>
      </c>
      <c r="C646" s="598"/>
      <c r="D646" s="598"/>
      <c r="E646" s="598"/>
      <c r="F646" s="598"/>
      <c r="G646" s="598"/>
      <c r="H646" s="598"/>
      <c r="I646" s="598"/>
      <c r="J646" s="598"/>
      <c r="K646" s="598"/>
      <c r="L646" s="598"/>
      <c r="M646" s="598"/>
      <c r="N646" s="598"/>
      <c r="O646" s="598"/>
      <c r="P646" s="598"/>
      <c r="Q646" s="598"/>
      <c r="R646" s="598"/>
      <c r="S646" s="598"/>
      <c r="T646" s="598"/>
      <c r="U646" s="598"/>
      <c r="V646" s="598"/>
      <c r="W646" s="598"/>
      <c r="X646" s="598"/>
      <c r="Y646" s="598"/>
      <c r="Z646" s="598"/>
      <c r="AA646" s="598"/>
      <c r="AB646" s="598"/>
      <c r="AC646" s="598"/>
      <c r="AD646" s="598"/>
      <c r="AE646" s="598"/>
      <c r="AF646" s="598"/>
      <c r="AG646" s="598"/>
      <c r="AH646" s="598"/>
      <c r="AI646" s="598"/>
      <c r="AJ646" s="598"/>
      <c r="AK646" s="598"/>
      <c r="AL646" s="598"/>
      <c r="AM646" s="598"/>
      <c r="AN646" s="598"/>
      <c r="AO646" s="598"/>
      <c r="AP646" s="598"/>
      <c r="AQ646" s="598"/>
      <c r="AR646" s="598"/>
      <c r="AS646" s="598"/>
      <c r="AT646" s="598"/>
      <c r="AU646" s="598"/>
      <c r="AV646" s="598"/>
      <c r="AW646" s="598"/>
      <c r="AX646" s="598"/>
      <c r="AY646" s="598"/>
      <c r="AZ646" s="598"/>
      <c r="BA646" s="598"/>
      <c r="BB646" s="598"/>
      <c r="BC646" s="598"/>
      <c r="BD646" s="598"/>
      <c r="BE646" s="598"/>
      <c r="BF646" s="598"/>
      <c r="BG646" s="598"/>
      <c r="BH646" s="598"/>
      <c r="BI646" s="598"/>
      <c r="BJ646" s="598"/>
      <c r="BK646" s="598"/>
      <c r="BL646" s="598"/>
      <c r="BM646" s="598"/>
      <c r="BN646" s="598"/>
      <c r="BO646" s="598"/>
      <c r="BP646" s="598"/>
      <c r="BQ646" s="598"/>
      <c r="BR646" s="598"/>
      <c r="BS646" s="598"/>
      <c r="BT646" s="1429" t="e">
        <f>BT637+BT641+BT645</f>
        <v>#REF!</v>
      </c>
      <c r="BU646" s="1429"/>
      <c r="BV646" s="1429"/>
      <c r="BW646" s="1429"/>
      <c r="BX646" s="1429"/>
      <c r="BY646" s="1429"/>
      <c r="BZ646" s="1429"/>
      <c r="CA646" s="1429"/>
      <c r="CB646" s="1429"/>
      <c r="CC646" s="1429"/>
      <c r="CD646" s="598"/>
      <c r="CE646" s="598"/>
      <c r="CF646" s="599"/>
    </row>
    <row r="647" spans="1:84" s="583" customFormat="1" ht="9.9499999999999993" customHeight="1">
      <c r="A647" s="574"/>
      <c r="B647" s="574"/>
      <c r="C647" s="574"/>
      <c r="D647" s="574"/>
      <c r="E647" s="574"/>
      <c r="F647" s="574"/>
      <c r="G647" s="574"/>
      <c r="H647" s="574"/>
      <c r="I647" s="574"/>
      <c r="J647" s="574"/>
      <c r="K647" s="574"/>
      <c r="L647" s="574"/>
      <c r="M647" s="574"/>
      <c r="N647" s="574"/>
      <c r="O647" s="574"/>
      <c r="P647" s="574"/>
      <c r="Q647" s="574"/>
      <c r="R647" s="574"/>
      <c r="S647" s="574"/>
      <c r="T647" s="574"/>
      <c r="U647" s="574"/>
      <c r="V647" s="574"/>
      <c r="W647" s="574"/>
      <c r="X647" s="574"/>
      <c r="Y647" s="574"/>
      <c r="Z647" s="574"/>
      <c r="AA647" s="574"/>
      <c r="AB647" s="574"/>
      <c r="AC647" s="574"/>
      <c r="AD647" s="574"/>
      <c r="AE647" s="574"/>
      <c r="AF647" s="574"/>
      <c r="AG647" s="574"/>
      <c r="AH647" s="574"/>
      <c r="AI647" s="574"/>
      <c r="AJ647" s="574"/>
      <c r="AK647" s="574"/>
      <c r="AL647" s="574"/>
      <c r="AM647" s="574"/>
      <c r="AN647" s="574"/>
      <c r="AO647" s="574"/>
      <c r="AP647" s="574"/>
      <c r="AQ647" s="574"/>
      <c r="AR647" s="574"/>
      <c r="AS647" s="574"/>
      <c r="AT647" s="574"/>
      <c r="AU647" s="574"/>
      <c r="AV647" s="574"/>
      <c r="AW647" s="574"/>
      <c r="AX647" s="574"/>
      <c r="AY647" s="574"/>
      <c r="AZ647" s="574"/>
      <c r="BA647" s="574"/>
      <c r="BB647" s="574"/>
      <c r="BC647" s="574"/>
      <c r="BD647" s="574"/>
      <c r="BE647" s="574"/>
      <c r="BF647" s="574"/>
      <c r="BG647" s="574"/>
      <c r="BH647" s="574"/>
      <c r="BI647" s="574"/>
      <c r="BJ647" s="574"/>
      <c r="BK647" s="574"/>
      <c r="BL647" s="574"/>
      <c r="BM647" s="574"/>
      <c r="BN647" s="574"/>
      <c r="BO647" s="574"/>
      <c r="BP647" s="574"/>
      <c r="BQ647" s="574"/>
      <c r="BR647" s="574"/>
      <c r="BS647" s="574"/>
      <c r="BT647" s="574"/>
      <c r="BU647" s="574"/>
      <c r="BV647" s="574"/>
      <c r="BW647" s="574"/>
      <c r="BX647" s="574"/>
      <c r="BY647" s="574"/>
      <c r="BZ647" s="574"/>
      <c r="CA647" s="574"/>
      <c r="CB647" s="574"/>
      <c r="CC647" s="574"/>
      <c r="CD647" s="574"/>
      <c r="CE647" s="574"/>
      <c r="CF647" s="574"/>
    </row>
    <row r="648" spans="1:84" s="583" customFormat="1" ht="23.1" customHeight="1" thickBot="1">
      <c r="A648" s="1446" t="s">
        <v>1095</v>
      </c>
      <c r="B648" s="1446"/>
      <c r="C648" s="1446"/>
      <c r="D648" s="1446"/>
      <c r="E648" s="1446"/>
      <c r="F648" s="1446"/>
      <c r="G648" s="1447">
        <f>G633+1</f>
        <v>44</v>
      </c>
      <c r="H648" s="1447"/>
      <c r="I648" s="1447"/>
      <c r="J648" s="1448" t="s">
        <v>1096</v>
      </c>
      <c r="K648" s="1448"/>
      <c r="L648" s="574"/>
      <c r="M648" s="574"/>
      <c r="N648" s="574"/>
      <c r="O648" s="574"/>
      <c r="P648" s="574"/>
      <c r="Q648" s="574"/>
      <c r="R648" s="574"/>
      <c r="S648" s="574"/>
      <c r="T648" s="574"/>
      <c r="U648" s="574"/>
      <c r="V648" s="574"/>
      <c r="W648" s="574"/>
      <c r="X648" s="574"/>
      <c r="Y648" s="574"/>
      <c r="Z648" s="574"/>
      <c r="AA648" s="574"/>
      <c r="AB648" s="574"/>
      <c r="AC648" s="574"/>
      <c r="AD648" s="574"/>
      <c r="AE648" s="574"/>
      <c r="AF648" s="574"/>
      <c r="AG648" s="574"/>
      <c r="AH648" s="574"/>
      <c r="AI648" s="574"/>
      <c r="AJ648" s="574"/>
      <c r="AK648" s="574"/>
      <c r="AL648" s="574"/>
      <c r="AM648" s="574"/>
      <c r="AN648" s="574"/>
      <c r="AO648" s="574"/>
      <c r="AP648" s="574"/>
      <c r="AQ648" s="574"/>
      <c r="AR648" s="574"/>
      <c r="AS648" s="574"/>
      <c r="AT648" s="574"/>
      <c r="AU648" s="574"/>
      <c r="AV648" s="574"/>
      <c r="AW648" s="574"/>
      <c r="AX648" s="574"/>
      <c r="AY648" s="574"/>
      <c r="AZ648" s="574"/>
      <c r="BA648" s="574"/>
      <c r="BB648" s="574"/>
      <c r="BC648" s="574"/>
      <c r="BD648" s="574"/>
      <c r="BE648" s="574"/>
      <c r="BF648" s="574"/>
      <c r="BG648" s="574"/>
      <c r="BH648" s="574"/>
      <c r="BI648" s="574"/>
      <c r="BJ648" s="574"/>
      <c r="BK648" s="574"/>
      <c r="BL648" s="574"/>
      <c r="BM648" s="574"/>
      <c r="BN648" s="574"/>
      <c r="BO648" s="574"/>
      <c r="BP648" s="574"/>
      <c r="BQ648" s="574"/>
      <c r="BR648" s="574"/>
      <c r="BS648" s="574"/>
      <c r="BT648" s="574"/>
      <c r="BU648" s="574"/>
      <c r="BV648" s="574"/>
      <c r="BW648" s="574"/>
      <c r="BX648" s="574"/>
      <c r="BY648" s="574"/>
      <c r="BZ648" s="574"/>
      <c r="CA648" s="574"/>
      <c r="CB648" s="574"/>
      <c r="CC648" s="574"/>
      <c r="CD648" s="574"/>
      <c r="CE648" s="574"/>
      <c r="CF648" s="574"/>
    </row>
    <row r="649" spans="1:84" s="583" customFormat="1" ht="23.1" customHeight="1" thickBot="1">
      <c r="A649" s="1483" t="s">
        <v>1097</v>
      </c>
      <c r="B649" s="1484"/>
      <c r="C649" s="1484"/>
      <c r="D649" s="1484"/>
      <c r="E649" s="1484"/>
      <c r="F649" s="1484"/>
      <c r="G649" s="1484"/>
      <c r="H649" s="1484"/>
      <c r="I649" s="581" t="s">
        <v>1164</v>
      </c>
      <c r="J649" s="581"/>
      <c r="K649" s="581"/>
      <c r="L649" s="581"/>
      <c r="M649" s="581"/>
      <c r="N649" s="581"/>
      <c r="O649" s="581"/>
      <c r="P649" s="581"/>
      <c r="Q649" s="581"/>
      <c r="R649" s="581"/>
      <c r="S649" s="581"/>
      <c r="T649" s="581"/>
      <c r="U649" s="581"/>
      <c r="V649" s="581"/>
      <c r="W649" s="581"/>
      <c r="X649" s="581"/>
      <c r="Y649" s="581"/>
      <c r="Z649" s="581"/>
      <c r="AA649" s="581"/>
      <c r="AB649" s="581"/>
      <c r="AC649" s="581"/>
      <c r="AD649" s="581"/>
      <c r="AE649" s="581"/>
      <c r="AF649" s="581"/>
      <c r="AG649" s="581"/>
      <c r="AH649" s="581"/>
      <c r="AI649" s="581"/>
      <c r="AJ649" s="1484" t="s">
        <v>1099</v>
      </c>
      <c r="AK649" s="1484"/>
      <c r="AL649" s="1484"/>
      <c r="AM649" s="1484"/>
      <c r="AN649" s="1484"/>
      <c r="AO649" s="1484"/>
      <c r="AP649" s="1484"/>
      <c r="AQ649" s="581" t="s">
        <v>1158</v>
      </c>
      <c r="AR649" s="581"/>
      <c r="AS649" s="581"/>
      <c r="AT649" s="581"/>
      <c r="AU649" s="581"/>
      <c r="AV649" s="581"/>
      <c r="AW649" s="581"/>
      <c r="AX649" s="581"/>
      <c r="AY649" s="581"/>
      <c r="AZ649" s="581"/>
      <c r="BA649" s="581"/>
      <c r="BB649" s="581"/>
      <c r="BC649" s="581"/>
      <c r="BD649" s="581"/>
      <c r="BE649" s="581"/>
      <c r="BF649" s="581"/>
      <c r="BG649" s="581"/>
      <c r="BH649" s="581"/>
      <c r="BI649" s="581"/>
      <c r="BJ649" s="581"/>
      <c r="BK649" s="581"/>
      <c r="BL649" s="581"/>
      <c r="BM649" s="581"/>
      <c r="BN649" s="581"/>
      <c r="BO649" s="581"/>
      <c r="BP649" s="581"/>
      <c r="BQ649" s="581"/>
      <c r="BR649" s="581"/>
      <c r="BS649" s="581"/>
      <c r="BT649" s="581" t="s">
        <v>1159</v>
      </c>
      <c r="BU649" s="581"/>
      <c r="BV649" s="581"/>
      <c r="BW649" s="581"/>
      <c r="BX649" s="581"/>
      <c r="BY649" s="581"/>
      <c r="BZ649" s="581"/>
      <c r="CA649" s="581"/>
      <c r="CB649" s="581"/>
      <c r="CC649" s="581"/>
      <c r="CD649" s="581"/>
      <c r="CE649" s="581"/>
      <c r="CF649" s="582"/>
    </row>
    <row r="650" spans="1:84" s="583" customFormat="1" ht="23.1" customHeight="1">
      <c r="A650" s="584"/>
      <c r="B650" s="585" t="s">
        <v>1102</v>
      </c>
      <c r="C650" s="585"/>
      <c r="D650" s="585"/>
      <c r="E650" s="585"/>
      <c r="F650" s="585"/>
      <c r="G650" s="585"/>
      <c r="H650" s="585"/>
      <c r="I650" s="585"/>
      <c r="J650" s="585"/>
      <c r="K650" s="585"/>
      <c r="L650" s="585"/>
      <c r="M650" s="585"/>
      <c r="N650" s="585"/>
      <c r="O650" s="585"/>
      <c r="P650" s="585"/>
      <c r="Q650" s="585"/>
      <c r="R650" s="585"/>
      <c r="S650" s="585"/>
      <c r="T650" s="585"/>
      <c r="U650" s="585"/>
      <c r="V650" s="585"/>
      <c r="W650" s="585"/>
      <c r="X650" s="585"/>
      <c r="Y650" s="585"/>
      <c r="Z650" s="585"/>
      <c r="AA650" s="585"/>
      <c r="AB650" s="585"/>
      <c r="AC650" s="585"/>
      <c r="AD650" s="585"/>
      <c r="AE650" s="585"/>
      <c r="AF650" s="585"/>
      <c r="AG650" s="585"/>
      <c r="AH650" s="585"/>
      <c r="AI650" s="585"/>
      <c r="AJ650" s="585"/>
      <c r="AK650" s="585"/>
      <c r="AL650" s="585"/>
      <c r="AM650" s="585"/>
      <c r="AN650" s="585"/>
      <c r="AO650" s="585"/>
      <c r="AP650" s="585"/>
      <c r="AQ650" s="585"/>
      <c r="AR650" s="585"/>
      <c r="AS650" s="585"/>
      <c r="AT650" s="585"/>
      <c r="AU650" s="585"/>
      <c r="AV650" s="585"/>
      <c r="AW650" s="585"/>
      <c r="AX650" s="585"/>
      <c r="AY650" s="585"/>
      <c r="AZ650" s="585"/>
      <c r="BA650" s="585"/>
      <c r="BB650" s="585"/>
      <c r="BC650" s="585"/>
      <c r="BD650" s="585"/>
      <c r="BE650" s="585"/>
      <c r="BF650" s="585"/>
      <c r="BG650" s="585"/>
      <c r="BH650" s="585"/>
      <c r="BI650" s="585"/>
      <c r="BJ650" s="585"/>
      <c r="BK650" s="585"/>
      <c r="BL650" s="585"/>
      <c r="BM650" s="585"/>
      <c r="BN650" s="585"/>
      <c r="BO650" s="585"/>
      <c r="BP650" s="585"/>
      <c r="BQ650" s="585"/>
      <c r="BR650" s="585"/>
      <c r="BS650" s="585"/>
      <c r="BT650" s="585"/>
      <c r="BU650" s="585"/>
      <c r="BV650" s="585"/>
      <c r="BW650" s="585"/>
      <c r="BX650" s="585"/>
      <c r="BY650" s="585"/>
      <c r="BZ650" s="585"/>
      <c r="CA650" s="585"/>
      <c r="CB650" s="585"/>
      <c r="CC650" s="585"/>
      <c r="CD650" s="585"/>
      <c r="CE650" s="585"/>
      <c r="CF650" s="586"/>
    </row>
    <row r="651" spans="1:84" s="583" customFormat="1" ht="23.1" customHeight="1">
      <c r="A651" s="587"/>
      <c r="B651" s="574"/>
      <c r="C651" s="574"/>
      <c r="D651" s="405"/>
      <c r="E651" s="574"/>
      <c r="F651" s="422"/>
      <c r="G651" s="422"/>
      <c r="H651" s="422"/>
      <c r="I651" s="422"/>
      <c r="J651" s="422"/>
      <c r="K651" s="422"/>
      <c r="L651" s="422"/>
      <c r="M651" s="422"/>
      <c r="N651" s="574"/>
      <c r="O651" s="574"/>
      <c r="P651" s="574"/>
      <c r="Q651" s="574"/>
      <c r="R651" s="574"/>
      <c r="S651" s="588"/>
      <c r="T651" s="588"/>
      <c r="U651" s="588"/>
      <c r="V651" s="588"/>
      <c r="W651" s="588"/>
      <c r="X651" s="588"/>
      <c r="Y651" s="588"/>
      <c r="Z651" s="588"/>
      <c r="AA651" s="574"/>
      <c r="AB651" s="588"/>
      <c r="AC651" s="585"/>
      <c r="AD651" s="585"/>
      <c r="AE651" s="600"/>
      <c r="AF651" s="600"/>
      <c r="AG651" s="600"/>
      <c r="AH651" s="600"/>
      <c r="AI651" s="600"/>
      <c r="AJ651" s="600"/>
      <c r="AK651" s="600"/>
      <c r="AL651" s="600"/>
      <c r="AM651" s="585"/>
      <c r="AN651" s="585"/>
      <c r="AO651" s="574"/>
      <c r="AP651" s="430"/>
      <c r="AQ651" s="430"/>
      <c r="AR651" s="430"/>
      <c r="AS651" s="430"/>
      <c r="AT651" s="430"/>
      <c r="AU651" s="430"/>
      <c r="AV651" s="430"/>
      <c r="AW651" s="430"/>
      <c r="AX651" s="430"/>
      <c r="AY651" s="430"/>
      <c r="AZ651" s="430"/>
      <c r="BA651" s="430"/>
      <c r="BB651" s="430"/>
      <c r="BC651" s="430"/>
      <c r="BD651" s="574"/>
      <c r="BE651" s="574"/>
      <c r="BF651" s="574"/>
      <c r="BG651" s="574"/>
      <c r="BH651" s="574"/>
      <c r="BI651" s="574"/>
      <c r="BJ651" s="574"/>
      <c r="BK651" s="574"/>
      <c r="BL651" s="574"/>
      <c r="BM651" s="574"/>
      <c r="BN651" s="574"/>
      <c r="BO651" s="574"/>
      <c r="BP651" s="574"/>
      <c r="BQ651" s="574"/>
      <c r="BR651" s="574"/>
      <c r="BS651" s="574"/>
      <c r="BT651" s="574"/>
      <c r="BU651" s="574"/>
      <c r="BV651" s="574"/>
      <c r="BW651" s="574"/>
      <c r="BX651" s="574"/>
      <c r="BY651" s="574"/>
      <c r="BZ651" s="574"/>
      <c r="CA651" s="574"/>
      <c r="CB651" s="574"/>
      <c r="CC651" s="574"/>
      <c r="CD651" s="574"/>
      <c r="CE651" s="574"/>
      <c r="CF651" s="589"/>
    </row>
    <row r="652" spans="1:84" s="583" customFormat="1" ht="23.1" customHeight="1">
      <c r="A652" s="584"/>
      <c r="B652" s="585"/>
      <c r="C652" s="585"/>
      <c r="H652" s="1502">
        <f>$AE$562</f>
        <v>52810000</v>
      </c>
      <c r="I652" s="1502"/>
      <c r="J652" s="1502"/>
      <c r="K652" s="1502"/>
      <c r="L652" s="1502"/>
      <c r="M652" s="1502"/>
      <c r="N652" s="1502"/>
      <c r="O652" s="1502"/>
      <c r="P652" s="1502"/>
      <c r="Q652" s="1502"/>
      <c r="R652" s="1502"/>
      <c r="S652" s="1502"/>
      <c r="T652" s="1502"/>
      <c r="U652" s="1502"/>
      <c r="V652" s="1502"/>
      <c r="W652" s="1431" t="s">
        <v>446</v>
      </c>
      <c r="X652" s="1431"/>
      <c r="Y652" s="1491" t="s">
        <v>1127</v>
      </c>
      <c r="Z652" s="1491"/>
      <c r="AA652" s="1503" t="s">
        <v>1103</v>
      </c>
      <c r="AB652" s="1503"/>
      <c r="AC652" s="1442">
        <v>900</v>
      </c>
      <c r="AD652" s="1442"/>
      <c r="AE652" s="1442"/>
      <c r="AF652" s="1442"/>
      <c r="AG652" s="1442"/>
      <c r="AH652" s="1442"/>
      <c r="AI652" s="1431" t="s">
        <v>1128</v>
      </c>
      <c r="AJ652" s="1431"/>
      <c r="AK652" s="1442">
        <v>700</v>
      </c>
      <c r="AL652" s="1442"/>
      <c r="AM652" s="1442"/>
      <c r="AN652" s="1442"/>
      <c r="AO652" s="1442"/>
      <c r="AP652" s="1442"/>
      <c r="AQ652" s="1503" t="s">
        <v>1105</v>
      </c>
      <c r="AR652" s="1503"/>
      <c r="AS652" s="1431" t="s">
        <v>446</v>
      </c>
      <c r="AT652" s="1431"/>
      <c r="AU652" s="1504">
        <v>1.1000000000000001</v>
      </c>
      <c r="AV652" s="1504"/>
      <c r="AW652" s="1504"/>
      <c r="AX652" s="1504"/>
      <c r="AY652" s="1504"/>
      <c r="AZ652" s="1431" t="s">
        <v>1128</v>
      </c>
      <c r="BA652" s="1431"/>
      <c r="BB652" s="1431">
        <v>679</v>
      </c>
      <c r="BC652" s="1431"/>
      <c r="BD652" s="1431"/>
      <c r="BE652" s="1431"/>
      <c r="BF652" s="1431"/>
      <c r="BG652" s="1491" t="s">
        <v>1096</v>
      </c>
      <c r="BH652" s="1491"/>
      <c r="BI652" s="1431" t="s">
        <v>446</v>
      </c>
      <c r="BJ652" s="1431"/>
      <c r="BK652" s="591" t="s">
        <v>1104</v>
      </c>
      <c r="BL652" s="585"/>
      <c r="BM652" s="585"/>
      <c r="BN652" s="585"/>
      <c r="BO652" s="585"/>
      <c r="BP652" s="1431" t="s">
        <v>41</v>
      </c>
      <c r="BQ652" s="1431"/>
      <c r="BR652" s="585"/>
      <c r="BS652" s="585"/>
      <c r="BT652" s="1437">
        <f>INT(H652*((AC652+AK652)*AU652+BB652)*10^-7)</f>
        <v>12880</v>
      </c>
      <c r="BU652" s="1437"/>
      <c r="BV652" s="1437"/>
      <c r="BW652" s="1437"/>
      <c r="BX652" s="1437"/>
      <c r="BY652" s="1437"/>
      <c r="BZ652" s="1437"/>
      <c r="CA652" s="1437"/>
      <c r="CB652" s="1437"/>
      <c r="CC652" s="1437"/>
      <c r="CD652" s="585"/>
      <c r="CE652" s="585"/>
      <c r="CF652" s="586"/>
    </row>
    <row r="653" spans="1:84" s="583" customFormat="1" ht="23.1" customHeight="1">
      <c r="A653" s="592"/>
      <c r="B653" s="593" t="s">
        <v>1106</v>
      </c>
      <c r="C653" s="593"/>
      <c r="D653" s="593"/>
      <c r="E653" s="593"/>
      <c r="F653" s="593"/>
      <c r="G653" s="593"/>
      <c r="H653" s="593"/>
      <c r="I653" s="593"/>
      <c r="J653" s="593"/>
      <c r="K653" s="593"/>
      <c r="L653" s="593"/>
      <c r="M653" s="593"/>
      <c r="N653" s="593"/>
      <c r="O653" s="593"/>
      <c r="P653" s="593"/>
      <c r="Q653" s="593"/>
      <c r="R653" s="593"/>
      <c r="S653" s="593"/>
      <c r="T653" s="593"/>
      <c r="U653" s="593"/>
      <c r="V653" s="593"/>
      <c r="W653" s="593"/>
      <c r="X653" s="593"/>
      <c r="Y653" s="593"/>
      <c r="Z653" s="593"/>
      <c r="AA653" s="593"/>
      <c r="AB653" s="593"/>
      <c r="AC653" s="593"/>
      <c r="AD653" s="593"/>
      <c r="AE653" s="593"/>
      <c r="AF653" s="593"/>
      <c r="AG653" s="593"/>
      <c r="AH653" s="593"/>
      <c r="AI653" s="593"/>
      <c r="AJ653" s="593"/>
      <c r="AK653" s="593"/>
      <c r="AL653" s="593"/>
      <c r="AM653" s="593"/>
      <c r="AN653" s="593"/>
      <c r="AO653" s="593"/>
      <c r="AP653" s="593"/>
      <c r="AQ653" s="593"/>
      <c r="AR653" s="593"/>
      <c r="AS653" s="593"/>
      <c r="AT653" s="593"/>
      <c r="AU653" s="593"/>
      <c r="AV653" s="593"/>
      <c r="AW653" s="593"/>
      <c r="AX653" s="593"/>
      <c r="AY653" s="593"/>
      <c r="AZ653" s="593"/>
      <c r="BA653" s="593"/>
      <c r="BB653" s="593"/>
      <c r="BC653" s="593"/>
      <c r="BD653" s="593"/>
      <c r="BE653" s="593"/>
      <c r="BF653" s="593"/>
      <c r="BG653" s="593"/>
      <c r="BH653" s="593"/>
      <c r="BI653" s="593"/>
      <c r="BJ653" s="593"/>
      <c r="BK653" s="593"/>
      <c r="BL653" s="593"/>
      <c r="BM653" s="593"/>
      <c r="BN653" s="593"/>
      <c r="BO653" s="593"/>
      <c r="BP653" s="593"/>
      <c r="BQ653" s="593"/>
      <c r="BR653" s="593"/>
      <c r="BS653" s="593"/>
      <c r="BT653" s="594"/>
      <c r="BU653" s="594"/>
      <c r="BV653" s="594"/>
      <c r="BW653" s="594"/>
      <c r="BX653" s="594"/>
      <c r="BY653" s="594"/>
      <c r="BZ653" s="594"/>
      <c r="CA653" s="594"/>
      <c r="CB653" s="594"/>
      <c r="CC653" s="594"/>
      <c r="CD653" s="593"/>
      <c r="CE653" s="593"/>
      <c r="CF653" s="595"/>
    </row>
    <row r="654" spans="1:84" s="583" customFormat="1" ht="23.1" customHeight="1">
      <c r="A654" s="584"/>
      <c r="B654" s="585"/>
      <c r="C654" s="585"/>
      <c r="D654" s="596" t="s">
        <v>1092</v>
      </c>
      <c r="E654" s="585"/>
      <c r="F654" s="585"/>
      <c r="G654" s="585"/>
      <c r="H654" s="585"/>
      <c r="I654" s="585"/>
      <c r="J654" s="585"/>
      <c r="K654" s="585"/>
      <c r="L654" s="585"/>
      <c r="M654" s="585"/>
      <c r="N654" s="585"/>
      <c r="O654" s="585"/>
      <c r="P654" s="585"/>
      <c r="Q654" s="585"/>
      <c r="R654" s="585"/>
      <c r="S654" s="585"/>
      <c r="T654" s="574"/>
      <c r="U654" s="574"/>
      <c r="V654" s="1435">
        <f>HLOOKUP(D654,$CJ$1:$CM$3,3,0)</f>
        <v>238936</v>
      </c>
      <c r="W654" s="1435"/>
      <c r="X654" s="1435"/>
      <c r="Y654" s="1435"/>
      <c r="Z654" s="1435"/>
      <c r="AA654" s="1435"/>
      <c r="AB654" s="1435"/>
      <c r="AC654" s="1435"/>
      <c r="AD654" s="1435"/>
      <c r="AE654" s="1435"/>
      <c r="AF654" s="1431" t="s">
        <v>446</v>
      </c>
      <c r="AG654" s="1431"/>
      <c r="AH654" s="574"/>
      <c r="AI654" s="1436" t="s">
        <v>1107</v>
      </c>
      <c r="AJ654" s="1436"/>
      <c r="AK654" s="1436"/>
      <c r="AL654" s="1436"/>
      <c r="AM654" s="585"/>
      <c r="AN654" s="1431" t="s">
        <v>446</v>
      </c>
      <c r="AO654" s="1431"/>
      <c r="AP654" s="585"/>
      <c r="AQ654" s="1436" t="s">
        <v>1108</v>
      </c>
      <c r="AR654" s="1436"/>
      <c r="AS654" s="1436"/>
      <c r="AT654" s="1436"/>
      <c r="AU654" s="1436"/>
      <c r="AV654" s="422"/>
      <c r="AW654" s="1431" t="s">
        <v>446</v>
      </c>
      <c r="AX654" s="1431"/>
      <c r="AY654" s="440"/>
      <c r="AZ654" s="1436" t="s">
        <v>1109</v>
      </c>
      <c r="BA654" s="1436"/>
      <c r="BB654" s="1436"/>
      <c r="BC654" s="1436"/>
      <c r="BD654" s="1436"/>
      <c r="BE654" s="585"/>
      <c r="BF654" s="1431" t="s">
        <v>446</v>
      </c>
      <c r="BG654" s="1431"/>
      <c r="BH654" s="1431">
        <v>1</v>
      </c>
      <c r="BI654" s="1431"/>
      <c r="BJ654" s="1431"/>
      <c r="BK654" s="585"/>
      <c r="BL654" s="585" t="s">
        <v>366</v>
      </c>
      <c r="BM654" s="585"/>
      <c r="BN654" s="585"/>
      <c r="BO654" s="585"/>
      <c r="BP654" s="1431" t="s">
        <v>41</v>
      </c>
      <c r="BQ654" s="1431"/>
      <c r="BR654" s="585"/>
      <c r="BS654" s="585"/>
      <c r="BT654" s="1432">
        <f>INT(V654/8*16/12*25/20*BH654)</f>
        <v>49778</v>
      </c>
      <c r="BU654" s="1432"/>
      <c r="BV654" s="1432"/>
      <c r="BW654" s="1432"/>
      <c r="BX654" s="1432"/>
      <c r="BY654" s="1432"/>
      <c r="BZ654" s="1432"/>
      <c r="CA654" s="1432"/>
      <c r="CB654" s="1432"/>
      <c r="CC654" s="1432"/>
      <c r="CD654" s="585"/>
      <c r="CE654" s="585"/>
      <c r="CF654" s="586"/>
    </row>
    <row r="655" spans="1:84" s="583" customFormat="1" ht="23.1" customHeight="1">
      <c r="A655" s="584"/>
      <c r="B655" s="585"/>
      <c r="C655" s="585"/>
      <c r="D655" s="585"/>
      <c r="E655" s="585"/>
      <c r="F655" s="585"/>
      <c r="G655" s="585"/>
      <c r="H655" s="585"/>
      <c r="I655" s="585"/>
      <c r="J655" s="585"/>
      <c r="K655" s="585"/>
      <c r="L655" s="585"/>
      <c r="M655" s="585"/>
      <c r="N655" s="585"/>
      <c r="O655" s="585"/>
      <c r="P655" s="574"/>
      <c r="Q655" s="574"/>
      <c r="R655" s="574"/>
      <c r="S655" s="574"/>
      <c r="T655" s="574"/>
      <c r="U655" s="574"/>
      <c r="V655" s="574"/>
      <c r="W655" s="574"/>
      <c r="X655" s="574"/>
      <c r="Y655" s="574"/>
      <c r="Z655" s="574"/>
      <c r="AA655" s="574"/>
      <c r="AB655" s="574"/>
      <c r="AC655" s="574"/>
      <c r="AD655" s="574"/>
      <c r="AE655" s="574"/>
      <c r="AF655" s="574"/>
      <c r="AG655" s="574"/>
      <c r="AH655" s="574"/>
      <c r="AI655" s="574"/>
      <c r="AJ655" s="574"/>
      <c r="AK655" s="574"/>
      <c r="AL655" s="574"/>
      <c r="AM655" s="574"/>
      <c r="AN655" s="574"/>
      <c r="AO655" s="574"/>
      <c r="AP655" s="574"/>
      <c r="AQ655" s="574"/>
      <c r="AR655" s="574"/>
      <c r="AS655" s="574"/>
      <c r="AT655" s="574"/>
      <c r="AU655" s="574"/>
      <c r="AV655" s="574"/>
      <c r="AW655" s="574"/>
      <c r="AX655" s="574"/>
      <c r="AY655" s="574"/>
      <c r="AZ655" s="574"/>
      <c r="BA655" s="574"/>
      <c r="BB655" s="574"/>
      <c r="BC655" s="574"/>
      <c r="BD655" s="574"/>
      <c r="BE655" s="574"/>
      <c r="BF655" s="574"/>
      <c r="BG655" s="585"/>
      <c r="BH655" s="585"/>
      <c r="BI655" s="585"/>
      <c r="BJ655" s="585"/>
      <c r="BK655" s="585"/>
      <c r="BL655" s="585"/>
      <c r="BM655" s="585"/>
      <c r="BN655" s="585"/>
      <c r="BO655" s="585"/>
      <c r="BP655" s="1431"/>
      <c r="BQ655" s="1431"/>
      <c r="BR655" s="585"/>
      <c r="BS655" s="585"/>
      <c r="BT655" s="1432"/>
      <c r="BU655" s="1432"/>
      <c r="BV655" s="1432"/>
      <c r="BW655" s="1432"/>
      <c r="BX655" s="1432"/>
      <c r="BY655" s="1432"/>
      <c r="BZ655" s="1432"/>
      <c r="CA655" s="1432"/>
      <c r="CB655" s="1432"/>
      <c r="CC655" s="1432"/>
      <c r="CD655" s="585"/>
      <c r="CE655" s="585"/>
      <c r="CF655" s="586"/>
    </row>
    <row r="656" spans="1:84" s="583" customFormat="1" ht="23.1" customHeight="1">
      <c r="A656" s="584"/>
      <c r="B656" s="585"/>
      <c r="C656" s="585"/>
      <c r="D656" s="585"/>
      <c r="E656" s="585"/>
      <c r="F656" s="585"/>
      <c r="G656" s="585"/>
      <c r="H656" s="585"/>
      <c r="I656" s="585"/>
      <c r="J656" s="585"/>
      <c r="K656" s="585"/>
      <c r="L656" s="585"/>
      <c r="M656" s="585"/>
      <c r="N656" s="585"/>
      <c r="O656" s="585"/>
      <c r="P656" s="585"/>
      <c r="Q656" s="585"/>
      <c r="R656" s="585"/>
      <c r="S656" s="585"/>
      <c r="T656" s="585"/>
      <c r="U656" s="585"/>
      <c r="V656" s="585"/>
      <c r="W656" s="585"/>
      <c r="X656" s="585"/>
      <c r="Y656" s="585"/>
      <c r="Z656" s="585"/>
      <c r="AA656" s="585"/>
      <c r="AB656" s="585"/>
      <c r="AC656" s="585"/>
      <c r="AD656" s="574"/>
      <c r="AE656" s="574"/>
      <c r="AF656" s="574"/>
      <c r="AG656" s="574"/>
      <c r="AH656" s="574"/>
      <c r="AI656" s="574"/>
      <c r="AJ656" s="574"/>
      <c r="AK656" s="574"/>
      <c r="AL656" s="574"/>
      <c r="AM656" s="574"/>
      <c r="AN656" s="574"/>
      <c r="AO656" s="574"/>
      <c r="AP656" s="574"/>
      <c r="AQ656" s="574"/>
      <c r="AR656" s="574"/>
      <c r="AS656" s="585"/>
      <c r="AT656" s="590"/>
      <c r="AU656" s="590"/>
      <c r="AV656" s="585"/>
      <c r="AW656" s="585"/>
      <c r="AX656" s="585"/>
      <c r="AY656" s="585"/>
      <c r="AZ656" s="585"/>
      <c r="BA656" s="585"/>
      <c r="BB656" s="585"/>
      <c r="BC656" s="585"/>
      <c r="BD656" s="585"/>
      <c r="BE656" s="585"/>
      <c r="BF656" s="585"/>
      <c r="BG656" s="585"/>
      <c r="BH656" s="585"/>
      <c r="BI656" s="585"/>
      <c r="BJ656" s="585"/>
      <c r="BK656" s="585"/>
      <c r="BL656" s="585"/>
      <c r="BM656" s="585"/>
      <c r="BN656" s="585"/>
      <c r="BO656" s="585"/>
      <c r="BP656" s="1431" t="s">
        <v>41</v>
      </c>
      <c r="BQ656" s="1431"/>
      <c r="BR656" s="585"/>
      <c r="BS656" s="585"/>
      <c r="BT656" s="1434">
        <f>BT654+BT655</f>
        <v>49778</v>
      </c>
      <c r="BU656" s="1434"/>
      <c r="BV656" s="1434"/>
      <c r="BW656" s="1434"/>
      <c r="BX656" s="1434"/>
      <c r="BY656" s="1434"/>
      <c r="BZ656" s="1434"/>
      <c r="CA656" s="1434"/>
      <c r="CB656" s="1434"/>
      <c r="CC656" s="1434"/>
      <c r="CD656" s="585"/>
      <c r="CE656" s="585"/>
      <c r="CF656" s="586"/>
    </row>
    <row r="657" spans="1:84" s="583" customFormat="1" ht="23.1" customHeight="1">
      <c r="A657" s="592"/>
      <c r="B657" s="593" t="s">
        <v>1110</v>
      </c>
      <c r="C657" s="593"/>
      <c r="D657" s="593"/>
      <c r="E657" s="593"/>
      <c r="F657" s="593"/>
      <c r="G657" s="593"/>
      <c r="H657" s="593"/>
      <c r="I657" s="593"/>
      <c r="J657" s="593"/>
      <c r="K657" s="593"/>
      <c r="L657" s="593"/>
      <c r="M657" s="593"/>
      <c r="N657" s="593"/>
      <c r="O657" s="593"/>
      <c r="P657" s="593"/>
      <c r="Q657" s="593"/>
      <c r="R657" s="593"/>
      <c r="S657" s="593"/>
      <c r="T657" s="593"/>
      <c r="U657" s="593"/>
      <c r="V657" s="593"/>
      <c r="W657" s="593"/>
      <c r="X657" s="593"/>
      <c r="Y657" s="593"/>
      <c r="Z657" s="593"/>
      <c r="AA657" s="593"/>
      <c r="AB657" s="593"/>
      <c r="AC657" s="593"/>
      <c r="AD657" s="593"/>
      <c r="AE657" s="593"/>
      <c r="AF657" s="593"/>
      <c r="AG657" s="593"/>
      <c r="AH657" s="593"/>
      <c r="AI657" s="593"/>
      <c r="AJ657" s="593"/>
      <c r="AK657" s="593"/>
      <c r="AL657" s="593"/>
      <c r="AM657" s="593"/>
      <c r="AN657" s="593"/>
      <c r="AO657" s="593"/>
      <c r="AP657" s="593"/>
      <c r="AQ657" s="593"/>
      <c r="AR657" s="593"/>
      <c r="AS657" s="593"/>
      <c r="AT657" s="593"/>
      <c r="AU657" s="593"/>
      <c r="AV657" s="593"/>
      <c r="AW657" s="593"/>
      <c r="AX657" s="593"/>
      <c r="AY657" s="593"/>
      <c r="AZ657" s="593"/>
      <c r="BA657" s="593"/>
      <c r="BB657" s="593"/>
      <c r="BC657" s="593"/>
      <c r="BD657" s="593"/>
      <c r="BE657" s="593"/>
      <c r="BF657" s="593"/>
      <c r="BG657" s="593"/>
      <c r="BH657" s="593"/>
      <c r="BI657" s="593"/>
      <c r="BJ657" s="593"/>
      <c r="BK657" s="593"/>
      <c r="BL657" s="593"/>
      <c r="BM657" s="593"/>
      <c r="BN657" s="593"/>
      <c r="BO657" s="593"/>
      <c r="BP657" s="593"/>
      <c r="BQ657" s="593"/>
      <c r="BR657" s="593"/>
      <c r="BS657" s="593"/>
      <c r="BT657" s="593"/>
      <c r="BU657" s="593"/>
      <c r="BV657" s="593"/>
      <c r="BW657" s="593"/>
      <c r="BX657" s="593"/>
      <c r="BY657" s="593"/>
      <c r="BZ657" s="593"/>
      <c r="CA657" s="593"/>
      <c r="CB657" s="593"/>
      <c r="CC657" s="593"/>
      <c r="CD657" s="593"/>
      <c r="CE657" s="593"/>
      <c r="CF657" s="595"/>
    </row>
    <row r="658" spans="1:84" s="583" customFormat="1" ht="23.1" customHeight="1">
      <c r="A658" s="584"/>
      <c r="B658" s="585"/>
      <c r="C658" s="585"/>
      <c r="D658" s="596" t="s">
        <v>1094</v>
      </c>
      <c r="E658" s="585"/>
      <c r="F658" s="585"/>
      <c r="G658" s="585"/>
      <c r="H658" s="585"/>
      <c r="I658" s="585"/>
      <c r="J658" s="585"/>
      <c r="K658" s="585"/>
      <c r="L658" s="585"/>
      <c r="M658" s="585"/>
      <c r="N658" s="585"/>
      <c r="O658" s="585"/>
      <c r="P658" s="585"/>
      <c r="Q658" s="585"/>
      <c r="R658" s="585"/>
      <c r="S658" s="585"/>
      <c r="T658" s="585"/>
      <c r="U658" s="585"/>
      <c r="V658" s="585"/>
      <c r="W658" s="585"/>
      <c r="X658" s="585"/>
      <c r="Y658" s="585"/>
      <c r="Z658" s="585"/>
      <c r="AA658" s="585"/>
      <c r="AB658" s="585"/>
      <c r="AC658" s="585"/>
      <c r="AD658" s="585"/>
      <c r="AE658" s="585"/>
      <c r="AF658" s="585"/>
      <c r="AG658" s="585"/>
      <c r="AH658" s="585"/>
      <c r="AI658" s="585"/>
      <c r="AJ658" s="585"/>
      <c r="AK658" s="585"/>
      <c r="AL658" s="585"/>
      <c r="AM658" s="585"/>
      <c r="AN658" s="585"/>
      <c r="AO658" s="585"/>
      <c r="AP658" s="585"/>
      <c r="AQ658" s="585"/>
      <c r="AR658" s="422"/>
      <c r="AS658" s="1435" t="e">
        <f>HLOOKUP(D658,$CN$1:$CO$3,3,0)</f>
        <v>#REF!</v>
      </c>
      <c r="AT658" s="1435"/>
      <c r="AU658" s="1435"/>
      <c r="AV658" s="1435"/>
      <c r="AW658" s="1435"/>
      <c r="AX658" s="1435"/>
      <c r="AY658" s="1435"/>
      <c r="AZ658" s="1435"/>
      <c r="BA658" s="1435"/>
      <c r="BB658" s="1435"/>
      <c r="BC658" s="585"/>
      <c r="BD658" s="1431" t="s">
        <v>446</v>
      </c>
      <c r="BE658" s="1431"/>
      <c r="BF658" s="585"/>
      <c r="BG658" s="1431">
        <v>14.1</v>
      </c>
      <c r="BH658" s="1431"/>
      <c r="BI658" s="1431"/>
      <c r="BJ658" s="1431"/>
      <c r="BK658" s="1431"/>
      <c r="BL658" s="585" t="s">
        <v>1111</v>
      </c>
      <c r="BM658" s="585"/>
      <c r="BN658" s="585"/>
      <c r="BO658" s="585"/>
      <c r="BP658" s="1431" t="s">
        <v>41</v>
      </c>
      <c r="BQ658" s="1431"/>
      <c r="BR658" s="585"/>
      <c r="BS658" s="585"/>
      <c r="BT658" s="1432" t="e">
        <f>INT(AS658*BG658)</f>
        <v>#REF!</v>
      </c>
      <c r="BU658" s="1432"/>
      <c r="BV658" s="1432"/>
      <c r="BW658" s="1432"/>
      <c r="BX658" s="1432"/>
      <c r="BY658" s="1432"/>
      <c r="BZ658" s="1432"/>
      <c r="CA658" s="1432"/>
      <c r="CB658" s="1432"/>
      <c r="CC658" s="1432"/>
      <c r="CD658" s="585"/>
      <c r="CE658" s="585"/>
      <c r="CF658" s="586"/>
    </row>
    <row r="659" spans="1:84" s="583" customFormat="1" ht="23.1" customHeight="1">
      <c r="A659" s="584"/>
      <c r="B659" s="585"/>
      <c r="C659" s="585"/>
      <c r="D659" s="591" t="str">
        <f>"잡재료 (주연료의 "&amp;BG659&amp;"%) :"</f>
        <v>잡재료 (주연료의 38%) :</v>
      </c>
      <c r="E659" s="585"/>
      <c r="F659" s="585"/>
      <c r="G659" s="585"/>
      <c r="H659" s="585"/>
      <c r="I659" s="585"/>
      <c r="J659" s="585"/>
      <c r="K659" s="585"/>
      <c r="L659" s="585"/>
      <c r="M659" s="585"/>
      <c r="N659" s="585"/>
      <c r="O659" s="585"/>
      <c r="P659" s="585"/>
      <c r="Q659" s="585"/>
      <c r="R659" s="585"/>
      <c r="S659" s="585"/>
      <c r="T659" s="585"/>
      <c r="U659" s="585"/>
      <c r="V659" s="585"/>
      <c r="W659" s="585"/>
      <c r="X659" s="585"/>
      <c r="Y659" s="585"/>
      <c r="Z659" s="585"/>
      <c r="AA659" s="585"/>
      <c r="AB659" s="585"/>
      <c r="AC659" s="585"/>
      <c r="AD659" s="585"/>
      <c r="AE659" s="585"/>
      <c r="AF659" s="585"/>
      <c r="AG659" s="585"/>
      <c r="AH659" s="585"/>
      <c r="AI659" s="585"/>
      <c r="AJ659" s="585"/>
      <c r="AK659" s="585"/>
      <c r="AL659" s="585"/>
      <c r="AM659" s="585"/>
      <c r="AN659" s="585"/>
      <c r="AO659" s="585"/>
      <c r="AP659" s="585"/>
      <c r="AQ659" s="585"/>
      <c r="AR659" s="422" t="e">
        <f>BT658</f>
        <v>#REF!</v>
      </c>
      <c r="AS659" s="1435" t="e">
        <f>BT658</f>
        <v>#REF!</v>
      </c>
      <c r="AT659" s="1435"/>
      <c r="AU659" s="1435"/>
      <c r="AV659" s="1435"/>
      <c r="AW659" s="1435"/>
      <c r="AX659" s="1435"/>
      <c r="AY659" s="1435"/>
      <c r="AZ659" s="1435"/>
      <c r="BA659" s="1435"/>
      <c r="BB659" s="1435"/>
      <c r="BC659" s="585"/>
      <c r="BD659" s="1431" t="s">
        <v>446</v>
      </c>
      <c r="BE659" s="1431"/>
      <c r="BF659" s="585"/>
      <c r="BG659" s="1431">
        <v>38</v>
      </c>
      <c r="BH659" s="1431"/>
      <c r="BI659" s="1431"/>
      <c r="BJ659" s="1431"/>
      <c r="BK659" s="1431"/>
      <c r="BL659" s="585" t="s">
        <v>1112</v>
      </c>
      <c r="BM659" s="585"/>
      <c r="BN659" s="585"/>
      <c r="BO659" s="585"/>
      <c r="BP659" s="1431" t="s">
        <v>41</v>
      </c>
      <c r="BQ659" s="1431"/>
      <c r="BR659" s="585"/>
      <c r="BS659" s="585"/>
      <c r="BT659" s="1432" t="e">
        <f>INT(AS659*BG659/100)</f>
        <v>#REF!</v>
      </c>
      <c r="BU659" s="1432"/>
      <c r="BV659" s="1432"/>
      <c r="BW659" s="1432"/>
      <c r="BX659" s="1432"/>
      <c r="BY659" s="1432"/>
      <c r="BZ659" s="1432"/>
      <c r="CA659" s="1432"/>
      <c r="CB659" s="1432"/>
      <c r="CC659" s="1432"/>
      <c r="CD659" s="585"/>
      <c r="CE659" s="585"/>
      <c r="CF659" s="586"/>
    </row>
    <row r="660" spans="1:84" s="583" customFormat="1" ht="23.1" customHeight="1" thickBot="1">
      <c r="A660" s="584"/>
      <c r="B660" s="585"/>
      <c r="C660" s="585"/>
      <c r="D660" s="585"/>
      <c r="E660" s="585"/>
      <c r="F660" s="585"/>
      <c r="G660" s="585"/>
      <c r="H660" s="585"/>
      <c r="I660" s="585"/>
      <c r="J660" s="585"/>
      <c r="K660" s="585"/>
      <c r="L660" s="585"/>
      <c r="M660" s="585"/>
      <c r="N660" s="585"/>
      <c r="O660" s="585"/>
      <c r="P660" s="585"/>
      <c r="Q660" s="585"/>
      <c r="R660" s="585"/>
      <c r="S660" s="585"/>
      <c r="T660" s="585"/>
      <c r="U660" s="585"/>
      <c r="V660" s="585"/>
      <c r="W660" s="585"/>
      <c r="X660" s="585"/>
      <c r="Y660" s="585"/>
      <c r="Z660" s="585"/>
      <c r="AA660" s="585"/>
      <c r="AB660" s="585"/>
      <c r="AC660" s="585"/>
      <c r="AD660" s="585"/>
      <c r="AE660" s="585"/>
      <c r="AF660" s="585"/>
      <c r="AG660" s="585"/>
      <c r="AH660" s="585"/>
      <c r="AI660" s="585"/>
      <c r="AJ660" s="585"/>
      <c r="AK660" s="585"/>
      <c r="AL660" s="585"/>
      <c r="AM660" s="585"/>
      <c r="AN660" s="585"/>
      <c r="AO660" s="585"/>
      <c r="AP660" s="585"/>
      <c r="AQ660" s="585"/>
      <c r="AR660" s="585"/>
      <c r="AS660" s="585"/>
      <c r="AT660" s="585"/>
      <c r="AU660" s="585"/>
      <c r="AV660" s="585"/>
      <c r="AW660" s="585"/>
      <c r="AX660" s="585"/>
      <c r="AY660" s="585"/>
      <c r="AZ660" s="585"/>
      <c r="BA660" s="585"/>
      <c r="BB660" s="585"/>
      <c r="BC660" s="585"/>
      <c r="BD660" s="585"/>
      <c r="BE660" s="585"/>
      <c r="BF660" s="585"/>
      <c r="BG660" s="585"/>
      <c r="BH660" s="585"/>
      <c r="BI660" s="585"/>
      <c r="BJ660" s="585"/>
      <c r="BK660" s="585"/>
      <c r="BL660" s="585"/>
      <c r="BM660" s="585"/>
      <c r="BN660" s="585"/>
      <c r="BO660" s="585"/>
      <c r="BP660" s="1431" t="s">
        <v>41</v>
      </c>
      <c r="BQ660" s="1431"/>
      <c r="BR660" s="585"/>
      <c r="BS660" s="585"/>
      <c r="BT660" s="1433" t="e">
        <f>BT658+BT659</f>
        <v>#REF!</v>
      </c>
      <c r="BU660" s="1433"/>
      <c r="BV660" s="1433"/>
      <c r="BW660" s="1433"/>
      <c r="BX660" s="1433"/>
      <c r="BY660" s="1433"/>
      <c r="BZ660" s="1433"/>
      <c r="CA660" s="1433"/>
      <c r="CB660" s="1433"/>
      <c r="CC660" s="1433"/>
      <c r="CD660" s="585"/>
      <c r="CE660" s="585"/>
      <c r="CF660" s="586"/>
    </row>
    <row r="661" spans="1:84" s="583" customFormat="1" ht="23.1" customHeight="1" thickBot="1">
      <c r="A661" s="597"/>
      <c r="B661" s="598" t="s">
        <v>1113</v>
      </c>
      <c r="C661" s="598"/>
      <c r="D661" s="598"/>
      <c r="E661" s="598"/>
      <c r="F661" s="598"/>
      <c r="G661" s="598"/>
      <c r="H661" s="598"/>
      <c r="I661" s="598"/>
      <c r="J661" s="598"/>
      <c r="K661" s="598"/>
      <c r="L661" s="598"/>
      <c r="M661" s="598"/>
      <c r="N661" s="598"/>
      <c r="O661" s="598"/>
      <c r="P661" s="598"/>
      <c r="Q661" s="598"/>
      <c r="R661" s="598"/>
      <c r="S661" s="598"/>
      <c r="T661" s="598"/>
      <c r="U661" s="598"/>
      <c r="V661" s="598"/>
      <c r="W661" s="598"/>
      <c r="X661" s="598"/>
      <c r="Y661" s="598"/>
      <c r="Z661" s="598"/>
      <c r="AA661" s="598"/>
      <c r="AB661" s="598"/>
      <c r="AC661" s="598"/>
      <c r="AD661" s="598"/>
      <c r="AE661" s="598"/>
      <c r="AF661" s="598"/>
      <c r="AG661" s="598"/>
      <c r="AH661" s="598"/>
      <c r="AI661" s="598"/>
      <c r="AJ661" s="598"/>
      <c r="AK661" s="598"/>
      <c r="AL661" s="598"/>
      <c r="AM661" s="598"/>
      <c r="AN661" s="598"/>
      <c r="AO661" s="598"/>
      <c r="AP661" s="598"/>
      <c r="AQ661" s="598"/>
      <c r="AR661" s="598"/>
      <c r="AS661" s="598"/>
      <c r="AT661" s="598"/>
      <c r="AU661" s="598"/>
      <c r="AV661" s="598"/>
      <c r="AW661" s="598"/>
      <c r="AX661" s="598"/>
      <c r="AY661" s="598"/>
      <c r="AZ661" s="598"/>
      <c r="BA661" s="598"/>
      <c r="BB661" s="598"/>
      <c r="BC661" s="598"/>
      <c r="BD661" s="598"/>
      <c r="BE661" s="598"/>
      <c r="BF661" s="598"/>
      <c r="BG661" s="598"/>
      <c r="BH661" s="598"/>
      <c r="BI661" s="598"/>
      <c r="BJ661" s="598"/>
      <c r="BK661" s="598"/>
      <c r="BL661" s="598"/>
      <c r="BM661" s="598"/>
      <c r="BN661" s="598"/>
      <c r="BO661" s="598"/>
      <c r="BP661" s="598"/>
      <c r="BQ661" s="598"/>
      <c r="BR661" s="598"/>
      <c r="BS661" s="598"/>
      <c r="BT661" s="1429" t="e">
        <f>BT652+BT656+BT660</f>
        <v>#REF!</v>
      </c>
      <c r="BU661" s="1429"/>
      <c r="BV661" s="1429"/>
      <c r="BW661" s="1429"/>
      <c r="BX661" s="1429"/>
      <c r="BY661" s="1429"/>
      <c r="BZ661" s="1429"/>
      <c r="CA661" s="1429"/>
      <c r="CB661" s="1429"/>
      <c r="CC661" s="1429"/>
      <c r="CD661" s="598"/>
      <c r="CE661" s="598"/>
      <c r="CF661" s="599"/>
    </row>
    <row r="662" spans="1:84" s="583" customFormat="1" ht="9.9499999999999993" customHeight="1">
      <c r="A662" s="574"/>
      <c r="B662" s="574"/>
      <c r="C662" s="574"/>
      <c r="D662" s="574"/>
      <c r="E662" s="574"/>
      <c r="F662" s="574"/>
      <c r="G662" s="574"/>
      <c r="H662" s="574"/>
      <c r="I662" s="574"/>
      <c r="J662" s="574"/>
      <c r="K662" s="574"/>
      <c r="L662" s="574"/>
      <c r="M662" s="574"/>
      <c r="N662" s="574"/>
      <c r="O662" s="574"/>
      <c r="P662" s="574"/>
      <c r="Q662" s="574"/>
      <c r="R662" s="574"/>
      <c r="S662" s="574"/>
      <c r="T662" s="574"/>
      <c r="U662" s="574"/>
      <c r="V662" s="574"/>
      <c r="W662" s="574"/>
      <c r="X662" s="574"/>
      <c r="Y662" s="574"/>
      <c r="Z662" s="574"/>
      <c r="AA662" s="574"/>
      <c r="AB662" s="574"/>
      <c r="AC662" s="574"/>
      <c r="AD662" s="574"/>
      <c r="AE662" s="574"/>
      <c r="AF662" s="574"/>
      <c r="AG662" s="574"/>
      <c r="AH662" s="574"/>
      <c r="AI662" s="574"/>
      <c r="AJ662" s="574"/>
      <c r="AK662" s="574"/>
      <c r="AL662" s="574"/>
      <c r="AM662" s="574"/>
      <c r="AN662" s="574"/>
      <c r="AO662" s="574"/>
      <c r="AP662" s="574"/>
      <c r="AQ662" s="574"/>
      <c r="AR662" s="574"/>
      <c r="AS662" s="574"/>
      <c r="AT662" s="574"/>
      <c r="AU662" s="574"/>
      <c r="AV662" s="574"/>
      <c r="AW662" s="574"/>
      <c r="AX662" s="574"/>
      <c r="AY662" s="574"/>
      <c r="AZ662" s="574"/>
      <c r="BA662" s="574"/>
      <c r="BB662" s="574"/>
      <c r="BC662" s="574"/>
      <c r="BD662" s="574"/>
      <c r="BE662" s="574"/>
      <c r="BF662" s="574"/>
      <c r="BG662" s="574"/>
      <c r="BH662" s="574"/>
      <c r="BI662" s="574"/>
      <c r="BJ662" s="574"/>
      <c r="BK662" s="574"/>
      <c r="BL662" s="574"/>
      <c r="BM662" s="574"/>
      <c r="BN662" s="574"/>
      <c r="BO662" s="574"/>
      <c r="BP662" s="574"/>
      <c r="BQ662" s="574"/>
      <c r="BR662" s="574"/>
      <c r="BS662" s="574"/>
      <c r="BT662" s="574"/>
      <c r="BU662" s="574"/>
      <c r="BV662" s="574"/>
      <c r="BW662" s="574"/>
      <c r="BX662" s="574"/>
      <c r="BY662" s="574"/>
      <c r="BZ662" s="574"/>
      <c r="CA662" s="574"/>
      <c r="CB662" s="574"/>
      <c r="CC662" s="574"/>
      <c r="CD662" s="574"/>
      <c r="CE662" s="574"/>
      <c r="CF662" s="574"/>
    </row>
    <row r="663" spans="1:84" s="583" customFormat="1" ht="23.1" customHeight="1" thickBot="1">
      <c r="A663" s="1446" t="s">
        <v>1095</v>
      </c>
      <c r="B663" s="1446"/>
      <c r="C663" s="1446"/>
      <c r="D663" s="1446"/>
      <c r="E663" s="1446"/>
      <c r="F663" s="1446"/>
      <c r="G663" s="1447">
        <f>G648+1</f>
        <v>45</v>
      </c>
      <c r="H663" s="1447"/>
      <c r="I663" s="1447"/>
      <c r="J663" s="1448" t="s">
        <v>1096</v>
      </c>
      <c r="K663" s="1448"/>
      <c r="L663" s="574"/>
      <c r="M663" s="574"/>
      <c r="N663" s="574"/>
      <c r="O663" s="574"/>
      <c r="P663" s="574"/>
      <c r="Q663" s="574"/>
      <c r="R663" s="574"/>
      <c r="S663" s="574"/>
      <c r="T663" s="574"/>
      <c r="U663" s="574"/>
      <c r="V663" s="574"/>
      <c r="W663" s="574"/>
      <c r="X663" s="574"/>
      <c r="Y663" s="574"/>
      <c r="Z663" s="574"/>
      <c r="AA663" s="574"/>
      <c r="AB663" s="574"/>
      <c r="AC663" s="574"/>
      <c r="AD663" s="574"/>
      <c r="AE663" s="574"/>
      <c r="AF663" s="574"/>
      <c r="AG663" s="574"/>
      <c r="AH663" s="574"/>
      <c r="AI663" s="574"/>
      <c r="AJ663" s="574"/>
      <c r="AK663" s="574"/>
      <c r="AL663" s="574"/>
      <c r="AM663" s="574"/>
      <c r="AN663" s="574"/>
      <c r="AO663" s="574"/>
      <c r="AP663" s="574"/>
      <c r="AQ663" s="574"/>
      <c r="AR663" s="574"/>
      <c r="AS663" s="574"/>
      <c r="AT663" s="574"/>
      <c r="AU663" s="574"/>
      <c r="AV663" s="574"/>
      <c r="AW663" s="574"/>
      <c r="AX663" s="574"/>
      <c r="AY663" s="574"/>
      <c r="AZ663" s="574"/>
      <c r="BA663" s="574"/>
      <c r="BB663" s="574"/>
      <c r="BC663" s="574"/>
      <c r="BD663" s="574"/>
      <c r="BE663" s="574"/>
      <c r="BF663" s="574"/>
      <c r="BG663" s="574"/>
      <c r="BH663" s="574"/>
      <c r="BI663" s="574"/>
      <c r="BJ663" s="574"/>
      <c r="BK663" s="574"/>
      <c r="BL663" s="574"/>
      <c r="BM663" s="574"/>
      <c r="BN663" s="574"/>
      <c r="BO663" s="574"/>
      <c r="BP663" s="574"/>
      <c r="BQ663" s="574"/>
      <c r="BR663" s="574"/>
      <c r="BS663" s="574"/>
      <c r="BT663" s="574"/>
      <c r="BU663" s="574"/>
      <c r="BV663" s="574"/>
      <c r="BW663" s="574"/>
      <c r="BX663" s="574"/>
      <c r="BY663" s="574"/>
      <c r="BZ663" s="574"/>
      <c r="CA663" s="574"/>
      <c r="CB663" s="574"/>
      <c r="CC663" s="574"/>
      <c r="CD663" s="574"/>
      <c r="CE663" s="574"/>
      <c r="CF663" s="574"/>
    </row>
    <row r="664" spans="1:84" s="583" customFormat="1" ht="23.1" customHeight="1" thickBot="1">
      <c r="A664" s="1483" t="s">
        <v>1097</v>
      </c>
      <c r="B664" s="1484"/>
      <c r="C664" s="1484"/>
      <c r="D664" s="1484"/>
      <c r="E664" s="1484"/>
      <c r="F664" s="1484"/>
      <c r="G664" s="1484"/>
      <c r="H664" s="1484"/>
      <c r="I664" s="581" t="s">
        <v>1164</v>
      </c>
      <c r="J664" s="581"/>
      <c r="K664" s="581"/>
      <c r="L664" s="581"/>
      <c r="M664" s="581"/>
      <c r="N664" s="581"/>
      <c r="O664" s="581"/>
      <c r="P664" s="581"/>
      <c r="Q664" s="581"/>
      <c r="R664" s="581"/>
      <c r="S664" s="581"/>
      <c r="T664" s="581"/>
      <c r="U664" s="581"/>
      <c r="V664" s="581"/>
      <c r="W664" s="581"/>
      <c r="X664" s="581"/>
      <c r="Y664" s="581"/>
      <c r="Z664" s="581"/>
      <c r="AA664" s="581"/>
      <c r="AB664" s="581"/>
      <c r="AC664" s="581"/>
      <c r="AD664" s="581"/>
      <c r="AE664" s="581"/>
      <c r="AF664" s="581"/>
      <c r="AG664" s="581"/>
      <c r="AH664" s="581"/>
      <c r="AI664" s="581"/>
      <c r="AJ664" s="1484" t="s">
        <v>1099</v>
      </c>
      <c r="AK664" s="1484"/>
      <c r="AL664" s="1484"/>
      <c r="AM664" s="1484"/>
      <c r="AN664" s="1484"/>
      <c r="AO664" s="1484"/>
      <c r="AP664" s="1484"/>
      <c r="AQ664" s="581" t="s">
        <v>1117</v>
      </c>
      <c r="AR664" s="581"/>
      <c r="AS664" s="581"/>
      <c r="AT664" s="581"/>
      <c r="AU664" s="581"/>
      <c r="AV664" s="581"/>
      <c r="AW664" s="581"/>
      <c r="AX664" s="581"/>
      <c r="AY664" s="581"/>
      <c r="AZ664" s="581"/>
      <c r="BA664" s="581"/>
      <c r="BB664" s="581"/>
      <c r="BC664" s="581"/>
      <c r="BD664" s="581"/>
      <c r="BE664" s="581"/>
      <c r="BF664" s="581"/>
      <c r="BG664" s="581"/>
      <c r="BH664" s="581"/>
      <c r="BI664" s="581"/>
      <c r="BJ664" s="581"/>
      <c r="BK664" s="581"/>
      <c r="BL664" s="581"/>
      <c r="BM664" s="581"/>
      <c r="BN664" s="581"/>
      <c r="BO664" s="581"/>
      <c r="BP664" s="581"/>
      <c r="BQ664" s="581"/>
      <c r="BR664" s="581"/>
      <c r="BS664" s="581"/>
      <c r="BT664" s="581" t="s">
        <v>1160</v>
      </c>
      <c r="BU664" s="581"/>
      <c r="BV664" s="581"/>
      <c r="BW664" s="581"/>
      <c r="BX664" s="581"/>
      <c r="BY664" s="581"/>
      <c r="BZ664" s="581"/>
      <c r="CA664" s="581"/>
      <c r="CB664" s="581"/>
      <c r="CC664" s="581"/>
      <c r="CD664" s="581"/>
      <c r="CE664" s="581"/>
      <c r="CF664" s="582"/>
    </row>
    <row r="665" spans="1:84" s="583" customFormat="1" ht="23.1" customHeight="1">
      <c r="A665" s="584"/>
      <c r="B665" s="585" t="s">
        <v>1102</v>
      </c>
      <c r="C665" s="585"/>
      <c r="D665" s="585"/>
      <c r="E665" s="585"/>
      <c r="F665" s="585"/>
      <c r="G665" s="585"/>
      <c r="H665" s="585"/>
      <c r="I665" s="585"/>
      <c r="J665" s="585"/>
      <c r="K665" s="585"/>
      <c r="L665" s="585"/>
      <c r="M665" s="585"/>
      <c r="N665" s="585"/>
      <c r="O665" s="585"/>
      <c r="P665" s="585"/>
      <c r="Q665" s="585"/>
      <c r="R665" s="585"/>
      <c r="S665" s="585"/>
      <c r="T665" s="585"/>
      <c r="U665" s="585"/>
      <c r="V665" s="585"/>
      <c r="W665" s="585"/>
      <c r="X665" s="585"/>
      <c r="Y665" s="585"/>
      <c r="Z665" s="585"/>
      <c r="AA665" s="585"/>
      <c r="AB665" s="585"/>
      <c r="AC665" s="585"/>
      <c r="AD665" s="585"/>
      <c r="AE665" s="585"/>
      <c r="AF665" s="585"/>
      <c r="AG665" s="585"/>
      <c r="AH665" s="585"/>
      <c r="AI665" s="585"/>
      <c r="AJ665" s="585"/>
      <c r="AK665" s="585"/>
      <c r="AL665" s="585"/>
      <c r="AM665" s="585"/>
      <c r="AN665" s="585"/>
      <c r="AO665" s="585"/>
      <c r="AP665" s="585"/>
      <c r="AQ665" s="585"/>
      <c r="AR665" s="585"/>
      <c r="AS665" s="585"/>
      <c r="AT665" s="585"/>
      <c r="AU665" s="585"/>
      <c r="AV665" s="585"/>
      <c r="AW665" s="585"/>
      <c r="AX665" s="585"/>
      <c r="AY665" s="585"/>
      <c r="AZ665" s="585"/>
      <c r="BA665" s="585"/>
      <c r="BB665" s="585"/>
      <c r="BC665" s="585"/>
      <c r="BD665" s="585"/>
      <c r="BE665" s="585"/>
      <c r="BF665" s="585"/>
      <c r="BG665" s="585"/>
      <c r="BH665" s="585"/>
      <c r="BI665" s="585"/>
      <c r="BJ665" s="585"/>
      <c r="BK665" s="585"/>
      <c r="BL665" s="585"/>
      <c r="BM665" s="585"/>
      <c r="BN665" s="585"/>
      <c r="BO665" s="585"/>
      <c r="BP665" s="585"/>
      <c r="BQ665" s="585"/>
      <c r="BR665" s="585"/>
      <c r="BS665" s="585"/>
      <c r="BT665" s="585"/>
      <c r="BU665" s="585"/>
      <c r="BV665" s="585"/>
      <c r="BW665" s="585"/>
      <c r="BX665" s="585"/>
      <c r="BY665" s="585"/>
      <c r="BZ665" s="585"/>
      <c r="CA665" s="585"/>
      <c r="CB665" s="585"/>
      <c r="CC665" s="585"/>
      <c r="CD665" s="585"/>
      <c r="CE665" s="585"/>
      <c r="CF665" s="586"/>
    </row>
    <row r="666" spans="1:84" s="583" customFormat="1" ht="23.1" customHeight="1">
      <c r="A666" s="587"/>
      <c r="B666" s="574"/>
      <c r="C666" s="574"/>
      <c r="D666" s="405"/>
      <c r="E666" s="574"/>
      <c r="F666" s="422"/>
      <c r="G666" s="422"/>
      <c r="H666" s="422"/>
      <c r="I666" s="422"/>
      <c r="J666" s="422"/>
      <c r="K666" s="422"/>
      <c r="L666" s="422"/>
      <c r="M666" s="422"/>
      <c r="N666" s="574"/>
      <c r="O666" s="574"/>
      <c r="P666" s="574"/>
      <c r="Q666" s="574"/>
      <c r="R666" s="574"/>
      <c r="S666" s="588"/>
      <c r="T666" s="588"/>
      <c r="U666" s="588"/>
      <c r="V666" s="588"/>
      <c r="W666" s="588"/>
      <c r="X666" s="588"/>
      <c r="Y666" s="588"/>
      <c r="Z666" s="588"/>
      <c r="AA666" s="574"/>
      <c r="AB666" s="588"/>
      <c r="AC666" s="585"/>
      <c r="AD666" s="585"/>
      <c r="AE666" s="600"/>
      <c r="AF666" s="600"/>
      <c r="AG666" s="600"/>
      <c r="AH666" s="600"/>
      <c r="AI666" s="600"/>
      <c r="AJ666" s="600"/>
      <c r="AK666" s="600"/>
      <c r="AL666" s="600"/>
      <c r="AM666" s="585"/>
      <c r="AN666" s="585"/>
      <c r="AO666" s="574"/>
      <c r="AP666" s="430"/>
      <c r="AQ666" s="430"/>
      <c r="AR666" s="430"/>
      <c r="AS666" s="430"/>
      <c r="AT666" s="430"/>
      <c r="AU666" s="430"/>
      <c r="AV666" s="430"/>
      <c r="AW666" s="430"/>
      <c r="AX666" s="430"/>
      <c r="AY666" s="430"/>
      <c r="AZ666" s="430"/>
      <c r="BA666" s="430"/>
      <c r="BB666" s="430"/>
      <c r="BC666" s="430"/>
      <c r="BD666" s="574"/>
      <c r="BE666" s="574"/>
      <c r="BF666" s="574"/>
      <c r="BG666" s="574"/>
      <c r="BH666" s="574"/>
      <c r="BI666" s="574"/>
      <c r="BJ666" s="574"/>
      <c r="BK666" s="574"/>
      <c r="BL666" s="574"/>
      <c r="BM666" s="574"/>
      <c r="BN666" s="574"/>
      <c r="BO666" s="574"/>
      <c r="BP666" s="574"/>
      <c r="BQ666" s="574"/>
      <c r="BR666" s="574"/>
      <c r="BS666" s="574"/>
      <c r="BT666" s="574"/>
      <c r="BU666" s="574"/>
      <c r="BV666" s="574"/>
      <c r="BW666" s="574"/>
      <c r="BX666" s="574"/>
      <c r="BY666" s="574"/>
      <c r="BZ666" s="574"/>
      <c r="CA666" s="574"/>
      <c r="CB666" s="574"/>
      <c r="CC666" s="574"/>
      <c r="CD666" s="574"/>
      <c r="CE666" s="574"/>
      <c r="CF666" s="589"/>
    </row>
    <row r="667" spans="1:84" s="583" customFormat="1" ht="23.1" customHeight="1">
      <c r="A667" s="584"/>
      <c r="B667" s="585"/>
      <c r="C667" s="585"/>
      <c r="H667" s="1502">
        <f>$AE$577</f>
        <v>90653000</v>
      </c>
      <c r="I667" s="1502"/>
      <c r="J667" s="1502"/>
      <c r="K667" s="1502"/>
      <c r="L667" s="1502"/>
      <c r="M667" s="1502"/>
      <c r="N667" s="1502"/>
      <c r="O667" s="1502"/>
      <c r="P667" s="1502"/>
      <c r="Q667" s="1502"/>
      <c r="R667" s="1502"/>
      <c r="S667" s="1502"/>
      <c r="T667" s="1502"/>
      <c r="U667" s="1502"/>
      <c r="V667" s="1502"/>
      <c r="W667" s="1431" t="s">
        <v>446</v>
      </c>
      <c r="X667" s="1431"/>
      <c r="Y667" s="1491" t="s">
        <v>1127</v>
      </c>
      <c r="Z667" s="1491"/>
      <c r="AA667" s="1503" t="s">
        <v>1103</v>
      </c>
      <c r="AB667" s="1503"/>
      <c r="AC667" s="1442">
        <v>900</v>
      </c>
      <c r="AD667" s="1442"/>
      <c r="AE667" s="1442"/>
      <c r="AF667" s="1442"/>
      <c r="AG667" s="1442"/>
      <c r="AH667" s="1442"/>
      <c r="AI667" s="1431" t="s">
        <v>1128</v>
      </c>
      <c r="AJ667" s="1431"/>
      <c r="AK667" s="1442">
        <v>700</v>
      </c>
      <c r="AL667" s="1442"/>
      <c r="AM667" s="1442"/>
      <c r="AN667" s="1442"/>
      <c r="AO667" s="1442"/>
      <c r="AP667" s="1442"/>
      <c r="AQ667" s="1503" t="s">
        <v>1105</v>
      </c>
      <c r="AR667" s="1503"/>
      <c r="AS667" s="1431" t="s">
        <v>446</v>
      </c>
      <c r="AT667" s="1431"/>
      <c r="AU667" s="1504">
        <v>1.1000000000000001</v>
      </c>
      <c r="AV667" s="1504"/>
      <c r="AW667" s="1504"/>
      <c r="AX667" s="1504"/>
      <c r="AY667" s="1504"/>
      <c r="AZ667" s="1431" t="s">
        <v>1128</v>
      </c>
      <c r="BA667" s="1431"/>
      <c r="BB667" s="1431">
        <v>679</v>
      </c>
      <c r="BC667" s="1431"/>
      <c r="BD667" s="1431"/>
      <c r="BE667" s="1431"/>
      <c r="BF667" s="1431"/>
      <c r="BG667" s="1491" t="s">
        <v>1096</v>
      </c>
      <c r="BH667" s="1491"/>
      <c r="BI667" s="1431" t="s">
        <v>446</v>
      </c>
      <c r="BJ667" s="1431"/>
      <c r="BK667" s="591" t="s">
        <v>1104</v>
      </c>
      <c r="BL667" s="585"/>
      <c r="BM667" s="585"/>
      <c r="BN667" s="585"/>
      <c r="BO667" s="585"/>
      <c r="BP667" s="1431" t="s">
        <v>41</v>
      </c>
      <c r="BQ667" s="1431"/>
      <c r="BR667" s="585"/>
      <c r="BS667" s="585"/>
      <c r="BT667" s="1437">
        <f>INT(H667*((AC667+AK667)*AU667+BB667)*10^-7)</f>
        <v>22110</v>
      </c>
      <c r="BU667" s="1437"/>
      <c r="BV667" s="1437"/>
      <c r="BW667" s="1437"/>
      <c r="BX667" s="1437"/>
      <c r="BY667" s="1437"/>
      <c r="BZ667" s="1437"/>
      <c r="CA667" s="1437"/>
      <c r="CB667" s="1437"/>
      <c r="CC667" s="1437"/>
      <c r="CD667" s="585"/>
      <c r="CE667" s="585"/>
      <c r="CF667" s="586"/>
    </row>
    <row r="668" spans="1:84" s="583" customFormat="1" ht="23.1" customHeight="1">
      <c r="A668" s="592"/>
      <c r="B668" s="593" t="s">
        <v>1106</v>
      </c>
      <c r="C668" s="593"/>
      <c r="D668" s="593"/>
      <c r="E668" s="593"/>
      <c r="F668" s="593"/>
      <c r="G668" s="593"/>
      <c r="H668" s="593"/>
      <c r="I668" s="593"/>
      <c r="J668" s="593"/>
      <c r="K668" s="593"/>
      <c r="L668" s="593"/>
      <c r="M668" s="593"/>
      <c r="N668" s="593"/>
      <c r="O668" s="593"/>
      <c r="P668" s="593"/>
      <c r="Q668" s="593"/>
      <c r="R668" s="593"/>
      <c r="S668" s="593"/>
      <c r="T668" s="593"/>
      <c r="U668" s="593"/>
      <c r="V668" s="593"/>
      <c r="W668" s="593"/>
      <c r="X668" s="593"/>
      <c r="Y668" s="593"/>
      <c r="Z668" s="593"/>
      <c r="AA668" s="593"/>
      <c r="AB668" s="593"/>
      <c r="AC668" s="593"/>
      <c r="AD668" s="593"/>
      <c r="AE668" s="593"/>
      <c r="AF668" s="593"/>
      <c r="AG668" s="593"/>
      <c r="AH668" s="593"/>
      <c r="AI668" s="593"/>
      <c r="AJ668" s="593"/>
      <c r="AK668" s="593"/>
      <c r="AL668" s="593"/>
      <c r="AM668" s="593"/>
      <c r="AN668" s="593"/>
      <c r="AO668" s="593"/>
      <c r="AP668" s="593"/>
      <c r="AQ668" s="593"/>
      <c r="AR668" s="593"/>
      <c r="AS668" s="593"/>
      <c r="AT668" s="593"/>
      <c r="AU668" s="593"/>
      <c r="AV668" s="593"/>
      <c r="AW668" s="593"/>
      <c r="AX668" s="593"/>
      <c r="AY668" s="593"/>
      <c r="AZ668" s="593"/>
      <c r="BA668" s="593"/>
      <c r="BB668" s="593"/>
      <c r="BC668" s="593"/>
      <c r="BD668" s="593"/>
      <c r="BE668" s="593"/>
      <c r="BF668" s="593"/>
      <c r="BG668" s="593"/>
      <c r="BH668" s="593"/>
      <c r="BI668" s="593"/>
      <c r="BJ668" s="593"/>
      <c r="BK668" s="593"/>
      <c r="BL668" s="593"/>
      <c r="BM668" s="593"/>
      <c r="BN668" s="593"/>
      <c r="BO668" s="593"/>
      <c r="BP668" s="593"/>
      <c r="BQ668" s="593"/>
      <c r="BR668" s="593"/>
      <c r="BS668" s="593"/>
      <c r="BT668" s="594"/>
      <c r="BU668" s="594"/>
      <c r="BV668" s="594"/>
      <c r="BW668" s="594"/>
      <c r="BX668" s="594"/>
      <c r="BY668" s="594"/>
      <c r="BZ668" s="594"/>
      <c r="CA668" s="594"/>
      <c r="CB668" s="594"/>
      <c r="CC668" s="594"/>
      <c r="CD668" s="593"/>
      <c r="CE668" s="593"/>
      <c r="CF668" s="595"/>
    </row>
    <row r="669" spans="1:84" s="583" customFormat="1" ht="23.1" customHeight="1">
      <c r="A669" s="584"/>
      <c r="B669" s="585"/>
      <c r="C669" s="585"/>
      <c r="D669" s="596" t="s">
        <v>268</v>
      </c>
      <c r="E669" s="585"/>
      <c r="F669" s="585"/>
      <c r="G669" s="585"/>
      <c r="H669" s="585"/>
      <c r="I669" s="585"/>
      <c r="J669" s="585"/>
      <c r="K669" s="585"/>
      <c r="L669" s="585"/>
      <c r="M669" s="585"/>
      <c r="N669" s="585"/>
      <c r="O669" s="585"/>
      <c r="P669" s="585"/>
      <c r="Q669" s="585"/>
      <c r="R669" s="585"/>
      <c r="S669" s="585"/>
      <c r="T669" s="574"/>
      <c r="U669" s="574"/>
      <c r="V669" s="1435">
        <f>HLOOKUP(D669,$CJ$1:$CM$3,3,0)</f>
        <v>283297</v>
      </c>
      <c r="W669" s="1435"/>
      <c r="X669" s="1435"/>
      <c r="Y669" s="1435"/>
      <c r="Z669" s="1435"/>
      <c r="AA669" s="1435"/>
      <c r="AB669" s="1435"/>
      <c r="AC669" s="1435"/>
      <c r="AD669" s="1435"/>
      <c r="AE669" s="1435"/>
      <c r="AF669" s="1431" t="s">
        <v>446</v>
      </c>
      <c r="AG669" s="1431"/>
      <c r="AH669" s="574"/>
      <c r="AI669" s="1436" t="s">
        <v>1107</v>
      </c>
      <c r="AJ669" s="1436"/>
      <c r="AK669" s="1436"/>
      <c r="AL669" s="1436"/>
      <c r="AM669" s="585"/>
      <c r="AN669" s="1431" t="s">
        <v>446</v>
      </c>
      <c r="AO669" s="1431"/>
      <c r="AP669" s="585"/>
      <c r="AQ669" s="1436" t="s">
        <v>1108</v>
      </c>
      <c r="AR669" s="1436"/>
      <c r="AS669" s="1436"/>
      <c r="AT669" s="1436"/>
      <c r="AU669" s="1436"/>
      <c r="AV669" s="422"/>
      <c r="AW669" s="1431" t="s">
        <v>446</v>
      </c>
      <c r="AX669" s="1431"/>
      <c r="AY669" s="440"/>
      <c r="AZ669" s="1436" t="s">
        <v>1109</v>
      </c>
      <c r="BA669" s="1436"/>
      <c r="BB669" s="1436"/>
      <c r="BC669" s="1436"/>
      <c r="BD669" s="1436"/>
      <c r="BE669" s="585"/>
      <c r="BF669" s="1431" t="s">
        <v>446</v>
      </c>
      <c r="BG669" s="1431"/>
      <c r="BH669" s="1431">
        <v>1</v>
      </c>
      <c r="BI669" s="1431"/>
      <c r="BJ669" s="1431"/>
      <c r="BK669" s="585"/>
      <c r="BL669" s="585" t="s">
        <v>366</v>
      </c>
      <c r="BM669" s="585"/>
      <c r="BN669" s="585"/>
      <c r="BO669" s="585"/>
      <c r="BP669" s="1431" t="s">
        <v>41</v>
      </c>
      <c r="BQ669" s="1431"/>
      <c r="BR669" s="585"/>
      <c r="BS669" s="585"/>
      <c r="BT669" s="1432">
        <f>INT(V669/8*16/12*25/20*BH669)</f>
        <v>59020</v>
      </c>
      <c r="BU669" s="1432"/>
      <c r="BV669" s="1432"/>
      <c r="BW669" s="1432"/>
      <c r="BX669" s="1432"/>
      <c r="BY669" s="1432"/>
      <c r="BZ669" s="1432"/>
      <c r="CA669" s="1432"/>
      <c r="CB669" s="1432"/>
      <c r="CC669" s="1432"/>
      <c r="CD669" s="585"/>
      <c r="CE669" s="585"/>
      <c r="CF669" s="586"/>
    </row>
    <row r="670" spans="1:84" s="583" customFormat="1" ht="23.1" customHeight="1">
      <c r="A670" s="584"/>
      <c r="B670" s="585"/>
      <c r="C670" s="585"/>
      <c r="D670" s="585"/>
      <c r="E670" s="585"/>
      <c r="F670" s="585"/>
      <c r="G670" s="585"/>
      <c r="H670" s="585"/>
      <c r="I670" s="585"/>
      <c r="J670" s="585"/>
      <c r="K670" s="585"/>
      <c r="L670" s="585"/>
      <c r="M670" s="585"/>
      <c r="N670" s="585"/>
      <c r="O670" s="585"/>
      <c r="P670" s="574"/>
      <c r="Q670" s="574"/>
      <c r="R670" s="574"/>
      <c r="S670" s="574"/>
      <c r="T670" s="574"/>
      <c r="U670" s="574"/>
      <c r="V670" s="574"/>
      <c r="W670" s="574"/>
      <c r="X670" s="574"/>
      <c r="Y670" s="574"/>
      <c r="Z670" s="574"/>
      <c r="AA670" s="574"/>
      <c r="AB670" s="574"/>
      <c r="AC670" s="574"/>
      <c r="AD670" s="574"/>
      <c r="AE670" s="574"/>
      <c r="AF670" s="574"/>
      <c r="AG670" s="574"/>
      <c r="AH670" s="574"/>
      <c r="AI670" s="574"/>
      <c r="AJ670" s="574"/>
      <c r="AK670" s="574"/>
      <c r="AL670" s="574"/>
      <c r="AM670" s="574"/>
      <c r="AN670" s="574"/>
      <c r="AO670" s="574"/>
      <c r="AP670" s="574"/>
      <c r="AQ670" s="574"/>
      <c r="AR670" s="574"/>
      <c r="AS670" s="574"/>
      <c r="AT670" s="574"/>
      <c r="AU670" s="574"/>
      <c r="AV670" s="574"/>
      <c r="AW670" s="574"/>
      <c r="AX670" s="574"/>
      <c r="AY670" s="574"/>
      <c r="AZ670" s="574"/>
      <c r="BA670" s="574"/>
      <c r="BB670" s="574"/>
      <c r="BC670" s="574"/>
      <c r="BD670" s="574"/>
      <c r="BE670" s="574"/>
      <c r="BF670" s="574"/>
      <c r="BG670" s="585"/>
      <c r="BH670" s="585"/>
      <c r="BI670" s="585"/>
      <c r="BJ670" s="585"/>
      <c r="BK670" s="585"/>
      <c r="BL670" s="585"/>
      <c r="BM670" s="585"/>
      <c r="BN670" s="585"/>
      <c r="BO670" s="585"/>
      <c r="BP670" s="1431"/>
      <c r="BQ670" s="1431"/>
      <c r="BR670" s="585"/>
      <c r="BS670" s="585"/>
      <c r="BT670" s="1432"/>
      <c r="BU670" s="1432"/>
      <c r="BV670" s="1432"/>
      <c r="BW670" s="1432"/>
      <c r="BX670" s="1432"/>
      <c r="BY670" s="1432"/>
      <c r="BZ670" s="1432"/>
      <c r="CA670" s="1432"/>
      <c r="CB670" s="1432"/>
      <c r="CC670" s="1432"/>
      <c r="CD670" s="585"/>
      <c r="CE670" s="585"/>
      <c r="CF670" s="586"/>
    </row>
    <row r="671" spans="1:84" s="583" customFormat="1" ht="23.1" customHeight="1">
      <c r="A671" s="584"/>
      <c r="B671" s="585"/>
      <c r="C671" s="585"/>
      <c r="D671" s="585"/>
      <c r="E671" s="585"/>
      <c r="F671" s="585"/>
      <c r="G671" s="585"/>
      <c r="H671" s="585"/>
      <c r="I671" s="585"/>
      <c r="J671" s="585"/>
      <c r="K671" s="585"/>
      <c r="L671" s="585"/>
      <c r="M671" s="585"/>
      <c r="N671" s="585"/>
      <c r="O671" s="585"/>
      <c r="P671" s="585"/>
      <c r="Q671" s="585"/>
      <c r="R671" s="585"/>
      <c r="S671" s="585"/>
      <c r="T671" s="585"/>
      <c r="U671" s="585"/>
      <c r="V671" s="585"/>
      <c r="W671" s="585"/>
      <c r="X671" s="585"/>
      <c r="Y671" s="585"/>
      <c r="Z671" s="585"/>
      <c r="AA671" s="585"/>
      <c r="AB671" s="585"/>
      <c r="AC671" s="585"/>
      <c r="AD671" s="574"/>
      <c r="AE671" s="574"/>
      <c r="AF671" s="574"/>
      <c r="AG671" s="574"/>
      <c r="AH671" s="574"/>
      <c r="AI671" s="574"/>
      <c r="AJ671" s="574"/>
      <c r="AK671" s="574"/>
      <c r="AL671" s="574"/>
      <c r="AM671" s="574"/>
      <c r="AN671" s="574"/>
      <c r="AO671" s="574"/>
      <c r="AP671" s="574"/>
      <c r="AQ671" s="574"/>
      <c r="AR671" s="574"/>
      <c r="AS671" s="585"/>
      <c r="AT671" s="590"/>
      <c r="AU671" s="590"/>
      <c r="AV671" s="585"/>
      <c r="AW671" s="585"/>
      <c r="AX671" s="585"/>
      <c r="AY671" s="585"/>
      <c r="AZ671" s="585"/>
      <c r="BA671" s="585"/>
      <c r="BB671" s="585"/>
      <c r="BC671" s="585"/>
      <c r="BD671" s="585"/>
      <c r="BE671" s="585"/>
      <c r="BF671" s="585"/>
      <c r="BG671" s="585"/>
      <c r="BH671" s="585"/>
      <c r="BI671" s="585"/>
      <c r="BJ671" s="585"/>
      <c r="BK671" s="585"/>
      <c r="BL671" s="585"/>
      <c r="BM671" s="585"/>
      <c r="BN671" s="585"/>
      <c r="BO671" s="585"/>
      <c r="BP671" s="1431" t="s">
        <v>41</v>
      </c>
      <c r="BQ671" s="1431"/>
      <c r="BR671" s="585"/>
      <c r="BS671" s="585"/>
      <c r="BT671" s="1434">
        <f>BT669+BT670</f>
        <v>59020</v>
      </c>
      <c r="BU671" s="1434"/>
      <c r="BV671" s="1434"/>
      <c r="BW671" s="1434"/>
      <c r="BX671" s="1434"/>
      <c r="BY671" s="1434"/>
      <c r="BZ671" s="1434"/>
      <c r="CA671" s="1434"/>
      <c r="CB671" s="1434"/>
      <c r="CC671" s="1434"/>
      <c r="CD671" s="585"/>
      <c r="CE671" s="585"/>
      <c r="CF671" s="586"/>
    </row>
    <row r="672" spans="1:84" s="583" customFormat="1" ht="23.1" customHeight="1">
      <c r="A672" s="592"/>
      <c r="B672" s="593" t="s">
        <v>1110</v>
      </c>
      <c r="C672" s="593"/>
      <c r="D672" s="593"/>
      <c r="E672" s="593"/>
      <c r="F672" s="593"/>
      <c r="G672" s="593"/>
      <c r="H672" s="593"/>
      <c r="I672" s="593"/>
      <c r="J672" s="593"/>
      <c r="K672" s="593"/>
      <c r="L672" s="593"/>
      <c r="M672" s="593"/>
      <c r="N672" s="593"/>
      <c r="O672" s="593"/>
      <c r="P672" s="593"/>
      <c r="Q672" s="593"/>
      <c r="R672" s="593"/>
      <c r="S672" s="593"/>
      <c r="T672" s="593"/>
      <c r="U672" s="593"/>
      <c r="V672" s="593"/>
      <c r="W672" s="593"/>
      <c r="X672" s="593"/>
      <c r="Y672" s="593"/>
      <c r="Z672" s="593"/>
      <c r="AA672" s="593"/>
      <c r="AB672" s="593"/>
      <c r="AC672" s="593"/>
      <c r="AD672" s="593"/>
      <c r="AE672" s="593"/>
      <c r="AF672" s="593"/>
      <c r="AG672" s="593"/>
      <c r="AH672" s="593"/>
      <c r="AI672" s="593"/>
      <c r="AJ672" s="593"/>
      <c r="AK672" s="593"/>
      <c r="AL672" s="593"/>
      <c r="AM672" s="593"/>
      <c r="AN672" s="593"/>
      <c r="AO672" s="593"/>
      <c r="AP672" s="593"/>
      <c r="AQ672" s="593"/>
      <c r="AR672" s="593"/>
      <c r="AS672" s="593"/>
      <c r="AT672" s="593"/>
      <c r="AU672" s="593"/>
      <c r="AV672" s="593"/>
      <c r="AW672" s="593"/>
      <c r="AX672" s="593"/>
      <c r="AY672" s="593"/>
      <c r="AZ672" s="593"/>
      <c r="BA672" s="593"/>
      <c r="BB672" s="593"/>
      <c r="BC672" s="593"/>
      <c r="BD672" s="593"/>
      <c r="BE672" s="593"/>
      <c r="BF672" s="593"/>
      <c r="BG672" s="593"/>
      <c r="BH672" s="593"/>
      <c r="BI672" s="593"/>
      <c r="BJ672" s="593"/>
      <c r="BK672" s="593"/>
      <c r="BL672" s="593"/>
      <c r="BM672" s="593"/>
      <c r="BN672" s="593"/>
      <c r="BO672" s="593"/>
      <c r="BP672" s="593"/>
      <c r="BQ672" s="593"/>
      <c r="BR672" s="593"/>
      <c r="BS672" s="593"/>
      <c r="BT672" s="593"/>
      <c r="BU672" s="593"/>
      <c r="BV672" s="593"/>
      <c r="BW672" s="593"/>
      <c r="BX672" s="593"/>
      <c r="BY672" s="593"/>
      <c r="BZ672" s="593"/>
      <c r="CA672" s="593"/>
      <c r="CB672" s="593"/>
      <c r="CC672" s="593"/>
      <c r="CD672" s="593"/>
      <c r="CE672" s="593"/>
      <c r="CF672" s="595"/>
    </row>
    <row r="673" spans="1:84" s="583" customFormat="1" ht="23.1" customHeight="1">
      <c r="A673" s="584"/>
      <c r="B673" s="585"/>
      <c r="C673" s="585"/>
      <c r="D673" s="596" t="s">
        <v>1094</v>
      </c>
      <c r="E673" s="585"/>
      <c r="F673" s="585"/>
      <c r="G673" s="585"/>
      <c r="H673" s="585"/>
      <c r="I673" s="585"/>
      <c r="J673" s="585"/>
      <c r="K673" s="585"/>
      <c r="L673" s="585"/>
      <c r="M673" s="585"/>
      <c r="N673" s="585"/>
      <c r="O673" s="585"/>
      <c r="P673" s="585"/>
      <c r="Q673" s="585"/>
      <c r="R673" s="585"/>
      <c r="S673" s="585"/>
      <c r="T673" s="585"/>
      <c r="U673" s="585"/>
      <c r="V673" s="585"/>
      <c r="W673" s="585"/>
      <c r="X673" s="585"/>
      <c r="Y673" s="585"/>
      <c r="Z673" s="585"/>
      <c r="AA673" s="585"/>
      <c r="AB673" s="585"/>
      <c r="AC673" s="585"/>
      <c r="AD673" s="585"/>
      <c r="AE673" s="585"/>
      <c r="AF673" s="585"/>
      <c r="AG673" s="585"/>
      <c r="AH673" s="585"/>
      <c r="AI673" s="585"/>
      <c r="AJ673" s="585"/>
      <c r="AK673" s="585"/>
      <c r="AL673" s="585"/>
      <c r="AM673" s="585"/>
      <c r="AN673" s="585"/>
      <c r="AO673" s="585"/>
      <c r="AP673" s="585"/>
      <c r="AQ673" s="585"/>
      <c r="AR673" s="422"/>
      <c r="AS673" s="1435" t="e">
        <f>HLOOKUP(D673,$CN$1:$CO$3,3,0)</f>
        <v>#REF!</v>
      </c>
      <c r="AT673" s="1435"/>
      <c r="AU673" s="1435"/>
      <c r="AV673" s="1435"/>
      <c r="AW673" s="1435"/>
      <c r="AX673" s="1435"/>
      <c r="AY673" s="1435"/>
      <c r="AZ673" s="1435"/>
      <c r="BA673" s="1435"/>
      <c r="BB673" s="1435"/>
      <c r="BC673" s="585"/>
      <c r="BD673" s="1431" t="s">
        <v>446</v>
      </c>
      <c r="BE673" s="1431"/>
      <c r="BF673" s="585"/>
      <c r="BG673" s="1431">
        <v>15.9</v>
      </c>
      <c r="BH673" s="1431"/>
      <c r="BI673" s="1431"/>
      <c r="BJ673" s="1431"/>
      <c r="BK673" s="1431"/>
      <c r="BL673" s="585" t="s">
        <v>1111</v>
      </c>
      <c r="BM673" s="585"/>
      <c r="BN673" s="585"/>
      <c r="BO673" s="585"/>
      <c r="BP673" s="1431" t="s">
        <v>41</v>
      </c>
      <c r="BQ673" s="1431"/>
      <c r="BR673" s="585"/>
      <c r="BS673" s="585"/>
      <c r="BT673" s="1432" t="e">
        <f>INT(AS673*BG673)</f>
        <v>#REF!</v>
      </c>
      <c r="BU673" s="1432"/>
      <c r="BV673" s="1432"/>
      <c r="BW673" s="1432"/>
      <c r="BX673" s="1432"/>
      <c r="BY673" s="1432"/>
      <c r="BZ673" s="1432"/>
      <c r="CA673" s="1432"/>
      <c r="CB673" s="1432"/>
      <c r="CC673" s="1432"/>
      <c r="CD673" s="585"/>
      <c r="CE673" s="585"/>
      <c r="CF673" s="586"/>
    </row>
    <row r="674" spans="1:84" s="583" customFormat="1" ht="23.1" customHeight="1">
      <c r="A674" s="584"/>
      <c r="B674" s="585"/>
      <c r="C674" s="585"/>
      <c r="D674" s="591" t="str">
        <f>"잡재료 (주연료의 "&amp;BG674&amp;"%) :"</f>
        <v>잡재료 (주연료의 38%) :</v>
      </c>
      <c r="E674" s="585"/>
      <c r="F674" s="585"/>
      <c r="G674" s="585"/>
      <c r="H674" s="585"/>
      <c r="I674" s="585"/>
      <c r="J674" s="585"/>
      <c r="K674" s="585"/>
      <c r="L674" s="585"/>
      <c r="M674" s="585"/>
      <c r="N674" s="585"/>
      <c r="O674" s="585"/>
      <c r="P674" s="585"/>
      <c r="Q674" s="585"/>
      <c r="R674" s="585"/>
      <c r="S674" s="585"/>
      <c r="T674" s="585"/>
      <c r="U674" s="585"/>
      <c r="V674" s="585"/>
      <c r="W674" s="585"/>
      <c r="X674" s="585"/>
      <c r="Y674" s="585"/>
      <c r="Z674" s="585"/>
      <c r="AA674" s="585"/>
      <c r="AB674" s="585"/>
      <c r="AC674" s="585"/>
      <c r="AD674" s="585"/>
      <c r="AE674" s="585"/>
      <c r="AF674" s="585"/>
      <c r="AG674" s="585"/>
      <c r="AH674" s="585"/>
      <c r="AI674" s="585"/>
      <c r="AJ674" s="585"/>
      <c r="AK674" s="585"/>
      <c r="AL674" s="585"/>
      <c r="AM674" s="585"/>
      <c r="AN674" s="585"/>
      <c r="AO674" s="585"/>
      <c r="AP674" s="585"/>
      <c r="AQ674" s="585"/>
      <c r="AR674" s="422" t="e">
        <f>BT673</f>
        <v>#REF!</v>
      </c>
      <c r="AS674" s="1430" t="e">
        <f>BT673</f>
        <v>#REF!</v>
      </c>
      <c r="AT674" s="1430"/>
      <c r="AU674" s="1430"/>
      <c r="AV674" s="1430"/>
      <c r="AW674" s="1430"/>
      <c r="AX674" s="1430"/>
      <c r="AY674" s="1430"/>
      <c r="AZ674" s="1430"/>
      <c r="BA674" s="1430"/>
      <c r="BB674" s="1430"/>
      <c r="BC674" s="585"/>
      <c r="BD674" s="1431" t="s">
        <v>446</v>
      </c>
      <c r="BE674" s="1431"/>
      <c r="BF674" s="585"/>
      <c r="BG674" s="1431">
        <v>38</v>
      </c>
      <c r="BH674" s="1431"/>
      <c r="BI674" s="1431"/>
      <c r="BJ674" s="1431"/>
      <c r="BK674" s="1431"/>
      <c r="BL674" s="585" t="s">
        <v>1112</v>
      </c>
      <c r="BM674" s="585"/>
      <c r="BN674" s="585"/>
      <c r="BO674" s="585"/>
      <c r="BP674" s="1431" t="s">
        <v>41</v>
      </c>
      <c r="BQ674" s="1431"/>
      <c r="BR674" s="585"/>
      <c r="BS674" s="585"/>
      <c r="BT674" s="1432" t="e">
        <f>INT(AS674*BG674/100)</f>
        <v>#REF!</v>
      </c>
      <c r="BU674" s="1432"/>
      <c r="BV674" s="1432"/>
      <c r="BW674" s="1432"/>
      <c r="BX674" s="1432"/>
      <c r="BY674" s="1432"/>
      <c r="BZ674" s="1432"/>
      <c r="CA674" s="1432"/>
      <c r="CB674" s="1432"/>
      <c r="CC674" s="1432"/>
      <c r="CD674" s="585"/>
      <c r="CE674" s="585"/>
      <c r="CF674" s="586"/>
    </row>
    <row r="675" spans="1:84" s="583" customFormat="1" ht="23.1" customHeight="1" thickBot="1">
      <c r="A675" s="584"/>
      <c r="B675" s="585"/>
      <c r="C675" s="585"/>
      <c r="D675" s="585"/>
      <c r="E675" s="585"/>
      <c r="F675" s="585"/>
      <c r="G675" s="585"/>
      <c r="H675" s="585"/>
      <c r="I675" s="585"/>
      <c r="J675" s="585"/>
      <c r="K675" s="585"/>
      <c r="L675" s="585"/>
      <c r="M675" s="585"/>
      <c r="N675" s="585"/>
      <c r="O675" s="585"/>
      <c r="P675" s="585"/>
      <c r="Q675" s="585"/>
      <c r="R675" s="585"/>
      <c r="S675" s="585"/>
      <c r="T675" s="585"/>
      <c r="U675" s="585"/>
      <c r="V675" s="585"/>
      <c r="W675" s="585"/>
      <c r="X675" s="585"/>
      <c r="Y675" s="585"/>
      <c r="Z675" s="585"/>
      <c r="AA675" s="585"/>
      <c r="AB675" s="585"/>
      <c r="AC675" s="585"/>
      <c r="AD675" s="585"/>
      <c r="AE675" s="585"/>
      <c r="AF675" s="585"/>
      <c r="AG675" s="585"/>
      <c r="AH675" s="585"/>
      <c r="AI675" s="585"/>
      <c r="AJ675" s="585"/>
      <c r="AK675" s="585"/>
      <c r="AL675" s="585"/>
      <c r="AM675" s="585"/>
      <c r="AN675" s="585"/>
      <c r="AO675" s="585"/>
      <c r="AP675" s="585"/>
      <c r="AQ675" s="585"/>
      <c r="AR675" s="585"/>
      <c r="AS675" s="585"/>
      <c r="AT675" s="585"/>
      <c r="AU675" s="585"/>
      <c r="AV675" s="585"/>
      <c r="AW675" s="585"/>
      <c r="AX675" s="585"/>
      <c r="AY675" s="585"/>
      <c r="AZ675" s="585"/>
      <c r="BA675" s="585"/>
      <c r="BB675" s="585"/>
      <c r="BC675" s="585"/>
      <c r="BD675" s="585"/>
      <c r="BE675" s="585"/>
      <c r="BF675" s="585"/>
      <c r="BG675" s="585"/>
      <c r="BH675" s="585"/>
      <c r="BI675" s="585"/>
      <c r="BJ675" s="585"/>
      <c r="BK675" s="585"/>
      <c r="BL675" s="585"/>
      <c r="BM675" s="585"/>
      <c r="BN675" s="585"/>
      <c r="BO675" s="585"/>
      <c r="BP675" s="1431" t="s">
        <v>41</v>
      </c>
      <c r="BQ675" s="1431"/>
      <c r="BR675" s="585"/>
      <c r="BS675" s="585"/>
      <c r="BT675" s="1433" t="e">
        <f>BT673+BT674</f>
        <v>#REF!</v>
      </c>
      <c r="BU675" s="1433"/>
      <c r="BV675" s="1433"/>
      <c r="BW675" s="1433"/>
      <c r="BX675" s="1433"/>
      <c r="BY675" s="1433"/>
      <c r="BZ675" s="1433"/>
      <c r="CA675" s="1433"/>
      <c r="CB675" s="1433"/>
      <c r="CC675" s="1433"/>
      <c r="CD675" s="585"/>
      <c r="CE675" s="585"/>
      <c r="CF675" s="586"/>
    </row>
    <row r="676" spans="1:84" s="583" customFormat="1" ht="23.1" customHeight="1" thickBot="1">
      <c r="A676" s="597"/>
      <c r="B676" s="598" t="s">
        <v>1113</v>
      </c>
      <c r="C676" s="598"/>
      <c r="D676" s="598"/>
      <c r="E676" s="598"/>
      <c r="F676" s="598"/>
      <c r="G676" s="598"/>
      <c r="H676" s="598"/>
      <c r="I676" s="598"/>
      <c r="J676" s="598"/>
      <c r="K676" s="598"/>
      <c r="L676" s="598"/>
      <c r="M676" s="598"/>
      <c r="N676" s="598"/>
      <c r="O676" s="598"/>
      <c r="P676" s="598"/>
      <c r="Q676" s="598"/>
      <c r="R676" s="598"/>
      <c r="S676" s="598"/>
      <c r="T676" s="598"/>
      <c r="U676" s="598"/>
      <c r="V676" s="598"/>
      <c r="W676" s="598"/>
      <c r="X676" s="598"/>
      <c r="Y676" s="598"/>
      <c r="Z676" s="598"/>
      <c r="AA676" s="598"/>
      <c r="AB676" s="598"/>
      <c r="AC676" s="598"/>
      <c r="AD676" s="598"/>
      <c r="AE676" s="598"/>
      <c r="AF676" s="598"/>
      <c r="AG676" s="598"/>
      <c r="AH676" s="598"/>
      <c r="AI676" s="598"/>
      <c r="AJ676" s="598"/>
      <c r="AK676" s="598"/>
      <c r="AL676" s="598"/>
      <c r="AM676" s="598"/>
      <c r="AN676" s="598"/>
      <c r="AO676" s="598"/>
      <c r="AP676" s="598"/>
      <c r="AQ676" s="598"/>
      <c r="AR676" s="598"/>
      <c r="AS676" s="598"/>
      <c r="AT676" s="598"/>
      <c r="AU676" s="598"/>
      <c r="AV676" s="598"/>
      <c r="AW676" s="598"/>
      <c r="AX676" s="598"/>
      <c r="AY676" s="598"/>
      <c r="AZ676" s="598"/>
      <c r="BA676" s="598"/>
      <c r="BB676" s="598"/>
      <c r="BC676" s="598"/>
      <c r="BD676" s="598"/>
      <c r="BE676" s="598"/>
      <c r="BF676" s="598"/>
      <c r="BG676" s="598"/>
      <c r="BH676" s="598"/>
      <c r="BI676" s="598"/>
      <c r="BJ676" s="598"/>
      <c r="BK676" s="598"/>
      <c r="BL676" s="598"/>
      <c r="BM676" s="598"/>
      <c r="BN676" s="598"/>
      <c r="BO676" s="598"/>
      <c r="BP676" s="598"/>
      <c r="BQ676" s="598"/>
      <c r="BR676" s="598"/>
      <c r="BS676" s="598"/>
      <c r="BT676" s="1429" t="e">
        <f>BT667+BT671+BT675</f>
        <v>#REF!</v>
      </c>
      <c r="BU676" s="1429"/>
      <c r="BV676" s="1429"/>
      <c r="BW676" s="1429"/>
      <c r="BX676" s="1429"/>
      <c r="BY676" s="1429"/>
      <c r="BZ676" s="1429"/>
      <c r="CA676" s="1429"/>
      <c r="CB676" s="1429"/>
      <c r="CC676" s="1429"/>
      <c r="CD676" s="598"/>
      <c r="CE676" s="598"/>
      <c r="CF676" s="599"/>
    </row>
    <row r="677" spans="1:84" s="583" customFormat="1" ht="9.9499999999999993" customHeight="1">
      <c r="A677" s="574"/>
      <c r="B677" s="574"/>
      <c r="C677" s="574"/>
      <c r="D677" s="574"/>
      <c r="E677" s="574"/>
      <c r="F677" s="574"/>
      <c r="G677" s="574"/>
      <c r="H677" s="574"/>
      <c r="I677" s="574"/>
      <c r="J677" s="574"/>
      <c r="K677" s="574"/>
      <c r="L677" s="574"/>
      <c r="M677" s="574"/>
      <c r="N677" s="574"/>
      <c r="O677" s="574"/>
      <c r="P677" s="574"/>
      <c r="Q677" s="574"/>
      <c r="R677" s="574"/>
      <c r="S677" s="574"/>
      <c r="T677" s="574"/>
      <c r="U677" s="574"/>
      <c r="V677" s="574"/>
      <c r="W677" s="574"/>
      <c r="X677" s="574"/>
      <c r="Y677" s="574"/>
      <c r="Z677" s="574"/>
      <c r="AA677" s="574"/>
      <c r="AB677" s="574"/>
      <c r="AC677" s="574"/>
      <c r="AD677" s="574"/>
      <c r="AE677" s="574"/>
      <c r="AF677" s="574"/>
      <c r="AG677" s="574"/>
      <c r="AH677" s="574"/>
      <c r="AI677" s="574"/>
      <c r="AJ677" s="574"/>
      <c r="AK677" s="574"/>
      <c r="AL677" s="574"/>
      <c r="AM677" s="574"/>
      <c r="AN677" s="574"/>
      <c r="AO677" s="574"/>
      <c r="AP677" s="574"/>
      <c r="AQ677" s="574"/>
      <c r="AR677" s="574"/>
      <c r="AS677" s="574"/>
      <c r="AT677" s="574"/>
      <c r="AU677" s="574"/>
      <c r="AV677" s="574"/>
      <c r="AW677" s="574"/>
      <c r="AX677" s="574"/>
      <c r="AY677" s="574"/>
      <c r="AZ677" s="574"/>
      <c r="BA677" s="574"/>
      <c r="BB677" s="574"/>
      <c r="BC677" s="574"/>
      <c r="BD677" s="574"/>
      <c r="BE677" s="574"/>
      <c r="BF677" s="574"/>
      <c r="BG677" s="574"/>
      <c r="BH677" s="574"/>
      <c r="BI677" s="574"/>
      <c r="BJ677" s="574"/>
      <c r="BK677" s="574"/>
      <c r="BL677" s="574"/>
      <c r="BM677" s="574"/>
      <c r="BN677" s="574"/>
      <c r="BO677" s="574"/>
      <c r="BP677" s="574"/>
      <c r="BQ677" s="574"/>
      <c r="BR677" s="574"/>
      <c r="BS677" s="574"/>
      <c r="BT677" s="574"/>
      <c r="BU677" s="574"/>
      <c r="BV677" s="574"/>
      <c r="BW677" s="574"/>
      <c r="BX677" s="574"/>
      <c r="BY677" s="574"/>
      <c r="BZ677" s="574"/>
      <c r="CA677" s="574"/>
      <c r="CB677" s="574"/>
      <c r="CC677" s="574"/>
      <c r="CD677" s="574"/>
      <c r="CE677" s="574"/>
      <c r="CF677" s="574"/>
    </row>
    <row r="678" spans="1:84" s="583" customFormat="1" ht="23.1" customHeight="1" thickBot="1">
      <c r="A678" s="1446" t="s">
        <v>1095</v>
      </c>
      <c r="B678" s="1446"/>
      <c r="C678" s="1446"/>
      <c r="D678" s="1446"/>
      <c r="E678" s="1446"/>
      <c r="F678" s="1446"/>
      <c r="G678" s="1447">
        <f>G663+1</f>
        <v>46</v>
      </c>
      <c r="H678" s="1447"/>
      <c r="I678" s="1447"/>
      <c r="J678" s="1448" t="s">
        <v>1096</v>
      </c>
      <c r="K678" s="1448"/>
      <c r="L678" s="574"/>
      <c r="M678" s="574"/>
      <c r="N678" s="574"/>
      <c r="O678" s="574"/>
      <c r="P678" s="574"/>
      <c r="Q678" s="574"/>
      <c r="R678" s="574"/>
      <c r="S678" s="574"/>
      <c r="T678" s="574"/>
      <c r="U678" s="574"/>
      <c r="V678" s="574"/>
      <c r="W678" s="574"/>
      <c r="X678" s="574"/>
      <c r="Y678" s="574"/>
      <c r="Z678" s="574"/>
      <c r="AA678" s="574"/>
      <c r="AB678" s="574"/>
      <c r="AC678" s="574"/>
      <c r="AD678" s="574"/>
      <c r="AE678" s="574"/>
      <c r="AF678" s="574"/>
      <c r="AG678" s="574"/>
      <c r="AH678" s="574"/>
      <c r="AI678" s="574"/>
      <c r="AJ678" s="574"/>
      <c r="AK678" s="574"/>
      <c r="AL678" s="574"/>
      <c r="AM678" s="574"/>
      <c r="AN678" s="574"/>
      <c r="AO678" s="574"/>
      <c r="AP678" s="574"/>
      <c r="AQ678" s="574"/>
      <c r="AR678" s="574"/>
      <c r="AS678" s="574"/>
      <c r="AT678" s="574"/>
      <c r="AU678" s="574"/>
      <c r="AV678" s="574"/>
      <c r="AW678" s="574"/>
      <c r="AX678" s="574"/>
      <c r="AY678" s="574"/>
      <c r="AZ678" s="574"/>
      <c r="BA678" s="574"/>
      <c r="BB678" s="574"/>
      <c r="BC678" s="574"/>
      <c r="BD678" s="574"/>
      <c r="BE678" s="574"/>
      <c r="BF678" s="574"/>
      <c r="BG678" s="574"/>
      <c r="BH678" s="574"/>
      <c r="BI678" s="574"/>
      <c r="BJ678" s="574"/>
      <c r="BK678" s="574"/>
      <c r="BL678" s="574"/>
      <c r="BM678" s="574"/>
      <c r="BN678" s="574"/>
      <c r="BO678" s="574"/>
      <c r="BP678" s="574"/>
      <c r="BQ678" s="574"/>
      <c r="BR678" s="574"/>
      <c r="BS678" s="574"/>
      <c r="BT678" s="574"/>
      <c r="BU678" s="574"/>
      <c r="BV678" s="574"/>
      <c r="BW678" s="574"/>
      <c r="BX678" s="574"/>
      <c r="BY678" s="574"/>
      <c r="BZ678" s="574"/>
      <c r="CA678" s="574"/>
      <c r="CB678" s="574"/>
      <c r="CC678" s="574"/>
      <c r="CD678" s="574"/>
      <c r="CE678" s="574"/>
      <c r="CF678" s="574"/>
    </row>
    <row r="679" spans="1:84" s="583" customFormat="1" ht="23.1" customHeight="1" thickBot="1">
      <c r="A679" s="1483" t="s">
        <v>1097</v>
      </c>
      <c r="B679" s="1484"/>
      <c r="C679" s="1484"/>
      <c r="D679" s="1484"/>
      <c r="E679" s="1484"/>
      <c r="F679" s="1484"/>
      <c r="G679" s="1484"/>
      <c r="H679" s="1484"/>
      <c r="I679" s="581" t="s">
        <v>1165</v>
      </c>
      <c r="J679" s="581"/>
      <c r="K679" s="581"/>
      <c r="L679" s="581"/>
      <c r="M679" s="581"/>
      <c r="N679" s="581"/>
      <c r="O679" s="581"/>
      <c r="P679" s="581"/>
      <c r="Q679" s="581"/>
      <c r="R679" s="581"/>
      <c r="S679" s="581"/>
      <c r="T679" s="581"/>
      <c r="U679" s="581"/>
      <c r="V679" s="581"/>
      <c r="W679" s="581"/>
      <c r="X679" s="581"/>
      <c r="Y679" s="581"/>
      <c r="Z679" s="581"/>
      <c r="AA679" s="581"/>
      <c r="AB679" s="581"/>
      <c r="AC679" s="581"/>
      <c r="AD679" s="581"/>
      <c r="AE679" s="581"/>
      <c r="AF679" s="581"/>
      <c r="AG679" s="581"/>
      <c r="AH679" s="581"/>
      <c r="AI679" s="581"/>
      <c r="AJ679" s="1484" t="s">
        <v>1099</v>
      </c>
      <c r="AK679" s="1484"/>
      <c r="AL679" s="1484"/>
      <c r="AM679" s="1484"/>
      <c r="AN679" s="1484"/>
      <c r="AO679" s="1484"/>
      <c r="AP679" s="1484"/>
      <c r="AQ679" s="581" t="s">
        <v>1166</v>
      </c>
      <c r="AR679" s="581"/>
      <c r="AS679" s="581"/>
      <c r="AT679" s="581"/>
      <c r="AU679" s="581"/>
      <c r="AV679" s="581"/>
      <c r="AW679" s="581"/>
      <c r="AX679" s="581"/>
      <c r="AY679" s="581"/>
      <c r="AZ679" s="581"/>
      <c r="BA679" s="581"/>
      <c r="BB679" s="581"/>
      <c r="BC679" s="581"/>
      <c r="BD679" s="581"/>
      <c r="BE679" s="581"/>
      <c r="BF679" s="581"/>
      <c r="BG679" s="581"/>
      <c r="BH679" s="581"/>
      <c r="BI679" s="581"/>
      <c r="BJ679" s="581"/>
      <c r="BK679" s="581"/>
      <c r="BL679" s="581"/>
      <c r="BM679" s="581"/>
      <c r="BN679" s="581"/>
      <c r="BO679" s="581"/>
      <c r="BP679" s="581"/>
      <c r="BQ679" s="581"/>
      <c r="BR679" s="581"/>
      <c r="BS679" s="581"/>
      <c r="BT679" s="581" t="s">
        <v>1167</v>
      </c>
      <c r="BU679" s="581"/>
      <c r="BV679" s="581"/>
      <c r="BW679" s="581"/>
      <c r="BX679" s="581"/>
      <c r="BY679" s="581"/>
      <c r="BZ679" s="581"/>
      <c r="CA679" s="581"/>
      <c r="CB679" s="581"/>
      <c r="CC679" s="581"/>
      <c r="CD679" s="581"/>
      <c r="CE679" s="581"/>
      <c r="CF679" s="582"/>
    </row>
    <row r="680" spans="1:84" s="583" customFormat="1" ht="23.1" customHeight="1">
      <c r="A680" s="584"/>
      <c r="B680" s="585" t="s">
        <v>1102</v>
      </c>
      <c r="C680" s="585"/>
      <c r="D680" s="585"/>
      <c r="E680" s="585"/>
      <c r="F680" s="585"/>
      <c r="G680" s="585"/>
      <c r="H680" s="585"/>
      <c r="I680" s="585"/>
      <c r="J680" s="585"/>
      <c r="K680" s="585"/>
      <c r="L680" s="585"/>
      <c r="M680" s="585"/>
      <c r="N680" s="585"/>
      <c r="O680" s="585"/>
      <c r="P680" s="585"/>
      <c r="Q680" s="585"/>
      <c r="R680" s="585"/>
      <c r="S680" s="585"/>
      <c r="T680" s="585"/>
      <c r="U680" s="585"/>
      <c r="V680" s="585"/>
      <c r="W680" s="585"/>
      <c r="X680" s="585"/>
      <c r="Y680" s="585"/>
      <c r="Z680" s="585"/>
      <c r="AA680" s="585"/>
      <c r="AB680" s="585"/>
      <c r="AC680" s="585"/>
      <c r="AD680" s="585"/>
      <c r="AE680" s="585"/>
      <c r="AF680" s="585"/>
      <c r="AG680" s="585"/>
      <c r="AH680" s="585"/>
      <c r="AI680" s="585"/>
      <c r="AJ680" s="585"/>
      <c r="AK680" s="585"/>
      <c r="AL680" s="585"/>
      <c r="AM680" s="585"/>
      <c r="AN680" s="585"/>
      <c r="AO680" s="585"/>
      <c r="AP680" s="585"/>
      <c r="AQ680" s="585"/>
      <c r="AR680" s="585"/>
      <c r="AS680" s="585"/>
      <c r="AT680" s="585"/>
      <c r="AU680" s="585"/>
      <c r="AV680" s="585"/>
      <c r="AW680" s="585"/>
      <c r="AX680" s="585"/>
      <c r="AY680" s="585"/>
      <c r="AZ680" s="585"/>
      <c r="BA680" s="585"/>
      <c r="BB680" s="585"/>
      <c r="BC680" s="585"/>
      <c r="BD680" s="585"/>
      <c r="BE680" s="585"/>
      <c r="BF680" s="585"/>
      <c r="BG680" s="585"/>
      <c r="BH680" s="585"/>
      <c r="BI680" s="585"/>
      <c r="BJ680" s="585"/>
      <c r="BK680" s="585"/>
      <c r="BL680" s="585"/>
      <c r="BM680" s="585"/>
      <c r="BN680" s="585"/>
      <c r="BO680" s="585"/>
      <c r="BP680" s="585"/>
      <c r="BQ680" s="585"/>
      <c r="BR680" s="585"/>
      <c r="BS680" s="585"/>
      <c r="BT680" s="585"/>
      <c r="BU680" s="585"/>
      <c r="BV680" s="585"/>
      <c r="BW680" s="585"/>
      <c r="BX680" s="585"/>
      <c r="BY680" s="585"/>
      <c r="BZ680" s="585"/>
      <c r="CA680" s="585"/>
      <c r="CB680" s="585"/>
      <c r="CC680" s="585"/>
      <c r="CD680" s="585"/>
      <c r="CE680" s="585"/>
      <c r="CF680" s="586"/>
    </row>
    <row r="681" spans="1:84" s="583" customFormat="1" ht="23.1" customHeight="1">
      <c r="A681" s="587"/>
      <c r="B681" s="574"/>
      <c r="C681" s="574"/>
      <c r="D681" s="405"/>
      <c r="E681" s="574"/>
      <c r="F681" s="422"/>
      <c r="G681" s="422"/>
      <c r="H681" s="422"/>
      <c r="I681" s="422"/>
      <c r="J681" s="422"/>
      <c r="K681" s="422"/>
      <c r="L681" s="422"/>
      <c r="M681" s="422"/>
      <c r="N681" s="574"/>
      <c r="O681" s="574"/>
      <c r="P681" s="574"/>
      <c r="Q681" s="574"/>
      <c r="R681" s="574"/>
      <c r="S681" s="588"/>
      <c r="T681" s="588"/>
      <c r="U681" s="588"/>
      <c r="V681" s="588"/>
      <c r="W681" s="588"/>
      <c r="X681" s="588"/>
      <c r="Y681" s="588"/>
      <c r="Z681" s="588"/>
      <c r="AA681" s="574"/>
      <c r="AB681" s="588"/>
      <c r="AC681" s="585"/>
      <c r="AD681" s="585"/>
      <c r="AE681" s="600"/>
      <c r="AF681" s="600"/>
      <c r="AG681" s="600"/>
      <c r="AH681" s="600"/>
      <c r="AI681" s="600"/>
      <c r="AJ681" s="600"/>
      <c r="AK681" s="600"/>
      <c r="AL681" s="600"/>
      <c r="AM681" s="585"/>
      <c r="AN681" s="585"/>
      <c r="AO681" s="574"/>
      <c r="AP681" s="430"/>
      <c r="AQ681" s="430"/>
      <c r="AR681" s="430"/>
      <c r="AS681" s="430"/>
      <c r="AT681" s="430"/>
      <c r="AU681" s="430"/>
      <c r="AV681" s="430"/>
      <c r="AW681" s="430"/>
      <c r="AX681" s="430"/>
      <c r="AY681" s="430"/>
      <c r="AZ681" s="430"/>
      <c r="BA681" s="430"/>
      <c r="BB681" s="430"/>
      <c r="BC681" s="430"/>
      <c r="BD681" s="574"/>
      <c r="BE681" s="574"/>
      <c r="BF681" s="574"/>
      <c r="BG681" s="574"/>
      <c r="BH681" s="574"/>
      <c r="BI681" s="574"/>
      <c r="BJ681" s="574"/>
      <c r="BK681" s="574"/>
      <c r="BL681" s="574"/>
      <c r="BM681" s="574"/>
      <c r="BN681" s="574"/>
      <c r="BO681" s="574"/>
      <c r="BP681" s="574"/>
      <c r="BQ681" s="574"/>
      <c r="BR681" s="574"/>
      <c r="BS681" s="574"/>
      <c r="BT681" s="574"/>
      <c r="BU681" s="574"/>
      <c r="BV681" s="574"/>
      <c r="BW681" s="574"/>
      <c r="BX681" s="574"/>
      <c r="BY681" s="574"/>
      <c r="BZ681" s="574"/>
      <c r="CA681" s="574"/>
      <c r="CB681" s="574"/>
      <c r="CC681" s="574"/>
      <c r="CD681" s="574"/>
      <c r="CE681" s="574"/>
      <c r="CF681" s="589"/>
    </row>
    <row r="682" spans="1:84" s="583" customFormat="1" ht="23.1" customHeight="1">
      <c r="A682" s="584"/>
      <c r="B682" s="585"/>
      <c r="C682" s="585"/>
      <c r="D682" s="585"/>
      <c r="E682" s="585"/>
      <c r="F682" s="585"/>
      <c r="G682" s="585"/>
      <c r="H682" s="585"/>
      <c r="I682" s="585"/>
      <c r="J682" s="585"/>
      <c r="K682" s="585"/>
      <c r="L682" s="585"/>
      <c r="M682" s="585"/>
      <c r="N682" s="585"/>
      <c r="O682" s="585"/>
      <c r="P682" s="585"/>
      <c r="Q682" s="585"/>
      <c r="R682" s="585"/>
      <c r="S682" s="585"/>
      <c r="T682" s="585"/>
      <c r="U682" s="585"/>
      <c r="V682" s="590"/>
      <c r="W682" s="590"/>
      <c r="X682" s="590"/>
      <c r="Y682" s="590"/>
      <c r="Z682" s="590"/>
      <c r="AA682" s="590"/>
      <c r="AB682" s="590"/>
      <c r="AC682" s="590"/>
      <c r="AD682" s="574"/>
      <c r="AE682" s="1440">
        <v>1634000</v>
      </c>
      <c r="AF682" s="1440"/>
      <c r="AG682" s="1440"/>
      <c r="AH682" s="1440"/>
      <c r="AI682" s="1440"/>
      <c r="AJ682" s="1440"/>
      <c r="AK682" s="1440"/>
      <c r="AL682" s="1440"/>
      <c r="AM682" s="1440"/>
      <c r="AN682" s="1440"/>
      <c r="AO682" s="1440"/>
      <c r="AP682" s="1440"/>
      <c r="AQ682" s="1440"/>
      <c r="AR682" s="1440"/>
      <c r="AS682" s="1440"/>
      <c r="AT682" s="1431" t="s">
        <v>446</v>
      </c>
      <c r="AU682" s="1431"/>
      <c r="AV682" s="1441" t="s">
        <v>1103</v>
      </c>
      <c r="AW682" s="1441"/>
      <c r="AX682" s="1442">
        <v>2684</v>
      </c>
      <c r="AY682" s="1442"/>
      <c r="AZ682" s="1442"/>
      <c r="BA682" s="1442"/>
      <c r="BB682" s="1442"/>
      <c r="BC682" s="1442"/>
      <c r="BD682" s="585"/>
      <c r="BE682" s="1431" t="s">
        <v>446</v>
      </c>
      <c r="BF682" s="1431"/>
      <c r="BG682" s="585"/>
      <c r="BH682" s="591" t="s">
        <v>1104</v>
      </c>
      <c r="BI682" s="585"/>
      <c r="BJ682" s="585"/>
      <c r="BK682" s="585"/>
      <c r="BL682" s="1431" t="s">
        <v>1105</v>
      </c>
      <c r="BM682" s="1431"/>
      <c r="BN682" s="1431"/>
      <c r="BO682" s="585"/>
      <c r="BP682" s="1431" t="s">
        <v>41</v>
      </c>
      <c r="BQ682" s="1431"/>
      <c r="BR682" s="585"/>
      <c r="BS682" s="585"/>
      <c r="BT682" s="1437">
        <f>INT(AE682*AX682*10^-7)</f>
        <v>438</v>
      </c>
      <c r="BU682" s="1437"/>
      <c r="BV682" s="1437"/>
      <c r="BW682" s="1437"/>
      <c r="BX682" s="1437"/>
      <c r="BY682" s="1437"/>
      <c r="BZ682" s="1437"/>
      <c r="CA682" s="1437"/>
      <c r="CB682" s="1437"/>
      <c r="CC682" s="1437"/>
      <c r="CD682" s="585"/>
      <c r="CE682" s="585"/>
      <c r="CF682" s="586"/>
    </row>
    <row r="683" spans="1:84" s="583" customFormat="1" ht="23.1" customHeight="1">
      <c r="A683" s="592"/>
      <c r="B683" s="593" t="s">
        <v>1106</v>
      </c>
      <c r="C683" s="593"/>
      <c r="D683" s="593"/>
      <c r="E683" s="593"/>
      <c r="F683" s="593"/>
      <c r="G683" s="593"/>
      <c r="H683" s="593"/>
      <c r="I683" s="593"/>
      <c r="J683" s="593"/>
      <c r="K683" s="593"/>
      <c r="L683" s="593"/>
      <c r="M683" s="593"/>
      <c r="N683" s="593"/>
      <c r="O683" s="593"/>
      <c r="P683" s="593"/>
      <c r="Q683" s="593"/>
      <c r="R683" s="593"/>
      <c r="S683" s="593"/>
      <c r="T683" s="593"/>
      <c r="U683" s="593"/>
      <c r="V683" s="593"/>
      <c r="W683" s="593"/>
      <c r="X683" s="593"/>
      <c r="Y683" s="593"/>
      <c r="Z683" s="593"/>
      <c r="AA683" s="593"/>
      <c r="AB683" s="593"/>
      <c r="AC683" s="593"/>
      <c r="AD683" s="593"/>
      <c r="AE683" s="593"/>
      <c r="AF683" s="593"/>
      <c r="AG683" s="593"/>
      <c r="AH683" s="593"/>
      <c r="AI683" s="593"/>
      <c r="AJ683" s="593"/>
      <c r="AK683" s="593"/>
      <c r="AL683" s="593"/>
      <c r="AM683" s="593"/>
      <c r="AN683" s="593"/>
      <c r="AO683" s="593"/>
      <c r="AP683" s="593"/>
      <c r="AQ683" s="593"/>
      <c r="AR683" s="593"/>
      <c r="AS683" s="593"/>
      <c r="AT683" s="593"/>
      <c r="AU683" s="593"/>
      <c r="AV683" s="593"/>
      <c r="AW683" s="593"/>
      <c r="AX683" s="593"/>
      <c r="AY683" s="593"/>
      <c r="AZ683" s="593"/>
      <c r="BA683" s="593"/>
      <c r="BB683" s="593"/>
      <c r="BC683" s="593"/>
      <c r="BD683" s="593"/>
      <c r="BE683" s="593"/>
      <c r="BF683" s="593"/>
      <c r="BG683" s="593"/>
      <c r="BH683" s="593"/>
      <c r="BI683" s="593"/>
      <c r="BJ683" s="593"/>
      <c r="BK683" s="593"/>
      <c r="BL683" s="593"/>
      <c r="BM683" s="593"/>
      <c r="BN683" s="593"/>
      <c r="BO683" s="593"/>
      <c r="BP683" s="593"/>
      <c r="BQ683" s="593"/>
      <c r="BR683" s="593"/>
      <c r="BS683" s="593"/>
      <c r="BT683" s="594"/>
      <c r="BU683" s="594"/>
      <c r="BV683" s="594"/>
      <c r="BW683" s="594"/>
      <c r="BX683" s="594"/>
      <c r="BY683" s="594"/>
      <c r="BZ683" s="594"/>
      <c r="CA683" s="594"/>
      <c r="CB683" s="594"/>
      <c r="CC683" s="594"/>
      <c r="CD683" s="593"/>
      <c r="CE683" s="593"/>
      <c r="CF683" s="595"/>
    </row>
    <row r="684" spans="1:84" s="583" customFormat="1" ht="23.1" customHeight="1">
      <c r="A684" s="584"/>
      <c r="B684" s="585"/>
      <c r="C684" s="585"/>
      <c r="D684" s="585"/>
      <c r="E684" s="585"/>
      <c r="F684" s="585"/>
      <c r="G684" s="585"/>
      <c r="H684" s="585"/>
      <c r="I684" s="585"/>
      <c r="J684" s="585"/>
      <c r="K684" s="585"/>
      <c r="L684" s="585"/>
      <c r="M684" s="585"/>
      <c r="N684" s="585"/>
      <c r="O684" s="585"/>
      <c r="P684" s="585"/>
      <c r="Q684" s="585"/>
      <c r="R684" s="585"/>
      <c r="S684" s="585"/>
      <c r="T684" s="574"/>
      <c r="U684" s="574"/>
      <c r="V684" s="1430"/>
      <c r="W684" s="1430"/>
      <c r="X684" s="1430"/>
      <c r="Y684" s="1430"/>
      <c r="Z684" s="1430"/>
      <c r="AA684" s="1430"/>
      <c r="AB684" s="1430"/>
      <c r="AC684" s="1430"/>
      <c r="AD684" s="1430"/>
      <c r="AE684" s="1430"/>
      <c r="AF684" s="1431"/>
      <c r="AG684" s="1431"/>
      <c r="AH684" s="574"/>
      <c r="AI684" s="1436"/>
      <c r="AJ684" s="1436"/>
      <c r="AK684" s="1436"/>
      <c r="AL684" s="1436"/>
      <c r="AM684" s="585"/>
      <c r="AN684" s="1431"/>
      <c r="AO684" s="1431"/>
      <c r="AP684" s="585"/>
      <c r="AQ684" s="1436"/>
      <c r="AR684" s="1436"/>
      <c r="AS684" s="1436"/>
      <c r="AT684" s="1436"/>
      <c r="AU684" s="1436"/>
      <c r="AV684" s="422"/>
      <c r="AW684" s="1431"/>
      <c r="AX684" s="1431"/>
      <c r="AY684" s="440"/>
      <c r="AZ684" s="1436"/>
      <c r="BA684" s="1436"/>
      <c r="BB684" s="1436"/>
      <c r="BC684" s="1436"/>
      <c r="BD684" s="1436"/>
      <c r="BE684" s="585"/>
      <c r="BF684" s="1431"/>
      <c r="BG684" s="1431"/>
      <c r="BH684" s="1431"/>
      <c r="BI684" s="1431"/>
      <c r="BJ684" s="1431"/>
      <c r="BK684" s="585"/>
      <c r="BL684" s="585"/>
      <c r="BM684" s="585"/>
      <c r="BN684" s="585"/>
      <c r="BO684" s="585"/>
      <c r="BP684" s="1431"/>
      <c r="BQ684" s="1431"/>
      <c r="BR684" s="585"/>
      <c r="BS684" s="585"/>
      <c r="BT684" s="1432"/>
      <c r="BU684" s="1432"/>
      <c r="BV684" s="1432"/>
      <c r="BW684" s="1432"/>
      <c r="BX684" s="1432"/>
      <c r="BY684" s="1432"/>
      <c r="BZ684" s="1432"/>
      <c r="CA684" s="1432"/>
      <c r="CB684" s="1432"/>
      <c r="CC684" s="1432"/>
      <c r="CD684" s="585"/>
      <c r="CE684" s="585"/>
      <c r="CF684" s="586"/>
    </row>
    <row r="685" spans="1:84" s="583" customFormat="1" ht="23.1" customHeight="1">
      <c r="A685" s="584"/>
      <c r="B685" s="585"/>
      <c r="C685" s="585"/>
      <c r="D685" s="585"/>
      <c r="E685" s="585"/>
      <c r="F685" s="585"/>
      <c r="G685" s="585"/>
      <c r="H685" s="585"/>
      <c r="I685" s="585"/>
      <c r="J685" s="585"/>
      <c r="K685" s="585"/>
      <c r="L685" s="585"/>
      <c r="M685" s="585"/>
      <c r="N685" s="585"/>
      <c r="O685" s="585"/>
      <c r="P685" s="574"/>
      <c r="Q685" s="574"/>
      <c r="R685" s="574"/>
      <c r="S685" s="574"/>
      <c r="T685" s="574"/>
      <c r="U685" s="574"/>
      <c r="V685" s="574"/>
      <c r="W685" s="574"/>
      <c r="X685" s="574"/>
      <c r="Y685" s="574"/>
      <c r="Z685" s="574"/>
      <c r="AA685" s="574"/>
      <c r="AB685" s="574"/>
      <c r="AC685" s="574"/>
      <c r="AD685" s="574"/>
      <c r="AE685" s="574"/>
      <c r="AF685" s="574"/>
      <c r="AG685" s="574"/>
      <c r="AH685" s="574"/>
      <c r="AI685" s="574"/>
      <c r="AJ685" s="574"/>
      <c r="AK685" s="574"/>
      <c r="AL685" s="574"/>
      <c r="AM685" s="574"/>
      <c r="AN685" s="574"/>
      <c r="AO685" s="574"/>
      <c r="AP685" s="574"/>
      <c r="AQ685" s="574"/>
      <c r="AR685" s="574"/>
      <c r="AS685" s="574"/>
      <c r="AT685" s="574"/>
      <c r="AU685" s="574"/>
      <c r="AV685" s="574"/>
      <c r="AW685" s="574"/>
      <c r="AX685" s="574"/>
      <c r="AY685" s="574"/>
      <c r="AZ685" s="574"/>
      <c r="BA685" s="574"/>
      <c r="BB685" s="574"/>
      <c r="BC685" s="574"/>
      <c r="BD685" s="574"/>
      <c r="BE685" s="574"/>
      <c r="BF685" s="574"/>
      <c r="BG685" s="585"/>
      <c r="BH685" s="585"/>
      <c r="BI685" s="585"/>
      <c r="BJ685" s="585"/>
      <c r="BK685" s="585"/>
      <c r="BL685" s="585"/>
      <c r="BM685" s="585"/>
      <c r="BN685" s="585"/>
      <c r="BO685" s="585"/>
      <c r="BP685" s="1431"/>
      <c r="BQ685" s="1431"/>
      <c r="BR685" s="585"/>
      <c r="BS685" s="585"/>
      <c r="BT685" s="1432"/>
      <c r="BU685" s="1432"/>
      <c r="BV685" s="1432"/>
      <c r="BW685" s="1432"/>
      <c r="BX685" s="1432"/>
      <c r="BY685" s="1432"/>
      <c r="BZ685" s="1432"/>
      <c r="CA685" s="1432"/>
      <c r="CB685" s="1432"/>
      <c r="CC685" s="1432"/>
      <c r="CD685" s="585"/>
      <c r="CE685" s="585"/>
      <c r="CF685" s="586"/>
    </row>
    <row r="686" spans="1:84" s="583" customFormat="1" ht="23.1" customHeight="1">
      <c r="A686" s="584"/>
      <c r="B686" s="585"/>
      <c r="C686" s="585"/>
      <c r="D686" s="585"/>
      <c r="E686" s="585"/>
      <c r="F686" s="585"/>
      <c r="G686" s="585"/>
      <c r="H686" s="585"/>
      <c r="I686" s="585"/>
      <c r="J686" s="585"/>
      <c r="K686" s="585"/>
      <c r="L686" s="585"/>
      <c r="M686" s="585"/>
      <c r="N686" s="585"/>
      <c r="O686" s="585"/>
      <c r="P686" s="585"/>
      <c r="Q686" s="585"/>
      <c r="R686" s="585"/>
      <c r="S686" s="585"/>
      <c r="T686" s="585"/>
      <c r="U686" s="585"/>
      <c r="V686" s="585"/>
      <c r="W686" s="585"/>
      <c r="X686" s="585"/>
      <c r="Y686" s="585"/>
      <c r="Z686" s="585"/>
      <c r="AA686" s="585"/>
      <c r="AB686" s="585"/>
      <c r="AC686" s="585"/>
      <c r="AD686" s="574"/>
      <c r="AE686" s="574"/>
      <c r="AF686" s="574"/>
      <c r="AG686" s="574"/>
      <c r="AH686" s="574"/>
      <c r="AI686" s="574"/>
      <c r="AJ686" s="574"/>
      <c r="AK686" s="574"/>
      <c r="AL686" s="574"/>
      <c r="AM686" s="574"/>
      <c r="AN686" s="574"/>
      <c r="AO686" s="574"/>
      <c r="AP686" s="574"/>
      <c r="AQ686" s="574"/>
      <c r="AR686" s="574"/>
      <c r="AS686" s="585"/>
      <c r="AT686" s="590"/>
      <c r="AU686" s="590"/>
      <c r="AV686" s="585"/>
      <c r="AW686" s="585"/>
      <c r="AX686" s="585"/>
      <c r="AY686" s="585"/>
      <c r="AZ686" s="585"/>
      <c r="BA686" s="585"/>
      <c r="BB686" s="585"/>
      <c r="BC686" s="585"/>
      <c r="BD686" s="585"/>
      <c r="BE686" s="585"/>
      <c r="BF686" s="585"/>
      <c r="BG686" s="585"/>
      <c r="BH686" s="585"/>
      <c r="BI686" s="585"/>
      <c r="BJ686" s="585"/>
      <c r="BK686" s="585"/>
      <c r="BL686" s="585"/>
      <c r="BM686" s="585"/>
      <c r="BN686" s="585"/>
      <c r="BO686" s="585"/>
      <c r="BP686" s="1431" t="s">
        <v>41</v>
      </c>
      <c r="BQ686" s="1431"/>
      <c r="BR686" s="585"/>
      <c r="BS686" s="585"/>
      <c r="BT686" s="1434">
        <f>BT684+BT685</f>
        <v>0</v>
      </c>
      <c r="BU686" s="1434"/>
      <c r="BV686" s="1434"/>
      <c r="BW686" s="1434"/>
      <c r="BX686" s="1434"/>
      <c r="BY686" s="1434"/>
      <c r="BZ686" s="1434"/>
      <c r="CA686" s="1434"/>
      <c r="CB686" s="1434"/>
      <c r="CC686" s="1434"/>
      <c r="CD686" s="585"/>
      <c r="CE686" s="585"/>
      <c r="CF686" s="586"/>
    </row>
    <row r="687" spans="1:84" s="583" customFormat="1" ht="23.1" customHeight="1">
      <c r="A687" s="592"/>
      <c r="B687" s="593" t="s">
        <v>1110</v>
      </c>
      <c r="C687" s="593"/>
      <c r="D687" s="593"/>
      <c r="E687" s="593"/>
      <c r="F687" s="593"/>
      <c r="G687" s="593"/>
      <c r="H687" s="593"/>
      <c r="I687" s="593"/>
      <c r="J687" s="593"/>
      <c r="K687" s="593"/>
      <c r="L687" s="593"/>
      <c r="M687" s="593"/>
      <c r="N687" s="593"/>
      <c r="O687" s="593"/>
      <c r="P687" s="593"/>
      <c r="Q687" s="593"/>
      <c r="R687" s="593"/>
      <c r="S687" s="593"/>
      <c r="T687" s="593"/>
      <c r="U687" s="593"/>
      <c r="V687" s="593"/>
      <c r="W687" s="593"/>
      <c r="X687" s="593"/>
      <c r="Y687" s="593"/>
      <c r="Z687" s="593"/>
      <c r="AA687" s="593"/>
      <c r="AB687" s="593"/>
      <c r="AC687" s="593"/>
      <c r="AD687" s="593"/>
      <c r="AE687" s="593"/>
      <c r="AF687" s="593"/>
      <c r="AG687" s="593"/>
      <c r="AH687" s="593"/>
      <c r="AI687" s="593"/>
      <c r="AJ687" s="593"/>
      <c r="AK687" s="593"/>
      <c r="AL687" s="593"/>
      <c r="AM687" s="593"/>
      <c r="AN687" s="593"/>
      <c r="AO687" s="593"/>
      <c r="AP687" s="593"/>
      <c r="AQ687" s="593"/>
      <c r="AR687" s="593"/>
      <c r="AS687" s="593"/>
      <c r="AT687" s="593"/>
      <c r="AU687" s="593"/>
      <c r="AV687" s="593"/>
      <c r="AW687" s="593"/>
      <c r="AX687" s="593"/>
      <c r="AY687" s="593"/>
      <c r="AZ687" s="593"/>
      <c r="BA687" s="593"/>
      <c r="BB687" s="593"/>
      <c r="BC687" s="593"/>
      <c r="BD687" s="593"/>
      <c r="BE687" s="593"/>
      <c r="BF687" s="593"/>
      <c r="BG687" s="593"/>
      <c r="BH687" s="593"/>
      <c r="BI687" s="593"/>
      <c r="BJ687" s="593"/>
      <c r="BK687" s="593"/>
      <c r="BL687" s="593"/>
      <c r="BM687" s="593"/>
      <c r="BN687" s="593"/>
      <c r="BO687" s="593"/>
      <c r="BP687" s="593"/>
      <c r="BQ687" s="593"/>
      <c r="BR687" s="593"/>
      <c r="BS687" s="593"/>
      <c r="BT687" s="593"/>
      <c r="BU687" s="593"/>
      <c r="BV687" s="593"/>
      <c r="BW687" s="593"/>
      <c r="BX687" s="593"/>
      <c r="BY687" s="593"/>
      <c r="BZ687" s="593"/>
      <c r="CA687" s="593"/>
      <c r="CB687" s="593"/>
      <c r="CC687" s="593"/>
      <c r="CD687" s="593"/>
      <c r="CE687" s="593"/>
      <c r="CF687" s="595"/>
    </row>
    <row r="688" spans="1:84" s="583" customFormat="1" ht="23.1" customHeight="1">
      <c r="A688" s="584"/>
      <c r="B688" s="585"/>
      <c r="C688" s="585"/>
      <c r="D688" s="585"/>
      <c r="E688" s="585"/>
      <c r="F688" s="585"/>
      <c r="G688" s="585"/>
      <c r="H688" s="585"/>
      <c r="I688" s="585"/>
      <c r="J688" s="585"/>
      <c r="K688" s="585"/>
      <c r="L688" s="585"/>
      <c r="M688" s="585"/>
      <c r="N688" s="585"/>
      <c r="O688" s="585"/>
      <c r="P688" s="585"/>
      <c r="Q688" s="585"/>
      <c r="R688" s="585"/>
      <c r="S688" s="585"/>
      <c r="T688" s="585"/>
      <c r="U688" s="585"/>
      <c r="V688" s="585"/>
      <c r="W688" s="585"/>
      <c r="X688" s="585"/>
      <c r="Y688" s="585"/>
      <c r="Z688" s="585"/>
      <c r="AA688" s="585"/>
      <c r="AB688" s="585"/>
      <c r="AC688" s="585"/>
      <c r="AD688" s="585"/>
      <c r="AE688" s="585"/>
      <c r="AF688" s="585"/>
      <c r="AG688" s="585"/>
      <c r="AH688" s="585"/>
      <c r="AI688" s="585"/>
      <c r="AJ688" s="585"/>
      <c r="AK688" s="585"/>
      <c r="AL688" s="585"/>
      <c r="AM688" s="585"/>
      <c r="AN688" s="585"/>
      <c r="AO688" s="585"/>
      <c r="AP688" s="585"/>
      <c r="AQ688" s="585"/>
      <c r="AR688" s="422"/>
      <c r="AS688" s="604"/>
      <c r="AT688" s="604"/>
      <c r="AU688" s="604"/>
      <c r="AV688" s="604"/>
      <c r="AW688" s="604"/>
      <c r="AX688" s="604"/>
      <c r="AY688" s="604"/>
      <c r="AZ688" s="604"/>
      <c r="BA688" s="604"/>
      <c r="BB688" s="604"/>
      <c r="BC688" s="585"/>
      <c r="BD688" s="585"/>
      <c r="BE688" s="585"/>
      <c r="BF688" s="585"/>
      <c r="BG688" s="585"/>
      <c r="BH688" s="585"/>
      <c r="BI688" s="585"/>
      <c r="BJ688" s="585"/>
      <c r="BK688" s="585"/>
      <c r="BL688" s="585"/>
      <c r="BM688" s="585"/>
      <c r="BN688" s="585"/>
      <c r="BO688" s="585"/>
      <c r="BP688" s="1431"/>
      <c r="BQ688" s="1431"/>
      <c r="BR688" s="585"/>
      <c r="BS688" s="585"/>
      <c r="BT688" s="1432"/>
      <c r="BU688" s="1432"/>
      <c r="BV688" s="1432"/>
      <c r="BW688" s="1432"/>
      <c r="BX688" s="1432"/>
      <c r="BY688" s="1432"/>
      <c r="BZ688" s="1432"/>
      <c r="CA688" s="1432"/>
      <c r="CB688" s="1432"/>
      <c r="CC688" s="1432"/>
      <c r="CD688" s="585"/>
      <c r="CE688" s="585"/>
      <c r="CF688" s="586"/>
    </row>
    <row r="689" spans="1:84" s="583" customFormat="1" ht="23.1" customHeight="1">
      <c r="A689" s="584"/>
      <c r="B689" s="585"/>
      <c r="C689" s="585"/>
      <c r="D689" s="591"/>
      <c r="E689" s="585"/>
      <c r="F689" s="585"/>
      <c r="G689" s="585"/>
      <c r="H689" s="585"/>
      <c r="I689" s="585"/>
      <c r="J689" s="585"/>
      <c r="K689" s="585"/>
      <c r="L689" s="585"/>
      <c r="M689" s="585"/>
      <c r="N689" s="585"/>
      <c r="O689" s="585"/>
      <c r="P689" s="585"/>
      <c r="Q689" s="585"/>
      <c r="R689" s="585"/>
      <c r="S689" s="585"/>
      <c r="T689" s="585"/>
      <c r="U689" s="585"/>
      <c r="V689" s="585"/>
      <c r="W689" s="585"/>
      <c r="X689" s="585"/>
      <c r="Y689" s="585"/>
      <c r="Z689" s="585"/>
      <c r="AA689" s="585"/>
      <c r="AB689" s="585"/>
      <c r="AC689" s="585"/>
      <c r="AD689" s="585"/>
      <c r="AE689" s="585"/>
      <c r="AF689" s="585"/>
      <c r="AG689" s="585"/>
      <c r="AH689" s="585"/>
      <c r="AI689" s="585"/>
      <c r="AJ689" s="585"/>
      <c r="AK689" s="585"/>
      <c r="AL689" s="585"/>
      <c r="AM689" s="585"/>
      <c r="AN689" s="585"/>
      <c r="AO689" s="585"/>
      <c r="AP689" s="585"/>
      <c r="AQ689" s="585"/>
      <c r="AR689" s="422"/>
      <c r="AS689" s="604"/>
      <c r="AT689" s="604"/>
      <c r="AU689" s="604"/>
      <c r="AV689" s="604"/>
      <c r="AW689" s="604"/>
      <c r="AX689" s="604"/>
      <c r="AY689" s="604"/>
      <c r="AZ689" s="604"/>
      <c r="BA689" s="604"/>
      <c r="BB689" s="604"/>
      <c r="BC689" s="585"/>
      <c r="BD689" s="585"/>
      <c r="BE689" s="585"/>
      <c r="BF689" s="585"/>
      <c r="BG689" s="585"/>
      <c r="BH689" s="585"/>
      <c r="BI689" s="585"/>
      <c r="BJ689" s="585"/>
      <c r="BK689" s="585"/>
      <c r="BL689" s="585"/>
      <c r="BM689" s="585"/>
      <c r="BN689" s="585"/>
      <c r="BO689" s="585"/>
      <c r="BP689" s="1431"/>
      <c r="BQ689" s="1431"/>
      <c r="BR689" s="585"/>
      <c r="BS689" s="585"/>
      <c r="BT689" s="1432"/>
      <c r="BU689" s="1432"/>
      <c r="BV689" s="1432"/>
      <c r="BW689" s="1432"/>
      <c r="BX689" s="1432"/>
      <c r="BY689" s="1432"/>
      <c r="BZ689" s="1432"/>
      <c r="CA689" s="1432"/>
      <c r="CB689" s="1432"/>
      <c r="CC689" s="1432"/>
      <c r="CD689" s="585"/>
      <c r="CE689" s="585"/>
      <c r="CF689" s="586"/>
    </row>
    <row r="690" spans="1:84" s="583" customFormat="1" ht="23.1" customHeight="1" thickBot="1">
      <c r="A690" s="584"/>
      <c r="B690" s="585"/>
      <c r="C690" s="585"/>
      <c r="D690" s="585"/>
      <c r="E690" s="585"/>
      <c r="F690" s="585"/>
      <c r="G690" s="585"/>
      <c r="H690" s="585"/>
      <c r="I690" s="585"/>
      <c r="J690" s="585"/>
      <c r="K690" s="585"/>
      <c r="L690" s="585"/>
      <c r="M690" s="585"/>
      <c r="N690" s="585"/>
      <c r="O690" s="585"/>
      <c r="P690" s="585"/>
      <c r="Q690" s="585"/>
      <c r="R690" s="585"/>
      <c r="S690" s="585"/>
      <c r="T690" s="585"/>
      <c r="U690" s="585"/>
      <c r="V690" s="585"/>
      <c r="W690" s="585"/>
      <c r="X690" s="585"/>
      <c r="Y690" s="585"/>
      <c r="Z690" s="585"/>
      <c r="AA690" s="585"/>
      <c r="AB690" s="585"/>
      <c r="AC690" s="585"/>
      <c r="AD690" s="585"/>
      <c r="AE690" s="585"/>
      <c r="AF690" s="585"/>
      <c r="AG690" s="585"/>
      <c r="AH690" s="585"/>
      <c r="AI690" s="585"/>
      <c r="AJ690" s="585"/>
      <c r="AK690" s="585"/>
      <c r="AL690" s="585"/>
      <c r="AM690" s="585"/>
      <c r="AN690" s="585"/>
      <c r="AO690" s="585"/>
      <c r="AP690" s="585"/>
      <c r="AQ690" s="585"/>
      <c r="AR690" s="585"/>
      <c r="AS690" s="585"/>
      <c r="AT690" s="585"/>
      <c r="AU690" s="585"/>
      <c r="AV690" s="585"/>
      <c r="AW690" s="585"/>
      <c r="AX690" s="585"/>
      <c r="AY690" s="585"/>
      <c r="AZ690" s="585"/>
      <c r="BA690" s="585"/>
      <c r="BB690" s="585"/>
      <c r="BC690" s="585"/>
      <c r="BD690" s="585"/>
      <c r="BE690" s="585"/>
      <c r="BF690" s="585"/>
      <c r="BG690" s="585"/>
      <c r="BH690" s="585"/>
      <c r="BI690" s="585"/>
      <c r="BJ690" s="585"/>
      <c r="BK690" s="585"/>
      <c r="BL690" s="585"/>
      <c r="BM690" s="585"/>
      <c r="BN690" s="585"/>
      <c r="BO690" s="585"/>
      <c r="BP690" s="1431" t="s">
        <v>41</v>
      </c>
      <c r="BQ690" s="1431"/>
      <c r="BR690" s="585"/>
      <c r="BS690" s="585"/>
      <c r="BT690" s="1433">
        <f>BT688+BT689</f>
        <v>0</v>
      </c>
      <c r="BU690" s="1433"/>
      <c r="BV690" s="1433"/>
      <c r="BW690" s="1433"/>
      <c r="BX690" s="1433"/>
      <c r="BY690" s="1433"/>
      <c r="BZ690" s="1433"/>
      <c r="CA690" s="1433"/>
      <c r="CB690" s="1433"/>
      <c r="CC690" s="1433"/>
      <c r="CD690" s="585"/>
      <c r="CE690" s="585"/>
      <c r="CF690" s="586"/>
    </row>
    <row r="691" spans="1:84" s="583" customFormat="1" ht="23.1" customHeight="1" thickBot="1">
      <c r="A691" s="597"/>
      <c r="B691" s="598" t="s">
        <v>1113</v>
      </c>
      <c r="C691" s="598"/>
      <c r="D691" s="598"/>
      <c r="E691" s="598"/>
      <c r="F691" s="598"/>
      <c r="G691" s="598"/>
      <c r="H691" s="598"/>
      <c r="I691" s="598"/>
      <c r="J691" s="598"/>
      <c r="K691" s="598"/>
      <c r="L691" s="598"/>
      <c r="M691" s="598"/>
      <c r="N691" s="598"/>
      <c r="O691" s="598"/>
      <c r="P691" s="598"/>
      <c r="Q691" s="598"/>
      <c r="R691" s="598"/>
      <c r="S691" s="598"/>
      <c r="T691" s="598"/>
      <c r="U691" s="598"/>
      <c r="V691" s="598"/>
      <c r="W691" s="598"/>
      <c r="X691" s="598"/>
      <c r="Y691" s="598"/>
      <c r="Z691" s="598"/>
      <c r="AA691" s="598"/>
      <c r="AB691" s="598"/>
      <c r="AC691" s="598"/>
      <c r="AD691" s="598"/>
      <c r="AE691" s="598"/>
      <c r="AF691" s="598"/>
      <c r="AG691" s="598"/>
      <c r="AH691" s="598"/>
      <c r="AI691" s="598"/>
      <c r="AJ691" s="598"/>
      <c r="AK691" s="598"/>
      <c r="AL691" s="598"/>
      <c r="AM691" s="598"/>
      <c r="AN691" s="598"/>
      <c r="AO691" s="598"/>
      <c r="AP691" s="598"/>
      <c r="AQ691" s="598"/>
      <c r="AR691" s="598"/>
      <c r="AS691" s="598"/>
      <c r="AT691" s="598"/>
      <c r="AU691" s="598"/>
      <c r="AV691" s="598"/>
      <c r="AW691" s="598"/>
      <c r="AX691" s="598"/>
      <c r="AY691" s="598"/>
      <c r="AZ691" s="598"/>
      <c r="BA691" s="598"/>
      <c r="BB691" s="598"/>
      <c r="BC691" s="598"/>
      <c r="BD691" s="598"/>
      <c r="BE691" s="598"/>
      <c r="BF691" s="598"/>
      <c r="BG691" s="598"/>
      <c r="BH691" s="598"/>
      <c r="BI691" s="598"/>
      <c r="BJ691" s="598"/>
      <c r="BK691" s="598"/>
      <c r="BL691" s="598"/>
      <c r="BM691" s="598"/>
      <c r="BN691" s="598"/>
      <c r="BO691" s="598"/>
      <c r="BP691" s="598"/>
      <c r="BQ691" s="598"/>
      <c r="BR691" s="598"/>
      <c r="BS691" s="598"/>
      <c r="BT691" s="1429">
        <f>BT682+BT686+BT690</f>
        <v>438</v>
      </c>
      <c r="BU691" s="1429"/>
      <c r="BV691" s="1429"/>
      <c r="BW691" s="1429"/>
      <c r="BX691" s="1429"/>
      <c r="BY691" s="1429"/>
      <c r="BZ691" s="1429"/>
      <c r="CA691" s="1429"/>
      <c r="CB691" s="1429"/>
      <c r="CC691" s="1429"/>
      <c r="CD691" s="598"/>
      <c r="CE691" s="598"/>
      <c r="CF691" s="599"/>
    </row>
    <row r="692" spans="1:84" s="583" customFormat="1" ht="9.9499999999999993" customHeight="1">
      <c r="A692" s="574"/>
      <c r="B692" s="574"/>
      <c r="C692" s="574"/>
      <c r="D692" s="574"/>
      <c r="E692" s="574"/>
      <c r="F692" s="574"/>
      <c r="G692" s="574"/>
      <c r="H692" s="574"/>
      <c r="I692" s="574"/>
      <c r="J692" s="574"/>
      <c r="K692" s="574"/>
      <c r="L692" s="574"/>
      <c r="M692" s="574"/>
      <c r="N692" s="574"/>
      <c r="O692" s="574"/>
      <c r="P692" s="574"/>
      <c r="Q692" s="574"/>
      <c r="R692" s="574"/>
      <c r="S692" s="574"/>
      <c r="T692" s="574"/>
      <c r="U692" s="574"/>
      <c r="V692" s="574"/>
      <c r="W692" s="574"/>
      <c r="X692" s="574"/>
      <c r="Y692" s="574"/>
      <c r="Z692" s="574"/>
      <c r="AA692" s="574"/>
      <c r="AB692" s="574"/>
      <c r="AC692" s="574"/>
      <c r="AD692" s="574"/>
      <c r="AE692" s="574"/>
      <c r="AF692" s="574"/>
      <c r="AG692" s="574"/>
      <c r="AH692" s="574"/>
      <c r="AI692" s="574"/>
      <c r="AJ692" s="574"/>
      <c r="AK692" s="574"/>
      <c r="AL692" s="574"/>
      <c r="AM692" s="574"/>
      <c r="AN692" s="574"/>
      <c r="AO692" s="574"/>
      <c r="AP692" s="574"/>
      <c r="AQ692" s="574"/>
      <c r="AR692" s="574"/>
      <c r="AS692" s="574"/>
      <c r="AT692" s="574"/>
      <c r="AU692" s="574"/>
      <c r="AV692" s="574"/>
      <c r="AW692" s="574"/>
      <c r="AX692" s="574"/>
      <c r="AY692" s="574"/>
      <c r="AZ692" s="574"/>
      <c r="BA692" s="574"/>
      <c r="BB692" s="574"/>
      <c r="BC692" s="574"/>
      <c r="BD692" s="574"/>
      <c r="BE692" s="574"/>
      <c r="BF692" s="574"/>
      <c r="BG692" s="574"/>
      <c r="BH692" s="574"/>
      <c r="BI692" s="574"/>
      <c r="BJ692" s="574"/>
      <c r="BK692" s="574"/>
      <c r="BL692" s="574"/>
      <c r="BM692" s="574"/>
      <c r="BN692" s="574"/>
      <c r="BO692" s="574"/>
      <c r="BP692" s="574"/>
      <c r="BQ692" s="574"/>
      <c r="BR692" s="574"/>
      <c r="BS692" s="574"/>
      <c r="BT692" s="574"/>
      <c r="BU692" s="574"/>
      <c r="BV692" s="574"/>
      <c r="BW692" s="574"/>
      <c r="BX692" s="574"/>
      <c r="BY692" s="574"/>
      <c r="BZ692" s="574"/>
      <c r="CA692" s="574"/>
      <c r="CB692" s="574"/>
      <c r="CC692" s="574"/>
      <c r="CD692" s="574"/>
      <c r="CE692" s="574"/>
      <c r="CF692" s="574"/>
    </row>
    <row r="693" spans="1:84" s="583" customFormat="1" ht="23.1" customHeight="1" thickBot="1">
      <c r="A693" s="1446" t="s">
        <v>1095</v>
      </c>
      <c r="B693" s="1446"/>
      <c r="C693" s="1446"/>
      <c r="D693" s="1446"/>
      <c r="E693" s="1446"/>
      <c r="F693" s="1446"/>
      <c r="G693" s="1447">
        <f>G678+1</f>
        <v>47</v>
      </c>
      <c r="H693" s="1447"/>
      <c r="I693" s="1447"/>
      <c r="J693" s="1448" t="s">
        <v>1096</v>
      </c>
      <c r="K693" s="1448"/>
      <c r="L693" s="574"/>
      <c r="M693" s="574"/>
      <c r="N693" s="574"/>
      <c r="O693" s="574"/>
      <c r="P693" s="574"/>
      <c r="Q693" s="574"/>
      <c r="R693" s="574"/>
      <c r="S693" s="574"/>
      <c r="T693" s="574"/>
      <c r="U693" s="574"/>
      <c r="V693" s="574"/>
      <c r="W693" s="574"/>
      <c r="X693" s="574"/>
      <c r="Y693" s="574"/>
      <c r="Z693" s="574"/>
      <c r="AA693" s="574"/>
      <c r="AB693" s="574"/>
      <c r="AC693" s="574"/>
      <c r="AD693" s="574"/>
      <c r="AE693" s="574"/>
      <c r="AF693" s="574"/>
      <c r="AG693" s="574"/>
      <c r="AH693" s="574"/>
      <c r="AI693" s="574"/>
      <c r="AJ693" s="574"/>
      <c r="AK693" s="574"/>
      <c r="AL693" s="574"/>
      <c r="AM693" s="574"/>
      <c r="AN693" s="574"/>
      <c r="AO693" s="574"/>
      <c r="AP693" s="574"/>
      <c r="AQ693" s="574"/>
      <c r="AR693" s="574"/>
      <c r="AS693" s="574"/>
      <c r="AT693" s="574"/>
      <c r="AU693" s="574"/>
      <c r="AV693" s="574"/>
      <c r="AW693" s="574"/>
      <c r="AX693" s="574"/>
      <c r="AY693" s="574"/>
      <c r="AZ693" s="574"/>
      <c r="BA693" s="574"/>
      <c r="BB693" s="574"/>
      <c r="BC693" s="574"/>
      <c r="BD693" s="574"/>
      <c r="BE693" s="574"/>
      <c r="BF693" s="574"/>
      <c r="BG693" s="574"/>
      <c r="BH693" s="574"/>
      <c r="BI693" s="574"/>
      <c r="BJ693" s="574"/>
      <c r="BK693" s="574"/>
      <c r="BL693" s="574"/>
      <c r="BM693" s="574"/>
      <c r="BN693" s="574"/>
      <c r="BO693" s="574"/>
      <c r="BP693" s="574"/>
      <c r="BQ693" s="574"/>
      <c r="BR693" s="574"/>
      <c r="BS693" s="574"/>
      <c r="BT693" s="574"/>
      <c r="BU693" s="574"/>
      <c r="BV693" s="574"/>
      <c r="BW693" s="574"/>
      <c r="BX693" s="574"/>
      <c r="BY693" s="574"/>
      <c r="BZ693" s="574"/>
      <c r="CA693" s="574"/>
      <c r="CB693" s="574"/>
      <c r="CC693" s="574"/>
      <c r="CD693" s="574"/>
      <c r="CE693" s="574"/>
      <c r="CF693" s="574"/>
    </row>
    <row r="694" spans="1:84" s="583" customFormat="1" ht="23.1" customHeight="1" thickBot="1">
      <c r="A694" s="1483" t="s">
        <v>1097</v>
      </c>
      <c r="B694" s="1484"/>
      <c r="C694" s="1484"/>
      <c r="D694" s="1484"/>
      <c r="E694" s="1484"/>
      <c r="F694" s="1484"/>
      <c r="G694" s="1484"/>
      <c r="H694" s="1484"/>
      <c r="I694" s="581" t="s">
        <v>1165</v>
      </c>
      <c r="J694" s="581"/>
      <c r="K694" s="581"/>
      <c r="L694" s="581"/>
      <c r="M694" s="581"/>
      <c r="N694" s="581"/>
      <c r="O694" s="581"/>
      <c r="P694" s="581"/>
      <c r="Q694" s="581"/>
      <c r="R694" s="581"/>
      <c r="S694" s="581"/>
      <c r="T694" s="581"/>
      <c r="U694" s="581"/>
      <c r="V694" s="581"/>
      <c r="W694" s="581"/>
      <c r="X694" s="581"/>
      <c r="Y694" s="581"/>
      <c r="Z694" s="581"/>
      <c r="AA694" s="581"/>
      <c r="AB694" s="581"/>
      <c r="AC694" s="581"/>
      <c r="AD694" s="581"/>
      <c r="AE694" s="581"/>
      <c r="AF694" s="581"/>
      <c r="AG694" s="581"/>
      <c r="AH694" s="581"/>
      <c r="AI694" s="581"/>
      <c r="AJ694" s="1484" t="s">
        <v>1099</v>
      </c>
      <c r="AK694" s="1484"/>
      <c r="AL694" s="1484"/>
      <c r="AM694" s="1484"/>
      <c r="AN694" s="1484"/>
      <c r="AO694" s="1484"/>
      <c r="AP694" s="1484"/>
      <c r="AQ694" s="581" t="s">
        <v>1168</v>
      </c>
      <c r="AR694" s="581"/>
      <c r="AS694" s="581"/>
      <c r="AT694" s="581"/>
      <c r="AU694" s="581"/>
      <c r="AV694" s="581"/>
      <c r="AW694" s="581"/>
      <c r="AX694" s="581"/>
      <c r="AY694" s="581"/>
      <c r="AZ694" s="581"/>
      <c r="BA694" s="581"/>
      <c r="BB694" s="581"/>
      <c r="BC694" s="581"/>
      <c r="BD694" s="581"/>
      <c r="BE694" s="581"/>
      <c r="BF694" s="581"/>
      <c r="BG694" s="581"/>
      <c r="BH694" s="581"/>
      <c r="BI694" s="581"/>
      <c r="BJ694" s="581"/>
      <c r="BK694" s="581"/>
      <c r="BL694" s="581"/>
      <c r="BM694" s="581"/>
      <c r="BN694" s="581"/>
      <c r="BO694" s="581"/>
      <c r="BP694" s="581"/>
      <c r="BQ694" s="581"/>
      <c r="BR694" s="581"/>
      <c r="BS694" s="581"/>
      <c r="BT694" s="581" t="s">
        <v>1169</v>
      </c>
      <c r="BU694" s="581"/>
      <c r="BV694" s="581"/>
      <c r="BW694" s="581"/>
      <c r="BX694" s="581"/>
      <c r="BY694" s="581"/>
      <c r="BZ694" s="581"/>
      <c r="CA694" s="581"/>
      <c r="CB694" s="581"/>
      <c r="CC694" s="581"/>
      <c r="CD694" s="581"/>
      <c r="CE694" s="581"/>
      <c r="CF694" s="582"/>
    </row>
    <row r="695" spans="1:84" s="583" customFormat="1" ht="23.1" customHeight="1">
      <c r="A695" s="584"/>
      <c r="B695" s="585" t="s">
        <v>1102</v>
      </c>
      <c r="C695" s="585"/>
      <c r="D695" s="585"/>
      <c r="E695" s="585"/>
      <c r="F695" s="585"/>
      <c r="G695" s="585"/>
      <c r="H695" s="585"/>
      <c r="I695" s="585"/>
      <c r="J695" s="585"/>
      <c r="K695" s="585"/>
      <c r="L695" s="585"/>
      <c r="M695" s="585"/>
      <c r="N695" s="585"/>
      <c r="O695" s="585"/>
      <c r="P695" s="585"/>
      <c r="Q695" s="585"/>
      <c r="R695" s="585"/>
      <c r="S695" s="585"/>
      <c r="T695" s="585"/>
      <c r="U695" s="585"/>
      <c r="V695" s="585"/>
      <c r="W695" s="585"/>
      <c r="X695" s="585"/>
      <c r="Y695" s="585"/>
      <c r="Z695" s="585"/>
      <c r="AA695" s="585"/>
      <c r="AB695" s="585"/>
      <c r="AC695" s="585"/>
      <c r="AD695" s="585"/>
      <c r="AE695" s="585"/>
      <c r="AF695" s="585"/>
      <c r="AG695" s="585"/>
      <c r="AH695" s="585"/>
      <c r="AI695" s="585"/>
      <c r="AJ695" s="585"/>
      <c r="AK695" s="585"/>
      <c r="AL695" s="585"/>
      <c r="AM695" s="585"/>
      <c r="AN695" s="585"/>
      <c r="AO695" s="585"/>
      <c r="AP695" s="585"/>
      <c r="AQ695" s="585"/>
      <c r="AR695" s="585"/>
      <c r="AS695" s="585"/>
      <c r="AT695" s="585"/>
      <c r="AU695" s="585"/>
      <c r="AV695" s="585"/>
      <c r="AW695" s="585"/>
      <c r="AX695" s="585"/>
      <c r="AY695" s="585"/>
      <c r="AZ695" s="585"/>
      <c r="BA695" s="585"/>
      <c r="BB695" s="585"/>
      <c r="BC695" s="585"/>
      <c r="BD695" s="585"/>
      <c r="BE695" s="585"/>
      <c r="BF695" s="585"/>
      <c r="BG695" s="585"/>
      <c r="BH695" s="585"/>
      <c r="BI695" s="585"/>
      <c r="BJ695" s="585"/>
      <c r="BK695" s="585"/>
      <c r="BL695" s="585"/>
      <c r="BM695" s="585"/>
      <c r="BN695" s="585"/>
      <c r="BO695" s="585"/>
      <c r="BP695" s="585"/>
      <c r="BQ695" s="585"/>
      <c r="BR695" s="585"/>
      <c r="BS695" s="585"/>
      <c r="BT695" s="585"/>
      <c r="BU695" s="585"/>
      <c r="BV695" s="585"/>
      <c r="BW695" s="585"/>
      <c r="BX695" s="585"/>
      <c r="BY695" s="585"/>
      <c r="BZ695" s="585"/>
      <c r="CA695" s="585"/>
      <c r="CB695" s="585"/>
      <c r="CC695" s="585"/>
      <c r="CD695" s="585"/>
      <c r="CE695" s="585"/>
      <c r="CF695" s="586"/>
    </row>
    <row r="696" spans="1:84" s="583" customFormat="1" ht="23.1" customHeight="1">
      <c r="A696" s="587"/>
      <c r="B696" s="574"/>
      <c r="C696" s="574"/>
      <c r="D696" s="405"/>
      <c r="E696" s="574"/>
      <c r="F696" s="422"/>
      <c r="G696" s="422"/>
      <c r="H696" s="422"/>
      <c r="I696" s="422"/>
      <c r="J696" s="422"/>
      <c r="K696" s="422"/>
      <c r="L696" s="422"/>
      <c r="M696" s="422"/>
      <c r="N696" s="574"/>
      <c r="O696" s="574"/>
      <c r="P696" s="574"/>
      <c r="Q696" s="574"/>
      <c r="R696" s="574"/>
      <c r="S696" s="588"/>
      <c r="T696" s="588"/>
      <c r="U696" s="588"/>
      <c r="V696" s="588"/>
      <c r="W696" s="588"/>
      <c r="X696" s="588"/>
      <c r="Y696" s="588"/>
      <c r="Z696" s="588"/>
      <c r="AA696" s="574"/>
      <c r="AB696" s="588"/>
      <c r="AC696" s="585"/>
      <c r="AD696" s="585"/>
      <c r="AE696" s="600"/>
      <c r="AF696" s="600"/>
      <c r="AG696" s="600"/>
      <c r="AH696" s="600"/>
      <c r="AI696" s="600"/>
      <c r="AJ696" s="600"/>
      <c r="AK696" s="600"/>
      <c r="AL696" s="600"/>
      <c r="AM696" s="585"/>
      <c r="AN696" s="585"/>
      <c r="AO696" s="574"/>
      <c r="AP696" s="430"/>
      <c r="AQ696" s="430"/>
      <c r="AR696" s="430"/>
      <c r="AS696" s="430"/>
      <c r="AT696" s="430"/>
      <c r="AU696" s="430"/>
      <c r="AV696" s="430"/>
      <c r="AW696" s="430"/>
      <c r="AX696" s="430"/>
      <c r="AY696" s="430"/>
      <c r="AZ696" s="430"/>
      <c r="BA696" s="430"/>
      <c r="BB696" s="430"/>
      <c r="BC696" s="430"/>
      <c r="BD696" s="574"/>
      <c r="BE696" s="574"/>
      <c r="BF696" s="574"/>
      <c r="BG696" s="574"/>
      <c r="BH696" s="574"/>
      <c r="BI696" s="574"/>
      <c r="BJ696" s="574"/>
      <c r="BK696" s="574"/>
      <c r="BL696" s="574"/>
      <c r="BM696" s="574"/>
      <c r="BN696" s="574"/>
      <c r="BO696" s="574"/>
      <c r="BP696" s="574"/>
      <c r="BQ696" s="574"/>
      <c r="BR696" s="574"/>
      <c r="BS696" s="574"/>
      <c r="BT696" s="574"/>
      <c r="BU696" s="574"/>
      <c r="BV696" s="574"/>
      <c r="BW696" s="574"/>
      <c r="BX696" s="574"/>
      <c r="BY696" s="574"/>
      <c r="BZ696" s="574"/>
      <c r="CA696" s="574"/>
      <c r="CB696" s="574"/>
      <c r="CC696" s="574"/>
      <c r="CD696" s="574"/>
      <c r="CE696" s="574"/>
      <c r="CF696" s="589"/>
    </row>
    <row r="697" spans="1:84" s="583" customFormat="1" ht="23.1" customHeight="1">
      <c r="A697" s="584"/>
      <c r="B697" s="585"/>
      <c r="C697" s="585"/>
      <c r="D697" s="585"/>
      <c r="E697" s="585"/>
      <c r="F697" s="585"/>
      <c r="G697" s="585"/>
      <c r="H697" s="585"/>
      <c r="I697" s="585"/>
      <c r="J697" s="585"/>
      <c r="K697" s="585"/>
      <c r="L697" s="585"/>
      <c r="M697" s="585"/>
      <c r="N697" s="585"/>
      <c r="O697" s="585"/>
      <c r="P697" s="585"/>
      <c r="Q697" s="585"/>
      <c r="R697" s="585"/>
      <c r="S697" s="585"/>
      <c r="T697" s="585"/>
      <c r="U697" s="585"/>
      <c r="V697" s="590"/>
      <c r="W697" s="590"/>
      <c r="X697" s="590"/>
      <c r="Y697" s="590"/>
      <c r="Z697" s="590"/>
      <c r="AA697" s="590"/>
      <c r="AB697" s="590"/>
      <c r="AC697" s="590"/>
      <c r="AD697" s="574"/>
      <c r="AE697" s="1440">
        <v>1896000</v>
      </c>
      <c r="AF697" s="1440"/>
      <c r="AG697" s="1440"/>
      <c r="AH697" s="1440"/>
      <c r="AI697" s="1440"/>
      <c r="AJ697" s="1440"/>
      <c r="AK697" s="1440"/>
      <c r="AL697" s="1440"/>
      <c r="AM697" s="1440"/>
      <c r="AN697" s="1440"/>
      <c r="AO697" s="1440"/>
      <c r="AP697" s="1440"/>
      <c r="AQ697" s="1440"/>
      <c r="AR697" s="1440"/>
      <c r="AS697" s="1440"/>
      <c r="AT697" s="1431" t="s">
        <v>446</v>
      </c>
      <c r="AU697" s="1431"/>
      <c r="AV697" s="1441" t="s">
        <v>1103</v>
      </c>
      <c r="AW697" s="1441"/>
      <c r="AX697" s="1442">
        <v>2684</v>
      </c>
      <c r="AY697" s="1442"/>
      <c r="AZ697" s="1442"/>
      <c r="BA697" s="1442"/>
      <c r="BB697" s="1442"/>
      <c r="BC697" s="1442"/>
      <c r="BD697" s="585"/>
      <c r="BE697" s="1431" t="s">
        <v>446</v>
      </c>
      <c r="BF697" s="1431"/>
      <c r="BG697" s="585"/>
      <c r="BH697" s="591" t="s">
        <v>1104</v>
      </c>
      <c r="BI697" s="585"/>
      <c r="BJ697" s="585"/>
      <c r="BK697" s="585"/>
      <c r="BL697" s="1431" t="s">
        <v>1105</v>
      </c>
      <c r="BM697" s="1431"/>
      <c r="BN697" s="1431"/>
      <c r="BO697" s="585"/>
      <c r="BP697" s="1431" t="s">
        <v>41</v>
      </c>
      <c r="BQ697" s="1431"/>
      <c r="BR697" s="585"/>
      <c r="BS697" s="585"/>
      <c r="BT697" s="1437">
        <f>INT(AE697*AX697*10^-7)</f>
        <v>508</v>
      </c>
      <c r="BU697" s="1437"/>
      <c r="BV697" s="1437"/>
      <c r="BW697" s="1437"/>
      <c r="BX697" s="1437"/>
      <c r="BY697" s="1437"/>
      <c r="BZ697" s="1437"/>
      <c r="CA697" s="1437"/>
      <c r="CB697" s="1437"/>
      <c r="CC697" s="1437"/>
      <c r="CD697" s="585"/>
      <c r="CE697" s="585"/>
      <c r="CF697" s="586"/>
    </row>
    <row r="698" spans="1:84" s="583" customFormat="1" ht="23.1" customHeight="1">
      <c r="A698" s="592"/>
      <c r="B698" s="593" t="s">
        <v>1106</v>
      </c>
      <c r="C698" s="593"/>
      <c r="D698" s="593"/>
      <c r="E698" s="593"/>
      <c r="F698" s="593"/>
      <c r="G698" s="593"/>
      <c r="H698" s="593"/>
      <c r="I698" s="593"/>
      <c r="J698" s="593"/>
      <c r="K698" s="593"/>
      <c r="L698" s="593"/>
      <c r="M698" s="593"/>
      <c r="N698" s="593"/>
      <c r="O698" s="593"/>
      <c r="P698" s="593"/>
      <c r="Q698" s="593"/>
      <c r="R698" s="593"/>
      <c r="S698" s="593"/>
      <c r="T698" s="593"/>
      <c r="U698" s="593"/>
      <c r="V698" s="593"/>
      <c r="W698" s="593"/>
      <c r="X698" s="593"/>
      <c r="Y698" s="593"/>
      <c r="Z698" s="593"/>
      <c r="AA698" s="593"/>
      <c r="AB698" s="593"/>
      <c r="AC698" s="593"/>
      <c r="AD698" s="593"/>
      <c r="AE698" s="593"/>
      <c r="AF698" s="593"/>
      <c r="AG698" s="593"/>
      <c r="AH698" s="593"/>
      <c r="AI698" s="593"/>
      <c r="AJ698" s="593"/>
      <c r="AK698" s="593"/>
      <c r="AL698" s="593"/>
      <c r="AM698" s="593"/>
      <c r="AN698" s="593"/>
      <c r="AO698" s="593"/>
      <c r="AP698" s="593"/>
      <c r="AQ698" s="593"/>
      <c r="AR698" s="593"/>
      <c r="AS698" s="593"/>
      <c r="AT698" s="593"/>
      <c r="AU698" s="593"/>
      <c r="AV698" s="593"/>
      <c r="AW698" s="593"/>
      <c r="AX698" s="593"/>
      <c r="AY698" s="593"/>
      <c r="AZ698" s="593"/>
      <c r="BA698" s="593"/>
      <c r="BB698" s="593"/>
      <c r="BC698" s="593"/>
      <c r="BD698" s="593"/>
      <c r="BE698" s="593"/>
      <c r="BF698" s="593"/>
      <c r="BG698" s="593"/>
      <c r="BH698" s="593"/>
      <c r="BI698" s="593"/>
      <c r="BJ698" s="593"/>
      <c r="BK698" s="593"/>
      <c r="BL698" s="593"/>
      <c r="BM698" s="593"/>
      <c r="BN698" s="593"/>
      <c r="BO698" s="593"/>
      <c r="BP698" s="593"/>
      <c r="BQ698" s="593"/>
      <c r="BR698" s="593"/>
      <c r="BS698" s="593"/>
      <c r="BT698" s="594"/>
      <c r="BU698" s="594"/>
      <c r="BV698" s="594"/>
      <c r="BW698" s="594"/>
      <c r="BX698" s="594"/>
      <c r="BY698" s="594"/>
      <c r="BZ698" s="594"/>
      <c r="CA698" s="594"/>
      <c r="CB698" s="594"/>
      <c r="CC698" s="594"/>
      <c r="CD698" s="593"/>
      <c r="CE698" s="593"/>
      <c r="CF698" s="595"/>
    </row>
    <row r="699" spans="1:84" s="583" customFormat="1" ht="23.1" customHeight="1">
      <c r="A699" s="584"/>
      <c r="B699" s="585"/>
      <c r="C699" s="585"/>
      <c r="D699" s="585"/>
      <c r="E699" s="585"/>
      <c r="F699" s="585"/>
      <c r="G699" s="585"/>
      <c r="H699" s="585"/>
      <c r="I699" s="585"/>
      <c r="J699" s="585"/>
      <c r="K699" s="585"/>
      <c r="L699" s="585"/>
      <c r="M699" s="585"/>
      <c r="N699" s="585"/>
      <c r="O699" s="585"/>
      <c r="P699" s="585"/>
      <c r="Q699" s="585"/>
      <c r="R699" s="585"/>
      <c r="S699" s="585"/>
      <c r="T699" s="574"/>
      <c r="U699" s="574"/>
      <c r="V699" s="1430"/>
      <c r="W699" s="1430"/>
      <c r="X699" s="1430"/>
      <c r="Y699" s="1430"/>
      <c r="Z699" s="1430"/>
      <c r="AA699" s="1430"/>
      <c r="AB699" s="1430"/>
      <c r="AC699" s="1430"/>
      <c r="AD699" s="1430"/>
      <c r="AE699" s="1430"/>
      <c r="AF699" s="1431"/>
      <c r="AG699" s="1431"/>
      <c r="AH699" s="574"/>
      <c r="AI699" s="1436"/>
      <c r="AJ699" s="1436"/>
      <c r="AK699" s="1436"/>
      <c r="AL699" s="1436"/>
      <c r="AM699" s="585"/>
      <c r="AN699" s="1431"/>
      <c r="AO699" s="1431"/>
      <c r="AP699" s="585"/>
      <c r="AQ699" s="1436"/>
      <c r="AR699" s="1436"/>
      <c r="AS699" s="1436"/>
      <c r="AT699" s="1436"/>
      <c r="AU699" s="1436"/>
      <c r="AV699" s="422"/>
      <c r="AW699" s="1431"/>
      <c r="AX699" s="1431"/>
      <c r="AY699" s="440"/>
      <c r="AZ699" s="1436"/>
      <c r="BA699" s="1436"/>
      <c r="BB699" s="1436"/>
      <c r="BC699" s="1436"/>
      <c r="BD699" s="1436"/>
      <c r="BE699" s="585"/>
      <c r="BF699" s="1431"/>
      <c r="BG699" s="1431"/>
      <c r="BH699" s="1431"/>
      <c r="BI699" s="1431"/>
      <c r="BJ699" s="1431"/>
      <c r="BK699" s="585"/>
      <c r="BL699" s="585"/>
      <c r="BM699" s="585"/>
      <c r="BN699" s="585"/>
      <c r="BO699" s="585"/>
      <c r="BP699" s="1431"/>
      <c r="BQ699" s="1431"/>
      <c r="BR699" s="585"/>
      <c r="BS699" s="585"/>
      <c r="BT699" s="1432"/>
      <c r="BU699" s="1432"/>
      <c r="BV699" s="1432"/>
      <c r="BW699" s="1432"/>
      <c r="BX699" s="1432"/>
      <c r="BY699" s="1432"/>
      <c r="BZ699" s="1432"/>
      <c r="CA699" s="1432"/>
      <c r="CB699" s="1432"/>
      <c r="CC699" s="1432"/>
      <c r="CD699" s="585"/>
      <c r="CE699" s="585"/>
      <c r="CF699" s="586"/>
    </row>
    <row r="700" spans="1:84" s="583" customFormat="1" ht="23.1" customHeight="1">
      <c r="A700" s="584"/>
      <c r="B700" s="585"/>
      <c r="C700" s="585"/>
      <c r="D700" s="585"/>
      <c r="E700" s="585"/>
      <c r="F700" s="585"/>
      <c r="G700" s="585"/>
      <c r="H700" s="585"/>
      <c r="I700" s="585"/>
      <c r="J700" s="585"/>
      <c r="K700" s="585"/>
      <c r="L700" s="585"/>
      <c r="M700" s="585"/>
      <c r="N700" s="585"/>
      <c r="O700" s="585"/>
      <c r="P700" s="574"/>
      <c r="Q700" s="574"/>
      <c r="R700" s="574"/>
      <c r="S700" s="574"/>
      <c r="T700" s="574"/>
      <c r="U700" s="574"/>
      <c r="V700" s="574"/>
      <c r="W700" s="574"/>
      <c r="X700" s="574"/>
      <c r="Y700" s="574"/>
      <c r="Z700" s="574"/>
      <c r="AA700" s="574"/>
      <c r="AB700" s="574"/>
      <c r="AC700" s="574"/>
      <c r="AD700" s="574"/>
      <c r="AE700" s="574"/>
      <c r="AF700" s="574"/>
      <c r="AG700" s="574"/>
      <c r="AH700" s="574"/>
      <c r="AI700" s="574"/>
      <c r="AJ700" s="574"/>
      <c r="AK700" s="574"/>
      <c r="AL700" s="574"/>
      <c r="AM700" s="574"/>
      <c r="AN700" s="574"/>
      <c r="AO700" s="574"/>
      <c r="AP700" s="574"/>
      <c r="AQ700" s="574"/>
      <c r="AR700" s="574"/>
      <c r="AS700" s="574"/>
      <c r="AT700" s="574"/>
      <c r="AU700" s="574"/>
      <c r="AV700" s="574"/>
      <c r="AW700" s="574"/>
      <c r="AX700" s="574"/>
      <c r="AY700" s="574"/>
      <c r="AZ700" s="574"/>
      <c r="BA700" s="574"/>
      <c r="BB700" s="574"/>
      <c r="BC700" s="574"/>
      <c r="BD700" s="574"/>
      <c r="BE700" s="574"/>
      <c r="BF700" s="574"/>
      <c r="BG700" s="585"/>
      <c r="BH700" s="585"/>
      <c r="BI700" s="585"/>
      <c r="BJ700" s="585"/>
      <c r="BK700" s="585"/>
      <c r="BL700" s="585"/>
      <c r="BM700" s="585"/>
      <c r="BN700" s="585"/>
      <c r="BO700" s="585"/>
      <c r="BP700" s="1431"/>
      <c r="BQ700" s="1431"/>
      <c r="BR700" s="585"/>
      <c r="BS700" s="585"/>
      <c r="BT700" s="1432"/>
      <c r="BU700" s="1432"/>
      <c r="BV700" s="1432"/>
      <c r="BW700" s="1432"/>
      <c r="BX700" s="1432"/>
      <c r="BY700" s="1432"/>
      <c r="BZ700" s="1432"/>
      <c r="CA700" s="1432"/>
      <c r="CB700" s="1432"/>
      <c r="CC700" s="1432"/>
      <c r="CD700" s="585"/>
      <c r="CE700" s="585"/>
      <c r="CF700" s="586"/>
    </row>
    <row r="701" spans="1:84" s="583" customFormat="1" ht="23.1" customHeight="1">
      <c r="A701" s="584"/>
      <c r="B701" s="585"/>
      <c r="C701" s="585"/>
      <c r="D701" s="585"/>
      <c r="E701" s="585"/>
      <c r="F701" s="585"/>
      <c r="G701" s="585"/>
      <c r="H701" s="585"/>
      <c r="I701" s="585"/>
      <c r="J701" s="585"/>
      <c r="K701" s="585"/>
      <c r="L701" s="585"/>
      <c r="M701" s="585"/>
      <c r="N701" s="585"/>
      <c r="O701" s="585"/>
      <c r="P701" s="585"/>
      <c r="Q701" s="585"/>
      <c r="R701" s="585"/>
      <c r="S701" s="585"/>
      <c r="T701" s="585"/>
      <c r="U701" s="585"/>
      <c r="V701" s="585"/>
      <c r="W701" s="585"/>
      <c r="X701" s="585"/>
      <c r="Y701" s="585"/>
      <c r="Z701" s="585"/>
      <c r="AA701" s="585"/>
      <c r="AB701" s="585"/>
      <c r="AC701" s="585"/>
      <c r="AD701" s="574"/>
      <c r="AE701" s="574"/>
      <c r="AF701" s="574"/>
      <c r="AG701" s="574"/>
      <c r="AH701" s="574"/>
      <c r="AI701" s="574"/>
      <c r="AJ701" s="574"/>
      <c r="AK701" s="574"/>
      <c r="AL701" s="574"/>
      <c r="AM701" s="574"/>
      <c r="AN701" s="574"/>
      <c r="AO701" s="574"/>
      <c r="AP701" s="574"/>
      <c r="AQ701" s="574"/>
      <c r="AR701" s="574"/>
      <c r="AS701" s="585"/>
      <c r="AT701" s="590"/>
      <c r="AU701" s="590"/>
      <c r="AV701" s="585"/>
      <c r="AW701" s="585"/>
      <c r="AX701" s="585"/>
      <c r="AY701" s="585"/>
      <c r="AZ701" s="585"/>
      <c r="BA701" s="585"/>
      <c r="BB701" s="585"/>
      <c r="BC701" s="585"/>
      <c r="BD701" s="585"/>
      <c r="BE701" s="585"/>
      <c r="BF701" s="585"/>
      <c r="BG701" s="585"/>
      <c r="BH701" s="585"/>
      <c r="BI701" s="585"/>
      <c r="BJ701" s="585"/>
      <c r="BK701" s="585"/>
      <c r="BL701" s="585"/>
      <c r="BM701" s="585"/>
      <c r="BN701" s="585"/>
      <c r="BO701" s="585"/>
      <c r="BP701" s="1431" t="s">
        <v>41</v>
      </c>
      <c r="BQ701" s="1431"/>
      <c r="BR701" s="585"/>
      <c r="BS701" s="585"/>
      <c r="BT701" s="1434">
        <f>BT699+BT700</f>
        <v>0</v>
      </c>
      <c r="BU701" s="1434"/>
      <c r="BV701" s="1434"/>
      <c r="BW701" s="1434"/>
      <c r="BX701" s="1434"/>
      <c r="BY701" s="1434"/>
      <c r="BZ701" s="1434"/>
      <c r="CA701" s="1434"/>
      <c r="CB701" s="1434"/>
      <c r="CC701" s="1434"/>
      <c r="CD701" s="585"/>
      <c r="CE701" s="585"/>
      <c r="CF701" s="586"/>
    </row>
    <row r="702" spans="1:84" s="583" customFormat="1" ht="23.1" customHeight="1">
      <c r="A702" s="592"/>
      <c r="B702" s="593" t="s">
        <v>1110</v>
      </c>
      <c r="C702" s="593"/>
      <c r="D702" s="593"/>
      <c r="E702" s="593"/>
      <c r="F702" s="593"/>
      <c r="G702" s="593"/>
      <c r="H702" s="593"/>
      <c r="I702" s="593"/>
      <c r="J702" s="593"/>
      <c r="K702" s="593"/>
      <c r="L702" s="593"/>
      <c r="M702" s="593"/>
      <c r="N702" s="593"/>
      <c r="O702" s="593"/>
      <c r="P702" s="593"/>
      <c r="Q702" s="593"/>
      <c r="R702" s="593"/>
      <c r="S702" s="593"/>
      <c r="T702" s="593"/>
      <c r="U702" s="593"/>
      <c r="V702" s="593"/>
      <c r="W702" s="593"/>
      <c r="X702" s="593"/>
      <c r="Y702" s="593"/>
      <c r="Z702" s="593"/>
      <c r="AA702" s="593"/>
      <c r="AB702" s="593"/>
      <c r="AC702" s="593"/>
      <c r="AD702" s="593"/>
      <c r="AE702" s="593"/>
      <c r="AF702" s="593"/>
      <c r="AG702" s="593"/>
      <c r="AH702" s="593"/>
      <c r="AI702" s="593"/>
      <c r="AJ702" s="593"/>
      <c r="AK702" s="593"/>
      <c r="AL702" s="593"/>
      <c r="AM702" s="593"/>
      <c r="AN702" s="593"/>
      <c r="AO702" s="593"/>
      <c r="AP702" s="593"/>
      <c r="AQ702" s="593"/>
      <c r="AR702" s="593"/>
      <c r="AS702" s="593"/>
      <c r="AT702" s="593"/>
      <c r="AU702" s="593"/>
      <c r="AV702" s="593"/>
      <c r="AW702" s="593"/>
      <c r="AX702" s="593"/>
      <c r="AY702" s="593"/>
      <c r="AZ702" s="593"/>
      <c r="BA702" s="593"/>
      <c r="BB702" s="593"/>
      <c r="BC702" s="593"/>
      <c r="BD702" s="593"/>
      <c r="BE702" s="593"/>
      <c r="BF702" s="593"/>
      <c r="BG702" s="593"/>
      <c r="BH702" s="593"/>
      <c r="BI702" s="593"/>
      <c r="BJ702" s="593"/>
      <c r="BK702" s="593"/>
      <c r="BL702" s="593"/>
      <c r="BM702" s="593"/>
      <c r="BN702" s="593"/>
      <c r="BO702" s="593"/>
      <c r="BP702" s="593"/>
      <c r="BQ702" s="593"/>
      <c r="BR702" s="593"/>
      <c r="BS702" s="593"/>
      <c r="BT702" s="593"/>
      <c r="BU702" s="593"/>
      <c r="BV702" s="593"/>
      <c r="BW702" s="593"/>
      <c r="BX702" s="593"/>
      <c r="BY702" s="593"/>
      <c r="BZ702" s="593"/>
      <c r="CA702" s="593"/>
      <c r="CB702" s="593"/>
      <c r="CC702" s="593"/>
      <c r="CD702" s="593"/>
      <c r="CE702" s="593"/>
      <c r="CF702" s="595"/>
    </row>
    <row r="703" spans="1:84" s="583" customFormat="1" ht="23.1" customHeight="1">
      <c r="A703" s="584"/>
      <c r="B703" s="585"/>
      <c r="C703" s="585"/>
      <c r="D703" s="585"/>
      <c r="E703" s="585"/>
      <c r="F703" s="585"/>
      <c r="G703" s="585"/>
      <c r="H703" s="585"/>
      <c r="I703" s="585"/>
      <c r="J703" s="585"/>
      <c r="K703" s="585"/>
      <c r="L703" s="585"/>
      <c r="M703" s="585"/>
      <c r="N703" s="585"/>
      <c r="O703" s="585"/>
      <c r="P703" s="585"/>
      <c r="Q703" s="585"/>
      <c r="R703" s="585"/>
      <c r="S703" s="585"/>
      <c r="T703" s="585"/>
      <c r="U703" s="585"/>
      <c r="V703" s="585"/>
      <c r="W703" s="585"/>
      <c r="X703" s="585"/>
      <c r="Y703" s="585"/>
      <c r="Z703" s="585"/>
      <c r="AA703" s="585"/>
      <c r="AB703" s="585"/>
      <c r="AC703" s="585"/>
      <c r="AD703" s="585"/>
      <c r="AE703" s="585"/>
      <c r="AF703" s="585"/>
      <c r="AG703" s="585"/>
      <c r="AH703" s="585"/>
      <c r="AI703" s="585"/>
      <c r="AJ703" s="585"/>
      <c r="AK703" s="585"/>
      <c r="AL703" s="585"/>
      <c r="AM703" s="585"/>
      <c r="AN703" s="585"/>
      <c r="AO703" s="585"/>
      <c r="AP703" s="585"/>
      <c r="AQ703" s="585"/>
      <c r="AR703" s="422"/>
      <c r="AS703" s="604"/>
      <c r="AT703" s="604"/>
      <c r="AU703" s="604"/>
      <c r="AV703" s="604"/>
      <c r="AW703" s="604"/>
      <c r="AX703" s="604"/>
      <c r="AY703" s="604"/>
      <c r="AZ703" s="604"/>
      <c r="BA703" s="604"/>
      <c r="BB703" s="604"/>
      <c r="BC703" s="585"/>
      <c r="BD703" s="585"/>
      <c r="BE703" s="585"/>
      <c r="BF703" s="585"/>
      <c r="BG703" s="585"/>
      <c r="BH703" s="585"/>
      <c r="BI703" s="585"/>
      <c r="BJ703" s="585"/>
      <c r="BK703" s="585"/>
      <c r="BL703" s="585"/>
      <c r="BM703" s="585"/>
      <c r="BN703" s="585"/>
      <c r="BO703" s="585"/>
      <c r="BP703" s="1431"/>
      <c r="BQ703" s="1431"/>
      <c r="BR703" s="585"/>
      <c r="BS703" s="585"/>
      <c r="BT703" s="1432"/>
      <c r="BU703" s="1432"/>
      <c r="BV703" s="1432"/>
      <c r="BW703" s="1432"/>
      <c r="BX703" s="1432"/>
      <c r="BY703" s="1432"/>
      <c r="BZ703" s="1432"/>
      <c r="CA703" s="1432"/>
      <c r="CB703" s="1432"/>
      <c r="CC703" s="1432"/>
      <c r="CD703" s="585"/>
      <c r="CE703" s="585"/>
      <c r="CF703" s="586"/>
    </row>
    <row r="704" spans="1:84" s="583" customFormat="1" ht="23.1" customHeight="1">
      <c r="A704" s="584"/>
      <c r="B704" s="585"/>
      <c r="C704" s="585"/>
      <c r="D704" s="591"/>
      <c r="E704" s="585"/>
      <c r="F704" s="585"/>
      <c r="G704" s="585"/>
      <c r="H704" s="585"/>
      <c r="I704" s="585"/>
      <c r="J704" s="585"/>
      <c r="K704" s="585"/>
      <c r="L704" s="585"/>
      <c r="M704" s="585"/>
      <c r="N704" s="585"/>
      <c r="O704" s="585"/>
      <c r="P704" s="585"/>
      <c r="Q704" s="585"/>
      <c r="R704" s="585"/>
      <c r="S704" s="585"/>
      <c r="T704" s="585"/>
      <c r="U704" s="585"/>
      <c r="V704" s="585"/>
      <c r="W704" s="585"/>
      <c r="X704" s="585"/>
      <c r="Y704" s="585"/>
      <c r="Z704" s="585"/>
      <c r="AA704" s="585"/>
      <c r="AB704" s="585"/>
      <c r="AC704" s="585"/>
      <c r="AD704" s="585"/>
      <c r="AE704" s="585"/>
      <c r="AF704" s="585"/>
      <c r="AG704" s="585"/>
      <c r="AH704" s="585"/>
      <c r="AI704" s="585"/>
      <c r="AJ704" s="585"/>
      <c r="AK704" s="585"/>
      <c r="AL704" s="585"/>
      <c r="AM704" s="585"/>
      <c r="AN704" s="585"/>
      <c r="AO704" s="585"/>
      <c r="AP704" s="585"/>
      <c r="AQ704" s="585"/>
      <c r="AR704" s="422"/>
      <c r="AS704" s="604"/>
      <c r="AT704" s="604"/>
      <c r="AU704" s="604"/>
      <c r="AV704" s="604"/>
      <c r="AW704" s="604"/>
      <c r="AX704" s="604"/>
      <c r="AY704" s="604"/>
      <c r="AZ704" s="604"/>
      <c r="BA704" s="604"/>
      <c r="BB704" s="604"/>
      <c r="BC704" s="585"/>
      <c r="BD704" s="585"/>
      <c r="BE704" s="585"/>
      <c r="BF704" s="585"/>
      <c r="BG704" s="585"/>
      <c r="BH704" s="585"/>
      <c r="BI704" s="585"/>
      <c r="BJ704" s="585"/>
      <c r="BK704" s="585"/>
      <c r="BL704" s="585"/>
      <c r="BM704" s="585"/>
      <c r="BN704" s="585"/>
      <c r="BO704" s="585"/>
      <c r="BP704" s="1431"/>
      <c r="BQ704" s="1431"/>
      <c r="BR704" s="585"/>
      <c r="BS704" s="585"/>
      <c r="BT704" s="1432"/>
      <c r="BU704" s="1432"/>
      <c r="BV704" s="1432"/>
      <c r="BW704" s="1432"/>
      <c r="BX704" s="1432"/>
      <c r="BY704" s="1432"/>
      <c r="BZ704" s="1432"/>
      <c r="CA704" s="1432"/>
      <c r="CB704" s="1432"/>
      <c r="CC704" s="1432"/>
      <c r="CD704" s="585"/>
      <c r="CE704" s="585"/>
      <c r="CF704" s="586"/>
    </row>
    <row r="705" spans="1:88" s="583" customFormat="1" ht="23.1" customHeight="1" thickBot="1">
      <c r="A705" s="584"/>
      <c r="B705" s="585"/>
      <c r="C705" s="585"/>
      <c r="D705" s="585"/>
      <c r="E705" s="585"/>
      <c r="F705" s="585"/>
      <c r="G705" s="585"/>
      <c r="H705" s="585"/>
      <c r="I705" s="585"/>
      <c r="J705" s="585"/>
      <c r="K705" s="585"/>
      <c r="L705" s="585"/>
      <c r="M705" s="585"/>
      <c r="N705" s="585"/>
      <c r="O705" s="585"/>
      <c r="P705" s="585"/>
      <c r="Q705" s="585"/>
      <c r="R705" s="585"/>
      <c r="S705" s="585"/>
      <c r="T705" s="585"/>
      <c r="U705" s="585"/>
      <c r="V705" s="585"/>
      <c r="W705" s="585"/>
      <c r="X705" s="585"/>
      <c r="Y705" s="585"/>
      <c r="Z705" s="585"/>
      <c r="AA705" s="585"/>
      <c r="AB705" s="585"/>
      <c r="AC705" s="585"/>
      <c r="AD705" s="585"/>
      <c r="AE705" s="585"/>
      <c r="AF705" s="585"/>
      <c r="AG705" s="585"/>
      <c r="AH705" s="585"/>
      <c r="AI705" s="585"/>
      <c r="AJ705" s="585"/>
      <c r="AK705" s="585"/>
      <c r="AL705" s="585"/>
      <c r="AM705" s="585"/>
      <c r="AN705" s="585"/>
      <c r="AO705" s="585"/>
      <c r="AP705" s="585"/>
      <c r="AQ705" s="585"/>
      <c r="AR705" s="585"/>
      <c r="AS705" s="585"/>
      <c r="AT705" s="585"/>
      <c r="AU705" s="585"/>
      <c r="AV705" s="585"/>
      <c r="AW705" s="585"/>
      <c r="AX705" s="585"/>
      <c r="AY705" s="585"/>
      <c r="AZ705" s="585"/>
      <c r="BA705" s="585"/>
      <c r="BB705" s="585"/>
      <c r="BC705" s="585"/>
      <c r="BD705" s="585"/>
      <c r="BE705" s="585"/>
      <c r="BF705" s="585"/>
      <c r="BG705" s="585"/>
      <c r="BH705" s="585"/>
      <c r="BI705" s="585"/>
      <c r="BJ705" s="585"/>
      <c r="BK705" s="585"/>
      <c r="BL705" s="585"/>
      <c r="BM705" s="585"/>
      <c r="BN705" s="585"/>
      <c r="BO705" s="585"/>
      <c r="BP705" s="1431" t="s">
        <v>41</v>
      </c>
      <c r="BQ705" s="1431"/>
      <c r="BR705" s="585"/>
      <c r="BS705" s="585"/>
      <c r="BT705" s="1433">
        <f>BT703+BT704</f>
        <v>0</v>
      </c>
      <c r="BU705" s="1433"/>
      <c r="BV705" s="1433"/>
      <c r="BW705" s="1433"/>
      <c r="BX705" s="1433"/>
      <c r="BY705" s="1433"/>
      <c r="BZ705" s="1433"/>
      <c r="CA705" s="1433"/>
      <c r="CB705" s="1433"/>
      <c r="CC705" s="1433"/>
      <c r="CD705" s="585"/>
      <c r="CE705" s="585"/>
      <c r="CF705" s="586"/>
    </row>
    <row r="706" spans="1:88" s="583" customFormat="1" ht="23.1" customHeight="1" thickBot="1">
      <c r="A706" s="597"/>
      <c r="B706" s="598" t="s">
        <v>1113</v>
      </c>
      <c r="C706" s="598"/>
      <c r="D706" s="598"/>
      <c r="E706" s="598"/>
      <c r="F706" s="598"/>
      <c r="G706" s="598"/>
      <c r="H706" s="598"/>
      <c r="I706" s="598"/>
      <c r="J706" s="598"/>
      <c r="K706" s="598"/>
      <c r="L706" s="598"/>
      <c r="M706" s="598"/>
      <c r="N706" s="598"/>
      <c r="O706" s="598"/>
      <c r="P706" s="598"/>
      <c r="Q706" s="598"/>
      <c r="R706" s="598"/>
      <c r="S706" s="598"/>
      <c r="T706" s="598"/>
      <c r="U706" s="598"/>
      <c r="V706" s="598"/>
      <c r="W706" s="598"/>
      <c r="X706" s="598"/>
      <c r="Y706" s="598"/>
      <c r="Z706" s="598"/>
      <c r="AA706" s="598"/>
      <c r="AB706" s="598"/>
      <c r="AC706" s="598"/>
      <c r="AD706" s="598"/>
      <c r="AE706" s="598"/>
      <c r="AF706" s="598"/>
      <c r="AG706" s="598"/>
      <c r="AH706" s="598"/>
      <c r="AI706" s="598"/>
      <c r="AJ706" s="598"/>
      <c r="AK706" s="598"/>
      <c r="AL706" s="598"/>
      <c r="AM706" s="598"/>
      <c r="AN706" s="598"/>
      <c r="AO706" s="598"/>
      <c r="AP706" s="598"/>
      <c r="AQ706" s="598"/>
      <c r="AR706" s="598"/>
      <c r="AS706" s="598"/>
      <c r="AT706" s="598"/>
      <c r="AU706" s="598"/>
      <c r="AV706" s="598"/>
      <c r="AW706" s="598"/>
      <c r="AX706" s="598"/>
      <c r="AY706" s="598"/>
      <c r="AZ706" s="598"/>
      <c r="BA706" s="598"/>
      <c r="BB706" s="598"/>
      <c r="BC706" s="598"/>
      <c r="BD706" s="598"/>
      <c r="BE706" s="598"/>
      <c r="BF706" s="598"/>
      <c r="BG706" s="598"/>
      <c r="BH706" s="598"/>
      <c r="BI706" s="598"/>
      <c r="BJ706" s="598"/>
      <c r="BK706" s="598"/>
      <c r="BL706" s="598"/>
      <c r="BM706" s="598"/>
      <c r="BN706" s="598"/>
      <c r="BO706" s="598"/>
      <c r="BP706" s="598"/>
      <c r="BQ706" s="598"/>
      <c r="BR706" s="598"/>
      <c r="BS706" s="598"/>
      <c r="BT706" s="1429">
        <f>BT697+BT701+BT705</f>
        <v>508</v>
      </c>
      <c r="BU706" s="1429"/>
      <c r="BV706" s="1429"/>
      <c r="BW706" s="1429"/>
      <c r="BX706" s="1429"/>
      <c r="BY706" s="1429"/>
      <c r="BZ706" s="1429"/>
      <c r="CA706" s="1429"/>
      <c r="CB706" s="1429"/>
      <c r="CC706" s="1429"/>
      <c r="CD706" s="598"/>
      <c r="CE706" s="598"/>
      <c r="CF706" s="599"/>
    </row>
    <row r="707" spans="1:88" s="583" customFormat="1" ht="9.9499999999999993" customHeight="1">
      <c r="A707" s="574"/>
      <c r="B707" s="574"/>
      <c r="C707" s="574"/>
      <c r="D707" s="574"/>
      <c r="E707" s="574"/>
      <c r="F707" s="574"/>
      <c r="G707" s="574"/>
      <c r="H707" s="574"/>
      <c r="I707" s="574"/>
      <c r="J707" s="574"/>
      <c r="K707" s="574"/>
      <c r="L707" s="574"/>
      <c r="M707" s="574"/>
      <c r="N707" s="574"/>
      <c r="O707" s="574"/>
      <c r="P707" s="574"/>
      <c r="Q707" s="574"/>
      <c r="R707" s="574"/>
      <c r="S707" s="574"/>
      <c r="T707" s="574"/>
      <c r="U707" s="574"/>
      <c r="V707" s="574"/>
      <c r="W707" s="574"/>
      <c r="X707" s="574"/>
      <c r="Y707" s="574"/>
      <c r="Z707" s="574"/>
      <c r="AA707" s="574"/>
      <c r="AB707" s="574"/>
      <c r="AC707" s="574"/>
      <c r="AD707" s="574"/>
      <c r="AE707" s="574"/>
      <c r="AF707" s="574"/>
      <c r="AG707" s="574"/>
      <c r="AH707" s="574"/>
      <c r="AI707" s="574"/>
      <c r="AJ707" s="574"/>
      <c r="AK707" s="574"/>
      <c r="AL707" s="574"/>
      <c r="AM707" s="574"/>
      <c r="AN707" s="574"/>
      <c r="AO707" s="574"/>
      <c r="AP707" s="574"/>
      <c r="AQ707" s="574"/>
      <c r="AR707" s="574"/>
      <c r="AS707" s="574"/>
      <c r="AT707" s="574"/>
      <c r="AU707" s="574"/>
      <c r="AV707" s="574"/>
      <c r="AW707" s="574"/>
      <c r="AX707" s="574"/>
      <c r="AY707" s="574"/>
      <c r="AZ707" s="574"/>
      <c r="BA707" s="574"/>
      <c r="BB707" s="574"/>
      <c r="BC707" s="574"/>
      <c r="BD707" s="574"/>
      <c r="BE707" s="574"/>
      <c r="BF707" s="574"/>
      <c r="BG707" s="574"/>
      <c r="BH707" s="574"/>
      <c r="BI707" s="574"/>
      <c r="BJ707" s="574"/>
      <c r="BK707" s="574"/>
      <c r="BL707" s="574"/>
      <c r="BM707" s="574"/>
      <c r="BN707" s="574"/>
      <c r="BO707" s="574"/>
      <c r="BP707" s="574"/>
      <c r="BQ707" s="574"/>
      <c r="BR707" s="574"/>
      <c r="BS707" s="574"/>
      <c r="BT707" s="574"/>
      <c r="BU707" s="574"/>
      <c r="BV707" s="574"/>
      <c r="BW707" s="574"/>
      <c r="BX707" s="574"/>
      <c r="BY707" s="574"/>
      <c r="BZ707" s="574"/>
      <c r="CA707" s="574"/>
      <c r="CB707" s="574"/>
      <c r="CC707" s="574"/>
      <c r="CD707" s="574"/>
      <c r="CE707" s="574"/>
      <c r="CF707" s="574"/>
    </row>
    <row r="708" spans="1:88" s="583" customFormat="1" ht="23.1" customHeight="1" thickBot="1">
      <c r="A708" s="1446" t="s">
        <v>1095</v>
      </c>
      <c r="B708" s="1446"/>
      <c r="C708" s="1446"/>
      <c r="D708" s="1446"/>
      <c r="E708" s="1446"/>
      <c r="F708" s="1446"/>
      <c r="G708" s="1447">
        <f>G693+1</f>
        <v>48</v>
      </c>
      <c r="H708" s="1447"/>
      <c r="I708" s="1447"/>
      <c r="J708" s="1448" t="s">
        <v>1096</v>
      </c>
      <c r="K708" s="1448"/>
      <c r="L708" s="574"/>
      <c r="M708" s="574"/>
      <c r="N708" s="574"/>
      <c r="O708" s="574"/>
      <c r="P708" s="574"/>
      <c r="Q708" s="574"/>
      <c r="R708" s="574"/>
      <c r="S708" s="574"/>
      <c r="T708" s="574"/>
      <c r="U708" s="574"/>
      <c r="V708" s="574"/>
      <c r="W708" s="574"/>
      <c r="X708" s="574"/>
      <c r="Y708" s="574"/>
      <c r="Z708" s="574"/>
      <c r="AA708" s="574"/>
      <c r="AB708" s="574"/>
      <c r="AC708" s="574"/>
      <c r="AD708" s="574"/>
      <c r="AE708" s="574"/>
      <c r="AF708" s="574"/>
      <c r="AG708" s="574"/>
      <c r="AH708" s="574"/>
      <c r="AI708" s="574"/>
      <c r="AJ708" s="574"/>
      <c r="AK708" s="574"/>
      <c r="AL708" s="574"/>
      <c r="AM708" s="574"/>
      <c r="AN708" s="574"/>
      <c r="AO708" s="574"/>
      <c r="AP708" s="574"/>
      <c r="AQ708" s="574"/>
      <c r="AR708" s="574"/>
      <c r="AS708" s="574"/>
      <c r="AT708" s="574"/>
      <c r="AU708" s="574"/>
      <c r="AV708" s="574"/>
      <c r="AW708" s="574"/>
      <c r="AX708" s="574"/>
      <c r="AY708" s="574"/>
      <c r="AZ708" s="574"/>
      <c r="BA708" s="574"/>
      <c r="BB708" s="574"/>
      <c r="BC708" s="574"/>
      <c r="BD708" s="574"/>
      <c r="BE708" s="574"/>
      <c r="BF708" s="574"/>
      <c r="BG708" s="574"/>
      <c r="BH708" s="574"/>
      <c r="BI708" s="574"/>
      <c r="BJ708" s="574"/>
      <c r="BK708" s="574"/>
      <c r="BL708" s="574"/>
      <c r="BM708" s="574"/>
      <c r="BN708" s="574"/>
      <c r="BO708" s="574"/>
      <c r="BP708" s="574"/>
      <c r="BQ708" s="574"/>
      <c r="BR708" s="574"/>
      <c r="BS708" s="574"/>
      <c r="BT708" s="574"/>
      <c r="BU708" s="574"/>
      <c r="BV708" s="574"/>
      <c r="BW708" s="574"/>
      <c r="BX708" s="574"/>
      <c r="BY708" s="574"/>
      <c r="BZ708" s="574"/>
      <c r="CA708" s="574"/>
      <c r="CB708" s="574"/>
      <c r="CC708" s="574"/>
      <c r="CD708" s="574"/>
      <c r="CE708" s="574"/>
      <c r="CF708" s="574"/>
    </row>
    <row r="709" spans="1:88" s="583" customFormat="1" ht="23.1" customHeight="1" thickBot="1">
      <c r="A709" s="1483" t="s">
        <v>1097</v>
      </c>
      <c r="B709" s="1484"/>
      <c r="C709" s="1484"/>
      <c r="D709" s="1484"/>
      <c r="E709" s="1484"/>
      <c r="F709" s="1484"/>
      <c r="G709" s="1484"/>
      <c r="H709" s="1484"/>
      <c r="I709" s="581" t="s">
        <v>1170</v>
      </c>
      <c r="J709" s="581"/>
      <c r="K709" s="581"/>
      <c r="L709" s="581"/>
      <c r="M709" s="581"/>
      <c r="N709" s="581"/>
      <c r="O709" s="581"/>
      <c r="P709" s="581"/>
      <c r="Q709" s="581"/>
      <c r="R709" s="581"/>
      <c r="S709" s="581"/>
      <c r="T709" s="581"/>
      <c r="U709" s="581"/>
      <c r="V709" s="581"/>
      <c r="W709" s="581"/>
      <c r="X709" s="581"/>
      <c r="Y709" s="581"/>
      <c r="Z709" s="581"/>
      <c r="AA709" s="581"/>
      <c r="AB709" s="581"/>
      <c r="AC709" s="581"/>
      <c r="AD709" s="581"/>
      <c r="AE709" s="581"/>
      <c r="AF709" s="581"/>
      <c r="AG709" s="581"/>
      <c r="AH709" s="581"/>
      <c r="AI709" s="581"/>
      <c r="AJ709" s="1484" t="s">
        <v>1099</v>
      </c>
      <c r="AK709" s="1484"/>
      <c r="AL709" s="1484"/>
      <c r="AM709" s="1484"/>
      <c r="AN709" s="1484"/>
      <c r="AO709" s="1484"/>
      <c r="AP709" s="1484"/>
      <c r="AQ709" s="581" t="s">
        <v>1162</v>
      </c>
      <c r="AR709" s="581"/>
      <c r="AS709" s="581"/>
      <c r="AT709" s="581"/>
      <c r="AU709" s="581"/>
      <c r="AV709" s="581"/>
      <c r="AW709" s="581"/>
      <c r="AX709" s="581"/>
      <c r="AY709" s="581"/>
      <c r="AZ709" s="581"/>
      <c r="BA709" s="581"/>
      <c r="BB709" s="581"/>
      <c r="BC709" s="581"/>
      <c r="BD709" s="581"/>
      <c r="BE709" s="581"/>
      <c r="BF709" s="581"/>
      <c r="BG709" s="581"/>
      <c r="BH709" s="581"/>
      <c r="BI709" s="581"/>
      <c r="BJ709" s="581"/>
      <c r="BK709" s="581"/>
      <c r="BL709" s="581"/>
      <c r="BM709" s="581"/>
      <c r="BN709" s="581"/>
      <c r="BO709" s="581"/>
      <c r="BP709" s="581"/>
      <c r="BQ709" s="581"/>
      <c r="BR709" s="581"/>
      <c r="BS709" s="581"/>
      <c r="BT709" s="581" t="s">
        <v>1163</v>
      </c>
      <c r="BU709" s="581"/>
      <c r="BV709" s="581"/>
      <c r="BW709" s="581"/>
      <c r="BX709" s="581"/>
      <c r="BY709" s="581"/>
      <c r="BZ709" s="581"/>
      <c r="CA709" s="581"/>
      <c r="CB709" s="581"/>
      <c r="CC709" s="581"/>
      <c r="CD709" s="581"/>
      <c r="CE709" s="581"/>
      <c r="CF709" s="582"/>
    </row>
    <row r="710" spans="1:88" s="583" customFormat="1" ht="23.1" customHeight="1">
      <c r="A710" s="584"/>
      <c r="B710" s="585" t="s">
        <v>1102</v>
      </c>
      <c r="C710" s="585"/>
      <c r="D710" s="585"/>
      <c r="E710" s="585"/>
      <c r="F710" s="585"/>
      <c r="G710" s="585"/>
      <c r="H710" s="585"/>
      <c r="I710" s="585"/>
      <c r="J710" s="585"/>
      <c r="K710" s="585"/>
      <c r="L710" s="585"/>
      <c r="M710" s="585"/>
      <c r="N710" s="585"/>
      <c r="O710" s="585"/>
      <c r="P710" s="585"/>
      <c r="Q710" s="585"/>
      <c r="R710" s="585"/>
      <c r="S710" s="585"/>
      <c r="T710" s="585"/>
      <c r="U710" s="585"/>
      <c r="V710" s="585"/>
      <c r="W710" s="585"/>
      <c r="X710" s="585"/>
      <c r="Y710" s="585"/>
      <c r="Z710" s="585"/>
      <c r="AA710" s="585"/>
      <c r="AB710" s="585"/>
      <c r="AC710" s="585"/>
      <c r="AD710" s="585"/>
      <c r="AE710" s="585"/>
      <c r="AF710" s="585"/>
      <c r="AG710" s="585"/>
      <c r="AH710" s="585"/>
      <c r="AI710" s="585"/>
      <c r="AJ710" s="585"/>
      <c r="AK710" s="585"/>
      <c r="AL710" s="585"/>
      <c r="AM710" s="585"/>
      <c r="AN710" s="585"/>
      <c r="AO710" s="585"/>
      <c r="AP710" s="585"/>
      <c r="AQ710" s="585"/>
      <c r="AR710" s="585"/>
      <c r="AS710" s="585"/>
      <c r="AT710" s="585"/>
      <c r="AU710" s="585"/>
      <c r="AV710" s="585"/>
      <c r="AW710" s="585"/>
      <c r="AX710" s="585"/>
      <c r="AY710" s="585"/>
      <c r="AZ710" s="585"/>
      <c r="BA710" s="585"/>
      <c r="BB710" s="585"/>
      <c r="BC710" s="585"/>
      <c r="BD710" s="585"/>
      <c r="BE710" s="585"/>
      <c r="BF710" s="585"/>
      <c r="BG710" s="585"/>
      <c r="BH710" s="585"/>
      <c r="BI710" s="585"/>
      <c r="BJ710" s="585"/>
      <c r="BK710" s="585"/>
      <c r="BL710" s="585"/>
      <c r="BM710" s="585"/>
      <c r="BN710" s="585"/>
      <c r="BO710" s="585"/>
      <c r="BP710" s="585"/>
      <c r="BQ710" s="585"/>
      <c r="BR710" s="585"/>
      <c r="BS710" s="585"/>
      <c r="BT710" s="585"/>
      <c r="BU710" s="585"/>
      <c r="BV710" s="585"/>
      <c r="BW710" s="585"/>
      <c r="BX710" s="585"/>
      <c r="BY710" s="585"/>
      <c r="BZ710" s="585"/>
      <c r="CA710" s="585"/>
      <c r="CB710" s="585"/>
      <c r="CC710" s="585"/>
      <c r="CD710" s="585"/>
      <c r="CE710" s="585"/>
      <c r="CF710" s="586"/>
    </row>
    <row r="711" spans="1:88" s="583" customFormat="1" ht="23.1" customHeight="1">
      <c r="A711" s="587"/>
      <c r="B711" s="574"/>
      <c r="C711" s="574"/>
      <c r="D711" s="405"/>
      <c r="E711" s="574"/>
      <c r="F711" s="422"/>
      <c r="G711" s="422"/>
      <c r="H711" s="422"/>
      <c r="I711" s="422"/>
      <c r="J711" s="422"/>
      <c r="K711" s="422"/>
      <c r="L711" s="422"/>
      <c r="M711" s="422"/>
      <c r="N711" s="574"/>
      <c r="O711" s="574"/>
      <c r="P711" s="574"/>
      <c r="Q711" s="574"/>
      <c r="R711" s="574"/>
      <c r="S711" s="588"/>
      <c r="T711" s="588"/>
      <c r="U711" s="588"/>
      <c r="V711" s="588"/>
      <c r="W711" s="588"/>
      <c r="X711" s="588"/>
      <c r="Y711" s="588"/>
      <c r="Z711" s="588"/>
      <c r="AA711" s="574"/>
      <c r="AB711" s="588"/>
      <c r="AC711" s="585"/>
      <c r="AD711" s="585"/>
      <c r="AE711" s="600"/>
      <c r="AF711" s="600"/>
      <c r="AG711" s="600"/>
      <c r="AH711" s="600"/>
      <c r="AI711" s="600"/>
      <c r="AJ711" s="600"/>
      <c r="AK711" s="600"/>
      <c r="AL711" s="600"/>
      <c r="AM711" s="585"/>
      <c r="AN711" s="585"/>
      <c r="AO711" s="574"/>
      <c r="AP711" s="430"/>
      <c r="AQ711" s="430"/>
      <c r="AR711" s="430"/>
      <c r="AS711" s="430"/>
      <c r="AT711" s="430"/>
      <c r="AU711" s="430"/>
      <c r="AV711" s="430"/>
      <c r="AW711" s="430"/>
      <c r="AX711" s="430"/>
      <c r="AY711" s="430"/>
      <c r="AZ711" s="430"/>
      <c r="BA711" s="430"/>
      <c r="BB711" s="430"/>
      <c r="BC711" s="430"/>
      <c r="BD711" s="574"/>
      <c r="BE711" s="574"/>
      <c r="BF711" s="574"/>
      <c r="BG711" s="574"/>
      <c r="BH711" s="574"/>
      <c r="BI711" s="574"/>
      <c r="BJ711" s="574"/>
      <c r="BK711" s="574"/>
      <c r="BL711" s="574"/>
      <c r="BM711" s="574"/>
      <c r="BN711" s="574"/>
      <c r="BO711" s="574"/>
      <c r="BP711" s="574"/>
      <c r="BQ711" s="574"/>
      <c r="BR711" s="574"/>
      <c r="BS711" s="574"/>
      <c r="BT711" s="574"/>
      <c r="BU711" s="574"/>
      <c r="BV711" s="574"/>
      <c r="BW711" s="574"/>
      <c r="BX711" s="574"/>
      <c r="BY711" s="574"/>
      <c r="BZ711" s="574"/>
      <c r="CA711" s="574"/>
      <c r="CB711" s="574"/>
      <c r="CC711" s="574"/>
      <c r="CD711" s="574"/>
      <c r="CE711" s="574"/>
      <c r="CF711" s="589"/>
      <c r="CJ711" s="583" t="s">
        <v>1171</v>
      </c>
    </row>
    <row r="712" spans="1:88" s="583" customFormat="1" ht="23.1" customHeight="1">
      <c r="A712" s="584"/>
      <c r="B712" s="585"/>
      <c r="C712" s="585"/>
      <c r="D712" s="585"/>
      <c r="E712" s="585"/>
      <c r="F712" s="585"/>
      <c r="G712" s="585"/>
      <c r="H712" s="585"/>
      <c r="I712" s="585"/>
      <c r="J712" s="585"/>
      <c r="K712" s="585"/>
      <c r="L712" s="585"/>
      <c r="M712" s="585"/>
      <c r="N712" s="585"/>
      <c r="O712" s="585"/>
      <c r="P712" s="585"/>
      <c r="Q712" s="585"/>
      <c r="R712" s="585"/>
      <c r="S712" s="585"/>
      <c r="T712" s="585"/>
      <c r="U712" s="585"/>
      <c r="V712" s="590"/>
      <c r="W712" s="590"/>
      <c r="X712" s="590"/>
      <c r="Y712" s="590"/>
      <c r="Z712" s="590"/>
      <c r="AA712" s="590"/>
      <c r="AB712" s="590"/>
      <c r="AC712" s="590"/>
      <c r="AD712" s="574"/>
      <c r="AE712" s="1502">
        <f>$AE$592</f>
        <v>147825000</v>
      </c>
      <c r="AF712" s="1502"/>
      <c r="AG712" s="1502"/>
      <c r="AH712" s="1502"/>
      <c r="AI712" s="1502"/>
      <c r="AJ712" s="1502"/>
      <c r="AK712" s="1502"/>
      <c r="AL712" s="1502"/>
      <c r="AM712" s="1502"/>
      <c r="AN712" s="1502"/>
      <c r="AO712" s="1502"/>
      <c r="AP712" s="1502"/>
      <c r="AQ712" s="1502"/>
      <c r="AR712" s="1502"/>
      <c r="AS712" s="1502"/>
      <c r="AT712" s="1431" t="s">
        <v>446</v>
      </c>
      <c r="AU712" s="1431"/>
      <c r="AV712" s="1441" t="s">
        <v>1103</v>
      </c>
      <c r="AW712" s="1441"/>
      <c r="AX712" s="1442">
        <v>2229</v>
      </c>
      <c r="AY712" s="1442"/>
      <c r="AZ712" s="1442"/>
      <c r="BA712" s="1442"/>
      <c r="BB712" s="1442"/>
      <c r="BC712" s="1442"/>
      <c r="BD712" s="585"/>
      <c r="BE712" s="1431" t="s">
        <v>446</v>
      </c>
      <c r="BF712" s="1431"/>
      <c r="BG712" s="585"/>
      <c r="BH712" s="591" t="s">
        <v>1104</v>
      </c>
      <c r="BI712" s="585"/>
      <c r="BJ712" s="585"/>
      <c r="BK712" s="585"/>
      <c r="BL712" s="1431" t="s">
        <v>1105</v>
      </c>
      <c r="BM712" s="1431"/>
      <c r="BN712" s="1431"/>
      <c r="BO712" s="585"/>
      <c r="BP712" s="1431" t="s">
        <v>41</v>
      </c>
      <c r="BQ712" s="1431"/>
      <c r="BR712" s="585"/>
      <c r="BS712" s="585"/>
      <c r="BT712" s="1437">
        <f>INT(AE712*AX712*10^-7)</f>
        <v>32950</v>
      </c>
      <c r="BU712" s="1437"/>
      <c r="BV712" s="1437"/>
      <c r="BW712" s="1437"/>
      <c r="BX712" s="1437"/>
      <c r="BY712" s="1437"/>
      <c r="BZ712" s="1437"/>
      <c r="CA712" s="1437"/>
      <c r="CB712" s="1437"/>
      <c r="CC712" s="1437"/>
      <c r="CD712" s="585"/>
      <c r="CE712" s="585"/>
      <c r="CF712" s="586"/>
    </row>
    <row r="713" spans="1:88" s="583" customFormat="1" ht="23.1" customHeight="1">
      <c r="A713" s="592"/>
      <c r="B713" s="593" t="s">
        <v>1106</v>
      </c>
      <c r="C713" s="593"/>
      <c r="D713" s="593"/>
      <c r="E713" s="593"/>
      <c r="F713" s="593"/>
      <c r="G713" s="593"/>
      <c r="H713" s="593"/>
      <c r="I713" s="593"/>
      <c r="J713" s="593"/>
      <c r="K713" s="593"/>
      <c r="L713" s="593"/>
      <c r="M713" s="593"/>
      <c r="N713" s="593"/>
      <c r="O713" s="593"/>
      <c r="P713" s="593"/>
      <c r="Q713" s="593"/>
      <c r="R713" s="593"/>
      <c r="S713" s="593"/>
      <c r="T713" s="593"/>
      <c r="U713" s="593"/>
      <c r="V713" s="593"/>
      <c r="W713" s="593"/>
      <c r="X713" s="593"/>
      <c r="Y713" s="593"/>
      <c r="Z713" s="593"/>
      <c r="AA713" s="593"/>
      <c r="AB713" s="593"/>
      <c r="AC713" s="593"/>
      <c r="AD713" s="593"/>
      <c r="AE713" s="593"/>
      <c r="AF713" s="593"/>
      <c r="AG713" s="593"/>
      <c r="AH713" s="593"/>
      <c r="AI713" s="593"/>
      <c r="AJ713" s="593"/>
      <c r="AK713" s="593"/>
      <c r="AL713" s="593"/>
      <c r="AM713" s="593"/>
      <c r="AN713" s="593"/>
      <c r="AO713" s="593"/>
      <c r="AP713" s="593"/>
      <c r="AQ713" s="593"/>
      <c r="AR713" s="593"/>
      <c r="AS713" s="593"/>
      <c r="AT713" s="593"/>
      <c r="AU713" s="593"/>
      <c r="AV713" s="593"/>
      <c r="AW713" s="593"/>
      <c r="AX713" s="593"/>
      <c r="AY713" s="593"/>
      <c r="AZ713" s="593"/>
      <c r="BA713" s="593"/>
      <c r="BB713" s="593"/>
      <c r="BC713" s="593"/>
      <c r="BD713" s="593"/>
      <c r="BE713" s="593"/>
      <c r="BF713" s="593"/>
      <c r="BG713" s="593"/>
      <c r="BH713" s="593"/>
      <c r="BI713" s="593"/>
      <c r="BJ713" s="593"/>
      <c r="BK713" s="593"/>
      <c r="BL713" s="593"/>
      <c r="BM713" s="593"/>
      <c r="BN713" s="593"/>
      <c r="BO713" s="593"/>
      <c r="BP713" s="593"/>
      <c r="BQ713" s="593"/>
      <c r="BR713" s="593"/>
      <c r="BS713" s="593"/>
      <c r="BT713" s="594"/>
      <c r="BU713" s="594"/>
      <c r="BV713" s="594"/>
      <c r="BW713" s="594"/>
      <c r="BX713" s="594"/>
      <c r="BY713" s="594"/>
      <c r="BZ713" s="594"/>
      <c r="CA713" s="594"/>
      <c r="CB713" s="594"/>
      <c r="CC713" s="594"/>
      <c r="CD713" s="593"/>
      <c r="CE713" s="593"/>
      <c r="CF713" s="595"/>
    </row>
    <row r="714" spans="1:88" s="583" customFormat="1" ht="23.1" customHeight="1">
      <c r="A714" s="584"/>
      <c r="B714" s="585"/>
      <c r="C714" s="585"/>
      <c r="D714" s="596" t="s">
        <v>1092</v>
      </c>
      <c r="E714" s="585"/>
      <c r="F714" s="585"/>
      <c r="G714" s="585"/>
      <c r="H714" s="585"/>
      <c r="I714" s="585"/>
      <c r="J714" s="585"/>
      <c r="K714" s="585"/>
      <c r="L714" s="585"/>
      <c r="M714" s="585"/>
      <c r="N714" s="585"/>
      <c r="O714" s="585"/>
      <c r="P714" s="585"/>
      <c r="Q714" s="585"/>
      <c r="R714" s="585"/>
      <c r="S714" s="585"/>
      <c r="T714" s="574"/>
      <c r="U714" s="574"/>
      <c r="V714" s="1435">
        <f>HLOOKUP(D714,$CJ$1:$CM$3,3,0)</f>
        <v>238936</v>
      </c>
      <c r="W714" s="1435"/>
      <c r="X714" s="1435"/>
      <c r="Y714" s="1435"/>
      <c r="Z714" s="1435"/>
      <c r="AA714" s="1435"/>
      <c r="AB714" s="1435"/>
      <c r="AC714" s="1435"/>
      <c r="AD714" s="1435"/>
      <c r="AE714" s="1435"/>
      <c r="AF714" s="1431" t="s">
        <v>446</v>
      </c>
      <c r="AG714" s="1431"/>
      <c r="AH714" s="574"/>
      <c r="AI714" s="1436" t="s">
        <v>1107</v>
      </c>
      <c r="AJ714" s="1436"/>
      <c r="AK714" s="1436"/>
      <c r="AL714" s="1436"/>
      <c r="AM714" s="585"/>
      <c r="AN714" s="1431" t="s">
        <v>446</v>
      </c>
      <c r="AO714" s="1431"/>
      <c r="AP714" s="585"/>
      <c r="AQ714" s="1436" t="s">
        <v>1108</v>
      </c>
      <c r="AR714" s="1436"/>
      <c r="AS714" s="1436"/>
      <c r="AT714" s="1436"/>
      <c r="AU714" s="1436"/>
      <c r="AV714" s="422"/>
      <c r="AW714" s="1431" t="s">
        <v>446</v>
      </c>
      <c r="AX714" s="1431"/>
      <c r="AY714" s="440"/>
      <c r="AZ714" s="1436" t="s">
        <v>1109</v>
      </c>
      <c r="BA714" s="1436"/>
      <c r="BB714" s="1436"/>
      <c r="BC714" s="1436"/>
      <c r="BD714" s="1436"/>
      <c r="BE714" s="585"/>
      <c r="BF714" s="1431" t="s">
        <v>446</v>
      </c>
      <c r="BG714" s="1431"/>
      <c r="BH714" s="1431">
        <v>1</v>
      </c>
      <c r="BI714" s="1431"/>
      <c r="BJ714" s="1431"/>
      <c r="BK714" s="585"/>
      <c r="BL714" s="585" t="s">
        <v>366</v>
      </c>
      <c r="BM714" s="585"/>
      <c r="BN714" s="585"/>
      <c r="BO714" s="585"/>
      <c r="BP714" s="1431" t="s">
        <v>41</v>
      </c>
      <c r="BQ714" s="1431"/>
      <c r="BR714" s="585"/>
      <c r="BS714" s="585"/>
      <c r="BT714" s="1432">
        <f>INT(V714/8*16/12*25/20*BH714)</f>
        <v>49778</v>
      </c>
      <c r="BU714" s="1432"/>
      <c r="BV714" s="1432"/>
      <c r="BW714" s="1432"/>
      <c r="BX714" s="1432"/>
      <c r="BY714" s="1432"/>
      <c r="BZ714" s="1432"/>
      <c r="CA714" s="1432"/>
      <c r="CB714" s="1432"/>
      <c r="CC714" s="1432"/>
      <c r="CD714" s="585"/>
      <c r="CE714" s="585"/>
      <c r="CF714" s="586"/>
    </row>
    <row r="715" spans="1:88" s="583" customFormat="1" ht="23.1" customHeight="1">
      <c r="A715" s="584"/>
      <c r="B715" s="585"/>
      <c r="C715" s="585"/>
      <c r="D715" s="585"/>
      <c r="E715" s="585"/>
      <c r="F715" s="585"/>
      <c r="G715" s="585"/>
      <c r="H715" s="585"/>
      <c r="I715" s="585"/>
      <c r="J715" s="585"/>
      <c r="K715" s="585"/>
      <c r="L715" s="585"/>
      <c r="M715" s="585"/>
      <c r="N715" s="585"/>
      <c r="O715" s="585"/>
      <c r="P715" s="574"/>
      <c r="Q715" s="574"/>
      <c r="R715" s="574"/>
      <c r="S715" s="574"/>
      <c r="T715" s="574"/>
      <c r="U715" s="574"/>
      <c r="V715" s="574"/>
      <c r="W715" s="574"/>
      <c r="X715" s="574"/>
      <c r="Y715" s="574"/>
      <c r="Z715" s="574"/>
      <c r="AA715" s="574"/>
      <c r="AB715" s="574"/>
      <c r="AC715" s="574"/>
      <c r="AD715" s="574"/>
      <c r="AE715" s="574"/>
      <c r="AF715" s="574"/>
      <c r="AG715" s="574"/>
      <c r="AH715" s="574"/>
      <c r="AI715" s="574"/>
      <c r="AJ715" s="574"/>
      <c r="AK715" s="574"/>
      <c r="AL715" s="574"/>
      <c r="AM715" s="574"/>
      <c r="AN715" s="574"/>
      <c r="AO715" s="574"/>
      <c r="AP715" s="574"/>
      <c r="AQ715" s="574"/>
      <c r="AR715" s="574"/>
      <c r="AS715" s="574"/>
      <c r="AT715" s="574"/>
      <c r="AU715" s="574"/>
      <c r="AV715" s="574"/>
      <c r="AW715" s="574"/>
      <c r="AX715" s="574"/>
      <c r="AY715" s="574"/>
      <c r="AZ715" s="574"/>
      <c r="BA715" s="574"/>
      <c r="BB715" s="574"/>
      <c r="BC715" s="574"/>
      <c r="BD715" s="574"/>
      <c r="BE715" s="574"/>
      <c r="BF715" s="574"/>
      <c r="BG715" s="585"/>
      <c r="BH715" s="585"/>
      <c r="BI715" s="585"/>
      <c r="BJ715" s="585"/>
      <c r="BK715" s="585"/>
      <c r="BL715" s="585"/>
      <c r="BM715" s="585"/>
      <c r="BN715" s="585"/>
      <c r="BO715" s="585"/>
      <c r="BP715" s="1431"/>
      <c r="BQ715" s="1431"/>
      <c r="BR715" s="585"/>
      <c r="BS715" s="585"/>
      <c r="BT715" s="1432"/>
      <c r="BU715" s="1432"/>
      <c r="BV715" s="1432"/>
      <c r="BW715" s="1432"/>
      <c r="BX715" s="1432"/>
      <c r="BY715" s="1432"/>
      <c r="BZ715" s="1432"/>
      <c r="CA715" s="1432"/>
      <c r="CB715" s="1432"/>
      <c r="CC715" s="1432"/>
      <c r="CD715" s="585"/>
      <c r="CE715" s="585"/>
      <c r="CF715" s="586"/>
    </row>
    <row r="716" spans="1:88" s="583" customFormat="1" ht="23.1" customHeight="1">
      <c r="A716" s="584"/>
      <c r="B716" s="585"/>
      <c r="C716" s="585"/>
      <c r="D716" s="585"/>
      <c r="E716" s="585"/>
      <c r="F716" s="585"/>
      <c r="G716" s="585"/>
      <c r="H716" s="585"/>
      <c r="I716" s="585"/>
      <c r="J716" s="585"/>
      <c r="K716" s="585"/>
      <c r="L716" s="585"/>
      <c r="M716" s="585"/>
      <c r="N716" s="585"/>
      <c r="O716" s="585"/>
      <c r="P716" s="585"/>
      <c r="Q716" s="585"/>
      <c r="R716" s="585"/>
      <c r="S716" s="585"/>
      <c r="T716" s="585"/>
      <c r="U716" s="585"/>
      <c r="V716" s="585"/>
      <c r="W716" s="585"/>
      <c r="X716" s="585"/>
      <c r="Y716" s="585"/>
      <c r="Z716" s="585"/>
      <c r="AA716" s="585"/>
      <c r="AB716" s="585"/>
      <c r="AC716" s="585"/>
      <c r="AD716" s="574"/>
      <c r="AE716" s="574"/>
      <c r="AF716" s="574"/>
      <c r="AG716" s="574"/>
      <c r="AH716" s="574"/>
      <c r="AI716" s="574"/>
      <c r="AJ716" s="574"/>
      <c r="AK716" s="574"/>
      <c r="AL716" s="574"/>
      <c r="AM716" s="574"/>
      <c r="AN716" s="574"/>
      <c r="AO716" s="574"/>
      <c r="AP716" s="574"/>
      <c r="AQ716" s="574"/>
      <c r="AR716" s="574"/>
      <c r="AS716" s="585"/>
      <c r="AT716" s="590"/>
      <c r="AU716" s="590"/>
      <c r="AV716" s="585"/>
      <c r="AW716" s="585"/>
      <c r="AX716" s="585"/>
      <c r="AY716" s="585"/>
      <c r="AZ716" s="585"/>
      <c r="BA716" s="585"/>
      <c r="BB716" s="585"/>
      <c r="BC716" s="585"/>
      <c r="BD716" s="585"/>
      <c r="BE716" s="585"/>
      <c r="BF716" s="585"/>
      <c r="BG716" s="585"/>
      <c r="BH716" s="585"/>
      <c r="BI716" s="585"/>
      <c r="BJ716" s="585"/>
      <c r="BK716" s="585"/>
      <c r="BL716" s="585"/>
      <c r="BM716" s="585"/>
      <c r="BN716" s="585"/>
      <c r="BO716" s="585"/>
      <c r="BP716" s="1431" t="s">
        <v>41</v>
      </c>
      <c r="BQ716" s="1431"/>
      <c r="BR716" s="585"/>
      <c r="BS716" s="585"/>
      <c r="BT716" s="1434">
        <f>BT714+BT715</f>
        <v>49778</v>
      </c>
      <c r="BU716" s="1434"/>
      <c r="BV716" s="1434"/>
      <c r="BW716" s="1434"/>
      <c r="BX716" s="1434"/>
      <c r="BY716" s="1434"/>
      <c r="BZ716" s="1434"/>
      <c r="CA716" s="1434"/>
      <c r="CB716" s="1434"/>
      <c r="CC716" s="1434"/>
      <c r="CD716" s="585"/>
      <c r="CE716" s="585"/>
      <c r="CF716" s="586"/>
    </row>
    <row r="717" spans="1:88" s="583" customFormat="1" ht="23.1" customHeight="1">
      <c r="A717" s="592"/>
      <c r="B717" s="593" t="s">
        <v>1110</v>
      </c>
      <c r="C717" s="593"/>
      <c r="D717" s="593"/>
      <c r="E717" s="593"/>
      <c r="F717" s="593"/>
      <c r="G717" s="593"/>
      <c r="H717" s="593"/>
      <c r="I717" s="593"/>
      <c r="J717" s="593"/>
      <c r="K717" s="593"/>
      <c r="L717" s="593"/>
      <c r="M717" s="593"/>
      <c r="N717" s="593"/>
      <c r="O717" s="593"/>
      <c r="P717" s="593"/>
      <c r="Q717" s="593"/>
      <c r="R717" s="593"/>
      <c r="S717" s="593"/>
      <c r="T717" s="593"/>
      <c r="U717" s="593"/>
      <c r="V717" s="593"/>
      <c r="W717" s="593"/>
      <c r="X717" s="593"/>
      <c r="Y717" s="593"/>
      <c r="Z717" s="593"/>
      <c r="AA717" s="593"/>
      <c r="AB717" s="593"/>
      <c r="AC717" s="593"/>
      <c r="AD717" s="593"/>
      <c r="AE717" s="593"/>
      <c r="AF717" s="593"/>
      <c r="AG717" s="593"/>
      <c r="AH717" s="593"/>
      <c r="AI717" s="593"/>
      <c r="AJ717" s="593"/>
      <c r="AK717" s="593"/>
      <c r="AL717" s="593"/>
      <c r="AM717" s="593"/>
      <c r="AN717" s="593"/>
      <c r="AO717" s="593"/>
      <c r="AP717" s="593"/>
      <c r="AQ717" s="593"/>
      <c r="AR717" s="593"/>
      <c r="AS717" s="593"/>
      <c r="AT717" s="593"/>
      <c r="AU717" s="593"/>
      <c r="AV717" s="593"/>
      <c r="AW717" s="593"/>
      <c r="AX717" s="593"/>
      <c r="AY717" s="593"/>
      <c r="AZ717" s="593"/>
      <c r="BA717" s="593"/>
      <c r="BB717" s="593"/>
      <c r="BC717" s="593"/>
      <c r="BD717" s="593"/>
      <c r="BE717" s="593"/>
      <c r="BF717" s="593"/>
      <c r="BG717" s="593"/>
      <c r="BH717" s="593"/>
      <c r="BI717" s="593"/>
      <c r="BJ717" s="593"/>
      <c r="BK717" s="593"/>
      <c r="BL717" s="593"/>
      <c r="BM717" s="593"/>
      <c r="BN717" s="593"/>
      <c r="BO717" s="593"/>
      <c r="BP717" s="593"/>
      <c r="BQ717" s="593"/>
      <c r="BR717" s="593"/>
      <c r="BS717" s="593"/>
      <c r="BT717" s="593"/>
      <c r="BU717" s="593"/>
      <c r="BV717" s="593"/>
      <c r="BW717" s="593"/>
      <c r="BX717" s="593"/>
      <c r="BY717" s="593"/>
      <c r="BZ717" s="593"/>
      <c r="CA717" s="593"/>
      <c r="CB717" s="593"/>
      <c r="CC717" s="593"/>
      <c r="CD717" s="593"/>
      <c r="CE717" s="593"/>
      <c r="CF717" s="595"/>
    </row>
    <row r="718" spans="1:88" s="583" customFormat="1" ht="23.1" customHeight="1">
      <c r="A718" s="584"/>
      <c r="B718" s="585"/>
      <c r="C718" s="585"/>
      <c r="D718" s="596" t="s">
        <v>1094</v>
      </c>
      <c r="E718" s="585"/>
      <c r="F718" s="585"/>
      <c r="G718" s="585"/>
      <c r="H718" s="585"/>
      <c r="I718" s="585"/>
      <c r="J718" s="585"/>
      <c r="K718" s="585"/>
      <c r="L718" s="585"/>
      <c r="M718" s="585"/>
      <c r="N718" s="585"/>
      <c r="O718" s="585"/>
      <c r="P718" s="585"/>
      <c r="Q718" s="585"/>
      <c r="R718" s="585"/>
      <c r="S718" s="585"/>
      <c r="T718" s="585"/>
      <c r="U718" s="585"/>
      <c r="V718" s="585"/>
      <c r="W718" s="585"/>
      <c r="X718" s="585"/>
      <c r="Y718" s="585"/>
      <c r="Z718" s="585"/>
      <c r="AA718" s="585"/>
      <c r="AB718" s="585"/>
      <c r="AC718" s="585"/>
      <c r="AD718" s="585"/>
      <c r="AE718" s="585"/>
      <c r="AF718" s="585"/>
      <c r="AG718" s="585"/>
      <c r="AH718" s="585"/>
      <c r="AI718" s="585"/>
      <c r="AJ718" s="585"/>
      <c r="AK718" s="585"/>
      <c r="AL718" s="585"/>
      <c r="AM718" s="585"/>
      <c r="AN718" s="585"/>
      <c r="AO718" s="585"/>
      <c r="AP718" s="585"/>
      <c r="AQ718" s="585"/>
      <c r="AR718" s="422"/>
      <c r="AS718" s="1435" t="e">
        <f>HLOOKUP(D718,$CN$1:$CO$3,3,0)</f>
        <v>#REF!</v>
      </c>
      <c r="AT718" s="1435"/>
      <c r="AU718" s="1435"/>
      <c r="AV718" s="1435"/>
      <c r="AW718" s="1435"/>
      <c r="AX718" s="1435"/>
      <c r="AY718" s="1435"/>
      <c r="AZ718" s="1435"/>
      <c r="BA718" s="1435"/>
      <c r="BB718" s="1435"/>
      <c r="BC718" s="585"/>
      <c r="BD718" s="1431" t="s">
        <v>446</v>
      </c>
      <c r="BE718" s="1431"/>
      <c r="BF718" s="585"/>
      <c r="BG718" s="1431">
        <v>23</v>
      </c>
      <c r="BH718" s="1431"/>
      <c r="BI718" s="1431"/>
      <c r="BJ718" s="1431"/>
      <c r="BK718" s="1431"/>
      <c r="BL718" s="585" t="s">
        <v>1111</v>
      </c>
      <c r="BM718" s="585"/>
      <c r="BN718" s="585"/>
      <c r="BO718" s="585"/>
      <c r="BP718" s="1431" t="s">
        <v>41</v>
      </c>
      <c r="BQ718" s="1431"/>
      <c r="BR718" s="585"/>
      <c r="BS718" s="585"/>
      <c r="BT718" s="1432" t="e">
        <f>INT(AS718*BG718)</f>
        <v>#REF!</v>
      </c>
      <c r="BU718" s="1432"/>
      <c r="BV718" s="1432"/>
      <c r="BW718" s="1432"/>
      <c r="BX718" s="1432"/>
      <c r="BY718" s="1432"/>
      <c r="BZ718" s="1432"/>
      <c r="CA718" s="1432"/>
      <c r="CB718" s="1432"/>
      <c r="CC718" s="1432"/>
      <c r="CD718" s="585"/>
      <c r="CE718" s="585"/>
      <c r="CF718" s="586"/>
    </row>
    <row r="719" spans="1:88" s="583" customFormat="1" ht="23.1" customHeight="1">
      <c r="A719" s="584"/>
      <c r="B719" s="585"/>
      <c r="C719" s="585"/>
      <c r="D719" s="591" t="str">
        <f>"잡재료 (주연료의 "&amp;BG719&amp;"%) :"</f>
        <v>잡재료 (주연료의 38%) :</v>
      </c>
      <c r="E719" s="585"/>
      <c r="F719" s="585"/>
      <c r="G719" s="585"/>
      <c r="H719" s="585"/>
      <c r="I719" s="585"/>
      <c r="J719" s="585"/>
      <c r="K719" s="585"/>
      <c r="L719" s="585"/>
      <c r="M719" s="585"/>
      <c r="N719" s="585"/>
      <c r="O719" s="585"/>
      <c r="P719" s="585"/>
      <c r="Q719" s="585"/>
      <c r="R719" s="585"/>
      <c r="S719" s="585"/>
      <c r="T719" s="585"/>
      <c r="U719" s="585"/>
      <c r="V719" s="585"/>
      <c r="W719" s="585"/>
      <c r="X719" s="585"/>
      <c r="Y719" s="585"/>
      <c r="Z719" s="585"/>
      <c r="AA719" s="585"/>
      <c r="AB719" s="585"/>
      <c r="AC719" s="585"/>
      <c r="AD719" s="585"/>
      <c r="AE719" s="585"/>
      <c r="AF719" s="585"/>
      <c r="AG719" s="585"/>
      <c r="AH719" s="585"/>
      <c r="AI719" s="585"/>
      <c r="AJ719" s="585"/>
      <c r="AK719" s="585"/>
      <c r="AL719" s="585"/>
      <c r="AM719" s="585"/>
      <c r="AN719" s="585"/>
      <c r="AO719" s="585"/>
      <c r="AP719" s="585"/>
      <c r="AQ719" s="585"/>
      <c r="AR719" s="422" t="e">
        <f>BT718</f>
        <v>#REF!</v>
      </c>
      <c r="AS719" s="1430" t="e">
        <f>BT718</f>
        <v>#REF!</v>
      </c>
      <c r="AT719" s="1430"/>
      <c r="AU719" s="1430"/>
      <c r="AV719" s="1430"/>
      <c r="AW719" s="1430"/>
      <c r="AX719" s="1430"/>
      <c r="AY719" s="1430"/>
      <c r="AZ719" s="1430"/>
      <c r="BA719" s="1430"/>
      <c r="BB719" s="1430"/>
      <c r="BC719" s="585"/>
      <c r="BD719" s="1431" t="s">
        <v>446</v>
      </c>
      <c r="BE719" s="1431"/>
      <c r="BF719" s="585"/>
      <c r="BG719" s="1431">
        <v>38</v>
      </c>
      <c r="BH719" s="1431"/>
      <c r="BI719" s="1431"/>
      <c r="BJ719" s="1431"/>
      <c r="BK719" s="1431"/>
      <c r="BL719" s="585" t="s">
        <v>1112</v>
      </c>
      <c r="BM719" s="585"/>
      <c r="BN719" s="585"/>
      <c r="BO719" s="585"/>
      <c r="BP719" s="1431" t="s">
        <v>41</v>
      </c>
      <c r="BQ719" s="1431"/>
      <c r="BR719" s="585"/>
      <c r="BS719" s="585"/>
      <c r="BT719" s="1432" t="e">
        <f>INT(AS719*BG719/100)</f>
        <v>#REF!</v>
      </c>
      <c r="BU719" s="1432"/>
      <c r="BV719" s="1432"/>
      <c r="BW719" s="1432"/>
      <c r="BX719" s="1432"/>
      <c r="BY719" s="1432"/>
      <c r="BZ719" s="1432"/>
      <c r="CA719" s="1432"/>
      <c r="CB719" s="1432"/>
      <c r="CC719" s="1432"/>
      <c r="CD719" s="585"/>
      <c r="CE719" s="585"/>
      <c r="CF719" s="586"/>
    </row>
    <row r="720" spans="1:88" s="583" customFormat="1" ht="23.1" customHeight="1" thickBot="1">
      <c r="A720" s="584"/>
      <c r="B720" s="585"/>
      <c r="C720" s="585"/>
      <c r="D720" s="585"/>
      <c r="E720" s="585"/>
      <c r="F720" s="585"/>
      <c r="G720" s="585"/>
      <c r="H720" s="585"/>
      <c r="I720" s="585"/>
      <c r="J720" s="585"/>
      <c r="K720" s="585"/>
      <c r="L720" s="585"/>
      <c r="M720" s="585"/>
      <c r="N720" s="585"/>
      <c r="O720" s="585"/>
      <c r="P720" s="585"/>
      <c r="Q720" s="585"/>
      <c r="R720" s="585"/>
      <c r="S720" s="585"/>
      <c r="T720" s="585"/>
      <c r="U720" s="585"/>
      <c r="V720" s="585"/>
      <c r="W720" s="585"/>
      <c r="X720" s="585"/>
      <c r="Y720" s="585"/>
      <c r="Z720" s="585"/>
      <c r="AA720" s="585"/>
      <c r="AB720" s="585"/>
      <c r="AC720" s="585"/>
      <c r="AD720" s="585"/>
      <c r="AE720" s="585"/>
      <c r="AF720" s="585"/>
      <c r="AG720" s="585"/>
      <c r="AH720" s="585"/>
      <c r="AI720" s="585"/>
      <c r="AJ720" s="585"/>
      <c r="AK720" s="585"/>
      <c r="AL720" s="585"/>
      <c r="AM720" s="585"/>
      <c r="AN720" s="585"/>
      <c r="AO720" s="585"/>
      <c r="AP720" s="585"/>
      <c r="AQ720" s="585"/>
      <c r="AR720" s="585"/>
      <c r="AS720" s="585"/>
      <c r="AT720" s="585"/>
      <c r="AU720" s="585"/>
      <c r="AV720" s="585"/>
      <c r="AW720" s="585"/>
      <c r="AX720" s="585"/>
      <c r="AY720" s="585"/>
      <c r="AZ720" s="585"/>
      <c r="BA720" s="585"/>
      <c r="BB720" s="585"/>
      <c r="BC720" s="585"/>
      <c r="BD720" s="585"/>
      <c r="BE720" s="585"/>
      <c r="BF720" s="585"/>
      <c r="BG720" s="585"/>
      <c r="BH720" s="585"/>
      <c r="BI720" s="585"/>
      <c r="BJ720" s="585"/>
      <c r="BK720" s="585"/>
      <c r="BL720" s="585"/>
      <c r="BM720" s="585"/>
      <c r="BN720" s="585"/>
      <c r="BO720" s="585"/>
      <c r="BP720" s="1431" t="s">
        <v>41</v>
      </c>
      <c r="BQ720" s="1431"/>
      <c r="BR720" s="585"/>
      <c r="BS720" s="585"/>
      <c r="BT720" s="1433" t="e">
        <f>BT718+BT719</f>
        <v>#REF!</v>
      </c>
      <c r="BU720" s="1433"/>
      <c r="BV720" s="1433"/>
      <c r="BW720" s="1433"/>
      <c r="BX720" s="1433"/>
      <c r="BY720" s="1433"/>
      <c r="BZ720" s="1433"/>
      <c r="CA720" s="1433"/>
      <c r="CB720" s="1433"/>
      <c r="CC720" s="1433"/>
      <c r="CD720" s="585"/>
      <c r="CE720" s="585"/>
      <c r="CF720" s="586"/>
    </row>
    <row r="721" spans="1:84" s="583" customFormat="1" ht="23.1" customHeight="1" thickBot="1">
      <c r="A721" s="597"/>
      <c r="B721" s="598" t="s">
        <v>1113</v>
      </c>
      <c r="C721" s="598"/>
      <c r="D721" s="598"/>
      <c r="E721" s="598"/>
      <c r="F721" s="598"/>
      <c r="G721" s="598"/>
      <c r="H721" s="598"/>
      <c r="I721" s="598"/>
      <c r="J721" s="598"/>
      <c r="K721" s="598"/>
      <c r="L721" s="598"/>
      <c r="M721" s="598"/>
      <c r="N721" s="598"/>
      <c r="O721" s="598"/>
      <c r="P721" s="598"/>
      <c r="Q721" s="598"/>
      <c r="R721" s="598"/>
      <c r="S721" s="598"/>
      <c r="T721" s="598"/>
      <c r="U721" s="598"/>
      <c r="V721" s="598"/>
      <c r="W721" s="598"/>
      <c r="X721" s="598"/>
      <c r="Y721" s="598"/>
      <c r="Z721" s="598"/>
      <c r="AA721" s="598"/>
      <c r="AB721" s="598"/>
      <c r="AC721" s="598"/>
      <c r="AD721" s="598"/>
      <c r="AE721" s="598"/>
      <c r="AF721" s="598"/>
      <c r="AG721" s="598"/>
      <c r="AH721" s="598"/>
      <c r="AI721" s="598"/>
      <c r="AJ721" s="598"/>
      <c r="AK721" s="598"/>
      <c r="AL721" s="598"/>
      <c r="AM721" s="598"/>
      <c r="AN721" s="598"/>
      <c r="AO721" s="598"/>
      <c r="AP721" s="598"/>
      <c r="AQ721" s="598"/>
      <c r="AR721" s="598"/>
      <c r="AS721" s="598"/>
      <c r="AT721" s="598"/>
      <c r="AU721" s="598"/>
      <c r="AV721" s="598"/>
      <c r="AW721" s="598"/>
      <c r="AX721" s="598"/>
      <c r="AY721" s="598"/>
      <c r="AZ721" s="598"/>
      <c r="BA721" s="598"/>
      <c r="BB721" s="598"/>
      <c r="BC721" s="598"/>
      <c r="BD721" s="598"/>
      <c r="BE721" s="598"/>
      <c r="BF721" s="598"/>
      <c r="BG721" s="598"/>
      <c r="BH721" s="598"/>
      <c r="BI721" s="598"/>
      <c r="BJ721" s="598"/>
      <c r="BK721" s="598"/>
      <c r="BL721" s="598"/>
      <c r="BM721" s="598"/>
      <c r="BN721" s="598"/>
      <c r="BO721" s="598"/>
      <c r="BP721" s="598"/>
      <c r="BQ721" s="598"/>
      <c r="BR721" s="598"/>
      <c r="BS721" s="598"/>
      <c r="BT721" s="1429" t="e">
        <f>BT712+BT716+BT720</f>
        <v>#REF!</v>
      </c>
      <c r="BU721" s="1429"/>
      <c r="BV721" s="1429"/>
      <c r="BW721" s="1429"/>
      <c r="BX721" s="1429"/>
      <c r="BY721" s="1429"/>
      <c r="BZ721" s="1429"/>
      <c r="CA721" s="1429"/>
      <c r="CB721" s="1429"/>
      <c r="CC721" s="1429"/>
      <c r="CD721" s="598"/>
      <c r="CE721" s="598"/>
      <c r="CF721" s="599"/>
    </row>
    <row r="722" spans="1:84" s="583" customFormat="1" ht="9.9499999999999993" customHeight="1">
      <c r="A722" s="574"/>
      <c r="B722" s="574"/>
      <c r="C722" s="574"/>
      <c r="D722" s="574"/>
      <c r="E722" s="574"/>
      <c r="F722" s="574"/>
      <c r="G722" s="574"/>
      <c r="H722" s="574"/>
      <c r="I722" s="574"/>
      <c r="J722" s="574"/>
      <c r="K722" s="574"/>
      <c r="L722" s="574"/>
      <c r="M722" s="574"/>
      <c r="N722" s="574"/>
      <c r="O722" s="574"/>
      <c r="P722" s="574"/>
      <c r="Q722" s="574"/>
      <c r="R722" s="574"/>
      <c r="S722" s="574"/>
      <c r="T722" s="574"/>
      <c r="U722" s="574"/>
      <c r="V722" s="574"/>
      <c r="W722" s="574"/>
      <c r="X722" s="574"/>
      <c r="Y722" s="574"/>
      <c r="Z722" s="574"/>
      <c r="AA722" s="574"/>
      <c r="AB722" s="574"/>
      <c r="AC722" s="574"/>
      <c r="AD722" s="574"/>
      <c r="AE722" s="574"/>
      <c r="AF722" s="574"/>
      <c r="AG722" s="574"/>
      <c r="AH722" s="574"/>
      <c r="AI722" s="574"/>
      <c r="AJ722" s="574"/>
      <c r="AK722" s="574"/>
      <c r="AL722" s="574"/>
      <c r="AM722" s="574"/>
      <c r="AN722" s="574"/>
      <c r="AO722" s="574"/>
      <c r="AP722" s="574"/>
      <c r="AQ722" s="574"/>
      <c r="AR722" s="574"/>
      <c r="AS722" s="574"/>
      <c r="AT722" s="574"/>
      <c r="AU722" s="574"/>
      <c r="AV722" s="574"/>
      <c r="AW722" s="574"/>
      <c r="AX722" s="574"/>
      <c r="AY722" s="574"/>
      <c r="AZ722" s="574"/>
      <c r="BA722" s="574"/>
      <c r="BB722" s="574"/>
      <c r="BC722" s="574"/>
      <c r="BD722" s="574"/>
      <c r="BE722" s="574"/>
      <c r="BF722" s="574"/>
      <c r="BG722" s="574"/>
      <c r="BH722" s="574"/>
      <c r="BI722" s="574"/>
      <c r="BJ722" s="574"/>
      <c r="BK722" s="574"/>
      <c r="BL722" s="574"/>
      <c r="BM722" s="574"/>
      <c r="BN722" s="574"/>
      <c r="BO722" s="574"/>
      <c r="BP722" s="574"/>
      <c r="BQ722" s="574"/>
      <c r="BR722" s="574"/>
      <c r="BS722" s="574"/>
      <c r="BT722" s="574"/>
      <c r="BU722" s="574"/>
      <c r="BV722" s="574"/>
      <c r="BW722" s="574"/>
      <c r="BX722" s="574"/>
      <c r="BY722" s="574"/>
      <c r="BZ722" s="574"/>
      <c r="CA722" s="574"/>
      <c r="CB722" s="574"/>
      <c r="CC722" s="574"/>
      <c r="CD722" s="574"/>
      <c r="CE722" s="574"/>
      <c r="CF722" s="574"/>
    </row>
    <row r="723" spans="1:84" s="583" customFormat="1" ht="23.1" customHeight="1" thickBot="1">
      <c r="A723" s="1446" t="s">
        <v>1095</v>
      </c>
      <c r="B723" s="1446"/>
      <c r="C723" s="1446"/>
      <c r="D723" s="1446"/>
      <c r="E723" s="1446"/>
      <c r="F723" s="1446"/>
      <c r="G723" s="1447">
        <f>G708+1</f>
        <v>49</v>
      </c>
      <c r="H723" s="1447"/>
      <c r="I723" s="1447"/>
      <c r="J723" s="1448" t="s">
        <v>1096</v>
      </c>
      <c r="K723" s="1448"/>
      <c r="L723" s="574"/>
      <c r="M723" s="574"/>
      <c r="N723" s="574"/>
      <c r="O723" s="574"/>
      <c r="P723" s="574"/>
      <c r="Q723" s="574"/>
      <c r="R723" s="574"/>
      <c r="S723" s="574"/>
      <c r="T723" s="574"/>
      <c r="U723" s="574"/>
      <c r="V723" s="574"/>
      <c r="W723" s="574"/>
      <c r="X723" s="574"/>
      <c r="Y723" s="574"/>
      <c r="Z723" s="574"/>
      <c r="AA723" s="574"/>
      <c r="AB723" s="574"/>
      <c r="AC723" s="574"/>
      <c r="AD723" s="574"/>
      <c r="AE723" s="574"/>
      <c r="AF723" s="574"/>
      <c r="AG723" s="574"/>
      <c r="AH723" s="574"/>
      <c r="AI723" s="574"/>
      <c r="AJ723" s="574"/>
      <c r="AK723" s="574"/>
      <c r="AL723" s="574"/>
      <c r="AM723" s="574"/>
      <c r="AN723" s="574"/>
      <c r="AO723" s="574"/>
      <c r="AP723" s="574"/>
      <c r="AQ723" s="574"/>
      <c r="AR723" s="574"/>
      <c r="AS723" s="574"/>
      <c r="AT723" s="574"/>
      <c r="AU723" s="574"/>
      <c r="AV723" s="574"/>
      <c r="AW723" s="574"/>
      <c r="AX723" s="574"/>
      <c r="AY723" s="574"/>
      <c r="AZ723" s="574"/>
      <c r="BA723" s="574"/>
      <c r="BB723" s="574"/>
      <c r="BC723" s="574"/>
      <c r="BD723" s="574"/>
      <c r="BE723" s="574"/>
      <c r="BF723" s="574"/>
      <c r="BG723" s="574"/>
      <c r="BH723" s="574"/>
      <c r="BI723" s="574"/>
      <c r="BJ723" s="574"/>
      <c r="BK723" s="574"/>
      <c r="BL723" s="574"/>
      <c r="BM723" s="574"/>
      <c r="BN723" s="574"/>
      <c r="BO723" s="574"/>
      <c r="BP723" s="574"/>
      <c r="BQ723" s="574"/>
      <c r="BR723" s="574"/>
      <c r="BS723" s="574"/>
      <c r="BT723" s="574"/>
      <c r="BU723" s="574"/>
      <c r="BV723" s="574"/>
      <c r="BW723" s="574"/>
      <c r="BX723" s="574"/>
      <c r="BY723" s="574"/>
      <c r="BZ723" s="574"/>
      <c r="CA723" s="574"/>
      <c r="CB723" s="574"/>
      <c r="CC723" s="574"/>
      <c r="CD723" s="574"/>
      <c r="CE723" s="574"/>
      <c r="CF723" s="574"/>
    </row>
    <row r="724" spans="1:84" s="583" customFormat="1" ht="23.1" customHeight="1" thickBot="1">
      <c r="A724" s="1483" t="s">
        <v>1097</v>
      </c>
      <c r="B724" s="1484"/>
      <c r="C724" s="1484"/>
      <c r="D724" s="1484"/>
      <c r="E724" s="1484"/>
      <c r="F724" s="1484"/>
      <c r="G724" s="1484"/>
      <c r="H724" s="1484"/>
      <c r="I724" s="581" t="s">
        <v>1172</v>
      </c>
      <c r="J724" s="581"/>
      <c r="K724" s="581"/>
      <c r="L724" s="581"/>
      <c r="M724" s="581"/>
      <c r="N724" s="581"/>
      <c r="O724" s="581"/>
      <c r="P724" s="581"/>
      <c r="Q724" s="581"/>
      <c r="R724" s="581"/>
      <c r="S724" s="581"/>
      <c r="T724" s="581"/>
      <c r="U724" s="581"/>
      <c r="V724" s="581"/>
      <c r="W724" s="581"/>
      <c r="X724" s="581"/>
      <c r="Y724" s="581"/>
      <c r="Z724" s="581"/>
      <c r="AA724" s="581"/>
      <c r="AB724" s="581"/>
      <c r="AC724" s="581"/>
      <c r="AD724" s="581"/>
      <c r="AE724" s="581"/>
      <c r="AF724" s="581"/>
      <c r="AG724" s="581"/>
      <c r="AH724" s="581"/>
      <c r="AI724" s="581"/>
      <c r="AJ724" s="1484" t="s">
        <v>1099</v>
      </c>
      <c r="AK724" s="1484"/>
      <c r="AL724" s="1484"/>
      <c r="AM724" s="1484"/>
      <c r="AN724" s="1484"/>
      <c r="AO724" s="1484"/>
      <c r="AP724" s="1484"/>
      <c r="AQ724" s="581" t="s">
        <v>1173</v>
      </c>
      <c r="AR724" s="581"/>
      <c r="AS724" s="581"/>
      <c r="AT724" s="581"/>
      <c r="AU724" s="581"/>
      <c r="AV724" s="581"/>
      <c r="AW724" s="581"/>
      <c r="AX724" s="581"/>
      <c r="AY724" s="581"/>
      <c r="AZ724" s="581"/>
      <c r="BA724" s="581"/>
      <c r="BB724" s="581"/>
      <c r="BC724" s="581"/>
      <c r="BD724" s="581"/>
      <c r="BE724" s="581"/>
      <c r="BF724" s="581"/>
      <c r="BG724" s="581"/>
      <c r="BH724" s="581"/>
      <c r="BI724" s="581"/>
      <c r="BJ724" s="581"/>
      <c r="BK724" s="581"/>
      <c r="BL724" s="581"/>
      <c r="BM724" s="581"/>
      <c r="BN724" s="581"/>
      <c r="BO724" s="581"/>
      <c r="BP724" s="581"/>
      <c r="BQ724" s="581"/>
      <c r="BR724" s="581"/>
      <c r="BS724" s="581"/>
      <c r="BT724" s="581" t="s">
        <v>1174</v>
      </c>
      <c r="BU724" s="581"/>
      <c r="BV724" s="581"/>
      <c r="BW724" s="581"/>
      <c r="BX724" s="581"/>
      <c r="BY724" s="581"/>
      <c r="BZ724" s="581"/>
      <c r="CA724" s="581"/>
      <c r="CB724" s="581"/>
      <c r="CC724" s="581"/>
      <c r="CD724" s="581"/>
      <c r="CE724" s="581"/>
      <c r="CF724" s="582"/>
    </row>
    <row r="725" spans="1:84" s="583" customFormat="1" ht="23.1" customHeight="1">
      <c r="A725" s="584"/>
      <c r="B725" s="585" t="s">
        <v>1102</v>
      </c>
      <c r="C725" s="585"/>
      <c r="D725" s="585"/>
      <c r="E725" s="585"/>
      <c r="F725" s="585"/>
      <c r="G725" s="585"/>
      <c r="H725" s="585"/>
      <c r="I725" s="585"/>
      <c r="J725" s="585"/>
      <c r="K725" s="585"/>
      <c r="L725" s="585"/>
      <c r="M725" s="585"/>
      <c r="N725" s="585"/>
      <c r="O725" s="585"/>
      <c r="P725" s="585"/>
      <c r="Q725" s="585"/>
      <c r="R725" s="585"/>
      <c r="S725" s="585"/>
      <c r="T725" s="585"/>
      <c r="U725" s="585"/>
      <c r="V725" s="585"/>
      <c r="W725" s="585"/>
      <c r="X725" s="585"/>
      <c r="Y725" s="585"/>
      <c r="Z725" s="585"/>
      <c r="AA725" s="585"/>
      <c r="AB725" s="585"/>
      <c r="AC725" s="585"/>
      <c r="AD725" s="585"/>
      <c r="AE725" s="585"/>
      <c r="AF725" s="585"/>
      <c r="AG725" s="585"/>
      <c r="AH725" s="585"/>
      <c r="AI725" s="585"/>
      <c r="AJ725" s="585"/>
      <c r="AK725" s="585"/>
      <c r="AL725" s="585"/>
      <c r="AM725" s="585"/>
      <c r="AN725" s="585"/>
      <c r="AO725" s="585"/>
      <c r="AP725" s="585"/>
      <c r="AQ725" s="585"/>
      <c r="AR725" s="585"/>
      <c r="AS725" s="585"/>
      <c r="AT725" s="585"/>
      <c r="AU725" s="585"/>
      <c r="AV725" s="585"/>
      <c r="AW725" s="585"/>
      <c r="AX725" s="585"/>
      <c r="AY725" s="585"/>
      <c r="AZ725" s="585"/>
      <c r="BA725" s="585"/>
      <c r="BB725" s="585"/>
      <c r="BC725" s="585"/>
      <c r="BD725" s="585"/>
      <c r="BE725" s="585"/>
      <c r="BF725" s="585"/>
      <c r="BG725" s="585"/>
      <c r="BH725" s="585"/>
      <c r="BI725" s="585"/>
      <c r="BJ725" s="585"/>
      <c r="BK725" s="585"/>
      <c r="BL725" s="585"/>
      <c r="BM725" s="585"/>
      <c r="BN725" s="585"/>
      <c r="BO725" s="585"/>
      <c r="BP725" s="585"/>
      <c r="BQ725" s="585"/>
      <c r="BR725" s="585"/>
      <c r="BS725" s="585"/>
      <c r="BT725" s="585"/>
      <c r="BU725" s="585"/>
      <c r="BV725" s="585"/>
      <c r="BW725" s="585"/>
      <c r="BX725" s="585"/>
      <c r="BY725" s="585"/>
      <c r="BZ725" s="585"/>
      <c r="CA725" s="585"/>
      <c r="CB725" s="585"/>
      <c r="CC725" s="585"/>
      <c r="CD725" s="585"/>
      <c r="CE725" s="585"/>
      <c r="CF725" s="586"/>
    </row>
    <row r="726" spans="1:84" s="583" customFormat="1" ht="23.1" customHeight="1">
      <c r="A726" s="587"/>
      <c r="B726" s="574"/>
      <c r="C726" s="574"/>
      <c r="D726" s="405"/>
      <c r="E726" s="574"/>
      <c r="F726" s="422"/>
      <c r="G726" s="422"/>
      <c r="H726" s="422"/>
      <c r="I726" s="422"/>
      <c r="J726" s="422"/>
      <c r="K726" s="422"/>
      <c r="L726" s="422"/>
      <c r="M726" s="422"/>
      <c r="N726" s="574"/>
      <c r="O726" s="574"/>
      <c r="P726" s="574"/>
      <c r="Q726" s="574"/>
      <c r="R726" s="574"/>
      <c r="S726" s="1430"/>
      <c r="T726" s="1430"/>
      <c r="U726" s="1430"/>
      <c r="V726" s="1430"/>
      <c r="W726" s="1430"/>
      <c r="X726" s="1430"/>
      <c r="Y726" s="1430"/>
      <c r="Z726" s="1430"/>
      <c r="AA726" s="574"/>
      <c r="AB726" s="588"/>
      <c r="AC726" s="1431"/>
      <c r="AD726" s="1431"/>
      <c r="AE726" s="1498"/>
      <c r="AF726" s="1498"/>
      <c r="AG726" s="1498"/>
      <c r="AH726" s="1498"/>
      <c r="AI726" s="1498"/>
      <c r="AJ726" s="1498"/>
      <c r="AK726" s="1498"/>
      <c r="AL726" s="1498"/>
      <c r="AM726" s="1431"/>
      <c r="AN726" s="1431"/>
      <c r="AO726" s="574"/>
      <c r="AP726" s="1486"/>
      <c r="AQ726" s="1486"/>
      <c r="AR726" s="1486"/>
      <c r="AS726" s="1486"/>
      <c r="AT726" s="1486"/>
      <c r="AU726" s="1486"/>
      <c r="AV726" s="1486"/>
      <c r="AW726" s="1486"/>
      <c r="AX726" s="1486"/>
      <c r="AY726" s="1486"/>
      <c r="AZ726" s="1486"/>
      <c r="BA726" s="1486"/>
      <c r="BB726" s="1486"/>
      <c r="BC726" s="1486"/>
      <c r="BD726" s="574"/>
      <c r="BE726" s="574"/>
      <c r="BF726" s="574"/>
      <c r="BG726" s="574"/>
      <c r="BH726" s="574"/>
      <c r="BI726" s="574"/>
      <c r="BJ726" s="574"/>
      <c r="BK726" s="574"/>
      <c r="BL726" s="574"/>
      <c r="BM726" s="574"/>
      <c r="BN726" s="574"/>
      <c r="BO726" s="574"/>
      <c r="BP726" s="574"/>
      <c r="BQ726" s="574"/>
      <c r="BR726" s="574"/>
      <c r="BS726" s="574"/>
      <c r="BT726" s="574"/>
      <c r="BU726" s="574"/>
      <c r="BV726" s="574"/>
      <c r="BW726" s="574"/>
      <c r="BX726" s="574"/>
      <c r="BY726" s="574"/>
      <c r="BZ726" s="574"/>
      <c r="CA726" s="574"/>
      <c r="CB726" s="574"/>
      <c r="CC726" s="574"/>
      <c r="CD726" s="574"/>
      <c r="CE726" s="574"/>
      <c r="CF726" s="589"/>
    </row>
    <row r="727" spans="1:84" s="583" customFormat="1" ht="23.1" customHeight="1">
      <c r="A727" s="584"/>
      <c r="B727" s="585"/>
      <c r="C727" s="585"/>
      <c r="D727" s="585"/>
      <c r="E727" s="585"/>
      <c r="F727" s="585"/>
      <c r="G727" s="585"/>
      <c r="H727" s="585"/>
      <c r="I727" s="585"/>
      <c r="J727" s="585"/>
      <c r="K727" s="585"/>
      <c r="L727" s="585"/>
      <c r="M727" s="585"/>
      <c r="N727" s="585"/>
      <c r="O727" s="585"/>
      <c r="P727" s="585"/>
      <c r="Q727" s="585"/>
      <c r="R727" s="585"/>
      <c r="S727" s="585"/>
      <c r="T727" s="585"/>
      <c r="U727" s="585"/>
      <c r="V727" s="590"/>
      <c r="W727" s="590"/>
      <c r="X727" s="590"/>
      <c r="Y727" s="590"/>
      <c r="Z727" s="590"/>
      <c r="AA727" s="590"/>
      <c r="AB727" s="590"/>
      <c r="AC727" s="590"/>
      <c r="AD727" s="574"/>
      <c r="AE727" s="1440">
        <v>57150000</v>
      </c>
      <c r="AF727" s="1440"/>
      <c r="AG727" s="1440"/>
      <c r="AH727" s="1440"/>
      <c r="AI727" s="1440"/>
      <c r="AJ727" s="1440"/>
      <c r="AK727" s="1440"/>
      <c r="AL727" s="1440"/>
      <c r="AM727" s="1440"/>
      <c r="AN727" s="1440"/>
      <c r="AO727" s="1440"/>
      <c r="AP727" s="1440"/>
      <c r="AQ727" s="1440"/>
      <c r="AR727" s="1440"/>
      <c r="AS727" s="1440"/>
      <c r="AT727" s="1431" t="s">
        <v>446</v>
      </c>
      <c r="AU727" s="1431"/>
      <c r="AV727" s="1441" t="s">
        <v>1103</v>
      </c>
      <c r="AW727" s="1441"/>
      <c r="AX727" s="1442">
        <v>1802</v>
      </c>
      <c r="AY727" s="1442"/>
      <c r="AZ727" s="1442"/>
      <c r="BA727" s="1442"/>
      <c r="BB727" s="1442"/>
      <c r="BC727" s="1442"/>
      <c r="BD727" s="585"/>
      <c r="BE727" s="1431" t="s">
        <v>446</v>
      </c>
      <c r="BF727" s="1431"/>
      <c r="BG727" s="585"/>
      <c r="BH727" s="591" t="s">
        <v>1104</v>
      </c>
      <c r="BI727" s="585"/>
      <c r="BJ727" s="585"/>
      <c r="BK727" s="585"/>
      <c r="BL727" s="1431" t="s">
        <v>1105</v>
      </c>
      <c r="BM727" s="1431"/>
      <c r="BN727" s="1431"/>
      <c r="BO727" s="585"/>
      <c r="BP727" s="1431" t="s">
        <v>41</v>
      </c>
      <c r="BQ727" s="1431"/>
      <c r="BR727" s="585"/>
      <c r="BS727" s="585"/>
      <c r="BT727" s="1437">
        <f>INT(AE727*AX727*10^-7)</f>
        <v>10298</v>
      </c>
      <c r="BU727" s="1437"/>
      <c r="BV727" s="1437"/>
      <c r="BW727" s="1437"/>
      <c r="BX727" s="1437"/>
      <c r="BY727" s="1437"/>
      <c r="BZ727" s="1437"/>
      <c r="CA727" s="1437"/>
      <c r="CB727" s="1437"/>
      <c r="CC727" s="1437"/>
      <c r="CD727" s="585"/>
      <c r="CE727" s="585"/>
      <c r="CF727" s="586"/>
    </row>
    <row r="728" spans="1:84" s="583" customFormat="1" ht="23.1" customHeight="1">
      <c r="A728" s="592"/>
      <c r="B728" s="593" t="s">
        <v>1106</v>
      </c>
      <c r="C728" s="593"/>
      <c r="D728" s="593"/>
      <c r="E728" s="593"/>
      <c r="F728" s="593"/>
      <c r="G728" s="593"/>
      <c r="H728" s="593"/>
      <c r="I728" s="593"/>
      <c r="J728" s="593"/>
      <c r="K728" s="593"/>
      <c r="L728" s="593"/>
      <c r="M728" s="593"/>
      <c r="N728" s="593"/>
      <c r="O728" s="593"/>
      <c r="P728" s="593"/>
      <c r="Q728" s="593"/>
      <c r="R728" s="593"/>
      <c r="S728" s="593"/>
      <c r="T728" s="593"/>
      <c r="U728" s="593"/>
      <c r="V728" s="593"/>
      <c r="W728" s="593"/>
      <c r="X728" s="593"/>
      <c r="Y728" s="593"/>
      <c r="Z728" s="593"/>
      <c r="AA728" s="593"/>
      <c r="AB728" s="593"/>
      <c r="AC728" s="593"/>
      <c r="AD728" s="593"/>
      <c r="AE728" s="593"/>
      <c r="AF728" s="593"/>
      <c r="AG728" s="593"/>
      <c r="AH728" s="593"/>
      <c r="AI728" s="593"/>
      <c r="AJ728" s="593"/>
      <c r="AK728" s="593"/>
      <c r="AL728" s="593"/>
      <c r="AM728" s="593"/>
      <c r="AN728" s="593"/>
      <c r="AO728" s="593"/>
      <c r="AP728" s="593"/>
      <c r="AQ728" s="593"/>
      <c r="AR728" s="593"/>
      <c r="AS728" s="593"/>
      <c r="AT728" s="593"/>
      <c r="AU728" s="593"/>
      <c r="AV728" s="593"/>
      <c r="AW728" s="593"/>
      <c r="AX728" s="593"/>
      <c r="AY728" s="593"/>
      <c r="AZ728" s="593"/>
      <c r="BA728" s="593"/>
      <c r="BB728" s="593"/>
      <c r="BC728" s="593"/>
      <c r="BD728" s="593"/>
      <c r="BE728" s="593"/>
      <c r="BF728" s="593"/>
      <c r="BG728" s="593"/>
      <c r="BH728" s="593"/>
      <c r="BI728" s="593"/>
      <c r="BJ728" s="593"/>
      <c r="BK728" s="593"/>
      <c r="BL728" s="593"/>
      <c r="BM728" s="593"/>
      <c r="BN728" s="593"/>
      <c r="BO728" s="593"/>
      <c r="BP728" s="593"/>
      <c r="BQ728" s="593"/>
      <c r="BR728" s="593"/>
      <c r="BS728" s="593"/>
      <c r="BT728" s="594"/>
      <c r="BU728" s="594"/>
      <c r="BV728" s="594"/>
      <c r="BW728" s="594"/>
      <c r="BX728" s="594"/>
      <c r="BY728" s="594"/>
      <c r="BZ728" s="594"/>
      <c r="CA728" s="594"/>
      <c r="CB728" s="594"/>
      <c r="CC728" s="594"/>
      <c r="CD728" s="593"/>
      <c r="CE728" s="593"/>
      <c r="CF728" s="595"/>
    </row>
    <row r="729" spans="1:84" s="583" customFormat="1" ht="23.1" customHeight="1">
      <c r="A729" s="584"/>
      <c r="B729" s="585"/>
      <c r="C729" s="585"/>
      <c r="D729" s="596" t="s">
        <v>268</v>
      </c>
      <c r="E729" s="585"/>
      <c r="F729" s="585"/>
      <c r="G729" s="585"/>
      <c r="H729" s="585"/>
      <c r="I729" s="585"/>
      <c r="J729" s="585"/>
      <c r="K729" s="585"/>
      <c r="L729" s="585"/>
      <c r="M729" s="585"/>
      <c r="N729" s="585"/>
      <c r="O729" s="585"/>
      <c r="P729" s="585"/>
      <c r="Q729" s="585"/>
      <c r="R729" s="585"/>
      <c r="S729" s="585"/>
      <c r="T729" s="574"/>
      <c r="U729" s="574"/>
      <c r="V729" s="1435">
        <f>HLOOKUP(D729,$CJ$1:$CM$3,3,0)</f>
        <v>283297</v>
      </c>
      <c r="W729" s="1435"/>
      <c r="X729" s="1435"/>
      <c r="Y729" s="1435"/>
      <c r="Z729" s="1435"/>
      <c r="AA729" s="1435"/>
      <c r="AB729" s="1435"/>
      <c r="AC729" s="1435"/>
      <c r="AD729" s="1435"/>
      <c r="AE729" s="1435"/>
      <c r="AF729" s="1431" t="s">
        <v>446</v>
      </c>
      <c r="AG729" s="1431"/>
      <c r="AH729" s="574"/>
      <c r="AI729" s="1436" t="s">
        <v>1107</v>
      </c>
      <c r="AJ729" s="1436"/>
      <c r="AK729" s="1436"/>
      <c r="AL729" s="1436"/>
      <c r="AM729" s="585"/>
      <c r="AN729" s="1431" t="s">
        <v>446</v>
      </c>
      <c r="AO729" s="1431"/>
      <c r="AP729" s="585"/>
      <c r="AQ729" s="1436" t="s">
        <v>1108</v>
      </c>
      <c r="AR729" s="1436"/>
      <c r="AS729" s="1436"/>
      <c r="AT729" s="1436"/>
      <c r="AU729" s="1436"/>
      <c r="AV729" s="422"/>
      <c r="AW729" s="1431" t="s">
        <v>446</v>
      </c>
      <c r="AX729" s="1431"/>
      <c r="AY729" s="440"/>
      <c r="AZ729" s="1436" t="s">
        <v>1109</v>
      </c>
      <c r="BA729" s="1436"/>
      <c r="BB729" s="1436"/>
      <c r="BC729" s="1436"/>
      <c r="BD729" s="1436"/>
      <c r="BE729" s="585"/>
      <c r="BF729" s="1431" t="s">
        <v>446</v>
      </c>
      <c r="BG729" s="1431"/>
      <c r="BH729" s="1431">
        <v>1</v>
      </c>
      <c r="BI729" s="1431"/>
      <c r="BJ729" s="1431"/>
      <c r="BK729" s="585"/>
      <c r="BL729" s="585" t="s">
        <v>366</v>
      </c>
      <c r="BM729" s="585"/>
      <c r="BN729" s="585"/>
      <c r="BO729" s="585"/>
      <c r="BP729" s="1431" t="s">
        <v>41</v>
      </c>
      <c r="BQ729" s="1431"/>
      <c r="BR729" s="585"/>
      <c r="BS729" s="585"/>
      <c r="BT729" s="1432">
        <f>INT(V729/8*16/12*25/20*BH729)</f>
        <v>59020</v>
      </c>
      <c r="BU729" s="1432"/>
      <c r="BV729" s="1432"/>
      <c r="BW729" s="1432"/>
      <c r="BX729" s="1432"/>
      <c r="BY729" s="1432"/>
      <c r="BZ729" s="1432"/>
      <c r="CA729" s="1432"/>
      <c r="CB729" s="1432"/>
      <c r="CC729" s="1432"/>
      <c r="CD729" s="585"/>
      <c r="CE729" s="585"/>
      <c r="CF729" s="586"/>
    </row>
    <row r="730" spans="1:84" s="583" customFormat="1" ht="23.1" customHeight="1">
      <c r="A730" s="584"/>
      <c r="B730" s="585"/>
      <c r="C730" s="585"/>
      <c r="D730" s="585"/>
      <c r="E730" s="585"/>
      <c r="F730" s="585"/>
      <c r="G730" s="585"/>
      <c r="H730" s="585"/>
      <c r="I730" s="585"/>
      <c r="J730" s="585"/>
      <c r="K730" s="585"/>
      <c r="L730" s="585"/>
      <c r="M730" s="585"/>
      <c r="N730" s="585"/>
      <c r="O730" s="585"/>
      <c r="P730" s="574"/>
      <c r="Q730" s="574"/>
      <c r="R730" s="574"/>
      <c r="S730" s="574"/>
      <c r="T730" s="574"/>
      <c r="U730" s="574"/>
      <c r="V730" s="574"/>
      <c r="W730" s="574"/>
      <c r="X730" s="574"/>
      <c r="Y730" s="574"/>
      <c r="Z730" s="574"/>
      <c r="AA730" s="574"/>
      <c r="AB730" s="574"/>
      <c r="AC730" s="574"/>
      <c r="AD730" s="574"/>
      <c r="AE730" s="574"/>
      <c r="AF730" s="574"/>
      <c r="AG730" s="574"/>
      <c r="AH730" s="574"/>
      <c r="AI730" s="574"/>
      <c r="AJ730" s="574"/>
      <c r="AK730" s="574"/>
      <c r="AL730" s="574"/>
      <c r="AM730" s="574"/>
      <c r="AN730" s="574"/>
      <c r="AO730" s="574"/>
      <c r="AP730" s="574"/>
      <c r="AQ730" s="574"/>
      <c r="AR730" s="574"/>
      <c r="AS730" s="574"/>
      <c r="AT730" s="574"/>
      <c r="AU730" s="574"/>
      <c r="AV730" s="574"/>
      <c r="AW730" s="574"/>
      <c r="AX730" s="574"/>
      <c r="AY730" s="574"/>
      <c r="AZ730" s="574"/>
      <c r="BA730" s="574"/>
      <c r="BB730" s="574"/>
      <c r="BC730" s="574"/>
      <c r="BD730" s="574"/>
      <c r="BE730" s="574"/>
      <c r="BF730" s="574"/>
      <c r="BG730" s="585"/>
      <c r="BH730" s="585"/>
      <c r="BI730" s="585"/>
      <c r="BJ730" s="585"/>
      <c r="BK730" s="585"/>
      <c r="BL730" s="585"/>
      <c r="BM730" s="585"/>
      <c r="BN730" s="585"/>
      <c r="BO730" s="585"/>
      <c r="BP730" s="1431"/>
      <c r="BQ730" s="1431"/>
      <c r="BR730" s="585"/>
      <c r="BS730" s="585"/>
      <c r="BT730" s="1432"/>
      <c r="BU730" s="1432"/>
      <c r="BV730" s="1432"/>
      <c r="BW730" s="1432"/>
      <c r="BX730" s="1432"/>
      <c r="BY730" s="1432"/>
      <c r="BZ730" s="1432"/>
      <c r="CA730" s="1432"/>
      <c r="CB730" s="1432"/>
      <c r="CC730" s="1432"/>
      <c r="CD730" s="585"/>
      <c r="CE730" s="585"/>
      <c r="CF730" s="586"/>
    </row>
    <row r="731" spans="1:84" s="583" customFormat="1" ht="23.1" customHeight="1">
      <c r="A731" s="584"/>
      <c r="B731" s="585"/>
      <c r="C731" s="585"/>
      <c r="D731" s="585"/>
      <c r="E731" s="585"/>
      <c r="F731" s="585"/>
      <c r="G731" s="585"/>
      <c r="H731" s="585"/>
      <c r="I731" s="585"/>
      <c r="J731" s="585"/>
      <c r="K731" s="585"/>
      <c r="L731" s="585"/>
      <c r="M731" s="585"/>
      <c r="N731" s="585"/>
      <c r="O731" s="585"/>
      <c r="P731" s="585"/>
      <c r="Q731" s="585"/>
      <c r="R731" s="585"/>
      <c r="S731" s="585"/>
      <c r="T731" s="585"/>
      <c r="U731" s="585"/>
      <c r="V731" s="585"/>
      <c r="W731" s="585"/>
      <c r="X731" s="585"/>
      <c r="Y731" s="585"/>
      <c r="Z731" s="585"/>
      <c r="AA731" s="585"/>
      <c r="AB731" s="585"/>
      <c r="AC731" s="585"/>
      <c r="AD731" s="574"/>
      <c r="AE731" s="574"/>
      <c r="AF731" s="574"/>
      <c r="AG731" s="574"/>
      <c r="AH731" s="574"/>
      <c r="AI731" s="574"/>
      <c r="AJ731" s="574"/>
      <c r="AK731" s="574"/>
      <c r="AL731" s="574"/>
      <c r="AM731" s="574"/>
      <c r="AN731" s="574"/>
      <c r="AO731" s="574"/>
      <c r="AP731" s="574"/>
      <c r="AQ731" s="574"/>
      <c r="AR731" s="574"/>
      <c r="AS731" s="585"/>
      <c r="AT731" s="590"/>
      <c r="AU731" s="590"/>
      <c r="AV731" s="585"/>
      <c r="AW731" s="585"/>
      <c r="AX731" s="585"/>
      <c r="AY731" s="585"/>
      <c r="AZ731" s="585"/>
      <c r="BA731" s="585"/>
      <c r="BB731" s="585"/>
      <c r="BC731" s="585"/>
      <c r="BD731" s="585"/>
      <c r="BE731" s="585"/>
      <c r="BF731" s="585"/>
      <c r="BG731" s="585"/>
      <c r="BH731" s="585"/>
      <c r="BI731" s="585"/>
      <c r="BJ731" s="585"/>
      <c r="BK731" s="585"/>
      <c r="BL731" s="585"/>
      <c r="BM731" s="585"/>
      <c r="BN731" s="585"/>
      <c r="BO731" s="585"/>
      <c r="BP731" s="1431" t="s">
        <v>41</v>
      </c>
      <c r="BQ731" s="1431"/>
      <c r="BR731" s="585"/>
      <c r="BS731" s="585"/>
      <c r="BT731" s="1434">
        <f>BT729+BT730</f>
        <v>59020</v>
      </c>
      <c r="BU731" s="1434"/>
      <c r="BV731" s="1434"/>
      <c r="BW731" s="1434"/>
      <c r="BX731" s="1434"/>
      <c r="BY731" s="1434"/>
      <c r="BZ731" s="1434"/>
      <c r="CA731" s="1434"/>
      <c r="CB731" s="1434"/>
      <c r="CC731" s="1434"/>
      <c r="CD731" s="585"/>
      <c r="CE731" s="585"/>
      <c r="CF731" s="586"/>
    </row>
    <row r="732" spans="1:84" s="583" customFormat="1" ht="23.1" customHeight="1">
      <c r="A732" s="592"/>
      <c r="B732" s="593" t="s">
        <v>1110</v>
      </c>
      <c r="C732" s="593"/>
      <c r="D732" s="593"/>
      <c r="E732" s="593"/>
      <c r="F732" s="593"/>
      <c r="G732" s="593"/>
      <c r="H732" s="593"/>
      <c r="I732" s="593"/>
      <c r="J732" s="593"/>
      <c r="K732" s="593"/>
      <c r="L732" s="593"/>
      <c r="M732" s="593"/>
      <c r="N732" s="593"/>
      <c r="O732" s="593"/>
      <c r="P732" s="593"/>
      <c r="Q732" s="593"/>
      <c r="R732" s="593"/>
      <c r="S732" s="593"/>
      <c r="T732" s="593"/>
      <c r="U732" s="593"/>
      <c r="V732" s="593"/>
      <c r="W732" s="593"/>
      <c r="X732" s="593"/>
      <c r="Y732" s="593"/>
      <c r="Z732" s="593"/>
      <c r="AA732" s="593"/>
      <c r="AB732" s="593"/>
      <c r="AC732" s="593"/>
      <c r="AD732" s="593"/>
      <c r="AE732" s="593"/>
      <c r="AF732" s="593"/>
      <c r="AG732" s="593"/>
      <c r="AH732" s="593"/>
      <c r="AI732" s="593"/>
      <c r="AJ732" s="593"/>
      <c r="AK732" s="593"/>
      <c r="AL732" s="593"/>
      <c r="AM732" s="593"/>
      <c r="AN732" s="593"/>
      <c r="AO732" s="593"/>
      <c r="AP732" s="593"/>
      <c r="AQ732" s="593"/>
      <c r="AR732" s="593"/>
      <c r="AS732" s="593"/>
      <c r="AT732" s="593"/>
      <c r="AU732" s="593"/>
      <c r="AV732" s="593"/>
      <c r="AW732" s="593"/>
      <c r="AX732" s="593"/>
      <c r="AY732" s="593"/>
      <c r="AZ732" s="593"/>
      <c r="BA732" s="593"/>
      <c r="BB732" s="593"/>
      <c r="BC732" s="593"/>
      <c r="BD732" s="593"/>
      <c r="BE732" s="593"/>
      <c r="BF732" s="593"/>
      <c r="BG732" s="593"/>
      <c r="BH732" s="593"/>
      <c r="BI732" s="593"/>
      <c r="BJ732" s="593"/>
      <c r="BK732" s="593"/>
      <c r="BL732" s="593"/>
      <c r="BM732" s="593"/>
      <c r="BN732" s="593"/>
      <c r="BO732" s="593"/>
      <c r="BP732" s="593"/>
      <c r="BQ732" s="593"/>
      <c r="BR732" s="593"/>
      <c r="BS732" s="593"/>
      <c r="BT732" s="593"/>
      <c r="BU732" s="593"/>
      <c r="BV732" s="593"/>
      <c r="BW732" s="593"/>
      <c r="BX732" s="593"/>
      <c r="BY732" s="593"/>
      <c r="BZ732" s="593"/>
      <c r="CA732" s="593"/>
      <c r="CB732" s="593"/>
      <c r="CC732" s="593"/>
      <c r="CD732" s="593"/>
      <c r="CE732" s="593"/>
      <c r="CF732" s="595"/>
    </row>
    <row r="733" spans="1:84" s="583" customFormat="1" ht="23.1" customHeight="1">
      <c r="A733" s="584"/>
      <c r="B733" s="585"/>
      <c r="C733" s="585"/>
      <c r="D733" s="596" t="s">
        <v>1094</v>
      </c>
      <c r="E733" s="585"/>
      <c r="F733" s="585"/>
      <c r="G733" s="585"/>
      <c r="H733" s="585"/>
      <c r="I733" s="585"/>
      <c r="J733" s="585"/>
      <c r="K733" s="585"/>
      <c r="L733" s="585"/>
      <c r="M733" s="585"/>
      <c r="N733" s="585"/>
      <c r="O733" s="585"/>
      <c r="P733" s="585"/>
      <c r="Q733" s="585"/>
      <c r="R733" s="585"/>
      <c r="S733" s="585"/>
      <c r="T733" s="585"/>
      <c r="U733" s="585"/>
      <c r="V733" s="585"/>
      <c r="W733" s="585"/>
      <c r="X733" s="585"/>
      <c r="Y733" s="585"/>
      <c r="Z733" s="585"/>
      <c r="AA733" s="585"/>
      <c r="AB733" s="585"/>
      <c r="AC733" s="585"/>
      <c r="AD733" s="585"/>
      <c r="AE733" s="585"/>
      <c r="AF733" s="585"/>
      <c r="AG733" s="585"/>
      <c r="AH733" s="585"/>
      <c r="AI733" s="585"/>
      <c r="AJ733" s="585"/>
      <c r="AK733" s="585"/>
      <c r="AL733" s="585"/>
      <c r="AM733" s="585"/>
      <c r="AN733" s="585"/>
      <c r="AO733" s="585"/>
      <c r="AP733" s="585"/>
      <c r="AQ733" s="585"/>
      <c r="AR733" s="422"/>
      <c r="AS733" s="1435" t="e">
        <f>HLOOKUP(D733,$CN$1:$CO$3,3,0)</f>
        <v>#REF!</v>
      </c>
      <c r="AT733" s="1435"/>
      <c r="AU733" s="1435"/>
      <c r="AV733" s="1435"/>
      <c r="AW733" s="1435"/>
      <c r="AX733" s="1435"/>
      <c r="AY733" s="1435"/>
      <c r="AZ733" s="1435"/>
      <c r="BA733" s="1435"/>
      <c r="BB733" s="1435"/>
      <c r="BC733" s="585"/>
      <c r="BD733" s="1431" t="s">
        <v>446</v>
      </c>
      <c r="BE733" s="1431"/>
      <c r="BF733" s="585"/>
      <c r="BG733" s="1431">
        <v>7.6</v>
      </c>
      <c r="BH733" s="1431"/>
      <c r="BI733" s="1431"/>
      <c r="BJ733" s="1431"/>
      <c r="BK733" s="1431"/>
      <c r="BL733" s="585" t="s">
        <v>1111</v>
      </c>
      <c r="BM733" s="585"/>
      <c r="BN733" s="585"/>
      <c r="BO733" s="585"/>
      <c r="BP733" s="1431" t="s">
        <v>41</v>
      </c>
      <c r="BQ733" s="1431"/>
      <c r="BR733" s="585"/>
      <c r="BS733" s="585"/>
      <c r="BT733" s="1432" t="e">
        <f>INT(AS733*BG733)</f>
        <v>#REF!</v>
      </c>
      <c r="BU733" s="1432"/>
      <c r="BV733" s="1432"/>
      <c r="BW733" s="1432"/>
      <c r="BX733" s="1432"/>
      <c r="BY733" s="1432"/>
      <c r="BZ733" s="1432"/>
      <c r="CA733" s="1432"/>
      <c r="CB733" s="1432"/>
      <c r="CC733" s="1432"/>
      <c r="CD733" s="585"/>
      <c r="CE733" s="585"/>
      <c r="CF733" s="586"/>
    </row>
    <row r="734" spans="1:84" s="583" customFormat="1" ht="23.1" customHeight="1">
      <c r="A734" s="584"/>
      <c r="B734" s="585"/>
      <c r="C734" s="585"/>
      <c r="D734" s="591" t="str">
        <f>"잡재료 (주연료의 "&amp;BG734&amp;"%) :"</f>
        <v>잡재료 (주연료의 18%) :</v>
      </c>
      <c r="E734" s="585"/>
      <c r="F734" s="585"/>
      <c r="G734" s="585"/>
      <c r="H734" s="585"/>
      <c r="I734" s="585"/>
      <c r="J734" s="585"/>
      <c r="K734" s="585"/>
      <c r="L734" s="585"/>
      <c r="M734" s="585"/>
      <c r="N734" s="585"/>
      <c r="O734" s="585"/>
      <c r="P734" s="585"/>
      <c r="Q734" s="585"/>
      <c r="R734" s="585"/>
      <c r="S734" s="585"/>
      <c r="T734" s="585"/>
      <c r="U734" s="585"/>
      <c r="V734" s="585"/>
      <c r="W734" s="585"/>
      <c r="X734" s="585"/>
      <c r="Y734" s="585"/>
      <c r="Z734" s="585"/>
      <c r="AA734" s="585"/>
      <c r="AB734" s="585"/>
      <c r="AC734" s="585"/>
      <c r="AD734" s="585"/>
      <c r="AE734" s="585"/>
      <c r="AF734" s="585"/>
      <c r="AG734" s="585"/>
      <c r="AH734" s="585"/>
      <c r="AI734" s="585"/>
      <c r="AJ734" s="585"/>
      <c r="AK734" s="585"/>
      <c r="AL734" s="585"/>
      <c r="AM734" s="585"/>
      <c r="AN734" s="585"/>
      <c r="AO734" s="585"/>
      <c r="AP734" s="585"/>
      <c r="AQ734" s="585"/>
      <c r="AR734" s="422" t="e">
        <f>BT733</f>
        <v>#REF!</v>
      </c>
      <c r="AS734" s="1430" t="e">
        <f>BT733</f>
        <v>#REF!</v>
      </c>
      <c r="AT734" s="1430"/>
      <c r="AU734" s="1430"/>
      <c r="AV734" s="1430"/>
      <c r="AW734" s="1430"/>
      <c r="AX734" s="1430"/>
      <c r="AY734" s="1430"/>
      <c r="AZ734" s="1430"/>
      <c r="BA734" s="1430"/>
      <c r="BB734" s="1430"/>
      <c r="BC734" s="585"/>
      <c r="BD734" s="1431" t="s">
        <v>446</v>
      </c>
      <c r="BE734" s="1431"/>
      <c r="BF734" s="585"/>
      <c r="BG734" s="1431">
        <v>18</v>
      </c>
      <c r="BH734" s="1431"/>
      <c r="BI734" s="1431"/>
      <c r="BJ734" s="1431"/>
      <c r="BK734" s="1431"/>
      <c r="BL734" s="585" t="s">
        <v>1112</v>
      </c>
      <c r="BM734" s="585"/>
      <c r="BN734" s="585"/>
      <c r="BO734" s="585"/>
      <c r="BP734" s="1431" t="s">
        <v>41</v>
      </c>
      <c r="BQ734" s="1431"/>
      <c r="BR734" s="585"/>
      <c r="BS734" s="585"/>
      <c r="BT734" s="1432" t="e">
        <f>INT(AS734*BG734/100)</f>
        <v>#REF!</v>
      </c>
      <c r="BU734" s="1432"/>
      <c r="BV734" s="1432"/>
      <c r="BW734" s="1432"/>
      <c r="BX734" s="1432"/>
      <c r="BY734" s="1432"/>
      <c r="BZ734" s="1432"/>
      <c r="CA734" s="1432"/>
      <c r="CB734" s="1432"/>
      <c r="CC734" s="1432"/>
      <c r="CD734" s="585"/>
      <c r="CE734" s="585"/>
      <c r="CF734" s="586"/>
    </row>
    <row r="735" spans="1:84" s="583" customFormat="1" ht="23.1" customHeight="1" thickBot="1">
      <c r="A735" s="584"/>
      <c r="B735" s="585"/>
      <c r="C735" s="585"/>
      <c r="D735" s="585"/>
      <c r="E735" s="585"/>
      <c r="F735" s="585"/>
      <c r="G735" s="585"/>
      <c r="H735" s="585"/>
      <c r="I735" s="585"/>
      <c r="J735" s="585"/>
      <c r="K735" s="585"/>
      <c r="L735" s="585"/>
      <c r="M735" s="585"/>
      <c r="N735" s="585"/>
      <c r="O735" s="585"/>
      <c r="P735" s="585"/>
      <c r="Q735" s="585"/>
      <c r="R735" s="585"/>
      <c r="S735" s="585"/>
      <c r="T735" s="585"/>
      <c r="U735" s="585"/>
      <c r="V735" s="585"/>
      <c r="W735" s="585"/>
      <c r="X735" s="585"/>
      <c r="Y735" s="585"/>
      <c r="Z735" s="585"/>
      <c r="AA735" s="585"/>
      <c r="AB735" s="585"/>
      <c r="AC735" s="585"/>
      <c r="AD735" s="585"/>
      <c r="AE735" s="585"/>
      <c r="AF735" s="585"/>
      <c r="AG735" s="585"/>
      <c r="AH735" s="585"/>
      <c r="AI735" s="585"/>
      <c r="AJ735" s="585"/>
      <c r="AK735" s="585"/>
      <c r="AL735" s="585"/>
      <c r="AM735" s="585"/>
      <c r="AN735" s="585"/>
      <c r="AO735" s="585"/>
      <c r="AP735" s="585"/>
      <c r="AQ735" s="585"/>
      <c r="AR735" s="585"/>
      <c r="AS735" s="585"/>
      <c r="AT735" s="585"/>
      <c r="AU735" s="585"/>
      <c r="AV735" s="585"/>
      <c r="AW735" s="585"/>
      <c r="AX735" s="585"/>
      <c r="AY735" s="585"/>
      <c r="AZ735" s="585"/>
      <c r="BA735" s="585"/>
      <c r="BB735" s="585"/>
      <c r="BC735" s="585"/>
      <c r="BD735" s="585"/>
      <c r="BE735" s="585"/>
      <c r="BF735" s="585"/>
      <c r="BG735" s="585"/>
      <c r="BH735" s="585"/>
      <c r="BI735" s="585"/>
      <c r="BJ735" s="585"/>
      <c r="BK735" s="585"/>
      <c r="BL735" s="585"/>
      <c r="BM735" s="585"/>
      <c r="BN735" s="585"/>
      <c r="BO735" s="585"/>
      <c r="BP735" s="1431" t="s">
        <v>41</v>
      </c>
      <c r="BQ735" s="1431"/>
      <c r="BR735" s="585"/>
      <c r="BS735" s="585"/>
      <c r="BT735" s="1433" t="e">
        <f>BT733+BT734</f>
        <v>#REF!</v>
      </c>
      <c r="BU735" s="1433"/>
      <c r="BV735" s="1433"/>
      <c r="BW735" s="1433"/>
      <c r="BX735" s="1433"/>
      <c r="BY735" s="1433"/>
      <c r="BZ735" s="1433"/>
      <c r="CA735" s="1433"/>
      <c r="CB735" s="1433"/>
      <c r="CC735" s="1433"/>
      <c r="CD735" s="585"/>
      <c r="CE735" s="585"/>
      <c r="CF735" s="586"/>
    </row>
    <row r="736" spans="1:84" s="583" customFormat="1" ht="23.1" customHeight="1" thickBot="1">
      <c r="A736" s="597"/>
      <c r="B736" s="598" t="s">
        <v>1113</v>
      </c>
      <c r="C736" s="598"/>
      <c r="D736" s="598"/>
      <c r="E736" s="598"/>
      <c r="F736" s="598"/>
      <c r="G736" s="598"/>
      <c r="H736" s="598"/>
      <c r="I736" s="598"/>
      <c r="J736" s="598"/>
      <c r="K736" s="598"/>
      <c r="L736" s="598"/>
      <c r="M736" s="598"/>
      <c r="N736" s="598"/>
      <c r="O736" s="598"/>
      <c r="P736" s="598"/>
      <c r="Q736" s="598"/>
      <c r="R736" s="598"/>
      <c r="S736" s="598"/>
      <c r="T736" s="598"/>
      <c r="U736" s="598"/>
      <c r="V736" s="598"/>
      <c r="W736" s="598"/>
      <c r="X736" s="598"/>
      <c r="Y736" s="598"/>
      <c r="Z736" s="598"/>
      <c r="AA736" s="598"/>
      <c r="AB736" s="598"/>
      <c r="AC736" s="598"/>
      <c r="AD736" s="598"/>
      <c r="AE736" s="598"/>
      <c r="AF736" s="598"/>
      <c r="AG736" s="598"/>
      <c r="AH736" s="598"/>
      <c r="AI736" s="598"/>
      <c r="AJ736" s="598"/>
      <c r="AK736" s="598"/>
      <c r="AL736" s="598"/>
      <c r="AM736" s="598"/>
      <c r="AN736" s="598"/>
      <c r="AO736" s="598"/>
      <c r="AP736" s="598"/>
      <c r="AQ736" s="598"/>
      <c r="AR736" s="598"/>
      <c r="AS736" s="598"/>
      <c r="AT736" s="598"/>
      <c r="AU736" s="598"/>
      <c r="AV736" s="598"/>
      <c r="AW736" s="598"/>
      <c r="AX736" s="598"/>
      <c r="AY736" s="598"/>
      <c r="AZ736" s="598"/>
      <c r="BA736" s="598"/>
      <c r="BB736" s="598"/>
      <c r="BC736" s="598"/>
      <c r="BD736" s="598"/>
      <c r="BE736" s="598"/>
      <c r="BF736" s="598"/>
      <c r="BG736" s="598"/>
      <c r="BH736" s="598"/>
      <c r="BI736" s="598"/>
      <c r="BJ736" s="598"/>
      <c r="BK736" s="598"/>
      <c r="BL736" s="598"/>
      <c r="BM736" s="598"/>
      <c r="BN736" s="598"/>
      <c r="BO736" s="598"/>
      <c r="BP736" s="598"/>
      <c r="BQ736" s="598"/>
      <c r="BR736" s="598"/>
      <c r="BS736" s="598"/>
      <c r="BT736" s="1429" t="e">
        <f>BT727+BT731+BT735</f>
        <v>#REF!</v>
      </c>
      <c r="BU736" s="1429"/>
      <c r="BV736" s="1429"/>
      <c r="BW736" s="1429"/>
      <c r="BX736" s="1429"/>
      <c r="BY736" s="1429"/>
      <c r="BZ736" s="1429"/>
      <c r="CA736" s="1429"/>
      <c r="CB736" s="1429"/>
      <c r="CC736" s="1429"/>
      <c r="CD736" s="598"/>
      <c r="CE736" s="598"/>
      <c r="CF736" s="599"/>
    </row>
    <row r="737" spans="1:84" s="583" customFormat="1" ht="9.9499999999999993" customHeight="1">
      <c r="A737" s="574"/>
      <c r="B737" s="574"/>
      <c r="C737" s="574"/>
      <c r="D737" s="574"/>
      <c r="E737" s="574"/>
      <c r="F737" s="574"/>
      <c r="G737" s="574"/>
      <c r="H737" s="574"/>
      <c r="I737" s="574"/>
      <c r="J737" s="574"/>
      <c r="K737" s="574"/>
      <c r="L737" s="574"/>
      <c r="M737" s="574"/>
      <c r="N737" s="574"/>
      <c r="O737" s="574"/>
      <c r="P737" s="574"/>
      <c r="Q737" s="574"/>
      <c r="R737" s="574"/>
      <c r="S737" s="574"/>
      <c r="T737" s="574"/>
      <c r="U737" s="574"/>
      <c r="V737" s="574"/>
      <c r="W737" s="574"/>
      <c r="X737" s="574"/>
      <c r="Y737" s="574"/>
      <c r="Z737" s="574"/>
      <c r="AA737" s="574"/>
      <c r="AB737" s="574"/>
      <c r="AC737" s="574"/>
      <c r="AD737" s="574"/>
      <c r="AE737" s="574"/>
      <c r="AF737" s="574"/>
      <c r="AG737" s="574"/>
      <c r="AH737" s="574"/>
      <c r="AI737" s="574"/>
      <c r="AJ737" s="574"/>
      <c r="AK737" s="574"/>
      <c r="AL737" s="574"/>
      <c r="AM737" s="574"/>
      <c r="AN737" s="574"/>
      <c r="AO737" s="574"/>
      <c r="AP737" s="574"/>
      <c r="AQ737" s="574"/>
      <c r="AR737" s="574"/>
      <c r="AS737" s="574"/>
      <c r="AT737" s="574"/>
      <c r="AU737" s="574"/>
      <c r="AV737" s="574"/>
      <c r="AW737" s="574"/>
      <c r="AX737" s="574"/>
      <c r="AY737" s="574"/>
      <c r="AZ737" s="574"/>
      <c r="BA737" s="574"/>
      <c r="BB737" s="574"/>
      <c r="BC737" s="574"/>
      <c r="BD737" s="574"/>
      <c r="BE737" s="574"/>
      <c r="BF737" s="574"/>
      <c r="BG737" s="574"/>
      <c r="BH737" s="574"/>
      <c r="BI737" s="574"/>
      <c r="BJ737" s="574"/>
      <c r="BK737" s="574"/>
      <c r="BL737" s="574"/>
      <c r="BM737" s="574"/>
      <c r="BN737" s="574"/>
      <c r="BO737" s="574"/>
      <c r="BP737" s="574"/>
      <c r="BQ737" s="574"/>
      <c r="BR737" s="574"/>
      <c r="BS737" s="574"/>
      <c r="BT737" s="574"/>
      <c r="BU737" s="574"/>
      <c r="BV737" s="574"/>
      <c r="BW737" s="574"/>
      <c r="BX737" s="574"/>
      <c r="BY737" s="574"/>
      <c r="BZ737" s="574"/>
      <c r="CA737" s="574"/>
      <c r="CB737" s="574"/>
      <c r="CC737" s="574"/>
      <c r="CD737" s="574"/>
      <c r="CE737" s="574"/>
      <c r="CF737" s="574"/>
    </row>
    <row r="738" spans="1:84" s="583" customFormat="1" ht="23.1" customHeight="1" thickBot="1">
      <c r="A738" s="1446" t="s">
        <v>1095</v>
      </c>
      <c r="B738" s="1446"/>
      <c r="C738" s="1446"/>
      <c r="D738" s="1446"/>
      <c r="E738" s="1446"/>
      <c r="F738" s="1446"/>
      <c r="G738" s="1447">
        <f>G723+1</f>
        <v>50</v>
      </c>
      <c r="H738" s="1447"/>
      <c r="I738" s="1447"/>
      <c r="J738" s="1448" t="s">
        <v>1096</v>
      </c>
      <c r="K738" s="1448"/>
      <c r="L738" s="574"/>
      <c r="M738" s="574"/>
      <c r="N738" s="574"/>
      <c r="O738" s="574"/>
      <c r="P738" s="574"/>
      <c r="Q738" s="574"/>
      <c r="R738" s="574"/>
      <c r="S738" s="574"/>
      <c r="T738" s="574"/>
      <c r="U738" s="574"/>
      <c r="V738" s="574"/>
      <c r="W738" s="574"/>
      <c r="X738" s="574"/>
      <c r="Y738" s="574"/>
      <c r="Z738" s="574"/>
      <c r="AA738" s="574"/>
      <c r="AB738" s="574"/>
      <c r="AC738" s="574"/>
      <c r="AD738" s="574"/>
      <c r="AE738" s="574"/>
      <c r="AF738" s="574"/>
      <c r="AG738" s="574"/>
      <c r="AH738" s="574"/>
      <c r="AI738" s="574"/>
      <c r="AJ738" s="574"/>
      <c r="AK738" s="574"/>
      <c r="AL738" s="574"/>
      <c r="AM738" s="574"/>
      <c r="AN738" s="574"/>
      <c r="AO738" s="574"/>
      <c r="AP738" s="574"/>
      <c r="AQ738" s="574"/>
      <c r="AR738" s="574"/>
      <c r="AS738" s="574"/>
      <c r="AT738" s="574"/>
      <c r="AU738" s="574"/>
      <c r="AV738" s="574"/>
      <c r="AW738" s="574"/>
      <c r="AX738" s="574"/>
      <c r="AY738" s="574"/>
      <c r="AZ738" s="574"/>
      <c r="BA738" s="574"/>
      <c r="BB738" s="574"/>
      <c r="BC738" s="574"/>
      <c r="BD738" s="574"/>
      <c r="BE738" s="574"/>
      <c r="BF738" s="574"/>
      <c r="BG738" s="574"/>
      <c r="BH738" s="574"/>
      <c r="BI738" s="574"/>
      <c r="BJ738" s="574"/>
      <c r="BK738" s="574"/>
      <c r="BL738" s="574"/>
      <c r="BM738" s="574"/>
      <c r="BN738" s="574"/>
      <c r="BO738" s="574"/>
      <c r="BP738" s="574"/>
      <c r="BQ738" s="574"/>
      <c r="BR738" s="574"/>
      <c r="BS738" s="574"/>
      <c r="BT738" s="574"/>
      <c r="BU738" s="574"/>
      <c r="BV738" s="574"/>
      <c r="BW738" s="574"/>
      <c r="BX738" s="574"/>
      <c r="BY738" s="574"/>
      <c r="BZ738" s="574"/>
      <c r="CA738" s="574"/>
      <c r="CB738" s="574"/>
      <c r="CC738" s="574"/>
      <c r="CD738" s="574"/>
      <c r="CE738" s="574"/>
      <c r="CF738" s="574"/>
    </row>
    <row r="739" spans="1:84" s="583" customFormat="1" ht="23.1" customHeight="1" thickBot="1">
      <c r="A739" s="1483" t="s">
        <v>1097</v>
      </c>
      <c r="B739" s="1484"/>
      <c r="C739" s="1484"/>
      <c r="D739" s="1484"/>
      <c r="E739" s="1484"/>
      <c r="F739" s="1484"/>
      <c r="G739" s="1484"/>
      <c r="H739" s="1484"/>
      <c r="I739" s="581" t="s">
        <v>1172</v>
      </c>
      <c r="J739" s="581"/>
      <c r="K739" s="581"/>
      <c r="L739" s="581"/>
      <c r="M739" s="581"/>
      <c r="N739" s="581"/>
      <c r="O739" s="581"/>
      <c r="P739" s="581"/>
      <c r="Q739" s="581"/>
      <c r="R739" s="581"/>
      <c r="S739" s="581"/>
      <c r="T739" s="581"/>
      <c r="U739" s="581"/>
      <c r="V739" s="581"/>
      <c r="W739" s="581"/>
      <c r="X739" s="581"/>
      <c r="Y739" s="581"/>
      <c r="Z739" s="581"/>
      <c r="AA739" s="581"/>
      <c r="AB739" s="581"/>
      <c r="AC739" s="581"/>
      <c r="AD739" s="581"/>
      <c r="AE739" s="581"/>
      <c r="AF739" s="581"/>
      <c r="AG739" s="581"/>
      <c r="AH739" s="581"/>
      <c r="AI739" s="581"/>
      <c r="AJ739" s="1484" t="s">
        <v>1099</v>
      </c>
      <c r="AK739" s="1484"/>
      <c r="AL739" s="1484"/>
      <c r="AM739" s="1484"/>
      <c r="AN739" s="1484"/>
      <c r="AO739" s="1484"/>
      <c r="AP739" s="1484"/>
      <c r="AQ739" s="581" t="s">
        <v>1175</v>
      </c>
      <c r="AR739" s="581"/>
      <c r="AS739" s="581"/>
      <c r="AT739" s="581"/>
      <c r="AU739" s="581"/>
      <c r="AV739" s="581"/>
      <c r="AW739" s="581"/>
      <c r="AX739" s="581"/>
      <c r="AY739" s="581"/>
      <c r="AZ739" s="581"/>
      <c r="BA739" s="581"/>
      <c r="BB739" s="581"/>
      <c r="BC739" s="581"/>
      <c r="BD739" s="581"/>
      <c r="BE739" s="581"/>
      <c r="BF739" s="581"/>
      <c r="BG739" s="581"/>
      <c r="BH739" s="581"/>
      <c r="BI739" s="581"/>
      <c r="BJ739" s="581"/>
      <c r="BK739" s="581"/>
      <c r="BL739" s="581"/>
      <c r="BM739" s="581"/>
      <c r="BN739" s="581"/>
      <c r="BO739" s="581"/>
      <c r="BP739" s="581"/>
      <c r="BQ739" s="581"/>
      <c r="BR739" s="581"/>
      <c r="BS739" s="581"/>
      <c r="BT739" s="581" t="s">
        <v>1176</v>
      </c>
      <c r="BU739" s="581"/>
      <c r="BV739" s="581"/>
      <c r="BW739" s="581"/>
      <c r="BX739" s="581"/>
      <c r="BY739" s="581"/>
      <c r="BZ739" s="581"/>
      <c r="CA739" s="581"/>
      <c r="CB739" s="581"/>
      <c r="CC739" s="581"/>
      <c r="CD739" s="581"/>
      <c r="CE739" s="581"/>
      <c r="CF739" s="582"/>
    </row>
    <row r="740" spans="1:84" s="583" customFormat="1" ht="23.1" customHeight="1">
      <c r="A740" s="584"/>
      <c r="B740" s="585" t="s">
        <v>1102</v>
      </c>
      <c r="C740" s="585"/>
      <c r="D740" s="585"/>
      <c r="E740" s="585"/>
      <c r="F740" s="585"/>
      <c r="G740" s="585"/>
      <c r="H740" s="585"/>
      <c r="I740" s="585"/>
      <c r="J740" s="585"/>
      <c r="K740" s="585"/>
      <c r="L740" s="585"/>
      <c r="M740" s="585"/>
      <c r="N740" s="585"/>
      <c r="O740" s="585"/>
      <c r="P740" s="585"/>
      <c r="Q740" s="585"/>
      <c r="R740" s="585"/>
      <c r="S740" s="585"/>
      <c r="T740" s="585"/>
      <c r="U740" s="585"/>
      <c r="V740" s="585"/>
      <c r="W740" s="585"/>
      <c r="X740" s="585"/>
      <c r="Y740" s="585"/>
      <c r="Z740" s="585"/>
      <c r="AA740" s="585"/>
      <c r="AB740" s="585"/>
      <c r="AC740" s="585"/>
      <c r="AD740" s="585"/>
      <c r="AE740" s="585"/>
      <c r="AF740" s="585"/>
      <c r="AG740" s="585"/>
      <c r="AH740" s="585"/>
      <c r="AI740" s="585"/>
      <c r="AJ740" s="585"/>
      <c r="AK740" s="585"/>
      <c r="AL740" s="585"/>
      <c r="AM740" s="585"/>
      <c r="AN740" s="585"/>
      <c r="AO740" s="585"/>
      <c r="AP740" s="585"/>
      <c r="AQ740" s="585"/>
      <c r="AR740" s="585"/>
      <c r="AS740" s="585"/>
      <c r="AT740" s="585"/>
      <c r="AU740" s="585"/>
      <c r="AV740" s="585"/>
      <c r="AW740" s="585"/>
      <c r="AX740" s="585"/>
      <c r="AY740" s="585"/>
      <c r="AZ740" s="585"/>
      <c r="BA740" s="585"/>
      <c r="BB740" s="585"/>
      <c r="BC740" s="585"/>
      <c r="BD740" s="585"/>
      <c r="BE740" s="585"/>
      <c r="BF740" s="585"/>
      <c r="BG740" s="585"/>
      <c r="BH740" s="585"/>
      <c r="BI740" s="585"/>
      <c r="BJ740" s="585"/>
      <c r="BK740" s="585"/>
      <c r="BL740" s="585"/>
      <c r="BM740" s="585"/>
      <c r="BN740" s="585"/>
      <c r="BO740" s="585"/>
      <c r="BP740" s="585"/>
      <c r="BQ740" s="585"/>
      <c r="BR740" s="585"/>
      <c r="BS740" s="585"/>
      <c r="BT740" s="585"/>
      <c r="BU740" s="585"/>
      <c r="BV740" s="585"/>
      <c r="BW740" s="585"/>
      <c r="BX740" s="585"/>
      <c r="BY740" s="585"/>
      <c r="BZ740" s="585"/>
      <c r="CA740" s="585"/>
      <c r="CB740" s="585"/>
      <c r="CC740" s="585"/>
      <c r="CD740" s="585"/>
      <c r="CE740" s="585"/>
      <c r="CF740" s="586"/>
    </row>
    <row r="741" spans="1:84" s="583" customFormat="1" ht="23.1" customHeight="1">
      <c r="A741" s="587"/>
      <c r="B741" s="574"/>
      <c r="C741" s="574"/>
      <c r="D741" s="405"/>
      <c r="E741" s="574"/>
      <c r="F741" s="422"/>
      <c r="G741" s="422"/>
      <c r="H741" s="422"/>
      <c r="I741" s="422"/>
      <c r="J741" s="422"/>
      <c r="K741" s="422"/>
      <c r="L741" s="422"/>
      <c r="M741" s="422"/>
      <c r="N741" s="574"/>
      <c r="O741" s="574"/>
      <c r="P741" s="574"/>
      <c r="Q741" s="574"/>
      <c r="R741" s="574"/>
      <c r="S741" s="1430"/>
      <c r="T741" s="1430"/>
      <c r="U741" s="1430"/>
      <c r="V741" s="1430"/>
      <c r="W741" s="1430"/>
      <c r="X741" s="1430"/>
      <c r="Y741" s="1430"/>
      <c r="Z741" s="1430"/>
      <c r="AA741" s="574"/>
      <c r="AB741" s="588"/>
      <c r="AC741" s="1431"/>
      <c r="AD741" s="1431"/>
      <c r="AE741" s="1498"/>
      <c r="AF741" s="1498"/>
      <c r="AG741" s="1498"/>
      <c r="AH741" s="1498"/>
      <c r="AI741" s="1498"/>
      <c r="AJ741" s="1498"/>
      <c r="AK741" s="1498"/>
      <c r="AL741" s="1498"/>
      <c r="AM741" s="1431"/>
      <c r="AN741" s="1431"/>
      <c r="AO741" s="574"/>
      <c r="AP741" s="1486"/>
      <c r="AQ741" s="1486"/>
      <c r="AR741" s="1486"/>
      <c r="AS741" s="1486"/>
      <c r="AT741" s="1486"/>
      <c r="AU741" s="1486"/>
      <c r="AV741" s="1486"/>
      <c r="AW741" s="1486"/>
      <c r="AX741" s="1486"/>
      <c r="AY741" s="1486"/>
      <c r="AZ741" s="1486"/>
      <c r="BA741" s="1486"/>
      <c r="BB741" s="1486"/>
      <c r="BC741" s="1486"/>
      <c r="BD741" s="574"/>
      <c r="BE741" s="574"/>
      <c r="BF741" s="574"/>
      <c r="BG741" s="574"/>
      <c r="BH741" s="574"/>
      <c r="BI741" s="574"/>
      <c r="BJ741" s="574"/>
      <c r="BK741" s="574"/>
      <c r="BL741" s="574"/>
      <c r="BM741" s="574"/>
      <c r="BN741" s="574"/>
      <c r="BO741" s="574"/>
      <c r="BP741" s="574"/>
      <c r="BQ741" s="574"/>
      <c r="BR741" s="574"/>
      <c r="BS741" s="574"/>
      <c r="BT741" s="574"/>
      <c r="BU741" s="574"/>
      <c r="BV741" s="574"/>
      <c r="BW741" s="574"/>
      <c r="BX741" s="574"/>
      <c r="BY741" s="574"/>
      <c r="BZ741" s="574"/>
      <c r="CA741" s="574"/>
      <c r="CB741" s="574"/>
      <c r="CC741" s="574"/>
      <c r="CD741" s="574"/>
      <c r="CE741" s="574"/>
      <c r="CF741" s="589"/>
    </row>
    <row r="742" spans="1:84" s="583" customFormat="1" ht="23.1" customHeight="1">
      <c r="A742" s="584"/>
      <c r="B742" s="585"/>
      <c r="C742" s="585"/>
      <c r="D742" s="585"/>
      <c r="E742" s="585"/>
      <c r="F742" s="585"/>
      <c r="G742" s="585"/>
      <c r="H742" s="585"/>
      <c r="I742" s="585"/>
      <c r="J742" s="585"/>
      <c r="K742" s="585"/>
      <c r="L742" s="585"/>
      <c r="M742" s="585"/>
      <c r="N742" s="585"/>
      <c r="O742" s="585"/>
      <c r="P742" s="585"/>
      <c r="Q742" s="585"/>
      <c r="R742" s="585"/>
      <c r="S742" s="585"/>
      <c r="T742" s="585"/>
      <c r="U742" s="585"/>
      <c r="V742" s="590"/>
      <c r="W742" s="590"/>
      <c r="X742" s="590"/>
      <c r="Y742" s="590"/>
      <c r="Z742" s="590"/>
      <c r="AA742" s="590"/>
      <c r="AB742" s="590"/>
      <c r="AC742" s="590"/>
      <c r="AD742" s="574"/>
      <c r="AE742" s="1440">
        <v>71351000</v>
      </c>
      <c r="AF742" s="1440"/>
      <c r="AG742" s="1440"/>
      <c r="AH742" s="1440"/>
      <c r="AI742" s="1440"/>
      <c r="AJ742" s="1440"/>
      <c r="AK742" s="1440"/>
      <c r="AL742" s="1440"/>
      <c r="AM742" s="1440"/>
      <c r="AN742" s="1440"/>
      <c r="AO742" s="1440"/>
      <c r="AP742" s="1440"/>
      <c r="AQ742" s="1440"/>
      <c r="AR742" s="1440"/>
      <c r="AS742" s="1440"/>
      <c r="AT742" s="1431" t="s">
        <v>446</v>
      </c>
      <c r="AU742" s="1431"/>
      <c r="AV742" s="1441" t="s">
        <v>1103</v>
      </c>
      <c r="AW742" s="1441"/>
      <c r="AX742" s="1442">
        <v>1802</v>
      </c>
      <c r="AY742" s="1442"/>
      <c r="AZ742" s="1442"/>
      <c r="BA742" s="1442"/>
      <c r="BB742" s="1442"/>
      <c r="BC742" s="1442"/>
      <c r="BD742" s="585"/>
      <c r="BE742" s="1431" t="s">
        <v>446</v>
      </c>
      <c r="BF742" s="1431"/>
      <c r="BG742" s="585"/>
      <c r="BH742" s="591" t="s">
        <v>1104</v>
      </c>
      <c r="BI742" s="585"/>
      <c r="BJ742" s="585"/>
      <c r="BK742" s="585"/>
      <c r="BL742" s="1431" t="s">
        <v>1105</v>
      </c>
      <c r="BM742" s="1431"/>
      <c r="BN742" s="1431"/>
      <c r="BO742" s="585"/>
      <c r="BP742" s="1431" t="s">
        <v>41</v>
      </c>
      <c r="BQ742" s="1431"/>
      <c r="BR742" s="585"/>
      <c r="BS742" s="585"/>
      <c r="BT742" s="1437">
        <f>INT(AE742*AX742*10^-7)</f>
        <v>12857</v>
      </c>
      <c r="BU742" s="1437"/>
      <c r="BV742" s="1437"/>
      <c r="BW742" s="1437"/>
      <c r="BX742" s="1437"/>
      <c r="BY742" s="1437"/>
      <c r="BZ742" s="1437"/>
      <c r="CA742" s="1437"/>
      <c r="CB742" s="1437"/>
      <c r="CC742" s="1437"/>
      <c r="CD742" s="585"/>
      <c r="CE742" s="585"/>
      <c r="CF742" s="586"/>
    </row>
    <row r="743" spans="1:84" s="583" customFormat="1" ht="23.1" customHeight="1">
      <c r="A743" s="592"/>
      <c r="B743" s="593" t="s">
        <v>1106</v>
      </c>
      <c r="C743" s="593"/>
      <c r="D743" s="593"/>
      <c r="E743" s="593"/>
      <c r="F743" s="593"/>
      <c r="G743" s="593"/>
      <c r="H743" s="593"/>
      <c r="I743" s="593"/>
      <c r="J743" s="593"/>
      <c r="K743" s="593"/>
      <c r="L743" s="593"/>
      <c r="M743" s="593"/>
      <c r="N743" s="593"/>
      <c r="O743" s="593"/>
      <c r="P743" s="593"/>
      <c r="Q743" s="593"/>
      <c r="R743" s="593"/>
      <c r="S743" s="593"/>
      <c r="T743" s="593"/>
      <c r="U743" s="593"/>
      <c r="V743" s="608"/>
      <c r="W743" s="608"/>
      <c r="X743" s="608"/>
      <c r="Y743" s="608"/>
      <c r="Z743" s="608"/>
      <c r="AA743" s="608"/>
      <c r="AB743" s="608"/>
      <c r="AC743" s="608"/>
      <c r="AD743" s="608"/>
      <c r="AE743" s="608"/>
      <c r="AF743" s="593"/>
      <c r="AG743" s="593"/>
      <c r="AH743" s="593"/>
      <c r="AI743" s="593"/>
      <c r="AJ743" s="593"/>
      <c r="AK743" s="593"/>
      <c r="AL743" s="593"/>
      <c r="AM743" s="593"/>
      <c r="AN743" s="593"/>
      <c r="AO743" s="593"/>
      <c r="AP743" s="593"/>
      <c r="AQ743" s="593"/>
      <c r="AR743" s="593"/>
      <c r="AS743" s="593"/>
      <c r="AT743" s="593"/>
      <c r="AU743" s="593"/>
      <c r="AV743" s="593"/>
      <c r="AW743" s="593"/>
      <c r="AX743" s="593"/>
      <c r="AY743" s="593"/>
      <c r="AZ743" s="593"/>
      <c r="BA743" s="593"/>
      <c r="BB743" s="593"/>
      <c r="BC743" s="593"/>
      <c r="BD743" s="593"/>
      <c r="BE743" s="593"/>
      <c r="BF743" s="593"/>
      <c r="BG743" s="593"/>
      <c r="BH743" s="593"/>
      <c r="BI743" s="593"/>
      <c r="BJ743" s="593"/>
      <c r="BK743" s="593"/>
      <c r="BL743" s="593"/>
      <c r="BM743" s="593"/>
      <c r="BN743" s="593"/>
      <c r="BO743" s="593"/>
      <c r="BP743" s="593"/>
      <c r="BQ743" s="593"/>
      <c r="BR743" s="593"/>
      <c r="BS743" s="593"/>
      <c r="BT743" s="594"/>
      <c r="BU743" s="594"/>
      <c r="BV743" s="594"/>
      <c r="BW743" s="594"/>
      <c r="BX743" s="594"/>
      <c r="BY743" s="594"/>
      <c r="BZ743" s="594"/>
      <c r="CA743" s="594"/>
      <c r="CB743" s="594"/>
      <c r="CC743" s="594"/>
      <c r="CD743" s="593"/>
      <c r="CE743" s="593"/>
      <c r="CF743" s="595"/>
    </row>
    <row r="744" spans="1:84" s="583" customFormat="1" ht="23.1" customHeight="1">
      <c r="A744" s="584"/>
      <c r="B744" s="585"/>
      <c r="C744" s="585"/>
      <c r="D744" s="596" t="s">
        <v>268</v>
      </c>
      <c r="E744" s="585"/>
      <c r="F744" s="585"/>
      <c r="G744" s="585"/>
      <c r="H744" s="585"/>
      <c r="I744" s="585"/>
      <c r="J744" s="585"/>
      <c r="K744" s="585"/>
      <c r="L744" s="585"/>
      <c r="M744" s="585"/>
      <c r="N744" s="585"/>
      <c r="O744" s="585"/>
      <c r="P744" s="585"/>
      <c r="Q744" s="585"/>
      <c r="R744" s="585"/>
      <c r="S744" s="585"/>
      <c r="T744" s="574"/>
      <c r="U744" s="574"/>
      <c r="V744" s="1435">
        <f>HLOOKUP(D744,$CJ$1:$CM$3,3,0)</f>
        <v>283297</v>
      </c>
      <c r="W744" s="1435"/>
      <c r="X744" s="1435"/>
      <c r="Y744" s="1435"/>
      <c r="Z744" s="1435"/>
      <c r="AA744" s="1435"/>
      <c r="AB744" s="1435"/>
      <c r="AC744" s="1435"/>
      <c r="AD744" s="1435"/>
      <c r="AE744" s="1435"/>
      <c r="AF744" s="1431" t="s">
        <v>446</v>
      </c>
      <c r="AG744" s="1431"/>
      <c r="AH744" s="574"/>
      <c r="AI744" s="1436" t="s">
        <v>1107</v>
      </c>
      <c r="AJ744" s="1436"/>
      <c r="AK744" s="1436"/>
      <c r="AL744" s="1436"/>
      <c r="AM744" s="585"/>
      <c r="AN744" s="1431" t="s">
        <v>446</v>
      </c>
      <c r="AO744" s="1431"/>
      <c r="AP744" s="585"/>
      <c r="AQ744" s="1436" t="s">
        <v>1108</v>
      </c>
      <c r="AR744" s="1436"/>
      <c r="AS744" s="1436"/>
      <c r="AT744" s="1436"/>
      <c r="AU744" s="1436"/>
      <c r="AV744" s="422"/>
      <c r="AW744" s="1431" t="s">
        <v>446</v>
      </c>
      <c r="AX744" s="1431"/>
      <c r="AY744" s="440"/>
      <c r="AZ744" s="1436" t="s">
        <v>1109</v>
      </c>
      <c r="BA744" s="1436"/>
      <c r="BB744" s="1436"/>
      <c r="BC744" s="1436"/>
      <c r="BD744" s="1436"/>
      <c r="BE744" s="585"/>
      <c r="BF744" s="1431" t="s">
        <v>446</v>
      </c>
      <c r="BG744" s="1431"/>
      <c r="BH744" s="1431">
        <v>1</v>
      </c>
      <c r="BI744" s="1431"/>
      <c r="BJ744" s="1431"/>
      <c r="BK744" s="585"/>
      <c r="BL744" s="585" t="s">
        <v>366</v>
      </c>
      <c r="BM744" s="585"/>
      <c r="BN744" s="585"/>
      <c r="BO744" s="585"/>
      <c r="BP744" s="1431" t="s">
        <v>41</v>
      </c>
      <c r="BQ744" s="1431"/>
      <c r="BR744" s="585"/>
      <c r="BS744" s="585"/>
      <c r="BT744" s="1432">
        <f>INT(V744/8*16/12*25/20*BH744)</f>
        <v>59020</v>
      </c>
      <c r="BU744" s="1432"/>
      <c r="BV744" s="1432"/>
      <c r="BW744" s="1432"/>
      <c r="BX744" s="1432"/>
      <c r="BY744" s="1432"/>
      <c r="BZ744" s="1432"/>
      <c r="CA744" s="1432"/>
      <c r="CB744" s="1432"/>
      <c r="CC744" s="1432"/>
      <c r="CD744" s="585"/>
      <c r="CE744" s="585"/>
      <c r="CF744" s="586"/>
    </row>
    <row r="745" spans="1:84" s="583" customFormat="1" ht="23.1" customHeight="1">
      <c r="A745" s="584"/>
      <c r="B745" s="585"/>
      <c r="C745" s="585"/>
      <c r="D745" s="585"/>
      <c r="E745" s="585"/>
      <c r="F745" s="585"/>
      <c r="G745" s="585"/>
      <c r="H745" s="585"/>
      <c r="I745" s="585"/>
      <c r="J745" s="585"/>
      <c r="K745" s="585"/>
      <c r="L745" s="585"/>
      <c r="M745" s="585"/>
      <c r="N745" s="585"/>
      <c r="O745" s="585"/>
      <c r="P745" s="574"/>
      <c r="Q745" s="574"/>
      <c r="R745" s="574"/>
      <c r="S745" s="574"/>
      <c r="T745" s="574"/>
      <c r="U745" s="574"/>
      <c r="V745" s="574"/>
      <c r="W745" s="574"/>
      <c r="X745" s="574"/>
      <c r="Y745" s="574"/>
      <c r="Z745" s="574"/>
      <c r="AA745" s="574"/>
      <c r="AB745" s="574"/>
      <c r="AC745" s="574"/>
      <c r="AD745" s="574"/>
      <c r="AE745" s="574"/>
      <c r="AF745" s="574"/>
      <c r="AG745" s="574"/>
      <c r="AH745" s="574"/>
      <c r="AI745" s="574"/>
      <c r="AJ745" s="574"/>
      <c r="AK745" s="574"/>
      <c r="AL745" s="574"/>
      <c r="AM745" s="574"/>
      <c r="AN745" s="574"/>
      <c r="AO745" s="574"/>
      <c r="AP745" s="574"/>
      <c r="AQ745" s="574"/>
      <c r="AR745" s="574"/>
      <c r="AS745" s="574"/>
      <c r="AT745" s="574"/>
      <c r="AU745" s="574"/>
      <c r="AV745" s="574"/>
      <c r="AW745" s="574"/>
      <c r="AX745" s="574"/>
      <c r="AY745" s="574"/>
      <c r="AZ745" s="574"/>
      <c r="BA745" s="574"/>
      <c r="BB745" s="574"/>
      <c r="BC745" s="574"/>
      <c r="BD745" s="574"/>
      <c r="BE745" s="574"/>
      <c r="BF745" s="574"/>
      <c r="BG745" s="585"/>
      <c r="BH745" s="585"/>
      <c r="BI745" s="585"/>
      <c r="BJ745" s="585"/>
      <c r="BK745" s="585"/>
      <c r="BL745" s="585"/>
      <c r="BM745" s="585"/>
      <c r="BN745" s="585"/>
      <c r="BO745" s="585"/>
      <c r="BP745" s="1431"/>
      <c r="BQ745" s="1431"/>
      <c r="BR745" s="585"/>
      <c r="BS745" s="585"/>
      <c r="BT745" s="1432"/>
      <c r="BU745" s="1432"/>
      <c r="BV745" s="1432"/>
      <c r="BW745" s="1432"/>
      <c r="BX745" s="1432"/>
      <c r="BY745" s="1432"/>
      <c r="BZ745" s="1432"/>
      <c r="CA745" s="1432"/>
      <c r="CB745" s="1432"/>
      <c r="CC745" s="1432"/>
      <c r="CD745" s="585"/>
      <c r="CE745" s="585"/>
      <c r="CF745" s="586"/>
    </row>
    <row r="746" spans="1:84" s="583" customFormat="1" ht="23.1" customHeight="1">
      <c r="A746" s="584"/>
      <c r="B746" s="585"/>
      <c r="C746" s="585"/>
      <c r="D746" s="585"/>
      <c r="E746" s="585"/>
      <c r="F746" s="585"/>
      <c r="G746" s="585"/>
      <c r="H746" s="585"/>
      <c r="I746" s="585"/>
      <c r="J746" s="585"/>
      <c r="K746" s="585"/>
      <c r="L746" s="585"/>
      <c r="M746" s="585"/>
      <c r="N746" s="585"/>
      <c r="O746" s="585"/>
      <c r="P746" s="585"/>
      <c r="Q746" s="585"/>
      <c r="R746" s="585"/>
      <c r="S746" s="585"/>
      <c r="T746" s="585"/>
      <c r="U746" s="585"/>
      <c r="V746" s="585"/>
      <c r="W746" s="585"/>
      <c r="X746" s="585"/>
      <c r="Y746" s="585"/>
      <c r="Z746" s="585"/>
      <c r="AA746" s="585"/>
      <c r="AB746" s="585"/>
      <c r="AC746" s="585"/>
      <c r="AD746" s="574"/>
      <c r="AE746" s="574"/>
      <c r="AF746" s="574"/>
      <c r="AG746" s="574"/>
      <c r="AH746" s="574"/>
      <c r="AI746" s="574"/>
      <c r="AJ746" s="574"/>
      <c r="AK746" s="574"/>
      <c r="AL746" s="574"/>
      <c r="AM746" s="574"/>
      <c r="AN746" s="574"/>
      <c r="AO746" s="574"/>
      <c r="AP746" s="574"/>
      <c r="AQ746" s="574"/>
      <c r="AR746" s="574"/>
      <c r="AS746" s="585"/>
      <c r="AT746" s="590"/>
      <c r="AU746" s="590"/>
      <c r="AV746" s="585"/>
      <c r="AW746" s="585"/>
      <c r="AX746" s="585"/>
      <c r="AY746" s="585"/>
      <c r="AZ746" s="585"/>
      <c r="BA746" s="585"/>
      <c r="BB746" s="585"/>
      <c r="BC746" s="585"/>
      <c r="BD746" s="585"/>
      <c r="BE746" s="585"/>
      <c r="BF746" s="585"/>
      <c r="BG746" s="585"/>
      <c r="BH746" s="585"/>
      <c r="BI746" s="585"/>
      <c r="BJ746" s="585"/>
      <c r="BK746" s="585"/>
      <c r="BL746" s="585"/>
      <c r="BM746" s="585"/>
      <c r="BN746" s="585"/>
      <c r="BO746" s="585"/>
      <c r="BP746" s="1431" t="s">
        <v>41</v>
      </c>
      <c r="BQ746" s="1431"/>
      <c r="BR746" s="585"/>
      <c r="BS746" s="585"/>
      <c r="BT746" s="1434">
        <f>BT744+BT745</f>
        <v>59020</v>
      </c>
      <c r="BU746" s="1434"/>
      <c r="BV746" s="1434"/>
      <c r="BW746" s="1434"/>
      <c r="BX746" s="1434"/>
      <c r="BY746" s="1434"/>
      <c r="BZ746" s="1434"/>
      <c r="CA746" s="1434"/>
      <c r="CB746" s="1434"/>
      <c r="CC746" s="1434"/>
      <c r="CD746" s="585"/>
      <c r="CE746" s="585"/>
      <c r="CF746" s="586"/>
    </row>
    <row r="747" spans="1:84" s="583" customFormat="1" ht="23.1" customHeight="1">
      <c r="A747" s="592"/>
      <c r="B747" s="593" t="s">
        <v>1110</v>
      </c>
      <c r="C747" s="593"/>
      <c r="D747" s="593"/>
      <c r="E747" s="593"/>
      <c r="F747" s="593"/>
      <c r="G747" s="593"/>
      <c r="H747" s="593"/>
      <c r="I747" s="593"/>
      <c r="J747" s="593"/>
      <c r="K747" s="593"/>
      <c r="L747" s="593"/>
      <c r="M747" s="593"/>
      <c r="N747" s="593"/>
      <c r="O747" s="593"/>
      <c r="P747" s="593"/>
      <c r="Q747" s="593"/>
      <c r="R747" s="593"/>
      <c r="S747" s="593"/>
      <c r="T747" s="593"/>
      <c r="U747" s="593"/>
      <c r="V747" s="593"/>
      <c r="W747" s="593"/>
      <c r="X747" s="593"/>
      <c r="Y747" s="593"/>
      <c r="Z747" s="593"/>
      <c r="AA747" s="593"/>
      <c r="AB747" s="593"/>
      <c r="AC747" s="593"/>
      <c r="AD747" s="593"/>
      <c r="AE747" s="593"/>
      <c r="AF747" s="593"/>
      <c r="AG747" s="593"/>
      <c r="AH747" s="593"/>
      <c r="AI747" s="593"/>
      <c r="AJ747" s="593"/>
      <c r="AK747" s="593"/>
      <c r="AL747" s="593"/>
      <c r="AM747" s="593"/>
      <c r="AN747" s="593"/>
      <c r="AO747" s="593"/>
      <c r="AP747" s="593"/>
      <c r="AQ747" s="593"/>
      <c r="AR747" s="593"/>
      <c r="AS747" s="593"/>
      <c r="AT747" s="593"/>
      <c r="AU747" s="593"/>
      <c r="AV747" s="593"/>
      <c r="AW747" s="593"/>
      <c r="AX747" s="593"/>
      <c r="AY747" s="593"/>
      <c r="AZ747" s="593"/>
      <c r="BA747" s="593"/>
      <c r="BB747" s="593"/>
      <c r="BC747" s="593"/>
      <c r="BD747" s="593"/>
      <c r="BE747" s="593"/>
      <c r="BF747" s="593"/>
      <c r="BG747" s="593"/>
      <c r="BH747" s="593"/>
      <c r="BI747" s="593"/>
      <c r="BJ747" s="593"/>
      <c r="BK747" s="593"/>
      <c r="BL747" s="593"/>
      <c r="BM747" s="593"/>
      <c r="BN747" s="593"/>
      <c r="BO747" s="593"/>
      <c r="BP747" s="593"/>
      <c r="BQ747" s="593"/>
      <c r="BR747" s="593"/>
      <c r="BS747" s="593"/>
      <c r="BT747" s="593"/>
      <c r="BU747" s="593"/>
      <c r="BV747" s="593"/>
      <c r="BW747" s="593"/>
      <c r="BX747" s="593"/>
      <c r="BY747" s="593"/>
      <c r="BZ747" s="593"/>
      <c r="CA747" s="593"/>
      <c r="CB747" s="593"/>
      <c r="CC747" s="593"/>
      <c r="CD747" s="593"/>
      <c r="CE747" s="593"/>
      <c r="CF747" s="595"/>
    </row>
    <row r="748" spans="1:84" s="583" customFormat="1" ht="23.1" customHeight="1">
      <c r="A748" s="584"/>
      <c r="B748" s="585"/>
      <c r="C748" s="585"/>
      <c r="D748" s="596" t="s">
        <v>1094</v>
      </c>
      <c r="E748" s="585"/>
      <c r="F748" s="585"/>
      <c r="G748" s="585"/>
      <c r="H748" s="585"/>
      <c r="I748" s="585"/>
      <c r="J748" s="585"/>
      <c r="K748" s="585"/>
      <c r="L748" s="585"/>
      <c r="M748" s="585"/>
      <c r="N748" s="585"/>
      <c r="O748" s="585"/>
      <c r="P748" s="585"/>
      <c r="Q748" s="585"/>
      <c r="R748" s="585"/>
      <c r="S748" s="585"/>
      <c r="T748" s="585"/>
      <c r="U748" s="585"/>
      <c r="V748" s="585"/>
      <c r="W748" s="585"/>
      <c r="X748" s="585"/>
      <c r="Y748" s="585"/>
      <c r="Z748" s="585"/>
      <c r="AA748" s="585"/>
      <c r="AB748" s="585"/>
      <c r="AC748" s="585"/>
      <c r="AD748" s="585"/>
      <c r="AE748" s="585"/>
      <c r="AF748" s="585"/>
      <c r="AG748" s="585"/>
      <c r="AH748" s="585"/>
      <c r="AI748" s="585"/>
      <c r="AJ748" s="585"/>
      <c r="AK748" s="585"/>
      <c r="AL748" s="585"/>
      <c r="AM748" s="585"/>
      <c r="AN748" s="585"/>
      <c r="AO748" s="585"/>
      <c r="AP748" s="585"/>
      <c r="AQ748" s="585"/>
      <c r="AR748" s="422"/>
      <c r="AS748" s="1435" t="e">
        <f>HLOOKUP(D748,$CN$1:$CO$3,3,0)</f>
        <v>#REF!</v>
      </c>
      <c r="AT748" s="1435"/>
      <c r="AU748" s="1435"/>
      <c r="AV748" s="1435"/>
      <c r="AW748" s="1435"/>
      <c r="AX748" s="1435"/>
      <c r="AY748" s="1435"/>
      <c r="AZ748" s="1435"/>
      <c r="BA748" s="1435"/>
      <c r="BB748" s="1435"/>
      <c r="BC748" s="585"/>
      <c r="BD748" s="1431" t="s">
        <v>446</v>
      </c>
      <c r="BE748" s="1431"/>
      <c r="BF748" s="585"/>
      <c r="BG748" s="1431">
        <v>9.3000000000000007</v>
      </c>
      <c r="BH748" s="1431"/>
      <c r="BI748" s="1431"/>
      <c r="BJ748" s="1431"/>
      <c r="BK748" s="1431"/>
      <c r="BL748" s="585" t="s">
        <v>1111</v>
      </c>
      <c r="BM748" s="585"/>
      <c r="BN748" s="585"/>
      <c r="BO748" s="585"/>
      <c r="BP748" s="1431" t="s">
        <v>41</v>
      </c>
      <c r="BQ748" s="1431"/>
      <c r="BR748" s="585"/>
      <c r="BS748" s="585"/>
      <c r="BT748" s="1432" t="e">
        <f>INT(AS748*BG748)</f>
        <v>#REF!</v>
      </c>
      <c r="BU748" s="1432"/>
      <c r="BV748" s="1432"/>
      <c r="BW748" s="1432"/>
      <c r="BX748" s="1432"/>
      <c r="BY748" s="1432"/>
      <c r="BZ748" s="1432"/>
      <c r="CA748" s="1432"/>
      <c r="CB748" s="1432"/>
      <c r="CC748" s="1432"/>
      <c r="CD748" s="585"/>
      <c r="CE748" s="585"/>
      <c r="CF748" s="586"/>
    </row>
    <row r="749" spans="1:84" s="583" customFormat="1" ht="23.1" customHeight="1">
      <c r="A749" s="584"/>
      <c r="B749" s="585"/>
      <c r="C749" s="585"/>
      <c r="D749" s="591" t="str">
        <f>"잡재료 (주연료의 "&amp;BG749&amp;"%) :"</f>
        <v>잡재료 (주연료의 18%) :</v>
      </c>
      <c r="E749" s="585"/>
      <c r="F749" s="585"/>
      <c r="G749" s="585"/>
      <c r="H749" s="585"/>
      <c r="I749" s="585"/>
      <c r="J749" s="585"/>
      <c r="K749" s="585"/>
      <c r="L749" s="585"/>
      <c r="M749" s="585"/>
      <c r="N749" s="585"/>
      <c r="O749" s="585"/>
      <c r="P749" s="585"/>
      <c r="Q749" s="585"/>
      <c r="R749" s="585"/>
      <c r="S749" s="585"/>
      <c r="T749" s="585"/>
      <c r="U749" s="585"/>
      <c r="V749" s="585"/>
      <c r="W749" s="585"/>
      <c r="X749" s="585"/>
      <c r="Y749" s="585"/>
      <c r="Z749" s="585"/>
      <c r="AA749" s="585"/>
      <c r="AB749" s="585"/>
      <c r="AC749" s="585"/>
      <c r="AD749" s="585"/>
      <c r="AE749" s="585"/>
      <c r="AF749" s="585"/>
      <c r="AG749" s="585"/>
      <c r="AH749" s="585"/>
      <c r="AI749" s="585"/>
      <c r="AJ749" s="585"/>
      <c r="AK749" s="585"/>
      <c r="AL749" s="585"/>
      <c r="AM749" s="585"/>
      <c r="AN749" s="585"/>
      <c r="AO749" s="585"/>
      <c r="AP749" s="585"/>
      <c r="AQ749" s="585"/>
      <c r="AR749" s="422" t="e">
        <f>BT748</f>
        <v>#REF!</v>
      </c>
      <c r="AS749" s="1430" t="e">
        <f>BT748</f>
        <v>#REF!</v>
      </c>
      <c r="AT749" s="1430"/>
      <c r="AU749" s="1430"/>
      <c r="AV749" s="1430"/>
      <c r="AW749" s="1430"/>
      <c r="AX749" s="1430"/>
      <c r="AY749" s="1430"/>
      <c r="AZ749" s="1430"/>
      <c r="BA749" s="1430"/>
      <c r="BB749" s="1430"/>
      <c r="BC749" s="585"/>
      <c r="BD749" s="1431" t="s">
        <v>446</v>
      </c>
      <c r="BE749" s="1431"/>
      <c r="BF749" s="585"/>
      <c r="BG749" s="1431">
        <v>18</v>
      </c>
      <c r="BH749" s="1431"/>
      <c r="BI749" s="1431"/>
      <c r="BJ749" s="1431"/>
      <c r="BK749" s="1431"/>
      <c r="BL749" s="585" t="s">
        <v>1112</v>
      </c>
      <c r="BM749" s="585"/>
      <c r="BN749" s="585"/>
      <c r="BO749" s="585"/>
      <c r="BP749" s="1431" t="s">
        <v>41</v>
      </c>
      <c r="BQ749" s="1431"/>
      <c r="BR749" s="585"/>
      <c r="BS749" s="585"/>
      <c r="BT749" s="1432" t="e">
        <f>INT(AS749*BG749/100)</f>
        <v>#REF!</v>
      </c>
      <c r="BU749" s="1432"/>
      <c r="BV749" s="1432"/>
      <c r="BW749" s="1432"/>
      <c r="BX749" s="1432"/>
      <c r="BY749" s="1432"/>
      <c r="BZ749" s="1432"/>
      <c r="CA749" s="1432"/>
      <c r="CB749" s="1432"/>
      <c r="CC749" s="1432"/>
      <c r="CD749" s="585"/>
      <c r="CE749" s="585"/>
      <c r="CF749" s="586"/>
    </row>
    <row r="750" spans="1:84" s="583" customFormat="1" ht="23.1" customHeight="1" thickBot="1">
      <c r="A750" s="584"/>
      <c r="B750" s="585"/>
      <c r="C750" s="585"/>
      <c r="D750" s="585"/>
      <c r="E750" s="585"/>
      <c r="F750" s="585"/>
      <c r="G750" s="585"/>
      <c r="H750" s="585"/>
      <c r="I750" s="585"/>
      <c r="J750" s="585"/>
      <c r="K750" s="585"/>
      <c r="L750" s="585"/>
      <c r="M750" s="585"/>
      <c r="N750" s="585"/>
      <c r="O750" s="585"/>
      <c r="P750" s="585"/>
      <c r="Q750" s="585"/>
      <c r="R750" s="585"/>
      <c r="S750" s="585"/>
      <c r="T750" s="585"/>
      <c r="U750" s="585"/>
      <c r="V750" s="585"/>
      <c r="W750" s="585"/>
      <c r="X750" s="585"/>
      <c r="Y750" s="585"/>
      <c r="Z750" s="585"/>
      <c r="AA750" s="585"/>
      <c r="AB750" s="585"/>
      <c r="AC750" s="585"/>
      <c r="AD750" s="585"/>
      <c r="AE750" s="585"/>
      <c r="AF750" s="585"/>
      <c r="AG750" s="585"/>
      <c r="AH750" s="585"/>
      <c r="AI750" s="585"/>
      <c r="AJ750" s="585"/>
      <c r="AK750" s="585"/>
      <c r="AL750" s="585"/>
      <c r="AM750" s="585"/>
      <c r="AN750" s="585"/>
      <c r="AO750" s="585"/>
      <c r="AP750" s="585"/>
      <c r="AQ750" s="585"/>
      <c r="AR750" s="585"/>
      <c r="AS750" s="585"/>
      <c r="AT750" s="585"/>
      <c r="AU750" s="585"/>
      <c r="AV750" s="585"/>
      <c r="AW750" s="585"/>
      <c r="AX750" s="585"/>
      <c r="AY750" s="585"/>
      <c r="AZ750" s="585"/>
      <c r="BA750" s="585"/>
      <c r="BB750" s="585"/>
      <c r="BC750" s="585"/>
      <c r="BD750" s="585"/>
      <c r="BE750" s="585"/>
      <c r="BF750" s="585"/>
      <c r="BG750" s="585"/>
      <c r="BH750" s="585"/>
      <c r="BI750" s="585"/>
      <c r="BJ750" s="585"/>
      <c r="BK750" s="585"/>
      <c r="BL750" s="585"/>
      <c r="BM750" s="585"/>
      <c r="BN750" s="585"/>
      <c r="BO750" s="585"/>
      <c r="BP750" s="1431" t="s">
        <v>41</v>
      </c>
      <c r="BQ750" s="1431"/>
      <c r="BR750" s="585"/>
      <c r="BS750" s="585"/>
      <c r="BT750" s="1433" t="e">
        <f>BT748+BT749</f>
        <v>#REF!</v>
      </c>
      <c r="BU750" s="1433"/>
      <c r="BV750" s="1433"/>
      <c r="BW750" s="1433"/>
      <c r="BX750" s="1433"/>
      <c r="BY750" s="1433"/>
      <c r="BZ750" s="1433"/>
      <c r="CA750" s="1433"/>
      <c r="CB750" s="1433"/>
      <c r="CC750" s="1433"/>
      <c r="CD750" s="585"/>
      <c r="CE750" s="585"/>
      <c r="CF750" s="586"/>
    </row>
    <row r="751" spans="1:84" s="583" customFormat="1" ht="23.1" customHeight="1" thickBot="1">
      <c r="A751" s="597"/>
      <c r="B751" s="598" t="s">
        <v>1113</v>
      </c>
      <c r="C751" s="598"/>
      <c r="D751" s="598"/>
      <c r="E751" s="598"/>
      <c r="F751" s="598"/>
      <c r="G751" s="598"/>
      <c r="H751" s="598"/>
      <c r="I751" s="598"/>
      <c r="J751" s="598"/>
      <c r="K751" s="598"/>
      <c r="L751" s="598"/>
      <c r="M751" s="598"/>
      <c r="N751" s="598"/>
      <c r="O751" s="598"/>
      <c r="P751" s="598"/>
      <c r="Q751" s="598"/>
      <c r="R751" s="598"/>
      <c r="S751" s="598"/>
      <c r="T751" s="598"/>
      <c r="U751" s="598"/>
      <c r="V751" s="598"/>
      <c r="W751" s="598"/>
      <c r="X751" s="598"/>
      <c r="Y751" s="598"/>
      <c r="Z751" s="598"/>
      <c r="AA751" s="598"/>
      <c r="AB751" s="598"/>
      <c r="AC751" s="598"/>
      <c r="AD751" s="598"/>
      <c r="AE751" s="598"/>
      <c r="AF751" s="598"/>
      <c r="AG751" s="598"/>
      <c r="AH751" s="598"/>
      <c r="AI751" s="598"/>
      <c r="AJ751" s="598"/>
      <c r="AK751" s="598"/>
      <c r="AL751" s="598"/>
      <c r="AM751" s="598"/>
      <c r="AN751" s="598"/>
      <c r="AO751" s="598"/>
      <c r="AP751" s="598"/>
      <c r="AQ751" s="598"/>
      <c r="AR751" s="598"/>
      <c r="AS751" s="598"/>
      <c r="AT751" s="598"/>
      <c r="AU751" s="598"/>
      <c r="AV751" s="598"/>
      <c r="AW751" s="598"/>
      <c r="AX751" s="598"/>
      <c r="AY751" s="598"/>
      <c r="AZ751" s="598"/>
      <c r="BA751" s="598"/>
      <c r="BB751" s="598"/>
      <c r="BC751" s="598"/>
      <c r="BD751" s="598"/>
      <c r="BE751" s="598"/>
      <c r="BF751" s="598"/>
      <c r="BG751" s="598"/>
      <c r="BH751" s="598"/>
      <c r="BI751" s="598"/>
      <c r="BJ751" s="598"/>
      <c r="BK751" s="598"/>
      <c r="BL751" s="598"/>
      <c r="BM751" s="598"/>
      <c r="BN751" s="598"/>
      <c r="BO751" s="598"/>
      <c r="BP751" s="598"/>
      <c r="BQ751" s="598"/>
      <c r="BR751" s="598"/>
      <c r="BS751" s="598"/>
      <c r="BT751" s="1429" t="e">
        <f>BT742+BT746+BT750</f>
        <v>#REF!</v>
      </c>
      <c r="BU751" s="1429"/>
      <c r="BV751" s="1429"/>
      <c r="BW751" s="1429"/>
      <c r="BX751" s="1429"/>
      <c r="BY751" s="1429"/>
      <c r="BZ751" s="1429"/>
      <c r="CA751" s="1429"/>
      <c r="CB751" s="1429"/>
      <c r="CC751" s="1429"/>
      <c r="CD751" s="598"/>
      <c r="CE751" s="598"/>
      <c r="CF751" s="599"/>
    </row>
    <row r="752" spans="1:84" s="583" customFormat="1" ht="9.9499999999999993" customHeight="1">
      <c r="A752" s="574"/>
      <c r="B752" s="574"/>
      <c r="C752" s="574"/>
      <c r="D752" s="574"/>
      <c r="E752" s="574"/>
      <c r="F752" s="574"/>
      <c r="G752" s="574"/>
      <c r="H752" s="574"/>
      <c r="I752" s="574"/>
      <c r="J752" s="574"/>
      <c r="K752" s="574"/>
      <c r="L752" s="574"/>
      <c r="M752" s="574"/>
      <c r="N752" s="574"/>
      <c r="O752" s="574"/>
      <c r="P752" s="574"/>
      <c r="Q752" s="574"/>
      <c r="R752" s="574"/>
      <c r="S752" s="574"/>
      <c r="T752" s="574"/>
      <c r="U752" s="574"/>
      <c r="V752" s="574"/>
      <c r="W752" s="574"/>
      <c r="X752" s="574"/>
      <c r="Y752" s="574"/>
      <c r="Z752" s="574"/>
      <c r="AA752" s="574"/>
      <c r="AB752" s="574"/>
      <c r="AC752" s="574"/>
      <c r="AD752" s="574"/>
      <c r="AE752" s="574"/>
      <c r="AF752" s="574"/>
      <c r="AG752" s="574"/>
      <c r="AH752" s="574"/>
      <c r="AI752" s="574"/>
      <c r="AJ752" s="574"/>
      <c r="AK752" s="574"/>
      <c r="AL752" s="574"/>
      <c r="AM752" s="574"/>
      <c r="AN752" s="574"/>
      <c r="AO752" s="574"/>
      <c r="AP752" s="574"/>
      <c r="AQ752" s="574"/>
      <c r="AR752" s="574"/>
      <c r="AS752" s="574"/>
      <c r="AT752" s="574"/>
      <c r="AU752" s="574"/>
      <c r="AV752" s="574"/>
      <c r="AW752" s="574"/>
      <c r="AX752" s="574"/>
      <c r="AY752" s="574"/>
      <c r="AZ752" s="574"/>
      <c r="BA752" s="574"/>
      <c r="BB752" s="574"/>
      <c r="BC752" s="574"/>
      <c r="BD752" s="574"/>
      <c r="BE752" s="574"/>
      <c r="BF752" s="574"/>
      <c r="BG752" s="574"/>
      <c r="BH752" s="574"/>
      <c r="BI752" s="574"/>
      <c r="BJ752" s="574"/>
      <c r="BK752" s="574"/>
      <c r="BL752" s="574"/>
      <c r="BM752" s="574"/>
      <c r="BN752" s="574"/>
      <c r="BO752" s="574"/>
      <c r="BP752" s="574"/>
      <c r="BQ752" s="574"/>
      <c r="BR752" s="574"/>
      <c r="BS752" s="574"/>
      <c r="BT752" s="574"/>
      <c r="BU752" s="574"/>
      <c r="BV752" s="574"/>
      <c r="BW752" s="574"/>
      <c r="BX752" s="574"/>
      <c r="BY752" s="574"/>
      <c r="BZ752" s="574"/>
      <c r="CA752" s="574"/>
      <c r="CB752" s="574"/>
      <c r="CC752" s="574"/>
      <c r="CD752" s="574"/>
      <c r="CE752" s="574"/>
      <c r="CF752" s="574"/>
    </row>
    <row r="753" spans="1:84" s="583" customFormat="1" ht="23.1" customHeight="1" thickBot="1">
      <c r="A753" s="1446" t="s">
        <v>1095</v>
      </c>
      <c r="B753" s="1446"/>
      <c r="C753" s="1446"/>
      <c r="D753" s="1446"/>
      <c r="E753" s="1446"/>
      <c r="F753" s="1446"/>
      <c r="G753" s="1447">
        <f>G738+1</f>
        <v>51</v>
      </c>
      <c r="H753" s="1447"/>
      <c r="I753" s="1447"/>
      <c r="J753" s="1448" t="s">
        <v>1096</v>
      </c>
      <c r="K753" s="1448"/>
      <c r="L753" s="574"/>
      <c r="M753" s="574"/>
      <c r="N753" s="574"/>
      <c r="O753" s="574"/>
      <c r="P753" s="574"/>
      <c r="Q753" s="574"/>
      <c r="R753" s="574"/>
      <c r="S753" s="574"/>
      <c r="T753" s="574"/>
      <c r="U753" s="574"/>
      <c r="V753" s="574"/>
      <c r="W753" s="574"/>
      <c r="X753" s="574"/>
      <c r="Y753" s="574"/>
      <c r="Z753" s="574"/>
      <c r="AA753" s="574"/>
      <c r="AB753" s="574"/>
      <c r="AC753" s="574"/>
      <c r="AD753" s="574"/>
      <c r="AE753" s="574"/>
      <c r="AF753" s="574"/>
      <c r="AG753" s="574"/>
      <c r="AH753" s="574"/>
      <c r="AI753" s="574"/>
      <c r="AJ753" s="574"/>
      <c r="AK753" s="574"/>
      <c r="AL753" s="574"/>
      <c r="AM753" s="574"/>
      <c r="AN753" s="574"/>
      <c r="AO753" s="574"/>
      <c r="AP753" s="574"/>
      <c r="AQ753" s="574"/>
      <c r="AR753" s="574"/>
      <c r="AS753" s="574"/>
      <c r="AT753" s="574"/>
      <c r="AU753" s="574"/>
      <c r="AV753" s="574"/>
      <c r="AW753" s="574"/>
      <c r="AX753" s="574"/>
      <c r="AY753" s="574"/>
      <c r="AZ753" s="574"/>
      <c r="BA753" s="574"/>
      <c r="BB753" s="574"/>
      <c r="BC753" s="574"/>
      <c r="BD753" s="574"/>
      <c r="BE753" s="574"/>
      <c r="BF753" s="574"/>
      <c r="BG753" s="574"/>
      <c r="BH753" s="574"/>
      <c r="BI753" s="574"/>
      <c r="BJ753" s="574"/>
      <c r="BK753" s="574"/>
      <c r="BL753" s="574"/>
      <c r="BM753" s="574"/>
      <c r="BN753" s="574"/>
      <c r="BO753" s="574"/>
      <c r="BP753" s="574"/>
      <c r="BQ753" s="574"/>
      <c r="BR753" s="574"/>
      <c r="BS753" s="574"/>
      <c r="BT753" s="574"/>
      <c r="BU753" s="574"/>
      <c r="BV753" s="574"/>
      <c r="BW753" s="574"/>
      <c r="BX753" s="574"/>
      <c r="BY753" s="574"/>
      <c r="BZ753" s="574"/>
      <c r="CA753" s="574"/>
      <c r="CB753" s="574"/>
      <c r="CC753" s="574"/>
      <c r="CD753" s="574"/>
      <c r="CE753" s="574"/>
      <c r="CF753" s="574"/>
    </row>
    <row r="754" spans="1:84" s="583" customFormat="1" ht="23.1" customHeight="1" thickBot="1">
      <c r="A754" s="1483" t="s">
        <v>1097</v>
      </c>
      <c r="B754" s="1484"/>
      <c r="C754" s="1484"/>
      <c r="D754" s="1484"/>
      <c r="E754" s="1484"/>
      <c r="F754" s="1484"/>
      <c r="G754" s="1484"/>
      <c r="H754" s="1484"/>
      <c r="I754" s="581" t="s">
        <v>1177</v>
      </c>
      <c r="J754" s="581"/>
      <c r="K754" s="581"/>
      <c r="L754" s="581"/>
      <c r="M754" s="581"/>
      <c r="N754" s="581"/>
      <c r="O754" s="581"/>
      <c r="P754" s="581"/>
      <c r="Q754" s="581"/>
      <c r="R754" s="581"/>
      <c r="S754" s="581"/>
      <c r="T754" s="581"/>
      <c r="U754" s="581"/>
      <c r="V754" s="581"/>
      <c r="W754" s="581"/>
      <c r="X754" s="581"/>
      <c r="Y754" s="581"/>
      <c r="Z754" s="581"/>
      <c r="AA754" s="581"/>
      <c r="AB754" s="581"/>
      <c r="AC754" s="581"/>
      <c r="AD754" s="581"/>
      <c r="AE754" s="581"/>
      <c r="AF754" s="581"/>
      <c r="AG754" s="581"/>
      <c r="AH754" s="581"/>
      <c r="AI754" s="581"/>
      <c r="AJ754" s="1484" t="s">
        <v>1099</v>
      </c>
      <c r="AK754" s="1484"/>
      <c r="AL754" s="1484"/>
      <c r="AM754" s="1484"/>
      <c r="AN754" s="1484"/>
      <c r="AO754" s="1484"/>
      <c r="AP754" s="1484"/>
      <c r="AQ754" s="581" t="s">
        <v>1178</v>
      </c>
      <c r="AR754" s="581"/>
      <c r="AS754" s="581"/>
      <c r="AT754" s="581"/>
      <c r="AU754" s="581"/>
      <c r="AV754" s="581"/>
      <c r="AW754" s="581"/>
      <c r="AX754" s="581"/>
      <c r="AY754" s="581"/>
      <c r="AZ754" s="581"/>
      <c r="BA754" s="581"/>
      <c r="BB754" s="581"/>
      <c r="BC754" s="581"/>
      <c r="BD754" s="581"/>
      <c r="BE754" s="581"/>
      <c r="BF754" s="581"/>
      <c r="BG754" s="581"/>
      <c r="BH754" s="581"/>
      <c r="BI754" s="581"/>
      <c r="BJ754" s="581"/>
      <c r="BK754" s="581"/>
      <c r="BL754" s="581"/>
      <c r="BM754" s="581"/>
      <c r="BN754" s="581"/>
      <c r="BO754" s="581"/>
      <c r="BP754" s="581"/>
      <c r="BQ754" s="581"/>
      <c r="BR754" s="581"/>
      <c r="BS754" s="581"/>
      <c r="BT754" s="581" t="s">
        <v>1179</v>
      </c>
      <c r="BU754" s="581"/>
      <c r="BV754" s="581"/>
      <c r="BW754" s="581"/>
      <c r="BX754" s="581"/>
      <c r="BY754" s="581"/>
      <c r="BZ754" s="581"/>
      <c r="CA754" s="581"/>
      <c r="CB754" s="581"/>
      <c r="CC754" s="581"/>
      <c r="CD754" s="581"/>
      <c r="CE754" s="581"/>
      <c r="CF754" s="582"/>
    </row>
    <row r="755" spans="1:84" s="583" customFormat="1" ht="23.1" customHeight="1">
      <c r="A755" s="584"/>
      <c r="B755" s="585" t="s">
        <v>1102</v>
      </c>
      <c r="C755" s="585"/>
      <c r="D755" s="585"/>
      <c r="E755" s="585"/>
      <c r="F755" s="585"/>
      <c r="G755" s="585"/>
      <c r="H755" s="585"/>
      <c r="I755" s="585"/>
      <c r="J755" s="585"/>
      <c r="K755" s="585"/>
      <c r="L755" s="585"/>
      <c r="M755" s="585"/>
      <c r="N755" s="585"/>
      <c r="O755" s="585"/>
      <c r="P755" s="585"/>
      <c r="Q755" s="585"/>
      <c r="R755" s="585"/>
      <c r="S755" s="585"/>
      <c r="T755" s="585"/>
      <c r="U755" s="585"/>
      <c r="V755" s="585"/>
      <c r="W755" s="585"/>
      <c r="X755" s="585"/>
      <c r="Y755" s="585"/>
      <c r="Z755" s="585"/>
      <c r="AA755" s="585"/>
      <c r="AB755" s="585"/>
      <c r="AC755" s="585"/>
      <c r="AD755" s="585"/>
      <c r="AE755" s="585"/>
      <c r="AF755" s="585"/>
      <c r="AG755" s="585"/>
      <c r="AH755" s="585"/>
      <c r="AI755" s="585"/>
      <c r="AJ755" s="585"/>
      <c r="AK755" s="585"/>
      <c r="AL755" s="585"/>
      <c r="AM755" s="585"/>
      <c r="AN755" s="585"/>
      <c r="AO755" s="585"/>
      <c r="AP755" s="585"/>
      <c r="AQ755" s="585"/>
      <c r="AR755" s="585"/>
      <c r="AS755" s="585"/>
      <c r="AT755" s="585"/>
      <c r="AU755" s="585"/>
      <c r="AV755" s="585"/>
      <c r="AW755" s="585"/>
      <c r="AX755" s="585"/>
      <c r="AY755" s="585"/>
      <c r="AZ755" s="585"/>
      <c r="BA755" s="585"/>
      <c r="BB755" s="585"/>
      <c r="BC755" s="585"/>
      <c r="BD755" s="585"/>
      <c r="BE755" s="585"/>
      <c r="BF755" s="585"/>
      <c r="BG755" s="585"/>
      <c r="BH755" s="585"/>
      <c r="BI755" s="585"/>
      <c r="BJ755" s="585"/>
      <c r="BK755" s="585"/>
      <c r="BL755" s="585"/>
      <c r="BM755" s="585"/>
      <c r="BN755" s="585"/>
      <c r="BO755" s="585"/>
      <c r="BP755" s="585"/>
      <c r="BQ755" s="585"/>
      <c r="BR755" s="585"/>
      <c r="BS755" s="585"/>
      <c r="BT755" s="585"/>
      <c r="BU755" s="585"/>
      <c r="BV755" s="585"/>
      <c r="BW755" s="585"/>
      <c r="BX755" s="585"/>
      <c r="BY755" s="585"/>
      <c r="BZ755" s="585"/>
      <c r="CA755" s="585"/>
      <c r="CB755" s="585"/>
      <c r="CC755" s="585"/>
      <c r="CD755" s="585"/>
      <c r="CE755" s="585"/>
      <c r="CF755" s="586"/>
    </row>
    <row r="756" spans="1:84" s="583" customFormat="1" ht="23.1" customHeight="1">
      <c r="A756" s="587"/>
      <c r="B756" s="574"/>
      <c r="C756" s="574"/>
      <c r="D756" s="405"/>
      <c r="E756" s="574"/>
      <c r="F756" s="422"/>
      <c r="G756" s="422"/>
      <c r="H756" s="422"/>
      <c r="I756" s="422"/>
      <c r="J756" s="422"/>
      <c r="K756" s="422"/>
      <c r="L756" s="422"/>
      <c r="M756" s="422"/>
      <c r="N756" s="574"/>
      <c r="O756" s="574"/>
      <c r="P756" s="574"/>
      <c r="Q756" s="574"/>
      <c r="R756" s="574"/>
      <c r="S756" s="1430"/>
      <c r="T756" s="1430"/>
      <c r="U756" s="1430"/>
      <c r="V756" s="1430"/>
      <c r="W756" s="1430"/>
      <c r="X756" s="1430"/>
      <c r="Y756" s="1430"/>
      <c r="Z756" s="1430"/>
      <c r="AA756" s="574"/>
      <c r="AB756" s="588"/>
      <c r="AC756" s="1431"/>
      <c r="AD756" s="1431"/>
      <c r="AE756" s="1498"/>
      <c r="AF756" s="1498"/>
      <c r="AG756" s="1498"/>
      <c r="AH756" s="1498"/>
      <c r="AI756" s="1498"/>
      <c r="AJ756" s="1498"/>
      <c r="AK756" s="1498"/>
      <c r="AL756" s="1498"/>
      <c r="AM756" s="1431"/>
      <c r="AN756" s="1431"/>
      <c r="AO756" s="574"/>
      <c r="AP756" s="1486"/>
      <c r="AQ756" s="1486"/>
      <c r="AR756" s="1486"/>
      <c r="AS756" s="1486"/>
      <c r="AT756" s="1486"/>
      <c r="AU756" s="1486"/>
      <c r="AV756" s="1486"/>
      <c r="AW756" s="1486"/>
      <c r="AX756" s="1486"/>
      <c r="AY756" s="1486"/>
      <c r="AZ756" s="1486"/>
      <c r="BA756" s="1486"/>
      <c r="BB756" s="1486"/>
      <c r="BC756" s="1486"/>
      <c r="BD756" s="574"/>
      <c r="BE756" s="574"/>
      <c r="BF756" s="574"/>
      <c r="BG756" s="574"/>
      <c r="BH756" s="574"/>
      <c r="BI756" s="574"/>
      <c r="BJ756" s="574"/>
      <c r="BK756" s="574"/>
      <c r="BL756" s="574"/>
      <c r="BM756" s="574"/>
      <c r="BN756" s="574"/>
      <c r="BO756" s="574"/>
      <c r="BP756" s="574"/>
      <c r="BQ756" s="574"/>
      <c r="BR756" s="574"/>
      <c r="BS756" s="574"/>
      <c r="BT756" s="574"/>
      <c r="BU756" s="574"/>
      <c r="BV756" s="574"/>
      <c r="BW756" s="574"/>
      <c r="BX756" s="574"/>
      <c r="BY756" s="574"/>
      <c r="BZ756" s="574"/>
      <c r="CA756" s="574"/>
      <c r="CB756" s="574"/>
      <c r="CC756" s="574"/>
      <c r="CD756" s="574"/>
      <c r="CE756" s="574"/>
      <c r="CF756" s="589"/>
    </row>
    <row r="757" spans="1:84" s="583" customFormat="1" ht="23.1" customHeight="1">
      <c r="A757" s="584"/>
      <c r="B757" s="585"/>
      <c r="C757" s="585"/>
      <c r="D757" s="585"/>
      <c r="E757" s="585"/>
      <c r="F757" s="585"/>
      <c r="G757" s="585"/>
      <c r="H757" s="585"/>
      <c r="I757" s="585"/>
      <c r="J757" s="585"/>
      <c r="K757" s="585"/>
      <c r="L757" s="585"/>
      <c r="M757" s="585"/>
      <c r="N757" s="585"/>
      <c r="O757" s="585"/>
      <c r="P757" s="585"/>
      <c r="Q757" s="585"/>
      <c r="R757" s="585"/>
      <c r="S757" s="585"/>
      <c r="T757" s="585"/>
      <c r="U757" s="585"/>
      <c r="V757" s="590"/>
      <c r="W757" s="590"/>
      <c r="X757" s="590"/>
      <c r="Y757" s="590"/>
      <c r="Z757" s="590"/>
      <c r="AA757" s="590"/>
      <c r="AB757" s="590"/>
      <c r="AC757" s="590"/>
      <c r="AD757" s="574"/>
      <c r="AE757" s="1440">
        <v>48513000</v>
      </c>
      <c r="AF757" s="1440"/>
      <c r="AG757" s="1440"/>
      <c r="AH757" s="1440"/>
      <c r="AI757" s="1440"/>
      <c r="AJ757" s="1440"/>
      <c r="AK757" s="1440"/>
      <c r="AL757" s="1440"/>
      <c r="AM757" s="1440"/>
      <c r="AN757" s="1440"/>
      <c r="AO757" s="1440"/>
      <c r="AP757" s="1440"/>
      <c r="AQ757" s="1440"/>
      <c r="AR757" s="1440"/>
      <c r="AS757" s="1440"/>
      <c r="AT757" s="1431" t="s">
        <v>446</v>
      </c>
      <c r="AU757" s="1431"/>
      <c r="AV757" s="1441" t="s">
        <v>1103</v>
      </c>
      <c r="AW757" s="1441"/>
      <c r="AX757" s="1442">
        <v>1863</v>
      </c>
      <c r="AY757" s="1442"/>
      <c r="AZ757" s="1442"/>
      <c r="BA757" s="1442"/>
      <c r="BB757" s="1442"/>
      <c r="BC757" s="1442"/>
      <c r="BD757" s="585"/>
      <c r="BE757" s="1431" t="s">
        <v>446</v>
      </c>
      <c r="BF757" s="1431"/>
      <c r="BG757" s="585"/>
      <c r="BH757" s="591" t="s">
        <v>1104</v>
      </c>
      <c r="BI757" s="585"/>
      <c r="BJ757" s="585"/>
      <c r="BK757" s="585"/>
      <c r="BL757" s="1431" t="s">
        <v>1105</v>
      </c>
      <c r="BM757" s="1431"/>
      <c r="BN757" s="1431"/>
      <c r="BO757" s="585"/>
      <c r="BP757" s="1431" t="s">
        <v>41</v>
      </c>
      <c r="BQ757" s="1431"/>
      <c r="BR757" s="585"/>
      <c r="BS757" s="585"/>
      <c r="BT757" s="1437">
        <f>INT(AE757*AX757*10^-7)</f>
        <v>9037</v>
      </c>
      <c r="BU757" s="1437"/>
      <c r="BV757" s="1437"/>
      <c r="BW757" s="1437"/>
      <c r="BX757" s="1437"/>
      <c r="BY757" s="1437"/>
      <c r="BZ757" s="1437"/>
      <c r="CA757" s="1437"/>
      <c r="CB757" s="1437"/>
      <c r="CC757" s="1437"/>
      <c r="CD757" s="585"/>
      <c r="CE757" s="585"/>
      <c r="CF757" s="586"/>
    </row>
    <row r="758" spans="1:84" s="583" customFormat="1" ht="23.1" customHeight="1">
      <c r="A758" s="592"/>
      <c r="B758" s="593" t="s">
        <v>1106</v>
      </c>
      <c r="C758" s="593"/>
      <c r="D758" s="593"/>
      <c r="E758" s="593"/>
      <c r="F758" s="593"/>
      <c r="G758" s="593"/>
      <c r="H758" s="593"/>
      <c r="I758" s="593"/>
      <c r="J758" s="593"/>
      <c r="K758" s="593"/>
      <c r="L758" s="593"/>
      <c r="M758" s="593"/>
      <c r="N758" s="593"/>
      <c r="O758" s="593"/>
      <c r="P758" s="593"/>
      <c r="Q758" s="593"/>
      <c r="R758" s="593"/>
      <c r="S758" s="593"/>
      <c r="T758" s="593"/>
      <c r="U758" s="593"/>
      <c r="V758" s="593"/>
      <c r="W758" s="593"/>
      <c r="X758" s="593"/>
      <c r="Y758" s="593"/>
      <c r="Z758" s="593"/>
      <c r="AA758" s="593"/>
      <c r="AB758" s="593"/>
      <c r="AC758" s="593"/>
      <c r="AD758" s="593"/>
      <c r="AE758" s="593"/>
      <c r="AF758" s="593"/>
      <c r="AG758" s="593"/>
      <c r="AH758" s="593"/>
      <c r="AI758" s="593"/>
      <c r="AJ758" s="593"/>
      <c r="AK758" s="593"/>
      <c r="AL758" s="593"/>
      <c r="AM758" s="593"/>
      <c r="AN758" s="593"/>
      <c r="AO758" s="593"/>
      <c r="AP758" s="593"/>
      <c r="AQ758" s="593"/>
      <c r="AR758" s="593"/>
      <c r="AS758" s="593"/>
      <c r="AT758" s="593"/>
      <c r="AU758" s="593"/>
      <c r="AV758" s="593"/>
      <c r="AW758" s="593"/>
      <c r="AX758" s="593"/>
      <c r="AY758" s="593"/>
      <c r="AZ758" s="593"/>
      <c r="BA758" s="593"/>
      <c r="BB758" s="593"/>
      <c r="BC758" s="593"/>
      <c r="BD758" s="593"/>
      <c r="BE758" s="593"/>
      <c r="BF758" s="593"/>
      <c r="BG758" s="593"/>
      <c r="BH758" s="593"/>
      <c r="BI758" s="593"/>
      <c r="BJ758" s="593"/>
      <c r="BK758" s="593"/>
      <c r="BL758" s="593"/>
      <c r="BM758" s="593"/>
      <c r="BN758" s="593"/>
      <c r="BO758" s="593"/>
      <c r="BP758" s="593"/>
      <c r="BQ758" s="593"/>
      <c r="BR758" s="593"/>
      <c r="BS758" s="593"/>
      <c r="BT758" s="594"/>
      <c r="BU758" s="594"/>
      <c r="BV758" s="594"/>
      <c r="BW758" s="594"/>
      <c r="BX758" s="594"/>
      <c r="BY758" s="594"/>
      <c r="BZ758" s="594"/>
      <c r="CA758" s="594"/>
      <c r="CB758" s="594"/>
      <c r="CC758" s="594"/>
      <c r="CD758" s="593"/>
      <c r="CE758" s="593"/>
      <c r="CF758" s="595"/>
    </row>
    <row r="759" spans="1:84" s="583" customFormat="1" ht="23.1" customHeight="1">
      <c r="A759" s="584"/>
      <c r="B759" s="585"/>
      <c r="C759" s="585"/>
      <c r="D759" s="596" t="s">
        <v>268</v>
      </c>
      <c r="E759" s="585"/>
      <c r="F759" s="585"/>
      <c r="G759" s="585"/>
      <c r="H759" s="585"/>
      <c r="I759" s="585"/>
      <c r="J759" s="585"/>
      <c r="K759" s="585"/>
      <c r="L759" s="585"/>
      <c r="M759" s="585"/>
      <c r="N759" s="585"/>
      <c r="O759" s="585"/>
      <c r="P759" s="585"/>
      <c r="Q759" s="585"/>
      <c r="R759" s="585"/>
      <c r="S759" s="585"/>
      <c r="T759" s="574"/>
      <c r="U759" s="574"/>
      <c r="V759" s="1435">
        <f>HLOOKUP(D759,$CJ$1:$CM$3,3,0)</f>
        <v>283297</v>
      </c>
      <c r="W759" s="1435"/>
      <c r="X759" s="1435"/>
      <c r="Y759" s="1435"/>
      <c r="Z759" s="1435"/>
      <c r="AA759" s="1435"/>
      <c r="AB759" s="1435"/>
      <c r="AC759" s="1435"/>
      <c r="AD759" s="1435"/>
      <c r="AE759" s="1435"/>
      <c r="AF759" s="1431" t="s">
        <v>446</v>
      </c>
      <c r="AG759" s="1431"/>
      <c r="AH759" s="574"/>
      <c r="AI759" s="1436" t="s">
        <v>1107</v>
      </c>
      <c r="AJ759" s="1436"/>
      <c r="AK759" s="1436"/>
      <c r="AL759" s="1436"/>
      <c r="AM759" s="585"/>
      <c r="AN759" s="1431" t="s">
        <v>446</v>
      </c>
      <c r="AO759" s="1431"/>
      <c r="AP759" s="585"/>
      <c r="AQ759" s="1436" t="s">
        <v>1108</v>
      </c>
      <c r="AR759" s="1436"/>
      <c r="AS759" s="1436"/>
      <c r="AT759" s="1436"/>
      <c r="AU759" s="1436"/>
      <c r="AV759" s="422"/>
      <c r="AW759" s="1431" t="s">
        <v>446</v>
      </c>
      <c r="AX759" s="1431"/>
      <c r="AY759" s="440"/>
      <c r="AZ759" s="1436" t="s">
        <v>1109</v>
      </c>
      <c r="BA759" s="1436"/>
      <c r="BB759" s="1436"/>
      <c r="BC759" s="1436"/>
      <c r="BD759" s="1436"/>
      <c r="BE759" s="585"/>
      <c r="BF759" s="1431" t="s">
        <v>446</v>
      </c>
      <c r="BG759" s="1431"/>
      <c r="BH759" s="1431">
        <v>1</v>
      </c>
      <c r="BI759" s="1431"/>
      <c r="BJ759" s="1431"/>
      <c r="BK759" s="585"/>
      <c r="BL759" s="585" t="s">
        <v>366</v>
      </c>
      <c r="BM759" s="585"/>
      <c r="BN759" s="585"/>
      <c r="BO759" s="585"/>
      <c r="BP759" s="1431" t="s">
        <v>41</v>
      </c>
      <c r="BQ759" s="1431"/>
      <c r="BR759" s="585"/>
      <c r="BS759" s="585"/>
      <c r="BT759" s="1432">
        <f>INT(V759/8*16/12*25/20*BH759)</f>
        <v>59020</v>
      </c>
      <c r="BU759" s="1432"/>
      <c r="BV759" s="1432"/>
      <c r="BW759" s="1432"/>
      <c r="BX759" s="1432"/>
      <c r="BY759" s="1432"/>
      <c r="BZ759" s="1432"/>
      <c r="CA759" s="1432"/>
      <c r="CB759" s="1432"/>
      <c r="CC759" s="1432"/>
      <c r="CD759" s="585"/>
      <c r="CE759" s="585"/>
      <c r="CF759" s="586"/>
    </row>
    <row r="760" spans="1:84" s="583" customFormat="1" ht="23.1" customHeight="1">
      <c r="A760" s="584"/>
      <c r="B760" s="585"/>
      <c r="C760" s="585"/>
      <c r="D760" s="585"/>
      <c r="E760" s="585"/>
      <c r="F760" s="585"/>
      <c r="G760" s="585"/>
      <c r="H760" s="585"/>
      <c r="I760" s="585"/>
      <c r="J760" s="585"/>
      <c r="K760" s="585"/>
      <c r="L760" s="585"/>
      <c r="M760" s="585"/>
      <c r="N760" s="585"/>
      <c r="O760" s="585"/>
      <c r="P760" s="574"/>
      <c r="Q760" s="574"/>
      <c r="R760" s="574"/>
      <c r="S760" s="574"/>
      <c r="T760" s="574"/>
      <c r="U760" s="574"/>
      <c r="V760" s="574"/>
      <c r="W760" s="574"/>
      <c r="X760" s="574"/>
      <c r="Y760" s="574"/>
      <c r="Z760" s="574"/>
      <c r="AA760" s="574"/>
      <c r="AB760" s="574"/>
      <c r="AC760" s="574"/>
      <c r="AD760" s="574"/>
      <c r="AE760" s="574"/>
      <c r="AF760" s="574"/>
      <c r="AG760" s="574"/>
      <c r="AH760" s="574"/>
      <c r="AI760" s="574"/>
      <c r="AJ760" s="574"/>
      <c r="AK760" s="574"/>
      <c r="AL760" s="574"/>
      <c r="AM760" s="574"/>
      <c r="AN760" s="574"/>
      <c r="AO760" s="574"/>
      <c r="AP760" s="574"/>
      <c r="AQ760" s="574"/>
      <c r="AR760" s="574"/>
      <c r="AS760" s="574"/>
      <c r="AT760" s="574"/>
      <c r="AU760" s="574"/>
      <c r="AV760" s="574"/>
      <c r="AW760" s="574"/>
      <c r="AX760" s="574"/>
      <c r="AY760" s="574"/>
      <c r="AZ760" s="574"/>
      <c r="BA760" s="574"/>
      <c r="BB760" s="574"/>
      <c r="BC760" s="574"/>
      <c r="BD760" s="574"/>
      <c r="BE760" s="574"/>
      <c r="BF760" s="574"/>
      <c r="BG760" s="585"/>
      <c r="BH760" s="585"/>
      <c r="BI760" s="585"/>
      <c r="BJ760" s="585"/>
      <c r="BK760" s="585"/>
      <c r="BL760" s="585"/>
      <c r="BM760" s="585"/>
      <c r="BN760" s="585"/>
      <c r="BO760" s="585"/>
      <c r="BP760" s="1431"/>
      <c r="BQ760" s="1431"/>
      <c r="BR760" s="585"/>
      <c r="BS760" s="585"/>
      <c r="BT760" s="1432"/>
      <c r="BU760" s="1432"/>
      <c r="BV760" s="1432"/>
      <c r="BW760" s="1432"/>
      <c r="BX760" s="1432"/>
      <c r="BY760" s="1432"/>
      <c r="BZ760" s="1432"/>
      <c r="CA760" s="1432"/>
      <c r="CB760" s="1432"/>
      <c r="CC760" s="1432"/>
      <c r="CD760" s="585"/>
      <c r="CE760" s="585"/>
      <c r="CF760" s="586"/>
    </row>
    <row r="761" spans="1:84" s="583" customFormat="1" ht="23.1" customHeight="1">
      <c r="A761" s="584"/>
      <c r="B761" s="585"/>
      <c r="C761" s="585"/>
      <c r="D761" s="585"/>
      <c r="E761" s="585"/>
      <c r="F761" s="585"/>
      <c r="G761" s="585"/>
      <c r="H761" s="585"/>
      <c r="I761" s="585"/>
      <c r="J761" s="585"/>
      <c r="K761" s="585"/>
      <c r="L761" s="585"/>
      <c r="M761" s="585"/>
      <c r="N761" s="585"/>
      <c r="O761" s="585"/>
      <c r="P761" s="585"/>
      <c r="Q761" s="585"/>
      <c r="R761" s="585"/>
      <c r="S761" s="585"/>
      <c r="T761" s="585"/>
      <c r="U761" s="585"/>
      <c r="V761" s="585"/>
      <c r="W761" s="585"/>
      <c r="X761" s="585"/>
      <c r="Y761" s="585"/>
      <c r="Z761" s="585"/>
      <c r="AA761" s="585"/>
      <c r="AB761" s="585"/>
      <c r="AC761" s="585"/>
      <c r="AD761" s="574"/>
      <c r="AE761" s="574"/>
      <c r="AF761" s="574"/>
      <c r="AG761" s="574"/>
      <c r="AH761" s="574"/>
      <c r="AI761" s="574"/>
      <c r="AJ761" s="574"/>
      <c r="AK761" s="574"/>
      <c r="AL761" s="574"/>
      <c r="AM761" s="574"/>
      <c r="AN761" s="574"/>
      <c r="AO761" s="574"/>
      <c r="AP761" s="574"/>
      <c r="AQ761" s="574"/>
      <c r="AR761" s="574"/>
      <c r="AS761" s="585"/>
      <c r="AT761" s="590"/>
      <c r="AU761" s="590"/>
      <c r="AV761" s="585"/>
      <c r="AW761" s="585"/>
      <c r="AX761" s="585"/>
      <c r="AY761" s="585"/>
      <c r="AZ761" s="585"/>
      <c r="BA761" s="585"/>
      <c r="BB761" s="585"/>
      <c r="BC761" s="585"/>
      <c r="BD761" s="585"/>
      <c r="BE761" s="585"/>
      <c r="BF761" s="585"/>
      <c r="BG761" s="585"/>
      <c r="BH761" s="585"/>
      <c r="BI761" s="585"/>
      <c r="BJ761" s="585"/>
      <c r="BK761" s="585"/>
      <c r="BL761" s="585"/>
      <c r="BM761" s="585"/>
      <c r="BN761" s="585"/>
      <c r="BO761" s="585"/>
      <c r="BP761" s="1431" t="s">
        <v>41</v>
      </c>
      <c r="BQ761" s="1431"/>
      <c r="BR761" s="585"/>
      <c r="BS761" s="585"/>
      <c r="BT761" s="1434">
        <f>BT759+BT760</f>
        <v>59020</v>
      </c>
      <c r="BU761" s="1434"/>
      <c r="BV761" s="1434"/>
      <c r="BW761" s="1434"/>
      <c r="BX761" s="1434"/>
      <c r="BY761" s="1434"/>
      <c r="BZ761" s="1434"/>
      <c r="CA761" s="1434"/>
      <c r="CB761" s="1434"/>
      <c r="CC761" s="1434"/>
      <c r="CD761" s="585"/>
      <c r="CE761" s="585"/>
      <c r="CF761" s="586"/>
    </row>
    <row r="762" spans="1:84" s="583" customFormat="1" ht="23.1" customHeight="1">
      <c r="A762" s="592"/>
      <c r="B762" s="593" t="s">
        <v>1110</v>
      </c>
      <c r="C762" s="593"/>
      <c r="D762" s="593"/>
      <c r="E762" s="593"/>
      <c r="F762" s="593"/>
      <c r="G762" s="593"/>
      <c r="H762" s="593"/>
      <c r="I762" s="593"/>
      <c r="J762" s="593"/>
      <c r="K762" s="593"/>
      <c r="L762" s="593"/>
      <c r="M762" s="593"/>
      <c r="N762" s="593"/>
      <c r="O762" s="593"/>
      <c r="P762" s="593"/>
      <c r="Q762" s="593"/>
      <c r="R762" s="593"/>
      <c r="S762" s="593"/>
      <c r="T762" s="593"/>
      <c r="U762" s="593"/>
      <c r="V762" s="593"/>
      <c r="W762" s="593"/>
      <c r="X762" s="593"/>
      <c r="Y762" s="593"/>
      <c r="Z762" s="593"/>
      <c r="AA762" s="593"/>
      <c r="AB762" s="593"/>
      <c r="AC762" s="593"/>
      <c r="AD762" s="593"/>
      <c r="AE762" s="593"/>
      <c r="AF762" s="593"/>
      <c r="AG762" s="593"/>
      <c r="AH762" s="593"/>
      <c r="AI762" s="593"/>
      <c r="AJ762" s="593"/>
      <c r="AK762" s="593"/>
      <c r="AL762" s="593"/>
      <c r="AM762" s="593"/>
      <c r="AN762" s="593"/>
      <c r="AO762" s="593"/>
      <c r="AP762" s="593"/>
      <c r="AQ762" s="593"/>
      <c r="AR762" s="593"/>
      <c r="AS762" s="593"/>
      <c r="AT762" s="593"/>
      <c r="AU762" s="593"/>
      <c r="AV762" s="593"/>
      <c r="AW762" s="593"/>
      <c r="AX762" s="593"/>
      <c r="AY762" s="593"/>
      <c r="AZ762" s="593"/>
      <c r="BA762" s="593"/>
      <c r="BB762" s="593"/>
      <c r="BC762" s="593"/>
      <c r="BD762" s="593"/>
      <c r="BE762" s="593"/>
      <c r="BF762" s="593"/>
      <c r="BG762" s="593"/>
      <c r="BH762" s="593"/>
      <c r="BI762" s="593"/>
      <c r="BJ762" s="593"/>
      <c r="BK762" s="593"/>
      <c r="BL762" s="593"/>
      <c r="BM762" s="593"/>
      <c r="BN762" s="593"/>
      <c r="BO762" s="593"/>
      <c r="BP762" s="593"/>
      <c r="BQ762" s="593"/>
      <c r="BR762" s="593"/>
      <c r="BS762" s="593"/>
      <c r="BT762" s="593"/>
      <c r="BU762" s="593"/>
      <c r="BV762" s="593"/>
      <c r="BW762" s="593"/>
      <c r="BX762" s="593"/>
      <c r="BY762" s="593"/>
      <c r="BZ762" s="593"/>
      <c r="CA762" s="593"/>
      <c r="CB762" s="593"/>
      <c r="CC762" s="593"/>
      <c r="CD762" s="593"/>
      <c r="CE762" s="593"/>
      <c r="CF762" s="595"/>
    </row>
    <row r="763" spans="1:84" s="583" customFormat="1" ht="23.1" customHeight="1">
      <c r="A763" s="584"/>
      <c r="B763" s="585"/>
      <c r="C763" s="585"/>
      <c r="D763" s="596" t="s">
        <v>1094</v>
      </c>
      <c r="E763" s="585"/>
      <c r="F763" s="585"/>
      <c r="G763" s="585"/>
      <c r="H763" s="585"/>
      <c r="I763" s="585"/>
      <c r="J763" s="585"/>
      <c r="K763" s="585"/>
      <c r="L763" s="585"/>
      <c r="M763" s="585"/>
      <c r="N763" s="585"/>
      <c r="O763" s="585"/>
      <c r="P763" s="585"/>
      <c r="Q763" s="585"/>
      <c r="R763" s="585"/>
      <c r="S763" s="585"/>
      <c r="T763" s="585"/>
      <c r="U763" s="585"/>
      <c r="V763" s="585"/>
      <c r="W763" s="585"/>
      <c r="X763" s="585"/>
      <c r="Y763" s="585"/>
      <c r="Z763" s="585"/>
      <c r="AA763" s="585"/>
      <c r="AB763" s="585"/>
      <c r="AC763" s="585"/>
      <c r="AD763" s="585"/>
      <c r="AE763" s="585"/>
      <c r="AF763" s="585"/>
      <c r="AG763" s="585"/>
      <c r="AH763" s="585"/>
      <c r="AI763" s="585"/>
      <c r="AJ763" s="585"/>
      <c r="AK763" s="585"/>
      <c r="AL763" s="585"/>
      <c r="AM763" s="585"/>
      <c r="AN763" s="585"/>
      <c r="AO763" s="585"/>
      <c r="AP763" s="585"/>
      <c r="AQ763" s="585"/>
      <c r="AR763" s="422"/>
      <c r="AS763" s="1435" t="e">
        <f>HLOOKUP(D763,$CN$1:$CO$3,3,0)</f>
        <v>#REF!</v>
      </c>
      <c r="AT763" s="1435"/>
      <c r="AU763" s="1435"/>
      <c r="AV763" s="1435"/>
      <c r="AW763" s="1435"/>
      <c r="AX763" s="1435"/>
      <c r="AY763" s="1435"/>
      <c r="AZ763" s="1435"/>
      <c r="BA763" s="1435"/>
      <c r="BB763" s="1435"/>
      <c r="BC763" s="585"/>
      <c r="BD763" s="1431" t="s">
        <v>446</v>
      </c>
      <c r="BE763" s="1431"/>
      <c r="BF763" s="585"/>
      <c r="BG763" s="1431">
        <v>5</v>
      </c>
      <c r="BH763" s="1431"/>
      <c r="BI763" s="1431"/>
      <c r="BJ763" s="1431"/>
      <c r="BK763" s="1431"/>
      <c r="BL763" s="585" t="s">
        <v>1111</v>
      </c>
      <c r="BM763" s="585"/>
      <c r="BN763" s="585"/>
      <c r="BO763" s="585"/>
      <c r="BP763" s="1431" t="s">
        <v>41</v>
      </c>
      <c r="BQ763" s="1431"/>
      <c r="BR763" s="585"/>
      <c r="BS763" s="585"/>
      <c r="BT763" s="1432" t="e">
        <f>INT(AS763*BG763)</f>
        <v>#REF!</v>
      </c>
      <c r="BU763" s="1432"/>
      <c r="BV763" s="1432"/>
      <c r="BW763" s="1432"/>
      <c r="BX763" s="1432"/>
      <c r="BY763" s="1432"/>
      <c r="BZ763" s="1432"/>
      <c r="CA763" s="1432"/>
      <c r="CB763" s="1432"/>
      <c r="CC763" s="1432"/>
      <c r="CD763" s="585"/>
      <c r="CE763" s="585"/>
      <c r="CF763" s="586"/>
    </row>
    <row r="764" spans="1:84" s="583" customFormat="1" ht="23.1" customHeight="1">
      <c r="A764" s="584"/>
      <c r="B764" s="585"/>
      <c r="C764" s="585"/>
      <c r="D764" s="591" t="str">
        <f>"잡재료 (주연료의 "&amp;BG764&amp;"%) :"</f>
        <v>잡재료 (주연료의 18%) :</v>
      </c>
      <c r="E764" s="585"/>
      <c r="F764" s="585"/>
      <c r="G764" s="585"/>
      <c r="H764" s="585"/>
      <c r="I764" s="585"/>
      <c r="J764" s="585"/>
      <c r="K764" s="585"/>
      <c r="L764" s="585"/>
      <c r="M764" s="585"/>
      <c r="N764" s="585"/>
      <c r="O764" s="585"/>
      <c r="P764" s="585"/>
      <c r="Q764" s="585"/>
      <c r="R764" s="585"/>
      <c r="S764" s="585"/>
      <c r="T764" s="585"/>
      <c r="U764" s="585"/>
      <c r="V764" s="585"/>
      <c r="W764" s="585"/>
      <c r="X764" s="585"/>
      <c r="Y764" s="585"/>
      <c r="Z764" s="585"/>
      <c r="AA764" s="585"/>
      <c r="AB764" s="585"/>
      <c r="AC764" s="585"/>
      <c r="AD764" s="585"/>
      <c r="AE764" s="585"/>
      <c r="AF764" s="585"/>
      <c r="AG764" s="585"/>
      <c r="AH764" s="585"/>
      <c r="AI764" s="585"/>
      <c r="AJ764" s="585"/>
      <c r="AK764" s="585"/>
      <c r="AL764" s="585"/>
      <c r="AM764" s="585"/>
      <c r="AN764" s="585"/>
      <c r="AO764" s="585"/>
      <c r="AP764" s="585"/>
      <c r="AQ764" s="585"/>
      <c r="AR764" s="422" t="e">
        <f>BT763</f>
        <v>#REF!</v>
      </c>
      <c r="AS764" s="1430" t="e">
        <f>BT763</f>
        <v>#REF!</v>
      </c>
      <c r="AT764" s="1430"/>
      <c r="AU764" s="1430"/>
      <c r="AV764" s="1430"/>
      <c r="AW764" s="1430"/>
      <c r="AX764" s="1430"/>
      <c r="AY764" s="1430"/>
      <c r="AZ764" s="1430"/>
      <c r="BA764" s="1430"/>
      <c r="BB764" s="1430"/>
      <c r="BC764" s="585"/>
      <c r="BD764" s="1431" t="s">
        <v>446</v>
      </c>
      <c r="BE764" s="1431"/>
      <c r="BF764" s="585"/>
      <c r="BG764" s="1431">
        <v>18</v>
      </c>
      <c r="BH764" s="1431"/>
      <c r="BI764" s="1431"/>
      <c r="BJ764" s="1431"/>
      <c r="BK764" s="1431"/>
      <c r="BL764" s="585" t="s">
        <v>1112</v>
      </c>
      <c r="BM764" s="585"/>
      <c r="BN764" s="585"/>
      <c r="BO764" s="585"/>
      <c r="BP764" s="1431" t="s">
        <v>41</v>
      </c>
      <c r="BQ764" s="1431"/>
      <c r="BR764" s="585"/>
      <c r="BS764" s="585"/>
      <c r="BT764" s="1432" t="e">
        <f>INT(AS764*BG764/100)</f>
        <v>#REF!</v>
      </c>
      <c r="BU764" s="1432"/>
      <c r="BV764" s="1432"/>
      <c r="BW764" s="1432"/>
      <c r="BX764" s="1432"/>
      <c r="BY764" s="1432"/>
      <c r="BZ764" s="1432"/>
      <c r="CA764" s="1432"/>
      <c r="CB764" s="1432"/>
      <c r="CC764" s="1432"/>
      <c r="CD764" s="585"/>
      <c r="CE764" s="585"/>
      <c r="CF764" s="586"/>
    </row>
    <row r="765" spans="1:84" s="583" customFormat="1" ht="23.1" customHeight="1" thickBot="1">
      <c r="A765" s="584"/>
      <c r="B765" s="585"/>
      <c r="C765" s="585"/>
      <c r="D765" s="585"/>
      <c r="E765" s="585"/>
      <c r="F765" s="585"/>
      <c r="G765" s="585"/>
      <c r="H765" s="585"/>
      <c r="I765" s="585"/>
      <c r="J765" s="585"/>
      <c r="K765" s="585"/>
      <c r="L765" s="585"/>
      <c r="M765" s="585"/>
      <c r="N765" s="585"/>
      <c r="O765" s="585"/>
      <c r="P765" s="585"/>
      <c r="Q765" s="585"/>
      <c r="R765" s="585"/>
      <c r="S765" s="585"/>
      <c r="T765" s="585"/>
      <c r="U765" s="585"/>
      <c r="V765" s="585"/>
      <c r="W765" s="585"/>
      <c r="X765" s="585"/>
      <c r="Y765" s="585"/>
      <c r="Z765" s="585"/>
      <c r="AA765" s="585"/>
      <c r="AB765" s="585"/>
      <c r="AC765" s="585"/>
      <c r="AD765" s="585"/>
      <c r="AE765" s="585"/>
      <c r="AF765" s="585"/>
      <c r="AG765" s="585"/>
      <c r="AH765" s="585"/>
      <c r="AI765" s="585"/>
      <c r="AJ765" s="585"/>
      <c r="AK765" s="585"/>
      <c r="AL765" s="585"/>
      <c r="AM765" s="585"/>
      <c r="AN765" s="585"/>
      <c r="AO765" s="585"/>
      <c r="AP765" s="585"/>
      <c r="AQ765" s="585"/>
      <c r="AR765" s="585"/>
      <c r="AS765" s="585"/>
      <c r="AT765" s="585"/>
      <c r="AU765" s="585"/>
      <c r="AV765" s="585"/>
      <c r="AW765" s="585"/>
      <c r="AX765" s="585"/>
      <c r="AY765" s="585"/>
      <c r="AZ765" s="585"/>
      <c r="BA765" s="585"/>
      <c r="BB765" s="585"/>
      <c r="BC765" s="585"/>
      <c r="BD765" s="585"/>
      <c r="BE765" s="585"/>
      <c r="BF765" s="585"/>
      <c r="BG765" s="585"/>
      <c r="BH765" s="585"/>
      <c r="BI765" s="585"/>
      <c r="BJ765" s="585"/>
      <c r="BK765" s="585"/>
      <c r="BL765" s="585"/>
      <c r="BM765" s="585"/>
      <c r="BN765" s="585"/>
      <c r="BO765" s="585"/>
      <c r="BP765" s="1431" t="s">
        <v>41</v>
      </c>
      <c r="BQ765" s="1431"/>
      <c r="BR765" s="585"/>
      <c r="BS765" s="585"/>
      <c r="BT765" s="1433" t="e">
        <f>BT763+BT764</f>
        <v>#REF!</v>
      </c>
      <c r="BU765" s="1433"/>
      <c r="BV765" s="1433"/>
      <c r="BW765" s="1433"/>
      <c r="BX765" s="1433"/>
      <c r="BY765" s="1433"/>
      <c r="BZ765" s="1433"/>
      <c r="CA765" s="1433"/>
      <c r="CB765" s="1433"/>
      <c r="CC765" s="1433"/>
      <c r="CD765" s="585"/>
      <c r="CE765" s="585"/>
      <c r="CF765" s="586"/>
    </row>
    <row r="766" spans="1:84" s="583" customFormat="1" ht="23.1" customHeight="1" thickBot="1">
      <c r="A766" s="597"/>
      <c r="B766" s="598" t="s">
        <v>1113</v>
      </c>
      <c r="C766" s="598"/>
      <c r="D766" s="598"/>
      <c r="E766" s="598"/>
      <c r="F766" s="598"/>
      <c r="G766" s="598"/>
      <c r="H766" s="598"/>
      <c r="I766" s="598"/>
      <c r="J766" s="598"/>
      <c r="K766" s="598"/>
      <c r="L766" s="598"/>
      <c r="M766" s="598"/>
      <c r="N766" s="598"/>
      <c r="O766" s="598"/>
      <c r="P766" s="598"/>
      <c r="Q766" s="598"/>
      <c r="R766" s="598"/>
      <c r="S766" s="598"/>
      <c r="T766" s="598"/>
      <c r="U766" s="598"/>
      <c r="V766" s="598"/>
      <c r="W766" s="598"/>
      <c r="X766" s="598"/>
      <c r="Y766" s="598"/>
      <c r="Z766" s="598"/>
      <c r="AA766" s="598"/>
      <c r="AB766" s="598"/>
      <c r="AC766" s="598"/>
      <c r="AD766" s="598"/>
      <c r="AE766" s="598"/>
      <c r="AF766" s="598"/>
      <c r="AG766" s="598"/>
      <c r="AH766" s="598"/>
      <c r="AI766" s="598"/>
      <c r="AJ766" s="598"/>
      <c r="AK766" s="598"/>
      <c r="AL766" s="598"/>
      <c r="AM766" s="598"/>
      <c r="AN766" s="598"/>
      <c r="AO766" s="598"/>
      <c r="AP766" s="598"/>
      <c r="AQ766" s="598"/>
      <c r="AR766" s="598"/>
      <c r="AS766" s="598"/>
      <c r="AT766" s="598"/>
      <c r="AU766" s="598"/>
      <c r="AV766" s="598"/>
      <c r="AW766" s="598"/>
      <c r="AX766" s="598"/>
      <c r="AY766" s="598"/>
      <c r="AZ766" s="598"/>
      <c r="BA766" s="598"/>
      <c r="BB766" s="598"/>
      <c r="BC766" s="598"/>
      <c r="BD766" s="598"/>
      <c r="BE766" s="598"/>
      <c r="BF766" s="598"/>
      <c r="BG766" s="598"/>
      <c r="BH766" s="598"/>
      <c r="BI766" s="598"/>
      <c r="BJ766" s="598"/>
      <c r="BK766" s="598"/>
      <c r="BL766" s="598"/>
      <c r="BM766" s="598"/>
      <c r="BN766" s="598"/>
      <c r="BO766" s="598"/>
      <c r="BP766" s="598"/>
      <c r="BQ766" s="598"/>
      <c r="BR766" s="598"/>
      <c r="BS766" s="598"/>
      <c r="BT766" s="1429" t="e">
        <f>BT757+BT761+BT765</f>
        <v>#REF!</v>
      </c>
      <c r="BU766" s="1429"/>
      <c r="BV766" s="1429"/>
      <c r="BW766" s="1429"/>
      <c r="BX766" s="1429"/>
      <c r="BY766" s="1429"/>
      <c r="BZ766" s="1429"/>
      <c r="CA766" s="1429"/>
      <c r="CB766" s="1429"/>
      <c r="CC766" s="1429"/>
      <c r="CD766" s="598"/>
      <c r="CE766" s="598"/>
      <c r="CF766" s="599"/>
    </row>
    <row r="767" spans="1:84" s="583" customFormat="1" ht="9.9499999999999993" customHeight="1">
      <c r="A767" s="574"/>
      <c r="B767" s="574"/>
      <c r="C767" s="574"/>
      <c r="D767" s="574"/>
      <c r="E767" s="574"/>
      <c r="F767" s="574"/>
      <c r="G767" s="574"/>
      <c r="H767" s="574"/>
      <c r="I767" s="574"/>
      <c r="J767" s="574"/>
      <c r="K767" s="574"/>
      <c r="L767" s="574"/>
      <c r="M767" s="574"/>
      <c r="N767" s="574"/>
      <c r="O767" s="574"/>
      <c r="P767" s="574"/>
      <c r="Q767" s="574"/>
      <c r="R767" s="574"/>
      <c r="S767" s="574"/>
      <c r="T767" s="574"/>
      <c r="U767" s="574"/>
      <c r="V767" s="574"/>
      <c r="W767" s="574"/>
      <c r="X767" s="574"/>
      <c r="Y767" s="574"/>
      <c r="Z767" s="574"/>
      <c r="AA767" s="574"/>
      <c r="AB767" s="574"/>
      <c r="AC767" s="574"/>
      <c r="AD767" s="574"/>
      <c r="AE767" s="574"/>
      <c r="AF767" s="574"/>
      <c r="AG767" s="574"/>
      <c r="AH767" s="574"/>
      <c r="AI767" s="574"/>
      <c r="AJ767" s="574"/>
      <c r="AK767" s="574"/>
      <c r="AL767" s="574"/>
      <c r="AM767" s="574"/>
      <c r="AN767" s="574"/>
      <c r="AO767" s="574"/>
      <c r="AP767" s="574"/>
      <c r="AQ767" s="574"/>
      <c r="AR767" s="574"/>
      <c r="AS767" s="574"/>
      <c r="AT767" s="574"/>
      <c r="AU767" s="574"/>
      <c r="AV767" s="574"/>
      <c r="AW767" s="574"/>
      <c r="AX767" s="574"/>
      <c r="AY767" s="574"/>
      <c r="AZ767" s="574"/>
      <c r="BA767" s="574"/>
      <c r="BB767" s="574"/>
      <c r="BC767" s="574"/>
      <c r="BD767" s="574"/>
      <c r="BE767" s="574"/>
      <c r="BF767" s="574"/>
      <c r="BG767" s="574"/>
      <c r="BH767" s="574"/>
      <c r="BI767" s="574"/>
      <c r="BJ767" s="574"/>
      <c r="BK767" s="574"/>
      <c r="BL767" s="574"/>
      <c r="BM767" s="574"/>
      <c r="BN767" s="574"/>
      <c r="BO767" s="574"/>
      <c r="BP767" s="574"/>
      <c r="BQ767" s="574"/>
      <c r="BR767" s="574"/>
      <c r="BS767" s="574"/>
      <c r="BT767" s="574"/>
      <c r="BU767" s="574"/>
      <c r="BV767" s="574"/>
      <c r="BW767" s="574"/>
      <c r="BX767" s="574"/>
      <c r="BY767" s="574"/>
      <c r="BZ767" s="574"/>
      <c r="CA767" s="574"/>
      <c r="CB767" s="574"/>
      <c r="CC767" s="574"/>
      <c r="CD767" s="574"/>
      <c r="CE767" s="574"/>
      <c r="CF767" s="574"/>
    </row>
    <row r="768" spans="1:84" s="583" customFormat="1" ht="23.1" customHeight="1" thickBot="1">
      <c r="A768" s="1446" t="s">
        <v>1095</v>
      </c>
      <c r="B768" s="1446"/>
      <c r="C768" s="1446"/>
      <c r="D768" s="1446"/>
      <c r="E768" s="1446"/>
      <c r="F768" s="1446"/>
      <c r="G768" s="1447">
        <f>G753+1</f>
        <v>52</v>
      </c>
      <c r="H768" s="1447"/>
      <c r="I768" s="1447"/>
      <c r="J768" s="1448" t="s">
        <v>1096</v>
      </c>
      <c r="K768" s="1448"/>
      <c r="L768" s="574"/>
      <c r="M768" s="574"/>
      <c r="N768" s="574"/>
      <c r="O768" s="574"/>
      <c r="P768" s="574"/>
      <c r="Q768" s="574"/>
      <c r="R768" s="574"/>
      <c r="S768" s="574"/>
      <c r="T768" s="574"/>
      <c r="U768" s="574"/>
      <c r="V768" s="574"/>
      <c r="W768" s="574"/>
      <c r="X768" s="574"/>
      <c r="Y768" s="574"/>
      <c r="Z768" s="574"/>
      <c r="AA768" s="574"/>
      <c r="AB768" s="574"/>
      <c r="AC768" s="574"/>
      <c r="AD768" s="574"/>
      <c r="AE768" s="574"/>
      <c r="AF768" s="574"/>
      <c r="AG768" s="574"/>
      <c r="AH768" s="574"/>
      <c r="AI768" s="574"/>
      <c r="AJ768" s="574"/>
      <c r="AK768" s="574"/>
      <c r="AL768" s="574"/>
      <c r="AM768" s="574"/>
      <c r="AN768" s="574"/>
      <c r="AO768" s="574"/>
      <c r="AP768" s="574"/>
      <c r="AQ768" s="574"/>
      <c r="AR768" s="574"/>
      <c r="AS768" s="574"/>
      <c r="AT768" s="574"/>
      <c r="AU768" s="574"/>
      <c r="AV768" s="574"/>
      <c r="AW768" s="574"/>
      <c r="AX768" s="574"/>
      <c r="AY768" s="574"/>
      <c r="AZ768" s="574"/>
      <c r="BA768" s="574"/>
      <c r="BB768" s="574"/>
      <c r="BC768" s="574"/>
      <c r="BD768" s="574"/>
      <c r="BE768" s="574"/>
      <c r="BF768" s="574"/>
      <c r="BG768" s="574"/>
      <c r="BH768" s="574"/>
      <c r="BI768" s="574"/>
      <c r="BJ768" s="574"/>
      <c r="BK768" s="574"/>
      <c r="BL768" s="574"/>
      <c r="BM768" s="574"/>
      <c r="BN768" s="574"/>
      <c r="BO768" s="574"/>
      <c r="BP768" s="574"/>
      <c r="BQ768" s="574"/>
      <c r="BR768" s="574"/>
      <c r="BS768" s="574"/>
      <c r="BT768" s="574"/>
      <c r="BU768" s="574"/>
      <c r="BV768" s="574"/>
      <c r="BW768" s="574"/>
      <c r="BX768" s="574"/>
      <c r="BY768" s="574"/>
      <c r="BZ768" s="574"/>
      <c r="CA768" s="574"/>
      <c r="CB768" s="574"/>
      <c r="CC768" s="574"/>
      <c r="CD768" s="574"/>
      <c r="CE768" s="574"/>
      <c r="CF768" s="574"/>
    </row>
    <row r="769" spans="1:84" s="583" customFormat="1" ht="23.1" customHeight="1" thickBot="1">
      <c r="A769" s="1483" t="s">
        <v>1097</v>
      </c>
      <c r="B769" s="1484"/>
      <c r="C769" s="1484"/>
      <c r="D769" s="1484"/>
      <c r="E769" s="1484"/>
      <c r="F769" s="1484"/>
      <c r="G769" s="1484"/>
      <c r="H769" s="1484"/>
      <c r="I769" s="581" t="s">
        <v>1177</v>
      </c>
      <c r="J769" s="581"/>
      <c r="K769" s="581"/>
      <c r="L769" s="581"/>
      <c r="M769" s="581"/>
      <c r="N769" s="581"/>
      <c r="O769" s="581"/>
      <c r="P769" s="581"/>
      <c r="Q769" s="581"/>
      <c r="R769" s="581"/>
      <c r="S769" s="581"/>
      <c r="T769" s="581"/>
      <c r="U769" s="581"/>
      <c r="V769" s="581"/>
      <c r="W769" s="581"/>
      <c r="X769" s="581"/>
      <c r="Y769" s="581"/>
      <c r="Z769" s="581"/>
      <c r="AA769" s="581"/>
      <c r="AB769" s="581"/>
      <c r="AC769" s="581"/>
      <c r="AD769" s="581"/>
      <c r="AE769" s="581"/>
      <c r="AF769" s="581"/>
      <c r="AG769" s="581"/>
      <c r="AH769" s="581"/>
      <c r="AI769" s="581"/>
      <c r="AJ769" s="1484" t="s">
        <v>1099</v>
      </c>
      <c r="AK769" s="1484"/>
      <c r="AL769" s="1484"/>
      <c r="AM769" s="1484"/>
      <c r="AN769" s="1484"/>
      <c r="AO769" s="1484"/>
      <c r="AP769" s="1484"/>
      <c r="AQ769" s="581" t="s">
        <v>1173</v>
      </c>
      <c r="AR769" s="581"/>
      <c r="AS769" s="581"/>
      <c r="AT769" s="581"/>
      <c r="AU769" s="581"/>
      <c r="AV769" s="581"/>
      <c r="AW769" s="581"/>
      <c r="AX769" s="581"/>
      <c r="AY769" s="581"/>
      <c r="AZ769" s="581"/>
      <c r="BA769" s="581"/>
      <c r="BB769" s="581"/>
      <c r="BC769" s="581"/>
      <c r="BD769" s="581"/>
      <c r="BE769" s="581"/>
      <c r="BF769" s="581"/>
      <c r="BG769" s="581"/>
      <c r="BH769" s="581"/>
      <c r="BI769" s="581"/>
      <c r="BJ769" s="581"/>
      <c r="BK769" s="581"/>
      <c r="BL769" s="581"/>
      <c r="BM769" s="581"/>
      <c r="BN769" s="581"/>
      <c r="BO769" s="581"/>
      <c r="BP769" s="581"/>
      <c r="BQ769" s="581"/>
      <c r="BR769" s="581"/>
      <c r="BS769" s="581"/>
      <c r="BT769" s="581" t="s">
        <v>1180</v>
      </c>
      <c r="BU769" s="581"/>
      <c r="BV769" s="581"/>
      <c r="BW769" s="581"/>
      <c r="BX769" s="581"/>
      <c r="BY769" s="581"/>
      <c r="BZ769" s="581"/>
      <c r="CA769" s="581"/>
      <c r="CB769" s="581"/>
      <c r="CC769" s="581"/>
      <c r="CD769" s="581"/>
      <c r="CE769" s="581"/>
      <c r="CF769" s="582"/>
    </row>
    <row r="770" spans="1:84" s="583" customFormat="1" ht="23.1" customHeight="1">
      <c r="A770" s="584"/>
      <c r="B770" s="585" t="s">
        <v>1102</v>
      </c>
      <c r="C770" s="585"/>
      <c r="D770" s="585"/>
      <c r="E770" s="585"/>
      <c r="F770" s="585"/>
      <c r="G770" s="585"/>
      <c r="H770" s="585"/>
      <c r="I770" s="585"/>
      <c r="J770" s="585"/>
      <c r="K770" s="585"/>
      <c r="L770" s="585"/>
      <c r="M770" s="585"/>
      <c r="N770" s="585"/>
      <c r="O770" s="585"/>
      <c r="P770" s="585"/>
      <c r="Q770" s="585"/>
      <c r="R770" s="585"/>
      <c r="S770" s="585"/>
      <c r="T770" s="585"/>
      <c r="U770" s="585"/>
      <c r="V770" s="585"/>
      <c r="W770" s="585"/>
      <c r="X770" s="585"/>
      <c r="Y770" s="585"/>
      <c r="Z770" s="585"/>
      <c r="AA770" s="585"/>
      <c r="AB770" s="585"/>
      <c r="AC770" s="585"/>
      <c r="AD770" s="585"/>
      <c r="AE770" s="585"/>
      <c r="AF770" s="585"/>
      <c r="AG770" s="585"/>
      <c r="AH770" s="585"/>
      <c r="AI770" s="585"/>
      <c r="AJ770" s="585"/>
      <c r="AK770" s="585"/>
      <c r="AL770" s="585"/>
      <c r="AM770" s="585"/>
      <c r="AN770" s="585"/>
      <c r="AO770" s="585"/>
      <c r="AP770" s="585"/>
      <c r="AQ770" s="585"/>
      <c r="AR770" s="585"/>
      <c r="AS770" s="585"/>
      <c r="AT770" s="585"/>
      <c r="AU770" s="585"/>
      <c r="AV770" s="585"/>
      <c r="AW770" s="585"/>
      <c r="AX770" s="585"/>
      <c r="AY770" s="585"/>
      <c r="AZ770" s="585"/>
      <c r="BA770" s="585"/>
      <c r="BB770" s="585"/>
      <c r="BC770" s="585"/>
      <c r="BD770" s="585"/>
      <c r="BE770" s="585"/>
      <c r="BF770" s="585"/>
      <c r="BG770" s="585"/>
      <c r="BH770" s="585"/>
      <c r="BI770" s="585"/>
      <c r="BJ770" s="585"/>
      <c r="BK770" s="585"/>
      <c r="BL770" s="585"/>
      <c r="BM770" s="585"/>
      <c r="BN770" s="585"/>
      <c r="BO770" s="585"/>
      <c r="BP770" s="585"/>
      <c r="BQ770" s="585"/>
      <c r="BR770" s="585"/>
      <c r="BS770" s="585"/>
      <c r="BT770" s="585"/>
      <c r="BU770" s="585"/>
      <c r="BV770" s="585"/>
      <c r="BW770" s="585"/>
      <c r="BX770" s="585"/>
      <c r="BY770" s="585"/>
      <c r="BZ770" s="585"/>
      <c r="CA770" s="585"/>
      <c r="CB770" s="585"/>
      <c r="CC770" s="585"/>
      <c r="CD770" s="585"/>
      <c r="CE770" s="585"/>
      <c r="CF770" s="586"/>
    </row>
    <row r="771" spans="1:84" s="583" customFormat="1" ht="23.1" customHeight="1">
      <c r="A771" s="587"/>
      <c r="B771" s="574"/>
      <c r="C771" s="574"/>
      <c r="D771" s="405"/>
      <c r="E771" s="574"/>
      <c r="F771" s="422"/>
      <c r="G771" s="422"/>
      <c r="H771" s="422"/>
      <c r="I771" s="422"/>
      <c r="J771" s="422"/>
      <c r="K771" s="422"/>
      <c r="L771" s="422"/>
      <c r="M771" s="422"/>
      <c r="N771" s="574"/>
      <c r="O771" s="574"/>
      <c r="P771" s="574"/>
      <c r="Q771" s="574"/>
      <c r="R771" s="574"/>
      <c r="S771" s="1430"/>
      <c r="T771" s="1430"/>
      <c r="U771" s="1430"/>
      <c r="V771" s="1430"/>
      <c r="W771" s="1430"/>
      <c r="X771" s="1430"/>
      <c r="Y771" s="1430"/>
      <c r="Z771" s="1430"/>
      <c r="AA771" s="574"/>
      <c r="AB771" s="588"/>
      <c r="AC771" s="1431"/>
      <c r="AD771" s="1431"/>
      <c r="AE771" s="1498"/>
      <c r="AF771" s="1498"/>
      <c r="AG771" s="1498"/>
      <c r="AH771" s="1498"/>
      <c r="AI771" s="1498"/>
      <c r="AJ771" s="1498"/>
      <c r="AK771" s="1498"/>
      <c r="AL771" s="1498"/>
      <c r="AM771" s="1431"/>
      <c r="AN771" s="1431"/>
      <c r="AO771" s="574"/>
      <c r="AP771" s="1486"/>
      <c r="AQ771" s="1486"/>
      <c r="AR771" s="1486"/>
      <c r="AS771" s="1486"/>
      <c r="AT771" s="1486"/>
      <c r="AU771" s="1486"/>
      <c r="AV771" s="1486"/>
      <c r="AW771" s="1486"/>
      <c r="AX771" s="1486"/>
      <c r="AY771" s="1486"/>
      <c r="AZ771" s="1486"/>
      <c r="BA771" s="1486"/>
      <c r="BB771" s="1486"/>
      <c r="BC771" s="1486"/>
      <c r="BD771" s="574"/>
      <c r="BE771" s="574"/>
      <c r="BF771" s="574"/>
      <c r="BG771" s="574"/>
      <c r="BH771" s="574"/>
      <c r="BI771" s="574"/>
      <c r="BJ771" s="574"/>
      <c r="BK771" s="574"/>
      <c r="BL771" s="574"/>
      <c r="BM771" s="574"/>
      <c r="BN771" s="574"/>
      <c r="BO771" s="574"/>
      <c r="BP771" s="574"/>
      <c r="BQ771" s="574"/>
      <c r="BR771" s="574"/>
      <c r="BS771" s="574"/>
      <c r="BT771" s="574"/>
      <c r="BU771" s="574"/>
      <c r="BV771" s="574"/>
      <c r="BW771" s="574"/>
      <c r="BX771" s="574"/>
      <c r="BY771" s="574"/>
      <c r="BZ771" s="574"/>
      <c r="CA771" s="574"/>
      <c r="CB771" s="574"/>
      <c r="CC771" s="574"/>
      <c r="CD771" s="574"/>
      <c r="CE771" s="574"/>
      <c r="CF771" s="589"/>
    </row>
    <row r="772" spans="1:84" s="583" customFormat="1" ht="23.1" customHeight="1">
      <c r="A772" s="584"/>
      <c r="B772" s="585"/>
      <c r="C772" s="585"/>
      <c r="D772" s="585"/>
      <c r="E772" s="585"/>
      <c r="F772" s="585"/>
      <c r="G772" s="585"/>
      <c r="H772" s="585"/>
      <c r="I772" s="585"/>
      <c r="J772" s="585"/>
      <c r="K772" s="585"/>
      <c r="L772" s="585"/>
      <c r="M772" s="585"/>
      <c r="N772" s="585"/>
      <c r="O772" s="585"/>
      <c r="P772" s="585"/>
      <c r="Q772" s="585"/>
      <c r="R772" s="585"/>
      <c r="S772" s="585"/>
      <c r="T772" s="585"/>
      <c r="U772" s="585"/>
      <c r="V772" s="590"/>
      <c r="W772" s="590"/>
      <c r="X772" s="590"/>
      <c r="Y772" s="590"/>
      <c r="Z772" s="590"/>
      <c r="AA772" s="590"/>
      <c r="AB772" s="590"/>
      <c r="AC772" s="590"/>
      <c r="AD772" s="574"/>
      <c r="AE772" s="1440">
        <v>50412000</v>
      </c>
      <c r="AF772" s="1440"/>
      <c r="AG772" s="1440"/>
      <c r="AH772" s="1440"/>
      <c r="AI772" s="1440"/>
      <c r="AJ772" s="1440"/>
      <c r="AK772" s="1440"/>
      <c r="AL772" s="1440"/>
      <c r="AM772" s="1440"/>
      <c r="AN772" s="1440"/>
      <c r="AO772" s="1440"/>
      <c r="AP772" s="1440"/>
      <c r="AQ772" s="1440"/>
      <c r="AR772" s="1440"/>
      <c r="AS772" s="1440"/>
      <c r="AT772" s="1431" t="s">
        <v>446</v>
      </c>
      <c r="AU772" s="1431"/>
      <c r="AV772" s="1441" t="s">
        <v>1103</v>
      </c>
      <c r="AW772" s="1441"/>
      <c r="AX772" s="1442">
        <v>1863</v>
      </c>
      <c r="AY772" s="1442"/>
      <c r="AZ772" s="1442"/>
      <c r="BA772" s="1442"/>
      <c r="BB772" s="1442"/>
      <c r="BC772" s="1442"/>
      <c r="BD772" s="585"/>
      <c r="BE772" s="1431" t="s">
        <v>446</v>
      </c>
      <c r="BF772" s="1431"/>
      <c r="BG772" s="585"/>
      <c r="BH772" s="591" t="s">
        <v>1104</v>
      </c>
      <c r="BI772" s="585"/>
      <c r="BJ772" s="585"/>
      <c r="BK772" s="585"/>
      <c r="BL772" s="1431" t="s">
        <v>1105</v>
      </c>
      <c r="BM772" s="1431"/>
      <c r="BN772" s="1431"/>
      <c r="BO772" s="585"/>
      <c r="BP772" s="1431" t="s">
        <v>41</v>
      </c>
      <c r="BQ772" s="1431"/>
      <c r="BR772" s="585"/>
      <c r="BS772" s="585"/>
      <c r="BT772" s="1437">
        <f>INT(AE772*AX772*10^-7)</f>
        <v>9391</v>
      </c>
      <c r="BU772" s="1437"/>
      <c r="BV772" s="1437"/>
      <c r="BW772" s="1437"/>
      <c r="BX772" s="1437"/>
      <c r="BY772" s="1437"/>
      <c r="BZ772" s="1437"/>
      <c r="CA772" s="1437"/>
      <c r="CB772" s="1437"/>
      <c r="CC772" s="1437"/>
      <c r="CD772" s="585"/>
      <c r="CE772" s="585"/>
      <c r="CF772" s="586"/>
    </row>
    <row r="773" spans="1:84" s="583" customFormat="1" ht="23.1" customHeight="1">
      <c r="A773" s="592"/>
      <c r="B773" s="593" t="s">
        <v>1106</v>
      </c>
      <c r="C773" s="593"/>
      <c r="D773" s="593"/>
      <c r="E773" s="593"/>
      <c r="F773" s="593"/>
      <c r="G773" s="593"/>
      <c r="H773" s="593"/>
      <c r="I773" s="593"/>
      <c r="J773" s="593"/>
      <c r="K773" s="593"/>
      <c r="L773" s="593"/>
      <c r="M773" s="593"/>
      <c r="N773" s="593"/>
      <c r="O773" s="593"/>
      <c r="P773" s="593"/>
      <c r="Q773" s="593"/>
      <c r="R773" s="593"/>
      <c r="S773" s="593"/>
      <c r="T773" s="593"/>
      <c r="U773" s="593"/>
      <c r="V773" s="593"/>
      <c r="W773" s="593"/>
      <c r="X773" s="593"/>
      <c r="Y773" s="593"/>
      <c r="Z773" s="593"/>
      <c r="AA773" s="593"/>
      <c r="AB773" s="593"/>
      <c r="AC773" s="593"/>
      <c r="AD773" s="593"/>
      <c r="AE773" s="593"/>
      <c r="AF773" s="593"/>
      <c r="AG773" s="593"/>
      <c r="AH773" s="593"/>
      <c r="AI773" s="593"/>
      <c r="AJ773" s="593"/>
      <c r="AK773" s="593"/>
      <c r="AL773" s="593"/>
      <c r="AM773" s="593"/>
      <c r="AN773" s="593"/>
      <c r="AO773" s="593"/>
      <c r="AP773" s="593"/>
      <c r="AQ773" s="593"/>
      <c r="AR773" s="593"/>
      <c r="AS773" s="593"/>
      <c r="AT773" s="593"/>
      <c r="AU773" s="593"/>
      <c r="AV773" s="593"/>
      <c r="AW773" s="593"/>
      <c r="AX773" s="593"/>
      <c r="AY773" s="593"/>
      <c r="AZ773" s="593"/>
      <c r="BA773" s="593"/>
      <c r="BB773" s="593"/>
      <c r="BC773" s="593"/>
      <c r="BD773" s="593"/>
      <c r="BE773" s="593"/>
      <c r="BF773" s="593"/>
      <c r="BG773" s="593"/>
      <c r="BH773" s="593"/>
      <c r="BI773" s="593"/>
      <c r="BJ773" s="593"/>
      <c r="BK773" s="593"/>
      <c r="BL773" s="593"/>
      <c r="BM773" s="593"/>
      <c r="BN773" s="593"/>
      <c r="BO773" s="593"/>
      <c r="BP773" s="593"/>
      <c r="BQ773" s="593"/>
      <c r="BR773" s="593"/>
      <c r="BS773" s="593"/>
      <c r="BT773" s="594"/>
      <c r="BU773" s="594"/>
      <c r="BV773" s="594"/>
      <c r="BW773" s="594"/>
      <c r="BX773" s="594"/>
      <c r="BY773" s="594"/>
      <c r="BZ773" s="594"/>
      <c r="CA773" s="594"/>
      <c r="CB773" s="594"/>
      <c r="CC773" s="594"/>
      <c r="CD773" s="593"/>
      <c r="CE773" s="593"/>
      <c r="CF773" s="595"/>
    </row>
    <row r="774" spans="1:84" s="583" customFormat="1" ht="23.1" customHeight="1">
      <c r="A774" s="584"/>
      <c r="B774" s="585"/>
      <c r="C774" s="585"/>
      <c r="D774" s="596" t="s">
        <v>268</v>
      </c>
      <c r="E774" s="585"/>
      <c r="F774" s="585"/>
      <c r="G774" s="585"/>
      <c r="H774" s="585"/>
      <c r="I774" s="585"/>
      <c r="J774" s="585"/>
      <c r="K774" s="585"/>
      <c r="L774" s="585"/>
      <c r="M774" s="585"/>
      <c r="N774" s="585"/>
      <c r="O774" s="585"/>
      <c r="P774" s="585"/>
      <c r="Q774" s="585"/>
      <c r="R774" s="585"/>
      <c r="S774" s="585"/>
      <c r="T774" s="574"/>
      <c r="U774" s="574"/>
      <c r="V774" s="1435">
        <f>HLOOKUP(D774,$CJ$1:$CM$3,3,0)</f>
        <v>283297</v>
      </c>
      <c r="W774" s="1435"/>
      <c r="X774" s="1435"/>
      <c r="Y774" s="1435"/>
      <c r="Z774" s="1435"/>
      <c r="AA774" s="1435"/>
      <c r="AB774" s="1435"/>
      <c r="AC774" s="1435"/>
      <c r="AD774" s="1435"/>
      <c r="AE774" s="1435"/>
      <c r="AF774" s="1431" t="s">
        <v>446</v>
      </c>
      <c r="AG774" s="1431"/>
      <c r="AH774" s="574"/>
      <c r="AI774" s="1436" t="s">
        <v>1107</v>
      </c>
      <c r="AJ774" s="1436"/>
      <c r="AK774" s="1436"/>
      <c r="AL774" s="1436"/>
      <c r="AM774" s="585"/>
      <c r="AN774" s="1431" t="s">
        <v>446</v>
      </c>
      <c r="AO774" s="1431"/>
      <c r="AP774" s="585"/>
      <c r="AQ774" s="1436" t="s">
        <v>1108</v>
      </c>
      <c r="AR774" s="1436"/>
      <c r="AS774" s="1436"/>
      <c r="AT774" s="1436"/>
      <c r="AU774" s="1436"/>
      <c r="AV774" s="422"/>
      <c r="AW774" s="1431" t="s">
        <v>446</v>
      </c>
      <c r="AX774" s="1431"/>
      <c r="AY774" s="440"/>
      <c r="AZ774" s="1436" t="s">
        <v>1109</v>
      </c>
      <c r="BA774" s="1436"/>
      <c r="BB774" s="1436"/>
      <c r="BC774" s="1436"/>
      <c r="BD774" s="1436"/>
      <c r="BE774" s="585"/>
      <c r="BF774" s="1431" t="s">
        <v>446</v>
      </c>
      <c r="BG774" s="1431"/>
      <c r="BH774" s="1431">
        <v>1</v>
      </c>
      <c r="BI774" s="1431"/>
      <c r="BJ774" s="1431"/>
      <c r="BK774" s="585"/>
      <c r="BL774" s="585" t="s">
        <v>366</v>
      </c>
      <c r="BM774" s="585"/>
      <c r="BN774" s="585"/>
      <c r="BO774" s="585"/>
      <c r="BP774" s="1431" t="s">
        <v>41</v>
      </c>
      <c r="BQ774" s="1431"/>
      <c r="BR774" s="585"/>
      <c r="BS774" s="585"/>
      <c r="BT774" s="1432">
        <f>INT(V774/8*16/12*25/20*BH774)</f>
        <v>59020</v>
      </c>
      <c r="BU774" s="1432"/>
      <c r="BV774" s="1432"/>
      <c r="BW774" s="1432"/>
      <c r="BX774" s="1432"/>
      <c r="BY774" s="1432"/>
      <c r="BZ774" s="1432"/>
      <c r="CA774" s="1432"/>
      <c r="CB774" s="1432"/>
      <c r="CC774" s="1432"/>
      <c r="CD774" s="585"/>
      <c r="CE774" s="585"/>
      <c r="CF774" s="586"/>
    </row>
    <row r="775" spans="1:84" s="583" customFormat="1" ht="23.1" customHeight="1">
      <c r="A775" s="584"/>
      <c r="B775" s="585"/>
      <c r="C775" s="585"/>
      <c r="D775" s="585"/>
      <c r="E775" s="585"/>
      <c r="F775" s="585"/>
      <c r="G775" s="585"/>
      <c r="H775" s="585"/>
      <c r="I775" s="585"/>
      <c r="J775" s="585"/>
      <c r="K775" s="585"/>
      <c r="L775" s="585"/>
      <c r="M775" s="585"/>
      <c r="N775" s="585"/>
      <c r="O775" s="585"/>
      <c r="P775" s="574"/>
      <c r="Q775" s="574"/>
      <c r="R775" s="574"/>
      <c r="S775" s="574"/>
      <c r="T775" s="574"/>
      <c r="U775" s="574"/>
      <c r="V775" s="574"/>
      <c r="W775" s="574"/>
      <c r="X775" s="574"/>
      <c r="Y775" s="574"/>
      <c r="Z775" s="574"/>
      <c r="AA775" s="574"/>
      <c r="AB775" s="574"/>
      <c r="AC775" s="574"/>
      <c r="AD775" s="574"/>
      <c r="AE775" s="574"/>
      <c r="AF775" s="574"/>
      <c r="AG775" s="574"/>
      <c r="AH775" s="574"/>
      <c r="AI775" s="574"/>
      <c r="AJ775" s="574"/>
      <c r="AK775" s="574"/>
      <c r="AL775" s="574"/>
      <c r="AM775" s="574"/>
      <c r="AN775" s="574"/>
      <c r="AO775" s="574"/>
      <c r="AP775" s="574"/>
      <c r="AQ775" s="574"/>
      <c r="AR775" s="574"/>
      <c r="AS775" s="574"/>
      <c r="AT775" s="574"/>
      <c r="AU775" s="574"/>
      <c r="AV775" s="574"/>
      <c r="AW775" s="574"/>
      <c r="AX775" s="574"/>
      <c r="AY775" s="574"/>
      <c r="AZ775" s="574"/>
      <c r="BA775" s="574"/>
      <c r="BB775" s="574"/>
      <c r="BC775" s="574"/>
      <c r="BD775" s="574"/>
      <c r="BE775" s="574"/>
      <c r="BF775" s="574"/>
      <c r="BG775" s="585"/>
      <c r="BH775" s="585"/>
      <c r="BI775" s="585"/>
      <c r="BJ775" s="585"/>
      <c r="BK775" s="585"/>
      <c r="BL775" s="585"/>
      <c r="BM775" s="585"/>
      <c r="BN775" s="585"/>
      <c r="BO775" s="585"/>
      <c r="BP775" s="1431"/>
      <c r="BQ775" s="1431"/>
      <c r="BR775" s="585"/>
      <c r="BS775" s="585"/>
      <c r="BT775" s="1432"/>
      <c r="BU775" s="1432"/>
      <c r="BV775" s="1432"/>
      <c r="BW775" s="1432"/>
      <c r="BX775" s="1432"/>
      <c r="BY775" s="1432"/>
      <c r="BZ775" s="1432"/>
      <c r="CA775" s="1432"/>
      <c r="CB775" s="1432"/>
      <c r="CC775" s="1432"/>
      <c r="CD775" s="585"/>
      <c r="CE775" s="585"/>
      <c r="CF775" s="586"/>
    </row>
    <row r="776" spans="1:84" s="583" customFormat="1" ht="23.1" customHeight="1">
      <c r="A776" s="584"/>
      <c r="B776" s="585"/>
      <c r="C776" s="585"/>
      <c r="D776" s="585"/>
      <c r="E776" s="585"/>
      <c r="F776" s="585"/>
      <c r="G776" s="585"/>
      <c r="H776" s="585"/>
      <c r="I776" s="585"/>
      <c r="J776" s="585"/>
      <c r="K776" s="585"/>
      <c r="L776" s="585"/>
      <c r="M776" s="585"/>
      <c r="N776" s="585"/>
      <c r="O776" s="585"/>
      <c r="P776" s="585"/>
      <c r="Q776" s="585"/>
      <c r="R776" s="585"/>
      <c r="S776" s="585"/>
      <c r="T776" s="585"/>
      <c r="U776" s="585"/>
      <c r="V776" s="585"/>
      <c r="W776" s="585"/>
      <c r="X776" s="585"/>
      <c r="Y776" s="585"/>
      <c r="Z776" s="585"/>
      <c r="AA776" s="585"/>
      <c r="AB776" s="585"/>
      <c r="AC776" s="585"/>
      <c r="AD776" s="574"/>
      <c r="AE776" s="574"/>
      <c r="AF776" s="574"/>
      <c r="AG776" s="574"/>
      <c r="AH776" s="574"/>
      <c r="AI776" s="574"/>
      <c r="AJ776" s="574"/>
      <c r="AK776" s="574"/>
      <c r="AL776" s="574"/>
      <c r="AM776" s="574"/>
      <c r="AN776" s="574"/>
      <c r="AO776" s="574"/>
      <c r="AP776" s="574"/>
      <c r="AQ776" s="574"/>
      <c r="AR776" s="574"/>
      <c r="AS776" s="585"/>
      <c r="AT776" s="590"/>
      <c r="AU776" s="590"/>
      <c r="AV776" s="585"/>
      <c r="AW776" s="585"/>
      <c r="AX776" s="585"/>
      <c r="AY776" s="585"/>
      <c r="AZ776" s="585"/>
      <c r="BA776" s="585"/>
      <c r="BB776" s="585"/>
      <c r="BC776" s="585"/>
      <c r="BD776" s="585"/>
      <c r="BE776" s="585"/>
      <c r="BF776" s="585"/>
      <c r="BG776" s="585"/>
      <c r="BH776" s="585"/>
      <c r="BI776" s="585"/>
      <c r="BJ776" s="585"/>
      <c r="BK776" s="585"/>
      <c r="BL776" s="585"/>
      <c r="BM776" s="585"/>
      <c r="BN776" s="585"/>
      <c r="BO776" s="585"/>
      <c r="BP776" s="1431" t="s">
        <v>41</v>
      </c>
      <c r="BQ776" s="1431"/>
      <c r="BR776" s="585"/>
      <c r="BS776" s="585"/>
      <c r="BT776" s="1434">
        <f>BT774+BT775</f>
        <v>59020</v>
      </c>
      <c r="BU776" s="1434"/>
      <c r="BV776" s="1434"/>
      <c r="BW776" s="1434"/>
      <c r="BX776" s="1434"/>
      <c r="BY776" s="1434"/>
      <c r="BZ776" s="1434"/>
      <c r="CA776" s="1434"/>
      <c r="CB776" s="1434"/>
      <c r="CC776" s="1434"/>
      <c r="CD776" s="585"/>
      <c r="CE776" s="585"/>
      <c r="CF776" s="586"/>
    </row>
    <row r="777" spans="1:84" s="583" customFormat="1" ht="23.1" customHeight="1">
      <c r="A777" s="592"/>
      <c r="B777" s="593" t="s">
        <v>1110</v>
      </c>
      <c r="C777" s="593"/>
      <c r="D777" s="593"/>
      <c r="E777" s="593"/>
      <c r="F777" s="593"/>
      <c r="G777" s="593"/>
      <c r="H777" s="593"/>
      <c r="I777" s="593"/>
      <c r="J777" s="593"/>
      <c r="K777" s="593"/>
      <c r="L777" s="593"/>
      <c r="M777" s="593"/>
      <c r="N777" s="593"/>
      <c r="O777" s="593"/>
      <c r="P777" s="593"/>
      <c r="Q777" s="593"/>
      <c r="R777" s="593"/>
      <c r="S777" s="593"/>
      <c r="T777" s="593"/>
      <c r="U777" s="593"/>
      <c r="V777" s="593"/>
      <c r="W777" s="593"/>
      <c r="X777" s="593"/>
      <c r="Y777" s="593"/>
      <c r="Z777" s="593"/>
      <c r="AA777" s="593"/>
      <c r="AB777" s="593"/>
      <c r="AC777" s="593"/>
      <c r="AD777" s="593"/>
      <c r="AE777" s="593"/>
      <c r="AF777" s="593"/>
      <c r="AG777" s="593"/>
      <c r="AH777" s="593"/>
      <c r="AI777" s="593"/>
      <c r="AJ777" s="593"/>
      <c r="AK777" s="593"/>
      <c r="AL777" s="593"/>
      <c r="AM777" s="593"/>
      <c r="AN777" s="593"/>
      <c r="AO777" s="593"/>
      <c r="AP777" s="593"/>
      <c r="AQ777" s="593"/>
      <c r="AR777" s="593"/>
      <c r="AS777" s="593"/>
      <c r="AT777" s="593"/>
      <c r="AU777" s="593"/>
      <c r="AV777" s="593"/>
      <c r="AW777" s="593"/>
      <c r="AX777" s="593"/>
      <c r="AY777" s="593"/>
      <c r="AZ777" s="593"/>
      <c r="BA777" s="593"/>
      <c r="BB777" s="593"/>
      <c r="BC777" s="593"/>
      <c r="BD777" s="593"/>
      <c r="BE777" s="593"/>
      <c r="BF777" s="593"/>
      <c r="BG777" s="593"/>
      <c r="BH777" s="593"/>
      <c r="BI777" s="593"/>
      <c r="BJ777" s="593"/>
      <c r="BK777" s="593"/>
      <c r="BL777" s="593"/>
      <c r="BM777" s="593"/>
      <c r="BN777" s="593"/>
      <c r="BO777" s="593"/>
      <c r="BP777" s="593"/>
      <c r="BQ777" s="593"/>
      <c r="BR777" s="593"/>
      <c r="BS777" s="593"/>
      <c r="BT777" s="593"/>
      <c r="BU777" s="593"/>
      <c r="BV777" s="593"/>
      <c r="BW777" s="593"/>
      <c r="BX777" s="593"/>
      <c r="BY777" s="593"/>
      <c r="BZ777" s="593"/>
      <c r="CA777" s="593"/>
      <c r="CB777" s="593"/>
      <c r="CC777" s="593"/>
      <c r="CD777" s="593"/>
      <c r="CE777" s="593"/>
      <c r="CF777" s="595"/>
    </row>
    <row r="778" spans="1:84" s="583" customFormat="1" ht="23.1" customHeight="1">
      <c r="A778" s="584"/>
      <c r="B778" s="585"/>
      <c r="C778" s="585"/>
      <c r="D778" s="596" t="s">
        <v>1094</v>
      </c>
      <c r="E778" s="585"/>
      <c r="F778" s="585"/>
      <c r="G778" s="585"/>
      <c r="H778" s="585"/>
      <c r="I778" s="585"/>
      <c r="J778" s="585"/>
      <c r="K778" s="585"/>
      <c r="L778" s="585"/>
      <c r="M778" s="585"/>
      <c r="N778" s="585"/>
      <c r="O778" s="585"/>
      <c r="P778" s="585"/>
      <c r="Q778" s="585"/>
      <c r="R778" s="585"/>
      <c r="S778" s="585"/>
      <c r="T778" s="585"/>
      <c r="U778" s="585"/>
      <c r="V778" s="585"/>
      <c r="W778" s="585"/>
      <c r="X778" s="585"/>
      <c r="Y778" s="585"/>
      <c r="Z778" s="585"/>
      <c r="AA778" s="585"/>
      <c r="AB778" s="585"/>
      <c r="AC778" s="585"/>
      <c r="AD778" s="585"/>
      <c r="AE778" s="585"/>
      <c r="AF778" s="585"/>
      <c r="AG778" s="585"/>
      <c r="AH778" s="585"/>
      <c r="AI778" s="585"/>
      <c r="AJ778" s="585"/>
      <c r="AK778" s="585"/>
      <c r="AL778" s="585"/>
      <c r="AM778" s="585"/>
      <c r="AN778" s="585"/>
      <c r="AO778" s="585"/>
      <c r="AP778" s="585"/>
      <c r="AQ778" s="585"/>
      <c r="AR778" s="422"/>
      <c r="AS778" s="1435" t="e">
        <f>HLOOKUP(D778,$CN$1:$CO$3,3,0)</f>
        <v>#REF!</v>
      </c>
      <c r="AT778" s="1435"/>
      <c r="AU778" s="1435"/>
      <c r="AV778" s="1435"/>
      <c r="AW778" s="1435"/>
      <c r="AX778" s="1435"/>
      <c r="AY778" s="1435"/>
      <c r="AZ778" s="1435"/>
      <c r="BA778" s="1435"/>
      <c r="BB778" s="1435"/>
      <c r="BC778" s="585"/>
      <c r="BD778" s="1431" t="s">
        <v>446</v>
      </c>
      <c r="BE778" s="1431"/>
      <c r="BF778" s="585"/>
      <c r="BG778" s="1431">
        <v>6.8</v>
      </c>
      <c r="BH778" s="1431"/>
      <c r="BI778" s="1431"/>
      <c r="BJ778" s="1431"/>
      <c r="BK778" s="1431"/>
      <c r="BL778" s="585" t="s">
        <v>1111</v>
      </c>
      <c r="BM778" s="585"/>
      <c r="BN778" s="585"/>
      <c r="BO778" s="585"/>
      <c r="BP778" s="1431" t="s">
        <v>41</v>
      </c>
      <c r="BQ778" s="1431"/>
      <c r="BR778" s="585"/>
      <c r="BS778" s="585"/>
      <c r="BT778" s="1432" t="e">
        <f>INT(AS778*BG778)</f>
        <v>#REF!</v>
      </c>
      <c r="BU778" s="1432"/>
      <c r="BV778" s="1432"/>
      <c r="BW778" s="1432"/>
      <c r="BX778" s="1432"/>
      <c r="BY778" s="1432"/>
      <c r="BZ778" s="1432"/>
      <c r="CA778" s="1432"/>
      <c r="CB778" s="1432"/>
      <c r="CC778" s="1432"/>
      <c r="CD778" s="585"/>
      <c r="CE778" s="585"/>
      <c r="CF778" s="586"/>
    </row>
    <row r="779" spans="1:84" s="583" customFormat="1" ht="23.1" customHeight="1">
      <c r="A779" s="584"/>
      <c r="B779" s="585"/>
      <c r="C779" s="585"/>
      <c r="D779" s="591" t="str">
        <f>"잡재료 (주연료의 "&amp;BG779&amp;"%) :"</f>
        <v>잡재료 (주연료의 18%) :</v>
      </c>
      <c r="E779" s="585"/>
      <c r="F779" s="585"/>
      <c r="G779" s="585"/>
      <c r="H779" s="585"/>
      <c r="I779" s="585"/>
      <c r="J779" s="585"/>
      <c r="K779" s="585"/>
      <c r="L779" s="585"/>
      <c r="M779" s="585"/>
      <c r="N779" s="585"/>
      <c r="O779" s="585"/>
      <c r="P779" s="585"/>
      <c r="Q779" s="585"/>
      <c r="R779" s="585"/>
      <c r="S779" s="585"/>
      <c r="T779" s="585"/>
      <c r="U779" s="585"/>
      <c r="V779" s="585"/>
      <c r="W779" s="585"/>
      <c r="X779" s="585"/>
      <c r="Y779" s="585"/>
      <c r="Z779" s="585"/>
      <c r="AA779" s="585"/>
      <c r="AB779" s="585"/>
      <c r="AC779" s="585"/>
      <c r="AD779" s="585"/>
      <c r="AE779" s="585"/>
      <c r="AF779" s="585"/>
      <c r="AG779" s="585"/>
      <c r="AH779" s="585"/>
      <c r="AI779" s="585"/>
      <c r="AJ779" s="585"/>
      <c r="AK779" s="585"/>
      <c r="AL779" s="585"/>
      <c r="AM779" s="585"/>
      <c r="AN779" s="585"/>
      <c r="AO779" s="585"/>
      <c r="AP779" s="585"/>
      <c r="AQ779" s="585"/>
      <c r="AR779" s="422" t="e">
        <f>BT778</f>
        <v>#REF!</v>
      </c>
      <c r="AS779" s="1430" t="e">
        <f>BT778</f>
        <v>#REF!</v>
      </c>
      <c r="AT779" s="1430"/>
      <c r="AU779" s="1430"/>
      <c r="AV779" s="1430"/>
      <c r="AW779" s="1430"/>
      <c r="AX779" s="1430"/>
      <c r="AY779" s="1430"/>
      <c r="AZ779" s="1430"/>
      <c r="BA779" s="1430"/>
      <c r="BB779" s="1430"/>
      <c r="BC779" s="585"/>
      <c r="BD779" s="1431" t="s">
        <v>446</v>
      </c>
      <c r="BE779" s="1431"/>
      <c r="BF779" s="585"/>
      <c r="BG779" s="1431">
        <v>18</v>
      </c>
      <c r="BH779" s="1431"/>
      <c r="BI779" s="1431"/>
      <c r="BJ779" s="1431"/>
      <c r="BK779" s="1431"/>
      <c r="BL779" s="585" t="s">
        <v>1112</v>
      </c>
      <c r="BM779" s="585"/>
      <c r="BN779" s="585"/>
      <c r="BO779" s="585"/>
      <c r="BP779" s="1431" t="s">
        <v>41</v>
      </c>
      <c r="BQ779" s="1431"/>
      <c r="BR779" s="585"/>
      <c r="BS779" s="585"/>
      <c r="BT779" s="1432" t="e">
        <f>INT(AS779*BG779/100)</f>
        <v>#REF!</v>
      </c>
      <c r="BU779" s="1432"/>
      <c r="BV779" s="1432"/>
      <c r="BW779" s="1432"/>
      <c r="BX779" s="1432"/>
      <c r="BY779" s="1432"/>
      <c r="BZ779" s="1432"/>
      <c r="CA779" s="1432"/>
      <c r="CB779" s="1432"/>
      <c r="CC779" s="1432"/>
      <c r="CD779" s="585"/>
      <c r="CE779" s="585"/>
      <c r="CF779" s="586"/>
    </row>
    <row r="780" spans="1:84" s="583" customFormat="1" ht="23.1" customHeight="1" thickBot="1">
      <c r="A780" s="584"/>
      <c r="B780" s="585"/>
      <c r="C780" s="585"/>
      <c r="D780" s="585"/>
      <c r="E780" s="585"/>
      <c r="F780" s="585"/>
      <c r="G780" s="585"/>
      <c r="H780" s="585"/>
      <c r="I780" s="585"/>
      <c r="J780" s="585"/>
      <c r="K780" s="585"/>
      <c r="L780" s="585"/>
      <c r="M780" s="585"/>
      <c r="N780" s="585"/>
      <c r="O780" s="585"/>
      <c r="P780" s="585"/>
      <c r="Q780" s="585"/>
      <c r="R780" s="585"/>
      <c r="S780" s="585"/>
      <c r="T780" s="585"/>
      <c r="U780" s="585"/>
      <c r="V780" s="585"/>
      <c r="W780" s="585"/>
      <c r="X780" s="585"/>
      <c r="Y780" s="585"/>
      <c r="Z780" s="585"/>
      <c r="AA780" s="585"/>
      <c r="AB780" s="585"/>
      <c r="AC780" s="585"/>
      <c r="AD780" s="585"/>
      <c r="AE780" s="585"/>
      <c r="AF780" s="585"/>
      <c r="AG780" s="585"/>
      <c r="AH780" s="585"/>
      <c r="AI780" s="585"/>
      <c r="AJ780" s="585"/>
      <c r="AK780" s="585"/>
      <c r="AL780" s="585"/>
      <c r="AM780" s="585"/>
      <c r="AN780" s="585"/>
      <c r="AO780" s="585"/>
      <c r="AP780" s="585"/>
      <c r="AQ780" s="585"/>
      <c r="AR780" s="585"/>
      <c r="AS780" s="585"/>
      <c r="AT780" s="585"/>
      <c r="AU780" s="585"/>
      <c r="AV780" s="585"/>
      <c r="AW780" s="585"/>
      <c r="AX780" s="585"/>
      <c r="AY780" s="585"/>
      <c r="AZ780" s="585"/>
      <c r="BA780" s="585"/>
      <c r="BB780" s="585"/>
      <c r="BC780" s="585"/>
      <c r="BD780" s="585"/>
      <c r="BE780" s="585"/>
      <c r="BF780" s="585"/>
      <c r="BG780" s="585"/>
      <c r="BH780" s="585"/>
      <c r="BI780" s="585"/>
      <c r="BJ780" s="585"/>
      <c r="BK780" s="585"/>
      <c r="BL780" s="585"/>
      <c r="BM780" s="585"/>
      <c r="BN780" s="585"/>
      <c r="BO780" s="585"/>
      <c r="BP780" s="1431" t="s">
        <v>41</v>
      </c>
      <c r="BQ780" s="1431"/>
      <c r="BR780" s="585"/>
      <c r="BS780" s="585"/>
      <c r="BT780" s="1433" t="e">
        <f>BT778+BT779</f>
        <v>#REF!</v>
      </c>
      <c r="BU780" s="1433"/>
      <c r="BV780" s="1433"/>
      <c r="BW780" s="1433"/>
      <c r="BX780" s="1433"/>
      <c r="BY780" s="1433"/>
      <c r="BZ780" s="1433"/>
      <c r="CA780" s="1433"/>
      <c r="CB780" s="1433"/>
      <c r="CC780" s="1433"/>
      <c r="CD780" s="585"/>
      <c r="CE780" s="585"/>
      <c r="CF780" s="586"/>
    </row>
    <row r="781" spans="1:84" s="583" customFormat="1" ht="23.1" customHeight="1" thickBot="1">
      <c r="A781" s="597"/>
      <c r="B781" s="598" t="s">
        <v>1113</v>
      </c>
      <c r="C781" s="598"/>
      <c r="D781" s="598"/>
      <c r="E781" s="598"/>
      <c r="F781" s="598"/>
      <c r="G781" s="598"/>
      <c r="H781" s="598"/>
      <c r="I781" s="598"/>
      <c r="J781" s="598"/>
      <c r="K781" s="598"/>
      <c r="L781" s="598"/>
      <c r="M781" s="598"/>
      <c r="N781" s="598"/>
      <c r="O781" s="598"/>
      <c r="P781" s="598"/>
      <c r="Q781" s="598"/>
      <c r="R781" s="598"/>
      <c r="S781" s="598"/>
      <c r="T781" s="598"/>
      <c r="U781" s="598"/>
      <c r="V781" s="598"/>
      <c r="W781" s="598"/>
      <c r="X781" s="598"/>
      <c r="Y781" s="598"/>
      <c r="Z781" s="598"/>
      <c r="AA781" s="598"/>
      <c r="AB781" s="598"/>
      <c r="AC781" s="598"/>
      <c r="AD781" s="598"/>
      <c r="AE781" s="598"/>
      <c r="AF781" s="598"/>
      <c r="AG781" s="598"/>
      <c r="AH781" s="598"/>
      <c r="AI781" s="598"/>
      <c r="AJ781" s="598"/>
      <c r="AK781" s="598"/>
      <c r="AL781" s="598"/>
      <c r="AM781" s="598"/>
      <c r="AN781" s="598"/>
      <c r="AO781" s="598"/>
      <c r="AP781" s="598"/>
      <c r="AQ781" s="598"/>
      <c r="AR781" s="598"/>
      <c r="AS781" s="598"/>
      <c r="AT781" s="598"/>
      <c r="AU781" s="598"/>
      <c r="AV781" s="598"/>
      <c r="AW781" s="598"/>
      <c r="AX781" s="598"/>
      <c r="AY781" s="598"/>
      <c r="AZ781" s="598"/>
      <c r="BA781" s="598"/>
      <c r="BB781" s="598"/>
      <c r="BC781" s="598"/>
      <c r="BD781" s="598"/>
      <c r="BE781" s="598"/>
      <c r="BF781" s="598"/>
      <c r="BG781" s="598"/>
      <c r="BH781" s="598"/>
      <c r="BI781" s="598"/>
      <c r="BJ781" s="598"/>
      <c r="BK781" s="598"/>
      <c r="BL781" s="598"/>
      <c r="BM781" s="598"/>
      <c r="BN781" s="598"/>
      <c r="BO781" s="598"/>
      <c r="BP781" s="598"/>
      <c r="BQ781" s="598"/>
      <c r="BR781" s="598"/>
      <c r="BS781" s="598"/>
      <c r="BT781" s="1429" t="e">
        <f>BT772+BT776+BT780</f>
        <v>#REF!</v>
      </c>
      <c r="BU781" s="1429"/>
      <c r="BV781" s="1429"/>
      <c r="BW781" s="1429"/>
      <c r="BX781" s="1429"/>
      <c r="BY781" s="1429"/>
      <c r="BZ781" s="1429"/>
      <c r="CA781" s="1429"/>
      <c r="CB781" s="1429"/>
      <c r="CC781" s="1429"/>
      <c r="CD781" s="598"/>
      <c r="CE781" s="598"/>
      <c r="CF781" s="599"/>
    </row>
    <row r="782" spans="1:84" s="583" customFormat="1" ht="9.9499999999999993" customHeight="1">
      <c r="A782" s="574"/>
      <c r="B782" s="574"/>
      <c r="C782" s="574"/>
      <c r="D782" s="574"/>
      <c r="E782" s="574"/>
      <c r="F782" s="574"/>
      <c r="G782" s="574"/>
      <c r="H782" s="574"/>
      <c r="I782" s="574"/>
      <c r="J782" s="574"/>
      <c r="K782" s="574"/>
      <c r="L782" s="574"/>
      <c r="M782" s="574"/>
      <c r="N782" s="574"/>
      <c r="O782" s="574"/>
      <c r="P782" s="574"/>
      <c r="Q782" s="574"/>
      <c r="R782" s="574"/>
      <c r="S782" s="574"/>
      <c r="T782" s="574"/>
      <c r="U782" s="574"/>
      <c r="V782" s="574"/>
      <c r="W782" s="574"/>
      <c r="X782" s="574"/>
      <c r="Y782" s="574"/>
      <c r="Z782" s="574"/>
      <c r="AA782" s="574"/>
      <c r="AB782" s="574"/>
      <c r="AC782" s="574"/>
      <c r="AD782" s="574"/>
      <c r="AE782" s="574"/>
      <c r="AF782" s="574"/>
      <c r="AG782" s="574"/>
      <c r="AH782" s="574"/>
      <c r="AI782" s="574"/>
      <c r="AJ782" s="574"/>
      <c r="AK782" s="574"/>
      <c r="AL782" s="574"/>
      <c r="AM782" s="574"/>
      <c r="AN782" s="574"/>
      <c r="AO782" s="574"/>
      <c r="AP782" s="574"/>
      <c r="AQ782" s="574"/>
      <c r="AR782" s="574"/>
      <c r="AS782" s="574"/>
      <c r="AT782" s="574"/>
      <c r="AU782" s="574"/>
      <c r="AV782" s="574"/>
      <c r="AW782" s="574"/>
      <c r="AX782" s="574"/>
      <c r="AY782" s="574"/>
      <c r="AZ782" s="574"/>
      <c r="BA782" s="574"/>
      <c r="BB782" s="574"/>
      <c r="BC782" s="574"/>
      <c r="BD782" s="574"/>
      <c r="BE782" s="574"/>
      <c r="BF782" s="574"/>
      <c r="BG782" s="574"/>
      <c r="BH782" s="574"/>
      <c r="BI782" s="574"/>
      <c r="BJ782" s="574"/>
      <c r="BK782" s="574"/>
      <c r="BL782" s="574"/>
      <c r="BM782" s="574"/>
      <c r="BN782" s="574"/>
      <c r="BO782" s="574"/>
      <c r="BP782" s="574"/>
      <c r="BQ782" s="574"/>
      <c r="BR782" s="574"/>
      <c r="BS782" s="574"/>
      <c r="BT782" s="574"/>
      <c r="BU782" s="574"/>
      <c r="BV782" s="574"/>
      <c r="BW782" s="574"/>
      <c r="BX782" s="574"/>
      <c r="BY782" s="574"/>
      <c r="BZ782" s="574"/>
      <c r="CA782" s="574"/>
      <c r="CB782" s="574"/>
      <c r="CC782" s="574"/>
      <c r="CD782" s="574"/>
      <c r="CE782" s="574"/>
      <c r="CF782" s="574"/>
    </row>
    <row r="783" spans="1:84" s="583" customFormat="1" ht="23.1" customHeight="1" thickBot="1">
      <c r="A783" s="1446" t="s">
        <v>1095</v>
      </c>
      <c r="B783" s="1446"/>
      <c r="C783" s="1446"/>
      <c r="D783" s="1446"/>
      <c r="E783" s="1446"/>
      <c r="F783" s="1446"/>
      <c r="G783" s="1447">
        <f>G768+1</f>
        <v>53</v>
      </c>
      <c r="H783" s="1447"/>
      <c r="I783" s="1447"/>
      <c r="J783" s="1448" t="s">
        <v>1096</v>
      </c>
      <c r="K783" s="1448"/>
      <c r="L783" s="574"/>
      <c r="M783" s="574"/>
      <c r="N783" s="574"/>
      <c r="O783" s="574"/>
      <c r="P783" s="574"/>
      <c r="Q783" s="574"/>
      <c r="R783" s="574"/>
      <c r="S783" s="574"/>
      <c r="T783" s="574"/>
      <c r="U783" s="574"/>
      <c r="V783" s="574"/>
      <c r="W783" s="574"/>
      <c r="X783" s="574"/>
      <c r="Y783" s="574"/>
      <c r="Z783" s="574"/>
      <c r="AA783" s="574"/>
      <c r="AB783" s="574"/>
      <c r="AC783" s="574"/>
      <c r="AD783" s="574"/>
      <c r="AE783" s="574"/>
      <c r="AF783" s="574"/>
      <c r="AG783" s="574"/>
      <c r="AH783" s="574"/>
      <c r="AI783" s="574"/>
      <c r="AJ783" s="574"/>
      <c r="AK783" s="574"/>
      <c r="AL783" s="574"/>
      <c r="AM783" s="574"/>
      <c r="AN783" s="574"/>
      <c r="AO783" s="574"/>
      <c r="AP783" s="574"/>
      <c r="AQ783" s="574"/>
      <c r="AR783" s="574"/>
      <c r="AS783" s="574"/>
      <c r="AT783" s="574"/>
      <c r="AU783" s="574"/>
      <c r="AV783" s="574"/>
      <c r="AW783" s="574"/>
      <c r="AX783" s="574"/>
      <c r="AY783" s="574"/>
      <c r="AZ783" s="574"/>
      <c r="BA783" s="574"/>
      <c r="BB783" s="574"/>
      <c r="BC783" s="574"/>
      <c r="BD783" s="574"/>
      <c r="BE783" s="574"/>
      <c r="BF783" s="574"/>
      <c r="BG783" s="574"/>
      <c r="BH783" s="574"/>
      <c r="BI783" s="574"/>
      <c r="BJ783" s="574"/>
      <c r="BK783" s="574"/>
      <c r="BL783" s="574"/>
      <c r="BM783" s="574"/>
      <c r="BN783" s="574"/>
      <c r="BO783" s="574"/>
      <c r="BP783" s="574"/>
      <c r="BQ783" s="574"/>
      <c r="BR783" s="574"/>
      <c r="BS783" s="574"/>
      <c r="BT783" s="574"/>
      <c r="BU783" s="574"/>
      <c r="BV783" s="574"/>
      <c r="BW783" s="574"/>
      <c r="BX783" s="574"/>
      <c r="BY783" s="574"/>
      <c r="BZ783" s="574"/>
      <c r="CA783" s="574"/>
      <c r="CB783" s="574"/>
      <c r="CC783" s="574"/>
      <c r="CD783" s="574"/>
      <c r="CE783" s="574"/>
      <c r="CF783" s="574"/>
    </row>
    <row r="784" spans="1:84" s="583" customFormat="1" ht="23.1" customHeight="1" thickBot="1">
      <c r="A784" s="1483" t="s">
        <v>1097</v>
      </c>
      <c r="B784" s="1484"/>
      <c r="C784" s="1484"/>
      <c r="D784" s="1484"/>
      <c r="E784" s="1484"/>
      <c r="F784" s="1484"/>
      <c r="G784" s="1484"/>
      <c r="H784" s="1484"/>
      <c r="I784" s="581" t="s">
        <v>554</v>
      </c>
      <c r="J784" s="581"/>
      <c r="K784" s="581"/>
      <c r="L784" s="581"/>
      <c r="M784" s="581"/>
      <c r="N784" s="581"/>
      <c r="O784" s="581"/>
      <c r="P784" s="581"/>
      <c r="Q784" s="581"/>
      <c r="R784" s="581"/>
      <c r="S784" s="581"/>
      <c r="T784" s="581"/>
      <c r="U784" s="581"/>
      <c r="V784" s="581"/>
      <c r="W784" s="581"/>
      <c r="X784" s="581"/>
      <c r="Y784" s="581"/>
      <c r="Z784" s="581"/>
      <c r="AA784" s="581"/>
      <c r="AB784" s="581"/>
      <c r="AC784" s="581"/>
      <c r="AD784" s="581"/>
      <c r="AE784" s="581"/>
      <c r="AF784" s="581"/>
      <c r="AG784" s="581"/>
      <c r="AH784" s="581"/>
      <c r="AI784" s="581"/>
      <c r="AJ784" s="1484" t="s">
        <v>1099</v>
      </c>
      <c r="AK784" s="1484"/>
      <c r="AL784" s="1484"/>
      <c r="AM784" s="1484"/>
      <c r="AN784" s="1484"/>
      <c r="AO784" s="1484"/>
      <c r="AP784" s="1484"/>
      <c r="AQ784" s="581" t="s">
        <v>1181</v>
      </c>
      <c r="AR784" s="581"/>
      <c r="AS784" s="581"/>
      <c r="AT784" s="581"/>
      <c r="AU784" s="581"/>
      <c r="AV784" s="581"/>
      <c r="AW784" s="581"/>
      <c r="AX784" s="581"/>
      <c r="AY784" s="581"/>
      <c r="AZ784" s="581"/>
      <c r="BA784" s="581"/>
      <c r="BB784" s="581"/>
      <c r="BC784" s="581"/>
      <c r="BD784" s="581"/>
      <c r="BE784" s="581"/>
      <c r="BF784" s="581"/>
      <c r="BG784" s="581"/>
      <c r="BH784" s="581"/>
      <c r="BI784" s="581"/>
      <c r="BJ784" s="581"/>
      <c r="BK784" s="581"/>
      <c r="BL784" s="581"/>
      <c r="BM784" s="581"/>
      <c r="BN784" s="581"/>
      <c r="BO784" s="581"/>
      <c r="BP784" s="581"/>
      <c r="BQ784" s="581"/>
      <c r="BR784" s="581"/>
      <c r="BS784" s="581"/>
      <c r="BT784" s="581" t="s">
        <v>1182</v>
      </c>
      <c r="BU784" s="581"/>
      <c r="BV784" s="581"/>
      <c r="BW784" s="581"/>
      <c r="BX784" s="581"/>
      <c r="BY784" s="581"/>
      <c r="BZ784" s="581"/>
      <c r="CA784" s="581"/>
      <c r="CB784" s="581"/>
      <c r="CC784" s="581"/>
      <c r="CD784" s="581"/>
      <c r="CE784" s="581"/>
      <c r="CF784" s="582"/>
    </row>
    <row r="785" spans="1:256" s="583" customFormat="1" ht="23.1" customHeight="1">
      <c r="A785" s="584"/>
      <c r="B785" s="585" t="s">
        <v>1102</v>
      </c>
      <c r="C785" s="585"/>
      <c r="D785" s="585"/>
      <c r="E785" s="585"/>
      <c r="F785" s="585"/>
      <c r="G785" s="585"/>
      <c r="H785" s="585"/>
      <c r="I785" s="585"/>
      <c r="J785" s="585"/>
      <c r="K785" s="585"/>
      <c r="L785" s="585"/>
      <c r="M785" s="585"/>
      <c r="N785" s="585"/>
      <c r="O785" s="585"/>
      <c r="P785" s="585"/>
      <c r="Q785" s="585"/>
      <c r="R785" s="585"/>
      <c r="S785" s="585"/>
      <c r="T785" s="585"/>
      <c r="U785" s="585"/>
      <c r="V785" s="585"/>
      <c r="W785" s="585"/>
      <c r="X785" s="585"/>
      <c r="Y785" s="585"/>
      <c r="Z785" s="585"/>
      <c r="AA785" s="585"/>
      <c r="AB785" s="585"/>
      <c r="AC785" s="585"/>
      <c r="AD785" s="585"/>
      <c r="AE785" s="585"/>
      <c r="AF785" s="585"/>
      <c r="AG785" s="585"/>
      <c r="AH785" s="585"/>
      <c r="AI785" s="585"/>
      <c r="AJ785" s="585"/>
      <c r="AK785" s="585"/>
      <c r="AL785" s="585"/>
      <c r="AM785" s="585"/>
      <c r="AN785" s="585"/>
      <c r="AO785" s="585"/>
      <c r="AP785" s="585"/>
      <c r="AQ785" s="585"/>
      <c r="AR785" s="585"/>
      <c r="AS785" s="585"/>
      <c r="AT785" s="585"/>
      <c r="AU785" s="585"/>
      <c r="AV785" s="585"/>
      <c r="AW785" s="585"/>
      <c r="AX785" s="585"/>
      <c r="AY785" s="585"/>
      <c r="AZ785" s="585"/>
      <c r="BA785" s="585"/>
      <c r="BB785" s="585"/>
      <c r="BC785" s="585"/>
      <c r="BD785" s="585"/>
      <c r="BE785" s="585"/>
      <c r="BF785" s="585"/>
      <c r="BG785" s="585"/>
      <c r="BH785" s="585"/>
      <c r="BI785" s="585"/>
      <c r="BJ785" s="585"/>
      <c r="BK785" s="585"/>
      <c r="BL785" s="585"/>
      <c r="BM785" s="585"/>
      <c r="BN785" s="585"/>
      <c r="BO785" s="585"/>
      <c r="BP785" s="585"/>
      <c r="BQ785" s="585"/>
      <c r="BR785" s="585"/>
      <c r="BS785" s="585"/>
      <c r="BT785" s="585"/>
      <c r="BU785" s="585"/>
      <c r="BV785" s="585"/>
      <c r="BW785" s="585"/>
      <c r="BX785" s="585"/>
      <c r="BY785" s="585"/>
      <c r="BZ785" s="585"/>
      <c r="CA785" s="585"/>
      <c r="CB785" s="585"/>
      <c r="CC785" s="585"/>
      <c r="CD785" s="585"/>
      <c r="CE785" s="585"/>
      <c r="CF785" s="586"/>
    </row>
    <row r="786" spans="1:256" s="583" customFormat="1" ht="23.1" customHeight="1">
      <c r="A786" s="587"/>
      <c r="B786" s="574"/>
      <c r="C786" s="574"/>
      <c r="D786" s="405"/>
      <c r="E786" s="574"/>
      <c r="F786" s="422"/>
      <c r="G786" s="422"/>
      <c r="H786" s="422"/>
      <c r="I786" s="422"/>
      <c r="J786" s="422"/>
      <c r="K786" s="422"/>
      <c r="L786" s="422"/>
      <c r="M786" s="422"/>
      <c r="N786" s="574"/>
      <c r="O786" s="574"/>
      <c r="P786" s="574"/>
      <c r="Q786" s="574"/>
      <c r="R786" s="574"/>
      <c r="S786" s="588"/>
      <c r="T786" s="588"/>
      <c r="U786" s="588"/>
      <c r="V786" s="588"/>
      <c r="W786" s="588"/>
      <c r="X786" s="588"/>
      <c r="Y786" s="588"/>
      <c r="Z786" s="588"/>
      <c r="AA786" s="574"/>
      <c r="AB786" s="588"/>
      <c r="AC786" s="585"/>
      <c r="AD786" s="585"/>
      <c r="AE786" s="600"/>
      <c r="AF786" s="600"/>
      <c r="AG786" s="600"/>
      <c r="AH786" s="600"/>
      <c r="AI786" s="600"/>
      <c r="AJ786" s="600"/>
      <c r="AK786" s="600"/>
      <c r="AL786" s="600"/>
      <c r="AM786" s="585"/>
      <c r="AN786" s="585"/>
      <c r="AO786" s="574"/>
      <c r="AP786" s="588"/>
      <c r="AQ786" s="588"/>
      <c r="AR786" s="588"/>
      <c r="AS786" s="588"/>
      <c r="AT786" s="588"/>
      <c r="AU786" s="588"/>
      <c r="AV786" s="588"/>
      <c r="AW786" s="588"/>
      <c r="AX786" s="588"/>
      <c r="AY786" s="588"/>
      <c r="AZ786" s="588"/>
      <c r="BA786" s="588"/>
      <c r="BB786" s="588"/>
      <c r="BC786" s="588"/>
      <c r="BD786" s="574"/>
      <c r="BE786" s="574"/>
      <c r="BF786" s="574"/>
      <c r="BG786" s="574"/>
      <c r="BH786" s="574"/>
      <c r="BI786" s="574"/>
      <c r="BJ786" s="574"/>
      <c r="BK786" s="574"/>
      <c r="BL786" s="574"/>
      <c r="BM786" s="574"/>
      <c r="BN786" s="574"/>
      <c r="BO786" s="574"/>
      <c r="BP786" s="574"/>
      <c r="BQ786" s="574"/>
      <c r="BR786" s="574"/>
      <c r="BS786" s="574"/>
      <c r="BT786" s="574"/>
      <c r="BU786" s="574"/>
      <c r="BV786" s="574"/>
      <c r="BW786" s="574"/>
      <c r="BX786" s="574"/>
      <c r="BY786" s="574"/>
      <c r="BZ786" s="574"/>
      <c r="CA786" s="574"/>
      <c r="CB786" s="574"/>
      <c r="CC786" s="574"/>
      <c r="CD786" s="574"/>
      <c r="CE786" s="574"/>
      <c r="CF786" s="589"/>
    </row>
    <row r="787" spans="1:256" s="583" customFormat="1" ht="23.1" customHeight="1">
      <c r="A787" s="584"/>
      <c r="B787" s="585"/>
      <c r="C787" s="585"/>
      <c r="D787" s="585"/>
      <c r="E787" s="585"/>
      <c r="F787" s="585"/>
      <c r="G787" s="585"/>
      <c r="H787" s="585"/>
      <c r="I787" s="585"/>
      <c r="J787" s="585"/>
      <c r="K787" s="585"/>
      <c r="L787" s="585"/>
      <c r="M787" s="585"/>
      <c r="N787" s="585"/>
      <c r="O787" s="585"/>
      <c r="P787" s="585"/>
      <c r="Q787" s="585"/>
      <c r="R787" s="585"/>
      <c r="S787" s="585"/>
      <c r="T787" s="585"/>
      <c r="U787" s="585"/>
      <c r="V787" s="590"/>
      <c r="W787" s="590"/>
      <c r="X787" s="590"/>
      <c r="Y787" s="590"/>
      <c r="Z787" s="590"/>
      <c r="AA787" s="590"/>
      <c r="AB787" s="590"/>
      <c r="AC787" s="590"/>
      <c r="AD787" s="574"/>
      <c r="AE787" s="1440">
        <v>6966000</v>
      </c>
      <c r="AF787" s="1440"/>
      <c r="AG787" s="1440"/>
      <c r="AH787" s="1440"/>
      <c r="AI787" s="1440"/>
      <c r="AJ787" s="1440"/>
      <c r="AK787" s="1440"/>
      <c r="AL787" s="1440"/>
      <c r="AM787" s="1440"/>
      <c r="AN787" s="1440"/>
      <c r="AO787" s="1440"/>
      <c r="AP787" s="1440"/>
      <c r="AQ787" s="1440"/>
      <c r="AR787" s="1440"/>
      <c r="AS787" s="1440"/>
      <c r="AT787" s="1431" t="s">
        <v>446</v>
      </c>
      <c r="AU787" s="1431"/>
      <c r="AV787" s="1441" t="s">
        <v>1103</v>
      </c>
      <c r="AW787" s="1441"/>
      <c r="AX787" s="1442">
        <v>2825</v>
      </c>
      <c r="AY787" s="1442"/>
      <c r="AZ787" s="1442"/>
      <c r="BA787" s="1442"/>
      <c r="BB787" s="1442"/>
      <c r="BC787" s="1442"/>
      <c r="BD787" s="585"/>
      <c r="BE787" s="1431" t="s">
        <v>446</v>
      </c>
      <c r="BF787" s="1431"/>
      <c r="BG787" s="585"/>
      <c r="BH787" s="591" t="s">
        <v>1104</v>
      </c>
      <c r="BI787" s="585"/>
      <c r="BJ787" s="585"/>
      <c r="BK787" s="585"/>
      <c r="BL787" s="1431" t="s">
        <v>1105</v>
      </c>
      <c r="BM787" s="1431"/>
      <c r="BN787" s="1431"/>
      <c r="BO787" s="585"/>
      <c r="BP787" s="1431" t="s">
        <v>41</v>
      </c>
      <c r="BQ787" s="1431"/>
      <c r="BR787" s="585"/>
      <c r="BS787" s="585"/>
      <c r="BT787" s="1437">
        <f>INT(AE787*AX787*10^-7)</f>
        <v>1967</v>
      </c>
      <c r="BU787" s="1437"/>
      <c r="BV787" s="1437"/>
      <c r="BW787" s="1437"/>
      <c r="BX787" s="1437"/>
      <c r="BY787" s="1437"/>
      <c r="BZ787" s="1437"/>
      <c r="CA787" s="1437"/>
      <c r="CB787" s="1437"/>
      <c r="CC787" s="1437"/>
      <c r="CD787" s="585"/>
      <c r="CE787" s="585"/>
      <c r="CF787" s="586"/>
    </row>
    <row r="788" spans="1:256" s="583" customFormat="1" ht="23.1" customHeight="1">
      <c r="A788" s="592"/>
      <c r="B788" s="593" t="s">
        <v>1106</v>
      </c>
      <c r="C788" s="593"/>
      <c r="D788" s="593"/>
      <c r="E788" s="593"/>
      <c r="F788" s="593"/>
      <c r="G788" s="593"/>
      <c r="H788" s="593"/>
      <c r="I788" s="593"/>
      <c r="J788" s="593"/>
      <c r="K788" s="593"/>
      <c r="L788" s="593"/>
      <c r="M788" s="593"/>
      <c r="N788" s="593"/>
      <c r="O788" s="593"/>
      <c r="P788" s="593"/>
      <c r="Q788" s="593"/>
      <c r="R788" s="593"/>
      <c r="S788" s="593"/>
      <c r="T788" s="593"/>
      <c r="U788" s="593"/>
      <c r="V788" s="593"/>
      <c r="W788" s="593"/>
      <c r="X788" s="593"/>
      <c r="Y788" s="593"/>
      <c r="Z788" s="593"/>
      <c r="AA788" s="593"/>
      <c r="AB788" s="593"/>
      <c r="AC788" s="593"/>
      <c r="AD788" s="593"/>
      <c r="AE788" s="593"/>
      <c r="AF788" s="593"/>
      <c r="AG788" s="593"/>
      <c r="AH788" s="593"/>
      <c r="AI788" s="593"/>
      <c r="AJ788" s="593"/>
      <c r="AK788" s="593"/>
      <c r="AL788" s="593"/>
      <c r="AM788" s="593"/>
      <c r="AN788" s="593"/>
      <c r="AO788" s="593"/>
      <c r="AP788" s="593"/>
      <c r="AQ788" s="593"/>
      <c r="AR788" s="593"/>
      <c r="AS788" s="593"/>
      <c r="AT788" s="593"/>
      <c r="AU788" s="593"/>
      <c r="AV788" s="593"/>
      <c r="AW788" s="593"/>
      <c r="AX788" s="593"/>
      <c r="AY788" s="593"/>
      <c r="AZ788" s="593"/>
      <c r="BA788" s="593"/>
      <c r="BB788" s="593"/>
      <c r="BC788" s="593"/>
      <c r="BD788" s="593"/>
      <c r="BE788" s="593"/>
      <c r="BF788" s="593"/>
      <c r="BG788" s="593"/>
      <c r="BH788" s="593"/>
      <c r="BI788" s="593"/>
      <c r="BJ788" s="593"/>
      <c r="BK788" s="593"/>
      <c r="BL788" s="593"/>
      <c r="BM788" s="593"/>
      <c r="BN788" s="593"/>
      <c r="BO788" s="593"/>
      <c r="BP788" s="593"/>
      <c r="BQ788" s="593"/>
      <c r="BR788" s="593"/>
      <c r="BS788" s="593"/>
      <c r="BT788" s="594"/>
      <c r="BU788" s="594"/>
      <c r="BV788" s="594"/>
      <c r="BW788" s="594"/>
      <c r="BX788" s="594"/>
      <c r="BY788" s="594"/>
      <c r="BZ788" s="594"/>
      <c r="CA788" s="594"/>
      <c r="CB788" s="594"/>
      <c r="CC788" s="594"/>
      <c r="CD788" s="593"/>
      <c r="CE788" s="593"/>
      <c r="CF788" s="595"/>
    </row>
    <row r="789" spans="1:256" s="583" customFormat="1" ht="23.1" customHeight="1">
      <c r="A789" s="609"/>
      <c r="B789" s="610"/>
      <c r="C789" s="610"/>
      <c r="D789" s="611" t="s">
        <v>1093</v>
      </c>
      <c r="E789" s="610"/>
      <c r="F789" s="610"/>
      <c r="G789" s="610"/>
      <c r="H789" s="610"/>
      <c r="I789" s="610"/>
      <c r="J789" s="610"/>
      <c r="K789" s="610"/>
      <c r="L789" s="610"/>
      <c r="M789" s="610"/>
      <c r="N789" s="610"/>
      <c r="O789" s="610"/>
      <c r="P789" s="610"/>
      <c r="Q789" s="610"/>
      <c r="R789" s="610"/>
      <c r="S789" s="610"/>
      <c r="T789" s="612"/>
      <c r="U789" s="612"/>
      <c r="V789" s="1501">
        <f>HLOOKUP(D789,$CJ$1:$CM$3,3,0)</f>
        <v>173995</v>
      </c>
      <c r="W789" s="1501"/>
      <c r="X789" s="1501"/>
      <c r="Y789" s="1501"/>
      <c r="Z789" s="1501"/>
      <c r="AA789" s="1501"/>
      <c r="AB789" s="1501"/>
      <c r="AC789" s="1501"/>
      <c r="AD789" s="1501"/>
      <c r="AE789" s="1501"/>
      <c r="AF789" s="1443" t="s">
        <v>446</v>
      </c>
      <c r="AG789" s="1443"/>
      <c r="AH789" s="612"/>
      <c r="AI789" s="1451" t="s">
        <v>1107</v>
      </c>
      <c r="AJ789" s="1451"/>
      <c r="AK789" s="1451"/>
      <c r="AL789" s="1451"/>
      <c r="AM789" s="610"/>
      <c r="AN789" s="1443" t="s">
        <v>446</v>
      </c>
      <c r="AO789" s="1443"/>
      <c r="AP789" s="610"/>
      <c r="AQ789" s="1451" t="s">
        <v>1108</v>
      </c>
      <c r="AR789" s="1451"/>
      <c r="AS789" s="1451"/>
      <c r="AT789" s="1451"/>
      <c r="AU789" s="1451"/>
      <c r="AV789" s="613"/>
      <c r="AW789" s="1443" t="s">
        <v>446</v>
      </c>
      <c r="AX789" s="1443"/>
      <c r="AY789" s="614"/>
      <c r="AZ789" s="1451" t="s">
        <v>1109</v>
      </c>
      <c r="BA789" s="1451"/>
      <c r="BB789" s="1451"/>
      <c r="BC789" s="1451"/>
      <c r="BD789" s="1451"/>
      <c r="BE789" s="610"/>
      <c r="BF789" s="1443" t="s">
        <v>446</v>
      </c>
      <c r="BG789" s="1443"/>
      <c r="BH789" s="1443">
        <v>1</v>
      </c>
      <c r="BI789" s="1443"/>
      <c r="BJ789" s="1443"/>
      <c r="BK789" s="610"/>
      <c r="BL789" s="610" t="s">
        <v>366</v>
      </c>
      <c r="BM789" s="610"/>
      <c r="BN789" s="610"/>
      <c r="BO789" s="610"/>
      <c r="BP789" s="1443" t="s">
        <v>41</v>
      </c>
      <c r="BQ789" s="1443"/>
      <c r="BR789" s="610"/>
      <c r="BS789" s="610"/>
      <c r="BT789" s="1450">
        <f>INT(V789/8*16/12*25/20*BH789)</f>
        <v>36248</v>
      </c>
      <c r="BU789" s="1450"/>
      <c r="BV789" s="1450"/>
      <c r="BW789" s="1450"/>
      <c r="BX789" s="1450"/>
      <c r="BY789" s="1450"/>
      <c r="BZ789" s="1450"/>
      <c r="CA789" s="1450"/>
      <c r="CB789" s="1450"/>
      <c r="CC789" s="1450"/>
      <c r="CD789" s="610"/>
      <c r="CE789" s="610"/>
      <c r="CF789" s="615"/>
      <c r="CG789" s="616"/>
      <c r="CH789" s="616"/>
      <c r="CI789" s="616"/>
      <c r="CJ789" s="616"/>
      <c r="CK789" s="616"/>
      <c r="CL789" s="616"/>
      <c r="CM789" s="616"/>
      <c r="CN789" s="616"/>
      <c r="CO789" s="616"/>
      <c r="CP789" s="616"/>
      <c r="CQ789" s="616"/>
      <c r="CR789" s="616"/>
      <c r="CS789" s="616"/>
      <c r="CT789" s="616"/>
      <c r="CU789" s="616"/>
      <c r="CV789" s="616"/>
      <c r="CW789" s="616"/>
      <c r="CX789" s="616"/>
      <c r="CY789" s="616"/>
      <c r="CZ789" s="616"/>
      <c r="DA789" s="616"/>
      <c r="DB789" s="616"/>
      <c r="DC789" s="616"/>
      <c r="DD789" s="616"/>
      <c r="DE789" s="616"/>
      <c r="DF789" s="616"/>
      <c r="DG789" s="616"/>
      <c r="DH789" s="616"/>
      <c r="DI789" s="616"/>
      <c r="DJ789" s="616"/>
      <c r="DK789" s="616"/>
      <c r="DL789" s="616"/>
      <c r="DM789" s="616"/>
      <c r="DN789" s="616"/>
      <c r="DO789" s="616"/>
      <c r="DP789" s="616"/>
      <c r="DQ789" s="616"/>
      <c r="DR789" s="616"/>
      <c r="DS789" s="616"/>
      <c r="DT789" s="616"/>
      <c r="DU789" s="616"/>
      <c r="DV789" s="616"/>
      <c r="DW789" s="616"/>
      <c r="DX789" s="616"/>
      <c r="DY789" s="616"/>
      <c r="DZ789" s="616"/>
      <c r="EA789" s="616"/>
      <c r="EB789" s="616"/>
      <c r="EC789" s="616"/>
      <c r="ED789" s="616"/>
      <c r="EE789" s="616"/>
      <c r="EF789" s="616"/>
      <c r="EG789" s="616"/>
      <c r="EH789" s="616"/>
      <c r="EI789" s="616"/>
      <c r="EJ789" s="616"/>
      <c r="EK789" s="616"/>
      <c r="EL789" s="616"/>
      <c r="EM789" s="616"/>
      <c r="EN789" s="616"/>
      <c r="EO789" s="616"/>
      <c r="EP789" s="616"/>
      <c r="EQ789" s="616"/>
      <c r="ER789" s="616"/>
      <c r="ES789" s="616"/>
      <c r="ET789" s="616"/>
      <c r="EU789" s="616"/>
      <c r="EV789" s="616"/>
      <c r="EW789" s="616"/>
      <c r="EX789" s="616"/>
      <c r="EY789" s="616"/>
      <c r="EZ789" s="616"/>
      <c r="FA789" s="616"/>
      <c r="FB789" s="616"/>
      <c r="FC789" s="616"/>
      <c r="FD789" s="616"/>
      <c r="FE789" s="616"/>
      <c r="FF789" s="616"/>
      <c r="FG789" s="616"/>
      <c r="FH789" s="616"/>
      <c r="FI789" s="616"/>
      <c r="FJ789" s="616"/>
      <c r="FK789" s="616"/>
      <c r="FL789" s="616"/>
      <c r="FM789" s="616"/>
      <c r="FN789" s="616"/>
      <c r="FO789" s="616"/>
      <c r="FP789" s="616"/>
      <c r="FQ789" s="616"/>
      <c r="FR789" s="616"/>
      <c r="FS789" s="616"/>
      <c r="FT789" s="616"/>
      <c r="FU789" s="616"/>
      <c r="FV789" s="616"/>
      <c r="FW789" s="616"/>
      <c r="FX789" s="616"/>
      <c r="FY789" s="616"/>
      <c r="FZ789" s="616"/>
      <c r="GA789" s="616"/>
      <c r="GB789" s="616"/>
      <c r="GC789" s="616"/>
      <c r="GD789" s="616"/>
      <c r="GE789" s="616"/>
      <c r="GF789" s="616"/>
      <c r="GG789" s="616"/>
      <c r="GH789" s="616"/>
      <c r="GI789" s="616"/>
      <c r="GJ789" s="616"/>
      <c r="GK789" s="616"/>
      <c r="GL789" s="616"/>
      <c r="GM789" s="616"/>
      <c r="GN789" s="616"/>
      <c r="GO789" s="616"/>
      <c r="GP789" s="616"/>
      <c r="GQ789" s="616"/>
      <c r="GR789" s="616"/>
      <c r="GS789" s="616"/>
      <c r="GT789" s="616"/>
      <c r="GU789" s="616"/>
      <c r="GV789" s="616"/>
      <c r="GW789" s="616"/>
      <c r="GX789" s="616"/>
      <c r="GY789" s="616"/>
      <c r="GZ789" s="616"/>
      <c r="HA789" s="616"/>
      <c r="HB789" s="616"/>
      <c r="HC789" s="616"/>
      <c r="HD789" s="616"/>
      <c r="HE789" s="616"/>
      <c r="HF789" s="616"/>
      <c r="HG789" s="616"/>
      <c r="HH789" s="616"/>
      <c r="HI789" s="616"/>
      <c r="HJ789" s="616"/>
      <c r="HK789" s="616"/>
      <c r="HL789" s="616"/>
      <c r="HM789" s="616"/>
      <c r="HN789" s="616"/>
      <c r="HO789" s="616"/>
      <c r="HP789" s="616"/>
      <c r="HQ789" s="616"/>
      <c r="HR789" s="616"/>
      <c r="HS789" s="616"/>
      <c r="HT789" s="616"/>
      <c r="HU789" s="616"/>
      <c r="HV789" s="616"/>
      <c r="HW789" s="616"/>
      <c r="HX789" s="616"/>
      <c r="HY789" s="616"/>
      <c r="HZ789" s="616"/>
      <c r="IA789" s="616"/>
      <c r="IB789" s="616"/>
      <c r="IC789" s="616"/>
      <c r="ID789" s="616"/>
      <c r="IE789" s="616"/>
      <c r="IF789" s="616"/>
      <c r="IG789" s="616"/>
      <c r="IH789" s="616"/>
      <c r="II789" s="616"/>
      <c r="IJ789" s="616"/>
      <c r="IK789" s="616"/>
      <c r="IL789" s="616"/>
      <c r="IM789" s="616"/>
      <c r="IN789" s="616"/>
      <c r="IO789" s="616"/>
      <c r="IP789" s="616"/>
      <c r="IQ789" s="616"/>
      <c r="IR789" s="616"/>
      <c r="IS789" s="616"/>
      <c r="IT789" s="616"/>
      <c r="IU789" s="616"/>
      <c r="IV789" s="616"/>
    </row>
    <row r="790" spans="1:256" s="583" customFormat="1" ht="23.1" customHeight="1">
      <c r="A790" s="584"/>
      <c r="B790" s="585"/>
      <c r="C790" s="585"/>
      <c r="D790" s="585"/>
      <c r="E790" s="585"/>
      <c r="F790" s="585"/>
      <c r="G790" s="585"/>
      <c r="H790" s="585"/>
      <c r="I790" s="585"/>
      <c r="J790" s="585"/>
      <c r="K790" s="585"/>
      <c r="L790" s="585"/>
      <c r="M790" s="585"/>
      <c r="N790" s="585"/>
      <c r="O790" s="585"/>
      <c r="P790" s="574"/>
      <c r="Q790" s="574"/>
      <c r="R790" s="574"/>
      <c r="S790" s="574"/>
      <c r="T790" s="574"/>
      <c r="U790" s="574"/>
      <c r="V790" s="574"/>
      <c r="W790" s="574"/>
      <c r="X790" s="574"/>
      <c r="Y790" s="574"/>
      <c r="Z790" s="574"/>
      <c r="AA790" s="574"/>
      <c r="AB790" s="574"/>
      <c r="AC790" s="574"/>
      <c r="AD790" s="574"/>
      <c r="AE790" s="574"/>
      <c r="AF790" s="574"/>
      <c r="AG790" s="574"/>
      <c r="AH790" s="574"/>
      <c r="AI790" s="574"/>
      <c r="AJ790" s="574"/>
      <c r="AK790" s="574"/>
      <c r="AL790" s="574"/>
      <c r="AM790" s="574"/>
      <c r="AN790" s="574"/>
      <c r="AO790" s="574"/>
      <c r="AP790" s="574"/>
      <c r="AQ790" s="574"/>
      <c r="AR790" s="574"/>
      <c r="AS790" s="574"/>
      <c r="AT790" s="574"/>
      <c r="AU790" s="574"/>
      <c r="AV790" s="574"/>
      <c r="AW790" s="574"/>
      <c r="AX790" s="574"/>
      <c r="AY790" s="574"/>
      <c r="AZ790" s="574"/>
      <c r="BA790" s="574"/>
      <c r="BB790" s="574"/>
      <c r="BC790" s="574"/>
      <c r="BD790" s="574"/>
      <c r="BE790" s="574"/>
      <c r="BF790" s="574"/>
      <c r="BG790" s="585"/>
      <c r="BH790" s="585"/>
      <c r="BI790" s="585"/>
      <c r="BJ790" s="585"/>
      <c r="BK790" s="585"/>
      <c r="BL790" s="585"/>
      <c r="BM790" s="585"/>
      <c r="BN790" s="585"/>
      <c r="BO790" s="585"/>
      <c r="BP790" s="1431"/>
      <c r="BQ790" s="1431"/>
      <c r="BR790" s="585"/>
      <c r="BS790" s="585"/>
      <c r="BT790" s="1432"/>
      <c r="BU790" s="1432"/>
      <c r="BV790" s="1432"/>
      <c r="BW790" s="1432"/>
      <c r="BX790" s="1432"/>
      <c r="BY790" s="1432"/>
      <c r="BZ790" s="1432"/>
      <c r="CA790" s="1432"/>
      <c r="CB790" s="1432"/>
      <c r="CC790" s="1432"/>
      <c r="CD790" s="585"/>
      <c r="CE790" s="585"/>
      <c r="CF790" s="586"/>
    </row>
    <row r="791" spans="1:256" s="583" customFormat="1" ht="23.1" customHeight="1">
      <c r="A791" s="584"/>
      <c r="B791" s="585"/>
      <c r="C791" s="585"/>
      <c r="D791" s="585"/>
      <c r="E791" s="585"/>
      <c r="F791" s="585"/>
      <c r="G791" s="585"/>
      <c r="H791" s="585"/>
      <c r="I791" s="585"/>
      <c r="J791" s="585"/>
      <c r="K791" s="585"/>
      <c r="L791" s="585"/>
      <c r="M791" s="585"/>
      <c r="N791" s="585"/>
      <c r="O791" s="585"/>
      <c r="P791" s="585"/>
      <c r="Q791" s="585"/>
      <c r="R791" s="585"/>
      <c r="S791" s="585"/>
      <c r="T791" s="585"/>
      <c r="U791" s="585"/>
      <c r="V791" s="585"/>
      <c r="W791" s="585"/>
      <c r="X791" s="585"/>
      <c r="Y791" s="585"/>
      <c r="Z791" s="585"/>
      <c r="AA791" s="585"/>
      <c r="AB791" s="585"/>
      <c r="AC791" s="585"/>
      <c r="AD791" s="574"/>
      <c r="AE791" s="574"/>
      <c r="AF791" s="574"/>
      <c r="AG791" s="574"/>
      <c r="AH791" s="574"/>
      <c r="AI791" s="574"/>
      <c r="AJ791" s="574"/>
      <c r="AK791" s="574"/>
      <c r="AL791" s="574"/>
      <c r="AM791" s="574"/>
      <c r="AN791" s="574"/>
      <c r="AO791" s="574"/>
      <c r="AP791" s="574"/>
      <c r="AQ791" s="574"/>
      <c r="AR791" s="574"/>
      <c r="AS791" s="585"/>
      <c r="AT791" s="590"/>
      <c r="AU791" s="590"/>
      <c r="AV791" s="585"/>
      <c r="AW791" s="585"/>
      <c r="AX791" s="585"/>
      <c r="AY791" s="585"/>
      <c r="AZ791" s="585"/>
      <c r="BA791" s="585"/>
      <c r="BB791" s="585"/>
      <c r="BC791" s="585"/>
      <c r="BD791" s="585"/>
      <c r="BE791" s="585"/>
      <c r="BF791" s="585"/>
      <c r="BG791" s="585"/>
      <c r="BH791" s="585"/>
      <c r="BI791" s="585"/>
      <c r="BJ791" s="585"/>
      <c r="BK791" s="585"/>
      <c r="BL791" s="585"/>
      <c r="BM791" s="585"/>
      <c r="BN791" s="585"/>
      <c r="BO791" s="585"/>
      <c r="BP791" s="1431" t="s">
        <v>41</v>
      </c>
      <c r="BQ791" s="1431"/>
      <c r="BR791" s="585"/>
      <c r="BS791" s="585"/>
      <c r="BT791" s="1434">
        <f>BT789+BT790</f>
        <v>36248</v>
      </c>
      <c r="BU791" s="1434"/>
      <c r="BV791" s="1434"/>
      <c r="BW791" s="1434"/>
      <c r="BX791" s="1434"/>
      <c r="BY791" s="1434"/>
      <c r="BZ791" s="1434"/>
      <c r="CA791" s="1434"/>
      <c r="CB791" s="1434"/>
      <c r="CC791" s="1434"/>
      <c r="CD791" s="585"/>
      <c r="CE791" s="585"/>
      <c r="CF791" s="586"/>
    </row>
    <row r="792" spans="1:256" s="583" customFormat="1" ht="23.1" customHeight="1">
      <c r="A792" s="592"/>
      <c r="B792" s="593" t="s">
        <v>1110</v>
      </c>
      <c r="C792" s="593"/>
      <c r="D792" s="593"/>
      <c r="E792" s="593"/>
      <c r="F792" s="593"/>
      <c r="G792" s="593"/>
      <c r="H792" s="593"/>
      <c r="I792" s="593"/>
      <c r="J792" s="593"/>
      <c r="K792" s="593"/>
      <c r="L792" s="593"/>
      <c r="M792" s="593"/>
      <c r="N792" s="593"/>
      <c r="O792" s="593"/>
      <c r="P792" s="593"/>
      <c r="Q792" s="593"/>
      <c r="R792" s="593"/>
      <c r="S792" s="593"/>
      <c r="T792" s="593"/>
      <c r="U792" s="593"/>
      <c r="V792" s="593"/>
      <c r="W792" s="593"/>
      <c r="X792" s="593"/>
      <c r="Y792" s="593"/>
      <c r="Z792" s="593"/>
      <c r="AA792" s="593"/>
      <c r="AB792" s="593"/>
      <c r="AC792" s="593"/>
      <c r="AD792" s="593"/>
      <c r="AE792" s="593"/>
      <c r="AF792" s="593"/>
      <c r="AG792" s="593"/>
      <c r="AH792" s="593"/>
      <c r="AI792" s="593"/>
      <c r="AJ792" s="593"/>
      <c r="AK792" s="593"/>
      <c r="AL792" s="593"/>
      <c r="AM792" s="593"/>
      <c r="AN792" s="593"/>
      <c r="AO792" s="593"/>
      <c r="AP792" s="593"/>
      <c r="AQ792" s="593"/>
      <c r="AR792" s="593"/>
      <c r="AS792" s="593"/>
      <c r="AT792" s="593"/>
      <c r="AU792" s="593"/>
      <c r="AV792" s="593"/>
      <c r="AW792" s="593"/>
      <c r="AX792" s="593"/>
      <c r="AY792" s="593"/>
      <c r="AZ792" s="593"/>
      <c r="BA792" s="593"/>
      <c r="BB792" s="593"/>
      <c r="BC792" s="593"/>
      <c r="BD792" s="593"/>
      <c r="BE792" s="593"/>
      <c r="BF792" s="593"/>
      <c r="BG792" s="593"/>
      <c r="BH792" s="593"/>
      <c r="BI792" s="593"/>
      <c r="BJ792" s="593"/>
      <c r="BK792" s="593"/>
      <c r="BL792" s="593"/>
      <c r="BM792" s="593"/>
      <c r="BN792" s="593"/>
      <c r="BO792" s="593"/>
      <c r="BP792" s="593"/>
      <c r="BQ792" s="593"/>
      <c r="BR792" s="593"/>
      <c r="BS792" s="593"/>
      <c r="BT792" s="593"/>
      <c r="BU792" s="593"/>
      <c r="BV792" s="593"/>
      <c r="BW792" s="593"/>
      <c r="BX792" s="593"/>
      <c r="BY792" s="593"/>
      <c r="BZ792" s="593"/>
      <c r="CA792" s="593"/>
      <c r="CB792" s="593"/>
      <c r="CC792" s="593"/>
      <c r="CD792" s="593"/>
      <c r="CE792" s="593"/>
      <c r="CF792" s="595"/>
    </row>
    <row r="793" spans="1:256" s="583" customFormat="1" ht="23.1" customHeight="1">
      <c r="A793" s="584"/>
      <c r="B793" s="585"/>
      <c r="C793" s="585"/>
      <c r="D793" s="596" t="s">
        <v>1094</v>
      </c>
      <c r="E793" s="585"/>
      <c r="F793" s="585"/>
      <c r="G793" s="585"/>
      <c r="H793" s="585"/>
      <c r="I793" s="585"/>
      <c r="J793" s="585"/>
      <c r="K793" s="585"/>
      <c r="L793" s="585"/>
      <c r="M793" s="585"/>
      <c r="N793" s="585"/>
      <c r="O793" s="585"/>
      <c r="P793" s="585"/>
      <c r="Q793" s="585"/>
      <c r="R793" s="585"/>
      <c r="S793" s="585"/>
      <c r="T793" s="585"/>
      <c r="U793" s="585"/>
      <c r="V793" s="585"/>
      <c r="W793" s="585"/>
      <c r="X793" s="585"/>
      <c r="Y793" s="585"/>
      <c r="Z793" s="585"/>
      <c r="AA793" s="585"/>
      <c r="AB793" s="585"/>
      <c r="AC793" s="585"/>
      <c r="AD793" s="585"/>
      <c r="AE793" s="585"/>
      <c r="AF793" s="585"/>
      <c r="AG793" s="585"/>
      <c r="AH793" s="585"/>
      <c r="AI793" s="585"/>
      <c r="AJ793" s="585"/>
      <c r="AK793" s="585"/>
      <c r="AL793" s="585"/>
      <c r="AM793" s="585"/>
      <c r="AN793" s="585"/>
      <c r="AO793" s="585"/>
      <c r="AP793" s="585"/>
      <c r="AQ793" s="585"/>
      <c r="AR793" s="422"/>
      <c r="AS793" s="1435" t="e">
        <f>HLOOKUP(D793,$CN$1:$CO$3,3,0)</f>
        <v>#REF!</v>
      </c>
      <c r="AT793" s="1435"/>
      <c r="AU793" s="1435"/>
      <c r="AV793" s="1435"/>
      <c r="AW793" s="1435"/>
      <c r="AX793" s="1435"/>
      <c r="AY793" s="1435"/>
      <c r="AZ793" s="1435"/>
      <c r="BA793" s="1435"/>
      <c r="BB793" s="1435"/>
      <c r="BC793" s="585"/>
      <c r="BD793" s="1431" t="s">
        <v>446</v>
      </c>
      <c r="BE793" s="1431"/>
      <c r="BF793" s="585"/>
      <c r="BG793" s="1431">
        <v>2.2000000000000002</v>
      </c>
      <c r="BH793" s="1431"/>
      <c r="BI793" s="1431"/>
      <c r="BJ793" s="1431"/>
      <c r="BK793" s="1431"/>
      <c r="BL793" s="585" t="s">
        <v>1111</v>
      </c>
      <c r="BM793" s="585"/>
      <c r="BN793" s="585"/>
      <c r="BO793" s="585"/>
      <c r="BP793" s="1431" t="s">
        <v>41</v>
      </c>
      <c r="BQ793" s="1431"/>
      <c r="BR793" s="585"/>
      <c r="BS793" s="585"/>
      <c r="BT793" s="1432" t="e">
        <f>INT(AS793*BG793)</f>
        <v>#REF!</v>
      </c>
      <c r="BU793" s="1432"/>
      <c r="BV793" s="1432"/>
      <c r="BW793" s="1432"/>
      <c r="BX793" s="1432"/>
      <c r="BY793" s="1432"/>
      <c r="BZ793" s="1432"/>
      <c r="CA793" s="1432"/>
      <c r="CB793" s="1432"/>
      <c r="CC793" s="1432"/>
      <c r="CD793" s="585"/>
      <c r="CE793" s="585"/>
      <c r="CF793" s="586"/>
    </row>
    <row r="794" spans="1:256" s="583" customFormat="1" ht="23.1" customHeight="1">
      <c r="A794" s="584"/>
      <c r="B794" s="585"/>
      <c r="C794" s="585"/>
      <c r="D794" s="591" t="str">
        <f>"잡재료 (주연료의 "&amp;BG794&amp;"%) :"</f>
        <v>잡재료 (주연료의 13%) :</v>
      </c>
      <c r="E794" s="585"/>
      <c r="F794" s="585"/>
      <c r="G794" s="585"/>
      <c r="H794" s="585"/>
      <c r="I794" s="585"/>
      <c r="J794" s="585"/>
      <c r="K794" s="585"/>
      <c r="L794" s="585"/>
      <c r="M794" s="585"/>
      <c r="N794" s="585"/>
      <c r="O794" s="585"/>
      <c r="P794" s="585"/>
      <c r="Q794" s="585"/>
      <c r="R794" s="585"/>
      <c r="S794" s="585"/>
      <c r="T794" s="585"/>
      <c r="U794" s="585"/>
      <c r="V794" s="585"/>
      <c r="W794" s="585"/>
      <c r="X794" s="585"/>
      <c r="Y794" s="585"/>
      <c r="Z794" s="585"/>
      <c r="AA794" s="585"/>
      <c r="AB794" s="585"/>
      <c r="AC794" s="585"/>
      <c r="AD794" s="585"/>
      <c r="AE794" s="585"/>
      <c r="AF794" s="585"/>
      <c r="AG794" s="585"/>
      <c r="AH794" s="585"/>
      <c r="AI794" s="585"/>
      <c r="AJ794" s="585"/>
      <c r="AK794" s="585"/>
      <c r="AL794" s="585"/>
      <c r="AM794" s="585"/>
      <c r="AN794" s="585"/>
      <c r="AO794" s="585"/>
      <c r="AP794" s="585"/>
      <c r="AQ794" s="585"/>
      <c r="AR794" s="422" t="e">
        <f>BT793</f>
        <v>#REF!</v>
      </c>
      <c r="AS794" s="1430" t="e">
        <f>BT793</f>
        <v>#REF!</v>
      </c>
      <c r="AT794" s="1430"/>
      <c r="AU794" s="1430"/>
      <c r="AV794" s="1430"/>
      <c r="AW794" s="1430"/>
      <c r="AX794" s="1430"/>
      <c r="AY794" s="1430"/>
      <c r="AZ794" s="1430"/>
      <c r="BA794" s="1430"/>
      <c r="BB794" s="1430"/>
      <c r="BC794" s="585"/>
      <c r="BD794" s="1431" t="s">
        <v>446</v>
      </c>
      <c r="BE794" s="1431"/>
      <c r="BF794" s="585"/>
      <c r="BG794" s="1431">
        <v>13</v>
      </c>
      <c r="BH794" s="1431"/>
      <c r="BI794" s="1431"/>
      <c r="BJ794" s="1431"/>
      <c r="BK794" s="1431"/>
      <c r="BL794" s="585" t="s">
        <v>1112</v>
      </c>
      <c r="BM794" s="585"/>
      <c r="BN794" s="585"/>
      <c r="BO794" s="585"/>
      <c r="BP794" s="1431" t="s">
        <v>41</v>
      </c>
      <c r="BQ794" s="1431"/>
      <c r="BR794" s="585"/>
      <c r="BS794" s="585"/>
      <c r="BT794" s="1432" t="e">
        <f>INT(AS794*BG794/100)</f>
        <v>#REF!</v>
      </c>
      <c r="BU794" s="1432"/>
      <c r="BV794" s="1432"/>
      <c r="BW794" s="1432"/>
      <c r="BX794" s="1432"/>
      <c r="BY794" s="1432"/>
      <c r="BZ794" s="1432"/>
      <c r="CA794" s="1432"/>
      <c r="CB794" s="1432"/>
      <c r="CC794" s="1432"/>
      <c r="CD794" s="585"/>
      <c r="CE794" s="585"/>
      <c r="CF794" s="586"/>
    </row>
    <row r="795" spans="1:256" s="583" customFormat="1" ht="23.1" customHeight="1" thickBot="1">
      <c r="A795" s="584"/>
      <c r="B795" s="585"/>
      <c r="C795" s="585"/>
      <c r="D795" s="585"/>
      <c r="E795" s="585"/>
      <c r="F795" s="585"/>
      <c r="G795" s="585"/>
      <c r="H795" s="585"/>
      <c r="I795" s="585"/>
      <c r="J795" s="585"/>
      <c r="K795" s="585"/>
      <c r="L795" s="585"/>
      <c r="M795" s="585"/>
      <c r="N795" s="585"/>
      <c r="O795" s="585"/>
      <c r="P795" s="585"/>
      <c r="Q795" s="585"/>
      <c r="R795" s="585"/>
      <c r="S795" s="585"/>
      <c r="T795" s="585"/>
      <c r="U795" s="585"/>
      <c r="V795" s="585"/>
      <c r="W795" s="585"/>
      <c r="X795" s="585"/>
      <c r="Y795" s="585"/>
      <c r="Z795" s="585"/>
      <c r="AA795" s="585"/>
      <c r="AB795" s="585"/>
      <c r="AC795" s="585"/>
      <c r="AD795" s="585"/>
      <c r="AE795" s="585"/>
      <c r="AF795" s="585"/>
      <c r="AG795" s="585"/>
      <c r="AH795" s="585"/>
      <c r="AI795" s="585"/>
      <c r="AJ795" s="585"/>
      <c r="AK795" s="585"/>
      <c r="AL795" s="585"/>
      <c r="AM795" s="585"/>
      <c r="AN795" s="585"/>
      <c r="AO795" s="585"/>
      <c r="AP795" s="585"/>
      <c r="AQ795" s="585"/>
      <c r="AR795" s="585"/>
      <c r="AS795" s="585"/>
      <c r="AT795" s="585"/>
      <c r="AU795" s="585"/>
      <c r="AV795" s="585"/>
      <c r="AW795" s="585"/>
      <c r="AX795" s="585"/>
      <c r="AY795" s="585"/>
      <c r="AZ795" s="585"/>
      <c r="BA795" s="585"/>
      <c r="BB795" s="585"/>
      <c r="BC795" s="585"/>
      <c r="BD795" s="585"/>
      <c r="BE795" s="585"/>
      <c r="BF795" s="585"/>
      <c r="BG795" s="585"/>
      <c r="BH795" s="585"/>
      <c r="BI795" s="585"/>
      <c r="BJ795" s="585"/>
      <c r="BK795" s="585"/>
      <c r="BL795" s="585"/>
      <c r="BM795" s="585"/>
      <c r="BN795" s="585"/>
      <c r="BO795" s="585"/>
      <c r="BP795" s="1431" t="s">
        <v>41</v>
      </c>
      <c r="BQ795" s="1431"/>
      <c r="BR795" s="585"/>
      <c r="BS795" s="585"/>
      <c r="BT795" s="1433" t="e">
        <f>BT793+BT794</f>
        <v>#REF!</v>
      </c>
      <c r="BU795" s="1433"/>
      <c r="BV795" s="1433"/>
      <c r="BW795" s="1433"/>
      <c r="BX795" s="1433"/>
      <c r="BY795" s="1433"/>
      <c r="BZ795" s="1433"/>
      <c r="CA795" s="1433"/>
      <c r="CB795" s="1433"/>
      <c r="CC795" s="1433"/>
      <c r="CD795" s="585"/>
      <c r="CE795" s="585"/>
      <c r="CF795" s="586"/>
    </row>
    <row r="796" spans="1:256" s="583" customFormat="1" ht="23.1" customHeight="1" thickBot="1">
      <c r="A796" s="597"/>
      <c r="B796" s="598" t="s">
        <v>1113</v>
      </c>
      <c r="C796" s="598"/>
      <c r="D796" s="598"/>
      <c r="E796" s="598"/>
      <c r="F796" s="598"/>
      <c r="G796" s="598"/>
      <c r="H796" s="598"/>
      <c r="I796" s="598"/>
      <c r="J796" s="598"/>
      <c r="K796" s="598"/>
      <c r="L796" s="598"/>
      <c r="M796" s="598"/>
      <c r="N796" s="598"/>
      <c r="O796" s="598"/>
      <c r="P796" s="598"/>
      <c r="Q796" s="598"/>
      <c r="R796" s="598"/>
      <c r="S796" s="598"/>
      <c r="T796" s="598"/>
      <c r="U796" s="598"/>
      <c r="V796" s="598"/>
      <c r="W796" s="598"/>
      <c r="X796" s="598"/>
      <c r="Y796" s="598"/>
      <c r="Z796" s="598"/>
      <c r="AA796" s="598"/>
      <c r="AB796" s="598"/>
      <c r="AC796" s="598"/>
      <c r="AD796" s="598"/>
      <c r="AE796" s="598"/>
      <c r="AF796" s="598"/>
      <c r="AG796" s="598"/>
      <c r="AH796" s="598"/>
      <c r="AI796" s="598"/>
      <c r="AJ796" s="598"/>
      <c r="AK796" s="598"/>
      <c r="AL796" s="598"/>
      <c r="AM796" s="598"/>
      <c r="AN796" s="598"/>
      <c r="AO796" s="598"/>
      <c r="AP796" s="598"/>
      <c r="AQ796" s="598"/>
      <c r="AR796" s="598"/>
      <c r="AS796" s="598"/>
      <c r="AT796" s="598"/>
      <c r="AU796" s="598"/>
      <c r="AV796" s="598"/>
      <c r="AW796" s="598"/>
      <c r="AX796" s="598"/>
      <c r="AY796" s="598"/>
      <c r="AZ796" s="598"/>
      <c r="BA796" s="598"/>
      <c r="BB796" s="598"/>
      <c r="BC796" s="598"/>
      <c r="BD796" s="598"/>
      <c r="BE796" s="598"/>
      <c r="BF796" s="598"/>
      <c r="BG796" s="598"/>
      <c r="BH796" s="598"/>
      <c r="BI796" s="598"/>
      <c r="BJ796" s="598"/>
      <c r="BK796" s="598"/>
      <c r="BL796" s="598"/>
      <c r="BM796" s="598"/>
      <c r="BN796" s="598"/>
      <c r="BO796" s="598"/>
      <c r="BP796" s="598"/>
      <c r="BQ796" s="598"/>
      <c r="BR796" s="598"/>
      <c r="BS796" s="598"/>
      <c r="BT796" s="1429" t="e">
        <f>BT787+BT791+BT795</f>
        <v>#REF!</v>
      </c>
      <c r="BU796" s="1429"/>
      <c r="BV796" s="1429"/>
      <c r="BW796" s="1429"/>
      <c r="BX796" s="1429"/>
      <c r="BY796" s="1429"/>
      <c r="BZ796" s="1429"/>
      <c r="CA796" s="1429"/>
      <c r="CB796" s="1429"/>
      <c r="CC796" s="1429"/>
      <c r="CD796" s="598"/>
      <c r="CE796" s="598"/>
      <c r="CF796" s="599"/>
    </row>
    <row r="797" spans="1:256" s="583" customFormat="1" ht="9.9499999999999993" customHeight="1">
      <c r="A797" s="574"/>
      <c r="B797" s="574"/>
      <c r="C797" s="574"/>
      <c r="D797" s="574"/>
      <c r="E797" s="574"/>
      <c r="F797" s="574"/>
      <c r="G797" s="574"/>
      <c r="H797" s="574"/>
      <c r="I797" s="574"/>
      <c r="J797" s="574"/>
      <c r="K797" s="574"/>
      <c r="L797" s="574"/>
      <c r="M797" s="574"/>
      <c r="N797" s="574"/>
      <c r="O797" s="574"/>
      <c r="P797" s="574"/>
      <c r="Q797" s="574"/>
      <c r="R797" s="574"/>
      <c r="S797" s="574"/>
      <c r="T797" s="574"/>
      <c r="U797" s="574"/>
      <c r="V797" s="574"/>
      <c r="W797" s="574"/>
      <c r="X797" s="574"/>
      <c r="Y797" s="574"/>
      <c r="Z797" s="574"/>
      <c r="AA797" s="574"/>
      <c r="AB797" s="574"/>
      <c r="AC797" s="574"/>
      <c r="AD797" s="574"/>
      <c r="AE797" s="574"/>
      <c r="AF797" s="574"/>
      <c r="AG797" s="574"/>
      <c r="AH797" s="574"/>
      <c r="AI797" s="574"/>
      <c r="AJ797" s="574"/>
      <c r="AK797" s="574"/>
      <c r="AL797" s="574"/>
      <c r="AM797" s="574"/>
      <c r="AN797" s="574"/>
      <c r="AO797" s="574"/>
      <c r="AP797" s="574"/>
      <c r="AQ797" s="574"/>
      <c r="AR797" s="574"/>
      <c r="AS797" s="574"/>
      <c r="AT797" s="574"/>
      <c r="AU797" s="574"/>
      <c r="AV797" s="574"/>
      <c r="AW797" s="574"/>
      <c r="AX797" s="574"/>
      <c r="AY797" s="574"/>
      <c r="AZ797" s="574"/>
      <c r="BA797" s="574"/>
      <c r="BB797" s="574"/>
      <c r="BC797" s="574"/>
      <c r="BD797" s="574"/>
      <c r="BE797" s="574"/>
      <c r="BF797" s="574"/>
      <c r="BG797" s="574"/>
      <c r="BH797" s="574"/>
      <c r="BI797" s="574"/>
      <c r="BJ797" s="574"/>
      <c r="BK797" s="574"/>
      <c r="BL797" s="574"/>
      <c r="BM797" s="574"/>
      <c r="BN797" s="574"/>
      <c r="BO797" s="574"/>
      <c r="BP797" s="574"/>
      <c r="BQ797" s="574"/>
      <c r="BR797" s="574"/>
      <c r="BS797" s="574"/>
      <c r="BT797" s="574"/>
      <c r="BU797" s="574"/>
      <c r="BV797" s="574"/>
      <c r="BW797" s="574"/>
      <c r="BX797" s="574"/>
      <c r="BY797" s="574"/>
      <c r="BZ797" s="574"/>
      <c r="CA797" s="574"/>
      <c r="CB797" s="574"/>
      <c r="CC797" s="574"/>
      <c r="CD797" s="574"/>
      <c r="CE797" s="574"/>
      <c r="CF797" s="574"/>
    </row>
    <row r="798" spans="1:256" s="583" customFormat="1" ht="23.1" customHeight="1" thickBot="1">
      <c r="A798" s="1446" t="s">
        <v>1095</v>
      </c>
      <c r="B798" s="1446"/>
      <c r="C798" s="1446"/>
      <c r="D798" s="1446"/>
      <c r="E798" s="1446"/>
      <c r="F798" s="1446"/>
      <c r="G798" s="1447">
        <f>G783+1</f>
        <v>54</v>
      </c>
      <c r="H798" s="1447"/>
      <c r="I798" s="1447"/>
      <c r="J798" s="1448" t="s">
        <v>1096</v>
      </c>
      <c r="K798" s="1448"/>
      <c r="L798" s="574"/>
      <c r="M798" s="574"/>
      <c r="N798" s="574"/>
      <c r="O798" s="574"/>
      <c r="P798" s="574"/>
      <c r="Q798" s="574"/>
      <c r="R798" s="574"/>
      <c r="S798" s="574"/>
      <c r="T798" s="574"/>
      <c r="U798" s="574"/>
      <c r="V798" s="574"/>
      <c r="W798" s="574"/>
      <c r="X798" s="574"/>
      <c r="Y798" s="574"/>
      <c r="Z798" s="574"/>
      <c r="AA798" s="574"/>
      <c r="AB798" s="574"/>
      <c r="AC798" s="574"/>
      <c r="AD798" s="574"/>
      <c r="AE798" s="574"/>
      <c r="AF798" s="574"/>
      <c r="AG798" s="574"/>
      <c r="AH798" s="574"/>
      <c r="AI798" s="574"/>
      <c r="AJ798" s="574"/>
      <c r="AK798" s="574"/>
      <c r="AL798" s="574"/>
      <c r="AM798" s="574"/>
      <c r="AN798" s="574"/>
      <c r="AO798" s="574"/>
      <c r="AP798" s="574"/>
      <c r="AQ798" s="574"/>
      <c r="AR798" s="574"/>
      <c r="AS798" s="574"/>
      <c r="AT798" s="574"/>
      <c r="AU798" s="574"/>
      <c r="AV798" s="574"/>
      <c r="AW798" s="574"/>
      <c r="AX798" s="574"/>
      <c r="AY798" s="574"/>
      <c r="AZ798" s="574"/>
      <c r="BA798" s="574"/>
      <c r="BB798" s="574"/>
      <c r="BC798" s="574"/>
      <c r="BD798" s="574"/>
      <c r="BE798" s="574"/>
      <c r="BF798" s="574"/>
      <c r="BG798" s="574"/>
      <c r="BH798" s="574"/>
      <c r="BI798" s="574"/>
      <c r="BJ798" s="574"/>
      <c r="BK798" s="574"/>
      <c r="BL798" s="574"/>
      <c r="BM798" s="617"/>
      <c r="BN798" s="574"/>
      <c r="BO798" s="574"/>
      <c r="BP798" s="574"/>
      <c r="BQ798" s="574"/>
      <c r="BR798" s="574"/>
      <c r="BS798" s="574"/>
      <c r="BT798" s="574"/>
      <c r="BU798" s="574"/>
      <c r="BV798" s="574"/>
      <c r="BW798" s="574"/>
      <c r="BX798" s="574"/>
      <c r="BY798" s="574"/>
      <c r="BZ798" s="574"/>
      <c r="CA798" s="574"/>
      <c r="CB798" s="574"/>
      <c r="CC798" s="574"/>
      <c r="CD798" s="574"/>
      <c r="CE798" s="574"/>
      <c r="CF798" s="574"/>
    </row>
    <row r="799" spans="1:256" s="583" customFormat="1" ht="23.1" customHeight="1" thickBot="1">
      <c r="A799" s="1483" t="s">
        <v>1097</v>
      </c>
      <c r="B799" s="1484"/>
      <c r="C799" s="1484"/>
      <c r="D799" s="1484"/>
      <c r="E799" s="1484"/>
      <c r="F799" s="1484"/>
      <c r="G799" s="1484"/>
      <c r="H799" s="1484"/>
      <c r="I799" s="581" t="s">
        <v>1183</v>
      </c>
      <c r="J799" s="581"/>
      <c r="K799" s="581"/>
      <c r="L799" s="581"/>
      <c r="M799" s="581"/>
      <c r="N799" s="581"/>
      <c r="O799" s="581"/>
      <c r="P799" s="581"/>
      <c r="Q799" s="581"/>
      <c r="R799" s="581"/>
      <c r="S799" s="581"/>
      <c r="T799" s="581"/>
      <c r="U799" s="581"/>
      <c r="V799" s="581"/>
      <c r="W799" s="581"/>
      <c r="X799" s="581"/>
      <c r="Y799" s="581"/>
      <c r="Z799" s="581"/>
      <c r="AA799" s="581"/>
      <c r="AB799" s="581"/>
      <c r="AC799" s="581"/>
      <c r="AD799" s="581"/>
      <c r="AE799" s="581"/>
      <c r="AF799" s="581"/>
      <c r="AG799" s="581"/>
      <c r="AH799" s="581"/>
      <c r="AI799" s="581"/>
      <c r="AJ799" s="1484" t="s">
        <v>1099</v>
      </c>
      <c r="AK799" s="1484"/>
      <c r="AL799" s="1484"/>
      <c r="AM799" s="1484"/>
      <c r="AN799" s="1484"/>
      <c r="AO799" s="1484"/>
      <c r="AP799" s="1484"/>
      <c r="AQ799" s="581" t="s">
        <v>642</v>
      </c>
      <c r="AR799" s="581"/>
      <c r="AS799" s="581"/>
      <c r="AT799" s="581"/>
      <c r="AU799" s="581"/>
      <c r="AV799" s="581"/>
      <c r="AW799" s="581"/>
      <c r="AX799" s="581"/>
      <c r="AY799" s="581"/>
      <c r="AZ799" s="581"/>
      <c r="BA799" s="581"/>
      <c r="BB799" s="581"/>
      <c r="BC799" s="581"/>
      <c r="BD799" s="581"/>
      <c r="BE799" s="581"/>
      <c r="BF799" s="581"/>
      <c r="BG799" s="581"/>
      <c r="BH799" s="581"/>
      <c r="BI799" s="581"/>
      <c r="BJ799" s="581"/>
      <c r="BK799" s="581"/>
      <c r="BL799" s="581"/>
      <c r="BM799" s="581"/>
      <c r="BN799" s="581"/>
      <c r="BO799" s="581"/>
      <c r="BP799" s="581"/>
      <c r="BQ799" s="581"/>
      <c r="BR799" s="581"/>
      <c r="BS799" s="581"/>
      <c r="BT799" s="581" t="s">
        <v>1184</v>
      </c>
      <c r="BU799" s="581"/>
      <c r="BV799" s="581"/>
      <c r="BW799" s="581"/>
      <c r="BX799" s="581"/>
      <c r="BY799" s="581"/>
      <c r="BZ799" s="581"/>
      <c r="CA799" s="581"/>
      <c r="CB799" s="581"/>
      <c r="CC799" s="581"/>
      <c r="CD799" s="581"/>
      <c r="CE799" s="581"/>
      <c r="CF799" s="582"/>
    </row>
    <row r="800" spans="1:256" s="583" customFormat="1" ht="23.1" customHeight="1">
      <c r="A800" s="584"/>
      <c r="B800" s="585" t="s">
        <v>1102</v>
      </c>
      <c r="C800" s="585"/>
      <c r="D800" s="585"/>
      <c r="E800" s="585"/>
      <c r="F800" s="585"/>
      <c r="G800" s="585"/>
      <c r="H800" s="585"/>
      <c r="I800" s="585"/>
      <c r="J800" s="585"/>
      <c r="K800" s="585"/>
      <c r="L800" s="585"/>
      <c r="M800" s="585"/>
      <c r="N800" s="585"/>
      <c r="O800" s="585"/>
      <c r="P800" s="585"/>
      <c r="Q800" s="585"/>
      <c r="R800" s="585"/>
      <c r="S800" s="585"/>
      <c r="T800" s="585"/>
      <c r="U800" s="585"/>
      <c r="V800" s="585"/>
      <c r="W800" s="585"/>
      <c r="X800" s="585"/>
      <c r="Y800" s="585"/>
      <c r="Z800" s="585"/>
      <c r="AA800" s="585"/>
      <c r="AB800" s="585"/>
      <c r="AC800" s="585"/>
      <c r="AD800" s="585"/>
      <c r="AE800" s="585"/>
      <c r="AF800" s="585"/>
      <c r="AG800" s="585"/>
      <c r="AH800" s="585"/>
      <c r="AI800" s="585"/>
      <c r="AJ800" s="585"/>
      <c r="AK800" s="585"/>
      <c r="AL800" s="585"/>
      <c r="AM800" s="585"/>
      <c r="AN800" s="585"/>
      <c r="AO800" s="585"/>
      <c r="AP800" s="585"/>
      <c r="AQ800" s="585"/>
      <c r="AR800" s="585"/>
      <c r="AS800" s="585"/>
      <c r="AT800" s="585"/>
      <c r="AU800" s="585"/>
      <c r="AV800" s="585"/>
      <c r="AW800" s="585"/>
      <c r="AX800" s="585"/>
      <c r="AY800" s="585"/>
      <c r="AZ800" s="585"/>
      <c r="BA800" s="585"/>
      <c r="BB800" s="585"/>
      <c r="BC800" s="585"/>
      <c r="BD800" s="585"/>
      <c r="BE800" s="585"/>
      <c r="BF800" s="585"/>
      <c r="BG800" s="585"/>
      <c r="BH800" s="585"/>
      <c r="BI800" s="585"/>
      <c r="BJ800" s="585"/>
      <c r="BK800" s="585"/>
      <c r="BL800" s="585"/>
      <c r="BM800" s="585"/>
      <c r="BN800" s="585"/>
      <c r="BO800" s="585"/>
      <c r="BP800" s="585"/>
      <c r="BQ800" s="585"/>
      <c r="BR800" s="585"/>
      <c r="BS800" s="585"/>
      <c r="BT800" s="585"/>
      <c r="BU800" s="585"/>
      <c r="BV800" s="585"/>
      <c r="BW800" s="585"/>
      <c r="BX800" s="585"/>
      <c r="BY800" s="585"/>
      <c r="BZ800" s="585"/>
      <c r="CA800" s="585"/>
      <c r="CB800" s="585"/>
      <c r="CC800" s="585"/>
      <c r="CD800" s="585"/>
      <c r="CE800" s="585"/>
      <c r="CF800" s="586"/>
    </row>
    <row r="801" spans="1:84" s="583" customFormat="1" ht="23.1" customHeight="1">
      <c r="A801" s="587"/>
      <c r="B801" s="574"/>
      <c r="C801" s="574"/>
      <c r="D801" s="405"/>
      <c r="E801" s="574"/>
      <c r="F801" s="422"/>
      <c r="G801" s="422"/>
      <c r="H801" s="422"/>
      <c r="I801" s="422"/>
      <c r="J801" s="422"/>
      <c r="K801" s="422"/>
      <c r="L801" s="422"/>
      <c r="M801" s="422"/>
      <c r="N801" s="574"/>
      <c r="O801" s="574"/>
      <c r="P801" s="574"/>
      <c r="Q801" s="574"/>
      <c r="R801" s="574"/>
      <c r="S801" s="588"/>
      <c r="T801" s="588"/>
      <c r="U801" s="588"/>
      <c r="V801" s="588"/>
      <c r="W801" s="588"/>
      <c r="X801" s="588"/>
      <c r="Y801" s="588"/>
      <c r="Z801" s="588"/>
      <c r="AA801" s="574"/>
      <c r="AB801" s="588"/>
      <c r="AC801" s="585"/>
      <c r="AD801" s="585"/>
      <c r="AE801" s="600"/>
      <c r="AF801" s="600"/>
      <c r="AG801" s="600"/>
      <c r="AH801" s="600"/>
      <c r="AI801" s="600"/>
      <c r="AJ801" s="600"/>
      <c r="AK801" s="600"/>
      <c r="AL801" s="600"/>
      <c r="AM801" s="585"/>
      <c r="AN801" s="585"/>
      <c r="AO801" s="574"/>
      <c r="AP801" s="588"/>
      <c r="AQ801" s="588"/>
      <c r="AR801" s="588"/>
      <c r="AS801" s="588"/>
      <c r="AT801" s="588"/>
      <c r="AU801" s="588"/>
      <c r="AV801" s="588"/>
      <c r="AW801" s="588"/>
      <c r="AX801" s="588"/>
      <c r="AY801" s="588"/>
      <c r="AZ801" s="588"/>
      <c r="BA801" s="588"/>
      <c r="BB801" s="588"/>
      <c r="BC801" s="588"/>
      <c r="BD801" s="574"/>
      <c r="BE801" s="574"/>
      <c r="BF801" s="574"/>
      <c r="BG801" s="574"/>
      <c r="BH801" s="574"/>
      <c r="BI801" s="574"/>
      <c r="BJ801" s="574"/>
      <c r="BK801" s="574"/>
      <c r="BL801" s="574"/>
      <c r="BM801" s="574"/>
      <c r="BN801" s="574"/>
      <c r="BO801" s="574"/>
      <c r="BP801" s="574"/>
      <c r="BQ801" s="574"/>
      <c r="BR801" s="574"/>
      <c r="BS801" s="574"/>
      <c r="BT801" s="574"/>
      <c r="BU801" s="574"/>
      <c r="BV801" s="574"/>
      <c r="BW801" s="574"/>
      <c r="BX801" s="574"/>
      <c r="BY801" s="574"/>
      <c r="BZ801" s="574"/>
      <c r="CA801" s="574"/>
      <c r="CB801" s="574"/>
      <c r="CC801" s="574"/>
      <c r="CD801" s="574"/>
      <c r="CE801" s="574"/>
      <c r="CF801" s="589"/>
    </row>
    <row r="802" spans="1:84" s="583" customFormat="1" ht="23.1" customHeight="1">
      <c r="A802" s="584"/>
      <c r="B802" s="585"/>
      <c r="C802" s="585"/>
      <c r="D802" s="585"/>
      <c r="E802" s="585"/>
      <c r="F802" s="585"/>
      <c r="G802" s="585"/>
      <c r="H802" s="585"/>
      <c r="I802" s="585"/>
      <c r="J802" s="585"/>
      <c r="K802" s="585"/>
      <c r="L802" s="585"/>
      <c r="M802" s="585"/>
      <c r="N802" s="585"/>
      <c r="O802" s="585"/>
      <c r="P802" s="585"/>
      <c r="Q802" s="585"/>
      <c r="R802" s="585"/>
      <c r="S802" s="585"/>
      <c r="T802" s="585"/>
      <c r="U802" s="585"/>
      <c r="V802" s="590"/>
      <c r="W802" s="590"/>
      <c r="X802" s="590"/>
      <c r="Y802" s="590"/>
      <c r="Z802" s="590"/>
      <c r="AA802" s="590"/>
      <c r="AB802" s="590"/>
      <c r="AC802" s="590"/>
      <c r="AD802" s="574"/>
      <c r="AE802" s="1440">
        <v>18453000</v>
      </c>
      <c r="AF802" s="1440"/>
      <c r="AG802" s="1440"/>
      <c r="AH802" s="1440"/>
      <c r="AI802" s="1440"/>
      <c r="AJ802" s="1440"/>
      <c r="AK802" s="1440"/>
      <c r="AL802" s="1440"/>
      <c r="AM802" s="1440"/>
      <c r="AN802" s="1440"/>
      <c r="AO802" s="1440"/>
      <c r="AP802" s="1440"/>
      <c r="AQ802" s="1440"/>
      <c r="AR802" s="1440"/>
      <c r="AS802" s="1440"/>
      <c r="AT802" s="1431" t="s">
        <v>446</v>
      </c>
      <c r="AU802" s="1431"/>
      <c r="AV802" s="1441" t="s">
        <v>1103</v>
      </c>
      <c r="AW802" s="1441"/>
      <c r="AX802" s="1442">
        <v>2825</v>
      </c>
      <c r="AY802" s="1442"/>
      <c r="AZ802" s="1442"/>
      <c r="BA802" s="1442"/>
      <c r="BB802" s="1442"/>
      <c r="BC802" s="1442"/>
      <c r="BD802" s="585"/>
      <c r="BE802" s="1431" t="s">
        <v>446</v>
      </c>
      <c r="BF802" s="1431"/>
      <c r="BG802" s="585"/>
      <c r="BH802" s="591" t="s">
        <v>1104</v>
      </c>
      <c r="BI802" s="585"/>
      <c r="BJ802" s="585"/>
      <c r="BK802" s="585"/>
      <c r="BL802" s="1431" t="s">
        <v>1105</v>
      </c>
      <c r="BM802" s="1431"/>
      <c r="BN802" s="1431"/>
      <c r="BO802" s="585"/>
      <c r="BP802" s="1431" t="s">
        <v>41</v>
      </c>
      <c r="BQ802" s="1431"/>
      <c r="BR802" s="585"/>
      <c r="BS802" s="585"/>
      <c r="BT802" s="1437">
        <f>INT(AE802*AX802*10^-7)</f>
        <v>5212</v>
      </c>
      <c r="BU802" s="1437"/>
      <c r="BV802" s="1437"/>
      <c r="BW802" s="1437"/>
      <c r="BX802" s="1437"/>
      <c r="BY802" s="1437"/>
      <c r="BZ802" s="1437"/>
      <c r="CA802" s="1437"/>
      <c r="CB802" s="1437"/>
      <c r="CC802" s="1437"/>
      <c r="CD802" s="585"/>
      <c r="CE802" s="585"/>
      <c r="CF802" s="586"/>
    </row>
    <row r="803" spans="1:84" s="583" customFormat="1" ht="23.1" customHeight="1">
      <c r="A803" s="592"/>
      <c r="B803" s="593" t="s">
        <v>1106</v>
      </c>
      <c r="C803" s="593"/>
      <c r="D803" s="593"/>
      <c r="E803" s="593"/>
      <c r="F803" s="593"/>
      <c r="G803" s="593"/>
      <c r="H803" s="593"/>
      <c r="I803" s="593"/>
      <c r="J803" s="593"/>
      <c r="K803" s="593"/>
      <c r="L803" s="593"/>
      <c r="M803" s="593"/>
      <c r="N803" s="593"/>
      <c r="O803" s="593"/>
      <c r="P803" s="593"/>
      <c r="Q803" s="593"/>
      <c r="R803" s="593"/>
      <c r="S803" s="593"/>
      <c r="T803" s="593"/>
      <c r="U803" s="593"/>
      <c r="V803" s="593"/>
      <c r="W803" s="593"/>
      <c r="X803" s="593"/>
      <c r="Y803" s="593"/>
      <c r="Z803" s="593"/>
      <c r="AA803" s="593"/>
      <c r="AB803" s="593"/>
      <c r="AC803" s="593"/>
      <c r="AD803" s="593"/>
      <c r="AE803" s="593"/>
      <c r="AF803" s="593"/>
      <c r="AG803" s="593"/>
      <c r="AH803" s="593"/>
      <c r="AI803" s="593"/>
      <c r="AJ803" s="593"/>
      <c r="AK803" s="593"/>
      <c r="AL803" s="593"/>
      <c r="AM803" s="593"/>
      <c r="AN803" s="593"/>
      <c r="AO803" s="593"/>
      <c r="AP803" s="593"/>
      <c r="AQ803" s="593"/>
      <c r="AR803" s="593"/>
      <c r="AS803" s="593"/>
      <c r="AT803" s="593"/>
      <c r="AU803" s="593"/>
      <c r="AV803" s="593"/>
      <c r="AW803" s="593"/>
      <c r="AX803" s="593"/>
      <c r="AY803" s="593"/>
      <c r="AZ803" s="593"/>
      <c r="BA803" s="593"/>
      <c r="BB803" s="593"/>
      <c r="BC803" s="593"/>
      <c r="BD803" s="593"/>
      <c r="BE803" s="593"/>
      <c r="BF803" s="593"/>
      <c r="BG803" s="593"/>
      <c r="BH803" s="593"/>
      <c r="BI803" s="593"/>
      <c r="BJ803" s="593"/>
      <c r="BK803" s="593"/>
      <c r="BL803" s="593"/>
      <c r="BM803" s="593"/>
      <c r="BN803" s="593"/>
      <c r="BO803" s="593"/>
      <c r="BP803" s="593"/>
      <c r="BQ803" s="593"/>
      <c r="BR803" s="593"/>
      <c r="BS803" s="593"/>
      <c r="BT803" s="594"/>
      <c r="BU803" s="594"/>
      <c r="BV803" s="594"/>
      <c r="BW803" s="594"/>
      <c r="BX803" s="594"/>
      <c r="BY803" s="594"/>
      <c r="BZ803" s="594"/>
      <c r="CA803" s="594"/>
      <c r="CB803" s="594"/>
      <c r="CC803" s="594"/>
      <c r="CD803" s="593"/>
      <c r="CE803" s="593"/>
      <c r="CF803" s="595"/>
    </row>
    <row r="804" spans="1:84" s="583" customFormat="1" ht="23.1" customHeight="1">
      <c r="A804" s="584"/>
      <c r="B804" s="585"/>
      <c r="C804" s="585"/>
      <c r="D804" s="596" t="s">
        <v>268</v>
      </c>
      <c r="E804" s="585"/>
      <c r="F804" s="585"/>
      <c r="G804" s="585"/>
      <c r="H804" s="585"/>
      <c r="I804" s="585"/>
      <c r="J804" s="585"/>
      <c r="K804" s="585"/>
      <c r="L804" s="585"/>
      <c r="M804" s="585"/>
      <c r="N804" s="585"/>
      <c r="O804" s="585"/>
      <c r="P804" s="585"/>
      <c r="Q804" s="585"/>
      <c r="R804" s="585"/>
      <c r="S804" s="585"/>
      <c r="T804" s="574"/>
      <c r="U804" s="574"/>
      <c r="V804" s="1435">
        <f>HLOOKUP(D804,$CJ$1:$CM$3,3,0)</f>
        <v>283297</v>
      </c>
      <c r="W804" s="1435"/>
      <c r="X804" s="1435"/>
      <c r="Y804" s="1435"/>
      <c r="Z804" s="1435"/>
      <c r="AA804" s="1435"/>
      <c r="AB804" s="1435"/>
      <c r="AC804" s="1435"/>
      <c r="AD804" s="1435"/>
      <c r="AE804" s="1435"/>
      <c r="AF804" s="1431" t="s">
        <v>446</v>
      </c>
      <c r="AG804" s="1431"/>
      <c r="AH804" s="574"/>
      <c r="AI804" s="1436" t="s">
        <v>1107</v>
      </c>
      <c r="AJ804" s="1436"/>
      <c r="AK804" s="1436"/>
      <c r="AL804" s="1436"/>
      <c r="AM804" s="585"/>
      <c r="AN804" s="1431" t="s">
        <v>446</v>
      </c>
      <c r="AO804" s="1431"/>
      <c r="AP804" s="585"/>
      <c r="AQ804" s="1436" t="s">
        <v>1108</v>
      </c>
      <c r="AR804" s="1436"/>
      <c r="AS804" s="1436"/>
      <c r="AT804" s="1436"/>
      <c r="AU804" s="1436"/>
      <c r="AV804" s="422"/>
      <c r="AW804" s="1431" t="s">
        <v>446</v>
      </c>
      <c r="AX804" s="1431"/>
      <c r="AY804" s="440"/>
      <c r="AZ804" s="1436" t="s">
        <v>1109</v>
      </c>
      <c r="BA804" s="1436"/>
      <c r="BB804" s="1436"/>
      <c r="BC804" s="1436"/>
      <c r="BD804" s="1436"/>
      <c r="BE804" s="585"/>
      <c r="BF804" s="1431" t="s">
        <v>446</v>
      </c>
      <c r="BG804" s="1431"/>
      <c r="BH804" s="1431">
        <v>1</v>
      </c>
      <c r="BI804" s="1431"/>
      <c r="BJ804" s="1431"/>
      <c r="BK804" s="585"/>
      <c r="BL804" s="585" t="s">
        <v>366</v>
      </c>
      <c r="BM804" s="585"/>
      <c r="BN804" s="585"/>
      <c r="BO804" s="585"/>
      <c r="BP804" s="1431" t="s">
        <v>41</v>
      </c>
      <c r="BQ804" s="1431"/>
      <c r="BR804" s="585"/>
      <c r="BS804" s="585"/>
      <c r="BT804" s="1432">
        <f>INT(V804/8*16/12*25/20*BH804)</f>
        <v>59020</v>
      </c>
      <c r="BU804" s="1432"/>
      <c r="BV804" s="1432"/>
      <c r="BW804" s="1432"/>
      <c r="BX804" s="1432"/>
      <c r="BY804" s="1432"/>
      <c r="BZ804" s="1432"/>
      <c r="CA804" s="1432"/>
      <c r="CB804" s="1432"/>
      <c r="CC804" s="1432"/>
      <c r="CD804" s="585"/>
      <c r="CE804" s="585"/>
      <c r="CF804" s="586"/>
    </row>
    <row r="805" spans="1:84" s="583" customFormat="1" ht="23.1" customHeight="1">
      <c r="A805" s="584"/>
      <c r="B805" s="585"/>
      <c r="C805" s="585"/>
      <c r="D805" s="585"/>
      <c r="E805" s="585"/>
      <c r="F805" s="585"/>
      <c r="G805" s="585"/>
      <c r="H805" s="585"/>
      <c r="I805" s="585"/>
      <c r="J805" s="585"/>
      <c r="K805" s="585"/>
      <c r="L805" s="585"/>
      <c r="M805" s="585"/>
      <c r="N805" s="585"/>
      <c r="O805" s="585"/>
      <c r="P805" s="574"/>
      <c r="Q805" s="574"/>
      <c r="R805" s="574"/>
      <c r="S805" s="574"/>
      <c r="T805" s="574"/>
      <c r="U805" s="574"/>
      <c r="V805" s="574"/>
      <c r="W805" s="574"/>
      <c r="X805" s="574"/>
      <c r="Y805" s="574"/>
      <c r="Z805" s="574"/>
      <c r="AA805" s="574"/>
      <c r="AB805" s="574"/>
      <c r="AC805" s="574"/>
      <c r="AD805" s="574"/>
      <c r="AE805" s="574"/>
      <c r="AF805" s="574"/>
      <c r="AG805" s="574"/>
      <c r="AH805" s="574"/>
      <c r="AI805" s="574"/>
      <c r="AJ805" s="574"/>
      <c r="AK805" s="574"/>
      <c r="AL805" s="574"/>
      <c r="AM805" s="574"/>
      <c r="AN805" s="574"/>
      <c r="AO805" s="574"/>
      <c r="AP805" s="574"/>
      <c r="AQ805" s="574"/>
      <c r="AR805" s="574"/>
      <c r="AS805" s="574"/>
      <c r="AT805" s="574"/>
      <c r="AU805" s="574"/>
      <c r="AV805" s="574"/>
      <c r="AW805" s="574"/>
      <c r="AX805" s="574"/>
      <c r="AY805" s="574"/>
      <c r="AZ805" s="574"/>
      <c r="BA805" s="574"/>
      <c r="BB805" s="574"/>
      <c r="BC805" s="574"/>
      <c r="BD805" s="574"/>
      <c r="BE805" s="574"/>
      <c r="BF805" s="574"/>
      <c r="BG805" s="585"/>
      <c r="BH805" s="585"/>
      <c r="BI805" s="585"/>
      <c r="BJ805" s="585"/>
      <c r="BK805" s="585"/>
      <c r="BL805" s="585"/>
      <c r="BM805" s="585"/>
      <c r="BN805" s="585"/>
      <c r="BO805" s="585"/>
      <c r="BP805" s="1431"/>
      <c r="BQ805" s="1431"/>
      <c r="BR805" s="585"/>
      <c r="BS805" s="585"/>
      <c r="BT805" s="1432"/>
      <c r="BU805" s="1432"/>
      <c r="BV805" s="1432"/>
      <c r="BW805" s="1432"/>
      <c r="BX805" s="1432"/>
      <c r="BY805" s="1432"/>
      <c r="BZ805" s="1432"/>
      <c r="CA805" s="1432"/>
      <c r="CB805" s="1432"/>
      <c r="CC805" s="1432"/>
      <c r="CD805" s="585"/>
      <c r="CE805" s="585"/>
      <c r="CF805" s="586"/>
    </row>
    <row r="806" spans="1:84" s="583" customFormat="1" ht="23.1" customHeight="1">
      <c r="A806" s="584"/>
      <c r="B806" s="585"/>
      <c r="C806" s="585"/>
      <c r="D806" s="585"/>
      <c r="E806" s="585"/>
      <c r="F806" s="585"/>
      <c r="G806" s="585"/>
      <c r="H806" s="585"/>
      <c r="I806" s="585"/>
      <c r="J806" s="585"/>
      <c r="K806" s="585"/>
      <c r="L806" s="585"/>
      <c r="M806" s="585"/>
      <c r="N806" s="585"/>
      <c r="O806" s="585"/>
      <c r="P806" s="585"/>
      <c r="Q806" s="585"/>
      <c r="R806" s="585"/>
      <c r="S806" s="585"/>
      <c r="T806" s="585"/>
      <c r="U806" s="585"/>
      <c r="V806" s="585"/>
      <c r="W806" s="585"/>
      <c r="X806" s="585"/>
      <c r="Y806" s="585"/>
      <c r="Z806" s="585"/>
      <c r="AA806" s="585"/>
      <c r="AB806" s="585"/>
      <c r="AC806" s="585"/>
      <c r="AD806" s="574"/>
      <c r="AE806" s="574"/>
      <c r="AF806" s="574"/>
      <c r="AG806" s="574"/>
      <c r="AH806" s="574"/>
      <c r="AI806" s="574"/>
      <c r="AJ806" s="574"/>
      <c r="AK806" s="574"/>
      <c r="AL806" s="574"/>
      <c r="AM806" s="574"/>
      <c r="AN806" s="574"/>
      <c r="AO806" s="574"/>
      <c r="AP806" s="574"/>
      <c r="AQ806" s="574"/>
      <c r="AR806" s="574"/>
      <c r="AS806" s="585"/>
      <c r="AT806" s="590"/>
      <c r="AU806" s="590"/>
      <c r="AV806" s="585"/>
      <c r="AW806" s="585"/>
      <c r="AX806" s="585"/>
      <c r="AY806" s="585"/>
      <c r="AZ806" s="585"/>
      <c r="BA806" s="585"/>
      <c r="BB806" s="585"/>
      <c r="BC806" s="585"/>
      <c r="BD806" s="585"/>
      <c r="BE806" s="585"/>
      <c r="BF806" s="585"/>
      <c r="BG806" s="585"/>
      <c r="BH806" s="585"/>
      <c r="BI806" s="585"/>
      <c r="BJ806" s="585"/>
      <c r="BK806" s="585"/>
      <c r="BL806" s="585"/>
      <c r="BM806" s="585"/>
      <c r="BN806" s="585"/>
      <c r="BO806" s="585"/>
      <c r="BP806" s="1431" t="s">
        <v>41</v>
      </c>
      <c r="BQ806" s="1431"/>
      <c r="BR806" s="585"/>
      <c r="BS806" s="585"/>
      <c r="BT806" s="1434">
        <f>BT804+BT805</f>
        <v>59020</v>
      </c>
      <c r="BU806" s="1434"/>
      <c r="BV806" s="1434"/>
      <c r="BW806" s="1434"/>
      <c r="BX806" s="1434"/>
      <c r="BY806" s="1434"/>
      <c r="BZ806" s="1434"/>
      <c r="CA806" s="1434"/>
      <c r="CB806" s="1434"/>
      <c r="CC806" s="1434"/>
      <c r="CD806" s="585"/>
      <c r="CE806" s="585"/>
      <c r="CF806" s="586"/>
    </row>
    <row r="807" spans="1:84" s="583" customFormat="1" ht="23.1" customHeight="1">
      <c r="A807" s="592"/>
      <c r="B807" s="593" t="s">
        <v>1110</v>
      </c>
      <c r="C807" s="593"/>
      <c r="D807" s="593"/>
      <c r="E807" s="593"/>
      <c r="F807" s="593"/>
      <c r="G807" s="593"/>
      <c r="H807" s="593"/>
      <c r="I807" s="593"/>
      <c r="J807" s="593"/>
      <c r="K807" s="593"/>
      <c r="L807" s="593"/>
      <c r="M807" s="593"/>
      <c r="N807" s="593"/>
      <c r="O807" s="593"/>
      <c r="P807" s="593"/>
      <c r="Q807" s="593"/>
      <c r="R807" s="593"/>
      <c r="S807" s="593"/>
      <c r="T807" s="593"/>
      <c r="U807" s="593"/>
      <c r="V807" s="593"/>
      <c r="W807" s="593"/>
      <c r="X807" s="593"/>
      <c r="Y807" s="593"/>
      <c r="Z807" s="593"/>
      <c r="AA807" s="593"/>
      <c r="AB807" s="593"/>
      <c r="AC807" s="593"/>
      <c r="AD807" s="593"/>
      <c r="AE807" s="593"/>
      <c r="AF807" s="593"/>
      <c r="AG807" s="593"/>
      <c r="AH807" s="593"/>
      <c r="AI807" s="593"/>
      <c r="AJ807" s="593"/>
      <c r="AK807" s="593"/>
      <c r="AL807" s="593"/>
      <c r="AM807" s="593"/>
      <c r="AN807" s="593"/>
      <c r="AO807" s="593"/>
      <c r="AP807" s="593"/>
      <c r="AQ807" s="593"/>
      <c r="AR807" s="593"/>
      <c r="AS807" s="593"/>
      <c r="AT807" s="593"/>
      <c r="AU807" s="593"/>
      <c r="AV807" s="593"/>
      <c r="AW807" s="593"/>
      <c r="AX807" s="593"/>
      <c r="AY807" s="593"/>
      <c r="AZ807" s="593"/>
      <c r="BA807" s="593"/>
      <c r="BB807" s="593"/>
      <c r="BC807" s="593"/>
      <c r="BD807" s="593"/>
      <c r="BE807" s="593"/>
      <c r="BF807" s="593"/>
      <c r="BG807" s="593"/>
      <c r="BH807" s="593"/>
      <c r="BI807" s="593"/>
      <c r="BJ807" s="593"/>
      <c r="BK807" s="593"/>
      <c r="BL807" s="593"/>
      <c r="BM807" s="593"/>
      <c r="BN807" s="593"/>
      <c r="BO807" s="593"/>
      <c r="BP807" s="593"/>
      <c r="BQ807" s="593"/>
      <c r="BR807" s="593"/>
      <c r="BS807" s="593"/>
      <c r="BT807" s="593"/>
      <c r="BU807" s="593"/>
      <c r="BV807" s="593"/>
      <c r="BW807" s="593"/>
      <c r="BX807" s="593"/>
      <c r="BY807" s="593"/>
      <c r="BZ807" s="593"/>
      <c r="CA807" s="593"/>
      <c r="CB807" s="593"/>
      <c r="CC807" s="593"/>
      <c r="CD807" s="593"/>
      <c r="CE807" s="593"/>
      <c r="CF807" s="595"/>
    </row>
    <row r="808" spans="1:84" s="583" customFormat="1" ht="23.1" customHeight="1">
      <c r="A808" s="584"/>
      <c r="B808" s="585"/>
      <c r="C808" s="585"/>
      <c r="D808" s="596" t="s">
        <v>1094</v>
      </c>
      <c r="E808" s="585"/>
      <c r="F808" s="585"/>
      <c r="G808" s="585"/>
      <c r="H808" s="585"/>
      <c r="I808" s="585"/>
      <c r="J808" s="585"/>
      <c r="K808" s="585"/>
      <c r="L808" s="585"/>
      <c r="M808" s="585"/>
      <c r="N808" s="585"/>
      <c r="O808" s="585"/>
      <c r="P808" s="585"/>
      <c r="Q808" s="585"/>
      <c r="R808" s="585"/>
      <c r="S808" s="585"/>
      <c r="T808" s="585"/>
      <c r="U808" s="585"/>
      <c r="V808" s="585"/>
      <c r="W808" s="585"/>
      <c r="X808" s="585"/>
      <c r="Y808" s="585"/>
      <c r="Z808" s="585"/>
      <c r="AA808" s="585"/>
      <c r="AB808" s="585"/>
      <c r="AC808" s="585"/>
      <c r="AD808" s="585"/>
      <c r="AE808" s="585"/>
      <c r="AF808" s="585"/>
      <c r="AG808" s="585"/>
      <c r="AH808" s="585"/>
      <c r="AI808" s="585"/>
      <c r="AJ808" s="585"/>
      <c r="AK808" s="585"/>
      <c r="AL808" s="585"/>
      <c r="AM808" s="585"/>
      <c r="AN808" s="585"/>
      <c r="AO808" s="585"/>
      <c r="AP808" s="585"/>
      <c r="AQ808" s="585"/>
      <c r="AR808" s="422"/>
      <c r="AS808" s="1435" t="e">
        <f>HLOOKUP(D808,$CN$1:$CO$3,3,0)</f>
        <v>#REF!</v>
      </c>
      <c r="AT808" s="1435"/>
      <c r="AU808" s="1435"/>
      <c r="AV808" s="1435"/>
      <c r="AW808" s="1435"/>
      <c r="AX808" s="1435"/>
      <c r="AY808" s="1435"/>
      <c r="AZ808" s="1435"/>
      <c r="BA808" s="1435"/>
      <c r="BB808" s="1435"/>
      <c r="BC808" s="585"/>
      <c r="BD808" s="1431" t="s">
        <v>446</v>
      </c>
      <c r="BE808" s="1431"/>
      <c r="BF808" s="585"/>
      <c r="BG808" s="1431">
        <v>2.2999999999999998</v>
      </c>
      <c r="BH808" s="1431"/>
      <c r="BI808" s="1431"/>
      <c r="BJ808" s="1431"/>
      <c r="BK808" s="1431"/>
      <c r="BL808" s="585" t="s">
        <v>1111</v>
      </c>
      <c r="BM808" s="585"/>
      <c r="BN808" s="585"/>
      <c r="BO808" s="585"/>
      <c r="BP808" s="1431" t="s">
        <v>41</v>
      </c>
      <c r="BQ808" s="1431"/>
      <c r="BR808" s="585"/>
      <c r="BS808" s="585"/>
      <c r="BT808" s="1432" t="e">
        <f>INT(AS808*BG808)</f>
        <v>#REF!</v>
      </c>
      <c r="BU808" s="1432"/>
      <c r="BV808" s="1432"/>
      <c r="BW808" s="1432"/>
      <c r="BX808" s="1432"/>
      <c r="BY808" s="1432"/>
      <c r="BZ808" s="1432"/>
      <c r="CA808" s="1432"/>
      <c r="CB808" s="1432"/>
      <c r="CC808" s="1432"/>
      <c r="CD808" s="585"/>
      <c r="CE808" s="585"/>
      <c r="CF808" s="586"/>
    </row>
    <row r="809" spans="1:84" s="583" customFormat="1" ht="23.1" customHeight="1">
      <c r="A809" s="584"/>
      <c r="B809" s="585"/>
      <c r="C809" s="585"/>
      <c r="D809" s="591" t="str">
        <f>"잡재료 (주연료의 "&amp;BG809&amp;"%) :"</f>
        <v>잡재료 (주연료의 13%) :</v>
      </c>
      <c r="E809" s="585"/>
      <c r="F809" s="585"/>
      <c r="G809" s="585"/>
      <c r="H809" s="585"/>
      <c r="I809" s="585"/>
      <c r="J809" s="585"/>
      <c r="K809" s="585"/>
      <c r="L809" s="585"/>
      <c r="M809" s="585"/>
      <c r="N809" s="585"/>
      <c r="O809" s="585"/>
      <c r="P809" s="585"/>
      <c r="Q809" s="585"/>
      <c r="R809" s="585"/>
      <c r="S809" s="585"/>
      <c r="T809" s="585"/>
      <c r="U809" s="585"/>
      <c r="V809" s="585"/>
      <c r="W809" s="585"/>
      <c r="X809" s="585"/>
      <c r="Y809" s="585"/>
      <c r="Z809" s="585"/>
      <c r="AA809" s="585"/>
      <c r="AB809" s="585"/>
      <c r="AC809" s="585"/>
      <c r="AD809" s="585"/>
      <c r="AE809" s="585"/>
      <c r="AF809" s="585"/>
      <c r="AG809" s="585"/>
      <c r="AH809" s="585"/>
      <c r="AI809" s="585"/>
      <c r="AJ809" s="585"/>
      <c r="AK809" s="585"/>
      <c r="AL809" s="585"/>
      <c r="AM809" s="585"/>
      <c r="AN809" s="585"/>
      <c r="AO809" s="585"/>
      <c r="AP809" s="585"/>
      <c r="AQ809" s="585"/>
      <c r="AR809" s="422" t="e">
        <f>BT808</f>
        <v>#REF!</v>
      </c>
      <c r="AS809" s="1435" t="e">
        <f>BT808</f>
        <v>#REF!</v>
      </c>
      <c r="AT809" s="1435"/>
      <c r="AU809" s="1435"/>
      <c r="AV809" s="1435"/>
      <c r="AW809" s="1435"/>
      <c r="AX809" s="1435"/>
      <c r="AY809" s="1435"/>
      <c r="AZ809" s="1435"/>
      <c r="BA809" s="1435"/>
      <c r="BB809" s="1435"/>
      <c r="BC809" s="585"/>
      <c r="BD809" s="1431" t="s">
        <v>446</v>
      </c>
      <c r="BE809" s="1431"/>
      <c r="BF809" s="585"/>
      <c r="BG809" s="1431">
        <v>13</v>
      </c>
      <c r="BH809" s="1431"/>
      <c r="BI809" s="1431"/>
      <c r="BJ809" s="1431"/>
      <c r="BK809" s="1431"/>
      <c r="BL809" s="585" t="s">
        <v>1112</v>
      </c>
      <c r="BM809" s="585"/>
      <c r="BN809" s="585"/>
      <c r="BO809" s="585"/>
      <c r="BP809" s="1431" t="s">
        <v>41</v>
      </c>
      <c r="BQ809" s="1431"/>
      <c r="BR809" s="585"/>
      <c r="BS809" s="585"/>
      <c r="BT809" s="1432" t="e">
        <f>INT(AS809*BG809/100)</f>
        <v>#REF!</v>
      </c>
      <c r="BU809" s="1432"/>
      <c r="BV809" s="1432"/>
      <c r="BW809" s="1432"/>
      <c r="BX809" s="1432"/>
      <c r="BY809" s="1432"/>
      <c r="BZ809" s="1432"/>
      <c r="CA809" s="1432"/>
      <c r="CB809" s="1432"/>
      <c r="CC809" s="1432"/>
      <c r="CD809" s="585"/>
      <c r="CE809" s="585"/>
      <c r="CF809" s="586"/>
    </row>
    <row r="810" spans="1:84" s="583" customFormat="1" ht="23.1" customHeight="1" thickBot="1">
      <c r="A810" s="584"/>
      <c r="B810" s="585"/>
      <c r="C810" s="585"/>
      <c r="D810" s="585"/>
      <c r="E810" s="585"/>
      <c r="F810" s="585"/>
      <c r="G810" s="585"/>
      <c r="H810" s="585"/>
      <c r="I810" s="585"/>
      <c r="J810" s="585"/>
      <c r="K810" s="585"/>
      <c r="L810" s="585"/>
      <c r="M810" s="585"/>
      <c r="N810" s="585"/>
      <c r="O810" s="585"/>
      <c r="P810" s="585"/>
      <c r="Q810" s="585"/>
      <c r="R810" s="585"/>
      <c r="S810" s="585"/>
      <c r="T810" s="585"/>
      <c r="U810" s="585"/>
      <c r="V810" s="585"/>
      <c r="W810" s="585"/>
      <c r="X810" s="585"/>
      <c r="Y810" s="585"/>
      <c r="Z810" s="585"/>
      <c r="AA810" s="585"/>
      <c r="AB810" s="585"/>
      <c r="AC810" s="585"/>
      <c r="AD810" s="585"/>
      <c r="AE810" s="585"/>
      <c r="AF810" s="585"/>
      <c r="AG810" s="585"/>
      <c r="AH810" s="585"/>
      <c r="AI810" s="585"/>
      <c r="AJ810" s="585"/>
      <c r="AK810" s="585"/>
      <c r="AL810" s="585"/>
      <c r="AM810" s="585"/>
      <c r="AN810" s="585"/>
      <c r="AO810" s="585"/>
      <c r="AP810" s="585"/>
      <c r="AQ810" s="585"/>
      <c r="AR810" s="585"/>
      <c r="AS810" s="585"/>
      <c r="AT810" s="585"/>
      <c r="AU810" s="585"/>
      <c r="AV810" s="585"/>
      <c r="AW810" s="585"/>
      <c r="AX810" s="585"/>
      <c r="AY810" s="585"/>
      <c r="AZ810" s="585"/>
      <c r="BA810" s="585"/>
      <c r="BB810" s="585"/>
      <c r="BC810" s="585"/>
      <c r="BD810" s="585"/>
      <c r="BE810" s="585"/>
      <c r="BF810" s="585"/>
      <c r="BG810" s="585"/>
      <c r="BH810" s="585"/>
      <c r="BI810" s="585"/>
      <c r="BJ810" s="585"/>
      <c r="BK810" s="585"/>
      <c r="BL810" s="585"/>
      <c r="BM810" s="585"/>
      <c r="BN810" s="585"/>
      <c r="BO810" s="585"/>
      <c r="BP810" s="1431" t="s">
        <v>41</v>
      </c>
      <c r="BQ810" s="1431"/>
      <c r="BR810" s="585"/>
      <c r="BS810" s="585"/>
      <c r="BT810" s="1433" t="e">
        <f>BT808+BT809</f>
        <v>#REF!</v>
      </c>
      <c r="BU810" s="1433"/>
      <c r="BV810" s="1433"/>
      <c r="BW810" s="1433"/>
      <c r="BX810" s="1433"/>
      <c r="BY810" s="1433"/>
      <c r="BZ810" s="1433"/>
      <c r="CA810" s="1433"/>
      <c r="CB810" s="1433"/>
      <c r="CC810" s="1433"/>
      <c r="CD810" s="585"/>
      <c r="CE810" s="585"/>
      <c r="CF810" s="586"/>
    </row>
    <row r="811" spans="1:84" s="583" customFormat="1" ht="23.1" customHeight="1" thickBot="1">
      <c r="A811" s="597"/>
      <c r="B811" s="598" t="s">
        <v>1113</v>
      </c>
      <c r="C811" s="598"/>
      <c r="D811" s="598"/>
      <c r="E811" s="598"/>
      <c r="F811" s="598"/>
      <c r="G811" s="598"/>
      <c r="H811" s="598"/>
      <c r="I811" s="598"/>
      <c r="J811" s="598"/>
      <c r="K811" s="598"/>
      <c r="L811" s="598"/>
      <c r="M811" s="598"/>
      <c r="N811" s="598"/>
      <c r="O811" s="598"/>
      <c r="P811" s="598"/>
      <c r="Q811" s="598"/>
      <c r="R811" s="598"/>
      <c r="S811" s="598"/>
      <c r="T811" s="598"/>
      <c r="U811" s="598"/>
      <c r="V811" s="598"/>
      <c r="W811" s="598"/>
      <c r="X811" s="598"/>
      <c r="Y811" s="598"/>
      <c r="Z811" s="598"/>
      <c r="AA811" s="598"/>
      <c r="AB811" s="598"/>
      <c r="AC811" s="598"/>
      <c r="AD811" s="598"/>
      <c r="AE811" s="598"/>
      <c r="AF811" s="598"/>
      <c r="AG811" s="598"/>
      <c r="AH811" s="598"/>
      <c r="AI811" s="598"/>
      <c r="AJ811" s="598"/>
      <c r="AK811" s="598"/>
      <c r="AL811" s="598"/>
      <c r="AM811" s="598"/>
      <c r="AN811" s="598"/>
      <c r="AO811" s="598"/>
      <c r="AP811" s="598"/>
      <c r="AQ811" s="598"/>
      <c r="AR811" s="598"/>
      <c r="AS811" s="598"/>
      <c r="AT811" s="598"/>
      <c r="AU811" s="598"/>
      <c r="AV811" s="598"/>
      <c r="AW811" s="598"/>
      <c r="AX811" s="598"/>
      <c r="AY811" s="598"/>
      <c r="AZ811" s="598"/>
      <c r="BA811" s="598"/>
      <c r="BB811" s="598"/>
      <c r="BC811" s="598"/>
      <c r="BD811" s="598"/>
      <c r="BE811" s="598"/>
      <c r="BF811" s="598"/>
      <c r="BG811" s="598"/>
      <c r="BH811" s="598"/>
      <c r="BI811" s="598"/>
      <c r="BJ811" s="598"/>
      <c r="BK811" s="598"/>
      <c r="BL811" s="598"/>
      <c r="BM811" s="598"/>
      <c r="BN811" s="598"/>
      <c r="BO811" s="598"/>
      <c r="BP811" s="598"/>
      <c r="BQ811" s="598"/>
      <c r="BR811" s="598"/>
      <c r="BS811" s="598"/>
      <c r="BT811" s="1429" t="e">
        <f>BT802+BT806+BT810</f>
        <v>#REF!</v>
      </c>
      <c r="BU811" s="1429"/>
      <c r="BV811" s="1429"/>
      <c r="BW811" s="1429"/>
      <c r="BX811" s="1429"/>
      <c r="BY811" s="1429"/>
      <c r="BZ811" s="1429"/>
      <c r="CA811" s="1429"/>
      <c r="CB811" s="1429"/>
      <c r="CC811" s="1429"/>
      <c r="CD811" s="598"/>
      <c r="CE811" s="598"/>
      <c r="CF811" s="599"/>
    </row>
    <row r="812" spans="1:84" s="583" customFormat="1" ht="9.9499999999999993" customHeight="1">
      <c r="A812" s="574"/>
      <c r="B812" s="574"/>
      <c r="C812" s="574"/>
      <c r="D812" s="574"/>
      <c r="E812" s="574"/>
      <c r="F812" s="574"/>
      <c r="G812" s="574"/>
      <c r="H812" s="574"/>
      <c r="I812" s="574"/>
      <c r="J812" s="574"/>
      <c r="K812" s="574"/>
      <c r="L812" s="574"/>
      <c r="M812" s="574"/>
      <c r="N812" s="574"/>
      <c r="O812" s="574"/>
      <c r="P812" s="574"/>
      <c r="Q812" s="574"/>
      <c r="R812" s="574"/>
      <c r="S812" s="574"/>
      <c r="T812" s="574"/>
      <c r="U812" s="574"/>
      <c r="V812" s="574"/>
      <c r="W812" s="574"/>
      <c r="X812" s="574"/>
      <c r="Y812" s="574"/>
      <c r="Z812" s="574"/>
      <c r="AA812" s="574"/>
      <c r="AB812" s="574"/>
      <c r="AC812" s="574"/>
      <c r="AD812" s="574"/>
      <c r="AE812" s="574"/>
      <c r="AF812" s="574"/>
      <c r="AG812" s="574"/>
      <c r="AH812" s="574"/>
      <c r="AI812" s="574"/>
      <c r="AJ812" s="574"/>
      <c r="AK812" s="574"/>
      <c r="AL812" s="574"/>
      <c r="AM812" s="574"/>
      <c r="AN812" s="574"/>
      <c r="AO812" s="574"/>
      <c r="AP812" s="574"/>
      <c r="AQ812" s="574"/>
      <c r="AR812" s="574"/>
      <c r="AS812" s="574"/>
      <c r="AT812" s="574"/>
      <c r="AU812" s="574"/>
      <c r="AV812" s="574"/>
      <c r="AW812" s="574"/>
      <c r="AX812" s="574"/>
      <c r="AY812" s="574"/>
      <c r="AZ812" s="574"/>
      <c r="BA812" s="574"/>
      <c r="BB812" s="574"/>
      <c r="BC812" s="574"/>
      <c r="BD812" s="574"/>
      <c r="BE812" s="574"/>
      <c r="BF812" s="574"/>
      <c r="BG812" s="574"/>
      <c r="BH812" s="574"/>
      <c r="BI812" s="574"/>
      <c r="BJ812" s="574"/>
      <c r="BK812" s="574"/>
      <c r="BL812" s="574"/>
      <c r="BM812" s="574"/>
      <c r="BN812" s="574"/>
      <c r="BO812" s="574"/>
      <c r="BP812" s="574"/>
      <c r="BQ812" s="574"/>
      <c r="BR812" s="574"/>
      <c r="BS812" s="574"/>
      <c r="BT812" s="574"/>
      <c r="BU812" s="574"/>
      <c r="BV812" s="574"/>
      <c r="BW812" s="574"/>
      <c r="BX812" s="574"/>
      <c r="BY812" s="574"/>
      <c r="BZ812" s="574"/>
      <c r="CA812" s="574"/>
      <c r="CB812" s="574"/>
      <c r="CC812" s="574"/>
      <c r="CD812" s="574"/>
      <c r="CE812" s="574"/>
      <c r="CF812" s="574"/>
    </row>
    <row r="813" spans="1:84" s="583" customFormat="1" ht="23.1" customHeight="1" thickBot="1">
      <c r="A813" s="1446" t="s">
        <v>1095</v>
      </c>
      <c r="B813" s="1446"/>
      <c r="C813" s="1446"/>
      <c r="D813" s="1446"/>
      <c r="E813" s="1446"/>
      <c r="F813" s="1446"/>
      <c r="G813" s="1447">
        <f>G798+1</f>
        <v>55</v>
      </c>
      <c r="H813" s="1447"/>
      <c r="I813" s="1447"/>
      <c r="J813" s="1448" t="s">
        <v>1096</v>
      </c>
      <c r="K813" s="1448"/>
      <c r="L813" s="574"/>
      <c r="M813" s="574"/>
      <c r="N813" s="574"/>
      <c r="O813" s="574"/>
      <c r="P813" s="574"/>
      <c r="Q813" s="574"/>
      <c r="R813" s="574"/>
      <c r="S813" s="574"/>
      <c r="T813" s="574"/>
      <c r="U813" s="574"/>
      <c r="V813" s="574"/>
      <c r="W813" s="574"/>
      <c r="X813" s="574"/>
      <c r="Y813" s="574"/>
      <c r="Z813" s="574"/>
      <c r="AA813" s="574"/>
      <c r="AB813" s="574"/>
      <c r="AC813" s="574"/>
      <c r="AD813" s="574"/>
      <c r="AE813" s="574"/>
      <c r="AF813" s="574"/>
      <c r="AG813" s="574"/>
      <c r="AH813" s="574"/>
      <c r="AI813" s="574"/>
      <c r="AJ813" s="574"/>
      <c r="AK813" s="574"/>
      <c r="AL813" s="574"/>
      <c r="AM813" s="574"/>
      <c r="AN813" s="574"/>
      <c r="AO813" s="574"/>
      <c r="AP813" s="574"/>
      <c r="AQ813" s="574"/>
      <c r="AR813" s="574"/>
      <c r="AS813" s="574"/>
      <c r="AT813" s="574"/>
      <c r="AU813" s="574"/>
      <c r="AV813" s="574"/>
      <c r="AW813" s="574"/>
      <c r="AX813" s="574"/>
      <c r="AY813" s="574"/>
      <c r="AZ813" s="574"/>
      <c r="BA813" s="574"/>
      <c r="BB813" s="574"/>
      <c r="BC813" s="574"/>
      <c r="BD813" s="574"/>
      <c r="BE813" s="574"/>
      <c r="BF813" s="574"/>
      <c r="BG813" s="574"/>
      <c r="BH813" s="574"/>
      <c r="BI813" s="574"/>
      <c r="BJ813" s="574"/>
      <c r="BK813" s="574"/>
      <c r="BL813" s="574"/>
      <c r="BM813" s="574"/>
      <c r="BN813" s="574"/>
      <c r="BO813" s="574"/>
      <c r="BP813" s="574"/>
      <c r="BQ813" s="574"/>
      <c r="BR813" s="574"/>
      <c r="BS813" s="574"/>
      <c r="BT813" s="574"/>
      <c r="BU813" s="574"/>
      <c r="BV813" s="574"/>
      <c r="BW813" s="574"/>
      <c r="BX813" s="574"/>
      <c r="BY813" s="574"/>
      <c r="BZ813" s="574"/>
      <c r="CA813" s="574"/>
      <c r="CB813" s="574"/>
      <c r="CC813" s="574"/>
      <c r="CD813" s="574"/>
      <c r="CE813" s="574"/>
      <c r="CF813" s="574"/>
    </row>
    <row r="814" spans="1:84" s="583" customFormat="1" ht="23.1" customHeight="1" thickBot="1">
      <c r="A814" s="1483" t="s">
        <v>1097</v>
      </c>
      <c r="B814" s="1484"/>
      <c r="C814" s="1484"/>
      <c r="D814" s="1484"/>
      <c r="E814" s="1484"/>
      <c r="F814" s="1484"/>
      <c r="G814" s="1484"/>
      <c r="H814" s="1484"/>
      <c r="I814" s="581" t="s">
        <v>1183</v>
      </c>
      <c r="J814" s="581"/>
      <c r="K814" s="581"/>
      <c r="L814" s="581"/>
      <c r="M814" s="581"/>
      <c r="N814" s="581"/>
      <c r="O814" s="581"/>
      <c r="P814" s="581"/>
      <c r="Q814" s="581"/>
      <c r="R814" s="581"/>
      <c r="S814" s="581"/>
      <c r="T814" s="581"/>
      <c r="U814" s="581"/>
      <c r="V814" s="581"/>
      <c r="W814" s="581"/>
      <c r="X814" s="581"/>
      <c r="Y814" s="581"/>
      <c r="Z814" s="581"/>
      <c r="AA814" s="581"/>
      <c r="AB814" s="581"/>
      <c r="AC814" s="581"/>
      <c r="AD814" s="581"/>
      <c r="AE814" s="581"/>
      <c r="AF814" s="581"/>
      <c r="AG814" s="581"/>
      <c r="AH814" s="581"/>
      <c r="AI814" s="581"/>
      <c r="AJ814" s="1484" t="s">
        <v>1099</v>
      </c>
      <c r="AK814" s="1484"/>
      <c r="AL814" s="1484"/>
      <c r="AM814" s="1484"/>
      <c r="AN814" s="1484"/>
      <c r="AO814" s="1484"/>
      <c r="AP814" s="1484"/>
      <c r="AQ814" s="581" t="s">
        <v>1185</v>
      </c>
      <c r="AR814" s="581"/>
      <c r="AS814" s="581"/>
      <c r="AT814" s="581"/>
      <c r="AU814" s="581"/>
      <c r="AV814" s="581"/>
      <c r="AW814" s="581"/>
      <c r="AX814" s="581"/>
      <c r="AY814" s="581"/>
      <c r="AZ814" s="581"/>
      <c r="BA814" s="581"/>
      <c r="BB814" s="581"/>
      <c r="BC814" s="581"/>
      <c r="BD814" s="581"/>
      <c r="BE814" s="581"/>
      <c r="BF814" s="581"/>
      <c r="BG814" s="581"/>
      <c r="BH814" s="581"/>
      <c r="BI814" s="581"/>
      <c r="BJ814" s="581"/>
      <c r="BK814" s="581"/>
      <c r="BL814" s="581"/>
      <c r="BM814" s="581"/>
      <c r="BN814" s="581"/>
      <c r="BO814" s="581"/>
      <c r="BP814" s="581"/>
      <c r="BQ814" s="581"/>
      <c r="BR814" s="581"/>
      <c r="BS814" s="581"/>
      <c r="BT814" s="581" t="s">
        <v>1186</v>
      </c>
      <c r="BU814" s="581"/>
      <c r="BV814" s="581"/>
      <c r="BW814" s="581"/>
      <c r="BX814" s="581"/>
      <c r="BY814" s="581"/>
      <c r="BZ814" s="581"/>
      <c r="CA814" s="581"/>
      <c r="CB814" s="581"/>
      <c r="CC814" s="581"/>
      <c r="CD814" s="581"/>
      <c r="CE814" s="581"/>
      <c r="CF814" s="582"/>
    </row>
    <row r="815" spans="1:84" s="583" customFormat="1" ht="23.1" customHeight="1">
      <c r="A815" s="584"/>
      <c r="B815" s="585" t="s">
        <v>1102</v>
      </c>
      <c r="C815" s="585"/>
      <c r="D815" s="585"/>
      <c r="E815" s="585"/>
      <c r="F815" s="585"/>
      <c r="G815" s="585"/>
      <c r="H815" s="585"/>
      <c r="I815" s="585"/>
      <c r="J815" s="585"/>
      <c r="K815" s="585"/>
      <c r="L815" s="585"/>
      <c r="M815" s="585"/>
      <c r="N815" s="585"/>
      <c r="O815" s="585"/>
      <c r="P815" s="585"/>
      <c r="Q815" s="585"/>
      <c r="R815" s="585"/>
      <c r="S815" s="585"/>
      <c r="T815" s="585"/>
      <c r="U815" s="585"/>
      <c r="V815" s="585"/>
      <c r="W815" s="585"/>
      <c r="X815" s="585"/>
      <c r="Y815" s="585"/>
      <c r="Z815" s="585"/>
      <c r="AA815" s="585"/>
      <c r="AB815" s="585"/>
      <c r="AC815" s="585"/>
      <c r="AD815" s="585"/>
      <c r="AE815" s="585"/>
      <c r="AF815" s="585"/>
      <c r="AG815" s="585"/>
      <c r="AH815" s="585"/>
      <c r="AI815" s="585"/>
      <c r="AJ815" s="585"/>
      <c r="AK815" s="585"/>
      <c r="AL815" s="585"/>
      <c r="AM815" s="585"/>
      <c r="AN815" s="585"/>
      <c r="AO815" s="585"/>
      <c r="AP815" s="585"/>
      <c r="AQ815" s="585"/>
      <c r="AR815" s="585"/>
      <c r="AS815" s="585"/>
      <c r="AT815" s="585"/>
      <c r="AU815" s="585"/>
      <c r="AV815" s="585"/>
      <c r="AW815" s="585"/>
      <c r="AX815" s="585"/>
      <c r="AY815" s="585"/>
      <c r="AZ815" s="585"/>
      <c r="BA815" s="585"/>
      <c r="BB815" s="585"/>
      <c r="BC815" s="585"/>
      <c r="BD815" s="585"/>
      <c r="BE815" s="585"/>
      <c r="BF815" s="585"/>
      <c r="BG815" s="585"/>
      <c r="BH815" s="585"/>
      <c r="BI815" s="585"/>
      <c r="BJ815" s="585"/>
      <c r="BK815" s="585"/>
      <c r="BL815" s="585"/>
      <c r="BM815" s="585"/>
      <c r="BN815" s="585"/>
      <c r="BO815" s="585"/>
      <c r="BP815" s="585"/>
      <c r="BQ815" s="585"/>
      <c r="BR815" s="585"/>
      <c r="BS815" s="585"/>
      <c r="BT815" s="585"/>
      <c r="BU815" s="585"/>
      <c r="BV815" s="585"/>
      <c r="BW815" s="585"/>
      <c r="BX815" s="585"/>
      <c r="BY815" s="585"/>
      <c r="BZ815" s="585"/>
      <c r="CA815" s="585"/>
      <c r="CB815" s="585"/>
      <c r="CC815" s="585"/>
      <c r="CD815" s="585"/>
      <c r="CE815" s="585"/>
      <c r="CF815" s="586"/>
    </row>
    <row r="816" spans="1:84" s="583" customFormat="1" ht="23.1" customHeight="1">
      <c r="A816" s="587"/>
      <c r="B816" s="574"/>
      <c r="C816" s="574"/>
      <c r="D816" s="405"/>
      <c r="E816" s="574"/>
      <c r="F816" s="422"/>
      <c r="G816" s="422"/>
      <c r="H816" s="422"/>
      <c r="I816" s="422"/>
      <c r="J816" s="422"/>
      <c r="K816" s="422"/>
      <c r="L816" s="422"/>
      <c r="M816" s="422"/>
      <c r="N816" s="574"/>
      <c r="O816" s="574"/>
      <c r="P816" s="574"/>
      <c r="Q816" s="574"/>
      <c r="R816" s="574"/>
      <c r="S816" s="1430"/>
      <c r="T816" s="1430"/>
      <c r="U816" s="1430"/>
      <c r="V816" s="1430"/>
      <c r="W816" s="1430"/>
      <c r="X816" s="1430"/>
      <c r="Y816" s="1430"/>
      <c r="Z816" s="1430"/>
      <c r="AA816" s="574"/>
      <c r="AB816" s="588"/>
      <c r="AC816" s="1431"/>
      <c r="AD816" s="1431"/>
      <c r="AE816" s="1498"/>
      <c r="AF816" s="1498"/>
      <c r="AG816" s="1498"/>
      <c r="AH816" s="1498"/>
      <c r="AI816" s="1498"/>
      <c r="AJ816" s="1498"/>
      <c r="AK816" s="1498"/>
      <c r="AL816" s="1498"/>
      <c r="AM816" s="1431"/>
      <c r="AN816" s="1431"/>
      <c r="AO816" s="574"/>
      <c r="AP816" s="1486"/>
      <c r="AQ816" s="1486"/>
      <c r="AR816" s="1486"/>
      <c r="AS816" s="1486"/>
      <c r="AT816" s="1486"/>
      <c r="AU816" s="1486"/>
      <c r="AV816" s="1486"/>
      <c r="AW816" s="1486"/>
      <c r="AX816" s="1486"/>
      <c r="AY816" s="1486"/>
      <c r="AZ816" s="1486"/>
      <c r="BA816" s="1486"/>
      <c r="BB816" s="1486"/>
      <c r="BC816" s="1486"/>
      <c r="BD816" s="574"/>
      <c r="BE816" s="574"/>
      <c r="BF816" s="574"/>
      <c r="BG816" s="574"/>
      <c r="BH816" s="574"/>
      <c r="BI816" s="574"/>
      <c r="BJ816" s="574"/>
      <c r="BK816" s="574"/>
      <c r="BL816" s="574"/>
      <c r="BM816" s="574"/>
      <c r="BN816" s="574"/>
      <c r="BO816" s="574"/>
      <c r="BP816" s="574"/>
      <c r="BQ816" s="574"/>
      <c r="BR816" s="574"/>
      <c r="BS816" s="574"/>
      <c r="BT816" s="574"/>
      <c r="BU816" s="574"/>
      <c r="BV816" s="574"/>
      <c r="BW816" s="574"/>
      <c r="BX816" s="574"/>
      <c r="BY816" s="574"/>
      <c r="BZ816" s="574"/>
      <c r="CA816" s="574"/>
      <c r="CB816" s="574"/>
      <c r="CC816" s="574"/>
      <c r="CD816" s="574"/>
      <c r="CE816" s="574"/>
      <c r="CF816" s="589"/>
    </row>
    <row r="817" spans="1:84" s="583" customFormat="1" ht="23.1" customHeight="1">
      <c r="A817" s="584"/>
      <c r="B817" s="585"/>
      <c r="C817" s="585"/>
      <c r="D817" s="585"/>
      <c r="E817" s="585"/>
      <c r="F817" s="585"/>
      <c r="G817" s="585"/>
      <c r="H817" s="585"/>
      <c r="I817" s="585"/>
      <c r="J817" s="585"/>
      <c r="K817" s="585"/>
      <c r="L817" s="585"/>
      <c r="M817" s="585"/>
      <c r="N817" s="585"/>
      <c r="O817" s="585"/>
      <c r="P817" s="585"/>
      <c r="Q817" s="585"/>
      <c r="R817" s="585"/>
      <c r="S817" s="585"/>
      <c r="T817" s="585"/>
      <c r="U817" s="585"/>
      <c r="V817" s="590"/>
      <c r="W817" s="590"/>
      <c r="X817" s="590"/>
      <c r="Y817" s="590"/>
      <c r="Z817" s="590"/>
      <c r="AA817" s="590"/>
      <c r="AB817" s="590"/>
      <c r="AC817" s="590"/>
      <c r="AD817" s="574"/>
      <c r="AE817" s="1440">
        <v>94381000</v>
      </c>
      <c r="AF817" s="1440"/>
      <c r="AG817" s="1440"/>
      <c r="AH817" s="1440"/>
      <c r="AI817" s="1440"/>
      <c r="AJ817" s="1440"/>
      <c r="AK817" s="1440"/>
      <c r="AL817" s="1440"/>
      <c r="AM817" s="1440"/>
      <c r="AN817" s="1440"/>
      <c r="AO817" s="1440"/>
      <c r="AP817" s="1440"/>
      <c r="AQ817" s="1440"/>
      <c r="AR817" s="1440"/>
      <c r="AS817" s="1440"/>
      <c r="AT817" s="1431" t="s">
        <v>446</v>
      </c>
      <c r="AU817" s="1431"/>
      <c r="AV817" s="1441" t="s">
        <v>1103</v>
      </c>
      <c r="AW817" s="1441"/>
      <c r="AX817" s="1442">
        <v>2825</v>
      </c>
      <c r="AY817" s="1442"/>
      <c r="AZ817" s="1442"/>
      <c r="BA817" s="1442"/>
      <c r="BB817" s="1442"/>
      <c r="BC817" s="1442"/>
      <c r="BD817" s="585"/>
      <c r="BE817" s="1431" t="s">
        <v>446</v>
      </c>
      <c r="BF817" s="1431"/>
      <c r="BG817" s="585"/>
      <c r="BH817" s="591" t="s">
        <v>1104</v>
      </c>
      <c r="BI817" s="585"/>
      <c r="BJ817" s="585"/>
      <c r="BK817" s="585"/>
      <c r="BL817" s="1431" t="s">
        <v>1105</v>
      </c>
      <c r="BM817" s="1431"/>
      <c r="BN817" s="1431"/>
      <c r="BO817" s="585"/>
      <c r="BP817" s="1431" t="s">
        <v>41</v>
      </c>
      <c r="BQ817" s="1431"/>
      <c r="BR817" s="585"/>
      <c r="BS817" s="585"/>
      <c r="BT817" s="1437">
        <f>INT(AE817*AX817*10^-7)</f>
        <v>26662</v>
      </c>
      <c r="BU817" s="1437"/>
      <c r="BV817" s="1437"/>
      <c r="BW817" s="1437"/>
      <c r="BX817" s="1437"/>
      <c r="BY817" s="1437"/>
      <c r="BZ817" s="1437"/>
      <c r="CA817" s="1437"/>
      <c r="CB817" s="1437"/>
      <c r="CC817" s="1437"/>
      <c r="CD817" s="585"/>
      <c r="CE817" s="585"/>
      <c r="CF817" s="586"/>
    </row>
    <row r="818" spans="1:84" s="583" customFormat="1" ht="23.1" customHeight="1">
      <c r="A818" s="592"/>
      <c r="B818" s="593" t="s">
        <v>1106</v>
      </c>
      <c r="C818" s="593"/>
      <c r="D818" s="593"/>
      <c r="E818" s="593"/>
      <c r="F818" s="593"/>
      <c r="G818" s="593"/>
      <c r="H818" s="593"/>
      <c r="I818" s="593"/>
      <c r="J818" s="593"/>
      <c r="K818" s="593"/>
      <c r="L818" s="593"/>
      <c r="M818" s="593"/>
      <c r="N818" s="593"/>
      <c r="O818" s="593"/>
      <c r="P818" s="593"/>
      <c r="Q818" s="593"/>
      <c r="R818" s="593"/>
      <c r="S818" s="593"/>
      <c r="T818" s="593"/>
      <c r="U818" s="593"/>
      <c r="V818" s="593"/>
      <c r="W818" s="593"/>
      <c r="X818" s="593"/>
      <c r="Y818" s="593"/>
      <c r="Z818" s="593"/>
      <c r="AA818" s="593"/>
      <c r="AB818" s="593"/>
      <c r="AC818" s="593"/>
      <c r="AD818" s="593"/>
      <c r="AE818" s="593"/>
      <c r="AF818" s="593"/>
      <c r="AG818" s="593"/>
      <c r="AH818" s="593"/>
      <c r="AI818" s="593"/>
      <c r="AJ818" s="593"/>
      <c r="AK818" s="593"/>
      <c r="AL818" s="593"/>
      <c r="AM818" s="593"/>
      <c r="AN818" s="593"/>
      <c r="AO818" s="593"/>
      <c r="AP818" s="593"/>
      <c r="AQ818" s="593"/>
      <c r="AR818" s="593"/>
      <c r="AS818" s="593"/>
      <c r="AT818" s="593"/>
      <c r="AU818" s="593"/>
      <c r="AV818" s="593"/>
      <c r="AW818" s="593"/>
      <c r="AX818" s="593"/>
      <c r="AY818" s="593"/>
      <c r="AZ818" s="593"/>
      <c r="BA818" s="593"/>
      <c r="BB818" s="593"/>
      <c r="BC818" s="593"/>
      <c r="BD818" s="593"/>
      <c r="BE818" s="593"/>
      <c r="BF818" s="593"/>
      <c r="BG818" s="593"/>
      <c r="BH818" s="593"/>
      <c r="BI818" s="593"/>
      <c r="BJ818" s="593"/>
      <c r="BK818" s="593"/>
      <c r="BL818" s="593"/>
      <c r="BM818" s="593"/>
      <c r="BN818" s="593"/>
      <c r="BO818" s="593"/>
      <c r="BP818" s="593"/>
      <c r="BQ818" s="593"/>
      <c r="BR818" s="593"/>
      <c r="BS818" s="593"/>
      <c r="BT818" s="594"/>
      <c r="BU818" s="594"/>
      <c r="BV818" s="594"/>
      <c r="BW818" s="594"/>
      <c r="BX818" s="594"/>
      <c r="BY818" s="594"/>
      <c r="BZ818" s="594"/>
      <c r="CA818" s="594"/>
      <c r="CB818" s="594"/>
      <c r="CC818" s="594"/>
      <c r="CD818" s="593"/>
      <c r="CE818" s="593"/>
      <c r="CF818" s="595"/>
    </row>
    <row r="819" spans="1:84" s="583" customFormat="1" ht="23.1" customHeight="1">
      <c r="A819" s="584"/>
      <c r="B819" s="585"/>
      <c r="C819" s="585"/>
      <c r="D819" s="596" t="s">
        <v>268</v>
      </c>
      <c r="E819" s="585"/>
      <c r="F819" s="585"/>
      <c r="G819" s="585"/>
      <c r="H819" s="585"/>
      <c r="I819" s="585"/>
      <c r="J819" s="585"/>
      <c r="K819" s="585"/>
      <c r="L819" s="585"/>
      <c r="M819" s="585"/>
      <c r="N819" s="585"/>
      <c r="O819" s="585"/>
      <c r="P819" s="585"/>
      <c r="Q819" s="585"/>
      <c r="R819" s="585"/>
      <c r="S819" s="585"/>
      <c r="T819" s="574"/>
      <c r="U819" s="574"/>
      <c r="V819" s="1435">
        <f>HLOOKUP(D819,$CJ$1:$CM$3,3,0)</f>
        <v>283297</v>
      </c>
      <c r="W819" s="1435"/>
      <c r="X819" s="1435"/>
      <c r="Y819" s="1435"/>
      <c r="Z819" s="1435"/>
      <c r="AA819" s="1435"/>
      <c r="AB819" s="1435"/>
      <c r="AC819" s="1435"/>
      <c r="AD819" s="1435"/>
      <c r="AE819" s="1435"/>
      <c r="AF819" s="1431" t="s">
        <v>446</v>
      </c>
      <c r="AG819" s="1431"/>
      <c r="AH819" s="574"/>
      <c r="AI819" s="1436" t="s">
        <v>1107</v>
      </c>
      <c r="AJ819" s="1436"/>
      <c r="AK819" s="1436"/>
      <c r="AL819" s="1436"/>
      <c r="AM819" s="585"/>
      <c r="AN819" s="1431" t="s">
        <v>446</v>
      </c>
      <c r="AO819" s="1431"/>
      <c r="AP819" s="585"/>
      <c r="AQ819" s="1436" t="s">
        <v>1108</v>
      </c>
      <c r="AR819" s="1436"/>
      <c r="AS819" s="1436"/>
      <c r="AT819" s="1436"/>
      <c r="AU819" s="1436"/>
      <c r="AV819" s="422"/>
      <c r="AW819" s="1431" t="s">
        <v>446</v>
      </c>
      <c r="AX819" s="1431"/>
      <c r="AY819" s="440"/>
      <c r="AZ819" s="1436" t="s">
        <v>1109</v>
      </c>
      <c r="BA819" s="1436"/>
      <c r="BB819" s="1436"/>
      <c r="BC819" s="1436"/>
      <c r="BD819" s="1436"/>
      <c r="BE819" s="585"/>
      <c r="BF819" s="1431" t="s">
        <v>446</v>
      </c>
      <c r="BG819" s="1431"/>
      <c r="BH819" s="1431">
        <v>1</v>
      </c>
      <c r="BI819" s="1431"/>
      <c r="BJ819" s="1431"/>
      <c r="BK819" s="585"/>
      <c r="BL819" s="585" t="s">
        <v>366</v>
      </c>
      <c r="BM819" s="585"/>
      <c r="BN819" s="585"/>
      <c r="BO819" s="585"/>
      <c r="BP819" s="1431" t="s">
        <v>41</v>
      </c>
      <c r="BQ819" s="1431"/>
      <c r="BR819" s="585"/>
      <c r="BS819" s="585"/>
      <c r="BT819" s="1432">
        <f>INT(V819/8*16/12*25/20*BH819)</f>
        <v>59020</v>
      </c>
      <c r="BU819" s="1432"/>
      <c r="BV819" s="1432"/>
      <c r="BW819" s="1432"/>
      <c r="BX819" s="1432"/>
      <c r="BY819" s="1432"/>
      <c r="BZ819" s="1432"/>
      <c r="CA819" s="1432"/>
      <c r="CB819" s="1432"/>
      <c r="CC819" s="1432"/>
      <c r="CD819" s="585"/>
      <c r="CE819" s="585"/>
      <c r="CF819" s="586"/>
    </row>
    <row r="820" spans="1:84" s="583" customFormat="1" ht="23.1" customHeight="1">
      <c r="A820" s="584"/>
      <c r="B820" s="585"/>
      <c r="C820" s="585"/>
      <c r="D820" s="585"/>
      <c r="E820" s="585"/>
      <c r="F820" s="585"/>
      <c r="G820" s="585"/>
      <c r="H820" s="585"/>
      <c r="I820" s="585"/>
      <c r="J820" s="585"/>
      <c r="K820" s="585"/>
      <c r="L820" s="585"/>
      <c r="M820" s="585"/>
      <c r="N820" s="585"/>
      <c r="O820" s="585"/>
      <c r="P820" s="574"/>
      <c r="Q820" s="574"/>
      <c r="R820" s="574"/>
      <c r="S820" s="574"/>
      <c r="T820" s="574"/>
      <c r="U820" s="574"/>
      <c r="V820" s="574"/>
      <c r="W820" s="574"/>
      <c r="X820" s="574"/>
      <c r="Y820" s="574"/>
      <c r="Z820" s="574"/>
      <c r="AA820" s="574"/>
      <c r="AB820" s="574"/>
      <c r="AC820" s="574"/>
      <c r="AD820" s="574"/>
      <c r="AE820" s="574"/>
      <c r="AF820" s="574"/>
      <c r="AG820" s="574"/>
      <c r="AH820" s="574"/>
      <c r="AI820" s="574"/>
      <c r="AJ820" s="574"/>
      <c r="AK820" s="574"/>
      <c r="AL820" s="574"/>
      <c r="AM820" s="574"/>
      <c r="AN820" s="574"/>
      <c r="AO820" s="574"/>
      <c r="AP820" s="574"/>
      <c r="AQ820" s="574"/>
      <c r="AR820" s="574"/>
      <c r="AS820" s="574"/>
      <c r="AT820" s="574"/>
      <c r="AU820" s="574"/>
      <c r="AV820" s="574"/>
      <c r="AW820" s="574"/>
      <c r="AX820" s="574"/>
      <c r="AY820" s="574"/>
      <c r="AZ820" s="574"/>
      <c r="BA820" s="574"/>
      <c r="BB820" s="574"/>
      <c r="BC820" s="574"/>
      <c r="BD820" s="574"/>
      <c r="BE820" s="574"/>
      <c r="BF820" s="574"/>
      <c r="BG820" s="585"/>
      <c r="BH820" s="585"/>
      <c r="BI820" s="585"/>
      <c r="BJ820" s="585"/>
      <c r="BK820" s="585"/>
      <c r="BL820" s="585"/>
      <c r="BM820" s="585"/>
      <c r="BN820" s="585"/>
      <c r="BO820" s="585"/>
      <c r="BP820" s="1431"/>
      <c r="BQ820" s="1431"/>
      <c r="BR820" s="585"/>
      <c r="BS820" s="585"/>
      <c r="BT820" s="1432"/>
      <c r="BU820" s="1432"/>
      <c r="BV820" s="1432"/>
      <c r="BW820" s="1432"/>
      <c r="BX820" s="1432"/>
      <c r="BY820" s="1432"/>
      <c r="BZ820" s="1432"/>
      <c r="CA820" s="1432"/>
      <c r="CB820" s="1432"/>
      <c r="CC820" s="1432"/>
      <c r="CD820" s="585"/>
      <c r="CE820" s="585"/>
      <c r="CF820" s="586"/>
    </row>
    <row r="821" spans="1:84" s="583" customFormat="1" ht="23.1" customHeight="1">
      <c r="A821" s="584"/>
      <c r="B821" s="585"/>
      <c r="C821" s="585"/>
      <c r="D821" s="585"/>
      <c r="E821" s="585"/>
      <c r="F821" s="585"/>
      <c r="G821" s="585"/>
      <c r="H821" s="585"/>
      <c r="I821" s="585"/>
      <c r="J821" s="585"/>
      <c r="K821" s="585"/>
      <c r="L821" s="585"/>
      <c r="M821" s="585"/>
      <c r="N821" s="585"/>
      <c r="O821" s="585"/>
      <c r="P821" s="585"/>
      <c r="Q821" s="585"/>
      <c r="R821" s="585"/>
      <c r="S821" s="585"/>
      <c r="T821" s="585"/>
      <c r="U821" s="585"/>
      <c r="V821" s="585"/>
      <c r="W821" s="585"/>
      <c r="X821" s="585"/>
      <c r="Y821" s="585"/>
      <c r="Z821" s="585"/>
      <c r="AA821" s="585"/>
      <c r="AB821" s="585"/>
      <c r="AC821" s="585"/>
      <c r="AD821" s="574"/>
      <c r="AE821" s="574"/>
      <c r="AF821" s="574"/>
      <c r="AG821" s="574"/>
      <c r="AH821" s="574"/>
      <c r="AI821" s="574"/>
      <c r="AJ821" s="574"/>
      <c r="AK821" s="574"/>
      <c r="AL821" s="574"/>
      <c r="AM821" s="574"/>
      <c r="AN821" s="574"/>
      <c r="AO821" s="574"/>
      <c r="AP821" s="574"/>
      <c r="AQ821" s="574"/>
      <c r="AR821" s="574"/>
      <c r="AS821" s="585"/>
      <c r="AT821" s="590"/>
      <c r="AU821" s="590"/>
      <c r="AV821" s="585"/>
      <c r="AW821" s="585"/>
      <c r="AX821" s="585"/>
      <c r="AY821" s="585"/>
      <c r="AZ821" s="585"/>
      <c r="BA821" s="585"/>
      <c r="BB821" s="585"/>
      <c r="BC821" s="585"/>
      <c r="BD821" s="585"/>
      <c r="BE821" s="585"/>
      <c r="BF821" s="585"/>
      <c r="BG821" s="585"/>
      <c r="BH821" s="585"/>
      <c r="BI821" s="585"/>
      <c r="BJ821" s="585"/>
      <c r="BK821" s="585"/>
      <c r="BL821" s="585"/>
      <c r="BM821" s="585"/>
      <c r="BN821" s="585"/>
      <c r="BO821" s="585"/>
      <c r="BP821" s="1431" t="s">
        <v>41</v>
      </c>
      <c r="BQ821" s="1431"/>
      <c r="BR821" s="585"/>
      <c r="BS821" s="585"/>
      <c r="BT821" s="1434">
        <f>BT819+BT820</f>
        <v>59020</v>
      </c>
      <c r="BU821" s="1434"/>
      <c r="BV821" s="1434"/>
      <c r="BW821" s="1434"/>
      <c r="BX821" s="1434"/>
      <c r="BY821" s="1434"/>
      <c r="BZ821" s="1434"/>
      <c r="CA821" s="1434"/>
      <c r="CB821" s="1434"/>
      <c r="CC821" s="1434"/>
      <c r="CD821" s="585"/>
      <c r="CE821" s="585"/>
      <c r="CF821" s="586"/>
    </row>
    <row r="822" spans="1:84" s="583" customFormat="1" ht="23.1" customHeight="1">
      <c r="A822" s="592"/>
      <c r="B822" s="593" t="s">
        <v>1110</v>
      </c>
      <c r="C822" s="593"/>
      <c r="D822" s="593"/>
      <c r="E822" s="593"/>
      <c r="F822" s="593"/>
      <c r="G822" s="593"/>
      <c r="H822" s="593"/>
      <c r="I822" s="593"/>
      <c r="J822" s="593"/>
      <c r="K822" s="593"/>
      <c r="L822" s="593"/>
      <c r="M822" s="593"/>
      <c r="N822" s="593"/>
      <c r="O822" s="593"/>
      <c r="P822" s="593"/>
      <c r="Q822" s="593"/>
      <c r="R822" s="593"/>
      <c r="S822" s="593"/>
      <c r="T822" s="593"/>
      <c r="U822" s="593"/>
      <c r="V822" s="593"/>
      <c r="W822" s="593"/>
      <c r="X822" s="593"/>
      <c r="Y822" s="593"/>
      <c r="Z822" s="593"/>
      <c r="AA822" s="593"/>
      <c r="AB822" s="593"/>
      <c r="AC822" s="593"/>
      <c r="AD822" s="593"/>
      <c r="AE822" s="593"/>
      <c r="AF822" s="593"/>
      <c r="AG822" s="593"/>
      <c r="AH822" s="593"/>
      <c r="AI822" s="593"/>
      <c r="AJ822" s="593"/>
      <c r="AK822" s="593"/>
      <c r="AL822" s="593"/>
      <c r="AM822" s="593"/>
      <c r="AN822" s="593"/>
      <c r="AO822" s="593"/>
      <c r="AP822" s="593"/>
      <c r="AQ822" s="593"/>
      <c r="AR822" s="593"/>
      <c r="AS822" s="593"/>
      <c r="AT822" s="593"/>
      <c r="AU822" s="593"/>
      <c r="AV822" s="593"/>
      <c r="AW822" s="593"/>
      <c r="AX822" s="593"/>
      <c r="AY822" s="593"/>
      <c r="AZ822" s="593"/>
      <c r="BA822" s="593"/>
      <c r="BB822" s="593"/>
      <c r="BC822" s="593"/>
      <c r="BD822" s="593"/>
      <c r="BE822" s="593"/>
      <c r="BF822" s="593"/>
      <c r="BG822" s="593"/>
      <c r="BH822" s="593"/>
      <c r="BI822" s="593"/>
      <c r="BJ822" s="593"/>
      <c r="BK822" s="593"/>
      <c r="BL822" s="593"/>
      <c r="BM822" s="593"/>
      <c r="BN822" s="593"/>
      <c r="BO822" s="593"/>
      <c r="BP822" s="593"/>
      <c r="BQ822" s="593"/>
      <c r="BR822" s="593"/>
      <c r="BS822" s="593"/>
      <c r="BT822" s="593"/>
      <c r="BU822" s="593"/>
      <c r="BV822" s="593"/>
      <c r="BW822" s="593"/>
      <c r="BX822" s="593"/>
      <c r="BY822" s="593"/>
      <c r="BZ822" s="593"/>
      <c r="CA822" s="593"/>
      <c r="CB822" s="593"/>
      <c r="CC822" s="593"/>
      <c r="CD822" s="593"/>
      <c r="CE822" s="593"/>
      <c r="CF822" s="595"/>
    </row>
    <row r="823" spans="1:84" s="583" customFormat="1" ht="23.1" customHeight="1">
      <c r="A823" s="584"/>
      <c r="B823" s="585"/>
      <c r="C823" s="585"/>
      <c r="D823" s="596" t="s">
        <v>1094</v>
      </c>
      <c r="E823" s="585"/>
      <c r="F823" s="585"/>
      <c r="G823" s="585"/>
      <c r="H823" s="585"/>
      <c r="I823" s="585"/>
      <c r="J823" s="585"/>
      <c r="K823" s="585"/>
      <c r="L823" s="585"/>
      <c r="M823" s="585"/>
      <c r="N823" s="585"/>
      <c r="O823" s="585"/>
      <c r="P823" s="585"/>
      <c r="Q823" s="585"/>
      <c r="R823" s="585"/>
      <c r="S823" s="585"/>
      <c r="T823" s="585"/>
      <c r="U823" s="585"/>
      <c r="V823" s="585"/>
      <c r="W823" s="585"/>
      <c r="X823" s="585"/>
      <c r="Y823" s="585"/>
      <c r="Z823" s="585"/>
      <c r="AA823" s="585"/>
      <c r="AB823" s="585"/>
      <c r="AC823" s="585"/>
      <c r="AD823" s="585"/>
      <c r="AE823" s="585"/>
      <c r="AF823" s="585"/>
      <c r="AG823" s="585"/>
      <c r="AH823" s="585"/>
      <c r="AI823" s="585"/>
      <c r="AJ823" s="585"/>
      <c r="AK823" s="585"/>
      <c r="AL823" s="585"/>
      <c r="AM823" s="585"/>
      <c r="AN823" s="585"/>
      <c r="AO823" s="585"/>
      <c r="AP823" s="585"/>
      <c r="AQ823" s="585"/>
      <c r="AR823" s="422"/>
      <c r="AS823" s="1435" t="e">
        <f>HLOOKUP(D823,$CN$1:$CO$3,3,0)</f>
        <v>#REF!</v>
      </c>
      <c r="AT823" s="1435"/>
      <c r="AU823" s="1435"/>
      <c r="AV823" s="1435"/>
      <c r="AW823" s="1435"/>
      <c r="AX823" s="1435"/>
      <c r="AY823" s="1435"/>
      <c r="AZ823" s="1435"/>
      <c r="BA823" s="1435"/>
      <c r="BB823" s="1435"/>
      <c r="BC823" s="585"/>
      <c r="BD823" s="1431" t="s">
        <v>446</v>
      </c>
      <c r="BE823" s="1431"/>
      <c r="BF823" s="585"/>
      <c r="BG823" s="1431">
        <v>14.4</v>
      </c>
      <c r="BH823" s="1431"/>
      <c r="BI823" s="1431"/>
      <c r="BJ823" s="1431"/>
      <c r="BK823" s="1431"/>
      <c r="BL823" s="585" t="s">
        <v>1111</v>
      </c>
      <c r="BM823" s="585"/>
      <c r="BN823" s="585"/>
      <c r="BO823" s="585"/>
      <c r="BP823" s="1431" t="s">
        <v>41</v>
      </c>
      <c r="BQ823" s="1431"/>
      <c r="BR823" s="585"/>
      <c r="BS823" s="585"/>
      <c r="BT823" s="1432" t="e">
        <f>INT(AS823*BG823)</f>
        <v>#REF!</v>
      </c>
      <c r="BU823" s="1432"/>
      <c r="BV823" s="1432"/>
      <c r="BW823" s="1432"/>
      <c r="BX823" s="1432"/>
      <c r="BY823" s="1432"/>
      <c r="BZ823" s="1432"/>
      <c r="CA823" s="1432"/>
      <c r="CB823" s="1432"/>
      <c r="CC823" s="1432"/>
      <c r="CD823" s="585"/>
      <c r="CE823" s="585"/>
      <c r="CF823" s="586"/>
    </row>
    <row r="824" spans="1:84" s="583" customFormat="1" ht="23.1" customHeight="1">
      <c r="A824" s="584"/>
      <c r="B824" s="585"/>
      <c r="C824" s="585"/>
      <c r="D824" s="591" t="str">
        <f>"잡재료 (주연료의 "&amp;BG824&amp;"%) :"</f>
        <v>잡재료 (주연료의 30%) :</v>
      </c>
      <c r="E824" s="585"/>
      <c r="F824" s="585"/>
      <c r="G824" s="585"/>
      <c r="H824" s="585"/>
      <c r="I824" s="585"/>
      <c r="J824" s="585"/>
      <c r="K824" s="585"/>
      <c r="L824" s="585"/>
      <c r="M824" s="585"/>
      <c r="N824" s="585"/>
      <c r="O824" s="585"/>
      <c r="P824" s="585"/>
      <c r="Q824" s="585"/>
      <c r="R824" s="585"/>
      <c r="S824" s="585"/>
      <c r="T824" s="585"/>
      <c r="U824" s="585"/>
      <c r="V824" s="585"/>
      <c r="W824" s="585"/>
      <c r="X824" s="585"/>
      <c r="Y824" s="585"/>
      <c r="Z824" s="585"/>
      <c r="AA824" s="585"/>
      <c r="AB824" s="585"/>
      <c r="AC824" s="585"/>
      <c r="AD824" s="585"/>
      <c r="AE824" s="585"/>
      <c r="AF824" s="585"/>
      <c r="AG824" s="585"/>
      <c r="AH824" s="585"/>
      <c r="AI824" s="585"/>
      <c r="AJ824" s="585"/>
      <c r="AK824" s="585"/>
      <c r="AL824" s="585"/>
      <c r="AM824" s="585"/>
      <c r="AN824" s="585"/>
      <c r="AO824" s="585"/>
      <c r="AP824" s="585"/>
      <c r="AQ824" s="585"/>
      <c r="AR824" s="422" t="e">
        <f>BT823</f>
        <v>#REF!</v>
      </c>
      <c r="AS824" s="1430" t="e">
        <f>BT823</f>
        <v>#REF!</v>
      </c>
      <c r="AT824" s="1430"/>
      <c r="AU824" s="1430"/>
      <c r="AV824" s="1430"/>
      <c r="AW824" s="1430"/>
      <c r="AX824" s="1430"/>
      <c r="AY824" s="1430"/>
      <c r="AZ824" s="1430"/>
      <c r="BA824" s="1430"/>
      <c r="BB824" s="1430"/>
      <c r="BC824" s="585"/>
      <c r="BD824" s="1431" t="s">
        <v>446</v>
      </c>
      <c r="BE824" s="1431"/>
      <c r="BF824" s="585"/>
      <c r="BG824" s="1431">
        <v>30</v>
      </c>
      <c r="BH824" s="1431"/>
      <c r="BI824" s="1431"/>
      <c r="BJ824" s="1431"/>
      <c r="BK824" s="1431"/>
      <c r="BL824" s="585" t="s">
        <v>1112</v>
      </c>
      <c r="BM824" s="585"/>
      <c r="BN824" s="585"/>
      <c r="BO824" s="585"/>
      <c r="BP824" s="1431" t="s">
        <v>41</v>
      </c>
      <c r="BQ824" s="1431"/>
      <c r="BR824" s="585"/>
      <c r="BS824" s="585"/>
      <c r="BT824" s="1432" t="e">
        <f>INT(AS824*BG824/100)</f>
        <v>#REF!</v>
      </c>
      <c r="BU824" s="1432"/>
      <c r="BV824" s="1432"/>
      <c r="BW824" s="1432"/>
      <c r="BX824" s="1432"/>
      <c r="BY824" s="1432"/>
      <c r="BZ824" s="1432"/>
      <c r="CA824" s="1432"/>
      <c r="CB824" s="1432"/>
      <c r="CC824" s="1432"/>
      <c r="CD824" s="585"/>
      <c r="CE824" s="585"/>
      <c r="CF824" s="586"/>
    </row>
    <row r="825" spans="1:84" s="583" customFormat="1" ht="23.1" customHeight="1" thickBot="1">
      <c r="A825" s="584"/>
      <c r="B825" s="585"/>
      <c r="C825" s="585"/>
      <c r="D825" s="585"/>
      <c r="E825" s="585"/>
      <c r="F825" s="585"/>
      <c r="G825" s="585"/>
      <c r="H825" s="585"/>
      <c r="I825" s="585"/>
      <c r="J825" s="585"/>
      <c r="K825" s="585"/>
      <c r="L825" s="585"/>
      <c r="M825" s="585"/>
      <c r="N825" s="585"/>
      <c r="O825" s="585"/>
      <c r="P825" s="585"/>
      <c r="Q825" s="585"/>
      <c r="R825" s="585"/>
      <c r="S825" s="585"/>
      <c r="T825" s="585"/>
      <c r="U825" s="585"/>
      <c r="V825" s="585"/>
      <c r="W825" s="585"/>
      <c r="X825" s="585"/>
      <c r="Y825" s="585"/>
      <c r="Z825" s="585"/>
      <c r="AA825" s="585"/>
      <c r="AB825" s="585"/>
      <c r="AC825" s="585"/>
      <c r="AD825" s="585"/>
      <c r="AE825" s="585"/>
      <c r="AF825" s="585"/>
      <c r="AG825" s="585"/>
      <c r="AH825" s="585"/>
      <c r="AI825" s="585"/>
      <c r="AJ825" s="585"/>
      <c r="AK825" s="585"/>
      <c r="AL825" s="585"/>
      <c r="AM825" s="585"/>
      <c r="AN825" s="585"/>
      <c r="AO825" s="585"/>
      <c r="AP825" s="585"/>
      <c r="AQ825" s="585"/>
      <c r="AR825" s="585"/>
      <c r="AS825" s="585"/>
      <c r="AT825" s="585"/>
      <c r="AU825" s="585"/>
      <c r="AV825" s="585"/>
      <c r="AW825" s="585"/>
      <c r="AX825" s="585"/>
      <c r="AY825" s="585"/>
      <c r="AZ825" s="585"/>
      <c r="BA825" s="585"/>
      <c r="BB825" s="585"/>
      <c r="BC825" s="585"/>
      <c r="BD825" s="585"/>
      <c r="BE825" s="585"/>
      <c r="BF825" s="585"/>
      <c r="BG825" s="585"/>
      <c r="BH825" s="585"/>
      <c r="BI825" s="585"/>
      <c r="BJ825" s="585"/>
      <c r="BK825" s="585"/>
      <c r="BL825" s="585"/>
      <c r="BM825" s="585"/>
      <c r="BN825" s="585"/>
      <c r="BO825" s="585"/>
      <c r="BP825" s="1431" t="s">
        <v>41</v>
      </c>
      <c r="BQ825" s="1431"/>
      <c r="BR825" s="585"/>
      <c r="BS825" s="585"/>
      <c r="BT825" s="1433" t="e">
        <f>BT823+BT824</f>
        <v>#REF!</v>
      </c>
      <c r="BU825" s="1433"/>
      <c r="BV825" s="1433"/>
      <c r="BW825" s="1433"/>
      <c r="BX825" s="1433"/>
      <c r="BY825" s="1433"/>
      <c r="BZ825" s="1433"/>
      <c r="CA825" s="1433"/>
      <c r="CB825" s="1433"/>
      <c r="CC825" s="1433"/>
      <c r="CD825" s="585"/>
      <c r="CE825" s="585"/>
      <c r="CF825" s="586"/>
    </row>
    <row r="826" spans="1:84" s="583" customFormat="1" ht="23.1" customHeight="1" thickBot="1">
      <c r="A826" s="597"/>
      <c r="B826" s="598" t="s">
        <v>1113</v>
      </c>
      <c r="C826" s="598"/>
      <c r="D826" s="598"/>
      <c r="E826" s="598"/>
      <c r="F826" s="598"/>
      <c r="G826" s="598"/>
      <c r="H826" s="598"/>
      <c r="I826" s="598"/>
      <c r="J826" s="598"/>
      <c r="K826" s="598"/>
      <c r="L826" s="598"/>
      <c r="M826" s="598"/>
      <c r="N826" s="598"/>
      <c r="O826" s="598"/>
      <c r="P826" s="598"/>
      <c r="Q826" s="598"/>
      <c r="R826" s="598"/>
      <c r="S826" s="598"/>
      <c r="T826" s="598"/>
      <c r="U826" s="598"/>
      <c r="V826" s="598"/>
      <c r="W826" s="598"/>
      <c r="X826" s="598"/>
      <c r="Y826" s="598"/>
      <c r="Z826" s="598"/>
      <c r="AA826" s="598"/>
      <c r="AB826" s="598"/>
      <c r="AC826" s="598"/>
      <c r="AD826" s="598"/>
      <c r="AE826" s="598"/>
      <c r="AF826" s="598"/>
      <c r="AG826" s="598"/>
      <c r="AH826" s="598"/>
      <c r="AI826" s="598"/>
      <c r="AJ826" s="598"/>
      <c r="AK826" s="598"/>
      <c r="AL826" s="598"/>
      <c r="AM826" s="598"/>
      <c r="AN826" s="598"/>
      <c r="AO826" s="598"/>
      <c r="AP826" s="598"/>
      <c r="AQ826" s="598"/>
      <c r="AR826" s="598"/>
      <c r="AS826" s="598"/>
      <c r="AT826" s="598"/>
      <c r="AU826" s="598"/>
      <c r="AV826" s="598"/>
      <c r="AW826" s="598"/>
      <c r="AX826" s="598"/>
      <c r="AY826" s="598"/>
      <c r="AZ826" s="598"/>
      <c r="BA826" s="598"/>
      <c r="BB826" s="598"/>
      <c r="BC826" s="598"/>
      <c r="BD826" s="598"/>
      <c r="BE826" s="598"/>
      <c r="BF826" s="598"/>
      <c r="BG826" s="598"/>
      <c r="BH826" s="598"/>
      <c r="BI826" s="598"/>
      <c r="BJ826" s="598"/>
      <c r="BK826" s="598"/>
      <c r="BL826" s="598"/>
      <c r="BM826" s="598"/>
      <c r="BN826" s="598"/>
      <c r="BO826" s="598"/>
      <c r="BP826" s="598"/>
      <c r="BQ826" s="598"/>
      <c r="BR826" s="598"/>
      <c r="BS826" s="598"/>
      <c r="BT826" s="1429" t="e">
        <f>BT817+BT821+BT825</f>
        <v>#REF!</v>
      </c>
      <c r="BU826" s="1429"/>
      <c r="BV826" s="1429"/>
      <c r="BW826" s="1429"/>
      <c r="BX826" s="1429"/>
      <c r="BY826" s="1429"/>
      <c r="BZ826" s="1429"/>
      <c r="CA826" s="1429"/>
      <c r="CB826" s="1429"/>
      <c r="CC826" s="1429"/>
      <c r="CD826" s="598"/>
      <c r="CE826" s="598"/>
      <c r="CF826" s="599"/>
    </row>
    <row r="827" spans="1:84" s="583" customFormat="1" ht="9.9499999999999993" customHeight="1">
      <c r="A827" s="574"/>
      <c r="B827" s="574"/>
      <c r="C827" s="574"/>
      <c r="D827" s="574"/>
      <c r="E827" s="574"/>
      <c r="F827" s="574"/>
      <c r="G827" s="574"/>
      <c r="H827" s="574"/>
      <c r="I827" s="574"/>
      <c r="J827" s="574"/>
      <c r="K827" s="574"/>
      <c r="L827" s="574"/>
      <c r="M827" s="574"/>
      <c r="N827" s="574"/>
      <c r="O827" s="574"/>
      <c r="P827" s="574"/>
      <c r="Q827" s="574"/>
      <c r="R827" s="574"/>
      <c r="S827" s="574"/>
      <c r="T827" s="574"/>
      <c r="U827" s="574"/>
      <c r="V827" s="574"/>
      <c r="W827" s="574"/>
      <c r="X827" s="574"/>
      <c r="Y827" s="574"/>
      <c r="Z827" s="574"/>
      <c r="AA827" s="574"/>
      <c r="AB827" s="574"/>
      <c r="AC827" s="574"/>
      <c r="AD827" s="574"/>
      <c r="AE827" s="574"/>
      <c r="AF827" s="574"/>
      <c r="AG827" s="574"/>
      <c r="AH827" s="574"/>
      <c r="AI827" s="574"/>
      <c r="AJ827" s="574"/>
      <c r="AK827" s="574"/>
      <c r="AL827" s="574"/>
      <c r="AM827" s="574"/>
      <c r="AN827" s="574"/>
      <c r="AO827" s="574"/>
      <c r="AP827" s="574"/>
      <c r="AQ827" s="574"/>
      <c r="AR827" s="574"/>
      <c r="AS827" s="574"/>
      <c r="AT827" s="574"/>
      <c r="AU827" s="574"/>
      <c r="AV827" s="574"/>
      <c r="AW827" s="574"/>
      <c r="AX827" s="574"/>
      <c r="AY827" s="574"/>
      <c r="AZ827" s="574"/>
      <c r="BA827" s="574"/>
      <c r="BB827" s="574"/>
      <c r="BC827" s="574"/>
      <c r="BD827" s="574"/>
      <c r="BE827" s="574"/>
      <c r="BF827" s="574"/>
      <c r="BG827" s="574"/>
      <c r="BH827" s="574"/>
      <c r="BI827" s="574"/>
      <c r="BJ827" s="574"/>
      <c r="BK827" s="574"/>
      <c r="BL827" s="574"/>
      <c r="BM827" s="574"/>
      <c r="BN827" s="574"/>
      <c r="BO827" s="574"/>
      <c r="BP827" s="574"/>
      <c r="BQ827" s="574"/>
      <c r="BR827" s="574"/>
      <c r="BS827" s="574"/>
      <c r="BT827" s="574"/>
      <c r="BU827" s="574"/>
      <c r="BV827" s="574"/>
      <c r="BW827" s="574"/>
      <c r="BX827" s="574"/>
      <c r="BY827" s="574"/>
      <c r="BZ827" s="574"/>
      <c r="CA827" s="574"/>
      <c r="CB827" s="574"/>
      <c r="CC827" s="574"/>
      <c r="CD827" s="574"/>
      <c r="CE827" s="574"/>
      <c r="CF827" s="574"/>
    </row>
    <row r="828" spans="1:84" s="583" customFormat="1" ht="23.1" customHeight="1" thickBot="1">
      <c r="A828" s="1446" t="s">
        <v>1095</v>
      </c>
      <c r="B828" s="1446"/>
      <c r="C828" s="1446"/>
      <c r="D828" s="1446"/>
      <c r="E828" s="1446"/>
      <c r="F828" s="1446"/>
      <c r="G828" s="1447">
        <f>G813+1</f>
        <v>56</v>
      </c>
      <c r="H828" s="1447"/>
      <c r="I828" s="1447"/>
      <c r="J828" s="1448" t="s">
        <v>1096</v>
      </c>
      <c r="K828" s="1448"/>
      <c r="L828" s="574"/>
      <c r="M828" s="574"/>
      <c r="N828" s="574"/>
      <c r="O828" s="574"/>
      <c r="P828" s="574"/>
      <c r="Q828" s="574"/>
      <c r="R828" s="574"/>
      <c r="S828" s="574"/>
      <c r="T828" s="574"/>
      <c r="U828" s="574"/>
      <c r="V828" s="574"/>
      <c r="W828" s="574"/>
      <c r="X828" s="574"/>
      <c r="Y828" s="574"/>
      <c r="Z828" s="574"/>
      <c r="AA828" s="574"/>
      <c r="AB828" s="574"/>
      <c r="AC828" s="574"/>
      <c r="AD828" s="574"/>
      <c r="AE828" s="574"/>
      <c r="AF828" s="574"/>
      <c r="AG828" s="574"/>
      <c r="AH828" s="574"/>
      <c r="AI828" s="574"/>
      <c r="AJ828" s="574"/>
      <c r="AK828" s="574"/>
      <c r="AL828" s="574"/>
      <c r="AM828" s="574"/>
      <c r="AN828" s="574"/>
      <c r="AO828" s="574"/>
      <c r="AP828" s="574"/>
      <c r="AQ828" s="574"/>
      <c r="AR828" s="574"/>
      <c r="AS828" s="574"/>
      <c r="AT828" s="574"/>
      <c r="AU828" s="574"/>
      <c r="AV828" s="574"/>
      <c r="AW828" s="574"/>
      <c r="AX828" s="574"/>
      <c r="AY828" s="574"/>
      <c r="AZ828" s="574"/>
      <c r="BA828" s="574"/>
      <c r="BB828" s="574"/>
      <c r="BC828" s="574"/>
      <c r="BD828" s="574"/>
      <c r="BE828" s="574"/>
      <c r="BF828" s="574"/>
      <c r="BG828" s="574"/>
      <c r="BH828" s="574"/>
      <c r="BI828" s="574"/>
      <c r="BJ828" s="574"/>
      <c r="BK828" s="574"/>
      <c r="BL828" s="574"/>
      <c r="BM828" s="574"/>
      <c r="BN828" s="574"/>
      <c r="BO828" s="574"/>
      <c r="BP828" s="574"/>
      <c r="BQ828" s="574"/>
      <c r="BR828" s="574"/>
      <c r="BS828" s="574"/>
      <c r="BT828" s="574"/>
      <c r="BU828" s="574"/>
      <c r="BV828" s="574"/>
      <c r="BW828" s="574"/>
      <c r="BX828" s="574"/>
      <c r="BY828" s="574"/>
      <c r="BZ828" s="574"/>
      <c r="CA828" s="574"/>
      <c r="CB828" s="574"/>
      <c r="CC828" s="574"/>
      <c r="CD828" s="574"/>
      <c r="CE828" s="574"/>
      <c r="CF828" s="574"/>
    </row>
    <row r="829" spans="1:84" s="583" customFormat="1" ht="23.1" customHeight="1" thickBot="1">
      <c r="A829" s="1483" t="s">
        <v>1097</v>
      </c>
      <c r="B829" s="1484"/>
      <c r="C829" s="1484"/>
      <c r="D829" s="1484"/>
      <c r="E829" s="1484"/>
      <c r="F829" s="1484"/>
      <c r="G829" s="1484"/>
      <c r="H829" s="1484"/>
      <c r="I829" s="581" t="s">
        <v>1183</v>
      </c>
      <c r="J829" s="581"/>
      <c r="K829" s="581"/>
      <c r="L829" s="581"/>
      <c r="M829" s="581"/>
      <c r="N829" s="581"/>
      <c r="O829" s="581"/>
      <c r="P829" s="581"/>
      <c r="Q829" s="581"/>
      <c r="R829" s="581"/>
      <c r="S829" s="581"/>
      <c r="T829" s="581"/>
      <c r="U829" s="581"/>
      <c r="V829" s="581"/>
      <c r="W829" s="581"/>
      <c r="X829" s="581"/>
      <c r="Y829" s="581"/>
      <c r="Z829" s="581"/>
      <c r="AA829" s="581"/>
      <c r="AB829" s="581"/>
      <c r="AC829" s="581"/>
      <c r="AD829" s="581"/>
      <c r="AE829" s="581"/>
      <c r="AF829" s="581"/>
      <c r="AG829" s="581"/>
      <c r="AH829" s="581"/>
      <c r="AI829" s="581"/>
      <c r="AJ829" s="1484" t="s">
        <v>1099</v>
      </c>
      <c r="AK829" s="1484"/>
      <c r="AL829" s="1484"/>
      <c r="AM829" s="1484"/>
      <c r="AN829" s="1484"/>
      <c r="AO829" s="1484"/>
      <c r="AP829" s="1484"/>
      <c r="AQ829" s="581" t="s">
        <v>1100</v>
      </c>
      <c r="AR829" s="581"/>
      <c r="AS829" s="581"/>
      <c r="AT829" s="581"/>
      <c r="AU829" s="581"/>
      <c r="AV829" s="581"/>
      <c r="AW829" s="581"/>
      <c r="AX829" s="581"/>
      <c r="AY829" s="581"/>
      <c r="AZ829" s="581"/>
      <c r="BA829" s="581"/>
      <c r="BB829" s="581"/>
      <c r="BC829" s="581"/>
      <c r="BD829" s="581"/>
      <c r="BE829" s="581"/>
      <c r="BF829" s="581"/>
      <c r="BG829" s="581"/>
      <c r="BH829" s="581"/>
      <c r="BI829" s="581"/>
      <c r="BJ829" s="581"/>
      <c r="BK829" s="581"/>
      <c r="BL829" s="581"/>
      <c r="BM829" s="581"/>
      <c r="BN829" s="581"/>
      <c r="BO829" s="581"/>
      <c r="BP829" s="581"/>
      <c r="BQ829" s="581"/>
      <c r="BR829" s="581"/>
      <c r="BS829" s="581"/>
      <c r="BT829" s="581" t="s">
        <v>1187</v>
      </c>
      <c r="BU829" s="581"/>
      <c r="BV829" s="581"/>
      <c r="BW829" s="581"/>
      <c r="BX829" s="581"/>
      <c r="BY829" s="581"/>
      <c r="BZ829" s="581"/>
      <c r="CA829" s="581"/>
      <c r="CB829" s="581"/>
      <c r="CC829" s="581"/>
      <c r="CD829" s="581"/>
      <c r="CE829" s="581"/>
      <c r="CF829" s="582"/>
    </row>
    <row r="830" spans="1:84" s="583" customFormat="1" ht="23.1" customHeight="1">
      <c r="A830" s="584"/>
      <c r="B830" s="585" t="s">
        <v>1102</v>
      </c>
      <c r="C830" s="585"/>
      <c r="D830" s="585"/>
      <c r="E830" s="585"/>
      <c r="F830" s="585"/>
      <c r="G830" s="585"/>
      <c r="H830" s="585"/>
      <c r="I830" s="585"/>
      <c r="J830" s="585"/>
      <c r="K830" s="585"/>
      <c r="L830" s="585"/>
      <c r="M830" s="585"/>
      <c r="N830" s="585"/>
      <c r="O830" s="585"/>
      <c r="P830" s="585"/>
      <c r="Q830" s="585"/>
      <c r="R830" s="585"/>
      <c r="S830" s="585"/>
      <c r="T830" s="585"/>
      <c r="U830" s="585"/>
      <c r="V830" s="585"/>
      <c r="W830" s="585"/>
      <c r="X830" s="585"/>
      <c r="Y830" s="585"/>
      <c r="Z830" s="585"/>
      <c r="AA830" s="585"/>
      <c r="AB830" s="585"/>
      <c r="AC830" s="585"/>
      <c r="AD830" s="585"/>
      <c r="AE830" s="585"/>
      <c r="AF830" s="585"/>
      <c r="AG830" s="585"/>
      <c r="AH830" s="585"/>
      <c r="AI830" s="585"/>
      <c r="AJ830" s="585"/>
      <c r="AK830" s="585"/>
      <c r="AL830" s="585"/>
      <c r="AM830" s="585"/>
      <c r="AN830" s="585"/>
      <c r="AO830" s="585"/>
      <c r="AP830" s="585"/>
      <c r="AQ830" s="585"/>
      <c r="AR830" s="585"/>
      <c r="AS830" s="585"/>
      <c r="AT830" s="585"/>
      <c r="AU830" s="585"/>
      <c r="AV830" s="585"/>
      <c r="AW830" s="585"/>
      <c r="AX830" s="585"/>
      <c r="AY830" s="585"/>
      <c r="AZ830" s="585"/>
      <c r="BA830" s="585"/>
      <c r="BB830" s="585"/>
      <c r="BC830" s="585"/>
      <c r="BD830" s="585"/>
      <c r="BE830" s="585"/>
      <c r="BF830" s="585"/>
      <c r="BG830" s="585"/>
      <c r="BH830" s="585"/>
      <c r="BI830" s="585"/>
      <c r="BJ830" s="585"/>
      <c r="BK830" s="585"/>
      <c r="BL830" s="585"/>
      <c r="BM830" s="585"/>
      <c r="BN830" s="585"/>
      <c r="BO830" s="585"/>
      <c r="BP830" s="585"/>
      <c r="BQ830" s="585"/>
      <c r="BR830" s="585"/>
      <c r="BS830" s="585"/>
      <c r="BT830" s="585"/>
      <c r="BU830" s="585"/>
      <c r="BV830" s="585"/>
      <c r="BW830" s="585"/>
      <c r="BX830" s="585"/>
      <c r="BY830" s="585"/>
      <c r="BZ830" s="585"/>
      <c r="CA830" s="585"/>
      <c r="CB830" s="585"/>
      <c r="CC830" s="585"/>
      <c r="CD830" s="585"/>
      <c r="CE830" s="585"/>
      <c r="CF830" s="586"/>
    </row>
    <row r="831" spans="1:84" s="583" customFormat="1" ht="23.1" customHeight="1">
      <c r="A831" s="587"/>
      <c r="B831" s="574"/>
      <c r="C831" s="574"/>
      <c r="D831" s="405"/>
      <c r="E831" s="574"/>
      <c r="F831" s="422"/>
      <c r="G831" s="422"/>
      <c r="H831" s="422"/>
      <c r="I831" s="422"/>
      <c r="J831" s="422"/>
      <c r="K831" s="422"/>
      <c r="L831" s="422"/>
      <c r="M831" s="422"/>
      <c r="N831" s="574"/>
      <c r="O831" s="574"/>
      <c r="P831" s="574"/>
      <c r="Q831" s="574"/>
      <c r="R831" s="574"/>
      <c r="S831" s="1430"/>
      <c r="T831" s="1430"/>
      <c r="U831" s="1430"/>
      <c r="V831" s="1430"/>
      <c r="W831" s="1430"/>
      <c r="X831" s="1430"/>
      <c r="Y831" s="1430"/>
      <c r="Z831" s="1430"/>
      <c r="AA831" s="574"/>
      <c r="AB831" s="588"/>
      <c r="AC831" s="1431"/>
      <c r="AD831" s="1431"/>
      <c r="AE831" s="1498"/>
      <c r="AF831" s="1498"/>
      <c r="AG831" s="1498"/>
      <c r="AH831" s="1498"/>
      <c r="AI831" s="1498"/>
      <c r="AJ831" s="1498"/>
      <c r="AK831" s="1498"/>
      <c r="AL831" s="1498"/>
      <c r="AM831" s="1431"/>
      <c r="AN831" s="1431"/>
      <c r="AO831" s="574"/>
      <c r="AP831" s="1486"/>
      <c r="AQ831" s="1486"/>
      <c r="AR831" s="1486"/>
      <c r="AS831" s="1486"/>
      <c r="AT831" s="1486"/>
      <c r="AU831" s="1486"/>
      <c r="AV831" s="1486"/>
      <c r="AW831" s="1486"/>
      <c r="AX831" s="1486"/>
      <c r="AY831" s="1486"/>
      <c r="AZ831" s="1486"/>
      <c r="BA831" s="1486"/>
      <c r="BB831" s="1486"/>
      <c r="BC831" s="1486"/>
      <c r="BD831" s="574"/>
      <c r="BE831" s="574"/>
      <c r="BF831" s="574"/>
      <c r="BG831" s="574"/>
      <c r="BH831" s="574"/>
      <c r="BI831" s="574"/>
      <c r="BJ831" s="574"/>
      <c r="BK831" s="574"/>
      <c r="BL831" s="574"/>
      <c r="BM831" s="574"/>
      <c r="BN831" s="574"/>
      <c r="BO831" s="574"/>
      <c r="BP831" s="574"/>
      <c r="BQ831" s="574"/>
      <c r="BR831" s="574"/>
      <c r="BS831" s="574"/>
      <c r="BT831" s="574"/>
      <c r="BU831" s="574"/>
      <c r="BV831" s="574"/>
      <c r="BW831" s="574"/>
      <c r="BX831" s="574"/>
      <c r="BY831" s="574"/>
      <c r="BZ831" s="574"/>
      <c r="CA831" s="574"/>
      <c r="CB831" s="574"/>
      <c r="CC831" s="574"/>
      <c r="CD831" s="574"/>
      <c r="CE831" s="574"/>
      <c r="CF831" s="589"/>
    </row>
    <row r="832" spans="1:84" s="583" customFormat="1" ht="23.1" customHeight="1">
      <c r="A832" s="584"/>
      <c r="B832" s="585"/>
      <c r="C832" s="585"/>
      <c r="D832" s="585"/>
      <c r="E832" s="585"/>
      <c r="F832" s="585"/>
      <c r="G832" s="585"/>
      <c r="H832" s="585"/>
      <c r="I832" s="585"/>
      <c r="J832" s="585"/>
      <c r="K832" s="585"/>
      <c r="L832" s="585"/>
      <c r="M832" s="585"/>
      <c r="N832" s="585"/>
      <c r="O832" s="585"/>
      <c r="P832" s="585"/>
      <c r="Q832" s="585"/>
      <c r="R832" s="585"/>
      <c r="S832" s="585"/>
      <c r="T832" s="585"/>
      <c r="U832" s="585"/>
      <c r="V832" s="590"/>
      <c r="W832" s="590"/>
      <c r="X832" s="590"/>
      <c r="Y832" s="590"/>
      <c r="Z832" s="590"/>
      <c r="AA832" s="590"/>
      <c r="AB832" s="590"/>
      <c r="AC832" s="590"/>
      <c r="AD832" s="574"/>
      <c r="AE832" s="1440">
        <v>103333000</v>
      </c>
      <c r="AF832" s="1440"/>
      <c r="AG832" s="1440"/>
      <c r="AH832" s="1440"/>
      <c r="AI832" s="1440"/>
      <c r="AJ832" s="1440"/>
      <c r="AK832" s="1440"/>
      <c r="AL832" s="1440"/>
      <c r="AM832" s="1440"/>
      <c r="AN832" s="1440"/>
      <c r="AO832" s="1440"/>
      <c r="AP832" s="1440"/>
      <c r="AQ832" s="1440"/>
      <c r="AR832" s="1440"/>
      <c r="AS832" s="1440"/>
      <c r="AT832" s="1431" t="s">
        <v>446</v>
      </c>
      <c r="AU832" s="1431"/>
      <c r="AV832" s="1441" t="s">
        <v>1103</v>
      </c>
      <c r="AW832" s="1441"/>
      <c r="AX832" s="1442">
        <v>2825</v>
      </c>
      <c r="AY832" s="1442"/>
      <c r="AZ832" s="1442"/>
      <c r="BA832" s="1442"/>
      <c r="BB832" s="1442"/>
      <c r="BC832" s="1442"/>
      <c r="BD832" s="585"/>
      <c r="BE832" s="1431" t="s">
        <v>446</v>
      </c>
      <c r="BF832" s="1431"/>
      <c r="BG832" s="585"/>
      <c r="BH832" s="591" t="s">
        <v>1104</v>
      </c>
      <c r="BI832" s="585"/>
      <c r="BJ832" s="585"/>
      <c r="BK832" s="585"/>
      <c r="BL832" s="1431" t="s">
        <v>1105</v>
      </c>
      <c r="BM832" s="1431"/>
      <c r="BN832" s="1431"/>
      <c r="BO832" s="585"/>
      <c r="BP832" s="1431" t="s">
        <v>41</v>
      </c>
      <c r="BQ832" s="1431"/>
      <c r="BR832" s="585"/>
      <c r="BS832" s="585"/>
      <c r="BT832" s="1437">
        <f>INT(AE832*AX832*10^-7)</f>
        <v>29191</v>
      </c>
      <c r="BU832" s="1437"/>
      <c r="BV832" s="1437"/>
      <c r="BW832" s="1437"/>
      <c r="BX832" s="1437"/>
      <c r="BY832" s="1437"/>
      <c r="BZ832" s="1437"/>
      <c r="CA832" s="1437"/>
      <c r="CB832" s="1437"/>
      <c r="CC832" s="1437"/>
      <c r="CD832" s="585"/>
      <c r="CE832" s="585"/>
      <c r="CF832" s="586"/>
    </row>
    <row r="833" spans="1:84" s="583" customFormat="1" ht="23.1" customHeight="1">
      <c r="A833" s="592"/>
      <c r="B833" s="593" t="s">
        <v>1106</v>
      </c>
      <c r="C833" s="593"/>
      <c r="D833" s="593"/>
      <c r="E833" s="593"/>
      <c r="F833" s="593"/>
      <c r="G833" s="593"/>
      <c r="H833" s="593"/>
      <c r="I833" s="593"/>
      <c r="J833" s="593"/>
      <c r="K833" s="593"/>
      <c r="L833" s="593"/>
      <c r="M833" s="593"/>
      <c r="N833" s="593"/>
      <c r="O833" s="593"/>
      <c r="P833" s="593"/>
      <c r="Q833" s="593"/>
      <c r="R833" s="593"/>
      <c r="S833" s="593"/>
      <c r="T833" s="593"/>
      <c r="U833" s="593"/>
      <c r="V833" s="593"/>
      <c r="W833" s="593"/>
      <c r="X833" s="593"/>
      <c r="Y833" s="593"/>
      <c r="Z833" s="593"/>
      <c r="AA833" s="593"/>
      <c r="AB833" s="593"/>
      <c r="AC833" s="593"/>
      <c r="AD833" s="593"/>
      <c r="AE833" s="593"/>
      <c r="AF833" s="593"/>
      <c r="AG833" s="593"/>
      <c r="AH833" s="593"/>
      <c r="AI833" s="593"/>
      <c r="AJ833" s="593"/>
      <c r="AK833" s="593"/>
      <c r="AL833" s="593"/>
      <c r="AM833" s="593"/>
      <c r="AN833" s="593"/>
      <c r="AO833" s="593"/>
      <c r="AP833" s="593"/>
      <c r="AQ833" s="593"/>
      <c r="AR833" s="593"/>
      <c r="AS833" s="593"/>
      <c r="AT833" s="593"/>
      <c r="AU833" s="593"/>
      <c r="AV833" s="593"/>
      <c r="AW833" s="593"/>
      <c r="AX833" s="593"/>
      <c r="AY833" s="593"/>
      <c r="AZ833" s="593"/>
      <c r="BA833" s="593"/>
      <c r="BB833" s="593"/>
      <c r="BC833" s="593"/>
      <c r="BD833" s="593"/>
      <c r="BE833" s="593"/>
      <c r="BF833" s="593"/>
      <c r="BG833" s="593"/>
      <c r="BH833" s="593"/>
      <c r="BI833" s="593"/>
      <c r="BJ833" s="593"/>
      <c r="BK833" s="593"/>
      <c r="BL833" s="593"/>
      <c r="BM833" s="593"/>
      <c r="BN833" s="593"/>
      <c r="BO833" s="593"/>
      <c r="BP833" s="593"/>
      <c r="BQ833" s="593"/>
      <c r="BR833" s="593"/>
      <c r="BS833" s="593"/>
      <c r="BT833" s="594"/>
      <c r="BU833" s="594"/>
      <c r="BV833" s="594"/>
      <c r="BW833" s="594"/>
      <c r="BX833" s="594"/>
      <c r="BY833" s="594"/>
      <c r="BZ833" s="594"/>
      <c r="CA833" s="594"/>
      <c r="CB833" s="594"/>
      <c r="CC833" s="594"/>
      <c r="CD833" s="593"/>
      <c r="CE833" s="593"/>
      <c r="CF833" s="595"/>
    </row>
    <row r="834" spans="1:84" s="583" customFormat="1" ht="23.1" customHeight="1">
      <c r="A834" s="584"/>
      <c r="B834" s="585"/>
      <c r="C834" s="585"/>
      <c r="D834" s="596" t="s">
        <v>268</v>
      </c>
      <c r="E834" s="585"/>
      <c r="F834" s="585"/>
      <c r="G834" s="585"/>
      <c r="H834" s="585"/>
      <c r="I834" s="585"/>
      <c r="J834" s="585"/>
      <c r="K834" s="585"/>
      <c r="L834" s="585"/>
      <c r="M834" s="585"/>
      <c r="N834" s="585"/>
      <c r="O834" s="585"/>
      <c r="P834" s="585"/>
      <c r="Q834" s="585"/>
      <c r="R834" s="585"/>
      <c r="S834" s="585"/>
      <c r="T834" s="574"/>
      <c r="U834" s="574"/>
      <c r="V834" s="1435">
        <f>HLOOKUP(D834,$CJ$1:$CM$3,3,0)</f>
        <v>283297</v>
      </c>
      <c r="W834" s="1435"/>
      <c r="X834" s="1435"/>
      <c r="Y834" s="1435"/>
      <c r="Z834" s="1435"/>
      <c r="AA834" s="1435"/>
      <c r="AB834" s="1435"/>
      <c r="AC834" s="1435"/>
      <c r="AD834" s="1435"/>
      <c r="AE834" s="1435"/>
      <c r="AF834" s="1431" t="s">
        <v>446</v>
      </c>
      <c r="AG834" s="1431"/>
      <c r="AH834" s="574"/>
      <c r="AI834" s="1436" t="s">
        <v>1107</v>
      </c>
      <c r="AJ834" s="1436"/>
      <c r="AK834" s="1436"/>
      <c r="AL834" s="1436"/>
      <c r="AM834" s="585"/>
      <c r="AN834" s="1431" t="s">
        <v>446</v>
      </c>
      <c r="AO834" s="1431"/>
      <c r="AP834" s="585"/>
      <c r="AQ834" s="1436" t="s">
        <v>1108</v>
      </c>
      <c r="AR834" s="1436"/>
      <c r="AS834" s="1436"/>
      <c r="AT834" s="1436"/>
      <c r="AU834" s="1436"/>
      <c r="AV834" s="422"/>
      <c r="AW834" s="1431" t="s">
        <v>446</v>
      </c>
      <c r="AX834" s="1431"/>
      <c r="AY834" s="440"/>
      <c r="AZ834" s="1436" t="s">
        <v>1109</v>
      </c>
      <c r="BA834" s="1436"/>
      <c r="BB834" s="1436"/>
      <c r="BC834" s="1436"/>
      <c r="BD834" s="1436"/>
      <c r="BE834" s="585"/>
      <c r="BF834" s="1431" t="s">
        <v>446</v>
      </c>
      <c r="BG834" s="1431"/>
      <c r="BH834" s="1431">
        <v>1</v>
      </c>
      <c r="BI834" s="1431"/>
      <c r="BJ834" s="1431"/>
      <c r="BK834" s="585"/>
      <c r="BL834" s="585" t="s">
        <v>366</v>
      </c>
      <c r="BM834" s="585"/>
      <c r="BN834" s="585"/>
      <c r="BO834" s="585"/>
      <c r="BP834" s="1431" t="s">
        <v>41</v>
      </c>
      <c r="BQ834" s="1431"/>
      <c r="BR834" s="585"/>
      <c r="BS834" s="585"/>
      <c r="BT834" s="1432">
        <f>INT(V834/8*16/12*25/20*BH834)</f>
        <v>59020</v>
      </c>
      <c r="BU834" s="1432"/>
      <c r="BV834" s="1432"/>
      <c r="BW834" s="1432"/>
      <c r="BX834" s="1432"/>
      <c r="BY834" s="1432"/>
      <c r="BZ834" s="1432"/>
      <c r="CA834" s="1432"/>
      <c r="CB834" s="1432"/>
      <c r="CC834" s="1432"/>
      <c r="CD834" s="585"/>
      <c r="CE834" s="585"/>
      <c r="CF834" s="586"/>
    </row>
    <row r="835" spans="1:84" s="583" customFormat="1" ht="23.1" customHeight="1">
      <c r="A835" s="584"/>
      <c r="B835" s="585"/>
      <c r="C835" s="585"/>
      <c r="D835" s="585"/>
      <c r="E835" s="585"/>
      <c r="F835" s="585"/>
      <c r="G835" s="585"/>
      <c r="H835" s="585"/>
      <c r="I835" s="585"/>
      <c r="J835" s="585"/>
      <c r="K835" s="585"/>
      <c r="L835" s="585"/>
      <c r="M835" s="585"/>
      <c r="N835" s="585"/>
      <c r="O835" s="585"/>
      <c r="P835" s="574"/>
      <c r="Q835" s="574"/>
      <c r="R835" s="574"/>
      <c r="S835" s="574"/>
      <c r="T835" s="574"/>
      <c r="U835" s="574"/>
      <c r="V835" s="574"/>
      <c r="W835" s="574"/>
      <c r="X835" s="574"/>
      <c r="Y835" s="574"/>
      <c r="Z835" s="574"/>
      <c r="AA835" s="574"/>
      <c r="AB835" s="574"/>
      <c r="AC835" s="574"/>
      <c r="AD835" s="574"/>
      <c r="AE835" s="574"/>
      <c r="AF835" s="574"/>
      <c r="AG835" s="574"/>
      <c r="AH835" s="574"/>
      <c r="AI835" s="574"/>
      <c r="AJ835" s="574"/>
      <c r="AK835" s="574"/>
      <c r="AL835" s="574"/>
      <c r="AM835" s="574"/>
      <c r="AN835" s="574"/>
      <c r="AO835" s="574"/>
      <c r="AP835" s="574"/>
      <c r="AQ835" s="574"/>
      <c r="AR835" s="574"/>
      <c r="AS835" s="574"/>
      <c r="AT835" s="574"/>
      <c r="AU835" s="574"/>
      <c r="AV835" s="574"/>
      <c r="AW835" s="574"/>
      <c r="AX835" s="574"/>
      <c r="AY835" s="574"/>
      <c r="AZ835" s="574"/>
      <c r="BA835" s="574"/>
      <c r="BB835" s="574"/>
      <c r="BC835" s="574"/>
      <c r="BD835" s="574"/>
      <c r="BE835" s="574"/>
      <c r="BF835" s="574"/>
      <c r="BG835" s="585"/>
      <c r="BH835" s="585"/>
      <c r="BI835" s="585"/>
      <c r="BJ835" s="585"/>
      <c r="BK835" s="585"/>
      <c r="BL835" s="585"/>
      <c r="BM835" s="585"/>
      <c r="BN835" s="585"/>
      <c r="BO835" s="585"/>
      <c r="BP835" s="1431"/>
      <c r="BQ835" s="1431"/>
      <c r="BR835" s="585"/>
      <c r="BS835" s="585"/>
      <c r="BT835" s="1432"/>
      <c r="BU835" s="1432"/>
      <c r="BV835" s="1432"/>
      <c r="BW835" s="1432"/>
      <c r="BX835" s="1432"/>
      <c r="BY835" s="1432"/>
      <c r="BZ835" s="1432"/>
      <c r="CA835" s="1432"/>
      <c r="CB835" s="1432"/>
      <c r="CC835" s="1432"/>
      <c r="CD835" s="585"/>
      <c r="CE835" s="585"/>
      <c r="CF835" s="586"/>
    </row>
    <row r="836" spans="1:84" s="583" customFormat="1" ht="23.1" customHeight="1">
      <c r="A836" s="584"/>
      <c r="B836" s="585"/>
      <c r="C836" s="585"/>
      <c r="D836" s="585"/>
      <c r="E836" s="585"/>
      <c r="F836" s="585"/>
      <c r="G836" s="585"/>
      <c r="H836" s="585"/>
      <c r="I836" s="585"/>
      <c r="J836" s="585"/>
      <c r="K836" s="585"/>
      <c r="L836" s="585"/>
      <c r="M836" s="585"/>
      <c r="N836" s="585"/>
      <c r="O836" s="585"/>
      <c r="P836" s="585"/>
      <c r="Q836" s="585"/>
      <c r="R836" s="585"/>
      <c r="S836" s="585"/>
      <c r="T836" s="585"/>
      <c r="U836" s="585"/>
      <c r="V836" s="585"/>
      <c r="W836" s="585"/>
      <c r="X836" s="585"/>
      <c r="Y836" s="585"/>
      <c r="Z836" s="585"/>
      <c r="AA836" s="585"/>
      <c r="AB836" s="585"/>
      <c r="AC836" s="585"/>
      <c r="AD836" s="574"/>
      <c r="AE836" s="574"/>
      <c r="AF836" s="574"/>
      <c r="AG836" s="574"/>
      <c r="AH836" s="574"/>
      <c r="AI836" s="574"/>
      <c r="AJ836" s="574"/>
      <c r="AK836" s="574"/>
      <c r="AL836" s="574"/>
      <c r="AM836" s="574"/>
      <c r="AN836" s="574"/>
      <c r="AO836" s="574"/>
      <c r="AP836" s="574"/>
      <c r="AQ836" s="574"/>
      <c r="AR836" s="574"/>
      <c r="AS836" s="585"/>
      <c r="AT836" s="590"/>
      <c r="AU836" s="590"/>
      <c r="AV836" s="585"/>
      <c r="AW836" s="585"/>
      <c r="AX836" s="585"/>
      <c r="AY836" s="585"/>
      <c r="AZ836" s="585"/>
      <c r="BA836" s="585"/>
      <c r="BB836" s="585"/>
      <c r="BC836" s="585"/>
      <c r="BD836" s="585"/>
      <c r="BE836" s="585"/>
      <c r="BF836" s="585"/>
      <c r="BG836" s="585"/>
      <c r="BH836" s="585"/>
      <c r="BI836" s="585"/>
      <c r="BJ836" s="585"/>
      <c r="BK836" s="585"/>
      <c r="BL836" s="585"/>
      <c r="BM836" s="585"/>
      <c r="BN836" s="585"/>
      <c r="BO836" s="585"/>
      <c r="BP836" s="1431" t="s">
        <v>41</v>
      </c>
      <c r="BQ836" s="1431"/>
      <c r="BR836" s="585"/>
      <c r="BS836" s="585"/>
      <c r="BT836" s="1434">
        <f>BT834+BT835</f>
        <v>59020</v>
      </c>
      <c r="BU836" s="1434"/>
      <c r="BV836" s="1434"/>
      <c r="BW836" s="1434"/>
      <c r="BX836" s="1434"/>
      <c r="BY836" s="1434"/>
      <c r="BZ836" s="1434"/>
      <c r="CA836" s="1434"/>
      <c r="CB836" s="1434"/>
      <c r="CC836" s="1434"/>
      <c r="CD836" s="585"/>
      <c r="CE836" s="585"/>
      <c r="CF836" s="586"/>
    </row>
    <row r="837" spans="1:84" s="583" customFormat="1" ht="23.1" customHeight="1">
      <c r="A837" s="592"/>
      <c r="B837" s="593" t="s">
        <v>1110</v>
      </c>
      <c r="C837" s="593"/>
      <c r="D837" s="593"/>
      <c r="E837" s="593"/>
      <c r="F837" s="593"/>
      <c r="G837" s="593"/>
      <c r="H837" s="593"/>
      <c r="I837" s="593"/>
      <c r="J837" s="593"/>
      <c r="K837" s="593"/>
      <c r="L837" s="593"/>
      <c r="M837" s="593"/>
      <c r="N837" s="593"/>
      <c r="O837" s="593"/>
      <c r="P837" s="593"/>
      <c r="Q837" s="593"/>
      <c r="R837" s="593"/>
      <c r="S837" s="593"/>
      <c r="T837" s="593"/>
      <c r="U837" s="593"/>
      <c r="V837" s="593"/>
      <c r="W837" s="593"/>
      <c r="X837" s="593"/>
      <c r="Y837" s="593"/>
      <c r="Z837" s="593"/>
      <c r="AA837" s="593"/>
      <c r="AB837" s="593"/>
      <c r="AC837" s="593"/>
      <c r="AD837" s="593"/>
      <c r="AE837" s="593"/>
      <c r="AF837" s="593"/>
      <c r="AG837" s="593"/>
      <c r="AH837" s="593"/>
      <c r="AI837" s="593"/>
      <c r="AJ837" s="593"/>
      <c r="AK837" s="593"/>
      <c r="AL837" s="593"/>
      <c r="AM837" s="593"/>
      <c r="AN837" s="593"/>
      <c r="AO837" s="593"/>
      <c r="AP837" s="593"/>
      <c r="AQ837" s="593"/>
      <c r="AR837" s="593"/>
      <c r="AS837" s="593"/>
      <c r="AT837" s="593"/>
      <c r="AU837" s="593"/>
      <c r="AV837" s="593"/>
      <c r="AW837" s="593"/>
      <c r="AX837" s="593"/>
      <c r="AY837" s="593"/>
      <c r="AZ837" s="593"/>
      <c r="BA837" s="593"/>
      <c r="BB837" s="593"/>
      <c r="BC837" s="593"/>
      <c r="BD837" s="593"/>
      <c r="BE837" s="593"/>
      <c r="BF837" s="593"/>
      <c r="BG837" s="593"/>
      <c r="BH837" s="593"/>
      <c r="BI837" s="593"/>
      <c r="BJ837" s="593"/>
      <c r="BK837" s="593"/>
      <c r="BL837" s="593"/>
      <c r="BM837" s="593"/>
      <c r="BN837" s="593"/>
      <c r="BO837" s="593"/>
      <c r="BP837" s="593"/>
      <c r="BQ837" s="593"/>
      <c r="BR837" s="593"/>
      <c r="BS837" s="593"/>
      <c r="BT837" s="593"/>
      <c r="BU837" s="593"/>
      <c r="BV837" s="593"/>
      <c r="BW837" s="593"/>
      <c r="BX837" s="593"/>
      <c r="BY837" s="593"/>
      <c r="BZ837" s="593"/>
      <c r="CA837" s="593"/>
      <c r="CB837" s="593"/>
      <c r="CC837" s="593"/>
      <c r="CD837" s="593"/>
      <c r="CE837" s="593"/>
      <c r="CF837" s="595"/>
    </row>
    <row r="838" spans="1:84" s="583" customFormat="1" ht="23.1" customHeight="1">
      <c r="A838" s="584"/>
      <c r="B838" s="585"/>
      <c r="C838" s="585"/>
      <c r="D838" s="596" t="s">
        <v>1094</v>
      </c>
      <c r="E838" s="585"/>
      <c r="F838" s="585"/>
      <c r="G838" s="585"/>
      <c r="H838" s="585"/>
      <c r="I838" s="585"/>
      <c r="J838" s="585"/>
      <c r="K838" s="585"/>
      <c r="L838" s="585"/>
      <c r="M838" s="585"/>
      <c r="N838" s="585"/>
      <c r="O838" s="585"/>
      <c r="P838" s="585"/>
      <c r="Q838" s="585"/>
      <c r="R838" s="585"/>
      <c r="S838" s="585"/>
      <c r="T838" s="585"/>
      <c r="U838" s="585"/>
      <c r="V838" s="585"/>
      <c r="W838" s="585"/>
      <c r="X838" s="585"/>
      <c r="Y838" s="585"/>
      <c r="Z838" s="585"/>
      <c r="AA838" s="585"/>
      <c r="AB838" s="585"/>
      <c r="AC838" s="585"/>
      <c r="AD838" s="585"/>
      <c r="AE838" s="585"/>
      <c r="AF838" s="585"/>
      <c r="AG838" s="585"/>
      <c r="AH838" s="585"/>
      <c r="AI838" s="585"/>
      <c r="AJ838" s="585"/>
      <c r="AK838" s="585"/>
      <c r="AL838" s="585"/>
      <c r="AM838" s="585"/>
      <c r="AN838" s="585"/>
      <c r="AO838" s="585"/>
      <c r="AP838" s="585"/>
      <c r="AQ838" s="585"/>
      <c r="AR838" s="422"/>
      <c r="AS838" s="1435" t="e">
        <f>HLOOKUP(D838,$CN$1:$CO$3,3,0)</f>
        <v>#REF!</v>
      </c>
      <c r="AT838" s="1435"/>
      <c r="AU838" s="1435"/>
      <c r="AV838" s="1435"/>
      <c r="AW838" s="1435"/>
      <c r="AX838" s="1435"/>
      <c r="AY838" s="1435"/>
      <c r="AZ838" s="1435"/>
      <c r="BA838" s="1435"/>
      <c r="BB838" s="1435"/>
      <c r="BC838" s="585"/>
      <c r="BD838" s="1431" t="s">
        <v>446</v>
      </c>
      <c r="BE838" s="1431"/>
      <c r="BF838" s="585"/>
      <c r="BG838" s="1431">
        <v>15.8</v>
      </c>
      <c r="BH838" s="1431"/>
      <c r="BI838" s="1431"/>
      <c r="BJ838" s="1431"/>
      <c r="BK838" s="1431"/>
      <c r="BL838" s="585" t="s">
        <v>1111</v>
      </c>
      <c r="BM838" s="585"/>
      <c r="BN838" s="585"/>
      <c r="BO838" s="585"/>
      <c r="BP838" s="1431" t="s">
        <v>41</v>
      </c>
      <c r="BQ838" s="1431"/>
      <c r="BR838" s="585"/>
      <c r="BS838" s="585"/>
      <c r="BT838" s="1432" t="e">
        <f>INT(AS838*BG838)</f>
        <v>#REF!</v>
      </c>
      <c r="BU838" s="1432"/>
      <c r="BV838" s="1432"/>
      <c r="BW838" s="1432"/>
      <c r="BX838" s="1432"/>
      <c r="BY838" s="1432"/>
      <c r="BZ838" s="1432"/>
      <c r="CA838" s="1432"/>
      <c r="CB838" s="1432"/>
      <c r="CC838" s="1432"/>
      <c r="CD838" s="585"/>
      <c r="CE838" s="585"/>
      <c r="CF838" s="586"/>
    </row>
    <row r="839" spans="1:84" s="583" customFormat="1" ht="23.1" customHeight="1">
      <c r="A839" s="584"/>
      <c r="B839" s="585"/>
      <c r="C839" s="585"/>
      <c r="D839" s="591" t="str">
        <f>"잡재료 (주연료의 "&amp;BG839&amp;"%) :"</f>
        <v>잡재료 (주연료의 30%) :</v>
      </c>
      <c r="E839" s="585"/>
      <c r="F839" s="585"/>
      <c r="G839" s="585"/>
      <c r="H839" s="585"/>
      <c r="I839" s="585"/>
      <c r="J839" s="585"/>
      <c r="K839" s="585"/>
      <c r="L839" s="585"/>
      <c r="M839" s="585"/>
      <c r="N839" s="585"/>
      <c r="O839" s="585"/>
      <c r="P839" s="585"/>
      <c r="Q839" s="585"/>
      <c r="R839" s="585"/>
      <c r="S839" s="585"/>
      <c r="T839" s="585"/>
      <c r="U839" s="585"/>
      <c r="V839" s="585"/>
      <c r="W839" s="585"/>
      <c r="X839" s="585"/>
      <c r="Y839" s="585"/>
      <c r="Z839" s="585"/>
      <c r="AA839" s="585"/>
      <c r="AB839" s="585"/>
      <c r="AC839" s="585"/>
      <c r="AD839" s="585"/>
      <c r="AE839" s="585"/>
      <c r="AF839" s="585"/>
      <c r="AG839" s="585"/>
      <c r="AH839" s="585"/>
      <c r="AI839" s="585"/>
      <c r="AJ839" s="585"/>
      <c r="AK839" s="585"/>
      <c r="AL839" s="585"/>
      <c r="AM839" s="585"/>
      <c r="AN839" s="585"/>
      <c r="AO839" s="585"/>
      <c r="AP839" s="585"/>
      <c r="AQ839" s="585"/>
      <c r="AR839" s="422" t="e">
        <f>BT838</f>
        <v>#REF!</v>
      </c>
      <c r="AS839" s="1430" t="e">
        <f>BT838</f>
        <v>#REF!</v>
      </c>
      <c r="AT839" s="1430"/>
      <c r="AU839" s="1430"/>
      <c r="AV839" s="1430"/>
      <c r="AW839" s="1430"/>
      <c r="AX839" s="1430"/>
      <c r="AY839" s="1430"/>
      <c r="AZ839" s="1430"/>
      <c r="BA839" s="1430"/>
      <c r="BB839" s="1430"/>
      <c r="BC839" s="585"/>
      <c r="BD839" s="1431" t="s">
        <v>446</v>
      </c>
      <c r="BE839" s="1431"/>
      <c r="BF839" s="585"/>
      <c r="BG839" s="1431">
        <v>30</v>
      </c>
      <c r="BH839" s="1431"/>
      <c r="BI839" s="1431"/>
      <c r="BJ839" s="1431"/>
      <c r="BK839" s="1431"/>
      <c r="BL839" s="585" t="s">
        <v>1112</v>
      </c>
      <c r="BM839" s="585"/>
      <c r="BN839" s="585"/>
      <c r="BO839" s="585"/>
      <c r="BP839" s="1431" t="s">
        <v>41</v>
      </c>
      <c r="BQ839" s="1431"/>
      <c r="BR839" s="585"/>
      <c r="BS839" s="585"/>
      <c r="BT839" s="1432" t="e">
        <f>INT(AS839*BG839/100)</f>
        <v>#REF!</v>
      </c>
      <c r="BU839" s="1432"/>
      <c r="BV839" s="1432"/>
      <c r="BW839" s="1432"/>
      <c r="BX839" s="1432"/>
      <c r="BY839" s="1432"/>
      <c r="BZ839" s="1432"/>
      <c r="CA839" s="1432"/>
      <c r="CB839" s="1432"/>
      <c r="CC839" s="1432"/>
      <c r="CD839" s="585"/>
      <c r="CE839" s="585"/>
      <c r="CF839" s="586"/>
    </row>
    <row r="840" spans="1:84" s="583" customFormat="1" ht="23.1" customHeight="1" thickBot="1">
      <c r="A840" s="584"/>
      <c r="B840" s="585"/>
      <c r="C840" s="585"/>
      <c r="D840" s="585"/>
      <c r="E840" s="585"/>
      <c r="F840" s="585"/>
      <c r="G840" s="585"/>
      <c r="H840" s="585"/>
      <c r="I840" s="585"/>
      <c r="J840" s="585"/>
      <c r="K840" s="585"/>
      <c r="L840" s="585"/>
      <c r="M840" s="585"/>
      <c r="N840" s="585"/>
      <c r="O840" s="585"/>
      <c r="P840" s="585"/>
      <c r="Q840" s="585"/>
      <c r="R840" s="585"/>
      <c r="S840" s="585"/>
      <c r="T840" s="585"/>
      <c r="U840" s="585"/>
      <c r="V840" s="585"/>
      <c r="W840" s="585"/>
      <c r="X840" s="585"/>
      <c r="Y840" s="585"/>
      <c r="Z840" s="585"/>
      <c r="AA840" s="585"/>
      <c r="AB840" s="585"/>
      <c r="AC840" s="585"/>
      <c r="AD840" s="585"/>
      <c r="AE840" s="585"/>
      <c r="AF840" s="585"/>
      <c r="AG840" s="585"/>
      <c r="AH840" s="585"/>
      <c r="AI840" s="585"/>
      <c r="AJ840" s="585"/>
      <c r="AK840" s="585"/>
      <c r="AL840" s="585"/>
      <c r="AM840" s="585"/>
      <c r="AN840" s="585"/>
      <c r="AO840" s="585"/>
      <c r="AP840" s="585"/>
      <c r="AQ840" s="585"/>
      <c r="AR840" s="585"/>
      <c r="AS840" s="585"/>
      <c r="AT840" s="585"/>
      <c r="AU840" s="585"/>
      <c r="AV840" s="585"/>
      <c r="AW840" s="585"/>
      <c r="AX840" s="585"/>
      <c r="AY840" s="585"/>
      <c r="AZ840" s="585"/>
      <c r="BA840" s="585"/>
      <c r="BB840" s="585"/>
      <c r="BC840" s="585"/>
      <c r="BD840" s="585"/>
      <c r="BE840" s="585"/>
      <c r="BF840" s="585"/>
      <c r="BG840" s="585"/>
      <c r="BH840" s="585"/>
      <c r="BI840" s="585"/>
      <c r="BJ840" s="585"/>
      <c r="BK840" s="585"/>
      <c r="BL840" s="585"/>
      <c r="BM840" s="585"/>
      <c r="BN840" s="585"/>
      <c r="BO840" s="585"/>
      <c r="BP840" s="1431" t="s">
        <v>41</v>
      </c>
      <c r="BQ840" s="1431"/>
      <c r="BR840" s="585"/>
      <c r="BS840" s="585"/>
      <c r="BT840" s="1433" t="e">
        <f>BT838+BT839</f>
        <v>#REF!</v>
      </c>
      <c r="BU840" s="1433"/>
      <c r="BV840" s="1433"/>
      <c r="BW840" s="1433"/>
      <c r="BX840" s="1433"/>
      <c r="BY840" s="1433"/>
      <c r="BZ840" s="1433"/>
      <c r="CA840" s="1433"/>
      <c r="CB840" s="1433"/>
      <c r="CC840" s="1433"/>
      <c r="CD840" s="585"/>
      <c r="CE840" s="585"/>
      <c r="CF840" s="586"/>
    </row>
    <row r="841" spans="1:84" s="583" customFormat="1" ht="23.1" customHeight="1" thickBot="1">
      <c r="A841" s="597"/>
      <c r="B841" s="598" t="s">
        <v>1113</v>
      </c>
      <c r="C841" s="598"/>
      <c r="D841" s="598"/>
      <c r="E841" s="598"/>
      <c r="F841" s="598"/>
      <c r="G841" s="598"/>
      <c r="H841" s="598"/>
      <c r="I841" s="598"/>
      <c r="J841" s="598"/>
      <c r="K841" s="598"/>
      <c r="L841" s="598"/>
      <c r="M841" s="598"/>
      <c r="N841" s="598"/>
      <c r="O841" s="598"/>
      <c r="P841" s="598"/>
      <c r="Q841" s="598"/>
      <c r="R841" s="598"/>
      <c r="S841" s="598"/>
      <c r="T841" s="598"/>
      <c r="U841" s="598"/>
      <c r="V841" s="598"/>
      <c r="W841" s="598"/>
      <c r="X841" s="598"/>
      <c r="Y841" s="598"/>
      <c r="Z841" s="598"/>
      <c r="AA841" s="598"/>
      <c r="AB841" s="598"/>
      <c r="AC841" s="598"/>
      <c r="AD841" s="598"/>
      <c r="AE841" s="598"/>
      <c r="AF841" s="598"/>
      <c r="AG841" s="598"/>
      <c r="AH841" s="598"/>
      <c r="AI841" s="598"/>
      <c r="AJ841" s="598"/>
      <c r="AK841" s="598"/>
      <c r="AL841" s="598"/>
      <c r="AM841" s="598"/>
      <c r="AN841" s="598"/>
      <c r="AO841" s="598"/>
      <c r="AP841" s="598"/>
      <c r="AQ841" s="598"/>
      <c r="AR841" s="598"/>
      <c r="AS841" s="598"/>
      <c r="AT841" s="598"/>
      <c r="AU841" s="598"/>
      <c r="AV841" s="598"/>
      <c r="AW841" s="598"/>
      <c r="AX841" s="598"/>
      <c r="AY841" s="598"/>
      <c r="AZ841" s="598"/>
      <c r="BA841" s="598"/>
      <c r="BB841" s="598"/>
      <c r="BC841" s="598"/>
      <c r="BD841" s="598"/>
      <c r="BE841" s="598"/>
      <c r="BF841" s="598"/>
      <c r="BG841" s="598"/>
      <c r="BH841" s="598"/>
      <c r="BI841" s="598"/>
      <c r="BJ841" s="598"/>
      <c r="BK841" s="598"/>
      <c r="BL841" s="598"/>
      <c r="BM841" s="598"/>
      <c r="BN841" s="598"/>
      <c r="BO841" s="598"/>
      <c r="BP841" s="598"/>
      <c r="BQ841" s="598"/>
      <c r="BR841" s="598"/>
      <c r="BS841" s="598"/>
      <c r="BT841" s="1429" t="e">
        <f>BT832+BT836+BT840</f>
        <v>#REF!</v>
      </c>
      <c r="BU841" s="1429"/>
      <c r="BV841" s="1429"/>
      <c r="BW841" s="1429"/>
      <c r="BX841" s="1429"/>
      <c r="BY841" s="1429"/>
      <c r="BZ841" s="1429"/>
      <c r="CA841" s="1429"/>
      <c r="CB841" s="1429"/>
      <c r="CC841" s="1429"/>
      <c r="CD841" s="598"/>
      <c r="CE841" s="598"/>
      <c r="CF841" s="599"/>
    </row>
    <row r="842" spans="1:84" s="583" customFormat="1" ht="9.9499999999999993" customHeight="1">
      <c r="A842" s="574"/>
      <c r="B842" s="574"/>
      <c r="C842" s="574"/>
      <c r="D842" s="574"/>
      <c r="E842" s="574"/>
      <c r="F842" s="574"/>
      <c r="G842" s="574"/>
      <c r="H842" s="574"/>
      <c r="I842" s="574"/>
      <c r="J842" s="574"/>
      <c r="K842" s="574"/>
      <c r="L842" s="574"/>
      <c r="M842" s="574"/>
      <c r="N842" s="574"/>
      <c r="O842" s="574"/>
      <c r="P842" s="574"/>
      <c r="Q842" s="574"/>
      <c r="R842" s="574"/>
      <c r="S842" s="574"/>
      <c r="T842" s="574"/>
      <c r="U842" s="574"/>
      <c r="V842" s="574"/>
      <c r="W842" s="574"/>
      <c r="X842" s="574"/>
      <c r="Y842" s="574"/>
      <c r="Z842" s="574"/>
      <c r="AA842" s="574"/>
      <c r="AB842" s="574"/>
      <c r="AC842" s="574"/>
      <c r="AD842" s="574"/>
      <c r="AE842" s="574"/>
      <c r="AF842" s="574"/>
      <c r="AG842" s="574"/>
      <c r="AH842" s="574"/>
      <c r="AI842" s="574"/>
      <c r="AJ842" s="574"/>
      <c r="AK842" s="574"/>
      <c r="AL842" s="574"/>
      <c r="AM842" s="574"/>
      <c r="AN842" s="574"/>
      <c r="AO842" s="574"/>
      <c r="AP842" s="574"/>
      <c r="AQ842" s="574"/>
      <c r="AR842" s="574"/>
      <c r="AS842" s="574"/>
      <c r="AT842" s="574"/>
      <c r="AU842" s="574"/>
      <c r="AV842" s="574"/>
      <c r="AW842" s="574"/>
      <c r="AX842" s="574"/>
      <c r="AY842" s="574"/>
      <c r="AZ842" s="574"/>
      <c r="BA842" s="574"/>
      <c r="BB842" s="574"/>
      <c r="BC842" s="574"/>
      <c r="BD842" s="574"/>
      <c r="BE842" s="574"/>
      <c r="BF842" s="574"/>
      <c r="BG842" s="574"/>
      <c r="BH842" s="574"/>
      <c r="BI842" s="574"/>
      <c r="BJ842" s="574"/>
      <c r="BK842" s="574"/>
      <c r="BL842" s="574"/>
      <c r="BM842" s="574"/>
      <c r="BN842" s="574"/>
      <c r="BO842" s="574"/>
      <c r="BP842" s="574"/>
      <c r="BQ842" s="574"/>
      <c r="BR842" s="574"/>
      <c r="BS842" s="574"/>
      <c r="BT842" s="574"/>
      <c r="BU842" s="574"/>
      <c r="BV842" s="574"/>
      <c r="BW842" s="574"/>
      <c r="BX842" s="574"/>
      <c r="BY842" s="574"/>
      <c r="BZ842" s="574"/>
      <c r="CA842" s="574"/>
      <c r="CB842" s="574"/>
      <c r="CC842" s="574"/>
      <c r="CD842" s="574"/>
      <c r="CE842" s="574"/>
      <c r="CF842" s="574"/>
    </row>
    <row r="843" spans="1:84" s="583" customFormat="1" ht="23.1" customHeight="1" thickBot="1">
      <c r="A843" s="1446" t="s">
        <v>1095</v>
      </c>
      <c r="B843" s="1446"/>
      <c r="C843" s="1446"/>
      <c r="D843" s="1446"/>
      <c r="E843" s="1446"/>
      <c r="F843" s="1446"/>
      <c r="G843" s="1447">
        <f>G828+1</f>
        <v>57</v>
      </c>
      <c r="H843" s="1447"/>
      <c r="I843" s="1447"/>
      <c r="J843" s="1448" t="s">
        <v>1096</v>
      </c>
      <c r="K843" s="1448"/>
      <c r="L843" s="574"/>
      <c r="M843" s="574"/>
      <c r="N843" s="574"/>
      <c r="O843" s="574"/>
      <c r="P843" s="574"/>
      <c r="Q843" s="574"/>
      <c r="R843" s="574"/>
      <c r="S843" s="574"/>
      <c r="T843" s="574"/>
      <c r="U843" s="574"/>
      <c r="V843" s="574"/>
      <c r="W843" s="574"/>
      <c r="X843" s="574"/>
      <c r="Y843" s="574"/>
      <c r="Z843" s="574"/>
      <c r="AA843" s="574"/>
      <c r="AB843" s="574"/>
      <c r="AC843" s="574"/>
      <c r="AD843" s="574"/>
      <c r="AE843" s="574"/>
      <c r="AF843" s="574"/>
      <c r="AG843" s="574"/>
      <c r="AH843" s="574"/>
      <c r="AI843" s="574"/>
      <c r="AJ843" s="574"/>
      <c r="AK843" s="574"/>
      <c r="AL843" s="574"/>
      <c r="AM843" s="574"/>
      <c r="AN843" s="574"/>
      <c r="AO843" s="574"/>
      <c r="AP843" s="574"/>
      <c r="AQ843" s="574"/>
      <c r="AR843" s="574"/>
      <c r="AS843" s="574"/>
      <c r="AT843" s="574"/>
      <c r="AU843" s="574"/>
      <c r="AV843" s="574"/>
      <c r="AW843" s="574"/>
      <c r="AX843" s="574"/>
      <c r="AY843" s="574"/>
      <c r="AZ843" s="574"/>
      <c r="BA843" s="574"/>
      <c r="BB843" s="574"/>
      <c r="BC843" s="574"/>
      <c r="BD843" s="574"/>
      <c r="BE843" s="574"/>
      <c r="BF843" s="574"/>
      <c r="BG843" s="574"/>
      <c r="BH843" s="574"/>
      <c r="BI843" s="574"/>
      <c r="BJ843" s="574"/>
      <c r="BK843" s="574"/>
      <c r="BL843" s="574"/>
      <c r="BM843" s="574"/>
      <c r="BN843" s="574"/>
      <c r="BO843" s="574"/>
      <c r="BP843" s="574"/>
      <c r="BQ843" s="574"/>
      <c r="BR843" s="574"/>
      <c r="BS843" s="574"/>
      <c r="BT843" s="574"/>
      <c r="BU843" s="574"/>
      <c r="BV843" s="574"/>
      <c r="BW843" s="574"/>
      <c r="BX843" s="574"/>
      <c r="BY843" s="574"/>
      <c r="BZ843" s="574"/>
      <c r="CA843" s="574"/>
      <c r="CB843" s="574"/>
      <c r="CC843" s="574"/>
      <c r="CD843" s="574"/>
      <c r="CE843" s="574"/>
      <c r="CF843" s="574"/>
    </row>
    <row r="844" spans="1:84" s="583" customFormat="1" ht="23.1" customHeight="1" thickBot="1">
      <c r="A844" s="1483" t="s">
        <v>1097</v>
      </c>
      <c r="B844" s="1484"/>
      <c r="C844" s="1484"/>
      <c r="D844" s="1484"/>
      <c r="E844" s="1484"/>
      <c r="F844" s="1484"/>
      <c r="G844" s="1484"/>
      <c r="H844" s="1484"/>
      <c r="I844" s="581" t="s">
        <v>1188</v>
      </c>
      <c r="J844" s="581"/>
      <c r="K844" s="581"/>
      <c r="L844" s="581"/>
      <c r="M844" s="581"/>
      <c r="N844" s="581"/>
      <c r="O844" s="581"/>
      <c r="P844" s="581"/>
      <c r="Q844" s="581"/>
      <c r="R844" s="581"/>
      <c r="S844" s="581"/>
      <c r="T844" s="581"/>
      <c r="U844" s="581"/>
      <c r="V844" s="581"/>
      <c r="W844" s="581"/>
      <c r="X844" s="581"/>
      <c r="Y844" s="581"/>
      <c r="Z844" s="581"/>
      <c r="AA844" s="581"/>
      <c r="AB844" s="581"/>
      <c r="AC844" s="581"/>
      <c r="AD844" s="581"/>
      <c r="AE844" s="581"/>
      <c r="AF844" s="581"/>
      <c r="AG844" s="581"/>
      <c r="AH844" s="581"/>
      <c r="AI844" s="581"/>
      <c r="AJ844" s="1484" t="s">
        <v>1099</v>
      </c>
      <c r="AK844" s="1484"/>
      <c r="AL844" s="1484"/>
      <c r="AM844" s="1484"/>
      <c r="AN844" s="1484"/>
      <c r="AO844" s="1484"/>
      <c r="AP844" s="1484"/>
      <c r="AQ844" s="581" t="s">
        <v>1178</v>
      </c>
      <c r="AR844" s="581"/>
      <c r="AS844" s="581"/>
      <c r="AT844" s="581"/>
      <c r="AU844" s="581"/>
      <c r="AV844" s="581"/>
      <c r="AW844" s="581"/>
      <c r="AX844" s="581"/>
      <c r="AY844" s="581"/>
      <c r="AZ844" s="581"/>
      <c r="BA844" s="581"/>
      <c r="BB844" s="581"/>
      <c r="BC844" s="581"/>
      <c r="BD844" s="581"/>
      <c r="BE844" s="581"/>
      <c r="BF844" s="581"/>
      <c r="BG844" s="581"/>
      <c r="BH844" s="581"/>
      <c r="BI844" s="581"/>
      <c r="BJ844" s="581"/>
      <c r="BK844" s="581"/>
      <c r="BL844" s="581"/>
      <c r="BM844" s="581"/>
      <c r="BN844" s="581"/>
      <c r="BO844" s="581"/>
      <c r="BP844" s="581"/>
      <c r="BQ844" s="581"/>
      <c r="BR844" s="581"/>
      <c r="BS844" s="581"/>
      <c r="BT844" s="581" t="s">
        <v>1189</v>
      </c>
      <c r="BU844" s="581"/>
      <c r="BV844" s="581"/>
      <c r="BW844" s="581"/>
      <c r="BX844" s="581"/>
      <c r="BY844" s="581"/>
      <c r="BZ844" s="581"/>
      <c r="CA844" s="581"/>
      <c r="CB844" s="581"/>
      <c r="CC844" s="581"/>
      <c r="CD844" s="581"/>
      <c r="CE844" s="581"/>
      <c r="CF844" s="582"/>
    </row>
    <row r="845" spans="1:84" s="583" customFormat="1" ht="23.1" customHeight="1">
      <c r="A845" s="584"/>
      <c r="B845" s="585" t="s">
        <v>1102</v>
      </c>
      <c r="C845" s="585"/>
      <c r="D845" s="585"/>
      <c r="E845" s="585"/>
      <c r="F845" s="585"/>
      <c r="G845" s="585"/>
      <c r="H845" s="585"/>
      <c r="I845" s="585"/>
      <c r="J845" s="585"/>
      <c r="K845" s="585"/>
      <c r="L845" s="585"/>
      <c r="M845" s="585"/>
      <c r="N845" s="585"/>
      <c r="O845" s="585"/>
      <c r="P845" s="585"/>
      <c r="Q845" s="585"/>
      <c r="R845" s="585"/>
      <c r="S845" s="585"/>
      <c r="T845" s="585"/>
      <c r="U845" s="585"/>
      <c r="V845" s="585"/>
      <c r="W845" s="585"/>
      <c r="X845" s="585"/>
      <c r="Y845" s="585"/>
      <c r="Z845" s="585"/>
      <c r="AA845" s="585"/>
      <c r="AB845" s="585"/>
      <c r="AC845" s="585"/>
      <c r="AD845" s="585"/>
      <c r="AE845" s="585"/>
      <c r="AF845" s="585"/>
      <c r="AG845" s="585"/>
      <c r="AH845" s="585"/>
      <c r="AI845" s="585"/>
      <c r="AJ845" s="585"/>
      <c r="AK845" s="585"/>
      <c r="AL845" s="585"/>
      <c r="AM845" s="585"/>
      <c r="AN845" s="585"/>
      <c r="AO845" s="585"/>
      <c r="AP845" s="585"/>
      <c r="AQ845" s="585"/>
      <c r="AR845" s="585"/>
      <c r="AS845" s="585"/>
      <c r="AT845" s="585"/>
      <c r="AU845" s="585"/>
      <c r="AV845" s="585"/>
      <c r="AW845" s="585"/>
      <c r="AX845" s="585"/>
      <c r="AY845" s="585"/>
      <c r="AZ845" s="585"/>
      <c r="BA845" s="585"/>
      <c r="BB845" s="585"/>
      <c r="BC845" s="585"/>
      <c r="BD845" s="585"/>
      <c r="BE845" s="585"/>
      <c r="BF845" s="585"/>
      <c r="BG845" s="585"/>
      <c r="BH845" s="585"/>
      <c r="BI845" s="585"/>
      <c r="BJ845" s="585"/>
      <c r="BK845" s="585"/>
      <c r="BL845" s="585"/>
      <c r="BM845" s="585"/>
      <c r="BN845" s="585"/>
      <c r="BO845" s="585"/>
      <c r="BP845" s="585"/>
      <c r="BQ845" s="585"/>
      <c r="BR845" s="585"/>
      <c r="BS845" s="585"/>
      <c r="BT845" s="585"/>
      <c r="BU845" s="585"/>
      <c r="BV845" s="585"/>
      <c r="BW845" s="585"/>
      <c r="BX845" s="585"/>
      <c r="BY845" s="585"/>
      <c r="BZ845" s="585"/>
      <c r="CA845" s="585"/>
      <c r="CB845" s="585"/>
      <c r="CC845" s="585"/>
      <c r="CD845" s="585"/>
      <c r="CE845" s="585"/>
      <c r="CF845" s="586"/>
    </row>
    <row r="846" spans="1:84" s="583" customFormat="1" ht="23.1" customHeight="1">
      <c r="A846" s="587"/>
      <c r="B846" s="574"/>
      <c r="C846" s="574"/>
      <c r="D846" s="405"/>
      <c r="E846" s="574"/>
      <c r="F846" s="422"/>
      <c r="G846" s="422"/>
      <c r="H846" s="422"/>
      <c r="I846" s="422"/>
      <c r="J846" s="422"/>
      <c r="K846" s="422"/>
      <c r="L846" s="422"/>
      <c r="M846" s="422"/>
      <c r="N846" s="574"/>
      <c r="O846" s="574"/>
      <c r="P846" s="574"/>
      <c r="Q846" s="574"/>
      <c r="R846" s="574"/>
      <c r="S846" s="1430"/>
      <c r="T846" s="1430"/>
      <c r="U846" s="1430"/>
      <c r="V846" s="1430"/>
      <c r="W846" s="1430"/>
      <c r="X846" s="1430"/>
      <c r="Y846" s="1430"/>
      <c r="Z846" s="1430"/>
      <c r="AA846" s="574"/>
      <c r="AB846" s="588"/>
      <c r="AC846" s="1431"/>
      <c r="AD846" s="1431"/>
      <c r="AE846" s="1498"/>
      <c r="AF846" s="1498"/>
      <c r="AG846" s="1498"/>
      <c r="AH846" s="1498"/>
      <c r="AI846" s="1498"/>
      <c r="AJ846" s="1498"/>
      <c r="AK846" s="1498"/>
      <c r="AL846" s="1498"/>
      <c r="AM846" s="1431"/>
      <c r="AN846" s="1431"/>
      <c r="AO846" s="574"/>
      <c r="AP846" s="1486"/>
      <c r="AQ846" s="1486"/>
      <c r="AR846" s="1486"/>
      <c r="AS846" s="1486"/>
      <c r="AT846" s="1486"/>
      <c r="AU846" s="1486"/>
      <c r="AV846" s="1486"/>
      <c r="AW846" s="1486"/>
      <c r="AX846" s="1486"/>
      <c r="AY846" s="1486"/>
      <c r="AZ846" s="1486"/>
      <c r="BA846" s="1486"/>
      <c r="BB846" s="1486"/>
      <c r="BC846" s="1486"/>
      <c r="BD846" s="574"/>
      <c r="BE846" s="574"/>
      <c r="BF846" s="574"/>
      <c r="BG846" s="574"/>
      <c r="BH846" s="574"/>
      <c r="BI846" s="574"/>
      <c r="BJ846" s="574"/>
      <c r="BK846" s="574"/>
      <c r="BL846" s="574"/>
      <c r="BM846" s="574"/>
      <c r="BN846" s="574"/>
      <c r="BO846" s="574"/>
      <c r="BP846" s="574"/>
      <c r="BQ846" s="574"/>
      <c r="BR846" s="574"/>
      <c r="BS846" s="574"/>
      <c r="BT846" s="574"/>
      <c r="BU846" s="574"/>
      <c r="BV846" s="574"/>
      <c r="BW846" s="574"/>
      <c r="BX846" s="574"/>
      <c r="BY846" s="574"/>
      <c r="BZ846" s="574"/>
      <c r="CA846" s="574"/>
      <c r="CB846" s="574"/>
      <c r="CC846" s="574"/>
      <c r="CD846" s="574"/>
      <c r="CE846" s="574"/>
      <c r="CF846" s="589"/>
    </row>
    <row r="847" spans="1:84" s="583" customFormat="1" ht="23.1" customHeight="1">
      <c r="A847" s="584"/>
      <c r="B847" s="585"/>
      <c r="C847" s="585"/>
      <c r="D847" s="585"/>
      <c r="E847" s="585"/>
      <c r="F847" s="585"/>
      <c r="G847" s="585"/>
      <c r="H847" s="585"/>
      <c r="I847" s="585"/>
      <c r="J847" s="585"/>
      <c r="K847" s="585"/>
      <c r="L847" s="585"/>
      <c r="M847" s="585"/>
      <c r="N847" s="585"/>
      <c r="O847" s="585"/>
      <c r="P847" s="585"/>
      <c r="Q847" s="585"/>
      <c r="R847" s="585"/>
      <c r="S847" s="585"/>
      <c r="T847" s="585"/>
      <c r="U847" s="585"/>
      <c r="V847" s="590"/>
      <c r="W847" s="590"/>
      <c r="X847" s="590"/>
      <c r="Y847" s="590"/>
      <c r="Z847" s="590"/>
      <c r="AA847" s="590"/>
      <c r="AB847" s="590"/>
      <c r="AC847" s="590"/>
      <c r="AD847" s="574"/>
      <c r="AE847" s="1440">
        <v>62881000</v>
      </c>
      <c r="AF847" s="1440"/>
      <c r="AG847" s="1440"/>
      <c r="AH847" s="1440"/>
      <c r="AI847" s="1440"/>
      <c r="AJ847" s="1440"/>
      <c r="AK847" s="1440"/>
      <c r="AL847" s="1440"/>
      <c r="AM847" s="1440"/>
      <c r="AN847" s="1440"/>
      <c r="AO847" s="1440"/>
      <c r="AP847" s="1440"/>
      <c r="AQ847" s="1440"/>
      <c r="AR847" s="1440"/>
      <c r="AS847" s="1440"/>
      <c r="AT847" s="1431" t="s">
        <v>446</v>
      </c>
      <c r="AU847" s="1431"/>
      <c r="AV847" s="1441" t="s">
        <v>1103</v>
      </c>
      <c r="AW847" s="1441"/>
      <c r="AX847" s="1442">
        <v>1945</v>
      </c>
      <c r="AY847" s="1442"/>
      <c r="AZ847" s="1442"/>
      <c r="BA847" s="1442"/>
      <c r="BB847" s="1442"/>
      <c r="BC847" s="1442"/>
      <c r="BD847" s="585"/>
      <c r="BE847" s="1431" t="s">
        <v>446</v>
      </c>
      <c r="BF847" s="1431"/>
      <c r="BG847" s="585"/>
      <c r="BH847" s="591" t="s">
        <v>1104</v>
      </c>
      <c r="BI847" s="585"/>
      <c r="BJ847" s="585"/>
      <c r="BK847" s="585"/>
      <c r="BL847" s="1431" t="s">
        <v>1105</v>
      </c>
      <c r="BM847" s="1431"/>
      <c r="BN847" s="1431"/>
      <c r="BO847" s="585"/>
      <c r="BP847" s="1431" t="s">
        <v>41</v>
      </c>
      <c r="BQ847" s="1431"/>
      <c r="BR847" s="585"/>
      <c r="BS847" s="585"/>
      <c r="BT847" s="1437">
        <f>INT(AE847*AX847*10^-7)</f>
        <v>12230</v>
      </c>
      <c r="BU847" s="1437"/>
      <c r="BV847" s="1437"/>
      <c r="BW847" s="1437"/>
      <c r="BX847" s="1437"/>
      <c r="BY847" s="1437"/>
      <c r="BZ847" s="1437"/>
      <c r="CA847" s="1437"/>
      <c r="CB847" s="1437"/>
      <c r="CC847" s="1437"/>
      <c r="CD847" s="585"/>
      <c r="CE847" s="585"/>
      <c r="CF847" s="586"/>
    </row>
    <row r="848" spans="1:84" s="583" customFormat="1" ht="23.1" customHeight="1">
      <c r="A848" s="592"/>
      <c r="B848" s="593" t="s">
        <v>1106</v>
      </c>
      <c r="C848" s="593"/>
      <c r="D848" s="593"/>
      <c r="E848" s="593"/>
      <c r="F848" s="593"/>
      <c r="G848" s="593"/>
      <c r="H848" s="593"/>
      <c r="I848" s="593"/>
      <c r="J848" s="593"/>
      <c r="K848" s="593"/>
      <c r="L848" s="593"/>
      <c r="M848" s="593"/>
      <c r="N848" s="593"/>
      <c r="O848" s="593"/>
      <c r="P848" s="593"/>
      <c r="Q848" s="593"/>
      <c r="R848" s="593"/>
      <c r="S848" s="593"/>
      <c r="T848" s="593"/>
      <c r="U848" s="593"/>
      <c r="V848" s="593"/>
      <c r="W848" s="593"/>
      <c r="X848" s="593"/>
      <c r="Y848" s="593"/>
      <c r="Z848" s="593"/>
      <c r="AA848" s="593"/>
      <c r="AB848" s="593"/>
      <c r="AC848" s="593"/>
      <c r="AD848" s="593"/>
      <c r="AE848" s="593"/>
      <c r="AF848" s="593"/>
      <c r="AG848" s="593"/>
      <c r="AH848" s="593"/>
      <c r="AI848" s="593"/>
      <c r="AJ848" s="593"/>
      <c r="AK848" s="593"/>
      <c r="AL848" s="593"/>
      <c r="AM848" s="593"/>
      <c r="AN848" s="593"/>
      <c r="AO848" s="593"/>
      <c r="AP848" s="593"/>
      <c r="AQ848" s="593"/>
      <c r="AR848" s="593"/>
      <c r="AS848" s="593"/>
      <c r="AT848" s="593"/>
      <c r="AU848" s="593"/>
      <c r="AV848" s="593"/>
      <c r="AW848" s="593"/>
      <c r="AX848" s="593"/>
      <c r="AY848" s="593"/>
      <c r="AZ848" s="593"/>
      <c r="BA848" s="593"/>
      <c r="BB848" s="593"/>
      <c r="BC848" s="593"/>
      <c r="BD848" s="593"/>
      <c r="BE848" s="593"/>
      <c r="BF848" s="593"/>
      <c r="BG848" s="593"/>
      <c r="BH848" s="593"/>
      <c r="BI848" s="593"/>
      <c r="BJ848" s="593"/>
      <c r="BK848" s="593"/>
      <c r="BL848" s="593"/>
      <c r="BM848" s="593"/>
      <c r="BN848" s="593"/>
      <c r="BO848" s="593"/>
      <c r="BP848" s="593"/>
      <c r="BQ848" s="593"/>
      <c r="BR848" s="593"/>
      <c r="BS848" s="593"/>
      <c r="BT848" s="594"/>
      <c r="BU848" s="594"/>
      <c r="BV848" s="594"/>
      <c r="BW848" s="594"/>
      <c r="BX848" s="594"/>
      <c r="BY848" s="594"/>
      <c r="BZ848" s="594"/>
      <c r="CA848" s="594"/>
      <c r="CB848" s="594"/>
      <c r="CC848" s="594"/>
      <c r="CD848" s="593"/>
      <c r="CE848" s="593"/>
      <c r="CF848" s="595"/>
    </row>
    <row r="849" spans="1:84" s="583" customFormat="1" ht="23.1" customHeight="1">
      <c r="A849" s="584"/>
      <c r="B849" s="585"/>
      <c r="C849" s="585"/>
      <c r="D849" s="596" t="s">
        <v>268</v>
      </c>
      <c r="E849" s="585"/>
      <c r="F849" s="585"/>
      <c r="G849" s="585"/>
      <c r="H849" s="585"/>
      <c r="I849" s="585"/>
      <c r="J849" s="585"/>
      <c r="K849" s="585"/>
      <c r="L849" s="585"/>
      <c r="M849" s="585"/>
      <c r="N849" s="585"/>
      <c r="O849" s="585"/>
      <c r="P849" s="585"/>
      <c r="Q849" s="585"/>
      <c r="R849" s="585"/>
      <c r="S849" s="585"/>
      <c r="T849" s="574"/>
      <c r="U849" s="574"/>
      <c r="V849" s="1435">
        <f>HLOOKUP(D849,$CJ$1:$CM$3,3,0)</f>
        <v>283297</v>
      </c>
      <c r="W849" s="1435"/>
      <c r="X849" s="1435"/>
      <c r="Y849" s="1435"/>
      <c r="Z849" s="1435"/>
      <c r="AA849" s="1435"/>
      <c r="AB849" s="1435"/>
      <c r="AC849" s="1435"/>
      <c r="AD849" s="1435"/>
      <c r="AE849" s="1435"/>
      <c r="AF849" s="1431" t="s">
        <v>446</v>
      </c>
      <c r="AG849" s="1431"/>
      <c r="AH849" s="574"/>
      <c r="AI849" s="1436" t="s">
        <v>1107</v>
      </c>
      <c r="AJ849" s="1436"/>
      <c r="AK849" s="1436"/>
      <c r="AL849" s="1436"/>
      <c r="AM849" s="585"/>
      <c r="AN849" s="1431" t="s">
        <v>446</v>
      </c>
      <c r="AO849" s="1431"/>
      <c r="AP849" s="585"/>
      <c r="AQ849" s="1436" t="s">
        <v>1108</v>
      </c>
      <c r="AR849" s="1436"/>
      <c r="AS849" s="1436"/>
      <c r="AT849" s="1436"/>
      <c r="AU849" s="1436"/>
      <c r="AV849" s="422"/>
      <c r="AW849" s="1431" t="s">
        <v>446</v>
      </c>
      <c r="AX849" s="1431"/>
      <c r="AY849" s="440"/>
      <c r="AZ849" s="1436" t="s">
        <v>1109</v>
      </c>
      <c r="BA849" s="1436"/>
      <c r="BB849" s="1436"/>
      <c r="BC849" s="1436"/>
      <c r="BD849" s="1436"/>
      <c r="BE849" s="585"/>
      <c r="BF849" s="1431" t="s">
        <v>446</v>
      </c>
      <c r="BG849" s="1431"/>
      <c r="BH849" s="1431">
        <v>1</v>
      </c>
      <c r="BI849" s="1431"/>
      <c r="BJ849" s="1431"/>
      <c r="BK849" s="585"/>
      <c r="BL849" s="585" t="s">
        <v>366</v>
      </c>
      <c r="BM849" s="585"/>
      <c r="BN849" s="585"/>
      <c r="BO849" s="585"/>
      <c r="BP849" s="1431" t="s">
        <v>41</v>
      </c>
      <c r="BQ849" s="1431"/>
      <c r="BR849" s="585"/>
      <c r="BS849" s="585"/>
      <c r="BT849" s="1432">
        <f>INT(V849/8*16/12*25/20*BH849)</f>
        <v>59020</v>
      </c>
      <c r="BU849" s="1432"/>
      <c r="BV849" s="1432"/>
      <c r="BW849" s="1432"/>
      <c r="BX849" s="1432"/>
      <c r="BY849" s="1432"/>
      <c r="BZ849" s="1432"/>
      <c r="CA849" s="1432"/>
      <c r="CB849" s="1432"/>
      <c r="CC849" s="1432"/>
      <c r="CD849" s="585"/>
      <c r="CE849" s="585"/>
      <c r="CF849" s="586"/>
    </row>
    <row r="850" spans="1:84" s="583" customFormat="1" ht="23.1" customHeight="1">
      <c r="A850" s="584"/>
      <c r="B850" s="585"/>
      <c r="C850" s="585"/>
      <c r="D850" s="585"/>
      <c r="E850" s="585"/>
      <c r="F850" s="585"/>
      <c r="G850" s="585"/>
      <c r="H850" s="585"/>
      <c r="I850" s="585"/>
      <c r="J850" s="585"/>
      <c r="K850" s="585"/>
      <c r="L850" s="585"/>
      <c r="M850" s="585"/>
      <c r="N850" s="585"/>
      <c r="O850" s="585"/>
      <c r="P850" s="574"/>
      <c r="Q850" s="574"/>
      <c r="R850" s="574"/>
      <c r="S850" s="574"/>
      <c r="T850" s="574"/>
      <c r="U850" s="574"/>
      <c r="V850" s="574"/>
      <c r="W850" s="574"/>
      <c r="X850" s="574"/>
      <c r="Y850" s="574"/>
      <c r="Z850" s="574"/>
      <c r="AA850" s="574"/>
      <c r="AB850" s="574"/>
      <c r="AC850" s="574"/>
      <c r="AD850" s="574"/>
      <c r="AE850" s="574"/>
      <c r="AF850" s="574"/>
      <c r="AG850" s="574"/>
      <c r="AH850" s="574"/>
      <c r="AI850" s="574"/>
      <c r="AJ850" s="574"/>
      <c r="AK850" s="574"/>
      <c r="AL850" s="574"/>
      <c r="AM850" s="574"/>
      <c r="AN850" s="574"/>
      <c r="AO850" s="574"/>
      <c r="AP850" s="574"/>
      <c r="AQ850" s="574"/>
      <c r="AR850" s="574"/>
      <c r="AS850" s="574"/>
      <c r="AT850" s="574"/>
      <c r="AU850" s="574"/>
      <c r="AV850" s="574"/>
      <c r="AW850" s="574"/>
      <c r="AX850" s="574"/>
      <c r="AY850" s="574"/>
      <c r="AZ850" s="574"/>
      <c r="BA850" s="574"/>
      <c r="BB850" s="574"/>
      <c r="BC850" s="574"/>
      <c r="BD850" s="574"/>
      <c r="BE850" s="574"/>
      <c r="BF850" s="574"/>
      <c r="BG850" s="585"/>
      <c r="BH850" s="585"/>
      <c r="BI850" s="585"/>
      <c r="BJ850" s="585"/>
      <c r="BK850" s="585"/>
      <c r="BL850" s="585"/>
      <c r="BM850" s="585"/>
      <c r="BN850" s="585"/>
      <c r="BO850" s="585"/>
      <c r="BP850" s="1431"/>
      <c r="BQ850" s="1431"/>
      <c r="BR850" s="585"/>
      <c r="BS850" s="585"/>
      <c r="BT850" s="1432"/>
      <c r="BU850" s="1432"/>
      <c r="BV850" s="1432"/>
      <c r="BW850" s="1432"/>
      <c r="BX850" s="1432"/>
      <c r="BY850" s="1432"/>
      <c r="BZ850" s="1432"/>
      <c r="CA850" s="1432"/>
      <c r="CB850" s="1432"/>
      <c r="CC850" s="1432"/>
      <c r="CD850" s="585"/>
      <c r="CE850" s="585"/>
      <c r="CF850" s="586"/>
    </row>
    <row r="851" spans="1:84" s="583" customFormat="1" ht="23.1" customHeight="1">
      <c r="A851" s="584"/>
      <c r="B851" s="585"/>
      <c r="C851" s="585"/>
      <c r="D851" s="585"/>
      <c r="E851" s="585"/>
      <c r="F851" s="585"/>
      <c r="G851" s="585"/>
      <c r="H851" s="585"/>
      <c r="I851" s="585"/>
      <c r="J851" s="585"/>
      <c r="K851" s="585"/>
      <c r="L851" s="585"/>
      <c r="M851" s="585"/>
      <c r="N851" s="585"/>
      <c r="O851" s="585"/>
      <c r="P851" s="585"/>
      <c r="Q851" s="585"/>
      <c r="R851" s="585"/>
      <c r="S851" s="585"/>
      <c r="T851" s="585"/>
      <c r="U851" s="585"/>
      <c r="V851" s="585"/>
      <c r="W851" s="585"/>
      <c r="X851" s="585"/>
      <c r="Y851" s="585"/>
      <c r="Z851" s="585"/>
      <c r="AA851" s="585"/>
      <c r="AB851" s="585"/>
      <c r="AC851" s="585"/>
      <c r="AD851" s="574"/>
      <c r="AE851" s="574"/>
      <c r="AF851" s="574"/>
      <c r="AG851" s="574"/>
      <c r="AH851" s="574"/>
      <c r="AI851" s="574"/>
      <c r="AJ851" s="574"/>
      <c r="AK851" s="574"/>
      <c r="AL851" s="574"/>
      <c r="AM851" s="574"/>
      <c r="AN851" s="574"/>
      <c r="AO851" s="574"/>
      <c r="AP851" s="574"/>
      <c r="AQ851" s="574"/>
      <c r="AR851" s="574"/>
      <c r="AS851" s="585"/>
      <c r="AT851" s="590"/>
      <c r="AU851" s="590"/>
      <c r="AV851" s="585"/>
      <c r="AW851" s="585"/>
      <c r="AX851" s="585"/>
      <c r="AY851" s="585"/>
      <c r="AZ851" s="585"/>
      <c r="BA851" s="585"/>
      <c r="BB851" s="585"/>
      <c r="BC851" s="585"/>
      <c r="BD851" s="585"/>
      <c r="BE851" s="585"/>
      <c r="BF851" s="585"/>
      <c r="BG851" s="585"/>
      <c r="BH851" s="585"/>
      <c r="BI851" s="585"/>
      <c r="BJ851" s="585"/>
      <c r="BK851" s="585"/>
      <c r="BL851" s="585"/>
      <c r="BM851" s="585"/>
      <c r="BN851" s="585"/>
      <c r="BO851" s="585"/>
      <c r="BP851" s="1431" t="s">
        <v>41</v>
      </c>
      <c r="BQ851" s="1431"/>
      <c r="BR851" s="585"/>
      <c r="BS851" s="585"/>
      <c r="BT851" s="1434">
        <f>BT849+BT850</f>
        <v>59020</v>
      </c>
      <c r="BU851" s="1434"/>
      <c r="BV851" s="1434"/>
      <c r="BW851" s="1434"/>
      <c r="BX851" s="1434"/>
      <c r="BY851" s="1434"/>
      <c r="BZ851" s="1434"/>
      <c r="CA851" s="1434"/>
      <c r="CB851" s="1434"/>
      <c r="CC851" s="1434"/>
      <c r="CD851" s="585"/>
      <c r="CE851" s="585"/>
      <c r="CF851" s="586"/>
    </row>
    <row r="852" spans="1:84" s="583" customFormat="1" ht="23.1" customHeight="1">
      <c r="A852" s="592"/>
      <c r="B852" s="593" t="s">
        <v>1110</v>
      </c>
      <c r="C852" s="593"/>
      <c r="D852" s="593"/>
      <c r="E852" s="593"/>
      <c r="F852" s="593"/>
      <c r="G852" s="593"/>
      <c r="H852" s="593"/>
      <c r="I852" s="593"/>
      <c r="J852" s="593"/>
      <c r="K852" s="593"/>
      <c r="L852" s="593"/>
      <c r="M852" s="593"/>
      <c r="N852" s="593"/>
      <c r="O852" s="593"/>
      <c r="P852" s="593"/>
      <c r="Q852" s="593"/>
      <c r="R852" s="593"/>
      <c r="S852" s="593"/>
      <c r="T852" s="593"/>
      <c r="U852" s="593"/>
      <c r="V852" s="593"/>
      <c r="W852" s="593"/>
      <c r="X852" s="593"/>
      <c r="Y852" s="593"/>
      <c r="Z852" s="593"/>
      <c r="AA852" s="593"/>
      <c r="AB852" s="593"/>
      <c r="AC852" s="593"/>
      <c r="AD852" s="593"/>
      <c r="AE852" s="593"/>
      <c r="AF852" s="593"/>
      <c r="AG852" s="593"/>
      <c r="AH852" s="593"/>
      <c r="AI852" s="593"/>
      <c r="AJ852" s="593"/>
      <c r="AK852" s="593"/>
      <c r="AL852" s="593"/>
      <c r="AM852" s="593"/>
      <c r="AN852" s="593"/>
      <c r="AO852" s="593"/>
      <c r="AP852" s="593"/>
      <c r="AQ852" s="593"/>
      <c r="AR852" s="593"/>
      <c r="AS852" s="593"/>
      <c r="AT852" s="593"/>
      <c r="AU852" s="593"/>
      <c r="AV852" s="593"/>
      <c r="AW852" s="593"/>
      <c r="AX852" s="593"/>
      <c r="AY852" s="593"/>
      <c r="AZ852" s="593"/>
      <c r="BA852" s="593"/>
      <c r="BB852" s="593"/>
      <c r="BC852" s="593"/>
      <c r="BD852" s="593"/>
      <c r="BE852" s="593"/>
      <c r="BF852" s="593"/>
      <c r="BG852" s="593"/>
      <c r="BH852" s="593"/>
      <c r="BI852" s="593"/>
      <c r="BJ852" s="593"/>
      <c r="BK852" s="593"/>
      <c r="BL852" s="593"/>
      <c r="BM852" s="593"/>
      <c r="BN852" s="593"/>
      <c r="BO852" s="593"/>
      <c r="BP852" s="593"/>
      <c r="BQ852" s="593"/>
      <c r="BR852" s="593"/>
      <c r="BS852" s="593"/>
      <c r="BT852" s="593"/>
      <c r="BU852" s="593"/>
      <c r="BV852" s="593"/>
      <c r="BW852" s="593"/>
      <c r="BX852" s="593"/>
      <c r="BY852" s="593"/>
      <c r="BZ852" s="593"/>
      <c r="CA852" s="593"/>
      <c r="CB852" s="593"/>
      <c r="CC852" s="593"/>
      <c r="CD852" s="593"/>
      <c r="CE852" s="593"/>
      <c r="CF852" s="595"/>
    </row>
    <row r="853" spans="1:84" s="583" customFormat="1" ht="23.1" customHeight="1">
      <c r="A853" s="584"/>
      <c r="B853" s="585"/>
      <c r="C853" s="585"/>
      <c r="D853" s="596" t="s">
        <v>1094</v>
      </c>
      <c r="E853" s="585"/>
      <c r="F853" s="585"/>
      <c r="G853" s="585"/>
      <c r="H853" s="585"/>
      <c r="I853" s="585"/>
      <c r="J853" s="585"/>
      <c r="K853" s="585"/>
      <c r="L853" s="585"/>
      <c r="M853" s="585"/>
      <c r="N853" s="585"/>
      <c r="O853" s="585"/>
      <c r="P853" s="585"/>
      <c r="Q853" s="585"/>
      <c r="R853" s="585"/>
      <c r="S853" s="585"/>
      <c r="T853" s="585"/>
      <c r="U853" s="585"/>
      <c r="V853" s="585"/>
      <c r="W853" s="585"/>
      <c r="X853" s="585"/>
      <c r="Y853" s="585"/>
      <c r="Z853" s="585"/>
      <c r="AA853" s="585"/>
      <c r="AB853" s="585"/>
      <c r="AC853" s="585"/>
      <c r="AD853" s="585"/>
      <c r="AE853" s="585"/>
      <c r="AF853" s="585"/>
      <c r="AG853" s="585"/>
      <c r="AH853" s="585"/>
      <c r="AI853" s="585"/>
      <c r="AJ853" s="585"/>
      <c r="AK853" s="585"/>
      <c r="AL853" s="585"/>
      <c r="AM853" s="585"/>
      <c r="AN853" s="585"/>
      <c r="AO853" s="585"/>
      <c r="AP853" s="585"/>
      <c r="AQ853" s="585"/>
      <c r="AR853" s="422"/>
      <c r="AS853" s="1435" t="e">
        <f>HLOOKUP(D853,$CN$1:$CO$3,3,0)</f>
        <v>#REF!</v>
      </c>
      <c r="AT853" s="1435"/>
      <c r="AU853" s="1435"/>
      <c r="AV853" s="1435"/>
      <c r="AW853" s="1435"/>
      <c r="AX853" s="1435"/>
      <c r="AY853" s="1435"/>
      <c r="AZ853" s="1435"/>
      <c r="BA853" s="1435"/>
      <c r="BB853" s="1435"/>
      <c r="BC853" s="585"/>
      <c r="BD853" s="1431" t="s">
        <v>446</v>
      </c>
      <c r="BE853" s="1431"/>
      <c r="BF853" s="585"/>
      <c r="BG853" s="1431">
        <v>4.9000000000000004</v>
      </c>
      <c r="BH853" s="1431"/>
      <c r="BI853" s="1431"/>
      <c r="BJ853" s="1431"/>
      <c r="BK853" s="1431"/>
      <c r="BL853" s="585" t="s">
        <v>1111</v>
      </c>
      <c r="BM853" s="585"/>
      <c r="BN853" s="585"/>
      <c r="BO853" s="585"/>
      <c r="BP853" s="1431" t="s">
        <v>41</v>
      </c>
      <c r="BQ853" s="1431"/>
      <c r="BR853" s="585"/>
      <c r="BS853" s="585"/>
      <c r="BT853" s="1432" t="e">
        <f>INT(AS853*BG853)</f>
        <v>#REF!</v>
      </c>
      <c r="BU853" s="1432"/>
      <c r="BV853" s="1432"/>
      <c r="BW853" s="1432"/>
      <c r="BX853" s="1432"/>
      <c r="BY853" s="1432"/>
      <c r="BZ853" s="1432"/>
      <c r="CA853" s="1432"/>
      <c r="CB853" s="1432"/>
      <c r="CC853" s="1432"/>
      <c r="CD853" s="585"/>
      <c r="CE853" s="585"/>
      <c r="CF853" s="586"/>
    </row>
    <row r="854" spans="1:84" s="583" customFormat="1" ht="23.1" customHeight="1">
      <c r="A854" s="584"/>
      <c r="B854" s="585"/>
      <c r="C854" s="585"/>
      <c r="D854" s="591" t="str">
        <f>"잡재료 (주연료의 "&amp;BG854&amp;"%) :"</f>
        <v>잡재료 (주연료의 23%) :</v>
      </c>
      <c r="E854" s="585"/>
      <c r="F854" s="585"/>
      <c r="G854" s="585"/>
      <c r="H854" s="585"/>
      <c r="I854" s="585"/>
      <c r="J854" s="585"/>
      <c r="K854" s="585"/>
      <c r="L854" s="585"/>
      <c r="M854" s="585"/>
      <c r="N854" s="585"/>
      <c r="O854" s="585"/>
      <c r="P854" s="585"/>
      <c r="Q854" s="585"/>
      <c r="R854" s="585"/>
      <c r="S854" s="585"/>
      <c r="T854" s="585"/>
      <c r="U854" s="585"/>
      <c r="V854" s="585"/>
      <c r="W854" s="585"/>
      <c r="X854" s="585"/>
      <c r="Y854" s="585"/>
      <c r="Z854" s="585"/>
      <c r="AA854" s="585"/>
      <c r="AB854" s="585"/>
      <c r="AC854" s="585"/>
      <c r="AD854" s="585"/>
      <c r="AE854" s="585"/>
      <c r="AF854" s="585"/>
      <c r="AG854" s="585"/>
      <c r="AH854" s="585"/>
      <c r="AI854" s="585"/>
      <c r="AJ854" s="585"/>
      <c r="AK854" s="585"/>
      <c r="AL854" s="585"/>
      <c r="AM854" s="585"/>
      <c r="AN854" s="585"/>
      <c r="AO854" s="585"/>
      <c r="AP854" s="585"/>
      <c r="AQ854" s="585"/>
      <c r="AR854" s="422" t="e">
        <f>BT853</f>
        <v>#REF!</v>
      </c>
      <c r="AS854" s="1430" t="e">
        <f>BT853</f>
        <v>#REF!</v>
      </c>
      <c r="AT854" s="1430"/>
      <c r="AU854" s="1430"/>
      <c r="AV854" s="1430"/>
      <c r="AW854" s="1430"/>
      <c r="AX854" s="1430"/>
      <c r="AY854" s="1430"/>
      <c r="AZ854" s="1430"/>
      <c r="BA854" s="1430"/>
      <c r="BB854" s="1430"/>
      <c r="BC854" s="585"/>
      <c r="BD854" s="1431" t="s">
        <v>446</v>
      </c>
      <c r="BE854" s="1431"/>
      <c r="BF854" s="585"/>
      <c r="BG854" s="1431">
        <v>23</v>
      </c>
      <c r="BH854" s="1431"/>
      <c r="BI854" s="1431"/>
      <c r="BJ854" s="1431"/>
      <c r="BK854" s="1431"/>
      <c r="BL854" s="585" t="s">
        <v>1112</v>
      </c>
      <c r="BM854" s="585"/>
      <c r="BN854" s="585"/>
      <c r="BO854" s="585"/>
      <c r="BP854" s="1431" t="s">
        <v>41</v>
      </c>
      <c r="BQ854" s="1431"/>
      <c r="BR854" s="585"/>
      <c r="BS854" s="585"/>
      <c r="BT854" s="1432" t="e">
        <f>INT(AS854*BG854/100)</f>
        <v>#REF!</v>
      </c>
      <c r="BU854" s="1432"/>
      <c r="BV854" s="1432"/>
      <c r="BW854" s="1432"/>
      <c r="BX854" s="1432"/>
      <c r="BY854" s="1432"/>
      <c r="BZ854" s="1432"/>
      <c r="CA854" s="1432"/>
      <c r="CB854" s="1432"/>
      <c r="CC854" s="1432"/>
      <c r="CD854" s="585"/>
      <c r="CE854" s="585"/>
      <c r="CF854" s="586"/>
    </row>
    <row r="855" spans="1:84" s="583" customFormat="1" ht="23.1" customHeight="1" thickBot="1">
      <c r="A855" s="584"/>
      <c r="B855" s="585"/>
      <c r="C855" s="585"/>
      <c r="D855" s="585"/>
      <c r="E855" s="585"/>
      <c r="F855" s="585"/>
      <c r="G855" s="585"/>
      <c r="H855" s="585"/>
      <c r="I855" s="585"/>
      <c r="J855" s="585"/>
      <c r="K855" s="585"/>
      <c r="L855" s="585"/>
      <c r="M855" s="585"/>
      <c r="N855" s="585"/>
      <c r="O855" s="585"/>
      <c r="P855" s="585"/>
      <c r="Q855" s="585"/>
      <c r="R855" s="585"/>
      <c r="S855" s="585"/>
      <c r="T855" s="585"/>
      <c r="U855" s="585"/>
      <c r="V855" s="585"/>
      <c r="W855" s="585"/>
      <c r="X855" s="585"/>
      <c r="Y855" s="585"/>
      <c r="Z855" s="585"/>
      <c r="AA855" s="585"/>
      <c r="AB855" s="585"/>
      <c r="AC855" s="585"/>
      <c r="AD855" s="585"/>
      <c r="AE855" s="585"/>
      <c r="AF855" s="585"/>
      <c r="AG855" s="585"/>
      <c r="AH855" s="585"/>
      <c r="AI855" s="585"/>
      <c r="AJ855" s="585"/>
      <c r="AK855" s="585"/>
      <c r="AL855" s="585"/>
      <c r="AM855" s="585"/>
      <c r="AN855" s="585"/>
      <c r="AO855" s="585"/>
      <c r="AP855" s="585"/>
      <c r="AQ855" s="585"/>
      <c r="AR855" s="585"/>
      <c r="AS855" s="585"/>
      <c r="AT855" s="585"/>
      <c r="AU855" s="585"/>
      <c r="AV855" s="585"/>
      <c r="AW855" s="585"/>
      <c r="AX855" s="585"/>
      <c r="AY855" s="585"/>
      <c r="AZ855" s="585"/>
      <c r="BA855" s="585"/>
      <c r="BB855" s="585"/>
      <c r="BC855" s="585"/>
      <c r="BD855" s="585"/>
      <c r="BE855" s="585"/>
      <c r="BF855" s="585"/>
      <c r="BG855" s="585"/>
      <c r="BH855" s="585"/>
      <c r="BI855" s="585"/>
      <c r="BJ855" s="585"/>
      <c r="BK855" s="585"/>
      <c r="BL855" s="585"/>
      <c r="BM855" s="585"/>
      <c r="BN855" s="585"/>
      <c r="BO855" s="585"/>
      <c r="BP855" s="1431" t="s">
        <v>41</v>
      </c>
      <c r="BQ855" s="1431"/>
      <c r="BR855" s="585"/>
      <c r="BS855" s="585"/>
      <c r="BT855" s="1433" t="e">
        <f>BT853+BT854</f>
        <v>#REF!</v>
      </c>
      <c r="BU855" s="1433"/>
      <c r="BV855" s="1433"/>
      <c r="BW855" s="1433"/>
      <c r="BX855" s="1433"/>
      <c r="BY855" s="1433"/>
      <c r="BZ855" s="1433"/>
      <c r="CA855" s="1433"/>
      <c r="CB855" s="1433"/>
      <c r="CC855" s="1433"/>
      <c r="CD855" s="585"/>
      <c r="CE855" s="585"/>
      <c r="CF855" s="586"/>
    </row>
    <row r="856" spans="1:84" s="583" customFormat="1" ht="23.1" customHeight="1" thickBot="1">
      <c r="A856" s="597"/>
      <c r="B856" s="598" t="s">
        <v>1113</v>
      </c>
      <c r="C856" s="598"/>
      <c r="D856" s="598"/>
      <c r="E856" s="598"/>
      <c r="F856" s="598"/>
      <c r="G856" s="598"/>
      <c r="H856" s="598"/>
      <c r="I856" s="598"/>
      <c r="J856" s="598"/>
      <c r="K856" s="598"/>
      <c r="L856" s="598"/>
      <c r="M856" s="598"/>
      <c r="N856" s="598"/>
      <c r="O856" s="598"/>
      <c r="P856" s="598"/>
      <c r="Q856" s="598"/>
      <c r="R856" s="598"/>
      <c r="S856" s="598"/>
      <c r="T856" s="598"/>
      <c r="U856" s="598"/>
      <c r="V856" s="598"/>
      <c r="W856" s="598"/>
      <c r="X856" s="598"/>
      <c r="Y856" s="598"/>
      <c r="Z856" s="598"/>
      <c r="AA856" s="598"/>
      <c r="AB856" s="598"/>
      <c r="AC856" s="598"/>
      <c r="AD856" s="598"/>
      <c r="AE856" s="598"/>
      <c r="AF856" s="598"/>
      <c r="AG856" s="598"/>
      <c r="AH856" s="598"/>
      <c r="AI856" s="598"/>
      <c r="AJ856" s="598"/>
      <c r="AK856" s="598"/>
      <c r="AL856" s="598"/>
      <c r="AM856" s="598"/>
      <c r="AN856" s="598"/>
      <c r="AO856" s="598"/>
      <c r="AP856" s="598"/>
      <c r="AQ856" s="598"/>
      <c r="AR856" s="598"/>
      <c r="AS856" s="598"/>
      <c r="AT856" s="598"/>
      <c r="AU856" s="598"/>
      <c r="AV856" s="598"/>
      <c r="AW856" s="598"/>
      <c r="AX856" s="598"/>
      <c r="AY856" s="598"/>
      <c r="AZ856" s="598"/>
      <c r="BA856" s="598"/>
      <c r="BB856" s="598"/>
      <c r="BC856" s="598"/>
      <c r="BD856" s="598"/>
      <c r="BE856" s="598"/>
      <c r="BF856" s="598"/>
      <c r="BG856" s="598"/>
      <c r="BH856" s="598"/>
      <c r="BI856" s="598"/>
      <c r="BJ856" s="598"/>
      <c r="BK856" s="598"/>
      <c r="BL856" s="598"/>
      <c r="BM856" s="598"/>
      <c r="BN856" s="598"/>
      <c r="BO856" s="598"/>
      <c r="BP856" s="598"/>
      <c r="BQ856" s="598"/>
      <c r="BR856" s="598"/>
      <c r="BS856" s="598"/>
      <c r="BT856" s="1429" t="e">
        <f>BT847+BT851+BT855</f>
        <v>#REF!</v>
      </c>
      <c r="BU856" s="1429"/>
      <c r="BV856" s="1429"/>
      <c r="BW856" s="1429"/>
      <c r="BX856" s="1429"/>
      <c r="BY856" s="1429"/>
      <c r="BZ856" s="1429"/>
      <c r="CA856" s="1429"/>
      <c r="CB856" s="1429"/>
      <c r="CC856" s="1429"/>
      <c r="CD856" s="598"/>
      <c r="CE856" s="598"/>
      <c r="CF856" s="599"/>
    </row>
    <row r="857" spans="1:84" s="583" customFormat="1" ht="9.9499999999999993" customHeight="1">
      <c r="A857" s="574"/>
      <c r="B857" s="574"/>
      <c r="C857" s="574"/>
      <c r="D857" s="574"/>
      <c r="E857" s="574"/>
      <c r="F857" s="574"/>
      <c r="G857" s="574"/>
      <c r="H857" s="574"/>
      <c r="I857" s="574"/>
      <c r="J857" s="574"/>
      <c r="K857" s="574"/>
      <c r="L857" s="574"/>
      <c r="M857" s="574"/>
      <c r="N857" s="574"/>
      <c r="O857" s="574"/>
      <c r="P857" s="574"/>
      <c r="Q857" s="574"/>
      <c r="R857" s="574"/>
      <c r="S857" s="574"/>
      <c r="T857" s="574"/>
      <c r="U857" s="574"/>
      <c r="V857" s="574"/>
      <c r="W857" s="574"/>
      <c r="X857" s="574"/>
      <c r="Y857" s="574"/>
      <c r="Z857" s="574"/>
      <c r="AA857" s="574"/>
      <c r="AB857" s="574"/>
      <c r="AC857" s="574"/>
      <c r="AD857" s="574"/>
      <c r="AE857" s="574"/>
      <c r="AF857" s="574"/>
      <c r="AG857" s="574"/>
      <c r="AH857" s="574"/>
      <c r="AI857" s="574"/>
      <c r="AJ857" s="574"/>
      <c r="AK857" s="574"/>
      <c r="AL857" s="574"/>
      <c r="AM857" s="574"/>
      <c r="AN857" s="574"/>
      <c r="AO857" s="574"/>
      <c r="AP857" s="574"/>
      <c r="AQ857" s="574"/>
      <c r="AR857" s="574"/>
      <c r="AS857" s="574"/>
      <c r="AT857" s="574"/>
      <c r="AU857" s="574"/>
      <c r="AV857" s="574"/>
      <c r="AW857" s="574"/>
      <c r="AX857" s="574"/>
      <c r="AY857" s="574"/>
      <c r="AZ857" s="574"/>
      <c r="BA857" s="574"/>
      <c r="BB857" s="574"/>
      <c r="BC857" s="574"/>
      <c r="BD857" s="574"/>
      <c r="BE857" s="574"/>
      <c r="BF857" s="574"/>
      <c r="BG857" s="574"/>
      <c r="BH857" s="574"/>
      <c r="BI857" s="574"/>
      <c r="BJ857" s="574"/>
      <c r="BK857" s="574"/>
      <c r="BL857" s="574"/>
      <c r="BM857" s="574"/>
      <c r="BN857" s="574"/>
      <c r="BO857" s="574"/>
      <c r="BP857" s="574"/>
      <c r="BQ857" s="574"/>
      <c r="BR857" s="574"/>
      <c r="BS857" s="574"/>
      <c r="BT857" s="574"/>
      <c r="BU857" s="574"/>
      <c r="BV857" s="574"/>
      <c r="BW857" s="574"/>
      <c r="BX857" s="574"/>
      <c r="BY857" s="574"/>
      <c r="BZ857" s="574"/>
      <c r="CA857" s="574"/>
      <c r="CB857" s="574"/>
      <c r="CC857" s="574"/>
      <c r="CD857" s="574"/>
      <c r="CE857" s="574"/>
      <c r="CF857" s="574"/>
    </row>
    <row r="858" spans="1:84" s="583" customFormat="1" ht="23.1" customHeight="1" thickBot="1">
      <c r="A858" s="1446" t="s">
        <v>1095</v>
      </c>
      <c r="B858" s="1446"/>
      <c r="C858" s="1446"/>
      <c r="D858" s="1446"/>
      <c r="E858" s="1446"/>
      <c r="F858" s="1446"/>
      <c r="G858" s="1447">
        <f>G843+1</f>
        <v>58</v>
      </c>
      <c r="H858" s="1447"/>
      <c r="I858" s="1447"/>
      <c r="J858" s="1448" t="s">
        <v>1096</v>
      </c>
      <c r="K858" s="1448"/>
      <c r="L858" s="574"/>
      <c r="M858" s="574"/>
      <c r="N858" s="574"/>
      <c r="O858" s="574"/>
      <c r="P858" s="574"/>
      <c r="Q858" s="574"/>
      <c r="R858" s="574"/>
      <c r="S858" s="574"/>
      <c r="T858" s="574"/>
      <c r="U858" s="574"/>
      <c r="V858" s="574"/>
      <c r="W858" s="574"/>
      <c r="X858" s="574"/>
      <c r="Y858" s="574"/>
      <c r="Z858" s="574"/>
      <c r="AA858" s="574"/>
      <c r="AB858" s="574"/>
      <c r="AC858" s="574"/>
      <c r="AD858" s="574"/>
      <c r="AE858" s="574"/>
      <c r="AF858" s="574"/>
      <c r="AG858" s="574"/>
      <c r="AH858" s="574"/>
      <c r="AI858" s="574"/>
      <c r="AJ858" s="574"/>
      <c r="AK858" s="574"/>
      <c r="AL858" s="574"/>
      <c r="AM858" s="574"/>
      <c r="AN858" s="574"/>
      <c r="AO858" s="574"/>
      <c r="AP858" s="574"/>
      <c r="AQ858" s="574"/>
      <c r="AR858" s="574"/>
      <c r="AS858" s="574"/>
      <c r="AT858" s="574"/>
      <c r="AU858" s="574"/>
      <c r="AV858" s="574"/>
      <c r="AW858" s="574"/>
      <c r="AX858" s="574"/>
      <c r="AY858" s="574"/>
      <c r="AZ858" s="574"/>
      <c r="BA858" s="574"/>
      <c r="BB858" s="574"/>
      <c r="BC858" s="574"/>
      <c r="BD858" s="574"/>
      <c r="BE858" s="574"/>
      <c r="BF858" s="574"/>
      <c r="BG858" s="574"/>
      <c r="BH858" s="574"/>
      <c r="BI858" s="574"/>
      <c r="BJ858" s="574"/>
      <c r="BK858" s="574"/>
      <c r="BL858" s="574"/>
      <c r="BM858" s="574"/>
      <c r="BN858" s="574"/>
      <c r="BO858" s="574"/>
      <c r="BP858" s="574"/>
      <c r="BQ858" s="574"/>
      <c r="BR858" s="574"/>
      <c r="BS858" s="574"/>
      <c r="BT858" s="574"/>
      <c r="BU858" s="574"/>
      <c r="BV858" s="574"/>
      <c r="BW858" s="574"/>
      <c r="BX858" s="574"/>
      <c r="BY858" s="574"/>
      <c r="BZ858" s="574"/>
      <c r="CA858" s="574"/>
      <c r="CB858" s="574"/>
      <c r="CC858" s="574"/>
      <c r="CD858" s="574"/>
      <c r="CE858" s="574"/>
      <c r="CF858" s="574"/>
    </row>
    <row r="859" spans="1:84" s="583" customFormat="1" ht="23.1" customHeight="1" thickBot="1">
      <c r="A859" s="1483" t="s">
        <v>1097</v>
      </c>
      <c r="B859" s="1484"/>
      <c r="C859" s="1484"/>
      <c r="D859" s="1484"/>
      <c r="E859" s="1484"/>
      <c r="F859" s="1484"/>
      <c r="G859" s="1484"/>
      <c r="H859" s="1484"/>
      <c r="I859" s="581" t="s">
        <v>1188</v>
      </c>
      <c r="J859" s="581"/>
      <c r="K859" s="581"/>
      <c r="L859" s="581"/>
      <c r="M859" s="581"/>
      <c r="N859" s="581"/>
      <c r="O859" s="581"/>
      <c r="P859" s="581"/>
      <c r="Q859" s="581"/>
      <c r="R859" s="581"/>
      <c r="S859" s="581"/>
      <c r="T859" s="581"/>
      <c r="U859" s="581"/>
      <c r="V859" s="581"/>
      <c r="W859" s="581"/>
      <c r="X859" s="581"/>
      <c r="Y859" s="581"/>
      <c r="Z859" s="581"/>
      <c r="AA859" s="581"/>
      <c r="AB859" s="581"/>
      <c r="AC859" s="581"/>
      <c r="AD859" s="581"/>
      <c r="AE859" s="581"/>
      <c r="AF859" s="581"/>
      <c r="AG859" s="581"/>
      <c r="AH859" s="581"/>
      <c r="AI859" s="581"/>
      <c r="AJ859" s="1484" t="s">
        <v>1099</v>
      </c>
      <c r="AK859" s="1484"/>
      <c r="AL859" s="1484"/>
      <c r="AM859" s="1484"/>
      <c r="AN859" s="1484"/>
      <c r="AO859" s="1484"/>
      <c r="AP859" s="1484"/>
      <c r="AQ859" s="581" t="s">
        <v>1190</v>
      </c>
      <c r="AR859" s="581"/>
      <c r="AS859" s="581"/>
      <c r="AT859" s="581"/>
      <c r="AU859" s="581"/>
      <c r="AV859" s="581"/>
      <c r="AW859" s="581"/>
      <c r="AX859" s="581"/>
      <c r="AY859" s="581"/>
      <c r="AZ859" s="581"/>
      <c r="BA859" s="581"/>
      <c r="BB859" s="581"/>
      <c r="BC859" s="581"/>
      <c r="BD859" s="581"/>
      <c r="BE859" s="581"/>
      <c r="BF859" s="581"/>
      <c r="BG859" s="581"/>
      <c r="BH859" s="581"/>
      <c r="BI859" s="581"/>
      <c r="BJ859" s="581"/>
      <c r="BK859" s="581"/>
      <c r="BL859" s="581"/>
      <c r="BM859" s="581"/>
      <c r="BN859" s="581"/>
      <c r="BO859" s="581"/>
      <c r="BP859" s="581"/>
      <c r="BQ859" s="581"/>
      <c r="BR859" s="581"/>
      <c r="BS859" s="581"/>
      <c r="BT859" s="581" t="s">
        <v>1191</v>
      </c>
      <c r="BU859" s="581"/>
      <c r="BV859" s="581"/>
      <c r="BW859" s="581"/>
      <c r="BX859" s="581"/>
      <c r="BY859" s="581"/>
      <c r="BZ859" s="581"/>
      <c r="CA859" s="581"/>
      <c r="CB859" s="581"/>
      <c r="CC859" s="581"/>
      <c r="CD859" s="581"/>
      <c r="CE859" s="581"/>
      <c r="CF859" s="582"/>
    </row>
    <row r="860" spans="1:84" s="583" customFormat="1" ht="23.1" customHeight="1">
      <c r="A860" s="584"/>
      <c r="B860" s="585" t="s">
        <v>1102</v>
      </c>
      <c r="C860" s="585"/>
      <c r="D860" s="585"/>
      <c r="E860" s="585"/>
      <c r="F860" s="585"/>
      <c r="G860" s="585"/>
      <c r="H860" s="585"/>
      <c r="I860" s="585"/>
      <c r="J860" s="585"/>
      <c r="K860" s="585"/>
      <c r="L860" s="585"/>
      <c r="M860" s="585"/>
      <c r="N860" s="585"/>
      <c r="O860" s="585"/>
      <c r="P860" s="585"/>
      <c r="Q860" s="585"/>
      <c r="R860" s="585"/>
      <c r="S860" s="585"/>
      <c r="T860" s="585"/>
      <c r="U860" s="585"/>
      <c r="V860" s="585"/>
      <c r="W860" s="585"/>
      <c r="X860" s="585"/>
      <c r="Y860" s="585"/>
      <c r="Z860" s="585"/>
      <c r="AA860" s="585"/>
      <c r="AB860" s="585"/>
      <c r="AC860" s="585"/>
      <c r="AD860" s="585"/>
      <c r="AE860" s="585"/>
      <c r="AF860" s="585"/>
      <c r="AG860" s="585"/>
      <c r="AH860" s="585"/>
      <c r="AI860" s="585"/>
      <c r="AJ860" s="585"/>
      <c r="AK860" s="585"/>
      <c r="AL860" s="585"/>
      <c r="AM860" s="585"/>
      <c r="AN860" s="585"/>
      <c r="AO860" s="585"/>
      <c r="AP860" s="585"/>
      <c r="AQ860" s="585"/>
      <c r="AR860" s="585"/>
      <c r="AS860" s="585"/>
      <c r="AT860" s="585"/>
      <c r="AU860" s="585"/>
      <c r="AV860" s="585"/>
      <c r="AW860" s="585"/>
      <c r="AX860" s="585"/>
      <c r="AY860" s="585"/>
      <c r="AZ860" s="585"/>
      <c r="BA860" s="585"/>
      <c r="BB860" s="585"/>
      <c r="BC860" s="585"/>
      <c r="BD860" s="585"/>
      <c r="BE860" s="585"/>
      <c r="BF860" s="585"/>
      <c r="BG860" s="585"/>
      <c r="BH860" s="585"/>
      <c r="BI860" s="585"/>
      <c r="BJ860" s="585"/>
      <c r="BK860" s="585"/>
      <c r="BL860" s="585"/>
      <c r="BM860" s="585"/>
      <c r="BN860" s="585"/>
      <c r="BO860" s="585"/>
      <c r="BP860" s="585"/>
      <c r="BQ860" s="585"/>
      <c r="BR860" s="585"/>
      <c r="BS860" s="585"/>
      <c r="BT860" s="585"/>
      <c r="BU860" s="585"/>
      <c r="BV860" s="585"/>
      <c r="BW860" s="585"/>
      <c r="BX860" s="585"/>
      <c r="BY860" s="585"/>
      <c r="BZ860" s="585"/>
      <c r="CA860" s="585"/>
      <c r="CB860" s="585"/>
      <c r="CC860" s="585"/>
      <c r="CD860" s="585"/>
      <c r="CE860" s="585"/>
      <c r="CF860" s="586"/>
    </row>
    <row r="861" spans="1:84" s="583" customFormat="1" ht="23.1" customHeight="1">
      <c r="A861" s="587"/>
      <c r="B861" s="574"/>
      <c r="C861" s="574"/>
      <c r="D861" s="405"/>
      <c r="E861" s="574"/>
      <c r="F861" s="422"/>
      <c r="G861" s="422"/>
      <c r="H861" s="422"/>
      <c r="I861" s="422"/>
      <c r="J861" s="422"/>
      <c r="K861" s="422"/>
      <c r="L861" s="422"/>
      <c r="M861" s="422"/>
      <c r="N861" s="574"/>
      <c r="O861" s="574"/>
      <c r="P861" s="574"/>
      <c r="Q861" s="574"/>
      <c r="R861" s="574"/>
      <c r="S861" s="1430"/>
      <c r="T861" s="1430"/>
      <c r="U861" s="1430"/>
      <c r="V861" s="1430"/>
      <c r="W861" s="1430"/>
      <c r="X861" s="1430"/>
      <c r="Y861" s="1430"/>
      <c r="Z861" s="1430"/>
      <c r="AA861" s="574"/>
      <c r="AB861" s="588"/>
      <c r="AC861" s="1431"/>
      <c r="AD861" s="1431"/>
      <c r="AE861" s="1498"/>
      <c r="AF861" s="1498"/>
      <c r="AG861" s="1498"/>
      <c r="AH861" s="1498"/>
      <c r="AI861" s="1498"/>
      <c r="AJ861" s="1498"/>
      <c r="AK861" s="1498"/>
      <c r="AL861" s="1498"/>
      <c r="AM861" s="1431"/>
      <c r="AN861" s="1431"/>
      <c r="AO861" s="574"/>
      <c r="AP861" s="1486"/>
      <c r="AQ861" s="1486"/>
      <c r="AR861" s="1486"/>
      <c r="AS861" s="1486"/>
      <c r="AT861" s="1486"/>
      <c r="AU861" s="1486"/>
      <c r="AV861" s="1486"/>
      <c r="AW861" s="1486"/>
      <c r="AX861" s="1486"/>
      <c r="AY861" s="1486"/>
      <c r="AZ861" s="1486"/>
      <c r="BA861" s="1486"/>
      <c r="BB861" s="1486"/>
      <c r="BC861" s="1486"/>
      <c r="BD861" s="574"/>
      <c r="BE861" s="574"/>
      <c r="BF861" s="574"/>
      <c r="BG861" s="574"/>
      <c r="BH861" s="574"/>
      <c r="BI861" s="574"/>
      <c r="BJ861" s="574"/>
      <c r="BK861" s="574"/>
      <c r="BL861" s="574"/>
      <c r="BM861" s="574"/>
      <c r="BN861" s="574"/>
      <c r="BO861" s="574"/>
      <c r="BP861" s="574"/>
      <c r="BQ861" s="574"/>
      <c r="BR861" s="574"/>
      <c r="BS861" s="574"/>
      <c r="BT861" s="574"/>
      <c r="BU861" s="574"/>
      <c r="BV861" s="574"/>
      <c r="BW861" s="574"/>
      <c r="BX861" s="574"/>
      <c r="BY861" s="574"/>
      <c r="BZ861" s="574"/>
      <c r="CA861" s="574"/>
      <c r="CB861" s="574"/>
      <c r="CC861" s="574"/>
      <c r="CD861" s="574"/>
      <c r="CE861" s="574"/>
      <c r="CF861" s="589"/>
    </row>
    <row r="862" spans="1:84" s="583" customFormat="1" ht="23.1" customHeight="1">
      <c r="A862" s="584"/>
      <c r="B862" s="585"/>
      <c r="C862" s="585"/>
      <c r="D862" s="585"/>
      <c r="E862" s="585"/>
      <c r="F862" s="585"/>
      <c r="G862" s="585"/>
      <c r="H862" s="585"/>
      <c r="I862" s="585"/>
      <c r="J862" s="585"/>
      <c r="K862" s="585"/>
      <c r="L862" s="585"/>
      <c r="M862" s="585"/>
      <c r="N862" s="585"/>
      <c r="O862" s="585"/>
      <c r="P862" s="585"/>
      <c r="Q862" s="585"/>
      <c r="R862" s="585"/>
      <c r="S862" s="585"/>
      <c r="T862" s="585"/>
      <c r="U862" s="585"/>
      <c r="V862" s="590"/>
      <c r="W862" s="590"/>
      <c r="X862" s="590"/>
      <c r="Y862" s="590"/>
      <c r="Z862" s="590"/>
      <c r="AA862" s="590"/>
      <c r="AB862" s="590"/>
      <c r="AC862" s="590"/>
      <c r="AD862" s="574"/>
      <c r="AE862" s="1440">
        <v>98388000</v>
      </c>
      <c r="AF862" s="1440"/>
      <c r="AG862" s="1440"/>
      <c r="AH862" s="1440"/>
      <c r="AI862" s="1440"/>
      <c r="AJ862" s="1440"/>
      <c r="AK862" s="1440"/>
      <c r="AL862" s="1440"/>
      <c r="AM862" s="1440"/>
      <c r="AN862" s="1440"/>
      <c r="AO862" s="1440"/>
      <c r="AP862" s="1440"/>
      <c r="AQ862" s="1440"/>
      <c r="AR862" s="1440"/>
      <c r="AS862" s="1440"/>
      <c r="AT862" s="1431" t="s">
        <v>446</v>
      </c>
      <c r="AU862" s="1431"/>
      <c r="AV862" s="1441" t="s">
        <v>1103</v>
      </c>
      <c r="AW862" s="1441"/>
      <c r="AX862" s="1442">
        <v>1945</v>
      </c>
      <c r="AY862" s="1442"/>
      <c r="AZ862" s="1442"/>
      <c r="BA862" s="1442"/>
      <c r="BB862" s="1442"/>
      <c r="BC862" s="1442"/>
      <c r="BD862" s="585"/>
      <c r="BE862" s="1431" t="s">
        <v>446</v>
      </c>
      <c r="BF862" s="1431"/>
      <c r="BG862" s="585"/>
      <c r="BH862" s="591" t="s">
        <v>1104</v>
      </c>
      <c r="BI862" s="585"/>
      <c r="BJ862" s="585"/>
      <c r="BK862" s="585"/>
      <c r="BL862" s="1431" t="s">
        <v>1105</v>
      </c>
      <c r="BM862" s="1431"/>
      <c r="BN862" s="1431"/>
      <c r="BO862" s="585"/>
      <c r="BP862" s="1431" t="s">
        <v>41</v>
      </c>
      <c r="BQ862" s="1431"/>
      <c r="BR862" s="585"/>
      <c r="BS862" s="585"/>
      <c r="BT862" s="1437">
        <f>INT(AE862*AX862*10^-7)</f>
        <v>19136</v>
      </c>
      <c r="BU862" s="1437"/>
      <c r="BV862" s="1437"/>
      <c r="BW862" s="1437"/>
      <c r="BX862" s="1437"/>
      <c r="BY862" s="1437"/>
      <c r="BZ862" s="1437"/>
      <c r="CA862" s="1437"/>
      <c r="CB862" s="1437"/>
      <c r="CC862" s="1437"/>
      <c r="CD862" s="585"/>
      <c r="CE862" s="585"/>
      <c r="CF862" s="586"/>
    </row>
    <row r="863" spans="1:84" s="583" customFormat="1" ht="23.1" customHeight="1">
      <c r="A863" s="592"/>
      <c r="B863" s="593" t="s">
        <v>1106</v>
      </c>
      <c r="C863" s="593"/>
      <c r="D863" s="593"/>
      <c r="E863" s="593"/>
      <c r="F863" s="593"/>
      <c r="G863" s="593"/>
      <c r="H863" s="593"/>
      <c r="I863" s="593"/>
      <c r="J863" s="593"/>
      <c r="K863" s="593"/>
      <c r="L863" s="593"/>
      <c r="M863" s="593"/>
      <c r="N863" s="593"/>
      <c r="O863" s="593"/>
      <c r="P863" s="593"/>
      <c r="Q863" s="593"/>
      <c r="R863" s="593"/>
      <c r="S863" s="593"/>
      <c r="T863" s="593"/>
      <c r="U863" s="593"/>
      <c r="V863" s="593"/>
      <c r="W863" s="593"/>
      <c r="X863" s="593"/>
      <c r="Y863" s="593"/>
      <c r="Z863" s="593"/>
      <c r="AA863" s="593"/>
      <c r="AB863" s="593"/>
      <c r="AC863" s="593"/>
      <c r="AD863" s="593"/>
      <c r="AE863" s="593"/>
      <c r="AF863" s="593"/>
      <c r="AG863" s="593"/>
      <c r="AH863" s="593"/>
      <c r="AI863" s="593"/>
      <c r="AJ863" s="593"/>
      <c r="AK863" s="593"/>
      <c r="AL863" s="593"/>
      <c r="AM863" s="593"/>
      <c r="AN863" s="593"/>
      <c r="AO863" s="593"/>
      <c r="AP863" s="593"/>
      <c r="AQ863" s="593"/>
      <c r="AR863" s="593"/>
      <c r="AS863" s="593"/>
      <c r="AT863" s="593"/>
      <c r="AU863" s="593"/>
      <c r="AV863" s="593"/>
      <c r="AW863" s="593"/>
      <c r="AX863" s="593"/>
      <c r="AY863" s="593"/>
      <c r="AZ863" s="593"/>
      <c r="BA863" s="593"/>
      <c r="BB863" s="593"/>
      <c r="BC863" s="593"/>
      <c r="BD863" s="593"/>
      <c r="BE863" s="593"/>
      <c r="BF863" s="593"/>
      <c r="BG863" s="593"/>
      <c r="BH863" s="593"/>
      <c r="BI863" s="593"/>
      <c r="BJ863" s="593"/>
      <c r="BK863" s="593"/>
      <c r="BL863" s="593"/>
      <c r="BM863" s="593"/>
      <c r="BN863" s="593"/>
      <c r="BO863" s="593"/>
      <c r="BP863" s="593"/>
      <c r="BQ863" s="593"/>
      <c r="BR863" s="593"/>
      <c r="BS863" s="593"/>
      <c r="BT863" s="594"/>
      <c r="BU863" s="594"/>
      <c r="BV863" s="594"/>
      <c r="BW863" s="594"/>
      <c r="BX863" s="594"/>
      <c r="BY863" s="594"/>
      <c r="BZ863" s="594"/>
      <c r="CA863" s="594"/>
      <c r="CB863" s="594"/>
      <c r="CC863" s="594"/>
      <c r="CD863" s="593"/>
      <c r="CE863" s="593"/>
      <c r="CF863" s="595"/>
    </row>
    <row r="864" spans="1:84" s="583" customFormat="1" ht="23.1" customHeight="1">
      <c r="A864" s="584"/>
      <c r="B864" s="585"/>
      <c r="C864" s="585"/>
      <c r="D864" s="596" t="s">
        <v>268</v>
      </c>
      <c r="E864" s="585"/>
      <c r="F864" s="585"/>
      <c r="G864" s="585"/>
      <c r="H864" s="585"/>
      <c r="I864" s="585"/>
      <c r="J864" s="585"/>
      <c r="K864" s="585"/>
      <c r="L864" s="585"/>
      <c r="M864" s="585"/>
      <c r="N864" s="585"/>
      <c r="O864" s="585"/>
      <c r="P864" s="585"/>
      <c r="Q864" s="585"/>
      <c r="R864" s="585"/>
      <c r="S864" s="585"/>
      <c r="T864" s="574"/>
      <c r="U864" s="574"/>
      <c r="V864" s="1435">
        <f>HLOOKUP(D864,$CJ$1:$CM$3,3,0)</f>
        <v>283297</v>
      </c>
      <c r="W864" s="1435"/>
      <c r="X864" s="1435"/>
      <c r="Y864" s="1435"/>
      <c r="Z864" s="1435"/>
      <c r="AA864" s="1435"/>
      <c r="AB864" s="1435"/>
      <c r="AC864" s="1435"/>
      <c r="AD864" s="1435"/>
      <c r="AE864" s="1435"/>
      <c r="AF864" s="1431" t="s">
        <v>446</v>
      </c>
      <c r="AG864" s="1431"/>
      <c r="AH864" s="574"/>
      <c r="AI864" s="1436" t="s">
        <v>1107</v>
      </c>
      <c r="AJ864" s="1436"/>
      <c r="AK864" s="1436"/>
      <c r="AL864" s="1436"/>
      <c r="AM864" s="585"/>
      <c r="AN864" s="1431" t="s">
        <v>446</v>
      </c>
      <c r="AO864" s="1431"/>
      <c r="AP864" s="585"/>
      <c r="AQ864" s="1436" t="s">
        <v>1108</v>
      </c>
      <c r="AR864" s="1436"/>
      <c r="AS864" s="1436"/>
      <c r="AT864" s="1436"/>
      <c r="AU864" s="1436"/>
      <c r="AV864" s="422"/>
      <c r="AW864" s="1431" t="s">
        <v>446</v>
      </c>
      <c r="AX864" s="1431"/>
      <c r="AY864" s="440"/>
      <c r="AZ864" s="1436" t="s">
        <v>1109</v>
      </c>
      <c r="BA864" s="1436"/>
      <c r="BB864" s="1436"/>
      <c r="BC864" s="1436"/>
      <c r="BD864" s="1436"/>
      <c r="BE864" s="585"/>
      <c r="BF864" s="1431" t="s">
        <v>446</v>
      </c>
      <c r="BG864" s="1431"/>
      <c r="BH864" s="1431">
        <v>1</v>
      </c>
      <c r="BI864" s="1431"/>
      <c r="BJ864" s="1431"/>
      <c r="BK864" s="585"/>
      <c r="BL864" s="585" t="s">
        <v>366</v>
      </c>
      <c r="BM864" s="585"/>
      <c r="BN864" s="585"/>
      <c r="BO864" s="585"/>
      <c r="BP864" s="1431" t="s">
        <v>41</v>
      </c>
      <c r="BQ864" s="1431"/>
      <c r="BR864" s="585"/>
      <c r="BS864" s="585"/>
      <c r="BT864" s="1432">
        <f>INT(V864/8*16/12*25/20*BH864)</f>
        <v>59020</v>
      </c>
      <c r="BU864" s="1432"/>
      <c r="BV864" s="1432"/>
      <c r="BW864" s="1432"/>
      <c r="BX864" s="1432"/>
      <c r="BY864" s="1432"/>
      <c r="BZ864" s="1432"/>
      <c r="CA864" s="1432"/>
      <c r="CB864" s="1432"/>
      <c r="CC864" s="1432"/>
      <c r="CD864" s="585"/>
      <c r="CE864" s="585"/>
      <c r="CF864" s="586"/>
    </row>
    <row r="865" spans="1:84" s="583" customFormat="1" ht="23.1" customHeight="1">
      <c r="A865" s="584"/>
      <c r="B865" s="585"/>
      <c r="C865" s="585"/>
      <c r="D865" s="585"/>
      <c r="E865" s="585"/>
      <c r="F865" s="585"/>
      <c r="G865" s="585"/>
      <c r="H865" s="585"/>
      <c r="I865" s="585"/>
      <c r="J865" s="585"/>
      <c r="K865" s="585"/>
      <c r="L865" s="585"/>
      <c r="M865" s="585"/>
      <c r="N865" s="585"/>
      <c r="O865" s="585"/>
      <c r="P865" s="574"/>
      <c r="Q865" s="574"/>
      <c r="R865" s="574"/>
      <c r="S865" s="574"/>
      <c r="T865" s="574"/>
      <c r="U865" s="574"/>
      <c r="V865" s="574"/>
      <c r="W865" s="574"/>
      <c r="X865" s="574"/>
      <c r="Y865" s="574"/>
      <c r="Z865" s="574"/>
      <c r="AA865" s="574"/>
      <c r="AB865" s="574"/>
      <c r="AC865" s="574"/>
      <c r="AD865" s="574"/>
      <c r="AE865" s="574"/>
      <c r="AF865" s="574"/>
      <c r="AG865" s="574"/>
      <c r="AH865" s="574"/>
      <c r="AI865" s="574"/>
      <c r="AJ865" s="574"/>
      <c r="AK865" s="574"/>
      <c r="AL865" s="574"/>
      <c r="AM865" s="574"/>
      <c r="AN865" s="574"/>
      <c r="AO865" s="574"/>
      <c r="AP865" s="574"/>
      <c r="AQ865" s="574"/>
      <c r="AR865" s="574"/>
      <c r="AS865" s="574"/>
      <c r="AT865" s="574"/>
      <c r="AU865" s="574"/>
      <c r="AV865" s="574"/>
      <c r="AW865" s="574"/>
      <c r="AX865" s="574"/>
      <c r="AY865" s="574"/>
      <c r="AZ865" s="574"/>
      <c r="BA865" s="574"/>
      <c r="BB865" s="574"/>
      <c r="BC865" s="574"/>
      <c r="BD865" s="574"/>
      <c r="BE865" s="574"/>
      <c r="BF865" s="574"/>
      <c r="BG865" s="585"/>
      <c r="BH865" s="585"/>
      <c r="BI865" s="585"/>
      <c r="BJ865" s="585"/>
      <c r="BK865" s="585"/>
      <c r="BL865" s="585"/>
      <c r="BM865" s="585"/>
      <c r="BN865" s="585"/>
      <c r="BO865" s="585"/>
      <c r="BP865" s="1431"/>
      <c r="BQ865" s="1431"/>
      <c r="BR865" s="585"/>
      <c r="BS865" s="585"/>
      <c r="BT865" s="1432"/>
      <c r="BU865" s="1432"/>
      <c r="BV865" s="1432"/>
      <c r="BW865" s="1432"/>
      <c r="BX865" s="1432"/>
      <c r="BY865" s="1432"/>
      <c r="BZ865" s="1432"/>
      <c r="CA865" s="1432"/>
      <c r="CB865" s="1432"/>
      <c r="CC865" s="1432"/>
      <c r="CD865" s="585"/>
      <c r="CE865" s="585"/>
      <c r="CF865" s="586"/>
    </row>
    <row r="866" spans="1:84" s="583" customFormat="1" ht="23.1" customHeight="1">
      <c r="A866" s="584"/>
      <c r="B866" s="585"/>
      <c r="C866" s="585"/>
      <c r="D866" s="585"/>
      <c r="E866" s="585"/>
      <c r="F866" s="585"/>
      <c r="G866" s="585"/>
      <c r="H866" s="585"/>
      <c r="I866" s="585"/>
      <c r="J866" s="585"/>
      <c r="K866" s="585"/>
      <c r="L866" s="585"/>
      <c r="M866" s="585"/>
      <c r="N866" s="585"/>
      <c r="O866" s="585"/>
      <c r="P866" s="585"/>
      <c r="Q866" s="585"/>
      <c r="R866" s="585"/>
      <c r="S866" s="585"/>
      <c r="T866" s="585"/>
      <c r="U866" s="585"/>
      <c r="V866" s="585"/>
      <c r="W866" s="585"/>
      <c r="X866" s="585"/>
      <c r="Y866" s="585"/>
      <c r="Z866" s="585"/>
      <c r="AA866" s="585"/>
      <c r="AB866" s="585"/>
      <c r="AC866" s="585"/>
      <c r="AD866" s="574"/>
      <c r="AE866" s="574"/>
      <c r="AF866" s="574"/>
      <c r="AG866" s="574"/>
      <c r="AH866" s="574"/>
      <c r="AI866" s="574"/>
      <c r="AJ866" s="574"/>
      <c r="AK866" s="574"/>
      <c r="AL866" s="574"/>
      <c r="AM866" s="574"/>
      <c r="AN866" s="574"/>
      <c r="AO866" s="574"/>
      <c r="AP866" s="574"/>
      <c r="AQ866" s="574"/>
      <c r="AR866" s="574"/>
      <c r="AS866" s="585"/>
      <c r="AT866" s="590"/>
      <c r="AU866" s="590"/>
      <c r="AV866" s="585"/>
      <c r="AW866" s="585"/>
      <c r="AX866" s="585"/>
      <c r="AY866" s="585"/>
      <c r="AZ866" s="585"/>
      <c r="BA866" s="585"/>
      <c r="BB866" s="585"/>
      <c r="BC866" s="585"/>
      <c r="BD866" s="585"/>
      <c r="BE866" s="585"/>
      <c r="BF866" s="585"/>
      <c r="BG866" s="585"/>
      <c r="BH866" s="585"/>
      <c r="BI866" s="585"/>
      <c r="BJ866" s="585"/>
      <c r="BK866" s="585"/>
      <c r="BL866" s="585"/>
      <c r="BM866" s="585"/>
      <c r="BN866" s="585"/>
      <c r="BO866" s="585"/>
      <c r="BP866" s="1431" t="s">
        <v>41</v>
      </c>
      <c r="BQ866" s="1431"/>
      <c r="BR866" s="585"/>
      <c r="BS866" s="585"/>
      <c r="BT866" s="1434">
        <f>BT864+BT865</f>
        <v>59020</v>
      </c>
      <c r="BU866" s="1434"/>
      <c r="BV866" s="1434"/>
      <c r="BW866" s="1434"/>
      <c r="BX866" s="1434"/>
      <c r="BY866" s="1434"/>
      <c r="BZ866" s="1434"/>
      <c r="CA866" s="1434"/>
      <c r="CB866" s="1434"/>
      <c r="CC866" s="1434"/>
      <c r="CD866" s="585"/>
      <c r="CE866" s="585"/>
      <c r="CF866" s="586"/>
    </row>
    <row r="867" spans="1:84" s="583" customFormat="1" ht="23.1" customHeight="1">
      <c r="A867" s="592"/>
      <c r="B867" s="593" t="s">
        <v>1110</v>
      </c>
      <c r="C867" s="593"/>
      <c r="D867" s="593"/>
      <c r="E867" s="593"/>
      <c r="F867" s="593"/>
      <c r="G867" s="593"/>
      <c r="H867" s="593"/>
      <c r="I867" s="593"/>
      <c r="J867" s="593"/>
      <c r="K867" s="593"/>
      <c r="L867" s="593"/>
      <c r="M867" s="593"/>
      <c r="N867" s="593"/>
      <c r="O867" s="593"/>
      <c r="P867" s="593"/>
      <c r="Q867" s="593"/>
      <c r="R867" s="593"/>
      <c r="S867" s="593"/>
      <c r="T867" s="593"/>
      <c r="U867" s="593"/>
      <c r="V867" s="593"/>
      <c r="W867" s="593"/>
      <c r="X867" s="593"/>
      <c r="Y867" s="593"/>
      <c r="Z867" s="593"/>
      <c r="AA867" s="593"/>
      <c r="AB867" s="593"/>
      <c r="AC867" s="593"/>
      <c r="AD867" s="593"/>
      <c r="AE867" s="593"/>
      <c r="AF867" s="593"/>
      <c r="AG867" s="593"/>
      <c r="AH867" s="593"/>
      <c r="AI867" s="593"/>
      <c r="AJ867" s="593"/>
      <c r="AK867" s="593"/>
      <c r="AL867" s="593"/>
      <c r="AM867" s="593"/>
      <c r="AN867" s="593"/>
      <c r="AO867" s="593"/>
      <c r="AP867" s="593"/>
      <c r="AQ867" s="593"/>
      <c r="AR867" s="593"/>
      <c r="AS867" s="593"/>
      <c r="AT867" s="593"/>
      <c r="AU867" s="593"/>
      <c r="AV867" s="593"/>
      <c r="AW867" s="593"/>
      <c r="AX867" s="593"/>
      <c r="AY867" s="593"/>
      <c r="AZ867" s="593"/>
      <c r="BA867" s="593"/>
      <c r="BB867" s="593"/>
      <c r="BC867" s="593"/>
      <c r="BD867" s="593"/>
      <c r="BE867" s="593"/>
      <c r="BF867" s="593"/>
      <c r="BG867" s="593"/>
      <c r="BH867" s="593"/>
      <c r="BI867" s="593"/>
      <c r="BJ867" s="593"/>
      <c r="BK867" s="593"/>
      <c r="BL867" s="593"/>
      <c r="BM867" s="593"/>
      <c r="BN867" s="593"/>
      <c r="BO867" s="593"/>
      <c r="BP867" s="593"/>
      <c r="BQ867" s="593"/>
      <c r="BR867" s="593"/>
      <c r="BS867" s="593"/>
      <c r="BT867" s="593"/>
      <c r="BU867" s="593"/>
      <c r="BV867" s="593"/>
      <c r="BW867" s="593"/>
      <c r="BX867" s="593"/>
      <c r="BY867" s="593"/>
      <c r="BZ867" s="593"/>
      <c r="CA867" s="593"/>
      <c r="CB867" s="593"/>
      <c r="CC867" s="593"/>
      <c r="CD867" s="593"/>
      <c r="CE867" s="593"/>
      <c r="CF867" s="595"/>
    </row>
    <row r="868" spans="1:84" s="583" customFormat="1" ht="23.1" customHeight="1">
      <c r="A868" s="584"/>
      <c r="B868" s="585"/>
      <c r="C868" s="585"/>
      <c r="D868" s="596" t="s">
        <v>1094</v>
      </c>
      <c r="E868" s="585"/>
      <c r="F868" s="585"/>
      <c r="G868" s="585"/>
      <c r="H868" s="585"/>
      <c r="I868" s="585"/>
      <c r="J868" s="585"/>
      <c r="K868" s="585"/>
      <c r="L868" s="585"/>
      <c r="M868" s="585"/>
      <c r="N868" s="585"/>
      <c r="O868" s="585"/>
      <c r="P868" s="585"/>
      <c r="Q868" s="585"/>
      <c r="R868" s="585"/>
      <c r="S868" s="585"/>
      <c r="T868" s="585"/>
      <c r="U868" s="585"/>
      <c r="V868" s="585"/>
      <c r="W868" s="585"/>
      <c r="X868" s="585"/>
      <c r="Y868" s="585"/>
      <c r="Z868" s="585"/>
      <c r="AA868" s="585"/>
      <c r="AB868" s="585"/>
      <c r="AC868" s="585"/>
      <c r="AD868" s="585"/>
      <c r="AE868" s="585"/>
      <c r="AF868" s="585"/>
      <c r="AG868" s="585"/>
      <c r="AH868" s="585"/>
      <c r="AI868" s="585"/>
      <c r="AJ868" s="585"/>
      <c r="AK868" s="585"/>
      <c r="AL868" s="585"/>
      <c r="AM868" s="585"/>
      <c r="AN868" s="585"/>
      <c r="AO868" s="585"/>
      <c r="AP868" s="585"/>
      <c r="AQ868" s="585"/>
      <c r="AR868" s="422"/>
      <c r="AS868" s="1435" t="e">
        <f>HLOOKUP(D868,$CN$1:$CO$3,3,0)</f>
        <v>#REF!</v>
      </c>
      <c r="AT868" s="1435"/>
      <c r="AU868" s="1435"/>
      <c r="AV868" s="1435"/>
      <c r="AW868" s="1435"/>
      <c r="AX868" s="1435"/>
      <c r="AY868" s="1435"/>
      <c r="AZ868" s="1435"/>
      <c r="BA868" s="1435"/>
      <c r="BB868" s="1435"/>
      <c r="BC868" s="585"/>
      <c r="BD868" s="1431" t="s">
        <v>446</v>
      </c>
      <c r="BE868" s="1431"/>
      <c r="BF868" s="585"/>
      <c r="BG868" s="1431">
        <v>8</v>
      </c>
      <c r="BH868" s="1431"/>
      <c r="BI868" s="1431"/>
      <c r="BJ868" s="1431"/>
      <c r="BK868" s="1431"/>
      <c r="BL868" s="585" t="s">
        <v>1111</v>
      </c>
      <c r="BM868" s="585"/>
      <c r="BN868" s="585"/>
      <c r="BO868" s="585"/>
      <c r="BP868" s="1431" t="s">
        <v>41</v>
      </c>
      <c r="BQ868" s="1431"/>
      <c r="BR868" s="585"/>
      <c r="BS868" s="585"/>
      <c r="BT868" s="1432" t="e">
        <f>INT(AS868*BG868)</f>
        <v>#REF!</v>
      </c>
      <c r="BU868" s="1432"/>
      <c r="BV868" s="1432"/>
      <c r="BW868" s="1432"/>
      <c r="BX868" s="1432"/>
      <c r="BY868" s="1432"/>
      <c r="BZ868" s="1432"/>
      <c r="CA868" s="1432"/>
      <c r="CB868" s="1432"/>
      <c r="CC868" s="1432"/>
      <c r="CD868" s="585"/>
      <c r="CE868" s="585"/>
      <c r="CF868" s="586"/>
    </row>
    <row r="869" spans="1:84" s="583" customFormat="1" ht="23.1" customHeight="1">
      <c r="A869" s="584"/>
      <c r="B869" s="585"/>
      <c r="C869" s="585"/>
      <c r="D869" s="591" t="str">
        <f>"잡재료 (주연료의 "&amp;BG869&amp;"%) :"</f>
        <v>잡재료 (주연료의 23%) :</v>
      </c>
      <c r="E869" s="585"/>
      <c r="F869" s="585"/>
      <c r="G869" s="585"/>
      <c r="H869" s="585"/>
      <c r="I869" s="585"/>
      <c r="J869" s="585"/>
      <c r="K869" s="585"/>
      <c r="L869" s="585"/>
      <c r="M869" s="585"/>
      <c r="N869" s="585"/>
      <c r="O869" s="585"/>
      <c r="P869" s="585"/>
      <c r="Q869" s="585"/>
      <c r="R869" s="585"/>
      <c r="S869" s="585"/>
      <c r="T869" s="585"/>
      <c r="U869" s="585"/>
      <c r="V869" s="585"/>
      <c r="W869" s="585"/>
      <c r="X869" s="585"/>
      <c r="Y869" s="585"/>
      <c r="Z869" s="585"/>
      <c r="AA869" s="585"/>
      <c r="AB869" s="585"/>
      <c r="AC869" s="585"/>
      <c r="AD869" s="585"/>
      <c r="AE869" s="585"/>
      <c r="AF869" s="585"/>
      <c r="AG869" s="585"/>
      <c r="AH869" s="585"/>
      <c r="AI869" s="585"/>
      <c r="AJ869" s="585"/>
      <c r="AK869" s="585"/>
      <c r="AL869" s="585"/>
      <c r="AM869" s="585"/>
      <c r="AN869" s="585"/>
      <c r="AO869" s="585"/>
      <c r="AP869" s="585"/>
      <c r="AQ869" s="585"/>
      <c r="AR869" s="422" t="e">
        <f>BT868</f>
        <v>#REF!</v>
      </c>
      <c r="AS869" s="1430" t="e">
        <f>BT868</f>
        <v>#REF!</v>
      </c>
      <c r="AT869" s="1430"/>
      <c r="AU869" s="1430"/>
      <c r="AV869" s="1430"/>
      <c r="AW869" s="1430"/>
      <c r="AX869" s="1430"/>
      <c r="AY869" s="1430"/>
      <c r="AZ869" s="1430"/>
      <c r="BA869" s="1430"/>
      <c r="BB869" s="1430"/>
      <c r="BC869" s="585"/>
      <c r="BD869" s="1431" t="s">
        <v>446</v>
      </c>
      <c r="BE869" s="1431"/>
      <c r="BF869" s="585"/>
      <c r="BG869" s="1431">
        <v>23</v>
      </c>
      <c r="BH869" s="1431"/>
      <c r="BI869" s="1431"/>
      <c r="BJ869" s="1431"/>
      <c r="BK869" s="1431"/>
      <c r="BL869" s="585" t="s">
        <v>1112</v>
      </c>
      <c r="BM869" s="585"/>
      <c r="BN869" s="585"/>
      <c r="BO869" s="585"/>
      <c r="BP869" s="1431" t="s">
        <v>41</v>
      </c>
      <c r="BQ869" s="1431"/>
      <c r="BR869" s="585"/>
      <c r="BS869" s="585"/>
      <c r="BT869" s="1432" t="e">
        <f>INT(AS869*BG869/100)</f>
        <v>#REF!</v>
      </c>
      <c r="BU869" s="1432"/>
      <c r="BV869" s="1432"/>
      <c r="BW869" s="1432"/>
      <c r="BX869" s="1432"/>
      <c r="BY869" s="1432"/>
      <c r="BZ869" s="1432"/>
      <c r="CA869" s="1432"/>
      <c r="CB869" s="1432"/>
      <c r="CC869" s="1432"/>
      <c r="CD869" s="585"/>
      <c r="CE869" s="585"/>
      <c r="CF869" s="586"/>
    </row>
    <row r="870" spans="1:84" s="583" customFormat="1" ht="23.1" customHeight="1" thickBot="1">
      <c r="A870" s="584"/>
      <c r="B870" s="585"/>
      <c r="C870" s="585"/>
      <c r="D870" s="585"/>
      <c r="E870" s="585"/>
      <c r="F870" s="585"/>
      <c r="G870" s="585"/>
      <c r="H870" s="585"/>
      <c r="I870" s="585"/>
      <c r="J870" s="585"/>
      <c r="K870" s="585"/>
      <c r="L870" s="585"/>
      <c r="M870" s="585"/>
      <c r="N870" s="585"/>
      <c r="O870" s="585"/>
      <c r="P870" s="585"/>
      <c r="Q870" s="585"/>
      <c r="R870" s="585"/>
      <c r="S870" s="585"/>
      <c r="T870" s="585"/>
      <c r="U870" s="585"/>
      <c r="V870" s="585"/>
      <c r="W870" s="585"/>
      <c r="X870" s="585"/>
      <c r="Y870" s="585"/>
      <c r="Z870" s="585"/>
      <c r="AA870" s="585"/>
      <c r="AB870" s="585"/>
      <c r="AC870" s="585"/>
      <c r="AD870" s="585"/>
      <c r="AE870" s="585"/>
      <c r="AF870" s="585"/>
      <c r="AG870" s="585"/>
      <c r="AH870" s="585"/>
      <c r="AI870" s="585"/>
      <c r="AJ870" s="585"/>
      <c r="AK870" s="585"/>
      <c r="AL870" s="585"/>
      <c r="AM870" s="585"/>
      <c r="AN870" s="585"/>
      <c r="AO870" s="585"/>
      <c r="AP870" s="585"/>
      <c r="AQ870" s="585"/>
      <c r="AR870" s="585"/>
      <c r="AS870" s="585"/>
      <c r="AT870" s="585"/>
      <c r="AU870" s="585"/>
      <c r="AV870" s="585"/>
      <c r="AW870" s="585"/>
      <c r="AX870" s="585"/>
      <c r="AY870" s="585"/>
      <c r="AZ870" s="585"/>
      <c r="BA870" s="585"/>
      <c r="BB870" s="585"/>
      <c r="BC870" s="585"/>
      <c r="BD870" s="585"/>
      <c r="BE870" s="585"/>
      <c r="BF870" s="585"/>
      <c r="BG870" s="585"/>
      <c r="BH870" s="585"/>
      <c r="BI870" s="585"/>
      <c r="BJ870" s="585"/>
      <c r="BK870" s="585"/>
      <c r="BL870" s="585"/>
      <c r="BM870" s="585"/>
      <c r="BN870" s="585"/>
      <c r="BO870" s="585"/>
      <c r="BP870" s="1431" t="s">
        <v>41</v>
      </c>
      <c r="BQ870" s="1431"/>
      <c r="BR870" s="585"/>
      <c r="BS870" s="585"/>
      <c r="BT870" s="1433" t="e">
        <f>BT868+BT869</f>
        <v>#REF!</v>
      </c>
      <c r="BU870" s="1433"/>
      <c r="BV870" s="1433"/>
      <c r="BW870" s="1433"/>
      <c r="BX870" s="1433"/>
      <c r="BY870" s="1433"/>
      <c r="BZ870" s="1433"/>
      <c r="CA870" s="1433"/>
      <c r="CB870" s="1433"/>
      <c r="CC870" s="1433"/>
      <c r="CD870" s="585"/>
      <c r="CE870" s="585"/>
      <c r="CF870" s="586"/>
    </row>
    <row r="871" spans="1:84" s="583" customFormat="1" ht="23.1" customHeight="1" thickBot="1">
      <c r="A871" s="597"/>
      <c r="B871" s="598" t="s">
        <v>1113</v>
      </c>
      <c r="C871" s="598"/>
      <c r="D871" s="598"/>
      <c r="E871" s="598"/>
      <c r="F871" s="598"/>
      <c r="G871" s="598"/>
      <c r="H871" s="598"/>
      <c r="I871" s="598"/>
      <c r="J871" s="598"/>
      <c r="K871" s="598"/>
      <c r="L871" s="598"/>
      <c r="M871" s="598"/>
      <c r="N871" s="598"/>
      <c r="O871" s="598"/>
      <c r="P871" s="598"/>
      <c r="Q871" s="598"/>
      <c r="R871" s="598"/>
      <c r="S871" s="598"/>
      <c r="T871" s="598"/>
      <c r="U871" s="598"/>
      <c r="V871" s="598"/>
      <c r="W871" s="598"/>
      <c r="X871" s="598"/>
      <c r="Y871" s="598"/>
      <c r="Z871" s="598"/>
      <c r="AA871" s="598"/>
      <c r="AB871" s="598"/>
      <c r="AC871" s="598"/>
      <c r="AD871" s="598"/>
      <c r="AE871" s="598"/>
      <c r="AF871" s="598"/>
      <c r="AG871" s="598"/>
      <c r="AH871" s="598"/>
      <c r="AI871" s="598"/>
      <c r="AJ871" s="598"/>
      <c r="AK871" s="598"/>
      <c r="AL871" s="598"/>
      <c r="AM871" s="598"/>
      <c r="AN871" s="598"/>
      <c r="AO871" s="598"/>
      <c r="AP871" s="598"/>
      <c r="AQ871" s="598"/>
      <c r="AR871" s="598"/>
      <c r="AS871" s="598"/>
      <c r="AT871" s="598"/>
      <c r="AU871" s="598"/>
      <c r="AV871" s="598"/>
      <c r="AW871" s="598"/>
      <c r="AX871" s="598"/>
      <c r="AY871" s="598"/>
      <c r="AZ871" s="598"/>
      <c r="BA871" s="598"/>
      <c r="BB871" s="598"/>
      <c r="BC871" s="598"/>
      <c r="BD871" s="598"/>
      <c r="BE871" s="598"/>
      <c r="BF871" s="598"/>
      <c r="BG871" s="598"/>
      <c r="BH871" s="598"/>
      <c r="BI871" s="598"/>
      <c r="BJ871" s="598"/>
      <c r="BK871" s="598"/>
      <c r="BL871" s="598"/>
      <c r="BM871" s="598"/>
      <c r="BN871" s="598"/>
      <c r="BO871" s="598"/>
      <c r="BP871" s="598"/>
      <c r="BQ871" s="598"/>
      <c r="BR871" s="598"/>
      <c r="BS871" s="598"/>
      <c r="BT871" s="1429" t="e">
        <f>BT862+BT866+BT870</f>
        <v>#REF!</v>
      </c>
      <c r="BU871" s="1429"/>
      <c r="BV871" s="1429"/>
      <c r="BW871" s="1429"/>
      <c r="BX871" s="1429"/>
      <c r="BY871" s="1429"/>
      <c r="BZ871" s="1429"/>
      <c r="CA871" s="1429"/>
      <c r="CB871" s="1429"/>
      <c r="CC871" s="1429"/>
      <c r="CD871" s="598"/>
      <c r="CE871" s="598"/>
      <c r="CF871" s="599"/>
    </row>
    <row r="872" spans="1:84" s="583" customFormat="1" ht="9.9499999999999993" customHeight="1">
      <c r="A872" s="574"/>
      <c r="B872" s="574"/>
      <c r="C872" s="574"/>
      <c r="D872" s="574"/>
      <c r="E872" s="574"/>
      <c r="F872" s="574"/>
      <c r="G872" s="574"/>
      <c r="H872" s="574"/>
      <c r="I872" s="574"/>
      <c r="J872" s="574"/>
      <c r="K872" s="574"/>
      <c r="L872" s="574"/>
      <c r="M872" s="574"/>
      <c r="N872" s="574"/>
      <c r="O872" s="574"/>
      <c r="P872" s="574"/>
      <c r="Q872" s="574"/>
      <c r="R872" s="574"/>
      <c r="S872" s="574"/>
      <c r="T872" s="574"/>
      <c r="U872" s="574"/>
      <c r="V872" s="574"/>
      <c r="W872" s="574"/>
      <c r="X872" s="574"/>
      <c r="Y872" s="574"/>
      <c r="Z872" s="574"/>
      <c r="AA872" s="574"/>
      <c r="AB872" s="574"/>
      <c r="AC872" s="574"/>
      <c r="AD872" s="574"/>
      <c r="AE872" s="574"/>
      <c r="AF872" s="574"/>
      <c r="AG872" s="574"/>
      <c r="AH872" s="574"/>
      <c r="AI872" s="574"/>
      <c r="AJ872" s="574"/>
      <c r="AK872" s="574"/>
      <c r="AL872" s="574"/>
      <c r="AM872" s="574"/>
      <c r="AN872" s="574"/>
      <c r="AO872" s="574"/>
      <c r="AP872" s="574"/>
      <c r="AQ872" s="574"/>
      <c r="AR872" s="574"/>
      <c r="AS872" s="574"/>
      <c r="AT872" s="574"/>
      <c r="AU872" s="574"/>
      <c r="AV872" s="574"/>
      <c r="AW872" s="574"/>
      <c r="AX872" s="574"/>
      <c r="AY872" s="574"/>
      <c r="AZ872" s="574"/>
      <c r="BA872" s="574"/>
      <c r="BB872" s="574"/>
      <c r="BC872" s="574"/>
      <c r="BD872" s="574"/>
      <c r="BE872" s="574"/>
      <c r="BF872" s="574"/>
      <c r="BG872" s="574"/>
      <c r="BH872" s="574"/>
      <c r="BI872" s="574"/>
      <c r="BJ872" s="574"/>
      <c r="BK872" s="574"/>
      <c r="BL872" s="574"/>
      <c r="BM872" s="574"/>
      <c r="BN872" s="574"/>
      <c r="BO872" s="574"/>
      <c r="BP872" s="574"/>
      <c r="BQ872" s="574"/>
      <c r="BR872" s="574"/>
      <c r="BS872" s="574"/>
      <c r="BT872" s="574"/>
      <c r="BU872" s="574"/>
      <c r="BV872" s="574"/>
      <c r="BW872" s="574"/>
      <c r="BX872" s="574"/>
      <c r="BY872" s="574"/>
      <c r="BZ872" s="574"/>
      <c r="CA872" s="574"/>
      <c r="CB872" s="574"/>
      <c r="CC872" s="574"/>
      <c r="CD872" s="574"/>
      <c r="CE872" s="574"/>
      <c r="CF872" s="574"/>
    </row>
    <row r="873" spans="1:84" s="583" customFormat="1" ht="23.1" customHeight="1" thickBot="1">
      <c r="A873" s="1446" t="s">
        <v>1095</v>
      </c>
      <c r="B873" s="1446"/>
      <c r="C873" s="1446"/>
      <c r="D873" s="1446"/>
      <c r="E873" s="1446"/>
      <c r="F873" s="1446"/>
      <c r="G873" s="1447">
        <f>G858+1</f>
        <v>59</v>
      </c>
      <c r="H873" s="1447"/>
      <c r="I873" s="1447"/>
      <c r="J873" s="1448" t="s">
        <v>1096</v>
      </c>
      <c r="K873" s="1448"/>
      <c r="L873" s="574"/>
      <c r="M873" s="574"/>
      <c r="N873" s="574"/>
      <c r="O873" s="574"/>
      <c r="P873" s="574"/>
      <c r="Q873" s="574"/>
      <c r="R873" s="574"/>
      <c r="S873" s="574"/>
      <c r="T873" s="574"/>
      <c r="U873" s="574"/>
      <c r="V873" s="574"/>
      <c r="W873" s="574"/>
      <c r="X873" s="574"/>
      <c r="Y873" s="574"/>
      <c r="Z873" s="574"/>
      <c r="AA873" s="574"/>
      <c r="AB873" s="574"/>
      <c r="AC873" s="574"/>
      <c r="AD873" s="574"/>
      <c r="AE873" s="574"/>
      <c r="AF873" s="574"/>
      <c r="AG873" s="574"/>
      <c r="AH873" s="574"/>
      <c r="AI873" s="574"/>
      <c r="AJ873" s="574"/>
      <c r="AK873" s="574"/>
      <c r="AL873" s="574"/>
      <c r="AM873" s="574"/>
      <c r="AN873" s="574"/>
      <c r="AO873" s="574"/>
      <c r="AP873" s="574"/>
      <c r="AQ873" s="574"/>
      <c r="AR873" s="574"/>
      <c r="AS873" s="574"/>
      <c r="AT873" s="574"/>
      <c r="AU873" s="574"/>
      <c r="AV873" s="574"/>
      <c r="AW873" s="574"/>
      <c r="AX873" s="574"/>
      <c r="AY873" s="574"/>
      <c r="AZ873" s="574"/>
      <c r="BA873" s="574"/>
      <c r="BB873" s="574"/>
      <c r="BC873" s="574"/>
      <c r="BD873" s="574"/>
      <c r="BE873" s="574"/>
      <c r="BF873" s="574"/>
      <c r="BG873" s="574"/>
      <c r="BH873" s="574"/>
      <c r="BI873" s="574"/>
      <c r="BJ873" s="574"/>
      <c r="BK873" s="574"/>
      <c r="BL873" s="574"/>
      <c r="BM873" s="574"/>
      <c r="BN873" s="574"/>
      <c r="BO873" s="574"/>
      <c r="BP873" s="574"/>
      <c r="BQ873" s="574"/>
      <c r="BR873" s="574"/>
      <c r="BS873" s="574"/>
      <c r="BT873" s="574"/>
      <c r="BU873" s="574"/>
      <c r="BV873" s="574"/>
      <c r="BW873" s="574"/>
      <c r="BX873" s="574"/>
      <c r="BY873" s="574"/>
      <c r="BZ873" s="574"/>
      <c r="CA873" s="574"/>
      <c r="CB873" s="574"/>
      <c r="CC873" s="574"/>
      <c r="CD873" s="574"/>
      <c r="CE873" s="574"/>
      <c r="CF873" s="574"/>
    </row>
    <row r="874" spans="1:84" s="603" customFormat="1" ht="23.1" customHeight="1" thickBot="1">
      <c r="A874" s="1438" t="s">
        <v>1097</v>
      </c>
      <c r="B874" s="1439"/>
      <c r="C874" s="1439"/>
      <c r="D874" s="1439"/>
      <c r="E874" s="1439"/>
      <c r="F874" s="1439"/>
      <c r="G874" s="1439"/>
      <c r="H874" s="1439"/>
      <c r="I874" s="601" t="s">
        <v>583</v>
      </c>
      <c r="J874" s="601"/>
      <c r="K874" s="601"/>
      <c r="L874" s="601"/>
      <c r="M874" s="601"/>
      <c r="N874" s="601"/>
      <c r="O874" s="601"/>
      <c r="P874" s="601"/>
      <c r="Q874" s="601"/>
      <c r="R874" s="601"/>
      <c r="S874" s="601"/>
      <c r="T874" s="601"/>
      <c r="U874" s="601"/>
      <c r="V874" s="601"/>
      <c r="W874" s="601"/>
      <c r="X874" s="601"/>
      <c r="Y874" s="601"/>
      <c r="Z874" s="601"/>
      <c r="AA874" s="601"/>
      <c r="AB874" s="601"/>
      <c r="AC874" s="601"/>
      <c r="AD874" s="601"/>
      <c r="AE874" s="601"/>
      <c r="AF874" s="601"/>
      <c r="AG874" s="601"/>
      <c r="AH874" s="601"/>
      <c r="AI874" s="601"/>
      <c r="AJ874" s="1439" t="s">
        <v>1099</v>
      </c>
      <c r="AK874" s="1439"/>
      <c r="AL874" s="1439"/>
      <c r="AM874" s="1439"/>
      <c r="AN874" s="1439"/>
      <c r="AO874" s="1439"/>
      <c r="AP874" s="1439"/>
      <c r="AQ874" s="601" t="s">
        <v>249</v>
      </c>
      <c r="AR874" s="601"/>
      <c r="AS874" s="601"/>
      <c r="AT874" s="601"/>
      <c r="AU874" s="601"/>
      <c r="AV874" s="601"/>
      <c r="AW874" s="601"/>
      <c r="AX874" s="601"/>
      <c r="AY874" s="601"/>
      <c r="AZ874" s="601"/>
      <c r="BA874" s="601"/>
      <c r="BB874" s="601"/>
      <c r="BC874" s="601"/>
      <c r="BD874" s="601"/>
      <c r="BE874" s="601"/>
      <c r="BF874" s="601"/>
      <c r="BG874" s="601"/>
      <c r="BH874" s="601"/>
      <c r="BI874" s="601"/>
      <c r="BJ874" s="601"/>
      <c r="BK874" s="601"/>
      <c r="BL874" s="601"/>
      <c r="BM874" s="601"/>
      <c r="BN874" s="601"/>
      <c r="BO874" s="601"/>
      <c r="BP874" s="601"/>
      <c r="BQ874" s="601"/>
      <c r="BR874" s="601"/>
      <c r="BS874" s="601"/>
      <c r="BT874" s="601" t="s">
        <v>1192</v>
      </c>
      <c r="BU874" s="601"/>
      <c r="BV874" s="601"/>
      <c r="BW874" s="601"/>
      <c r="BX874" s="601"/>
      <c r="BY874" s="601"/>
      <c r="BZ874" s="601"/>
      <c r="CA874" s="601"/>
      <c r="CB874" s="601"/>
      <c r="CC874" s="601"/>
      <c r="CD874" s="601"/>
      <c r="CE874" s="601"/>
      <c r="CF874" s="602"/>
    </row>
    <row r="875" spans="1:84" s="583" customFormat="1" ht="23.1" customHeight="1">
      <c r="A875" s="584"/>
      <c r="B875" s="585" t="s">
        <v>1102</v>
      </c>
      <c r="C875" s="585"/>
      <c r="D875" s="585"/>
      <c r="E875" s="585"/>
      <c r="F875" s="585"/>
      <c r="G875" s="585"/>
      <c r="H875" s="585"/>
      <c r="I875" s="585"/>
      <c r="J875" s="585"/>
      <c r="K875" s="585"/>
      <c r="L875" s="585"/>
      <c r="M875" s="585"/>
      <c r="N875" s="585"/>
      <c r="O875" s="585"/>
      <c r="P875" s="585"/>
      <c r="Q875" s="585"/>
      <c r="R875" s="585"/>
      <c r="S875" s="585"/>
      <c r="T875" s="585"/>
      <c r="U875" s="585"/>
      <c r="V875" s="585"/>
      <c r="W875" s="585"/>
      <c r="X875" s="585"/>
      <c r="Y875" s="585"/>
      <c r="Z875" s="585"/>
      <c r="AA875" s="585"/>
      <c r="AB875" s="585"/>
      <c r="AC875" s="585"/>
      <c r="AD875" s="585"/>
      <c r="AE875" s="585"/>
      <c r="AF875" s="585"/>
      <c r="AG875" s="585"/>
      <c r="AH875" s="585"/>
      <c r="AI875" s="585"/>
      <c r="AJ875" s="585"/>
      <c r="AK875" s="585"/>
      <c r="AL875" s="585"/>
      <c r="AM875" s="585"/>
      <c r="AN875" s="585"/>
      <c r="AO875" s="585"/>
      <c r="AP875" s="585"/>
      <c r="AQ875" s="585"/>
      <c r="AR875" s="585"/>
      <c r="AS875" s="585"/>
      <c r="AT875" s="585"/>
      <c r="AU875" s="585"/>
      <c r="AV875" s="585"/>
      <c r="AW875" s="585"/>
      <c r="AX875" s="585"/>
      <c r="AY875" s="585"/>
      <c r="AZ875" s="585"/>
      <c r="BA875" s="585"/>
      <c r="BB875" s="585"/>
      <c r="BC875" s="585"/>
      <c r="BD875" s="585"/>
      <c r="BE875" s="585"/>
      <c r="BF875" s="585"/>
      <c r="BG875" s="585"/>
      <c r="BH875" s="585"/>
      <c r="BI875" s="585"/>
      <c r="BJ875" s="585"/>
      <c r="BK875" s="585"/>
      <c r="BL875" s="585"/>
      <c r="BM875" s="585"/>
      <c r="BN875" s="585"/>
      <c r="BO875" s="585"/>
      <c r="BP875" s="585"/>
      <c r="BQ875" s="585"/>
      <c r="BR875" s="585"/>
      <c r="BS875" s="585"/>
      <c r="BT875" s="585"/>
      <c r="BU875" s="585"/>
      <c r="BV875" s="585"/>
      <c r="BW875" s="585"/>
      <c r="BX875" s="585"/>
      <c r="BY875" s="585"/>
      <c r="BZ875" s="585"/>
      <c r="CA875" s="585"/>
      <c r="CB875" s="585"/>
      <c r="CC875" s="585"/>
      <c r="CD875" s="585"/>
      <c r="CE875" s="585"/>
      <c r="CF875" s="586"/>
    </row>
    <row r="876" spans="1:84" s="583" customFormat="1" ht="23.1" customHeight="1">
      <c r="A876" s="587"/>
      <c r="B876" s="574"/>
      <c r="C876" s="574"/>
      <c r="D876" s="405"/>
      <c r="E876" s="574"/>
      <c r="F876" s="422"/>
      <c r="G876" s="422"/>
      <c r="H876" s="422"/>
      <c r="I876" s="422"/>
      <c r="J876" s="422"/>
      <c r="K876" s="422"/>
      <c r="L876" s="422"/>
      <c r="M876" s="422"/>
      <c r="N876" s="574"/>
      <c r="O876" s="574"/>
      <c r="P876" s="574"/>
      <c r="Q876" s="574"/>
      <c r="R876" s="574"/>
      <c r="S876" s="588"/>
      <c r="T876" s="588"/>
      <c r="U876" s="588"/>
      <c r="V876" s="588"/>
      <c r="W876" s="588"/>
      <c r="X876" s="588"/>
      <c r="Y876" s="588"/>
      <c r="Z876" s="588"/>
      <c r="AA876" s="574"/>
      <c r="AB876" s="588"/>
      <c r="AC876" s="585"/>
      <c r="AD876" s="585"/>
      <c r="AE876" s="600"/>
      <c r="AF876" s="600"/>
      <c r="AG876" s="600"/>
      <c r="AH876" s="600"/>
      <c r="AI876" s="600"/>
      <c r="AJ876" s="600"/>
      <c r="AK876" s="600"/>
      <c r="AL876" s="600"/>
      <c r="AM876" s="585"/>
      <c r="AN876" s="585"/>
      <c r="AO876" s="574"/>
      <c r="AP876" s="588"/>
      <c r="AQ876" s="588"/>
      <c r="AR876" s="588"/>
      <c r="AS876" s="588"/>
      <c r="AT876" s="588"/>
      <c r="AU876" s="588"/>
      <c r="AV876" s="588"/>
      <c r="AW876" s="588"/>
      <c r="AX876" s="588"/>
      <c r="AY876" s="588"/>
      <c r="AZ876" s="588"/>
      <c r="BA876" s="588"/>
      <c r="BB876" s="588"/>
      <c r="BC876" s="588"/>
      <c r="BD876" s="574"/>
      <c r="BE876" s="574"/>
      <c r="BF876" s="574"/>
      <c r="BG876" s="574"/>
      <c r="BH876" s="574"/>
      <c r="BI876" s="574"/>
      <c r="BJ876" s="574"/>
      <c r="BK876" s="574"/>
      <c r="BL876" s="574"/>
      <c r="BM876" s="574"/>
      <c r="BN876" s="574"/>
      <c r="BO876" s="574"/>
      <c r="BP876" s="574"/>
      <c r="BQ876" s="574"/>
      <c r="BR876" s="574"/>
      <c r="BS876" s="574"/>
      <c r="BT876" s="574"/>
      <c r="BU876" s="574"/>
      <c r="BV876" s="574"/>
      <c r="BW876" s="574"/>
      <c r="BX876" s="574"/>
      <c r="BY876" s="574"/>
      <c r="BZ876" s="574"/>
      <c r="CA876" s="574"/>
      <c r="CB876" s="574"/>
      <c r="CC876" s="574"/>
      <c r="CD876" s="574"/>
      <c r="CE876" s="574"/>
      <c r="CF876" s="589"/>
    </row>
    <row r="877" spans="1:84" s="583" customFormat="1" ht="23.1" customHeight="1">
      <c r="A877" s="584"/>
      <c r="B877" s="585"/>
      <c r="C877" s="585"/>
      <c r="D877" s="585"/>
      <c r="E877" s="585"/>
      <c r="F877" s="585"/>
      <c r="G877" s="585"/>
      <c r="H877" s="585"/>
      <c r="I877" s="585"/>
      <c r="J877" s="585"/>
      <c r="K877" s="585"/>
      <c r="L877" s="585"/>
      <c r="M877" s="585"/>
      <c r="N877" s="585"/>
      <c r="O877" s="585"/>
      <c r="P877" s="585"/>
      <c r="Q877" s="585"/>
      <c r="R877" s="585"/>
      <c r="S877" s="585"/>
      <c r="T877" s="585"/>
      <c r="U877" s="585"/>
      <c r="V877" s="590"/>
      <c r="W877" s="590"/>
      <c r="X877" s="590"/>
      <c r="Y877" s="590"/>
      <c r="Z877" s="590"/>
      <c r="AA877" s="590"/>
      <c r="AB877" s="590"/>
      <c r="AC877" s="590"/>
      <c r="AD877" s="574"/>
      <c r="AE877" s="1440">
        <v>1418000</v>
      </c>
      <c r="AF877" s="1440"/>
      <c r="AG877" s="1440"/>
      <c r="AH877" s="1440"/>
      <c r="AI877" s="1440"/>
      <c r="AJ877" s="1440"/>
      <c r="AK877" s="1440"/>
      <c r="AL877" s="1440"/>
      <c r="AM877" s="1440"/>
      <c r="AN877" s="1440"/>
      <c r="AO877" s="1440"/>
      <c r="AP877" s="1440"/>
      <c r="AQ877" s="1440"/>
      <c r="AR877" s="1440"/>
      <c r="AS877" s="1440"/>
      <c r="AT877" s="1431" t="s">
        <v>446</v>
      </c>
      <c r="AU877" s="1431"/>
      <c r="AV877" s="1441" t="s">
        <v>1103</v>
      </c>
      <c r="AW877" s="1441"/>
      <c r="AX877" s="1442">
        <v>3708</v>
      </c>
      <c r="AY877" s="1442"/>
      <c r="AZ877" s="1442"/>
      <c r="BA877" s="1442"/>
      <c r="BB877" s="1442"/>
      <c r="BC877" s="1442"/>
      <c r="BD877" s="585"/>
      <c r="BE877" s="1431" t="s">
        <v>446</v>
      </c>
      <c r="BF877" s="1431"/>
      <c r="BG877" s="585"/>
      <c r="BH877" s="591" t="s">
        <v>1104</v>
      </c>
      <c r="BI877" s="585"/>
      <c r="BJ877" s="585"/>
      <c r="BK877" s="585"/>
      <c r="BL877" s="1431" t="s">
        <v>1105</v>
      </c>
      <c r="BM877" s="1431"/>
      <c r="BN877" s="1431"/>
      <c r="BO877" s="585"/>
      <c r="BP877" s="1431" t="s">
        <v>41</v>
      </c>
      <c r="BQ877" s="1431"/>
      <c r="BR877" s="585"/>
      <c r="BS877" s="585"/>
      <c r="BT877" s="1437">
        <f>INT(AE877*AX877*10^-7)</f>
        <v>525</v>
      </c>
      <c r="BU877" s="1437"/>
      <c r="BV877" s="1437"/>
      <c r="BW877" s="1437"/>
      <c r="BX877" s="1437"/>
      <c r="BY877" s="1437"/>
      <c r="BZ877" s="1437"/>
      <c r="CA877" s="1437"/>
      <c r="CB877" s="1437"/>
      <c r="CC877" s="1437"/>
      <c r="CD877" s="585"/>
      <c r="CE877" s="585"/>
      <c r="CF877" s="586"/>
    </row>
    <row r="878" spans="1:84" s="583" customFormat="1" ht="23.1" customHeight="1">
      <c r="A878" s="592"/>
      <c r="B878" s="593" t="s">
        <v>1106</v>
      </c>
      <c r="C878" s="593"/>
      <c r="D878" s="593"/>
      <c r="E878" s="593"/>
      <c r="F878" s="593"/>
      <c r="G878" s="593"/>
      <c r="H878" s="593"/>
      <c r="I878" s="593"/>
      <c r="J878" s="593"/>
      <c r="K878" s="593"/>
      <c r="L878" s="593"/>
      <c r="M878" s="593"/>
      <c r="N878" s="593"/>
      <c r="O878" s="593"/>
      <c r="P878" s="593"/>
      <c r="Q878" s="593"/>
      <c r="R878" s="593"/>
      <c r="S878" s="593"/>
      <c r="T878" s="593"/>
      <c r="U878" s="593"/>
      <c r="V878" s="593"/>
      <c r="W878" s="593"/>
      <c r="X878" s="593"/>
      <c r="Y878" s="593"/>
      <c r="Z878" s="593"/>
      <c r="AA878" s="593"/>
      <c r="AB878" s="593"/>
      <c r="AC878" s="593"/>
      <c r="AD878" s="593"/>
      <c r="AE878" s="593"/>
      <c r="AF878" s="593"/>
      <c r="AG878" s="593"/>
      <c r="AH878" s="593"/>
      <c r="AI878" s="593"/>
      <c r="AJ878" s="593"/>
      <c r="AK878" s="593"/>
      <c r="AL878" s="593"/>
      <c r="AM878" s="593"/>
      <c r="AN878" s="593"/>
      <c r="AO878" s="593"/>
      <c r="AP878" s="593"/>
      <c r="AQ878" s="593"/>
      <c r="AR878" s="593"/>
      <c r="AS878" s="593"/>
      <c r="AT878" s="593"/>
      <c r="AU878" s="593"/>
      <c r="AV878" s="593"/>
      <c r="AW878" s="593"/>
      <c r="AX878" s="593"/>
      <c r="AY878" s="593"/>
      <c r="AZ878" s="593"/>
      <c r="BA878" s="593"/>
      <c r="BB878" s="593"/>
      <c r="BC878" s="593"/>
      <c r="BD878" s="593"/>
      <c r="BE878" s="593"/>
      <c r="BF878" s="593"/>
      <c r="BG878" s="593"/>
      <c r="BH878" s="593"/>
      <c r="BI878" s="593"/>
      <c r="BJ878" s="593"/>
      <c r="BK878" s="593"/>
      <c r="BL878" s="593"/>
      <c r="BM878" s="593"/>
      <c r="BN878" s="593"/>
      <c r="BO878" s="593"/>
      <c r="BP878" s="593"/>
      <c r="BQ878" s="593"/>
      <c r="BR878" s="593"/>
      <c r="BS878" s="593"/>
      <c r="BT878" s="594"/>
      <c r="BU878" s="594"/>
      <c r="BV878" s="594"/>
      <c r="BW878" s="594"/>
      <c r="BX878" s="594"/>
      <c r="BY878" s="594"/>
      <c r="BZ878" s="594"/>
      <c r="CA878" s="594"/>
      <c r="CB878" s="594"/>
      <c r="CC878" s="594"/>
      <c r="CD878" s="593"/>
      <c r="CE878" s="593"/>
      <c r="CF878" s="595"/>
    </row>
    <row r="879" spans="1:84" s="583" customFormat="1" ht="23.1" customHeight="1">
      <c r="A879" s="584"/>
      <c r="B879" s="585"/>
      <c r="C879" s="585"/>
      <c r="D879" s="596" t="s">
        <v>1093</v>
      </c>
      <c r="E879" s="585"/>
      <c r="F879" s="585"/>
      <c r="G879" s="585"/>
      <c r="H879" s="585"/>
      <c r="I879" s="585"/>
      <c r="J879" s="585"/>
      <c r="K879" s="585"/>
      <c r="L879" s="585"/>
      <c r="M879" s="585"/>
      <c r="N879" s="585"/>
      <c r="O879" s="585"/>
      <c r="P879" s="585"/>
      <c r="Q879" s="585"/>
      <c r="R879" s="585"/>
      <c r="S879" s="585"/>
      <c r="T879" s="574"/>
      <c r="U879" s="574"/>
      <c r="V879" s="1435">
        <f>HLOOKUP(D879,$CJ$1:$CM$3,3,0)</f>
        <v>173995</v>
      </c>
      <c r="W879" s="1435"/>
      <c r="X879" s="1435"/>
      <c r="Y879" s="1435"/>
      <c r="Z879" s="1435"/>
      <c r="AA879" s="1435"/>
      <c r="AB879" s="1435"/>
      <c r="AC879" s="1435"/>
      <c r="AD879" s="1435"/>
      <c r="AE879" s="1435"/>
      <c r="AF879" s="1431" t="s">
        <v>446</v>
      </c>
      <c r="AG879" s="1431"/>
      <c r="AH879" s="574"/>
      <c r="AI879" s="1436" t="s">
        <v>1107</v>
      </c>
      <c r="AJ879" s="1436"/>
      <c r="AK879" s="1436"/>
      <c r="AL879" s="1436"/>
      <c r="AM879" s="585"/>
      <c r="AN879" s="1431" t="s">
        <v>446</v>
      </c>
      <c r="AO879" s="1431"/>
      <c r="AP879" s="585"/>
      <c r="AQ879" s="1436" t="s">
        <v>1108</v>
      </c>
      <c r="AR879" s="1436"/>
      <c r="AS879" s="1436"/>
      <c r="AT879" s="1436"/>
      <c r="AU879" s="1436"/>
      <c r="AV879" s="422"/>
      <c r="AW879" s="1431" t="s">
        <v>446</v>
      </c>
      <c r="AX879" s="1431"/>
      <c r="AY879" s="440"/>
      <c r="AZ879" s="1436" t="s">
        <v>1109</v>
      </c>
      <c r="BA879" s="1436"/>
      <c r="BB879" s="1436"/>
      <c r="BC879" s="1436"/>
      <c r="BD879" s="1436"/>
      <c r="BE879" s="585"/>
      <c r="BF879" s="1431" t="s">
        <v>446</v>
      </c>
      <c r="BG879" s="1431"/>
      <c r="BH879" s="1431">
        <v>1</v>
      </c>
      <c r="BI879" s="1431"/>
      <c r="BJ879" s="1431"/>
      <c r="BK879" s="585"/>
      <c r="BL879" s="585" t="s">
        <v>366</v>
      </c>
      <c r="BM879" s="585"/>
      <c r="BN879" s="585"/>
      <c r="BO879" s="585"/>
      <c r="BP879" s="1431" t="s">
        <v>41</v>
      </c>
      <c r="BQ879" s="1431"/>
      <c r="BR879" s="585"/>
      <c r="BS879" s="585"/>
      <c r="BT879" s="1432">
        <f>INT(V879/8*16/12*25/20*BH879)</f>
        <v>36248</v>
      </c>
      <c r="BU879" s="1432"/>
      <c r="BV879" s="1432"/>
      <c r="BW879" s="1432"/>
      <c r="BX879" s="1432"/>
      <c r="BY879" s="1432"/>
      <c r="BZ879" s="1432"/>
      <c r="CA879" s="1432"/>
      <c r="CB879" s="1432"/>
      <c r="CC879" s="1432"/>
      <c r="CD879" s="585"/>
      <c r="CE879" s="585"/>
      <c r="CF879" s="586"/>
    </row>
    <row r="880" spans="1:84" s="583" customFormat="1" ht="23.1" customHeight="1">
      <c r="A880" s="584"/>
      <c r="B880" s="585"/>
      <c r="C880" s="585"/>
      <c r="D880" s="585"/>
      <c r="E880" s="585"/>
      <c r="F880" s="585"/>
      <c r="G880" s="585"/>
      <c r="H880" s="585"/>
      <c r="I880" s="585"/>
      <c r="J880" s="585"/>
      <c r="K880" s="585"/>
      <c r="L880" s="585"/>
      <c r="M880" s="585"/>
      <c r="N880" s="585"/>
      <c r="O880" s="585"/>
      <c r="P880" s="574"/>
      <c r="Q880" s="574"/>
      <c r="R880" s="574"/>
      <c r="S880" s="574"/>
      <c r="T880" s="574"/>
      <c r="U880" s="574"/>
      <c r="V880" s="574"/>
      <c r="W880" s="574"/>
      <c r="X880" s="574"/>
      <c r="Y880" s="574"/>
      <c r="Z880" s="574"/>
      <c r="AA880" s="574"/>
      <c r="AB880" s="574"/>
      <c r="AC880" s="574"/>
      <c r="AD880" s="574"/>
      <c r="AE880" s="574"/>
      <c r="AF880" s="574"/>
      <c r="AG880" s="574"/>
      <c r="AH880" s="574"/>
      <c r="AI880" s="574"/>
      <c r="AJ880" s="574"/>
      <c r="AK880" s="574"/>
      <c r="AL880" s="574"/>
      <c r="AM880" s="574"/>
      <c r="AN880" s="574"/>
      <c r="AO880" s="574"/>
      <c r="AP880" s="574"/>
      <c r="AQ880" s="574"/>
      <c r="AR880" s="574"/>
      <c r="AS880" s="574"/>
      <c r="AT880" s="574"/>
      <c r="AU880" s="574"/>
      <c r="AV880" s="574"/>
      <c r="AW880" s="574"/>
      <c r="AX880" s="574"/>
      <c r="AY880" s="574"/>
      <c r="AZ880" s="574"/>
      <c r="BA880" s="574"/>
      <c r="BB880" s="574"/>
      <c r="BC880" s="574"/>
      <c r="BD880" s="574"/>
      <c r="BE880" s="574"/>
      <c r="BF880" s="574"/>
      <c r="BG880" s="585"/>
      <c r="BH880" s="585"/>
      <c r="BI880" s="585"/>
      <c r="BJ880" s="585"/>
      <c r="BK880" s="585"/>
      <c r="BL880" s="585"/>
      <c r="BM880" s="585"/>
      <c r="BN880" s="585"/>
      <c r="BO880" s="585"/>
      <c r="BP880" s="1431"/>
      <c r="BQ880" s="1431"/>
      <c r="BR880" s="585"/>
      <c r="BS880" s="585"/>
      <c r="BT880" s="1432"/>
      <c r="BU880" s="1432"/>
      <c r="BV880" s="1432"/>
      <c r="BW880" s="1432"/>
      <c r="BX880" s="1432"/>
      <c r="BY880" s="1432"/>
      <c r="BZ880" s="1432"/>
      <c r="CA880" s="1432"/>
      <c r="CB880" s="1432"/>
      <c r="CC880" s="1432"/>
      <c r="CD880" s="585"/>
      <c r="CE880" s="585"/>
      <c r="CF880" s="586"/>
    </row>
    <row r="881" spans="1:84" s="583" customFormat="1" ht="23.1" customHeight="1">
      <c r="A881" s="584"/>
      <c r="B881" s="585"/>
      <c r="C881" s="585"/>
      <c r="D881" s="585"/>
      <c r="E881" s="585"/>
      <c r="F881" s="585"/>
      <c r="G881" s="585"/>
      <c r="H881" s="585"/>
      <c r="I881" s="585"/>
      <c r="J881" s="585"/>
      <c r="K881" s="585"/>
      <c r="L881" s="585"/>
      <c r="M881" s="585"/>
      <c r="N881" s="585"/>
      <c r="O881" s="585"/>
      <c r="P881" s="585"/>
      <c r="Q881" s="585"/>
      <c r="R881" s="585"/>
      <c r="S881" s="585"/>
      <c r="T881" s="585"/>
      <c r="U881" s="585"/>
      <c r="V881" s="585"/>
      <c r="W881" s="585"/>
      <c r="X881" s="585"/>
      <c r="Y881" s="585"/>
      <c r="Z881" s="585"/>
      <c r="AA881" s="585"/>
      <c r="AB881" s="585"/>
      <c r="AC881" s="585"/>
      <c r="AD881" s="574"/>
      <c r="AE881" s="574"/>
      <c r="AF881" s="574"/>
      <c r="AG881" s="574"/>
      <c r="AH881" s="574"/>
      <c r="AI881" s="574"/>
      <c r="AJ881" s="574"/>
      <c r="AK881" s="574"/>
      <c r="AL881" s="574"/>
      <c r="AM881" s="574"/>
      <c r="AN881" s="574"/>
      <c r="AO881" s="574"/>
      <c r="AP881" s="574"/>
      <c r="AQ881" s="574"/>
      <c r="AR881" s="574"/>
      <c r="AS881" s="585"/>
      <c r="AT881" s="590"/>
      <c r="AU881" s="590"/>
      <c r="AV881" s="585"/>
      <c r="AW881" s="585"/>
      <c r="AX881" s="585"/>
      <c r="AY881" s="585"/>
      <c r="AZ881" s="585"/>
      <c r="BA881" s="585"/>
      <c r="BB881" s="585"/>
      <c r="BC881" s="585"/>
      <c r="BD881" s="585"/>
      <c r="BE881" s="585"/>
      <c r="BF881" s="585"/>
      <c r="BG881" s="585"/>
      <c r="BH881" s="585"/>
      <c r="BI881" s="585"/>
      <c r="BJ881" s="585"/>
      <c r="BK881" s="585"/>
      <c r="BL881" s="585"/>
      <c r="BM881" s="585"/>
      <c r="BN881" s="585"/>
      <c r="BO881" s="585"/>
      <c r="BP881" s="1431" t="s">
        <v>41</v>
      </c>
      <c r="BQ881" s="1431"/>
      <c r="BR881" s="585"/>
      <c r="BS881" s="585"/>
      <c r="BT881" s="1434">
        <f>BT879+BT880</f>
        <v>36248</v>
      </c>
      <c r="BU881" s="1434"/>
      <c r="BV881" s="1434"/>
      <c r="BW881" s="1434"/>
      <c r="BX881" s="1434"/>
      <c r="BY881" s="1434"/>
      <c r="BZ881" s="1434"/>
      <c r="CA881" s="1434"/>
      <c r="CB881" s="1434"/>
      <c r="CC881" s="1434"/>
      <c r="CD881" s="585"/>
      <c r="CE881" s="585"/>
      <c r="CF881" s="586"/>
    </row>
    <row r="882" spans="1:84" s="583" customFormat="1" ht="23.1" customHeight="1">
      <c r="A882" s="592"/>
      <c r="B882" s="593" t="s">
        <v>1110</v>
      </c>
      <c r="C882" s="593"/>
      <c r="D882" s="593"/>
      <c r="E882" s="593"/>
      <c r="F882" s="593"/>
      <c r="G882" s="593"/>
      <c r="H882" s="593"/>
      <c r="I882" s="593"/>
      <c r="J882" s="593"/>
      <c r="K882" s="593"/>
      <c r="L882" s="593"/>
      <c r="M882" s="593"/>
      <c r="N882" s="593"/>
      <c r="O882" s="593"/>
      <c r="P882" s="593"/>
      <c r="Q882" s="593"/>
      <c r="R882" s="593"/>
      <c r="S882" s="593"/>
      <c r="T882" s="593"/>
      <c r="U882" s="593"/>
      <c r="V882" s="593"/>
      <c r="W882" s="593"/>
      <c r="X882" s="593"/>
      <c r="Y882" s="593"/>
      <c r="Z882" s="593"/>
      <c r="AA882" s="593"/>
      <c r="AB882" s="593"/>
      <c r="AC882" s="593"/>
      <c r="AD882" s="593"/>
      <c r="AE882" s="593"/>
      <c r="AF882" s="593"/>
      <c r="AG882" s="593"/>
      <c r="AH882" s="593"/>
      <c r="AI882" s="593"/>
      <c r="AJ882" s="593"/>
      <c r="AK882" s="593"/>
      <c r="AL882" s="593"/>
      <c r="AM882" s="593"/>
      <c r="AN882" s="593"/>
      <c r="AO882" s="593"/>
      <c r="AP882" s="593"/>
      <c r="AQ882" s="593"/>
      <c r="AR882" s="593"/>
      <c r="AS882" s="593"/>
      <c r="AT882" s="593"/>
      <c r="AU882" s="593"/>
      <c r="AV882" s="593"/>
      <c r="AW882" s="593"/>
      <c r="AX882" s="593"/>
      <c r="AY882" s="593"/>
      <c r="AZ882" s="593"/>
      <c r="BA882" s="593"/>
      <c r="BB882" s="593"/>
      <c r="BC882" s="593"/>
      <c r="BD882" s="593"/>
      <c r="BE882" s="593"/>
      <c r="BF882" s="593"/>
      <c r="BG882" s="593"/>
      <c r="BH882" s="593"/>
      <c r="BI882" s="593"/>
      <c r="BJ882" s="593"/>
      <c r="BK882" s="593"/>
      <c r="BL882" s="593"/>
      <c r="BM882" s="593"/>
      <c r="BN882" s="593"/>
      <c r="BO882" s="593"/>
      <c r="BP882" s="593"/>
      <c r="BQ882" s="593"/>
      <c r="BR882" s="593"/>
      <c r="BS882" s="593"/>
      <c r="BT882" s="593"/>
      <c r="BU882" s="593"/>
      <c r="BV882" s="593"/>
      <c r="BW882" s="593"/>
      <c r="BX882" s="593"/>
      <c r="BY882" s="593"/>
      <c r="BZ882" s="593"/>
      <c r="CA882" s="593"/>
      <c r="CB882" s="593"/>
      <c r="CC882" s="593"/>
      <c r="CD882" s="593"/>
      <c r="CE882" s="593"/>
      <c r="CF882" s="595"/>
    </row>
    <row r="883" spans="1:84" s="583" customFormat="1" ht="23.1" customHeight="1">
      <c r="A883" s="584"/>
      <c r="B883" s="585"/>
      <c r="C883" s="585"/>
      <c r="D883" s="596" t="s">
        <v>42</v>
      </c>
      <c r="E883" s="585"/>
      <c r="F883" s="585"/>
      <c r="G883" s="585"/>
      <c r="H883" s="585"/>
      <c r="I883" s="585"/>
      <c r="J883" s="585"/>
      <c r="K883" s="585"/>
      <c r="L883" s="585"/>
      <c r="M883" s="585"/>
      <c r="N883" s="585"/>
      <c r="O883" s="585"/>
      <c r="P883" s="585"/>
      <c r="Q883" s="585"/>
      <c r="R883" s="585"/>
      <c r="S883" s="585"/>
      <c r="T883" s="585"/>
      <c r="U883" s="585"/>
      <c r="V883" s="585"/>
      <c r="W883" s="585"/>
      <c r="X883" s="585"/>
      <c r="Y883" s="585"/>
      <c r="Z883" s="585"/>
      <c r="AA883" s="585"/>
      <c r="AB883" s="585"/>
      <c r="AC883" s="585"/>
      <c r="AD883" s="585"/>
      <c r="AE883" s="585"/>
      <c r="AF883" s="585"/>
      <c r="AG883" s="585"/>
      <c r="AH883" s="585"/>
      <c r="AI883" s="585"/>
      <c r="AJ883" s="585"/>
      <c r="AK883" s="585"/>
      <c r="AL883" s="585"/>
      <c r="AM883" s="585"/>
      <c r="AN883" s="585"/>
      <c r="AO883" s="585"/>
      <c r="AP883" s="585"/>
      <c r="AQ883" s="585"/>
      <c r="AR883" s="422"/>
      <c r="AS883" s="1435" t="e">
        <f>HLOOKUP(D883,$CN$1:$CO$3,3,0)</f>
        <v>#REF!</v>
      </c>
      <c r="AT883" s="1435"/>
      <c r="AU883" s="1435"/>
      <c r="AV883" s="1435"/>
      <c r="AW883" s="1435"/>
      <c r="AX883" s="1435"/>
      <c r="AY883" s="1435"/>
      <c r="AZ883" s="1435"/>
      <c r="BA883" s="1435"/>
      <c r="BB883" s="1435"/>
      <c r="BC883" s="585"/>
      <c r="BD883" s="1431" t="s">
        <v>446</v>
      </c>
      <c r="BE883" s="1431"/>
      <c r="BF883" s="585"/>
      <c r="BG883" s="1431">
        <v>0.7</v>
      </c>
      <c r="BH883" s="1431"/>
      <c r="BI883" s="1431"/>
      <c r="BJ883" s="1431"/>
      <c r="BK883" s="1431"/>
      <c r="BL883" s="585" t="s">
        <v>1111</v>
      </c>
      <c r="BM883" s="585"/>
      <c r="BN883" s="585"/>
      <c r="BO883" s="585"/>
      <c r="BP883" s="1431" t="s">
        <v>41</v>
      </c>
      <c r="BQ883" s="1431"/>
      <c r="BR883" s="585"/>
      <c r="BS883" s="585"/>
      <c r="BT883" s="1432" t="e">
        <f>INT(AS883*BG883)</f>
        <v>#REF!</v>
      </c>
      <c r="BU883" s="1432"/>
      <c r="BV883" s="1432"/>
      <c r="BW883" s="1432"/>
      <c r="BX883" s="1432"/>
      <c r="BY883" s="1432"/>
      <c r="BZ883" s="1432"/>
      <c r="CA883" s="1432"/>
      <c r="CB883" s="1432"/>
      <c r="CC883" s="1432"/>
      <c r="CD883" s="585"/>
      <c r="CE883" s="585"/>
      <c r="CF883" s="586"/>
    </row>
    <row r="884" spans="1:84" s="583" customFormat="1" ht="23.1" customHeight="1">
      <c r="A884" s="584"/>
      <c r="B884" s="585"/>
      <c r="C884" s="585"/>
      <c r="D884" s="591" t="str">
        <f>"잡재료 (주연료의 "&amp;BG884&amp;"%) :"</f>
        <v>잡재료 (주연료의 10%) :</v>
      </c>
      <c r="E884" s="585"/>
      <c r="F884" s="585"/>
      <c r="G884" s="585"/>
      <c r="H884" s="585"/>
      <c r="I884" s="585"/>
      <c r="J884" s="585"/>
      <c r="K884" s="585"/>
      <c r="L884" s="585"/>
      <c r="M884" s="585"/>
      <c r="N884" s="585"/>
      <c r="O884" s="585"/>
      <c r="P884" s="585"/>
      <c r="Q884" s="585"/>
      <c r="R884" s="585"/>
      <c r="S884" s="585"/>
      <c r="T884" s="585"/>
      <c r="U884" s="585"/>
      <c r="V884" s="585"/>
      <c r="W884" s="585"/>
      <c r="X884" s="585"/>
      <c r="Y884" s="585"/>
      <c r="Z884" s="585"/>
      <c r="AA884" s="585"/>
      <c r="AB884" s="585"/>
      <c r="AC884" s="585"/>
      <c r="AD884" s="585"/>
      <c r="AE884" s="585"/>
      <c r="AF884" s="585"/>
      <c r="AG884" s="585"/>
      <c r="AH884" s="585"/>
      <c r="AI884" s="585"/>
      <c r="AJ884" s="585"/>
      <c r="AK884" s="585"/>
      <c r="AL884" s="585"/>
      <c r="AM884" s="585"/>
      <c r="AN884" s="585"/>
      <c r="AO884" s="585"/>
      <c r="AP884" s="585"/>
      <c r="AQ884" s="585"/>
      <c r="AR884" s="422" t="e">
        <f>BT883</f>
        <v>#REF!</v>
      </c>
      <c r="AS884" s="1430" t="e">
        <f>BT883</f>
        <v>#REF!</v>
      </c>
      <c r="AT884" s="1430"/>
      <c r="AU884" s="1430"/>
      <c r="AV884" s="1430"/>
      <c r="AW884" s="1430"/>
      <c r="AX884" s="1430"/>
      <c r="AY884" s="1430"/>
      <c r="AZ884" s="1430"/>
      <c r="BA884" s="1430"/>
      <c r="BB884" s="1430"/>
      <c r="BC884" s="585"/>
      <c r="BD884" s="1431" t="s">
        <v>446</v>
      </c>
      <c r="BE884" s="1431"/>
      <c r="BF884" s="585"/>
      <c r="BG884" s="1431">
        <v>10</v>
      </c>
      <c r="BH884" s="1431"/>
      <c r="BI884" s="1431"/>
      <c r="BJ884" s="1431"/>
      <c r="BK884" s="1431"/>
      <c r="BL884" s="585" t="s">
        <v>1112</v>
      </c>
      <c r="BM884" s="585"/>
      <c r="BN884" s="585"/>
      <c r="BO884" s="585"/>
      <c r="BP884" s="1431" t="s">
        <v>41</v>
      </c>
      <c r="BQ884" s="1431"/>
      <c r="BR884" s="585"/>
      <c r="BS884" s="585"/>
      <c r="BT884" s="1432" t="e">
        <f>INT(AS884*BG884/100)</f>
        <v>#REF!</v>
      </c>
      <c r="BU884" s="1432"/>
      <c r="BV884" s="1432"/>
      <c r="BW884" s="1432"/>
      <c r="BX884" s="1432"/>
      <c r="BY884" s="1432"/>
      <c r="BZ884" s="1432"/>
      <c r="CA884" s="1432"/>
      <c r="CB884" s="1432"/>
      <c r="CC884" s="1432"/>
      <c r="CD884" s="585"/>
      <c r="CE884" s="585"/>
      <c r="CF884" s="586"/>
    </row>
    <row r="885" spans="1:84" s="583" customFormat="1" ht="23.1" customHeight="1" thickBot="1">
      <c r="A885" s="584"/>
      <c r="B885" s="585"/>
      <c r="C885" s="585"/>
      <c r="D885" s="585"/>
      <c r="E885" s="585"/>
      <c r="F885" s="585"/>
      <c r="G885" s="585"/>
      <c r="H885" s="585"/>
      <c r="I885" s="585"/>
      <c r="J885" s="585"/>
      <c r="K885" s="585"/>
      <c r="L885" s="585"/>
      <c r="M885" s="585"/>
      <c r="N885" s="585"/>
      <c r="O885" s="585"/>
      <c r="P885" s="585"/>
      <c r="Q885" s="585"/>
      <c r="R885" s="585"/>
      <c r="S885" s="585"/>
      <c r="T885" s="585"/>
      <c r="U885" s="585"/>
      <c r="V885" s="585"/>
      <c r="W885" s="585"/>
      <c r="X885" s="585"/>
      <c r="Y885" s="585"/>
      <c r="Z885" s="585"/>
      <c r="AA885" s="585"/>
      <c r="AB885" s="585"/>
      <c r="AC885" s="585"/>
      <c r="AD885" s="585"/>
      <c r="AE885" s="585"/>
      <c r="AF885" s="585"/>
      <c r="AG885" s="585"/>
      <c r="AH885" s="585"/>
      <c r="AI885" s="585"/>
      <c r="AJ885" s="585"/>
      <c r="AK885" s="585"/>
      <c r="AL885" s="585"/>
      <c r="AM885" s="585"/>
      <c r="AN885" s="585"/>
      <c r="AO885" s="585"/>
      <c r="AP885" s="585"/>
      <c r="AQ885" s="585"/>
      <c r="AR885" s="585"/>
      <c r="AS885" s="585"/>
      <c r="AT885" s="585"/>
      <c r="AU885" s="585"/>
      <c r="AV885" s="585"/>
      <c r="AW885" s="585"/>
      <c r="AX885" s="585"/>
      <c r="AY885" s="585"/>
      <c r="AZ885" s="585"/>
      <c r="BA885" s="585"/>
      <c r="BB885" s="585"/>
      <c r="BC885" s="585"/>
      <c r="BD885" s="585"/>
      <c r="BE885" s="585"/>
      <c r="BF885" s="585"/>
      <c r="BG885" s="585"/>
      <c r="BH885" s="585"/>
      <c r="BI885" s="585"/>
      <c r="BJ885" s="585"/>
      <c r="BK885" s="585"/>
      <c r="BL885" s="585"/>
      <c r="BM885" s="585"/>
      <c r="BN885" s="585"/>
      <c r="BO885" s="585"/>
      <c r="BP885" s="1431" t="s">
        <v>41</v>
      </c>
      <c r="BQ885" s="1431"/>
      <c r="BR885" s="585"/>
      <c r="BS885" s="585"/>
      <c r="BT885" s="1433" t="e">
        <f>BT883+BT884</f>
        <v>#REF!</v>
      </c>
      <c r="BU885" s="1433"/>
      <c r="BV885" s="1433"/>
      <c r="BW885" s="1433"/>
      <c r="BX885" s="1433"/>
      <c r="BY885" s="1433"/>
      <c r="BZ885" s="1433"/>
      <c r="CA885" s="1433"/>
      <c r="CB885" s="1433"/>
      <c r="CC885" s="1433"/>
      <c r="CD885" s="585"/>
      <c r="CE885" s="585"/>
      <c r="CF885" s="586"/>
    </row>
    <row r="886" spans="1:84" s="583" customFormat="1" ht="23.1" customHeight="1" thickBot="1">
      <c r="A886" s="597"/>
      <c r="B886" s="598" t="s">
        <v>1113</v>
      </c>
      <c r="C886" s="598"/>
      <c r="D886" s="598"/>
      <c r="E886" s="598"/>
      <c r="F886" s="598"/>
      <c r="G886" s="598"/>
      <c r="H886" s="598"/>
      <c r="I886" s="598"/>
      <c r="J886" s="598"/>
      <c r="K886" s="598"/>
      <c r="L886" s="598"/>
      <c r="M886" s="598"/>
      <c r="N886" s="598"/>
      <c r="O886" s="598"/>
      <c r="P886" s="598"/>
      <c r="Q886" s="598"/>
      <c r="R886" s="598"/>
      <c r="S886" s="598"/>
      <c r="T886" s="598"/>
      <c r="U886" s="598"/>
      <c r="V886" s="598"/>
      <c r="W886" s="598"/>
      <c r="X886" s="598"/>
      <c r="Y886" s="598"/>
      <c r="Z886" s="598"/>
      <c r="AA886" s="598"/>
      <c r="AB886" s="598"/>
      <c r="AC886" s="598"/>
      <c r="AD886" s="598"/>
      <c r="AE886" s="598"/>
      <c r="AF886" s="598"/>
      <c r="AG886" s="598"/>
      <c r="AH886" s="598"/>
      <c r="AI886" s="598"/>
      <c r="AJ886" s="598"/>
      <c r="AK886" s="598"/>
      <c r="AL886" s="598"/>
      <c r="AM886" s="598"/>
      <c r="AN886" s="598"/>
      <c r="AO886" s="598"/>
      <c r="AP886" s="598"/>
      <c r="AQ886" s="598"/>
      <c r="AR886" s="598"/>
      <c r="AS886" s="598"/>
      <c r="AT886" s="598"/>
      <c r="AU886" s="598"/>
      <c r="AV886" s="598"/>
      <c r="AW886" s="598"/>
      <c r="AX886" s="598"/>
      <c r="AY886" s="598"/>
      <c r="AZ886" s="598"/>
      <c r="BA886" s="598"/>
      <c r="BB886" s="598"/>
      <c r="BC886" s="598"/>
      <c r="BD886" s="598"/>
      <c r="BE886" s="598"/>
      <c r="BF886" s="598"/>
      <c r="BG886" s="598"/>
      <c r="BH886" s="598"/>
      <c r="BI886" s="598"/>
      <c r="BJ886" s="598"/>
      <c r="BK886" s="598"/>
      <c r="BL886" s="598"/>
      <c r="BM886" s="598"/>
      <c r="BN886" s="598"/>
      <c r="BO886" s="598"/>
      <c r="BP886" s="598"/>
      <c r="BQ886" s="598"/>
      <c r="BR886" s="598"/>
      <c r="BS886" s="598"/>
      <c r="BT886" s="1429" t="e">
        <f>BT877+BT881+BT885</f>
        <v>#REF!</v>
      </c>
      <c r="BU886" s="1429"/>
      <c r="BV886" s="1429"/>
      <c r="BW886" s="1429"/>
      <c r="BX886" s="1429"/>
      <c r="BY886" s="1429"/>
      <c r="BZ886" s="1429"/>
      <c r="CA886" s="1429"/>
      <c r="CB886" s="1429"/>
      <c r="CC886" s="1429"/>
      <c r="CD886" s="598"/>
      <c r="CE886" s="598"/>
      <c r="CF886" s="599"/>
    </row>
    <row r="887" spans="1:84" s="583" customFormat="1" ht="9.9499999999999993" customHeight="1">
      <c r="A887" s="574"/>
      <c r="B887" s="574"/>
      <c r="C887" s="574"/>
      <c r="D887" s="574"/>
      <c r="E887" s="574"/>
      <c r="F887" s="574"/>
      <c r="G887" s="574"/>
      <c r="H887" s="574"/>
      <c r="I887" s="574"/>
      <c r="J887" s="574"/>
      <c r="K887" s="574"/>
      <c r="L887" s="574"/>
      <c r="M887" s="574"/>
      <c r="N887" s="574"/>
      <c r="O887" s="574"/>
      <c r="P887" s="574"/>
      <c r="Q887" s="574"/>
      <c r="R887" s="574"/>
      <c r="S887" s="574"/>
      <c r="T887" s="574"/>
      <c r="U887" s="574"/>
      <c r="V887" s="574"/>
      <c r="W887" s="574"/>
      <c r="X887" s="574"/>
      <c r="Y887" s="574"/>
      <c r="Z887" s="574"/>
      <c r="AA887" s="574"/>
      <c r="AB887" s="574"/>
      <c r="AC887" s="574"/>
      <c r="AD887" s="574"/>
      <c r="AE887" s="574"/>
      <c r="AF887" s="574"/>
      <c r="AG887" s="574"/>
      <c r="AH887" s="574"/>
      <c r="AI887" s="574"/>
      <c r="AJ887" s="574"/>
      <c r="AK887" s="574"/>
      <c r="AL887" s="574"/>
      <c r="AM887" s="574"/>
      <c r="AN887" s="574"/>
      <c r="AO887" s="574"/>
      <c r="AP887" s="574"/>
      <c r="AQ887" s="574"/>
      <c r="AR887" s="574"/>
      <c r="AS887" s="574"/>
      <c r="AT887" s="574"/>
      <c r="AU887" s="574"/>
      <c r="AV887" s="574"/>
      <c r="AW887" s="574"/>
      <c r="AX887" s="574"/>
      <c r="AY887" s="574"/>
      <c r="AZ887" s="574"/>
      <c r="BA887" s="574"/>
      <c r="BB887" s="574"/>
      <c r="BC887" s="574"/>
      <c r="BD887" s="574"/>
      <c r="BE887" s="574"/>
      <c r="BF887" s="574"/>
      <c r="BG887" s="574"/>
      <c r="BH887" s="574"/>
      <c r="BI887" s="574"/>
      <c r="BJ887" s="574"/>
      <c r="BK887" s="574"/>
      <c r="BL887" s="574"/>
      <c r="BM887" s="574"/>
      <c r="BN887" s="574"/>
      <c r="BO887" s="574"/>
      <c r="BP887" s="574"/>
      <c r="BQ887" s="574"/>
      <c r="BR887" s="574"/>
      <c r="BS887" s="574"/>
      <c r="BT887" s="574"/>
      <c r="BU887" s="574"/>
      <c r="BV887" s="574"/>
      <c r="BW887" s="574"/>
      <c r="BX887" s="574"/>
      <c r="BY887" s="574"/>
      <c r="BZ887" s="574"/>
      <c r="CA887" s="574"/>
      <c r="CB887" s="574"/>
      <c r="CC887" s="574"/>
      <c r="CD887" s="574"/>
      <c r="CE887" s="574"/>
      <c r="CF887" s="574"/>
    </row>
    <row r="888" spans="1:84" s="583" customFormat="1" ht="23.1" customHeight="1" thickBot="1">
      <c r="A888" s="1446" t="s">
        <v>1095</v>
      </c>
      <c r="B888" s="1446"/>
      <c r="C888" s="1446"/>
      <c r="D888" s="1446"/>
      <c r="E888" s="1446"/>
      <c r="F888" s="1446"/>
      <c r="G888" s="1447">
        <f>G873+1</f>
        <v>60</v>
      </c>
      <c r="H888" s="1447"/>
      <c r="I888" s="1447"/>
      <c r="J888" s="1448" t="s">
        <v>1096</v>
      </c>
      <c r="K888" s="1448"/>
      <c r="L888" s="574"/>
      <c r="M888" s="574"/>
      <c r="N888" s="574"/>
      <c r="O888" s="574"/>
      <c r="P888" s="574"/>
      <c r="Q888" s="574"/>
      <c r="R888" s="574"/>
      <c r="S888" s="574"/>
      <c r="T888" s="574"/>
      <c r="U888" s="574"/>
      <c r="V888" s="574"/>
      <c r="W888" s="574"/>
      <c r="X888" s="574"/>
      <c r="Y888" s="574"/>
      <c r="Z888" s="574"/>
      <c r="AA888" s="574"/>
      <c r="AB888" s="574"/>
      <c r="AC888" s="574"/>
      <c r="AD888" s="574"/>
      <c r="AE888" s="574"/>
      <c r="AF888" s="574"/>
      <c r="AG888" s="574"/>
      <c r="AH888" s="574"/>
      <c r="AI888" s="574"/>
      <c r="AJ888" s="574"/>
      <c r="AK888" s="574"/>
      <c r="AL888" s="574"/>
      <c r="AM888" s="574"/>
      <c r="AN888" s="574"/>
      <c r="AO888" s="574"/>
      <c r="AP888" s="574"/>
      <c r="AQ888" s="574"/>
      <c r="AR888" s="574"/>
      <c r="AS888" s="574"/>
      <c r="AT888" s="574"/>
      <c r="AU888" s="574"/>
      <c r="AV888" s="574"/>
      <c r="AW888" s="574"/>
      <c r="AX888" s="574"/>
      <c r="AY888" s="574"/>
      <c r="AZ888" s="574"/>
      <c r="BA888" s="574"/>
      <c r="BB888" s="574"/>
      <c r="BC888" s="574"/>
      <c r="BD888" s="574"/>
      <c r="BE888" s="574"/>
      <c r="BF888" s="574"/>
      <c r="BG888" s="574"/>
      <c r="BH888" s="574"/>
      <c r="BI888" s="574"/>
      <c r="BJ888" s="574"/>
      <c r="BK888" s="574"/>
      <c r="BL888" s="574"/>
      <c r="BM888" s="574"/>
      <c r="BN888" s="574"/>
      <c r="BO888" s="574"/>
      <c r="BP888" s="574"/>
      <c r="BQ888" s="574"/>
      <c r="BR888" s="574"/>
      <c r="BS888" s="574"/>
      <c r="BT888" s="574"/>
      <c r="BU888" s="574"/>
      <c r="BV888" s="574"/>
      <c r="BW888" s="574"/>
      <c r="BX888" s="574"/>
      <c r="BY888" s="574"/>
      <c r="BZ888" s="574"/>
      <c r="CA888" s="574"/>
      <c r="CB888" s="574"/>
      <c r="CC888" s="574"/>
      <c r="CD888" s="574"/>
      <c r="CE888" s="574"/>
      <c r="CF888" s="574"/>
    </row>
    <row r="889" spans="1:84" s="603" customFormat="1" ht="23.1" customHeight="1" thickBot="1">
      <c r="A889" s="1438" t="s">
        <v>1097</v>
      </c>
      <c r="B889" s="1439"/>
      <c r="C889" s="1439"/>
      <c r="D889" s="1439"/>
      <c r="E889" s="1439"/>
      <c r="F889" s="1439"/>
      <c r="G889" s="1439"/>
      <c r="H889" s="1439"/>
      <c r="I889" s="601" t="s">
        <v>465</v>
      </c>
      <c r="J889" s="601"/>
      <c r="K889" s="601"/>
      <c r="L889" s="601"/>
      <c r="M889" s="601"/>
      <c r="N889" s="601"/>
      <c r="O889" s="601"/>
      <c r="P889" s="601"/>
      <c r="Q889" s="601"/>
      <c r="R889" s="601"/>
      <c r="S889" s="601"/>
      <c r="T889" s="601"/>
      <c r="U889" s="601"/>
      <c r="V889" s="601"/>
      <c r="W889" s="601"/>
      <c r="X889" s="601"/>
      <c r="Y889" s="601"/>
      <c r="Z889" s="601"/>
      <c r="AA889" s="601"/>
      <c r="AB889" s="601"/>
      <c r="AC889" s="601"/>
      <c r="AD889" s="601"/>
      <c r="AE889" s="601"/>
      <c r="AF889" s="601"/>
      <c r="AG889" s="601"/>
      <c r="AH889" s="601"/>
      <c r="AI889" s="601"/>
      <c r="AJ889" s="1439" t="s">
        <v>1099</v>
      </c>
      <c r="AK889" s="1439"/>
      <c r="AL889" s="1439"/>
      <c r="AM889" s="1439"/>
      <c r="AN889" s="1439"/>
      <c r="AO889" s="1439"/>
      <c r="AP889" s="1439"/>
      <c r="AQ889" s="601" t="s">
        <v>466</v>
      </c>
      <c r="AR889" s="601"/>
      <c r="AS889" s="601"/>
      <c r="AT889" s="601"/>
      <c r="AU889" s="601"/>
      <c r="AV889" s="601"/>
      <c r="AW889" s="601"/>
      <c r="AX889" s="601"/>
      <c r="AY889" s="601"/>
      <c r="AZ889" s="601"/>
      <c r="BA889" s="601"/>
      <c r="BB889" s="601"/>
      <c r="BC889" s="601"/>
      <c r="BD889" s="601"/>
      <c r="BE889" s="601"/>
      <c r="BF889" s="601"/>
      <c r="BG889" s="601"/>
      <c r="BH889" s="601"/>
      <c r="BI889" s="601"/>
      <c r="BJ889" s="601"/>
      <c r="BK889" s="601"/>
      <c r="BL889" s="601"/>
      <c r="BM889" s="601"/>
      <c r="BN889" s="601"/>
      <c r="BO889" s="601"/>
      <c r="BP889" s="601"/>
      <c r="BQ889" s="601"/>
      <c r="BR889" s="601"/>
      <c r="BS889" s="601"/>
      <c r="BT889" s="601" t="s">
        <v>1193</v>
      </c>
      <c r="BU889" s="601"/>
      <c r="BV889" s="601"/>
      <c r="BW889" s="601"/>
      <c r="BX889" s="601"/>
      <c r="BY889" s="601"/>
      <c r="BZ889" s="601"/>
      <c r="CA889" s="601"/>
      <c r="CB889" s="601"/>
      <c r="CC889" s="601"/>
      <c r="CD889" s="601"/>
      <c r="CE889" s="601"/>
      <c r="CF889" s="602"/>
    </row>
    <row r="890" spans="1:84" s="583" customFormat="1" ht="23.1" customHeight="1">
      <c r="A890" s="584"/>
      <c r="B890" s="585" t="s">
        <v>1102</v>
      </c>
      <c r="C890" s="585"/>
      <c r="D890" s="585"/>
      <c r="E890" s="585"/>
      <c r="F890" s="585"/>
      <c r="G890" s="585"/>
      <c r="H890" s="585"/>
      <c r="I890" s="585"/>
      <c r="J890" s="585"/>
      <c r="K890" s="585"/>
      <c r="L890" s="585"/>
      <c r="M890" s="585"/>
      <c r="N890" s="585"/>
      <c r="O890" s="585"/>
      <c r="P890" s="585"/>
      <c r="Q890" s="585"/>
      <c r="R890" s="585"/>
      <c r="S890" s="585"/>
      <c r="T890" s="585"/>
      <c r="U890" s="585"/>
      <c r="V890" s="585"/>
      <c r="W890" s="585"/>
      <c r="X890" s="585"/>
      <c r="Y890" s="585"/>
      <c r="Z890" s="585"/>
      <c r="AA890" s="585"/>
      <c r="AB890" s="585"/>
      <c r="AC890" s="585"/>
      <c r="AD890" s="585"/>
      <c r="AE890" s="585"/>
      <c r="AF890" s="585"/>
      <c r="AG890" s="585"/>
      <c r="AH890" s="585"/>
      <c r="AI890" s="585"/>
      <c r="AJ890" s="585"/>
      <c r="AK890" s="585"/>
      <c r="AL890" s="585"/>
      <c r="AM890" s="585"/>
      <c r="AN890" s="585"/>
      <c r="AO890" s="585"/>
      <c r="AP890" s="585"/>
      <c r="AQ890" s="585"/>
      <c r="AR890" s="585"/>
      <c r="AS890" s="585"/>
      <c r="AT890" s="585"/>
      <c r="AU890" s="585"/>
      <c r="AV890" s="585"/>
      <c r="AW890" s="585"/>
      <c r="AX890" s="585"/>
      <c r="AY890" s="585"/>
      <c r="AZ890" s="585"/>
      <c r="BA890" s="585"/>
      <c r="BB890" s="585"/>
      <c r="BC890" s="585"/>
      <c r="BD890" s="585"/>
      <c r="BE890" s="585"/>
      <c r="BF890" s="585"/>
      <c r="BG890" s="585"/>
      <c r="BH890" s="585"/>
      <c r="BI890" s="585"/>
      <c r="BJ890" s="585"/>
      <c r="BK890" s="585"/>
      <c r="BL890" s="585"/>
      <c r="BM890" s="585"/>
      <c r="BN890" s="585"/>
      <c r="BO890" s="585"/>
      <c r="BP890" s="585"/>
      <c r="BQ890" s="585"/>
      <c r="BR890" s="585"/>
      <c r="BS890" s="585"/>
      <c r="BT890" s="585"/>
      <c r="BU890" s="585"/>
      <c r="BV890" s="585"/>
      <c r="BW890" s="585"/>
      <c r="BX890" s="585"/>
      <c r="BY890" s="585"/>
      <c r="BZ890" s="585"/>
      <c r="CA890" s="585"/>
      <c r="CB890" s="585"/>
      <c r="CC890" s="585"/>
      <c r="CD890" s="585"/>
      <c r="CE890" s="585"/>
      <c r="CF890" s="586"/>
    </row>
    <row r="891" spans="1:84" s="583" customFormat="1" ht="23.1" customHeight="1">
      <c r="A891" s="587"/>
      <c r="B891" s="574"/>
      <c r="C891" s="574"/>
      <c r="D891" s="405"/>
      <c r="E891" s="574"/>
      <c r="F891" s="422"/>
      <c r="G891" s="422"/>
      <c r="H891" s="422"/>
      <c r="I891" s="422"/>
      <c r="J891" s="422"/>
      <c r="K891" s="422"/>
      <c r="L891" s="422"/>
      <c r="M891" s="422"/>
      <c r="N891" s="574"/>
      <c r="O891" s="574"/>
      <c r="P891" s="574"/>
      <c r="Q891" s="574"/>
      <c r="R891" s="574"/>
      <c r="S891" s="1430"/>
      <c r="T891" s="1430"/>
      <c r="U891" s="1430"/>
      <c r="V891" s="1430"/>
      <c r="W891" s="1430"/>
      <c r="X891" s="1430"/>
      <c r="Y891" s="1430"/>
      <c r="Z891" s="1430"/>
      <c r="AA891" s="574"/>
      <c r="AB891" s="588"/>
      <c r="AC891" s="1431"/>
      <c r="AD891" s="1431"/>
      <c r="AE891" s="1498"/>
      <c r="AF891" s="1498"/>
      <c r="AG891" s="1498"/>
      <c r="AH891" s="1498"/>
      <c r="AI891" s="1498"/>
      <c r="AJ891" s="1498"/>
      <c r="AK891" s="1498"/>
      <c r="AL891" s="1498"/>
      <c r="AM891" s="1431"/>
      <c r="AN891" s="1431"/>
      <c r="AO891" s="574"/>
      <c r="AP891" s="1486"/>
      <c r="AQ891" s="1486"/>
      <c r="AR891" s="1486"/>
      <c r="AS891" s="1486"/>
      <c r="AT891" s="1486"/>
      <c r="AU891" s="1486"/>
      <c r="AV891" s="1486"/>
      <c r="AW891" s="1486"/>
      <c r="AX891" s="1486"/>
      <c r="AY891" s="1486"/>
      <c r="AZ891" s="1486"/>
      <c r="BA891" s="1486"/>
      <c r="BB891" s="1486"/>
      <c r="BC891" s="1486"/>
      <c r="BD891" s="574"/>
      <c r="BE891" s="574"/>
      <c r="BF891" s="574"/>
      <c r="BG891" s="574"/>
      <c r="BH891" s="574"/>
      <c r="BI891" s="574"/>
      <c r="BJ891" s="574"/>
      <c r="BK891" s="574"/>
      <c r="BL891" s="574"/>
      <c r="BM891" s="574"/>
      <c r="BN891" s="574"/>
      <c r="BO891" s="574"/>
      <c r="BP891" s="574"/>
      <c r="BQ891" s="574"/>
      <c r="BR891" s="574"/>
      <c r="BS891" s="574"/>
      <c r="BT891" s="574"/>
      <c r="BU891" s="574"/>
      <c r="BV891" s="574"/>
      <c r="BW891" s="574"/>
      <c r="BX891" s="574"/>
      <c r="BY891" s="574"/>
      <c r="BZ891" s="574"/>
      <c r="CA891" s="574"/>
      <c r="CB891" s="574"/>
      <c r="CC891" s="574"/>
      <c r="CD891" s="574"/>
      <c r="CE891" s="574"/>
      <c r="CF891" s="589"/>
    </row>
    <row r="892" spans="1:84" s="583" customFormat="1" ht="23.1" customHeight="1">
      <c r="A892" s="584"/>
      <c r="B892" s="585"/>
      <c r="C892" s="585"/>
      <c r="D892" s="585"/>
      <c r="E892" s="585"/>
      <c r="F892" s="585"/>
      <c r="G892" s="585"/>
      <c r="H892" s="585"/>
      <c r="I892" s="585"/>
      <c r="J892" s="585"/>
      <c r="K892" s="585"/>
      <c r="L892" s="585"/>
      <c r="M892" s="585"/>
      <c r="N892" s="585"/>
      <c r="O892" s="585"/>
      <c r="P892" s="585"/>
      <c r="Q892" s="585"/>
      <c r="R892" s="585"/>
      <c r="S892" s="585"/>
      <c r="T892" s="585"/>
      <c r="U892" s="585"/>
      <c r="V892" s="590"/>
      <c r="W892" s="590"/>
      <c r="X892" s="590"/>
      <c r="Y892" s="590"/>
      <c r="Z892" s="590"/>
      <c r="AA892" s="590"/>
      <c r="AB892" s="590"/>
      <c r="AC892" s="590"/>
      <c r="AD892" s="574"/>
      <c r="AE892" s="1440">
        <v>1673000</v>
      </c>
      <c r="AF892" s="1440"/>
      <c r="AG892" s="1440"/>
      <c r="AH892" s="1440"/>
      <c r="AI892" s="1440"/>
      <c r="AJ892" s="1440"/>
      <c r="AK892" s="1440"/>
      <c r="AL892" s="1440"/>
      <c r="AM892" s="1440"/>
      <c r="AN892" s="1440"/>
      <c r="AO892" s="1440"/>
      <c r="AP892" s="1440"/>
      <c r="AQ892" s="1440"/>
      <c r="AR892" s="1440"/>
      <c r="AS892" s="1440"/>
      <c r="AT892" s="1431" t="s">
        <v>446</v>
      </c>
      <c r="AU892" s="1431"/>
      <c r="AV892" s="1441" t="s">
        <v>1103</v>
      </c>
      <c r="AW892" s="1441"/>
      <c r="AX892" s="1442">
        <v>3708</v>
      </c>
      <c r="AY892" s="1442"/>
      <c r="AZ892" s="1442"/>
      <c r="BA892" s="1442"/>
      <c r="BB892" s="1442"/>
      <c r="BC892" s="1442"/>
      <c r="BD892" s="585"/>
      <c r="BE892" s="1431" t="s">
        <v>446</v>
      </c>
      <c r="BF892" s="1431"/>
      <c r="BG892" s="585"/>
      <c r="BH892" s="591" t="s">
        <v>1104</v>
      </c>
      <c r="BI892" s="585"/>
      <c r="BJ892" s="585"/>
      <c r="BK892" s="585"/>
      <c r="BL892" s="1431" t="s">
        <v>1105</v>
      </c>
      <c r="BM892" s="1431"/>
      <c r="BN892" s="1431"/>
      <c r="BO892" s="585"/>
      <c r="BP892" s="1431" t="s">
        <v>41</v>
      </c>
      <c r="BQ892" s="1431"/>
      <c r="BR892" s="585"/>
      <c r="BS892" s="585"/>
      <c r="BT892" s="1437">
        <f>INT(AE892*AX892*10^-7)</f>
        <v>620</v>
      </c>
      <c r="BU892" s="1437"/>
      <c r="BV892" s="1437"/>
      <c r="BW892" s="1437"/>
      <c r="BX892" s="1437"/>
      <c r="BY892" s="1437"/>
      <c r="BZ892" s="1437"/>
      <c r="CA892" s="1437"/>
      <c r="CB892" s="1437"/>
      <c r="CC892" s="1437"/>
      <c r="CD892" s="585"/>
      <c r="CE892" s="585"/>
      <c r="CF892" s="586"/>
    </row>
    <row r="893" spans="1:84" s="583" customFormat="1" ht="23.1" customHeight="1">
      <c r="A893" s="592"/>
      <c r="B893" s="593" t="s">
        <v>1106</v>
      </c>
      <c r="C893" s="593"/>
      <c r="D893" s="593"/>
      <c r="E893" s="593"/>
      <c r="F893" s="593"/>
      <c r="G893" s="593"/>
      <c r="H893" s="593"/>
      <c r="I893" s="593"/>
      <c r="J893" s="593"/>
      <c r="K893" s="593"/>
      <c r="L893" s="593"/>
      <c r="M893" s="593"/>
      <c r="N893" s="593"/>
      <c r="O893" s="593"/>
      <c r="P893" s="593"/>
      <c r="Q893" s="593"/>
      <c r="R893" s="593"/>
      <c r="S893" s="593"/>
      <c r="T893" s="593"/>
      <c r="U893" s="593"/>
      <c r="V893" s="593"/>
      <c r="W893" s="593"/>
      <c r="X893" s="593"/>
      <c r="Y893" s="593"/>
      <c r="Z893" s="593"/>
      <c r="AA893" s="593"/>
      <c r="AB893" s="593"/>
      <c r="AC893" s="593"/>
      <c r="AD893" s="593"/>
      <c r="AE893" s="593"/>
      <c r="AF893" s="593"/>
      <c r="AG893" s="593"/>
      <c r="AH893" s="593"/>
      <c r="AI893" s="593"/>
      <c r="AJ893" s="593"/>
      <c r="AK893" s="593"/>
      <c r="AL893" s="593"/>
      <c r="AM893" s="593"/>
      <c r="AN893" s="593"/>
      <c r="AO893" s="593"/>
      <c r="AP893" s="593"/>
      <c r="AQ893" s="593"/>
      <c r="AR893" s="593"/>
      <c r="AS893" s="593"/>
      <c r="AT893" s="593"/>
      <c r="AU893" s="593"/>
      <c r="AV893" s="593"/>
      <c r="AW893" s="593"/>
      <c r="AX893" s="593"/>
      <c r="AY893" s="593"/>
      <c r="AZ893" s="593"/>
      <c r="BA893" s="593"/>
      <c r="BB893" s="593"/>
      <c r="BC893" s="593"/>
      <c r="BD893" s="593"/>
      <c r="BE893" s="593"/>
      <c r="BF893" s="593"/>
      <c r="BG893" s="593"/>
      <c r="BH893" s="593"/>
      <c r="BI893" s="593"/>
      <c r="BJ893" s="593"/>
      <c r="BK893" s="593"/>
      <c r="BL893" s="593"/>
      <c r="BM893" s="593"/>
      <c r="BN893" s="593"/>
      <c r="BO893" s="593"/>
      <c r="BP893" s="593"/>
      <c r="BQ893" s="593"/>
      <c r="BR893" s="593"/>
      <c r="BS893" s="593"/>
      <c r="BT893" s="594"/>
      <c r="BU893" s="594"/>
      <c r="BV893" s="594"/>
      <c r="BW893" s="594"/>
      <c r="BX893" s="594"/>
      <c r="BY893" s="594"/>
      <c r="BZ893" s="594"/>
      <c r="CA893" s="594"/>
      <c r="CB893" s="594"/>
      <c r="CC893" s="594"/>
      <c r="CD893" s="593"/>
      <c r="CE893" s="593"/>
      <c r="CF893" s="595"/>
    </row>
    <row r="894" spans="1:84" s="583" customFormat="1" ht="23.1" customHeight="1">
      <c r="A894" s="584"/>
      <c r="B894" s="585"/>
      <c r="C894" s="585"/>
      <c r="D894" s="596" t="s">
        <v>1093</v>
      </c>
      <c r="E894" s="585"/>
      <c r="F894" s="585"/>
      <c r="G894" s="585"/>
      <c r="H894" s="585"/>
      <c r="I894" s="585"/>
      <c r="J894" s="585"/>
      <c r="K894" s="585"/>
      <c r="L894" s="585"/>
      <c r="M894" s="585"/>
      <c r="N894" s="585"/>
      <c r="O894" s="585"/>
      <c r="P894" s="585"/>
      <c r="Q894" s="585"/>
      <c r="R894" s="585"/>
      <c r="S894" s="585"/>
      <c r="T894" s="574"/>
      <c r="U894" s="574"/>
      <c r="V894" s="1435">
        <f>HLOOKUP(D894,$CJ$1:$CM$3,3,0)</f>
        <v>173995</v>
      </c>
      <c r="W894" s="1435"/>
      <c r="X894" s="1435"/>
      <c r="Y894" s="1435"/>
      <c r="Z894" s="1435"/>
      <c r="AA894" s="1435"/>
      <c r="AB894" s="1435"/>
      <c r="AC894" s="1435"/>
      <c r="AD894" s="1435"/>
      <c r="AE894" s="1435"/>
      <c r="AF894" s="1431" t="s">
        <v>446</v>
      </c>
      <c r="AG894" s="1431"/>
      <c r="AH894" s="574"/>
      <c r="AI894" s="1436" t="s">
        <v>1107</v>
      </c>
      <c r="AJ894" s="1436"/>
      <c r="AK894" s="1436"/>
      <c r="AL894" s="1436"/>
      <c r="AM894" s="585"/>
      <c r="AN894" s="1431" t="s">
        <v>446</v>
      </c>
      <c r="AO894" s="1431"/>
      <c r="AP894" s="585"/>
      <c r="AQ894" s="1436" t="s">
        <v>1108</v>
      </c>
      <c r="AR894" s="1436"/>
      <c r="AS894" s="1436"/>
      <c r="AT894" s="1436"/>
      <c r="AU894" s="1436"/>
      <c r="AV894" s="422"/>
      <c r="AW894" s="1431" t="s">
        <v>446</v>
      </c>
      <c r="AX894" s="1431"/>
      <c r="AY894" s="440"/>
      <c r="AZ894" s="1436" t="s">
        <v>1109</v>
      </c>
      <c r="BA894" s="1436"/>
      <c r="BB894" s="1436"/>
      <c r="BC894" s="1436"/>
      <c r="BD894" s="1436"/>
      <c r="BE894" s="585"/>
      <c r="BF894" s="1431" t="s">
        <v>446</v>
      </c>
      <c r="BG894" s="1431"/>
      <c r="BH894" s="1431">
        <v>1</v>
      </c>
      <c r="BI894" s="1431"/>
      <c r="BJ894" s="1431"/>
      <c r="BK894" s="585"/>
      <c r="BL894" s="585" t="s">
        <v>366</v>
      </c>
      <c r="BM894" s="585"/>
      <c r="BN894" s="585"/>
      <c r="BO894" s="585"/>
      <c r="BP894" s="1431" t="s">
        <v>41</v>
      </c>
      <c r="BQ894" s="1431"/>
      <c r="BR894" s="585"/>
      <c r="BS894" s="585"/>
      <c r="BT894" s="1432">
        <f>INT(V894/8*16/12*25/20*BH894)</f>
        <v>36248</v>
      </c>
      <c r="BU894" s="1432"/>
      <c r="BV894" s="1432"/>
      <c r="BW894" s="1432"/>
      <c r="BX894" s="1432"/>
      <c r="BY894" s="1432"/>
      <c r="BZ894" s="1432"/>
      <c r="CA894" s="1432"/>
      <c r="CB894" s="1432"/>
      <c r="CC894" s="1432"/>
      <c r="CD894" s="585"/>
      <c r="CE894" s="585"/>
      <c r="CF894" s="586"/>
    </row>
    <row r="895" spans="1:84" s="583" customFormat="1" ht="23.1" customHeight="1">
      <c r="A895" s="584"/>
      <c r="B895" s="585"/>
      <c r="C895" s="585"/>
      <c r="D895" s="585"/>
      <c r="E895" s="585"/>
      <c r="F895" s="585"/>
      <c r="G895" s="585"/>
      <c r="H895" s="585"/>
      <c r="I895" s="585"/>
      <c r="J895" s="585"/>
      <c r="K895" s="585"/>
      <c r="L895" s="585"/>
      <c r="M895" s="585"/>
      <c r="N895" s="585"/>
      <c r="O895" s="585"/>
      <c r="P895" s="574"/>
      <c r="Q895" s="574"/>
      <c r="R895" s="574"/>
      <c r="S895" s="574"/>
      <c r="T895" s="574"/>
      <c r="U895" s="574"/>
      <c r="V895" s="574"/>
      <c r="W895" s="574"/>
      <c r="X895" s="574"/>
      <c r="Y895" s="574"/>
      <c r="Z895" s="574"/>
      <c r="AA895" s="574"/>
      <c r="AB895" s="574"/>
      <c r="AC895" s="574"/>
      <c r="AD895" s="574"/>
      <c r="AE895" s="574"/>
      <c r="AF895" s="574"/>
      <c r="AG895" s="574"/>
      <c r="AH895" s="574"/>
      <c r="AI895" s="574"/>
      <c r="AJ895" s="574"/>
      <c r="AK895" s="574"/>
      <c r="AL895" s="574"/>
      <c r="AM895" s="574"/>
      <c r="AN895" s="574"/>
      <c r="AO895" s="574"/>
      <c r="AP895" s="574"/>
      <c r="AQ895" s="574"/>
      <c r="AR895" s="574"/>
      <c r="AS895" s="574"/>
      <c r="AT895" s="574"/>
      <c r="AU895" s="574"/>
      <c r="AV895" s="574"/>
      <c r="AW895" s="574"/>
      <c r="AX895" s="574"/>
      <c r="AY895" s="574"/>
      <c r="AZ895" s="574"/>
      <c r="BA895" s="574"/>
      <c r="BB895" s="574"/>
      <c r="BC895" s="574"/>
      <c r="BD895" s="574"/>
      <c r="BE895" s="574"/>
      <c r="BF895" s="574"/>
      <c r="BG895" s="585"/>
      <c r="BH895" s="585"/>
      <c r="BI895" s="585"/>
      <c r="BJ895" s="585"/>
      <c r="BK895" s="585"/>
      <c r="BL895" s="585"/>
      <c r="BM895" s="585"/>
      <c r="BN895" s="585"/>
      <c r="BO895" s="585"/>
      <c r="BP895" s="1431"/>
      <c r="BQ895" s="1431"/>
      <c r="BR895" s="585"/>
      <c r="BS895" s="585"/>
      <c r="BT895" s="1432"/>
      <c r="BU895" s="1432"/>
      <c r="BV895" s="1432"/>
      <c r="BW895" s="1432"/>
      <c r="BX895" s="1432"/>
      <c r="BY895" s="1432"/>
      <c r="BZ895" s="1432"/>
      <c r="CA895" s="1432"/>
      <c r="CB895" s="1432"/>
      <c r="CC895" s="1432"/>
      <c r="CD895" s="585"/>
      <c r="CE895" s="585"/>
      <c r="CF895" s="586"/>
    </row>
    <row r="896" spans="1:84" s="583" customFormat="1" ht="23.1" customHeight="1">
      <c r="A896" s="584"/>
      <c r="B896" s="585"/>
      <c r="C896" s="585"/>
      <c r="D896" s="585"/>
      <c r="E896" s="585"/>
      <c r="F896" s="585"/>
      <c r="G896" s="585"/>
      <c r="H896" s="585"/>
      <c r="I896" s="585"/>
      <c r="J896" s="585"/>
      <c r="K896" s="585"/>
      <c r="L896" s="585"/>
      <c r="M896" s="585"/>
      <c r="N896" s="585"/>
      <c r="O896" s="585"/>
      <c r="P896" s="585"/>
      <c r="Q896" s="585"/>
      <c r="R896" s="585"/>
      <c r="S896" s="585"/>
      <c r="T896" s="585"/>
      <c r="U896" s="585"/>
      <c r="V896" s="585"/>
      <c r="W896" s="585"/>
      <c r="X896" s="585"/>
      <c r="Y896" s="585"/>
      <c r="Z896" s="585"/>
      <c r="AA896" s="585"/>
      <c r="AB896" s="585"/>
      <c r="AC896" s="585"/>
      <c r="AD896" s="574"/>
      <c r="AE896" s="574"/>
      <c r="AF896" s="574"/>
      <c r="AG896" s="574"/>
      <c r="AH896" s="574"/>
      <c r="AI896" s="574"/>
      <c r="AJ896" s="574"/>
      <c r="AK896" s="574"/>
      <c r="AL896" s="574"/>
      <c r="AM896" s="574"/>
      <c r="AN896" s="574"/>
      <c r="AO896" s="574"/>
      <c r="AP896" s="574"/>
      <c r="AQ896" s="574"/>
      <c r="AR896" s="574"/>
      <c r="AS896" s="585"/>
      <c r="AT896" s="590"/>
      <c r="AU896" s="590"/>
      <c r="AV896" s="585"/>
      <c r="AW896" s="585"/>
      <c r="AX896" s="585"/>
      <c r="AY896" s="585"/>
      <c r="AZ896" s="585"/>
      <c r="BA896" s="585"/>
      <c r="BB896" s="585"/>
      <c r="BC896" s="585"/>
      <c r="BD896" s="585"/>
      <c r="BE896" s="585"/>
      <c r="BF896" s="585"/>
      <c r="BG896" s="585"/>
      <c r="BH896" s="585"/>
      <c r="BI896" s="585"/>
      <c r="BJ896" s="585"/>
      <c r="BK896" s="585"/>
      <c r="BL896" s="585"/>
      <c r="BM896" s="585"/>
      <c r="BN896" s="585"/>
      <c r="BO896" s="585"/>
      <c r="BP896" s="1431" t="s">
        <v>41</v>
      </c>
      <c r="BQ896" s="1431"/>
      <c r="BR896" s="585"/>
      <c r="BS896" s="585"/>
      <c r="BT896" s="1434">
        <f>BT894+BT895</f>
        <v>36248</v>
      </c>
      <c r="BU896" s="1434"/>
      <c r="BV896" s="1434"/>
      <c r="BW896" s="1434"/>
      <c r="BX896" s="1434"/>
      <c r="BY896" s="1434"/>
      <c r="BZ896" s="1434"/>
      <c r="CA896" s="1434"/>
      <c r="CB896" s="1434"/>
      <c r="CC896" s="1434"/>
      <c r="CD896" s="585"/>
      <c r="CE896" s="585"/>
      <c r="CF896" s="586"/>
    </row>
    <row r="897" spans="1:84" s="583" customFormat="1" ht="23.1" customHeight="1">
      <c r="A897" s="592"/>
      <c r="B897" s="593" t="s">
        <v>1110</v>
      </c>
      <c r="C897" s="593"/>
      <c r="D897" s="593"/>
      <c r="E897" s="593"/>
      <c r="F897" s="593"/>
      <c r="G897" s="593"/>
      <c r="H897" s="593"/>
      <c r="I897" s="593"/>
      <c r="J897" s="593"/>
      <c r="K897" s="593"/>
      <c r="L897" s="593"/>
      <c r="M897" s="593"/>
      <c r="N897" s="593"/>
      <c r="O897" s="593"/>
      <c r="P897" s="593"/>
      <c r="Q897" s="593"/>
      <c r="R897" s="593"/>
      <c r="S897" s="593"/>
      <c r="T897" s="593"/>
      <c r="U897" s="593"/>
      <c r="V897" s="593"/>
      <c r="W897" s="593"/>
      <c r="X897" s="593"/>
      <c r="Y897" s="593"/>
      <c r="Z897" s="593"/>
      <c r="AA897" s="593"/>
      <c r="AB897" s="593"/>
      <c r="AC897" s="593"/>
      <c r="AD897" s="593"/>
      <c r="AE897" s="593"/>
      <c r="AF897" s="593"/>
      <c r="AG897" s="593"/>
      <c r="AH897" s="593"/>
      <c r="AI897" s="593"/>
      <c r="AJ897" s="593"/>
      <c r="AK897" s="593"/>
      <c r="AL897" s="593"/>
      <c r="AM897" s="593"/>
      <c r="AN897" s="593"/>
      <c r="AO897" s="593"/>
      <c r="AP897" s="593"/>
      <c r="AQ897" s="593"/>
      <c r="AR897" s="593"/>
      <c r="AS897" s="593"/>
      <c r="AT897" s="593"/>
      <c r="AU897" s="593"/>
      <c r="AV897" s="593"/>
      <c r="AW897" s="593"/>
      <c r="AX897" s="593"/>
      <c r="AY897" s="593"/>
      <c r="AZ897" s="593"/>
      <c r="BA897" s="593"/>
      <c r="BB897" s="593"/>
      <c r="BC897" s="593"/>
      <c r="BD897" s="593"/>
      <c r="BE897" s="593"/>
      <c r="BF897" s="593"/>
      <c r="BG897" s="593"/>
      <c r="BH897" s="593"/>
      <c r="BI897" s="593"/>
      <c r="BJ897" s="593"/>
      <c r="BK897" s="593"/>
      <c r="BL897" s="593"/>
      <c r="BM897" s="593"/>
      <c r="BN897" s="593"/>
      <c r="BO897" s="593"/>
      <c r="BP897" s="593"/>
      <c r="BQ897" s="593"/>
      <c r="BR897" s="593"/>
      <c r="BS897" s="593"/>
      <c r="BT897" s="593"/>
      <c r="BU897" s="593"/>
      <c r="BV897" s="593"/>
      <c r="BW897" s="593"/>
      <c r="BX897" s="593"/>
      <c r="BY897" s="593"/>
      <c r="BZ897" s="593"/>
      <c r="CA897" s="593"/>
      <c r="CB897" s="593"/>
      <c r="CC897" s="593"/>
      <c r="CD897" s="593"/>
      <c r="CE897" s="593"/>
      <c r="CF897" s="595"/>
    </row>
    <row r="898" spans="1:84" s="583" customFormat="1" ht="23.1" customHeight="1">
      <c r="A898" s="584"/>
      <c r="B898" s="585"/>
      <c r="C898" s="585"/>
      <c r="D898" s="596" t="s">
        <v>42</v>
      </c>
      <c r="E898" s="585"/>
      <c r="F898" s="585"/>
      <c r="G898" s="585"/>
      <c r="H898" s="585"/>
      <c r="I898" s="585"/>
      <c r="J898" s="585"/>
      <c r="K898" s="585"/>
      <c r="L898" s="585"/>
      <c r="M898" s="585"/>
      <c r="N898" s="585"/>
      <c r="O898" s="585"/>
      <c r="P898" s="585"/>
      <c r="Q898" s="585"/>
      <c r="R898" s="585"/>
      <c r="S898" s="585"/>
      <c r="T898" s="585"/>
      <c r="U898" s="585"/>
      <c r="V898" s="585"/>
      <c r="W898" s="585"/>
      <c r="X898" s="585"/>
      <c r="Y898" s="585"/>
      <c r="Z898" s="585"/>
      <c r="AA898" s="585"/>
      <c r="AB898" s="585"/>
      <c r="AC898" s="585"/>
      <c r="AD898" s="585"/>
      <c r="AE898" s="585"/>
      <c r="AF898" s="585"/>
      <c r="AG898" s="585"/>
      <c r="AH898" s="585"/>
      <c r="AI898" s="585"/>
      <c r="AJ898" s="585"/>
      <c r="AK898" s="585"/>
      <c r="AL898" s="585"/>
      <c r="AM898" s="585"/>
      <c r="AN898" s="585"/>
      <c r="AO898" s="585"/>
      <c r="AP898" s="585"/>
      <c r="AQ898" s="585"/>
      <c r="AR898" s="422"/>
      <c r="AS898" s="1435" t="e">
        <f>HLOOKUP(D898,$CN$1:$CO$3,3,0)</f>
        <v>#REF!</v>
      </c>
      <c r="AT898" s="1435"/>
      <c r="AU898" s="1435"/>
      <c r="AV898" s="1435"/>
      <c r="AW898" s="1435"/>
      <c r="AX898" s="1435"/>
      <c r="AY898" s="1435"/>
      <c r="AZ898" s="1435"/>
      <c r="BA898" s="1435"/>
      <c r="BB898" s="1435"/>
      <c r="BC898" s="585"/>
      <c r="BD898" s="1431" t="s">
        <v>446</v>
      </c>
      <c r="BE898" s="1431"/>
      <c r="BF898" s="585"/>
      <c r="BG898" s="1431">
        <v>1</v>
      </c>
      <c r="BH898" s="1431"/>
      <c r="BI898" s="1431"/>
      <c r="BJ898" s="1431"/>
      <c r="BK898" s="1431"/>
      <c r="BL898" s="585" t="s">
        <v>1111</v>
      </c>
      <c r="BM898" s="585"/>
      <c r="BN898" s="585"/>
      <c r="BO898" s="585"/>
      <c r="BP898" s="1431" t="s">
        <v>41</v>
      </c>
      <c r="BQ898" s="1431"/>
      <c r="BR898" s="585"/>
      <c r="BS898" s="585"/>
      <c r="BT898" s="1432" t="e">
        <f>INT(AS898*BG898)</f>
        <v>#REF!</v>
      </c>
      <c r="BU898" s="1432"/>
      <c r="BV898" s="1432"/>
      <c r="BW898" s="1432"/>
      <c r="BX898" s="1432"/>
      <c r="BY898" s="1432"/>
      <c r="BZ898" s="1432"/>
      <c r="CA898" s="1432"/>
      <c r="CB898" s="1432"/>
      <c r="CC898" s="1432"/>
      <c r="CD898" s="585"/>
      <c r="CE898" s="585"/>
      <c r="CF898" s="586"/>
    </row>
    <row r="899" spans="1:84" s="583" customFormat="1" ht="23.1" customHeight="1">
      <c r="A899" s="584"/>
      <c r="B899" s="585"/>
      <c r="C899" s="585"/>
      <c r="D899" s="591" t="str">
        <f>"잡재료 (주연료의 "&amp;BG899&amp;"%) :"</f>
        <v>잡재료 (주연료의 20%) :</v>
      </c>
      <c r="E899" s="585"/>
      <c r="F899" s="585"/>
      <c r="G899" s="585"/>
      <c r="H899" s="585"/>
      <c r="I899" s="585"/>
      <c r="J899" s="585"/>
      <c r="K899" s="585"/>
      <c r="L899" s="585"/>
      <c r="M899" s="585"/>
      <c r="N899" s="585"/>
      <c r="O899" s="585"/>
      <c r="P899" s="585"/>
      <c r="Q899" s="585"/>
      <c r="R899" s="585"/>
      <c r="S899" s="585"/>
      <c r="T899" s="585"/>
      <c r="U899" s="585"/>
      <c r="V899" s="585"/>
      <c r="W899" s="585"/>
      <c r="X899" s="585"/>
      <c r="Y899" s="585"/>
      <c r="Z899" s="585"/>
      <c r="AA899" s="585"/>
      <c r="AB899" s="585"/>
      <c r="AC899" s="585"/>
      <c r="AD899" s="585"/>
      <c r="AE899" s="585"/>
      <c r="AF899" s="585"/>
      <c r="AG899" s="585"/>
      <c r="AH899" s="585"/>
      <c r="AI899" s="585"/>
      <c r="AJ899" s="585"/>
      <c r="AK899" s="585"/>
      <c r="AL899" s="585"/>
      <c r="AM899" s="585"/>
      <c r="AN899" s="585"/>
      <c r="AO899" s="585"/>
      <c r="AP899" s="585"/>
      <c r="AQ899" s="585"/>
      <c r="AR899" s="422" t="e">
        <f>BT898</f>
        <v>#REF!</v>
      </c>
      <c r="AS899" s="1430" t="e">
        <f>BT898</f>
        <v>#REF!</v>
      </c>
      <c r="AT899" s="1430"/>
      <c r="AU899" s="1430"/>
      <c r="AV899" s="1430"/>
      <c r="AW899" s="1430"/>
      <c r="AX899" s="1430"/>
      <c r="AY899" s="1430"/>
      <c r="AZ899" s="1430"/>
      <c r="BA899" s="1430"/>
      <c r="BB899" s="1430"/>
      <c r="BC899" s="585"/>
      <c r="BD899" s="1431" t="s">
        <v>446</v>
      </c>
      <c r="BE899" s="1431"/>
      <c r="BF899" s="585"/>
      <c r="BG899" s="1431">
        <v>20</v>
      </c>
      <c r="BH899" s="1431"/>
      <c r="BI899" s="1431"/>
      <c r="BJ899" s="1431"/>
      <c r="BK899" s="1431"/>
      <c r="BL899" s="585" t="s">
        <v>1112</v>
      </c>
      <c r="BM899" s="585"/>
      <c r="BN899" s="585"/>
      <c r="BO899" s="585"/>
      <c r="BP899" s="1431" t="s">
        <v>41</v>
      </c>
      <c r="BQ899" s="1431"/>
      <c r="BR899" s="585"/>
      <c r="BS899" s="585"/>
      <c r="BT899" s="1432" t="e">
        <f>INT(AS899*BG899/100)</f>
        <v>#REF!</v>
      </c>
      <c r="BU899" s="1432"/>
      <c r="BV899" s="1432"/>
      <c r="BW899" s="1432"/>
      <c r="BX899" s="1432"/>
      <c r="BY899" s="1432"/>
      <c r="BZ899" s="1432"/>
      <c r="CA899" s="1432"/>
      <c r="CB899" s="1432"/>
      <c r="CC899" s="1432"/>
      <c r="CD899" s="585"/>
      <c r="CE899" s="585"/>
      <c r="CF899" s="586"/>
    </row>
    <row r="900" spans="1:84" s="583" customFormat="1" ht="23.1" customHeight="1" thickBot="1">
      <c r="A900" s="584"/>
      <c r="B900" s="585"/>
      <c r="C900" s="585"/>
      <c r="D900" s="585"/>
      <c r="E900" s="585"/>
      <c r="F900" s="585"/>
      <c r="G900" s="585"/>
      <c r="H900" s="585"/>
      <c r="I900" s="585"/>
      <c r="J900" s="585"/>
      <c r="K900" s="585"/>
      <c r="L900" s="585"/>
      <c r="M900" s="585"/>
      <c r="N900" s="585"/>
      <c r="O900" s="585"/>
      <c r="P900" s="585"/>
      <c r="Q900" s="585"/>
      <c r="R900" s="585"/>
      <c r="S900" s="585"/>
      <c r="T900" s="585"/>
      <c r="U900" s="585"/>
      <c r="V900" s="585"/>
      <c r="W900" s="585"/>
      <c r="X900" s="585"/>
      <c r="Y900" s="585"/>
      <c r="Z900" s="585"/>
      <c r="AA900" s="585"/>
      <c r="AB900" s="585"/>
      <c r="AC900" s="585"/>
      <c r="AD900" s="585"/>
      <c r="AE900" s="585"/>
      <c r="AF900" s="585"/>
      <c r="AG900" s="585"/>
      <c r="AH900" s="585"/>
      <c r="AI900" s="585"/>
      <c r="AJ900" s="585"/>
      <c r="AK900" s="585"/>
      <c r="AL900" s="585"/>
      <c r="AM900" s="585"/>
      <c r="AN900" s="585"/>
      <c r="AO900" s="585"/>
      <c r="AP900" s="585"/>
      <c r="AQ900" s="585"/>
      <c r="AR900" s="585"/>
      <c r="AS900" s="585"/>
      <c r="AT900" s="585"/>
      <c r="AU900" s="585"/>
      <c r="AV900" s="585"/>
      <c r="AW900" s="585"/>
      <c r="AX900" s="585"/>
      <c r="AY900" s="585"/>
      <c r="AZ900" s="585"/>
      <c r="BA900" s="585"/>
      <c r="BB900" s="585"/>
      <c r="BC900" s="585"/>
      <c r="BD900" s="585"/>
      <c r="BE900" s="585"/>
      <c r="BF900" s="585"/>
      <c r="BG900" s="585"/>
      <c r="BH900" s="585"/>
      <c r="BI900" s="585"/>
      <c r="BJ900" s="585"/>
      <c r="BK900" s="585"/>
      <c r="BL900" s="585"/>
      <c r="BM900" s="585"/>
      <c r="BN900" s="585"/>
      <c r="BO900" s="585"/>
      <c r="BP900" s="1431" t="s">
        <v>41</v>
      </c>
      <c r="BQ900" s="1431"/>
      <c r="BR900" s="585"/>
      <c r="BS900" s="585"/>
      <c r="BT900" s="1433" t="e">
        <f>BT898+BT899</f>
        <v>#REF!</v>
      </c>
      <c r="BU900" s="1433"/>
      <c r="BV900" s="1433"/>
      <c r="BW900" s="1433"/>
      <c r="BX900" s="1433"/>
      <c r="BY900" s="1433"/>
      <c r="BZ900" s="1433"/>
      <c r="CA900" s="1433"/>
      <c r="CB900" s="1433"/>
      <c r="CC900" s="1433"/>
      <c r="CD900" s="585"/>
      <c r="CE900" s="585"/>
      <c r="CF900" s="586"/>
    </row>
    <row r="901" spans="1:84" s="583" customFormat="1" ht="23.1" customHeight="1" thickBot="1">
      <c r="A901" s="597"/>
      <c r="B901" s="598" t="s">
        <v>1113</v>
      </c>
      <c r="C901" s="598"/>
      <c r="D901" s="598"/>
      <c r="E901" s="598"/>
      <c r="F901" s="598"/>
      <c r="G901" s="598"/>
      <c r="H901" s="598"/>
      <c r="I901" s="598"/>
      <c r="J901" s="598"/>
      <c r="K901" s="598"/>
      <c r="L901" s="598"/>
      <c r="M901" s="598"/>
      <c r="N901" s="598"/>
      <c r="O901" s="598"/>
      <c r="P901" s="598"/>
      <c r="Q901" s="598"/>
      <c r="R901" s="598"/>
      <c r="S901" s="598"/>
      <c r="T901" s="598"/>
      <c r="U901" s="598"/>
      <c r="V901" s="598"/>
      <c r="W901" s="598"/>
      <c r="X901" s="598"/>
      <c r="Y901" s="598"/>
      <c r="Z901" s="598"/>
      <c r="AA901" s="598"/>
      <c r="AB901" s="598"/>
      <c r="AC901" s="598"/>
      <c r="AD901" s="598"/>
      <c r="AE901" s="598"/>
      <c r="AF901" s="598"/>
      <c r="AG901" s="598"/>
      <c r="AH901" s="598"/>
      <c r="AI901" s="598"/>
      <c r="AJ901" s="598"/>
      <c r="AK901" s="598"/>
      <c r="AL901" s="598"/>
      <c r="AM901" s="598"/>
      <c r="AN901" s="598"/>
      <c r="AO901" s="598"/>
      <c r="AP901" s="598"/>
      <c r="AQ901" s="598"/>
      <c r="AR901" s="598"/>
      <c r="AS901" s="598"/>
      <c r="AT901" s="598"/>
      <c r="AU901" s="598"/>
      <c r="AV901" s="598"/>
      <c r="AW901" s="598"/>
      <c r="AX901" s="598"/>
      <c r="AY901" s="598"/>
      <c r="AZ901" s="598"/>
      <c r="BA901" s="598"/>
      <c r="BB901" s="598"/>
      <c r="BC901" s="598"/>
      <c r="BD901" s="598"/>
      <c r="BE901" s="598"/>
      <c r="BF901" s="598"/>
      <c r="BG901" s="598"/>
      <c r="BH901" s="598"/>
      <c r="BI901" s="598"/>
      <c r="BJ901" s="598"/>
      <c r="BK901" s="598"/>
      <c r="BL901" s="598"/>
      <c r="BM901" s="598"/>
      <c r="BN901" s="598"/>
      <c r="BO901" s="598"/>
      <c r="BP901" s="598"/>
      <c r="BQ901" s="598"/>
      <c r="BR901" s="598"/>
      <c r="BS901" s="598"/>
      <c r="BT901" s="1429" t="e">
        <f>BT892+BT896+BT900</f>
        <v>#REF!</v>
      </c>
      <c r="BU901" s="1429"/>
      <c r="BV901" s="1429"/>
      <c r="BW901" s="1429"/>
      <c r="BX901" s="1429"/>
      <c r="BY901" s="1429"/>
      <c r="BZ901" s="1429"/>
      <c r="CA901" s="1429"/>
      <c r="CB901" s="1429"/>
      <c r="CC901" s="1429"/>
      <c r="CD901" s="598"/>
      <c r="CE901" s="598"/>
      <c r="CF901" s="599"/>
    </row>
    <row r="902" spans="1:84" s="583" customFormat="1" ht="9.9499999999999993" customHeight="1">
      <c r="A902" s="574"/>
      <c r="B902" s="574"/>
      <c r="C902" s="574"/>
      <c r="D902" s="574"/>
      <c r="E902" s="574"/>
      <c r="F902" s="574"/>
      <c r="G902" s="574"/>
      <c r="H902" s="574"/>
      <c r="I902" s="574"/>
      <c r="J902" s="574"/>
      <c r="K902" s="574"/>
      <c r="L902" s="574"/>
      <c r="M902" s="574"/>
      <c r="N902" s="574"/>
      <c r="O902" s="574"/>
      <c r="P902" s="574"/>
      <c r="Q902" s="574"/>
      <c r="R902" s="574"/>
      <c r="S902" s="574"/>
      <c r="T902" s="574"/>
      <c r="U902" s="574"/>
      <c r="V902" s="574"/>
      <c r="W902" s="574"/>
      <c r="X902" s="574"/>
      <c r="Y902" s="574"/>
      <c r="Z902" s="574"/>
      <c r="AA902" s="574"/>
      <c r="AB902" s="574"/>
      <c r="AC902" s="574"/>
      <c r="AD902" s="574"/>
      <c r="AE902" s="574"/>
      <c r="AF902" s="574"/>
      <c r="AG902" s="574"/>
      <c r="AH902" s="574"/>
      <c r="AI902" s="574"/>
      <c r="AJ902" s="574"/>
      <c r="AK902" s="574"/>
      <c r="AL902" s="574"/>
      <c r="AM902" s="574"/>
      <c r="AN902" s="574"/>
      <c r="AO902" s="574"/>
      <c r="AP902" s="574"/>
      <c r="AQ902" s="574"/>
      <c r="AR902" s="574"/>
      <c r="AS902" s="574"/>
      <c r="AT902" s="574"/>
      <c r="AU902" s="574"/>
      <c r="AV902" s="574"/>
      <c r="AW902" s="574"/>
      <c r="AX902" s="574"/>
      <c r="AY902" s="574"/>
      <c r="AZ902" s="574"/>
      <c r="BA902" s="574"/>
      <c r="BB902" s="574"/>
      <c r="BC902" s="574"/>
      <c r="BD902" s="574"/>
      <c r="BE902" s="574"/>
      <c r="BF902" s="574"/>
      <c r="BG902" s="574"/>
      <c r="BH902" s="574"/>
      <c r="BI902" s="574"/>
      <c r="BJ902" s="574"/>
      <c r="BK902" s="574"/>
      <c r="BL902" s="574"/>
      <c r="BM902" s="574"/>
      <c r="BN902" s="574"/>
      <c r="BO902" s="574"/>
      <c r="BP902" s="574"/>
      <c r="BQ902" s="574"/>
      <c r="BR902" s="574"/>
      <c r="BS902" s="574"/>
      <c r="BT902" s="574"/>
      <c r="BU902" s="574"/>
      <c r="BV902" s="574"/>
      <c r="BW902" s="574"/>
      <c r="BX902" s="574"/>
      <c r="BY902" s="574"/>
      <c r="BZ902" s="574"/>
      <c r="CA902" s="574"/>
      <c r="CB902" s="574"/>
      <c r="CC902" s="574"/>
      <c r="CD902" s="574"/>
      <c r="CE902" s="574"/>
      <c r="CF902" s="574"/>
    </row>
    <row r="903" spans="1:84" s="583" customFormat="1" ht="23.1" customHeight="1" thickBot="1">
      <c r="A903" s="1446" t="s">
        <v>1095</v>
      </c>
      <c r="B903" s="1446"/>
      <c r="C903" s="1446"/>
      <c r="D903" s="1446"/>
      <c r="E903" s="1446"/>
      <c r="F903" s="1446"/>
      <c r="G903" s="1447">
        <f>G888+1</f>
        <v>61</v>
      </c>
      <c r="H903" s="1447"/>
      <c r="I903" s="1447"/>
      <c r="J903" s="1448" t="s">
        <v>1096</v>
      </c>
      <c r="K903" s="1448"/>
      <c r="L903" s="574"/>
      <c r="M903" s="574"/>
      <c r="N903" s="574"/>
      <c r="O903" s="574"/>
      <c r="P903" s="574"/>
      <c r="Q903" s="574"/>
      <c r="R903" s="574"/>
      <c r="S903" s="574"/>
      <c r="T903" s="574"/>
      <c r="U903" s="574"/>
      <c r="V903" s="574"/>
      <c r="W903" s="574"/>
      <c r="X903" s="574"/>
      <c r="Y903" s="574"/>
      <c r="Z903" s="574"/>
      <c r="AA903" s="574"/>
      <c r="AB903" s="574"/>
      <c r="AC903" s="574"/>
      <c r="AD903" s="574"/>
      <c r="AE903" s="574"/>
      <c r="AF903" s="574"/>
      <c r="AG903" s="574"/>
      <c r="AH903" s="574"/>
      <c r="AI903" s="574"/>
      <c r="AJ903" s="574"/>
      <c r="AK903" s="574"/>
      <c r="AL903" s="574"/>
      <c r="AM903" s="574"/>
      <c r="AN903" s="574"/>
      <c r="AO903" s="574"/>
      <c r="AP903" s="574"/>
      <c r="AQ903" s="574"/>
      <c r="AR903" s="574"/>
      <c r="AS903" s="574"/>
      <c r="AT903" s="574"/>
      <c r="AU903" s="574"/>
      <c r="AV903" s="574"/>
      <c r="AW903" s="574"/>
      <c r="AX903" s="574"/>
      <c r="AY903" s="574"/>
      <c r="AZ903" s="574"/>
      <c r="BA903" s="574"/>
      <c r="BB903" s="574"/>
      <c r="BC903" s="574"/>
      <c r="BD903" s="574"/>
      <c r="BE903" s="574"/>
      <c r="BF903" s="574"/>
      <c r="BG903" s="574"/>
      <c r="BH903" s="574"/>
      <c r="BI903" s="574"/>
      <c r="BJ903" s="574"/>
      <c r="BK903" s="574"/>
      <c r="BL903" s="574"/>
      <c r="BM903" s="574"/>
      <c r="BN903" s="574"/>
      <c r="BO903" s="574"/>
      <c r="BP903" s="574"/>
      <c r="BQ903" s="574"/>
      <c r="BR903" s="574"/>
      <c r="BS903" s="574"/>
      <c r="BT903" s="574"/>
      <c r="BU903" s="574"/>
      <c r="BV903" s="574"/>
      <c r="BW903" s="574"/>
      <c r="BX903" s="574"/>
      <c r="BY903" s="574"/>
      <c r="BZ903" s="574"/>
      <c r="CA903" s="574"/>
      <c r="CB903" s="574"/>
      <c r="CC903" s="574"/>
      <c r="CD903" s="574"/>
      <c r="CE903" s="574"/>
      <c r="CF903" s="574"/>
    </row>
    <row r="904" spans="1:84" s="603" customFormat="1" ht="23.1" customHeight="1" thickBot="1">
      <c r="A904" s="1438" t="s">
        <v>1097</v>
      </c>
      <c r="B904" s="1439"/>
      <c r="C904" s="1439"/>
      <c r="D904" s="1439"/>
      <c r="E904" s="1439"/>
      <c r="F904" s="1439"/>
      <c r="G904" s="1439"/>
      <c r="H904" s="1439"/>
      <c r="I904" s="601" t="s">
        <v>1194</v>
      </c>
      <c r="J904" s="601"/>
      <c r="K904" s="601"/>
      <c r="L904" s="601"/>
      <c r="M904" s="601"/>
      <c r="N904" s="601"/>
      <c r="O904" s="601"/>
      <c r="P904" s="601"/>
      <c r="Q904" s="601"/>
      <c r="R904" s="601"/>
      <c r="S904" s="601"/>
      <c r="T904" s="601"/>
      <c r="U904" s="601"/>
      <c r="V904" s="601"/>
      <c r="W904" s="601"/>
      <c r="X904" s="601"/>
      <c r="Y904" s="601"/>
      <c r="Z904" s="601"/>
      <c r="AA904" s="601"/>
      <c r="AB904" s="601"/>
      <c r="AC904" s="601"/>
      <c r="AD904" s="601"/>
      <c r="AE904" s="601"/>
      <c r="AF904" s="601"/>
      <c r="AG904" s="601"/>
      <c r="AH904" s="601"/>
      <c r="AI904" s="601"/>
      <c r="AJ904" s="1439" t="s">
        <v>1099</v>
      </c>
      <c r="AK904" s="1439"/>
      <c r="AL904" s="1439"/>
      <c r="AM904" s="1439"/>
      <c r="AN904" s="1439"/>
      <c r="AO904" s="1439"/>
      <c r="AP904" s="1439"/>
      <c r="AQ904" s="601" t="s">
        <v>1185</v>
      </c>
      <c r="AR904" s="601"/>
      <c r="AS904" s="601"/>
      <c r="AT904" s="601"/>
      <c r="AU904" s="601"/>
      <c r="AV904" s="601"/>
      <c r="AW904" s="601"/>
      <c r="AX904" s="601"/>
      <c r="AY904" s="601"/>
      <c r="AZ904" s="601"/>
      <c r="BA904" s="601"/>
      <c r="BB904" s="601"/>
      <c r="BC904" s="601"/>
      <c r="BD904" s="601"/>
      <c r="BE904" s="601"/>
      <c r="BF904" s="601"/>
      <c r="BG904" s="601"/>
      <c r="BH904" s="601"/>
      <c r="BI904" s="601"/>
      <c r="BJ904" s="601"/>
      <c r="BK904" s="601"/>
      <c r="BL904" s="601"/>
      <c r="BM904" s="601"/>
      <c r="BN904" s="601"/>
      <c r="BO904" s="601"/>
      <c r="BP904" s="601"/>
      <c r="BQ904" s="601"/>
      <c r="BR904" s="601"/>
      <c r="BS904" s="601"/>
      <c r="BT904" s="601" t="s">
        <v>1195</v>
      </c>
      <c r="BU904" s="601"/>
      <c r="BV904" s="601"/>
      <c r="BW904" s="601"/>
      <c r="BX904" s="601"/>
      <c r="BY904" s="601"/>
      <c r="BZ904" s="601"/>
      <c r="CA904" s="601"/>
      <c r="CB904" s="601"/>
      <c r="CC904" s="601"/>
      <c r="CD904" s="601"/>
      <c r="CE904" s="601"/>
      <c r="CF904" s="602"/>
    </row>
    <row r="905" spans="1:84" s="583" customFormat="1" ht="23.1" customHeight="1">
      <c r="A905" s="584"/>
      <c r="B905" s="585" t="s">
        <v>1102</v>
      </c>
      <c r="C905" s="585"/>
      <c r="D905" s="585"/>
      <c r="E905" s="585"/>
      <c r="F905" s="585"/>
      <c r="G905" s="585"/>
      <c r="H905" s="585"/>
      <c r="I905" s="585"/>
      <c r="J905" s="585"/>
      <c r="K905" s="585"/>
      <c r="L905" s="585"/>
      <c r="M905" s="585"/>
      <c r="N905" s="585"/>
      <c r="O905" s="585"/>
      <c r="P905" s="585"/>
      <c r="Q905" s="585"/>
      <c r="R905" s="585"/>
      <c r="S905" s="585"/>
      <c r="T905" s="585"/>
      <c r="U905" s="585"/>
      <c r="V905" s="585"/>
      <c r="W905" s="585"/>
      <c r="X905" s="585"/>
      <c r="Y905" s="585"/>
      <c r="Z905" s="585"/>
      <c r="AA905" s="585"/>
      <c r="AB905" s="585"/>
      <c r="AC905" s="585"/>
      <c r="AD905" s="585"/>
      <c r="AE905" s="585"/>
      <c r="AF905" s="585"/>
      <c r="AG905" s="585"/>
      <c r="AH905" s="585"/>
      <c r="AI905" s="585"/>
      <c r="AJ905" s="585"/>
      <c r="AK905" s="585"/>
      <c r="AL905" s="585"/>
      <c r="AM905" s="585"/>
      <c r="AN905" s="585"/>
      <c r="AO905" s="585"/>
      <c r="AP905" s="585"/>
      <c r="AQ905" s="585"/>
      <c r="AR905" s="585"/>
      <c r="AS905" s="585"/>
      <c r="AT905" s="585"/>
      <c r="AU905" s="585"/>
      <c r="AV905" s="585"/>
      <c r="AW905" s="585"/>
      <c r="AX905" s="585"/>
      <c r="AY905" s="585"/>
      <c r="AZ905" s="585"/>
      <c r="BA905" s="585"/>
      <c r="BB905" s="585"/>
      <c r="BC905" s="585"/>
      <c r="BD905" s="585"/>
      <c r="BE905" s="585"/>
      <c r="BF905" s="585"/>
      <c r="BG905" s="585"/>
      <c r="BH905" s="585"/>
      <c r="BI905" s="585"/>
      <c r="BJ905" s="585"/>
      <c r="BK905" s="585"/>
      <c r="BL905" s="585"/>
      <c r="BM905" s="585"/>
      <c r="BN905" s="585"/>
      <c r="BO905" s="585"/>
      <c r="BP905" s="585"/>
      <c r="BQ905" s="585"/>
      <c r="BR905" s="585"/>
      <c r="BS905" s="585"/>
      <c r="BT905" s="585"/>
      <c r="BU905" s="585"/>
      <c r="BV905" s="585"/>
      <c r="BW905" s="585"/>
      <c r="BX905" s="585"/>
      <c r="BY905" s="585"/>
      <c r="BZ905" s="585"/>
      <c r="CA905" s="585"/>
      <c r="CB905" s="585"/>
      <c r="CC905" s="585"/>
      <c r="CD905" s="585"/>
      <c r="CE905" s="585"/>
      <c r="CF905" s="586"/>
    </row>
    <row r="906" spans="1:84" s="583" customFormat="1" ht="23.1" customHeight="1">
      <c r="A906" s="587"/>
      <c r="B906" s="574"/>
      <c r="C906" s="574"/>
      <c r="D906" s="405"/>
      <c r="E906" s="574"/>
      <c r="F906" s="422"/>
      <c r="G906" s="422"/>
      <c r="H906" s="422"/>
      <c r="I906" s="422"/>
      <c r="J906" s="422"/>
      <c r="K906" s="422"/>
      <c r="L906" s="422"/>
      <c r="M906" s="422"/>
      <c r="N906" s="574"/>
      <c r="O906" s="574"/>
      <c r="P906" s="574"/>
      <c r="Q906" s="574"/>
      <c r="R906" s="574"/>
      <c r="S906" s="588"/>
      <c r="T906" s="588"/>
      <c r="U906" s="588"/>
      <c r="V906" s="588"/>
      <c r="W906" s="588"/>
      <c r="X906" s="588"/>
      <c r="Y906" s="588"/>
      <c r="Z906" s="588"/>
      <c r="AA906" s="574"/>
      <c r="AB906" s="588"/>
      <c r="AC906" s="585"/>
      <c r="AD906" s="585"/>
      <c r="AE906" s="600"/>
      <c r="AF906" s="600"/>
      <c r="AG906" s="600"/>
      <c r="AH906" s="600"/>
      <c r="AI906" s="600"/>
      <c r="AJ906" s="600"/>
      <c r="AK906" s="600"/>
      <c r="AL906" s="600"/>
      <c r="AM906" s="585"/>
      <c r="AN906" s="585"/>
      <c r="AO906" s="574"/>
      <c r="AP906" s="430"/>
      <c r="AQ906" s="430"/>
      <c r="AR906" s="430"/>
      <c r="AS906" s="430"/>
      <c r="AT906" s="430"/>
      <c r="AU906" s="430"/>
      <c r="AV906" s="430"/>
      <c r="AW906" s="430"/>
      <c r="AX906" s="430"/>
      <c r="AY906" s="430"/>
      <c r="AZ906" s="430"/>
      <c r="BA906" s="430"/>
      <c r="BB906" s="430"/>
      <c r="BC906" s="430"/>
      <c r="BD906" s="574"/>
      <c r="BE906" s="574"/>
      <c r="BF906" s="574"/>
      <c r="BG906" s="574"/>
      <c r="BH906" s="574"/>
      <c r="BI906" s="574"/>
      <c r="BJ906" s="574"/>
      <c r="BK906" s="574"/>
      <c r="BL906" s="574"/>
      <c r="BM906" s="574"/>
      <c r="BN906" s="574"/>
      <c r="BO906" s="574"/>
      <c r="BP906" s="574"/>
      <c r="BQ906" s="574"/>
      <c r="BR906" s="574"/>
      <c r="BS906" s="574"/>
      <c r="BT906" s="574"/>
      <c r="BU906" s="574"/>
      <c r="BV906" s="574"/>
      <c r="BW906" s="574"/>
      <c r="BX906" s="574"/>
      <c r="BY906" s="574"/>
      <c r="BZ906" s="574"/>
      <c r="CA906" s="574"/>
      <c r="CB906" s="574"/>
      <c r="CC906" s="574"/>
      <c r="CD906" s="574"/>
      <c r="CE906" s="574"/>
      <c r="CF906" s="589"/>
    </row>
    <row r="907" spans="1:84" s="583" customFormat="1" ht="23.1" customHeight="1">
      <c r="A907" s="584"/>
      <c r="B907" s="585"/>
      <c r="C907" s="585"/>
      <c r="D907" s="585"/>
      <c r="E907" s="585"/>
      <c r="F907" s="585"/>
      <c r="G907" s="585"/>
      <c r="H907" s="585"/>
      <c r="I907" s="585"/>
      <c r="J907" s="585"/>
      <c r="K907" s="585"/>
      <c r="L907" s="585"/>
      <c r="M907" s="585"/>
      <c r="N907" s="585"/>
      <c r="O907" s="585"/>
      <c r="P907" s="585"/>
      <c r="Q907" s="585"/>
      <c r="R907" s="585"/>
      <c r="S907" s="585"/>
      <c r="T907" s="585"/>
      <c r="U907" s="585"/>
      <c r="V907" s="590"/>
      <c r="W907" s="590"/>
      <c r="X907" s="590"/>
      <c r="Y907" s="590"/>
      <c r="Z907" s="590"/>
      <c r="AA907" s="590"/>
      <c r="AB907" s="590"/>
      <c r="AC907" s="590"/>
      <c r="AD907" s="574"/>
      <c r="AE907" s="1440">
        <v>136400000</v>
      </c>
      <c r="AF907" s="1440"/>
      <c r="AG907" s="1440"/>
      <c r="AH907" s="1440"/>
      <c r="AI907" s="1440"/>
      <c r="AJ907" s="1440"/>
      <c r="AK907" s="1440"/>
      <c r="AL907" s="1440"/>
      <c r="AM907" s="1440"/>
      <c r="AN907" s="1440"/>
      <c r="AO907" s="1440"/>
      <c r="AP907" s="1440"/>
      <c r="AQ907" s="1440"/>
      <c r="AR907" s="1440"/>
      <c r="AS907" s="1440"/>
      <c r="AT907" s="1431" t="s">
        <v>446</v>
      </c>
      <c r="AU907" s="1431"/>
      <c r="AV907" s="1441" t="s">
        <v>1103</v>
      </c>
      <c r="AW907" s="1441"/>
      <c r="AX907" s="1442">
        <v>2298</v>
      </c>
      <c r="AY907" s="1442"/>
      <c r="AZ907" s="1442"/>
      <c r="BA907" s="1442"/>
      <c r="BB907" s="1442"/>
      <c r="BC907" s="1442"/>
      <c r="BD907" s="585"/>
      <c r="BE907" s="1431" t="s">
        <v>446</v>
      </c>
      <c r="BF907" s="1431"/>
      <c r="BG907" s="585"/>
      <c r="BH907" s="591" t="s">
        <v>1104</v>
      </c>
      <c r="BI907" s="585"/>
      <c r="BJ907" s="585"/>
      <c r="BK907" s="585"/>
      <c r="BL907" s="1431" t="s">
        <v>1105</v>
      </c>
      <c r="BM907" s="1431"/>
      <c r="BN907" s="1431"/>
      <c r="BO907" s="585"/>
      <c r="BP907" s="1431" t="s">
        <v>41</v>
      </c>
      <c r="BQ907" s="1431"/>
      <c r="BR907" s="585"/>
      <c r="BS907" s="585"/>
      <c r="BT907" s="1437">
        <f>INT(AE907*AX907*10^-7)</f>
        <v>31344</v>
      </c>
      <c r="BU907" s="1437"/>
      <c r="BV907" s="1437"/>
      <c r="BW907" s="1437"/>
      <c r="BX907" s="1437"/>
      <c r="BY907" s="1437"/>
      <c r="BZ907" s="1437"/>
      <c r="CA907" s="1437"/>
      <c r="CB907" s="1437"/>
      <c r="CC907" s="1437"/>
      <c r="CD907" s="585"/>
      <c r="CE907" s="585"/>
      <c r="CF907" s="586"/>
    </row>
    <row r="908" spans="1:84" s="583" customFormat="1" ht="23.1" customHeight="1">
      <c r="A908" s="592"/>
      <c r="B908" s="593" t="s">
        <v>1106</v>
      </c>
      <c r="C908" s="593"/>
      <c r="D908" s="593"/>
      <c r="E908" s="593"/>
      <c r="F908" s="593"/>
      <c r="G908" s="593"/>
      <c r="H908" s="593"/>
      <c r="I908" s="593"/>
      <c r="J908" s="593"/>
      <c r="K908" s="593"/>
      <c r="L908" s="593"/>
      <c r="M908" s="593"/>
      <c r="N908" s="593"/>
      <c r="O908" s="593"/>
      <c r="P908" s="593"/>
      <c r="Q908" s="593"/>
      <c r="R908" s="593"/>
      <c r="S908" s="593"/>
      <c r="T908" s="593"/>
      <c r="U908" s="593"/>
      <c r="V908" s="593"/>
      <c r="W908" s="593"/>
      <c r="X908" s="593"/>
      <c r="Y908" s="593"/>
      <c r="Z908" s="593"/>
      <c r="AA908" s="593"/>
      <c r="AB908" s="593"/>
      <c r="AC908" s="593"/>
      <c r="AD908" s="593"/>
      <c r="AE908" s="593"/>
      <c r="AF908" s="593"/>
      <c r="AG908" s="593"/>
      <c r="AH908" s="593"/>
      <c r="AI908" s="593"/>
      <c r="AJ908" s="593"/>
      <c r="AK908" s="593"/>
      <c r="AL908" s="593"/>
      <c r="AM908" s="593"/>
      <c r="AN908" s="593"/>
      <c r="AO908" s="593"/>
      <c r="AP908" s="593"/>
      <c r="AQ908" s="593"/>
      <c r="AR908" s="593"/>
      <c r="AS908" s="593"/>
      <c r="AT908" s="593"/>
      <c r="AU908" s="593"/>
      <c r="AV908" s="593"/>
      <c r="AW908" s="593"/>
      <c r="AX908" s="593"/>
      <c r="AY908" s="593"/>
      <c r="AZ908" s="593"/>
      <c r="BA908" s="593"/>
      <c r="BB908" s="593"/>
      <c r="BC908" s="593"/>
      <c r="BD908" s="593"/>
      <c r="BE908" s="593"/>
      <c r="BF908" s="593"/>
      <c r="BG908" s="593"/>
      <c r="BH908" s="593"/>
      <c r="BI908" s="593"/>
      <c r="BJ908" s="593"/>
      <c r="BK908" s="593"/>
      <c r="BL908" s="593"/>
      <c r="BM908" s="593"/>
      <c r="BN908" s="593"/>
      <c r="BO908" s="593"/>
      <c r="BP908" s="593"/>
      <c r="BQ908" s="593"/>
      <c r="BR908" s="593"/>
      <c r="BS908" s="593"/>
      <c r="BT908" s="594"/>
      <c r="BU908" s="594"/>
      <c r="BV908" s="594"/>
      <c r="BW908" s="594"/>
      <c r="BX908" s="594"/>
      <c r="BY908" s="594"/>
      <c r="BZ908" s="594"/>
      <c r="CA908" s="594"/>
      <c r="CB908" s="594"/>
      <c r="CC908" s="594"/>
      <c r="CD908" s="593"/>
      <c r="CE908" s="593"/>
      <c r="CF908" s="595"/>
    </row>
    <row r="909" spans="1:84" s="583" customFormat="1" ht="23.1" customHeight="1">
      <c r="A909" s="584"/>
      <c r="B909" s="585"/>
      <c r="C909" s="585"/>
      <c r="D909" s="596" t="s">
        <v>268</v>
      </c>
      <c r="E909" s="585"/>
      <c r="F909" s="585"/>
      <c r="G909" s="585"/>
      <c r="H909" s="585"/>
      <c r="I909" s="585"/>
      <c r="J909" s="585"/>
      <c r="K909" s="585"/>
      <c r="L909" s="585"/>
      <c r="M909" s="585"/>
      <c r="N909" s="585"/>
      <c r="O909" s="585"/>
      <c r="P909" s="585"/>
      <c r="Q909" s="585"/>
      <c r="R909" s="585"/>
      <c r="S909" s="585"/>
      <c r="T909" s="574"/>
      <c r="U909" s="574"/>
      <c r="V909" s="1435">
        <f>HLOOKUP(D909,$CJ$1:$CM$3,3,0)</f>
        <v>283297</v>
      </c>
      <c r="W909" s="1435"/>
      <c r="X909" s="1435"/>
      <c r="Y909" s="1435"/>
      <c r="Z909" s="1435"/>
      <c r="AA909" s="1435"/>
      <c r="AB909" s="1435"/>
      <c r="AC909" s="1435"/>
      <c r="AD909" s="1435"/>
      <c r="AE909" s="1435"/>
      <c r="AF909" s="1431" t="s">
        <v>446</v>
      </c>
      <c r="AG909" s="1431"/>
      <c r="AH909" s="574"/>
      <c r="AI909" s="1436" t="s">
        <v>1107</v>
      </c>
      <c r="AJ909" s="1436"/>
      <c r="AK909" s="1436"/>
      <c r="AL909" s="1436"/>
      <c r="AM909" s="585"/>
      <c r="AN909" s="1431" t="s">
        <v>446</v>
      </c>
      <c r="AO909" s="1431"/>
      <c r="AP909" s="585"/>
      <c r="AQ909" s="1436" t="s">
        <v>1108</v>
      </c>
      <c r="AR909" s="1436"/>
      <c r="AS909" s="1436"/>
      <c r="AT909" s="1436"/>
      <c r="AU909" s="1436"/>
      <c r="AV909" s="422"/>
      <c r="AW909" s="1431" t="s">
        <v>446</v>
      </c>
      <c r="AX909" s="1431"/>
      <c r="AY909" s="440"/>
      <c r="AZ909" s="1436" t="s">
        <v>1109</v>
      </c>
      <c r="BA909" s="1436"/>
      <c r="BB909" s="1436"/>
      <c r="BC909" s="1436"/>
      <c r="BD909" s="1436"/>
      <c r="BE909" s="585"/>
      <c r="BF909" s="1431" t="s">
        <v>446</v>
      </c>
      <c r="BG909" s="1431"/>
      <c r="BH909" s="1431">
        <v>1</v>
      </c>
      <c r="BI909" s="1431"/>
      <c r="BJ909" s="1431"/>
      <c r="BK909" s="585"/>
      <c r="BL909" s="585" t="s">
        <v>366</v>
      </c>
      <c r="BM909" s="585"/>
      <c r="BN909" s="585"/>
      <c r="BO909" s="585"/>
      <c r="BP909" s="1431" t="s">
        <v>41</v>
      </c>
      <c r="BQ909" s="1431"/>
      <c r="BR909" s="585"/>
      <c r="BS909" s="585"/>
      <c r="BT909" s="1432">
        <f>INT(V909/8*16/12*25/20*BH909)</f>
        <v>59020</v>
      </c>
      <c r="BU909" s="1432"/>
      <c r="BV909" s="1432"/>
      <c r="BW909" s="1432"/>
      <c r="BX909" s="1432"/>
      <c r="BY909" s="1432"/>
      <c r="BZ909" s="1432"/>
      <c r="CA909" s="1432"/>
      <c r="CB909" s="1432"/>
      <c r="CC909" s="1432"/>
      <c r="CD909" s="585"/>
      <c r="CE909" s="585"/>
      <c r="CF909" s="586"/>
    </row>
    <row r="910" spans="1:84" s="583" customFormat="1" ht="23.1" customHeight="1">
      <c r="A910" s="584"/>
      <c r="B910" s="585"/>
      <c r="C910" s="585"/>
      <c r="D910" s="585"/>
      <c r="E910" s="585"/>
      <c r="F910" s="585"/>
      <c r="G910" s="585"/>
      <c r="H910" s="585"/>
      <c r="I910" s="585"/>
      <c r="J910" s="585"/>
      <c r="K910" s="585"/>
      <c r="L910" s="585"/>
      <c r="M910" s="585"/>
      <c r="N910" s="585"/>
      <c r="O910" s="585"/>
      <c r="P910" s="574"/>
      <c r="Q910" s="574"/>
      <c r="R910" s="574"/>
      <c r="S910" s="574"/>
      <c r="T910" s="574"/>
      <c r="U910" s="574"/>
      <c r="V910" s="574"/>
      <c r="W910" s="574"/>
      <c r="X910" s="574"/>
      <c r="Y910" s="574"/>
      <c r="Z910" s="574"/>
      <c r="AA910" s="574"/>
      <c r="AB910" s="574"/>
      <c r="AC910" s="574"/>
      <c r="AD910" s="574"/>
      <c r="AE910" s="574"/>
      <c r="AF910" s="574"/>
      <c r="AG910" s="574"/>
      <c r="AH910" s="574"/>
      <c r="AI910" s="574"/>
      <c r="AJ910" s="574"/>
      <c r="AK910" s="574"/>
      <c r="AL910" s="574"/>
      <c r="AM910" s="574"/>
      <c r="AN910" s="574"/>
      <c r="AO910" s="574"/>
      <c r="AP910" s="574"/>
      <c r="AQ910" s="574"/>
      <c r="AR910" s="574"/>
      <c r="AS910" s="574"/>
      <c r="AT910" s="574"/>
      <c r="AU910" s="574"/>
      <c r="AV910" s="574"/>
      <c r="AW910" s="574"/>
      <c r="AX910" s="574"/>
      <c r="AY910" s="574"/>
      <c r="AZ910" s="574"/>
      <c r="BA910" s="574"/>
      <c r="BB910" s="574"/>
      <c r="BC910" s="574"/>
      <c r="BD910" s="574"/>
      <c r="BE910" s="574"/>
      <c r="BF910" s="574"/>
      <c r="BG910" s="585"/>
      <c r="BH910" s="585"/>
      <c r="BI910" s="585"/>
      <c r="BJ910" s="585"/>
      <c r="BK910" s="585"/>
      <c r="BL910" s="585"/>
      <c r="BM910" s="585"/>
      <c r="BN910" s="585"/>
      <c r="BO910" s="585"/>
      <c r="BP910" s="1431"/>
      <c r="BQ910" s="1431"/>
      <c r="BR910" s="585"/>
      <c r="BS910" s="585"/>
      <c r="BT910" s="1432"/>
      <c r="BU910" s="1432"/>
      <c r="BV910" s="1432"/>
      <c r="BW910" s="1432"/>
      <c r="BX910" s="1432"/>
      <c r="BY910" s="1432"/>
      <c r="BZ910" s="1432"/>
      <c r="CA910" s="1432"/>
      <c r="CB910" s="1432"/>
      <c r="CC910" s="1432"/>
      <c r="CD910" s="585"/>
      <c r="CE910" s="585"/>
      <c r="CF910" s="586"/>
    </row>
    <row r="911" spans="1:84" s="583" customFormat="1" ht="23.1" customHeight="1">
      <c r="A911" s="584"/>
      <c r="B911" s="585"/>
      <c r="C911" s="585"/>
      <c r="D911" s="585"/>
      <c r="E911" s="585"/>
      <c r="F911" s="585"/>
      <c r="G911" s="585"/>
      <c r="H911" s="585"/>
      <c r="I911" s="585"/>
      <c r="J911" s="585"/>
      <c r="K911" s="585"/>
      <c r="L911" s="585"/>
      <c r="M911" s="585"/>
      <c r="N911" s="585"/>
      <c r="O911" s="585"/>
      <c r="P911" s="585"/>
      <c r="Q911" s="585"/>
      <c r="R911" s="585"/>
      <c r="S911" s="585"/>
      <c r="T911" s="585"/>
      <c r="U911" s="585"/>
      <c r="V911" s="585"/>
      <c r="W911" s="585"/>
      <c r="X911" s="585"/>
      <c r="Y911" s="585"/>
      <c r="Z911" s="585"/>
      <c r="AA911" s="585"/>
      <c r="AB911" s="585"/>
      <c r="AC911" s="585"/>
      <c r="AD911" s="574"/>
      <c r="AE911" s="574"/>
      <c r="AF911" s="574"/>
      <c r="AG911" s="574"/>
      <c r="AH911" s="574"/>
      <c r="AI911" s="574"/>
      <c r="AJ911" s="574"/>
      <c r="AK911" s="574"/>
      <c r="AL911" s="574"/>
      <c r="AM911" s="574"/>
      <c r="AN911" s="574"/>
      <c r="AO911" s="574"/>
      <c r="AP911" s="574"/>
      <c r="AQ911" s="574"/>
      <c r="AR911" s="574"/>
      <c r="AS911" s="585"/>
      <c r="AT911" s="590"/>
      <c r="AU911" s="590"/>
      <c r="AV911" s="585"/>
      <c r="AW911" s="585"/>
      <c r="AX911" s="585"/>
      <c r="AY911" s="585"/>
      <c r="AZ911" s="585"/>
      <c r="BA911" s="585"/>
      <c r="BB911" s="585"/>
      <c r="BC911" s="585"/>
      <c r="BD911" s="585"/>
      <c r="BE911" s="585"/>
      <c r="BF911" s="585"/>
      <c r="BG911" s="585"/>
      <c r="BH911" s="585"/>
      <c r="BI911" s="585"/>
      <c r="BJ911" s="585"/>
      <c r="BK911" s="585"/>
      <c r="BL911" s="585"/>
      <c r="BM911" s="585"/>
      <c r="BN911" s="585"/>
      <c r="BO911" s="585"/>
      <c r="BP911" s="1431" t="s">
        <v>41</v>
      </c>
      <c r="BQ911" s="1431"/>
      <c r="BR911" s="585"/>
      <c r="BS911" s="585"/>
      <c r="BT911" s="1434">
        <f>BT909+BT910</f>
        <v>59020</v>
      </c>
      <c r="BU911" s="1434"/>
      <c r="BV911" s="1434"/>
      <c r="BW911" s="1434"/>
      <c r="BX911" s="1434"/>
      <c r="BY911" s="1434"/>
      <c r="BZ911" s="1434"/>
      <c r="CA911" s="1434"/>
      <c r="CB911" s="1434"/>
      <c r="CC911" s="1434"/>
      <c r="CD911" s="585"/>
      <c r="CE911" s="585"/>
      <c r="CF911" s="586"/>
    </row>
    <row r="912" spans="1:84" s="583" customFormat="1" ht="23.1" customHeight="1">
      <c r="A912" s="592"/>
      <c r="B912" s="593" t="s">
        <v>1110</v>
      </c>
      <c r="C912" s="593"/>
      <c r="D912" s="593"/>
      <c r="E912" s="593"/>
      <c r="F912" s="593"/>
      <c r="G912" s="593"/>
      <c r="H912" s="593"/>
      <c r="I912" s="593"/>
      <c r="J912" s="593"/>
      <c r="K912" s="593"/>
      <c r="L912" s="593"/>
      <c r="M912" s="593"/>
      <c r="N912" s="593"/>
      <c r="O912" s="593"/>
      <c r="P912" s="593"/>
      <c r="Q912" s="593"/>
      <c r="R912" s="593"/>
      <c r="S912" s="593"/>
      <c r="T912" s="593"/>
      <c r="U912" s="593"/>
      <c r="V912" s="593"/>
      <c r="W912" s="593"/>
      <c r="X912" s="593"/>
      <c r="Y912" s="593"/>
      <c r="Z912" s="593"/>
      <c r="AA912" s="593"/>
      <c r="AB912" s="593"/>
      <c r="AC912" s="593"/>
      <c r="AD912" s="593"/>
      <c r="AE912" s="593"/>
      <c r="AF912" s="593"/>
      <c r="AG912" s="593"/>
      <c r="AH912" s="593"/>
      <c r="AI912" s="593"/>
      <c r="AJ912" s="593"/>
      <c r="AK912" s="593"/>
      <c r="AL912" s="593"/>
      <c r="AM912" s="593"/>
      <c r="AN912" s="593"/>
      <c r="AO912" s="593"/>
      <c r="AP912" s="593"/>
      <c r="AQ912" s="593"/>
      <c r="AR912" s="593"/>
      <c r="AS912" s="593"/>
      <c r="AT912" s="593"/>
      <c r="AU912" s="593"/>
      <c r="AV912" s="593"/>
      <c r="AW912" s="593"/>
      <c r="AX912" s="593"/>
      <c r="AY912" s="593"/>
      <c r="AZ912" s="593"/>
      <c r="BA912" s="593"/>
      <c r="BB912" s="593"/>
      <c r="BC912" s="593"/>
      <c r="BD912" s="593"/>
      <c r="BE912" s="593"/>
      <c r="BF912" s="593"/>
      <c r="BG912" s="593"/>
      <c r="BH912" s="593"/>
      <c r="BI912" s="593"/>
      <c r="BJ912" s="593"/>
      <c r="BK912" s="593"/>
      <c r="BL912" s="593"/>
      <c r="BM912" s="593"/>
      <c r="BN912" s="593"/>
      <c r="BO912" s="593"/>
      <c r="BP912" s="593"/>
      <c r="BQ912" s="593"/>
      <c r="BR912" s="593"/>
      <c r="BS912" s="593"/>
      <c r="BT912" s="593"/>
      <c r="BU912" s="593"/>
      <c r="BV912" s="593"/>
      <c r="BW912" s="593"/>
      <c r="BX912" s="593"/>
      <c r="BY912" s="593"/>
      <c r="BZ912" s="593"/>
      <c r="CA912" s="593"/>
      <c r="CB912" s="593"/>
      <c r="CC912" s="593"/>
      <c r="CD912" s="593"/>
      <c r="CE912" s="593"/>
      <c r="CF912" s="595"/>
    </row>
    <row r="913" spans="1:84" s="583" customFormat="1" ht="23.1" customHeight="1">
      <c r="A913" s="584"/>
      <c r="B913" s="585"/>
      <c r="C913" s="585"/>
      <c r="D913" s="596" t="s">
        <v>1094</v>
      </c>
      <c r="E913" s="585"/>
      <c r="F913" s="585"/>
      <c r="G913" s="585"/>
      <c r="H913" s="585"/>
      <c r="I913" s="585"/>
      <c r="J913" s="585"/>
      <c r="K913" s="585"/>
      <c r="L913" s="585"/>
      <c r="M913" s="585"/>
      <c r="N913" s="585"/>
      <c r="O913" s="585"/>
      <c r="P913" s="585"/>
      <c r="Q913" s="585"/>
      <c r="R913" s="585"/>
      <c r="S913" s="585"/>
      <c r="T913" s="585"/>
      <c r="U913" s="585"/>
      <c r="V913" s="585"/>
      <c r="W913" s="585"/>
      <c r="X913" s="585"/>
      <c r="Y913" s="585"/>
      <c r="Z913" s="585"/>
      <c r="AA913" s="585"/>
      <c r="AB913" s="585"/>
      <c r="AC913" s="585"/>
      <c r="AD913" s="585"/>
      <c r="AE913" s="585"/>
      <c r="AF913" s="585"/>
      <c r="AG913" s="585"/>
      <c r="AH913" s="585"/>
      <c r="AI913" s="585"/>
      <c r="AJ913" s="585"/>
      <c r="AK913" s="585"/>
      <c r="AL913" s="585"/>
      <c r="AM913" s="585"/>
      <c r="AN913" s="585"/>
      <c r="AO913" s="585"/>
      <c r="AP913" s="585"/>
      <c r="AQ913" s="585"/>
      <c r="AR913" s="422"/>
      <c r="AS913" s="1435" t="e">
        <f>HLOOKUP(D913,$CN$1:$CO$3,3,0)</f>
        <v>#REF!</v>
      </c>
      <c r="AT913" s="1435"/>
      <c r="AU913" s="1435"/>
      <c r="AV913" s="1435"/>
      <c r="AW913" s="1435"/>
      <c r="AX913" s="1435"/>
      <c r="AY913" s="1435"/>
      <c r="AZ913" s="1435"/>
      <c r="BA913" s="1435"/>
      <c r="BB913" s="1435"/>
      <c r="BC913" s="585"/>
      <c r="BD913" s="1431" t="s">
        <v>446</v>
      </c>
      <c r="BE913" s="1431"/>
      <c r="BF913" s="585"/>
      <c r="BG913" s="1431">
        <v>3.8</v>
      </c>
      <c r="BH913" s="1431"/>
      <c r="BI913" s="1431"/>
      <c r="BJ913" s="1431"/>
      <c r="BK913" s="1431"/>
      <c r="BL913" s="585" t="s">
        <v>1111</v>
      </c>
      <c r="BM913" s="585"/>
      <c r="BN913" s="585"/>
      <c r="BO913" s="585"/>
      <c r="BP913" s="1431" t="s">
        <v>41</v>
      </c>
      <c r="BQ913" s="1431"/>
      <c r="BR913" s="585"/>
      <c r="BS913" s="585"/>
      <c r="BT913" s="1432" t="e">
        <f>INT(AS913*BG913)</f>
        <v>#REF!</v>
      </c>
      <c r="BU913" s="1432"/>
      <c r="BV913" s="1432"/>
      <c r="BW913" s="1432"/>
      <c r="BX913" s="1432"/>
      <c r="BY913" s="1432"/>
      <c r="BZ913" s="1432"/>
      <c r="CA913" s="1432"/>
      <c r="CB913" s="1432"/>
      <c r="CC913" s="1432"/>
      <c r="CD913" s="585"/>
      <c r="CE913" s="585"/>
      <c r="CF913" s="586"/>
    </row>
    <row r="914" spans="1:84" s="583" customFormat="1" ht="23.1" customHeight="1">
      <c r="A914" s="584"/>
      <c r="B914" s="585"/>
      <c r="C914" s="585"/>
      <c r="D914" s="591" t="str">
        <f>"잡재료 (주연료의 "&amp;BG914&amp;"%) :"</f>
        <v>잡재료 (주연료의 39%) :</v>
      </c>
      <c r="E914" s="585"/>
      <c r="F914" s="585"/>
      <c r="G914" s="585"/>
      <c r="H914" s="585"/>
      <c r="I914" s="585"/>
      <c r="J914" s="585"/>
      <c r="K914" s="585"/>
      <c r="L914" s="585"/>
      <c r="M914" s="585"/>
      <c r="N914" s="585"/>
      <c r="O914" s="585"/>
      <c r="P914" s="585"/>
      <c r="Q914" s="585"/>
      <c r="R914" s="585"/>
      <c r="S914" s="585"/>
      <c r="T914" s="585"/>
      <c r="U914" s="585"/>
      <c r="V914" s="585"/>
      <c r="W914" s="585"/>
      <c r="X914" s="585"/>
      <c r="Y914" s="585"/>
      <c r="Z914" s="585"/>
      <c r="AA914" s="585"/>
      <c r="AB914" s="585"/>
      <c r="AC914" s="585"/>
      <c r="AD914" s="585"/>
      <c r="AE914" s="585"/>
      <c r="AF914" s="585"/>
      <c r="AG914" s="585"/>
      <c r="AH914" s="585"/>
      <c r="AI914" s="585"/>
      <c r="AJ914" s="585"/>
      <c r="AK914" s="585"/>
      <c r="AL914" s="585"/>
      <c r="AM914" s="585"/>
      <c r="AN914" s="585"/>
      <c r="AO914" s="585"/>
      <c r="AP914" s="585"/>
      <c r="AQ914" s="585"/>
      <c r="AR914" s="422" t="e">
        <f>BT913</f>
        <v>#REF!</v>
      </c>
      <c r="AS914" s="1430" t="e">
        <f>BT913</f>
        <v>#REF!</v>
      </c>
      <c r="AT914" s="1430"/>
      <c r="AU914" s="1430"/>
      <c r="AV914" s="1430"/>
      <c r="AW914" s="1430"/>
      <c r="AX914" s="1430"/>
      <c r="AY914" s="1430"/>
      <c r="AZ914" s="1430"/>
      <c r="BA914" s="1430"/>
      <c r="BB914" s="1430"/>
      <c r="BC914" s="585"/>
      <c r="BD914" s="1431" t="s">
        <v>446</v>
      </c>
      <c r="BE914" s="1431"/>
      <c r="BF914" s="585"/>
      <c r="BG914" s="1431">
        <v>39</v>
      </c>
      <c r="BH914" s="1431"/>
      <c r="BI914" s="1431"/>
      <c r="BJ914" s="1431"/>
      <c r="BK914" s="1431"/>
      <c r="BL914" s="585" t="s">
        <v>1112</v>
      </c>
      <c r="BM914" s="585"/>
      <c r="BN914" s="585"/>
      <c r="BO914" s="585"/>
      <c r="BP914" s="1431" t="s">
        <v>41</v>
      </c>
      <c r="BQ914" s="1431"/>
      <c r="BR914" s="585"/>
      <c r="BS914" s="585"/>
      <c r="BT914" s="1432" t="e">
        <f>INT(AS914*BG914/100)</f>
        <v>#REF!</v>
      </c>
      <c r="BU914" s="1432"/>
      <c r="BV914" s="1432"/>
      <c r="BW914" s="1432"/>
      <c r="BX914" s="1432"/>
      <c r="BY914" s="1432"/>
      <c r="BZ914" s="1432"/>
      <c r="CA914" s="1432"/>
      <c r="CB914" s="1432"/>
      <c r="CC914" s="1432"/>
      <c r="CD914" s="585"/>
      <c r="CE914" s="585"/>
      <c r="CF914" s="586"/>
    </row>
    <row r="915" spans="1:84" s="583" customFormat="1" ht="23.1" customHeight="1" thickBot="1">
      <c r="A915" s="584"/>
      <c r="B915" s="585"/>
      <c r="C915" s="585"/>
      <c r="D915" s="585"/>
      <c r="E915" s="585"/>
      <c r="F915" s="585"/>
      <c r="G915" s="585"/>
      <c r="H915" s="585"/>
      <c r="I915" s="585"/>
      <c r="J915" s="585"/>
      <c r="K915" s="585"/>
      <c r="L915" s="585"/>
      <c r="M915" s="585"/>
      <c r="N915" s="585"/>
      <c r="O915" s="585"/>
      <c r="P915" s="585"/>
      <c r="Q915" s="585"/>
      <c r="R915" s="585"/>
      <c r="S915" s="585"/>
      <c r="T915" s="585"/>
      <c r="U915" s="585"/>
      <c r="V915" s="585"/>
      <c r="W915" s="585"/>
      <c r="X915" s="585"/>
      <c r="Y915" s="585"/>
      <c r="Z915" s="585"/>
      <c r="AA915" s="585"/>
      <c r="AB915" s="585"/>
      <c r="AC915" s="585"/>
      <c r="AD915" s="585"/>
      <c r="AE915" s="585"/>
      <c r="AF915" s="585"/>
      <c r="AG915" s="585"/>
      <c r="AH915" s="585"/>
      <c r="AI915" s="585"/>
      <c r="AJ915" s="585"/>
      <c r="AK915" s="585"/>
      <c r="AL915" s="585"/>
      <c r="AM915" s="585"/>
      <c r="AN915" s="585"/>
      <c r="AO915" s="585"/>
      <c r="AP915" s="585"/>
      <c r="AQ915" s="585"/>
      <c r="AR915" s="585"/>
      <c r="AS915" s="585"/>
      <c r="AT915" s="585"/>
      <c r="AU915" s="585"/>
      <c r="AV915" s="585"/>
      <c r="AW915" s="585"/>
      <c r="AX915" s="585"/>
      <c r="AY915" s="585"/>
      <c r="AZ915" s="585"/>
      <c r="BA915" s="585"/>
      <c r="BB915" s="585"/>
      <c r="BC915" s="585"/>
      <c r="BD915" s="585"/>
      <c r="BE915" s="585"/>
      <c r="BF915" s="585"/>
      <c r="BG915" s="585"/>
      <c r="BH915" s="585"/>
      <c r="BI915" s="585"/>
      <c r="BJ915" s="585"/>
      <c r="BK915" s="585"/>
      <c r="BL915" s="585"/>
      <c r="BM915" s="585"/>
      <c r="BN915" s="585"/>
      <c r="BO915" s="585"/>
      <c r="BP915" s="1431" t="s">
        <v>41</v>
      </c>
      <c r="BQ915" s="1431"/>
      <c r="BR915" s="585"/>
      <c r="BS915" s="585"/>
      <c r="BT915" s="1433" t="e">
        <f>BT913+BT914</f>
        <v>#REF!</v>
      </c>
      <c r="BU915" s="1433"/>
      <c r="BV915" s="1433"/>
      <c r="BW915" s="1433"/>
      <c r="BX915" s="1433"/>
      <c r="BY915" s="1433"/>
      <c r="BZ915" s="1433"/>
      <c r="CA915" s="1433"/>
      <c r="CB915" s="1433"/>
      <c r="CC915" s="1433"/>
      <c r="CD915" s="585"/>
      <c r="CE915" s="585"/>
      <c r="CF915" s="586"/>
    </row>
    <row r="916" spans="1:84" s="583" customFormat="1" ht="23.1" customHeight="1" thickBot="1">
      <c r="A916" s="597"/>
      <c r="B916" s="598" t="s">
        <v>1113</v>
      </c>
      <c r="C916" s="598"/>
      <c r="D916" s="598"/>
      <c r="E916" s="598"/>
      <c r="F916" s="598"/>
      <c r="G916" s="598"/>
      <c r="H916" s="598"/>
      <c r="I916" s="598"/>
      <c r="J916" s="598"/>
      <c r="K916" s="598"/>
      <c r="L916" s="598"/>
      <c r="M916" s="598"/>
      <c r="N916" s="598"/>
      <c r="O916" s="598"/>
      <c r="P916" s="598"/>
      <c r="Q916" s="598"/>
      <c r="R916" s="598"/>
      <c r="S916" s="598"/>
      <c r="T916" s="598"/>
      <c r="U916" s="598"/>
      <c r="V916" s="598"/>
      <c r="W916" s="598"/>
      <c r="X916" s="598"/>
      <c r="Y916" s="598"/>
      <c r="Z916" s="598"/>
      <c r="AA916" s="598"/>
      <c r="AB916" s="598"/>
      <c r="AC916" s="598"/>
      <c r="AD916" s="598"/>
      <c r="AE916" s="598"/>
      <c r="AF916" s="598"/>
      <c r="AG916" s="598"/>
      <c r="AH916" s="598"/>
      <c r="AI916" s="598"/>
      <c r="AJ916" s="598"/>
      <c r="AK916" s="598"/>
      <c r="AL916" s="598"/>
      <c r="AM916" s="598"/>
      <c r="AN916" s="598"/>
      <c r="AO916" s="598"/>
      <c r="AP916" s="598"/>
      <c r="AQ916" s="598"/>
      <c r="AR916" s="598"/>
      <c r="AS916" s="598"/>
      <c r="AT916" s="598"/>
      <c r="AU916" s="598"/>
      <c r="AV916" s="598"/>
      <c r="AW916" s="598"/>
      <c r="AX916" s="598"/>
      <c r="AY916" s="598"/>
      <c r="AZ916" s="598"/>
      <c r="BA916" s="598"/>
      <c r="BB916" s="598"/>
      <c r="BC916" s="598"/>
      <c r="BD916" s="598"/>
      <c r="BE916" s="598"/>
      <c r="BF916" s="598"/>
      <c r="BG916" s="598"/>
      <c r="BH916" s="598"/>
      <c r="BI916" s="598"/>
      <c r="BJ916" s="598"/>
      <c r="BK916" s="598"/>
      <c r="BL916" s="598"/>
      <c r="BM916" s="598"/>
      <c r="BN916" s="598"/>
      <c r="BO916" s="598"/>
      <c r="BP916" s="598"/>
      <c r="BQ916" s="598"/>
      <c r="BR916" s="598"/>
      <c r="BS916" s="598"/>
      <c r="BT916" s="1429" t="e">
        <f>BT907+BT911+BT915</f>
        <v>#REF!</v>
      </c>
      <c r="BU916" s="1429"/>
      <c r="BV916" s="1429"/>
      <c r="BW916" s="1429"/>
      <c r="BX916" s="1429"/>
      <c r="BY916" s="1429"/>
      <c r="BZ916" s="1429"/>
      <c r="CA916" s="1429"/>
      <c r="CB916" s="1429"/>
      <c r="CC916" s="1429"/>
      <c r="CD916" s="598"/>
      <c r="CE916" s="598"/>
      <c r="CF916" s="599"/>
    </row>
    <row r="917" spans="1:84" s="583" customFormat="1" ht="9.9499999999999993" customHeight="1">
      <c r="A917" s="574"/>
      <c r="B917" s="574"/>
      <c r="C917" s="574"/>
      <c r="D917" s="574"/>
      <c r="E917" s="574"/>
      <c r="F917" s="574"/>
      <c r="G917" s="574"/>
      <c r="H917" s="574"/>
      <c r="I917" s="574"/>
      <c r="J917" s="574"/>
      <c r="K917" s="574"/>
      <c r="L917" s="574"/>
      <c r="M917" s="574"/>
      <c r="N917" s="574"/>
      <c r="O917" s="574"/>
      <c r="P917" s="574"/>
      <c r="Q917" s="574"/>
      <c r="R917" s="574"/>
      <c r="S917" s="574"/>
      <c r="T917" s="574"/>
      <c r="U917" s="574"/>
      <c r="V917" s="574"/>
      <c r="W917" s="574"/>
      <c r="X917" s="574"/>
      <c r="Y917" s="574"/>
      <c r="Z917" s="574"/>
      <c r="AA917" s="574"/>
      <c r="AB917" s="574"/>
      <c r="AC917" s="574"/>
      <c r="AD917" s="574"/>
      <c r="AE917" s="574"/>
      <c r="AF917" s="574"/>
      <c r="AG917" s="574"/>
      <c r="AH917" s="574"/>
      <c r="AI917" s="574"/>
      <c r="AJ917" s="574"/>
      <c r="AK917" s="574"/>
      <c r="AL917" s="574"/>
      <c r="AM917" s="574"/>
      <c r="AN917" s="574"/>
      <c r="AO917" s="574"/>
      <c r="AP917" s="574"/>
      <c r="AQ917" s="574"/>
      <c r="AR917" s="574"/>
      <c r="AS917" s="574"/>
      <c r="AT917" s="574"/>
      <c r="AU917" s="574"/>
      <c r="AV917" s="574"/>
      <c r="AW917" s="574"/>
      <c r="AX917" s="574"/>
      <c r="AY917" s="574"/>
      <c r="AZ917" s="574"/>
      <c r="BA917" s="574"/>
      <c r="BB917" s="574"/>
      <c r="BC917" s="574"/>
      <c r="BD917" s="574"/>
      <c r="BE917" s="574"/>
      <c r="BF917" s="574"/>
      <c r="BG917" s="574"/>
      <c r="BH917" s="574"/>
      <c r="BI917" s="574"/>
      <c r="BJ917" s="574"/>
      <c r="BK917" s="574"/>
      <c r="BL917" s="574"/>
      <c r="BM917" s="574"/>
      <c r="BN917" s="574"/>
      <c r="BO917" s="574"/>
      <c r="BP917" s="574"/>
      <c r="BQ917" s="574"/>
      <c r="BR917" s="574"/>
      <c r="BS917" s="574"/>
      <c r="BT917" s="574"/>
      <c r="BU917" s="574"/>
      <c r="BV917" s="574"/>
      <c r="BW917" s="574"/>
      <c r="BX917" s="574"/>
      <c r="BY917" s="574"/>
      <c r="BZ917" s="574"/>
      <c r="CA917" s="574"/>
      <c r="CB917" s="574"/>
      <c r="CC917" s="574"/>
      <c r="CD917" s="574"/>
      <c r="CE917" s="574"/>
      <c r="CF917" s="574"/>
    </row>
    <row r="918" spans="1:84" s="583" customFormat="1" ht="23.1" customHeight="1" thickBot="1">
      <c r="A918" s="1446" t="s">
        <v>1095</v>
      </c>
      <c r="B918" s="1446"/>
      <c r="C918" s="1446"/>
      <c r="D918" s="1446"/>
      <c r="E918" s="1446"/>
      <c r="F918" s="1446"/>
      <c r="G918" s="1447">
        <f>G903+1</f>
        <v>62</v>
      </c>
      <c r="H918" s="1447"/>
      <c r="I918" s="1447"/>
      <c r="J918" s="1448" t="s">
        <v>1096</v>
      </c>
      <c r="K918" s="1448"/>
      <c r="L918" s="574"/>
      <c r="M918" s="574"/>
      <c r="N918" s="574"/>
      <c r="O918" s="574"/>
      <c r="P918" s="574"/>
      <c r="Q918" s="574"/>
      <c r="R918" s="574"/>
      <c r="S918" s="574"/>
      <c r="T918" s="574"/>
      <c r="U918" s="574"/>
      <c r="V918" s="574"/>
      <c r="W918" s="574"/>
      <c r="X918" s="574"/>
      <c r="Y918" s="574"/>
      <c r="Z918" s="574"/>
      <c r="AA918" s="574"/>
      <c r="AB918" s="574"/>
      <c r="AC918" s="574"/>
      <c r="AD918" s="574"/>
      <c r="AE918" s="574"/>
      <c r="AF918" s="574"/>
      <c r="AG918" s="574"/>
      <c r="AH918" s="574"/>
      <c r="AI918" s="574"/>
      <c r="AJ918" s="574"/>
      <c r="AK918" s="574"/>
      <c r="AL918" s="574"/>
      <c r="AM918" s="574"/>
      <c r="AN918" s="574"/>
      <c r="AO918" s="574"/>
      <c r="AP918" s="574"/>
      <c r="AQ918" s="574"/>
      <c r="AR918" s="574"/>
      <c r="AS918" s="574"/>
      <c r="AT918" s="574"/>
      <c r="AU918" s="574"/>
      <c r="AV918" s="574"/>
      <c r="AW918" s="574"/>
      <c r="AX918" s="574"/>
      <c r="AY918" s="574"/>
      <c r="AZ918" s="574"/>
      <c r="BA918" s="574"/>
      <c r="BB918" s="574"/>
      <c r="BC918" s="574"/>
      <c r="BD918" s="574"/>
      <c r="BE918" s="574"/>
      <c r="BF918" s="574"/>
      <c r="BG918" s="574"/>
      <c r="BH918" s="574"/>
      <c r="BI918" s="574"/>
      <c r="BJ918" s="574"/>
      <c r="BK918" s="574"/>
      <c r="BL918" s="574"/>
      <c r="BM918" s="574"/>
      <c r="BN918" s="574"/>
      <c r="BO918" s="574"/>
      <c r="BP918" s="574"/>
      <c r="BQ918" s="574"/>
      <c r="BR918" s="574"/>
      <c r="BS918" s="574"/>
      <c r="BT918" s="574"/>
      <c r="BU918" s="574"/>
      <c r="BV918" s="574"/>
      <c r="BW918" s="574"/>
      <c r="BX918" s="574"/>
      <c r="BY918" s="574"/>
      <c r="BZ918" s="574"/>
      <c r="CA918" s="574"/>
      <c r="CB918" s="574"/>
      <c r="CC918" s="574"/>
      <c r="CD918" s="574"/>
      <c r="CE918" s="574"/>
      <c r="CF918" s="574"/>
    </row>
    <row r="919" spans="1:84" s="583" customFormat="1" ht="23.1" customHeight="1" thickBot="1">
      <c r="A919" s="1483" t="s">
        <v>1097</v>
      </c>
      <c r="B919" s="1484"/>
      <c r="C919" s="1484"/>
      <c r="D919" s="1484"/>
      <c r="E919" s="1484"/>
      <c r="F919" s="1484"/>
      <c r="G919" s="1484"/>
      <c r="H919" s="1484"/>
      <c r="I919" s="581" t="s">
        <v>1194</v>
      </c>
      <c r="J919" s="581"/>
      <c r="K919" s="581"/>
      <c r="L919" s="581"/>
      <c r="M919" s="581"/>
      <c r="N919" s="581"/>
      <c r="O919" s="581"/>
      <c r="P919" s="581"/>
      <c r="Q919" s="581"/>
      <c r="R919" s="581"/>
      <c r="S919" s="581"/>
      <c r="T919" s="581"/>
      <c r="U919" s="581"/>
      <c r="V919" s="581"/>
      <c r="W919" s="581"/>
      <c r="X919" s="581"/>
      <c r="Y919" s="581"/>
      <c r="Z919" s="581"/>
      <c r="AA919" s="581"/>
      <c r="AB919" s="581"/>
      <c r="AC919" s="581"/>
      <c r="AD919" s="581"/>
      <c r="AE919" s="581"/>
      <c r="AF919" s="581"/>
      <c r="AG919" s="581"/>
      <c r="AH919" s="581"/>
      <c r="AI919" s="581"/>
      <c r="AJ919" s="1484" t="s">
        <v>1099</v>
      </c>
      <c r="AK919" s="1484"/>
      <c r="AL919" s="1484"/>
      <c r="AM919" s="1484"/>
      <c r="AN919" s="1484"/>
      <c r="AO919" s="1484"/>
      <c r="AP919" s="1484"/>
      <c r="AQ919" s="581" t="s">
        <v>1117</v>
      </c>
      <c r="AR919" s="581"/>
      <c r="AS919" s="581"/>
      <c r="AT919" s="581"/>
      <c r="AU919" s="581"/>
      <c r="AV919" s="581"/>
      <c r="AW919" s="581"/>
      <c r="AX919" s="581"/>
      <c r="AY919" s="581"/>
      <c r="AZ919" s="581"/>
      <c r="BA919" s="581"/>
      <c r="BB919" s="581"/>
      <c r="BC919" s="581"/>
      <c r="BD919" s="581"/>
      <c r="BE919" s="581"/>
      <c r="BF919" s="581"/>
      <c r="BG919" s="581"/>
      <c r="BH919" s="581"/>
      <c r="BI919" s="581"/>
      <c r="BJ919" s="581"/>
      <c r="BK919" s="581"/>
      <c r="BL919" s="581"/>
      <c r="BM919" s="581"/>
      <c r="BN919" s="581"/>
      <c r="BO919" s="581"/>
      <c r="BP919" s="581"/>
      <c r="BQ919" s="581"/>
      <c r="BR919" s="581"/>
      <c r="BS919" s="581"/>
      <c r="BT919" s="581" t="s">
        <v>1196</v>
      </c>
      <c r="BU919" s="581"/>
      <c r="BV919" s="581"/>
      <c r="BW919" s="581"/>
      <c r="BX919" s="581"/>
      <c r="BY919" s="581"/>
      <c r="BZ919" s="581"/>
      <c r="CA919" s="581"/>
      <c r="CB919" s="581"/>
      <c r="CC919" s="581"/>
      <c r="CD919" s="581"/>
      <c r="CE919" s="581"/>
      <c r="CF919" s="582"/>
    </row>
    <row r="920" spans="1:84" s="583" customFormat="1" ht="23.1" customHeight="1">
      <c r="A920" s="584"/>
      <c r="B920" s="585" t="s">
        <v>1102</v>
      </c>
      <c r="C920" s="585"/>
      <c r="D920" s="585"/>
      <c r="E920" s="585"/>
      <c r="F920" s="585"/>
      <c r="G920" s="585"/>
      <c r="H920" s="585"/>
      <c r="I920" s="585"/>
      <c r="J920" s="585"/>
      <c r="K920" s="585"/>
      <c r="L920" s="585"/>
      <c r="M920" s="585"/>
      <c r="N920" s="585"/>
      <c r="O920" s="585"/>
      <c r="P920" s="585"/>
      <c r="Q920" s="585"/>
      <c r="R920" s="585"/>
      <c r="S920" s="585"/>
      <c r="T920" s="585"/>
      <c r="U920" s="585"/>
      <c r="V920" s="585"/>
      <c r="W920" s="585"/>
      <c r="X920" s="585"/>
      <c r="Y920" s="585"/>
      <c r="Z920" s="585"/>
      <c r="AA920" s="585"/>
      <c r="AB920" s="585"/>
      <c r="AC920" s="585"/>
      <c r="AD920" s="585"/>
      <c r="AE920" s="585"/>
      <c r="AF920" s="585"/>
      <c r="AG920" s="585"/>
      <c r="AH920" s="585"/>
      <c r="AI920" s="585"/>
      <c r="AJ920" s="585"/>
      <c r="AK920" s="585"/>
      <c r="AL920" s="585"/>
      <c r="AM920" s="585"/>
      <c r="AN920" s="585"/>
      <c r="AO920" s="585"/>
      <c r="AP920" s="585"/>
      <c r="AQ920" s="585"/>
      <c r="AR920" s="585"/>
      <c r="AS920" s="585"/>
      <c r="AT920" s="585"/>
      <c r="AU920" s="585"/>
      <c r="AV920" s="585"/>
      <c r="AW920" s="585"/>
      <c r="AX920" s="585"/>
      <c r="AY920" s="585"/>
      <c r="AZ920" s="585"/>
      <c r="BA920" s="585"/>
      <c r="BB920" s="585"/>
      <c r="BC920" s="585"/>
      <c r="BD920" s="585"/>
      <c r="BE920" s="585"/>
      <c r="BF920" s="585"/>
      <c r="BG920" s="585"/>
      <c r="BH920" s="585"/>
      <c r="BI920" s="585"/>
      <c r="BJ920" s="585"/>
      <c r="BK920" s="585"/>
      <c r="BL920" s="585"/>
      <c r="BM920" s="585"/>
      <c r="BN920" s="585"/>
      <c r="BO920" s="585"/>
      <c r="BP920" s="585"/>
      <c r="BQ920" s="585"/>
      <c r="BR920" s="585"/>
      <c r="BS920" s="585"/>
      <c r="BT920" s="585"/>
      <c r="BU920" s="585"/>
      <c r="BV920" s="585"/>
      <c r="BW920" s="585"/>
      <c r="BX920" s="585"/>
      <c r="BY920" s="585"/>
      <c r="BZ920" s="585"/>
      <c r="CA920" s="585"/>
      <c r="CB920" s="585"/>
      <c r="CC920" s="585"/>
      <c r="CD920" s="585"/>
      <c r="CE920" s="585"/>
      <c r="CF920" s="586"/>
    </row>
    <row r="921" spans="1:84" s="583" customFormat="1" ht="23.1" customHeight="1">
      <c r="A921" s="587"/>
      <c r="B921" s="574"/>
      <c r="C921" s="574"/>
      <c r="D921" s="405"/>
      <c r="E921" s="574"/>
      <c r="F921" s="422"/>
      <c r="G921" s="422"/>
      <c r="H921" s="422"/>
      <c r="I921" s="422"/>
      <c r="J921" s="422"/>
      <c r="K921" s="422"/>
      <c r="L921" s="422"/>
      <c r="M921" s="422"/>
      <c r="N921" s="574"/>
      <c r="O921" s="574"/>
      <c r="P921" s="574"/>
      <c r="Q921" s="574"/>
      <c r="R921" s="574"/>
      <c r="S921" s="588"/>
      <c r="T921" s="588"/>
      <c r="U921" s="588"/>
      <c r="V921" s="588"/>
      <c r="W921" s="588"/>
      <c r="X921" s="588"/>
      <c r="Y921" s="588"/>
      <c r="Z921" s="588"/>
      <c r="AA921" s="574"/>
      <c r="AB921" s="588"/>
      <c r="AC921" s="585"/>
      <c r="AD921" s="585"/>
      <c r="AE921" s="600"/>
      <c r="AF921" s="600"/>
      <c r="AG921" s="600"/>
      <c r="AH921" s="600"/>
      <c r="AI921" s="600"/>
      <c r="AJ921" s="600"/>
      <c r="AK921" s="600"/>
      <c r="AL921" s="600"/>
      <c r="AM921" s="585"/>
      <c r="AN921" s="585"/>
      <c r="AO921" s="574"/>
      <c r="AP921" s="430"/>
      <c r="AQ921" s="430"/>
      <c r="AR921" s="430"/>
      <c r="AS921" s="430"/>
      <c r="AT921" s="430"/>
      <c r="AU921" s="430"/>
      <c r="AV921" s="430"/>
      <c r="AW921" s="430"/>
      <c r="AX921" s="430"/>
      <c r="AY921" s="430"/>
      <c r="AZ921" s="430"/>
      <c r="BA921" s="430"/>
      <c r="BB921" s="430"/>
      <c r="BC921" s="430"/>
      <c r="BD921" s="574"/>
      <c r="BE921" s="574"/>
      <c r="BF921" s="574"/>
      <c r="BG921" s="574"/>
      <c r="BH921" s="574"/>
      <c r="BI921" s="574"/>
      <c r="BJ921" s="574"/>
      <c r="BK921" s="574"/>
      <c r="BL921" s="574"/>
      <c r="BM921" s="574"/>
      <c r="BN921" s="574"/>
      <c r="BO921" s="574"/>
      <c r="BP921" s="574"/>
      <c r="BQ921" s="574"/>
      <c r="BR921" s="574"/>
      <c r="BS921" s="574"/>
      <c r="BT921" s="574"/>
      <c r="BU921" s="574"/>
      <c r="BV921" s="574"/>
      <c r="BW921" s="574"/>
      <c r="BX921" s="574"/>
      <c r="BY921" s="574"/>
      <c r="BZ921" s="574"/>
      <c r="CA921" s="574"/>
      <c r="CB921" s="574"/>
      <c r="CC921" s="574"/>
      <c r="CD921" s="574"/>
      <c r="CE921" s="574"/>
      <c r="CF921" s="589"/>
    </row>
    <row r="922" spans="1:84" s="583" customFormat="1" ht="23.1" customHeight="1">
      <c r="A922" s="584"/>
      <c r="B922" s="585"/>
      <c r="C922" s="585"/>
      <c r="D922" s="585"/>
      <c r="E922" s="585"/>
      <c r="F922" s="585"/>
      <c r="G922" s="585"/>
      <c r="H922" s="585"/>
      <c r="I922" s="585"/>
      <c r="J922" s="585"/>
      <c r="K922" s="585"/>
      <c r="L922" s="585"/>
      <c r="M922" s="585"/>
      <c r="N922" s="585"/>
      <c r="O922" s="585"/>
      <c r="P922" s="585"/>
      <c r="Q922" s="585"/>
      <c r="R922" s="585"/>
      <c r="S922" s="585"/>
      <c r="T922" s="585"/>
      <c r="U922" s="585"/>
      <c r="V922" s="590"/>
      <c r="W922" s="590"/>
      <c r="X922" s="590"/>
      <c r="Y922" s="590"/>
      <c r="Z922" s="590"/>
      <c r="AA922" s="590"/>
      <c r="AB922" s="590"/>
      <c r="AC922" s="590"/>
      <c r="AD922" s="574"/>
      <c r="AE922" s="1440">
        <v>187184000</v>
      </c>
      <c r="AF922" s="1440"/>
      <c r="AG922" s="1440"/>
      <c r="AH922" s="1440"/>
      <c r="AI922" s="1440"/>
      <c r="AJ922" s="1440"/>
      <c r="AK922" s="1440"/>
      <c r="AL922" s="1440"/>
      <c r="AM922" s="1440"/>
      <c r="AN922" s="1440"/>
      <c r="AO922" s="1440"/>
      <c r="AP922" s="1440"/>
      <c r="AQ922" s="1440"/>
      <c r="AR922" s="1440"/>
      <c r="AS922" s="1440"/>
      <c r="AT922" s="1431" t="s">
        <v>446</v>
      </c>
      <c r="AU922" s="1431"/>
      <c r="AV922" s="1441" t="s">
        <v>1103</v>
      </c>
      <c r="AW922" s="1441"/>
      <c r="AX922" s="1442">
        <v>2298</v>
      </c>
      <c r="AY922" s="1442"/>
      <c r="AZ922" s="1442"/>
      <c r="BA922" s="1442"/>
      <c r="BB922" s="1442"/>
      <c r="BC922" s="1442"/>
      <c r="BD922" s="585"/>
      <c r="BE922" s="1431" t="s">
        <v>446</v>
      </c>
      <c r="BF922" s="1431"/>
      <c r="BG922" s="585"/>
      <c r="BH922" s="591" t="s">
        <v>1104</v>
      </c>
      <c r="BI922" s="585"/>
      <c r="BJ922" s="585"/>
      <c r="BK922" s="585"/>
      <c r="BL922" s="1431" t="s">
        <v>1105</v>
      </c>
      <c r="BM922" s="1431"/>
      <c r="BN922" s="1431"/>
      <c r="BO922" s="585"/>
      <c r="BP922" s="1431" t="s">
        <v>41</v>
      </c>
      <c r="BQ922" s="1431"/>
      <c r="BR922" s="585"/>
      <c r="BS922" s="585"/>
      <c r="BT922" s="1437">
        <f>INT(AE922*AX922*10^-7)</f>
        <v>43014</v>
      </c>
      <c r="BU922" s="1437"/>
      <c r="BV922" s="1437"/>
      <c r="BW922" s="1437"/>
      <c r="BX922" s="1437"/>
      <c r="BY922" s="1437"/>
      <c r="BZ922" s="1437"/>
      <c r="CA922" s="1437"/>
      <c r="CB922" s="1437"/>
      <c r="CC922" s="1437"/>
      <c r="CD922" s="585"/>
      <c r="CE922" s="585"/>
      <c r="CF922" s="586"/>
    </row>
    <row r="923" spans="1:84" s="583" customFormat="1" ht="23.1" customHeight="1">
      <c r="A923" s="592"/>
      <c r="B923" s="593" t="s">
        <v>1106</v>
      </c>
      <c r="C923" s="593"/>
      <c r="D923" s="593"/>
      <c r="E923" s="593"/>
      <c r="F923" s="593"/>
      <c r="G923" s="593"/>
      <c r="H923" s="593"/>
      <c r="I923" s="593"/>
      <c r="J923" s="593"/>
      <c r="K923" s="593"/>
      <c r="L923" s="593"/>
      <c r="M923" s="593"/>
      <c r="N923" s="593"/>
      <c r="O923" s="593"/>
      <c r="P923" s="593"/>
      <c r="Q923" s="593"/>
      <c r="R923" s="593"/>
      <c r="S923" s="593"/>
      <c r="T923" s="593"/>
      <c r="U923" s="593"/>
      <c r="V923" s="593"/>
      <c r="W923" s="593"/>
      <c r="X923" s="593"/>
      <c r="Y923" s="593"/>
      <c r="Z923" s="593"/>
      <c r="AA923" s="593"/>
      <c r="AB923" s="593"/>
      <c r="AC923" s="593"/>
      <c r="AD923" s="593"/>
      <c r="AE923" s="593"/>
      <c r="AF923" s="593"/>
      <c r="AG923" s="593"/>
      <c r="AH923" s="593"/>
      <c r="AI923" s="593"/>
      <c r="AJ923" s="593"/>
      <c r="AK923" s="593"/>
      <c r="AL923" s="593"/>
      <c r="AM923" s="593"/>
      <c r="AN923" s="593"/>
      <c r="AO923" s="593"/>
      <c r="AP923" s="593"/>
      <c r="AQ923" s="593"/>
      <c r="AR923" s="593"/>
      <c r="AS923" s="593"/>
      <c r="AT923" s="593"/>
      <c r="AU923" s="593"/>
      <c r="AV923" s="593"/>
      <c r="AW923" s="593"/>
      <c r="AX923" s="593"/>
      <c r="AY923" s="593"/>
      <c r="AZ923" s="593"/>
      <c r="BA923" s="593"/>
      <c r="BB923" s="593"/>
      <c r="BC923" s="593"/>
      <c r="BD923" s="593"/>
      <c r="BE923" s="593"/>
      <c r="BF923" s="593"/>
      <c r="BG923" s="593"/>
      <c r="BH923" s="593"/>
      <c r="BI923" s="593"/>
      <c r="BJ923" s="593"/>
      <c r="BK923" s="593"/>
      <c r="BL923" s="593"/>
      <c r="BM923" s="593"/>
      <c r="BN923" s="593"/>
      <c r="BO923" s="593"/>
      <c r="BP923" s="593"/>
      <c r="BQ923" s="593"/>
      <c r="BR923" s="593"/>
      <c r="BS923" s="593"/>
      <c r="BT923" s="594"/>
      <c r="BU923" s="594"/>
      <c r="BV923" s="594"/>
      <c r="BW923" s="594"/>
      <c r="BX923" s="594"/>
      <c r="BY923" s="594"/>
      <c r="BZ923" s="594"/>
      <c r="CA923" s="594"/>
      <c r="CB923" s="594"/>
      <c r="CC923" s="594"/>
      <c r="CD923" s="593"/>
      <c r="CE923" s="593"/>
      <c r="CF923" s="595"/>
    </row>
    <row r="924" spans="1:84" s="583" customFormat="1" ht="23.1" customHeight="1">
      <c r="A924" s="584"/>
      <c r="B924" s="585"/>
      <c r="C924" s="585"/>
      <c r="D924" s="596" t="s">
        <v>268</v>
      </c>
      <c r="E924" s="585"/>
      <c r="F924" s="585"/>
      <c r="G924" s="585"/>
      <c r="H924" s="585"/>
      <c r="I924" s="585"/>
      <c r="J924" s="585"/>
      <c r="K924" s="585"/>
      <c r="L924" s="585"/>
      <c r="M924" s="585"/>
      <c r="N924" s="585"/>
      <c r="O924" s="585"/>
      <c r="P924" s="585"/>
      <c r="Q924" s="585"/>
      <c r="R924" s="585"/>
      <c r="S924" s="585"/>
      <c r="T924" s="574"/>
      <c r="U924" s="574"/>
      <c r="V924" s="1435">
        <f>HLOOKUP(D924,$CJ$1:$CM$3,3,0)</f>
        <v>283297</v>
      </c>
      <c r="W924" s="1435"/>
      <c r="X924" s="1435"/>
      <c r="Y924" s="1435"/>
      <c r="Z924" s="1435"/>
      <c r="AA924" s="1435"/>
      <c r="AB924" s="1435"/>
      <c r="AC924" s="1435"/>
      <c r="AD924" s="1435"/>
      <c r="AE924" s="1435"/>
      <c r="AF924" s="1431" t="s">
        <v>446</v>
      </c>
      <c r="AG924" s="1431"/>
      <c r="AH924" s="574"/>
      <c r="AI924" s="1436" t="s">
        <v>1107</v>
      </c>
      <c r="AJ924" s="1436"/>
      <c r="AK924" s="1436"/>
      <c r="AL924" s="1436"/>
      <c r="AM924" s="585"/>
      <c r="AN924" s="1431" t="s">
        <v>446</v>
      </c>
      <c r="AO924" s="1431"/>
      <c r="AP924" s="585"/>
      <c r="AQ924" s="1436" t="s">
        <v>1108</v>
      </c>
      <c r="AR924" s="1436"/>
      <c r="AS924" s="1436"/>
      <c r="AT924" s="1436"/>
      <c r="AU924" s="1436"/>
      <c r="AV924" s="422"/>
      <c r="AW924" s="1431" t="s">
        <v>446</v>
      </c>
      <c r="AX924" s="1431"/>
      <c r="AY924" s="440"/>
      <c r="AZ924" s="1436" t="s">
        <v>1109</v>
      </c>
      <c r="BA924" s="1436"/>
      <c r="BB924" s="1436"/>
      <c r="BC924" s="1436"/>
      <c r="BD924" s="1436"/>
      <c r="BE924" s="585"/>
      <c r="BF924" s="1431" t="s">
        <v>446</v>
      </c>
      <c r="BG924" s="1431"/>
      <c r="BH924" s="1431">
        <v>1</v>
      </c>
      <c r="BI924" s="1431"/>
      <c r="BJ924" s="1431"/>
      <c r="BK924" s="585"/>
      <c r="BL924" s="585" t="s">
        <v>366</v>
      </c>
      <c r="BM924" s="585"/>
      <c r="BN924" s="585"/>
      <c r="BO924" s="585"/>
      <c r="BP924" s="1431" t="s">
        <v>41</v>
      </c>
      <c r="BQ924" s="1431"/>
      <c r="BR924" s="585"/>
      <c r="BS924" s="585"/>
      <c r="BT924" s="1432">
        <f>INT(V924/8*16/12*25/20*BH924)</f>
        <v>59020</v>
      </c>
      <c r="BU924" s="1432"/>
      <c r="BV924" s="1432"/>
      <c r="BW924" s="1432"/>
      <c r="BX924" s="1432"/>
      <c r="BY924" s="1432"/>
      <c r="BZ924" s="1432"/>
      <c r="CA924" s="1432"/>
      <c r="CB924" s="1432"/>
      <c r="CC924" s="1432"/>
      <c r="CD924" s="585"/>
      <c r="CE924" s="585"/>
      <c r="CF924" s="586"/>
    </row>
    <row r="925" spans="1:84" s="583" customFormat="1" ht="23.1" customHeight="1">
      <c r="A925" s="584"/>
      <c r="B925" s="585"/>
      <c r="C925" s="585"/>
      <c r="D925" s="585"/>
      <c r="E925" s="585"/>
      <c r="F925" s="585"/>
      <c r="G925" s="585"/>
      <c r="H925" s="585"/>
      <c r="I925" s="585"/>
      <c r="J925" s="585"/>
      <c r="K925" s="585"/>
      <c r="L925" s="585"/>
      <c r="M925" s="585"/>
      <c r="N925" s="585"/>
      <c r="O925" s="585"/>
      <c r="P925" s="574"/>
      <c r="Q925" s="574"/>
      <c r="R925" s="574"/>
      <c r="S925" s="574"/>
      <c r="T925" s="574"/>
      <c r="U925" s="574"/>
      <c r="V925" s="574"/>
      <c r="W925" s="574"/>
      <c r="X925" s="574"/>
      <c r="Y925" s="574"/>
      <c r="Z925" s="574"/>
      <c r="AA925" s="574"/>
      <c r="AB925" s="574"/>
      <c r="AC925" s="574"/>
      <c r="AD925" s="574"/>
      <c r="AE925" s="574"/>
      <c r="AF925" s="574"/>
      <c r="AG925" s="574"/>
      <c r="AH925" s="574"/>
      <c r="AI925" s="574"/>
      <c r="AJ925" s="574"/>
      <c r="AK925" s="574"/>
      <c r="AL925" s="574"/>
      <c r="AM925" s="574"/>
      <c r="AN925" s="574"/>
      <c r="AO925" s="574"/>
      <c r="AP925" s="574"/>
      <c r="AQ925" s="574"/>
      <c r="AR925" s="574"/>
      <c r="AS925" s="574"/>
      <c r="AT925" s="574"/>
      <c r="AU925" s="574"/>
      <c r="AV925" s="574"/>
      <c r="AW925" s="574"/>
      <c r="AX925" s="574"/>
      <c r="AY925" s="574"/>
      <c r="AZ925" s="574"/>
      <c r="BA925" s="574"/>
      <c r="BB925" s="574"/>
      <c r="BC925" s="574"/>
      <c r="BD925" s="574"/>
      <c r="BE925" s="574"/>
      <c r="BF925" s="574"/>
      <c r="BG925" s="585"/>
      <c r="BH925" s="585"/>
      <c r="BI925" s="585"/>
      <c r="BJ925" s="585"/>
      <c r="BK925" s="585"/>
      <c r="BL925" s="585"/>
      <c r="BM925" s="585"/>
      <c r="BN925" s="585"/>
      <c r="BO925" s="585"/>
      <c r="BP925" s="1431"/>
      <c r="BQ925" s="1431"/>
      <c r="BR925" s="585"/>
      <c r="BS925" s="585"/>
      <c r="BT925" s="1432"/>
      <c r="BU925" s="1432"/>
      <c r="BV925" s="1432"/>
      <c r="BW925" s="1432"/>
      <c r="BX925" s="1432"/>
      <c r="BY925" s="1432"/>
      <c r="BZ925" s="1432"/>
      <c r="CA925" s="1432"/>
      <c r="CB925" s="1432"/>
      <c r="CC925" s="1432"/>
      <c r="CD925" s="585"/>
      <c r="CE925" s="585"/>
      <c r="CF925" s="586"/>
    </row>
    <row r="926" spans="1:84" s="583" customFormat="1" ht="23.1" customHeight="1">
      <c r="A926" s="584"/>
      <c r="B926" s="585"/>
      <c r="C926" s="585"/>
      <c r="D926" s="585"/>
      <c r="E926" s="585"/>
      <c r="F926" s="585"/>
      <c r="G926" s="585"/>
      <c r="H926" s="585"/>
      <c r="I926" s="585"/>
      <c r="J926" s="585"/>
      <c r="K926" s="585"/>
      <c r="L926" s="585"/>
      <c r="M926" s="585"/>
      <c r="N926" s="585"/>
      <c r="O926" s="585"/>
      <c r="P926" s="585"/>
      <c r="Q926" s="585"/>
      <c r="R926" s="585"/>
      <c r="S926" s="585"/>
      <c r="T926" s="585"/>
      <c r="U926" s="585"/>
      <c r="V926" s="585"/>
      <c r="W926" s="585"/>
      <c r="X926" s="585"/>
      <c r="Y926" s="585"/>
      <c r="Z926" s="585"/>
      <c r="AA926" s="585"/>
      <c r="AB926" s="585"/>
      <c r="AC926" s="585"/>
      <c r="AD926" s="574"/>
      <c r="AE926" s="574"/>
      <c r="AF926" s="574"/>
      <c r="AG926" s="574"/>
      <c r="AH926" s="574"/>
      <c r="AI926" s="574"/>
      <c r="AJ926" s="574"/>
      <c r="AK926" s="574"/>
      <c r="AL926" s="574"/>
      <c r="AM926" s="574"/>
      <c r="AN926" s="574"/>
      <c r="AO926" s="574"/>
      <c r="AP926" s="574"/>
      <c r="AQ926" s="574"/>
      <c r="AR926" s="574"/>
      <c r="AS926" s="585"/>
      <c r="AT926" s="590"/>
      <c r="AU926" s="590"/>
      <c r="AV926" s="585"/>
      <c r="AW926" s="585"/>
      <c r="AX926" s="585"/>
      <c r="AY926" s="585"/>
      <c r="AZ926" s="585"/>
      <c r="BA926" s="585"/>
      <c r="BB926" s="585"/>
      <c r="BC926" s="585"/>
      <c r="BD926" s="585"/>
      <c r="BE926" s="585"/>
      <c r="BF926" s="585"/>
      <c r="BG926" s="585"/>
      <c r="BH926" s="585"/>
      <c r="BI926" s="585"/>
      <c r="BJ926" s="585"/>
      <c r="BK926" s="585"/>
      <c r="BL926" s="585"/>
      <c r="BM926" s="585"/>
      <c r="BN926" s="585"/>
      <c r="BO926" s="585"/>
      <c r="BP926" s="1431" t="s">
        <v>41</v>
      </c>
      <c r="BQ926" s="1431"/>
      <c r="BR926" s="585"/>
      <c r="BS926" s="585"/>
      <c r="BT926" s="1434">
        <f>BT924+BT925</f>
        <v>59020</v>
      </c>
      <c r="BU926" s="1434"/>
      <c r="BV926" s="1434"/>
      <c r="BW926" s="1434"/>
      <c r="BX926" s="1434"/>
      <c r="BY926" s="1434"/>
      <c r="BZ926" s="1434"/>
      <c r="CA926" s="1434"/>
      <c r="CB926" s="1434"/>
      <c r="CC926" s="1434"/>
      <c r="CD926" s="585"/>
      <c r="CE926" s="585"/>
      <c r="CF926" s="586"/>
    </row>
    <row r="927" spans="1:84" s="583" customFormat="1" ht="23.1" customHeight="1">
      <c r="A927" s="592"/>
      <c r="B927" s="593" t="s">
        <v>1110</v>
      </c>
      <c r="C927" s="593"/>
      <c r="D927" s="593"/>
      <c r="E927" s="593"/>
      <c r="F927" s="593"/>
      <c r="G927" s="593"/>
      <c r="H927" s="593"/>
      <c r="I927" s="593"/>
      <c r="J927" s="593"/>
      <c r="K927" s="593"/>
      <c r="L927" s="593"/>
      <c r="M927" s="593"/>
      <c r="N927" s="593"/>
      <c r="O927" s="593"/>
      <c r="P927" s="593"/>
      <c r="Q927" s="593"/>
      <c r="R927" s="593"/>
      <c r="S927" s="593"/>
      <c r="T927" s="593"/>
      <c r="U927" s="593"/>
      <c r="V927" s="593"/>
      <c r="W927" s="593"/>
      <c r="X927" s="593"/>
      <c r="Y927" s="593"/>
      <c r="Z927" s="593"/>
      <c r="AA927" s="593"/>
      <c r="AB927" s="593"/>
      <c r="AC927" s="593"/>
      <c r="AD927" s="593"/>
      <c r="AE927" s="593"/>
      <c r="AF927" s="593"/>
      <c r="AG927" s="593"/>
      <c r="AH927" s="593"/>
      <c r="AI927" s="593"/>
      <c r="AJ927" s="593"/>
      <c r="AK927" s="593"/>
      <c r="AL927" s="593"/>
      <c r="AM927" s="593"/>
      <c r="AN927" s="593"/>
      <c r="AO927" s="593"/>
      <c r="AP927" s="593"/>
      <c r="AQ927" s="593"/>
      <c r="AR927" s="593"/>
      <c r="AS927" s="593"/>
      <c r="AT927" s="593"/>
      <c r="AU927" s="593"/>
      <c r="AV927" s="593"/>
      <c r="AW927" s="593"/>
      <c r="AX927" s="593"/>
      <c r="AY927" s="593"/>
      <c r="AZ927" s="593"/>
      <c r="BA927" s="593"/>
      <c r="BB927" s="593"/>
      <c r="BC927" s="593"/>
      <c r="BD927" s="593"/>
      <c r="BE927" s="593"/>
      <c r="BF927" s="593"/>
      <c r="BG927" s="593"/>
      <c r="BH927" s="593"/>
      <c r="BI927" s="593"/>
      <c r="BJ927" s="593"/>
      <c r="BK927" s="593"/>
      <c r="BL927" s="593"/>
      <c r="BM927" s="593"/>
      <c r="BN927" s="593"/>
      <c r="BO927" s="593"/>
      <c r="BP927" s="593"/>
      <c r="BQ927" s="593"/>
      <c r="BR927" s="593"/>
      <c r="BS927" s="593"/>
      <c r="BT927" s="593"/>
      <c r="BU927" s="593"/>
      <c r="BV927" s="593"/>
      <c r="BW927" s="593"/>
      <c r="BX927" s="593"/>
      <c r="BY927" s="593"/>
      <c r="BZ927" s="593"/>
      <c r="CA927" s="593"/>
      <c r="CB927" s="593"/>
      <c r="CC927" s="593"/>
      <c r="CD927" s="593"/>
      <c r="CE927" s="593"/>
      <c r="CF927" s="595"/>
    </row>
    <row r="928" spans="1:84" s="583" customFormat="1" ht="23.1" customHeight="1">
      <c r="A928" s="584"/>
      <c r="B928" s="585"/>
      <c r="C928" s="585"/>
      <c r="D928" s="596" t="s">
        <v>1094</v>
      </c>
      <c r="E928" s="585"/>
      <c r="F928" s="585"/>
      <c r="G928" s="585"/>
      <c r="H928" s="585"/>
      <c r="I928" s="585"/>
      <c r="J928" s="585"/>
      <c r="K928" s="585"/>
      <c r="L928" s="585"/>
      <c r="M928" s="585"/>
      <c r="N928" s="585"/>
      <c r="O928" s="585"/>
      <c r="P928" s="585"/>
      <c r="Q928" s="585"/>
      <c r="R928" s="585"/>
      <c r="S928" s="585"/>
      <c r="T928" s="585"/>
      <c r="U928" s="585"/>
      <c r="V928" s="585"/>
      <c r="W928" s="585"/>
      <c r="X928" s="585"/>
      <c r="Y928" s="585"/>
      <c r="Z928" s="585"/>
      <c r="AA928" s="585"/>
      <c r="AB928" s="585"/>
      <c r="AC928" s="585"/>
      <c r="AD928" s="585"/>
      <c r="AE928" s="585"/>
      <c r="AF928" s="585"/>
      <c r="AG928" s="585"/>
      <c r="AH928" s="585"/>
      <c r="AI928" s="585"/>
      <c r="AJ928" s="585"/>
      <c r="AK928" s="585"/>
      <c r="AL928" s="585"/>
      <c r="AM928" s="585"/>
      <c r="AN928" s="585"/>
      <c r="AO928" s="585"/>
      <c r="AP928" s="585"/>
      <c r="AQ928" s="585"/>
      <c r="AR928" s="422"/>
      <c r="AS928" s="1435" t="e">
        <f>HLOOKUP(D928,$CN$1:$CO$3,3,0)</f>
        <v>#REF!</v>
      </c>
      <c r="AT928" s="1435"/>
      <c r="AU928" s="1435"/>
      <c r="AV928" s="1435"/>
      <c r="AW928" s="1435"/>
      <c r="AX928" s="1435"/>
      <c r="AY928" s="1435"/>
      <c r="AZ928" s="1435"/>
      <c r="BA928" s="1435"/>
      <c r="BB928" s="1435"/>
      <c r="BC928" s="585"/>
      <c r="BD928" s="1431" t="s">
        <v>446</v>
      </c>
      <c r="BE928" s="1431"/>
      <c r="BF928" s="585"/>
      <c r="BG928" s="1431">
        <v>4.7</v>
      </c>
      <c r="BH928" s="1431"/>
      <c r="BI928" s="1431"/>
      <c r="BJ928" s="1431"/>
      <c r="BK928" s="1431"/>
      <c r="BL928" s="585" t="s">
        <v>1111</v>
      </c>
      <c r="BM928" s="585"/>
      <c r="BN928" s="585"/>
      <c r="BO928" s="585"/>
      <c r="BP928" s="1431" t="s">
        <v>41</v>
      </c>
      <c r="BQ928" s="1431"/>
      <c r="BR928" s="585"/>
      <c r="BS928" s="585"/>
      <c r="BT928" s="1432" t="e">
        <f>INT(AS928*BG928)</f>
        <v>#REF!</v>
      </c>
      <c r="BU928" s="1432"/>
      <c r="BV928" s="1432"/>
      <c r="BW928" s="1432"/>
      <c r="BX928" s="1432"/>
      <c r="BY928" s="1432"/>
      <c r="BZ928" s="1432"/>
      <c r="CA928" s="1432"/>
      <c r="CB928" s="1432"/>
      <c r="CC928" s="1432"/>
      <c r="CD928" s="585"/>
      <c r="CE928" s="585"/>
      <c r="CF928" s="586"/>
    </row>
    <row r="929" spans="1:84" s="583" customFormat="1" ht="23.1" customHeight="1">
      <c r="A929" s="584"/>
      <c r="B929" s="585"/>
      <c r="C929" s="585"/>
      <c r="D929" s="591" t="str">
        <f>"잡재료 (주연료의 "&amp;BG929&amp;"%) :"</f>
        <v>잡재료 (주연료의 39%) :</v>
      </c>
      <c r="E929" s="585"/>
      <c r="F929" s="585"/>
      <c r="G929" s="585"/>
      <c r="H929" s="585"/>
      <c r="I929" s="585"/>
      <c r="J929" s="585"/>
      <c r="K929" s="585"/>
      <c r="L929" s="585"/>
      <c r="M929" s="585"/>
      <c r="N929" s="585"/>
      <c r="O929" s="585"/>
      <c r="P929" s="585"/>
      <c r="Q929" s="585"/>
      <c r="R929" s="585"/>
      <c r="S929" s="585"/>
      <c r="T929" s="585"/>
      <c r="U929" s="585"/>
      <c r="V929" s="585"/>
      <c r="W929" s="585"/>
      <c r="X929" s="585"/>
      <c r="Y929" s="585"/>
      <c r="Z929" s="585"/>
      <c r="AA929" s="585"/>
      <c r="AB929" s="585"/>
      <c r="AC929" s="585"/>
      <c r="AD929" s="585"/>
      <c r="AE929" s="585"/>
      <c r="AF929" s="585"/>
      <c r="AG929" s="585"/>
      <c r="AH929" s="585"/>
      <c r="AI929" s="585"/>
      <c r="AJ929" s="585"/>
      <c r="AK929" s="585"/>
      <c r="AL929" s="585"/>
      <c r="AM929" s="585"/>
      <c r="AN929" s="585"/>
      <c r="AO929" s="585"/>
      <c r="AP929" s="585"/>
      <c r="AQ929" s="585"/>
      <c r="AR929" s="422" t="e">
        <f>BT928</f>
        <v>#REF!</v>
      </c>
      <c r="AS929" s="1430" t="e">
        <f>BT928</f>
        <v>#REF!</v>
      </c>
      <c r="AT929" s="1430"/>
      <c r="AU929" s="1430"/>
      <c r="AV929" s="1430"/>
      <c r="AW929" s="1430"/>
      <c r="AX929" s="1430"/>
      <c r="AY929" s="1430"/>
      <c r="AZ929" s="1430"/>
      <c r="BA929" s="1430"/>
      <c r="BB929" s="1430"/>
      <c r="BC929" s="585"/>
      <c r="BD929" s="1431" t="s">
        <v>446</v>
      </c>
      <c r="BE929" s="1431"/>
      <c r="BF929" s="585"/>
      <c r="BG929" s="1431">
        <v>39</v>
      </c>
      <c r="BH929" s="1431"/>
      <c r="BI929" s="1431"/>
      <c r="BJ929" s="1431"/>
      <c r="BK929" s="1431"/>
      <c r="BL929" s="585" t="s">
        <v>1112</v>
      </c>
      <c r="BM929" s="585"/>
      <c r="BN929" s="585"/>
      <c r="BO929" s="585"/>
      <c r="BP929" s="1431" t="s">
        <v>41</v>
      </c>
      <c r="BQ929" s="1431"/>
      <c r="BR929" s="585"/>
      <c r="BS929" s="585"/>
      <c r="BT929" s="1432" t="e">
        <f>INT(AS929*BG929/100)</f>
        <v>#REF!</v>
      </c>
      <c r="BU929" s="1432"/>
      <c r="BV929" s="1432"/>
      <c r="BW929" s="1432"/>
      <c r="BX929" s="1432"/>
      <c r="BY929" s="1432"/>
      <c r="BZ929" s="1432"/>
      <c r="CA929" s="1432"/>
      <c r="CB929" s="1432"/>
      <c r="CC929" s="1432"/>
      <c r="CD929" s="585"/>
      <c r="CE929" s="585"/>
      <c r="CF929" s="586"/>
    </row>
    <row r="930" spans="1:84" s="583" customFormat="1" ht="23.1" customHeight="1" thickBot="1">
      <c r="A930" s="584"/>
      <c r="B930" s="585"/>
      <c r="C930" s="585"/>
      <c r="D930" s="585"/>
      <c r="E930" s="585"/>
      <c r="F930" s="585"/>
      <c r="G930" s="585"/>
      <c r="H930" s="585"/>
      <c r="I930" s="585"/>
      <c r="J930" s="585"/>
      <c r="K930" s="585"/>
      <c r="L930" s="585"/>
      <c r="M930" s="585"/>
      <c r="N930" s="585"/>
      <c r="O930" s="585"/>
      <c r="P930" s="585"/>
      <c r="Q930" s="585"/>
      <c r="R930" s="585"/>
      <c r="S930" s="585"/>
      <c r="T930" s="585"/>
      <c r="U930" s="585"/>
      <c r="V930" s="585"/>
      <c r="W930" s="585"/>
      <c r="X930" s="585"/>
      <c r="Y930" s="585"/>
      <c r="Z930" s="585"/>
      <c r="AA930" s="585"/>
      <c r="AB930" s="585"/>
      <c r="AC930" s="585"/>
      <c r="AD930" s="585"/>
      <c r="AE930" s="585"/>
      <c r="AF930" s="585"/>
      <c r="AG930" s="585"/>
      <c r="AH930" s="585"/>
      <c r="AI930" s="585"/>
      <c r="AJ930" s="585"/>
      <c r="AK930" s="585"/>
      <c r="AL930" s="585"/>
      <c r="AM930" s="585"/>
      <c r="AN930" s="585"/>
      <c r="AO930" s="585"/>
      <c r="AP930" s="585"/>
      <c r="AQ930" s="585"/>
      <c r="AR930" s="585"/>
      <c r="AS930" s="585"/>
      <c r="AT930" s="585"/>
      <c r="AU930" s="585"/>
      <c r="AV930" s="585"/>
      <c r="AW930" s="585"/>
      <c r="AX930" s="585"/>
      <c r="AY930" s="585"/>
      <c r="AZ930" s="585"/>
      <c r="BA930" s="585"/>
      <c r="BB930" s="585"/>
      <c r="BC930" s="585"/>
      <c r="BD930" s="585"/>
      <c r="BE930" s="585"/>
      <c r="BF930" s="585"/>
      <c r="BG930" s="585"/>
      <c r="BH930" s="585"/>
      <c r="BI930" s="585"/>
      <c r="BJ930" s="585"/>
      <c r="BK930" s="585"/>
      <c r="BL930" s="585"/>
      <c r="BM930" s="585"/>
      <c r="BN930" s="585"/>
      <c r="BO930" s="585"/>
      <c r="BP930" s="1431" t="s">
        <v>41</v>
      </c>
      <c r="BQ930" s="1431"/>
      <c r="BR930" s="585"/>
      <c r="BS930" s="585"/>
      <c r="BT930" s="1433" t="e">
        <f>BT928+BT929</f>
        <v>#REF!</v>
      </c>
      <c r="BU930" s="1433"/>
      <c r="BV930" s="1433"/>
      <c r="BW930" s="1433"/>
      <c r="BX930" s="1433"/>
      <c r="BY930" s="1433"/>
      <c r="BZ930" s="1433"/>
      <c r="CA930" s="1433"/>
      <c r="CB930" s="1433"/>
      <c r="CC930" s="1433"/>
      <c r="CD930" s="585"/>
      <c r="CE930" s="585"/>
      <c r="CF930" s="586"/>
    </row>
    <row r="931" spans="1:84" s="583" customFormat="1" ht="23.1" customHeight="1" thickBot="1">
      <c r="A931" s="597"/>
      <c r="B931" s="598" t="s">
        <v>1113</v>
      </c>
      <c r="C931" s="598"/>
      <c r="D931" s="598"/>
      <c r="E931" s="598"/>
      <c r="F931" s="598"/>
      <c r="G931" s="598"/>
      <c r="H931" s="598"/>
      <c r="I931" s="598"/>
      <c r="J931" s="598"/>
      <c r="K931" s="598"/>
      <c r="L931" s="598"/>
      <c r="M931" s="598"/>
      <c r="N931" s="598"/>
      <c r="O931" s="598"/>
      <c r="P931" s="598"/>
      <c r="Q931" s="598"/>
      <c r="R931" s="598"/>
      <c r="S931" s="598"/>
      <c r="T931" s="598"/>
      <c r="U931" s="598"/>
      <c r="V931" s="598"/>
      <c r="W931" s="598"/>
      <c r="X931" s="598"/>
      <c r="Y931" s="598"/>
      <c r="Z931" s="598"/>
      <c r="AA931" s="598"/>
      <c r="AB931" s="598"/>
      <c r="AC931" s="598"/>
      <c r="AD931" s="598"/>
      <c r="AE931" s="598"/>
      <c r="AF931" s="598"/>
      <c r="AG931" s="598"/>
      <c r="AH931" s="598"/>
      <c r="AI931" s="598"/>
      <c r="AJ931" s="598"/>
      <c r="AK931" s="598"/>
      <c r="AL931" s="598"/>
      <c r="AM931" s="598"/>
      <c r="AN931" s="598"/>
      <c r="AO931" s="598"/>
      <c r="AP931" s="598"/>
      <c r="AQ931" s="598"/>
      <c r="AR931" s="598"/>
      <c r="AS931" s="598"/>
      <c r="AT931" s="598"/>
      <c r="AU931" s="598"/>
      <c r="AV931" s="598"/>
      <c r="AW931" s="598"/>
      <c r="AX931" s="598"/>
      <c r="AY931" s="598"/>
      <c r="AZ931" s="598"/>
      <c r="BA931" s="598"/>
      <c r="BB931" s="598"/>
      <c r="BC931" s="598"/>
      <c r="BD931" s="598"/>
      <c r="BE931" s="598"/>
      <c r="BF931" s="598"/>
      <c r="BG931" s="598"/>
      <c r="BH931" s="598"/>
      <c r="BI931" s="598"/>
      <c r="BJ931" s="598"/>
      <c r="BK931" s="598"/>
      <c r="BL931" s="598"/>
      <c r="BM931" s="598"/>
      <c r="BN931" s="598"/>
      <c r="BO931" s="598"/>
      <c r="BP931" s="598"/>
      <c r="BQ931" s="598"/>
      <c r="BR931" s="598"/>
      <c r="BS931" s="598"/>
      <c r="BT931" s="1429" t="e">
        <f>BT922+BT926+BT930</f>
        <v>#REF!</v>
      </c>
      <c r="BU931" s="1429"/>
      <c r="BV931" s="1429"/>
      <c r="BW931" s="1429"/>
      <c r="BX931" s="1429"/>
      <c r="BY931" s="1429"/>
      <c r="BZ931" s="1429"/>
      <c r="CA931" s="1429"/>
      <c r="CB931" s="1429"/>
      <c r="CC931" s="1429"/>
      <c r="CD931" s="598"/>
      <c r="CE931" s="598"/>
      <c r="CF931" s="599"/>
    </row>
    <row r="932" spans="1:84" s="583" customFormat="1" ht="9.9499999999999993" customHeight="1">
      <c r="A932" s="574"/>
      <c r="B932" s="574"/>
      <c r="C932" s="574"/>
      <c r="D932" s="574"/>
      <c r="E932" s="574"/>
      <c r="F932" s="574"/>
      <c r="G932" s="574"/>
      <c r="H932" s="574"/>
      <c r="I932" s="574"/>
      <c r="J932" s="574"/>
      <c r="K932" s="574"/>
      <c r="L932" s="574"/>
      <c r="M932" s="574"/>
      <c r="N932" s="574"/>
      <c r="O932" s="574"/>
      <c r="P932" s="574"/>
      <c r="Q932" s="574"/>
      <c r="R932" s="574"/>
      <c r="S932" s="574"/>
      <c r="T932" s="574"/>
      <c r="U932" s="574"/>
      <c r="V932" s="574"/>
      <c r="W932" s="574"/>
      <c r="X932" s="574"/>
      <c r="Y932" s="574"/>
      <c r="Z932" s="574"/>
      <c r="AA932" s="574"/>
      <c r="AB932" s="574"/>
      <c r="AC932" s="574"/>
      <c r="AD932" s="574"/>
      <c r="AE932" s="574"/>
      <c r="AF932" s="574"/>
      <c r="AG932" s="574"/>
      <c r="AH932" s="574"/>
      <c r="AI932" s="574"/>
      <c r="AJ932" s="574"/>
      <c r="AK932" s="574"/>
      <c r="AL932" s="574"/>
      <c r="AM932" s="574"/>
      <c r="AN932" s="574"/>
      <c r="AO932" s="574"/>
      <c r="AP932" s="574"/>
      <c r="AQ932" s="574"/>
      <c r="AR932" s="574"/>
      <c r="AS932" s="574"/>
      <c r="AT932" s="574"/>
      <c r="AU932" s="574"/>
      <c r="AV932" s="574"/>
      <c r="AW932" s="574"/>
      <c r="AX932" s="574"/>
      <c r="AY932" s="574"/>
      <c r="AZ932" s="574"/>
      <c r="BA932" s="574"/>
      <c r="BB932" s="574"/>
      <c r="BC932" s="574"/>
      <c r="BD932" s="574"/>
      <c r="BE932" s="574"/>
      <c r="BF932" s="574"/>
      <c r="BG932" s="574"/>
      <c r="BH932" s="574"/>
      <c r="BI932" s="574"/>
      <c r="BJ932" s="574"/>
      <c r="BK932" s="574"/>
      <c r="BL932" s="574"/>
      <c r="BM932" s="574"/>
      <c r="BN932" s="574"/>
      <c r="BO932" s="574"/>
      <c r="BP932" s="574"/>
      <c r="BQ932" s="574"/>
      <c r="BR932" s="574"/>
      <c r="BS932" s="574"/>
      <c r="BT932" s="574"/>
      <c r="BU932" s="574"/>
      <c r="BV932" s="574"/>
      <c r="BW932" s="574"/>
      <c r="BX932" s="574"/>
      <c r="BY932" s="574"/>
      <c r="BZ932" s="574"/>
      <c r="CA932" s="574"/>
      <c r="CB932" s="574"/>
      <c r="CC932" s="574"/>
      <c r="CD932" s="574"/>
      <c r="CE932" s="574"/>
      <c r="CF932" s="574"/>
    </row>
    <row r="933" spans="1:84" s="583" customFormat="1" ht="23.1" customHeight="1" thickBot="1">
      <c r="A933" s="1446" t="s">
        <v>1095</v>
      </c>
      <c r="B933" s="1446"/>
      <c r="C933" s="1446"/>
      <c r="D933" s="1446"/>
      <c r="E933" s="1446"/>
      <c r="F933" s="1446"/>
      <c r="G933" s="1447">
        <f>G918+1</f>
        <v>63</v>
      </c>
      <c r="H933" s="1447"/>
      <c r="I933" s="1447"/>
      <c r="J933" s="1448" t="s">
        <v>1096</v>
      </c>
      <c r="K933" s="1448"/>
      <c r="L933" s="574"/>
      <c r="M933" s="574"/>
      <c r="N933" s="574"/>
      <c r="O933" s="574"/>
      <c r="P933" s="574"/>
      <c r="Q933" s="574"/>
      <c r="R933" s="574"/>
      <c r="S933" s="574"/>
      <c r="T933" s="574"/>
      <c r="U933" s="574"/>
      <c r="V933" s="574"/>
      <c r="W933" s="574"/>
      <c r="X933" s="574"/>
      <c r="Y933" s="574"/>
      <c r="Z933" s="574"/>
      <c r="AA933" s="574"/>
      <c r="AB933" s="574"/>
      <c r="AC933" s="574"/>
      <c r="AD933" s="574"/>
      <c r="AE933" s="574"/>
      <c r="AF933" s="574"/>
      <c r="AG933" s="574"/>
      <c r="AH933" s="574"/>
      <c r="AI933" s="574"/>
      <c r="AJ933" s="574"/>
      <c r="AK933" s="574"/>
      <c r="AL933" s="574"/>
      <c r="AM933" s="574"/>
      <c r="AN933" s="574"/>
      <c r="AO933" s="574"/>
      <c r="AP933" s="574"/>
      <c r="AQ933" s="574"/>
      <c r="AR933" s="574"/>
      <c r="AS933" s="574"/>
      <c r="AT933" s="574"/>
      <c r="AU933" s="574"/>
      <c r="AV933" s="574"/>
      <c r="AW933" s="574"/>
      <c r="AX933" s="574"/>
      <c r="AY933" s="574"/>
      <c r="AZ933" s="574"/>
      <c r="BA933" s="574"/>
      <c r="BB933" s="574"/>
      <c r="BC933" s="574"/>
      <c r="BD933" s="574"/>
      <c r="BE933" s="574"/>
      <c r="BF933" s="574"/>
      <c r="BG933" s="574"/>
      <c r="BH933" s="574"/>
      <c r="BI933" s="574"/>
      <c r="BJ933" s="574"/>
      <c r="BK933" s="574"/>
      <c r="BL933" s="574"/>
      <c r="BM933" s="574"/>
      <c r="BN933" s="574"/>
      <c r="BO933" s="574"/>
      <c r="BP933" s="574"/>
      <c r="BQ933" s="574"/>
      <c r="BR933" s="574"/>
      <c r="BS933" s="574"/>
      <c r="BT933" s="574"/>
      <c r="BU933" s="574"/>
      <c r="BV933" s="574"/>
      <c r="BW933" s="574"/>
      <c r="BX933" s="574"/>
      <c r="BY933" s="574"/>
      <c r="BZ933" s="574"/>
      <c r="CA933" s="574"/>
      <c r="CB933" s="574"/>
      <c r="CC933" s="574"/>
      <c r="CD933" s="574"/>
      <c r="CE933" s="574"/>
      <c r="CF933" s="574"/>
    </row>
    <row r="934" spans="1:84" s="583" customFormat="1" ht="23.1" customHeight="1" thickBot="1">
      <c r="A934" s="1483" t="s">
        <v>1097</v>
      </c>
      <c r="B934" s="1484"/>
      <c r="C934" s="1484"/>
      <c r="D934" s="1484"/>
      <c r="E934" s="1484"/>
      <c r="F934" s="1484"/>
      <c r="G934" s="1484"/>
      <c r="H934" s="1484"/>
      <c r="I934" s="581" t="s">
        <v>1194</v>
      </c>
      <c r="J934" s="581"/>
      <c r="K934" s="581"/>
      <c r="L934" s="581"/>
      <c r="M934" s="581"/>
      <c r="N934" s="581"/>
      <c r="O934" s="581"/>
      <c r="P934" s="581"/>
      <c r="Q934" s="581"/>
      <c r="R934" s="581"/>
      <c r="S934" s="581"/>
      <c r="T934" s="581"/>
      <c r="U934" s="581"/>
      <c r="V934" s="581"/>
      <c r="W934" s="581"/>
      <c r="X934" s="581"/>
      <c r="Y934" s="581"/>
      <c r="Z934" s="581"/>
      <c r="AA934" s="581"/>
      <c r="AB934" s="581"/>
      <c r="AC934" s="581"/>
      <c r="AD934" s="581"/>
      <c r="AE934" s="581"/>
      <c r="AF934" s="581"/>
      <c r="AG934" s="581"/>
      <c r="AH934" s="581"/>
      <c r="AI934" s="581"/>
      <c r="AJ934" s="1484" t="s">
        <v>1099</v>
      </c>
      <c r="AK934" s="1484"/>
      <c r="AL934" s="1484"/>
      <c r="AM934" s="1484"/>
      <c r="AN934" s="1484"/>
      <c r="AO934" s="1484"/>
      <c r="AP934" s="1484"/>
      <c r="AQ934" s="581" t="s">
        <v>1197</v>
      </c>
      <c r="AR934" s="581"/>
      <c r="AS934" s="581"/>
      <c r="AT934" s="581"/>
      <c r="AU934" s="581"/>
      <c r="AV934" s="581"/>
      <c r="AW934" s="581"/>
      <c r="AX934" s="581"/>
      <c r="AY934" s="581"/>
      <c r="AZ934" s="581"/>
      <c r="BA934" s="581"/>
      <c r="BB934" s="581"/>
      <c r="BC934" s="581"/>
      <c r="BD934" s="581"/>
      <c r="BE934" s="581"/>
      <c r="BF934" s="581"/>
      <c r="BG934" s="581"/>
      <c r="BH934" s="581"/>
      <c r="BI934" s="581"/>
      <c r="BJ934" s="581"/>
      <c r="BK934" s="581"/>
      <c r="BL934" s="581"/>
      <c r="BM934" s="581"/>
      <c r="BN934" s="581"/>
      <c r="BO934" s="581"/>
      <c r="BP934" s="581"/>
      <c r="BQ934" s="581"/>
      <c r="BR934" s="581"/>
      <c r="BS934" s="581"/>
      <c r="BT934" s="581" t="s">
        <v>1198</v>
      </c>
      <c r="BU934" s="581"/>
      <c r="BV934" s="581"/>
      <c r="BW934" s="581"/>
      <c r="BX934" s="581"/>
      <c r="BY934" s="581"/>
      <c r="BZ934" s="581"/>
      <c r="CA934" s="581"/>
      <c r="CB934" s="581"/>
      <c r="CC934" s="581"/>
      <c r="CD934" s="581"/>
      <c r="CE934" s="581"/>
      <c r="CF934" s="582"/>
    </row>
    <row r="935" spans="1:84" s="583" customFormat="1" ht="23.1" customHeight="1">
      <c r="A935" s="584"/>
      <c r="B935" s="585" t="s">
        <v>1102</v>
      </c>
      <c r="C935" s="585"/>
      <c r="D935" s="585"/>
      <c r="E935" s="585"/>
      <c r="F935" s="585"/>
      <c r="G935" s="585"/>
      <c r="H935" s="585"/>
      <c r="I935" s="585"/>
      <c r="J935" s="585"/>
      <c r="K935" s="585"/>
      <c r="L935" s="585"/>
      <c r="M935" s="585"/>
      <c r="N935" s="585"/>
      <c r="O935" s="585"/>
      <c r="P935" s="585"/>
      <c r="Q935" s="585"/>
      <c r="R935" s="585"/>
      <c r="S935" s="585"/>
      <c r="T935" s="585"/>
      <c r="U935" s="585"/>
      <c r="V935" s="585"/>
      <c r="W935" s="585"/>
      <c r="X935" s="585"/>
      <c r="Y935" s="585"/>
      <c r="Z935" s="585"/>
      <c r="AA935" s="585"/>
      <c r="AB935" s="585"/>
      <c r="AC935" s="585"/>
      <c r="AD935" s="585"/>
      <c r="AE935" s="585"/>
      <c r="AF935" s="585"/>
      <c r="AG935" s="585"/>
      <c r="AH935" s="585"/>
      <c r="AI935" s="585"/>
      <c r="AJ935" s="585"/>
      <c r="AK935" s="585"/>
      <c r="AL935" s="585"/>
      <c r="AM935" s="585"/>
      <c r="AN935" s="585"/>
      <c r="AO935" s="585"/>
      <c r="AP935" s="585"/>
      <c r="AQ935" s="585"/>
      <c r="AR935" s="585"/>
      <c r="AS935" s="585"/>
      <c r="AT935" s="585"/>
      <c r="AU935" s="585"/>
      <c r="AV935" s="585"/>
      <c r="AW935" s="585"/>
      <c r="AX935" s="585"/>
      <c r="AY935" s="585"/>
      <c r="AZ935" s="585"/>
      <c r="BA935" s="585"/>
      <c r="BB935" s="585"/>
      <c r="BC935" s="585"/>
      <c r="BD935" s="585"/>
      <c r="BE935" s="585"/>
      <c r="BF935" s="585"/>
      <c r="BG935" s="585"/>
      <c r="BH935" s="585"/>
      <c r="BI935" s="585"/>
      <c r="BJ935" s="585"/>
      <c r="BK935" s="585"/>
      <c r="BL935" s="585"/>
      <c r="BM935" s="585"/>
      <c r="BN935" s="585"/>
      <c r="BO935" s="585"/>
      <c r="BP935" s="585"/>
      <c r="BQ935" s="585"/>
      <c r="BR935" s="585"/>
      <c r="BS935" s="585"/>
      <c r="BT935" s="585"/>
      <c r="BU935" s="585"/>
      <c r="BV935" s="585"/>
      <c r="BW935" s="585"/>
      <c r="BX935" s="585"/>
      <c r="BY935" s="585"/>
      <c r="BZ935" s="585"/>
      <c r="CA935" s="585"/>
      <c r="CB935" s="585"/>
      <c r="CC935" s="585"/>
      <c r="CD935" s="585"/>
      <c r="CE935" s="585"/>
      <c r="CF935" s="586"/>
    </row>
    <row r="936" spans="1:84" s="583" customFormat="1" ht="23.1" customHeight="1">
      <c r="A936" s="587"/>
      <c r="B936" s="574"/>
      <c r="C936" s="574"/>
      <c r="D936" s="405"/>
      <c r="E936" s="574"/>
      <c r="F936" s="422"/>
      <c r="G936" s="422"/>
      <c r="H936" s="422"/>
      <c r="I936" s="422"/>
      <c r="J936" s="422"/>
      <c r="K936" s="422"/>
      <c r="L936" s="422"/>
      <c r="M936" s="422"/>
      <c r="N936" s="574"/>
      <c r="O936" s="574"/>
      <c r="P936" s="574"/>
      <c r="Q936" s="574"/>
      <c r="R936" s="574"/>
      <c r="S936" s="588"/>
      <c r="T936" s="588"/>
      <c r="U936" s="588"/>
      <c r="V936" s="588"/>
      <c r="W936" s="588"/>
      <c r="X936" s="588"/>
      <c r="Y936" s="588"/>
      <c r="Z936" s="588"/>
      <c r="AA936" s="574"/>
      <c r="AB936" s="588"/>
      <c r="AC936" s="585"/>
      <c r="AD936" s="585"/>
      <c r="AE936" s="600"/>
      <c r="AF936" s="600"/>
      <c r="AG936" s="600"/>
      <c r="AH936" s="600"/>
      <c r="AI936" s="600"/>
      <c r="AJ936" s="600"/>
      <c r="AK936" s="600"/>
      <c r="AL936" s="600"/>
      <c r="AM936" s="585"/>
      <c r="AN936" s="585"/>
      <c r="AO936" s="574"/>
      <c r="AP936" s="430"/>
      <c r="AQ936" s="430"/>
      <c r="AR936" s="430"/>
      <c r="AS936" s="430"/>
      <c r="AT936" s="430"/>
      <c r="AU936" s="430"/>
      <c r="AV936" s="430"/>
      <c r="AW936" s="430"/>
      <c r="AX936" s="430"/>
      <c r="AY936" s="430"/>
      <c r="AZ936" s="430"/>
      <c r="BA936" s="430"/>
      <c r="BB936" s="430"/>
      <c r="BC936" s="430"/>
      <c r="BD936" s="574"/>
      <c r="BE936" s="574"/>
      <c r="BF936" s="574"/>
      <c r="BG936" s="574"/>
      <c r="BH936" s="574"/>
      <c r="BI936" s="574"/>
      <c r="BJ936" s="574"/>
      <c r="BK936" s="574"/>
      <c r="BL936" s="574"/>
      <c r="BM936" s="574"/>
      <c r="BN936" s="574"/>
      <c r="BO936" s="574"/>
      <c r="BP936" s="574"/>
      <c r="BQ936" s="574"/>
      <c r="BR936" s="574"/>
      <c r="BS936" s="574"/>
      <c r="BT936" s="574"/>
      <c r="BU936" s="574"/>
      <c r="BV936" s="574"/>
      <c r="BW936" s="574"/>
      <c r="BX936" s="574"/>
      <c r="BY936" s="574"/>
      <c r="BZ936" s="574"/>
      <c r="CA936" s="574"/>
      <c r="CB936" s="574"/>
      <c r="CC936" s="574"/>
      <c r="CD936" s="574"/>
      <c r="CE936" s="574"/>
      <c r="CF936" s="589"/>
    </row>
    <row r="937" spans="1:84" s="583" customFormat="1" ht="23.1" customHeight="1">
      <c r="A937" s="584"/>
      <c r="B937" s="585"/>
      <c r="C937" s="585"/>
      <c r="D937" s="585"/>
      <c r="E937" s="585"/>
      <c r="F937" s="585"/>
      <c r="G937" s="585"/>
      <c r="H937" s="585"/>
      <c r="I937" s="585"/>
      <c r="J937" s="585"/>
      <c r="K937" s="585"/>
      <c r="L937" s="585"/>
      <c r="M937" s="585"/>
      <c r="N937" s="585"/>
      <c r="O937" s="585"/>
      <c r="P937" s="585"/>
      <c r="Q937" s="585"/>
      <c r="R937" s="585"/>
      <c r="S937" s="585"/>
      <c r="T937" s="585"/>
      <c r="U937" s="585"/>
      <c r="V937" s="590"/>
      <c r="W937" s="590"/>
      <c r="X937" s="590"/>
      <c r="Y937" s="590"/>
      <c r="Z937" s="590"/>
      <c r="AA937" s="590"/>
      <c r="AB937" s="590"/>
      <c r="AC937" s="590"/>
      <c r="AD937" s="574"/>
      <c r="AE937" s="1440">
        <v>233376000</v>
      </c>
      <c r="AF937" s="1440"/>
      <c r="AG937" s="1440"/>
      <c r="AH937" s="1440"/>
      <c r="AI937" s="1440"/>
      <c r="AJ937" s="1440"/>
      <c r="AK937" s="1440"/>
      <c r="AL937" s="1440"/>
      <c r="AM937" s="1440"/>
      <c r="AN937" s="1440"/>
      <c r="AO937" s="1440"/>
      <c r="AP937" s="1440"/>
      <c r="AQ937" s="1440"/>
      <c r="AR937" s="1440"/>
      <c r="AS937" s="1440"/>
      <c r="AT937" s="1431" t="s">
        <v>446</v>
      </c>
      <c r="AU937" s="1431"/>
      <c r="AV937" s="1441" t="s">
        <v>1103</v>
      </c>
      <c r="AW937" s="1441"/>
      <c r="AX937" s="1442">
        <v>2298</v>
      </c>
      <c r="AY937" s="1442"/>
      <c r="AZ937" s="1442"/>
      <c r="BA937" s="1442"/>
      <c r="BB937" s="1442"/>
      <c r="BC937" s="1442"/>
      <c r="BD937" s="585"/>
      <c r="BE937" s="1431" t="s">
        <v>446</v>
      </c>
      <c r="BF937" s="1431"/>
      <c r="BG937" s="585"/>
      <c r="BH937" s="591" t="s">
        <v>1104</v>
      </c>
      <c r="BI937" s="585"/>
      <c r="BJ937" s="585"/>
      <c r="BK937" s="585"/>
      <c r="BL937" s="1431" t="s">
        <v>1105</v>
      </c>
      <c r="BM937" s="1431"/>
      <c r="BN937" s="1431"/>
      <c r="BO937" s="585"/>
      <c r="BP937" s="1431" t="s">
        <v>41</v>
      </c>
      <c r="BQ937" s="1431"/>
      <c r="BR937" s="585"/>
      <c r="BS937" s="585"/>
      <c r="BT937" s="1437">
        <f>INT(AE937*AX937*10^-7)</f>
        <v>53629</v>
      </c>
      <c r="BU937" s="1437"/>
      <c r="BV937" s="1437"/>
      <c r="BW937" s="1437"/>
      <c r="BX937" s="1437"/>
      <c r="BY937" s="1437"/>
      <c r="BZ937" s="1437"/>
      <c r="CA937" s="1437"/>
      <c r="CB937" s="1437"/>
      <c r="CC937" s="1437"/>
      <c r="CD937" s="585"/>
      <c r="CE937" s="585"/>
      <c r="CF937" s="586"/>
    </row>
    <row r="938" spans="1:84" s="583" customFormat="1" ht="23.1" customHeight="1">
      <c r="A938" s="592"/>
      <c r="B938" s="593" t="s">
        <v>1106</v>
      </c>
      <c r="C938" s="593"/>
      <c r="D938" s="593"/>
      <c r="E938" s="593"/>
      <c r="F938" s="593"/>
      <c r="G938" s="593"/>
      <c r="H938" s="593"/>
      <c r="I938" s="593"/>
      <c r="J938" s="593"/>
      <c r="K938" s="593"/>
      <c r="L938" s="593"/>
      <c r="M938" s="593"/>
      <c r="N938" s="593"/>
      <c r="O938" s="593"/>
      <c r="P938" s="593"/>
      <c r="Q938" s="593"/>
      <c r="R938" s="593"/>
      <c r="S938" s="593"/>
      <c r="T938" s="593"/>
      <c r="U938" s="593"/>
      <c r="V938" s="593"/>
      <c r="W938" s="593"/>
      <c r="X938" s="593"/>
      <c r="Y938" s="593"/>
      <c r="Z938" s="593"/>
      <c r="AA938" s="593"/>
      <c r="AB938" s="593"/>
      <c r="AC938" s="593"/>
      <c r="AD938" s="593"/>
      <c r="AE938" s="593"/>
      <c r="AF938" s="593"/>
      <c r="AG938" s="593"/>
      <c r="AH938" s="593"/>
      <c r="AI938" s="593"/>
      <c r="AJ938" s="593"/>
      <c r="AK938" s="593"/>
      <c r="AL938" s="593"/>
      <c r="AM938" s="593"/>
      <c r="AN938" s="593"/>
      <c r="AO938" s="593"/>
      <c r="AP938" s="593"/>
      <c r="AQ938" s="593"/>
      <c r="AR938" s="593"/>
      <c r="AS938" s="593"/>
      <c r="AT938" s="593"/>
      <c r="AU938" s="593"/>
      <c r="AV938" s="593"/>
      <c r="AW938" s="593"/>
      <c r="AX938" s="593"/>
      <c r="AY938" s="593"/>
      <c r="AZ938" s="593"/>
      <c r="BA938" s="593"/>
      <c r="BB938" s="593"/>
      <c r="BC938" s="593"/>
      <c r="BD938" s="593"/>
      <c r="BE938" s="593"/>
      <c r="BF938" s="593"/>
      <c r="BG938" s="593"/>
      <c r="BH938" s="593"/>
      <c r="BI938" s="593"/>
      <c r="BJ938" s="593"/>
      <c r="BK938" s="593"/>
      <c r="BL938" s="593"/>
      <c r="BM938" s="593"/>
      <c r="BN938" s="593"/>
      <c r="BO938" s="593"/>
      <c r="BP938" s="593"/>
      <c r="BQ938" s="593"/>
      <c r="BR938" s="593"/>
      <c r="BS938" s="593"/>
      <c r="BT938" s="594"/>
      <c r="BU938" s="594"/>
      <c r="BV938" s="594"/>
      <c r="BW938" s="594"/>
      <c r="BX938" s="594"/>
      <c r="BY938" s="594"/>
      <c r="BZ938" s="594"/>
      <c r="CA938" s="594"/>
      <c r="CB938" s="594"/>
      <c r="CC938" s="594"/>
      <c r="CD938" s="593"/>
      <c r="CE938" s="593"/>
      <c r="CF938" s="595"/>
    </row>
    <row r="939" spans="1:84" s="583" customFormat="1" ht="23.1" customHeight="1">
      <c r="A939" s="584"/>
      <c r="B939" s="585"/>
      <c r="C939" s="585"/>
      <c r="D939" s="596" t="s">
        <v>268</v>
      </c>
      <c r="E939" s="585"/>
      <c r="F939" s="585"/>
      <c r="G939" s="585"/>
      <c r="H939" s="585"/>
      <c r="I939" s="585"/>
      <c r="J939" s="585"/>
      <c r="K939" s="585"/>
      <c r="L939" s="585"/>
      <c r="M939" s="585"/>
      <c r="N939" s="585"/>
      <c r="O939" s="585"/>
      <c r="P939" s="585"/>
      <c r="Q939" s="585"/>
      <c r="R939" s="585"/>
      <c r="S939" s="585"/>
      <c r="T939" s="574"/>
      <c r="U939" s="574"/>
      <c r="V939" s="1435">
        <f>HLOOKUP(D939,$CJ$1:$CM$3,3,0)</f>
        <v>283297</v>
      </c>
      <c r="W939" s="1435"/>
      <c r="X939" s="1435"/>
      <c r="Y939" s="1435"/>
      <c r="Z939" s="1435"/>
      <c r="AA939" s="1435"/>
      <c r="AB939" s="1435"/>
      <c r="AC939" s="1435"/>
      <c r="AD939" s="1435"/>
      <c r="AE939" s="1435"/>
      <c r="AF939" s="1431" t="s">
        <v>446</v>
      </c>
      <c r="AG939" s="1431"/>
      <c r="AH939" s="574"/>
      <c r="AI939" s="1436" t="s">
        <v>1107</v>
      </c>
      <c r="AJ939" s="1436"/>
      <c r="AK939" s="1436"/>
      <c r="AL939" s="1436"/>
      <c r="AM939" s="585"/>
      <c r="AN939" s="1431" t="s">
        <v>446</v>
      </c>
      <c r="AO939" s="1431"/>
      <c r="AP939" s="585"/>
      <c r="AQ939" s="1436" t="s">
        <v>1108</v>
      </c>
      <c r="AR939" s="1436"/>
      <c r="AS939" s="1436"/>
      <c r="AT939" s="1436"/>
      <c r="AU939" s="1436"/>
      <c r="AV939" s="422"/>
      <c r="AW939" s="1431" t="s">
        <v>446</v>
      </c>
      <c r="AX939" s="1431"/>
      <c r="AY939" s="440"/>
      <c r="AZ939" s="1436" t="s">
        <v>1109</v>
      </c>
      <c r="BA939" s="1436"/>
      <c r="BB939" s="1436"/>
      <c r="BC939" s="1436"/>
      <c r="BD939" s="1436"/>
      <c r="BE939" s="585"/>
      <c r="BF939" s="1431" t="s">
        <v>446</v>
      </c>
      <c r="BG939" s="1431"/>
      <c r="BH939" s="1431">
        <v>1</v>
      </c>
      <c r="BI939" s="1431"/>
      <c r="BJ939" s="1431"/>
      <c r="BK939" s="585"/>
      <c r="BL939" s="585" t="s">
        <v>366</v>
      </c>
      <c r="BM939" s="585"/>
      <c r="BN939" s="585"/>
      <c r="BO939" s="585"/>
      <c r="BP939" s="1431" t="s">
        <v>41</v>
      </c>
      <c r="BQ939" s="1431"/>
      <c r="BR939" s="585"/>
      <c r="BS939" s="585"/>
      <c r="BT939" s="1432">
        <f>INT(V939/8*16/12*25/20*BH939)</f>
        <v>59020</v>
      </c>
      <c r="BU939" s="1432"/>
      <c r="BV939" s="1432"/>
      <c r="BW939" s="1432"/>
      <c r="BX939" s="1432"/>
      <c r="BY939" s="1432"/>
      <c r="BZ939" s="1432"/>
      <c r="CA939" s="1432"/>
      <c r="CB939" s="1432"/>
      <c r="CC939" s="1432"/>
      <c r="CD939" s="585"/>
      <c r="CE939" s="585"/>
      <c r="CF939" s="586"/>
    </row>
    <row r="940" spans="1:84" s="583" customFormat="1" ht="23.1" customHeight="1">
      <c r="A940" s="584"/>
      <c r="B940" s="585"/>
      <c r="C940" s="585"/>
      <c r="D940" s="585"/>
      <c r="E940" s="585"/>
      <c r="F940" s="585"/>
      <c r="G940" s="585"/>
      <c r="H940" s="585"/>
      <c r="I940" s="585"/>
      <c r="J940" s="585"/>
      <c r="K940" s="585"/>
      <c r="L940" s="585"/>
      <c r="M940" s="585"/>
      <c r="N940" s="585"/>
      <c r="O940" s="585"/>
      <c r="P940" s="574"/>
      <c r="Q940" s="574"/>
      <c r="R940" s="574"/>
      <c r="S940" s="574"/>
      <c r="T940" s="574"/>
      <c r="U940" s="574"/>
      <c r="V940" s="574"/>
      <c r="W940" s="574"/>
      <c r="X940" s="574"/>
      <c r="Y940" s="574"/>
      <c r="Z940" s="574"/>
      <c r="AA940" s="574"/>
      <c r="AB940" s="574"/>
      <c r="AC940" s="574"/>
      <c r="AD940" s="574"/>
      <c r="AE940" s="574"/>
      <c r="AF940" s="574"/>
      <c r="AG940" s="574"/>
      <c r="AH940" s="574"/>
      <c r="AI940" s="574"/>
      <c r="AJ940" s="574"/>
      <c r="AK940" s="574"/>
      <c r="AL940" s="574"/>
      <c r="AM940" s="574"/>
      <c r="AN940" s="574"/>
      <c r="AO940" s="574"/>
      <c r="AP940" s="574"/>
      <c r="AQ940" s="574"/>
      <c r="AR940" s="574"/>
      <c r="AS940" s="574"/>
      <c r="AT940" s="574"/>
      <c r="AU940" s="574"/>
      <c r="AV940" s="574"/>
      <c r="AW940" s="574"/>
      <c r="AX940" s="574"/>
      <c r="AY940" s="574"/>
      <c r="AZ940" s="574"/>
      <c r="BA940" s="574"/>
      <c r="BB940" s="574"/>
      <c r="BC940" s="574"/>
      <c r="BD940" s="574"/>
      <c r="BE940" s="574"/>
      <c r="BF940" s="574"/>
      <c r="BG940" s="585"/>
      <c r="BH940" s="585"/>
      <c r="BI940" s="585"/>
      <c r="BJ940" s="585"/>
      <c r="BK940" s="585"/>
      <c r="BL940" s="585"/>
      <c r="BM940" s="585"/>
      <c r="BN940" s="585"/>
      <c r="BO940" s="585"/>
      <c r="BP940" s="1431"/>
      <c r="BQ940" s="1431"/>
      <c r="BR940" s="585"/>
      <c r="BS940" s="585"/>
      <c r="BT940" s="1432"/>
      <c r="BU940" s="1432"/>
      <c r="BV940" s="1432"/>
      <c r="BW940" s="1432"/>
      <c r="BX940" s="1432"/>
      <c r="BY940" s="1432"/>
      <c r="BZ940" s="1432"/>
      <c r="CA940" s="1432"/>
      <c r="CB940" s="1432"/>
      <c r="CC940" s="1432"/>
      <c r="CD940" s="585"/>
      <c r="CE940" s="585"/>
      <c r="CF940" s="586"/>
    </row>
    <row r="941" spans="1:84" s="583" customFormat="1" ht="23.1" customHeight="1">
      <c r="A941" s="584"/>
      <c r="B941" s="585"/>
      <c r="C941" s="585"/>
      <c r="D941" s="585"/>
      <c r="E941" s="585"/>
      <c r="F941" s="585"/>
      <c r="G941" s="585"/>
      <c r="H941" s="585"/>
      <c r="I941" s="585"/>
      <c r="J941" s="585"/>
      <c r="K941" s="585"/>
      <c r="L941" s="585"/>
      <c r="M941" s="585"/>
      <c r="N941" s="585"/>
      <c r="O941" s="585"/>
      <c r="P941" s="585"/>
      <c r="Q941" s="585"/>
      <c r="R941" s="585"/>
      <c r="S941" s="585"/>
      <c r="T941" s="585"/>
      <c r="U941" s="585"/>
      <c r="V941" s="585"/>
      <c r="W941" s="585"/>
      <c r="X941" s="585"/>
      <c r="Y941" s="585"/>
      <c r="Z941" s="585"/>
      <c r="AA941" s="585"/>
      <c r="AB941" s="585"/>
      <c r="AC941" s="585"/>
      <c r="AD941" s="574"/>
      <c r="AE941" s="574"/>
      <c r="AF941" s="574"/>
      <c r="AG941" s="574"/>
      <c r="AH941" s="574"/>
      <c r="AI941" s="574"/>
      <c r="AJ941" s="574"/>
      <c r="AK941" s="574"/>
      <c r="AL941" s="574"/>
      <c r="AM941" s="574"/>
      <c r="AN941" s="574"/>
      <c r="AO941" s="574"/>
      <c r="AP941" s="574"/>
      <c r="AQ941" s="574"/>
      <c r="AR941" s="574"/>
      <c r="AS941" s="585"/>
      <c r="AT941" s="590"/>
      <c r="AU941" s="590"/>
      <c r="AV941" s="585"/>
      <c r="AW941" s="585"/>
      <c r="AX941" s="585"/>
      <c r="AY941" s="585"/>
      <c r="AZ941" s="585"/>
      <c r="BA941" s="585"/>
      <c r="BB941" s="585"/>
      <c r="BC941" s="585"/>
      <c r="BD941" s="585"/>
      <c r="BE941" s="585"/>
      <c r="BF941" s="585"/>
      <c r="BG941" s="585"/>
      <c r="BH941" s="585"/>
      <c r="BI941" s="585"/>
      <c r="BJ941" s="585"/>
      <c r="BK941" s="585"/>
      <c r="BL941" s="585"/>
      <c r="BM941" s="585"/>
      <c r="BN941" s="585"/>
      <c r="BO941" s="585"/>
      <c r="BP941" s="1431" t="s">
        <v>41</v>
      </c>
      <c r="BQ941" s="1431"/>
      <c r="BR941" s="585"/>
      <c r="BS941" s="585"/>
      <c r="BT941" s="1434">
        <f>BT939+BT940</f>
        <v>59020</v>
      </c>
      <c r="BU941" s="1434"/>
      <c r="BV941" s="1434"/>
      <c r="BW941" s="1434"/>
      <c r="BX941" s="1434"/>
      <c r="BY941" s="1434"/>
      <c r="BZ941" s="1434"/>
      <c r="CA941" s="1434"/>
      <c r="CB941" s="1434"/>
      <c r="CC941" s="1434"/>
      <c r="CD941" s="585"/>
      <c r="CE941" s="585"/>
      <c r="CF941" s="586"/>
    </row>
    <row r="942" spans="1:84" s="583" customFormat="1" ht="23.1" customHeight="1">
      <c r="A942" s="592"/>
      <c r="B942" s="593" t="s">
        <v>1110</v>
      </c>
      <c r="C942" s="593"/>
      <c r="D942" s="593"/>
      <c r="E942" s="593"/>
      <c r="F942" s="593"/>
      <c r="G942" s="593"/>
      <c r="H942" s="593"/>
      <c r="I942" s="593"/>
      <c r="J942" s="593"/>
      <c r="K942" s="593"/>
      <c r="L942" s="593"/>
      <c r="M942" s="593"/>
      <c r="N942" s="593"/>
      <c r="O942" s="593"/>
      <c r="P942" s="593"/>
      <c r="Q942" s="593"/>
      <c r="R942" s="593"/>
      <c r="S942" s="593"/>
      <c r="T942" s="593"/>
      <c r="U942" s="593"/>
      <c r="V942" s="593"/>
      <c r="W942" s="593"/>
      <c r="X942" s="593"/>
      <c r="Y942" s="593"/>
      <c r="Z942" s="593"/>
      <c r="AA942" s="593"/>
      <c r="AB942" s="593"/>
      <c r="AC942" s="593"/>
      <c r="AD942" s="593"/>
      <c r="AE942" s="593"/>
      <c r="AF942" s="593"/>
      <c r="AG942" s="593"/>
      <c r="AH942" s="593"/>
      <c r="AI942" s="593"/>
      <c r="AJ942" s="593"/>
      <c r="AK942" s="593"/>
      <c r="AL942" s="593"/>
      <c r="AM942" s="593"/>
      <c r="AN942" s="593"/>
      <c r="AO942" s="593"/>
      <c r="AP942" s="593"/>
      <c r="AQ942" s="593"/>
      <c r="AR942" s="593"/>
      <c r="AS942" s="593"/>
      <c r="AT942" s="593"/>
      <c r="AU942" s="593"/>
      <c r="AV942" s="593"/>
      <c r="AW942" s="593"/>
      <c r="AX942" s="593"/>
      <c r="AY942" s="593"/>
      <c r="AZ942" s="593"/>
      <c r="BA942" s="593"/>
      <c r="BB942" s="593"/>
      <c r="BC942" s="593"/>
      <c r="BD942" s="593"/>
      <c r="BE942" s="593"/>
      <c r="BF942" s="593"/>
      <c r="BG942" s="593"/>
      <c r="BH942" s="593"/>
      <c r="BI942" s="593"/>
      <c r="BJ942" s="593"/>
      <c r="BK942" s="593"/>
      <c r="BL942" s="593"/>
      <c r="BM942" s="593"/>
      <c r="BN942" s="593"/>
      <c r="BO942" s="593"/>
      <c r="BP942" s="593"/>
      <c r="BQ942" s="593"/>
      <c r="BR942" s="593"/>
      <c r="BS942" s="593"/>
      <c r="BT942" s="593"/>
      <c r="BU942" s="593"/>
      <c r="BV942" s="593"/>
      <c r="BW942" s="593"/>
      <c r="BX942" s="593"/>
      <c r="BY942" s="593"/>
      <c r="BZ942" s="593"/>
      <c r="CA942" s="593"/>
      <c r="CB942" s="593"/>
      <c r="CC942" s="593"/>
      <c r="CD942" s="593"/>
      <c r="CE942" s="593"/>
      <c r="CF942" s="595"/>
    </row>
    <row r="943" spans="1:84" s="583" customFormat="1" ht="23.1" customHeight="1">
      <c r="A943" s="584"/>
      <c r="B943" s="585"/>
      <c r="C943" s="585"/>
      <c r="D943" s="596" t="s">
        <v>1094</v>
      </c>
      <c r="E943" s="585"/>
      <c r="F943" s="585"/>
      <c r="G943" s="585"/>
      <c r="H943" s="585"/>
      <c r="I943" s="585"/>
      <c r="J943" s="585"/>
      <c r="K943" s="585"/>
      <c r="L943" s="585"/>
      <c r="M943" s="585"/>
      <c r="N943" s="585"/>
      <c r="O943" s="585"/>
      <c r="P943" s="585"/>
      <c r="Q943" s="585"/>
      <c r="R943" s="585"/>
      <c r="S943" s="585"/>
      <c r="T943" s="585"/>
      <c r="U943" s="585"/>
      <c r="V943" s="585"/>
      <c r="W943" s="585"/>
      <c r="X943" s="585"/>
      <c r="Y943" s="585"/>
      <c r="Z943" s="585"/>
      <c r="AA943" s="585"/>
      <c r="AB943" s="585"/>
      <c r="AC943" s="585"/>
      <c r="AD943" s="585"/>
      <c r="AE943" s="585"/>
      <c r="AF943" s="585"/>
      <c r="AG943" s="585"/>
      <c r="AH943" s="585"/>
      <c r="AI943" s="585"/>
      <c r="AJ943" s="585"/>
      <c r="AK943" s="585"/>
      <c r="AL943" s="585"/>
      <c r="AM943" s="585"/>
      <c r="AN943" s="585"/>
      <c r="AO943" s="585"/>
      <c r="AP943" s="585"/>
      <c r="AQ943" s="585"/>
      <c r="AR943" s="422"/>
      <c r="AS943" s="1435" t="e">
        <f>HLOOKUP(D943,$CN$1:$CO$3,3,0)</f>
        <v>#REF!</v>
      </c>
      <c r="AT943" s="1435"/>
      <c r="AU943" s="1435"/>
      <c r="AV943" s="1435"/>
      <c r="AW943" s="1435"/>
      <c r="AX943" s="1435"/>
      <c r="AY943" s="1435"/>
      <c r="AZ943" s="1435"/>
      <c r="BA943" s="1435"/>
      <c r="BB943" s="1435"/>
      <c r="BC943" s="585"/>
      <c r="BD943" s="1431" t="s">
        <v>446</v>
      </c>
      <c r="BE943" s="1431"/>
      <c r="BF943" s="585"/>
      <c r="BG943" s="1431">
        <v>5.4</v>
      </c>
      <c r="BH943" s="1431"/>
      <c r="BI943" s="1431"/>
      <c r="BJ943" s="1431"/>
      <c r="BK943" s="1431"/>
      <c r="BL943" s="585" t="s">
        <v>1111</v>
      </c>
      <c r="BM943" s="585"/>
      <c r="BN943" s="585"/>
      <c r="BO943" s="585"/>
      <c r="BP943" s="1431" t="s">
        <v>41</v>
      </c>
      <c r="BQ943" s="1431"/>
      <c r="BR943" s="585"/>
      <c r="BS943" s="585"/>
      <c r="BT943" s="1432" t="e">
        <f>INT(AS943*BG943)</f>
        <v>#REF!</v>
      </c>
      <c r="BU943" s="1432"/>
      <c r="BV943" s="1432"/>
      <c r="BW943" s="1432"/>
      <c r="BX943" s="1432"/>
      <c r="BY943" s="1432"/>
      <c r="BZ943" s="1432"/>
      <c r="CA943" s="1432"/>
      <c r="CB943" s="1432"/>
      <c r="CC943" s="1432"/>
      <c r="CD943" s="585"/>
      <c r="CE943" s="585"/>
      <c r="CF943" s="586"/>
    </row>
    <row r="944" spans="1:84" s="583" customFormat="1" ht="23.1" customHeight="1">
      <c r="A944" s="584"/>
      <c r="B944" s="585"/>
      <c r="C944" s="585"/>
      <c r="D944" s="591" t="str">
        <f>"잡재료 (주연료의 "&amp;BG944&amp;"%) :"</f>
        <v>잡재료 (주연료의 39%) :</v>
      </c>
      <c r="E944" s="585"/>
      <c r="F944" s="585"/>
      <c r="G944" s="585"/>
      <c r="H944" s="585"/>
      <c r="I944" s="585"/>
      <c r="J944" s="585"/>
      <c r="K944" s="585"/>
      <c r="L944" s="585"/>
      <c r="M944" s="585"/>
      <c r="N944" s="585"/>
      <c r="O944" s="585"/>
      <c r="P944" s="585"/>
      <c r="Q944" s="585"/>
      <c r="R944" s="585"/>
      <c r="S944" s="585"/>
      <c r="T944" s="585"/>
      <c r="U944" s="585"/>
      <c r="V944" s="585"/>
      <c r="W944" s="585"/>
      <c r="X944" s="585"/>
      <c r="Y944" s="585"/>
      <c r="Z944" s="585"/>
      <c r="AA944" s="585"/>
      <c r="AB944" s="585"/>
      <c r="AC944" s="585"/>
      <c r="AD944" s="585"/>
      <c r="AE944" s="585"/>
      <c r="AF944" s="585"/>
      <c r="AG944" s="585"/>
      <c r="AH944" s="585"/>
      <c r="AI944" s="585"/>
      <c r="AJ944" s="585"/>
      <c r="AK944" s="585"/>
      <c r="AL944" s="585"/>
      <c r="AM944" s="585"/>
      <c r="AN944" s="585"/>
      <c r="AO944" s="585"/>
      <c r="AP944" s="585"/>
      <c r="AQ944" s="585"/>
      <c r="AR944" s="422" t="e">
        <f>BT943</f>
        <v>#REF!</v>
      </c>
      <c r="AS944" s="1430" t="e">
        <f>BT943</f>
        <v>#REF!</v>
      </c>
      <c r="AT944" s="1430"/>
      <c r="AU944" s="1430"/>
      <c r="AV944" s="1430"/>
      <c r="AW944" s="1430"/>
      <c r="AX944" s="1430"/>
      <c r="AY944" s="1430"/>
      <c r="AZ944" s="1430"/>
      <c r="BA944" s="1430"/>
      <c r="BB944" s="1430"/>
      <c r="BC944" s="585"/>
      <c r="BD944" s="1431" t="s">
        <v>446</v>
      </c>
      <c r="BE944" s="1431"/>
      <c r="BF944" s="585"/>
      <c r="BG944" s="1431">
        <v>39</v>
      </c>
      <c r="BH944" s="1431"/>
      <c r="BI944" s="1431"/>
      <c r="BJ944" s="1431"/>
      <c r="BK944" s="1431"/>
      <c r="BL944" s="585" t="s">
        <v>1112</v>
      </c>
      <c r="BM944" s="585"/>
      <c r="BN944" s="585"/>
      <c r="BO944" s="585"/>
      <c r="BP944" s="1431" t="s">
        <v>41</v>
      </c>
      <c r="BQ944" s="1431"/>
      <c r="BR944" s="585"/>
      <c r="BS944" s="585"/>
      <c r="BT944" s="1432" t="e">
        <f>INT(AS944*BG944/100)</f>
        <v>#REF!</v>
      </c>
      <c r="BU944" s="1432"/>
      <c r="BV944" s="1432"/>
      <c r="BW944" s="1432"/>
      <c r="BX944" s="1432"/>
      <c r="BY944" s="1432"/>
      <c r="BZ944" s="1432"/>
      <c r="CA944" s="1432"/>
      <c r="CB944" s="1432"/>
      <c r="CC944" s="1432"/>
      <c r="CD944" s="585"/>
      <c r="CE944" s="585"/>
      <c r="CF944" s="586"/>
    </row>
    <row r="945" spans="1:84" s="583" customFormat="1" ht="23.1" customHeight="1" thickBot="1">
      <c r="A945" s="584"/>
      <c r="B945" s="585"/>
      <c r="C945" s="585"/>
      <c r="D945" s="585"/>
      <c r="E945" s="585"/>
      <c r="F945" s="585"/>
      <c r="G945" s="585"/>
      <c r="H945" s="585"/>
      <c r="I945" s="585"/>
      <c r="J945" s="585"/>
      <c r="K945" s="585"/>
      <c r="L945" s="585"/>
      <c r="M945" s="585"/>
      <c r="N945" s="585"/>
      <c r="O945" s="585"/>
      <c r="P945" s="585"/>
      <c r="Q945" s="585"/>
      <c r="R945" s="585"/>
      <c r="S945" s="585"/>
      <c r="T945" s="585"/>
      <c r="U945" s="585"/>
      <c r="V945" s="585"/>
      <c r="W945" s="585"/>
      <c r="X945" s="585"/>
      <c r="Y945" s="585"/>
      <c r="Z945" s="585"/>
      <c r="AA945" s="585"/>
      <c r="AB945" s="585"/>
      <c r="AC945" s="585"/>
      <c r="AD945" s="585"/>
      <c r="AE945" s="585"/>
      <c r="AF945" s="585"/>
      <c r="AG945" s="585"/>
      <c r="AH945" s="585"/>
      <c r="AI945" s="585"/>
      <c r="AJ945" s="585"/>
      <c r="AK945" s="585"/>
      <c r="AL945" s="585"/>
      <c r="AM945" s="585"/>
      <c r="AN945" s="585"/>
      <c r="AO945" s="585"/>
      <c r="AP945" s="585"/>
      <c r="AQ945" s="585"/>
      <c r="AR945" s="585"/>
      <c r="AS945" s="585"/>
      <c r="AT945" s="585"/>
      <c r="AU945" s="585"/>
      <c r="AV945" s="585"/>
      <c r="AW945" s="585"/>
      <c r="AX945" s="585"/>
      <c r="AY945" s="585"/>
      <c r="AZ945" s="585"/>
      <c r="BA945" s="585"/>
      <c r="BB945" s="585"/>
      <c r="BC945" s="585"/>
      <c r="BD945" s="585"/>
      <c r="BE945" s="585"/>
      <c r="BF945" s="585"/>
      <c r="BG945" s="585"/>
      <c r="BH945" s="585"/>
      <c r="BI945" s="585"/>
      <c r="BJ945" s="585"/>
      <c r="BK945" s="585"/>
      <c r="BL945" s="585"/>
      <c r="BM945" s="585"/>
      <c r="BN945" s="585"/>
      <c r="BO945" s="585"/>
      <c r="BP945" s="1431" t="s">
        <v>41</v>
      </c>
      <c r="BQ945" s="1431"/>
      <c r="BR945" s="585"/>
      <c r="BS945" s="585"/>
      <c r="BT945" s="1433" t="e">
        <f>BT943+BT944</f>
        <v>#REF!</v>
      </c>
      <c r="BU945" s="1433"/>
      <c r="BV945" s="1433"/>
      <c r="BW945" s="1433"/>
      <c r="BX945" s="1433"/>
      <c r="BY945" s="1433"/>
      <c r="BZ945" s="1433"/>
      <c r="CA945" s="1433"/>
      <c r="CB945" s="1433"/>
      <c r="CC945" s="1433"/>
      <c r="CD945" s="585"/>
      <c r="CE945" s="585"/>
      <c r="CF945" s="586"/>
    </row>
    <row r="946" spans="1:84" s="583" customFormat="1" ht="23.1" customHeight="1" thickBot="1">
      <c r="A946" s="597"/>
      <c r="B946" s="598" t="s">
        <v>1113</v>
      </c>
      <c r="C946" s="598"/>
      <c r="D946" s="598"/>
      <c r="E946" s="598"/>
      <c r="F946" s="598"/>
      <c r="G946" s="598"/>
      <c r="H946" s="598"/>
      <c r="I946" s="598"/>
      <c r="J946" s="598"/>
      <c r="K946" s="598"/>
      <c r="L946" s="598"/>
      <c r="M946" s="598"/>
      <c r="N946" s="598"/>
      <c r="O946" s="598"/>
      <c r="P946" s="598"/>
      <c r="Q946" s="598"/>
      <c r="R946" s="598"/>
      <c r="S946" s="598"/>
      <c r="T946" s="598"/>
      <c r="U946" s="598"/>
      <c r="V946" s="598"/>
      <c r="W946" s="598"/>
      <c r="X946" s="598"/>
      <c r="Y946" s="598"/>
      <c r="Z946" s="598"/>
      <c r="AA946" s="598"/>
      <c r="AB946" s="598"/>
      <c r="AC946" s="598"/>
      <c r="AD946" s="598"/>
      <c r="AE946" s="598"/>
      <c r="AF946" s="598"/>
      <c r="AG946" s="598"/>
      <c r="AH946" s="598"/>
      <c r="AI946" s="598"/>
      <c r="AJ946" s="598"/>
      <c r="AK946" s="598"/>
      <c r="AL946" s="598"/>
      <c r="AM946" s="598"/>
      <c r="AN946" s="598"/>
      <c r="AO946" s="598"/>
      <c r="AP946" s="598"/>
      <c r="AQ946" s="598"/>
      <c r="AR946" s="598"/>
      <c r="AS946" s="598"/>
      <c r="AT946" s="598"/>
      <c r="AU946" s="598"/>
      <c r="AV946" s="598"/>
      <c r="AW946" s="598"/>
      <c r="AX946" s="598"/>
      <c r="AY946" s="598"/>
      <c r="AZ946" s="598"/>
      <c r="BA946" s="598"/>
      <c r="BB946" s="598"/>
      <c r="BC946" s="598"/>
      <c r="BD946" s="598"/>
      <c r="BE946" s="598"/>
      <c r="BF946" s="598"/>
      <c r="BG946" s="598"/>
      <c r="BH946" s="598"/>
      <c r="BI946" s="598"/>
      <c r="BJ946" s="598"/>
      <c r="BK946" s="598"/>
      <c r="BL946" s="598"/>
      <c r="BM946" s="598"/>
      <c r="BN946" s="598"/>
      <c r="BO946" s="598"/>
      <c r="BP946" s="598"/>
      <c r="BQ946" s="598"/>
      <c r="BR946" s="598"/>
      <c r="BS946" s="598"/>
      <c r="BT946" s="1429" t="e">
        <f>BT937+BT941+BT945</f>
        <v>#REF!</v>
      </c>
      <c r="BU946" s="1429"/>
      <c r="BV946" s="1429"/>
      <c r="BW946" s="1429"/>
      <c r="BX946" s="1429"/>
      <c r="BY946" s="1429"/>
      <c r="BZ946" s="1429"/>
      <c r="CA946" s="1429"/>
      <c r="CB946" s="1429"/>
      <c r="CC946" s="1429"/>
      <c r="CD946" s="598"/>
      <c r="CE946" s="598"/>
      <c r="CF946" s="599"/>
    </row>
    <row r="947" spans="1:84" s="583" customFormat="1" ht="9.9499999999999993" customHeight="1">
      <c r="A947" s="574"/>
      <c r="B947" s="574"/>
      <c r="C947" s="574"/>
      <c r="D947" s="574"/>
      <c r="E947" s="574"/>
      <c r="F947" s="574"/>
      <c r="G947" s="574"/>
      <c r="H947" s="574"/>
      <c r="I947" s="574"/>
      <c r="J947" s="574"/>
      <c r="K947" s="574"/>
      <c r="L947" s="574"/>
      <c r="M947" s="574"/>
      <c r="N947" s="574"/>
      <c r="O947" s="574"/>
      <c r="P947" s="574"/>
      <c r="Q947" s="574"/>
      <c r="R947" s="574"/>
      <c r="S947" s="574"/>
      <c r="T947" s="574"/>
      <c r="U947" s="574"/>
      <c r="V947" s="574"/>
      <c r="W947" s="574"/>
      <c r="X947" s="574"/>
      <c r="Y947" s="574"/>
      <c r="Z947" s="574"/>
      <c r="AA947" s="574"/>
      <c r="AB947" s="574"/>
      <c r="AC947" s="574"/>
      <c r="AD947" s="574"/>
      <c r="AE947" s="574"/>
      <c r="AF947" s="574"/>
      <c r="AG947" s="574"/>
      <c r="AH947" s="574"/>
      <c r="AI947" s="574"/>
      <c r="AJ947" s="574"/>
      <c r="AK947" s="574"/>
      <c r="AL947" s="574"/>
      <c r="AM947" s="574"/>
      <c r="AN947" s="574"/>
      <c r="AO947" s="574"/>
      <c r="AP947" s="574"/>
      <c r="AQ947" s="574"/>
      <c r="AR947" s="574"/>
      <c r="AS947" s="574"/>
      <c r="AT947" s="574"/>
      <c r="AU947" s="574"/>
      <c r="AV947" s="574"/>
      <c r="AW947" s="574"/>
      <c r="AX947" s="574"/>
      <c r="AY947" s="574"/>
      <c r="AZ947" s="574"/>
      <c r="BA947" s="574"/>
      <c r="BB947" s="574"/>
      <c r="BC947" s="574"/>
      <c r="BD947" s="574"/>
      <c r="BE947" s="574"/>
      <c r="BF947" s="574"/>
      <c r="BG947" s="574"/>
      <c r="BH947" s="574"/>
      <c r="BI947" s="574"/>
      <c r="BJ947" s="574"/>
      <c r="BK947" s="574"/>
      <c r="BL947" s="574"/>
      <c r="BM947" s="574"/>
      <c r="BN947" s="574"/>
      <c r="BO947" s="574"/>
      <c r="BP947" s="574"/>
      <c r="BQ947" s="574"/>
      <c r="BR947" s="574"/>
      <c r="BS947" s="574"/>
      <c r="BT947" s="574"/>
      <c r="BU947" s="574"/>
      <c r="BV947" s="574"/>
      <c r="BW947" s="574"/>
      <c r="BX947" s="574"/>
      <c r="BY947" s="574"/>
      <c r="BZ947" s="574"/>
      <c r="CA947" s="574"/>
      <c r="CB947" s="574"/>
      <c r="CC947" s="574"/>
      <c r="CD947" s="574"/>
      <c r="CE947" s="574"/>
      <c r="CF947" s="574"/>
    </row>
    <row r="948" spans="1:84" s="583" customFormat="1" ht="23.1" customHeight="1" thickBot="1">
      <c r="A948" s="1446" t="s">
        <v>1095</v>
      </c>
      <c r="B948" s="1446"/>
      <c r="C948" s="1446"/>
      <c r="D948" s="1446"/>
      <c r="E948" s="1446"/>
      <c r="F948" s="1446"/>
      <c r="G948" s="1447">
        <f>G933+1</f>
        <v>64</v>
      </c>
      <c r="H948" s="1447"/>
      <c r="I948" s="1447"/>
      <c r="J948" s="1448" t="s">
        <v>1096</v>
      </c>
      <c r="K948" s="1448"/>
      <c r="L948" s="574"/>
      <c r="M948" s="574"/>
      <c r="N948" s="574"/>
      <c r="O948" s="574"/>
      <c r="P948" s="574"/>
      <c r="Q948" s="574"/>
      <c r="R948" s="574"/>
      <c r="S948" s="574"/>
      <c r="T948" s="574"/>
      <c r="U948" s="574"/>
      <c r="V948" s="574"/>
      <c r="W948" s="574"/>
      <c r="X948" s="574"/>
      <c r="Y948" s="574"/>
      <c r="Z948" s="574"/>
      <c r="AA948" s="574"/>
      <c r="AB948" s="574"/>
      <c r="AC948" s="574"/>
      <c r="AD948" s="574"/>
      <c r="AE948" s="574"/>
      <c r="AF948" s="574"/>
      <c r="AG948" s="574"/>
      <c r="AH948" s="574"/>
      <c r="AI948" s="574"/>
      <c r="AJ948" s="574"/>
      <c r="AK948" s="574"/>
      <c r="AL948" s="574"/>
      <c r="AM948" s="574"/>
      <c r="AN948" s="574"/>
      <c r="AO948" s="574"/>
      <c r="AP948" s="574"/>
      <c r="AQ948" s="574"/>
      <c r="AR948" s="574"/>
      <c r="AS948" s="574"/>
      <c r="AT948" s="574"/>
      <c r="AU948" s="574"/>
      <c r="AV948" s="574"/>
      <c r="AW948" s="574"/>
      <c r="AX948" s="574"/>
      <c r="AY948" s="574"/>
      <c r="AZ948" s="574"/>
      <c r="BA948" s="574"/>
      <c r="BB948" s="574"/>
      <c r="BC948" s="574"/>
      <c r="BD948" s="574"/>
      <c r="BE948" s="574"/>
      <c r="BF948" s="574"/>
      <c r="BG948" s="574"/>
      <c r="BH948" s="574"/>
      <c r="BI948" s="574"/>
      <c r="BJ948" s="574"/>
      <c r="BK948" s="574"/>
      <c r="BL948" s="574"/>
      <c r="BM948" s="574"/>
      <c r="BN948" s="574"/>
      <c r="BO948" s="574"/>
      <c r="BP948" s="574"/>
      <c r="BQ948" s="574"/>
      <c r="BR948" s="574"/>
      <c r="BS948" s="574"/>
      <c r="BT948" s="574"/>
      <c r="BU948" s="574"/>
      <c r="BV948" s="574"/>
      <c r="BW948" s="574"/>
      <c r="BX948" s="574"/>
      <c r="BY948" s="574"/>
      <c r="BZ948" s="574"/>
      <c r="CA948" s="574"/>
      <c r="CB948" s="574"/>
      <c r="CC948" s="574"/>
      <c r="CD948" s="574"/>
      <c r="CE948" s="574"/>
      <c r="CF948" s="574"/>
    </row>
    <row r="949" spans="1:84" s="583" customFormat="1" ht="23.1" customHeight="1" thickBot="1">
      <c r="A949" s="1483" t="s">
        <v>1097</v>
      </c>
      <c r="B949" s="1484"/>
      <c r="C949" s="1484"/>
      <c r="D949" s="1484"/>
      <c r="E949" s="1484"/>
      <c r="F949" s="1484"/>
      <c r="G949" s="1484"/>
      <c r="H949" s="1484"/>
      <c r="I949" s="581" t="s">
        <v>1199</v>
      </c>
      <c r="J949" s="581"/>
      <c r="K949" s="581"/>
      <c r="L949" s="581"/>
      <c r="M949" s="581"/>
      <c r="N949" s="581"/>
      <c r="O949" s="581"/>
      <c r="P949" s="581"/>
      <c r="Q949" s="581"/>
      <c r="R949" s="581"/>
      <c r="S949" s="581"/>
      <c r="T949" s="581"/>
      <c r="U949" s="581"/>
      <c r="V949" s="581"/>
      <c r="W949" s="581"/>
      <c r="X949" s="581"/>
      <c r="Y949" s="581"/>
      <c r="Z949" s="581"/>
      <c r="AA949" s="581"/>
      <c r="AB949" s="581"/>
      <c r="AC949" s="581"/>
      <c r="AD949" s="581"/>
      <c r="AE949" s="581"/>
      <c r="AF949" s="581"/>
      <c r="AG949" s="581"/>
      <c r="AH949" s="581"/>
      <c r="AI949" s="581"/>
      <c r="AJ949" s="1484" t="s">
        <v>1099</v>
      </c>
      <c r="AK949" s="1484"/>
      <c r="AL949" s="1484"/>
      <c r="AM949" s="1484"/>
      <c r="AN949" s="1484"/>
      <c r="AO949" s="1484"/>
      <c r="AP949" s="1484"/>
      <c r="AQ949" s="581" t="s">
        <v>44</v>
      </c>
      <c r="AR949" s="581"/>
      <c r="AS949" s="581"/>
      <c r="AT949" s="581"/>
      <c r="AU949" s="581"/>
      <c r="AV949" s="581"/>
      <c r="AW949" s="581"/>
      <c r="AX949" s="581"/>
      <c r="AY949" s="581"/>
      <c r="AZ949" s="581"/>
      <c r="BA949" s="581"/>
      <c r="BB949" s="581"/>
      <c r="BC949" s="581"/>
      <c r="BD949" s="581"/>
      <c r="BE949" s="581"/>
      <c r="BF949" s="581"/>
      <c r="BG949" s="581"/>
      <c r="BH949" s="581"/>
      <c r="BI949" s="581"/>
      <c r="BJ949" s="581"/>
      <c r="BK949" s="581"/>
      <c r="BL949" s="581"/>
      <c r="BM949" s="581"/>
      <c r="BN949" s="581"/>
      <c r="BO949" s="581"/>
      <c r="BP949" s="581"/>
      <c r="BQ949" s="581"/>
      <c r="BR949" s="581"/>
      <c r="BS949" s="581"/>
      <c r="BT949" s="581" t="s">
        <v>1200</v>
      </c>
      <c r="BU949" s="581"/>
      <c r="BV949" s="581"/>
      <c r="BW949" s="581"/>
      <c r="BX949" s="581"/>
      <c r="BY949" s="581"/>
      <c r="BZ949" s="581"/>
      <c r="CA949" s="581"/>
      <c r="CB949" s="581"/>
      <c r="CC949" s="581"/>
      <c r="CD949" s="581"/>
      <c r="CE949" s="581"/>
      <c r="CF949" s="582"/>
    </row>
    <row r="950" spans="1:84" s="583" customFormat="1" ht="23.1" customHeight="1">
      <c r="A950" s="584"/>
      <c r="B950" s="585" t="s">
        <v>1102</v>
      </c>
      <c r="C950" s="585"/>
      <c r="D950" s="585"/>
      <c r="E950" s="585"/>
      <c r="F950" s="585"/>
      <c r="G950" s="585"/>
      <c r="H950" s="585"/>
      <c r="I950" s="585"/>
      <c r="J950" s="585"/>
      <c r="K950" s="585"/>
      <c r="L950" s="585"/>
      <c r="M950" s="585"/>
      <c r="N950" s="585"/>
      <c r="O950" s="585"/>
      <c r="P950" s="585"/>
      <c r="Q950" s="585"/>
      <c r="R950" s="585"/>
      <c r="S950" s="585"/>
      <c r="T950" s="585"/>
      <c r="U950" s="585"/>
      <c r="V950" s="585"/>
      <c r="W950" s="585"/>
      <c r="X950" s="585"/>
      <c r="Y950" s="585"/>
      <c r="Z950" s="585"/>
      <c r="AA950" s="585"/>
      <c r="AB950" s="585"/>
      <c r="AC950" s="585"/>
      <c r="AD950" s="585"/>
      <c r="AE950" s="585"/>
      <c r="AF950" s="585"/>
      <c r="AG950" s="585"/>
      <c r="AH950" s="585"/>
      <c r="AI950" s="585"/>
      <c r="AJ950" s="585"/>
      <c r="AK950" s="585"/>
      <c r="AL950" s="585"/>
      <c r="AM950" s="585"/>
      <c r="AN950" s="585"/>
      <c r="AO950" s="585"/>
      <c r="AP950" s="585"/>
      <c r="AQ950" s="585"/>
      <c r="AR950" s="585"/>
      <c r="AS950" s="585"/>
      <c r="AT950" s="585"/>
      <c r="AU950" s="585"/>
      <c r="AV950" s="585"/>
      <c r="AW950" s="585"/>
      <c r="AX950" s="585"/>
      <c r="AY950" s="585"/>
      <c r="AZ950" s="585"/>
      <c r="BA950" s="585"/>
      <c r="BB950" s="585"/>
      <c r="BC950" s="585"/>
      <c r="BD950" s="585"/>
      <c r="BE950" s="585"/>
      <c r="BF950" s="585"/>
      <c r="BG950" s="585"/>
      <c r="BH950" s="585"/>
      <c r="BI950" s="585"/>
      <c r="BJ950" s="585"/>
      <c r="BK950" s="585"/>
      <c r="BL950" s="585"/>
      <c r="BM950" s="585"/>
      <c r="BN950" s="585"/>
      <c r="BO950" s="585"/>
      <c r="BP950" s="585"/>
      <c r="BQ950" s="585"/>
      <c r="BR950" s="585"/>
      <c r="BS950" s="585"/>
      <c r="BT950" s="585"/>
      <c r="BU950" s="585"/>
      <c r="BV950" s="585"/>
      <c r="BW950" s="585"/>
      <c r="BX950" s="585"/>
      <c r="BY950" s="585"/>
      <c r="BZ950" s="585"/>
      <c r="CA950" s="585"/>
      <c r="CB950" s="585"/>
      <c r="CC950" s="585"/>
      <c r="CD950" s="585"/>
      <c r="CE950" s="585"/>
      <c r="CF950" s="586"/>
    </row>
    <row r="951" spans="1:84" s="583" customFormat="1" ht="23.1" customHeight="1">
      <c r="A951" s="587"/>
      <c r="B951" s="574"/>
      <c r="C951" s="574"/>
      <c r="D951" s="405"/>
      <c r="E951" s="574"/>
      <c r="F951" s="422"/>
      <c r="G951" s="422"/>
      <c r="H951" s="422"/>
      <c r="I951" s="422"/>
      <c r="J951" s="422"/>
      <c r="K951" s="422"/>
      <c r="L951" s="422"/>
      <c r="M951" s="422"/>
      <c r="N951" s="574"/>
      <c r="O951" s="574"/>
      <c r="P951" s="574"/>
      <c r="Q951" s="574"/>
      <c r="R951" s="574"/>
      <c r="S951" s="588"/>
      <c r="T951" s="588"/>
      <c r="U951" s="588"/>
      <c r="V951" s="588"/>
      <c r="W951" s="588"/>
      <c r="X951" s="588"/>
      <c r="Y951" s="588"/>
      <c r="Z951" s="588"/>
      <c r="AA951" s="574"/>
      <c r="AB951" s="588"/>
      <c r="AC951" s="585"/>
      <c r="AD951" s="585"/>
      <c r="AE951" s="600"/>
      <c r="AF951" s="600"/>
      <c r="AG951" s="600"/>
      <c r="AH951" s="600"/>
      <c r="AI951" s="600"/>
      <c r="AJ951" s="600"/>
      <c r="AK951" s="600"/>
      <c r="AL951" s="600"/>
      <c r="AM951" s="585"/>
      <c r="AN951" s="585"/>
      <c r="AO951" s="574"/>
      <c r="AP951" s="430"/>
      <c r="AQ951" s="430"/>
      <c r="AR951" s="430"/>
      <c r="AS951" s="430"/>
      <c r="AT951" s="430"/>
      <c r="AU951" s="430"/>
      <c r="AV951" s="430"/>
      <c r="AW951" s="430"/>
      <c r="AX951" s="430"/>
      <c r="AY951" s="430"/>
      <c r="AZ951" s="430"/>
      <c r="BA951" s="430"/>
      <c r="BB951" s="430"/>
      <c r="BC951" s="430"/>
      <c r="BD951" s="574"/>
      <c r="BE951" s="574"/>
      <c r="BF951" s="574"/>
      <c r="BG951" s="574"/>
      <c r="BH951" s="574"/>
      <c r="BI951" s="574"/>
      <c r="BJ951" s="574"/>
      <c r="BK951" s="574"/>
      <c r="BL951" s="574"/>
      <c r="BM951" s="574"/>
      <c r="BN951" s="574"/>
      <c r="BO951" s="574"/>
      <c r="BP951" s="574"/>
      <c r="BQ951" s="574"/>
      <c r="BR951" s="574"/>
      <c r="BS951" s="574"/>
      <c r="BT951" s="574"/>
      <c r="BU951" s="574"/>
      <c r="BV951" s="574"/>
      <c r="BW951" s="574"/>
      <c r="BX951" s="574"/>
      <c r="BY951" s="574"/>
      <c r="BZ951" s="574"/>
      <c r="CA951" s="574"/>
      <c r="CB951" s="574"/>
      <c r="CC951" s="574"/>
      <c r="CD951" s="574"/>
      <c r="CE951" s="574"/>
      <c r="CF951" s="589"/>
    </row>
    <row r="952" spans="1:84" s="583" customFormat="1" ht="23.1" customHeight="1">
      <c r="A952" s="584"/>
      <c r="B952" s="585"/>
      <c r="C952" s="585"/>
      <c r="D952" s="585"/>
      <c r="E952" s="585"/>
      <c r="F952" s="585"/>
      <c r="G952" s="585"/>
      <c r="H952" s="585"/>
      <c r="I952" s="585"/>
      <c r="J952" s="585"/>
      <c r="K952" s="585"/>
      <c r="L952" s="585"/>
      <c r="M952" s="585"/>
      <c r="N952" s="585"/>
      <c r="O952" s="585"/>
      <c r="P952" s="585"/>
      <c r="Q952" s="585"/>
      <c r="R952" s="585"/>
      <c r="S952" s="585"/>
      <c r="T952" s="585"/>
      <c r="U952" s="585"/>
      <c r="V952" s="590"/>
      <c r="W952" s="590"/>
      <c r="X952" s="590"/>
      <c r="Y952" s="590"/>
      <c r="Z952" s="590"/>
      <c r="AA952" s="590"/>
      <c r="AB952" s="590"/>
      <c r="AC952" s="590"/>
      <c r="AD952" s="574"/>
      <c r="AE952" s="1440">
        <v>42791000</v>
      </c>
      <c r="AF952" s="1440"/>
      <c r="AG952" s="1440"/>
      <c r="AH952" s="1440"/>
      <c r="AI952" s="1440"/>
      <c r="AJ952" s="1440"/>
      <c r="AK952" s="1440"/>
      <c r="AL952" s="1440"/>
      <c r="AM952" s="1440"/>
      <c r="AN952" s="1440"/>
      <c r="AO952" s="1440"/>
      <c r="AP952" s="1440"/>
      <c r="AQ952" s="1440"/>
      <c r="AR952" s="1440"/>
      <c r="AS952" s="1440"/>
      <c r="AT952" s="1431" t="s">
        <v>446</v>
      </c>
      <c r="AU952" s="1431"/>
      <c r="AV952" s="1441" t="s">
        <v>1103</v>
      </c>
      <c r="AW952" s="1441"/>
      <c r="AX952" s="1442">
        <v>2598</v>
      </c>
      <c r="AY952" s="1442"/>
      <c r="AZ952" s="1442"/>
      <c r="BA952" s="1442"/>
      <c r="BB952" s="1442"/>
      <c r="BC952" s="1442"/>
      <c r="BD952" s="585"/>
      <c r="BE952" s="1431" t="s">
        <v>446</v>
      </c>
      <c r="BF952" s="1431"/>
      <c r="BG952" s="585"/>
      <c r="BH952" s="591" t="s">
        <v>1104</v>
      </c>
      <c r="BI952" s="585"/>
      <c r="BJ952" s="585"/>
      <c r="BK952" s="585"/>
      <c r="BL952" s="1431" t="s">
        <v>1105</v>
      </c>
      <c r="BM952" s="1431"/>
      <c r="BN952" s="1431"/>
      <c r="BO952" s="585"/>
      <c r="BP952" s="1431" t="s">
        <v>41</v>
      </c>
      <c r="BQ952" s="1431"/>
      <c r="BR952" s="585"/>
      <c r="BS952" s="585"/>
      <c r="BT952" s="1437">
        <f>INT(AE952*AX952*10^-7)</f>
        <v>11117</v>
      </c>
      <c r="BU952" s="1437"/>
      <c r="BV952" s="1437"/>
      <c r="BW952" s="1437"/>
      <c r="BX952" s="1437"/>
      <c r="BY952" s="1437"/>
      <c r="BZ952" s="1437"/>
      <c r="CA952" s="1437"/>
      <c r="CB952" s="1437"/>
      <c r="CC952" s="1437"/>
      <c r="CD952" s="585"/>
      <c r="CE952" s="585"/>
      <c r="CF952" s="586"/>
    </row>
    <row r="953" spans="1:84" s="583" customFormat="1" ht="23.1" customHeight="1">
      <c r="A953" s="592"/>
      <c r="B953" s="593" t="s">
        <v>1106</v>
      </c>
      <c r="C953" s="593"/>
      <c r="D953" s="593"/>
      <c r="E953" s="593"/>
      <c r="F953" s="593"/>
      <c r="G953" s="593"/>
      <c r="H953" s="593"/>
      <c r="I953" s="593"/>
      <c r="J953" s="593"/>
      <c r="K953" s="593"/>
      <c r="L953" s="593"/>
      <c r="M953" s="593"/>
      <c r="N953" s="593"/>
      <c r="O953" s="593"/>
      <c r="P953" s="593"/>
      <c r="Q953" s="593"/>
      <c r="R953" s="593"/>
      <c r="S953" s="593"/>
      <c r="T953" s="593"/>
      <c r="U953" s="593"/>
      <c r="V953" s="593"/>
      <c r="W953" s="593"/>
      <c r="X953" s="593"/>
      <c r="Y953" s="593"/>
      <c r="Z953" s="593"/>
      <c r="AA953" s="593"/>
      <c r="AB953" s="593"/>
      <c r="AC953" s="593"/>
      <c r="AD953" s="593"/>
      <c r="AE953" s="593"/>
      <c r="AF953" s="593"/>
      <c r="AG953" s="593"/>
      <c r="AH953" s="593"/>
      <c r="AI953" s="593"/>
      <c r="AJ953" s="593"/>
      <c r="AK953" s="593"/>
      <c r="AL953" s="593"/>
      <c r="AM953" s="593"/>
      <c r="AN953" s="593"/>
      <c r="AO953" s="593"/>
      <c r="AP953" s="593"/>
      <c r="AQ953" s="593"/>
      <c r="AR953" s="593"/>
      <c r="AS953" s="593"/>
      <c r="AT953" s="593"/>
      <c r="AU953" s="593"/>
      <c r="AV953" s="593"/>
      <c r="AW953" s="593"/>
      <c r="AX953" s="593"/>
      <c r="AY953" s="593"/>
      <c r="AZ953" s="593"/>
      <c r="BA953" s="593"/>
      <c r="BB953" s="593"/>
      <c r="BC953" s="593"/>
      <c r="BD953" s="593"/>
      <c r="BE953" s="593"/>
      <c r="BF953" s="593"/>
      <c r="BG953" s="593"/>
      <c r="BH953" s="593"/>
      <c r="BI953" s="593"/>
      <c r="BJ953" s="593"/>
      <c r="BK953" s="593"/>
      <c r="BL953" s="593"/>
      <c r="BM953" s="593"/>
      <c r="BN953" s="593"/>
      <c r="BO953" s="593"/>
      <c r="BP953" s="593"/>
      <c r="BQ953" s="593"/>
      <c r="BR953" s="593"/>
      <c r="BS953" s="593"/>
      <c r="BT953" s="594"/>
      <c r="BU953" s="594"/>
      <c r="BV953" s="594"/>
      <c r="BW953" s="594"/>
      <c r="BX953" s="594"/>
      <c r="BY953" s="594"/>
      <c r="BZ953" s="594"/>
      <c r="CA953" s="594"/>
      <c r="CB953" s="594"/>
      <c r="CC953" s="594"/>
      <c r="CD953" s="593"/>
      <c r="CE953" s="593"/>
      <c r="CF953" s="595"/>
    </row>
    <row r="954" spans="1:84" s="583" customFormat="1" ht="23.1" customHeight="1">
      <c r="A954" s="584"/>
      <c r="B954" s="585"/>
      <c r="C954" s="585"/>
      <c r="D954" s="596" t="s">
        <v>1092</v>
      </c>
      <c r="E954" s="585"/>
      <c r="F954" s="585"/>
      <c r="G954" s="585"/>
      <c r="H954" s="585"/>
      <c r="I954" s="585"/>
      <c r="J954" s="585"/>
      <c r="K954" s="585"/>
      <c r="L954" s="585"/>
      <c r="M954" s="585"/>
      <c r="N954" s="585"/>
      <c r="O954" s="585"/>
      <c r="P954" s="585"/>
      <c r="Q954" s="585"/>
      <c r="R954" s="585"/>
      <c r="S954" s="585"/>
      <c r="T954" s="574"/>
      <c r="U954" s="574"/>
      <c r="V954" s="1435">
        <f>HLOOKUP(D954,$CJ$1:$CM$3,3,0)</f>
        <v>238936</v>
      </c>
      <c r="W954" s="1435"/>
      <c r="X954" s="1435"/>
      <c r="Y954" s="1435"/>
      <c r="Z954" s="1435"/>
      <c r="AA954" s="1435"/>
      <c r="AB954" s="1435"/>
      <c r="AC954" s="1435"/>
      <c r="AD954" s="1435"/>
      <c r="AE954" s="1435"/>
      <c r="AF954" s="1431" t="s">
        <v>446</v>
      </c>
      <c r="AG954" s="1431"/>
      <c r="AH954" s="574"/>
      <c r="AI954" s="1436" t="s">
        <v>1107</v>
      </c>
      <c r="AJ954" s="1436"/>
      <c r="AK954" s="1436"/>
      <c r="AL954" s="1436"/>
      <c r="AM954" s="585"/>
      <c r="AN954" s="1431" t="s">
        <v>446</v>
      </c>
      <c r="AO954" s="1431"/>
      <c r="AP954" s="585"/>
      <c r="AQ954" s="1436" t="s">
        <v>1108</v>
      </c>
      <c r="AR954" s="1436"/>
      <c r="AS954" s="1436"/>
      <c r="AT954" s="1436"/>
      <c r="AU954" s="1436"/>
      <c r="AV954" s="422"/>
      <c r="AW954" s="1431" t="s">
        <v>446</v>
      </c>
      <c r="AX954" s="1431"/>
      <c r="AY954" s="440"/>
      <c r="AZ954" s="1436" t="s">
        <v>1109</v>
      </c>
      <c r="BA954" s="1436"/>
      <c r="BB954" s="1436"/>
      <c r="BC954" s="1436"/>
      <c r="BD954" s="1436"/>
      <c r="BE954" s="585"/>
      <c r="BF954" s="1431" t="s">
        <v>446</v>
      </c>
      <c r="BG954" s="1431"/>
      <c r="BH954" s="1431">
        <v>1</v>
      </c>
      <c r="BI954" s="1431"/>
      <c r="BJ954" s="1431"/>
      <c r="BK954" s="585"/>
      <c r="BL954" s="585" t="s">
        <v>366</v>
      </c>
      <c r="BM954" s="585"/>
      <c r="BN954" s="585"/>
      <c r="BO954" s="585"/>
      <c r="BP954" s="1431" t="s">
        <v>41</v>
      </c>
      <c r="BQ954" s="1431"/>
      <c r="BR954" s="585"/>
      <c r="BS954" s="585"/>
      <c r="BT954" s="1432">
        <f>INT(V954/8*16/12*25/20*BH954)</f>
        <v>49778</v>
      </c>
      <c r="BU954" s="1432"/>
      <c r="BV954" s="1432"/>
      <c r="BW954" s="1432"/>
      <c r="BX954" s="1432"/>
      <c r="BY954" s="1432"/>
      <c r="BZ954" s="1432"/>
      <c r="CA954" s="1432"/>
      <c r="CB954" s="1432"/>
      <c r="CC954" s="1432"/>
      <c r="CD954" s="585"/>
      <c r="CE954" s="585"/>
      <c r="CF954" s="586"/>
    </row>
    <row r="955" spans="1:84" s="583" customFormat="1" ht="23.1" customHeight="1">
      <c r="A955" s="584"/>
      <c r="B955" s="585"/>
      <c r="C955" s="585"/>
      <c r="D955" s="585"/>
      <c r="E955" s="585"/>
      <c r="F955" s="585"/>
      <c r="G955" s="585"/>
      <c r="H955" s="585"/>
      <c r="I955" s="585"/>
      <c r="J955" s="585"/>
      <c r="K955" s="585"/>
      <c r="L955" s="585"/>
      <c r="M955" s="585"/>
      <c r="N955" s="585"/>
      <c r="O955" s="585"/>
      <c r="P955" s="574"/>
      <c r="Q955" s="574"/>
      <c r="R955" s="574"/>
      <c r="S955" s="574"/>
      <c r="T955" s="574"/>
      <c r="U955" s="574"/>
      <c r="V955" s="574"/>
      <c r="W955" s="574"/>
      <c r="X955" s="574"/>
      <c r="Y955" s="574"/>
      <c r="Z955" s="574"/>
      <c r="AA955" s="574"/>
      <c r="AB955" s="574"/>
      <c r="AC955" s="574"/>
      <c r="AD955" s="574"/>
      <c r="AE955" s="574"/>
      <c r="AF955" s="574"/>
      <c r="AG955" s="574"/>
      <c r="AH955" s="574"/>
      <c r="AI955" s="574"/>
      <c r="AJ955" s="574"/>
      <c r="AK955" s="574"/>
      <c r="AL955" s="574"/>
      <c r="AM955" s="574"/>
      <c r="AN955" s="574"/>
      <c r="AO955" s="574"/>
      <c r="AP955" s="574"/>
      <c r="AQ955" s="574"/>
      <c r="AR955" s="574"/>
      <c r="AS955" s="574"/>
      <c r="AT955" s="574"/>
      <c r="AU955" s="574"/>
      <c r="AV955" s="574"/>
      <c r="AW955" s="574"/>
      <c r="AX955" s="574"/>
      <c r="AY955" s="574"/>
      <c r="AZ955" s="574"/>
      <c r="BA955" s="574"/>
      <c r="BB955" s="574"/>
      <c r="BC955" s="574"/>
      <c r="BD955" s="574"/>
      <c r="BE955" s="574"/>
      <c r="BF955" s="574"/>
      <c r="BG955" s="585"/>
      <c r="BH955" s="585"/>
      <c r="BI955" s="585"/>
      <c r="BJ955" s="585"/>
      <c r="BK955" s="585"/>
      <c r="BL955" s="585"/>
      <c r="BM955" s="585"/>
      <c r="BN955" s="585"/>
      <c r="BO955" s="585"/>
      <c r="BP955" s="1431"/>
      <c r="BQ955" s="1431"/>
      <c r="BR955" s="585"/>
      <c r="BS955" s="585"/>
      <c r="BT955" s="1432"/>
      <c r="BU955" s="1432"/>
      <c r="BV955" s="1432"/>
      <c r="BW955" s="1432"/>
      <c r="BX955" s="1432"/>
      <c r="BY955" s="1432"/>
      <c r="BZ955" s="1432"/>
      <c r="CA955" s="1432"/>
      <c r="CB955" s="1432"/>
      <c r="CC955" s="1432"/>
      <c r="CD955" s="585"/>
      <c r="CE955" s="585"/>
      <c r="CF955" s="586"/>
    </row>
    <row r="956" spans="1:84" s="583" customFormat="1" ht="23.1" customHeight="1">
      <c r="A956" s="584"/>
      <c r="B956" s="585"/>
      <c r="C956" s="585"/>
      <c r="D956" s="585"/>
      <c r="E956" s="585"/>
      <c r="F956" s="585"/>
      <c r="G956" s="585"/>
      <c r="H956" s="585"/>
      <c r="I956" s="585"/>
      <c r="J956" s="585"/>
      <c r="K956" s="585"/>
      <c r="L956" s="585"/>
      <c r="M956" s="585"/>
      <c r="N956" s="585"/>
      <c r="O956" s="585"/>
      <c r="P956" s="585"/>
      <c r="Q956" s="585"/>
      <c r="R956" s="585"/>
      <c r="S956" s="585"/>
      <c r="T956" s="585"/>
      <c r="U956" s="585"/>
      <c r="V956" s="585"/>
      <c r="W956" s="585"/>
      <c r="X956" s="585"/>
      <c r="Y956" s="585"/>
      <c r="Z956" s="585"/>
      <c r="AA956" s="585"/>
      <c r="AB956" s="585"/>
      <c r="AC956" s="585"/>
      <c r="AD956" s="574"/>
      <c r="AE956" s="574"/>
      <c r="AF956" s="574"/>
      <c r="AG956" s="574"/>
      <c r="AH956" s="574"/>
      <c r="AI956" s="574"/>
      <c r="AJ956" s="574"/>
      <c r="AK956" s="574"/>
      <c r="AL956" s="574"/>
      <c r="AM956" s="574"/>
      <c r="AN956" s="574"/>
      <c r="AO956" s="574"/>
      <c r="AP956" s="574"/>
      <c r="AQ956" s="574"/>
      <c r="AR956" s="574"/>
      <c r="AS956" s="585"/>
      <c r="AT956" s="590"/>
      <c r="AU956" s="590"/>
      <c r="AV956" s="585"/>
      <c r="AW956" s="585"/>
      <c r="AX956" s="585"/>
      <c r="AY956" s="585"/>
      <c r="AZ956" s="585"/>
      <c r="BA956" s="585"/>
      <c r="BB956" s="585"/>
      <c r="BC956" s="585"/>
      <c r="BD956" s="585"/>
      <c r="BE956" s="585"/>
      <c r="BF956" s="585"/>
      <c r="BG956" s="585"/>
      <c r="BH956" s="585"/>
      <c r="BI956" s="585"/>
      <c r="BJ956" s="585"/>
      <c r="BK956" s="585"/>
      <c r="BL956" s="585"/>
      <c r="BM956" s="585"/>
      <c r="BN956" s="585"/>
      <c r="BO956" s="585"/>
      <c r="BP956" s="1431" t="s">
        <v>41</v>
      </c>
      <c r="BQ956" s="1431"/>
      <c r="BR956" s="585"/>
      <c r="BS956" s="585"/>
      <c r="BT956" s="1434">
        <f>BT954+BT955</f>
        <v>49778</v>
      </c>
      <c r="BU956" s="1434"/>
      <c r="BV956" s="1434"/>
      <c r="BW956" s="1434"/>
      <c r="BX956" s="1434"/>
      <c r="BY956" s="1434"/>
      <c r="BZ956" s="1434"/>
      <c r="CA956" s="1434"/>
      <c r="CB956" s="1434"/>
      <c r="CC956" s="1434"/>
      <c r="CD956" s="585"/>
      <c r="CE956" s="585"/>
      <c r="CF956" s="586"/>
    </row>
    <row r="957" spans="1:84" s="583" customFormat="1" ht="23.1" customHeight="1">
      <c r="A957" s="592"/>
      <c r="B957" s="593" t="s">
        <v>1110</v>
      </c>
      <c r="C957" s="593"/>
      <c r="D957" s="593"/>
      <c r="E957" s="593"/>
      <c r="F957" s="593"/>
      <c r="G957" s="593"/>
      <c r="H957" s="593"/>
      <c r="I957" s="593"/>
      <c r="J957" s="593"/>
      <c r="K957" s="593"/>
      <c r="L957" s="593"/>
      <c r="M957" s="593"/>
      <c r="N957" s="593"/>
      <c r="O957" s="593"/>
      <c r="P957" s="593"/>
      <c r="Q957" s="593"/>
      <c r="R957" s="593"/>
      <c r="S957" s="593"/>
      <c r="T957" s="593"/>
      <c r="U957" s="593"/>
      <c r="V957" s="593"/>
      <c r="W957" s="593"/>
      <c r="X957" s="593"/>
      <c r="Y957" s="593"/>
      <c r="Z957" s="593"/>
      <c r="AA957" s="593"/>
      <c r="AB957" s="593"/>
      <c r="AC957" s="593"/>
      <c r="AD957" s="593"/>
      <c r="AE957" s="593"/>
      <c r="AF957" s="593"/>
      <c r="AG957" s="593"/>
      <c r="AH957" s="593"/>
      <c r="AI957" s="593"/>
      <c r="AJ957" s="593"/>
      <c r="AK957" s="593"/>
      <c r="AL957" s="593"/>
      <c r="AM957" s="593"/>
      <c r="AN957" s="593"/>
      <c r="AO957" s="593"/>
      <c r="AP957" s="593"/>
      <c r="AQ957" s="593"/>
      <c r="AR957" s="593"/>
      <c r="AS957" s="593"/>
      <c r="AT957" s="593"/>
      <c r="AU957" s="593"/>
      <c r="AV957" s="593"/>
      <c r="AW957" s="593"/>
      <c r="AX957" s="593"/>
      <c r="AY957" s="593"/>
      <c r="AZ957" s="593"/>
      <c r="BA957" s="593"/>
      <c r="BB957" s="593"/>
      <c r="BC957" s="593"/>
      <c r="BD957" s="593"/>
      <c r="BE957" s="593"/>
      <c r="BF957" s="593"/>
      <c r="BG957" s="593"/>
      <c r="BH957" s="593"/>
      <c r="BI957" s="593"/>
      <c r="BJ957" s="593"/>
      <c r="BK957" s="593"/>
      <c r="BL957" s="593"/>
      <c r="BM957" s="593"/>
      <c r="BN957" s="593"/>
      <c r="BO957" s="593"/>
      <c r="BP957" s="593"/>
      <c r="BQ957" s="593"/>
      <c r="BR957" s="593"/>
      <c r="BS957" s="593"/>
      <c r="BT957" s="593"/>
      <c r="BU957" s="593"/>
      <c r="BV957" s="593"/>
      <c r="BW957" s="593"/>
      <c r="BX957" s="593"/>
      <c r="BY957" s="593"/>
      <c r="BZ957" s="593"/>
      <c r="CA957" s="593"/>
      <c r="CB957" s="593"/>
      <c r="CC957" s="593"/>
      <c r="CD957" s="593"/>
      <c r="CE957" s="593"/>
      <c r="CF957" s="595"/>
    </row>
    <row r="958" spans="1:84" s="583" customFormat="1" ht="23.1" customHeight="1">
      <c r="A958" s="584"/>
      <c r="B958" s="585"/>
      <c r="C958" s="585"/>
      <c r="D958" s="596" t="s">
        <v>1094</v>
      </c>
      <c r="E958" s="585"/>
      <c r="F958" s="585"/>
      <c r="G958" s="585"/>
      <c r="H958" s="585"/>
      <c r="I958" s="585"/>
      <c r="J958" s="585"/>
      <c r="K958" s="585"/>
      <c r="L958" s="585"/>
      <c r="M958" s="585"/>
      <c r="N958" s="585"/>
      <c r="O958" s="585"/>
      <c r="P958" s="585"/>
      <c r="Q958" s="585"/>
      <c r="R958" s="585"/>
      <c r="S958" s="585"/>
      <c r="T958" s="585"/>
      <c r="U958" s="585"/>
      <c r="V958" s="585"/>
      <c r="W958" s="585"/>
      <c r="X958" s="585"/>
      <c r="Y958" s="585"/>
      <c r="Z958" s="585"/>
      <c r="AA958" s="585"/>
      <c r="AB958" s="585"/>
      <c r="AC958" s="585"/>
      <c r="AD958" s="585"/>
      <c r="AE958" s="585"/>
      <c r="AF958" s="585"/>
      <c r="AG958" s="585"/>
      <c r="AH958" s="585"/>
      <c r="AI958" s="585"/>
      <c r="AJ958" s="585"/>
      <c r="AK958" s="585"/>
      <c r="AL958" s="585"/>
      <c r="AM958" s="585"/>
      <c r="AN958" s="585"/>
      <c r="AO958" s="585"/>
      <c r="AP958" s="585"/>
      <c r="AQ958" s="585"/>
      <c r="AR958" s="422"/>
      <c r="AS958" s="1435" t="e">
        <f>HLOOKUP(D958,$CN$1:$CO$3,3,0)</f>
        <v>#REF!</v>
      </c>
      <c r="AT958" s="1435"/>
      <c r="AU958" s="1435"/>
      <c r="AV958" s="1435"/>
      <c r="AW958" s="1435"/>
      <c r="AX958" s="1435"/>
      <c r="AY958" s="1435"/>
      <c r="AZ958" s="1435"/>
      <c r="BA958" s="1435"/>
      <c r="BB958" s="1435"/>
      <c r="BC958" s="585"/>
      <c r="BD958" s="1431" t="s">
        <v>446</v>
      </c>
      <c r="BE958" s="1431"/>
      <c r="BF958" s="585"/>
      <c r="BG958" s="1431">
        <v>5.0999999999999996</v>
      </c>
      <c r="BH958" s="1431"/>
      <c r="BI958" s="1431"/>
      <c r="BJ958" s="1431"/>
      <c r="BK958" s="1431"/>
      <c r="BL958" s="585" t="s">
        <v>1111</v>
      </c>
      <c r="BM958" s="585"/>
      <c r="BN958" s="585"/>
      <c r="BO958" s="585"/>
      <c r="BP958" s="1431" t="s">
        <v>41</v>
      </c>
      <c r="BQ958" s="1431"/>
      <c r="BR958" s="585"/>
      <c r="BS958" s="585"/>
      <c r="BT958" s="1432" t="e">
        <f>INT(AS958*BG958)</f>
        <v>#REF!</v>
      </c>
      <c r="BU958" s="1432"/>
      <c r="BV958" s="1432"/>
      <c r="BW958" s="1432"/>
      <c r="BX958" s="1432"/>
      <c r="BY958" s="1432"/>
      <c r="BZ958" s="1432"/>
      <c r="CA958" s="1432"/>
      <c r="CB958" s="1432"/>
      <c r="CC958" s="1432"/>
      <c r="CD958" s="585"/>
      <c r="CE958" s="585"/>
      <c r="CF958" s="586"/>
    </row>
    <row r="959" spans="1:84" s="583" customFormat="1" ht="23.1" customHeight="1">
      <c r="A959" s="584"/>
      <c r="B959" s="585"/>
      <c r="C959" s="585"/>
      <c r="D959" s="591" t="str">
        <f>"잡재료 (주연료의 "&amp;BG959&amp;"%) :"</f>
        <v>잡재료 (주연료의 20%) :</v>
      </c>
      <c r="E959" s="585"/>
      <c r="F959" s="585"/>
      <c r="G959" s="585"/>
      <c r="H959" s="585"/>
      <c r="I959" s="585"/>
      <c r="J959" s="585"/>
      <c r="K959" s="585"/>
      <c r="L959" s="585"/>
      <c r="M959" s="585"/>
      <c r="N959" s="585"/>
      <c r="O959" s="585"/>
      <c r="P959" s="585"/>
      <c r="Q959" s="585"/>
      <c r="R959" s="585"/>
      <c r="S959" s="585"/>
      <c r="T959" s="585"/>
      <c r="U959" s="585"/>
      <c r="V959" s="585"/>
      <c r="W959" s="585"/>
      <c r="X959" s="585"/>
      <c r="Y959" s="585"/>
      <c r="Z959" s="585"/>
      <c r="AA959" s="585"/>
      <c r="AB959" s="585"/>
      <c r="AC959" s="585"/>
      <c r="AD959" s="585"/>
      <c r="AE959" s="585"/>
      <c r="AF959" s="585"/>
      <c r="AG959" s="585"/>
      <c r="AH959" s="585"/>
      <c r="AI959" s="585"/>
      <c r="AJ959" s="585"/>
      <c r="AK959" s="585"/>
      <c r="AL959" s="585"/>
      <c r="AM959" s="585"/>
      <c r="AN959" s="585"/>
      <c r="AO959" s="585"/>
      <c r="AP959" s="585"/>
      <c r="AQ959" s="585"/>
      <c r="AR959" s="422" t="e">
        <f>BT958</f>
        <v>#REF!</v>
      </c>
      <c r="AS959" s="1430" t="e">
        <f>BT958</f>
        <v>#REF!</v>
      </c>
      <c r="AT959" s="1430"/>
      <c r="AU959" s="1430"/>
      <c r="AV959" s="1430"/>
      <c r="AW959" s="1430"/>
      <c r="AX959" s="1430"/>
      <c r="AY959" s="1430"/>
      <c r="AZ959" s="1430"/>
      <c r="BA959" s="1430"/>
      <c r="BB959" s="1430"/>
      <c r="BC959" s="585"/>
      <c r="BD959" s="1431" t="s">
        <v>446</v>
      </c>
      <c r="BE959" s="1431"/>
      <c r="BF959" s="585"/>
      <c r="BG959" s="1431">
        <v>20</v>
      </c>
      <c r="BH959" s="1431"/>
      <c r="BI959" s="1431"/>
      <c r="BJ959" s="1431"/>
      <c r="BK959" s="1431"/>
      <c r="BL959" s="585" t="s">
        <v>1112</v>
      </c>
      <c r="BM959" s="585"/>
      <c r="BN959" s="585"/>
      <c r="BO959" s="585"/>
      <c r="BP959" s="1431" t="s">
        <v>41</v>
      </c>
      <c r="BQ959" s="1431"/>
      <c r="BR959" s="585"/>
      <c r="BS959" s="585"/>
      <c r="BT959" s="1432" t="e">
        <f>INT(AS959*BG959/100)</f>
        <v>#REF!</v>
      </c>
      <c r="BU959" s="1432"/>
      <c r="BV959" s="1432"/>
      <c r="BW959" s="1432"/>
      <c r="BX959" s="1432"/>
      <c r="BY959" s="1432"/>
      <c r="BZ959" s="1432"/>
      <c r="CA959" s="1432"/>
      <c r="CB959" s="1432"/>
      <c r="CC959" s="1432"/>
      <c r="CD959" s="585"/>
      <c r="CE959" s="585"/>
      <c r="CF959" s="586"/>
    </row>
    <row r="960" spans="1:84" s="583" customFormat="1" ht="23.1" customHeight="1" thickBot="1">
      <c r="A960" s="584"/>
      <c r="B960" s="585"/>
      <c r="C960" s="585"/>
      <c r="D960" s="585"/>
      <c r="E960" s="585"/>
      <c r="F960" s="585"/>
      <c r="G960" s="585"/>
      <c r="H960" s="585"/>
      <c r="I960" s="585"/>
      <c r="J960" s="585"/>
      <c r="K960" s="585"/>
      <c r="L960" s="585"/>
      <c r="M960" s="585"/>
      <c r="N960" s="585"/>
      <c r="O960" s="585"/>
      <c r="P960" s="585"/>
      <c r="Q960" s="585"/>
      <c r="R960" s="585"/>
      <c r="S960" s="585"/>
      <c r="T960" s="585"/>
      <c r="U960" s="585"/>
      <c r="V960" s="585"/>
      <c r="W960" s="585"/>
      <c r="X960" s="585"/>
      <c r="Y960" s="585"/>
      <c r="Z960" s="585"/>
      <c r="AA960" s="585"/>
      <c r="AB960" s="585"/>
      <c r="AC960" s="585"/>
      <c r="AD960" s="585"/>
      <c r="AE960" s="585"/>
      <c r="AF960" s="585"/>
      <c r="AG960" s="585"/>
      <c r="AH960" s="585"/>
      <c r="AI960" s="585"/>
      <c r="AJ960" s="585"/>
      <c r="AK960" s="585"/>
      <c r="AL960" s="585"/>
      <c r="AM960" s="585"/>
      <c r="AN960" s="585"/>
      <c r="AO960" s="585"/>
      <c r="AP960" s="585"/>
      <c r="AQ960" s="585"/>
      <c r="AR960" s="585"/>
      <c r="AS960" s="585"/>
      <c r="AT960" s="585"/>
      <c r="AU960" s="585"/>
      <c r="AV960" s="585"/>
      <c r="AW960" s="585"/>
      <c r="AX960" s="585"/>
      <c r="AY960" s="585"/>
      <c r="AZ960" s="585"/>
      <c r="BA960" s="585"/>
      <c r="BB960" s="585"/>
      <c r="BC960" s="585"/>
      <c r="BD960" s="585"/>
      <c r="BE960" s="585"/>
      <c r="BF960" s="585"/>
      <c r="BG960" s="585"/>
      <c r="BH960" s="585"/>
      <c r="BI960" s="585"/>
      <c r="BJ960" s="585"/>
      <c r="BK960" s="585"/>
      <c r="BL960" s="585"/>
      <c r="BM960" s="585"/>
      <c r="BN960" s="585"/>
      <c r="BO960" s="585"/>
      <c r="BP960" s="1431" t="s">
        <v>41</v>
      </c>
      <c r="BQ960" s="1431"/>
      <c r="BR960" s="585"/>
      <c r="BS960" s="585"/>
      <c r="BT960" s="1433" t="e">
        <f>BT958+BT959</f>
        <v>#REF!</v>
      </c>
      <c r="BU960" s="1433"/>
      <c r="BV960" s="1433"/>
      <c r="BW960" s="1433"/>
      <c r="BX960" s="1433"/>
      <c r="BY960" s="1433"/>
      <c r="BZ960" s="1433"/>
      <c r="CA960" s="1433"/>
      <c r="CB960" s="1433"/>
      <c r="CC960" s="1433"/>
      <c r="CD960" s="585"/>
      <c r="CE960" s="585"/>
      <c r="CF960" s="586"/>
    </row>
    <row r="961" spans="1:84" s="583" customFormat="1" ht="23.1" customHeight="1" thickBot="1">
      <c r="A961" s="597"/>
      <c r="B961" s="598" t="s">
        <v>1113</v>
      </c>
      <c r="C961" s="598"/>
      <c r="D961" s="598"/>
      <c r="E961" s="598"/>
      <c r="F961" s="598"/>
      <c r="G961" s="598"/>
      <c r="H961" s="598"/>
      <c r="I961" s="598"/>
      <c r="J961" s="598"/>
      <c r="K961" s="598"/>
      <c r="L961" s="598"/>
      <c r="M961" s="598"/>
      <c r="N961" s="598"/>
      <c r="O961" s="598"/>
      <c r="P961" s="598"/>
      <c r="Q961" s="598"/>
      <c r="R961" s="598"/>
      <c r="S961" s="598"/>
      <c r="T961" s="598"/>
      <c r="U961" s="598"/>
      <c r="V961" s="598"/>
      <c r="W961" s="598"/>
      <c r="X961" s="598"/>
      <c r="Y961" s="598"/>
      <c r="Z961" s="598"/>
      <c r="AA961" s="598"/>
      <c r="AB961" s="598"/>
      <c r="AC961" s="598"/>
      <c r="AD961" s="598"/>
      <c r="AE961" s="598"/>
      <c r="AF961" s="598"/>
      <c r="AG961" s="598"/>
      <c r="AH961" s="598"/>
      <c r="AI961" s="598"/>
      <c r="AJ961" s="598"/>
      <c r="AK961" s="598"/>
      <c r="AL961" s="598"/>
      <c r="AM961" s="598"/>
      <c r="AN961" s="598"/>
      <c r="AO961" s="598"/>
      <c r="AP961" s="598"/>
      <c r="AQ961" s="598"/>
      <c r="AR961" s="598"/>
      <c r="AS961" s="598"/>
      <c r="AT961" s="598"/>
      <c r="AU961" s="598"/>
      <c r="AV961" s="598"/>
      <c r="AW961" s="598"/>
      <c r="AX961" s="598"/>
      <c r="AY961" s="598"/>
      <c r="AZ961" s="598"/>
      <c r="BA961" s="598"/>
      <c r="BB961" s="598"/>
      <c r="BC961" s="598"/>
      <c r="BD961" s="598"/>
      <c r="BE961" s="598"/>
      <c r="BF961" s="598"/>
      <c r="BG961" s="598"/>
      <c r="BH961" s="598"/>
      <c r="BI961" s="598"/>
      <c r="BJ961" s="598"/>
      <c r="BK961" s="598"/>
      <c r="BL961" s="598"/>
      <c r="BM961" s="598"/>
      <c r="BN961" s="598"/>
      <c r="BO961" s="598"/>
      <c r="BP961" s="598"/>
      <c r="BQ961" s="598"/>
      <c r="BR961" s="598"/>
      <c r="BS961" s="598"/>
      <c r="BT961" s="1429" t="e">
        <f>BT952+BT956+BT960</f>
        <v>#REF!</v>
      </c>
      <c r="BU961" s="1429"/>
      <c r="BV961" s="1429"/>
      <c r="BW961" s="1429"/>
      <c r="BX961" s="1429"/>
      <c r="BY961" s="1429"/>
      <c r="BZ961" s="1429"/>
      <c r="CA961" s="1429"/>
      <c r="CB961" s="1429"/>
      <c r="CC961" s="1429"/>
      <c r="CD961" s="598"/>
      <c r="CE961" s="598"/>
      <c r="CF961" s="599"/>
    </row>
    <row r="962" spans="1:84" s="583" customFormat="1" ht="9.9499999999999993" customHeight="1">
      <c r="A962" s="574"/>
      <c r="B962" s="574"/>
      <c r="C962" s="574"/>
      <c r="D962" s="574"/>
      <c r="E962" s="574"/>
      <c r="F962" s="574"/>
      <c r="G962" s="574"/>
      <c r="H962" s="574"/>
      <c r="I962" s="574"/>
      <c r="J962" s="574"/>
      <c r="K962" s="574"/>
      <c r="L962" s="574"/>
      <c r="M962" s="574"/>
      <c r="N962" s="574"/>
      <c r="O962" s="574"/>
      <c r="P962" s="574"/>
      <c r="Q962" s="574"/>
      <c r="R962" s="574"/>
      <c r="S962" s="574"/>
      <c r="T962" s="574"/>
      <c r="U962" s="574"/>
      <c r="V962" s="574"/>
      <c r="W962" s="574"/>
      <c r="X962" s="574"/>
      <c r="Y962" s="574"/>
      <c r="Z962" s="574"/>
      <c r="AA962" s="574"/>
      <c r="AB962" s="574"/>
      <c r="AC962" s="574"/>
      <c r="AD962" s="574"/>
      <c r="AE962" s="574"/>
      <c r="AF962" s="574"/>
      <c r="AG962" s="574"/>
      <c r="AH962" s="574"/>
      <c r="AI962" s="574"/>
      <c r="AJ962" s="574"/>
      <c r="AK962" s="574"/>
      <c r="AL962" s="574"/>
      <c r="AM962" s="574"/>
      <c r="AN962" s="574"/>
      <c r="AO962" s="574"/>
      <c r="AP962" s="574"/>
      <c r="AQ962" s="574"/>
      <c r="AR962" s="574"/>
      <c r="AS962" s="574"/>
      <c r="AT962" s="574"/>
      <c r="AU962" s="574"/>
      <c r="AV962" s="574"/>
      <c r="AW962" s="574"/>
      <c r="AX962" s="574"/>
      <c r="AY962" s="574"/>
      <c r="AZ962" s="574"/>
      <c r="BA962" s="574"/>
      <c r="BB962" s="574"/>
      <c r="BC962" s="574"/>
      <c r="BD962" s="574"/>
      <c r="BE962" s="574"/>
      <c r="BF962" s="574"/>
      <c r="BG962" s="574"/>
      <c r="BH962" s="574"/>
      <c r="BI962" s="574"/>
      <c r="BJ962" s="574"/>
      <c r="BK962" s="574"/>
      <c r="BL962" s="574"/>
      <c r="BM962" s="574"/>
      <c r="BN962" s="574"/>
      <c r="BO962" s="574"/>
      <c r="BP962" s="574"/>
      <c r="BQ962" s="574"/>
      <c r="BR962" s="574"/>
      <c r="BS962" s="574"/>
      <c r="BT962" s="574"/>
      <c r="BU962" s="574"/>
      <c r="BV962" s="574"/>
      <c r="BW962" s="574"/>
      <c r="BX962" s="574"/>
      <c r="BY962" s="574"/>
      <c r="BZ962" s="574"/>
      <c r="CA962" s="574"/>
      <c r="CB962" s="574"/>
      <c r="CC962" s="574"/>
      <c r="CD962" s="574"/>
      <c r="CE962" s="574"/>
      <c r="CF962" s="574"/>
    </row>
    <row r="963" spans="1:84" s="583" customFormat="1" ht="23.1" customHeight="1" thickBot="1">
      <c r="A963" s="1446" t="s">
        <v>1095</v>
      </c>
      <c r="B963" s="1446"/>
      <c r="C963" s="1446"/>
      <c r="D963" s="1446"/>
      <c r="E963" s="1446"/>
      <c r="F963" s="1446"/>
      <c r="G963" s="1447">
        <f>G948+1</f>
        <v>65</v>
      </c>
      <c r="H963" s="1447"/>
      <c r="I963" s="1447"/>
      <c r="J963" s="1448" t="s">
        <v>1096</v>
      </c>
      <c r="K963" s="1448"/>
      <c r="L963" s="574"/>
      <c r="M963" s="574"/>
      <c r="N963" s="574"/>
      <c r="O963" s="574"/>
      <c r="P963" s="574"/>
      <c r="Q963" s="574"/>
      <c r="R963" s="574"/>
      <c r="S963" s="574"/>
      <c r="T963" s="574"/>
      <c r="U963" s="574"/>
      <c r="V963" s="574"/>
      <c r="W963" s="574"/>
      <c r="X963" s="574"/>
      <c r="Y963" s="574"/>
      <c r="Z963" s="574"/>
      <c r="AA963" s="574"/>
      <c r="AB963" s="574"/>
      <c r="AC963" s="574"/>
      <c r="AD963" s="574"/>
      <c r="AE963" s="574"/>
      <c r="AF963" s="574"/>
      <c r="AG963" s="574"/>
      <c r="AH963" s="574"/>
      <c r="AI963" s="574"/>
      <c r="AJ963" s="574"/>
      <c r="AK963" s="574"/>
      <c r="AL963" s="574"/>
      <c r="AM963" s="574"/>
      <c r="AN963" s="574"/>
      <c r="AO963" s="574"/>
      <c r="AP963" s="574"/>
      <c r="AQ963" s="574"/>
      <c r="AR963" s="574"/>
      <c r="AS963" s="574"/>
      <c r="AT963" s="574"/>
      <c r="AU963" s="574"/>
      <c r="AV963" s="574"/>
      <c r="AW963" s="574"/>
      <c r="AX963" s="574"/>
      <c r="AY963" s="574"/>
      <c r="AZ963" s="574"/>
      <c r="BA963" s="574"/>
      <c r="BB963" s="574"/>
      <c r="BC963" s="574"/>
      <c r="BD963" s="574"/>
      <c r="BE963" s="574"/>
      <c r="BF963" s="574"/>
      <c r="BG963" s="574"/>
      <c r="BH963" s="574"/>
      <c r="BI963" s="574"/>
      <c r="BJ963" s="574"/>
      <c r="BK963" s="574"/>
      <c r="BL963" s="574"/>
      <c r="BM963" s="574"/>
      <c r="BN963" s="574"/>
      <c r="BO963" s="574"/>
      <c r="BP963" s="574"/>
      <c r="BQ963" s="574"/>
      <c r="BR963" s="574"/>
      <c r="BS963" s="574"/>
      <c r="BT963" s="574"/>
      <c r="BU963" s="574"/>
      <c r="BV963" s="574"/>
      <c r="BW963" s="574"/>
      <c r="BX963" s="574"/>
      <c r="BY963" s="574"/>
      <c r="BZ963" s="574"/>
      <c r="CA963" s="574"/>
      <c r="CB963" s="574"/>
      <c r="CC963" s="574"/>
      <c r="CD963" s="574"/>
      <c r="CE963" s="574"/>
      <c r="CF963" s="574"/>
    </row>
    <row r="964" spans="1:84" s="583" customFormat="1" ht="23.1" customHeight="1" thickBot="1">
      <c r="A964" s="1483" t="s">
        <v>1097</v>
      </c>
      <c r="B964" s="1484"/>
      <c r="C964" s="1484"/>
      <c r="D964" s="1484"/>
      <c r="E964" s="1484"/>
      <c r="F964" s="1484"/>
      <c r="G964" s="1484"/>
      <c r="H964" s="1484"/>
      <c r="I964" s="581" t="s">
        <v>1199</v>
      </c>
      <c r="J964" s="581"/>
      <c r="K964" s="581"/>
      <c r="L964" s="581"/>
      <c r="M964" s="581"/>
      <c r="N964" s="581"/>
      <c r="O964" s="581"/>
      <c r="P964" s="581"/>
      <c r="Q964" s="581"/>
      <c r="R964" s="581"/>
      <c r="S964" s="581"/>
      <c r="T964" s="581"/>
      <c r="U964" s="581"/>
      <c r="V964" s="581"/>
      <c r="W964" s="581"/>
      <c r="X964" s="581"/>
      <c r="Y964" s="581"/>
      <c r="Z964" s="581"/>
      <c r="AA964" s="581"/>
      <c r="AB964" s="581"/>
      <c r="AC964" s="581"/>
      <c r="AD964" s="581"/>
      <c r="AE964" s="581"/>
      <c r="AF964" s="581"/>
      <c r="AG964" s="581"/>
      <c r="AH964" s="581"/>
      <c r="AI964" s="581"/>
      <c r="AJ964" s="1484" t="s">
        <v>1099</v>
      </c>
      <c r="AK964" s="1484"/>
      <c r="AL964" s="1484"/>
      <c r="AM964" s="1484"/>
      <c r="AN964" s="1484"/>
      <c r="AO964" s="1484"/>
      <c r="AP964" s="1484"/>
      <c r="AQ964" s="581" t="s">
        <v>1185</v>
      </c>
      <c r="AR964" s="581"/>
      <c r="AS964" s="581"/>
      <c r="AT964" s="581"/>
      <c r="AU964" s="581"/>
      <c r="AV964" s="581"/>
      <c r="AW964" s="581"/>
      <c r="AX964" s="581"/>
      <c r="AY964" s="581"/>
      <c r="AZ964" s="581"/>
      <c r="BA964" s="581"/>
      <c r="BB964" s="581"/>
      <c r="BC964" s="581"/>
      <c r="BD964" s="581"/>
      <c r="BE964" s="581"/>
      <c r="BF964" s="581"/>
      <c r="BG964" s="581"/>
      <c r="BH964" s="581"/>
      <c r="BI964" s="581"/>
      <c r="BJ964" s="581"/>
      <c r="BK964" s="581"/>
      <c r="BL964" s="581"/>
      <c r="BM964" s="581"/>
      <c r="BN964" s="581"/>
      <c r="BO964" s="581"/>
      <c r="BP964" s="581"/>
      <c r="BQ964" s="581"/>
      <c r="BR964" s="581"/>
      <c r="BS964" s="581"/>
      <c r="BT964" s="581" t="s">
        <v>1201</v>
      </c>
      <c r="BU964" s="581"/>
      <c r="BV964" s="581"/>
      <c r="BW964" s="581"/>
      <c r="BX964" s="581"/>
      <c r="BY964" s="581"/>
      <c r="BZ964" s="581"/>
      <c r="CA964" s="581"/>
      <c r="CB964" s="581"/>
      <c r="CC964" s="581"/>
      <c r="CD964" s="581"/>
      <c r="CE964" s="581"/>
      <c r="CF964" s="582"/>
    </row>
    <row r="965" spans="1:84" s="583" customFormat="1" ht="23.1" customHeight="1">
      <c r="A965" s="584"/>
      <c r="B965" s="585" t="s">
        <v>1102</v>
      </c>
      <c r="C965" s="585"/>
      <c r="D965" s="585"/>
      <c r="E965" s="585"/>
      <c r="F965" s="585"/>
      <c r="G965" s="585"/>
      <c r="H965" s="585"/>
      <c r="I965" s="585"/>
      <c r="J965" s="585"/>
      <c r="K965" s="585"/>
      <c r="L965" s="585"/>
      <c r="M965" s="585"/>
      <c r="N965" s="585"/>
      <c r="O965" s="585"/>
      <c r="P965" s="585"/>
      <c r="Q965" s="585"/>
      <c r="R965" s="585"/>
      <c r="S965" s="585"/>
      <c r="T965" s="585"/>
      <c r="U965" s="585"/>
      <c r="V965" s="585"/>
      <c r="W965" s="585"/>
      <c r="X965" s="585"/>
      <c r="Y965" s="585"/>
      <c r="Z965" s="585"/>
      <c r="AA965" s="585"/>
      <c r="AB965" s="585"/>
      <c r="AC965" s="585"/>
      <c r="AD965" s="585"/>
      <c r="AE965" s="585"/>
      <c r="AF965" s="585"/>
      <c r="AG965" s="585"/>
      <c r="AH965" s="585"/>
      <c r="AI965" s="585"/>
      <c r="AJ965" s="585"/>
      <c r="AK965" s="585"/>
      <c r="AL965" s="585"/>
      <c r="AM965" s="585"/>
      <c r="AN965" s="585"/>
      <c r="AO965" s="585"/>
      <c r="AP965" s="585"/>
      <c r="AQ965" s="585"/>
      <c r="AR965" s="585"/>
      <c r="AS965" s="585"/>
      <c r="AT965" s="585"/>
      <c r="AU965" s="585"/>
      <c r="AV965" s="585"/>
      <c r="AW965" s="585"/>
      <c r="AX965" s="585"/>
      <c r="AY965" s="585"/>
      <c r="AZ965" s="585"/>
      <c r="BA965" s="585"/>
      <c r="BB965" s="585"/>
      <c r="BC965" s="585"/>
      <c r="BD965" s="585"/>
      <c r="BE965" s="585"/>
      <c r="BF965" s="585"/>
      <c r="BG965" s="585"/>
      <c r="BH965" s="585"/>
      <c r="BI965" s="585"/>
      <c r="BJ965" s="585"/>
      <c r="BK965" s="585"/>
      <c r="BL965" s="585"/>
      <c r="BM965" s="585"/>
      <c r="BN965" s="585"/>
      <c r="BO965" s="585"/>
      <c r="BP965" s="585"/>
      <c r="BQ965" s="585"/>
      <c r="BR965" s="585"/>
      <c r="BS965" s="585"/>
      <c r="BT965" s="585"/>
      <c r="BU965" s="585"/>
      <c r="BV965" s="585"/>
      <c r="BW965" s="585"/>
      <c r="BX965" s="585"/>
      <c r="BY965" s="585"/>
      <c r="BZ965" s="585"/>
      <c r="CA965" s="585"/>
      <c r="CB965" s="585"/>
      <c r="CC965" s="585"/>
      <c r="CD965" s="585"/>
      <c r="CE965" s="585"/>
      <c r="CF965" s="586"/>
    </row>
    <row r="966" spans="1:84" s="583" customFormat="1" ht="23.1" customHeight="1">
      <c r="A966" s="587"/>
      <c r="B966" s="574"/>
      <c r="C966" s="574"/>
      <c r="D966" s="405"/>
      <c r="E966" s="574"/>
      <c r="F966" s="422"/>
      <c r="G966" s="422"/>
      <c r="H966" s="422"/>
      <c r="I966" s="422"/>
      <c r="J966" s="422"/>
      <c r="K966" s="422"/>
      <c r="L966" s="422"/>
      <c r="M966" s="422"/>
      <c r="N966" s="574"/>
      <c r="O966" s="574"/>
      <c r="P966" s="574"/>
      <c r="Q966" s="574"/>
      <c r="R966" s="574"/>
      <c r="S966" s="588"/>
      <c r="T966" s="588"/>
      <c r="U966" s="588"/>
      <c r="V966" s="588"/>
      <c r="W966" s="588"/>
      <c r="X966" s="588"/>
      <c r="Y966" s="588"/>
      <c r="Z966" s="588"/>
      <c r="AA966" s="574"/>
      <c r="AB966" s="588"/>
      <c r="AC966" s="585"/>
      <c r="AD966" s="585"/>
      <c r="AE966" s="600"/>
      <c r="AF966" s="600"/>
      <c r="AG966" s="600"/>
      <c r="AH966" s="600"/>
      <c r="AI966" s="600"/>
      <c r="AJ966" s="600"/>
      <c r="AK966" s="600"/>
      <c r="AL966" s="600"/>
      <c r="AM966" s="585"/>
      <c r="AN966" s="585"/>
      <c r="AO966" s="574"/>
      <c r="AP966" s="430"/>
      <c r="AQ966" s="430"/>
      <c r="AR966" s="430"/>
      <c r="AS966" s="430"/>
      <c r="AT966" s="430"/>
      <c r="AU966" s="430"/>
      <c r="AV966" s="430"/>
      <c r="AW966" s="430"/>
      <c r="AX966" s="430"/>
      <c r="AY966" s="430"/>
      <c r="AZ966" s="430"/>
      <c r="BA966" s="430"/>
      <c r="BB966" s="430"/>
      <c r="BC966" s="430"/>
      <c r="BD966" s="574"/>
      <c r="BE966" s="574"/>
      <c r="BF966" s="574"/>
      <c r="BG966" s="574"/>
      <c r="BH966" s="574"/>
      <c r="BI966" s="574"/>
      <c r="BJ966" s="574"/>
      <c r="BK966" s="574"/>
      <c r="BL966" s="574"/>
      <c r="BM966" s="574"/>
      <c r="BN966" s="574"/>
      <c r="BO966" s="574"/>
      <c r="BP966" s="574"/>
      <c r="BQ966" s="574"/>
      <c r="BR966" s="574"/>
      <c r="BS966" s="574"/>
      <c r="BT966" s="574"/>
      <c r="BU966" s="574"/>
      <c r="BV966" s="574"/>
      <c r="BW966" s="574"/>
      <c r="BX966" s="574"/>
      <c r="BY966" s="574"/>
      <c r="BZ966" s="574"/>
      <c r="CA966" s="574"/>
      <c r="CB966" s="574"/>
      <c r="CC966" s="574"/>
      <c r="CD966" s="574"/>
      <c r="CE966" s="574"/>
      <c r="CF966" s="589"/>
    </row>
    <row r="967" spans="1:84" s="583" customFormat="1" ht="23.1" customHeight="1">
      <c r="A967" s="584"/>
      <c r="B967" s="585"/>
      <c r="C967" s="585"/>
      <c r="D967" s="585"/>
      <c r="E967" s="585"/>
      <c r="F967" s="585"/>
      <c r="G967" s="585"/>
      <c r="H967" s="585"/>
      <c r="I967" s="585"/>
      <c r="J967" s="585"/>
      <c r="K967" s="585"/>
      <c r="L967" s="585"/>
      <c r="M967" s="585"/>
      <c r="N967" s="585"/>
      <c r="O967" s="585"/>
      <c r="P967" s="585"/>
      <c r="Q967" s="585"/>
      <c r="R967" s="585"/>
      <c r="S967" s="585"/>
      <c r="T967" s="585"/>
      <c r="U967" s="585"/>
      <c r="V967" s="590"/>
      <c r="W967" s="590"/>
      <c r="X967" s="590"/>
      <c r="Y967" s="590"/>
      <c r="Z967" s="590"/>
      <c r="AA967" s="590"/>
      <c r="AB967" s="590"/>
      <c r="AC967" s="590"/>
      <c r="AD967" s="574"/>
      <c r="AE967" s="1440">
        <v>91593000</v>
      </c>
      <c r="AF967" s="1440"/>
      <c r="AG967" s="1440"/>
      <c r="AH967" s="1440"/>
      <c r="AI967" s="1440"/>
      <c r="AJ967" s="1440"/>
      <c r="AK967" s="1440"/>
      <c r="AL967" s="1440"/>
      <c r="AM967" s="1440"/>
      <c r="AN967" s="1440"/>
      <c r="AO967" s="1440"/>
      <c r="AP967" s="1440"/>
      <c r="AQ967" s="1440"/>
      <c r="AR967" s="1440"/>
      <c r="AS967" s="1440"/>
      <c r="AT967" s="1431" t="s">
        <v>446</v>
      </c>
      <c r="AU967" s="1431"/>
      <c r="AV967" s="1441" t="s">
        <v>1103</v>
      </c>
      <c r="AW967" s="1441"/>
      <c r="AX967" s="1442">
        <v>2598</v>
      </c>
      <c r="AY967" s="1442"/>
      <c r="AZ967" s="1442"/>
      <c r="BA967" s="1442"/>
      <c r="BB967" s="1442"/>
      <c r="BC967" s="1442"/>
      <c r="BD967" s="585"/>
      <c r="BE967" s="1431" t="s">
        <v>446</v>
      </c>
      <c r="BF967" s="1431"/>
      <c r="BG967" s="585"/>
      <c r="BH967" s="591" t="s">
        <v>1104</v>
      </c>
      <c r="BI967" s="585"/>
      <c r="BJ967" s="585"/>
      <c r="BK967" s="585"/>
      <c r="BL967" s="1431" t="s">
        <v>1105</v>
      </c>
      <c r="BM967" s="1431"/>
      <c r="BN967" s="1431"/>
      <c r="BO967" s="585"/>
      <c r="BP967" s="1431" t="s">
        <v>41</v>
      </c>
      <c r="BQ967" s="1431"/>
      <c r="BR967" s="585"/>
      <c r="BS967" s="585"/>
      <c r="BT967" s="1437">
        <f>INT(AE967*AX967*10^-7)</f>
        <v>23795</v>
      </c>
      <c r="BU967" s="1437"/>
      <c r="BV967" s="1437"/>
      <c r="BW967" s="1437"/>
      <c r="BX967" s="1437"/>
      <c r="BY967" s="1437"/>
      <c r="BZ967" s="1437"/>
      <c r="CA967" s="1437"/>
      <c r="CB967" s="1437"/>
      <c r="CC967" s="1437"/>
      <c r="CD967" s="585"/>
      <c r="CE967" s="585"/>
      <c r="CF967" s="586"/>
    </row>
    <row r="968" spans="1:84" s="583" customFormat="1" ht="23.1" customHeight="1">
      <c r="A968" s="592"/>
      <c r="B968" s="593" t="s">
        <v>1106</v>
      </c>
      <c r="C968" s="593"/>
      <c r="D968" s="593"/>
      <c r="E968" s="593"/>
      <c r="F968" s="593"/>
      <c r="G968" s="593"/>
      <c r="H968" s="593"/>
      <c r="I968" s="593"/>
      <c r="J968" s="593"/>
      <c r="K968" s="593"/>
      <c r="L968" s="593"/>
      <c r="M968" s="593"/>
      <c r="N968" s="593"/>
      <c r="O968" s="593"/>
      <c r="P968" s="593"/>
      <c r="Q968" s="593"/>
      <c r="R968" s="593"/>
      <c r="S968" s="593"/>
      <c r="T968" s="593"/>
      <c r="U968" s="593"/>
      <c r="V968" s="593"/>
      <c r="W968" s="593"/>
      <c r="X968" s="593"/>
      <c r="Y968" s="593"/>
      <c r="Z968" s="593"/>
      <c r="AA968" s="593"/>
      <c r="AB968" s="593"/>
      <c r="AC968" s="593"/>
      <c r="AD968" s="593"/>
      <c r="AE968" s="593"/>
      <c r="AF968" s="593"/>
      <c r="AG968" s="593"/>
      <c r="AH968" s="593"/>
      <c r="AI968" s="593"/>
      <c r="AJ968" s="593"/>
      <c r="AK968" s="593"/>
      <c r="AL968" s="593"/>
      <c r="AM968" s="593"/>
      <c r="AN968" s="593"/>
      <c r="AO968" s="593"/>
      <c r="AP968" s="593"/>
      <c r="AQ968" s="593"/>
      <c r="AR968" s="593"/>
      <c r="AS968" s="593"/>
      <c r="AT968" s="593"/>
      <c r="AU968" s="593"/>
      <c r="AV968" s="593"/>
      <c r="AW968" s="593"/>
      <c r="AX968" s="593"/>
      <c r="AY968" s="593"/>
      <c r="AZ968" s="593"/>
      <c r="BA968" s="593"/>
      <c r="BB968" s="593"/>
      <c r="BC968" s="593"/>
      <c r="BD968" s="593"/>
      <c r="BE968" s="593"/>
      <c r="BF968" s="593"/>
      <c r="BG968" s="593"/>
      <c r="BH968" s="593"/>
      <c r="BI968" s="593"/>
      <c r="BJ968" s="593"/>
      <c r="BK968" s="593"/>
      <c r="BL968" s="593"/>
      <c r="BM968" s="593"/>
      <c r="BN968" s="593"/>
      <c r="BO968" s="593"/>
      <c r="BP968" s="593"/>
      <c r="BQ968" s="593"/>
      <c r="BR968" s="593"/>
      <c r="BS968" s="593"/>
      <c r="BT968" s="594"/>
      <c r="BU968" s="594"/>
      <c r="BV968" s="594"/>
      <c r="BW968" s="594"/>
      <c r="BX968" s="594"/>
      <c r="BY968" s="594"/>
      <c r="BZ968" s="594"/>
      <c r="CA968" s="594"/>
      <c r="CB968" s="594"/>
      <c r="CC968" s="594"/>
      <c r="CD968" s="593"/>
      <c r="CE968" s="593"/>
      <c r="CF968" s="595"/>
    </row>
    <row r="969" spans="1:84" s="583" customFormat="1" ht="23.1" customHeight="1">
      <c r="A969" s="584"/>
      <c r="B969" s="585"/>
      <c r="C969" s="585"/>
      <c r="D969" s="596" t="s">
        <v>1092</v>
      </c>
      <c r="E969" s="585"/>
      <c r="F969" s="585"/>
      <c r="G969" s="585"/>
      <c r="H969" s="585"/>
      <c r="I969" s="585"/>
      <c r="J969" s="585"/>
      <c r="K969" s="585"/>
      <c r="L969" s="585"/>
      <c r="M969" s="585"/>
      <c r="N969" s="585"/>
      <c r="O969" s="585"/>
      <c r="P969" s="585"/>
      <c r="Q969" s="585"/>
      <c r="R969" s="585"/>
      <c r="S969" s="585"/>
      <c r="T969" s="574"/>
      <c r="U969" s="574"/>
      <c r="V969" s="1435">
        <f>HLOOKUP(D969,$CJ$1:$CM$3,3,0)</f>
        <v>238936</v>
      </c>
      <c r="W969" s="1435"/>
      <c r="X969" s="1435"/>
      <c r="Y969" s="1435"/>
      <c r="Z969" s="1435"/>
      <c r="AA969" s="1435"/>
      <c r="AB969" s="1435"/>
      <c r="AC969" s="1435"/>
      <c r="AD969" s="1435"/>
      <c r="AE969" s="1435"/>
      <c r="AF969" s="1431" t="s">
        <v>446</v>
      </c>
      <c r="AG969" s="1431"/>
      <c r="AH969" s="574"/>
      <c r="AI969" s="1436" t="s">
        <v>1107</v>
      </c>
      <c r="AJ969" s="1436"/>
      <c r="AK969" s="1436"/>
      <c r="AL969" s="1436"/>
      <c r="AM969" s="585"/>
      <c r="AN969" s="1431" t="s">
        <v>446</v>
      </c>
      <c r="AO969" s="1431"/>
      <c r="AP969" s="585"/>
      <c r="AQ969" s="1436" t="s">
        <v>1108</v>
      </c>
      <c r="AR969" s="1436"/>
      <c r="AS969" s="1436"/>
      <c r="AT969" s="1436"/>
      <c r="AU969" s="1436"/>
      <c r="AV969" s="422"/>
      <c r="AW969" s="1431" t="s">
        <v>446</v>
      </c>
      <c r="AX969" s="1431"/>
      <c r="AY969" s="440"/>
      <c r="AZ969" s="1436" t="s">
        <v>1109</v>
      </c>
      <c r="BA969" s="1436"/>
      <c r="BB969" s="1436"/>
      <c r="BC969" s="1436"/>
      <c r="BD969" s="1436"/>
      <c r="BE969" s="585"/>
      <c r="BF969" s="1431" t="s">
        <v>446</v>
      </c>
      <c r="BG969" s="1431"/>
      <c r="BH969" s="1431">
        <v>1</v>
      </c>
      <c r="BI969" s="1431"/>
      <c r="BJ969" s="1431"/>
      <c r="BK969" s="585"/>
      <c r="BL969" s="585" t="s">
        <v>366</v>
      </c>
      <c r="BM969" s="585"/>
      <c r="BN969" s="585"/>
      <c r="BO969" s="585"/>
      <c r="BP969" s="1431" t="s">
        <v>41</v>
      </c>
      <c r="BQ969" s="1431"/>
      <c r="BR969" s="585"/>
      <c r="BS969" s="585"/>
      <c r="BT969" s="1432">
        <f>INT(V969/8*16/12*25/20*BH969)</f>
        <v>49778</v>
      </c>
      <c r="BU969" s="1432"/>
      <c r="BV969" s="1432"/>
      <c r="BW969" s="1432"/>
      <c r="BX969" s="1432"/>
      <c r="BY969" s="1432"/>
      <c r="BZ969" s="1432"/>
      <c r="CA969" s="1432"/>
      <c r="CB969" s="1432"/>
      <c r="CC969" s="1432"/>
      <c r="CD969" s="585"/>
      <c r="CE969" s="585"/>
      <c r="CF969" s="586"/>
    </row>
    <row r="970" spans="1:84" s="583" customFormat="1" ht="23.1" customHeight="1">
      <c r="A970" s="584"/>
      <c r="B970" s="585"/>
      <c r="C970" s="585"/>
      <c r="D970" s="585"/>
      <c r="E970" s="585"/>
      <c r="F970" s="585"/>
      <c r="G970" s="585"/>
      <c r="H970" s="585"/>
      <c r="I970" s="585"/>
      <c r="J970" s="585"/>
      <c r="K970" s="585"/>
      <c r="L970" s="585"/>
      <c r="M970" s="585"/>
      <c r="N970" s="585"/>
      <c r="O970" s="585"/>
      <c r="P970" s="574"/>
      <c r="Q970" s="574"/>
      <c r="R970" s="574"/>
      <c r="S970" s="574"/>
      <c r="T970" s="574"/>
      <c r="U970" s="574"/>
      <c r="V970" s="574"/>
      <c r="W970" s="574"/>
      <c r="X970" s="574"/>
      <c r="Y970" s="574"/>
      <c r="Z970" s="574"/>
      <c r="AA970" s="574"/>
      <c r="AB970" s="574"/>
      <c r="AC970" s="574"/>
      <c r="AD970" s="574"/>
      <c r="AE970" s="574"/>
      <c r="AF970" s="574"/>
      <c r="AG970" s="574"/>
      <c r="AH970" s="574"/>
      <c r="AI970" s="574"/>
      <c r="AJ970" s="574"/>
      <c r="AK970" s="574"/>
      <c r="AL970" s="574"/>
      <c r="AM970" s="574"/>
      <c r="AN970" s="574"/>
      <c r="AO970" s="574"/>
      <c r="AP970" s="574"/>
      <c r="AQ970" s="574"/>
      <c r="AR970" s="574"/>
      <c r="AS970" s="574"/>
      <c r="AT970" s="574"/>
      <c r="AU970" s="574"/>
      <c r="AV970" s="574"/>
      <c r="AW970" s="574"/>
      <c r="AX970" s="574"/>
      <c r="AY970" s="574"/>
      <c r="AZ970" s="574"/>
      <c r="BA970" s="574"/>
      <c r="BB970" s="574"/>
      <c r="BC970" s="574"/>
      <c r="BD970" s="574"/>
      <c r="BE970" s="574"/>
      <c r="BF970" s="574"/>
      <c r="BG970" s="585"/>
      <c r="BH970" s="585"/>
      <c r="BI970" s="585"/>
      <c r="BJ970" s="585"/>
      <c r="BK970" s="585"/>
      <c r="BL970" s="585"/>
      <c r="BM970" s="585"/>
      <c r="BN970" s="585"/>
      <c r="BO970" s="585"/>
      <c r="BP970" s="1431"/>
      <c r="BQ970" s="1431"/>
      <c r="BR970" s="585"/>
      <c r="BS970" s="585"/>
      <c r="BT970" s="1432"/>
      <c r="BU970" s="1432"/>
      <c r="BV970" s="1432"/>
      <c r="BW970" s="1432"/>
      <c r="BX970" s="1432"/>
      <c r="BY970" s="1432"/>
      <c r="BZ970" s="1432"/>
      <c r="CA970" s="1432"/>
      <c r="CB970" s="1432"/>
      <c r="CC970" s="1432"/>
      <c r="CD970" s="585"/>
      <c r="CE970" s="585"/>
      <c r="CF970" s="586"/>
    </row>
    <row r="971" spans="1:84" s="583" customFormat="1" ht="23.1" customHeight="1">
      <c r="A971" s="584"/>
      <c r="B971" s="585"/>
      <c r="C971" s="585"/>
      <c r="D971" s="585"/>
      <c r="E971" s="585"/>
      <c r="F971" s="585"/>
      <c r="G971" s="585"/>
      <c r="H971" s="585"/>
      <c r="I971" s="585"/>
      <c r="J971" s="585"/>
      <c r="K971" s="585"/>
      <c r="L971" s="585"/>
      <c r="M971" s="585"/>
      <c r="N971" s="585"/>
      <c r="O971" s="585"/>
      <c r="P971" s="585"/>
      <c r="Q971" s="585"/>
      <c r="R971" s="585"/>
      <c r="S971" s="585"/>
      <c r="T971" s="585"/>
      <c r="U971" s="585"/>
      <c r="V971" s="585"/>
      <c r="W971" s="585"/>
      <c r="X971" s="585"/>
      <c r="Y971" s="585"/>
      <c r="Z971" s="585"/>
      <c r="AA971" s="585"/>
      <c r="AB971" s="585"/>
      <c r="AC971" s="585"/>
      <c r="AD971" s="574"/>
      <c r="AE971" s="574"/>
      <c r="AF971" s="574"/>
      <c r="AG971" s="574"/>
      <c r="AH971" s="574"/>
      <c r="AI971" s="574"/>
      <c r="AJ971" s="574"/>
      <c r="AK971" s="574"/>
      <c r="AL971" s="574"/>
      <c r="AM971" s="574"/>
      <c r="AN971" s="574"/>
      <c r="AO971" s="574"/>
      <c r="AP971" s="574"/>
      <c r="AQ971" s="574"/>
      <c r="AR971" s="574"/>
      <c r="AS971" s="585"/>
      <c r="AT971" s="590"/>
      <c r="AU971" s="590"/>
      <c r="AV971" s="585"/>
      <c r="AW971" s="585"/>
      <c r="AX971" s="585"/>
      <c r="AY971" s="585"/>
      <c r="AZ971" s="585"/>
      <c r="BA971" s="585"/>
      <c r="BB971" s="585"/>
      <c r="BC971" s="585"/>
      <c r="BD971" s="585"/>
      <c r="BE971" s="585"/>
      <c r="BF971" s="585"/>
      <c r="BG971" s="585"/>
      <c r="BH971" s="585"/>
      <c r="BI971" s="585"/>
      <c r="BJ971" s="585"/>
      <c r="BK971" s="585"/>
      <c r="BL971" s="585"/>
      <c r="BM971" s="585"/>
      <c r="BN971" s="585"/>
      <c r="BO971" s="585"/>
      <c r="BP971" s="1431" t="s">
        <v>41</v>
      </c>
      <c r="BQ971" s="1431"/>
      <c r="BR971" s="585"/>
      <c r="BS971" s="585"/>
      <c r="BT971" s="1434">
        <f>BT969+BT970</f>
        <v>49778</v>
      </c>
      <c r="BU971" s="1434"/>
      <c r="BV971" s="1434"/>
      <c r="BW971" s="1434"/>
      <c r="BX971" s="1434"/>
      <c r="BY971" s="1434"/>
      <c r="BZ971" s="1434"/>
      <c r="CA971" s="1434"/>
      <c r="CB971" s="1434"/>
      <c r="CC971" s="1434"/>
      <c r="CD971" s="585"/>
      <c r="CE971" s="585"/>
      <c r="CF971" s="586"/>
    </row>
    <row r="972" spans="1:84" s="583" customFormat="1" ht="23.1" customHeight="1">
      <c r="A972" s="592"/>
      <c r="B972" s="593" t="s">
        <v>1110</v>
      </c>
      <c r="C972" s="593"/>
      <c r="D972" s="593"/>
      <c r="E972" s="593"/>
      <c r="F972" s="593"/>
      <c r="G972" s="593"/>
      <c r="H972" s="593"/>
      <c r="I972" s="593"/>
      <c r="J972" s="593"/>
      <c r="K972" s="593"/>
      <c r="L972" s="593"/>
      <c r="M972" s="593"/>
      <c r="N972" s="593"/>
      <c r="O972" s="593"/>
      <c r="P972" s="593"/>
      <c r="Q972" s="593"/>
      <c r="R972" s="593"/>
      <c r="S972" s="593"/>
      <c r="T972" s="593"/>
      <c r="U972" s="593"/>
      <c r="V972" s="593"/>
      <c r="W972" s="593"/>
      <c r="X972" s="593"/>
      <c r="Y972" s="593"/>
      <c r="Z972" s="593"/>
      <c r="AA972" s="593"/>
      <c r="AB972" s="593"/>
      <c r="AC972" s="593"/>
      <c r="AD972" s="593"/>
      <c r="AE972" s="593"/>
      <c r="AF972" s="593"/>
      <c r="AG972" s="593"/>
      <c r="AH972" s="593"/>
      <c r="AI972" s="593"/>
      <c r="AJ972" s="593"/>
      <c r="AK972" s="593"/>
      <c r="AL972" s="593"/>
      <c r="AM972" s="593"/>
      <c r="AN972" s="593"/>
      <c r="AO972" s="593"/>
      <c r="AP972" s="593"/>
      <c r="AQ972" s="593"/>
      <c r="AR972" s="593"/>
      <c r="AS972" s="593"/>
      <c r="AT972" s="593"/>
      <c r="AU972" s="593"/>
      <c r="AV972" s="593"/>
      <c r="AW972" s="593"/>
      <c r="AX972" s="593"/>
      <c r="AY972" s="593"/>
      <c r="AZ972" s="593"/>
      <c r="BA972" s="593"/>
      <c r="BB972" s="593"/>
      <c r="BC972" s="593"/>
      <c r="BD972" s="593"/>
      <c r="BE972" s="593"/>
      <c r="BF972" s="593"/>
      <c r="BG972" s="593"/>
      <c r="BH972" s="593"/>
      <c r="BI972" s="593"/>
      <c r="BJ972" s="593"/>
      <c r="BK972" s="593"/>
      <c r="BL972" s="593"/>
      <c r="BM972" s="593"/>
      <c r="BN972" s="593"/>
      <c r="BO972" s="593"/>
      <c r="BP972" s="593"/>
      <c r="BQ972" s="593"/>
      <c r="BR972" s="593"/>
      <c r="BS972" s="593"/>
      <c r="BT972" s="593"/>
      <c r="BU972" s="593"/>
      <c r="BV972" s="593"/>
      <c r="BW972" s="593"/>
      <c r="BX972" s="593"/>
      <c r="BY972" s="593"/>
      <c r="BZ972" s="593"/>
      <c r="CA972" s="593"/>
      <c r="CB972" s="593"/>
      <c r="CC972" s="593"/>
      <c r="CD972" s="593"/>
      <c r="CE972" s="593"/>
      <c r="CF972" s="595"/>
    </row>
    <row r="973" spans="1:84" s="583" customFormat="1" ht="23.1" customHeight="1">
      <c r="A973" s="584"/>
      <c r="B973" s="585"/>
      <c r="C973" s="585"/>
      <c r="D973" s="596" t="s">
        <v>1094</v>
      </c>
      <c r="E973" s="585"/>
      <c r="F973" s="585"/>
      <c r="G973" s="585"/>
      <c r="H973" s="585"/>
      <c r="I973" s="585"/>
      <c r="J973" s="585"/>
      <c r="K973" s="585"/>
      <c r="L973" s="585"/>
      <c r="M973" s="585"/>
      <c r="N973" s="585"/>
      <c r="O973" s="585"/>
      <c r="P973" s="585"/>
      <c r="Q973" s="585"/>
      <c r="R973" s="585"/>
      <c r="S973" s="585"/>
      <c r="T973" s="585"/>
      <c r="U973" s="585"/>
      <c r="V973" s="585"/>
      <c r="W973" s="585"/>
      <c r="X973" s="585"/>
      <c r="Y973" s="585"/>
      <c r="Z973" s="585"/>
      <c r="AA973" s="585"/>
      <c r="AB973" s="585"/>
      <c r="AC973" s="585"/>
      <c r="AD973" s="585"/>
      <c r="AE973" s="585"/>
      <c r="AF973" s="585"/>
      <c r="AG973" s="585"/>
      <c r="AH973" s="585"/>
      <c r="AI973" s="585"/>
      <c r="AJ973" s="585"/>
      <c r="AK973" s="585"/>
      <c r="AL973" s="585"/>
      <c r="AM973" s="585"/>
      <c r="AN973" s="585"/>
      <c r="AO973" s="585"/>
      <c r="AP973" s="585"/>
      <c r="AQ973" s="585"/>
      <c r="AR973" s="422"/>
      <c r="AS973" s="1435" t="e">
        <f>HLOOKUP(D973,$CN$1:$CO$3,3,0)</f>
        <v>#REF!</v>
      </c>
      <c r="AT973" s="1435"/>
      <c r="AU973" s="1435"/>
      <c r="AV973" s="1435"/>
      <c r="AW973" s="1435"/>
      <c r="AX973" s="1435"/>
      <c r="AY973" s="1435"/>
      <c r="AZ973" s="1435"/>
      <c r="BA973" s="1435"/>
      <c r="BB973" s="1435"/>
      <c r="BC973" s="585"/>
      <c r="BD973" s="1431" t="s">
        <v>446</v>
      </c>
      <c r="BE973" s="1431"/>
      <c r="BF973" s="585"/>
      <c r="BG973" s="1431">
        <v>10.3</v>
      </c>
      <c r="BH973" s="1431"/>
      <c r="BI973" s="1431"/>
      <c r="BJ973" s="1431"/>
      <c r="BK973" s="1431"/>
      <c r="BL973" s="585" t="s">
        <v>1111</v>
      </c>
      <c r="BM973" s="585"/>
      <c r="BN973" s="585"/>
      <c r="BO973" s="585"/>
      <c r="BP973" s="1431" t="s">
        <v>41</v>
      </c>
      <c r="BQ973" s="1431"/>
      <c r="BR973" s="585"/>
      <c r="BS973" s="585"/>
      <c r="BT973" s="1432" t="e">
        <f>INT(AS973*BG973)</f>
        <v>#REF!</v>
      </c>
      <c r="BU973" s="1432"/>
      <c r="BV973" s="1432"/>
      <c r="BW973" s="1432"/>
      <c r="BX973" s="1432"/>
      <c r="BY973" s="1432"/>
      <c r="BZ973" s="1432"/>
      <c r="CA973" s="1432"/>
      <c r="CB973" s="1432"/>
      <c r="CC973" s="1432"/>
      <c r="CD973" s="585"/>
      <c r="CE973" s="585"/>
      <c r="CF973" s="586"/>
    </row>
    <row r="974" spans="1:84" s="583" customFormat="1" ht="23.1" customHeight="1">
      <c r="A974" s="584"/>
      <c r="B974" s="585"/>
      <c r="C974" s="585"/>
      <c r="D974" s="591" t="str">
        <f>"잡재료 (주연료의 "&amp;BG974&amp;"%) :"</f>
        <v>잡재료 (주연료의 20%) :</v>
      </c>
      <c r="E974" s="585"/>
      <c r="F974" s="585"/>
      <c r="G974" s="585"/>
      <c r="H974" s="585"/>
      <c r="I974" s="585"/>
      <c r="J974" s="585"/>
      <c r="K974" s="585"/>
      <c r="L974" s="585"/>
      <c r="M974" s="585"/>
      <c r="N974" s="585"/>
      <c r="O974" s="585"/>
      <c r="P974" s="585"/>
      <c r="Q974" s="585"/>
      <c r="R974" s="585"/>
      <c r="S974" s="585"/>
      <c r="T974" s="585"/>
      <c r="U974" s="585"/>
      <c r="V974" s="585"/>
      <c r="W974" s="585"/>
      <c r="X974" s="585"/>
      <c r="Y974" s="585"/>
      <c r="Z974" s="585"/>
      <c r="AA974" s="585"/>
      <c r="AB974" s="585"/>
      <c r="AC974" s="585"/>
      <c r="AD974" s="585"/>
      <c r="AE974" s="585"/>
      <c r="AF974" s="585"/>
      <c r="AG974" s="585"/>
      <c r="AH974" s="585"/>
      <c r="AI974" s="585"/>
      <c r="AJ974" s="585"/>
      <c r="AK974" s="585"/>
      <c r="AL974" s="585"/>
      <c r="AM974" s="585"/>
      <c r="AN974" s="585"/>
      <c r="AO974" s="585"/>
      <c r="AP974" s="585"/>
      <c r="AQ974" s="585"/>
      <c r="AR974" s="422" t="e">
        <f>BT973</f>
        <v>#REF!</v>
      </c>
      <c r="AS974" s="1430" t="e">
        <f>BT973</f>
        <v>#REF!</v>
      </c>
      <c r="AT974" s="1430"/>
      <c r="AU974" s="1430"/>
      <c r="AV974" s="1430"/>
      <c r="AW974" s="1430"/>
      <c r="AX974" s="1430"/>
      <c r="AY974" s="1430"/>
      <c r="AZ974" s="1430"/>
      <c r="BA974" s="1430"/>
      <c r="BB974" s="1430"/>
      <c r="BC974" s="585"/>
      <c r="BD974" s="1431" t="s">
        <v>446</v>
      </c>
      <c r="BE974" s="1431"/>
      <c r="BF974" s="585"/>
      <c r="BG974" s="1431">
        <v>20</v>
      </c>
      <c r="BH974" s="1431"/>
      <c r="BI974" s="1431"/>
      <c r="BJ974" s="1431"/>
      <c r="BK974" s="1431"/>
      <c r="BL974" s="585" t="s">
        <v>1112</v>
      </c>
      <c r="BM974" s="585"/>
      <c r="BN974" s="585"/>
      <c r="BO974" s="585"/>
      <c r="BP974" s="1431" t="s">
        <v>41</v>
      </c>
      <c r="BQ974" s="1431"/>
      <c r="BR974" s="585"/>
      <c r="BS974" s="585"/>
      <c r="BT974" s="1432" t="e">
        <f>INT(AS974*BG974/100)</f>
        <v>#REF!</v>
      </c>
      <c r="BU974" s="1432"/>
      <c r="BV974" s="1432"/>
      <c r="BW974" s="1432"/>
      <c r="BX974" s="1432"/>
      <c r="BY974" s="1432"/>
      <c r="BZ974" s="1432"/>
      <c r="CA974" s="1432"/>
      <c r="CB974" s="1432"/>
      <c r="CC974" s="1432"/>
      <c r="CD974" s="585"/>
      <c r="CE974" s="585"/>
      <c r="CF974" s="586"/>
    </row>
    <row r="975" spans="1:84" s="583" customFormat="1" ht="23.1" customHeight="1" thickBot="1">
      <c r="A975" s="584"/>
      <c r="B975" s="585"/>
      <c r="C975" s="585"/>
      <c r="D975" s="585"/>
      <c r="E975" s="585"/>
      <c r="F975" s="585"/>
      <c r="G975" s="585"/>
      <c r="H975" s="585"/>
      <c r="I975" s="585"/>
      <c r="J975" s="585"/>
      <c r="K975" s="585"/>
      <c r="L975" s="585"/>
      <c r="M975" s="585"/>
      <c r="N975" s="585"/>
      <c r="O975" s="585"/>
      <c r="P975" s="585"/>
      <c r="Q975" s="585"/>
      <c r="R975" s="585"/>
      <c r="S975" s="585"/>
      <c r="T975" s="585"/>
      <c r="U975" s="585"/>
      <c r="V975" s="585"/>
      <c r="W975" s="585"/>
      <c r="X975" s="585"/>
      <c r="Y975" s="585"/>
      <c r="Z975" s="585"/>
      <c r="AA975" s="585"/>
      <c r="AB975" s="585"/>
      <c r="AC975" s="585"/>
      <c r="AD975" s="585"/>
      <c r="AE975" s="585"/>
      <c r="AF975" s="585"/>
      <c r="AG975" s="585"/>
      <c r="AH975" s="585"/>
      <c r="AI975" s="585"/>
      <c r="AJ975" s="585"/>
      <c r="AK975" s="585"/>
      <c r="AL975" s="585"/>
      <c r="AM975" s="585"/>
      <c r="AN975" s="585"/>
      <c r="AO975" s="585"/>
      <c r="AP975" s="585"/>
      <c r="AQ975" s="585"/>
      <c r="AR975" s="585"/>
      <c r="AS975" s="585"/>
      <c r="AT975" s="585"/>
      <c r="AU975" s="585"/>
      <c r="AV975" s="585"/>
      <c r="AW975" s="585"/>
      <c r="AX975" s="585"/>
      <c r="AY975" s="585"/>
      <c r="AZ975" s="585"/>
      <c r="BA975" s="585"/>
      <c r="BB975" s="585"/>
      <c r="BC975" s="585"/>
      <c r="BD975" s="585"/>
      <c r="BE975" s="585"/>
      <c r="BF975" s="585"/>
      <c r="BG975" s="585"/>
      <c r="BH975" s="585"/>
      <c r="BI975" s="585"/>
      <c r="BJ975" s="585"/>
      <c r="BK975" s="585"/>
      <c r="BL975" s="585"/>
      <c r="BM975" s="585"/>
      <c r="BN975" s="585"/>
      <c r="BO975" s="585"/>
      <c r="BP975" s="1431" t="s">
        <v>41</v>
      </c>
      <c r="BQ975" s="1431"/>
      <c r="BR975" s="585"/>
      <c r="BS975" s="585"/>
      <c r="BT975" s="1433" t="e">
        <f>BT973+BT974</f>
        <v>#REF!</v>
      </c>
      <c r="BU975" s="1433"/>
      <c r="BV975" s="1433"/>
      <c r="BW975" s="1433"/>
      <c r="BX975" s="1433"/>
      <c r="BY975" s="1433"/>
      <c r="BZ975" s="1433"/>
      <c r="CA975" s="1433"/>
      <c r="CB975" s="1433"/>
      <c r="CC975" s="1433"/>
      <c r="CD975" s="585"/>
      <c r="CE975" s="585"/>
      <c r="CF975" s="586"/>
    </row>
    <row r="976" spans="1:84" s="583" customFormat="1" ht="23.1" customHeight="1" thickBot="1">
      <c r="A976" s="597"/>
      <c r="B976" s="598" t="s">
        <v>1113</v>
      </c>
      <c r="C976" s="598"/>
      <c r="D976" s="598"/>
      <c r="E976" s="598"/>
      <c r="F976" s="598"/>
      <c r="G976" s="598"/>
      <c r="H976" s="598"/>
      <c r="I976" s="598"/>
      <c r="J976" s="598"/>
      <c r="K976" s="598"/>
      <c r="L976" s="598"/>
      <c r="M976" s="598"/>
      <c r="N976" s="598"/>
      <c r="O976" s="598"/>
      <c r="P976" s="598"/>
      <c r="Q976" s="598"/>
      <c r="R976" s="598"/>
      <c r="S976" s="598"/>
      <c r="T976" s="598"/>
      <c r="U976" s="598"/>
      <c r="V976" s="598"/>
      <c r="W976" s="598"/>
      <c r="X976" s="598"/>
      <c r="Y976" s="598"/>
      <c r="Z976" s="598"/>
      <c r="AA976" s="598"/>
      <c r="AB976" s="598"/>
      <c r="AC976" s="598"/>
      <c r="AD976" s="598"/>
      <c r="AE976" s="598"/>
      <c r="AF976" s="598"/>
      <c r="AG976" s="598"/>
      <c r="AH976" s="598"/>
      <c r="AI976" s="598"/>
      <c r="AJ976" s="598"/>
      <c r="AK976" s="598"/>
      <c r="AL976" s="598"/>
      <c r="AM976" s="598"/>
      <c r="AN976" s="598"/>
      <c r="AO976" s="598"/>
      <c r="AP976" s="598"/>
      <c r="AQ976" s="598"/>
      <c r="AR976" s="598"/>
      <c r="AS976" s="598"/>
      <c r="AT976" s="598"/>
      <c r="AU976" s="598"/>
      <c r="AV976" s="598"/>
      <c r="AW976" s="598"/>
      <c r="AX976" s="598"/>
      <c r="AY976" s="598"/>
      <c r="AZ976" s="598"/>
      <c r="BA976" s="598"/>
      <c r="BB976" s="598"/>
      <c r="BC976" s="598"/>
      <c r="BD976" s="598"/>
      <c r="BE976" s="598"/>
      <c r="BF976" s="598"/>
      <c r="BG976" s="598"/>
      <c r="BH976" s="598"/>
      <c r="BI976" s="598"/>
      <c r="BJ976" s="598"/>
      <c r="BK976" s="598"/>
      <c r="BL976" s="598"/>
      <c r="BM976" s="598"/>
      <c r="BN976" s="598"/>
      <c r="BO976" s="598"/>
      <c r="BP976" s="598"/>
      <c r="BQ976" s="598"/>
      <c r="BR976" s="598"/>
      <c r="BS976" s="598"/>
      <c r="BT976" s="1429" t="e">
        <f>BT967+BT971+BT975</f>
        <v>#REF!</v>
      </c>
      <c r="BU976" s="1429"/>
      <c r="BV976" s="1429"/>
      <c r="BW976" s="1429"/>
      <c r="BX976" s="1429"/>
      <c r="BY976" s="1429"/>
      <c r="BZ976" s="1429"/>
      <c r="CA976" s="1429"/>
      <c r="CB976" s="1429"/>
      <c r="CC976" s="1429"/>
      <c r="CD976" s="598"/>
      <c r="CE976" s="598"/>
      <c r="CF976" s="599"/>
    </row>
    <row r="977" spans="1:84" s="583" customFormat="1" ht="9.9499999999999993" customHeight="1">
      <c r="A977" s="574"/>
      <c r="B977" s="574"/>
      <c r="C977" s="574"/>
      <c r="D977" s="574"/>
      <c r="E977" s="574"/>
      <c r="F977" s="574"/>
      <c r="G977" s="574"/>
      <c r="H977" s="574"/>
      <c r="I977" s="574"/>
      <c r="J977" s="574"/>
      <c r="K977" s="574"/>
      <c r="L977" s="574"/>
      <c r="M977" s="574"/>
      <c r="N977" s="574"/>
      <c r="O977" s="574"/>
      <c r="P977" s="574"/>
      <c r="Q977" s="574"/>
      <c r="R977" s="574"/>
      <c r="S977" s="574"/>
      <c r="T977" s="574"/>
      <c r="U977" s="574"/>
      <c r="V977" s="574"/>
      <c r="W977" s="574"/>
      <c r="X977" s="574"/>
      <c r="Y977" s="574"/>
      <c r="Z977" s="574"/>
      <c r="AA977" s="574"/>
      <c r="AB977" s="574"/>
      <c r="AC977" s="574"/>
      <c r="AD977" s="574"/>
      <c r="AE977" s="574"/>
      <c r="AF977" s="574"/>
      <c r="AG977" s="574"/>
      <c r="AH977" s="574"/>
      <c r="AI977" s="574"/>
      <c r="AJ977" s="574"/>
      <c r="AK977" s="574"/>
      <c r="AL977" s="574"/>
      <c r="AM977" s="574"/>
      <c r="AN977" s="574"/>
      <c r="AO977" s="574"/>
      <c r="AP977" s="574"/>
      <c r="AQ977" s="574"/>
      <c r="AR977" s="574"/>
      <c r="AS977" s="574"/>
      <c r="AT977" s="574"/>
      <c r="AU977" s="574"/>
      <c r="AV977" s="574"/>
      <c r="AW977" s="574"/>
      <c r="AX977" s="574"/>
      <c r="AY977" s="574"/>
      <c r="AZ977" s="574"/>
      <c r="BA977" s="574"/>
      <c r="BB977" s="574"/>
      <c r="BC977" s="574"/>
      <c r="BD977" s="574"/>
      <c r="BE977" s="574"/>
      <c r="BF977" s="574"/>
      <c r="BG977" s="574"/>
      <c r="BH977" s="574"/>
      <c r="BI977" s="574"/>
      <c r="BJ977" s="574"/>
      <c r="BK977" s="574"/>
      <c r="BL977" s="574"/>
      <c r="BM977" s="574"/>
      <c r="BN977" s="574"/>
      <c r="BO977" s="574"/>
      <c r="BP977" s="574"/>
      <c r="BQ977" s="574"/>
      <c r="BR977" s="574"/>
      <c r="BS977" s="574"/>
      <c r="BT977" s="574"/>
      <c r="BU977" s="574"/>
      <c r="BV977" s="574"/>
      <c r="BW977" s="574"/>
      <c r="BX977" s="574"/>
      <c r="BY977" s="574"/>
      <c r="BZ977" s="574"/>
      <c r="CA977" s="574"/>
      <c r="CB977" s="574"/>
      <c r="CC977" s="574"/>
      <c r="CD977" s="574"/>
      <c r="CE977" s="574"/>
      <c r="CF977" s="574"/>
    </row>
    <row r="978" spans="1:84" s="583" customFormat="1" ht="23.1" customHeight="1" thickBot="1">
      <c r="A978" s="1446" t="s">
        <v>1095</v>
      </c>
      <c r="B978" s="1446"/>
      <c r="C978" s="1446"/>
      <c r="D978" s="1446"/>
      <c r="E978" s="1446"/>
      <c r="F978" s="1446"/>
      <c r="G978" s="1447">
        <f>G963+1</f>
        <v>66</v>
      </c>
      <c r="H978" s="1447"/>
      <c r="I978" s="1447"/>
      <c r="J978" s="1448" t="s">
        <v>1096</v>
      </c>
      <c r="K978" s="1448"/>
      <c r="L978" s="574"/>
      <c r="M978" s="574"/>
      <c r="N978" s="574"/>
      <c r="O978" s="574"/>
      <c r="P978" s="574"/>
      <c r="Q978" s="574"/>
      <c r="R978" s="574"/>
      <c r="S978" s="574"/>
      <c r="T978" s="574"/>
      <c r="U978" s="574"/>
      <c r="V978" s="574"/>
      <c r="W978" s="574"/>
      <c r="X978" s="574"/>
      <c r="Y978" s="574"/>
      <c r="Z978" s="574"/>
      <c r="AA978" s="574"/>
      <c r="AB978" s="574"/>
      <c r="AC978" s="574"/>
      <c r="AD978" s="574"/>
      <c r="AE978" s="574"/>
      <c r="AF978" s="574"/>
      <c r="AG978" s="574"/>
      <c r="AH978" s="574"/>
      <c r="AI978" s="574"/>
      <c r="AJ978" s="574"/>
      <c r="AK978" s="574"/>
      <c r="AL978" s="574"/>
      <c r="AM978" s="574"/>
      <c r="AN978" s="574"/>
      <c r="AO978" s="574"/>
      <c r="AP978" s="574"/>
      <c r="AQ978" s="574"/>
      <c r="AR978" s="574"/>
      <c r="AS978" s="574"/>
      <c r="AT978" s="574"/>
      <c r="AU978" s="574"/>
      <c r="AV978" s="574"/>
      <c r="AW978" s="574"/>
      <c r="AX978" s="574"/>
      <c r="AY978" s="574"/>
      <c r="AZ978" s="574"/>
      <c r="BA978" s="574"/>
      <c r="BB978" s="574"/>
      <c r="BC978" s="574"/>
      <c r="BD978" s="574"/>
      <c r="BE978" s="574"/>
      <c r="BF978" s="574"/>
      <c r="BG978" s="574"/>
      <c r="BH978" s="574"/>
      <c r="BI978" s="574"/>
      <c r="BJ978" s="574"/>
      <c r="BK978" s="574"/>
      <c r="BL978" s="574"/>
      <c r="BM978" s="574"/>
      <c r="BN978" s="574"/>
      <c r="BO978" s="574"/>
      <c r="BP978" s="574"/>
      <c r="BQ978" s="574"/>
      <c r="BR978" s="574"/>
      <c r="BS978" s="574"/>
      <c r="BT978" s="574"/>
      <c r="BU978" s="574"/>
      <c r="BV978" s="574"/>
      <c r="BW978" s="574"/>
      <c r="BX978" s="574"/>
      <c r="BY978" s="574"/>
      <c r="BZ978" s="574"/>
      <c r="CA978" s="574"/>
      <c r="CB978" s="574"/>
      <c r="CC978" s="574"/>
      <c r="CD978" s="574"/>
      <c r="CE978" s="574"/>
      <c r="CF978" s="574"/>
    </row>
    <row r="979" spans="1:84" s="583" customFormat="1" ht="23.1" customHeight="1" thickBot="1">
      <c r="A979" s="1483" t="s">
        <v>1097</v>
      </c>
      <c r="B979" s="1484"/>
      <c r="C979" s="1484"/>
      <c r="D979" s="1484"/>
      <c r="E979" s="1484"/>
      <c r="F979" s="1484"/>
      <c r="G979" s="1484"/>
      <c r="H979" s="1484"/>
      <c r="I979" s="581" t="s">
        <v>1199</v>
      </c>
      <c r="J979" s="581"/>
      <c r="K979" s="581"/>
      <c r="L979" s="581"/>
      <c r="M979" s="581"/>
      <c r="N979" s="581"/>
      <c r="O979" s="581"/>
      <c r="P979" s="581"/>
      <c r="Q979" s="581"/>
      <c r="R979" s="581"/>
      <c r="S979" s="581"/>
      <c r="T979" s="581"/>
      <c r="U979" s="581"/>
      <c r="V979" s="581"/>
      <c r="W979" s="581"/>
      <c r="X979" s="581"/>
      <c r="Y979" s="581"/>
      <c r="Z979" s="581"/>
      <c r="AA979" s="581"/>
      <c r="AB979" s="581"/>
      <c r="AC979" s="581"/>
      <c r="AD979" s="581"/>
      <c r="AE979" s="581"/>
      <c r="AF979" s="581"/>
      <c r="AG979" s="581"/>
      <c r="AH979" s="581"/>
      <c r="AI979" s="581"/>
      <c r="AJ979" s="1484" t="s">
        <v>1099</v>
      </c>
      <c r="AK979" s="1484"/>
      <c r="AL979" s="1484"/>
      <c r="AM979" s="1484"/>
      <c r="AN979" s="1484"/>
      <c r="AO979" s="1484"/>
      <c r="AP979" s="1484"/>
      <c r="AQ979" s="581" t="s">
        <v>1117</v>
      </c>
      <c r="AR979" s="581"/>
      <c r="AS979" s="581"/>
      <c r="AT979" s="581"/>
      <c r="AU979" s="581"/>
      <c r="AV979" s="581"/>
      <c r="AW979" s="581"/>
      <c r="AX979" s="581"/>
      <c r="AY979" s="581"/>
      <c r="AZ979" s="581"/>
      <c r="BA979" s="581"/>
      <c r="BB979" s="581"/>
      <c r="BC979" s="581"/>
      <c r="BD979" s="581"/>
      <c r="BE979" s="581"/>
      <c r="BF979" s="581"/>
      <c r="BG979" s="581"/>
      <c r="BH979" s="581"/>
      <c r="BI979" s="581"/>
      <c r="BJ979" s="581"/>
      <c r="BK979" s="581"/>
      <c r="BL979" s="581"/>
      <c r="BM979" s="581"/>
      <c r="BN979" s="581"/>
      <c r="BO979" s="581"/>
      <c r="BP979" s="581"/>
      <c r="BQ979" s="581"/>
      <c r="BR979" s="581"/>
      <c r="BS979" s="581"/>
      <c r="BT979" s="581" t="s">
        <v>1202</v>
      </c>
      <c r="BU979" s="581"/>
      <c r="BV979" s="581"/>
      <c r="BW979" s="581"/>
      <c r="BX979" s="581"/>
      <c r="BY979" s="581"/>
      <c r="BZ979" s="581"/>
      <c r="CA979" s="581"/>
      <c r="CB979" s="581"/>
      <c r="CC979" s="581"/>
      <c r="CD979" s="581"/>
      <c r="CE979" s="581"/>
      <c r="CF979" s="582"/>
    </row>
    <row r="980" spans="1:84" s="583" customFormat="1" ht="23.1" customHeight="1">
      <c r="A980" s="584"/>
      <c r="B980" s="585" t="s">
        <v>1102</v>
      </c>
      <c r="C980" s="585"/>
      <c r="D980" s="585"/>
      <c r="E980" s="585"/>
      <c r="F980" s="585"/>
      <c r="G980" s="585"/>
      <c r="H980" s="585"/>
      <c r="I980" s="585"/>
      <c r="J980" s="585"/>
      <c r="K980" s="585"/>
      <c r="L980" s="585"/>
      <c r="M980" s="585"/>
      <c r="N980" s="585"/>
      <c r="O980" s="585"/>
      <c r="P980" s="585"/>
      <c r="Q980" s="585"/>
      <c r="R980" s="585"/>
      <c r="S980" s="585"/>
      <c r="T980" s="585"/>
      <c r="U980" s="585"/>
      <c r="V980" s="585"/>
      <c r="W980" s="585"/>
      <c r="X980" s="585"/>
      <c r="Y980" s="585"/>
      <c r="Z980" s="585"/>
      <c r="AA980" s="585"/>
      <c r="AB980" s="585"/>
      <c r="AC980" s="585"/>
      <c r="AD980" s="585"/>
      <c r="AE980" s="585"/>
      <c r="AF980" s="585"/>
      <c r="AG980" s="585"/>
      <c r="AH980" s="585"/>
      <c r="AI980" s="585"/>
      <c r="AJ980" s="585"/>
      <c r="AK980" s="585"/>
      <c r="AL980" s="585"/>
      <c r="AM980" s="585"/>
      <c r="AN980" s="585"/>
      <c r="AO980" s="585"/>
      <c r="AP980" s="585"/>
      <c r="AQ980" s="585"/>
      <c r="AR980" s="585"/>
      <c r="AS980" s="585"/>
      <c r="AT980" s="585"/>
      <c r="AU980" s="585"/>
      <c r="AV980" s="585"/>
      <c r="AW980" s="585"/>
      <c r="AX980" s="585"/>
      <c r="AY980" s="585"/>
      <c r="AZ980" s="585"/>
      <c r="BA980" s="585"/>
      <c r="BB980" s="585"/>
      <c r="BC980" s="585"/>
      <c r="BD980" s="585"/>
      <c r="BE980" s="585"/>
      <c r="BF980" s="585"/>
      <c r="BG980" s="585"/>
      <c r="BH980" s="585"/>
      <c r="BI980" s="585"/>
      <c r="BJ980" s="585"/>
      <c r="BK980" s="585"/>
      <c r="BL980" s="585"/>
      <c r="BM980" s="585"/>
      <c r="BN980" s="585"/>
      <c r="BO980" s="585"/>
      <c r="BP980" s="585"/>
      <c r="BQ980" s="585"/>
      <c r="BR980" s="585"/>
      <c r="BS980" s="585"/>
      <c r="BT980" s="585"/>
      <c r="BU980" s="585"/>
      <c r="BV980" s="585"/>
      <c r="BW980" s="585"/>
      <c r="BX980" s="585"/>
      <c r="BY980" s="585"/>
      <c r="BZ980" s="585"/>
      <c r="CA980" s="585"/>
      <c r="CB980" s="585"/>
      <c r="CC980" s="585"/>
      <c r="CD980" s="585"/>
      <c r="CE980" s="585"/>
      <c r="CF980" s="586"/>
    </row>
    <row r="981" spans="1:84" s="583" customFormat="1" ht="23.1" customHeight="1">
      <c r="A981" s="587"/>
      <c r="B981" s="574"/>
      <c r="C981" s="574"/>
      <c r="D981" s="405"/>
      <c r="E981" s="574"/>
      <c r="F981" s="422"/>
      <c r="G981" s="422"/>
      <c r="H981" s="422"/>
      <c r="I981" s="422"/>
      <c r="J981" s="422"/>
      <c r="K981" s="422"/>
      <c r="L981" s="422"/>
      <c r="M981" s="422"/>
      <c r="N981" s="574"/>
      <c r="O981" s="574"/>
      <c r="P981" s="574"/>
      <c r="Q981" s="574"/>
      <c r="R981" s="574"/>
      <c r="S981" s="588"/>
      <c r="T981" s="588"/>
      <c r="U981" s="588"/>
      <c r="V981" s="588"/>
      <c r="W981" s="588"/>
      <c r="X981" s="588"/>
      <c r="Y981" s="588"/>
      <c r="Z981" s="588"/>
      <c r="AA981" s="574"/>
      <c r="AB981" s="588"/>
      <c r="AC981" s="585"/>
      <c r="AD981" s="585"/>
      <c r="AE981" s="600"/>
      <c r="AF981" s="600"/>
      <c r="AG981" s="600"/>
      <c r="AH981" s="600"/>
      <c r="AI981" s="600"/>
      <c r="AJ981" s="600"/>
      <c r="AK981" s="600"/>
      <c r="AL981" s="600"/>
      <c r="AM981" s="585"/>
      <c r="AN981" s="585"/>
      <c r="AO981" s="574"/>
      <c r="AP981" s="430"/>
      <c r="AQ981" s="430"/>
      <c r="AR981" s="430"/>
      <c r="AS981" s="430"/>
      <c r="AT981" s="430"/>
      <c r="AU981" s="430"/>
      <c r="AV981" s="430"/>
      <c r="AW981" s="430"/>
      <c r="AX981" s="430"/>
      <c r="AY981" s="430"/>
      <c r="AZ981" s="430"/>
      <c r="BA981" s="430"/>
      <c r="BB981" s="430"/>
      <c r="BC981" s="430"/>
      <c r="BD981" s="574"/>
      <c r="BE981" s="574"/>
      <c r="BF981" s="574"/>
      <c r="BG981" s="574"/>
      <c r="BH981" s="574"/>
      <c r="BI981" s="574"/>
      <c r="BJ981" s="574"/>
      <c r="BK981" s="574"/>
      <c r="BL981" s="574"/>
      <c r="BM981" s="574"/>
      <c r="BN981" s="574"/>
      <c r="BO981" s="574"/>
      <c r="BP981" s="574"/>
      <c r="BQ981" s="574"/>
      <c r="BR981" s="574"/>
      <c r="BS981" s="574"/>
      <c r="BT981" s="574"/>
      <c r="BU981" s="574"/>
      <c r="BV981" s="574"/>
      <c r="BW981" s="574"/>
      <c r="BX981" s="574"/>
      <c r="BY981" s="574"/>
      <c r="BZ981" s="574"/>
      <c r="CA981" s="574"/>
      <c r="CB981" s="574"/>
      <c r="CC981" s="574"/>
      <c r="CD981" s="574"/>
      <c r="CE981" s="574"/>
      <c r="CF981" s="589"/>
    </row>
    <row r="982" spans="1:84" s="583" customFormat="1" ht="23.1" customHeight="1">
      <c r="A982" s="584"/>
      <c r="B982" s="585"/>
      <c r="C982" s="585"/>
      <c r="D982" s="585"/>
      <c r="E982" s="585"/>
      <c r="F982" s="585"/>
      <c r="G982" s="585"/>
      <c r="H982" s="585"/>
      <c r="I982" s="585"/>
      <c r="J982" s="585"/>
      <c r="K982" s="585"/>
      <c r="L982" s="585"/>
      <c r="M982" s="585"/>
      <c r="N982" s="585"/>
      <c r="O982" s="585"/>
      <c r="P982" s="585"/>
      <c r="Q982" s="585"/>
      <c r="R982" s="585"/>
      <c r="S982" s="585"/>
      <c r="T982" s="585"/>
      <c r="U982" s="585"/>
      <c r="V982" s="590"/>
      <c r="W982" s="590"/>
      <c r="X982" s="590"/>
      <c r="Y982" s="590"/>
      <c r="Z982" s="590"/>
      <c r="AA982" s="590"/>
      <c r="AB982" s="590"/>
      <c r="AC982" s="590"/>
      <c r="AD982" s="574"/>
      <c r="AE982" s="1440">
        <v>120584000</v>
      </c>
      <c r="AF982" s="1440"/>
      <c r="AG982" s="1440"/>
      <c r="AH982" s="1440"/>
      <c r="AI982" s="1440"/>
      <c r="AJ982" s="1440"/>
      <c r="AK982" s="1440"/>
      <c r="AL982" s="1440"/>
      <c r="AM982" s="1440"/>
      <c r="AN982" s="1440"/>
      <c r="AO982" s="1440"/>
      <c r="AP982" s="1440"/>
      <c r="AQ982" s="1440"/>
      <c r="AR982" s="1440"/>
      <c r="AS982" s="1440"/>
      <c r="AT982" s="1431" t="s">
        <v>446</v>
      </c>
      <c r="AU982" s="1431"/>
      <c r="AV982" s="1441" t="s">
        <v>1103</v>
      </c>
      <c r="AW982" s="1441"/>
      <c r="AX982" s="1442">
        <v>2598</v>
      </c>
      <c r="AY982" s="1442"/>
      <c r="AZ982" s="1442"/>
      <c r="BA982" s="1442"/>
      <c r="BB982" s="1442"/>
      <c r="BC982" s="1442"/>
      <c r="BD982" s="585"/>
      <c r="BE982" s="1431" t="s">
        <v>446</v>
      </c>
      <c r="BF982" s="1431"/>
      <c r="BG982" s="585"/>
      <c r="BH982" s="591" t="s">
        <v>1104</v>
      </c>
      <c r="BI982" s="585"/>
      <c r="BJ982" s="585"/>
      <c r="BK982" s="585"/>
      <c r="BL982" s="1431" t="s">
        <v>1105</v>
      </c>
      <c r="BM982" s="1431"/>
      <c r="BN982" s="1431"/>
      <c r="BO982" s="585"/>
      <c r="BP982" s="1431" t="s">
        <v>41</v>
      </c>
      <c r="BQ982" s="1431"/>
      <c r="BR982" s="585"/>
      <c r="BS982" s="585"/>
      <c r="BT982" s="1437">
        <f>INT(AE982*AX982*10^-7)</f>
        <v>31327</v>
      </c>
      <c r="BU982" s="1437"/>
      <c r="BV982" s="1437"/>
      <c r="BW982" s="1437"/>
      <c r="BX982" s="1437"/>
      <c r="BY982" s="1437"/>
      <c r="BZ982" s="1437"/>
      <c r="CA982" s="1437"/>
      <c r="CB982" s="1437"/>
      <c r="CC982" s="1437"/>
      <c r="CD982" s="585"/>
      <c r="CE982" s="585"/>
      <c r="CF982" s="586"/>
    </row>
    <row r="983" spans="1:84" s="583" customFormat="1" ht="23.1" customHeight="1">
      <c r="A983" s="592"/>
      <c r="B983" s="593" t="s">
        <v>1106</v>
      </c>
      <c r="C983" s="593"/>
      <c r="D983" s="593"/>
      <c r="E983" s="593"/>
      <c r="F983" s="593"/>
      <c r="G983" s="593"/>
      <c r="H983" s="593"/>
      <c r="I983" s="593"/>
      <c r="J983" s="593"/>
      <c r="K983" s="593"/>
      <c r="L983" s="593"/>
      <c r="M983" s="593"/>
      <c r="N983" s="593"/>
      <c r="O983" s="593"/>
      <c r="P983" s="593"/>
      <c r="Q983" s="593"/>
      <c r="R983" s="593"/>
      <c r="S983" s="593"/>
      <c r="T983" s="593"/>
      <c r="U983" s="593"/>
      <c r="V983" s="593"/>
      <c r="W983" s="593"/>
      <c r="X983" s="593"/>
      <c r="Y983" s="593"/>
      <c r="Z983" s="593"/>
      <c r="AA983" s="593"/>
      <c r="AB983" s="593"/>
      <c r="AC983" s="593"/>
      <c r="AD983" s="593"/>
      <c r="AE983" s="593"/>
      <c r="AF983" s="593"/>
      <c r="AG983" s="593"/>
      <c r="AH983" s="593"/>
      <c r="AI983" s="593"/>
      <c r="AJ983" s="593"/>
      <c r="AK983" s="593"/>
      <c r="AL983" s="593"/>
      <c r="AM983" s="593"/>
      <c r="AN983" s="593"/>
      <c r="AO983" s="593"/>
      <c r="AP983" s="593"/>
      <c r="AQ983" s="593"/>
      <c r="AR983" s="593"/>
      <c r="AS983" s="593"/>
      <c r="AT983" s="593"/>
      <c r="AU983" s="593"/>
      <c r="AV983" s="593"/>
      <c r="AW983" s="593"/>
      <c r="AX983" s="593"/>
      <c r="AY983" s="593"/>
      <c r="AZ983" s="593"/>
      <c r="BA983" s="593"/>
      <c r="BB983" s="593"/>
      <c r="BC983" s="593"/>
      <c r="BD983" s="593"/>
      <c r="BE983" s="593"/>
      <c r="BF983" s="593"/>
      <c r="BG983" s="593"/>
      <c r="BH983" s="593"/>
      <c r="BI983" s="593"/>
      <c r="BJ983" s="593"/>
      <c r="BK983" s="593"/>
      <c r="BL983" s="593"/>
      <c r="BM983" s="593"/>
      <c r="BN983" s="593"/>
      <c r="BO983" s="593"/>
      <c r="BP983" s="593"/>
      <c r="BQ983" s="593"/>
      <c r="BR983" s="593"/>
      <c r="BS983" s="593"/>
      <c r="BT983" s="594"/>
      <c r="BU983" s="594"/>
      <c r="BV983" s="594"/>
      <c r="BW983" s="594"/>
      <c r="BX983" s="594"/>
      <c r="BY983" s="594"/>
      <c r="BZ983" s="594"/>
      <c r="CA983" s="594"/>
      <c r="CB983" s="594"/>
      <c r="CC983" s="594"/>
      <c r="CD983" s="593"/>
      <c r="CE983" s="593"/>
      <c r="CF983" s="595"/>
    </row>
    <row r="984" spans="1:84" s="583" customFormat="1" ht="23.1" customHeight="1">
      <c r="A984" s="584"/>
      <c r="B984" s="585"/>
      <c r="C984" s="585"/>
      <c r="D984" s="596" t="s">
        <v>1092</v>
      </c>
      <c r="E984" s="585"/>
      <c r="F984" s="585"/>
      <c r="G984" s="585"/>
      <c r="H984" s="585"/>
      <c r="I984" s="585"/>
      <c r="J984" s="585"/>
      <c r="K984" s="585"/>
      <c r="L984" s="585"/>
      <c r="M984" s="585"/>
      <c r="N984" s="585"/>
      <c r="O984" s="585"/>
      <c r="P984" s="585"/>
      <c r="Q984" s="585"/>
      <c r="R984" s="585"/>
      <c r="S984" s="585"/>
      <c r="T984" s="574"/>
      <c r="U984" s="574"/>
      <c r="V984" s="1435">
        <f>HLOOKUP(D984,$CJ$1:$CM$3,3,0)</f>
        <v>238936</v>
      </c>
      <c r="W984" s="1435"/>
      <c r="X984" s="1435"/>
      <c r="Y984" s="1435"/>
      <c r="Z984" s="1435"/>
      <c r="AA984" s="1435"/>
      <c r="AB984" s="1435"/>
      <c r="AC984" s="1435"/>
      <c r="AD984" s="1435"/>
      <c r="AE984" s="1435"/>
      <c r="AF984" s="1431" t="s">
        <v>446</v>
      </c>
      <c r="AG984" s="1431"/>
      <c r="AH984" s="574"/>
      <c r="AI984" s="1436" t="s">
        <v>1107</v>
      </c>
      <c r="AJ984" s="1436"/>
      <c r="AK984" s="1436"/>
      <c r="AL984" s="1436"/>
      <c r="AM984" s="585"/>
      <c r="AN984" s="1431" t="s">
        <v>446</v>
      </c>
      <c r="AO984" s="1431"/>
      <c r="AP984" s="585"/>
      <c r="AQ984" s="1436" t="s">
        <v>1108</v>
      </c>
      <c r="AR984" s="1436"/>
      <c r="AS984" s="1436"/>
      <c r="AT984" s="1436"/>
      <c r="AU984" s="1436"/>
      <c r="AV984" s="422"/>
      <c r="AW984" s="1431" t="s">
        <v>446</v>
      </c>
      <c r="AX984" s="1431"/>
      <c r="AY984" s="440"/>
      <c r="AZ984" s="1436" t="s">
        <v>1109</v>
      </c>
      <c r="BA984" s="1436"/>
      <c r="BB984" s="1436"/>
      <c r="BC984" s="1436"/>
      <c r="BD984" s="1436"/>
      <c r="BE984" s="585"/>
      <c r="BF984" s="1431" t="s">
        <v>446</v>
      </c>
      <c r="BG984" s="1431"/>
      <c r="BH984" s="1431">
        <v>1</v>
      </c>
      <c r="BI984" s="1431"/>
      <c r="BJ984" s="1431"/>
      <c r="BK984" s="585"/>
      <c r="BL984" s="585" t="s">
        <v>366</v>
      </c>
      <c r="BM984" s="585"/>
      <c r="BN984" s="585"/>
      <c r="BO984" s="585"/>
      <c r="BP984" s="1431" t="s">
        <v>41</v>
      </c>
      <c r="BQ984" s="1431"/>
      <c r="BR984" s="585"/>
      <c r="BS984" s="585"/>
      <c r="BT984" s="1432">
        <f>INT(V984/8*16/12*25/20*BH984)</f>
        <v>49778</v>
      </c>
      <c r="BU984" s="1432"/>
      <c r="BV984" s="1432"/>
      <c r="BW984" s="1432"/>
      <c r="BX984" s="1432"/>
      <c r="BY984" s="1432"/>
      <c r="BZ984" s="1432"/>
      <c r="CA984" s="1432"/>
      <c r="CB984" s="1432"/>
      <c r="CC984" s="1432"/>
      <c r="CD984" s="585"/>
      <c r="CE984" s="585"/>
      <c r="CF984" s="586"/>
    </row>
    <row r="985" spans="1:84" s="583" customFormat="1" ht="23.1" customHeight="1">
      <c r="A985" s="584"/>
      <c r="B985" s="585"/>
      <c r="C985" s="585"/>
      <c r="D985" s="585"/>
      <c r="E985" s="585"/>
      <c r="F985" s="585"/>
      <c r="G985" s="585"/>
      <c r="H985" s="585"/>
      <c r="I985" s="585"/>
      <c r="J985" s="585"/>
      <c r="K985" s="585"/>
      <c r="L985" s="585"/>
      <c r="M985" s="585"/>
      <c r="N985" s="585"/>
      <c r="O985" s="585"/>
      <c r="P985" s="574"/>
      <c r="Q985" s="574"/>
      <c r="R985" s="574"/>
      <c r="S985" s="574"/>
      <c r="T985" s="574"/>
      <c r="U985" s="574"/>
      <c r="V985" s="574"/>
      <c r="W985" s="574"/>
      <c r="X985" s="574"/>
      <c r="Y985" s="574"/>
      <c r="Z985" s="574"/>
      <c r="AA985" s="574"/>
      <c r="AB985" s="574"/>
      <c r="AC985" s="574"/>
      <c r="AD985" s="574"/>
      <c r="AE985" s="574"/>
      <c r="AF985" s="574"/>
      <c r="AG985" s="574"/>
      <c r="AH985" s="574"/>
      <c r="AI985" s="574"/>
      <c r="AJ985" s="574"/>
      <c r="AK985" s="574"/>
      <c r="AL985" s="574"/>
      <c r="AM985" s="574"/>
      <c r="AN985" s="574"/>
      <c r="AO985" s="574"/>
      <c r="AP985" s="574"/>
      <c r="AQ985" s="574"/>
      <c r="AR985" s="574"/>
      <c r="AS985" s="574"/>
      <c r="AT985" s="574"/>
      <c r="AU985" s="574"/>
      <c r="AV985" s="574"/>
      <c r="AW985" s="574"/>
      <c r="AX985" s="574"/>
      <c r="AY985" s="574"/>
      <c r="AZ985" s="574"/>
      <c r="BA985" s="574"/>
      <c r="BB985" s="574"/>
      <c r="BC985" s="574"/>
      <c r="BD985" s="574"/>
      <c r="BE985" s="574"/>
      <c r="BF985" s="574"/>
      <c r="BG985" s="585"/>
      <c r="BH985" s="585"/>
      <c r="BI985" s="585"/>
      <c r="BJ985" s="585"/>
      <c r="BK985" s="585"/>
      <c r="BL985" s="585"/>
      <c r="BM985" s="585"/>
      <c r="BN985" s="585"/>
      <c r="BO985" s="585"/>
      <c r="BP985" s="1431"/>
      <c r="BQ985" s="1431"/>
      <c r="BR985" s="585"/>
      <c r="BS985" s="585"/>
      <c r="BT985" s="1432"/>
      <c r="BU985" s="1432"/>
      <c r="BV985" s="1432"/>
      <c r="BW985" s="1432"/>
      <c r="BX985" s="1432"/>
      <c r="BY985" s="1432"/>
      <c r="BZ985" s="1432"/>
      <c r="CA985" s="1432"/>
      <c r="CB985" s="1432"/>
      <c r="CC985" s="1432"/>
      <c r="CD985" s="585"/>
      <c r="CE985" s="585"/>
      <c r="CF985" s="586"/>
    </row>
    <row r="986" spans="1:84" s="583" customFormat="1" ht="23.1" customHeight="1">
      <c r="A986" s="584"/>
      <c r="B986" s="585"/>
      <c r="C986" s="585"/>
      <c r="D986" s="585"/>
      <c r="E986" s="585"/>
      <c r="F986" s="585"/>
      <c r="G986" s="585"/>
      <c r="H986" s="585"/>
      <c r="I986" s="585"/>
      <c r="J986" s="585"/>
      <c r="K986" s="585"/>
      <c r="L986" s="585"/>
      <c r="M986" s="585"/>
      <c r="N986" s="585"/>
      <c r="O986" s="585"/>
      <c r="P986" s="585"/>
      <c r="Q986" s="585"/>
      <c r="R986" s="585"/>
      <c r="S986" s="585"/>
      <c r="T986" s="585"/>
      <c r="U986" s="585"/>
      <c r="V986" s="585"/>
      <c r="W986" s="585"/>
      <c r="X986" s="585"/>
      <c r="Y986" s="585"/>
      <c r="Z986" s="585"/>
      <c r="AA986" s="585"/>
      <c r="AB986" s="585"/>
      <c r="AC986" s="585"/>
      <c r="AD986" s="574"/>
      <c r="AE986" s="574"/>
      <c r="AF986" s="574"/>
      <c r="AG986" s="574"/>
      <c r="AH986" s="574"/>
      <c r="AI986" s="574"/>
      <c r="AJ986" s="574"/>
      <c r="AK986" s="574"/>
      <c r="AL986" s="574"/>
      <c r="AM986" s="574"/>
      <c r="AN986" s="574"/>
      <c r="AO986" s="574"/>
      <c r="AP986" s="574"/>
      <c r="AQ986" s="574"/>
      <c r="AR986" s="574"/>
      <c r="AS986" s="585"/>
      <c r="AT986" s="590"/>
      <c r="AU986" s="590"/>
      <c r="AV986" s="585"/>
      <c r="AW986" s="585"/>
      <c r="AX986" s="585"/>
      <c r="AY986" s="585"/>
      <c r="AZ986" s="585"/>
      <c r="BA986" s="585"/>
      <c r="BB986" s="585"/>
      <c r="BC986" s="585"/>
      <c r="BD986" s="585"/>
      <c r="BE986" s="585"/>
      <c r="BF986" s="585"/>
      <c r="BG986" s="585"/>
      <c r="BH986" s="585"/>
      <c r="BI986" s="585"/>
      <c r="BJ986" s="585"/>
      <c r="BK986" s="585"/>
      <c r="BL986" s="585"/>
      <c r="BM986" s="585"/>
      <c r="BN986" s="585"/>
      <c r="BO986" s="585"/>
      <c r="BP986" s="1431" t="s">
        <v>41</v>
      </c>
      <c r="BQ986" s="1431"/>
      <c r="BR986" s="585"/>
      <c r="BS986" s="585"/>
      <c r="BT986" s="1434">
        <f>BT984+BT985</f>
        <v>49778</v>
      </c>
      <c r="BU986" s="1434"/>
      <c r="BV986" s="1434"/>
      <c r="BW986" s="1434"/>
      <c r="BX986" s="1434"/>
      <c r="BY986" s="1434"/>
      <c r="BZ986" s="1434"/>
      <c r="CA986" s="1434"/>
      <c r="CB986" s="1434"/>
      <c r="CC986" s="1434"/>
      <c r="CD986" s="585"/>
      <c r="CE986" s="585"/>
      <c r="CF986" s="586"/>
    </row>
    <row r="987" spans="1:84" s="583" customFormat="1" ht="23.1" customHeight="1">
      <c r="A987" s="592"/>
      <c r="B987" s="593" t="s">
        <v>1110</v>
      </c>
      <c r="C987" s="593"/>
      <c r="D987" s="593"/>
      <c r="E987" s="593"/>
      <c r="F987" s="593"/>
      <c r="G987" s="593"/>
      <c r="H987" s="593"/>
      <c r="I987" s="593"/>
      <c r="J987" s="593"/>
      <c r="K987" s="593"/>
      <c r="L987" s="593"/>
      <c r="M987" s="593"/>
      <c r="N987" s="593"/>
      <c r="O987" s="593"/>
      <c r="P987" s="593"/>
      <c r="Q987" s="593"/>
      <c r="R987" s="593"/>
      <c r="S987" s="593"/>
      <c r="T987" s="593"/>
      <c r="U987" s="593"/>
      <c r="V987" s="593"/>
      <c r="W987" s="593"/>
      <c r="X987" s="593"/>
      <c r="Y987" s="593"/>
      <c r="Z987" s="593"/>
      <c r="AA987" s="593"/>
      <c r="AB987" s="593"/>
      <c r="AC987" s="593"/>
      <c r="AD987" s="593"/>
      <c r="AE987" s="593"/>
      <c r="AF987" s="593"/>
      <c r="AG987" s="593"/>
      <c r="AH987" s="593"/>
      <c r="AI987" s="593"/>
      <c r="AJ987" s="593"/>
      <c r="AK987" s="593"/>
      <c r="AL987" s="593"/>
      <c r="AM987" s="593"/>
      <c r="AN987" s="593"/>
      <c r="AO987" s="593"/>
      <c r="AP987" s="593"/>
      <c r="AQ987" s="593"/>
      <c r="AR987" s="593"/>
      <c r="AS987" s="593"/>
      <c r="AT987" s="593"/>
      <c r="AU987" s="593"/>
      <c r="AV987" s="593"/>
      <c r="AW987" s="593"/>
      <c r="AX987" s="593"/>
      <c r="AY987" s="593"/>
      <c r="AZ987" s="593"/>
      <c r="BA987" s="593"/>
      <c r="BB987" s="593"/>
      <c r="BC987" s="593"/>
      <c r="BD987" s="593"/>
      <c r="BE987" s="593"/>
      <c r="BF987" s="593"/>
      <c r="BG987" s="593"/>
      <c r="BH987" s="593"/>
      <c r="BI987" s="593"/>
      <c r="BJ987" s="593"/>
      <c r="BK987" s="593"/>
      <c r="BL987" s="593"/>
      <c r="BM987" s="593"/>
      <c r="BN987" s="593"/>
      <c r="BO987" s="593"/>
      <c r="BP987" s="593"/>
      <c r="BQ987" s="593"/>
      <c r="BR987" s="593"/>
      <c r="BS987" s="593"/>
      <c r="BT987" s="593"/>
      <c r="BU987" s="593"/>
      <c r="BV987" s="593"/>
      <c r="BW987" s="593"/>
      <c r="BX987" s="593"/>
      <c r="BY987" s="593"/>
      <c r="BZ987" s="593"/>
      <c r="CA987" s="593"/>
      <c r="CB987" s="593"/>
      <c r="CC987" s="593"/>
      <c r="CD987" s="593"/>
      <c r="CE987" s="593"/>
      <c r="CF987" s="595"/>
    </row>
    <row r="988" spans="1:84" s="583" customFormat="1" ht="23.1" customHeight="1">
      <c r="A988" s="584"/>
      <c r="B988" s="585"/>
      <c r="C988" s="585"/>
      <c r="D988" s="596" t="s">
        <v>1094</v>
      </c>
      <c r="E988" s="585"/>
      <c r="F988" s="585"/>
      <c r="G988" s="585"/>
      <c r="H988" s="585"/>
      <c r="I988" s="585"/>
      <c r="J988" s="585"/>
      <c r="K988" s="585"/>
      <c r="L988" s="585"/>
      <c r="M988" s="585"/>
      <c r="N988" s="585"/>
      <c r="O988" s="585"/>
      <c r="P988" s="585"/>
      <c r="Q988" s="585"/>
      <c r="R988" s="585"/>
      <c r="S988" s="585"/>
      <c r="T988" s="585"/>
      <c r="U988" s="585"/>
      <c r="V988" s="585"/>
      <c r="W988" s="585"/>
      <c r="X988" s="585"/>
      <c r="Y988" s="585"/>
      <c r="Z988" s="585"/>
      <c r="AA988" s="585"/>
      <c r="AB988" s="585"/>
      <c r="AC988" s="585"/>
      <c r="AD988" s="585"/>
      <c r="AE988" s="585"/>
      <c r="AF988" s="585"/>
      <c r="AG988" s="585"/>
      <c r="AH988" s="585"/>
      <c r="AI988" s="585"/>
      <c r="AJ988" s="585"/>
      <c r="AK988" s="585"/>
      <c r="AL988" s="585"/>
      <c r="AM988" s="585"/>
      <c r="AN988" s="585"/>
      <c r="AO988" s="585"/>
      <c r="AP988" s="585"/>
      <c r="AQ988" s="585"/>
      <c r="AR988" s="422"/>
      <c r="AS988" s="1435" t="e">
        <f>HLOOKUP(D988,$CN$1:$CO$3,3,0)</f>
        <v>#REF!</v>
      </c>
      <c r="AT988" s="1435"/>
      <c r="AU988" s="1435"/>
      <c r="AV988" s="1435"/>
      <c r="AW988" s="1435"/>
      <c r="AX988" s="1435"/>
      <c r="AY988" s="1435"/>
      <c r="AZ988" s="1435"/>
      <c r="BA988" s="1435"/>
      <c r="BB988" s="1435"/>
      <c r="BC988" s="585"/>
      <c r="BD988" s="1431" t="s">
        <v>446</v>
      </c>
      <c r="BE988" s="1431"/>
      <c r="BF988" s="585"/>
      <c r="BG988" s="1431">
        <v>11</v>
      </c>
      <c r="BH988" s="1431"/>
      <c r="BI988" s="1431"/>
      <c r="BJ988" s="1431"/>
      <c r="BK988" s="1431"/>
      <c r="BL988" s="585" t="s">
        <v>1111</v>
      </c>
      <c r="BM988" s="585"/>
      <c r="BN988" s="585"/>
      <c r="BO988" s="585"/>
      <c r="BP988" s="1431" t="s">
        <v>41</v>
      </c>
      <c r="BQ988" s="1431"/>
      <c r="BR988" s="585"/>
      <c r="BS988" s="585"/>
      <c r="BT988" s="1432" t="e">
        <f>INT(AS988*BG988)</f>
        <v>#REF!</v>
      </c>
      <c r="BU988" s="1432"/>
      <c r="BV988" s="1432"/>
      <c r="BW988" s="1432"/>
      <c r="BX988" s="1432"/>
      <c r="BY988" s="1432"/>
      <c r="BZ988" s="1432"/>
      <c r="CA988" s="1432"/>
      <c r="CB988" s="1432"/>
      <c r="CC988" s="1432"/>
      <c r="CD988" s="585"/>
      <c r="CE988" s="585"/>
      <c r="CF988" s="586"/>
    </row>
    <row r="989" spans="1:84" s="583" customFormat="1" ht="23.1" customHeight="1">
      <c r="A989" s="584"/>
      <c r="B989" s="585"/>
      <c r="C989" s="585"/>
      <c r="D989" s="591" t="str">
        <f>"잡재료 (주연료의 "&amp;BG989&amp;"%) :"</f>
        <v>잡재료 (주연료의 20%) :</v>
      </c>
      <c r="E989" s="585"/>
      <c r="F989" s="585"/>
      <c r="G989" s="585"/>
      <c r="H989" s="585"/>
      <c r="I989" s="585"/>
      <c r="J989" s="585"/>
      <c r="K989" s="585"/>
      <c r="L989" s="585"/>
      <c r="M989" s="585"/>
      <c r="N989" s="585"/>
      <c r="O989" s="585"/>
      <c r="P989" s="585"/>
      <c r="Q989" s="585"/>
      <c r="R989" s="585"/>
      <c r="S989" s="585"/>
      <c r="T989" s="585"/>
      <c r="U989" s="585"/>
      <c r="V989" s="585"/>
      <c r="W989" s="585"/>
      <c r="X989" s="585"/>
      <c r="Y989" s="585"/>
      <c r="Z989" s="585"/>
      <c r="AA989" s="585"/>
      <c r="AB989" s="585"/>
      <c r="AC989" s="585"/>
      <c r="AD989" s="585"/>
      <c r="AE989" s="585"/>
      <c r="AF989" s="585"/>
      <c r="AG989" s="585"/>
      <c r="AH989" s="585"/>
      <c r="AI989" s="585"/>
      <c r="AJ989" s="585"/>
      <c r="AK989" s="585"/>
      <c r="AL989" s="585"/>
      <c r="AM989" s="585"/>
      <c r="AN989" s="585"/>
      <c r="AO989" s="585"/>
      <c r="AP989" s="585"/>
      <c r="AQ989" s="585"/>
      <c r="AR989" s="422" t="e">
        <f>BT988</f>
        <v>#REF!</v>
      </c>
      <c r="AS989" s="1430" t="e">
        <f>BT988</f>
        <v>#REF!</v>
      </c>
      <c r="AT989" s="1430"/>
      <c r="AU989" s="1430"/>
      <c r="AV989" s="1430"/>
      <c r="AW989" s="1430"/>
      <c r="AX989" s="1430"/>
      <c r="AY989" s="1430"/>
      <c r="AZ989" s="1430"/>
      <c r="BA989" s="1430"/>
      <c r="BB989" s="1430"/>
      <c r="BC989" s="585"/>
      <c r="BD989" s="1431" t="s">
        <v>446</v>
      </c>
      <c r="BE989" s="1431"/>
      <c r="BF989" s="585"/>
      <c r="BG989" s="1431">
        <v>20</v>
      </c>
      <c r="BH989" s="1431"/>
      <c r="BI989" s="1431"/>
      <c r="BJ989" s="1431"/>
      <c r="BK989" s="1431"/>
      <c r="BL989" s="585" t="s">
        <v>1112</v>
      </c>
      <c r="BM989" s="585"/>
      <c r="BN989" s="585"/>
      <c r="BO989" s="585"/>
      <c r="BP989" s="1431" t="s">
        <v>41</v>
      </c>
      <c r="BQ989" s="1431"/>
      <c r="BR989" s="585"/>
      <c r="BS989" s="585"/>
      <c r="BT989" s="1432" t="e">
        <f>INT(AS989*BG989/100)</f>
        <v>#REF!</v>
      </c>
      <c r="BU989" s="1432"/>
      <c r="BV989" s="1432"/>
      <c r="BW989" s="1432"/>
      <c r="BX989" s="1432"/>
      <c r="BY989" s="1432"/>
      <c r="BZ989" s="1432"/>
      <c r="CA989" s="1432"/>
      <c r="CB989" s="1432"/>
      <c r="CC989" s="1432"/>
      <c r="CD989" s="585"/>
      <c r="CE989" s="585"/>
      <c r="CF989" s="586"/>
    </row>
    <row r="990" spans="1:84" s="583" customFormat="1" ht="23.1" customHeight="1" thickBot="1">
      <c r="A990" s="584"/>
      <c r="B990" s="585"/>
      <c r="C990" s="585"/>
      <c r="D990" s="585"/>
      <c r="E990" s="585"/>
      <c r="F990" s="585"/>
      <c r="G990" s="585"/>
      <c r="H990" s="585"/>
      <c r="I990" s="585"/>
      <c r="J990" s="585"/>
      <c r="K990" s="585"/>
      <c r="L990" s="585"/>
      <c r="M990" s="585"/>
      <c r="N990" s="585"/>
      <c r="O990" s="585"/>
      <c r="P990" s="585"/>
      <c r="Q990" s="585"/>
      <c r="R990" s="585"/>
      <c r="S990" s="585"/>
      <c r="T990" s="585"/>
      <c r="U990" s="585"/>
      <c r="V990" s="585"/>
      <c r="W990" s="585"/>
      <c r="X990" s="585"/>
      <c r="Y990" s="585"/>
      <c r="Z990" s="585"/>
      <c r="AA990" s="585"/>
      <c r="AB990" s="585"/>
      <c r="AC990" s="585"/>
      <c r="AD990" s="585"/>
      <c r="AE990" s="585"/>
      <c r="AF990" s="585"/>
      <c r="AG990" s="585"/>
      <c r="AH990" s="585"/>
      <c r="AI990" s="585"/>
      <c r="AJ990" s="585"/>
      <c r="AK990" s="585"/>
      <c r="AL990" s="585"/>
      <c r="AM990" s="585"/>
      <c r="AN990" s="585"/>
      <c r="AO990" s="585"/>
      <c r="AP990" s="585"/>
      <c r="AQ990" s="585"/>
      <c r="AR990" s="585"/>
      <c r="AS990" s="585"/>
      <c r="AT990" s="585"/>
      <c r="AU990" s="585"/>
      <c r="AV990" s="585"/>
      <c r="AW990" s="585"/>
      <c r="AX990" s="585"/>
      <c r="AY990" s="585"/>
      <c r="AZ990" s="585"/>
      <c r="BA990" s="585"/>
      <c r="BB990" s="585"/>
      <c r="BC990" s="585"/>
      <c r="BD990" s="585"/>
      <c r="BE990" s="585"/>
      <c r="BF990" s="585"/>
      <c r="BG990" s="585"/>
      <c r="BH990" s="585"/>
      <c r="BI990" s="585"/>
      <c r="BJ990" s="585"/>
      <c r="BK990" s="585"/>
      <c r="BL990" s="585"/>
      <c r="BM990" s="585"/>
      <c r="BN990" s="585"/>
      <c r="BO990" s="585"/>
      <c r="BP990" s="1431" t="s">
        <v>41</v>
      </c>
      <c r="BQ990" s="1431"/>
      <c r="BR990" s="585"/>
      <c r="BS990" s="585"/>
      <c r="BT990" s="1433" t="e">
        <f>BT988+BT989</f>
        <v>#REF!</v>
      </c>
      <c r="BU990" s="1433"/>
      <c r="BV990" s="1433"/>
      <c r="BW990" s="1433"/>
      <c r="BX990" s="1433"/>
      <c r="BY990" s="1433"/>
      <c r="BZ990" s="1433"/>
      <c r="CA990" s="1433"/>
      <c r="CB990" s="1433"/>
      <c r="CC990" s="1433"/>
      <c r="CD990" s="585"/>
      <c r="CE990" s="585"/>
      <c r="CF990" s="586"/>
    </row>
    <row r="991" spans="1:84" s="583" customFormat="1" ht="23.1" customHeight="1" thickBot="1">
      <c r="A991" s="597"/>
      <c r="B991" s="598" t="s">
        <v>1113</v>
      </c>
      <c r="C991" s="598"/>
      <c r="D991" s="598"/>
      <c r="E991" s="598"/>
      <c r="F991" s="598"/>
      <c r="G991" s="598"/>
      <c r="H991" s="598"/>
      <c r="I991" s="598"/>
      <c r="J991" s="598"/>
      <c r="K991" s="598"/>
      <c r="L991" s="598"/>
      <c r="M991" s="598"/>
      <c r="N991" s="598"/>
      <c r="O991" s="598"/>
      <c r="P991" s="598"/>
      <c r="Q991" s="598"/>
      <c r="R991" s="598"/>
      <c r="S991" s="598"/>
      <c r="T991" s="598"/>
      <c r="U991" s="598"/>
      <c r="V991" s="598"/>
      <c r="W991" s="598"/>
      <c r="X991" s="598"/>
      <c r="Y991" s="598"/>
      <c r="Z991" s="598"/>
      <c r="AA991" s="598"/>
      <c r="AB991" s="598"/>
      <c r="AC991" s="598"/>
      <c r="AD991" s="598"/>
      <c r="AE991" s="598"/>
      <c r="AF991" s="598"/>
      <c r="AG991" s="598"/>
      <c r="AH991" s="598"/>
      <c r="AI991" s="598"/>
      <c r="AJ991" s="598"/>
      <c r="AK991" s="598"/>
      <c r="AL991" s="598"/>
      <c r="AM991" s="598"/>
      <c r="AN991" s="598"/>
      <c r="AO991" s="598"/>
      <c r="AP991" s="598"/>
      <c r="AQ991" s="598"/>
      <c r="AR991" s="598"/>
      <c r="AS991" s="598"/>
      <c r="AT991" s="598"/>
      <c r="AU991" s="598"/>
      <c r="AV991" s="598"/>
      <c r="AW991" s="598"/>
      <c r="AX991" s="598"/>
      <c r="AY991" s="598"/>
      <c r="AZ991" s="598"/>
      <c r="BA991" s="598"/>
      <c r="BB991" s="598"/>
      <c r="BC991" s="598"/>
      <c r="BD991" s="598"/>
      <c r="BE991" s="598"/>
      <c r="BF991" s="598"/>
      <c r="BG991" s="598"/>
      <c r="BH991" s="598"/>
      <c r="BI991" s="598"/>
      <c r="BJ991" s="598"/>
      <c r="BK991" s="598"/>
      <c r="BL991" s="598"/>
      <c r="BM991" s="598"/>
      <c r="BN991" s="598"/>
      <c r="BO991" s="598"/>
      <c r="BP991" s="598"/>
      <c r="BQ991" s="598"/>
      <c r="BR991" s="598"/>
      <c r="BS991" s="598"/>
      <c r="BT991" s="1429" t="e">
        <f>BT982+BT986+BT990</f>
        <v>#REF!</v>
      </c>
      <c r="BU991" s="1429"/>
      <c r="BV991" s="1429"/>
      <c r="BW991" s="1429"/>
      <c r="BX991" s="1429"/>
      <c r="BY991" s="1429"/>
      <c r="BZ991" s="1429"/>
      <c r="CA991" s="1429"/>
      <c r="CB991" s="1429"/>
      <c r="CC991" s="1429"/>
      <c r="CD991" s="598"/>
      <c r="CE991" s="598"/>
      <c r="CF991" s="599"/>
    </row>
    <row r="992" spans="1:84" s="583" customFormat="1" ht="9.9499999999999993" customHeight="1">
      <c r="A992" s="574"/>
      <c r="B992" s="574"/>
      <c r="C992" s="574"/>
      <c r="D992" s="574"/>
      <c r="E992" s="574"/>
      <c r="F992" s="574"/>
      <c r="G992" s="574"/>
      <c r="H992" s="574"/>
      <c r="I992" s="574"/>
      <c r="J992" s="574"/>
      <c r="K992" s="574"/>
      <c r="L992" s="574"/>
      <c r="M992" s="574"/>
      <c r="N992" s="574"/>
      <c r="O992" s="574"/>
      <c r="P992" s="574"/>
      <c r="Q992" s="574"/>
      <c r="R992" s="574"/>
      <c r="S992" s="574"/>
      <c r="T992" s="574"/>
      <c r="U992" s="574"/>
      <c r="V992" s="574"/>
      <c r="W992" s="574"/>
      <c r="X992" s="574"/>
      <c r="Y992" s="574"/>
      <c r="Z992" s="574"/>
      <c r="AA992" s="574"/>
      <c r="AB992" s="574"/>
      <c r="AC992" s="574"/>
      <c r="AD992" s="574"/>
      <c r="AE992" s="574"/>
      <c r="AF992" s="574"/>
      <c r="AG992" s="574"/>
      <c r="AH992" s="574"/>
      <c r="AI992" s="574"/>
      <c r="AJ992" s="574"/>
      <c r="AK992" s="574"/>
      <c r="AL992" s="574"/>
      <c r="AM992" s="574"/>
      <c r="AN992" s="574"/>
      <c r="AO992" s="574"/>
      <c r="AP992" s="574"/>
      <c r="AQ992" s="574"/>
      <c r="AR992" s="574"/>
      <c r="AS992" s="574"/>
      <c r="AT992" s="574"/>
      <c r="AU992" s="574"/>
      <c r="AV992" s="574"/>
      <c r="AW992" s="574"/>
      <c r="AX992" s="574"/>
      <c r="AY992" s="574"/>
      <c r="AZ992" s="574"/>
      <c r="BA992" s="574"/>
      <c r="BB992" s="574"/>
      <c r="BC992" s="574"/>
      <c r="BD992" s="574"/>
      <c r="BE992" s="574"/>
      <c r="BF992" s="574"/>
      <c r="BG992" s="574"/>
      <c r="BH992" s="574"/>
      <c r="BI992" s="574"/>
      <c r="BJ992" s="574"/>
      <c r="BK992" s="574"/>
      <c r="BL992" s="574"/>
      <c r="BM992" s="574"/>
      <c r="BN992" s="574"/>
      <c r="BO992" s="574"/>
      <c r="BP992" s="574"/>
      <c r="BQ992" s="574"/>
      <c r="BR992" s="574"/>
      <c r="BS992" s="574"/>
      <c r="BT992" s="574"/>
      <c r="BU992" s="574"/>
      <c r="BV992" s="574"/>
      <c r="BW992" s="574"/>
      <c r="BX992" s="574"/>
      <c r="BY992" s="574"/>
      <c r="BZ992" s="574"/>
      <c r="CA992" s="574"/>
      <c r="CB992" s="574"/>
      <c r="CC992" s="574"/>
      <c r="CD992" s="574"/>
      <c r="CE992" s="574"/>
      <c r="CF992" s="574"/>
    </row>
    <row r="993" spans="1:84" s="583" customFormat="1" ht="23.1" customHeight="1" thickBot="1">
      <c r="A993" s="1446" t="s">
        <v>1095</v>
      </c>
      <c r="B993" s="1446"/>
      <c r="C993" s="1446"/>
      <c r="D993" s="1446"/>
      <c r="E993" s="1446"/>
      <c r="F993" s="1446"/>
      <c r="G993" s="1447">
        <f>G978+1</f>
        <v>67</v>
      </c>
      <c r="H993" s="1447"/>
      <c r="I993" s="1447"/>
      <c r="J993" s="1448" t="s">
        <v>1096</v>
      </c>
      <c r="K993" s="1448"/>
      <c r="L993" s="574"/>
      <c r="M993" s="574"/>
      <c r="N993" s="574"/>
      <c r="O993" s="574"/>
      <c r="P993" s="574"/>
      <c r="Q993" s="574"/>
      <c r="R993" s="574"/>
      <c r="S993" s="574"/>
      <c r="T993" s="574"/>
      <c r="U993" s="574"/>
      <c r="V993" s="574"/>
      <c r="W993" s="574"/>
      <c r="X993" s="574"/>
      <c r="Y993" s="574"/>
      <c r="Z993" s="574"/>
      <c r="AA993" s="574"/>
      <c r="AB993" s="574"/>
      <c r="AC993" s="574"/>
      <c r="AD993" s="574"/>
      <c r="AE993" s="574"/>
      <c r="AF993" s="574"/>
      <c r="AG993" s="574"/>
      <c r="AH993" s="574"/>
      <c r="AI993" s="574"/>
      <c r="AJ993" s="574"/>
      <c r="AK993" s="574"/>
      <c r="AL993" s="574"/>
      <c r="AM993" s="574"/>
      <c r="AN993" s="574"/>
      <c r="AO993" s="574"/>
      <c r="AP993" s="574"/>
      <c r="AQ993" s="574"/>
      <c r="AR993" s="574"/>
      <c r="AS993" s="574"/>
      <c r="AT993" s="574"/>
      <c r="AU993" s="574"/>
      <c r="AV993" s="574"/>
      <c r="AW993" s="574"/>
      <c r="AX993" s="574"/>
      <c r="AY993" s="574"/>
      <c r="AZ993" s="574"/>
      <c r="BA993" s="574"/>
      <c r="BB993" s="574"/>
      <c r="BC993" s="574"/>
      <c r="BD993" s="574"/>
      <c r="BE993" s="574"/>
      <c r="BF993" s="574"/>
      <c r="BG993" s="574"/>
      <c r="BH993" s="574"/>
      <c r="BI993" s="574"/>
      <c r="BJ993" s="574"/>
      <c r="BK993" s="574"/>
      <c r="BL993" s="574"/>
      <c r="BM993" s="574"/>
      <c r="BN993" s="574"/>
      <c r="BO993" s="574"/>
      <c r="BP993" s="574"/>
      <c r="BQ993" s="574"/>
      <c r="BR993" s="574"/>
      <c r="BS993" s="574"/>
      <c r="BT993" s="574"/>
      <c r="BU993" s="574"/>
      <c r="BV993" s="574"/>
      <c r="BW993" s="574"/>
      <c r="BX993" s="574"/>
      <c r="BY993" s="574"/>
      <c r="BZ993" s="574"/>
      <c r="CA993" s="574"/>
      <c r="CB993" s="574"/>
      <c r="CC993" s="574"/>
      <c r="CD993" s="574"/>
      <c r="CE993" s="574"/>
      <c r="CF993" s="574"/>
    </row>
    <row r="994" spans="1:84" s="583" customFormat="1" ht="23.1" customHeight="1" thickBot="1">
      <c r="A994" s="1483" t="s">
        <v>1097</v>
      </c>
      <c r="B994" s="1484"/>
      <c r="C994" s="1484"/>
      <c r="D994" s="1484"/>
      <c r="E994" s="1484"/>
      <c r="F994" s="1484"/>
      <c r="G994" s="1484"/>
      <c r="H994" s="1484"/>
      <c r="I994" s="581" t="s">
        <v>1203</v>
      </c>
      <c r="J994" s="581"/>
      <c r="K994" s="581"/>
      <c r="L994" s="581"/>
      <c r="M994" s="581"/>
      <c r="N994" s="581"/>
      <c r="O994" s="581"/>
      <c r="P994" s="581"/>
      <c r="Q994" s="581"/>
      <c r="R994" s="581"/>
      <c r="S994" s="581"/>
      <c r="T994" s="581"/>
      <c r="U994" s="581"/>
      <c r="V994" s="581"/>
      <c r="W994" s="581"/>
      <c r="X994" s="581"/>
      <c r="Y994" s="581"/>
      <c r="Z994" s="581"/>
      <c r="AA994" s="581"/>
      <c r="AB994" s="581"/>
      <c r="AC994" s="581"/>
      <c r="AD994" s="581"/>
      <c r="AE994" s="581"/>
      <c r="AF994" s="581"/>
      <c r="AG994" s="581"/>
      <c r="AH994" s="581"/>
      <c r="AI994" s="581"/>
      <c r="AJ994" s="1484" t="s">
        <v>1099</v>
      </c>
      <c r="AK994" s="1484"/>
      <c r="AL994" s="1484"/>
      <c r="AM994" s="1484"/>
      <c r="AN994" s="1484"/>
      <c r="AO994" s="1484"/>
      <c r="AP994" s="1484"/>
      <c r="AQ994" s="581" t="s">
        <v>1204</v>
      </c>
      <c r="AR994" s="581"/>
      <c r="AS994" s="581"/>
      <c r="AT994" s="581"/>
      <c r="AU994" s="581"/>
      <c r="AV994" s="581"/>
      <c r="AW994" s="581"/>
      <c r="AX994" s="581"/>
      <c r="AY994" s="581"/>
      <c r="AZ994" s="581"/>
      <c r="BA994" s="581"/>
      <c r="BB994" s="581"/>
      <c r="BC994" s="581"/>
      <c r="BD994" s="581"/>
      <c r="BE994" s="581"/>
      <c r="BF994" s="581"/>
      <c r="BG994" s="581"/>
      <c r="BH994" s="581"/>
      <c r="BI994" s="581"/>
      <c r="BJ994" s="581"/>
      <c r="BK994" s="581"/>
      <c r="BL994" s="581"/>
      <c r="BM994" s="581"/>
      <c r="BN994" s="581"/>
      <c r="BO994" s="581"/>
      <c r="BP994" s="581"/>
      <c r="BQ994" s="581"/>
      <c r="BR994" s="581"/>
      <c r="BS994" s="581"/>
      <c r="BT994" s="581" t="s">
        <v>1205</v>
      </c>
      <c r="BU994" s="581"/>
      <c r="BV994" s="581"/>
      <c r="BW994" s="581"/>
      <c r="BX994" s="581"/>
      <c r="BY994" s="581"/>
      <c r="BZ994" s="581"/>
      <c r="CA994" s="581"/>
      <c r="CB994" s="581"/>
      <c r="CC994" s="581"/>
      <c r="CD994" s="581"/>
      <c r="CE994" s="581"/>
      <c r="CF994" s="582"/>
    </row>
    <row r="995" spans="1:84" s="583" customFormat="1" ht="23.1" customHeight="1">
      <c r="A995" s="584"/>
      <c r="B995" s="585" t="s">
        <v>1102</v>
      </c>
      <c r="C995" s="585"/>
      <c r="D995" s="585"/>
      <c r="E995" s="585"/>
      <c r="F995" s="585"/>
      <c r="G995" s="585"/>
      <c r="H995" s="585"/>
      <c r="I995" s="585"/>
      <c r="J995" s="585"/>
      <c r="K995" s="585"/>
      <c r="L995" s="585"/>
      <c r="M995" s="585"/>
      <c r="N995" s="585"/>
      <c r="O995" s="585"/>
      <c r="P995" s="585"/>
      <c r="Q995" s="585"/>
      <c r="R995" s="585"/>
      <c r="S995" s="585"/>
      <c r="T995" s="585"/>
      <c r="U995" s="585"/>
      <c r="V995" s="585"/>
      <c r="W995" s="585"/>
      <c r="X995" s="585"/>
      <c r="Y995" s="585"/>
      <c r="Z995" s="585"/>
      <c r="AA995" s="585"/>
      <c r="AB995" s="585"/>
      <c r="AC995" s="585"/>
      <c r="AD995" s="585"/>
      <c r="AE995" s="585"/>
      <c r="AF995" s="585"/>
      <c r="AG995" s="585"/>
      <c r="AH995" s="585"/>
      <c r="AI995" s="585"/>
      <c r="AJ995" s="585"/>
      <c r="AK995" s="585"/>
      <c r="AL995" s="585"/>
      <c r="AM995" s="585"/>
      <c r="AN995" s="585"/>
      <c r="AO995" s="585"/>
      <c r="AP995" s="585"/>
      <c r="AQ995" s="585"/>
      <c r="AR995" s="585"/>
      <c r="AS995" s="585"/>
      <c r="AT995" s="585"/>
      <c r="AU995" s="585"/>
      <c r="AV995" s="585"/>
      <c r="AW995" s="585"/>
      <c r="AX995" s="585"/>
      <c r="AY995" s="585"/>
      <c r="AZ995" s="585"/>
      <c r="BA995" s="585"/>
      <c r="BB995" s="585"/>
      <c r="BC995" s="585"/>
      <c r="BD995" s="585"/>
      <c r="BE995" s="585"/>
      <c r="BF995" s="585"/>
      <c r="BG995" s="585"/>
      <c r="BH995" s="585"/>
      <c r="BI995" s="585"/>
      <c r="BJ995" s="585"/>
      <c r="BK995" s="585"/>
      <c r="BL995" s="585"/>
      <c r="BM995" s="585"/>
      <c r="BN995" s="585"/>
      <c r="BO995" s="585"/>
      <c r="BP995" s="585"/>
      <c r="BQ995" s="585"/>
      <c r="BR995" s="585"/>
      <c r="BS995" s="585"/>
      <c r="BT995" s="585"/>
      <c r="BU995" s="585"/>
      <c r="BV995" s="585"/>
      <c r="BW995" s="585"/>
      <c r="BX995" s="585"/>
      <c r="BY995" s="585"/>
      <c r="BZ995" s="585"/>
      <c r="CA995" s="585"/>
      <c r="CB995" s="585"/>
      <c r="CC995" s="585"/>
      <c r="CD995" s="585"/>
      <c r="CE995" s="585"/>
      <c r="CF995" s="586"/>
    </row>
    <row r="996" spans="1:84" s="583" customFormat="1" ht="23.1" customHeight="1">
      <c r="A996" s="587"/>
      <c r="B996" s="574"/>
      <c r="C996" s="574"/>
      <c r="D996" s="405"/>
      <c r="E996" s="574"/>
      <c r="F996" s="422"/>
      <c r="G996" s="422"/>
      <c r="H996" s="422"/>
      <c r="I996" s="422"/>
      <c r="J996" s="422"/>
      <c r="K996" s="422"/>
      <c r="L996" s="422"/>
      <c r="M996" s="422"/>
      <c r="N996" s="574"/>
      <c r="O996" s="574"/>
      <c r="P996" s="574"/>
      <c r="Q996" s="574"/>
      <c r="R996" s="574"/>
      <c r="S996" s="588"/>
      <c r="T996" s="588"/>
      <c r="U996" s="588"/>
      <c r="V996" s="588"/>
      <c r="W996" s="588"/>
      <c r="X996" s="588"/>
      <c r="Y996" s="588"/>
      <c r="Z996" s="588"/>
      <c r="AA996" s="574"/>
      <c r="AB996" s="588"/>
      <c r="AC996" s="585"/>
      <c r="AD996" s="585"/>
      <c r="AE996" s="600"/>
      <c r="AF996" s="600"/>
      <c r="AG996" s="600"/>
      <c r="AH996" s="600"/>
      <c r="AI996" s="600"/>
      <c r="AJ996" s="600"/>
      <c r="AK996" s="600"/>
      <c r="AL996" s="600"/>
      <c r="AM996" s="585"/>
      <c r="AN996" s="585"/>
      <c r="AO996" s="574"/>
      <c r="AP996" s="430"/>
      <c r="AQ996" s="430"/>
      <c r="AR996" s="430"/>
      <c r="AS996" s="430"/>
      <c r="AT996" s="430"/>
      <c r="AU996" s="430"/>
      <c r="AV996" s="430"/>
      <c r="AW996" s="430"/>
      <c r="AX996" s="430"/>
      <c r="AY996" s="430"/>
      <c r="AZ996" s="430"/>
      <c r="BA996" s="430"/>
      <c r="BB996" s="430"/>
      <c r="BC996" s="430"/>
      <c r="BD996" s="574"/>
      <c r="BE996" s="574"/>
      <c r="BF996" s="574"/>
      <c r="BG996" s="574"/>
      <c r="BH996" s="574"/>
      <c r="BI996" s="574"/>
      <c r="BJ996" s="574"/>
      <c r="BK996" s="574"/>
      <c r="BL996" s="574"/>
      <c r="BM996" s="574"/>
      <c r="BN996" s="574"/>
      <c r="BO996" s="574"/>
      <c r="BP996" s="574"/>
      <c r="BQ996" s="574"/>
      <c r="BR996" s="574"/>
      <c r="BS996" s="574"/>
      <c r="BT996" s="574"/>
      <c r="BU996" s="574"/>
      <c r="BV996" s="574"/>
      <c r="BW996" s="574"/>
      <c r="BX996" s="574"/>
      <c r="BY996" s="574"/>
      <c r="BZ996" s="574"/>
      <c r="CA996" s="574"/>
      <c r="CB996" s="574"/>
      <c r="CC996" s="574"/>
      <c r="CD996" s="574"/>
      <c r="CE996" s="574"/>
      <c r="CF996" s="589"/>
    </row>
    <row r="997" spans="1:84" s="583" customFormat="1" ht="23.1" customHeight="1">
      <c r="A997" s="584"/>
      <c r="B997" s="585"/>
      <c r="C997" s="585"/>
      <c r="D997" s="585"/>
      <c r="E997" s="585"/>
      <c r="F997" s="585"/>
      <c r="G997" s="585"/>
      <c r="H997" s="585"/>
      <c r="I997" s="585"/>
      <c r="J997" s="585"/>
      <c r="K997" s="585"/>
      <c r="L997" s="585"/>
      <c r="M997" s="585"/>
      <c r="N997" s="585"/>
      <c r="O997" s="585"/>
      <c r="P997" s="585"/>
      <c r="Q997" s="585"/>
      <c r="R997" s="585"/>
      <c r="S997" s="585"/>
      <c r="T997" s="585"/>
      <c r="U997" s="585"/>
      <c r="V997" s="590"/>
      <c r="W997" s="590"/>
      <c r="X997" s="590"/>
      <c r="Y997" s="590"/>
      <c r="Z997" s="590"/>
      <c r="AA997" s="590"/>
      <c r="AB997" s="590"/>
      <c r="AC997" s="590"/>
      <c r="AD997" s="574"/>
      <c r="AE997" s="1440">
        <v>47714000</v>
      </c>
      <c r="AF997" s="1440"/>
      <c r="AG997" s="1440"/>
      <c r="AH997" s="1440"/>
      <c r="AI997" s="1440"/>
      <c r="AJ997" s="1440"/>
      <c r="AK997" s="1440"/>
      <c r="AL997" s="1440"/>
      <c r="AM997" s="1440"/>
      <c r="AN997" s="1440"/>
      <c r="AO997" s="1440"/>
      <c r="AP997" s="1440"/>
      <c r="AQ997" s="1440"/>
      <c r="AR997" s="1440"/>
      <c r="AS997" s="1440"/>
      <c r="AT997" s="1431" t="s">
        <v>446</v>
      </c>
      <c r="AU997" s="1431"/>
      <c r="AV997" s="1441" t="s">
        <v>1103</v>
      </c>
      <c r="AW997" s="1441"/>
      <c r="AX997" s="1442">
        <v>1500</v>
      </c>
      <c r="AY997" s="1442"/>
      <c r="AZ997" s="1442"/>
      <c r="BA997" s="1442"/>
      <c r="BB997" s="1442"/>
      <c r="BC997" s="1442"/>
      <c r="BD997" s="585"/>
      <c r="BE997" s="1431" t="s">
        <v>446</v>
      </c>
      <c r="BF997" s="1431"/>
      <c r="BG997" s="585"/>
      <c r="BH997" s="591" t="s">
        <v>1104</v>
      </c>
      <c r="BI997" s="585"/>
      <c r="BJ997" s="585"/>
      <c r="BK997" s="585"/>
      <c r="BL997" s="1431" t="s">
        <v>1105</v>
      </c>
      <c r="BM997" s="1431"/>
      <c r="BN997" s="1431"/>
      <c r="BO997" s="585"/>
      <c r="BP997" s="1431" t="s">
        <v>41</v>
      </c>
      <c r="BQ997" s="1431"/>
      <c r="BR997" s="585"/>
      <c r="BS997" s="585"/>
      <c r="BT997" s="1437">
        <f>INT(AE997*AX997*10^-7)</f>
        <v>7157</v>
      </c>
      <c r="BU997" s="1437"/>
      <c r="BV997" s="1437"/>
      <c r="BW997" s="1437"/>
      <c r="BX997" s="1437"/>
      <c r="BY997" s="1437"/>
      <c r="BZ997" s="1437"/>
      <c r="CA997" s="1437"/>
      <c r="CB997" s="1437"/>
      <c r="CC997" s="1437"/>
      <c r="CD997" s="585"/>
      <c r="CE997" s="585"/>
      <c r="CF997" s="586"/>
    </row>
    <row r="998" spans="1:84" s="583" customFormat="1" ht="23.1" customHeight="1">
      <c r="A998" s="592"/>
      <c r="B998" s="593" t="s">
        <v>1106</v>
      </c>
      <c r="C998" s="593"/>
      <c r="D998" s="593"/>
      <c r="E998" s="593"/>
      <c r="F998" s="593"/>
      <c r="G998" s="593"/>
      <c r="H998" s="593"/>
      <c r="I998" s="593"/>
      <c r="J998" s="593"/>
      <c r="K998" s="593"/>
      <c r="L998" s="593"/>
      <c r="M998" s="593"/>
      <c r="N998" s="593"/>
      <c r="O998" s="593"/>
      <c r="P998" s="593"/>
      <c r="Q998" s="593"/>
      <c r="R998" s="593"/>
      <c r="S998" s="593"/>
      <c r="T998" s="593"/>
      <c r="U998" s="593"/>
      <c r="V998" s="593"/>
      <c r="W998" s="593"/>
      <c r="X998" s="593"/>
      <c r="Y998" s="593"/>
      <c r="Z998" s="593"/>
      <c r="AA998" s="593"/>
      <c r="AB998" s="593"/>
      <c r="AC998" s="593"/>
      <c r="AD998" s="593"/>
      <c r="AE998" s="593"/>
      <c r="AF998" s="593"/>
      <c r="AG998" s="593"/>
      <c r="AH998" s="593"/>
      <c r="AI998" s="593"/>
      <c r="AJ998" s="593"/>
      <c r="AK998" s="593"/>
      <c r="AL998" s="593"/>
      <c r="AM998" s="593"/>
      <c r="AN998" s="593"/>
      <c r="AO998" s="593"/>
      <c r="AP998" s="593"/>
      <c r="AQ998" s="593"/>
      <c r="AR998" s="593"/>
      <c r="AS998" s="593"/>
      <c r="AT998" s="593"/>
      <c r="AU998" s="593"/>
      <c r="AV998" s="593"/>
      <c r="AW998" s="593"/>
      <c r="AX998" s="593"/>
      <c r="AY998" s="593"/>
      <c r="AZ998" s="593"/>
      <c r="BA998" s="593"/>
      <c r="BB998" s="593"/>
      <c r="BC998" s="593"/>
      <c r="BD998" s="593"/>
      <c r="BE998" s="593"/>
      <c r="BF998" s="593"/>
      <c r="BG998" s="593"/>
      <c r="BH998" s="593"/>
      <c r="BI998" s="593"/>
      <c r="BJ998" s="593"/>
      <c r="BK998" s="593"/>
      <c r="BL998" s="593"/>
      <c r="BM998" s="593"/>
      <c r="BN998" s="593"/>
      <c r="BO998" s="593"/>
      <c r="BP998" s="593"/>
      <c r="BQ998" s="593"/>
      <c r="BR998" s="593"/>
      <c r="BS998" s="593"/>
      <c r="BT998" s="594"/>
      <c r="BU998" s="594"/>
      <c r="BV998" s="594"/>
      <c r="BW998" s="594"/>
      <c r="BX998" s="594"/>
      <c r="BY998" s="594"/>
      <c r="BZ998" s="594"/>
      <c r="CA998" s="594"/>
      <c r="CB998" s="594"/>
      <c r="CC998" s="594"/>
      <c r="CD998" s="593"/>
      <c r="CE998" s="593"/>
      <c r="CF998" s="595"/>
    </row>
    <row r="999" spans="1:84" s="583" customFormat="1" ht="23.1" customHeight="1">
      <c r="A999" s="584"/>
      <c r="B999" s="585"/>
      <c r="C999" s="585"/>
      <c r="D999" s="596" t="s">
        <v>268</v>
      </c>
      <c r="E999" s="585"/>
      <c r="F999" s="585"/>
      <c r="G999" s="585"/>
      <c r="H999" s="585"/>
      <c r="I999" s="585"/>
      <c r="J999" s="585"/>
      <c r="K999" s="585"/>
      <c r="L999" s="585"/>
      <c r="M999" s="585"/>
      <c r="N999" s="585"/>
      <c r="O999" s="585"/>
      <c r="P999" s="585"/>
      <c r="Q999" s="585"/>
      <c r="R999" s="585"/>
      <c r="S999" s="585"/>
      <c r="T999" s="574"/>
      <c r="U999" s="574"/>
      <c r="V999" s="1435">
        <f>HLOOKUP(D999,$CJ$1:$CM$3,3,0)</f>
        <v>283297</v>
      </c>
      <c r="W999" s="1435"/>
      <c r="X999" s="1435"/>
      <c r="Y999" s="1435"/>
      <c r="Z999" s="1435"/>
      <c r="AA999" s="1435"/>
      <c r="AB999" s="1435"/>
      <c r="AC999" s="1435"/>
      <c r="AD999" s="1435"/>
      <c r="AE999" s="1435"/>
      <c r="AF999" s="1431" t="s">
        <v>446</v>
      </c>
      <c r="AG999" s="1431"/>
      <c r="AH999" s="574"/>
      <c r="AI999" s="1436" t="s">
        <v>1107</v>
      </c>
      <c r="AJ999" s="1436"/>
      <c r="AK999" s="1436"/>
      <c r="AL999" s="1436"/>
      <c r="AM999" s="585"/>
      <c r="AN999" s="1431" t="s">
        <v>446</v>
      </c>
      <c r="AO999" s="1431"/>
      <c r="AP999" s="585"/>
      <c r="AQ999" s="1436" t="s">
        <v>1108</v>
      </c>
      <c r="AR999" s="1436"/>
      <c r="AS999" s="1436"/>
      <c r="AT999" s="1436"/>
      <c r="AU999" s="1436"/>
      <c r="AV999" s="422"/>
      <c r="AW999" s="1431" t="s">
        <v>446</v>
      </c>
      <c r="AX999" s="1431"/>
      <c r="AY999" s="440"/>
      <c r="AZ999" s="1436" t="s">
        <v>1109</v>
      </c>
      <c r="BA999" s="1436"/>
      <c r="BB999" s="1436"/>
      <c r="BC999" s="1436"/>
      <c r="BD999" s="1436"/>
      <c r="BE999" s="585"/>
      <c r="BF999" s="1431" t="s">
        <v>446</v>
      </c>
      <c r="BG999" s="1431"/>
      <c r="BH999" s="1431">
        <v>1</v>
      </c>
      <c r="BI999" s="1431"/>
      <c r="BJ999" s="1431"/>
      <c r="BK999" s="585"/>
      <c r="BL999" s="585" t="s">
        <v>366</v>
      </c>
      <c r="BM999" s="585"/>
      <c r="BN999" s="585"/>
      <c r="BO999" s="585"/>
      <c r="BP999" s="1431" t="s">
        <v>41</v>
      </c>
      <c r="BQ999" s="1431"/>
      <c r="BR999" s="585"/>
      <c r="BS999" s="585"/>
      <c r="BT999" s="1432">
        <f>INT(V999/8*16/12*25/20*BH999)</f>
        <v>59020</v>
      </c>
      <c r="BU999" s="1432"/>
      <c r="BV999" s="1432"/>
      <c r="BW999" s="1432"/>
      <c r="BX999" s="1432"/>
      <c r="BY999" s="1432"/>
      <c r="BZ999" s="1432"/>
      <c r="CA999" s="1432"/>
      <c r="CB999" s="1432"/>
      <c r="CC999" s="1432"/>
      <c r="CD999" s="585"/>
      <c r="CE999" s="585"/>
      <c r="CF999" s="586"/>
    </row>
    <row r="1000" spans="1:84" s="583" customFormat="1" ht="23.1" customHeight="1">
      <c r="A1000" s="584"/>
      <c r="B1000" s="585"/>
      <c r="C1000" s="585"/>
      <c r="D1000" s="585"/>
      <c r="E1000" s="585"/>
      <c r="F1000" s="585"/>
      <c r="G1000" s="585"/>
      <c r="H1000" s="585"/>
      <c r="I1000" s="585"/>
      <c r="J1000" s="585"/>
      <c r="K1000" s="585"/>
      <c r="L1000" s="585"/>
      <c r="M1000" s="585"/>
      <c r="N1000" s="585"/>
      <c r="O1000" s="585"/>
      <c r="P1000" s="574"/>
      <c r="Q1000" s="574"/>
      <c r="R1000" s="574"/>
      <c r="S1000" s="574"/>
      <c r="T1000" s="574"/>
      <c r="U1000" s="574"/>
      <c r="V1000" s="574"/>
      <c r="W1000" s="574"/>
      <c r="X1000" s="574"/>
      <c r="Y1000" s="574"/>
      <c r="Z1000" s="574"/>
      <c r="AA1000" s="574"/>
      <c r="AB1000" s="574"/>
      <c r="AC1000" s="574"/>
      <c r="AD1000" s="574"/>
      <c r="AE1000" s="574"/>
      <c r="AF1000" s="574"/>
      <c r="AG1000" s="574"/>
      <c r="AH1000" s="574"/>
      <c r="AI1000" s="574"/>
      <c r="AJ1000" s="574"/>
      <c r="AK1000" s="574"/>
      <c r="AL1000" s="574"/>
      <c r="AM1000" s="574"/>
      <c r="AN1000" s="574"/>
      <c r="AO1000" s="574"/>
      <c r="AP1000" s="574"/>
      <c r="AQ1000" s="574"/>
      <c r="AR1000" s="574"/>
      <c r="AS1000" s="574"/>
      <c r="AT1000" s="574"/>
      <c r="AU1000" s="574"/>
      <c r="AV1000" s="574"/>
      <c r="AW1000" s="574"/>
      <c r="AX1000" s="574"/>
      <c r="AY1000" s="574"/>
      <c r="AZ1000" s="574"/>
      <c r="BA1000" s="574"/>
      <c r="BB1000" s="574"/>
      <c r="BC1000" s="574"/>
      <c r="BD1000" s="574"/>
      <c r="BE1000" s="574"/>
      <c r="BF1000" s="574"/>
      <c r="BG1000" s="585"/>
      <c r="BH1000" s="585"/>
      <c r="BI1000" s="585"/>
      <c r="BJ1000" s="585"/>
      <c r="BK1000" s="585"/>
      <c r="BL1000" s="585"/>
      <c r="BM1000" s="585"/>
      <c r="BN1000" s="585"/>
      <c r="BO1000" s="585"/>
      <c r="BP1000" s="1431"/>
      <c r="BQ1000" s="1431"/>
      <c r="BR1000" s="585"/>
      <c r="BS1000" s="585"/>
      <c r="BT1000" s="1432"/>
      <c r="BU1000" s="1432"/>
      <c r="BV1000" s="1432"/>
      <c r="BW1000" s="1432"/>
      <c r="BX1000" s="1432"/>
      <c r="BY1000" s="1432"/>
      <c r="BZ1000" s="1432"/>
      <c r="CA1000" s="1432"/>
      <c r="CB1000" s="1432"/>
      <c r="CC1000" s="1432"/>
      <c r="CD1000" s="585"/>
      <c r="CE1000" s="585"/>
      <c r="CF1000" s="586"/>
    </row>
    <row r="1001" spans="1:84" s="583" customFormat="1" ht="23.1" customHeight="1">
      <c r="A1001" s="584"/>
      <c r="B1001" s="585"/>
      <c r="C1001" s="585"/>
      <c r="D1001" s="585"/>
      <c r="E1001" s="585"/>
      <c r="F1001" s="585"/>
      <c r="G1001" s="585"/>
      <c r="H1001" s="585"/>
      <c r="I1001" s="585"/>
      <c r="J1001" s="585"/>
      <c r="K1001" s="585"/>
      <c r="L1001" s="585"/>
      <c r="M1001" s="585"/>
      <c r="N1001" s="585"/>
      <c r="O1001" s="585"/>
      <c r="P1001" s="585"/>
      <c r="Q1001" s="585"/>
      <c r="R1001" s="585"/>
      <c r="S1001" s="585"/>
      <c r="T1001" s="585"/>
      <c r="U1001" s="585"/>
      <c r="V1001" s="585"/>
      <c r="W1001" s="585"/>
      <c r="X1001" s="585"/>
      <c r="Y1001" s="585"/>
      <c r="Z1001" s="585"/>
      <c r="AA1001" s="585"/>
      <c r="AB1001" s="585"/>
      <c r="AC1001" s="585"/>
      <c r="AD1001" s="574"/>
      <c r="AE1001" s="574"/>
      <c r="AF1001" s="574"/>
      <c r="AG1001" s="574"/>
      <c r="AH1001" s="574"/>
      <c r="AI1001" s="574"/>
      <c r="AJ1001" s="574"/>
      <c r="AK1001" s="574"/>
      <c r="AL1001" s="574"/>
      <c r="AM1001" s="574"/>
      <c r="AN1001" s="574"/>
      <c r="AO1001" s="574"/>
      <c r="AP1001" s="574"/>
      <c r="AQ1001" s="574"/>
      <c r="AR1001" s="574"/>
      <c r="AS1001" s="585"/>
      <c r="AT1001" s="590"/>
      <c r="AU1001" s="590"/>
      <c r="AV1001" s="585"/>
      <c r="AW1001" s="585"/>
      <c r="AX1001" s="585"/>
      <c r="AY1001" s="585"/>
      <c r="AZ1001" s="585"/>
      <c r="BA1001" s="585"/>
      <c r="BB1001" s="585"/>
      <c r="BC1001" s="585"/>
      <c r="BD1001" s="585"/>
      <c r="BE1001" s="585"/>
      <c r="BF1001" s="585"/>
      <c r="BG1001" s="585"/>
      <c r="BH1001" s="585"/>
      <c r="BI1001" s="585"/>
      <c r="BJ1001" s="585"/>
      <c r="BK1001" s="585"/>
      <c r="BL1001" s="585"/>
      <c r="BM1001" s="585"/>
      <c r="BN1001" s="585"/>
      <c r="BO1001" s="585"/>
      <c r="BP1001" s="1431" t="s">
        <v>41</v>
      </c>
      <c r="BQ1001" s="1431"/>
      <c r="BR1001" s="585"/>
      <c r="BS1001" s="585"/>
      <c r="BT1001" s="1434">
        <f>BT999+BT1000</f>
        <v>59020</v>
      </c>
      <c r="BU1001" s="1434"/>
      <c r="BV1001" s="1434"/>
      <c r="BW1001" s="1434"/>
      <c r="BX1001" s="1434"/>
      <c r="BY1001" s="1434"/>
      <c r="BZ1001" s="1434"/>
      <c r="CA1001" s="1434"/>
      <c r="CB1001" s="1434"/>
      <c r="CC1001" s="1434"/>
      <c r="CD1001" s="585"/>
      <c r="CE1001" s="585"/>
      <c r="CF1001" s="586"/>
    </row>
    <row r="1002" spans="1:84" s="583" customFormat="1" ht="23.1" customHeight="1">
      <c r="A1002" s="592"/>
      <c r="B1002" s="593" t="s">
        <v>1110</v>
      </c>
      <c r="C1002" s="593"/>
      <c r="D1002" s="593"/>
      <c r="E1002" s="593"/>
      <c r="F1002" s="593"/>
      <c r="G1002" s="593"/>
      <c r="H1002" s="593"/>
      <c r="I1002" s="593"/>
      <c r="J1002" s="593"/>
      <c r="K1002" s="593"/>
      <c r="L1002" s="593"/>
      <c r="M1002" s="593"/>
      <c r="N1002" s="593"/>
      <c r="O1002" s="593"/>
      <c r="P1002" s="593"/>
      <c r="Q1002" s="593"/>
      <c r="R1002" s="593"/>
      <c r="S1002" s="593"/>
      <c r="T1002" s="593"/>
      <c r="U1002" s="593"/>
      <c r="V1002" s="593"/>
      <c r="W1002" s="593"/>
      <c r="X1002" s="593"/>
      <c r="Y1002" s="593"/>
      <c r="Z1002" s="593"/>
      <c r="AA1002" s="593"/>
      <c r="AB1002" s="593"/>
      <c r="AC1002" s="593"/>
      <c r="AD1002" s="593"/>
      <c r="AE1002" s="593"/>
      <c r="AF1002" s="593"/>
      <c r="AG1002" s="593"/>
      <c r="AH1002" s="593"/>
      <c r="AI1002" s="593"/>
      <c r="AJ1002" s="593"/>
      <c r="AK1002" s="593"/>
      <c r="AL1002" s="593"/>
      <c r="AM1002" s="593"/>
      <c r="AN1002" s="593"/>
      <c r="AO1002" s="593"/>
      <c r="AP1002" s="593"/>
      <c r="AQ1002" s="593"/>
      <c r="AR1002" s="593"/>
      <c r="AS1002" s="593"/>
      <c r="AT1002" s="593"/>
      <c r="AU1002" s="593"/>
      <c r="AV1002" s="593"/>
      <c r="AW1002" s="593"/>
      <c r="AX1002" s="593"/>
      <c r="AY1002" s="593"/>
      <c r="AZ1002" s="593"/>
      <c r="BA1002" s="593"/>
      <c r="BB1002" s="593"/>
      <c r="BC1002" s="593"/>
      <c r="BD1002" s="593"/>
      <c r="BE1002" s="593"/>
      <c r="BF1002" s="593"/>
      <c r="BG1002" s="593"/>
      <c r="BH1002" s="593"/>
      <c r="BI1002" s="593"/>
      <c r="BJ1002" s="593"/>
      <c r="BK1002" s="593"/>
      <c r="BL1002" s="593"/>
      <c r="BM1002" s="593"/>
      <c r="BN1002" s="593"/>
      <c r="BO1002" s="593"/>
      <c r="BP1002" s="593"/>
      <c r="BQ1002" s="593"/>
      <c r="BR1002" s="593"/>
      <c r="BS1002" s="593"/>
      <c r="BT1002" s="593"/>
      <c r="BU1002" s="593"/>
      <c r="BV1002" s="593"/>
      <c r="BW1002" s="593"/>
      <c r="BX1002" s="593"/>
      <c r="BY1002" s="593"/>
      <c r="BZ1002" s="593"/>
      <c r="CA1002" s="593"/>
      <c r="CB1002" s="593"/>
      <c r="CC1002" s="593"/>
      <c r="CD1002" s="593"/>
      <c r="CE1002" s="593"/>
      <c r="CF1002" s="595"/>
    </row>
    <row r="1003" spans="1:84" s="583" customFormat="1" ht="23.1" customHeight="1">
      <c r="A1003" s="584"/>
      <c r="B1003" s="585"/>
      <c r="C1003" s="585"/>
      <c r="D1003" s="596" t="s">
        <v>1094</v>
      </c>
      <c r="E1003" s="585"/>
      <c r="F1003" s="585"/>
      <c r="G1003" s="585"/>
      <c r="H1003" s="585"/>
      <c r="I1003" s="585"/>
      <c r="J1003" s="585"/>
      <c r="K1003" s="585"/>
      <c r="L1003" s="585"/>
      <c r="M1003" s="585"/>
      <c r="N1003" s="585"/>
      <c r="O1003" s="585"/>
      <c r="P1003" s="585"/>
      <c r="Q1003" s="585"/>
      <c r="R1003" s="585"/>
      <c r="S1003" s="585"/>
      <c r="T1003" s="585"/>
      <c r="U1003" s="585"/>
      <c r="V1003" s="585"/>
      <c r="W1003" s="585"/>
      <c r="X1003" s="585"/>
      <c r="Y1003" s="585"/>
      <c r="Z1003" s="585"/>
      <c r="AA1003" s="585"/>
      <c r="AB1003" s="585"/>
      <c r="AC1003" s="585"/>
      <c r="AD1003" s="585"/>
      <c r="AE1003" s="585"/>
      <c r="AF1003" s="585"/>
      <c r="AG1003" s="585"/>
      <c r="AH1003" s="585"/>
      <c r="AI1003" s="585"/>
      <c r="AJ1003" s="585"/>
      <c r="AK1003" s="585"/>
      <c r="AL1003" s="585"/>
      <c r="AM1003" s="585"/>
      <c r="AN1003" s="585"/>
      <c r="AO1003" s="585"/>
      <c r="AP1003" s="585"/>
      <c r="AQ1003" s="585"/>
      <c r="AR1003" s="422"/>
      <c r="AS1003" s="1435" t="e">
        <f>HLOOKUP(D1003,$CN$1:$CO$3,3,0)</f>
        <v>#REF!</v>
      </c>
      <c r="AT1003" s="1435"/>
      <c r="AU1003" s="1435"/>
      <c r="AV1003" s="1435"/>
      <c r="AW1003" s="1435"/>
      <c r="AX1003" s="1435"/>
      <c r="AY1003" s="1435"/>
      <c r="AZ1003" s="1435"/>
      <c r="BA1003" s="1435"/>
      <c r="BB1003" s="1435"/>
      <c r="BC1003" s="585"/>
      <c r="BD1003" s="1431" t="s">
        <v>446</v>
      </c>
      <c r="BE1003" s="1431"/>
      <c r="BF1003" s="585"/>
      <c r="BG1003" s="1431">
        <v>5.7</v>
      </c>
      <c r="BH1003" s="1431"/>
      <c r="BI1003" s="1431"/>
      <c r="BJ1003" s="1431"/>
      <c r="BK1003" s="1431"/>
      <c r="BL1003" s="585" t="s">
        <v>1111</v>
      </c>
      <c r="BM1003" s="585"/>
      <c r="BN1003" s="585"/>
      <c r="BO1003" s="585"/>
      <c r="BP1003" s="1431" t="s">
        <v>41</v>
      </c>
      <c r="BQ1003" s="1431"/>
      <c r="BR1003" s="585"/>
      <c r="BS1003" s="585"/>
      <c r="BT1003" s="1432" t="e">
        <f>INT(AS1003*BG1003)</f>
        <v>#REF!</v>
      </c>
      <c r="BU1003" s="1432"/>
      <c r="BV1003" s="1432"/>
      <c r="BW1003" s="1432"/>
      <c r="BX1003" s="1432"/>
      <c r="BY1003" s="1432"/>
      <c r="BZ1003" s="1432"/>
      <c r="CA1003" s="1432"/>
      <c r="CB1003" s="1432"/>
      <c r="CC1003" s="1432"/>
      <c r="CD1003" s="585"/>
      <c r="CE1003" s="585"/>
      <c r="CF1003" s="586"/>
    </row>
    <row r="1004" spans="1:84" s="583" customFormat="1" ht="23.1" customHeight="1">
      <c r="A1004" s="584"/>
      <c r="B1004" s="585"/>
      <c r="C1004" s="585"/>
      <c r="D1004" s="591" t="str">
        <f>"잡재료 (주연료의 "&amp;BG1004&amp;"%) :"</f>
        <v>잡재료 (주연료의 37%) :</v>
      </c>
      <c r="E1004" s="585"/>
      <c r="F1004" s="585"/>
      <c r="G1004" s="585"/>
      <c r="H1004" s="585"/>
      <c r="I1004" s="585"/>
      <c r="J1004" s="585"/>
      <c r="K1004" s="585"/>
      <c r="L1004" s="585"/>
      <c r="M1004" s="585"/>
      <c r="N1004" s="585"/>
      <c r="O1004" s="585"/>
      <c r="P1004" s="585"/>
      <c r="Q1004" s="585"/>
      <c r="R1004" s="585"/>
      <c r="S1004" s="585"/>
      <c r="T1004" s="585"/>
      <c r="U1004" s="585"/>
      <c r="V1004" s="585"/>
      <c r="W1004" s="585"/>
      <c r="X1004" s="585"/>
      <c r="Y1004" s="585"/>
      <c r="Z1004" s="585"/>
      <c r="AA1004" s="585"/>
      <c r="AB1004" s="585"/>
      <c r="AC1004" s="585"/>
      <c r="AD1004" s="585"/>
      <c r="AE1004" s="585"/>
      <c r="AF1004" s="585"/>
      <c r="AG1004" s="585"/>
      <c r="AH1004" s="585"/>
      <c r="AI1004" s="585"/>
      <c r="AJ1004" s="585"/>
      <c r="AK1004" s="585"/>
      <c r="AL1004" s="585"/>
      <c r="AM1004" s="585"/>
      <c r="AN1004" s="585"/>
      <c r="AO1004" s="585"/>
      <c r="AP1004" s="585"/>
      <c r="AQ1004" s="585"/>
      <c r="AR1004" s="422" t="e">
        <f>BT1003</f>
        <v>#REF!</v>
      </c>
      <c r="AS1004" s="1430" t="e">
        <f>BT1003</f>
        <v>#REF!</v>
      </c>
      <c r="AT1004" s="1430"/>
      <c r="AU1004" s="1430"/>
      <c r="AV1004" s="1430"/>
      <c r="AW1004" s="1430"/>
      <c r="AX1004" s="1430"/>
      <c r="AY1004" s="1430"/>
      <c r="AZ1004" s="1430"/>
      <c r="BA1004" s="1430"/>
      <c r="BB1004" s="1430"/>
      <c r="BC1004" s="585"/>
      <c r="BD1004" s="1431" t="s">
        <v>446</v>
      </c>
      <c r="BE1004" s="1431"/>
      <c r="BF1004" s="585"/>
      <c r="BG1004" s="1431">
        <v>37</v>
      </c>
      <c r="BH1004" s="1431"/>
      <c r="BI1004" s="1431"/>
      <c r="BJ1004" s="1431"/>
      <c r="BK1004" s="1431"/>
      <c r="BL1004" s="585" t="s">
        <v>1112</v>
      </c>
      <c r="BM1004" s="585"/>
      <c r="BN1004" s="585"/>
      <c r="BO1004" s="585"/>
      <c r="BP1004" s="1431" t="s">
        <v>41</v>
      </c>
      <c r="BQ1004" s="1431"/>
      <c r="BR1004" s="585"/>
      <c r="BS1004" s="585"/>
      <c r="BT1004" s="1432" t="e">
        <f>INT(AS1004*BG1004/100)</f>
        <v>#REF!</v>
      </c>
      <c r="BU1004" s="1432"/>
      <c r="BV1004" s="1432"/>
      <c r="BW1004" s="1432"/>
      <c r="BX1004" s="1432"/>
      <c r="BY1004" s="1432"/>
      <c r="BZ1004" s="1432"/>
      <c r="CA1004" s="1432"/>
      <c r="CB1004" s="1432"/>
      <c r="CC1004" s="1432"/>
      <c r="CD1004" s="585"/>
      <c r="CE1004" s="585"/>
      <c r="CF1004" s="586"/>
    </row>
    <row r="1005" spans="1:84" s="583" customFormat="1" ht="23.1" customHeight="1" thickBot="1">
      <c r="A1005" s="584"/>
      <c r="B1005" s="585"/>
      <c r="C1005" s="585"/>
      <c r="D1005" s="585"/>
      <c r="E1005" s="585"/>
      <c r="F1005" s="585"/>
      <c r="G1005" s="585"/>
      <c r="H1005" s="585"/>
      <c r="I1005" s="585"/>
      <c r="J1005" s="585"/>
      <c r="K1005" s="585"/>
      <c r="L1005" s="585"/>
      <c r="M1005" s="585"/>
      <c r="N1005" s="585"/>
      <c r="O1005" s="585"/>
      <c r="P1005" s="585"/>
      <c r="Q1005" s="585"/>
      <c r="R1005" s="585"/>
      <c r="S1005" s="585"/>
      <c r="T1005" s="585"/>
      <c r="U1005" s="585"/>
      <c r="V1005" s="585"/>
      <c r="W1005" s="585"/>
      <c r="X1005" s="585"/>
      <c r="Y1005" s="585"/>
      <c r="Z1005" s="585"/>
      <c r="AA1005" s="585"/>
      <c r="AB1005" s="585"/>
      <c r="AC1005" s="585"/>
      <c r="AD1005" s="585"/>
      <c r="AE1005" s="585"/>
      <c r="AF1005" s="585"/>
      <c r="AG1005" s="585"/>
      <c r="AH1005" s="585"/>
      <c r="AI1005" s="585"/>
      <c r="AJ1005" s="585"/>
      <c r="AK1005" s="585"/>
      <c r="AL1005" s="585"/>
      <c r="AM1005" s="585"/>
      <c r="AN1005" s="585"/>
      <c r="AO1005" s="585"/>
      <c r="AP1005" s="585"/>
      <c r="AQ1005" s="585"/>
      <c r="AR1005" s="585"/>
      <c r="AS1005" s="585"/>
      <c r="AT1005" s="585"/>
      <c r="AU1005" s="585"/>
      <c r="AV1005" s="585"/>
      <c r="AW1005" s="585"/>
      <c r="AX1005" s="585"/>
      <c r="AY1005" s="585"/>
      <c r="AZ1005" s="585"/>
      <c r="BA1005" s="585"/>
      <c r="BB1005" s="585"/>
      <c r="BC1005" s="585"/>
      <c r="BD1005" s="585"/>
      <c r="BE1005" s="585"/>
      <c r="BF1005" s="585"/>
      <c r="BG1005" s="585"/>
      <c r="BH1005" s="585"/>
      <c r="BI1005" s="585"/>
      <c r="BJ1005" s="585"/>
      <c r="BK1005" s="585"/>
      <c r="BL1005" s="585"/>
      <c r="BM1005" s="585"/>
      <c r="BN1005" s="585"/>
      <c r="BO1005" s="585"/>
      <c r="BP1005" s="1431" t="s">
        <v>41</v>
      </c>
      <c r="BQ1005" s="1431"/>
      <c r="BR1005" s="585"/>
      <c r="BS1005" s="585"/>
      <c r="BT1005" s="1433" t="e">
        <f>BT1003+BT1004</f>
        <v>#REF!</v>
      </c>
      <c r="BU1005" s="1433"/>
      <c r="BV1005" s="1433"/>
      <c r="BW1005" s="1433"/>
      <c r="BX1005" s="1433"/>
      <c r="BY1005" s="1433"/>
      <c r="BZ1005" s="1433"/>
      <c r="CA1005" s="1433"/>
      <c r="CB1005" s="1433"/>
      <c r="CC1005" s="1433"/>
      <c r="CD1005" s="585"/>
      <c r="CE1005" s="585"/>
      <c r="CF1005" s="586"/>
    </row>
    <row r="1006" spans="1:84" s="583" customFormat="1" ht="23.1" customHeight="1" thickBot="1">
      <c r="A1006" s="597"/>
      <c r="B1006" s="598" t="s">
        <v>1113</v>
      </c>
      <c r="C1006" s="598"/>
      <c r="D1006" s="598"/>
      <c r="E1006" s="598"/>
      <c r="F1006" s="598"/>
      <c r="G1006" s="598"/>
      <c r="H1006" s="598"/>
      <c r="I1006" s="598"/>
      <c r="J1006" s="598"/>
      <c r="K1006" s="598"/>
      <c r="L1006" s="598"/>
      <c r="M1006" s="598"/>
      <c r="N1006" s="598"/>
      <c r="O1006" s="598"/>
      <c r="P1006" s="598"/>
      <c r="Q1006" s="598"/>
      <c r="R1006" s="598"/>
      <c r="S1006" s="598"/>
      <c r="T1006" s="598"/>
      <c r="U1006" s="598"/>
      <c r="V1006" s="598"/>
      <c r="W1006" s="598"/>
      <c r="X1006" s="598"/>
      <c r="Y1006" s="598"/>
      <c r="Z1006" s="598"/>
      <c r="AA1006" s="598"/>
      <c r="AB1006" s="598"/>
      <c r="AC1006" s="598"/>
      <c r="AD1006" s="598"/>
      <c r="AE1006" s="598"/>
      <c r="AF1006" s="598"/>
      <c r="AG1006" s="598"/>
      <c r="AH1006" s="598"/>
      <c r="AI1006" s="598"/>
      <c r="AJ1006" s="598"/>
      <c r="AK1006" s="598"/>
      <c r="AL1006" s="598"/>
      <c r="AM1006" s="598"/>
      <c r="AN1006" s="598"/>
      <c r="AO1006" s="598"/>
      <c r="AP1006" s="598"/>
      <c r="AQ1006" s="598"/>
      <c r="AR1006" s="598"/>
      <c r="AS1006" s="598"/>
      <c r="AT1006" s="598"/>
      <c r="AU1006" s="598"/>
      <c r="AV1006" s="598"/>
      <c r="AW1006" s="598"/>
      <c r="AX1006" s="598"/>
      <c r="AY1006" s="598"/>
      <c r="AZ1006" s="598"/>
      <c r="BA1006" s="598"/>
      <c r="BB1006" s="598"/>
      <c r="BC1006" s="598"/>
      <c r="BD1006" s="598"/>
      <c r="BE1006" s="598"/>
      <c r="BF1006" s="598"/>
      <c r="BG1006" s="598"/>
      <c r="BH1006" s="598"/>
      <c r="BI1006" s="598"/>
      <c r="BJ1006" s="598"/>
      <c r="BK1006" s="598"/>
      <c r="BL1006" s="598"/>
      <c r="BM1006" s="598"/>
      <c r="BN1006" s="598"/>
      <c r="BO1006" s="598"/>
      <c r="BP1006" s="598"/>
      <c r="BQ1006" s="598"/>
      <c r="BR1006" s="598"/>
      <c r="BS1006" s="598"/>
      <c r="BT1006" s="1429" t="e">
        <f>BT997+BT1001+BT1005</f>
        <v>#REF!</v>
      </c>
      <c r="BU1006" s="1429"/>
      <c r="BV1006" s="1429"/>
      <c r="BW1006" s="1429"/>
      <c r="BX1006" s="1429"/>
      <c r="BY1006" s="1429"/>
      <c r="BZ1006" s="1429"/>
      <c r="CA1006" s="1429"/>
      <c r="CB1006" s="1429"/>
      <c r="CC1006" s="1429"/>
      <c r="CD1006" s="598"/>
      <c r="CE1006" s="598"/>
      <c r="CF1006" s="599"/>
    </row>
    <row r="1007" spans="1:84" s="583" customFormat="1" ht="9.9499999999999993" customHeight="1">
      <c r="A1007" s="574"/>
      <c r="B1007" s="574"/>
      <c r="C1007" s="574"/>
      <c r="D1007" s="574"/>
      <c r="E1007" s="574"/>
      <c r="F1007" s="574"/>
      <c r="G1007" s="574"/>
      <c r="H1007" s="574"/>
      <c r="I1007" s="574"/>
      <c r="J1007" s="574"/>
      <c r="K1007" s="574"/>
      <c r="L1007" s="574"/>
      <c r="M1007" s="574"/>
      <c r="N1007" s="574"/>
      <c r="O1007" s="574"/>
      <c r="P1007" s="574"/>
      <c r="Q1007" s="574"/>
      <c r="R1007" s="574"/>
      <c r="S1007" s="574"/>
      <c r="T1007" s="574"/>
      <c r="U1007" s="574"/>
      <c r="V1007" s="574"/>
      <c r="W1007" s="574"/>
      <c r="X1007" s="574"/>
      <c r="Y1007" s="574"/>
      <c r="Z1007" s="574"/>
      <c r="AA1007" s="574"/>
      <c r="AB1007" s="574"/>
      <c r="AC1007" s="574"/>
      <c r="AD1007" s="574"/>
      <c r="AE1007" s="574"/>
      <c r="AF1007" s="574"/>
      <c r="AG1007" s="574"/>
      <c r="AH1007" s="574"/>
      <c r="AI1007" s="574"/>
      <c r="AJ1007" s="574"/>
      <c r="AK1007" s="574"/>
      <c r="AL1007" s="574"/>
      <c r="AM1007" s="574"/>
      <c r="AN1007" s="574"/>
      <c r="AO1007" s="574"/>
      <c r="AP1007" s="574"/>
      <c r="AQ1007" s="574"/>
      <c r="AR1007" s="574"/>
      <c r="AS1007" s="574"/>
      <c r="AT1007" s="574"/>
      <c r="AU1007" s="574"/>
      <c r="AV1007" s="574"/>
      <c r="AW1007" s="574"/>
      <c r="AX1007" s="574"/>
      <c r="AY1007" s="574"/>
      <c r="AZ1007" s="574"/>
      <c r="BA1007" s="574"/>
      <c r="BB1007" s="574"/>
      <c r="BC1007" s="574"/>
      <c r="BD1007" s="574"/>
      <c r="BE1007" s="574"/>
      <c r="BF1007" s="574"/>
      <c r="BG1007" s="574"/>
      <c r="BH1007" s="574"/>
      <c r="BI1007" s="574"/>
      <c r="BJ1007" s="574"/>
      <c r="BK1007" s="574"/>
      <c r="BL1007" s="574"/>
      <c r="BM1007" s="574"/>
      <c r="BN1007" s="574"/>
      <c r="BO1007" s="574"/>
      <c r="BP1007" s="574"/>
      <c r="BQ1007" s="574"/>
      <c r="BR1007" s="574"/>
      <c r="BS1007" s="574"/>
      <c r="BT1007" s="574"/>
      <c r="BU1007" s="574"/>
      <c r="BV1007" s="574"/>
      <c r="BW1007" s="574"/>
      <c r="BX1007" s="574"/>
      <c r="BY1007" s="574"/>
      <c r="BZ1007" s="574"/>
      <c r="CA1007" s="574"/>
      <c r="CB1007" s="574"/>
      <c r="CC1007" s="574"/>
      <c r="CD1007" s="574"/>
      <c r="CE1007" s="574"/>
      <c r="CF1007" s="574"/>
    </row>
    <row r="1008" spans="1:84" s="583" customFormat="1" ht="23.1" customHeight="1" thickBot="1">
      <c r="A1008" s="1446" t="s">
        <v>1095</v>
      </c>
      <c r="B1008" s="1446"/>
      <c r="C1008" s="1446"/>
      <c r="D1008" s="1446"/>
      <c r="E1008" s="1446"/>
      <c r="F1008" s="1446"/>
      <c r="G1008" s="1447">
        <f>G993+1</f>
        <v>68</v>
      </c>
      <c r="H1008" s="1447"/>
      <c r="I1008" s="1447"/>
      <c r="J1008" s="1448" t="s">
        <v>1096</v>
      </c>
      <c r="K1008" s="1448"/>
      <c r="L1008" s="574"/>
      <c r="M1008" s="574"/>
      <c r="N1008" s="574"/>
      <c r="O1008" s="574"/>
      <c r="P1008" s="574"/>
      <c r="Q1008" s="574"/>
      <c r="R1008" s="574"/>
      <c r="S1008" s="574"/>
      <c r="T1008" s="574"/>
      <c r="U1008" s="574"/>
      <c r="V1008" s="574"/>
      <c r="W1008" s="574"/>
      <c r="X1008" s="574"/>
      <c r="Y1008" s="574"/>
      <c r="Z1008" s="574"/>
      <c r="AA1008" s="574"/>
      <c r="AB1008" s="574"/>
      <c r="AC1008" s="574"/>
      <c r="AD1008" s="574"/>
      <c r="AE1008" s="574"/>
      <c r="AF1008" s="574"/>
      <c r="AG1008" s="574"/>
      <c r="AH1008" s="574"/>
      <c r="AI1008" s="574"/>
      <c r="AJ1008" s="574"/>
      <c r="AK1008" s="574"/>
      <c r="AL1008" s="574"/>
      <c r="AM1008" s="574"/>
      <c r="AN1008" s="574"/>
      <c r="AO1008" s="574"/>
      <c r="AP1008" s="574"/>
      <c r="AQ1008" s="574"/>
      <c r="AR1008" s="574"/>
      <c r="AS1008" s="574"/>
      <c r="AT1008" s="574"/>
      <c r="AU1008" s="574"/>
      <c r="AV1008" s="574"/>
      <c r="AW1008" s="574"/>
      <c r="AX1008" s="574"/>
      <c r="AY1008" s="574"/>
      <c r="AZ1008" s="574"/>
      <c r="BA1008" s="574"/>
      <c r="BB1008" s="574"/>
      <c r="BC1008" s="574"/>
      <c r="BD1008" s="574"/>
      <c r="BE1008" s="574"/>
      <c r="BF1008" s="574"/>
      <c r="BG1008" s="574"/>
      <c r="BH1008" s="574"/>
      <c r="BI1008" s="574"/>
      <c r="BJ1008" s="574"/>
      <c r="BK1008" s="574"/>
      <c r="BL1008" s="574"/>
      <c r="BM1008" s="574"/>
      <c r="BN1008" s="574"/>
      <c r="BO1008" s="574"/>
      <c r="BP1008" s="574"/>
      <c r="BQ1008" s="574"/>
      <c r="BR1008" s="574"/>
      <c r="BS1008" s="574"/>
      <c r="BT1008" s="574"/>
      <c r="BU1008" s="574"/>
      <c r="BV1008" s="574"/>
      <c r="BW1008" s="574"/>
      <c r="BX1008" s="574"/>
      <c r="BY1008" s="574"/>
      <c r="BZ1008" s="574"/>
      <c r="CA1008" s="574"/>
      <c r="CB1008" s="574"/>
      <c r="CC1008" s="574"/>
      <c r="CD1008" s="574"/>
      <c r="CE1008" s="574"/>
      <c r="CF1008" s="574"/>
    </row>
    <row r="1009" spans="1:84" s="583" customFormat="1" ht="23.1" customHeight="1" thickBot="1">
      <c r="A1009" s="1483" t="s">
        <v>1097</v>
      </c>
      <c r="B1009" s="1484"/>
      <c r="C1009" s="1484"/>
      <c r="D1009" s="1484"/>
      <c r="E1009" s="1484"/>
      <c r="F1009" s="1484"/>
      <c r="G1009" s="1484"/>
      <c r="H1009" s="1484"/>
      <c r="I1009" s="581" t="s">
        <v>1206</v>
      </c>
      <c r="J1009" s="581"/>
      <c r="K1009" s="581"/>
      <c r="L1009" s="581"/>
      <c r="M1009" s="581"/>
      <c r="N1009" s="581"/>
      <c r="O1009" s="581"/>
      <c r="P1009" s="581"/>
      <c r="Q1009" s="581"/>
      <c r="R1009" s="581"/>
      <c r="S1009" s="581"/>
      <c r="T1009" s="581"/>
      <c r="U1009" s="581"/>
      <c r="V1009" s="581"/>
      <c r="W1009" s="581"/>
      <c r="X1009" s="581"/>
      <c r="Y1009" s="581"/>
      <c r="Z1009" s="581"/>
      <c r="AA1009" s="581"/>
      <c r="AB1009" s="581"/>
      <c r="AC1009" s="581"/>
      <c r="AD1009" s="581"/>
      <c r="AE1009" s="581"/>
      <c r="AF1009" s="581"/>
      <c r="AG1009" s="581"/>
      <c r="AH1009" s="581"/>
      <c r="AI1009" s="581"/>
      <c r="AJ1009" s="1484" t="s">
        <v>1099</v>
      </c>
      <c r="AK1009" s="1484"/>
      <c r="AL1009" s="1484"/>
      <c r="AM1009" s="1484"/>
      <c r="AN1009" s="1484"/>
      <c r="AO1009" s="1484"/>
      <c r="AP1009" s="1484"/>
      <c r="AQ1009" s="581" t="s">
        <v>1207</v>
      </c>
      <c r="AR1009" s="581"/>
      <c r="AS1009" s="581"/>
      <c r="AT1009" s="581"/>
      <c r="AU1009" s="581"/>
      <c r="AV1009" s="581"/>
      <c r="AW1009" s="581"/>
      <c r="AX1009" s="581"/>
      <c r="AY1009" s="581"/>
      <c r="AZ1009" s="581"/>
      <c r="BA1009" s="581"/>
      <c r="BB1009" s="581"/>
      <c r="BC1009" s="581"/>
      <c r="BD1009" s="581"/>
      <c r="BE1009" s="581"/>
      <c r="BF1009" s="581"/>
      <c r="BG1009" s="581"/>
      <c r="BH1009" s="581"/>
      <c r="BI1009" s="581"/>
      <c r="BJ1009" s="581"/>
      <c r="BK1009" s="581"/>
      <c r="BL1009" s="581"/>
      <c r="BM1009" s="581"/>
      <c r="BN1009" s="581"/>
      <c r="BO1009" s="581"/>
      <c r="BP1009" s="581"/>
      <c r="BQ1009" s="581"/>
      <c r="BR1009" s="581"/>
      <c r="BS1009" s="581"/>
      <c r="BT1009" s="581" t="s">
        <v>1208</v>
      </c>
      <c r="BU1009" s="581"/>
      <c r="BV1009" s="581"/>
      <c r="BW1009" s="581"/>
      <c r="BX1009" s="581"/>
      <c r="BY1009" s="581"/>
      <c r="BZ1009" s="581"/>
      <c r="CA1009" s="581"/>
      <c r="CB1009" s="581"/>
      <c r="CC1009" s="581"/>
      <c r="CD1009" s="581"/>
      <c r="CE1009" s="581"/>
      <c r="CF1009" s="582"/>
    </row>
    <row r="1010" spans="1:84" s="583" customFormat="1" ht="23.1" customHeight="1">
      <c r="A1010" s="584"/>
      <c r="B1010" s="585" t="s">
        <v>1102</v>
      </c>
      <c r="C1010" s="585"/>
      <c r="D1010" s="585"/>
      <c r="E1010" s="585"/>
      <c r="F1010" s="585"/>
      <c r="G1010" s="585"/>
      <c r="H1010" s="585"/>
      <c r="I1010" s="585"/>
      <c r="J1010" s="585"/>
      <c r="K1010" s="585"/>
      <c r="L1010" s="585"/>
      <c r="M1010" s="585"/>
      <c r="N1010" s="585"/>
      <c r="O1010" s="585"/>
      <c r="P1010" s="585"/>
      <c r="Q1010" s="585"/>
      <c r="R1010" s="585"/>
      <c r="S1010" s="585"/>
      <c r="T1010" s="585"/>
      <c r="U1010" s="585"/>
      <c r="V1010" s="585"/>
      <c r="W1010" s="585"/>
      <c r="X1010" s="585"/>
      <c r="Y1010" s="585"/>
      <c r="Z1010" s="585"/>
      <c r="AA1010" s="585"/>
      <c r="AB1010" s="585"/>
      <c r="AC1010" s="585"/>
      <c r="AD1010" s="585"/>
      <c r="AE1010" s="585"/>
      <c r="AF1010" s="585"/>
      <c r="AG1010" s="585"/>
      <c r="AH1010" s="585"/>
      <c r="AI1010" s="585"/>
      <c r="AJ1010" s="585"/>
      <c r="AK1010" s="585"/>
      <c r="AL1010" s="585"/>
      <c r="AM1010" s="585"/>
      <c r="AN1010" s="585"/>
      <c r="AO1010" s="585"/>
      <c r="AP1010" s="585"/>
      <c r="AQ1010" s="585"/>
      <c r="AR1010" s="585"/>
      <c r="AS1010" s="585"/>
      <c r="AT1010" s="585"/>
      <c r="AU1010" s="585"/>
      <c r="AV1010" s="585"/>
      <c r="AW1010" s="585"/>
      <c r="AX1010" s="585"/>
      <c r="AY1010" s="585"/>
      <c r="AZ1010" s="585"/>
      <c r="BA1010" s="585"/>
      <c r="BB1010" s="585"/>
      <c r="BC1010" s="585"/>
      <c r="BD1010" s="585"/>
      <c r="BE1010" s="585"/>
      <c r="BF1010" s="585"/>
      <c r="BG1010" s="585"/>
      <c r="BH1010" s="585"/>
      <c r="BI1010" s="585"/>
      <c r="BJ1010" s="585"/>
      <c r="BK1010" s="585"/>
      <c r="BL1010" s="585"/>
      <c r="BM1010" s="585"/>
      <c r="BN1010" s="585"/>
      <c r="BO1010" s="585"/>
      <c r="BP1010" s="585"/>
      <c r="BQ1010" s="585"/>
      <c r="BR1010" s="585"/>
      <c r="BS1010" s="585"/>
      <c r="BT1010" s="585"/>
      <c r="BU1010" s="585"/>
      <c r="BV1010" s="585"/>
      <c r="BW1010" s="585"/>
      <c r="BX1010" s="585"/>
      <c r="BY1010" s="585"/>
      <c r="BZ1010" s="585"/>
      <c r="CA1010" s="585"/>
      <c r="CB1010" s="585"/>
      <c r="CC1010" s="585"/>
      <c r="CD1010" s="585"/>
      <c r="CE1010" s="585"/>
      <c r="CF1010" s="586"/>
    </row>
    <row r="1011" spans="1:84" s="583" customFormat="1" ht="23.1" customHeight="1">
      <c r="A1011" s="587"/>
      <c r="B1011" s="574"/>
      <c r="C1011" s="574"/>
      <c r="D1011" s="405"/>
      <c r="E1011" s="574"/>
      <c r="F1011" s="422"/>
      <c r="G1011" s="422"/>
      <c r="H1011" s="422"/>
      <c r="I1011" s="422"/>
      <c r="J1011" s="422"/>
      <c r="K1011" s="422"/>
      <c r="L1011" s="422"/>
      <c r="M1011" s="422"/>
      <c r="N1011" s="574"/>
      <c r="O1011" s="574"/>
      <c r="P1011" s="574"/>
      <c r="Q1011" s="574"/>
      <c r="R1011" s="574"/>
      <c r="S1011" s="1430"/>
      <c r="T1011" s="1430"/>
      <c r="U1011" s="1430"/>
      <c r="V1011" s="1430"/>
      <c r="W1011" s="1430"/>
      <c r="X1011" s="1430"/>
      <c r="Y1011" s="1430"/>
      <c r="Z1011" s="1430"/>
      <c r="AA1011" s="574"/>
      <c r="AB1011" s="588"/>
      <c r="AC1011" s="1431"/>
      <c r="AD1011" s="1431"/>
      <c r="AE1011" s="1498"/>
      <c r="AF1011" s="1498"/>
      <c r="AG1011" s="1498"/>
      <c r="AH1011" s="1498"/>
      <c r="AI1011" s="1498"/>
      <c r="AJ1011" s="1498"/>
      <c r="AK1011" s="1498"/>
      <c r="AL1011" s="1498"/>
      <c r="AM1011" s="1431"/>
      <c r="AN1011" s="1431"/>
      <c r="AO1011" s="574"/>
      <c r="AP1011" s="1486"/>
      <c r="AQ1011" s="1486"/>
      <c r="AR1011" s="1486"/>
      <c r="AS1011" s="1486"/>
      <c r="AT1011" s="1486"/>
      <c r="AU1011" s="1486"/>
      <c r="AV1011" s="1486"/>
      <c r="AW1011" s="1486"/>
      <c r="AX1011" s="1486"/>
      <c r="AY1011" s="1486"/>
      <c r="AZ1011" s="1486"/>
      <c r="BA1011" s="1486"/>
      <c r="BB1011" s="1486"/>
      <c r="BC1011" s="1486"/>
      <c r="BD1011" s="574"/>
      <c r="BE1011" s="574"/>
      <c r="BF1011" s="574"/>
      <c r="BG1011" s="574"/>
      <c r="BH1011" s="574"/>
      <c r="BI1011" s="574"/>
      <c r="BJ1011" s="574"/>
      <c r="BK1011" s="574"/>
      <c r="BL1011" s="574"/>
      <c r="BM1011" s="574"/>
      <c r="BN1011" s="574"/>
      <c r="BO1011" s="574"/>
      <c r="BP1011" s="574"/>
      <c r="BQ1011" s="574"/>
      <c r="BR1011" s="574"/>
      <c r="BS1011" s="574"/>
      <c r="BT1011" s="574"/>
      <c r="BU1011" s="574"/>
      <c r="BV1011" s="574"/>
      <c r="BW1011" s="574"/>
      <c r="BX1011" s="574"/>
      <c r="BY1011" s="574"/>
      <c r="BZ1011" s="574"/>
      <c r="CA1011" s="574"/>
      <c r="CB1011" s="574"/>
      <c r="CC1011" s="574"/>
      <c r="CD1011" s="574"/>
      <c r="CE1011" s="574"/>
      <c r="CF1011" s="589"/>
    </row>
    <row r="1012" spans="1:84" s="583" customFormat="1" ht="23.1" customHeight="1">
      <c r="A1012" s="584"/>
      <c r="B1012" s="585"/>
      <c r="C1012" s="585"/>
      <c r="D1012" s="585"/>
      <c r="E1012" s="585"/>
      <c r="F1012" s="585"/>
      <c r="G1012" s="585"/>
      <c r="H1012" s="585"/>
      <c r="I1012" s="585"/>
      <c r="J1012" s="585"/>
      <c r="K1012" s="585"/>
      <c r="L1012" s="585"/>
      <c r="M1012" s="585"/>
      <c r="N1012" s="585"/>
      <c r="O1012" s="585"/>
      <c r="P1012" s="585"/>
      <c r="Q1012" s="585"/>
      <c r="R1012" s="585"/>
      <c r="S1012" s="585"/>
      <c r="T1012" s="585"/>
      <c r="U1012" s="585"/>
      <c r="V1012" s="590"/>
      <c r="W1012" s="590"/>
      <c r="X1012" s="590"/>
      <c r="Y1012" s="590"/>
      <c r="Z1012" s="590"/>
      <c r="AA1012" s="590"/>
      <c r="AB1012" s="590"/>
      <c r="AC1012" s="590"/>
      <c r="AD1012" s="574"/>
      <c r="AE1012" s="1440">
        <v>90571000</v>
      </c>
      <c r="AF1012" s="1440"/>
      <c r="AG1012" s="1440"/>
      <c r="AH1012" s="1440"/>
      <c r="AI1012" s="1440"/>
      <c r="AJ1012" s="1440"/>
      <c r="AK1012" s="1440"/>
      <c r="AL1012" s="1440"/>
      <c r="AM1012" s="1440"/>
      <c r="AN1012" s="1440"/>
      <c r="AO1012" s="1440"/>
      <c r="AP1012" s="1440"/>
      <c r="AQ1012" s="1440"/>
      <c r="AR1012" s="1440"/>
      <c r="AS1012" s="1440"/>
      <c r="AT1012" s="1431" t="s">
        <v>446</v>
      </c>
      <c r="AU1012" s="1431"/>
      <c r="AV1012" s="1441" t="s">
        <v>1103</v>
      </c>
      <c r="AW1012" s="1441"/>
      <c r="AX1012" s="1442">
        <v>2576</v>
      </c>
      <c r="AY1012" s="1442"/>
      <c r="AZ1012" s="1442"/>
      <c r="BA1012" s="1442"/>
      <c r="BB1012" s="1442"/>
      <c r="BC1012" s="1442"/>
      <c r="BD1012" s="585"/>
      <c r="BE1012" s="1431" t="s">
        <v>446</v>
      </c>
      <c r="BF1012" s="1431"/>
      <c r="BG1012" s="585"/>
      <c r="BH1012" s="591" t="s">
        <v>1104</v>
      </c>
      <c r="BI1012" s="585"/>
      <c r="BJ1012" s="585"/>
      <c r="BK1012" s="585"/>
      <c r="BL1012" s="1431" t="s">
        <v>1105</v>
      </c>
      <c r="BM1012" s="1431"/>
      <c r="BN1012" s="1431"/>
      <c r="BO1012" s="585"/>
      <c r="BP1012" s="1431" t="s">
        <v>41</v>
      </c>
      <c r="BQ1012" s="1431"/>
      <c r="BR1012" s="585"/>
      <c r="BS1012" s="585"/>
      <c r="BT1012" s="1437">
        <f>INT(AE1012*AX1012*10^-7)</f>
        <v>23331</v>
      </c>
      <c r="BU1012" s="1437"/>
      <c r="BV1012" s="1437"/>
      <c r="BW1012" s="1437"/>
      <c r="BX1012" s="1437"/>
      <c r="BY1012" s="1437"/>
      <c r="BZ1012" s="1437"/>
      <c r="CA1012" s="1437"/>
      <c r="CB1012" s="1437"/>
      <c r="CC1012" s="1437"/>
      <c r="CD1012" s="585"/>
      <c r="CE1012" s="585"/>
      <c r="CF1012" s="586"/>
    </row>
    <row r="1013" spans="1:84" s="583" customFormat="1" ht="23.1" customHeight="1">
      <c r="A1013" s="592"/>
      <c r="B1013" s="593" t="s">
        <v>1106</v>
      </c>
      <c r="C1013" s="593"/>
      <c r="D1013" s="593"/>
      <c r="E1013" s="593"/>
      <c r="F1013" s="593"/>
      <c r="G1013" s="593"/>
      <c r="H1013" s="593"/>
      <c r="I1013" s="593"/>
      <c r="J1013" s="593"/>
      <c r="K1013" s="593"/>
      <c r="L1013" s="593"/>
      <c r="M1013" s="593"/>
      <c r="N1013" s="593"/>
      <c r="O1013" s="593"/>
      <c r="P1013" s="593"/>
      <c r="Q1013" s="593"/>
      <c r="R1013" s="593"/>
      <c r="S1013" s="593"/>
      <c r="T1013" s="593"/>
      <c r="U1013" s="593"/>
      <c r="V1013" s="593"/>
      <c r="W1013" s="593"/>
      <c r="X1013" s="593"/>
      <c r="Y1013" s="593"/>
      <c r="Z1013" s="593"/>
      <c r="AA1013" s="593"/>
      <c r="AB1013" s="593"/>
      <c r="AC1013" s="593"/>
      <c r="AD1013" s="593"/>
      <c r="AE1013" s="593"/>
      <c r="AF1013" s="593"/>
      <c r="AG1013" s="593"/>
      <c r="AH1013" s="593"/>
      <c r="AI1013" s="593"/>
      <c r="AJ1013" s="593"/>
      <c r="AK1013" s="593"/>
      <c r="AL1013" s="593"/>
      <c r="AM1013" s="593"/>
      <c r="AN1013" s="593"/>
      <c r="AO1013" s="593"/>
      <c r="AP1013" s="593"/>
      <c r="AQ1013" s="593"/>
      <c r="AR1013" s="593"/>
      <c r="AS1013" s="593"/>
      <c r="AT1013" s="593"/>
      <c r="AU1013" s="593"/>
      <c r="AV1013" s="593"/>
      <c r="AW1013" s="593"/>
      <c r="AX1013" s="593"/>
      <c r="AY1013" s="593"/>
      <c r="AZ1013" s="593"/>
      <c r="BA1013" s="593"/>
      <c r="BB1013" s="593"/>
      <c r="BC1013" s="593"/>
      <c r="BD1013" s="593"/>
      <c r="BE1013" s="593"/>
      <c r="BF1013" s="593"/>
      <c r="BG1013" s="593"/>
      <c r="BH1013" s="593"/>
      <c r="BI1013" s="593"/>
      <c r="BJ1013" s="593"/>
      <c r="BK1013" s="593"/>
      <c r="BL1013" s="593"/>
      <c r="BM1013" s="593"/>
      <c r="BN1013" s="593"/>
      <c r="BO1013" s="593"/>
      <c r="BP1013" s="593"/>
      <c r="BQ1013" s="593"/>
      <c r="BR1013" s="593"/>
      <c r="BS1013" s="593"/>
      <c r="BT1013" s="594"/>
      <c r="BU1013" s="594"/>
      <c r="BV1013" s="594"/>
      <c r="BW1013" s="594"/>
      <c r="BX1013" s="594"/>
      <c r="BY1013" s="594"/>
      <c r="BZ1013" s="594"/>
      <c r="CA1013" s="594"/>
      <c r="CB1013" s="594"/>
      <c r="CC1013" s="594"/>
      <c r="CD1013" s="593"/>
      <c r="CE1013" s="593"/>
      <c r="CF1013" s="595"/>
    </row>
    <row r="1014" spans="1:84" s="583" customFormat="1" ht="23.1" customHeight="1">
      <c r="A1014" s="584"/>
      <c r="B1014" s="585"/>
      <c r="C1014" s="585"/>
      <c r="D1014" s="596" t="s">
        <v>268</v>
      </c>
      <c r="E1014" s="585"/>
      <c r="F1014" s="585"/>
      <c r="G1014" s="585"/>
      <c r="H1014" s="585"/>
      <c r="I1014" s="585"/>
      <c r="J1014" s="585"/>
      <c r="K1014" s="585"/>
      <c r="L1014" s="585"/>
      <c r="M1014" s="585"/>
      <c r="N1014" s="585"/>
      <c r="O1014" s="585"/>
      <c r="P1014" s="585"/>
      <c r="Q1014" s="585"/>
      <c r="R1014" s="585"/>
      <c r="S1014" s="585"/>
      <c r="T1014" s="574"/>
      <c r="U1014" s="574"/>
      <c r="V1014" s="1435">
        <f>HLOOKUP(D1014,$CJ$1:$CM$3,3,0)</f>
        <v>283297</v>
      </c>
      <c r="W1014" s="1435"/>
      <c r="X1014" s="1435"/>
      <c r="Y1014" s="1435"/>
      <c r="Z1014" s="1435"/>
      <c r="AA1014" s="1435"/>
      <c r="AB1014" s="1435"/>
      <c r="AC1014" s="1435"/>
      <c r="AD1014" s="1435"/>
      <c r="AE1014" s="1435"/>
      <c r="AF1014" s="1431" t="s">
        <v>446</v>
      </c>
      <c r="AG1014" s="1431"/>
      <c r="AH1014" s="574"/>
      <c r="AI1014" s="1436" t="s">
        <v>1107</v>
      </c>
      <c r="AJ1014" s="1436"/>
      <c r="AK1014" s="1436"/>
      <c r="AL1014" s="1436"/>
      <c r="AM1014" s="585"/>
      <c r="AN1014" s="1431" t="s">
        <v>446</v>
      </c>
      <c r="AO1014" s="1431"/>
      <c r="AP1014" s="585"/>
      <c r="AQ1014" s="1436" t="s">
        <v>1108</v>
      </c>
      <c r="AR1014" s="1436"/>
      <c r="AS1014" s="1436"/>
      <c r="AT1014" s="1436"/>
      <c r="AU1014" s="1436"/>
      <c r="AV1014" s="422"/>
      <c r="AW1014" s="1431" t="s">
        <v>446</v>
      </c>
      <c r="AX1014" s="1431"/>
      <c r="AY1014" s="440"/>
      <c r="AZ1014" s="1436" t="s">
        <v>1109</v>
      </c>
      <c r="BA1014" s="1436"/>
      <c r="BB1014" s="1436"/>
      <c r="BC1014" s="1436"/>
      <c r="BD1014" s="1436"/>
      <c r="BE1014" s="585"/>
      <c r="BF1014" s="1431" t="s">
        <v>446</v>
      </c>
      <c r="BG1014" s="1431"/>
      <c r="BH1014" s="1431">
        <v>1</v>
      </c>
      <c r="BI1014" s="1431"/>
      <c r="BJ1014" s="1431"/>
      <c r="BK1014" s="585"/>
      <c r="BL1014" s="585" t="s">
        <v>366</v>
      </c>
      <c r="BM1014" s="585"/>
      <c r="BN1014" s="585"/>
      <c r="BO1014" s="585"/>
      <c r="BP1014" s="1431" t="s">
        <v>41</v>
      </c>
      <c r="BQ1014" s="1431"/>
      <c r="BR1014" s="585"/>
      <c r="BS1014" s="585"/>
      <c r="BT1014" s="1432">
        <f>INT(V1014/8*16/12*25/20*BH1014)</f>
        <v>59020</v>
      </c>
      <c r="BU1014" s="1432"/>
      <c r="BV1014" s="1432"/>
      <c r="BW1014" s="1432"/>
      <c r="BX1014" s="1432"/>
      <c r="BY1014" s="1432"/>
      <c r="BZ1014" s="1432"/>
      <c r="CA1014" s="1432"/>
      <c r="CB1014" s="1432"/>
      <c r="CC1014" s="1432"/>
      <c r="CD1014" s="585"/>
      <c r="CE1014" s="585"/>
      <c r="CF1014" s="586"/>
    </row>
    <row r="1015" spans="1:84" s="583" customFormat="1" ht="23.1" customHeight="1">
      <c r="A1015" s="584"/>
      <c r="B1015" s="585"/>
      <c r="C1015" s="585"/>
      <c r="D1015" s="585"/>
      <c r="E1015" s="585"/>
      <c r="F1015" s="585"/>
      <c r="G1015" s="585"/>
      <c r="H1015" s="585"/>
      <c r="I1015" s="585"/>
      <c r="J1015" s="585"/>
      <c r="K1015" s="585"/>
      <c r="L1015" s="585"/>
      <c r="M1015" s="585"/>
      <c r="N1015" s="585"/>
      <c r="O1015" s="585"/>
      <c r="P1015" s="574"/>
      <c r="Q1015" s="574"/>
      <c r="R1015" s="574"/>
      <c r="S1015" s="574"/>
      <c r="T1015" s="574"/>
      <c r="U1015" s="574"/>
      <c r="V1015" s="574"/>
      <c r="W1015" s="574"/>
      <c r="X1015" s="574"/>
      <c r="Y1015" s="574"/>
      <c r="Z1015" s="574"/>
      <c r="AA1015" s="574"/>
      <c r="AB1015" s="574"/>
      <c r="AC1015" s="574"/>
      <c r="AD1015" s="574"/>
      <c r="AE1015" s="574"/>
      <c r="AF1015" s="574"/>
      <c r="AG1015" s="574"/>
      <c r="AH1015" s="574"/>
      <c r="AI1015" s="574"/>
      <c r="AJ1015" s="574"/>
      <c r="AK1015" s="574"/>
      <c r="AL1015" s="574"/>
      <c r="AM1015" s="574"/>
      <c r="AN1015" s="574"/>
      <c r="AO1015" s="574"/>
      <c r="AP1015" s="574"/>
      <c r="AQ1015" s="574"/>
      <c r="AR1015" s="574"/>
      <c r="AS1015" s="574"/>
      <c r="AT1015" s="574"/>
      <c r="AU1015" s="574"/>
      <c r="AV1015" s="574"/>
      <c r="AW1015" s="574"/>
      <c r="AX1015" s="574"/>
      <c r="AY1015" s="574"/>
      <c r="AZ1015" s="574"/>
      <c r="BA1015" s="574"/>
      <c r="BB1015" s="574"/>
      <c r="BC1015" s="574"/>
      <c r="BD1015" s="574"/>
      <c r="BE1015" s="574"/>
      <c r="BF1015" s="574"/>
      <c r="BG1015" s="585"/>
      <c r="BH1015" s="585"/>
      <c r="BI1015" s="585"/>
      <c r="BJ1015" s="585"/>
      <c r="BK1015" s="585"/>
      <c r="BL1015" s="585"/>
      <c r="BM1015" s="585"/>
      <c r="BN1015" s="585"/>
      <c r="BO1015" s="585"/>
      <c r="BP1015" s="1431"/>
      <c r="BQ1015" s="1431"/>
      <c r="BR1015" s="585"/>
      <c r="BS1015" s="585"/>
      <c r="BT1015" s="1432"/>
      <c r="BU1015" s="1432"/>
      <c r="BV1015" s="1432"/>
      <c r="BW1015" s="1432"/>
      <c r="BX1015" s="1432"/>
      <c r="BY1015" s="1432"/>
      <c r="BZ1015" s="1432"/>
      <c r="CA1015" s="1432"/>
      <c r="CB1015" s="1432"/>
      <c r="CC1015" s="1432"/>
      <c r="CD1015" s="585"/>
      <c r="CE1015" s="585"/>
      <c r="CF1015" s="586"/>
    </row>
    <row r="1016" spans="1:84" s="583" customFormat="1" ht="23.1" customHeight="1">
      <c r="A1016" s="584"/>
      <c r="B1016" s="585"/>
      <c r="C1016" s="585"/>
      <c r="D1016" s="585"/>
      <c r="E1016" s="585"/>
      <c r="F1016" s="585"/>
      <c r="G1016" s="585"/>
      <c r="H1016" s="585"/>
      <c r="I1016" s="585"/>
      <c r="J1016" s="585"/>
      <c r="K1016" s="585"/>
      <c r="L1016" s="585"/>
      <c r="M1016" s="585"/>
      <c r="N1016" s="585"/>
      <c r="O1016" s="585"/>
      <c r="P1016" s="585"/>
      <c r="Q1016" s="585"/>
      <c r="R1016" s="585"/>
      <c r="S1016" s="585"/>
      <c r="T1016" s="585"/>
      <c r="U1016" s="585"/>
      <c r="V1016" s="585"/>
      <c r="W1016" s="585"/>
      <c r="X1016" s="585"/>
      <c r="Y1016" s="585"/>
      <c r="Z1016" s="585"/>
      <c r="AA1016" s="585"/>
      <c r="AB1016" s="585"/>
      <c r="AC1016" s="585"/>
      <c r="AD1016" s="574"/>
      <c r="AE1016" s="574"/>
      <c r="AF1016" s="574"/>
      <c r="AG1016" s="574"/>
      <c r="AH1016" s="574"/>
      <c r="AI1016" s="574"/>
      <c r="AJ1016" s="574"/>
      <c r="AK1016" s="574"/>
      <c r="AL1016" s="574"/>
      <c r="AM1016" s="574"/>
      <c r="AN1016" s="574"/>
      <c r="AO1016" s="574"/>
      <c r="AP1016" s="574"/>
      <c r="AQ1016" s="574"/>
      <c r="AR1016" s="574"/>
      <c r="AS1016" s="585"/>
      <c r="AT1016" s="590"/>
      <c r="AU1016" s="590"/>
      <c r="AV1016" s="585"/>
      <c r="AW1016" s="585"/>
      <c r="AX1016" s="585"/>
      <c r="AY1016" s="585"/>
      <c r="AZ1016" s="585"/>
      <c r="BA1016" s="585"/>
      <c r="BB1016" s="585"/>
      <c r="BC1016" s="585"/>
      <c r="BD1016" s="585"/>
      <c r="BE1016" s="585"/>
      <c r="BF1016" s="585"/>
      <c r="BG1016" s="585"/>
      <c r="BH1016" s="585"/>
      <c r="BI1016" s="585"/>
      <c r="BJ1016" s="585"/>
      <c r="BK1016" s="585"/>
      <c r="BL1016" s="585"/>
      <c r="BM1016" s="585"/>
      <c r="BN1016" s="585"/>
      <c r="BO1016" s="585"/>
      <c r="BP1016" s="1431" t="s">
        <v>41</v>
      </c>
      <c r="BQ1016" s="1431"/>
      <c r="BR1016" s="585"/>
      <c r="BS1016" s="585"/>
      <c r="BT1016" s="1434">
        <f>BT1014+BT1015</f>
        <v>59020</v>
      </c>
      <c r="BU1016" s="1434"/>
      <c r="BV1016" s="1434"/>
      <c r="BW1016" s="1434"/>
      <c r="BX1016" s="1434"/>
      <c r="BY1016" s="1434"/>
      <c r="BZ1016" s="1434"/>
      <c r="CA1016" s="1434"/>
      <c r="CB1016" s="1434"/>
      <c r="CC1016" s="1434"/>
      <c r="CD1016" s="585"/>
      <c r="CE1016" s="585"/>
      <c r="CF1016" s="586"/>
    </row>
    <row r="1017" spans="1:84" s="583" customFormat="1" ht="23.1" customHeight="1">
      <c r="A1017" s="592"/>
      <c r="B1017" s="593" t="s">
        <v>1110</v>
      </c>
      <c r="C1017" s="593"/>
      <c r="D1017" s="593"/>
      <c r="E1017" s="593"/>
      <c r="F1017" s="593"/>
      <c r="G1017" s="593"/>
      <c r="H1017" s="593"/>
      <c r="I1017" s="593"/>
      <c r="J1017" s="593"/>
      <c r="K1017" s="593"/>
      <c r="L1017" s="593"/>
      <c r="M1017" s="593"/>
      <c r="N1017" s="593"/>
      <c r="O1017" s="593"/>
      <c r="P1017" s="593"/>
      <c r="Q1017" s="593"/>
      <c r="R1017" s="593"/>
      <c r="S1017" s="593"/>
      <c r="T1017" s="593"/>
      <c r="U1017" s="593"/>
      <c r="V1017" s="593"/>
      <c r="W1017" s="593"/>
      <c r="X1017" s="593"/>
      <c r="Y1017" s="593"/>
      <c r="Z1017" s="593"/>
      <c r="AA1017" s="593"/>
      <c r="AB1017" s="593"/>
      <c r="AC1017" s="593"/>
      <c r="AD1017" s="593"/>
      <c r="AE1017" s="593"/>
      <c r="AF1017" s="593"/>
      <c r="AG1017" s="593"/>
      <c r="AH1017" s="593"/>
      <c r="AI1017" s="593"/>
      <c r="AJ1017" s="593"/>
      <c r="AK1017" s="593"/>
      <c r="AL1017" s="593"/>
      <c r="AM1017" s="593"/>
      <c r="AN1017" s="593"/>
      <c r="AO1017" s="593"/>
      <c r="AP1017" s="593"/>
      <c r="AQ1017" s="593"/>
      <c r="AR1017" s="593"/>
      <c r="AS1017" s="593"/>
      <c r="AT1017" s="593"/>
      <c r="AU1017" s="593"/>
      <c r="AV1017" s="593"/>
      <c r="AW1017" s="593"/>
      <c r="AX1017" s="593"/>
      <c r="AY1017" s="593"/>
      <c r="AZ1017" s="593"/>
      <c r="BA1017" s="593"/>
      <c r="BB1017" s="593"/>
      <c r="BC1017" s="593"/>
      <c r="BD1017" s="593"/>
      <c r="BE1017" s="593"/>
      <c r="BF1017" s="593"/>
      <c r="BG1017" s="593"/>
      <c r="BH1017" s="593"/>
      <c r="BI1017" s="593"/>
      <c r="BJ1017" s="593"/>
      <c r="BK1017" s="593"/>
      <c r="BL1017" s="593"/>
      <c r="BM1017" s="593"/>
      <c r="BN1017" s="593"/>
      <c r="BO1017" s="593"/>
      <c r="BP1017" s="593"/>
      <c r="BQ1017" s="593"/>
      <c r="BR1017" s="593"/>
      <c r="BS1017" s="593"/>
      <c r="BT1017" s="593"/>
      <c r="BU1017" s="593"/>
      <c r="BV1017" s="593"/>
      <c r="BW1017" s="593"/>
      <c r="BX1017" s="593"/>
      <c r="BY1017" s="593"/>
      <c r="BZ1017" s="593"/>
      <c r="CA1017" s="593"/>
      <c r="CB1017" s="593"/>
      <c r="CC1017" s="593"/>
      <c r="CD1017" s="593"/>
      <c r="CE1017" s="593"/>
      <c r="CF1017" s="595"/>
    </row>
    <row r="1018" spans="1:84" s="583" customFormat="1" ht="23.1" customHeight="1">
      <c r="A1018" s="584"/>
      <c r="B1018" s="585"/>
      <c r="C1018" s="585"/>
      <c r="D1018" s="596" t="s">
        <v>1094</v>
      </c>
      <c r="E1018" s="585"/>
      <c r="F1018" s="585"/>
      <c r="G1018" s="585"/>
      <c r="H1018" s="585"/>
      <c r="I1018" s="585"/>
      <c r="J1018" s="585"/>
      <c r="K1018" s="585"/>
      <c r="L1018" s="585"/>
      <c r="M1018" s="585"/>
      <c r="N1018" s="585"/>
      <c r="O1018" s="585"/>
      <c r="P1018" s="585"/>
      <c r="Q1018" s="585"/>
      <c r="R1018" s="585"/>
      <c r="S1018" s="585"/>
      <c r="T1018" s="585"/>
      <c r="U1018" s="585"/>
      <c r="V1018" s="585"/>
      <c r="W1018" s="585"/>
      <c r="X1018" s="585"/>
      <c r="Y1018" s="585"/>
      <c r="Z1018" s="585"/>
      <c r="AA1018" s="585"/>
      <c r="AB1018" s="585"/>
      <c r="AC1018" s="585"/>
      <c r="AD1018" s="585"/>
      <c r="AE1018" s="585"/>
      <c r="AF1018" s="585"/>
      <c r="AG1018" s="585"/>
      <c r="AH1018" s="585"/>
      <c r="AI1018" s="585"/>
      <c r="AJ1018" s="585"/>
      <c r="AK1018" s="585"/>
      <c r="AL1018" s="585"/>
      <c r="AM1018" s="585"/>
      <c r="AN1018" s="585"/>
      <c r="AO1018" s="585"/>
      <c r="AP1018" s="585"/>
      <c r="AQ1018" s="585"/>
      <c r="AR1018" s="422"/>
      <c r="AS1018" s="1435" t="e">
        <f>HLOOKUP(D1018,$CN$1:$CO$3,3,0)</f>
        <v>#REF!</v>
      </c>
      <c r="AT1018" s="1435"/>
      <c r="AU1018" s="1435"/>
      <c r="AV1018" s="1435"/>
      <c r="AW1018" s="1435"/>
      <c r="AX1018" s="1435"/>
      <c r="AY1018" s="1435"/>
      <c r="AZ1018" s="1435"/>
      <c r="BA1018" s="1435"/>
      <c r="BB1018" s="1435"/>
      <c r="BC1018" s="585"/>
      <c r="BD1018" s="1431" t="s">
        <v>446</v>
      </c>
      <c r="BE1018" s="1431"/>
      <c r="BF1018" s="585"/>
      <c r="BG1018" s="1431">
        <v>17.2</v>
      </c>
      <c r="BH1018" s="1431"/>
      <c r="BI1018" s="1431"/>
      <c r="BJ1018" s="1431"/>
      <c r="BK1018" s="1431"/>
      <c r="BL1018" s="585" t="s">
        <v>1111</v>
      </c>
      <c r="BM1018" s="585"/>
      <c r="BN1018" s="585"/>
      <c r="BO1018" s="585"/>
      <c r="BP1018" s="1431" t="s">
        <v>41</v>
      </c>
      <c r="BQ1018" s="1431"/>
      <c r="BR1018" s="585"/>
      <c r="BS1018" s="585"/>
      <c r="BT1018" s="1432" t="e">
        <f>INT(AS1018*BG1018)</f>
        <v>#REF!</v>
      </c>
      <c r="BU1018" s="1432"/>
      <c r="BV1018" s="1432"/>
      <c r="BW1018" s="1432"/>
      <c r="BX1018" s="1432"/>
      <c r="BY1018" s="1432"/>
      <c r="BZ1018" s="1432"/>
      <c r="CA1018" s="1432"/>
      <c r="CB1018" s="1432"/>
      <c r="CC1018" s="1432"/>
      <c r="CD1018" s="585"/>
      <c r="CE1018" s="585"/>
      <c r="CF1018" s="586"/>
    </row>
    <row r="1019" spans="1:84" s="583" customFormat="1" ht="23.1" customHeight="1">
      <c r="A1019" s="584"/>
      <c r="B1019" s="585"/>
      <c r="C1019" s="585"/>
      <c r="D1019" s="591" t="str">
        <f>"잡재료 (주연료의 "&amp;BG1019&amp;"%) :"</f>
        <v>잡재료 (주연료의 39%) :</v>
      </c>
      <c r="E1019" s="585"/>
      <c r="F1019" s="585"/>
      <c r="G1019" s="585"/>
      <c r="H1019" s="585"/>
      <c r="I1019" s="585"/>
      <c r="J1019" s="585"/>
      <c r="K1019" s="585"/>
      <c r="L1019" s="585"/>
      <c r="M1019" s="585"/>
      <c r="N1019" s="585"/>
      <c r="O1019" s="585"/>
      <c r="P1019" s="585"/>
      <c r="Q1019" s="585"/>
      <c r="R1019" s="585"/>
      <c r="S1019" s="585"/>
      <c r="T1019" s="585"/>
      <c r="U1019" s="585"/>
      <c r="V1019" s="585"/>
      <c r="W1019" s="585"/>
      <c r="X1019" s="585"/>
      <c r="Y1019" s="585"/>
      <c r="Z1019" s="585"/>
      <c r="AA1019" s="585"/>
      <c r="AB1019" s="585"/>
      <c r="AC1019" s="585"/>
      <c r="AD1019" s="585"/>
      <c r="AE1019" s="585"/>
      <c r="AF1019" s="585"/>
      <c r="AG1019" s="585"/>
      <c r="AH1019" s="585"/>
      <c r="AI1019" s="585"/>
      <c r="AJ1019" s="585"/>
      <c r="AK1019" s="585"/>
      <c r="AL1019" s="585"/>
      <c r="AM1019" s="585"/>
      <c r="AN1019" s="585"/>
      <c r="AO1019" s="585"/>
      <c r="AP1019" s="585"/>
      <c r="AQ1019" s="585"/>
      <c r="AR1019" s="422" t="e">
        <f>BT1018</f>
        <v>#REF!</v>
      </c>
      <c r="AS1019" s="1430" t="e">
        <f>BT1018</f>
        <v>#REF!</v>
      </c>
      <c r="AT1019" s="1430"/>
      <c r="AU1019" s="1430"/>
      <c r="AV1019" s="1430"/>
      <c r="AW1019" s="1430"/>
      <c r="AX1019" s="1430"/>
      <c r="AY1019" s="1430"/>
      <c r="AZ1019" s="1430"/>
      <c r="BA1019" s="1430"/>
      <c r="BB1019" s="1430"/>
      <c r="BC1019" s="585"/>
      <c r="BD1019" s="1431" t="s">
        <v>446</v>
      </c>
      <c r="BE1019" s="1431"/>
      <c r="BF1019" s="585"/>
      <c r="BG1019" s="1431">
        <v>39</v>
      </c>
      <c r="BH1019" s="1431"/>
      <c r="BI1019" s="1431"/>
      <c r="BJ1019" s="1431"/>
      <c r="BK1019" s="1431"/>
      <c r="BL1019" s="585" t="s">
        <v>1112</v>
      </c>
      <c r="BM1019" s="585"/>
      <c r="BN1019" s="585"/>
      <c r="BO1019" s="585"/>
      <c r="BP1019" s="1431" t="s">
        <v>41</v>
      </c>
      <c r="BQ1019" s="1431"/>
      <c r="BR1019" s="585"/>
      <c r="BS1019" s="585"/>
      <c r="BT1019" s="1432" t="e">
        <f>INT(AS1019*BG1019/100)</f>
        <v>#REF!</v>
      </c>
      <c r="BU1019" s="1432"/>
      <c r="BV1019" s="1432"/>
      <c r="BW1019" s="1432"/>
      <c r="BX1019" s="1432"/>
      <c r="BY1019" s="1432"/>
      <c r="BZ1019" s="1432"/>
      <c r="CA1019" s="1432"/>
      <c r="CB1019" s="1432"/>
      <c r="CC1019" s="1432"/>
      <c r="CD1019" s="585"/>
      <c r="CE1019" s="585"/>
      <c r="CF1019" s="586"/>
    </row>
    <row r="1020" spans="1:84" s="583" customFormat="1" ht="23.1" customHeight="1" thickBot="1">
      <c r="A1020" s="584"/>
      <c r="B1020" s="585"/>
      <c r="C1020" s="585"/>
      <c r="D1020" s="585"/>
      <c r="E1020" s="585"/>
      <c r="F1020" s="585"/>
      <c r="G1020" s="585"/>
      <c r="H1020" s="585"/>
      <c r="I1020" s="585"/>
      <c r="J1020" s="585"/>
      <c r="K1020" s="585"/>
      <c r="L1020" s="585"/>
      <c r="M1020" s="585"/>
      <c r="N1020" s="585"/>
      <c r="O1020" s="585"/>
      <c r="P1020" s="585"/>
      <c r="Q1020" s="585"/>
      <c r="R1020" s="585"/>
      <c r="S1020" s="585"/>
      <c r="T1020" s="585"/>
      <c r="U1020" s="585"/>
      <c r="V1020" s="585"/>
      <c r="W1020" s="585"/>
      <c r="X1020" s="585"/>
      <c r="Y1020" s="585"/>
      <c r="Z1020" s="585"/>
      <c r="AA1020" s="585"/>
      <c r="AB1020" s="585"/>
      <c r="AC1020" s="585"/>
      <c r="AD1020" s="585"/>
      <c r="AE1020" s="585"/>
      <c r="AF1020" s="585"/>
      <c r="AG1020" s="585"/>
      <c r="AH1020" s="585"/>
      <c r="AI1020" s="585"/>
      <c r="AJ1020" s="585"/>
      <c r="AK1020" s="585"/>
      <c r="AL1020" s="585"/>
      <c r="AM1020" s="585"/>
      <c r="AN1020" s="585"/>
      <c r="AO1020" s="585"/>
      <c r="AP1020" s="585"/>
      <c r="AQ1020" s="585"/>
      <c r="AR1020" s="585"/>
      <c r="AS1020" s="585"/>
      <c r="AT1020" s="585"/>
      <c r="AU1020" s="585"/>
      <c r="AV1020" s="585"/>
      <c r="AW1020" s="585"/>
      <c r="AX1020" s="585"/>
      <c r="AY1020" s="585"/>
      <c r="AZ1020" s="585"/>
      <c r="BA1020" s="585"/>
      <c r="BB1020" s="585"/>
      <c r="BC1020" s="585"/>
      <c r="BD1020" s="585"/>
      <c r="BE1020" s="585"/>
      <c r="BF1020" s="585"/>
      <c r="BG1020" s="585"/>
      <c r="BH1020" s="585"/>
      <c r="BI1020" s="585"/>
      <c r="BJ1020" s="585"/>
      <c r="BK1020" s="585"/>
      <c r="BL1020" s="585"/>
      <c r="BM1020" s="585"/>
      <c r="BN1020" s="585"/>
      <c r="BO1020" s="585"/>
      <c r="BP1020" s="1431" t="s">
        <v>41</v>
      </c>
      <c r="BQ1020" s="1431"/>
      <c r="BR1020" s="585"/>
      <c r="BS1020" s="585"/>
      <c r="BT1020" s="1433" t="e">
        <f>BT1018+BT1019</f>
        <v>#REF!</v>
      </c>
      <c r="BU1020" s="1433"/>
      <c r="BV1020" s="1433"/>
      <c r="BW1020" s="1433"/>
      <c r="BX1020" s="1433"/>
      <c r="BY1020" s="1433"/>
      <c r="BZ1020" s="1433"/>
      <c r="CA1020" s="1433"/>
      <c r="CB1020" s="1433"/>
      <c r="CC1020" s="1433"/>
      <c r="CD1020" s="585"/>
      <c r="CE1020" s="585"/>
      <c r="CF1020" s="586"/>
    </row>
    <row r="1021" spans="1:84" s="583" customFormat="1" ht="23.1" customHeight="1" thickBot="1">
      <c r="A1021" s="597"/>
      <c r="B1021" s="598" t="s">
        <v>1113</v>
      </c>
      <c r="C1021" s="598"/>
      <c r="D1021" s="598"/>
      <c r="E1021" s="598"/>
      <c r="F1021" s="598"/>
      <c r="G1021" s="598"/>
      <c r="H1021" s="598"/>
      <c r="I1021" s="598"/>
      <c r="J1021" s="598"/>
      <c r="K1021" s="598"/>
      <c r="L1021" s="598"/>
      <c r="M1021" s="598"/>
      <c r="N1021" s="598"/>
      <c r="O1021" s="598"/>
      <c r="P1021" s="598"/>
      <c r="Q1021" s="598"/>
      <c r="R1021" s="598"/>
      <c r="S1021" s="598"/>
      <c r="T1021" s="598"/>
      <c r="U1021" s="598"/>
      <c r="V1021" s="598"/>
      <c r="W1021" s="598"/>
      <c r="X1021" s="598"/>
      <c r="Y1021" s="598"/>
      <c r="Z1021" s="598"/>
      <c r="AA1021" s="598"/>
      <c r="AB1021" s="598"/>
      <c r="AC1021" s="598"/>
      <c r="AD1021" s="598"/>
      <c r="AE1021" s="598"/>
      <c r="AF1021" s="598"/>
      <c r="AG1021" s="598"/>
      <c r="AH1021" s="598"/>
      <c r="AI1021" s="598"/>
      <c r="AJ1021" s="598"/>
      <c r="AK1021" s="598"/>
      <c r="AL1021" s="598"/>
      <c r="AM1021" s="598"/>
      <c r="AN1021" s="598"/>
      <c r="AO1021" s="598"/>
      <c r="AP1021" s="598"/>
      <c r="AQ1021" s="598"/>
      <c r="AR1021" s="598"/>
      <c r="AS1021" s="598"/>
      <c r="AT1021" s="598"/>
      <c r="AU1021" s="598"/>
      <c r="AV1021" s="598"/>
      <c r="AW1021" s="598"/>
      <c r="AX1021" s="598"/>
      <c r="AY1021" s="598"/>
      <c r="AZ1021" s="598"/>
      <c r="BA1021" s="598"/>
      <c r="BB1021" s="598"/>
      <c r="BC1021" s="598"/>
      <c r="BD1021" s="598"/>
      <c r="BE1021" s="598"/>
      <c r="BF1021" s="598"/>
      <c r="BG1021" s="598"/>
      <c r="BH1021" s="598"/>
      <c r="BI1021" s="598"/>
      <c r="BJ1021" s="598"/>
      <c r="BK1021" s="598"/>
      <c r="BL1021" s="598"/>
      <c r="BM1021" s="598"/>
      <c r="BN1021" s="598"/>
      <c r="BO1021" s="598"/>
      <c r="BP1021" s="598"/>
      <c r="BQ1021" s="598"/>
      <c r="BR1021" s="598"/>
      <c r="BS1021" s="598"/>
      <c r="BT1021" s="1429" t="e">
        <f>BT1012+BT1016+BT1020</f>
        <v>#REF!</v>
      </c>
      <c r="BU1021" s="1429"/>
      <c r="BV1021" s="1429"/>
      <c r="BW1021" s="1429"/>
      <c r="BX1021" s="1429"/>
      <c r="BY1021" s="1429"/>
      <c r="BZ1021" s="1429"/>
      <c r="CA1021" s="1429"/>
      <c r="CB1021" s="1429"/>
      <c r="CC1021" s="1429"/>
      <c r="CD1021" s="598"/>
      <c r="CE1021" s="598"/>
      <c r="CF1021" s="599"/>
    </row>
    <row r="1022" spans="1:84" s="583" customFormat="1" ht="9.9499999999999993" customHeight="1">
      <c r="A1022" s="574"/>
      <c r="B1022" s="574"/>
      <c r="C1022" s="574"/>
      <c r="D1022" s="574"/>
      <c r="E1022" s="574"/>
      <c r="F1022" s="574"/>
      <c r="G1022" s="574"/>
      <c r="H1022" s="574"/>
      <c r="I1022" s="574"/>
      <c r="J1022" s="574"/>
      <c r="K1022" s="574"/>
      <c r="L1022" s="574"/>
      <c r="M1022" s="574"/>
      <c r="N1022" s="574"/>
      <c r="O1022" s="574"/>
      <c r="P1022" s="574"/>
      <c r="Q1022" s="574"/>
      <c r="R1022" s="574"/>
      <c r="S1022" s="574"/>
      <c r="T1022" s="574"/>
      <c r="U1022" s="574"/>
      <c r="V1022" s="574"/>
      <c r="W1022" s="574"/>
      <c r="X1022" s="574"/>
      <c r="Y1022" s="574"/>
      <c r="Z1022" s="574"/>
      <c r="AA1022" s="574"/>
      <c r="AB1022" s="574"/>
      <c r="AC1022" s="574"/>
      <c r="AD1022" s="574"/>
      <c r="AE1022" s="574"/>
      <c r="AF1022" s="574"/>
      <c r="AG1022" s="574"/>
      <c r="AH1022" s="574"/>
      <c r="AI1022" s="574"/>
      <c r="AJ1022" s="574"/>
      <c r="AK1022" s="574"/>
      <c r="AL1022" s="574"/>
      <c r="AM1022" s="574"/>
      <c r="AN1022" s="574"/>
      <c r="AO1022" s="574"/>
      <c r="AP1022" s="574"/>
      <c r="AQ1022" s="574"/>
      <c r="AR1022" s="574"/>
      <c r="AS1022" s="574"/>
      <c r="AT1022" s="574"/>
      <c r="AU1022" s="574"/>
      <c r="AV1022" s="574"/>
      <c r="AW1022" s="574"/>
      <c r="AX1022" s="574"/>
      <c r="AY1022" s="574"/>
      <c r="AZ1022" s="574"/>
      <c r="BA1022" s="574"/>
      <c r="BB1022" s="574"/>
      <c r="BC1022" s="574"/>
      <c r="BD1022" s="574"/>
      <c r="BE1022" s="574"/>
      <c r="BF1022" s="574"/>
      <c r="BG1022" s="574"/>
      <c r="BH1022" s="574"/>
      <c r="BI1022" s="574"/>
      <c r="BJ1022" s="574"/>
      <c r="BK1022" s="574"/>
      <c r="BL1022" s="574"/>
      <c r="BM1022" s="574"/>
      <c r="BN1022" s="574"/>
      <c r="BO1022" s="574"/>
      <c r="BP1022" s="574"/>
      <c r="BQ1022" s="574"/>
      <c r="BR1022" s="574"/>
      <c r="BS1022" s="574"/>
      <c r="BT1022" s="574"/>
      <c r="BU1022" s="574"/>
      <c r="BV1022" s="574"/>
      <c r="BW1022" s="574"/>
      <c r="BX1022" s="574"/>
      <c r="BY1022" s="574"/>
      <c r="BZ1022" s="574"/>
      <c r="CA1022" s="574"/>
      <c r="CB1022" s="574"/>
      <c r="CC1022" s="574"/>
      <c r="CD1022" s="574"/>
      <c r="CE1022" s="574"/>
      <c r="CF1022" s="574"/>
    </row>
    <row r="1023" spans="1:84" s="583" customFormat="1" ht="23.1" customHeight="1" thickBot="1">
      <c r="A1023" s="1446" t="s">
        <v>1095</v>
      </c>
      <c r="B1023" s="1446"/>
      <c r="C1023" s="1446"/>
      <c r="D1023" s="1446"/>
      <c r="E1023" s="1446"/>
      <c r="F1023" s="1446"/>
      <c r="G1023" s="1447">
        <f>G1008+1</f>
        <v>69</v>
      </c>
      <c r="H1023" s="1447"/>
      <c r="I1023" s="1447"/>
      <c r="J1023" s="1448" t="s">
        <v>1096</v>
      </c>
      <c r="K1023" s="1448"/>
      <c r="L1023" s="574"/>
      <c r="M1023" s="574"/>
      <c r="N1023" s="574"/>
      <c r="O1023" s="574"/>
      <c r="P1023" s="574"/>
      <c r="Q1023" s="574"/>
      <c r="R1023" s="574"/>
      <c r="S1023" s="574"/>
      <c r="T1023" s="574"/>
      <c r="U1023" s="574"/>
      <c r="V1023" s="574"/>
      <c r="W1023" s="574"/>
      <c r="X1023" s="574"/>
      <c r="Y1023" s="574"/>
      <c r="Z1023" s="574"/>
      <c r="AA1023" s="574"/>
      <c r="AB1023" s="574"/>
      <c r="AC1023" s="574"/>
      <c r="AD1023" s="574"/>
      <c r="AE1023" s="574"/>
      <c r="AF1023" s="574"/>
      <c r="AG1023" s="574"/>
      <c r="AH1023" s="574"/>
      <c r="AI1023" s="574"/>
      <c r="AJ1023" s="574"/>
      <c r="AK1023" s="574"/>
      <c r="AL1023" s="574"/>
      <c r="AM1023" s="574"/>
      <c r="AN1023" s="574"/>
      <c r="AO1023" s="574"/>
      <c r="AP1023" s="574"/>
      <c r="AQ1023" s="574"/>
      <c r="AR1023" s="574"/>
      <c r="AS1023" s="574"/>
      <c r="AT1023" s="574"/>
      <c r="AU1023" s="574"/>
      <c r="AV1023" s="574"/>
      <c r="AW1023" s="574"/>
      <c r="AX1023" s="574"/>
      <c r="AY1023" s="574"/>
      <c r="AZ1023" s="574"/>
      <c r="BA1023" s="574"/>
      <c r="BB1023" s="574"/>
      <c r="BC1023" s="574"/>
      <c r="BD1023" s="574"/>
      <c r="BE1023" s="574"/>
      <c r="BF1023" s="574"/>
      <c r="BG1023" s="574"/>
      <c r="BH1023" s="574"/>
      <c r="BI1023" s="574"/>
      <c r="BJ1023" s="574"/>
      <c r="BK1023" s="574"/>
      <c r="BL1023" s="574"/>
      <c r="BM1023" s="574"/>
      <c r="BN1023" s="574"/>
      <c r="BO1023" s="574"/>
      <c r="BP1023" s="574"/>
      <c r="BQ1023" s="574"/>
      <c r="BR1023" s="574"/>
      <c r="BS1023" s="574"/>
      <c r="BT1023" s="574"/>
      <c r="BU1023" s="574"/>
      <c r="BV1023" s="574"/>
      <c r="BW1023" s="574"/>
      <c r="BX1023" s="574"/>
      <c r="BY1023" s="574"/>
      <c r="BZ1023" s="574"/>
      <c r="CA1023" s="574"/>
      <c r="CB1023" s="574"/>
      <c r="CC1023" s="574"/>
      <c r="CD1023" s="574"/>
      <c r="CE1023" s="574"/>
      <c r="CF1023" s="574"/>
    </row>
    <row r="1024" spans="1:84" s="583" customFormat="1" ht="23.1" customHeight="1" thickBot="1">
      <c r="A1024" s="1483" t="s">
        <v>1097</v>
      </c>
      <c r="B1024" s="1484"/>
      <c r="C1024" s="1484"/>
      <c r="D1024" s="1484"/>
      <c r="E1024" s="1484"/>
      <c r="F1024" s="1484"/>
      <c r="G1024" s="1484"/>
      <c r="H1024" s="1484"/>
      <c r="I1024" s="581" t="s">
        <v>1209</v>
      </c>
      <c r="J1024" s="581"/>
      <c r="K1024" s="581"/>
      <c r="L1024" s="581"/>
      <c r="M1024" s="581"/>
      <c r="N1024" s="581"/>
      <c r="O1024" s="581"/>
      <c r="P1024" s="581"/>
      <c r="Q1024" s="581"/>
      <c r="R1024" s="581"/>
      <c r="S1024" s="581"/>
      <c r="T1024" s="581"/>
      <c r="U1024" s="581"/>
      <c r="V1024" s="581"/>
      <c r="W1024" s="581"/>
      <c r="X1024" s="581"/>
      <c r="Y1024" s="581"/>
      <c r="Z1024" s="581"/>
      <c r="AA1024" s="581"/>
      <c r="AB1024" s="581"/>
      <c r="AC1024" s="581"/>
      <c r="AD1024" s="581"/>
      <c r="AE1024" s="581"/>
      <c r="AF1024" s="581"/>
      <c r="AG1024" s="581"/>
      <c r="AH1024" s="581"/>
      <c r="AI1024" s="581"/>
      <c r="AJ1024" s="1484" t="s">
        <v>1099</v>
      </c>
      <c r="AK1024" s="1484"/>
      <c r="AL1024" s="1484"/>
      <c r="AM1024" s="1484"/>
      <c r="AN1024" s="1484"/>
      <c r="AO1024" s="1484"/>
      <c r="AP1024" s="1484"/>
      <c r="AQ1024" s="581" t="s">
        <v>1210</v>
      </c>
      <c r="AR1024" s="581"/>
      <c r="AS1024" s="581"/>
      <c r="AT1024" s="581"/>
      <c r="AU1024" s="581"/>
      <c r="AV1024" s="581"/>
      <c r="AW1024" s="581"/>
      <c r="AX1024" s="581"/>
      <c r="AY1024" s="581"/>
      <c r="AZ1024" s="581"/>
      <c r="BA1024" s="581"/>
      <c r="BB1024" s="581"/>
      <c r="BC1024" s="581"/>
      <c r="BD1024" s="581"/>
      <c r="BE1024" s="581"/>
      <c r="BF1024" s="581"/>
      <c r="BG1024" s="581"/>
      <c r="BH1024" s="581"/>
      <c r="BI1024" s="581"/>
      <c r="BJ1024" s="581"/>
      <c r="BK1024" s="581"/>
      <c r="BL1024" s="581"/>
      <c r="BM1024" s="581"/>
      <c r="BN1024" s="581"/>
      <c r="BO1024" s="581"/>
      <c r="BP1024" s="581"/>
      <c r="BQ1024" s="581"/>
      <c r="BR1024" s="581"/>
      <c r="BS1024" s="581"/>
      <c r="BT1024" s="581" t="s">
        <v>1211</v>
      </c>
      <c r="BU1024" s="581"/>
      <c r="BV1024" s="581"/>
      <c r="BW1024" s="581"/>
      <c r="BX1024" s="581"/>
      <c r="BY1024" s="581"/>
      <c r="BZ1024" s="581"/>
      <c r="CA1024" s="581"/>
      <c r="CB1024" s="581"/>
      <c r="CC1024" s="581"/>
      <c r="CD1024" s="581"/>
      <c r="CE1024" s="581"/>
      <c r="CF1024" s="582"/>
    </row>
    <row r="1025" spans="1:84" s="583" customFormat="1" ht="23.1" customHeight="1">
      <c r="A1025" s="584"/>
      <c r="B1025" s="585" t="s">
        <v>1102</v>
      </c>
      <c r="C1025" s="585"/>
      <c r="D1025" s="585"/>
      <c r="E1025" s="585"/>
      <c r="F1025" s="585"/>
      <c r="G1025" s="585"/>
      <c r="H1025" s="585"/>
      <c r="I1025" s="585"/>
      <c r="J1025" s="585"/>
      <c r="K1025" s="585"/>
      <c r="L1025" s="585"/>
      <c r="M1025" s="585"/>
      <c r="N1025" s="585"/>
      <c r="O1025" s="585"/>
      <c r="P1025" s="585"/>
      <c r="Q1025" s="585"/>
      <c r="R1025" s="585"/>
      <c r="S1025" s="585"/>
      <c r="T1025" s="585"/>
      <c r="U1025" s="585"/>
      <c r="V1025" s="585"/>
      <c r="W1025" s="585"/>
      <c r="X1025" s="585"/>
      <c r="Y1025" s="585"/>
      <c r="Z1025" s="585"/>
      <c r="AA1025" s="585"/>
      <c r="AB1025" s="585"/>
      <c r="AC1025" s="585"/>
      <c r="AD1025" s="585"/>
      <c r="AE1025" s="585"/>
      <c r="AF1025" s="585"/>
      <c r="AG1025" s="585"/>
      <c r="AH1025" s="585"/>
      <c r="AI1025" s="585"/>
      <c r="AJ1025" s="585"/>
      <c r="AK1025" s="585"/>
      <c r="AL1025" s="585"/>
      <c r="AM1025" s="585"/>
      <c r="AN1025" s="585"/>
      <c r="AO1025" s="585"/>
      <c r="AP1025" s="585"/>
      <c r="AQ1025" s="585"/>
      <c r="AR1025" s="585"/>
      <c r="AS1025" s="585"/>
      <c r="AT1025" s="585"/>
      <c r="AU1025" s="585"/>
      <c r="AV1025" s="585"/>
      <c r="AW1025" s="585"/>
      <c r="AX1025" s="585"/>
      <c r="AY1025" s="585"/>
      <c r="AZ1025" s="585"/>
      <c r="BA1025" s="585"/>
      <c r="BB1025" s="585"/>
      <c r="BC1025" s="585"/>
      <c r="BD1025" s="585"/>
      <c r="BE1025" s="585"/>
      <c r="BF1025" s="585"/>
      <c r="BG1025" s="585"/>
      <c r="BH1025" s="585"/>
      <c r="BI1025" s="585"/>
      <c r="BJ1025" s="585"/>
      <c r="BK1025" s="585"/>
      <c r="BL1025" s="585"/>
      <c r="BM1025" s="585"/>
      <c r="BN1025" s="585"/>
      <c r="BO1025" s="585"/>
      <c r="BP1025" s="585"/>
      <c r="BQ1025" s="585"/>
      <c r="BR1025" s="585"/>
      <c r="BS1025" s="585"/>
      <c r="BT1025" s="585"/>
      <c r="BU1025" s="585"/>
      <c r="BV1025" s="585"/>
      <c r="BW1025" s="585"/>
      <c r="BX1025" s="585"/>
      <c r="BY1025" s="585"/>
      <c r="BZ1025" s="585"/>
      <c r="CA1025" s="585"/>
      <c r="CB1025" s="585"/>
      <c r="CC1025" s="585"/>
      <c r="CD1025" s="585"/>
      <c r="CE1025" s="585"/>
      <c r="CF1025" s="586"/>
    </row>
    <row r="1026" spans="1:84" s="583" customFormat="1" ht="23.1" customHeight="1">
      <c r="A1026" s="587"/>
      <c r="B1026" s="574"/>
      <c r="C1026" s="574"/>
      <c r="D1026" s="405"/>
      <c r="E1026" s="574"/>
      <c r="F1026" s="422"/>
      <c r="G1026" s="422"/>
      <c r="H1026" s="422"/>
      <c r="I1026" s="422"/>
      <c r="J1026" s="422"/>
      <c r="K1026" s="422"/>
      <c r="L1026" s="422"/>
      <c r="M1026" s="422"/>
      <c r="N1026" s="574"/>
      <c r="O1026" s="574"/>
      <c r="P1026" s="574"/>
      <c r="Q1026" s="574"/>
      <c r="R1026" s="574"/>
      <c r="S1026" s="1430"/>
      <c r="T1026" s="1430"/>
      <c r="U1026" s="1430"/>
      <c r="V1026" s="1430"/>
      <c r="W1026" s="1430"/>
      <c r="X1026" s="1430"/>
      <c r="Y1026" s="1430"/>
      <c r="Z1026" s="1430"/>
      <c r="AA1026" s="574"/>
      <c r="AB1026" s="588"/>
      <c r="AC1026" s="1431"/>
      <c r="AD1026" s="1431"/>
      <c r="AE1026" s="1498"/>
      <c r="AF1026" s="1498"/>
      <c r="AG1026" s="1498"/>
      <c r="AH1026" s="1498"/>
      <c r="AI1026" s="1498"/>
      <c r="AJ1026" s="1498"/>
      <c r="AK1026" s="1498"/>
      <c r="AL1026" s="1498"/>
      <c r="AM1026" s="1431"/>
      <c r="AN1026" s="1431"/>
      <c r="AO1026" s="574"/>
      <c r="AP1026" s="1486"/>
      <c r="AQ1026" s="1486"/>
      <c r="AR1026" s="1486"/>
      <c r="AS1026" s="1486"/>
      <c r="AT1026" s="1486"/>
      <c r="AU1026" s="1486"/>
      <c r="AV1026" s="1486"/>
      <c r="AW1026" s="1486"/>
      <c r="AX1026" s="1486"/>
      <c r="AY1026" s="1486"/>
      <c r="AZ1026" s="1486"/>
      <c r="BA1026" s="1486"/>
      <c r="BB1026" s="1486"/>
      <c r="BC1026" s="1486"/>
      <c r="BD1026" s="574"/>
      <c r="BE1026" s="574"/>
      <c r="BF1026" s="574"/>
      <c r="BG1026" s="574"/>
      <c r="BH1026" s="574"/>
      <c r="BI1026" s="574"/>
      <c r="BJ1026" s="574"/>
      <c r="BK1026" s="574"/>
      <c r="BL1026" s="574"/>
      <c r="BM1026" s="574"/>
      <c r="BN1026" s="574"/>
      <c r="BO1026" s="574"/>
      <c r="BP1026" s="574"/>
      <c r="BQ1026" s="574"/>
      <c r="BR1026" s="574"/>
      <c r="BS1026" s="574"/>
      <c r="BT1026" s="574"/>
      <c r="BU1026" s="574"/>
      <c r="BV1026" s="574"/>
      <c r="BW1026" s="574"/>
      <c r="BX1026" s="574"/>
      <c r="BY1026" s="574"/>
      <c r="BZ1026" s="574"/>
      <c r="CA1026" s="574"/>
      <c r="CB1026" s="574"/>
      <c r="CC1026" s="574"/>
      <c r="CD1026" s="574"/>
      <c r="CE1026" s="574"/>
      <c r="CF1026" s="589"/>
    </row>
    <row r="1027" spans="1:84" s="583" customFormat="1" ht="23.1" customHeight="1">
      <c r="A1027" s="584"/>
      <c r="B1027" s="585"/>
      <c r="C1027" s="585"/>
      <c r="D1027" s="585"/>
      <c r="E1027" s="585"/>
      <c r="F1027" s="585"/>
      <c r="G1027" s="585"/>
      <c r="H1027" s="585"/>
      <c r="I1027" s="585"/>
      <c r="J1027" s="585"/>
      <c r="K1027" s="585"/>
      <c r="L1027" s="585"/>
      <c r="M1027" s="585"/>
      <c r="N1027" s="585"/>
      <c r="O1027" s="585"/>
      <c r="P1027" s="585"/>
      <c r="Q1027" s="585"/>
      <c r="R1027" s="585"/>
      <c r="S1027" s="585"/>
      <c r="T1027" s="585"/>
      <c r="U1027" s="585"/>
      <c r="V1027" s="590"/>
      <c r="W1027" s="590"/>
      <c r="X1027" s="590"/>
      <c r="Y1027" s="590"/>
      <c r="Z1027" s="590"/>
      <c r="AA1027" s="590"/>
      <c r="AB1027" s="590"/>
      <c r="AC1027" s="590"/>
      <c r="AD1027" s="574"/>
      <c r="AE1027" s="1440">
        <v>222833000</v>
      </c>
      <c r="AF1027" s="1440"/>
      <c r="AG1027" s="1440"/>
      <c r="AH1027" s="1440"/>
      <c r="AI1027" s="1440"/>
      <c r="AJ1027" s="1440"/>
      <c r="AK1027" s="1440"/>
      <c r="AL1027" s="1440"/>
      <c r="AM1027" s="1440"/>
      <c r="AN1027" s="1440"/>
      <c r="AO1027" s="1440"/>
      <c r="AP1027" s="1440"/>
      <c r="AQ1027" s="1440"/>
      <c r="AR1027" s="1440"/>
      <c r="AS1027" s="1440"/>
      <c r="AT1027" s="1431" t="s">
        <v>446</v>
      </c>
      <c r="AU1027" s="1431"/>
      <c r="AV1027" s="1441" t="s">
        <v>1103</v>
      </c>
      <c r="AW1027" s="1441"/>
      <c r="AX1027" s="1442">
        <v>2362</v>
      </c>
      <c r="AY1027" s="1442"/>
      <c r="AZ1027" s="1442"/>
      <c r="BA1027" s="1442"/>
      <c r="BB1027" s="1442"/>
      <c r="BC1027" s="1442"/>
      <c r="BD1027" s="585"/>
      <c r="BE1027" s="1431" t="s">
        <v>446</v>
      </c>
      <c r="BF1027" s="1431"/>
      <c r="BG1027" s="585"/>
      <c r="BH1027" s="591" t="s">
        <v>1104</v>
      </c>
      <c r="BI1027" s="585"/>
      <c r="BJ1027" s="585"/>
      <c r="BK1027" s="585"/>
      <c r="BL1027" s="1431" t="s">
        <v>1105</v>
      </c>
      <c r="BM1027" s="1431"/>
      <c r="BN1027" s="1431"/>
      <c r="BO1027" s="585"/>
      <c r="BP1027" s="1431" t="s">
        <v>41</v>
      </c>
      <c r="BQ1027" s="1431"/>
      <c r="BR1027" s="585"/>
      <c r="BS1027" s="585"/>
      <c r="BT1027" s="1437">
        <f>INT(AE1027*AX1027*10^-7)</f>
        <v>52633</v>
      </c>
      <c r="BU1027" s="1437"/>
      <c r="BV1027" s="1437"/>
      <c r="BW1027" s="1437"/>
      <c r="BX1027" s="1437"/>
      <c r="BY1027" s="1437"/>
      <c r="BZ1027" s="1437"/>
      <c r="CA1027" s="1437"/>
      <c r="CB1027" s="1437"/>
      <c r="CC1027" s="1437"/>
      <c r="CD1027" s="585"/>
      <c r="CE1027" s="585"/>
      <c r="CF1027" s="586"/>
    </row>
    <row r="1028" spans="1:84" s="583" customFormat="1" ht="23.1" customHeight="1">
      <c r="A1028" s="592"/>
      <c r="B1028" s="593" t="s">
        <v>1106</v>
      </c>
      <c r="C1028" s="593"/>
      <c r="D1028" s="593"/>
      <c r="E1028" s="593"/>
      <c r="F1028" s="593"/>
      <c r="G1028" s="593"/>
      <c r="H1028" s="593"/>
      <c r="I1028" s="593"/>
      <c r="J1028" s="593"/>
      <c r="K1028" s="593"/>
      <c r="L1028" s="593"/>
      <c r="M1028" s="593"/>
      <c r="N1028" s="593"/>
      <c r="O1028" s="593"/>
      <c r="P1028" s="593"/>
      <c r="Q1028" s="593"/>
      <c r="R1028" s="593"/>
      <c r="S1028" s="593"/>
      <c r="T1028" s="593"/>
      <c r="U1028" s="593"/>
      <c r="V1028" s="593"/>
      <c r="W1028" s="593"/>
      <c r="X1028" s="593"/>
      <c r="Y1028" s="593"/>
      <c r="Z1028" s="593"/>
      <c r="AA1028" s="593"/>
      <c r="AB1028" s="593"/>
      <c r="AC1028" s="593"/>
      <c r="AD1028" s="593"/>
      <c r="AE1028" s="593"/>
      <c r="AF1028" s="593"/>
      <c r="AG1028" s="593"/>
      <c r="AH1028" s="593"/>
      <c r="AI1028" s="593"/>
      <c r="AJ1028" s="593"/>
      <c r="AK1028" s="593"/>
      <c r="AL1028" s="593"/>
      <c r="AM1028" s="593"/>
      <c r="AN1028" s="593"/>
      <c r="AO1028" s="593"/>
      <c r="AP1028" s="593"/>
      <c r="AQ1028" s="593"/>
      <c r="AR1028" s="593"/>
      <c r="AS1028" s="593"/>
      <c r="AT1028" s="593"/>
      <c r="AU1028" s="593"/>
      <c r="AV1028" s="593"/>
      <c r="AW1028" s="593"/>
      <c r="AX1028" s="593"/>
      <c r="AY1028" s="593"/>
      <c r="AZ1028" s="593"/>
      <c r="BA1028" s="593"/>
      <c r="BB1028" s="593"/>
      <c r="BC1028" s="593"/>
      <c r="BD1028" s="593"/>
      <c r="BE1028" s="593"/>
      <c r="BF1028" s="593"/>
      <c r="BG1028" s="593"/>
      <c r="BH1028" s="593"/>
      <c r="BI1028" s="593"/>
      <c r="BJ1028" s="593"/>
      <c r="BK1028" s="593"/>
      <c r="BL1028" s="593"/>
      <c r="BM1028" s="593"/>
      <c r="BN1028" s="593"/>
      <c r="BO1028" s="593"/>
      <c r="BP1028" s="593"/>
      <c r="BQ1028" s="593"/>
      <c r="BR1028" s="593"/>
      <c r="BS1028" s="593"/>
      <c r="BT1028" s="594"/>
      <c r="BU1028" s="594"/>
      <c r="BV1028" s="594"/>
      <c r="BW1028" s="594"/>
      <c r="BX1028" s="594"/>
      <c r="BY1028" s="594"/>
      <c r="BZ1028" s="594"/>
      <c r="CA1028" s="594"/>
      <c r="CB1028" s="594"/>
      <c r="CC1028" s="594"/>
      <c r="CD1028" s="593"/>
      <c r="CE1028" s="593"/>
      <c r="CF1028" s="595"/>
    </row>
    <row r="1029" spans="1:84" s="583" customFormat="1" ht="23.1" customHeight="1">
      <c r="A1029" s="584"/>
      <c r="B1029" s="585"/>
      <c r="C1029" s="585"/>
      <c r="D1029" s="596" t="s">
        <v>268</v>
      </c>
      <c r="E1029" s="585"/>
      <c r="F1029" s="585"/>
      <c r="G1029" s="585"/>
      <c r="H1029" s="585"/>
      <c r="I1029" s="585"/>
      <c r="J1029" s="585"/>
      <c r="K1029" s="585"/>
      <c r="L1029" s="585"/>
      <c r="M1029" s="585"/>
      <c r="N1029" s="585"/>
      <c r="O1029" s="585"/>
      <c r="P1029" s="585"/>
      <c r="Q1029" s="585"/>
      <c r="R1029" s="585"/>
      <c r="S1029" s="585"/>
      <c r="T1029" s="574"/>
      <c r="U1029" s="574"/>
      <c r="V1029" s="1435">
        <f>HLOOKUP(D1029,$CJ$1:$CM$3,3,0)</f>
        <v>283297</v>
      </c>
      <c r="W1029" s="1435"/>
      <c r="X1029" s="1435"/>
      <c r="Y1029" s="1435"/>
      <c r="Z1029" s="1435"/>
      <c r="AA1029" s="1435"/>
      <c r="AB1029" s="1435"/>
      <c r="AC1029" s="1435"/>
      <c r="AD1029" s="1435"/>
      <c r="AE1029" s="1435"/>
      <c r="AF1029" s="1431" t="s">
        <v>446</v>
      </c>
      <c r="AG1029" s="1431"/>
      <c r="AH1029" s="574"/>
      <c r="AI1029" s="1436" t="s">
        <v>1107</v>
      </c>
      <c r="AJ1029" s="1436"/>
      <c r="AK1029" s="1436"/>
      <c r="AL1029" s="1436"/>
      <c r="AM1029" s="585"/>
      <c r="AN1029" s="1431" t="s">
        <v>446</v>
      </c>
      <c r="AO1029" s="1431"/>
      <c r="AP1029" s="585"/>
      <c r="AQ1029" s="1436" t="s">
        <v>1108</v>
      </c>
      <c r="AR1029" s="1436"/>
      <c r="AS1029" s="1436"/>
      <c r="AT1029" s="1436"/>
      <c r="AU1029" s="1436"/>
      <c r="AV1029" s="422"/>
      <c r="AW1029" s="1431" t="s">
        <v>446</v>
      </c>
      <c r="AX1029" s="1431"/>
      <c r="AY1029" s="440"/>
      <c r="AZ1029" s="1436" t="s">
        <v>1109</v>
      </c>
      <c r="BA1029" s="1436"/>
      <c r="BB1029" s="1436"/>
      <c r="BC1029" s="1436"/>
      <c r="BD1029" s="1436"/>
      <c r="BE1029" s="585"/>
      <c r="BF1029" s="1431" t="s">
        <v>446</v>
      </c>
      <c r="BG1029" s="1431"/>
      <c r="BH1029" s="1431">
        <v>1</v>
      </c>
      <c r="BI1029" s="1431"/>
      <c r="BJ1029" s="1431"/>
      <c r="BK1029" s="585"/>
      <c r="BL1029" s="585" t="s">
        <v>366</v>
      </c>
      <c r="BM1029" s="585"/>
      <c r="BN1029" s="585"/>
      <c r="BO1029" s="585"/>
      <c r="BP1029" s="1431" t="s">
        <v>41</v>
      </c>
      <c r="BQ1029" s="1431"/>
      <c r="BR1029" s="585"/>
      <c r="BS1029" s="585"/>
      <c r="BT1029" s="1432">
        <f>INT(V1029/8*16/12*25/20*BH1029)</f>
        <v>59020</v>
      </c>
      <c r="BU1029" s="1432"/>
      <c r="BV1029" s="1432"/>
      <c r="BW1029" s="1432"/>
      <c r="BX1029" s="1432"/>
      <c r="BY1029" s="1432"/>
      <c r="BZ1029" s="1432"/>
      <c r="CA1029" s="1432"/>
      <c r="CB1029" s="1432"/>
      <c r="CC1029" s="1432"/>
      <c r="CD1029" s="585"/>
      <c r="CE1029" s="585"/>
      <c r="CF1029" s="586"/>
    </row>
    <row r="1030" spans="1:84" s="583" customFormat="1" ht="23.1" customHeight="1">
      <c r="A1030" s="584"/>
      <c r="B1030" s="585"/>
      <c r="C1030" s="585"/>
      <c r="D1030" s="585"/>
      <c r="E1030" s="585"/>
      <c r="F1030" s="585"/>
      <c r="G1030" s="585"/>
      <c r="H1030" s="585"/>
      <c r="I1030" s="585"/>
      <c r="J1030" s="585"/>
      <c r="K1030" s="585"/>
      <c r="L1030" s="585"/>
      <c r="M1030" s="585"/>
      <c r="N1030" s="585"/>
      <c r="O1030" s="585"/>
      <c r="P1030" s="574"/>
      <c r="Q1030" s="574"/>
      <c r="R1030" s="574"/>
      <c r="S1030" s="574"/>
      <c r="T1030" s="574"/>
      <c r="U1030" s="574"/>
      <c r="V1030" s="574"/>
      <c r="W1030" s="574"/>
      <c r="X1030" s="574"/>
      <c r="Y1030" s="574"/>
      <c r="Z1030" s="574"/>
      <c r="AA1030" s="574"/>
      <c r="AB1030" s="574"/>
      <c r="AC1030" s="574"/>
      <c r="AD1030" s="574"/>
      <c r="AE1030" s="574"/>
      <c r="AF1030" s="574"/>
      <c r="AG1030" s="574"/>
      <c r="AH1030" s="574"/>
      <c r="AI1030" s="574"/>
      <c r="AJ1030" s="574"/>
      <c r="AK1030" s="574"/>
      <c r="AL1030" s="574"/>
      <c r="AM1030" s="574"/>
      <c r="AN1030" s="574"/>
      <c r="AO1030" s="574"/>
      <c r="AP1030" s="574"/>
      <c r="AQ1030" s="574"/>
      <c r="AR1030" s="574"/>
      <c r="AS1030" s="574"/>
      <c r="AT1030" s="574"/>
      <c r="AU1030" s="574"/>
      <c r="AV1030" s="574"/>
      <c r="AW1030" s="574"/>
      <c r="AX1030" s="574"/>
      <c r="AY1030" s="574"/>
      <c r="AZ1030" s="574"/>
      <c r="BA1030" s="574"/>
      <c r="BB1030" s="574"/>
      <c r="BC1030" s="574"/>
      <c r="BD1030" s="574"/>
      <c r="BE1030" s="574"/>
      <c r="BF1030" s="574"/>
      <c r="BG1030" s="585"/>
      <c r="BH1030" s="585"/>
      <c r="BI1030" s="585"/>
      <c r="BJ1030" s="585"/>
      <c r="BK1030" s="585"/>
      <c r="BL1030" s="585"/>
      <c r="BM1030" s="585"/>
      <c r="BN1030" s="585"/>
      <c r="BO1030" s="585"/>
      <c r="BP1030" s="1431"/>
      <c r="BQ1030" s="1431"/>
      <c r="BR1030" s="585"/>
      <c r="BS1030" s="585"/>
      <c r="BT1030" s="1432"/>
      <c r="BU1030" s="1432"/>
      <c r="BV1030" s="1432"/>
      <c r="BW1030" s="1432"/>
      <c r="BX1030" s="1432"/>
      <c r="BY1030" s="1432"/>
      <c r="BZ1030" s="1432"/>
      <c r="CA1030" s="1432"/>
      <c r="CB1030" s="1432"/>
      <c r="CC1030" s="1432"/>
      <c r="CD1030" s="585"/>
      <c r="CE1030" s="585"/>
      <c r="CF1030" s="586"/>
    </row>
    <row r="1031" spans="1:84" s="583" customFormat="1" ht="23.1" customHeight="1">
      <c r="A1031" s="584"/>
      <c r="B1031" s="585"/>
      <c r="C1031" s="585"/>
      <c r="D1031" s="585"/>
      <c r="E1031" s="585"/>
      <c r="F1031" s="585"/>
      <c r="G1031" s="585"/>
      <c r="H1031" s="585"/>
      <c r="I1031" s="585"/>
      <c r="J1031" s="585"/>
      <c r="K1031" s="585"/>
      <c r="L1031" s="585"/>
      <c r="M1031" s="585"/>
      <c r="N1031" s="585"/>
      <c r="O1031" s="585"/>
      <c r="P1031" s="585"/>
      <c r="Q1031" s="585"/>
      <c r="R1031" s="585"/>
      <c r="S1031" s="585"/>
      <c r="T1031" s="585"/>
      <c r="U1031" s="585"/>
      <c r="V1031" s="585"/>
      <c r="W1031" s="585"/>
      <c r="X1031" s="585"/>
      <c r="Y1031" s="585"/>
      <c r="Z1031" s="585"/>
      <c r="AA1031" s="585"/>
      <c r="AB1031" s="585"/>
      <c r="AC1031" s="585"/>
      <c r="AD1031" s="574"/>
      <c r="AE1031" s="574"/>
      <c r="AF1031" s="574"/>
      <c r="AG1031" s="574"/>
      <c r="AH1031" s="574"/>
      <c r="AI1031" s="574"/>
      <c r="AJ1031" s="574"/>
      <c r="AK1031" s="574"/>
      <c r="AL1031" s="574"/>
      <c r="AM1031" s="574"/>
      <c r="AN1031" s="574"/>
      <c r="AO1031" s="574"/>
      <c r="AP1031" s="574"/>
      <c r="AQ1031" s="574"/>
      <c r="AR1031" s="574"/>
      <c r="AS1031" s="585"/>
      <c r="AT1031" s="590"/>
      <c r="AU1031" s="590"/>
      <c r="AV1031" s="585"/>
      <c r="AW1031" s="585"/>
      <c r="AX1031" s="585"/>
      <c r="AY1031" s="585"/>
      <c r="AZ1031" s="585"/>
      <c r="BA1031" s="585"/>
      <c r="BB1031" s="585"/>
      <c r="BC1031" s="585"/>
      <c r="BD1031" s="585"/>
      <c r="BE1031" s="585"/>
      <c r="BF1031" s="585"/>
      <c r="BG1031" s="585"/>
      <c r="BH1031" s="585"/>
      <c r="BI1031" s="585"/>
      <c r="BJ1031" s="585"/>
      <c r="BK1031" s="585"/>
      <c r="BL1031" s="585"/>
      <c r="BM1031" s="585"/>
      <c r="BN1031" s="585"/>
      <c r="BO1031" s="585"/>
      <c r="BP1031" s="1431" t="s">
        <v>41</v>
      </c>
      <c r="BQ1031" s="1431"/>
      <c r="BR1031" s="585"/>
      <c r="BS1031" s="585"/>
      <c r="BT1031" s="1434">
        <f>BT1029+BT1030</f>
        <v>59020</v>
      </c>
      <c r="BU1031" s="1434"/>
      <c r="BV1031" s="1434"/>
      <c r="BW1031" s="1434"/>
      <c r="BX1031" s="1434"/>
      <c r="BY1031" s="1434"/>
      <c r="BZ1031" s="1434"/>
      <c r="CA1031" s="1434"/>
      <c r="CB1031" s="1434"/>
      <c r="CC1031" s="1434"/>
      <c r="CD1031" s="585"/>
      <c r="CE1031" s="585"/>
      <c r="CF1031" s="586"/>
    </row>
    <row r="1032" spans="1:84" s="583" customFormat="1" ht="23.1" customHeight="1">
      <c r="A1032" s="592"/>
      <c r="B1032" s="593" t="s">
        <v>1110</v>
      </c>
      <c r="C1032" s="593"/>
      <c r="D1032" s="593"/>
      <c r="E1032" s="593"/>
      <c r="F1032" s="593"/>
      <c r="G1032" s="593"/>
      <c r="H1032" s="593"/>
      <c r="I1032" s="593"/>
      <c r="J1032" s="593"/>
      <c r="K1032" s="593"/>
      <c r="L1032" s="593"/>
      <c r="M1032" s="593"/>
      <c r="N1032" s="593"/>
      <c r="O1032" s="593"/>
      <c r="P1032" s="593"/>
      <c r="Q1032" s="593"/>
      <c r="R1032" s="593"/>
      <c r="S1032" s="593"/>
      <c r="T1032" s="593"/>
      <c r="U1032" s="593"/>
      <c r="V1032" s="593"/>
      <c r="W1032" s="593"/>
      <c r="X1032" s="593"/>
      <c r="Y1032" s="593"/>
      <c r="Z1032" s="593"/>
      <c r="AA1032" s="593"/>
      <c r="AB1032" s="593"/>
      <c r="AC1032" s="593"/>
      <c r="AD1032" s="593"/>
      <c r="AE1032" s="593"/>
      <c r="AF1032" s="593"/>
      <c r="AG1032" s="593"/>
      <c r="AH1032" s="593"/>
      <c r="AI1032" s="593"/>
      <c r="AJ1032" s="593"/>
      <c r="AK1032" s="593"/>
      <c r="AL1032" s="593"/>
      <c r="AM1032" s="593"/>
      <c r="AN1032" s="593"/>
      <c r="AO1032" s="593"/>
      <c r="AP1032" s="593"/>
      <c r="AQ1032" s="593"/>
      <c r="AR1032" s="593"/>
      <c r="AS1032" s="593"/>
      <c r="AT1032" s="593"/>
      <c r="AU1032" s="593"/>
      <c r="AV1032" s="593"/>
      <c r="AW1032" s="593"/>
      <c r="AX1032" s="593"/>
      <c r="AY1032" s="593"/>
      <c r="AZ1032" s="593"/>
      <c r="BA1032" s="593"/>
      <c r="BB1032" s="593"/>
      <c r="BC1032" s="593"/>
      <c r="BD1032" s="593"/>
      <c r="BE1032" s="593"/>
      <c r="BF1032" s="593"/>
      <c r="BG1032" s="593"/>
      <c r="BH1032" s="593"/>
      <c r="BI1032" s="593"/>
      <c r="BJ1032" s="593"/>
      <c r="BK1032" s="593"/>
      <c r="BL1032" s="593"/>
      <c r="BM1032" s="593"/>
      <c r="BN1032" s="593"/>
      <c r="BO1032" s="593"/>
      <c r="BP1032" s="593"/>
      <c r="BQ1032" s="593"/>
      <c r="BR1032" s="593"/>
      <c r="BS1032" s="593"/>
      <c r="BT1032" s="593"/>
      <c r="BU1032" s="593"/>
      <c r="BV1032" s="593"/>
      <c r="BW1032" s="593"/>
      <c r="BX1032" s="593"/>
      <c r="BY1032" s="593"/>
      <c r="BZ1032" s="593"/>
      <c r="CA1032" s="593"/>
      <c r="CB1032" s="593"/>
      <c r="CC1032" s="593"/>
      <c r="CD1032" s="593"/>
      <c r="CE1032" s="593"/>
      <c r="CF1032" s="595"/>
    </row>
    <row r="1033" spans="1:84" s="583" customFormat="1" ht="23.1" customHeight="1">
      <c r="A1033" s="584"/>
      <c r="B1033" s="585"/>
      <c r="C1033" s="585"/>
      <c r="D1033" s="596" t="s">
        <v>1094</v>
      </c>
      <c r="E1033" s="585"/>
      <c r="F1033" s="585"/>
      <c r="G1033" s="585"/>
      <c r="H1033" s="585"/>
      <c r="I1033" s="585"/>
      <c r="J1033" s="585"/>
      <c r="K1033" s="585"/>
      <c r="L1033" s="585"/>
      <c r="M1033" s="585"/>
      <c r="N1033" s="585"/>
      <c r="O1033" s="585"/>
      <c r="P1033" s="585"/>
      <c r="Q1033" s="585"/>
      <c r="R1033" s="585"/>
      <c r="S1033" s="585"/>
      <c r="T1033" s="585"/>
      <c r="U1033" s="585"/>
      <c r="V1033" s="585"/>
      <c r="W1033" s="585"/>
      <c r="X1033" s="585"/>
      <c r="Y1033" s="585"/>
      <c r="Z1033" s="585"/>
      <c r="AA1033" s="585"/>
      <c r="AB1033" s="585"/>
      <c r="AC1033" s="585"/>
      <c r="AD1033" s="585"/>
      <c r="AE1033" s="585"/>
      <c r="AF1033" s="585"/>
      <c r="AG1033" s="585"/>
      <c r="AH1033" s="585"/>
      <c r="AI1033" s="585"/>
      <c r="AJ1033" s="585"/>
      <c r="AK1033" s="585"/>
      <c r="AL1033" s="585"/>
      <c r="AM1033" s="585"/>
      <c r="AN1033" s="585"/>
      <c r="AO1033" s="585"/>
      <c r="AP1033" s="585"/>
      <c r="AQ1033" s="585"/>
      <c r="AR1033" s="422"/>
      <c r="AS1033" s="1435" t="e">
        <f>HLOOKUP(D1033,$CN$1:$CO$3,3,0)</f>
        <v>#REF!</v>
      </c>
      <c r="AT1033" s="1435"/>
      <c r="AU1033" s="1435"/>
      <c r="AV1033" s="1435"/>
      <c r="AW1033" s="1435"/>
      <c r="AX1033" s="1435"/>
      <c r="AY1033" s="1435"/>
      <c r="AZ1033" s="1435"/>
      <c r="BA1033" s="1435"/>
      <c r="BB1033" s="1435"/>
      <c r="BC1033" s="585"/>
      <c r="BD1033" s="1431" t="s">
        <v>446</v>
      </c>
      <c r="BE1033" s="1431"/>
      <c r="BF1033" s="585"/>
      <c r="BG1033" s="1431">
        <v>7</v>
      </c>
      <c r="BH1033" s="1431"/>
      <c r="BI1033" s="1431"/>
      <c r="BJ1033" s="1431"/>
      <c r="BK1033" s="1431"/>
      <c r="BL1033" s="585" t="s">
        <v>1111</v>
      </c>
      <c r="BM1033" s="585"/>
      <c r="BN1033" s="585"/>
      <c r="BO1033" s="585"/>
      <c r="BP1033" s="1431" t="s">
        <v>41</v>
      </c>
      <c r="BQ1033" s="1431"/>
      <c r="BR1033" s="585"/>
      <c r="BS1033" s="585"/>
      <c r="BT1033" s="1432" t="e">
        <f>INT(AS1033*BG1033)</f>
        <v>#REF!</v>
      </c>
      <c r="BU1033" s="1432"/>
      <c r="BV1033" s="1432"/>
      <c r="BW1033" s="1432"/>
      <c r="BX1033" s="1432"/>
      <c r="BY1033" s="1432"/>
      <c r="BZ1033" s="1432"/>
      <c r="CA1033" s="1432"/>
      <c r="CB1033" s="1432"/>
      <c r="CC1033" s="1432"/>
      <c r="CD1033" s="585"/>
      <c r="CE1033" s="585"/>
      <c r="CF1033" s="586"/>
    </row>
    <row r="1034" spans="1:84" s="583" customFormat="1" ht="23.1" customHeight="1">
      <c r="A1034" s="584"/>
      <c r="B1034" s="585"/>
      <c r="C1034" s="585"/>
      <c r="D1034" s="591" t="str">
        <f>"잡재료 (주연료의 "&amp;BG1034&amp;"%) :"</f>
        <v>잡재료 (주연료의 7%) :</v>
      </c>
      <c r="E1034" s="585"/>
      <c r="F1034" s="585"/>
      <c r="G1034" s="585"/>
      <c r="H1034" s="585"/>
      <c r="I1034" s="585"/>
      <c r="J1034" s="585"/>
      <c r="K1034" s="585"/>
      <c r="L1034" s="585"/>
      <c r="M1034" s="585"/>
      <c r="N1034" s="585"/>
      <c r="O1034" s="585"/>
      <c r="P1034" s="585"/>
      <c r="Q1034" s="585"/>
      <c r="R1034" s="585"/>
      <c r="S1034" s="585"/>
      <c r="T1034" s="585"/>
      <c r="U1034" s="585"/>
      <c r="V1034" s="585"/>
      <c r="W1034" s="585"/>
      <c r="X1034" s="585"/>
      <c r="Y1034" s="585"/>
      <c r="Z1034" s="585"/>
      <c r="AA1034" s="585"/>
      <c r="AB1034" s="585"/>
      <c r="AC1034" s="585"/>
      <c r="AD1034" s="585"/>
      <c r="AE1034" s="585"/>
      <c r="AF1034" s="585"/>
      <c r="AG1034" s="585"/>
      <c r="AH1034" s="585"/>
      <c r="AI1034" s="585"/>
      <c r="AJ1034" s="585"/>
      <c r="AK1034" s="585"/>
      <c r="AL1034" s="585"/>
      <c r="AM1034" s="585"/>
      <c r="AN1034" s="585"/>
      <c r="AO1034" s="585"/>
      <c r="AP1034" s="585"/>
      <c r="AQ1034" s="585"/>
      <c r="AR1034" s="422" t="e">
        <f>BT1033</f>
        <v>#REF!</v>
      </c>
      <c r="AS1034" s="1430" t="e">
        <f>BT1033</f>
        <v>#REF!</v>
      </c>
      <c r="AT1034" s="1430"/>
      <c r="AU1034" s="1430"/>
      <c r="AV1034" s="1430"/>
      <c r="AW1034" s="1430"/>
      <c r="AX1034" s="1430"/>
      <c r="AY1034" s="1430"/>
      <c r="AZ1034" s="1430"/>
      <c r="BA1034" s="1430"/>
      <c r="BB1034" s="1430"/>
      <c r="BC1034" s="585"/>
      <c r="BD1034" s="1431" t="s">
        <v>446</v>
      </c>
      <c r="BE1034" s="1431"/>
      <c r="BF1034" s="585"/>
      <c r="BG1034" s="1431">
        <v>7</v>
      </c>
      <c r="BH1034" s="1431"/>
      <c r="BI1034" s="1431"/>
      <c r="BJ1034" s="1431"/>
      <c r="BK1034" s="1431"/>
      <c r="BL1034" s="585" t="s">
        <v>1112</v>
      </c>
      <c r="BM1034" s="585"/>
      <c r="BN1034" s="585"/>
      <c r="BO1034" s="585"/>
      <c r="BP1034" s="1431" t="s">
        <v>41</v>
      </c>
      <c r="BQ1034" s="1431"/>
      <c r="BR1034" s="585"/>
      <c r="BS1034" s="585"/>
      <c r="BT1034" s="1432" t="e">
        <f>INT(AS1034*BG1034/100)</f>
        <v>#REF!</v>
      </c>
      <c r="BU1034" s="1432"/>
      <c r="BV1034" s="1432"/>
      <c r="BW1034" s="1432"/>
      <c r="BX1034" s="1432"/>
      <c r="BY1034" s="1432"/>
      <c r="BZ1034" s="1432"/>
      <c r="CA1034" s="1432"/>
      <c r="CB1034" s="1432"/>
      <c r="CC1034" s="1432"/>
      <c r="CD1034" s="585"/>
      <c r="CE1034" s="585"/>
      <c r="CF1034" s="586"/>
    </row>
    <row r="1035" spans="1:84" s="583" customFormat="1" ht="23.1" customHeight="1" thickBot="1">
      <c r="A1035" s="584"/>
      <c r="B1035" s="585"/>
      <c r="C1035" s="585"/>
      <c r="D1035" s="585"/>
      <c r="E1035" s="585"/>
      <c r="F1035" s="585"/>
      <c r="G1035" s="585"/>
      <c r="H1035" s="585"/>
      <c r="I1035" s="585"/>
      <c r="J1035" s="585"/>
      <c r="K1035" s="585"/>
      <c r="L1035" s="585"/>
      <c r="M1035" s="585"/>
      <c r="N1035" s="585"/>
      <c r="O1035" s="585"/>
      <c r="P1035" s="585"/>
      <c r="Q1035" s="585"/>
      <c r="R1035" s="585"/>
      <c r="S1035" s="585"/>
      <c r="T1035" s="585"/>
      <c r="U1035" s="585"/>
      <c r="V1035" s="585"/>
      <c r="W1035" s="585"/>
      <c r="X1035" s="585"/>
      <c r="Y1035" s="585"/>
      <c r="Z1035" s="585"/>
      <c r="AA1035" s="585"/>
      <c r="AB1035" s="585"/>
      <c r="AC1035" s="585"/>
      <c r="AD1035" s="585"/>
      <c r="AE1035" s="585"/>
      <c r="AF1035" s="585"/>
      <c r="AG1035" s="585"/>
      <c r="AH1035" s="585"/>
      <c r="AI1035" s="585"/>
      <c r="AJ1035" s="585"/>
      <c r="AK1035" s="585"/>
      <c r="AL1035" s="585"/>
      <c r="AM1035" s="585"/>
      <c r="AN1035" s="585"/>
      <c r="AO1035" s="585"/>
      <c r="AP1035" s="585"/>
      <c r="AQ1035" s="585"/>
      <c r="AR1035" s="585"/>
      <c r="AS1035" s="585"/>
      <c r="AT1035" s="585"/>
      <c r="AU1035" s="585"/>
      <c r="AV1035" s="585"/>
      <c r="AW1035" s="585"/>
      <c r="AX1035" s="585"/>
      <c r="AY1035" s="585"/>
      <c r="AZ1035" s="585"/>
      <c r="BA1035" s="585"/>
      <c r="BB1035" s="585"/>
      <c r="BC1035" s="585"/>
      <c r="BD1035" s="585"/>
      <c r="BE1035" s="585"/>
      <c r="BF1035" s="585"/>
      <c r="BG1035" s="585"/>
      <c r="BH1035" s="585"/>
      <c r="BI1035" s="585"/>
      <c r="BJ1035" s="585"/>
      <c r="BK1035" s="585"/>
      <c r="BL1035" s="585"/>
      <c r="BM1035" s="585"/>
      <c r="BN1035" s="585"/>
      <c r="BO1035" s="585"/>
      <c r="BP1035" s="1431" t="s">
        <v>41</v>
      </c>
      <c r="BQ1035" s="1431"/>
      <c r="BR1035" s="585"/>
      <c r="BS1035" s="585"/>
      <c r="BT1035" s="1433" t="e">
        <f>BT1033+BT1034</f>
        <v>#REF!</v>
      </c>
      <c r="BU1035" s="1433"/>
      <c r="BV1035" s="1433"/>
      <c r="BW1035" s="1433"/>
      <c r="BX1035" s="1433"/>
      <c r="BY1035" s="1433"/>
      <c r="BZ1035" s="1433"/>
      <c r="CA1035" s="1433"/>
      <c r="CB1035" s="1433"/>
      <c r="CC1035" s="1433"/>
      <c r="CD1035" s="585"/>
      <c r="CE1035" s="585"/>
      <c r="CF1035" s="586"/>
    </row>
    <row r="1036" spans="1:84" s="583" customFormat="1" ht="23.1" customHeight="1" thickBot="1">
      <c r="A1036" s="597"/>
      <c r="B1036" s="598" t="s">
        <v>1113</v>
      </c>
      <c r="C1036" s="598"/>
      <c r="D1036" s="598"/>
      <c r="E1036" s="598"/>
      <c r="F1036" s="598"/>
      <c r="G1036" s="598"/>
      <c r="H1036" s="598"/>
      <c r="I1036" s="598"/>
      <c r="J1036" s="598"/>
      <c r="K1036" s="598"/>
      <c r="L1036" s="598"/>
      <c r="M1036" s="598"/>
      <c r="N1036" s="598"/>
      <c r="O1036" s="598"/>
      <c r="P1036" s="598"/>
      <c r="Q1036" s="598"/>
      <c r="R1036" s="598"/>
      <c r="S1036" s="598"/>
      <c r="T1036" s="598"/>
      <c r="U1036" s="598"/>
      <c r="V1036" s="598"/>
      <c r="W1036" s="598"/>
      <c r="X1036" s="598"/>
      <c r="Y1036" s="598"/>
      <c r="Z1036" s="598"/>
      <c r="AA1036" s="598"/>
      <c r="AB1036" s="598"/>
      <c r="AC1036" s="598"/>
      <c r="AD1036" s="598"/>
      <c r="AE1036" s="598"/>
      <c r="AF1036" s="598"/>
      <c r="AG1036" s="598"/>
      <c r="AH1036" s="598"/>
      <c r="AI1036" s="598"/>
      <c r="AJ1036" s="598"/>
      <c r="AK1036" s="598"/>
      <c r="AL1036" s="598"/>
      <c r="AM1036" s="598"/>
      <c r="AN1036" s="598"/>
      <c r="AO1036" s="598"/>
      <c r="AP1036" s="598"/>
      <c r="AQ1036" s="598"/>
      <c r="AR1036" s="598"/>
      <c r="AS1036" s="598"/>
      <c r="AT1036" s="598"/>
      <c r="AU1036" s="598"/>
      <c r="AV1036" s="598"/>
      <c r="AW1036" s="598"/>
      <c r="AX1036" s="598"/>
      <c r="AY1036" s="598"/>
      <c r="AZ1036" s="598"/>
      <c r="BA1036" s="598"/>
      <c r="BB1036" s="598"/>
      <c r="BC1036" s="598"/>
      <c r="BD1036" s="598"/>
      <c r="BE1036" s="598"/>
      <c r="BF1036" s="598"/>
      <c r="BG1036" s="598"/>
      <c r="BH1036" s="598"/>
      <c r="BI1036" s="598"/>
      <c r="BJ1036" s="598"/>
      <c r="BK1036" s="598"/>
      <c r="BL1036" s="598"/>
      <c r="BM1036" s="598"/>
      <c r="BN1036" s="598"/>
      <c r="BO1036" s="598"/>
      <c r="BP1036" s="598"/>
      <c r="BQ1036" s="598"/>
      <c r="BR1036" s="598"/>
      <c r="BS1036" s="598"/>
      <c r="BT1036" s="1429" t="e">
        <f>BT1027+BT1031+BT1035</f>
        <v>#REF!</v>
      </c>
      <c r="BU1036" s="1429"/>
      <c r="BV1036" s="1429"/>
      <c r="BW1036" s="1429"/>
      <c r="BX1036" s="1429"/>
      <c r="BY1036" s="1429"/>
      <c r="BZ1036" s="1429"/>
      <c r="CA1036" s="1429"/>
      <c r="CB1036" s="1429"/>
      <c r="CC1036" s="1429"/>
      <c r="CD1036" s="598"/>
      <c r="CE1036" s="598"/>
      <c r="CF1036" s="599"/>
    </row>
    <row r="1037" spans="1:84" s="583" customFormat="1" ht="9.9499999999999993" customHeight="1">
      <c r="A1037" s="574"/>
      <c r="B1037" s="574"/>
      <c r="C1037" s="574"/>
      <c r="D1037" s="574"/>
      <c r="E1037" s="574"/>
      <c r="F1037" s="574"/>
      <c r="G1037" s="574"/>
      <c r="H1037" s="574"/>
      <c r="I1037" s="574"/>
      <c r="J1037" s="574"/>
      <c r="K1037" s="574"/>
      <c r="L1037" s="574"/>
      <c r="M1037" s="574"/>
      <c r="N1037" s="574"/>
      <c r="O1037" s="574"/>
      <c r="P1037" s="574"/>
      <c r="Q1037" s="574"/>
      <c r="R1037" s="574"/>
      <c r="S1037" s="574"/>
      <c r="T1037" s="574"/>
      <c r="U1037" s="574"/>
      <c r="V1037" s="574"/>
      <c r="W1037" s="574"/>
      <c r="X1037" s="574"/>
      <c r="Y1037" s="574"/>
      <c r="Z1037" s="574"/>
      <c r="AA1037" s="574"/>
      <c r="AB1037" s="574"/>
      <c r="AC1037" s="574"/>
      <c r="AD1037" s="574"/>
      <c r="AE1037" s="574"/>
      <c r="AF1037" s="574"/>
      <c r="AG1037" s="574"/>
      <c r="AH1037" s="574"/>
      <c r="AI1037" s="574"/>
      <c r="AJ1037" s="574"/>
      <c r="AK1037" s="574"/>
      <c r="AL1037" s="574"/>
      <c r="AM1037" s="574"/>
      <c r="AN1037" s="574"/>
      <c r="AO1037" s="574"/>
      <c r="AP1037" s="574"/>
      <c r="AQ1037" s="574"/>
      <c r="AR1037" s="574"/>
      <c r="AS1037" s="574"/>
      <c r="AT1037" s="574"/>
      <c r="AU1037" s="574"/>
      <c r="AV1037" s="574"/>
      <c r="AW1037" s="574"/>
      <c r="AX1037" s="574"/>
      <c r="AY1037" s="574"/>
      <c r="AZ1037" s="574"/>
      <c r="BA1037" s="574"/>
      <c r="BB1037" s="574"/>
      <c r="BC1037" s="574"/>
      <c r="BD1037" s="574"/>
      <c r="BE1037" s="574"/>
      <c r="BF1037" s="574"/>
      <c r="BG1037" s="574"/>
      <c r="BH1037" s="574"/>
      <c r="BI1037" s="574"/>
      <c r="BJ1037" s="574"/>
      <c r="BK1037" s="574"/>
      <c r="BL1037" s="574"/>
      <c r="BM1037" s="574"/>
      <c r="BN1037" s="574"/>
      <c r="BO1037" s="574"/>
      <c r="BP1037" s="574"/>
      <c r="BQ1037" s="574"/>
      <c r="BR1037" s="574"/>
      <c r="BS1037" s="574"/>
      <c r="BT1037" s="574"/>
      <c r="BU1037" s="574"/>
      <c r="BV1037" s="574"/>
      <c r="BW1037" s="574"/>
      <c r="BX1037" s="574"/>
      <c r="BY1037" s="574"/>
      <c r="BZ1037" s="574"/>
      <c r="CA1037" s="574"/>
      <c r="CB1037" s="574"/>
      <c r="CC1037" s="574"/>
      <c r="CD1037" s="574"/>
      <c r="CE1037" s="574"/>
      <c r="CF1037" s="574"/>
    </row>
    <row r="1038" spans="1:84" s="583" customFormat="1" ht="23.1" customHeight="1" thickBot="1">
      <c r="A1038" s="1446" t="s">
        <v>1095</v>
      </c>
      <c r="B1038" s="1446"/>
      <c r="C1038" s="1446"/>
      <c r="D1038" s="1446"/>
      <c r="E1038" s="1446"/>
      <c r="F1038" s="1446"/>
      <c r="G1038" s="1447">
        <f>G1023+1</f>
        <v>70</v>
      </c>
      <c r="H1038" s="1447"/>
      <c r="I1038" s="1447"/>
      <c r="J1038" s="1448" t="s">
        <v>1096</v>
      </c>
      <c r="K1038" s="1448"/>
      <c r="L1038" s="574"/>
      <c r="M1038" s="574"/>
      <c r="N1038" s="574"/>
      <c r="O1038" s="574"/>
      <c r="P1038" s="574"/>
      <c r="Q1038" s="574"/>
      <c r="R1038" s="574"/>
      <c r="S1038" s="574"/>
      <c r="T1038" s="574"/>
      <c r="U1038" s="574"/>
      <c r="V1038" s="574"/>
      <c r="W1038" s="574"/>
      <c r="X1038" s="574"/>
      <c r="Y1038" s="574"/>
      <c r="Z1038" s="574"/>
      <c r="AA1038" s="574"/>
      <c r="AB1038" s="574"/>
      <c r="AC1038" s="574"/>
      <c r="AD1038" s="574"/>
      <c r="AE1038" s="574"/>
      <c r="AF1038" s="574"/>
      <c r="AG1038" s="574"/>
      <c r="AH1038" s="574"/>
      <c r="AI1038" s="574"/>
      <c r="AJ1038" s="574"/>
      <c r="AK1038" s="574"/>
      <c r="AL1038" s="574"/>
      <c r="AM1038" s="574"/>
      <c r="AN1038" s="574"/>
      <c r="AO1038" s="574"/>
      <c r="AP1038" s="574"/>
      <c r="AQ1038" s="574"/>
      <c r="AR1038" s="574"/>
      <c r="AS1038" s="574"/>
      <c r="AT1038" s="574"/>
      <c r="AU1038" s="574"/>
      <c r="AV1038" s="574"/>
      <c r="AW1038" s="574"/>
      <c r="AX1038" s="574"/>
      <c r="AY1038" s="574"/>
      <c r="AZ1038" s="574"/>
      <c r="BA1038" s="574"/>
      <c r="BB1038" s="574"/>
      <c r="BC1038" s="574"/>
      <c r="BD1038" s="574"/>
      <c r="BE1038" s="574"/>
      <c r="BF1038" s="574"/>
      <c r="BG1038" s="574"/>
      <c r="BH1038" s="574"/>
      <c r="BI1038" s="574"/>
      <c r="BJ1038" s="574"/>
      <c r="BK1038" s="574"/>
      <c r="BL1038" s="574"/>
      <c r="BM1038" s="574"/>
      <c r="BN1038" s="574"/>
      <c r="BO1038" s="574"/>
      <c r="BP1038" s="574"/>
      <c r="BQ1038" s="574"/>
      <c r="BR1038" s="574"/>
      <c r="BS1038" s="574"/>
      <c r="BT1038" s="574"/>
      <c r="BU1038" s="574"/>
      <c r="BV1038" s="574"/>
      <c r="BW1038" s="574"/>
      <c r="BX1038" s="574"/>
      <c r="BY1038" s="574"/>
      <c r="BZ1038" s="574"/>
      <c r="CA1038" s="574"/>
      <c r="CB1038" s="574"/>
      <c r="CC1038" s="574"/>
      <c r="CD1038" s="574"/>
      <c r="CE1038" s="574"/>
      <c r="CF1038" s="574"/>
    </row>
    <row r="1039" spans="1:84" s="583" customFormat="1" ht="23.1" customHeight="1" thickBot="1">
      <c r="A1039" s="1483" t="s">
        <v>1097</v>
      </c>
      <c r="B1039" s="1484"/>
      <c r="C1039" s="1484"/>
      <c r="D1039" s="1484"/>
      <c r="E1039" s="1484"/>
      <c r="F1039" s="1484"/>
      <c r="G1039" s="1484"/>
      <c r="H1039" s="1484"/>
      <c r="I1039" s="581" t="s">
        <v>1209</v>
      </c>
      <c r="J1039" s="581"/>
      <c r="K1039" s="581"/>
      <c r="L1039" s="581"/>
      <c r="M1039" s="581"/>
      <c r="N1039" s="581"/>
      <c r="O1039" s="581"/>
      <c r="P1039" s="581"/>
      <c r="Q1039" s="581"/>
      <c r="R1039" s="581"/>
      <c r="S1039" s="581"/>
      <c r="T1039" s="581"/>
      <c r="U1039" s="581"/>
      <c r="V1039" s="581"/>
      <c r="W1039" s="581"/>
      <c r="X1039" s="581"/>
      <c r="Y1039" s="581"/>
      <c r="Z1039" s="581"/>
      <c r="AA1039" s="581"/>
      <c r="AB1039" s="581"/>
      <c r="AC1039" s="581"/>
      <c r="AD1039" s="581"/>
      <c r="AE1039" s="581"/>
      <c r="AF1039" s="581"/>
      <c r="AG1039" s="581"/>
      <c r="AH1039" s="581"/>
      <c r="AI1039" s="581"/>
      <c r="AJ1039" s="1484" t="s">
        <v>1099</v>
      </c>
      <c r="AK1039" s="1484"/>
      <c r="AL1039" s="1484"/>
      <c r="AM1039" s="1484"/>
      <c r="AN1039" s="1484"/>
      <c r="AO1039" s="1484"/>
      <c r="AP1039" s="1484"/>
      <c r="AQ1039" s="581" t="s">
        <v>1212</v>
      </c>
      <c r="AR1039" s="581"/>
      <c r="AS1039" s="581"/>
      <c r="AT1039" s="581"/>
      <c r="AU1039" s="581"/>
      <c r="AV1039" s="581"/>
      <c r="AW1039" s="581"/>
      <c r="AX1039" s="581"/>
      <c r="AY1039" s="581"/>
      <c r="AZ1039" s="581"/>
      <c r="BA1039" s="581"/>
      <c r="BB1039" s="581"/>
      <c r="BC1039" s="581"/>
      <c r="BD1039" s="581"/>
      <c r="BE1039" s="581"/>
      <c r="BF1039" s="581"/>
      <c r="BG1039" s="581"/>
      <c r="BH1039" s="581"/>
      <c r="BI1039" s="581"/>
      <c r="BJ1039" s="581"/>
      <c r="BK1039" s="581"/>
      <c r="BL1039" s="581"/>
      <c r="BM1039" s="581"/>
      <c r="BN1039" s="581"/>
      <c r="BO1039" s="581"/>
      <c r="BP1039" s="581"/>
      <c r="BQ1039" s="581"/>
      <c r="BR1039" s="581"/>
      <c r="BS1039" s="581"/>
      <c r="BT1039" s="581" t="s">
        <v>1213</v>
      </c>
      <c r="BU1039" s="581"/>
      <c r="BV1039" s="581"/>
      <c r="BW1039" s="581"/>
      <c r="BX1039" s="581"/>
      <c r="BY1039" s="581"/>
      <c r="BZ1039" s="581"/>
      <c r="CA1039" s="581"/>
      <c r="CB1039" s="581"/>
      <c r="CC1039" s="581"/>
      <c r="CD1039" s="581"/>
      <c r="CE1039" s="581"/>
      <c r="CF1039" s="582"/>
    </row>
    <row r="1040" spans="1:84" s="583" customFormat="1" ht="23.1" customHeight="1">
      <c r="A1040" s="584"/>
      <c r="B1040" s="585" t="s">
        <v>1102</v>
      </c>
      <c r="C1040" s="585"/>
      <c r="D1040" s="585"/>
      <c r="E1040" s="585"/>
      <c r="F1040" s="585"/>
      <c r="G1040" s="585"/>
      <c r="H1040" s="585"/>
      <c r="I1040" s="585"/>
      <c r="J1040" s="585"/>
      <c r="K1040" s="585"/>
      <c r="L1040" s="585"/>
      <c r="M1040" s="585"/>
      <c r="N1040" s="585"/>
      <c r="O1040" s="585"/>
      <c r="P1040" s="585"/>
      <c r="Q1040" s="585"/>
      <c r="R1040" s="585"/>
      <c r="S1040" s="585"/>
      <c r="T1040" s="585"/>
      <c r="U1040" s="585"/>
      <c r="V1040" s="585"/>
      <c r="W1040" s="585"/>
      <c r="X1040" s="585"/>
      <c r="Y1040" s="585"/>
      <c r="Z1040" s="585"/>
      <c r="AA1040" s="585"/>
      <c r="AB1040" s="585"/>
      <c r="AC1040" s="585"/>
      <c r="AD1040" s="585"/>
      <c r="AE1040" s="585"/>
      <c r="AF1040" s="585"/>
      <c r="AG1040" s="585"/>
      <c r="AH1040" s="585"/>
      <c r="AI1040" s="585"/>
      <c r="AJ1040" s="585"/>
      <c r="AK1040" s="585"/>
      <c r="AL1040" s="585"/>
      <c r="AM1040" s="585"/>
      <c r="AN1040" s="585"/>
      <c r="AO1040" s="585"/>
      <c r="AP1040" s="585"/>
      <c r="AQ1040" s="585"/>
      <c r="AR1040" s="585"/>
      <c r="AS1040" s="585"/>
      <c r="AT1040" s="585"/>
      <c r="AU1040" s="585"/>
      <c r="AV1040" s="585"/>
      <c r="AW1040" s="585"/>
      <c r="AX1040" s="585"/>
      <c r="AY1040" s="585"/>
      <c r="AZ1040" s="585"/>
      <c r="BA1040" s="585"/>
      <c r="BB1040" s="585"/>
      <c r="BC1040" s="585"/>
      <c r="BD1040" s="585"/>
      <c r="BE1040" s="585"/>
      <c r="BF1040" s="585"/>
      <c r="BG1040" s="585"/>
      <c r="BH1040" s="585"/>
      <c r="BI1040" s="585"/>
      <c r="BJ1040" s="585"/>
      <c r="BK1040" s="585"/>
      <c r="BL1040" s="585"/>
      <c r="BM1040" s="585"/>
      <c r="BN1040" s="585"/>
      <c r="BO1040" s="585"/>
      <c r="BP1040" s="585"/>
      <c r="BQ1040" s="585"/>
      <c r="BR1040" s="585"/>
      <c r="BS1040" s="585"/>
      <c r="BT1040" s="585"/>
      <c r="BU1040" s="585"/>
      <c r="BV1040" s="585"/>
      <c r="BW1040" s="585"/>
      <c r="BX1040" s="585"/>
      <c r="BY1040" s="585"/>
      <c r="BZ1040" s="585"/>
      <c r="CA1040" s="585"/>
      <c r="CB1040" s="585"/>
      <c r="CC1040" s="585"/>
      <c r="CD1040" s="585"/>
      <c r="CE1040" s="585"/>
      <c r="CF1040" s="586"/>
    </row>
    <row r="1041" spans="1:84" s="583" customFormat="1" ht="23.1" customHeight="1">
      <c r="A1041" s="587"/>
      <c r="B1041" s="574"/>
      <c r="C1041" s="574"/>
      <c r="D1041" s="405"/>
      <c r="E1041" s="574"/>
      <c r="F1041" s="422"/>
      <c r="G1041" s="422"/>
      <c r="H1041" s="422"/>
      <c r="I1041" s="422"/>
      <c r="J1041" s="422"/>
      <c r="K1041" s="422"/>
      <c r="L1041" s="422"/>
      <c r="M1041" s="422"/>
      <c r="N1041" s="574"/>
      <c r="O1041" s="574"/>
      <c r="P1041" s="574"/>
      <c r="Q1041" s="574"/>
      <c r="R1041" s="574"/>
      <c r="S1041" s="1430"/>
      <c r="T1041" s="1430"/>
      <c r="U1041" s="1430"/>
      <c r="V1041" s="1430"/>
      <c r="W1041" s="1430"/>
      <c r="X1041" s="1430"/>
      <c r="Y1041" s="1430"/>
      <c r="Z1041" s="1430"/>
      <c r="AA1041" s="574"/>
      <c r="AB1041" s="588"/>
      <c r="AC1041" s="1431"/>
      <c r="AD1041" s="1431"/>
      <c r="AE1041" s="1498"/>
      <c r="AF1041" s="1498"/>
      <c r="AG1041" s="1498"/>
      <c r="AH1041" s="1498"/>
      <c r="AI1041" s="1498"/>
      <c r="AJ1041" s="1498"/>
      <c r="AK1041" s="1498"/>
      <c r="AL1041" s="1498"/>
      <c r="AM1041" s="1431"/>
      <c r="AN1041" s="1431"/>
      <c r="AO1041" s="574"/>
      <c r="AP1041" s="1486"/>
      <c r="AQ1041" s="1486"/>
      <c r="AR1041" s="1486"/>
      <c r="AS1041" s="1486"/>
      <c r="AT1041" s="1486"/>
      <c r="AU1041" s="1486"/>
      <c r="AV1041" s="1486"/>
      <c r="AW1041" s="1486"/>
      <c r="AX1041" s="1486"/>
      <c r="AY1041" s="1486"/>
      <c r="AZ1041" s="1486"/>
      <c r="BA1041" s="1486"/>
      <c r="BB1041" s="1486"/>
      <c r="BC1041" s="1486"/>
      <c r="BD1041" s="574"/>
      <c r="BE1041" s="574"/>
      <c r="BF1041" s="574"/>
      <c r="BG1041" s="574"/>
      <c r="BH1041" s="574"/>
      <c r="BI1041" s="574"/>
      <c r="BJ1041" s="574"/>
      <c r="BK1041" s="574"/>
      <c r="BL1041" s="574"/>
      <c r="BM1041" s="574"/>
      <c r="BN1041" s="574"/>
      <c r="BO1041" s="574"/>
      <c r="BP1041" s="574"/>
      <c r="BQ1041" s="574"/>
      <c r="BR1041" s="574"/>
      <c r="BS1041" s="574"/>
      <c r="BT1041" s="574"/>
      <c r="BU1041" s="574"/>
      <c r="BV1041" s="574"/>
      <c r="BW1041" s="574"/>
      <c r="BX1041" s="574"/>
      <c r="BY1041" s="574"/>
      <c r="BZ1041" s="574"/>
      <c r="CA1041" s="574"/>
      <c r="CB1041" s="574"/>
      <c r="CC1041" s="574"/>
      <c r="CD1041" s="574"/>
      <c r="CE1041" s="574"/>
      <c r="CF1041" s="589"/>
    </row>
    <row r="1042" spans="1:84" s="583" customFormat="1" ht="23.1" customHeight="1">
      <c r="A1042" s="584"/>
      <c r="B1042" s="585"/>
      <c r="C1042" s="585"/>
      <c r="D1042" s="585"/>
      <c r="E1042" s="585"/>
      <c r="F1042" s="585"/>
      <c r="G1042" s="585"/>
      <c r="H1042" s="585"/>
      <c r="I1042" s="585"/>
      <c r="J1042" s="585"/>
      <c r="K1042" s="585"/>
      <c r="L1042" s="585"/>
      <c r="M1042" s="585"/>
      <c r="N1042" s="585"/>
      <c r="O1042" s="585"/>
      <c r="P1042" s="585"/>
      <c r="Q1042" s="585"/>
      <c r="R1042" s="585"/>
      <c r="S1042" s="585"/>
      <c r="T1042" s="585"/>
      <c r="U1042" s="585"/>
      <c r="V1042" s="590"/>
      <c r="W1042" s="590"/>
      <c r="X1042" s="590"/>
      <c r="Y1042" s="590"/>
      <c r="Z1042" s="590"/>
      <c r="AA1042" s="590"/>
      <c r="AB1042" s="590"/>
      <c r="AC1042" s="590"/>
      <c r="AD1042" s="574"/>
      <c r="AE1042" s="1440">
        <v>250388000</v>
      </c>
      <c r="AF1042" s="1440"/>
      <c r="AG1042" s="1440"/>
      <c r="AH1042" s="1440"/>
      <c r="AI1042" s="1440"/>
      <c r="AJ1042" s="1440"/>
      <c r="AK1042" s="1440"/>
      <c r="AL1042" s="1440"/>
      <c r="AM1042" s="1440"/>
      <c r="AN1042" s="1440"/>
      <c r="AO1042" s="1440"/>
      <c r="AP1042" s="1440"/>
      <c r="AQ1042" s="1440"/>
      <c r="AR1042" s="1440"/>
      <c r="AS1042" s="1440"/>
      <c r="AT1042" s="1431" t="s">
        <v>446</v>
      </c>
      <c r="AU1042" s="1431"/>
      <c r="AV1042" s="1441" t="s">
        <v>1103</v>
      </c>
      <c r="AW1042" s="1441"/>
      <c r="AX1042" s="1442">
        <v>2362</v>
      </c>
      <c r="AY1042" s="1442"/>
      <c r="AZ1042" s="1442"/>
      <c r="BA1042" s="1442"/>
      <c r="BB1042" s="1442"/>
      <c r="BC1042" s="1442"/>
      <c r="BD1042" s="585"/>
      <c r="BE1042" s="1431" t="s">
        <v>446</v>
      </c>
      <c r="BF1042" s="1431"/>
      <c r="BG1042" s="585"/>
      <c r="BH1042" s="591" t="s">
        <v>1104</v>
      </c>
      <c r="BI1042" s="585"/>
      <c r="BJ1042" s="585"/>
      <c r="BK1042" s="585"/>
      <c r="BL1042" s="1431" t="s">
        <v>1105</v>
      </c>
      <c r="BM1042" s="1431"/>
      <c r="BN1042" s="1431"/>
      <c r="BO1042" s="585"/>
      <c r="BP1042" s="1431" t="s">
        <v>41</v>
      </c>
      <c r="BQ1042" s="1431"/>
      <c r="BR1042" s="585"/>
      <c r="BS1042" s="585"/>
      <c r="BT1042" s="1437">
        <f>INT(AE1042*AX1042*10^-7)</f>
        <v>59141</v>
      </c>
      <c r="BU1042" s="1437"/>
      <c r="BV1042" s="1437"/>
      <c r="BW1042" s="1437"/>
      <c r="BX1042" s="1437"/>
      <c r="BY1042" s="1437"/>
      <c r="BZ1042" s="1437"/>
      <c r="CA1042" s="1437"/>
      <c r="CB1042" s="1437"/>
      <c r="CC1042" s="1437"/>
      <c r="CD1042" s="585"/>
      <c r="CE1042" s="585"/>
      <c r="CF1042" s="586"/>
    </row>
    <row r="1043" spans="1:84" s="583" customFormat="1" ht="23.1" customHeight="1">
      <c r="A1043" s="592"/>
      <c r="B1043" s="593" t="s">
        <v>1106</v>
      </c>
      <c r="C1043" s="593"/>
      <c r="D1043" s="593"/>
      <c r="E1043" s="593"/>
      <c r="F1043" s="593"/>
      <c r="G1043" s="593"/>
      <c r="H1043" s="593"/>
      <c r="I1043" s="593"/>
      <c r="J1043" s="593"/>
      <c r="K1043" s="593"/>
      <c r="L1043" s="593"/>
      <c r="M1043" s="593"/>
      <c r="N1043" s="593"/>
      <c r="O1043" s="593"/>
      <c r="P1043" s="593"/>
      <c r="Q1043" s="593"/>
      <c r="R1043" s="593"/>
      <c r="S1043" s="593"/>
      <c r="T1043" s="593"/>
      <c r="U1043" s="593"/>
      <c r="V1043" s="593"/>
      <c r="W1043" s="593"/>
      <c r="X1043" s="593"/>
      <c r="Y1043" s="593"/>
      <c r="Z1043" s="593"/>
      <c r="AA1043" s="593"/>
      <c r="AB1043" s="593"/>
      <c r="AC1043" s="593"/>
      <c r="AD1043" s="593"/>
      <c r="AE1043" s="593"/>
      <c r="AF1043" s="593"/>
      <c r="AG1043" s="593"/>
      <c r="AH1043" s="593"/>
      <c r="AI1043" s="593"/>
      <c r="AJ1043" s="593"/>
      <c r="AK1043" s="593"/>
      <c r="AL1043" s="593"/>
      <c r="AM1043" s="593"/>
      <c r="AN1043" s="593"/>
      <c r="AO1043" s="593"/>
      <c r="AP1043" s="593"/>
      <c r="AQ1043" s="593"/>
      <c r="AR1043" s="593"/>
      <c r="AS1043" s="593"/>
      <c r="AT1043" s="593"/>
      <c r="AU1043" s="593"/>
      <c r="AV1043" s="593"/>
      <c r="AW1043" s="593"/>
      <c r="AX1043" s="593"/>
      <c r="AY1043" s="593"/>
      <c r="AZ1043" s="593"/>
      <c r="BA1043" s="593"/>
      <c r="BB1043" s="593"/>
      <c r="BC1043" s="593"/>
      <c r="BD1043" s="593"/>
      <c r="BE1043" s="593"/>
      <c r="BF1043" s="593"/>
      <c r="BG1043" s="593"/>
      <c r="BH1043" s="593"/>
      <c r="BI1043" s="593"/>
      <c r="BJ1043" s="593"/>
      <c r="BK1043" s="593"/>
      <c r="BL1043" s="593"/>
      <c r="BM1043" s="593"/>
      <c r="BN1043" s="593"/>
      <c r="BO1043" s="593"/>
      <c r="BP1043" s="593"/>
      <c r="BQ1043" s="593"/>
      <c r="BR1043" s="593"/>
      <c r="BS1043" s="593"/>
      <c r="BT1043" s="594"/>
      <c r="BU1043" s="594"/>
      <c r="BV1043" s="594"/>
      <c r="BW1043" s="594"/>
      <c r="BX1043" s="594"/>
      <c r="BY1043" s="594"/>
      <c r="BZ1043" s="594"/>
      <c r="CA1043" s="594"/>
      <c r="CB1043" s="594"/>
      <c r="CC1043" s="594"/>
      <c r="CD1043" s="593"/>
      <c r="CE1043" s="593"/>
      <c r="CF1043" s="595"/>
    </row>
    <row r="1044" spans="1:84" s="583" customFormat="1" ht="23.1" customHeight="1">
      <c r="A1044" s="584"/>
      <c r="B1044" s="585"/>
      <c r="C1044" s="585"/>
      <c r="D1044" s="596" t="s">
        <v>268</v>
      </c>
      <c r="E1044" s="585"/>
      <c r="F1044" s="585"/>
      <c r="G1044" s="585"/>
      <c r="H1044" s="585"/>
      <c r="I1044" s="585"/>
      <c r="J1044" s="585"/>
      <c r="K1044" s="585"/>
      <c r="L1044" s="585"/>
      <c r="M1044" s="585"/>
      <c r="N1044" s="585"/>
      <c r="O1044" s="585"/>
      <c r="P1044" s="585"/>
      <c r="Q1044" s="585"/>
      <c r="R1044" s="585"/>
      <c r="S1044" s="585"/>
      <c r="T1044" s="574"/>
      <c r="U1044" s="574"/>
      <c r="V1044" s="1435">
        <f>HLOOKUP(D1044,$CJ$1:$CM$3,3,0)</f>
        <v>283297</v>
      </c>
      <c r="W1044" s="1435"/>
      <c r="X1044" s="1435"/>
      <c r="Y1044" s="1435"/>
      <c r="Z1044" s="1435"/>
      <c r="AA1044" s="1435"/>
      <c r="AB1044" s="1435"/>
      <c r="AC1044" s="1435"/>
      <c r="AD1044" s="1435"/>
      <c r="AE1044" s="1435"/>
      <c r="AF1044" s="1431" t="s">
        <v>446</v>
      </c>
      <c r="AG1044" s="1431"/>
      <c r="AH1044" s="574"/>
      <c r="AI1044" s="1436" t="s">
        <v>1107</v>
      </c>
      <c r="AJ1044" s="1436"/>
      <c r="AK1044" s="1436"/>
      <c r="AL1044" s="1436"/>
      <c r="AM1044" s="585"/>
      <c r="AN1044" s="1431" t="s">
        <v>446</v>
      </c>
      <c r="AO1044" s="1431"/>
      <c r="AP1044" s="585"/>
      <c r="AQ1044" s="1436" t="s">
        <v>1108</v>
      </c>
      <c r="AR1044" s="1436"/>
      <c r="AS1044" s="1436"/>
      <c r="AT1044" s="1436"/>
      <c r="AU1044" s="1436"/>
      <c r="AV1044" s="422"/>
      <c r="AW1044" s="1431" t="s">
        <v>446</v>
      </c>
      <c r="AX1044" s="1431"/>
      <c r="AY1044" s="440"/>
      <c r="AZ1044" s="1436" t="s">
        <v>1109</v>
      </c>
      <c r="BA1044" s="1436"/>
      <c r="BB1044" s="1436"/>
      <c r="BC1044" s="1436"/>
      <c r="BD1044" s="1436"/>
      <c r="BE1044" s="585"/>
      <c r="BF1044" s="1431" t="s">
        <v>446</v>
      </c>
      <c r="BG1044" s="1431"/>
      <c r="BH1044" s="1431">
        <v>1</v>
      </c>
      <c r="BI1044" s="1431"/>
      <c r="BJ1044" s="1431"/>
      <c r="BK1044" s="585"/>
      <c r="BL1044" s="585" t="s">
        <v>366</v>
      </c>
      <c r="BM1044" s="585"/>
      <c r="BN1044" s="585"/>
      <c r="BO1044" s="585"/>
      <c r="BP1044" s="1431" t="s">
        <v>41</v>
      </c>
      <c r="BQ1044" s="1431"/>
      <c r="BR1044" s="585"/>
      <c r="BS1044" s="585"/>
      <c r="BT1044" s="1432">
        <f>INT(V1044/8*16/12*25/20*BH1044)</f>
        <v>59020</v>
      </c>
      <c r="BU1044" s="1432"/>
      <c r="BV1044" s="1432"/>
      <c r="BW1044" s="1432"/>
      <c r="BX1044" s="1432"/>
      <c r="BY1044" s="1432"/>
      <c r="BZ1044" s="1432"/>
      <c r="CA1044" s="1432"/>
      <c r="CB1044" s="1432"/>
      <c r="CC1044" s="1432"/>
      <c r="CD1044" s="585"/>
      <c r="CE1044" s="585"/>
      <c r="CF1044" s="586"/>
    </row>
    <row r="1045" spans="1:84" s="583" customFormat="1" ht="23.1" customHeight="1">
      <c r="A1045" s="584"/>
      <c r="B1045" s="585"/>
      <c r="C1045" s="585"/>
      <c r="D1045" s="585"/>
      <c r="E1045" s="585"/>
      <c r="F1045" s="585"/>
      <c r="G1045" s="585"/>
      <c r="H1045" s="585"/>
      <c r="I1045" s="585"/>
      <c r="J1045" s="585"/>
      <c r="K1045" s="585"/>
      <c r="L1045" s="585"/>
      <c r="M1045" s="585"/>
      <c r="N1045" s="585"/>
      <c r="O1045" s="585"/>
      <c r="P1045" s="574"/>
      <c r="Q1045" s="574"/>
      <c r="R1045" s="574"/>
      <c r="S1045" s="574"/>
      <c r="T1045" s="574"/>
      <c r="U1045" s="574"/>
      <c r="V1045" s="574"/>
      <c r="W1045" s="574"/>
      <c r="X1045" s="574"/>
      <c r="Y1045" s="574"/>
      <c r="Z1045" s="574"/>
      <c r="AA1045" s="574"/>
      <c r="AB1045" s="574"/>
      <c r="AC1045" s="574"/>
      <c r="AD1045" s="574"/>
      <c r="AE1045" s="574"/>
      <c r="AF1045" s="574"/>
      <c r="AG1045" s="574"/>
      <c r="AH1045" s="574"/>
      <c r="AI1045" s="574"/>
      <c r="AJ1045" s="574"/>
      <c r="AK1045" s="574"/>
      <c r="AL1045" s="574"/>
      <c r="AM1045" s="574"/>
      <c r="AN1045" s="574"/>
      <c r="AO1045" s="574"/>
      <c r="AP1045" s="574"/>
      <c r="AQ1045" s="574"/>
      <c r="AR1045" s="574"/>
      <c r="AS1045" s="574"/>
      <c r="AT1045" s="574"/>
      <c r="AU1045" s="574"/>
      <c r="AV1045" s="574"/>
      <c r="AW1045" s="574"/>
      <c r="AX1045" s="574"/>
      <c r="AY1045" s="574"/>
      <c r="AZ1045" s="574"/>
      <c r="BA1045" s="574"/>
      <c r="BB1045" s="574"/>
      <c r="BC1045" s="574"/>
      <c r="BD1045" s="574"/>
      <c r="BE1045" s="574"/>
      <c r="BF1045" s="574"/>
      <c r="BG1045" s="585"/>
      <c r="BH1045" s="585"/>
      <c r="BI1045" s="585"/>
      <c r="BJ1045" s="585"/>
      <c r="BK1045" s="585"/>
      <c r="BL1045" s="585"/>
      <c r="BM1045" s="585"/>
      <c r="BN1045" s="585"/>
      <c r="BO1045" s="585"/>
      <c r="BP1045" s="1431"/>
      <c r="BQ1045" s="1431"/>
      <c r="BR1045" s="585"/>
      <c r="BS1045" s="585"/>
      <c r="BT1045" s="1432"/>
      <c r="BU1045" s="1432"/>
      <c r="BV1045" s="1432"/>
      <c r="BW1045" s="1432"/>
      <c r="BX1045" s="1432"/>
      <c r="BY1045" s="1432"/>
      <c r="BZ1045" s="1432"/>
      <c r="CA1045" s="1432"/>
      <c r="CB1045" s="1432"/>
      <c r="CC1045" s="1432"/>
      <c r="CD1045" s="585"/>
      <c r="CE1045" s="585"/>
      <c r="CF1045" s="586"/>
    </row>
    <row r="1046" spans="1:84" s="583" customFormat="1" ht="23.1" customHeight="1">
      <c r="A1046" s="584"/>
      <c r="B1046" s="585"/>
      <c r="C1046" s="585"/>
      <c r="D1046" s="585"/>
      <c r="E1046" s="585"/>
      <c r="F1046" s="585"/>
      <c r="G1046" s="585"/>
      <c r="H1046" s="585"/>
      <c r="I1046" s="585"/>
      <c r="J1046" s="585"/>
      <c r="K1046" s="585"/>
      <c r="L1046" s="585"/>
      <c r="M1046" s="585"/>
      <c r="N1046" s="585"/>
      <c r="O1046" s="585"/>
      <c r="P1046" s="585"/>
      <c r="Q1046" s="585"/>
      <c r="R1046" s="585"/>
      <c r="S1046" s="585"/>
      <c r="T1046" s="585"/>
      <c r="U1046" s="585"/>
      <c r="V1046" s="585"/>
      <c r="W1046" s="585"/>
      <c r="X1046" s="585"/>
      <c r="Y1046" s="585"/>
      <c r="Z1046" s="585"/>
      <c r="AA1046" s="585"/>
      <c r="AB1046" s="585"/>
      <c r="AC1046" s="585"/>
      <c r="AD1046" s="574"/>
      <c r="AE1046" s="574"/>
      <c r="AF1046" s="574"/>
      <c r="AG1046" s="574"/>
      <c r="AH1046" s="574"/>
      <c r="AI1046" s="574"/>
      <c r="AJ1046" s="574"/>
      <c r="AK1046" s="574"/>
      <c r="AL1046" s="574"/>
      <c r="AM1046" s="574"/>
      <c r="AN1046" s="574"/>
      <c r="AO1046" s="574"/>
      <c r="AP1046" s="574"/>
      <c r="AQ1046" s="574"/>
      <c r="AR1046" s="574"/>
      <c r="AS1046" s="585"/>
      <c r="AT1046" s="590"/>
      <c r="AU1046" s="590"/>
      <c r="AV1046" s="585"/>
      <c r="AW1046" s="585"/>
      <c r="AX1046" s="585"/>
      <c r="AY1046" s="585"/>
      <c r="AZ1046" s="585"/>
      <c r="BA1046" s="585"/>
      <c r="BB1046" s="585"/>
      <c r="BC1046" s="585"/>
      <c r="BD1046" s="585"/>
      <c r="BE1046" s="585"/>
      <c r="BF1046" s="585"/>
      <c r="BG1046" s="585"/>
      <c r="BH1046" s="585"/>
      <c r="BI1046" s="585"/>
      <c r="BJ1046" s="585"/>
      <c r="BK1046" s="585"/>
      <c r="BL1046" s="585"/>
      <c r="BM1046" s="585"/>
      <c r="BN1046" s="585"/>
      <c r="BO1046" s="585"/>
      <c r="BP1046" s="1431" t="s">
        <v>41</v>
      </c>
      <c r="BQ1046" s="1431"/>
      <c r="BR1046" s="585"/>
      <c r="BS1046" s="585"/>
      <c r="BT1046" s="1434">
        <f>BT1044+BT1045</f>
        <v>59020</v>
      </c>
      <c r="BU1046" s="1434"/>
      <c r="BV1046" s="1434"/>
      <c r="BW1046" s="1434"/>
      <c r="BX1046" s="1434"/>
      <c r="BY1046" s="1434"/>
      <c r="BZ1046" s="1434"/>
      <c r="CA1046" s="1434"/>
      <c r="CB1046" s="1434"/>
      <c r="CC1046" s="1434"/>
      <c r="CD1046" s="585"/>
      <c r="CE1046" s="585"/>
      <c r="CF1046" s="586"/>
    </row>
    <row r="1047" spans="1:84" s="583" customFormat="1" ht="23.1" customHeight="1">
      <c r="A1047" s="592"/>
      <c r="B1047" s="593" t="s">
        <v>1110</v>
      </c>
      <c r="C1047" s="593"/>
      <c r="D1047" s="593"/>
      <c r="E1047" s="593"/>
      <c r="F1047" s="593"/>
      <c r="G1047" s="593"/>
      <c r="H1047" s="593"/>
      <c r="I1047" s="593"/>
      <c r="J1047" s="593"/>
      <c r="K1047" s="593"/>
      <c r="L1047" s="593"/>
      <c r="M1047" s="593"/>
      <c r="N1047" s="593"/>
      <c r="O1047" s="593"/>
      <c r="P1047" s="593"/>
      <c r="Q1047" s="593"/>
      <c r="R1047" s="593"/>
      <c r="S1047" s="593"/>
      <c r="T1047" s="593"/>
      <c r="U1047" s="593"/>
      <c r="V1047" s="593"/>
      <c r="W1047" s="593"/>
      <c r="X1047" s="593"/>
      <c r="Y1047" s="593"/>
      <c r="Z1047" s="593"/>
      <c r="AA1047" s="593"/>
      <c r="AB1047" s="593"/>
      <c r="AC1047" s="593"/>
      <c r="AD1047" s="593"/>
      <c r="AE1047" s="593"/>
      <c r="AF1047" s="593"/>
      <c r="AG1047" s="593"/>
      <c r="AH1047" s="593"/>
      <c r="AI1047" s="593"/>
      <c r="AJ1047" s="593"/>
      <c r="AK1047" s="593"/>
      <c r="AL1047" s="593"/>
      <c r="AM1047" s="593"/>
      <c r="AN1047" s="593"/>
      <c r="AO1047" s="593"/>
      <c r="AP1047" s="593"/>
      <c r="AQ1047" s="593"/>
      <c r="AR1047" s="593"/>
      <c r="AS1047" s="593"/>
      <c r="AT1047" s="593"/>
      <c r="AU1047" s="593"/>
      <c r="AV1047" s="593"/>
      <c r="AW1047" s="593"/>
      <c r="AX1047" s="593"/>
      <c r="AY1047" s="593"/>
      <c r="AZ1047" s="593"/>
      <c r="BA1047" s="593"/>
      <c r="BB1047" s="593"/>
      <c r="BC1047" s="593"/>
      <c r="BD1047" s="593"/>
      <c r="BE1047" s="593"/>
      <c r="BF1047" s="593"/>
      <c r="BG1047" s="593"/>
      <c r="BH1047" s="593"/>
      <c r="BI1047" s="593"/>
      <c r="BJ1047" s="593"/>
      <c r="BK1047" s="593"/>
      <c r="BL1047" s="593"/>
      <c r="BM1047" s="593"/>
      <c r="BN1047" s="593"/>
      <c r="BO1047" s="593"/>
      <c r="BP1047" s="593"/>
      <c r="BQ1047" s="593"/>
      <c r="BR1047" s="593"/>
      <c r="BS1047" s="593"/>
      <c r="BT1047" s="593"/>
      <c r="BU1047" s="593"/>
      <c r="BV1047" s="593"/>
      <c r="BW1047" s="593"/>
      <c r="BX1047" s="593"/>
      <c r="BY1047" s="593"/>
      <c r="BZ1047" s="593"/>
      <c r="CA1047" s="593"/>
      <c r="CB1047" s="593"/>
      <c r="CC1047" s="593"/>
      <c r="CD1047" s="593"/>
      <c r="CE1047" s="593"/>
      <c r="CF1047" s="595"/>
    </row>
    <row r="1048" spans="1:84" s="583" customFormat="1" ht="23.1" customHeight="1">
      <c r="A1048" s="584"/>
      <c r="B1048" s="585"/>
      <c r="C1048" s="585"/>
      <c r="D1048" s="596" t="s">
        <v>1094</v>
      </c>
      <c r="E1048" s="585"/>
      <c r="F1048" s="585"/>
      <c r="G1048" s="585"/>
      <c r="H1048" s="585"/>
      <c r="I1048" s="585"/>
      <c r="J1048" s="585"/>
      <c r="K1048" s="585"/>
      <c r="L1048" s="585"/>
      <c r="M1048" s="585"/>
      <c r="N1048" s="585"/>
      <c r="O1048" s="585"/>
      <c r="P1048" s="585"/>
      <c r="Q1048" s="585"/>
      <c r="R1048" s="585"/>
      <c r="S1048" s="585"/>
      <c r="T1048" s="585"/>
      <c r="U1048" s="585"/>
      <c r="V1048" s="585"/>
      <c r="W1048" s="585"/>
      <c r="X1048" s="585"/>
      <c r="Y1048" s="585"/>
      <c r="Z1048" s="585"/>
      <c r="AA1048" s="585"/>
      <c r="AB1048" s="585"/>
      <c r="AC1048" s="585"/>
      <c r="AD1048" s="585"/>
      <c r="AE1048" s="585"/>
      <c r="AF1048" s="585"/>
      <c r="AG1048" s="585"/>
      <c r="AH1048" s="585"/>
      <c r="AI1048" s="585"/>
      <c r="AJ1048" s="585"/>
      <c r="AK1048" s="585"/>
      <c r="AL1048" s="585"/>
      <c r="AM1048" s="585"/>
      <c r="AN1048" s="585"/>
      <c r="AO1048" s="585"/>
      <c r="AP1048" s="585"/>
      <c r="AQ1048" s="585"/>
      <c r="AR1048" s="422"/>
      <c r="AS1048" s="1435" t="e">
        <f>HLOOKUP(D1048,$CN$1:$CO$3,3,0)</f>
        <v>#REF!</v>
      </c>
      <c r="AT1048" s="1435"/>
      <c r="AU1048" s="1435"/>
      <c r="AV1048" s="1435"/>
      <c r="AW1048" s="1435"/>
      <c r="AX1048" s="1435"/>
      <c r="AY1048" s="1435"/>
      <c r="AZ1048" s="1435"/>
      <c r="BA1048" s="1435"/>
      <c r="BB1048" s="1435"/>
      <c r="BC1048" s="585"/>
      <c r="BD1048" s="1431" t="s">
        <v>446</v>
      </c>
      <c r="BE1048" s="1431"/>
      <c r="BF1048" s="585"/>
      <c r="BG1048" s="1431">
        <v>13</v>
      </c>
      <c r="BH1048" s="1431"/>
      <c r="BI1048" s="1431"/>
      <c r="BJ1048" s="1431"/>
      <c r="BK1048" s="1431"/>
      <c r="BL1048" s="585" t="s">
        <v>1111</v>
      </c>
      <c r="BM1048" s="585"/>
      <c r="BN1048" s="585"/>
      <c r="BO1048" s="585"/>
      <c r="BP1048" s="1431" t="s">
        <v>41</v>
      </c>
      <c r="BQ1048" s="1431"/>
      <c r="BR1048" s="585"/>
      <c r="BS1048" s="585"/>
      <c r="BT1048" s="1432" t="e">
        <f>INT(AS1048*BG1048)</f>
        <v>#REF!</v>
      </c>
      <c r="BU1048" s="1432"/>
      <c r="BV1048" s="1432"/>
      <c r="BW1048" s="1432"/>
      <c r="BX1048" s="1432"/>
      <c r="BY1048" s="1432"/>
      <c r="BZ1048" s="1432"/>
      <c r="CA1048" s="1432"/>
      <c r="CB1048" s="1432"/>
      <c r="CC1048" s="1432"/>
      <c r="CD1048" s="585"/>
      <c r="CE1048" s="585"/>
      <c r="CF1048" s="586"/>
    </row>
    <row r="1049" spans="1:84" s="583" customFormat="1" ht="23.1" customHeight="1">
      <c r="A1049" s="584"/>
      <c r="B1049" s="585"/>
      <c r="C1049" s="585"/>
      <c r="D1049" s="591" t="str">
        <f>"잡재료 (주연료의 "&amp;BG1049&amp;"%) :"</f>
        <v>잡재료 (주연료의 7%) :</v>
      </c>
      <c r="E1049" s="585"/>
      <c r="F1049" s="585"/>
      <c r="G1049" s="585"/>
      <c r="H1049" s="585"/>
      <c r="I1049" s="585"/>
      <c r="J1049" s="585"/>
      <c r="K1049" s="585"/>
      <c r="L1049" s="585"/>
      <c r="M1049" s="585"/>
      <c r="N1049" s="585"/>
      <c r="O1049" s="585"/>
      <c r="P1049" s="585"/>
      <c r="Q1049" s="585"/>
      <c r="R1049" s="585"/>
      <c r="S1049" s="585"/>
      <c r="T1049" s="585"/>
      <c r="U1049" s="585"/>
      <c r="V1049" s="585"/>
      <c r="W1049" s="585"/>
      <c r="X1049" s="585"/>
      <c r="Y1049" s="585"/>
      <c r="Z1049" s="585"/>
      <c r="AA1049" s="585"/>
      <c r="AB1049" s="585"/>
      <c r="AC1049" s="585"/>
      <c r="AD1049" s="585"/>
      <c r="AE1049" s="585"/>
      <c r="AF1049" s="585"/>
      <c r="AG1049" s="585"/>
      <c r="AH1049" s="585"/>
      <c r="AI1049" s="585"/>
      <c r="AJ1049" s="585"/>
      <c r="AK1049" s="585"/>
      <c r="AL1049" s="585"/>
      <c r="AM1049" s="585"/>
      <c r="AN1049" s="585"/>
      <c r="AO1049" s="585"/>
      <c r="AP1049" s="585"/>
      <c r="AQ1049" s="585"/>
      <c r="AR1049" s="422" t="e">
        <f>BT1048</f>
        <v>#REF!</v>
      </c>
      <c r="AS1049" s="1430" t="e">
        <f>BT1048</f>
        <v>#REF!</v>
      </c>
      <c r="AT1049" s="1430"/>
      <c r="AU1049" s="1430"/>
      <c r="AV1049" s="1430"/>
      <c r="AW1049" s="1430"/>
      <c r="AX1049" s="1430"/>
      <c r="AY1049" s="1430"/>
      <c r="AZ1049" s="1430"/>
      <c r="BA1049" s="1430"/>
      <c r="BB1049" s="1430"/>
      <c r="BC1049" s="585"/>
      <c r="BD1049" s="1431" t="s">
        <v>446</v>
      </c>
      <c r="BE1049" s="1431"/>
      <c r="BF1049" s="585"/>
      <c r="BG1049" s="1431">
        <v>7</v>
      </c>
      <c r="BH1049" s="1431"/>
      <c r="BI1049" s="1431"/>
      <c r="BJ1049" s="1431"/>
      <c r="BK1049" s="1431"/>
      <c r="BL1049" s="585" t="s">
        <v>1112</v>
      </c>
      <c r="BM1049" s="585"/>
      <c r="BN1049" s="585"/>
      <c r="BO1049" s="585"/>
      <c r="BP1049" s="1431" t="s">
        <v>41</v>
      </c>
      <c r="BQ1049" s="1431"/>
      <c r="BR1049" s="585"/>
      <c r="BS1049" s="585"/>
      <c r="BT1049" s="1432" t="e">
        <f>INT(AS1049*BG1049/100)</f>
        <v>#REF!</v>
      </c>
      <c r="BU1049" s="1432"/>
      <c r="BV1049" s="1432"/>
      <c r="BW1049" s="1432"/>
      <c r="BX1049" s="1432"/>
      <c r="BY1049" s="1432"/>
      <c r="BZ1049" s="1432"/>
      <c r="CA1049" s="1432"/>
      <c r="CB1049" s="1432"/>
      <c r="CC1049" s="1432"/>
      <c r="CD1049" s="585"/>
      <c r="CE1049" s="585"/>
      <c r="CF1049" s="586"/>
    </row>
    <row r="1050" spans="1:84" s="583" customFormat="1" ht="23.1" customHeight="1" thickBot="1">
      <c r="A1050" s="584"/>
      <c r="B1050" s="585"/>
      <c r="C1050" s="585"/>
      <c r="D1050" s="585"/>
      <c r="E1050" s="585"/>
      <c r="F1050" s="585"/>
      <c r="G1050" s="585"/>
      <c r="H1050" s="585"/>
      <c r="I1050" s="585"/>
      <c r="J1050" s="585"/>
      <c r="K1050" s="585"/>
      <c r="L1050" s="585"/>
      <c r="M1050" s="585"/>
      <c r="N1050" s="585"/>
      <c r="O1050" s="585"/>
      <c r="P1050" s="585"/>
      <c r="Q1050" s="585"/>
      <c r="R1050" s="585"/>
      <c r="S1050" s="585"/>
      <c r="T1050" s="585"/>
      <c r="U1050" s="585"/>
      <c r="V1050" s="585"/>
      <c r="W1050" s="585"/>
      <c r="X1050" s="585"/>
      <c r="Y1050" s="585"/>
      <c r="Z1050" s="585"/>
      <c r="AA1050" s="585"/>
      <c r="AB1050" s="585"/>
      <c r="AC1050" s="585"/>
      <c r="AD1050" s="585"/>
      <c r="AE1050" s="585"/>
      <c r="AF1050" s="585"/>
      <c r="AG1050" s="585"/>
      <c r="AH1050" s="585"/>
      <c r="AI1050" s="585"/>
      <c r="AJ1050" s="585"/>
      <c r="AK1050" s="585"/>
      <c r="AL1050" s="585"/>
      <c r="AM1050" s="585"/>
      <c r="AN1050" s="585"/>
      <c r="AO1050" s="585"/>
      <c r="AP1050" s="585"/>
      <c r="AQ1050" s="585"/>
      <c r="AR1050" s="585"/>
      <c r="AS1050" s="585"/>
      <c r="AT1050" s="585"/>
      <c r="AU1050" s="585"/>
      <c r="AV1050" s="585"/>
      <c r="AW1050" s="585"/>
      <c r="AX1050" s="585"/>
      <c r="AY1050" s="585"/>
      <c r="AZ1050" s="585"/>
      <c r="BA1050" s="585"/>
      <c r="BB1050" s="585"/>
      <c r="BC1050" s="585"/>
      <c r="BD1050" s="585"/>
      <c r="BE1050" s="585"/>
      <c r="BF1050" s="585"/>
      <c r="BG1050" s="585"/>
      <c r="BH1050" s="585"/>
      <c r="BI1050" s="585"/>
      <c r="BJ1050" s="585"/>
      <c r="BK1050" s="585"/>
      <c r="BL1050" s="585"/>
      <c r="BM1050" s="585"/>
      <c r="BN1050" s="585"/>
      <c r="BO1050" s="585"/>
      <c r="BP1050" s="1431" t="s">
        <v>41</v>
      </c>
      <c r="BQ1050" s="1431"/>
      <c r="BR1050" s="585"/>
      <c r="BS1050" s="585"/>
      <c r="BT1050" s="1433" t="e">
        <f>BT1048+BT1049</f>
        <v>#REF!</v>
      </c>
      <c r="BU1050" s="1433"/>
      <c r="BV1050" s="1433"/>
      <c r="BW1050" s="1433"/>
      <c r="BX1050" s="1433"/>
      <c r="BY1050" s="1433"/>
      <c r="BZ1050" s="1433"/>
      <c r="CA1050" s="1433"/>
      <c r="CB1050" s="1433"/>
      <c r="CC1050" s="1433"/>
      <c r="CD1050" s="585"/>
      <c r="CE1050" s="585"/>
      <c r="CF1050" s="586"/>
    </row>
    <row r="1051" spans="1:84" s="583" customFormat="1" ht="23.1" customHeight="1" thickBot="1">
      <c r="A1051" s="597"/>
      <c r="B1051" s="598" t="s">
        <v>1113</v>
      </c>
      <c r="C1051" s="598"/>
      <c r="D1051" s="598"/>
      <c r="E1051" s="598"/>
      <c r="F1051" s="598"/>
      <c r="G1051" s="598"/>
      <c r="H1051" s="598"/>
      <c r="I1051" s="598"/>
      <c r="J1051" s="598"/>
      <c r="K1051" s="598"/>
      <c r="L1051" s="598"/>
      <c r="M1051" s="598"/>
      <c r="N1051" s="598"/>
      <c r="O1051" s="598"/>
      <c r="P1051" s="598"/>
      <c r="Q1051" s="598"/>
      <c r="R1051" s="598"/>
      <c r="S1051" s="598"/>
      <c r="T1051" s="598"/>
      <c r="U1051" s="598"/>
      <c r="V1051" s="598"/>
      <c r="W1051" s="598"/>
      <c r="X1051" s="598"/>
      <c r="Y1051" s="598"/>
      <c r="Z1051" s="598"/>
      <c r="AA1051" s="598"/>
      <c r="AB1051" s="598"/>
      <c r="AC1051" s="598"/>
      <c r="AD1051" s="598"/>
      <c r="AE1051" s="598"/>
      <c r="AF1051" s="598"/>
      <c r="AG1051" s="598"/>
      <c r="AH1051" s="598"/>
      <c r="AI1051" s="598"/>
      <c r="AJ1051" s="598"/>
      <c r="AK1051" s="598"/>
      <c r="AL1051" s="598"/>
      <c r="AM1051" s="598"/>
      <c r="AN1051" s="598"/>
      <c r="AO1051" s="598"/>
      <c r="AP1051" s="598"/>
      <c r="AQ1051" s="598"/>
      <c r="AR1051" s="598"/>
      <c r="AS1051" s="598"/>
      <c r="AT1051" s="598"/>
      <c r="AU1051" s="598"/>
      <c r="AV1051" s="598"/>
      <c r="AW1051" s="598"/>
      <c r="AX1051" s="598"/>
      <c r="AY1051" s="598"/>
      <c r="AZ1051" s="598"/>
      <c r="BA1051" s="598"/>
      <c r="BB1051" s="598"/>
      <c r="BC1051" s="598"/>
      <c r="BD1051" s="598"/>
      <c r="BE1051" s="598"/>
      <c r="BF1051" s="598"/>
      <c r="BG1051" s="598"/>
      <c r="BH1051" s="598"/>
      <c r="BI1051" s="598"/>
      <c r="BJ1051" s="598"/>
      <c r="BK1051" s="598"/>
      <c r="BL1051" s="598"/>
      <c r="BM1051" s="598"/>
      <c r="BN1051" s="598"/>
      <c r="BO1051" s="598"/>
      <c r="BP1051" s="598"/>
      <c r="BQ1051" s="598"/>
      <c r="BR1051" s="598"/>
      <c r="BS1051" s="598"/>
      <c r="BT1051" s="1429" t="e">
        <f>BT1042+BT1046+BT1050</f>
        <v>#REF!</v>
      </c>
      <c r="BU1051" s="1429"/>
      <c r="BV1051" s="1429"/>
      <c r="BW1051" s="1429"/>
      <c r="BX1051" s="1429"/>
      <c r="BY1051" s="1429"/>
      <c r="BZ1051" s="1429"/>
      <c r="CA1051" s="1429"/>
      <c r="CB1051" s="1429"/>
      <c r="CC1051" s="1429"/>
      <c r="CD1051" s="598"/>
      <c r="CE1051" s="598"/>
      <c r="CF1051" s="599"/>
    </row>
    <row r="1052" spans="1:84" s="583" customFormat="1" ht="9.9499999999999993" customHeight="1">
      <c r="A1052" s="574"/>
      <c r="B1052" s="574"/>
      <c r="C1052" s="574"/>
      <c r="D1052" s="574"/>
      <c r="E1052" s="574"/>
      <c r="F1052" s="574"/>
      <c r="G1052" s="574"/>
      <c r="H1052" s="574"/>
      <c r="I1052" s="574"/>
      <c r="J1052" s="574"/>
      <c r="K1052" s="574"/>
      <c r="L1052" s="574"/>
      <c r="M1052" s="574"/>
      <c r="N1052" s="574"/>
      <c r="O1052" s="574"/>
      <c r="P1052" s="574"/>
      <c r="Q1052" s="574"/>
      <c r="R1052" s="574"/>
      <c r="S1052" s="574"/>
      <c r="T1052" s="574"/>
      <c r="U1052" s="574"/>
      <c r="V1052" s="574"/>
      <c r="W1052" s="574"/>
      <c r="X1052" s="574"/>
      <c r="Y1052" s="574"/>
      <c r="Z1052" s="574"/>
      <c r="AA1052" s="574"/>
      <c r="AB1052" s="574"/>
      <c r="AC1052" s="574"/>
      <c r="AD1052" s="574"/>
      <c r="AE1052" s="574"/>
      <c r="AF1052" s="574"/>
      <c r="AG1052" s="574"/>
      <c r="AH1052" s="574"/>
      <c r="AI1052" s="574"/>
      <c r="AJ1052" s="574"/>
      <c r="AK1052" s="574"/>
      <c r="AL1052" s="574"/>
      <c r="AM1052" s="574"/>
      <c r="AN1052" s="574"/>
      <c r="AO1052" s="574"/>
      <c r="AP1052" s="574"/>
      <c r="AQ1052" s="574"/>
      <c r="AR1052" s="574"/>
      <c r="AS1052" s="574"/>
      <c r="AT1052" s="574"/>
      <c r="AU1052" s="574"/>
      <c r="AV1052" s="574"/>
      <c r="AW1052" s="574"/>
      <c r="AX1052" s="574"/>
      <c r="AY1052" s="574"/>
      <c r="AZ1052" s="574"/>
      <c r="BA1052" s="574"/>
      <c r="BB1052" s="574"/>
      <c r="BC1052" s="574"/>
      <c r="BD1052" s="574"/>
      <c r="BE1052" s="574"/>
      <c r="BF1052" s="574"/>
      <c r="BG1052" s="574"/>
      <c r="BH1052" s="574"/>
      <c r="BI1052" s="574"/>
      <c r="BJ1052" s="574"/>
      <c r="BK1052" s="574"/>
      <c r="BL1052" s="574"/>
      <c r="BM1052" s="574"/>
      <c r="BN1052" s="574"/>
      <c r="BO1052" s="574"/>
      <c r="BP1052" s="574"/>
      <c r="BQ1052" s="574"/>
      <c r="BR1052" s="574"/>
      <c r="BS1052" s="574"/>
      <c r="BT1052" s="574"/>
      <c r="BU1052" s="574"/>
      <c r="BV1052" s="574"/>
      <c r="BW1052" s="574"/>
      <c r="BX1052" s="574"/>
      <c r="BY1052" s="574"/>
      <c r="BZ1052" s="574"/>
      <c r="CA1052" s="574"/>
      <c r="CB1052" s="574"/>
      <c r="CC1052" s="574"/>
      <c r="CD1052" s="574"/>
      <c r="CE1052" s="574"/>
      <c r="CF1052" s="574"/>
    </row>
    <row r="1053" spans="1:84" s="583" customFormat="1" ht="23.1" customHeight="1" thickBot="1">
      <c r="A1053" s="1446" t="s">
        <v>1095</v>
      </c>
      <c r="B1053" s="1446"/>
      <c r="C1053" s="1446"/>
      <c r="D1053" s="1446"/>
      <c r="E1053" s="1446"/>
      <c r="F1053" s="1446"/>
      <c r="G1053" s="1447">
        <f>G1038+1</f>
        <v>71</v>
      </c>
      <c r="H1053" s="1447"/>
      <c r="I1053" s="1447"/>
      <c r="J1053" s="1448" t="s">
        <v>1096</v>
      </c>
      <c r="K1053" s="1448"/>
      <c r="L1053" s="574"/>
      <c r="M1053" s="574"/>
      <c r="N1053" s="574"/>
      <c r="O1053" s="574"/>
      <c r="P1053" s="574"/>
      <c r="Q1053" s="574"/>
      <c r="R1053" s="574"/>
      <c r="S1053" s="574"/>
      <c r="T1053" s="574"/>
      <c r="U1053" s="574"/>
      <c r="V1053" s="574"/>
      <c r="W1053" s="574"/>
      <c r="X1053" s="574"/>
      <c r="Y1053" s="574"/>
      <c r="Z1053" s="574"/>
      <c r="AA1053" s="574"/>
      <c r="AB1053" s="574"/>
      <c r="AC1053" s="574"/>
      <c r="AD1053" s="574"/>
      <c r="AE1053" s="574"/>
      <c r="AF1053" s="574"/>
      <c r="AG1053" s="574"/>
      <c r="AH1053" s="574"/>
      <c r="AI1053" s="574"/>
      <c r="AJ1053" s="574"/>
      <c r="AK1053" s="574"/>
      <c r="AL1053" s="574"/>
      <c r="AM1053" s="574"/>
      <c r="AN1053" s="574"/>
      <c r="AO1053" s="574"/>
      <c r="AP1053" s="574"/>
      <c r="AQ1053" s="574"/>
      <c r="AR1053" s="574"/>
      <c r="AS1053" s="574"/>
      <c r="AT1053" s="574"/>
      <c r="AU1053" s="574"/>
      <c r="AV1053" s="574"/>
      <c r="AW1053" s="574"/>
      <c r="AX1053" s="574"/>
      <c r="AY1053" s="574"/>
      <c r="AZ1053" s="574"/>
      <c r="BA1053" s="574"/>
      <c r="BB1053" s="574"/>
      <c r="BC1053" s="574"/>
      <c r="BD1053" s="574"/>
      <c r="BE1053" s="574"/>
      <c r="BF1053" s="574"/>
      <c r="BG1053" s="574"/>
      <c r="BH1053" s="574"/>
      <c r="BI1053" s="574"/>
      <c r="BJ1053" s="574"/>
      <c r="BK1053" s="574"/>
      <c r="BL1053" s="574"/>
      <c r="BM1053" s="574"/>
      <c r="BN1053" s="574"/>
      <c r="BO1053" s="574"/>
      <c r="BP1053" s="574"/>
      <c r="BQ1053" s="574"/>
      <c r="BR1053" s="574"/>
      <c r="BS1053" s="574"/>
      <c r="BT1053" s="574"/>
      <c r="BU1053" s="574"/>
      <c r="BV1053" s="574"/>
      <c r="BW1053" s="574"/>
      <c r="BX1053" s="574"/>
      <c r="BY1053" s="574"/>
      <c r="BZ1053" s="574"/>
      <c r="CA1053" s="574"/>
      <c r="CB1053" s="574"/>
      <c r="CC1053" s="574"/>
      <c r="CD1053" s="574"/>
      <c r="CE1053" s="574"/>
      <c r="CF1053" s="574"/>
    </row>
    <row r="1054" spans="1:84" s="583" customFormat="1" ht="23.1" customHeight="1" thickBot="1">
      <c r="A1054" s="1483" t="s">
        <v>1097</v>
      </c>
      <c r="B1054" s="1484"/>
      <c r="C1054" s="1484"/>
      <c r="D1054" s="1484"/>
      <c r="E1054" s="1484"/>
      <c r="F1054" s="1484"/>
      <c r="G1054" s="1484"/>
      <c r="H1054" s="1484"/>
      <c r="I1054" s="581" t="s">
        <v>1214</v>
      </c>
      <c r="J1054" s="581"/>
      <c r="K1054" s="581"/>
      <c r="L1054" s="581"/>
      <c r="M1054" s="581"/>
      <c r="N1054" s="581"/>
      <c r="O1054" s="581"/>
      <c r="P1054" s="581"/>
      <c r="Q1054" s="581"/>
      <c r="R1054" s="581"/>
      <c r="S1054" s="581"/>
      <c r="T1054" s="581"/>
      <c r="U1054" s="581"/>
      <c r="V1054" s="581"/>
      <c r="W1054" s="581"/>
      <c r="X1054" s="581"/>
      <c r="Y1054" s="581"/>
      <c r="Z1054" s="581"/>
      <c r="AA1054" s="581"/>
      <c r="AB1054" s="581"/>
      <c r="AC1054" s="581"/>
      <c r="AD1054" s="581"/>
      <c r="AE1054" s="581"/>
      <c r="AF1054" s="581"/>
      <c r="AG1054" s="581"/>
      <c r="AH1054" s="581"/>
      <c r="AI1054" s="581"/>
      <c r="AJ1054" s="1484" t="s">
        <v>1099</v>
      </c>
      <c r="AK1054" s="1484"/>
      <c r="AL1054" s="1484"/>
      <c r="AM1054" s="1484"/>
      <c r="AN1054" s="1484"/>
      <c r="AO1054" s="1484"/>
      <c r="AP1054" s="1484"/>
      <c r="AQ1054" s="581" t="s">
        <v>1215</v>
      </c>
      <c r="AR1054" s="581"/>
      <c r="AS1054" s="581"/>
      <c r="AT1054" s="581"/>
      <c r="AU1054" s="581"/>
      <c r="AV1054" s="581"/>
      <c r="AW1054" s="581"/>
      <c r="AX1054" s="581"/>
      <c r="AY1054" s="581"/>
      <c r="AZ1054" s="581"/>
      <c r="BA1054" s="581"/>
      <c r="BB1054" s="581"/>
      <c r="BC1054" s="581"/>
      <c r="BD1054" s="581"/>
      <c r="BE1054" s="581"/>
      <c r="BF1054" s="581"/>
      <c r="BG1054" s="581"/>
      <c r="BH1054" s="581"/>
      <c r="BI1054" s="581"/>
      <c r="BJ1054" s="581"/>
      <c r="BK1054" s="581"/>
      <c r="BL1054" s="581"/>
      <c r="BM1054" s="581"/>
      <c r="BN1054" s="581"/>
      <c r="BO1054" s="581"/>
      <c r="BP1054" s="581"/>
      <c r="BQ1054" s="581"/>
      <c r="BR1054" s="581"/>
      <c r="BS1054" s="581"/>
      <c r="BT1054" s="581" t="s">
        <v>1216</v>
      </c>
      <c r="BU1054" s="581"/>
      <c r="BV1054" s="581"/>
      <c r="BW1054" s="581"/>
      <c r="BX1054" s="581"/>
      <c r="BY1054" s="581"/>
      <c r="BZ1054" s="581"/>
      <c r="CA1054" s="581"/>
      <c r="CB1054" s="581"/>
      <c r="CC1054" s="581"/>
      <c r="CD1054" s="581"/>
      <c r="CE1054" s="581"/>
      <c r="CF1054" s="582"/>
    </row>
    <row r="1055" spans="1:84" s="583" customFormat="1" ht="23.1" customHeight="1">
      <c r="A1055" s="584"/>
      <c r="B1055" s="585" t="s">
        <v>1102</v>
      </c>
      <c r="C1055" s="585"/>
      <c r="D1055" s="585"/>
      <c r="E1055" s="585"/>
      <c r="F1055" s="585"/>
      <c r="G1055" s="585"/>
      <c r="H1055" s="585"/>
      <c r="I1055" s="585"/>
      <c r="J1055" s="585"/>
      <c r="K1055" s="585"/>
      <c r="L1055" s="585"/>
      <c r="M1055" s="585"/>
      <c r="N1055" s="585"/>
      <c r="O1055" s="585"/>
      <c r="P1055" s="585"/>
      <c r="Q1055" s="585"/>
      <c r="R1055" s="585"/>
      <c r="S1055" s="585"/>
      <c r="T1055" s="585"/>
      <c r="U1055" s="585"/>
      <c r="V1055" s="585"/>
      <c r="W1055" s="585"/>
      <c r="X1055" s="585"/>
      <c r="Y1055" s="585"/>
      <c r="Z1055" s="585"/>
      <c r="AA1055" s="585"/>
      <c r="AB1055" s="585"/>
      <c r="AC1055" s="585"/>
      <c r="AD1055" s="585"/>
      <c r="AE1055" s="585"/>
      <c r="AF1055" s="585"/>
      <c r="AG1055" s="585"/>
      <c r="AH1055" s="585"/>
      <c r="AI1055" s="585"/>
      <c r="AJ1055" s="585"/>
      <c r="AK1055" s="585"/>
      <c r="AL1055" s="585"/>
      <c r="AM1055" s="585"/>
      <c r="AN1055" s="585"/>
      <c r="AO1055" s="585"/>
      <c r="AP1055" s="585"/>
      <c r="AQ1055" s="585"/>
      <c r="AR1055" s="585"/>
      <c r="AS1055" s="585"/>
      <c r="AT1055" s="585"/>
      <c r="AU1055" s="585"/>
      <c r="AV1055" s="585"/>
      <c r="AW1055" s="585"/>
      <c r="AX1055" s="585"/>
      <c r="AY1055" s="585"/>
      <c r="AZ1055" s="585"/>
      <c r="BA1055" s="585"/>
      <c r="BB1055" s="585"/>
      <c r="BC1055" s="585"/>
      <c r="BD1055" s="585"/>
      <c r="BE1055" s="585"/>
      <c r="BF1055" s="585"/>
      <c r="BG1055" s="585"/>
      <c r="BH1055" s="585"/>
      <c r="BI1055" s="585"/>
      <c r="BJ1055" s="585"/>
      <c r="BK1055" s="585"/>
      <c r="BL1055" s="585"/>
      <c r="BM1055" s="585"/>
      <c r="BN1055" s="585"/>
      <c r="BO1055" s="585"/>
      <c r="BP1055" s="585"/>
      <c r="BQ1055" s="585"/>
      <c r="BR1055" s="585"/>
      <c r="BS1055" s="585"/>
      <c r="BT1055" s="585"/>
      <c r="BU1055" s="585"/>
      <c r="BV1055" s="585"/>
      <c r="BW1055" s="585"/>
      <c r="BX1055" s="585"/>
      <c r="BY1055" s="585"/>
      <c r="BZ1055" s="585"/>
      <c r="CA1055" s="585"/>
      <c r="CB1055" s="585"/>
      <c r="CC1055" s="585"/>
      <c r="CD1055" s="585"/>
      <c r="CE1055" s="585"/>
      <c r="CF1055" s="586"/>
    </row>
    <row r="1056" spans="1:84" s="583" customFormat="1" ht="23.1" customHeight="1">
      <c r="A1056" s="587"/>
      <c r="B1056" s="574"/>
      <c r="C1056" s="574"/>
      <c r="D1056" s="405"/>
      <c r="E1056" s="574"/>
      <c r="F1056" s="422"/>
      <c r="G1056" s="422"/>
      <c r="H1056" s="422"/>
      <c r="I1056" s="422"/>
      <c r="J1056" s="422"/>
      <c r="K1056" s="422"/>
      <c r="L1056" s="422"/>
      <c r="M1056" s="422"/>
      <c r="N1056" s="574"/>
      <c r="O1056" s="574"/>
      <c r="P1056" s="574"/>
      <c r="Q1056" s="574"/>
      <c r="R1056" s="574"/>
      <c r="S1056" s="1430"/>
      <c r="T1056" s="1430"/>
      <c r="U1056" s="1430"/>
      <c r="V1056" s="1430"/>
      <c r="W1056" s="1430"/>
      <c r="X1056" s="1430"/>
      <c r="Y1056" s="1430"/>
      <c r="Z1056" s="1430"/>
      <c r="AA1056" s="574"/>
      <c r="AB1056" s="588"/>
      <c r="AC1056" s="1431"/>
      <c r="AD1056" s="1431"/>
      <c r="AE1056" s="1498"/>
      <c r="AF1056" s="1498"/>
      <c r="AG1056" s="1498"/>
      <c r="AH1056" s="1498"/>
      <c r="AI1056" s="1498"/>
      <c r="AJ1056" s="1498"/>
      <c r="AK1056" s="1498"/>
      <c r="AL1056" s="1498"/>
      <c r="AM1056" s="1431"/>
      <c r="AN1056" s="1431"/>
      <c r="AO1056" s="574"/>
      <c r="AP1056" s="1486"/>
      <c r="AQ1056" s="1486"/>
      <c r="AR1056" s="1486"/>
      <c r="AS1056" s="1486"/>
      <c r="AT1056" s="1486"/>
      <c r="AU1056" s="1486"/>
      <c r="AV1056" s="1486"/>
      <c r="AW1056" s="1486"/>
      <c r="AX1056" s="1486"/>
      <c r="AY1056" s="1486"/>
      <c r="AZ1056" s="1486"/>
      <c r="BA1056" s="1486"/>
      <c r="BB1056" s="1486"/>
      <c r="BC1056" s="1486"/>
      <c r="BD1056" s="574"/>
      <c r="BE1056" s="574"/>
      <c r="BF1056" s="574"/>
      <c r="BG1056" s="574"/>
      <c r="BH1056" s="574"/>
      <c r="BI1056" s="574"/>
      <c r="BJ1056" s="574"/>
      <c r="BK1056" s="574"/>
      <c r="BL1056" s="574"/>
      <c r="BM1056" s="574"/>
      <c r="BN1056" s="574"/>
      <c r="BO1056" s="574"/>
      <c r="BP1056" s="574"/>
      <c r="BQ1056" s="574"/>
      <c r="BR1056" s="574"/>
      <c r="BS1056" s="574"/>
      <c r="BT1056" s="574"/>
      <c r="BU1056" s="574"/>
      <c r="BV1056" s="574"/>
      <c r="BW1056" s="574"/>
      <c r="BX1056" s="574"/>
      <c r="BY1056" s="574"/>
      <c r="BZ1056" s="574"/>
      <c r="CA1056" s="574"/>
      <c r="CB1056" s="574"/>
      <c r="CC1056" s="574"/>
      <c r="CD1056" s="574"/>
      <c r="CE1056" s="574"/>
      <c r="CF1056" s="589"/>
    </row>
    <row r="1057" spans="1:84" s="583" customFormat="1" ht="23.1" customHeight="1">
      <c r="A1057" s="584"/>
      <c r="B1057" s="585"/>
      <c r="C1057" s="585"/>
      <c r="D1057" s="585"/>
      <c r="E1057" s="585"/>
      <c r="F1057" s="585"/>
      <c r="G1057" s="585"/>
      <c r="H1057" s="585"/>
      <c r="I1057" s="585"/>
      <c r="J1057" s="585"/>
      <c r="K1057" s="585"/>
      <c r="L1057" s="585"/>
      <c r="M1057" s="585"/>
      <c r="N1057" s="585"/>
      <c r="O1057" s="585"/>
      <c r="P1057" s="585"/>
      <c r="Q1057" s="585"/>
      <c r="R1057" s="585"/>
      <c r="S1057" s="585"/>
      <c r="T1057" s="585"/>
      <c r="U1057" s="585"/>
      <c r="V1057" s="590"/>
      <c r="W1057" s="590"/>
      <c r="X1057" s="590"/>
      <c r="Y1057" s="590"/>
      <c r="Z1057" s="590"/>
      <c r="AA1057" s="590"/>
      <c r="AB1057" s="590"/>
      <c r="AC1057" s="590"/>
      <c r="AD1057" s="574"/>
      <c r="AE1057" s="1440">
        <v>64113000</v>
      </c>
      <c r="AF1057" s="1440"/>
      <c r="AG1057" s="1440"/>
      <c r="AH1057" s="1440"/>
      <c r="AI1057" s="1440"/>
      <c r="AJ1057" s="1440"/>
      <c r="AK1057" s="1440"/>
      <c r="AL1057" s="1440"/>
      <c r="AM1057" s="1440"/>
      <c r="AN1057" s="1440"/>
      <c r="AO1057" s="1440"/>
      <c r="AP1057" s="1440"/>
      <c r="AQ1057" s="1440"/>
      <c r="AR1057" s="1440"/>
      <c r="AS1057" s="1440"/>
      <c r="AT1057" s="1431" t="s">
        <v>446</v>
      </c>
      <c r="AU1057" s="1431"/>
      <c r="AV1057" s="1441" t="s">
        <v>1103</v>
      </c>
      <c r="AW1057" s="1441"/>
      <c r="AX1057" s="1442">
        <v>2569</v>
      </c>
      <c r="AY1057" s="1442"/>
      <c r="AZ1057" s="1442"/>
      <c r="BA1057" s="1442"/>
      <c r="BB1057" s="1442"/>
      <c r="BC1057" s="1442"/>
      <c r="BD1057" s="585"/>
      <c r="BE1057" s="1431" t="s">
        <v>446</v>
      </c>
      <c r="BF1057" s="1431"/>
      <c r="BG1057" s="585"/>
      <c r="BH1057" s="591" t="s">
        <v>1104</v>
      </c>
      <c r="BI1057" s="585"/>
      <c r="BJ1057" s="585"/>
      <c r="BK1057" s="585"/>
      <c r="BL1057" s="1431" t="s">
        <v>1105</v>
      </c>
      <c r="BM1057" s="1431"/>
      <c r="BN1057" s="1431"/>
      <c r="BO1057" s="585"/>
      <c r="BP1057" s="1431" t="s">
        <v>41</v>
      </c>
      <c r="BQ1057" s="1431"/>
      <c r="BR1057" s="585"/>
      <c r="BS1057" s="585"/>
      <c r="BT1057" s="1437">
        <f>INT(AE1057*AX1057*10^-7)</f>
        <v>16470</v>
      </c>
      <c r="BU1057" s="1437"/>
      <c r="BV1057" s="1437"/>
      <c r="BW1057" s="1437"/>
      <c r="BX1057" s="1437"/>
      <c r="BY1057" s="1437"/>
      <c r="BZ1057" s="1437"/>
      <c r="CA1057" s="1437"/>
      <c r="CB1057" s="1437"/>
      <c r="CC1057" s="1437"/>
      <c r="CD1057" s="585"/>
      <c r="CE1057" s="585"/>
      <c r="CF1057" s="586"/>
    </row>
    <row r="1058" spans="1:84" s="583" customFormat="1" ht="23.1" customHeight="1">
      <c r="A1058" s="592"/>
      <c r="B1058" s="593" t="s">
        <v>1106</v>
      </c>
      <c r="C1058" s="593"/>
      <c r="D1058" s="593"/>
      <c r="E1058" s="593"/>
      <c r="F1058" s="593"/>
      <c r="G1058" s="593"/>
      <c r="H1058" s="593"/>
      <c r="I1058" s="593"/>
      <c r="J1058" s="593"/>
      <c r="K1058" s="593"/>
      <c r="L1058" s="593"/>
      <c r="M1058" s="593"/>
      <c r="N1058" s="593"/>
      <c r="O1058" s="593"/>
      <c r="P1058" s="593"/>
      <c r="Q1058" s="593"/>
      <c r="R1058" s="593"/>
      <c r="S1058" s="593"/>
      <c r="T1058" s="593"/>
      <c r="U1058" s="593"/>
      <c r="V1058" s="593"/>
      <c r="W1058" s="593"/>
      <c r="X1058" s="593"/>
      <c r="Y1058" s="593"/>
      <c r="Z1058" s="593"/>
      <c r="AA1058" s="593"/>
      <c r="AB1058" s="593"/>
      <c r="AC1058" s="593"/>
      <c r="AD1058" s="593"/>
      <c r="AE1058" s="593"/>
      <c r="AF1058" s="593"/>
      <c r="AG1058" s="593"/>
      <c r="AH1058" s="593"/>
      <c r="AI1058" s="593"/>
      <c r="AJ1058" s="593"/>
      <c r="AK1058" s="593"/>
      <c r="AL1058" s="593"/>
      <c r="AM1058" s="593"/>
      <c r="AN1058" s="593"/>
      <c r="AO1058" s="593"/>
      <c r="AP1058" s="593"/>
      <c r="AQ1058" s="593"/>
      <c r="AR1058" s="593"/>
      <c r="AS1058" s="593"/>
      <c r="AT1058" s="593"/>
      <c r="AU1058" s="593"/>
      <c r="AV1058" s="593"/>
      <c r="AW1058" s="593"/>
      <c r="AX1058" s="593"/>
      <c r="AY1058" s="593"/>
      <c r="AZ1058" s="593"/>
      <c r="BA1058" s="593"/>
      <c r="BB1058" s="593"/>
      <c r="BC1058" s="593"/>
      <c r="BD1058" s="593"/>
      <c r="BE1058" s="593"/>
      <c r="BF1058" s="593"/>
      <c r="BG1058" s="593"/>
      <c r="BH1058" s="593"/>
      <c r="BI1058" s="593"/>
      <c r="BJ1058" s="593"/>
      <c r="BK1058" s="593"/>
      <c r="BL1058" s="593"/>
      <c r="BM1058" s="593"/>
      <c r="BN1058" s="593"/>
      <c r="BO1058" s="593"/>
      <c r="BP1058" s="593"/>
      <c r="BQ1058" s="593"/>
      <c r="BR1058" s="593"/>
      <c r="BS1058" s="593"/>
      <c r="BT1058" s="594"/>
      <c r="BU1058" s="594"/>
      <c r="BV1058" s="594"/>
      <c r="BW1058" s="594"/>
      <c r="BX1058" s="594"/>
      <c r="BY1058" s="594"/>
      <c r="BZ1058" s="594"/>
      <c r="CA1058" s="594"/>
      <c r="CB1058" s="594"/>
      <c r="CC1058" s="594"/>
      <c r="CD1058" s="593"/>
      <c r="CE1058" s="593"/>
      <c r="CF1058" s="595"/>
    </row>
    <row r="1059" spans="1:84" s="583" customFormat="1" ht="23.1" customHeight="1">
      <c r="A1059" s="584"/>
      <c r="B1059" s="585"/>
      <c r="C1059" s="585"/>
      <c r="D1059" s="596" t="s">
        <v>268</v>
      </c>
      <c r="E1059" s="585"/>
      <c r="F1059" s="585"/>
      <c r="G1059" s="585"/>
      <c r="H1059" s="585"/>
      <c r="I1059" s="585"/>
      <c r="J1059" s="585"/>
      <c r="K1059" s="585"/>
      <c r="L1059" s="585"/>
      <c r="M1059" s="585"/>
      <c r="N1059" s="585"/>
      <c r="O1059" s="585"/>
      <c r="P1059" s="585"/>
      <c r="Q1059" s="585"/>
      <c r="R1059" s="585"/>
      <c r="S1059" s="585"/>
      <c r="T1059" s="574"/>
      <c r="U1059" s="574"/>
      <c r="V1059" s="1435">
        <f>HLOOKUP(D1059,$CJ$1:$CM$3,3,0)</f>
        <v>283297</v>
      </c>
      <c r="W1059" s="1435"/>
      <c r="X1059" s="1435"/>
      <c r="Y1059" s="1435"/>
      <c r="Z1059" s="1435"/>
      <c r="AA1059" s="1435"/>
      <c r="AB1059" s="1435"/>
      <c r="AC1059" s="1435"/>
      <c r="AD1059" s="1435"/>
      <c r="AE1059" s="1435"/>
      <c r="AF1059" s="1431" t="s">
        <v>446</v>
      </c>
      <c r="AG1059" s="1431"/>
      <c r="AH1059" s="574"/>
      <c r="AI1059" s="1436" t="s">
        <v>1107</v>
      </c>
      <c r="AJ1059" s="1436"/>
      <c r="AK1059" s="1436"/>
      <c r="AL1059" s="1436"/>
      <c r="AM1059" s="585"/>
      <c r="AN1059" s="1431" t="s">
        <v>446</v>
      </c>
      <c r="AO1059" s="1431"/>
      <c r="AP1059" s="585"/>
      <c r="AQ1059" s="1436" t="s">
        <v>1108</v>
      </c>
      <c r="AR1059" s="1436"/>
      <c r="AS1059" s="1436"/>
      <c r="AT1059" s="1436"/>
      <c r="AU1059" s="1436"/>
      <c r="AV1059" s="422"/>
      <c r="AW1059" s="1431" t="s">
        <v>446</v>
      </c>
      <c r="AX1059" s="1431"/>
      <c r="AY1059" s="440"/>
      <c r="AZ1059" s="1436" t="s">
        <v>1109</v>
      </c>
      <c r="BA1059" s="1436"/>
      <c r="BB1059" s="1436"/>
      <c r="BC1059" s="1436"/>
      <c r="BD1059" s="1436"/>
      <c r="BE1059" s="585"/>
      <c r="BF1059" s="1431" t="s">
        <v>446</v>
      </c>
      <c r="BG1059" s="1431"/>
      <c r="BH1059" s="1431">
        <v>1</v>
      </c>
      <c r="BI1059" s="1431"/>
      <c r="BJ1059" s="1431"/>
      <c r="BK1059" s="585"/>
      <c r="BL1059" s="585" t="s">
        <v>366</v>
      </c>
      <c r="BM1059" s="585"/>
      <c r="BN1059" s="585"/>
      <c r="BO1059" s="585"/>
      <c r="BP1059" s="1431" t="s">
        <v>41</v>
      </c>
      <c r="BQ1059" s="1431"/>
      <c r="BR1059" s="585"/>
      <c r="BS1059" s="585"/>
      <c r="BT1059" s="1432">
        <f>INT(V1059/8*16/12*25/20*BH1059)</f>
        <v>59020</v>
      </c>
      <c r="BU1059" s="1432"/>
      <c r="BV1059" s="1432"/>
      <c r="BW1059" s="1432"/>
      <c r="BX1059" s="1432"/>
      <c r="BY1059" s="1432"/>
      <c r="BZ1059" s="1432"/>
      <c r="CA1059" s="1432"/>
      <c r="CB1059" s="1432"/>
      <c r="CC1059" s="1432"/>
      <c r="CD1059" s="585"/>
      <c r="CE1059" s="585"/>
      <c r="CF1059" s="586"/>
    </row>
    <row r="1060" spans="1:84" s="583" customFormat="1" ht="23.1" customHeight="1">
      <c r="A1060" s="584"/>
      <c r="B1060" s="585"/>
      <c r="C1060" s="585"/>
      <c r="D1060" s="585"/>
      <c r="E1060" s="585"/>
      <c r="F1060" s="585"/>
      <c r="G1060" s="585"/>
      <c r="H1060" s="585"/>
      <c r="I1060" s="585"/>
      <c r="J1060" s="585"/>
      <c r="K1060" s="585"/>
      <c r="L1060" s="585"/>
      <c r="M1060" s="585"/>
      <c r="N1060" s="585"/>
      <c r="O1060" s="585"/>
      <c r="P1060" s="574"/>
      <c r="Q1060" s="574"/>
      <c r="R1060" s="574"/>
      <c r="S1060" s="574"/>
      <c r="T1060" s="574"/>
      <c r="U1060" s="574"/>
      <c r="V1060" s="574"/>
      <c r="W1060" s="574"/>
      <c r="X1060" s="574"/>
      <c r="Y1060" s="574"/>
      <c r="Z1060" s="574"/>
      <c r="AA1060" s="574"/>
      <c r="AB1060" s="574"/>
      <c r="AC1060" s="574"/>
      <c r="AD1060" s="574"/>
      <c r="AE1060" s="574"/>
      <c r="AF1060" s="574"/>
      <c r="AG1060" s="574"/>
      <c r="AH1060" s="574"/>
      <c r="AI1060" s="574"/>
      <c r="AJ1060" s="574"/>
      <c r="AK1060" s="574"/>
      <c r="AL1060" s="574"/>
      <c r="AM1060" s="574"/>
      <c r="AN1060" s="574"/>
      <c r="AO1060" s="574"/>
      <c r="AP1060" s="574"/>
      <c r="AQ1060" s="574"/>
      <c r="AR1060" s="574"/>
      <c r="AS1060" s="574"/>
      <c r="AT1060" s="574"/>
      <c r="AU1060" s="574"/>
      <c r="AV1060" s="574"/>
      <c r="AW1060" s="574"/>
      <c r="AX1060" s="574"/>
      <c r="AY1060" s="574"/>
      <c r="AZ1060" s="574"/>
      <c r="BA1060" s="574"/>
      <c r="BB1060" s="574"/>
      <c r="BC1060" s="574"/>
      <c r="BD1060" s="574"/>
      <c r="BE1060" s="574"/>
      <c r="BF1060" s="574"/>
      <c r="BG1060" s="585"/>
      <c r="BH1060" s="585"/>
      <c r="BI1060" s="585"/>
      <c r="BJ1060" s="585"/>
      <c r="BK1060" s="585"/>
      <c r="BL1060" s="585"/>
      <c r="BM1060" s="585"/>
      <c r="BN1060" s="585"/>
      <c r="BO1060" s="585"/>
      <c r="BP1060" s="1431"/>
      <c r="BQ1060" s="1431"/>
      <c r="BR1060" s="585"/>
      <c r="BS1060" s="585"/>
      <c r="BT1060" s="1432"/>
      <c r="BU1060" s="1432"/>
      <c r="BV1060" s="1432"/>
      <c r="BW1060" s="1432"/>
      <c r="BX1060" s="1432"/>
      <c r="BY1060" s="1432"/>
      <c r="BZ1060" s="1432"/>
      <c r="CA1060" s="1432"/>
      <c r="CB1060" s="1432"/>
      <c r="CC1060" s="1432"/>
      <c r="CD1060" s="585"/>
      <c r="CE1060" s="585"/>
      <c r="CF1060" s="586"/>
    </row>
    <row r="1061" spans="1:84" s="583" customFormat="1" ht="23.1" customHeight="1">
      <c r="A1061" s="584"/>
      <c r="B1061" s="585"/>
      <c r="C1061" s="585"/>
      <c r="D1061" s="585"/>
      <c r="E1061" s="585"/>
      <c r="F1061" s="585"/>
      <c r="G1061" s="585"/>
      <c r="H1061" s="585"/>
      <c r="I1061" s="585"/>
      <c r="J1061" s="585"/>
      <c r="K1061" s="585"/>
      <c r="L1061" s="585"/>
      <c r="M1061" s="585"/>
      <c r="N1061" s="585"/>
      <c r="O1061" s="585"/>
      <c r="P1061" s="585"/>
      <c r="Q1061" s="585"/>
      <c r="R1061" s="585"/>
      <c r="S1061" s="585"/>
      <c r="T1061" s="585"/>
      <c r="U1061" s="585"/>
      <c r="V1061" s="585"/>
      <c r="W1061" s="585"/>
      <c r="X1061" s="585"/>
      <c r="Y1061" s="585"/>
      <c r="Z1061" s="585"/>
      <c r="AA1061" s="585"/>
      <c r="AB1061" s="585"/>
      <c r="AC1061" s="585"/>
      <c r="AD1061" s="574"/>
      <c r="AE1061" s="574"/>
      <c r="AF1061" s="574"/>
      <c r="AG1061" s="574"/>
      <c r="AH1061" s="574"/>
      <c r="AI1061" s="574"/>
      <c r="AJ1061" s="574"/>
      <c r="AK1061" s="574"/>
      <c r="AL1061" s="574"/>
      <c r="AM1061" s="574"/>
      <c r="AN1061" s="574"/>
      <c r="AO1061" s="574"/>
      <c r="AP1061" s="574"/>
      <c r="AQ1061" s="574"/>
      <c r="AR1061" s="574"/>
      <c r="AS1061" s="585"/>
      <c r="AT1061" s="590"/>
      <c r="AU1061" s="590"/>
      <c r="AV1061" s="585"/>
      <c r="AW1061" s="585"/>
      <c r="AX1061" s="585"/>
      <c r="AY1061" s="585"/>
      <c r="AZ1061" s="585"/>
      <c r="BA1061" s="585"/>
      <c r="BB1061" s="585"/>
      <c r="BC1061" s="585"/>
      <c r="BD1061" s="585"/>
      <c r="BE1061" s="585"/>
      <c r="BF1061" s="585"/>
      <c r="BG1061" s="585"/>
      <c r="BH1061" s="585"/>
      <c r="BI1061" s="585"/>
      <c r="BJ1061" s="585"/>
      <c r="BK1061" s="585"/>
      <c r="BL1061" s="585"/>
      <c r="BM1061" s="585"/>
      <c r="BN1061" s="585"/>
      <c r="BO1061" s="585"/>
      <c r="BP1061" s="1431" t="s">
        <v>41</v>
      </c>
      <c r="BQ1061" s="1431"/>
      <c r="BR1061" s="585"/>
      <c r="BS1061" s="585"/>
      <c r="BT1061" s="1434">
        <f>BT1059+BT1060</f>
        <v>59020</v>
      </c>
      <c r="BU1061" s="1434"/>
      <c r="BV1061" s="1434"/>
      <c r="BW1061" s="1434"/>
      <c r="BX1061" s="1434"/>
      <c r="BY1061" s="1434"/>
      <c r="BZ1061" s="1434"/>
      <c r="CA1061" s="1434"/>
      <c r="CB1061" s="1434"/>
      <c r="CC1061" s="1434"/>
      <c r="CD1061" s="585"/>
      <c r="CE1061" s="585"/>
      <c r="CF1061" s="586"/>
    </row>
    <row r="1062" spans="1:84" s="583" customFormat="1" ht="23.1" customHeight="1">
      <c r="A1062" s="592"/>
      <c r="B1062" s="593" t="s">
        <v>1110</v>
      </c>
      <c r="C1062" s="593"/>
      <c r="D1062" s="593"/>
      <c r="E1062" s="593"/>
      <c r="F1062" s="593"/>
      <c r="G1062" s="593"/>
      <c r="H1062" s="593"/>
      <c r="I1062" s="593"/>
      <c r="J1062" s="593"/>
      <c r="K1062" s="593"/>
      <c r="L1062" s="593"/>
      <c r="M1062" s="593"/>
      <c r="N1062" s="593"/>
      <c r="O1062" s="593"/>
      <c r="P1062" s="593"/>
      <c r="Q1062" s="593"/>
      <c r="R1062" s="593"/>
      <c r="S1062" s="593"/>
      <c r="T1062" s="593"/>
      <c r="U1062" s="593"/>
      <c r="V1062" s="593"/>
      <c r="W1062" s="593"/>
      <c r="X1062" s="593"/>
      <c r="Y1062" s="593"/>
      <c r="Z1062" s="593"/>
      <c r="AA1062" s="593"/>
      <c r="AB1062" s="593"/>
      <c r="AC1062" s="593"/>
      <c r="AD1062" s="593"/>
      <c r="AE1062" s="593"/>
      <c r="AF1062" s="593"/>
      <c r="AG1062" s="593"/>
      <c r="AH1062" s="593"/>
      <c r="AI1062" s="593"/>
      <c r="AJ1062" s="593"/>
      <c r="AK1062" s="593"/>
      <c r="AL1062" s="593"/>
      <c r="AM1062" s="593"/>
      <c r="AN1062" s="593"/>
      <c r="AO1062" s="593"/>
      <c r="AP1062" s="593"/>
      <c r="AQ1062" s="593"/>
      <c r="AR1062" s="593"/>
      <c r="AS1062" s="593"/>
      <c r="AT1062" s="593"/>
      <c r="AU1062" s="593"/>
      <c r="AV1062" s="593"/>
      <c r="AW1062" s="593"/>
      <c r="AX1062" s="593"/>
      <c r="AY1062" s="593"/>
      <c r="AZ1062" s="593"/>
      <c r="BA1062" s="593"/>
      <c r="BB1062" s="593"/>
      <c r="BC1062" s="593"/>
      <c r="BD1062" s="593"/>
      <c r="BE1062" s="593"/>
      <c r="BF1062" s="593"/>
      <c r="BG1062" s="593"/>
      <c r="BH1062" s="593"/>
      <c r="BI1062" s="593"/>
      <c r="BJ1062" s="593"/>
      <c r="BK1062" s="593"/>
      <c r="BL1062" s="593"/>
      <c r="BM1062" s="593"/>
      <c r="BN1062" s="593"/>
      <c r="BO1062" s="593"/>
      <c r="BP1062" s="593"/>
      <c r="BQ1062" s="593"/>
      <c r="BR1062" s="593"/>
      <c r="BS1062" s="593"/>
      <c r="BT1062" s="593"/>
      <c r="BU1062" s="593"/>
      <c r="BV1062" s="593"/>
      <c r="BW1062" s="593"/>
      <c r="BX1062" s="593"/>
      <c r="BY1062" s="593"/>
      <c r="BZ1062" s="593"/>
      <c r="CA1062" s="593"/>
      <c r="CB1062" s="593"/>
      <c r="CC1062" s="593"/>
      <c r="CD1062" s="593"/>
      <c r="CE1062" s="593"/>
      <c r="CF1062" s="595"/>
    </row>
    <row r="1063" spans="1:84" s="583" customFormat="1" ht="23.1" customHeight="1">
      <c r="A1063" s="584"/>
      <c r="B1063" s="585"/>
      <c r="C1063" s="585"/>
      <c r="D1063" s="596" t="s">
        <v>1094</v>
      </c>
      <c r="E1063" s="585"/>
      <c r="F1063" s="585"/>
      <c r="G1063" s="585"/>
      <c r="H1063" s="585"/>
      <c r="I1063" s="585"/>
      <c r="J1063" s="585"/>
      <c r="K1063" s="585"/>
      <c r="L1063" s="585"/>
      <c r="M1063" s="585"/>
      <c r="N1063" s="585"/>
      <c r="O1063" s="585"/>
      <c r="P1063" s="585"/>
      <c r="Q1063" s="585"/>
      <c r="R1063" s="585"/>
      <c r="S1063" s="585"/>
      <c r="T1063" s="585"/>
      <c r="U1063" s="585"/>
      <c r="V1063" s="585"/>
      <c r="W1063" s="585"/>
      <c r="X1063" s="585"/>
      <c r="Y1063" s="585"/>
      <c r="Z1063" s="585"/>
      <c r="AA1063" s="585"/>
      <c r="AB1063" s="585"/>
      <c r="AC1063" s="585"/>
      <c r="AD1063" s="585"/>
      <c r="AE1063" s="585"/>
      <c r="AF1063" s="585"/>
      <c r="AG1063" s="585"/>
      <c r="AH1063" s="585"/>
      <c r="AI1063" s="585"/>
      <c r="AJ1063" s="585"/>
      <c r="AK1063" s="585"/>
      <c r="AL1063" s="585"/>
      <c r="AM1063" s="585"/>
      <c r="AN1063" s="585"/>
      <c r="AO1063" s="585"/>
      <c r="AP1063" s="585"/>
      <c r="AQ1063" s="585"/>
      <c r="AR1063" s="422"/>
      <c r="AS1063" s="1435" t="e">
        <f>HLOOKUP(D1063,$CN$1:$CO$3,3,0)</f>
        <v>#REF!</v>
      </c>
      <c r="AT1063" s="1435"/>
      <c r="AU1063" s="1435"/>
      <c r="AV1063" s="1435"/>
      <c r="AW1063" s="1435"/>
      <c r="AX1063" s="1435"/>
      <c r="AY1063" s="1435"/>
      <c r="AZ1063" s="1435"/>
      <c r="BA1063" s="1435"/>
      <c r="BB1063" s="1435"/>
      <c r="BC1063" s="585"/>
      <c r="BD1063" s="1431" t="s">
        <v>446</v>
      </c>
      <c r="BE1063" s="1431"/>
      <c r="BF1063" s="585"/>
      <c r="BG1063" s="1431">
        <v>10.9</v>
      </c>
      <c r="BH1063" s="1431"/>
      <c r="BI1063" s="1431"/>
      <c r="BJ1063" s="1431"/>
      <c r="BK1063" s="1431"/>
      <c r="BL1063" s="585" t="s">
        <v>1111</v>
      </c>
      <c r="BM1063" s="585"/>
      <c r="BN1063" s="585"/>
      <c r="BO1063" s="585"/>
      <c r="BP1063" s="1431" t="s">
        <v>41</v>
      </c>
      <c r="BQ1063" s="1431"/>
      <c r="BR1063" s="585"/>
      <c r="BS1063" s="585"/>
      <c r="BT1063" s="1432" t="e">
        <f>INT(AS1063*BG1063)</f>
        <v>#REF!</v>
      </c>
      <c r="BU1063" s="1432"/>
      <c r="BV1063" s="1432"/>
      <c r="BW1063" s="1432"/>
      <c r="BX1063" s="1432"/>
      <c r="BY1063" s="1432"/>
      <c r="BZ1063" s="1432"/>
      <c r="CA1063" s="1432"/>
      <c r="CB1063" s="1432"/>
      <c r="CC1063" s="1432"/>
      <c r="CD1063" s="585"/>
      <c r="CE1063" s="585"/>
      <c r="CF1063" s="586"/>
    </row>
    <row r="1064" spans="1:84" s="583" customFormat="1" ht="23.1" customHeight="1">
      <c r="A1064" s="584"/>
      <c r="B1064" s="585"/>
      <c r="C1064" s="585"/>
      <c r="D1064" s="591" t="str">
        <f>"잡재료 (주연료의 "&amp;BG1064&amp;"%) :"</f>
        <v>잡재료 (주연료의 25%) :</v>
      </c>
      <c r="E1064" s="585"/>
      <c r="F1064" s="585"/>
      <c r="G1064" s="585"/>
      <c r="H1064" s="585"/>
      <c r="I1064" s="585"/>
      <c r="J1064" s="585"/>
      <c r="K1064" s="585"/>
      <c r="L1064" s="585"/>
      <c r="M1064" s="585"/>
      <c r="N1064" s="585"/>
      <c r="O1064" s="585"/>
      <c r="P1064" s="585"/>
      <c r="Q1064" s="585"/>
      <c r="R1064" s="585"/>
      <c r="S1064" s="585"/>
      <c r="T1064" s="585"/>
      <c r="U1064" s="585"/>
      <c r="V1064" s="585"/>
      <c r="W1064" s="585"/>
      <c r="X1064" s="585"/>
      <c r="Y1064" s="585"/>
      <c r="Z1064" s="585"/>
      <c r="AA1064" s="585"/>
      <c r="AB1064" s="585"/>
      <c r="AC1064" s="585"/>
      <c r="AD1064" s="585"/>
      <c r="AE1064" s="585"/>
      <c r="AF1064" s="585"/>
      <c r="AG1064" s="585"/>
      <c r="AH1064" s="585"/>
      <c r="AI1064" s="585"/>
      <c r="AJ1064" s="585"/>
      <c r="AK1064" s="585"/>
      <c r="AL1064" s="585"/>
      <c r="AM1064" s="585"/>
      <c r="AN1064" s="585"/>
      <c r="AO1064" s="585"/>
      <c r="AP1064" s="585"/>
      <c r="AQ1064" s="585"/>
      <c r="AR1064" s="422" t="e">
        <f>BT1063</f>
        <v>#REF!</v>
      </c>
      <c r="AS1064" s="1430" t="e">
        <f>BT1063</f>
        <v>#REF!</v>
      </c>
      <c r="AT1064" s="1430"/>
      <c r="AU1064" s="1430"/>
      <c r="AV1064" s="1430"/>
      <c r="AW1064" s="1430"/>
      <c r="AX1064" s="1430"/>
      <c r="AY1064" s="1430"/>
      <c r="AZ1064" s="1430"/>
      <c r="BA1064" s="1430"/>
      <c r="BB1064" s="1430"/>
      <c r="BC1064" s="585"/>
      <c r="BD1064" s="1431" t="s">
        <v>446</v>
      </c>
      <c r="BE1064" s="1431"/>
      <c r="BF1064" s="585"/>
      <c r="BG1064" s="1431">
        <v>25</v>
      </c>
      <c r="BH1064" s="1431"/>
      <c r="BI1064" s="1431"/>
      <c r="BJ1064" s="1431"/>
      <c r="BK1064" s="1431"/>
      <c r="BL1064" s="585" t="s">
        <v>1112</v>
      </c>
      <c r="BM1064" s="585"/>
      <c r="BN1064" s="585"/>
      <c r="BO1064" s="585"/>
      <c r="BP1064" s="1431" t="s">
        <v>41</v>
      </c>
      <c r="BQ1064" s="1431"/>
      <c r="BR1064" s="585"/>
      <c r="BS1064" s="585"/>
      <c r="BT1064" s="1432" t="e">
        <f>INT(AS1064*BG1064/100)</f>
        <v>#REF!</v>
      </c>
      <c r="BU1064" s="1432"/>
      <c r="BV1064" s="1432"/>
      <c r="BW1064" s="1432"/>
      <c r="BX1064" s="1432"/>
      <c r="BY1064" s="1432"/>
      <c r="BZ1064" s="1432"/>
      <c r="CA1064" s="1432"/>
      <c r="CB1064" s="1432"/>
      <c r="CC1064" s="1432"/>
      <c r="CD1064" s="585"/>
      <c r="CE1064" s="585"/>
      <c r="CF1064" s="586"/>
    </row>
    <row r="1065" spans="1:84" s="583" customFormat="1" ht="23.1" customHeight="1" thickBot="1">
      <c r="A1065" s="584"/>
      <c r="B1065" s="585"/>
      <c r="C1065" s="585"/>
      <c r="D1065" s="585"/>
      <c r="E1065" s="585"/>
      <c r="F1065" s="585"/>
      <c r="G1065" s="585"/>
      <c r="H1065" s="585"/>
      <c r="I1065" s="585"/>
      <c r="J1065" s="585"/>
      <c r="K1065" s="585"/>
      <c r="L1065" s="585"/>
      <c r="M1065" s="585"/>
      <c r="N1065" s="585"/>
      <c r="O1065" s="585"/>
      <c r="P1065" s="585"/>
      <c r="Q1065" s="585"/>
      <c r="R1065" s="585"/>
      <c r="S1065" s="585"/>
      <c r="T1065" s="585"/>
      <c r="U1065" s="585"/>
      <c r="V1065" s="585"/>
      <c r="W1065" s="585"/>
      <c r="X1065" s="585"/>
      <c r="Y1065" s="585"/>
      <c r="Z1065" s="585"/>
      <c r="AA1065" s="585"/>
      <c r="AB1065" s="585"/>
      <c r="AC1065" s="585"/>
      <c r="AD1065" s="585"/>
      <c r="AE1065" s="585"/>
      <c r="AF1065" s="585"/>
      <c r="AG1065" s="585"/>
      <c r="AH1065" s="585"/>
      <c r="AI1065" s="585"/>
      <c r="AJ1065" s="585"/>
      <c r="AK1065" s="585"/>
      <c r="AL1065" s="585"/>
      <c r="AM1065" s="585"/>
      <c r="AN1065" s="585"/>
      <c r="AO1065" s="585"/>
      <c r="AP1065" s="585"/>
      <c r="AQ1065" s="585"/>
      <c r="AR1065" s="585"/>
      <c r="AS1065" s="585"/>
      <c r="AT1065" s="585"/>
      <c r="AU1065" s="585"/>
      <c r="AV1065" s="585"/>
      <c r="AW1065" s="585"/>
      <c r="AX1065" s="585"/>
      <c r="AY1065" s="585"/>
      <c r="AZ1065" s="585"/>
      <c r="BA1065" s="585"/>
      <c r="BB1065" s="585"/>
      <c r="BC1065" s="585"/>
      <c r="BD1065" s="585"/>
      <c r="BE1065" s="585"/>
      <c r="BF1065" s="585"/>
      <c r="BG1065" s="585"/>
      <c r="BH1065" s="585"/>
      <c r="BI1065" s="585"/>
      <c r="BJ1065" s="585"/>
      <c r="BK1065" s="585"/>
      <c r="BL1065" s="585"/>
      <c r="BM1065" s="585"/>
      <c r="BN1065" s="585"/>
      <c r="BO1065" s="585"/>
      <c r="BP1065" s="1431" t="s">
        <v>41</v>
      </c>
      <c r="BQ1065" s="1431"/>
      <c r="BR1065" s="585"/>
      <c r="BS1065" s="585"/>
      <c r="BT1065" s="1433" t="e">
        <f>BT1063+BT1064</f>
        <v>#REF!</v>
      </c>
      <c r="BU1065" s="1433"/>
      <c r="BV1065" s="1433"/>
      <c r="BW1065" s="1433"/>
      <c r="BX1065" s="1433"/>
      <c r="BY1065" s="1433"/>
      <c r="BZ1065" s="1433"/>
      <c r="CA1065" s="1433"/>
      <c r="CB1065" s="1433"/>
      <c r="CC1065" s="1433"/>
      <c r="CD1065" s="585"/>
      <c r="CE1065" s="585"/>
      <c r="CF1065" s="586"/>
    </row>
    <row r="1066" spans="1:84" s="583" customFormat="1" ht="23.1" customHeight="1" thickBot="1">
      <c r="A1066" s="597"/>
      <c r="B1066" s="598" t="s">
        <v>1113</v>
      </c>
      <c r="C1066" s="598"/>
      <c r="D1066" s="598"/>
      <c r="E1066" s="598"/>
      <c r="F1066" s="598"/>
      <c r="G1066" s="598"/>
      <c r="H1066" s="598"/>
      <c r="I1066" s="598"/>
      <c r="J1066" s="598"/>
      <c r="K1066" s="598"/>
      <c r="L1066" s="598"/>
      <c r="M1066" s="598"/>
      <c r="N1066" s="598"/>
      <c r="O1066" s="598"/>
      <c r="P1066" s="598"/>
      <c r="Q1066" s="598"/>
      <c r="R1066" s="598"/>
      <c r="S1066" s="598"/>
      <c r="T1066" s="598"/>
      <c r="U1066" s="598"/>
      <c r="V1066" s="598"/>
      <c r="W1066" s="598"/>
      <c r="X1066" s="598"/>
      <c r="Y1066" s="598"/>
      <c r="Z1066" s="598"/>
      <c r="AA1066" s="598"/>
      <c r="AB1066" s="598"/>
      <c r="AC1066" s="598"/>
      <c r="AD1066" s="598"/>
      <c r="AE1066" s="598"/>
      <c r="AF1066" s="598"/>
      <c r="AG1066" s="598"/>
      <c r="AH1066" s="598"/>
      <c r="AI1066" s="598"/>
      <c r="AJ1066" s="598"/>
      <c r="AK1066" s="598"/>
      <c r="AL1066" s="598"/>
      <c r="AM1066" s="598"/>
      <c r="AN1066" s="598"/>
      <c r="AO1066" s="598"/>
      <c r="AP1066" s="598"/>
      <c r="AQ1066" s="598"/>
      <c r="AR1066" s="598"/>
      <c r="AS1066" s="598"/>
      <c r="AT1066" s="598"/>
      <c r="AU1066" s="598"/>
      <c r="AV1066" s="598"/>
      <c r="AW1066" s="598"/>
      <c r="AX1066" s="598"/>
      <c r="AY1066" s="598"/>
      <c r="AZ1066" s="598"/>
      <c r="BA1066" s="598"/>
      <c r="BB1066" s="598"/>
      <c r="BC1066" s="598"/>
      <c r="BD1066" s="598"/>
      <c r="BE1066" s="598"/>
      <c r="BF1066" s="598"/>
      <c r="BG1066" s="598"/>
      <c r="BH1066" s="598"/>
      <c r="BI1066" s="598"/>
      <c r="BJ1066" s="598"/>
      <c r="BK1066" s="598"/>
      <c r="BL1066" s="598"/>
      <c r="BM1066" s="598"/>
      <c r="BN1066" s="598"/>
      <c r="BO1066" s="598"/>
      <c r="BP1066" s="598"/>
      <c r="BQ1066" s="598"/>
      <c r="BR1066" s="598"/>
      <c r="BS1066" s="598"/>
      <c r="BT1066" s="1429" t="e">
        <f>BT1057+BT1061+BT1065</f>
        <v>#REF!</v>
      </c>
      <c r="BU1066" s="1429"/>
      <c r="BV1066" s="1429"/>
      <c r="BW1066" s="1429"/>
      <c r="BX1066" s="1429"/>
      <c r="BY1066" s="1429"/>
      <c r="BZ1066" s="1429"/>
      <c r="CA1066" s="1429"/>
      <c r="CB1066" s="1429"/>
      <c r="CC1066" s="1429"/>
      <c r="CD1066" s="598"/>
      <c r="CE1066" s="598"/>
      <c r="CF1066" s="599"/>
    </row>
    <row r="1067" spans="1:84" s="583" customFormat="1" ht="9.9499999999999993" customHeight="1">
      <c r="A1067" s="574"/>
      <c r="B1067" s="574"/>
      <c r="C1067" s="574"/>
      <c r="D1067" s="574"/>
      <c r="E1067" s="574"/>
      <c r="F1067" s="574"/>
      <c r="G1067" s="574"/>
      <c r="H1067" s="574"/>
      <c r="I1067" s="574"/>
      <c r="J1067" s="574"/>
      <c r="K1067" s="574"/>
      <c r="L1067" s="574"/>
      <c r="M1067" s="574"/>
      <c r="N1067" s="574"/>
      <c r="O1067" s="574"/>
      <c r="P1067" s="574"/>
      <c r="Q1067" s="574"/>
      <c r="R1067" s="574"/>
      <c r="S1067" s="574"/>
      <c r="T1067" s="574"/>
      <c r="U1067" s="574"/>
      <c r="V1067" s="574"/>
      <c r="W1067" s="574"/>
      <c r="X1067" s="574"/>
      <c r="Y1067" s="574"/>
      <c r="Z1067" s="574"/>
      <c r="AA1067" s="574"/>
      <c r="AB1067" s="574"/>
      <c r="AC1067" s="574"/>
      <c r="AD1067" s="574"/>
      <c r="AE1067" s="574"/>
      <c r="AF1067" s="574"/>
      <c r="AG1067" s="574"/>
      <c r="AH1067" s="574"/>
      <c r="AI1067" s="574"/>
      <c r="AJ1067" s="574"/>
      <c r="AK1067" s="574"/>
      <c r="AL1067" s="574"/>
      <c r="AM1067" s="574"/>
      <c r="AN1067" s="574"/>
      <c r="AO1067" s="574"/>
      <c r="AP1067" s="574"/>
      <c r="AQ1067" s="574"/>
      <c r="AR1067" s="574"/>
      <c r="AS1067" s="574"/>
      <c r="AT1067" s="574"/>
      <c r="AU1067" s="574"/>
      <c r="AV1067" s="574"/>
      <c r="AW1067" s="574"/>
      <c r="AX1067" s="574"/>
      <c r="AY1067" s="574"/>
      <c r="AZ1067" s="574"/>
      <c r="BA1067" s="574"/>
      <c r="BB1067" s="574"/>
      <c r="BC1067" s="574"/>
      <c r="BD1067" s="574"/>
      <c r="BE1067" s="574"/>
      <c r="BF1067" s="574"/>
      <c r="BG1067" s="574"/>
      <c r="BH1067" s="574"/>
      <c r="BI1067" s="574"/>
      <c r="BJ1067" s="574"/>
      <c r="BK1067" s="574"/>
      <c r="BL1067" s="574"/>
      <c r="BM1067" s="574"/>
      <c r="BN1067" s="574"/>
      <c r="BO1067" s="574"/>
      <c r="BP1067" s="574"/>
      <c r="BQ1067" s="574"/>
      <c r="BR1067" s="574"/>
      <c r="BS1067" s="574"/>
      <c r="BT1067" s="574"/>
      <c r="BU1067" s="574"/>
      <c r="BV1067" s="574"/>
      <c r="BW1067" s="574"/>
      <c r="BX1067" s="574"/>
      <c r="BY1067" s="574"/>
      <c r="BZ1067" s="574"/>
      <c r="CA1067" s="574"/>
      <c r="CB1067" s="574"/>
      <c r="CC1067" s="574"/>
      <c r="CD1067" s="574"/>
      <c r="CE1067" s="574"/>
      <c r="CF1067" s="574"/>
    </row>
    <row r="1068" spans="1:84" s="583" customFormat="1" ht="23.1" customHeight="1" thickBot="1">
      <c r="A1068" s="1446" t="s">
        <v>1095</v>
      </c>
      <c r="B1068" s="1446"/>
      <c r="C1068" s="1446"/>
      <c r="D1068" s="1446"/>
      <c r="E1068" s="1446"/>
      <c r="F1068" s="1446"/>
      <c r="G1068" s="1447">
        <f>G1053+1</f>
        <v>72</v>
      </c>
      <c r="H1068" s="1447"/>
      <c r="I1068" s="1447"/>
      <c r="J1068" s="1448" t="s">
        <v>1096</v>
      </c>
      <c r="K1068" s="1448"/>
      <c r="L1068" s="574"/>
      <c r="M1068" s="574"/>
      <c r="N1068" s="574"/>
      <c r="O1068" s="574"/>
      <c r="P1068" s="574"/>
      <c r="Q1068" s="574"/>
      <c r="R1068" s="574"/>
      <c r="S1068" s="574"/>
      <c r="T1068" s="574"/>
      <c r="U1068" s="574"/>
      <c r="V1068" s="574"/>
      <c r="W1068" s="574"/>
      <c r="X1068" s="574"/>
      <c r="Y1068" s="574"/>
      <c r="Z1068" s="574"/>
      <c r="AA1068" s="574"/>
      <c r="AB1068" s="574"/>
      <c r="AC1068" s="574"/>
      <c r="AD1068" s="574"/>
      <c r="AE1068" s="574"/>
      <c r="AF1068" s="574"/>
      <c r="AG1068" s="574"/>
      <c r="AH1068" s="574"/>
      <c r="AI1068" s="574"/>
      <c r="AJ1068" s="574"/>
      <c r="AK1068" s="574"/>
      <c r="AL1068" s="574"/>
      <c r="AM1068" s="574"/>
      <c r="AN1068" s="574"/>
      <c r="AO1068" s="574"/>
      <c r="AP1068" s="574"/>
      <c r="AQ1068" s="574"/>
      <c r="AR1068" s="574"/>
      <c r="AS1068" s="574"/>
      <c r="AT1068" s="574"/>
      <c r="AU1068" s="574"/>
      <c r="AV1068" s="574"/>
      <c r="AW1068" s="574"/>
      <c r="AX1068" s="574"/>
      <c r="AY1068" s="574"/>
      <c r="AZ1068" s="574"/>
      <c r="BA1068" s="574"/>
      <c r="BB1068" s="574"/>
      <c r="BC1068" s="574"/>
      <c r="BD1068" s="574"/>
      <c r="BE1068" s="574"/>
      <c r="BF1068" s="574"/>
      <c r="BG1068" s="574"/>
      <c r="BH1068" s="574"/>
      <c r="BI1068" s="574"/>
      <c r="BJ1068" s="574"/>
      <c r="BK1068" s="574"/>
      <c r="BL1068" s="574"/>
      <c r="BM1068" s="574"/>
      <c r="BN1068" s="574"/>
      <c r="BO1068" s="574"/>
      <c r="BP1068" s="574"/>
      <c r="BQ1068" s="574"/>
      <c r="BR1068" s="574"/>
      <c r="BS1068" s="574"/>
      <c r="BT1068" s="574"/>
      <c r="BU1068" s="574"/>
      <c r="BV1068" s="574"/>
      <c r="BW1068" s="574"/>
      <c r="BX1068" s="574"/>
      <c r="BY1068" s="574"/>
      <c r="BZ1068" s="574"/>
      <c r="CA1068" s="574"/>
      <c r="CB1068" s="574"/>
      <c r="CC1068" s="574"/>
      <c r="CD1068" s="574"/>
      <c r="CE1068" s="574"/>
      <c r="CF1068" s="574"/>
    </row>
    <row r="1069" spans="1:84" s="583" customFormat="1" ht="23.1" customHeight="1" thickBot="1">
      <c r="A1069" s="1483" t="s">
        <v>1097</v>
      </c>
      <c r="B1069" s="1484"/>
      <c r="C1069" s="1484"/>
      <c r="D1069" s="1484"/>
      <c r="E1069" s="1484"/>
      <c r="F1069" s="1484"/>
      <c r="G1069" s="1484"/>
      <c r="H1069" s="1484"/>
      <c r="I1069" s="581" t="s">
        <v>1217</v>
      </c>
      <c r="J1069" s="581"/>
      <c r="K1069" s="581"/>
      <c r="L1069" s="581"/>
      <c r="M1069" s="581"/>
      <c r="N1069" s="581"/>
      <c r="O1069" s="581"/>
      <c r="P1069" s="581"/>
      <c r="Q1069" s="581"/>
      <c r="R1069" s="581"/>
      <c r="S1069" s="581"/>
      <c r="T1069" s="581"/>
      <c r="U1069" s="581"/>
      <c r="V1069" s="581"/>
      <c r="W1069" s="581"/>
      <c r="X1069" s="581"/>
      <c r="Y1069" s="581"/>
      <c r="Z1069" s="581"/>
      <c r="AA1069" s="581"/>
      <c r="AB1069" s="581"/>
      <c r="AC1069" s="581"/>
      <c r="AD1069" s="581"/>
      <c r="AE1069" s="581"/>
      <c r="AF1069" s="581"/>
      <c r="AG1069" s="581"/>
      <c r="AH1069" s="581"/>
      <c r="AI1069" s="581"/>
      <c r="AJ1069" s="1484" t="s">
        <v>1099</v>
      </c>
      <c r="AK1069" s="1484"/>
      <c r="AL1069" s="1484"/>
      <c r="AM1069" s="1484"/>
      <c r="AN1069" s="1484"/>
      <c r="AO1069" s="1484"/>
      <c r="AP1069" s="1484"/>
      <c r="AQ1069" s="581" t="s">
        <v>1218</v>
      </c>
      <c r="AR1069" s="581"/>
      <c r="AS1069" s="581"/>
      <c r="AT1069" s="581"/>
      <c r="AU1069" s="581"/>
      <c r="AV1069" s="581"/>
      <c r="AW1069" s="581"/>
      <c r="AX1069" s="581"/>
      <c r="AY1069" s="581"/>
      <c r="AZ1069" s="581"/>
      <c r="BA1069" s="581"/>
      <c r="BB1069" s="581"/>
      <c r="BC1069" s="581"/>
      <c r="BD1069" s="581"/>
      <c r="BE1069" s="581"/>
      <c r="BF1069" s="581"/>
      <c r="BG1069" s="581"/>
      <c r="BH1069" s="581"/>
      <c r="BI1069" s="581"/>
      <c r="BJ1069" s="581"/>
      <c r="BK1069" s="581"/>
      <c r="BL1069" s="581"/>
      <c r="BM1069" s="581"/>
      <c r="BN1069" s="581"/>
      <c r="BO1069" s="581"/>
      <c r="BP1069" s="581"/>
      <c r="BQ1069" s="581"/>
      <c r="BR1069" s="581"/>
      <c r="BS1069" s="581"/>
      <c r="BT1069" s="581" t="s">
        <v>1219</v>
      </c>
      <c r="BU1069" s="581"/>
      <c r="BV1069" s="581"/>
      <c r="BW1069" s="581"/>
      <c r="BX1069" s="581"/>
      <c r="BY1069" s="581"/>
      <c r="BZ1069" s="581"/>
      <c r="CA1069" s="581"/>
      <c r="CB1069" s="581"/>
      <c r="CC1069" s="581"/>
      <c r="CD1069" s="581"/>
      <c r="CE1069" s="581"/>
      <c r="CF1069" s="582"/>
    </row>
    <row r="1070" spans="1:84" s="583" customFormat="1" ht="23.1" customHeight="1">
      <c r="A1070" s="584"/>
      <c r="B1070" s="585" t="s">
        <v>1102</v>
      </c>
      <c r="C1070" s="585"/>
      <c r="D1070" s="585"/>
      <c r="E1070" s="585"/>
      <c r="F1070" s="585"/>
      <c r="G1070" s="585"/>
      <c r="H1070" s="585"/>
      <c r="I1070" s="585"/>
      <c r="J1070" s="585"/>
      <c r="K1070" s="585"/>
      <c r="L1070" s="585"/>
      <c r="M1070" s="585"/>
      <c r="N1070" s="585"/>
      <c r="O1070" s="585"/>
      <c r="P1070" s="585"/>
      <c r="Q1070" s="585"/>
      <c r="R1070" s="585"/>
      <c r="S1070" s="585"/>
      <c r="T1070" s="585"/>
      <c r="U1070" s="585"/>
      <c r="V1070" s="585"/>
      <c r="W1070" s="585"/>
      <c r="X1070" s="585"/>
      <c r="Y1070" s="585"/>
      <c r="Z1070" s="585"/>
      <c r="AA1070" s="585"/>
      <c r="AB1070" s="585"/>
      <c r="AC1070" s="585"/>
      <c r="AD1070" s="585"/>
      <c r="AE1070" s="585"/>
      <c r="AF1070" s="585"/>
      <c r="AG1070" s="585"/>
      <c r="AH1070" s="585"/>
      <c r="AI1070" s="585"/>
      <c r="AJ1070" s="585"/>
      <c r="AK1070" s="585"/>
      <c r="AL1070" s="585"/>
      <c r="AM1070" s="585"/>
      <c r="AN1070" s="585"/>
      <c r="AO1070" s="585"/>
      <c r="AP1070" s="585"/>
      <c r="AQ1070" s="585"/>
      <c r="AR1070" s="585"/>
      <c r="AS1070" s="585"/>
      <c r="AT1070" s="585"/>
      <c r="AU1070" s="585"/>
      <c r="AV1070" s="585"/>
      <c r="AW1070" s="585"/>
      <c r="AX1070" s="585"/>
      <c r="AY1070" s="585"/>
      <c r="AZ1070" s="585"/>
      <c r="BA1070" s="585"/>
      <c r="BB1070" s="585"/>
      <c r="BC1070" s="585"/>
      <c r="BD1070" s="585"/>
      <c r="BE1070" s="585"/>
      <c r="BF1070" s="585"/>
      <c r="BG1070" s="585"/>
      <c r="BH1070" s="585"/>
      <c r="BI1070" s="585"/>
      <c r="BJ1070" s="585"/>
      <c r="BK1070" s="585"/>
      <c r="BL1070" s="585"/>
      <c r="BM1070" s="585"/>
      <c r="BN1070" s="585"/>
      <c r="BO1070" s="585"/>
      <c r="BP1070" s="585"/>
      <c r="BQ1070" s="585"/>
      <c r="BR1070" s="585"/>
      <c r="BS1070" s="585"/>
      <c r="BT1070" s="585"/>
      <c r="BU1070" s="585"/>
      <c r="BV1070" s="585"/>
      <c r="BW1070" s="585"/>
      <c r="BX1070" s="585"/>
      <c r="BY1070" s="585"/>
      <c r="BZ1070" s="585"/>
      <c r="CA1070" s="585"/>
      <c r="CB1070" s="585"/>
      <c r="CC1070" s="585"/>
      <c r="CD1070" s="585"/>
      <c r="CE1070" s="585"/>
      <c r="CF1070" s="586"/>
    </row>
    <row r="1071" spans="1:84" s="583" customFormat="1" ht="23.1" customHeight="1">
      <c r="A1071" s="587"/>
      <c r="B1071" s="574"/>
      <c r="C1071" s="574"/>
      <c r="D1071" s="405"/>
      <c r="E1071" s="574"/>
      <c r="F1071" s="422"/>
      <c r="G1071" s="422"/>
      <c r="H1071" s="422"/>
      <c r="I1071" s="422"/>
      <c r="J1071" s="422"/>
      <c r="K1071" s="422"/>
      <c r="L1071" s="422"/>
      <c r="M1071" s="422"/>
      <c r="N1071" s="574"/>
      <c r="O1071" s="574"/>
      <c r="P1071" s="574"/>
      <c r="Q1071" s="574"/>
      <c r="R1071" s="574"/>
      <c r="S1071" s="1430"/>
      <c r="T1071" s="1430"/>
      <c r="U1071" s="1430"/>
      <c r="V1071" s="1430"/>
      <c r="W1071" s="1430"/>
      <c r="X1071" s="1430"/>
      <c r="Y1071" s="1430"/>
      <c r="Z1071" s="1430"/>
      <c r="AA1071" s="574"/>
      <c r="AB1071" s="588"/>
      <c r="AC1071" s="1431"/>
      <c r="AD1071" s="1431"/>
      <c r="AE1071" s="1498"/>
      <c r="AF1071" s="1498"/>
      <c r="AG1071" s="1498"/>
      <c r="AH1071" s="1498"/>
      <c r="AI1071" s="1498"/>
      <c r="AJ1071" s="1498"/>
      <c r="AK1071" s="1498"/>
      <c r="AL1071" s="1498"/>
      <c r="AM1071" s="1431"/>
      <c r="AN1071" s="1431"/>
      <c r="AO1071" s="574"/>
      <c r="AP1071" s="1486"/>
      <c r="AQ1071" s="1486"/>
      <c r="AR1071" s="1486"/>
      <c r="AS1071" s="1486"/>
      <c r="AT1071" s="1486"/>
      <c r="AU1071" s="1486"/>
      <c r="AV1071" s="1486"/>
      <c r="AW1071" s="1486"/>
      <c r="AX1071" s="1486"/>
      <c r="AY1071" s="1486"/>
      <c r="AZ1071" s="1486"/>
      <c r="BA1071" s="1486"/>
      <c r="BB1071" s="1486"/>
      <c r="BC1071" s="1486"/>
      <c r="BD1071" s="574"/>
      <c r="BE1071" s="574"/>
      <c r="BF1071" s="574"/>
      <c r="BG1071" s="574"/>
      <c r="BH1071" s="574"/>
      <c r="BI1071" s="574"/>
      <c r="BJ1071" s="574"/>
      <c r="BK1071" s="574"/>
      <c r="BL1071" s="574"/>
      <c r="BM1071" s="574"/>
      <c r="BN1071" s="574"/>
      <c r="BO1071" s="574"/>
      <c r="BP1071" s="574"/>
      <c r="BQ1071" s="574"/>
      <c r="BR1071" s="574"/>
      <c r="BS1071" s="574"/>
      <c r="BT1071" s="574"/>
      <c r="BU1071" s="574"/>
      <c r="BV1071" s="574"/>
      <c r="BW1071" s="574"/>
      <c r="BX1071" s="574"/>
      <c r="BY1071" s="574"/>
      <c r="BZ1071" s="574"/>
      <c r="CA1071" s="574"/>
      <c r="CB1071" s="574"/>
      <c r="CC1071" s="574"/>
      <c r="CD1071" s="574"/>
      <c r="CE1071" s="574"/>
      <c r="CF1071" s="589"/>
    </row>
    <row r="1072" spans="1:84" s="583" customFormat="1" ht="23.1" customHeight="1">
      <c r="A1072" s="584"/>
      <c r="B1072" s="585"/>
      <c r="C1072" s="585"/>
      <c r="D1072" s="585"/>
      <c r="E1072" s="585"/>
      <c r="F1072" s="585"/>
      <c r="G1072" s="585"/>
      <c r="H1072" s="585"/>
      <c r="I1072" s="585"/>
      <c r="J1072" s="585"/>
      <c r="K1072" s="585"/>
      <c r="L1072" s="585"/>
      <c r="M1072" s="585"/>
      <c r="N1072" s="585"/>
      <c r="O1072" s="585"/>
      <c r="P1072" s="585"/>
      <c r="Q1072" s="585"/>
      <c r="R1072" s="585"/>
      <c r="S1072" s="585"/>
      <c r="T1072" s="585"/>
      <c r="U1072" s="585"/>
      <c r="V1072" s="590"/>
      <c r="W1072" s="590"/>
      <c r="X1072" s="590"/>
      <c r="Y1072" s="590"/>
      <c r="Z1072" s="590"/>
      <c r="AA1072" s="590"/>
      <c r="AB1072" s="590"/>
      <c r="AC1072" s="590"/>
      <c r="AD1072" s="574"/>
      <c r="AE1072" s="1440">
        <v>3158000</v>
      </c>
      <c r="AF1072" s="1440"/>
      <c r="AG1072" s="1440"/>
      <c r="AH1072" s="1440"/>
      <c r="AI1072" s="1440"/>
      <c r="AJ1072" s="1440"/>
      <c r="AK1072" s="1440"/>
      <c r="AL1072" s="1440"/>
      <c r="AM1072" s="1440"/>
      <c r="AN1072" s="1440"/>
      <c r="AO1072" s="1440"/>
      <c r="AP1072" s="1440"/>
      <c r="AQ1072" s="1440"/>
      <c r="AR1072" s="1440"/>
      <c r="AS1072" s="1440"/>
      <c r="AT1072" s="1431" t="s">
        <v>446</v>
      </c>
      <c r="AU1072" s="1431"/>
      <c r="AV1072" s="1441" t="s">
        <v>1103</v>
      </c>
      <c r="AW1072" s="1441"/>
      <c r="AX1072" s="1442">
        <v>2549</v>
      </c>
      <c r="AY1072" s="1442"/>
      <c r="AZ1072" s="1442"/>
      <c r="BA1072" s="1442"/>
      <c r="BB1072" s="1442"/>
      <c r="BC1072" s="1442"/>
      <c r="BD1072" s="585"/>
      <c r="BE1072" s="1431" t="s">
        <v>446</v>
      </c>
      <c r="BF1072" s="1431"/>
      <c r="BG1072" s="585"/>
      <c r="BH1072" s="591" t="s">
        <v>1104</v>
      </c>
      <c r="BI1072" s="585"/>
      <c r="BJ1072" s="585"/>
      <c r="BK1072" s="585"/>
      <c r="BL1072" s="1431" t="s">
        <v>1105</v>
      </c>
      <c r="BM1072" s="1431"/>
      <c r="BN1072" s="1431"/>
      <c r="BO1072" s="585"/>
      <c r="BP1072" s="1431" t="s">
        <v>41</v>
      </c>
      <c r="BQ1072" s="1431"/>
      <c r="BR1072" s="585"/>
      <c r="BS1072" s="585"/>
      <c r="BT1072" s="1437">
        <f>INT(AE1072*AX1072*10^-7)</f>
        <v>804</v>
      </c>
      <c r="BU1072" s="1437"/>
      <c r="BV1072" s="1437"/>
      <c r="BW1072" s="1437"/>
      <c r="BX1072" s="1437"/>
      <c r="BY1072" s="1437"/>
      <c r="BZ1072" s="1437"/>
      <c r="CA1072" s="1437"/>
      <c r="CB1072" s="1437"/>
      <c r="CC1072" s="1437"/>
      <c r="CD1072" s="585"/>
      <c r="CE1072" s="585"/>
      <c r="CF1072" s="586"/>
    </row>
    <row r="1073" spans="1:84" s="583" customFormat="1" ht="23.1" customHeight="1">
      <c r="A1073" s="592"/>
      <c r="B1073" s="593" t="s">
        <v>1106</v>
      </c>
      <c r="C1073" s="593"/>
      <c r="D1073" s="593"/>
      <c r="E1073" s="593"/>
      <c r="F1073" s="593"/>
      <c r="G1073" s="593"/>
      <c r="H1073" s="593"/>
      <c r="I1073" s="593"/>
      <c r="J1073" s="593"/>
      <c r="K1073" s="593"/>
      <c r="L1073" s="593"/>
      <c r="M1073" s="593"/>
      <c r="N1073" s="593"/>
      <c r="O1073" s="593"/>
      <c r="P1073" s="593"/>
      <c r="Q1073" s="593"/>
      <c r="R1073" s="593"/>
      <c r="S1073" s="593"/>
      <c r="T1073" s="593"/>
      <c r="U1073" s="593"/>
      <c r="V1073" s="593"/>
      <c r="W1073" s="593"/>
      <c r="X1073" s="593"/>
      <c r="Y1073" s="593"/>
      <c r="Z1073" s="593"/>
      <c r="AA1073" s="593"/>
      <c r="AB1073" s="593"/>
      <c r="AC1073" s="593"/>
      <c r="AD1073" s="593"/>
      <c r="AE1073" s="593"/>
      <c r="AF1073" s="593"/>
      <c r="AG1073" s="593"/>
      <c r="AH1073" s="593"/>
      <c r="AI1073" s="593"/>
      <c r="AJ1073" s="593"/>
      <c r="AK1073" s="593"/>
      <c r="AL1073" s="593"/>
      <c r="AM1073" s="593"/>
      <c r="AN1073" s="593"/>
      <c r="AO1073" s="593"/>
      <c r="AP1073" s="593"/>
      <c r="AQ1073" s="593"/>
      <c r="AR1073" s="593"/>
      <c r="AS1073" s="593"/>
      <c r="AT1073" s="593"/>
      <c r="AU1073" s="593"/>
      <c r="AV1073" s="593"/>
      <c r="AW1073" s="593"/>
      <c r="AX1073" s="593"/>
      <c r="AY1073" s="593"/>
      <c r="AZ1073" s="593"/>
      <c r="BA1073" s="593"/>
      <c r="BB1073" s="593"/>
      <c r="BC1073" s="593"/>
      <c r="BD1073" s="593"/>
      <c r="BE1073" s="593"/>
      <c r="BF1073" s="593"/>
      <c r="BG1073" s="593"/>
      <c r="BH1073" s="593"/>
      <c r="BI1073" s="593"/>
      <c r="BJ1073" s="593"/>
      <c r="BK1073" s="593"/>
      <c r="BL1073" s="593"/>
      <c r="BM1073" s="593"/>
      <c r="BN1073" s="593"/>
      <c r="BO1073" s="593"/>
      <c r="BP1073" s="593"/>
      <c r="BQ1073" s="593"/>
      <c r="BR1073" s="593"/>
      <c r="BS1073" s="593"/>
      <c r="BT1073" s="594"/>
      <c r="BU1073" s="594"/>
      <c r="BV1073" s="594"/>
      <c r="BW1073" s="594"/>
      <c r="BX1073" s="594"/>
      <c r="BY1073" s="594"/>
      <c r="BZ1073" s="594"/>
      <c r="CA1073" s="594"/>
      <c r="CB1073" s="594"/>
      <c r="CC1073" s="594"/>
      <c r="CD1073" s="593"/>
      <c r="CE1073" s="593"/>
      <c r="CF1073" s="595"/>
    </row>
    <row r="1074" spans="1:84" s="583" customFormat="1" ht="23.1" customHeight="1">
      <c r="A1074" s="584"/>
      <c r="B1074" s="585"/>
      <c r="C1074" s="585"/>
      <c r="D1074" s="596" t="s">
        <v>268</v>
      </c>
      <c r="E1074" s="585"/>
      <c r="F1074" s="585"/>
      <c r="G1074" s="585"/>
      <c r="H1074" s="585"/>
      <c r="I1074" s="585"/>
      <c r="J1074" s="585"/>
      <c r="K1074" s="585"/>
      <c r="L1074" s="585"/>
      <c r="M1074" s="585"/>
      <c r="N1074" s="585"/>
      <c r="O1074" s="585"/>
      <c r="P1074" s="585"/>
      <c r="Q1074" s="585"/>
      <c r="R1074" s="585"/>
      <c r="S1074" s="585"/>
      <c r="T1074" s="574"/>
      <c r="U1074" s="574"/>
      <c r="V1074" s="1435">
        <f>HLOOKUP(D1074,$CJ$1:$CM$3,3,0)</f>
        <v>283297</v>
      </c>
      <c r="W1074" s="1435"/>
      <c r="X1074" s="1435"/>
      <c r="Y1074" s="1435"/>
      <c r="Z1074" s="1435"/>
      <c r="AA1074" s="1435"/>
      <c r="AB1074" s="1435"/>
      <c r="AC1074" s="1435"/>
      <c r="AD1074" s="1435"/>
      <c r="AE1074" s="1435"/>
      <c r="AF1074" s="1431" t="s">
        <v>446</v>
      </c>
      <c r="AG1074" s="1431"/>
      <c r="AH1074" s="574"/>
      <c r="AI1074" s="1436" t="s">
        <v>1107</v>
      </c>
      <c r="AJ1074" s="1436"/>
      <c r="AK1074" s="1436"/>
      <c r="AL1074" s="1436"/>
      <c r="AM1074" s="585"/>
      <c r="AN1074" s="1431" t="s">
        <v>446</v>
      </c>
      <c r="AO1074" s="1431"/>
      <c r="AP1074" s="585"/>
      <c r="AQ1074" s="1436" t="s">
        <v>1108</v>
      </c>
      <c r="AR1074" s="1436"/>
      <c r="AS1074" s="1436"/>
      <c r="AT1074" s="1436"/>
      <c r="AU1074" s="1436"/>
      <c r="AV1074" s="422"/>
      <c r="AW1074" s="1431" t="s">
        <v>446</v>
      </c>
      <c r="AX1074" s="1431"/>
      <c r="AY1074" s="440"/>
      <c r="AZ1074" s="1436" t="s">
        <v>1109</v>
      </c>
      <c r="BA1074" s="1436"/>
      <c r="BB1074" s="1436"/>
      <c r="BC1074" s="1436"/>
      <c r="BD1074" s="1436"/>
      <c r="BE1074" s="585"/>
      <c r="BF1074" s="1431" t="s">
        <v>446</v>
      </c>
      <c r="BG1074" s="1431"/>
      <c r="BH1074" s="1431">
        <v>1</v>
      </c>
      <c r="BI1074" s="1431"/>
      <c r="BJ1074" s="1431"/>
      <c r="BK1074" s="585"/>
      <c r="BL1074" s="585" t="s">
        <v>366</v>
      </c>
      <c r="BM1074" s="585"/>
      <c r="BN1074" s="585"/>
      <c r="BO1074" s="585"/>
      <c r="BP1074" s="1431" t="s">
        <v>41</v>
      </c>
      <c r="BQ1074" s="1431"/>
      <c r="BR1074" s="585"/>
      <c r="BS1074" s="585"/>
      <c r="BT1074" s="1432">
        <f>INT(V1074/8*16/12*25/20*BH1074)</f>
        <v>59020</v>
      </c>
      <c r="BU1074" s="1432"/>
      <c r="BV1074" s="1432"/>
      <c r="BW1074" s="1432"/>
      <c r="BX1074" s="1432"/>
      <c r="BY1074" s="1432"/>
      <c r="BZ1074" s="1432"/>
      <c r="CA1074" s="1432"/>
      <c r="CB1074" s="1432"/>
      <c r="CC1074" s="1432"/>
      <c r="CD1074" s="585"/>
      <c r="CE1074" s="585"/>
      <c r="CF1074" s="586"/>
    </row>
    <row r="1075" spans="1:84" s="583" customFormat="1" ht="23.1" customHeight="1">
      <c r="A1075" s="584"/>
      <c r="B1075" s="585"/>
      <c r="C1075" s="585"/>
      <c r="D1075" s="585"/>
      <c r="E1075" s="585"/>
      <c r="F1075" s="585"/>
      <c r="G1075" s="585"/>
      <c r="H1075" s="585"/>
      <c r="I1075" s="585"/>
      <c r="J1075" s="585"/>
      <c r="K1075" s="585"/>
      <c r="L1075" s="585"/>
      <c r="M1075" s="585"/>
      <c r="N1075" s="585"/>
      <c r="O1075" s="585"/>
      <c r="P1075" s="574"/>
      <c r="Q1075" s="574"/>
      <c r="R1075" s="574"/>
      <c r="S1075" s="574"/>
      <c r="T1075" s="574"/>
      <c r="U1075" s="574"/>
      <c r="V1075" s="574"/>
      <c r="W1075" s="574"/>
      <c r="X1075" s="574"/>
      <c r="Y1075" s="574"/>
      <c r="Z1075" s="574"/>
      <c r="AA1075" s="574"/>
      <c r="AB1075" s="574"/>
      <c r="AC1075" s="574"/>
      <c r="AD1075" s="574"/>
      <c r="AE1075" s="574"/>
      <c r="AF1075" s="574"/>
      <c r="AG1075" s="574"/>
      <c r="AH1075" s="574"/>
      <c r="AI1075" s="574"/>
      <c r="AJ1075" s="574"/>
      <c r="AK1075" s="574"/>
      <c r="AL1075" s="574"/>
      <c r="AM1075" s="574"/>
      <c r="AN1075" s="574"/>
      <c r="AO1075" s="574"/>
      <c r="AP1075" s="574"/>
      <c r="AQ1075" s="574"/>
      <c r="AR1075" s="574"/>
      <c r="AS1075" s="574"/>
      <c r="AT1075" s="574"/>
      <c r="AU1075" s="574"/>
      <c r="AV1075" s="574"/>
      <c r="AW1075" s="574"/>
      <c r="AX1075" s="574"/>
      <c r="AY1075" s="574"/>
      <c r="AZ1075" s="574"/>
      <c r="BA1075" s="574"/>
      <c r="BB1075" s="574"/>
      <c r="BC1075" s="574"/>
      <c r="BD1075" s="574"/>
      <c r="BE1075" s="574"/>
      <c r="BF1075" s="574"/>
      <c r="BG1075" s="585"/>
      <c r="BH1075" s="585"/>
      <c r="BI1075" s="585"/>
      <c r="BJ1075" s="585"/>
      <c r="BK1075" s="585"/>
      <c r="BL1075" s="585"/>
      <c r="BM1075" s="585"/>
      <c r="BN1075" s="585"/>
      <c r="BO1075" s="585"/>
      <c r="BP1075" s="1431"/>
      <c r="BQ1075" s="1431"/>
      <c r="BR1075" s="585"/>
      <c r="BS1075" s="585"/>
      <c r="BT1075" s="1432"/>
      <c r="BU1075" s="1432"/>
      <c r="BV1075" s="1432"/>
      <c r="BW1075" s="1432"/>
      <c r="BX1075" s="1432"/>
      <c r="BY1075" s="1432"/>
      <c r="BZ1075" s="1432"/>
      <c r="CA1075" s="1432"/>
      <c r="CB1075" s="1432"/>
      <c r="CC1075" s="1432"/>
      <c r="CD1075" s="585"/>
      <c r="CE1075" s="585"/>
      <c r="CF1075" s="586"/>
    </row>
    <row r="1076" spans="1:84" s="583" customFormat="1" ht="23.1" customHeight="1">
      <c r="A1076" s="584"/>
      <c r="B1076" s="585"/>
      <c r="C1076" s="585"/>
      <c r="D1076" s="585"/>
      <c r="E1076" s="585"/>
      <c r="F1076" s="585"/>
      <c r="G1076" s="585"/>
      <c r="H1076" s="585"/>
      <c r="I1076" s="585"/>
      <c r="J1076" s="585"/>
      <c r="K1076" s="585"/>
      <c r="L1076" s="585"/>
      <c r="M1076" s="585"/>
      <c r="N1076" s="585"/>
      <c r="O1076" s="585"/>
      <c r="P1076" s="585"/>
      <c r="Q1076" s="585"/>
      <c r="R1076" s="585"/>
      <c r="S1076" s="585"/>
      <c r="T1076" s="585"/>
      <c r="U1076" s="585"/>
      <c r="V1076" s="585"/>
      <c r="W1076" s="585"/>
      <c r="X1076" s="585"/>
      <c r="Y1076" s="585"/>
      <c r="Z1076" s="585"/>
      <c r="AA1076" s="585"/>
      <c r="AB1076" s="585"/>
      <c r="AC1076" s="585"/>
      <c r="AD1076" s="574"/>
      <c r="AE1076" s="574"/>
      <c r="AF1076" s="574"/>
      <c r="AG1076" s="574"/>
      <c r="AH1076" s="574"/>
      <c r="AI1076" s="574"/>
      <c r="AJ1076" s="574"/>
      <c r="AK1076" s="574"/>
      <c r="AL1076" s="574"/>
      <c r="AM1076" s="574"/>
      <c r="AN1076" s="574"/>
      <c r="AO1076" s="574"/>
      <c r="AP1076" s="574"/>
      <c r="AQ1076" s="574"/>
      <c r="AR1076" s="574"/>
      <c r="AS1076" s="585"/>
      <c r="AT1076" s="590"/>
      <c r="AU1076" s="590"/>
      <c r="AV1076" s="585"/>
      <c r="AW1076" s="585"/>
      <c r="AX1076" s="585"/>
      <c r="AY1076" s="585"/>
      <c r="AZ1076" s="585"/>
      <c r="BA1076" s="585"/>
      <c r="BB1076" s="585"/>
      <c r="BC1076" s="585"/>
      <c r="BD1076" s="585"/>
      <c r="BE1076" s="585"/>
      <c r="BF1076" s="585"/>
      <c r="BG1076" s="585"/>
      <c r="BH1076" s="585"/>
      <c r="BI1076" s="585"/>
      <c r="BJ1076" s="585"/>
      <c r="BK1076" s="585"/>
      <c r="BL1076" s="585"/>
      <c r="BM1076" s="585"/>
      <c r="BN1076" s="585"/>
      <c r="BO1076" s="585"/>
      <c r="BP1076" s="1431" t="s">
        <v>41</v>
      </c>
      <c r="BQ1076" s="1431"/>
      <c r="BR1076" s="585"/>
      <c r="BS1076" s="585"/>
      <c r="BT1076" s="1434">
        <f>BT1074+BT1075</f>
        <v>59020</v>
      </c>
      <c r="BU1076" s="1434"/>
      <c r="BV1076" s="1434"/>
      <c r="BW1076" s="1434"/>
      <c r="BX1076" s="1434"/>
      <c r="BY1076" s="1434"/>
      <c r="BZ1076" s="1434"/>
      <c r="CA1076" s="1434"/>
      <c r="CB1076" s="1434"/>
      <c r="CC1076" s="1434"/>
      <c r="CD1076" s="585"/>
      <c r="CE1076" s="585"/>
      <c r="CF1076" s="586"/>
    </row>
    <row r="1077" spans="1:84" s="583" customFormat="1" ht="23.1" customHeight="1">
      <c r="A1077" s="592"/>
      <c r="B1077" s="593" t="s">
        <v>1110</v>
      </c>
      <c r="C1077" s="593"/>
      <c r="D1077" s="593"/>
      <c r="E1077" s="593"/>
      <c r="F1077" s="593"/>
      <c r="G1077" s="593"/>
      <c r="H1077" s="593"/>
      <c r="I1077" s="593"/>
      <c r="J1077" s="593"/>
      <c r="K1077" s="593"/>
      <c r="L1077" s="593"/>
      <c r="M1077" s="593"/>
      <c r="N1077" s="593"/>
      <c r="O1077" s="593"/>
      <c r="P1077" s="593"/>
      <c r="Q1077" s="593"/>
      <c r="R1077" s="593"/>
      <c r="S1077" s="593"/>
      <c r="T1077" s="593"/>
      <c r="U1077" s="593"/>
      <c r="V1077" s="593"/>
      <c r="W1077" s="593"/>
      <c r="X1077" s="593"/>
      <c r="Y1077" s="593"/>
      <c r="Z1077" s="593"/>
      <c r="AA1077" s="593"/>
      <c r="AB1077" s="593"/>
      <c r="AC1077" s="593"/>
      <c r="AD1077" s="593"/>
      <c r="AE1077" s="593"/>
      <c r="AF1077" s="593"/>
      <c r="AG1077" s="593"/>
      <c r="AH1077" s="593"/>
      <c r="AI1077" s="593"/>
      <c r="AJ1077" s="593"/>
      <c r="AK1077" s="593"/>
      <c r="AL1077" s="593"/>
      <c r="AM1077" s="593"/>
      <c r="AN1077" s="593"/>
      <c r="AO1077" s="593"/>
      <c r="AP1077" s="593"/>
      <c r="AQ1077" s="593"/>
      <c r="AR1077" s="593"/>
      <c r="AS1077" s="593"/>
      <c r="AT1077" s="593"/>
      <c r="AU1077" s="593"/>
      <c r="AV1077" s="593"/>
      <c r="AW1077" s="593"/>
      <c r="AX1077" s="593"/>
      <c r="AY1077" s="593"/>
      <c r="AZ1077" s="593"/>
      <c r="BA1077" s="593"/>
      <c r="BB1077" s="593"/>
      <c r="BC1077" s="593"/>
      <c r="BD1077" s="593"/>
      <c r="BE1077" s="593"/>
      <c r="BF1077" s="593"/>
      <c r="BG1077" s="593"/>
      <c r="BH1077" s="593"/>
      <c r="BI1077" s="593"/>
      <c r="BJ1077" s="593"/>
      <c r="BK1077" s="593"/>
      <c r="BL1077" s="593"/>
      <c r="BM1077" s="593"/>
      <c r="BN1077" s="593"/>
      <c r="BO1077" s="593"/>
      <c r="BP1077" s="593"/>
      <c r="BQ1077" s="593"/>
      <c r="BR1077" s="593"/>
      <c r="BS1077" s="593"/>
      <c r="BT1077" s="593"/>
      <c r="BU1077" s="593"/>
      <c r="BV1077" s="593"/>
      <c r="BW1077" s="593"/>
      <c r="BX1077" s="593"/>
      <c r="BY1077" s="593"/>
      <c r="BZ1077" s="593"/>
      <c r="CA1077" s="593"/>
      <c r="CB1077" s="593"/>
      <c r="CC1077" s="593"/>
      <c r="CD1077" s="593"/>
      <c r="CE1077" s="593"/>
      <c r="CF1077" s="595"/>
    </row>
    <row r="1078" spans="1:84" s="583" customFormat="1" ht="23.1" customHeight="1">
      <c r="A1078" s="584"/>
      <c r="B1078" s="585"/>
      <c r="C1078" s="585"/>
      <c r="D1078" s="596" t="s">
        <v>42</v>
      </c>
      <c r="E1078" s="585"/>
      <c r="F1078" s="585"/>
      <c r="G1078" s="585"/>
      <c r="H1078" s="585"/>
      <c r="I1078" s="585"/>
      <c r="J1078" s="585"/>
      <c r="K1078" s="585"/>
      <c r="L1078" s="585"/>
      <c r="M1078" s="585"/>
      <c r="N1078" s="585"/>
      <c r="O1078" s="585"/>
      <c r="P1078" s="585"/>
      <c r="Q1078" s="585"/>
      <c r="R1078" s="585"/>
      <c r="S1078" s="585"/>
      <c r="T1078" s="585"/>
      <c r="U1078" s="585"/>
      <c r="V1078" s="585"/>
      <c r="W1078" s="585"/>
      <c r="X1078" s="585"/>
      <c r="Y1078" s="585"/>
      <c r="Z1078" s="585"/>
      <c r="AA1078" s="585"/>
      <c r="AB1078" s="585"/>
      <c r="AC1078" s="585"/>
      <c r="AD1078" s="585"/>
      <c r="AE1078" s="585"/>
      <c r="AF1078" s="585"/>
      <c r="AG1078" s="585"/>
      <c r="AH1078" s="585"/>
      <c r="AI1078" s="585"/>
      <c r="AJ1078" s="585"/>
      <c r="AK1078" s="585"/>
      <c r="AL1078" s="585"/>
      <c r="AM1078" s="585"/>
      <c r="AN1078" s="585"/>
      <c r="AO1078" s="585"/>
      <c r="AP1078" s="585"/>
      <c r="AQ1078" s="585"/>
      <c r="AR1078" s="422"/>
      <c r="AS1078" s="1435" t="e">
        <f>HLOOKUP(D1078,$CN$1:$CO$3,3,0)</f>
        <v>#REF!</v>
      </c>
      <c r="AT1078" s="1435"/>
      <c r="AU1078" s="1435"/>
      <c r="AV1078" s="1435"/>
      <c r="AW1078" s="1435"/>
      <c r="AX1078" s="1435"/>
      <c r="AY1078" s="1435"/>
      <c r="AZ1078" s="1435"/>
      <c r="BA1078" s="1435"/>
      <c r="BB1078" s="1435"/>
      <c r="BC1078" s="585"/>
      <c r="BD1078" s="1431" t="s">
        <v>446</v>
      </c>
      <c r="BE1078" s="1431"/>
      <c r="BF1078" s="585"/>
      <c r="BG1078" s="1431">
        <v>1.2</v>
      </c>
      <c r="BH1078" s="1431"/>
      <c r="BI1078" s="1431"/>
      <c r="BJ1078" s="1431"/>
      <c r="BK1078" s="1431"/>
      <c r="BL1078" s="585" t="s">
        <v>1111</v>
      </c>
      <c r="BM1078" s="585"/>
      <c r="BN1078" s="585"/>
      <c r="BO1078" s="585"/>
      <c r="BP1078" s="1431" t="s">
        <v>41</v>
      </c>
      <c r="BQ1078" s="1431"/>
      <c r="BR1078" s="585"/>
      <c r="BS1078" s="585"/>
      <c r="BT1078" s="1432" t="e">
        <f>INT(AS1078*BG1078)</f>
        <v>#REF!</v>
      </c>
      <c r="BU1078" s="1432"/>
      <c r="BV1078" s="1432"/>
      <c r="BW1078" s="1432"/>
      <c r="BX1078" s="1432"/>
      <c r="BY1078" s="1432"/>
      <c r="BZ1078" s="1432"/>
      <c r="CA1078" s="1432"/>
      <c r="CB1078" s="1432"/>
      <c r="CC1078" s="1432"/>
      <c r="CD1078" s="585"/>
      <c r="CE1078" s="585"/>
      <c r="CF1078" s="586"/>
    </row>
    <row r="1079" spans="1:84" s="583" customFormat="1" ht="23.1" customHeight="1">
      <c r="A1079" s="584"/>
      <c r="B1079" s="585"/>
      <c r="C1079" s="585"/>
      <c r="D1079" s="591" t="str">
        <f>"잡재료 (주연료의 "&amp;BG1079&amp;"%) :"</f>
        <v>잡재료 (주연료의 6%) :</v>
      </c>
      <c r="E1079" s="585"/>
      <c r="F1079" s="585"/>
      <c r="G1079" s="585"/>
      <c r="H1079" s="585"/>
      <c r="I1079" s="585"/>
      <c r="J1079" s="585"/>
      <c r="K1079" s="585"/>
      <c r="L1079" s="585"/>
      <c r="M1079" s="585"/>
      <c r="N1079" s="585"/>
      <c r="O1079" s="585"/>
      <c r="P1079" s="585"/>
      <c r="Q1079" s="585"/>
      <c r="R1079" s="585"/>
      <c r="S1079" s="585"/>
      <c r="T1079" s="585"/>
      <c r="U1079" s="585"/>
      <c r="V1079" s="585"/>
      <c r="W1079" s="585"/>
      <c r="X1079" s="585"/>
      <c r="Y1079" s="585"/>
      <c r="Z1079" s="585"/>
      <c r="AA1079" s="585"/>
      <c r="AB1079" s="585"/>
      <c r="AC1079" s="585"/>
      <c r="AD1079" s="585"/>
      <c r="AE1079" s="585"/>
      <c r="AF1079" s="585"/>
      <c r="AG1079" s="585"/>
      <c r="AH1079" s="585"/>
      <c r="AI1079" s="585"/>
      <c r="AJ1079" s="585"/>
      <c r="AK1079" s="585"/>
      <c r="AL1079" s="585"/>
      <c r="AM1079" s="585"/>
      <c r="AN1079" s="585"/>
      <c r="AO1079" s="585"/>
      <c r="AP1079" s="585"/>
      <c r="AQ1079" s="585"/>
      <c r="AR1079" s="422" t="e">
        <f>BT1078</f>
        <v>#REF!</v>
      </c>
      <c r="AS1079" s="1430" t="e">
        <f>BT1078</f>
        <v>#REF!</v>
      </c>
      <c r="AT1079" s="1430"/>
      <c r="AU1079" s="1430"/>
      <c r="AV1079" s="1430"/>
      <c r="AW1079" s="1430"/>
      <c r="AX1079" s="1430"/>
      <c r="AY1079" s="1430"/>
      <c r="AZ1079" s="1430"/>
      <c r="BA1079" s="1430"/>
      <c r="BB1079" s="1430"/>
      <c r="BC1079" s="585"/>
      <c r="BD1079" s="1431" t="s">
        <v>446</v>
      </c>
      <c r="BE1079" s="1431"/>
      <c r="BF1079" s="585"/>
      <c r="BG1079" s="1431">
        <v>6</v>
      </c>
      <c r="BH1079" s="1431"/>
      <c r="BI1079" s="1431"/>
      <c r="BJ1079" s="1431"/>
      <c r="BK1079" s="1431"/>
      <c r="BL1079" s="585" t="s">
        <v>1112</v>
      </c>
      <c r="BM1079" s="585"/>
      <c r="BN1079" s="585"/>
      <c r="BO1079" s="585"/>
      <c r="BP1079" s="1431" t="s">
        <v>41</v>
      </c>
      <c r="BQ1079" s="1431"/>
      <c r="BR1079" s="585"/>
      <c r="BS1079" s="585"/>
      <c r="BT1079" s="1432" t="e">
        <f>INT(AS1079*BG1079/100)</f>
        <v>#REF!</v>
      </c>
      <c r="BU1079" s="1432"/>
      <c r="BV1079" s="1432"/>
      <c r="BW1079" s="1432"/>
      <c r="BX1079" s="1432"/>
      <c r="BY1079" s="1432"/>
      <c r="BZ1079" s="1432"/>
      <c r="CA1079" s="1432"/>
      <c r="CB1079" s="1432"/>
      <c r="CC1079" s="1432"/>
      <c r="CD1079" s="585"/>
      <c r="CE1079" s="585"/>
      <c r="CF1079" s="586"/>
    </row>
    <row r="1080" spans="1:84" s="583" customFormat="1" ht="23.1" customHeight="1" thickBot="1">
      <c r="A1080" s="584"/>
      <c r="B1080" s="585"/>
      <c r="C1080" s="585"/>
      <c r="D1080" s="585"/>
      <c r="E1080" s="585"/>
      <c r="F1080" s="585"/>
      <c r="G1080" s="585"/>
      <c r="H1080" s="585"/>
      <c r="I1080" s="585"/>
      <c r="J1080" s="585"/>
      <c r="K1080" s="585"/>
      <c r="L1080" s="585"/>
      <c r="M1080" s="585"/>
      <c r="N1080" s="585"/>
      <c r="O1080" s="585"/>
      <c r="P1080" s="585"/>
      <c r="Q1080" s="585"/>
      <c r="R1080" s="585"/>
      <c r="S1080" s="585"/>
      <c r="T1080" s="585"/>
      <c r="U1080" s="585"/>
      <c r="V1080" s="585"/>
      <c r="W1080" s="585"/>
      <c r="X1080" s="585"/>
      <c r="Y1080" s="585"/>
      <c r="Z1080" s="585"/>
      <c r="AA1080" s="585"/>
      <c r="AB1080" s="585"/>
      <c r="AC1080" s="585"/>
      <c r="AD1080" s="585"/>
      <c r="AE1080" s="585"/>
      <c r="AF1080" s="585"/>
      <c r="AG1080" s="585"/>
      <c r="AH1080" s="585"/>
      <c r="AI1080" s="585"/>
      <c r="AJ1080" s="585"/>
      <c r="AK1080" s="585"/>
      <c r="AL1080" s="585"/>
      <c r="AM1080" s="585"/>
      <c r="AN1080" s="585"/>
      <c r="AO1080" s="585"/>
      <c r="AP1080" s="585"/>
      <c r="AQ1080" s="585"/>
      <c r="AR1080" s="585"/>
      <c r="AS1080" s="585"/>
      <c r="AT1080" s="585"/>
      <c r="AU1080" s="585"/>
      <c r="AV1080" s="585"/>
      <c r="AW1080" s="585"/>
      <c r="AX1080" s="585"/>
      <c r="AY1080" s="585"/>
      <c r="AZ1080" s="585"/>
      <c r="BA1080" s="585"/>
      <c r="BB1080" s="585"/>
      <c r="BC1080" s="585"/>
      <c r="BD1080" s="585"/>
      <c r="BE1080" s="585"/>
      <c r="BF1080" s="585"/>
      <c r="BG1080" s="585"/>
      <c r="BH1080" s="585"/>
      <c r="BI1080" s="585"/>
      <c r="BJ1080" s="585"/>
      <c r="BK1080" s="585"/>
      <c r="BL1080" s="585"/>
      <c r="BM1080" s="585"/>
      <c r="BN1080" s="585"/>
      <c r="BO1080" s="585"/>
      <c r="BP1080" s="1431" t="s">
        <v>41</v>
      </c>
      <c r="BQ1080" s="1431"/>
      <c r="BR1080" s="585"/>
      <c r="BS1080" s="585"/>
      <c r="BT1080" s="1433" t="e">
        <f>BT1078+BT1079</f>
        <v>#REF!</v>
      </c>
      <c r="BU1080" s="1433"/>
      <c r="BV1080" s="1433"/>
      <c r="BW1080" s="1433"/>
      <c r="BX1080" s="1433"/>
      <c r="BY1080" s="1433"/>
      <c r="BZ1080" s="1433"/>
      <c r="CA1080" s="1433"/>
      <c r="CB1080" s="1433"/>
      <c r="CC1080" s="1433"/>
      <c r="CD1080" s="585"/>
      <c r="CE1080" s="585"/>
      <c r="CF1080" s="586"/>
    </row>
    <row r="1081" spans="1:84" s="583" customFormat="1" ht="23.1" customHeight="1" thickBot="1">
      <c r="A1081" s="597"/>
      <c r="B1081" s="598" t="s">
        <v>1113</v>
      </c>
      <c r="C1081" s="598"/>
      <c r="D1081" s="598"/>
      <c r="E1081" s="598"/>
      <c r="F1081" s="598"/>
      <c r="G1081" s="598"/>
      <c r="H1081" s="598"/>
      <c r="I1081" s="598"/>
      <c r="J1081" s="598"/>
      <c r="K1081" s="598"/>
      <c r="L1081" s="598"/>
      <c r="M1081" s="598"/>
      <c r="N1081" s="598"/>
      <c r="O1081" s="598"/>
      <c r="P1081" s="598"/>
      <c r="Q1081" s="598"/>
      <c r="R1081" s="598"/>
      <c r="S1081" s="598"/>
      <c r="T1081" s="598"/>
      <c r="U1081" s="598"/>
      <c r="V1081" s="598"/>
      <c r="W1081" s="598"/>
      <c r="X1081" s="598"/>
      <c r="Y1081" s="598"/>
      <c r="Z1081" s="598"/>
      <c r="AA1081" s="598"/>
      <c r="AB1081" s="598"/>
      <c r="AC1081" s="598"/>
      <c r="AD1081" s="598"/>
      <c r="AE1081" s="598"/>
      <c r="AF1081" s="598"/>
      <c r="AG1081" s="598"/>
      <c r="AH1081" s="598"/>
      <c r="AI1081" s="598"/>
      <c r="AJ1081" s="598"/>
      <c r="AK1081" s="598"/>
      <c r="AL1081" s="598"/>
      <c r="AM1081" s="598"/>
      <c r="AN1081" s="598"/>
      <c r="AO1081" s="598"/>
      <c r="AP1081" s="598"/>
      <c r="AQ1081" s="598"/>
      <c r="AR1081" s="598"/>
      <c r="AS1081" s="598"/>
      <c r="AT1081" s="598"/>
      <c r="AU1081" s="598"/>
      <c r="AV1081" s="598"/>
      <c r="AW1081" s="598"/>
      <c r="AX1081" s="598"/>
      <c r="AY1081" s="598"/>
      <c r="AZ1081" s="598"/>
      <c r="BA1081" s="598"/>
      <c r="BB1081" s="598"/>
      <c r="BC1081" s="598"/>
      <c r="BD1081" s="598"/>
      <c r="BE1081" s="598"/>
      <c r="BF1081" s="598"/>
      <c r="BG1081" s="598"/>
      <c r="BH1081" s="598"/>
      <c r="BI1081" s="598"/>
      <c r="BJ1081" s="598"/>
      <c r="BK1081" s="598"/>
      <c r="BL1081" s="598"/>
      <c r="BM1081" s="598"/>
      <c r="BN1081" s="598"/>
      <c r="BO1081" s="598"/>
      <c r="BP1081" s="598"/>
      <c r="BQ1081" s="598"/>
      <c r="BR1081" s="598"/>
      <c r="BS1081" s="598"/>
      <c r="BT1081" s="1429" t="e">
        <f>BT1072+BT1076+BT1080</f>
        <v>#REF!</v>
      </c>
      <c r="BU1081" s="1429"/>
      <c r="BV1081" s="1429"/>
      <c r="BW1081" s="1429"/>
      <c r="BX1081" s="1429"/>
      <c r="BY1081" s="1429"/>
      <c r="BZ1081" s="1429"/>
      <c r="CA1081" s="1429"/>
      <c r="CB1081" s="1429"/>
      <c r="CC1081" s="1429"/>
      <c r="CD1081" s="598"/>
      <c r="CE1081" s="598"/>
      <c r="CF1081" s="599"/>
    </row>
    <row r="1082" spans="1:84" s="583" customFormat="1" ht="9.9499999999999993" customHeight="1">
      <c r="A1082" s="574"/>
      <c r="B1082" s="574"/>
      <c r="C1082" s="574"/>
      <c r="D1082" s="574"/>
      <c r="E1082" s="574"/>
      <c r="F1082" s="574"/>
      <c r="G1082" s="574"/>
      <c r="H1082" s="574"/>
      <c r="I1082" s="574"/>
      <c r="J1082" s="574"/>
      <c r="K1082" s="574"/>
      <c r="L1082" s="574"/>
      <c r="M1082" s="574"/>
      <c r="N1082" s="574"/>
      <c r="O1082" s="574"/>
      <c r="P1082" s="574"/>
      <c r="Q1082" s="574"/>
      <c r="R1082" s="574"/>
      <c r="S1082" s="574"/>
      <c r="T1082" s="574"/>
      <c r="U1082" s="574"/>
      <c r="V1082" s="574"/>
      <c r="W1082" s="574"/>
      <c r="X1082" s="574"/>
      <c r="Y1082" s="574"/>
      <c r="Z1082" s="574"/>
      <c r="AA1082" s="574"/>
      <c r="AB1082" s="574"/>
      <c r="AC1082" s="574"/>
      <c r="AD1082" s="574"/>
      <c r="AE1082" s="574"/>
      <c r="AF1082" s="574"/>
      <c r="AG1082" s="574"/>
      <c r="AH1082" s="574"/>
      <c r="AI1082" s="574"/>
      <c r="AJ1082" s="574"/>
      <c r="AK1082" s="574"/>
      <c r="AL1082" s="574"/>
      <c r="AM1082" s="574"/>
      <c r="AN1082" s="574"/>
      <c r="AO1082" s="574"/>
      <c r="AP1082" s="574"/>
      <c r="AQ1082" s="574"/>
      <c r="AR1082" s="574"/>
      <c r="AS1082" s="574"/>
      <c r="AT1082" s="574"/>
      <c r="AU1082" s="574"/>
      <c r="AV1082" s="574"/>
      <c r="AW1082" s="574"/>
      <c r="AX1082" s="574"/>
      <c r="AY1082" s="574"/>
      <c r="AZ1082" s="574"/>
      <c r="BA1082" s="574"/>
      <c r="BB1082" s="574"/>
      <c r="BC1082" s="574"/>
      <c r="BD1082" s="574"/>
      <c r="BE1082" s="574"/>
      <c r="BF1082" s="574"/>
      <c r="BG1082" s="574"/>
      <c r="BH1082" s="574"/>
      <c r="BI1082" s="574"/>
      <c r="BJ1082" s="574"/>
      <c r="BK1082" s="574"/>
      <c r="BL1082" s="574"/>
      <c r="BM1082" s="574"/>
      <c r="BN1082" s="574"/>
      <c r="BO1082" s="574"/>
      <c r="BP1082" s="574"/>
      <c r="BQ1082" s="574"/>
      <c r="BR1082" s="574"/>
      <c r="BS1082" s="574"/>
      <c r="BT1082" s="574"/>
      <c r="BU1082" s="574"/>
      <c r="BV1082" s="574"/>
      <c r="BW1082" s="574"/>
      <c r="BX1082" s="574"/>
      <c r="BY1082" s="574"/>
      <c r="BZ1082" s="574"/>
      <c r="CA1082" s="574"/>
      <c r="CB1082" s="574"/>
      <c r="CC1082" s="574"/>
      <c r="CD1082" s="574"/>
      <c r="CE1082" s="574"/>
      <c r="CF1082" s="574"/>
    </row>
    <row r="1083" spans="1:84" s="583" customFormat="1" ht="23.1" customHeight="1" thickBot="1">
      <c r="A1083" s="1446" t="s">
        <v>1095</v>
      </c>
      <c r="B1083" s="1446"/>
      <c r="C1083" s="1446"/>
      <c r="D1083" s="1446"/>
      <c r="E1083" s="1446"/>
      <c r="F1083" s="1446"/>
      <c r="G1083" s="1447">
        <f>G1068+1</f>
        <v>73</v>
      </c>
      <c r="H1083" s="1447"/>
      <c r="I1083" s="1447"/>
      <c r="J1083" s="1448" t="s">
        <v>1096</v>
      </c>
      <c r="K1083" s="1448"/>
      <c r="L1083" s="574"/>
      <c r="M1083" s="574"/>
      <c r="N1083" s="574"/>
      <c r="O1083" s="574"/>
      <c r="P1083" s="574"/>
      <c r="Q1083" s="574"/>
      <c r="R1083" s="574"/>
      <c r="S1083" s="574"/>
      <c r="T1083" s="574"/>
      <c r="U1083" s="574"/>
      <c r="V1083" s="574"/>
      <c r="W1083" s="574"/>
      <c r="X1083" s="574"/>
      <c r="Y1083" s="574"/>
      <c r="Z1083" s="574"/>
      <c r="AA1083" s="574"/>
      <c r="AB1083" s="574"/>
      <c r="AC1083" s="574"/>
      <c r="AD1083" s="574"/>
      <c r="AE1083" s="574"/>
      <c r="AF1083" s="574"/>
      <c r="AG1083" s="574"/>
      <c r="AH1083" s="574"/>
      <c r="AI1083" s="574"/>
      <c r="AJ1083" s="574"/>
      <c r="AK1083" s="574"/>
      <c r="AL1083" s="574"/>
      <c r="AM1083" s="574"/>
      <c r="AN1083" s="574"/>
      <c r="AO1083" s="574"/>
      <c r="AP1083" s="574"/>
      <c r="AQ1083" s="574"/>
      <c r="AR1083" s="574"/>
      <c r="AS1083" s="574"/>
      <c r="AT1083" s="574"/>
      <c r="AU1083" s="574"/>
      <c r="AV1083" s="574"/>
      <c r="AW1083" s="574"/>
      <c r="AX1083" s="574"/>
      <c r="AY1083" s="574"/>
      <c r="AZ1083" s="574"/>
      <c r="BA1083" s="574"/>
      <c r="BB1083" s="574"/>
      <c r="BC1083" s="574"/>
      <c r="BD1083" s="574"/>
      <c r="BE1083" s="574"/>
      <c r="BF1083" s="574"/>
      <c r="BG1083" s="574"/>
      <c r="BH1083" s="574"/>
      <c r="BI1083" s="574"/>
      <c r="BJ1083" s="574"/>
      <c r="BK1083" s="574"/>
      <c r="BL1083" s="574"/>
      <c r="BM1083" s="574"/>
      <c r="BN1083" s="574"/>
      <c r="BO1083" s="574"/>
      <c r="BP1083" s="574"/>
      <c r="BQ1083" s="574"/>
      <c r="BR1083" s="574"/>
      <c r="BS1083" s="574"/>
      <c r="BT1083" s="574"/>
      <c r="BU1083" s="574"/>
      <c r="BV1083" s="574"/>
      <c r="BW1083" s="574"/>
      <c r="BX1083" s="574"/>
      <c r="BY1083" s="574"/>
      <c r="BZ1083" s="574"/>
      <c r="CA1083" s="574"/>
      <c r="CB1083" s="574"/>
      <c r="CC1083" s="574"/>
      <c r="CD1083" s="574"/>
      <c r="CE1083" s="574"/>
      <c r="CF1083" s="574"/>
    </row>
    <row r="1084" spans="1:84" s="603" customFormat="1" ht="23.1" customHeight="1" thickBot="1">
      <c r="A1084" s="1438" t="s">
        <v>1097</v>
      </c>
      <c r="B1084" s="1439"/>
      <c r="C1084" s="1439"/>
      <c r="D1084" s="1439"/>
      <c r="E1084" s="1439"/>
      <c r="F1084" s="1439"/>
      <c r="G1084" s="1439"/>
      <c r="H1084" s="1439"/>
      <c r="I1084" s="601" t="s">
        <v>1220</v>
      </c>
      <c r="J1084" s="601"/>
      <c r="K1084" s="601"/>
      <c r="L1084" s="601"/>
      <c r="M1084" s="601"/>
      <c r="N1084" s="601"/>
      <c r="O1084" s="601"/>
      <c r="P1084" s="601"/>
      <c r="Q1084" s="601"/>
      <c r="R1084" s="601"/>
      <c r="S1084" s="601"/>
      <c r="T1084" s="601"/>
      <c r="U1084" s="601"/>
      <c r="V1084" s="601"/>
      <c r="W1084" s="601"/>
      <c r="X1084" s="601"/>
      <c r="Y1084" s="601"/>
      <c r="Z1084" s="601"/>
      <c r="AA1084" s="601"/>
      <c r="AB1084" s="601"/>
      <c r="AC1084" s="601"/>
      <c r="AD1084" s="601"/>
      <c r="AE1084" s="601"/>
      <c r="AF1084" s="601"/>
      <c r="AG1084" s="601"/>
      <c r="AH1084" s="601"/>
      <c r="AI1084" s="601"/>
      <c r="AJ1084" s="1439" t="s">
        <v>1099</v>
      </c>
      <c r="AK1084" s="1439"/>
      <c r="AL1084" s="1439"/>
      <c r="AM1084" s="1439"/>
      <c r="AN1084" s="1439"/>
      <c r="AO1084" s="1439"/>
      <c r="AP1084" s="1439"/>
      <c r="AQ1084" s="601" t="s">
        <v>1221</v>
      </c>
      <c r="AR1084" s="601"/>
      <c r="AS1084" s="601"/>
      <c r="AT1084" s="601"/>
      <c r="AU1084" s="601"/>
      <c r="AV1084" s="601"/>
      <c r="AW1084" s="601"/>
      <c r="AX1084" s="601"/>
      <c r="AY1084" s="601"/>
      <c r="AZ1084" s="601"/>
      <c r="BA1084" s="601"/>
      <c r="BB1084" s="601"/>
      <c r="BC1084" s="601"/>
      <c r="BD1084" s="601"/>
      <c r="BE1084" s="601"/>
      <c r="BF1084" s="601"/>
      <c r="BG1084" s="601"/>
      <c r="BH1084" s="601"/>
      <c r="BI1084" s="601"/>
      <c r="BJ1084" s="601"/>
      <c r="BK1084" s="601"/>
      <c r="BL1084" s="601"/>
      <c r="BM1084" s="601"/>
      <c r="BN1084" s="601"/>
      <c r="BO1084" s="601"/>
      <c r="BP1084" s="601"/>
      <c r="BQ1084" s="601"/>
      <c r="BR1084" s="601"/>
      <c r="BS1084" s="601"/>
      <c r="BT1084" s="601" t="s">
        <v>1222</v>
      </c>
      <c r="BU1084" s="601"/>
      <c r="BV1084" s="601"/>
      <c r="BW1084" s="601"/>
      <c r="BX1084" s="601"/>
      <c r="BY1084" s="601"/>
      <c r="BZ1084" s="601"/>
      <c r="CA1084" s="601"/>
      <c r="CB1084" s="601"/>
      <c r="CC1084" s="601"/>
      <c r="CD1084" s="601"/>
      <c r="CE1084" s="601"/>
      <c r="CF1084" s="602"/>
    </row>
    <row r="1085" spans="1:84" s="583" customFormat="1" ht="23.1" customHeight="1">
      <c r="A1085" s="584"/>
      <c r="B1085" s="585" t="s">
        <v>1102</v>
      </c>
      <c r="C1085" s="585"/>
      <c r="D1085" s="585"/>
      <c r="E1085" s="585"/>
      <c r="F1085" s="585"/>
      <c r="G1085" s="585"/>
      <c r="H1085" s="585"/>
      <c r="I1085" s="585"/>
      <c r="J1085" s="585"/>
      <c r="K1085" s="585"/>
      <c r="L1085" s="585"/>
      <c r="M1085" s="585"/>
      <c r="N1085" s="585"/>
      <c r="O1085" s="585"/>
      <c r="P1085" s="585"/>
      <c r="Q1085" s="585"/>
      <c r="R1085" s="585"/>
      <c r="S1085" s="585"/>
      <c r="T1085" s="585"/>
      <c r="U1085" s="585"/>
      <c r="V1085" s="585"/>
      <c r="W1085" s="585"/>
      <c r="X1085" s="585"/>
      <c r="Y1085" s="585"/>
      <c r="Z1085" s="585"/>
      <c r="AA1085" s="585"/>
      <c r="AB1085" s="585"/>
      <c r="AC1085" s="585"/>
      <c r="AD1085" s="585"/>
      <c r="AE1085" s="585"/>
      <c r="AF1085" s="585"/>
      <c r="AG1085" s="585"/>
      <c r="AH1085" s="585"/>
      <c r="AI1085" s="585"/>
      <c r="AJ1085" s="585"/>
      <c r="AK1085" s="585"/>
      <c r="AL1085" s="585"/>
      <c r="AM1085" s="585"/>
      <c r="AN1085" s="585"/>
      <c r="AO1085" s="585"/>
      <c r="AP1085" s="585"/>
      <c r="AQ1085" s="585"/>
      <c r="AR1085" s="585"/>
      <c r="AS1085" s="585"/>
      <c r="AT1085" s="585"/>
      <c r="AU1085" s="585"/>
      <c r="AV1085" s="585"/>
      <c r="AW1085" s="585"/>
      <c r="AX1085" s="585"/>
      <c r="AY1085" s="585"/>
      <c r="AZ1085" s="585"/>
      <c r="BA1085" s="585"/>
      <c r="BB1085" s="585"/>
      <c r="BC1085" s="585"/>
      <c r="BD1085" s="585"/>
      <c r="BE1085" s="585"/>
      <c r="BF1085" s="585"/>
      <c r="BG1085" s="585"/>
      <c r="BH1085" s="585"/>
      <c r="BI1085" s="585"/>
      <c r="BJ1085" s="585"/>
      <c r="BK1085" s="585"/>
      <c r="BL1085" s="585"/>
      <c r="BM1085" s="585"/>
      <c r="BN1085" s="585"/>
      <c r="BO1085" s="585"/>
      <c r="BP1085" s="585"/>
      <c r="BQ1085" s="585"/>
      <c r="BR1085" s="585"/>
      <c r="BS1085" s="585"/>
      <c r="BT1085" s="585"/>
      <c r="BU1085" s="585"/>
      <c r="BV1085" s="585"/>
      <c r="BW1085" s="585"/>
      <c r="BX1085" s="585"/>
      <c r="BY1085" s="585"/>
      <c r="BZ1085" s="585"/>
      <c r="CA1085" s="585"/>
      <c r="CB1085" s="585"/>
      <c r="CC1085" s="585"/>
      <c r="CD1085" s="585"/>
      <c r="CE1085" s="585"/>
      <c r="CF1085" s="586"/>
    </row>
    <row r="1086" spans="1:84" s="583" customFormat="1" ht="23.1" customHeight="1">
      <c r="A1086" s="587"/>
      <c r="B1086" s="574"/>
      <c r="C1086" s="574"/>
      <c r="D1086" s="405"/>
      <c r="E1086" s="574"/>
      <c r="F1086" s="422"/>
      <c r="G1086" s="422"/>
      <c r="H1086" s="422"/>
      <c r="I1086" s="422"/>
      <c r="J1086" s="422"/>
      <c r="K1086" s="422"/>
      <c r="L1086" s="422"/>
      <c r="M1086" s="422"/>
      <c r="N1086" s="574"/>
      <c r="O1086" s="574"/>
      <c r="P1086" s="574"/>
      <c r="Q1086" s="574"/>
      <c r="R1086" s="574"/>
      <c r="S1086" s="588"/>
      <c r="T1086" s="588"/>
      <c r="U1086" s="588"/>
      <c r="V1086" s="588"/>
      <c r="W1086" s="588"/>
      <c r="X1086" s="588"/>
      <c r="Y1086" s="588"/>
      <c r="Z1086" s="588"/>
      <c r="AA1086" s="574"/>
      <c r="AB1086" s="588"/>
      <c r="AC1086" s="585"/>
      <c r="AD1086" s="585"/>
      <c r="AE1086" s="600"/>
      <c r="AF1086" s="600"/>
      <c r="AG1086" s="600"/>
      <c r="AH1086" s="600"/>
      <c r="AI1086" s="600"/>
      <c r="AJ1086" s="600"/>
      <c r="AK1086" s="600"/>
      <c r="AL1086" s="600"/>
      <c r="AM1086" s="585"/>
      <c r="AN1086" s="585"/>
      <c r="AO1086" s="574"/>
      <c r="AP1086" s="430"/>
      <c r="AQ1086" s="430"/>
      <c r="AR1086" s="430"/>
      <c r="AS1086" s="430"/>
      <c r="AT1086" s="430"/>
      <c r="AU1086" s="430"/>
      <c r="AV1086" s="430"/>
      <c r="AW1086" s="430"/>
      <c r="AX1086" s="430"/>
      <c r="AY1086" s="430"/>
      <c r="AZ1086" s="430"/>
      <c r="BA1086" s="430"/>
      <c r="BB1086" s="430"/>
      <c r="BC1086" s="430"/>
      <c r="BD1086" s="574"/>
      <c r="BE1086" s="574"/>
      <c r="BF1086" s="574"/>
      <c r="BG1086" s="574"/>
      <c r="BH1086" s="574"/>
      <c r="BI1086" s="574"/>
      <c r="BJ1086" s="574"/>
      <c r="BK1086" s="574"/>
      <c r="BL1086" s="574"/>
      <c r="BM1086" s="574"/>
      <c r="BN1086" s="574"/>
      <c r="BO1086" s="574"/>
      <c r="BP1086" s="574"/>
      <c r="BQ1086" s="574"/>
      <c r="BR1086" s="574"/>
      <c r="BS1086" s="574"/>
      <c r="BT1086" s="574"/>
      <c r="BU1086" s="574"/>
      <c r="BV1086" s="574"/>
      <c r="BW1086" s="574"/>
      <c r="BX1086" s="574"/>
      <c r="BY1086" s="574"/>
      <c r="BZ1086" s="574"/>
      <c r="CA1086" s="574"/>
      <c r="CB1086" s="574"/>
      <c r="CC1086" s="574"/>
      <c r="CD1086" s="574"/>
      <c r="CE1086" s="574"/>
      <c r="CF1086" s="589"/>
    </row>
    <row r="1087" spans="1:84" s="583" customFormat="1" ht="23.1" customHeight="1">
      <c r="A1087" s="584"/>
      <c r="B1087" s="585"/>
      <c r="C1087" s="585"/>
      <c r="D1087" s="585"/>
      <c r="E1087" s="585"/>
      <c r="F1087" s="585"/>
      <c r="G1087" s="585"/>
      <c r="H1087" s="585"/>
      <c r="I1087" s="585"/>
      <c r="J1087" s="585"/>
      <c r="K1087" s="585"/>
      <c r="L1087" s="585"/>
      <c r="M1087" s="585"/>
      <c r="N1087" s="585"/>
      <c r="O1087" s="585"/>
      <c r="P1087" s="585"/>
      <c r="Q1087" s="585"/>
      <c r="R1087" s="585"/>
      <c r="S1087" s="585"/>
      <c r="T1087" s="585"/>
      <c r="U1087" s="585"/>
      <c r="V1087" s="590"/>
      <c r="W1087" s="590"/>
      <c r="X1087" s="590"/>
      <c r="Y1087" s="590"/>
      <c r="Z1087" s="590"/>
      <c r="AA1087" s="590"/>
      <c r="AB1087" s="590"/>
      <c r="AC1087" s="590"/>
      <c r="AD1087" s="574"/>
      <c r="AE1087" s="1440">
        <v>3745000</v>
      </c>
      <c r="AF1087" s="1440"/>
      <c r="AG1087" s="1440"/>
      <c r="AH1087" s="1440"/>
      <c r="AI1087" s="1440"/>
      <c r="AJ1087" s="1440"/>
      <c r="AK1087" s="1440"/>
      <c r="AL1087" s="1440"/>
      <c r="AM1087" s="1440"/>
      <c r="AN1087" s="1440"/>
      <c r="AO1087" s="1440"/>
      <c r="AP1087" s="1440"/>
      <c r="AQ1087" s="1440"/>
      <c r="AR1087" s="1440"/>
      <c r="AS1087" s="1440"/>
      <c r="AT1087" s="1491" t="s">
        <v>446</v>
      </c>
      <c r="AU1087" s="1491"/>
      <c r="AV1087" s="1500" t="s">
        <v>1103</v>
      </c>
      <c r="AW1087" s="1500"/>
      <c r="AX1087" s="1442">
        <v>3039</v>
      </c>
      <c r="AY1087" s="1442"/>
      <c r="AZ1087" s="1442"/>
      <c r="BA1087" s="1442"/>
      <c r="BB1087" s="1442"/>
      <c r="BC1087" s="1442"/>
      <c r="BD1087" s="585"/>
      <c r="BE1087" s="1491" t="s">
        <v>446</v>
      </c>
      <c r="BF1087" s="1491"/>
      <c r="BG1087" s="585"/>
      <c r="BH1087" s="591" t="s">
        <v>1104</v>
      </c>
      <c r="BI1087" s="585"/>
      <c r="BJ1087" s="585"/>
      <c r="BK1087" s="585"/>
      <c r="BL1087" s="1491" t="s">
        <v>1105</v>
      </c>
      <c r="BM1087" s="1491"/>
      <c r="BN1087" s="1491"/>
      <c r="BO1087" s="585"/>
      <c r="BP1087" s="1491" t="s">
        <v>41</v>
      </c>
      <c r="BQ1087" s="1491"/>
      <c r="BR1087" s="585"/>
      <c r="BS1087" s="585"/>
      <c r="BT1087" s="1437">
        <f>INT(AE1087*AX1087*10^-7)</f>
        <v>1138</v>
      </c>
      <c r="BU1087" s="1437"/>
      <c r="BV1087" s="1437"/>
      <c r="BW1087" s="1437"/>
      <c r="BX1087" s="1437"/>
      <c r="BY1087" s="1437"/>
      <c r="BZ1087" s="1437"/>
      <c r="CA1087" s="1437"/>
      <c r="CB1087" s="1437"/>
      <c r="CC1087" s="1437"/>
      <c r="CD1087" s="585"/>
      <c r="CE1087" s="585"/>
      <c r="CF1087" s="586"/>
    </row>
    <row r="1088" spans="1:84" s="583" customFormat="1" ht="23.1" customHeight="1">
      <c r="A1088" s="592"/>
      <c r="B1088" s="593" t="s">
        <v>1106</v>
      </c>
      <c r="C1088" s="593"/>
      <c r="D1088" s="593"/>
      <c r="E1088" s="593"/>
      <c r="F1088" s="593"/>
      <c r="G1088" s="593"/>
      <c r="H1088" s="593"/>
      <c r="I1088" s="593"/>
      <c r="J1088" s="593"/>
      <c r="K1088" s="593"/>
      <c r="L1088" s="593"/>
      <c r="M1088" s="593"/>
      <c r="N1088" s="593"/>
      <c r="O1088" s="593"/>
      <c r="P1088" s="593"/>
      <c r="Q1088" s="593"/>
      <c r="R1088" s="593"/>
      <c r="S1088" s="593"/>
      <c r="T1088" s="593"/>
      <c r="U1088" s="593"/>
      <c r="V1088" s="593"/>
      <c r="W1088" s="593"/>
      <c r="X1088" s="593"/>
      <c r="Y1088" s="593"/>
      <c r="Z1088" s="593"/>
      <c r="AA1088" s="593"/>
      <c r="AB1088" s="593"/>
      <c r="AC1088" s="593"/>
      <c r="AD1088" s="593"/>
      <c r="AE1088" s="593"/>
      <c r="AF1088" s="593"/>
      <c r="AG1088" s="593"/>
      <c r="AH1088" s="593"/>
      <c r="AI1088" s="593"/>
      <c r="AJ1088" s="593"/>
      <c r="AK1088" s="593"/>
      <c r="AL1088" s="593"/>
      <c r="AM1088" s="593"/>
      <c r="AN1088" s="593"/>
      <c r="AO1088" s="593"/>
      <c r="AP1088" s="593"/>
      <c r="AQ1088" s="593"/>
      <c r="AR1088" s="593"/>
      <c r="AS1088" s="593"/>
      <c r="AT1088" s="593"/>
      <c r="AU1088" s="593"/>
      <c r="AV1088" s="593"/>
      <c r="AW1088" s="593"/>
      <c r="AX1088" s="593"/>
      <c r="AY1088" s="593"/>
      <c r="AZ1088" s="593"/>
      <c r="BA1088" s="593"/>
      <c r="BB1088" s="593"/>
      <c r="BC1088" s="593"/>
      <c r="BD1088" s="593"/>
      <c r="BE1088" s="593"/>
      <c r="BF1088" s="593"/>
      <c r="BG1088" s="593"/>
      <c r="BH1088" s="593"/>
      <c r="BI1088" s="593"/>
      <c r="BJ1088" s="593"/>
      <c r="BK1088" s="593"/>
      <c r="BL1088" s="593"/>
      <c r="BM1088" s="593"/>
      <c r="BN1088" s="593"/>
      <c r="BO1088" s="593"/>
      <c r="BP1088" s="593"/>
      <c r="BQ1088" s="593"/>
      <c r="BR1088" s="593"/>
      <c r="BS1088" s="593"/>
      <c r="BT1088" s="594"/>
      <c r="BU1088" s="594"/>
      <c r="BV1088" s="594"/>
      <c r="BW1088" s="594"/>
      <c r="BX1088" s="594"/>
      <c r="BY1088" s="594"/>
      <c r="BZ1088" s="594"/>
      <c r="CA1088" s="594"/>
      <c r="CB1088" s="594"/>
      <c r="CC1088" s="594"/>
      <c r="CD1088" s="593"/>
      <c r="CE1088" s="593"/>
      <c r="CF1088" s="595"/>
    </row>
    <row r="1089" spans="1:84" s="583" customFormat="1" ht="23.1" customHeight="1">
      <c r="A1089" s="584"/>
      <c r="B1089" s="585"/>
      <c r="C1089" s="585"/>
      <c r="D1089" s="596" t="s">
        <v>1093</v>
      </c>
      <c r="E1089" s="585"/>
      <c r="F1089" s="585"/>
      <c r="G1089" s="585"/>
      <c r="H1089" s="585"/>
      <c r="I1089" s="585"/>
      <c r="J1089" s="585"/>
      <c r="K1089" s="585"/>
      <c r="L1089" s="585"/>
      <c r="M1089" s="585"/>
      <c r="N1089" s="585"/>
      <c r="O1089" s="585"/>
      <c r="P1089" s="585"/>
      <c r="Q1089" s="585"/>
      <c r="R1089" s="585"/>
      <c r="S1089" s="585"/>
      <c r="T1089" s="574"/>
      <c r="U1089" s="574"/>
      <c r="V1089" s="1435">
        <f>HLOOKUP(D1089,$CJ$1:$CM$3,3,0)</f>
        <v>173995</v>
      </c>
      <c r="W1089" s="1435"/>
      <c r="X1089" s="1435"/>
      <c r="Y1089" s="1435"/>
      <c r="Z1089" s="1435"/>
      <c r="AA1089" s="1435"/>
      <c r="AB1089" s="1435"/>
      <c r="AC1089" s="1435"/>
      <c r="AD1089" s="1435"/>
      <c r="AE1089" s="1435"/>
      <c r="AF1089" s="1431" t="s">
        <v>446</v>
      </c>
      <c r="AG1089" s="1431"/>
      <c r="AH1089" s="574"/>
      <c r="AI1089" s="1436" t="s">
        <v>1107</v>
      </c>
      <c r="AJ1089" s="1436"/>
      <c r="AK1089" s="1436"/>
      <c r="AL1089" s="1436"/>
      <c r="AM1089" s="585"/>
      <c r="AN1089" s="1431" t="s">
        <v>446</v>
      </c>
      <c r="AO1089" s="1431"/>
      <c r="AP1089" s="585"/>
      <c r="AQ1089" s="1436" t="s">
        <v>1108</v>
      </c>
      <c r="AR1089" s="1436"/>
      <c r="AS1089" s="1436"/>
      <c r="AT1089" s="1436"/>
      <c r="AU1089" s="1436"/>
      <c r="AV1089" s="422"/>
      <c r="AW1089" s="1431" t="s">
        <v>446</v>
      </c>
      <c r="AX1089" s="1431"/>
      <c r="AY1089" s="440"/>
      <c r="AZ1089" s="1436" t="s">
        <v>1109</v>
      </c>
      <c r="BA1089" s="1436"/>
      <c r="BB1089" s="1436"/>
      <c r="BC1089" s="1436"/>
      <c r="BD1089" s="1436"/>
      <c r="BE1089" s="585"/>
      <c r="BF1089" s="1431" t="s">
        <v>446</v>
      </c>
      <c r="BG1089" s="1431"/>
      <c r="BH1089" s="1431">
        <v>1</v>
      </c>
      <c r="BI1089" s="1431"/>
      <c r="BJ1089" s="1431"/>
      <c r="BK1089" s="585"/>
      <c r="BL1089" s="585" t="s">
        <v>366</v>
      </c>
      <c r="BM1089" s="585"/>
      <c r="BN1089" s="585"/>
      <c r="BO1089" s="585"/>
      <c r="BP1089" s="1431" t="s">
        <v>41</v>
      </c>
      <c r="BQ1089" s="1431"/>
      <c r="BR1089" s="585"/>
      <c r="BS1089" s="585"/>
      <c r="BT1089" s="1432">
        <f>INT(V1089/8*16/12*25/20*BH1089)</f>
        <v>36248</v>
      </c>
      <c r="BU1089" s="1432"/>
      <c r="BV1089" s="1432"/>
      <c r="BW1089" s="1432"/>
      <c r="BX1089" s="1432"/>
      <c r="BY1089" s="1432"/>
      <c r="BZ1089" s="1432"/>
      <c r="CA1089" s="1432"/>
      <c r="CB1089" s="1432"/>
      <c r="CC1089" s="1432"/>
      <c r="CD1089" s="585"/>
      <c r="CE1089" s="585"/>
      <c r="CF1089" s="586"/>
    </row>
    <row r="1090" spans="1:84" s="583" customFormat="1" ht="23.1" customHeight="1">
      <c r="A1090" s="584"/>
      <c r="B1090" s="585"/>
      <c r="C1090" s="585"/>
      <c r="D1090" s="585"/>
      <c r="E1090" s="585"/>
      <c r="F1090" s="585"/>
      <c r="G1090" s="585"/>
      <c r="H1090" s="585"/>
      <c r="I1090" s="585"/>
      <c r="J1090" s="585"/>
      <c r="K1090" s="585"/>
      <c r="L1090" s="585"/>
      <c r="M1090" s="585"/>
      <c r="N1090" s="585"/>
      <c r="O1090" s="585"/>
      <c r="P1090" s="574"/>
      <c r="Q1090" s="574"/>
      <c r="R1090" s="574"/>
      <c r="S1090" s="574"/>
      <c r="T1090" s="574"/>
      <c r="U1090" s="574"/>
      <c r="V1090" s="574"/>
      <c r="W1090" s="574"/>
      <c r="X1090" s="574"/>
      <c r="Y1090" s="574"/>
      <c r="Z1090" s="574"/>
      <c r="AA1090" s="574"/>
      <c r="AB1090" s="574"/>
      <c r="AC1090" s="574"/>
      <c r="AD1090" s="574"/>
      <c r="AE1090" s="574"/>
      <c r="AF1090" s="574"/>
      <c r="AG1090" s="574"/>
      <c r="AH1090" s="574"/>
      <c r="AI1090" s="574"/>
      <c r="AJ1090" s="574"/>
      <c r="AK1090" s="574"/>
      <c r="AL1090" s="574"/>
      <c r="AM1090" s="574"/>
      <c r="AN1090" s="574"/>
      <c r="AO1090" s="574"/>
      <c r="AP1090" s="574"/>
      <c r="AQ1090" s="574"/>
      <c r="AR1090" s="574"/>
      <c r="AS1090" s="574"/>
      <c r="AT1090" s="574"/>
      <c r="AU1090" s="574"/>
      <c r="AV1090" s="574"/>
      <c r="AW1090" s="574"/>
      <c r="AX1090" s="574"/>
      <c r="AY1090" s="574"/>
      <c r="AZ1090" s="574"/>
      <c r="BA1090" s="574"/>
      <c r="BB1090" s="574"/>
      <c r="BC1090" s="574"/>
      <c r="BD1090" s="574"/>
      <c r="BE1090" s="574"/>
      <c r="BF1090" s="574"/>
      <c r="BG1090" s="585"/>
      <c r="BH1090" s="585"/>
      <c r="BI1090" s="585"/>
      <c r="BJ1090" s="585"/>
      <c r="BK1090" s="585"/>
      <c r="BL1090" s="585"/>
      <c r="BM1090" s="585"/>
      <c r="BN1090" s="585"/>
      <c r="BO1090" s="585"/>
      <c r="BP1090" s="1431"/>
      <c r="BQ1090" s="1431"/>
      <c r="BR1090" s="585"/>
      <c r="BS1090" s="585"/>
      <c r="BT1090" s="1432"/>
      <c r="BU1090" s="1432"/>
      <c r="BV1090" s="1432"/>
      <c r="BW1090" s="1432"/>
      <c r="BX1090" s="1432"/>
      <c r="BY1090" s="1432"/>
      <c r="BZ1090" s="1432"/>
      <c r="CA1090" s="1432"/>
      <c r="CB1090" s="1432"/>
      <c r="CC1090" s="1432"/>
      <c r="CD1090" s="585"/>
      <c r="CE1090" s="585"/>
      <c r="CF1090" s="586"/>
    </row>
    <row r="1091" spans="1:84" s="583" customFormat="1" ht="23.1" customHeight="1">
      <c r="A1091" s="584"/>
      <c r="B1091" s="585"/>
      <c r="C1091" s="585"/>
      <c r="D1091" s="585"/>
      <c r="E1091" s="585"/>
      <c r="F1091" s="585"/>
      <c r="G1091" s="585"/>
      <c r="H1091" s="585"/>
      <c r="I1091" s="585"/>
      <c r="J1091" s="585"/>
      <c r="K1091" s="585"/>
      <c r="L1091" s="585"/>
      <c r="M1091" s="585"/>
      <c r="N1091" s="585"/>
      <c r="O1091" s="585"/>
      <c r="P1091" s="585"/>
      <c r="Q1091" s="585"/>
      <c r="R1091" s="585"/>
      <c r="S1091" s="585"/>
      <c r="T1091" s="585"/>
      <c r="U1091" s="585"/>
      <c r="V1091" s="585"/>
      <c r="W1091" s="585"/>
      <c r="X1091" s="585"/>
      <c r="Y1091" s="585"/>
      <c r="Z1091" s="585"/>
      <c r="AA1091" s="585"/>
      <c r="AB1091" s="585"/>
      <c r="AC1091" s="585"/>
      <c r="AD1091" s="574"/>
      <c r="AE1091" s="574"/>
      <c r="AF1091" s="574"/>
      <c r="AG1091" s="574"/>
      <c r="AH1091" s="574"/>
      <c r="AI1091" s="574"/>
      <c r="AJ1091" s="574"/>
      <c r="AK1091" s="574"/>
      <c r="AL1091" s="574"/>
      <c r="AM1091" s="574"/>
      <c r="AN1091" s="574"/>
      <c r="AO1091" s="574"/>
      <c r="AP1091" s="574"/>
      <c r="AQ1091" s="574"/>
      <c r="AR1091" s="574"/>
      <c r="AS1091" s="585"/>
      <c r="AT1091" s="590"/>
      <c r="AU1091" s="590"/>
      <c r="AV1091" s="585"/>
      <c r="AW1091" s="585"/>
      <c r="AX1091" s="585"/>
      <c r="AY1091" s="585"/>
      <c r="AZ1091" s="585"/>
      <c r="BA1091" s="585"/>
      <c r="BB1091" s="585"/>
      <c r="BC1091" s="585"/>
      <c r="BD1091" s="585"/>
      <c r="BE1091" s="585"/>
      <c r="BF1091" s="585"/>
      <c r="BG1091" s="585"/>
      <c r="BH1091" s="585"/>
      <c r="BI1091" s="585"/>
      <c r="BJ1091" s="585"/>
      <c r="BK1091" s="585"/>
      <c r="BL1091" s="585"/>
      <c r="BM1091" s="585"/>
      <c r="BN1091" s="585"/>
      <c r="BO1091" s="585"/>
      <c r="BP1091" s="1431" t="s">
        <v>41</v>
      </c>
      <c r="BQ1091" s="1431"/>
      <c r="BR1091" s="585"/>
      <c r="BS1091" s="585"/>
      <c r="BT1091" s="1434">
        <f>BT1089+BT1090</f>
        <v>36248</v>
      </c>
      <c r="BU1091" s="1434"/>
      <c r="BV1091" s="1434"/>
      <c r="BW1091" s="1434"/>
      <c r="BX1091" s="1434"/>
      <c r="BY1091" s="1434"/>
      <c r="BZ1091" s="1434"/>
      <c r="CA1091" s="1434"/>
      <c r="CB1091" s="1434"/>
      <c r="CC1091" s="1434"/>
      <c r="CD1091" s="585"/>
      <c r="CE1091" s="585"/>
      <c r="CF1091" s="586"/>
    </row>
    <row r="1092" spans="1:84" s="583" customFormat="1" ht="23.1" customHeight="1">
      <c r="A1092" s="592"/>
      <c r="B1092" s="593" t="s">
        <v>1110</v>
      </c>
      <c r="C1092" s="593"/>
      <c r="D1092" s="593"/>
      <c r="E1092" s="593"/>
      <c r="F1092" s="593"/>
      <c r="G1092" s="593"/>
      <c r="H1092" s="593"/>
      <c r="I1092" s="593"/>
      <c r="J1092" s="593"/>
      <c r="K1092" s="593"/>
      <c r="L1092" s="593"/>
      <c r="M1092" s="593"/>
      <c r="N1092" s="593"/>
      <c r="O1092" s="593"/>
      <c r="P1092" s="593"/>
      <c r="Q1092" s="593"/>
      <c r="R1092" s="593"/>
      <c r="S1092" s="593"/>
      <c r="T1092" s="593"/>
      <c r="U1092" s="593"/>
      <c r="V1092" s="593"/>
      <c r="W1092" s="593"/>
      <c r="X1092" s="593"/>
      <c r="Y1092" s="593"/>
      <c r="Z1092" s="593"/>
      <c r="AA1092" s="593"/>
      <c r="AB1092" s="593"/>
      <c r="AC1092" s="593"/>
      <c r="AD1092" s="593"/>
      <c r="AE1092" s="593"/>
      <c r="AF1092" s="593"/>
      <c r="AG1092" s="593"/>
      <c r="AH1092" s="593"/>
      <c r="AI1092" s="593"/>
      <c r="AJ1092" s="593"/>
      <c r="AK1092" s="593"/>
      <c r="AL1092" s="593"/>
      <c r="AM1092" s="593"/>
      <c r="AN1092" s="593"/>
      <c r="AO1092" s="593"/>
      <c r="AP1092" s="593"/>
      <c r="AQ1092" s="593"/>
      <c r="AR1092" s="593"/>
      <c r="AS1092" s="593"/>
      <c r="AT1092" s="593"/>
      <c r="AU1092" s="593"/>
      <c r="AV1092" s="593"/>
      <c r="AW1092" s="593"/>
      <c r="AX1092" s="593"/>
      <c r="AY1092" s="593"/>
      <c r="AZ1092" s="593"/>
      <c r="BA1092" s="593"/>
      <c r="BB1092" s="593"/>
      <c r="BC1092" s="593"/>
      <c r="BD1092" s="593"/>
      <c r="BE1092" s="593"/>
      <c r="BF1092" s="593"/>
      <c r="BG1092" s="593"/>
      <c r="BH1092" s="593"/>
      <c r="BI1092" s="593"/>
      <c r="BJ1092" s="593"/>
      <c r="BK1092" s="593"/>
      <c r="BL1092" s="593"/>
      <c r="BM1092" s="593"/>
      <c r="BN1092" s="593"/>
      <c r="BO1092" s="593"/>
      <c r="BP1092" s="593"/>
      <c r="BQ1092" s="593"/>
      <c r="BR1092" s="593"/>
      <c r="BS1092" s="593"/>
      <c r="BT1092" s="593"/>
      <c r="BU1092" s="593"/>
      <c r="BV1092" s="593"/>
      <c r="BW1092" s="593"/>
      <c r="BX1092" s="593"/>
      <c r="BY1092" s="593"/>
      <c r="BZ1092" s="593"/>
      <c r="CA1092" s="593"/>
      <c r="CB1092" s="593"/>
      <c r="CC1092" s="593"/>
      <c r="CD1092" s="593"/>
      <c r="CE1092" s="593"/>
      <c r="CF1092" s="595"/>
    </row>
    <row r="1093" spans="1:84" s="583" customFormat="1" ht="23.1" customHeight="1">
      <c r="A1093" s="584"/>
      <c r="B1093" s="585"/>
      <c r="C1093" s="585"/>
      <c r="D1093" s="596" t="s">
        <v>42</v>
      </c>
      <c r="E1093" s="585"/>
      <c r="F1093" s="585"/>
      <c r="G1093" s="585"/>
      <c r="H1093" s="585"/>
      <c r="I1093" s="585"/>
      <c r="J1093" s="585"/>
      <c r="K1093" s="585"/>
      <c r="L1093" s="585"/>
      <c r="M1093" s="585"/>
      <c r="N1093" s="585"/>
      <c r="O1093" s="585"/>
      <c r="P1093" s="585"/>
      <c r="Q1093" s="585"/>
      <c r="R1093" s="585"/>
      <c r="S1093" s="585"/>
      <c r="T1093" s="585"/>
      <c r="U1093" s="585"/>
      <c r="V1093" s="585"/>
      <c r="W1093" s="585"/>
      <c r="X1093" s="585"/>
      <c r="Y1093" s="585"/>
      <c r="Z1093" s="585"/>
      <c r="AA1093" s="585"/>
      <c r="AB1093" s="585"/>
      <c r="AC1093" s="585"/>
      <c r="AD1093" s="585"/>
      <c r="AE1093" s="585"/>
      <c r="AF1093" s="585"/>
      <c r="AG1093" s="585"/>
      <c r="AH1093" s="585"/>
      <c r="AI1093" s="585"/>
      <c r="AJ1093" s="585"/>
      <c r="AK1093" s="585"/>
      <c r="AL1093" s="585"/>
      <c r="AM1093" s="585"/>
      <c r="AN1093" s="585"/>
      <c r="AO1093" s="585"/>
      <c r="AP1093" s="585"/>
      <c r="AQ1093" s="585"/>
      <c r="AR1093" s="422"/>
      <c r="AS1093" s="1435" t="e">
        <f>HLOOKUP(D1093,$CN$1:$CO$3,3,0)</f>
        <v>#REF!</v>
      </c>
      <c r="AT1093" s="1435"/>
      <c r="AU1093" s="1435"/>
      <c r="AV1093" s="1435"/>
      <c r="AW1093" s="1435"/>
      <c r="AX1093" s="1435"/>
      <c r="AY1093" s="1435"/>
      <c r="AZ1093" s="1435"/>
      <c r="BA1093" s="1435"/>
      <c r="BB1093" s="1435"/>
      <c r="BC1093" s="585"/>
      <c r="BD1093" s="1431" t="s">
        <v>446</v>
      </c>
      <c r="BE1093" s="1431"/>
      <c r="BF1093" s="585"/>
      <c r="BG1093" s="1431">
        <v>1.3</v>
      </c>
      <c r="BH1093" s="1431"/>
      <c r="BI1093" s="1431"/>
      <c r="BJ1093" s="1431"/>
      <c r="BK1093" s="1431"/>
      <c r="BL1093" s="585" t="s">
        <v>1111</v>
      </c>
      <c r="BM1093" s="585"/>
      <c r="BN1093" s="585"/>
      <c r="BO1093" s="585"/>
      <c r="BP1093" s="1431" t="s">
        <v>41</v>
      </c>
      <c r="BQ1093" s="1431"/>
      <c r="BR1093" s="585"/>
      <c r="BS1093" s="585"/>
      <c r="BT1093" s="1432" t="e">
        <f>INT(AS1093*BG1093)</f>
        <v>#REF!</v>
      </c>
      <c r="BU1093" s="1432"/>
      <c r="BV1093" s="1432"/>
      <c r="BW1093" s="1432"/>
      <c r="BX1093" s="1432"/>
      <c r="BY1093" s="1432"/>
      <c r="BZ1093" s="1432"/>
      <c r="CA1093" s="1432"/>
      <c r="CB1093" s="1432"/>
      <c r="CC1093" s="1432"/>
      <c r="CD1093" s="585"/>
      <c r="CE1093" s="585"/>
      <c r="CF1093" s="586"/>
    </row>
    <row r="1094" spans="1:84" s="583" customFormat="1" ht="23.1" customHeight="1">
      <c r="A1094" s="584"/>
      <c r="B1094" s="585"/>
      <c r="C1094" s="585"/>
      <c r="D1094" s="591" t="str">
        <f>"잡재료 (주연료의 "&amp;BG1094&amp;"%) :"</f>
        <v>잡재료 (주연료의 2%) :</v>
      </c>
      <c r="E1094" s="585"/>
      <c r="F1094" s="585"/>
      <c r="G1094" s="585"/>
      <c r="H1094" s="585"/>
      <c r="I1094" s="585"/>
      <c r="J1094" s="585"/>
      <c r="K1094" s="585"/>
      <c r="L1094" s="585"/>
      <c r="M1094" s="585"/>
      <c r="N1094" s="585"/>
      <c r="O1094" s="585"/>
      <c r="P1094" s="585"/>
      <c r="Q1094" s="585"/>
      <c r="R1094" s="585"/>
      <c r="S1094" s="585"/>
      <c r="T1094" s="585"/>
      <c r="U1094" s="585"/>
      <c r="V1094" s="585"/>
      <c r="W1094" s="585"/>
      <c r="X1094" s="585"/>
      <c r="Y1094" s="585"/>
      <c r="Z1094" s="585"/>
      <c r="AA1094" s="585"/>
      <c r="AB1094" s="585"/>
      <c r="AC1094" s="585"/>
      <c r="AD1094" s="585"/>
      <c r="AE1094" s="585"/>
      <c r="AF1094" s="585"/>
      <c r="AG1094" s="585"/>
      <c r="AH1094" s="585"/>
      <c r="AI1094" s="585"/>
      <c r="AJ1094" s="585"/>
      <c r="AK1094" s="585"/>
      <c r="AL1094" s="585"/>
      <c r="AM1094" s="585"/>
      <c r="AN1094" s="585"/>
      <c r="AO1094" s="585"/>
      <c r="AP1094" s="585"/>
      <c r="AQ1094" s="585"/>
      <c r="AR1094" s="422" t="e">
        <f>BT1093</f>
        <v>#REF!</v>
      </c>
      <c r="AS1094" s="1430" t="e">
        <f>BT1093</f>
        <v>#REF!</v>
      </c>
      <c r="AT1094" s="1430"/>
      <c r="AU1094" s="1430"/>
      <c r="AV1094" s="1430"/>
      <c r="AW1094" s="1430"/>
      <c r="AX1094" s="1430"/>
      <c r="AY1094" s="1430"/>
      <c r="AZ1094" s="1430"/>
      <c r="BA1094" s="1430"/>
      <c r="BB1094" s="1430"/>
      <c r="BC1094" s="585"/>
      <c r="BD1094" s="1431" t="s">
        <v>446</v>
      </c>
      <c r="BE1094" s="1431"/>
      <c r="BF1094" s="585"/>
      <c r="BG1094" s="1431">
        <v>2</v>
      </c>
      <c r="BH1094" s="1431"/>
      <c r="BI1094" s="1431"/>
      <c r="BJ1094" s="1431"/>
      <c r="BK1094" s="1431"/>
      <c r="BL1094" s="585" t="s">
        <v>1112</v>
      </c>
      <c r="BM1094" s="585"/>
      <c r="BN1094" s="585"/>
      <c r="BO1094" s="585"/>
      <c r="BP1094" s="1431" t="s">
        <v>41</v>
      </c>
      <c r="BQ1094" s="1431"/>
      <c r="BR1094" s="585"/>
      <c r="BS1094" s="585"/>
      <c r="BT1094" s="1432" t="e">
        <f>INT(AS1094*BG1094/100)</f>
        <v>#REF!</v>
      </c>
      <c r="BU1094" s="1432"/>
      <c r="BV1094" s="1432"/>
      <c r="BW1094" s="1432"/>
      <c r="BX1094" s="1432"/>
      <c r="BY1094" s="1432"/>
      <c r="BZ1094" s="1432"/>
      <c r="CA1094" s="1432"/>
      <c r="CB1094" s="1432"/>
      <c r="CC1094" s="1432"/>
      <c r="CD1094" s="585"/>
      <c r="CE1094" s="585"/>
      <c r="CF1094" s="586"/>
    </row>
    <row r="1095" spans="1:84" s="583" customFormat="1" ht="23.1" customHeight="1" thickBot="1">
      <c r="A1095" s="584"/>
      <c r="B1095" s="585"/>
      <c r="C1095" s="585"/>
      <c r="D1095" s="585"/>
      <c r="E1095" s="585"/>
      <c r="F1095" s="585"/>
      <c r="G1095" s="585"/>
      <c r="H1095" s="585"/>
      <c r="I1095" s="585"/>
      <c r="J1095" s="585"/>
      <c r="K1095" s="585"/>
      <c r="L1095" s="585"/>
      <c r="M1095" s="585"/>
      <c r="N1095" s="585"/>
      <c r="O1095" s="585"/>
      <c r="P1095" s="585"/>
      <c r="Q1095" s="585"/>
      <c r="R1095" s="585"/>
      <c r="S1095" s="585"/>
      <c r="T1095" s="585"/>
      <c r="U1095" s="585"/>
      <c r="V1095" s="585"/>
      <c r="W1095" s="585"/>
      <c r="X1095" s="585"/>
      <c r="Y1095" s="585"/>
      <c r="Z1095" s="585"/>
      <c r="AA1095" s="585"/>
      <c r="AB1095" s="585"/>
      <c r="AC1095" s="585"/>
      <c r="AD1095" s="585"/>
      <c r="AE1095" s="585"/>
      <c r="AF1095" s="585"/>
      <c r="AG1095" s="585"/>
      <c r="AH1095" s="585"/>
      <c r="AI1095" s="585"/>
      <c r="AJ1095" s="585"/>
      <c r="AK1095" s="585"/>
      <c r="AL1095" s="585"/>
      <c r="AM1095" s="585"/>
      <c r="AN1095" s="585"/>
      <c r="AO1095" s="585"/>
      <c r="AP1095" s="585"/>
      <c r="AQ1095" s="585"/>
      <c r="AR1095" s="585"/>
      <c r="AS1095" s="585"/>
      <c r="AT1095" s="585"/>
      <c r="AU1095" s="585"/>
      <c r="AV1095" s="585"/>
      <c r="AW1095" s="585"/>
      <c r="AX1095" s="585"/>
      <c r="AY1095" s="585"/>
      <c r="AZ1095" s="585"/>
      <c r="BA1095" s="585"/>
      <c r="BB1095" s="585"/>
      <c r="BC1095" s="585"/>
      <c r="BD1095" s="585"/>
      <c r="BE1095" s="585"/>
      <c r="BF1095" s="585"/>
      <c r="BG1095" s="585"/>
      <c r="BH1095" s="585"/>
      <c r="BI1095" s="585"/>
      <c r="BJ1095" s="585"/>
      <c r="BK1095" s="585"/>
      <c r="BL1095" s="585"/>
      <c r="BM1095" s="585"/>
      <c r="BN1095" s="585"/>
      <c r="BO1095" s="585"/>
      <c r="BP1095" s="1431" t="s">
        <v>41</v>
      </c>
      <c r="BQ1095" s="1431"/>
      <c r="BR1095" s="585"/>
      <c r="BS1095" s="585"/>
      <c r="BT1095" s="1433" t="e">
        <f>BT1093+BT1094</f>
        <v>#REF!</v>
      </c>
      <c r="BU1095" s="1433"/>
      <c r="BV1095" s="1433"/>
      <c r="BW1095" s="1433"/>
      <c r="BX1095" s="1433"/>
      <c r="BY1095" s="1433"/>
      <c r="BZ1095" s="1433"/>
      <c r="CA1095" s="1433"/>
      <c r="CB1095" s="1433"/>
      <c r="CC1095" s="1433"/>
      <c r="CD1095" s="585"/>
      <c r="CE1095" s="585"/>
      <c r="CF1095" s="586"/>
    </row>
    <row r="1096" spans="1:84" s="583" customFormat="1" ht="23.1" customHeight="1" thickBot="1">
      <c r="A1096" s="597"/>
      <c r="B1096" s="598" t="s">
        <v>1113</v>
      </c>
      <c r="C1096" s="598"/>
      <c r="D1096" s="598"/>
      <c r="E1096" s="598"/>
      <c r="F1096" s="598"/>
      <c r="G1096" s="598"/>
      <c r="H1096" s="598"/>
      <c r="I1096" s="598"/>
      <c r="J1096" s="598"/>
      <c r="K1096" s="598"/>
      <c r="L1096" s="598"/>
      <c r="M1096" s="598"/>
      <c r="N1096" s="598"/>
      <c r="O1096" s="598"/>
      <c r="P1096" s="598"/>
      <c r="Q1096" s="598"/>
      <c r="R1096" s="598"/>
      <c r="S1096" s="598"/>
      <c r="T1096" s="598"/>
      <c r="U1096" s="598"/>
      <c r="V1096" s="598"/>
      <c r="W1096" s="598"/>
      <c r="X1096" s="598"/>
      <c r="Y1096" s="598"/>
      <c r="Z1096" s="598"/>
      <c r="AA1096" s="598"/>
      <c r="AB1096" s="598"/>
      <c r="AC1096" s="598"/>
      <c r="AD1096" s="598"/>
      <c r="AE1096" s="598"/>
      <c r="AF1096" s="598"/>
      <c r="AG1096" s="598"/>
      <c r="AH1096" s="598"/>
      <c r="AI1096" s="598"/>
      <c r="AJ1096" s="598"/>
      <c r="AK1096" s="598"/>
      <c r="AL1096" s="598"/>
      <c r="AM1096" s="598"/>
      <c r="AN1096" s="598"/>
      <c r="AO1096" s="598"/>
      <c r="AP1096" s="598"/>
      <c r="AQ1096" s="598"/>
      <c r="AR1096" s="598"/>
      <c r="AS1096" s="598"/>
      <c r="AT1096" s="598"/>
      <c r="AU1096" s="598"/>
      <c r="AV1096" s="598"/>
      <c r="AW1096" s="598"/>
      <c r="AX1096" s="598"/>
      <c r="AY1096" s="598"/>
      <c r="AZ1096" s="598"/>
      <c r="BA1096" s="598"/>
      <c r="BB1096" s="598"/>
      <c r="BC1096" s="598"/>
      <c r="BD1096" s="598"/>
      <c r="BE1096" s="598"/>
      <c r="BF1096" s="598"/>
      <c r="BG1096" s="598"/>
      <c r="BH1096" s="598"/>
      <c r="BI1096" s="598"/>
      <c r="BJ1096" s="598"/>
      <c r="BK1096" s="598"/>
      <c r="BL1096" s="598"/>
      <c r="BM1096" s="598"/>
      <c r="BN1096" s="598"/>
      <c r="BO1096" s="598"/>
      <c r="BP1096" s="598"/>
      <c r="BQ1096" s="598"/>
      <c r="BR1096" s="598"/>
      <c r="BS1096" s="598"/>
      <c r="BT1096" s="1429" t="e">
        <f>BT1087+BT1091+BT1095</f>
        <v>#REF!</v>
      </c>
      <c r="BU1096" s="1429"/>
      <c r="BV1096" s="1429"/>
      <c r="BW1096" s="1429"/>
      <c r="BX1096" s="1429"/>
      <c r="BY1096" s="1429"/>
      <c r="BZ1096" s="1429"/>
      <c r="CA1096" s="1429"/>
      <c r="CB1096" s="1429"/>
      <c r="CC1096" s="1429"/>
      <c r="CD1096" s="598"/>
      <c r="CE1096" s="598"/>
      <c r="CF1096" s="599"/>
    </row>
    <row r="1097" spans="1:84" s="583" customFormat="1" ht="9.9499999999999993" customHeight="1">
      <c r="A1097" s="574"/>
      <c r="B1097" s="574"/>
      <c r="C1097" s="574"/>
      <c r="D1097" s="574"/>
      <c r="E1097" s="574"/>
      <c r="F1097" s="574"/>
      <c r="G1097" s="574"/>
      <c r="H1097" s="574"/>
      <c r="I1097" s="574"/>
      <c r="J1097" s="574"/>
      <c r="K1097" s="574"/>
      <c r="L1097" s="574"/>
      <c r="M1097" s="574"/>
      <c r="N1097" s="574"/>
      <c r="O1097" s="574"/>
      <c r="P1097" s="574"/>
      <c r="Q1097" s="574"/>
      <c r="R1097" s="574"/>
      <c r="S1097" s="574"/>
      <c r="T1097" s="574"/>
      <c r="U1097" s="574"/>
      <c r="V1097" s="574"/>
      <c r="W1097" s="574"/>
      <c r="X1097" s="574"/>
      <c r="Y1097" s="574"/>
      <c r="Z1097" s="574"/>
      <c r="AA1097" s="574"/>
      <c r="AB1097" s="574"/>
      <c r="AC1097" s="574"/>
      <c r="AD1097" s="574"/>
      <c r="AE1097" s="574"/>
      <c r="AF1097" s="574"/>
      <c r="AG1097" s="574"/>
      <c r="AH1097" s="574"/>
      <c r="AI1097" s="574"/>
      <c r="AJ1097" s="574"/>
      <c r="AK1097" s="574"/>
      <c r="AL1097" s="574"/>
      <c r="AM1097" s="574"/>
      <c r="AN1097" s="574"/>
      <c r="AO1097" s="574"/>
      <c r="AP1097" s="574"/>
      <c r="AQ1097" s="574"/>
      <c r="AR1097" s="574"/>
      <c r="AS1097" s="574"/>
      <c r="AT1097" s="574"/>
      <c r="AU1097" s="574"/>
      <c r="AV1097" s="574"/>
      <c r="AW1097" s="574"/>
      <c r="AX1097" s="574"/>
      <c r="AY1097" s="574"/>
      <c r="AZ1097" s="574"/>
      <c r="BA1097" s="574"/>
      <c r="BB1097" s="574"/>
      <c r="BC1097" s="574"/>
      <c r="BD1097" s="574"/>
      <c r="BE1097" s="574"/>
      <c r="BF1097" s="574"/>
      <c r="BG1097" s="574"/>
      <c r="BH1097" s="574"/>
      <c r="BI1097" s="574"/>
      <c r="BJ1097" s="574"/>
      <c r="BK1097" s="574"/>
      <c r="BL1097" s="574"/>
      <c r="BM1097" s="574"/>
      <c r="BN1097" s="574"/>
      <c r="BO1097" s="574"/>
      <c r="BP1097" s="574"/>
      <c r="BQ1097" s="574"/>
      <c r="BR1097" s="574"/>
      <c r="BS1097" s="574"/>
      <c r="BT1097" s="574"/>
      <c r="BU1097" s="574"/>
      <c r="BV1097" s="574"/>
      <c r="BW1097" s="574"/>
      <c r="BX1097" s="574"/>
      <c r="BY1097" s="574"/>
      <c r="BZ1097" s="574"/>
      <c r="CA1097" s="574"/>
      <c r="CB1097" s="574"/>
      <c r="CC1097" s="574"/>
      <c r="CD1097" s="574"/>
      <c r="CE1097" s="574"/>
      <c r="CF1097" s="574"/>
    </row>
    <row r="1098" spans="1:84" s="583" customFormat="1" ht="23.1" customHeight="1" thickBot="1">
      <c r="A1098" s="1446" t="s">
        <v>1095</v>
      </c>
      <c r="B1098" s="1446"/>
      <c r="C1098" s="1446"/>
      <c r="D1098" s="1446"/>
      <c r="E1098" s="1446"/>
      <c r="F1098" s="1446"/>
      <c r="G1098" s="1447">
        <f>G1083+1</f>
        <v>74</v>
      </c>
      <c r="H1098" s="1447"/>
      <c r="I1098" s="1447"/>
      <c r="J1098" s="1448" t="s">
        <v>1096</v>
      </c>
      <c r="K1098" s="1448"/>
      <c r="L1098" s="574"/>
      <c r="M1098" s="574"/>
      <c r="N1098" s="574"/>
      <c r="O1098" s="574"/>
      <c r="P1098" s="574"/>
      <c r="Q1098" s="574"/>
      <c r="R1098" s="574"/>
      <c r="S1098" s="574"/>
      <c r="T1098" s="574"/>
      <c r="U1098" s="574"/>
      <c r="V1098" s="574"/>
      <c r="W1098" s="574"/>
      <c r="X1098" s="574"/>
      <c r="Y1098" s="574"/>
      <c r="Z1098" s="574"/>
      <c r="AA1098" s="574"/>
      <c r="AB1098" s="574"/>
      <c r="AC1098" s="574"/>
      <c r="AD1098" s="574"/>
      <c r="AE1098" s="574"/>
      <c r="AF1098" s="574"/>
      <c r="AG1098" s="574"/>
      <c r="AH1098" s="574"/>
      <c r="AI1098" s="574"/>
      <c r="AJ1098" s="574"/>
      <c r="AK1098" s="574"/>
      <c r="AL1098" s="574"/>
      <c r="AM1098" s="574"/>
      <c r="AN1098" s="574"/>
      <c r="AO1098" s="574"/>
      <c r="AP1098" s="574"/>
      <c r="AQ1098" s="574"/>
      <c r="AR1098" s="574"/>
      <c r="AS1098" s="574"/>
      <c r="AT1098" s="574"/>
      <c r="AU1098" s="574"/>
      <c r="AV1098" s="574"/>
      <c r="AW1098" s="574"/>
      <c r="AX1098" s="574"/>
      <c r="AY1098" s="574"/>
      <c r="AZ1098" s="574"/>
      <c r="BA1098" s="574"/>
      <c r="BB1098" s="574"/>
      <c r="BC1098" s="574"/>
      <c r="BD1098" s="574"/>
      <c r="BE1098" s="574"/>
      <c r="BF1098" s="574"/>
      <c r="BG1098" s="574"/>
      <c r="BH1098" s="574"/>
      <c r="BI1098" s="574"/>
      <c r="BJ1098" s="574"/>
      <c r="BK1098" s="574"/>
      <c r="BL1098" s="574"/>
      <c r="BM1098" s="574"/>
      <c r="BN1098" s="574"/>
      <c r="BO1098" s="574"/>
      <c r="BP1098" s="574"/>
      <c r="BQ1098" s="574"/>
      <c r="BR1098" s="574"/>
      <c r="BS1098" s="574"/>
      <c r="BT1098" s="574"/>
      <c r="BU1098" s="574"/>
      <c r="BV1098" s="574"/>
      <c r="BW1098" s="574"/>
      <c r="BX1098" s="574"/>
      <c r="BY1098" s="574"/>
      <c r="BZ1098" s="574"/>
      <c r="CA1098" s="574"/>
      <c r="CB1098" s="574"/>
      <c r="CC1098" s="574"/>
      <c r="CD1098" s="574"/>
      <c r="CE1098" s="574"/>
      <c r="CF1098" s="574"/>
    </row>
    <row r="1099" spans="1:84" s="603" customFormat="1" ht="23.1" customHeight="1" thickBot="1">
      <c r="A1099" s="1438" t="s">
        <v>1097</v>
      </c>
      <c r="B1099" s="1439"/>
      <c r="C1099" s="1439"/>
      <c r="D1099" s="1439"/>
      <c r="E1099" s="1439"/>
      <c r="F1099" s="1439"/>
      <c r="G1099" s="1439"/>
      <c r="H1099" s="1439"/>
      <c r="I1099" s="601" t="s">
        <v>552</v>
      </c>
      <c r="J1099" s="601"/>
      <c r="K1099" s="601"/>
      <c r="L1099" s="601"/>
      <c r="M1099" s="601"/>
      <c r="N1099" s="601"/>
      <c r="O1099" s="601"/>
      <c r="P1099" s="601"/>
      <c r="Q1099" s="601"/>
      <c r="R1099" s="601"/>
      <c r="S1099" s="601"/>
      <c r="T1099" s="601"/>
      <c r="U1099" s="601"/>
      <c r="V1099" s="601"/>
      <c r="W1099" s="601"/>
      <c r="X1099" s="601"/>
      <c r="Y1099" s="601"/>
      <c r="Z1099" s="601"/>
      <c r="AA1099" s="601"/>
      <c r="AB1099" s="601"/>
      <c r="AC1099" s="601"/>
      <c r="AD1099" s="601"/>
      <c r="AE1099" s="601"/>
      <c r="AF1099" s="601"/>
      <c r="AG1099" s="601"/>
      <c r="AH1099" s="601"/>
      <c r="AI1099" s="601"/>
      <c r="AJ1099" s="1439" t="s">
        <v>1099</v>
      </c>
      <c r="AK1099" s="1439"/>
      <c r="AL1099" s="1439"/>
      <c r="AM1099" s="1439"/>
      <c r="AN1099" s="1439"/>
      <c r="AO1099" s="1439"/>
      <c r="AP1099" s="1439"/>
      <c r="AQ1099" s="601" t="s">
        <v>1223</v>
      </c>
      <c r="AR1099" s="601"/>
      <c r="AS1099" s="601"/>
      <c r="AT1099" s="601"/>
      <c r="AU1099" s="601"/>
      <c r="AV1099" s="601"/>
      <c r="AW1099" s="601"/>
      <c r="AX1099" s="601"/>
      <c r="AY1099" s="601"/>
      <c r="AZ1099" s="601"/>
      <c r="BA1099" s="601"/>
      <c r="BB1099" s="601"/>
      <c r="BC1099" s="601"/>
      <c r="BD1099" s="601"/>
      <c r="BE1099" s="601"/>
      <c r="BF1099" s="601"/>
      <c r="BG1099" s="601"/>
      <c r="BH1099" s="601"/>
      <c r="BI1099" s="601"/>
      <c r="BJ1099" s="601"/>
      <c r="BK1099" s="601"/>
      <c r="BL1099" s="601"/>
      <c r="BM1099" s="601"/>
      <c r="BN1099" s="601"/>
      <c r="BO1099" s="601"/>
      <c r="BP1099" s="601"/>
      <c r="BQ1099" s="601"/>
      <c r="BR1099" s="601"/>
      <c r="BS1099" s="601"/>
      <c r="BT1099" s="601" t="s">
        <v>1224</v>
      </c>
      <c r="BU1099" s="601"/>
      <c r="BV1099" s="601"/>
      <c r="BW1099" s="601"/>
      <c r="BX1099" s="601"/>
      <c r="BY1099" s="601"/>
      <c r="BZ1099" s="601"/>
      <c r="CA1099" s="601"/>
      <c r="CB1099" s="601"/>
      <c r="CC1099" s="601"/>
      <c r="CD1099" s="601"/>
      <c r="CE1099" s="601"/>
      <c r="CF1099" s="602"/>
    </row>
    <row r="1100" spans="1:84" s="583" customFormat="1" ht="23.1" customHeight="1">
      <c r="A1100" s="584"/>
      <c r="B1100" s="585" t="s">
        <v>1102</v>
      </c>
      <c r="C1100" s="585"/>
      <c r="D1100" s="585"/>
      <c r="E1100" s="585"/>
      <c r="F1100" s="585"/>
      <c r="G1100" s="585"/>
      <c r="H1100" s="585"/>
      <c r="I1100" s="585"/>
      <c r="J1100" s="585"/>
      <c r="K1100" s="585"/>
      <c r="L1100" s="585"/>
      <c r="M1100" s="585"/>
      <c r="N1100" s="585"/>
      <c r="O1100" s="585"/>
      <c r="P1100" s="585"/>
      <c r="Q1100" s="585"/>
      <c r="R1100" s="585"/>
      <c r="S1100" s="585"/>
      <c r="T1100" s="585"/>
      <c r="U1100" s="585"/>
      <c r="V1100" s="585"/>
      <c r="W1100" s="585"/>
      <c r="X1100" s="585"/>
      <c r="Y1100" s="585"/>
      <c r="Z1100" s="585"/>
      <c r="AA1100" s="585"/>
      <c r="AB1100" s="585"/>
      <c r="AC1100" s="585"/>
      <c r="AD1100" s="585"/>
      <c r="AE1100" s="585"/>
      <c r="AF1100" s="585"/>
      <c r="AG1100" s="585"/>
      <c r="AH1100" s="585"/>
      <c r="AI1100" s="585"/>
      <c r="AJ1100" s="585"/>
      <c r="AK1100" s="585"/>
      <c r="AL1100" s="585"/>
      <c r="AM1100" s="585"/>
      <c r="AN1100" s="585"/>
      <c r="AO1100" s="585"/>
      <c r="AP1100" s="585"/>
      <c r="AQ1100" s="585"/>
      <c r="AR1100" s="585"/>
      <c r="AS1100" s="585"/>
      <c r="AT1100" s="585"/>
      <c r="AU1100" s="585"/>
      <c r="AV1100" s="585"/>
      <c r="AW1100" s="585"/>
      <c r="AX1100" s="585"/>
      <c r="AY1100" s="585"/>
      <c r="AZ1100" s="585"/>
      <c r="BA1100" s="585"/>
      <c r="BB1100" s="585"/>
      <c r="BC1100" s="585"/>
      <c r="BD1100" s="585"/>
      <c r="BE1100" s="585"/>
      <c r="BF1100" s="585"/>
      <c r="BG1100" s="585"/>
      <c r="BH1100" s="585"/>
      <c r="BI1100" s="585"/>
      <c r="BJ1100" s="585"/>
      <c r="BK1100" s="585"/>
      <c r="BL1100" s="585"/>
      <c r="BM1100" s="585"/>
      <c r="BN1100" s="585"/>
      <c r="BO1100" s="585"/>
      <c r="BP1100" s="585"/>
      <c r="BQ1100" s="585"/>
      <c r="BR1100" s="585"/>
      <c r="BS1100" s="585"/>
      <c r="BT1100" s="585"/>
      <c r="BU1100" s="585"/>
      <c r="BV1100" s="585"/>
      <c r="BW1100" s="585"/>
      <c r="BX1100" s="585"/>
      <c r="BY1100" s="585"/>
      <c r="BZ1100" s="585"/>
      <c r="CA1100" s="585"/>
      <c r="CB1100" s="585"/>
      <c r="CC1100" s="585"/>
      <c r="CD1100" s="585"/>
      <c r="CE1100" s="585"/>
      <c r="CF1100" s="586"/>
    </row>
    <row r="1101" spans="1:84" s="583" customFormat="1" ht="23.1" customHeight="1">
      <c r="A1101" s="587"/>
      <c r="B1101" s="574"/>
      <c r="C1101" s="574"/>
      <c r="D1101" s="405"/>
      <c r="E1101" s="574"/>
      <c r="F1101" s="422"/>
      <c r="G1101" s="422"/>
      <c r="H1101" s="422"/>
      <c r="I1101" s="422"/>
      <c r="J1101" s="422"/>
      <c r="K1101" s="422"/>
      <c r="L1101" s="422"/>
      <c r="M1101" s="422"/>
      <c r="N1101" s="574"/>
      <c r="O1101" s="574"/>
      <c r="P1101" s="574"/>
      <c r="Q1101" s="574"/>
      <c r="R1101" s="574"/>
      <c r="S1101" s="588"/>
      <c r="T1101" s="588"/>
      <c r="U1101" s="588"/>
      <c r="V1101" s="588"/>
      <c r="W1101" s="588"/>
      <c r="X1101" s="588"/>
      <c r="Y1101" s="588"/>
      <c r="Z1101" s="588"/>
      <c r="AA1101" s="574"/>
      <c r="AB1101" s="588"/>
      <c r="AC1101" s="585"/>
      <c r="AD1101" s="585"/>
      <c r="AE1101" s="600"/>
      <c r="AF1101" s="600"/>
      <c r="AG1101" s="600"/>
      <c r="AH1101" s="600"/>
      <c r="AI1101" s="600"/>
      <c r="AJ1101" s="600"/>
      <c r="AK1101" s="600"/>
      <c r="AL1101" s="600"/>
      <c r="AM1101" s="585"/>
      <c r="AN1101" s="585"/>
      <c r="AO1101" s="574"/>
      <c r="AP1101" s="430"/>
      <c r="AQ1101" s="430"/>
      <c r="AR1101" s="430"/>
      <c r="AS1101" s="430"/>
      <c r="AT1101" s="430"/>
      <c r="AU1101" s="430"/>
      <c r="AV1101" s="430"/>
      <c r="AW1101" s="430"/>
      <c r="AX1101" s="430"/>
      <c r="AY1101" s="430"/>
      <c r="AZ1101" s="430"/>
      <c r="BA1101" s="430"/>
      <c r="BB1101" s="430"/>
      <c r="BC1101" s="430"/>
      <c r="BD1101" s="574"/>
      <c r="BE1101" s="574"/>
      <c r="BF1101" s="574"/>
      <c r="BG1101" s="574"/>
      <c r="BH1101" s="574"/>
      <c r="BI1101" s="574"/>
      <c r="BJ1101" s="574"/>
      <c r="BK1101" s="574"/>
      <c r="BL1101" s="574"/>
      <c r="BM1101" s="574"/>
      <c r="BN1101" s="574"/>
      <c r="BO1101" s="574"/>
      <c r="BP1101" s="574"/>
      <c r="BQ1101" s="574"/>
      <c r="BR1101" s="574"/>
      <c r="BS1101" s="574"/>
      <c r="BT1101" s="574"/>
      <c r="BU1101" s="574"/>
      <c r="BV1101" s="574"/>
      <c r="BW1101" s="574"/>
      <c r="BX1101" s="574"/>
      <c r="BY1101" s="574"/>
      <c r="BZ1101" s="574"/>
      <c r="CA1101" s="574"/>
      <c r="CB1101" s="574"/>
      <c r="CC1101" s="574"/>
      <c r="CD1101" s="574"/>
      <c r="CE1101" s="574"/>
      <c r="CF1101" s="589"/>
    </row>
    <row r="1102" spans="1:84" s="583" customFormat="1" ht="23.1" customHeight="1">
      <c r="A1102" s="584"/>
      <c r="B1102" s="585"/>
      <c r="C1102" s="585"/>
      <c r="D1102" s="585"/>
      <c r="E1102" s="585"/>
      <c r="F1102" s="585"/>
      <c r="G1102" s="585"/>
      <c r="H1102" s="585"/>
      <c r="I1102" s="585"/>
      <c r="J1102" s="585"/>
      <c r="K1102" s="585"/>
      <c r="L1102" s="585"/>
      <c r="M1102" s="585"/>
      <c r="N1102" s="585"/>
      <c r="O1102" s="585"/>
      <c r="P1102" s="585"/>
      <c r="Q1102" s="585"/>
      <c r="R1102" s="585"/>
      <c r="S1102" s="585"/>
      <c r="T1102" s="585"/>
      <c r="U1102" s="585"/>
      <c r="V1102" s="590"/>
      <c r="W1102" s="590"/>
      <c r="X1102" s="590"/>
      <c r="Y1102" s="590"/>
      <c r="Z1102" s="590"/>
      <c r="AA1102" s="590"/>
      <c r="AB1102" s="590"/>
      <c r="AC1102" s="590"/>
      <c r="AD1102" s="574"/>
      <c r="AE1102" s="1440">
        <v>3249000</v>
      </c>
      <c r="AF1102" s="1440"/>
      <c r="AG1102" s="1440"/>
      <c r="AH1102" s="1440"/>
      <c r="AI1102" s="1440"/>
      <c r="AJ1102" s="1440"/>
      <c r="AK1102" s="1440"/>
      <c r="AL1102" s="1440"/>
      <c r="AM1102" s="1440"/>
      <c r="AN1102" s="1440"/>
      <c r="AO1102" s="1440"/>
      <c r="AP1102" s="1440"/>
      <c r="AQ1102" s="1440"/>
      <c r="AR1102" s="1440"/>
      <c r="AS1102" s="1440"/>
      <c r="AT1102" s="1431" t="s">
        <v>446</v>
      </c>
      <c r="AU1102" s="1431"/>
      <c r="AV1102" s="1441" t="s">
        <v>1103</v>
      </c>
      <c r="AW1102" s="1441"/>
      <c r="AX1102" s="1442">
        <v>6354</v>
      </c>
      <c r="AY1102" s="1442"/>
      <c r="AZ1102" s="1442"/>
      <c r="BA1102" s="1442"/>
      <c r="BB1102" s="1442"/>
      <c r="BC1102" s="1442"/>
      <c r="BD1102" s="585"/>
      <c r="BE1102" s="1431" t="s">
        <v>446</v>
      </c>
      <c r="BF1102" s="1431"/>
      <c r="BG1102" s="585"/>
      <c r="BH1102" s="591" t="s">
        <v>1104</v>
      </c>
      <c r="BI1102" s="585"/>
      <c r="BJ1102" s="585"/>
      <c r="BK1102" s="585"/>
      <c r="BL1102" s="1431" t="s">
        <v>1105</v>
      </c>
      <c r="BM1102" s="1431"/>
      <c r="BN1102" s="1431"/>
      <c r="BO1102" s="585"/>
      <c r="BP1102" s="1431" t="s">
        <v>41</v>
      </c>
      <c r="BQ1102" s="1431"/>
      <c r="BR1102" s="585"/>
      <c r="BS1102" s="585"/>
      <c r="BT1102" s="1437">
        <f>INT(AE1102*AX1102*10^-7)</f>
        <v>2064</v>
      </c>
      <c r="BU1102" s="1437"/>
      <c r="BV1102" s="1437"/>
      <c r="BW1102" s="1437"/>
      <c r="BX1102" s="1437"/>
      <c r="BY1102" s="1437"/>
      <c r="BZ1102" s="1437"/>
      <c r="CA1102" s="1437"/>
      <c r="CB1102" s="1437"/>
      <c r="CC1102" s="1437"/>
      <c r="CD1102" s="585"/>
      <c r="CE1102" s="585"/>
      <c r="CF1102" s="586"/>
    </row>
    <row r="1103" spans="1:84" s="583" customFormat="1" ht="23.1" customHeight="1">
      <c r="A1103" s="592"/>
      <c r="B1103" s="593" t="s">
        <v>1106</v>
      </c>
      <c r="C1103" s="593"/>
      <c r="D1103" s="593"/>
      <c r="E1103" s="593"/>
      <c r="F1103" s="593"/>
      <c r="G1103" s="593"/>
      <c r="H1103" s="593"/>
      <c r="I1103" s="593"/>
      <c r="J1103" s="593"/>
      <c r="K1103" s="593"/>
      <c r="L1103" s="593"/>
      <c r="M1103" s="593"/>
      <c r="N1103" s="593"/>
      <c r="O1103" s="593"/>
      <c r="P1103" s="593"/>
      <c r="Q1103" s="593"/>
      <c r="R1103" s="593"/>
      <c r="S1103" s="593"/>
      <c r="T1103" s="593"/>
      <c r="U1103" s="593"/>
      <c r="V1103" s="593"/>
      <c r="W1103" s="593"/>
      <c r="X1103" s="593"/>
      <c r="Y1103" s="593"/>
      <c r="Z1103" s="593"/>
      <c r="AA1103" s="593"/>
      <c r="AB1103" s="593"/>
      <c r="AC1103" s="593"/>
      <c r="AD1103" s="593"/>
      <c r="AE1103" s="593"/>
      <c r="AF1103" s="593"/>
      <c r="AG1103" s="593"/>
      <c r="AH1103" s="593"/>
      <c r="AI1103" s="593"/>
      <c r="AJ1103" s="593"/>
      <c r="AK1103" s="593"/>
      <c r="AL1103" s="593"/>
      <c r="AM1103" s="593"/>
      <c r="AN1103" s="593"/>
      <c r="AO1103" s="593"/>
      <c r="AP1103" s="593"/>
      <c r="AQ1103" s="593"/>
      <c r="AR1103" s="593"/>
      <c r="AS1103" s="593"/>
      <c r="AT1103" s="593"/>
      <c r="AU1103" s="593"/>
      <c r="AV1103" s="593"/>
      <c r="AW1103" s="593"/>
      <c r="AX1103" s="593"/>
      <c r="AY1103" s="593"/>
      <c r="AZ1103" s="593"/>
      <c r="BA1103" s="593"/>
      <c r="BB1103" s="593"/>
      <c r="BC1103" s="593"/>
      <c r="BD1103" s="593"/>
      <c r="BE1103" s="593"/>
      <c r="BF1103" s="593"/>
      <c r="BG1103" s="593"/>
      <c r="BH1103" s="593"/>
      <c r="BI1103" s="593"/>
      <c r="BJ1103" s="593"/>
      <c r="BK1103" s="593"/>
      <c r="BL1103" s="593"/>
      <c r="BM1103" s="593"/>
      <c r="BN1103" s="593"/>
      <c r="BO1103" s="593"/>
      <c r="BP1103" s="593"/>
      <c r="BQ1103" s="593"/>
      <c r="BR1103" s="593"/>
      <c r="BS1103" s="593"/>
      <c r="BT1103" s="594"/>
      <c r="BU1103" s="594"/>
      <c r="BV1103" s="594"/>
      <c r="BW1103" s="594"/>
      <c r="BX1103" s="594"/>
      <c r="BY1103" s="594"/>
      <c r="BZ1103" s="594"/>
      <c r="CA1103" s="594"/>
      <c r="CB1103" s="594"/>
      <c r="CC1103" s="594"/>
      <c r="CD1103" s="593"/>
      <c r="CE1103" s="593"/>
      <c r="CF1103" s="595"/>
    </row>
    <row r="1104" spans="1:84" s="583" customFormat="1" ht="23.1" customHeight="1">
      <c r="A1104" s="584"/>
      <c r="B1104" s="585"/>
      <c r="C1104" s="585"/>
      <c r="D1104" s="596" t="s">
        <v>1093</v>
      </c>
      <c r="E1104" s="585"/>
      <c r="F1104" s="585"/>
      <c r="G1104" s="585"/>
      <c r="H1104" s="585"/>
      <c r="I1104" s="585"/>
      <c r="J1104" s="585"/>
      <c r="K1104" s="585"/>
      <c r="L1104" s="585"/>
      <c r="M1104" s="585"/>
      <c r="N1104" s="585"/>
      <c r="O1104" s="585"/>
      <c r="P1104" s="585"/>
      <c r="Q1104" s="585"/>
      <c r="R1104" s="585"/>
      <c r="S1104" s="585"/>
      <c r="T1104" s="574"/>
      <c r="U1104" s="574"/>
      <c r="V1104" s="1435">
        <f>HLOOKUP(D1104,$CJ$1:$CM$3,3,0)</f>
        <v>173995</v>
      </c>
      <c r="W1104" s="1435"/>
      <c r="X1104" s="1435"/>
      <c r="Y1104" s="1435"/>
      <c r="Z1104" s="1435"/>
      <c r="AA1104" s="1435"/>
      <c r="AB1104" s="1435"/>
      <c r="AC1104" s="1435"/>
      <c r="AD1104" s="1435"/>
      <c r="AE1104" s="1435"/>
      <c r="AF1104" s="1431" t="s">
        <v>446</v>
      </c>
      <c r="AG1104" s="1431"/>
      <c r="AH1104" s="574"/>
      <c r="AI1104" s="1436" t="s">
        <v>1107</v>
      </c>
      <c r="AJ1104" s="1436"/>
      <c r="AK1104" s="1436"/>
      <c r="AL1104" s="1436"/>
      <c r="AM1104" s="585"/>
      <c r="AN1104" s="1431" t="s">
        <v>446</v>
      </c>
      <c r="AO1104" s="1431"/>
      <c r="AP1104" s="585"/>
      <c r="AQ1104" s="1436" t="s">
        <v>1108</v>
      </c>
      <c r="AR1104" s="1436"/>
      <c r="AS1104" s="1436"/>
      <c r="AT1104" s="1436"/>
      <c r="AU1104" s="1436"/>
      <c r="AV1104" s="422"/>
      <c r="AW1104" s="1431" t="s">
        <v>446</v>
      </c>
      <c r="AX1104" s="1431"/>
      <c r="AY1104" s="440"/>
      <c r="AZ1104" s="1436" t="s">
        <v>1109</v>
      </c>
      <c r="BA1104" s="1436"/>
      <c r="BB1104" s="1436"/>
      <c r="BC1104" s="1436"/>
      <c r="BD1104" s="1436"/>
      <c r="BE1104" s="585"/>
      <c r="BF1104" s="1431" t="s">
        <v>446</v>
      </c>
      <c r="BG1104" s="1431"/>
      <c r="BH1104" s="1431">
        <v>1</v>
      </c>
      <c r="BI1104" s="1431"/>
      <c r="BJ1104" s="1431"/>
      <c r="BK1104" s="585"/>
      <c r="BL1104" s="585" t="s">
        <v>366</v>
      </c>
      <c r="BM1104" s="585"/>
      <c r="BN1104" s="585"/>
      <c r="BO1104" s="585"/>
      <c r="BP1104" s="1431" t="s">
        <v>41</v>
      </c>
      <c r="BQ1104" s="1431"/>
      <c r="BR1104" s="585"/>
      <c r="BS1104" s="585"/>
      <c r="BT1104" s="1432">
        <f>INT(V1104/8*16/12*25/20*BH1104)</f>
        <v>36248</v>
      </c>
      <c r="BU1104" s="1432"/>
      <c r="BV1104" s="1432"/>
      <c r="BW1104" s="1432"/>
      <c r="BX1104" s="1432"/>
      <c r="BY1104" s="1432"/>
      <c r="BZ1104" s="1432"/>
      <c r="CA1104" s="1432"/>
      <c r="CB1104" s="1432"/>
      <c r="CC1104" s="1432"/>
      <c r="CD1104" s="585"/>
      <c r="CE1104" s="585"/>
      <c r="CF1104" s="586"/>
    </row>
    <row r="1105" spans="1:84" s="583" customFormat="1" ht="23.1" customHeight="1">
      <c r="A1105" s="584"/>
      <c r="B1105" s="585"/>
      <c r="C1105" s="585"/>
      <c r="D1105" s="585"/>
      <c r="E1105" s="585"/>
      <c r="F1105" s="585"/>
      <c r="G1105" s="585"/>
      <c r="H1105" s="585"/>
      <c r="I1105" s="585"/>
      <c r="J1105" s="585"/>
      <c r="K1105" s="585"/>
      <c r="L1105" s="585"/>
      <c r="M1105" s="585"/>
      <c r="N1105" s="585"/>
      <c r="O1105" s="585"/>
      <c r="P1105" s="574"/>
      <c r="Q1105" s="574"/>
      <c r="R1105" s="574"/>
      <c r="S1105" s="574"/>
      <c r="T1105" s="574"/>
      <c r="U1105" s="574"/>
      <c r="V1105" s="574"/>
      <c r="W1105" s="574"/>
      <c r="X1105" s="574"/>
      <c r="Y1105" s="574"/>
      <c r="Z1105" s="574"/>
      <c r="AA1105" s="574"/>
      <c r="AB1105" s="574"/>
      <c r="AC1105" s="574"/>
      <c r="AD1105" s="574"/>
      <c r="AE1105" s="574"/>
      <c r="AF1105" s="574"/>
      <c r="AG1105" s="574"/>
      <c r="AH1105" s="574"/>
      <c r="AI1105" s="574"/>
      <c r="AJ1105" s="574"/>
      <c r="AK1105" s="574"/>
      <c r="AL1105" s="574"/>
      <c r="AM1105" s="574"/>
      <c r="AN1105" s="574"/>
      <c r="AO1105" s="574"/>
      <c r="AP1105" s="574"/>
      <c r="AQ1105" s="574"/>
      <c r="AR1105" s="574"/>
      <c r="AS1105" s="574"/>
      <c r="AT1105" s="574"/>
      <c r="AU1105" s="574"/>
      <c r="AV1105" s="574"/>
      <c r="AW1105" s="574"/>
      <c r="AX1105" s="574"/>
      <c r="AY1105" s="574"/>
      <c r="AZ1105" s="574"/>
      <c r="BA1105" s="574"/>
      <c r="BB1105" s="574"/>
      <c r="BC1105" s="574"/>
      <c r="BD1105" s="574"/>
      <c r="BE1105" s="574"/>
      <c r="BF1105" s="574"/>
      <c r="BG1105" s="585"/>
      <c r="BH1105" s="585"/>
      <c r="BI1105" s="585"/>
      <c r="BJ1105" s="585"/>
      <c r="BK1105" s="585"/>
      <c r="BL1105" s="585"/>
      <c r="BM1105" s="585"/>
      <c r="BN1105" s="585"/>
      <c r="BO1105" s="585"/>
      <c r="BP1105" s="1431"/>
      <c r="BQ1105" s="1431"/>
      <c r="BR1105" s="585"/>
      <c r="BS1105" s="585"/>
      <c r="BT1105" s="1432"/>
      <c r="BU1105" s="1432"/>
      <c r="BV1105" s="1432"/>
      <c r="BW1105" s="1432"/>
      <c r="BX1105" s="1432"/>
      <c r="BY1105" s="1432"/>
      <c r="BZ1105" s="1432"/>
      <c r="CA1105" s="1432"/>
      <c r="CB1105" s="1432"/>
      <c r="CC1105" s="1432"/>
      <c r="CD1105" s="585"/>
      <c r="CE1105" s="585"/>
      <c r="CF1105" s="586"/>
    </row>
    <row r="1106" spans="1:84" s="583" customFormat="1" ht="23.1" customHeight="1">
      <c r="A1106" s="584"/>
      <c r="B1106" s="585"/>
      <c r="C1106" s="585"/>
      <c r="D1106" s="585"/>
      <c r="E1106" s="585"/>
      <c r="F1106" s="585"/>
      <c r="G1106" s="585"/>
      <c r="H1106" s="585"/>
      <c r="I1106" s="585"/>
      <c r="J1106" s="585"/>
      <c r="K1106" s="585"/>
      <c r="L1106" s="585"/>
      <c r="M1106" s="585"/>
      <c r="N1106" s="585"/>
      <c r="O1106" s="585"/>
      <c r="P1106" s="585"/>
      <c r="Q1106" s="585"/>
      <c r="R1106" s="585"/>
      <c r="S1106" s="585"/>
      <c r="T1106" s="585"/>
      <c r="U1106" s="585"/>
      <c r="V1106" s="585"/>
      <c r="W1106" s="585"/>
      <c r="X1106" s="585"/>
      <c r="Y1106" s="585"/>
      <c r="Z1106" s="585"/>
      <c r="AA1106" s="585"/>
      <c r="AB1106" s="585"/>
      <c r="AC1106" s="585"/>
      <c r="AD1106" s="574"/>
      <c r="AE1106" s="574"/>
      <c r="AF1106" s="574"/>
      <c r="AG1106" s="574"/>
      <c r="AH1106" s="574"/>
      <c r="AI1106" s="574"/>
      <c r="AJ1106" s="574"/>
      <c r="AK1106" s="574"/>
      <c r="AL1106" s="574"/>
      <c r="AM1106" s="574"/>
      <c r="AN1106" s="574"/>
      <c r="AO1106" s="574"/>
      <c r="AP1106" s="574"/>
      <c r="AQ1106" s="574"/>
      <c r="AR1106" s="574"/>
      <c r="AS1106" s="585"/>
      <c r="AT1106" s="590"/>
      <c r="AU1106" s="590"/>
      <c r="AV1106" s="585"/>
      <c r="AW1106" s="585"/>
      <c r="AX1106" s="585"/>
      <c r="AY1106" s="585"/>
      <c r="AZ1106" s="585"/>
      <c r="BA1106" s="585"/>
      <c r="BB1106" s="585"/>
      <c r="BC1106" s="585"/>
      <c r="BD1106" s="585"/>
      <c r="BE1106" s="585"/>
      <c r="BF1106" s="585"/>
      <c r="BG1106" s="585"/>
      <c r="BH1106" s="585"/>
      <c r="BI1106" s="585"/>
      <c r="BJ1106" s="585"/>
      <c r="BK1106" s="585"/>
      <c r="BL1106" s="585"/>
      <c r="BM1106" s="585"/>
      <c r="BN1106" s="585"/>
      <c r="BO1106" s="585"/>
      <c r="BP1106" s="1431" t="s">
        <v>41</v>
      </c>
      <c r="BQ1106" s="1431"/>
      <c r="BR1106" s="585"/>
      <c r="BS1106" s="585"/>
      <c r="BT1106" s="1434">
        <f>BT1104+BT1105</f>
        <v>36248</v>
      </c>
      <c r="BU1106" s="1434"/>
      <c r="BV1106" s="1434"/>
      <c r="BW1106" s="1434"/>
      <c r="BX1106" s="1434"/>
      <c r="BY1106" s="1434"/>
      <c r="BZ1106" s="1434"/>
      <c r="CA1106" s="1434"/>
      <c r="CB1106" s="1434"/>
      <c r="CC1106" s="1434"/>
      <c r="CD1106" s="585"/>
      <c r="CE1106" s="585"/>
      <c r="CF1106" s="586"/>
    </row>
    <row r="1107" spans="1:84" s="583" customFormat="1" ht="23.1" customHeight="1">
      <c r="A1107" s="592"/>
      <c r="B1107" s="593" t="s">
        <v>1110</v>
      </c>
      <c r="C1107" s="593"/>
      <c r="D1107" s="593"/>
      <c r="E1107" s="593"/>
      <c r="F1107" s="593"/>
      <c r="G1107" s="593"/>
      <c r="H1107" s="593"/>
      <c r="I1107" s="593"/>
      <c r="J1107" s="593"/>
      <c r="K1107" s="593"/>
      <c r="L1107" s="593"/>
      <c r="M1107" s="593"/>
      <c r="N1107" s="593"/>
      <c r="O1107" s="593"/>
      <c r="P1107" s="593"/>
      <c r="Q1107" s="593"/>
      <c r="R1107" s="593"/>
      <c r="S1107" s="593"/>
      <c r="T1107" s="593"/>
      <c r="U1107" s="593"/>
      <c r="V1107" s="593"/>
      <c r="W1107" s="593"/>
      <c r="X1107" s="593"/>
      <c r="Y1107" s="593"/>
      <c r="Z1107" s="593"/>
      <c r="AA1107" s="593"/>
      <c r="AB1107" s="593"/>
      <c r="AC1107" s="593"/>
      <c r="AD1107" s="593"/>
      <c r="AE1107" s="593"/>
      <c r="AF1107" s="593"/>
      <c r="AG1107" s="593"/>
      <c r="AH1107" s="593"/>
      <c r="AI1107" s="593"/>
      <c r="AJ1107" s="593"/>
      <c r="AK1107" s="593"/>
      <c r="AL1107" s="593"/>
      <c r="AM1107" s="593"/>
      <c r="AN1107" s="593"/>
      <c r="AO1107" s="593"/>
      <c r="AP1107" s="593"/>
      <c r="AQ1107" s="593"/>
      <c r="AR1107" s="593"/>
      <c r="AS1107" s="593"/>
      <c r="AT1107" s="593"/>
      <c r="AU1107" s="593"/>
      <c r="AV1107" s="593"/>
      <c r="AW1107" s="593"/>
      <c r="AX1107" s="593"/>
      <c r="AY1107" s="593"/>
      <c r="AZ1107" s="593"/>
      <c r="BA1107" s="593"/>
      <c r="BB1107" s="593"/>
      <c r="BC1107" s="593"/>
      <c r="BD1107" s="593"/>
      <c r="BE1107" s="593"/>
      <c r="BF1107" s="593"/>
      <c r="BG1107" s="593"/>
      <c r="BH1107" s="593"/>
      <c r="BI1107" s="593"/>
      <c r="BJ1107" s="593"/>
      <c r="BK1107" s="593"/>
      <c r="BL1107" s="593"/>
      <c r="BM1107" s="593"/>
      <c r="BN1107" s="593"/>
      <c r="BO1107" s="593"/>
      <c r="BP1107" s="593"/>
      <c r="BQ1107" s="593"/>
      <c r="BR1107" s="593"/>
      <c r="BS1107" s="593"/>
      <c r="BT1107" s="593"/>
      <c r="BU1107" s="593"/>
      <c r="BV1107" s="593"/>
      <c r="BW1107" s="593"/>
      <c r="BX1107" s="593"/>
      <c r="BY1107" s="593"/>
      <c r="BZ1107" s="593"/>
      <c r="CA1107" s="593"/>
      <c r="CB1107" s="593"/>
      <c r="CC1107" s="593"/>
      <c r="CD1107" s="593"/>
      <c r="CE1107" s="593"/>
      <c r="CF1107" s="595"/>
    </row>
    <row r="1108" spans="1:84" s="583" customFormat="1" ht="23.1" customHeight="1">
      <c r="A1108" s="584"/>
      <c r="B1108" s="585"/>
      <c r="C1108" s="585"/>
      <c r="D1108" s="596" t="s">
        <v>42</v>
      </c>
      <c r="E1108" s="585"/>
      <c r="F1108" s="585"/>
      <c r="G1108" s="585"/>
      <c r="H1108" s="585"/>
      <c r="I1108" s="585"/>
      <c r="J1108" s="585"/>
      <c r="K1108" s="585"/>
      <c r="L1108" s="585"/>
      <c r="M1108" s="585"/>
      <c r="N1108" s="585"/>
      <c r="O1108" s="585"/>
      <c r="P1108" s="585"/>
      <c r="Q1108" s="585"/>
      <c r="R1108" s="585"/>
      <c r="S1108" s="585"/>
      <c r="T1108" s="585"/>
      <c r="U1108" s="585"/>
      <c r="V1108" s="585"/>
      <c r="W1108" s="585"/>
      <c r="X1108" s="585"/>
      <c r="Y1108" s="585"/>
      <c r="Z1108" s="585"/>
      <c r="AA1108" s="585"/>
      <c r="AB1108" s="585"/>
      <c r="AC1108" s="585"/>
      <c r="AD1108" s="585"/>
      <c r="AE1108" s="585"/>
      <c r="AF1108" s="585"/>
      <c r="AG1108" s="585"/>
      <c r="AH1108" s="585"/>
      <c r="AI1108" s="585"/>
      <c r="AJ1108" s="585"/>
      <c r="AK1108" s="585"/>
      <c r="AL1108" s="585"/>
      <c r="AM1108" s="585"/>
      <c r="AN1108" s="585"/>
      <c r="AO1108" s="585"/>
      <c r="AP1108" s="585"/>
      <c r="AQ1108" s="585"/>
      <c r="AR1108" s="422"/>
      <c r="AS1108" s="1435" t="e">
        <f>HLOOKUP(D1108,$CN$1:$CO$3,3,0)</f>
        <v>#REF!</v>
      </c>
      <c r="AT1108" s="1435"/>
      <c r="AU1108" s="1435"/>
      <c r="AV1108" s="1435"/>
      <c r="AW1108" s="1435"/>
      <c r="AX1108" s="1435"/>
      <c r="AY1108" s="1435"/>
      <c r="AZ1108" s="1435"/>
      <c r="BA1108" s="1435"/>
      <c r="BB1108" s="1435"/>
      <c r="BC1108" s="585"/>
      <c r="BD1108" s="1431" t="s">
        <v>446</v>
      </c>
      <c r="BE1108" s="1431"/>
      <c r="BF1108" s="585"/>
      <c r="BG1108" s="1431">
        <v>5.6</v>
      </c>
      <c r="BH1108" s="1431"/>
      <c r="BI1108" s="1431"/>
      <c r="BJ1108" s="1431"/>
      <c r="BK1108" s="1431"/>
      <c r="BL1108" s="585" t="s">
        <v>1111</v>
      </c>
      <c r="BM1108" s="585"/>
      <c r="BN1108" s="585"/>
      <c r="BO1108" s="585"/>
      <c r="BP1108" s="1431" t="s">
        <v>41</v>
      </c>
      <c r="BQ1108" s="1431"/>
      <c r="BR1108" s="585"/>
      <c r="BS1108" s="585"/>
      <c r="BT1108" s="1432" t="e">
        <f>INT(AS1108*BG1108)</f>
        <v>#REF!</v>
      </c>
      <c r="BU1108" s="1432"/>
      <c r="BV1108" s="1432"/>
      <c r="BW1108" s="1432"/>
      <c r="BX1108" s="1432"/>
      <c r="BY1108" s="1432"/>
      <c r="BZ1108" s="1432"/>
      <c r="CA1108" s="1432"/>
      <c r="CB1108" s="1432"/>
      <c r="CC1108" s="1432"/>
      <c r="CD1108" s="585"/>
      <c r="CE1108" s="585"/>
      <c r="CF1108" s="586"/>
    </row>
    <row r="1109" spans="1:84" s="583" customFormat="1" ht="23.1" customHeight="1">
      <c r="A1109" s="584"/>
      <c r="B1109" s="585"/>
      <c r="C1109" s="585"/>
      <c r="D1109" s="591" t="str">
        <f>"잡재료 (주연료의 "&amp;BG1109&amp;"%) :"</f>
        <v>잡재료 (주연료의 20%) :</v>
      </c>
      <c r="E1109" s="585"/>
      <c r="F1109" s="585"/>
      <c r="G1109" s="585"/>
      <c r="H1109" s="585"/>
      <c r="I1109" s="585"/>
      <c r="J1109" s="585"/>
      <c r="K1109" s="585"/>
      <c r="L1109" s="585"/>
      <c r="M1109" s="585"/>
      <c r="N1109" s="585"/>
      <c r="O1109" s="585"/>
      <c r="P1109" s="585"/>
      <c r="Q1109" s="585"/>
      <c r="R1109" s="585"/>
      <c r="S1109" s="585"/>
      <c r="T1109" s="585"/>
      <c r="U1109" s="585"/>
      <c r="V1109" s="585"/>
      <c r="W1109" s="585"/>
      <c r="X1109" s="585"/>
      <c r="Y1109" s="585"/>
      <c r="Z1109" s="585"/>
      <c r="AA1109" s="585"/>
      <c r="AB1109" s="585"/>
      <c r="AC1109" s="585"/>
      <c r="AD1109" s="585"/>
      <c r="AE1109" s="585"/>
      <c r="AF1109" s="585"/>
      <c r="AG1109" s="585"/>
      <c r="AH1109" s="585"/>
      <c r="AI1109" s="585"/>
      <c r="AJ1109" s="585"/>
      <c r="AK1109" s="585"/>
      <c r="AL1109" s="585"/>
      <c r="AM1109" s="585"/>
      <c r="AN1109" s="585"/>
      <c r="AO1109" s="585"/>
      <c r="AP1109" s="585"/>
      <c r="AQ1109" s="585"/>
      <c r="AR1109" s="422" t="e">
        <f>BT1108</f>
        <v>#REF!</v>
      </c>
      <c r="AS1109" s="1430" t="e">
        <f>BT1108</f>
        <v>#REF!</v>
      </c>
      <c r="AT1109" s="1430"/>
      <c r="AU1109" s="1430"/>
      <c r="AV1109" s="1430"/>
      <c r="AW1109" s="1430"/>
      <c r="AX1109" s="1430"/>
      <c r="AY1109" s="1430"/>
      <c r="AZ1109" s="1430"/>
      <c r="BA1109" s="1430"/>
      <c r="BB1109" s="1430"/>
      <c r="BC1109" s="585"/>
      <c r="BD1109" s="1431" t="s">
        <v>446</v>
      </c>
      <c r="BE1109" s="1431"/>
      <c r="BF1109" s="585"/>
      <c r="BG1109" s="1431">
        <v>20</v>
      </c>
      <c r="BH1109" s="1431"/>
      <c r="BI1109" s="1431"/>
      <c r="BJ1109" s="1431"/>
      <c r="BK1109" s="1431"/>
      <c r="BL1109" s="585" t="s">
        <v>1112</v>
      </c>
      <c r="BM1109" s="585"/>
      <c r="BN1109" s="585"/>
      <c r="BO1109" s="585"/>
      <c r="BP1109" s="1431" t="s">
        <v>41</v>
      </c>
      <c r="BQ1109" s="1431"/>
      <c r="BR1109" s="585"/>
      <c r="BS1109" s="585"/>
      <c r="BT1109" s="1432" t="e">
        <f>INT(AS1109*BG1109/100)</f>
        <v>#REF!</v>
      </c>
      <c r="BU1109" s="1432"/>
      <c r="BV1109" s="1432"/>
      <c r="BW1109" s="1432"/>
      <c r="BX1109" s="1432"/>
      <c r="BY1109" s="1432"/>
      <c r="BZ1109" s="1432"/>
      <c r="CA1109" s="1432"/>
      <c r="CB1109" s="1432"/>
      <c r="CC1109" s="1432"/>
      <c r="CD1109" s="585"/>
      <c r="CE1109" s="585"/>
      <c r="CF1109" s="586"/>
    </row>
    <row r="1110" spans="1:84" s="583" customFormat="1" ht="23.1" customHeight="1" thickBot="1">
      <c r="A1110" s="584"/>
      <c r="B1110" s="585"/>
      <c r="C1110" s="585"/>
      <c r="D1110" s="585"/>
      <c r="E1110" s="585"/>
      <c r="F1110" s="585"/>
      <c r="G1110" s="585"/>
      <c r="H1110" s="585"/>
      <c r="I1110" s="585"/>
      <c r="J1110" s="585"/>
      <c r="K1110" s="585"/>
      <c r="L1110" s="585"/>
      <c r="M1110" s="585"/>
      <c r="N1110" s="585"/>
      <c r="O1110" s="585"/>
      <c r="P1110" s="585"/>
      <c r="Q1110" s="585"/>
      <c r="R1110" s="585"/>
      <c r="S1110" s="585"/>
      <c r="T1110" s="585"/>
      <c r="U1110" s="585"/>
      <c r="V1110" s="585"/>
      <c r="W1110" s="585"/>
      <c r="X1110" s="585"/>
      <c r="Y1110" s="585"/>
      <c r="Z1110" s="585"/>
      <c r="AA1110" s="585"/>
      <c r="AB1110" s="585"/>
      <c r="AC1110" s="585"/>
      <c r="AD1110" s="585"/>
      <c r="AE1110" s="585"/>
      <c r="AF1110" s="585"/>
      <c r="AG1110" s="585"/>
      <c r="AH1110" s="585"/>
      <c r="AI1110" s="585"/>
      <c r="AJ1110" s="585"/>
      <c r="AK1110" s="585"/>
      <c r="AL1110" s="585"/>
      <c r="AM1110" s="585"/>
      <c r="AN1110" s="585"/>
      <c r="AO1110" s="585"/>
      <c r="AP1110" s="585"/>
      <c r="AQ1110" s="585"/>
      <c r="AR1110" s="585"/>
      <c r="AS1110" s="585"/>
      <c r="AT1110" s="585"/>
      <c r="AU1110" s="585"/>
      <c r="AV1110" s="585"/>
      <c r="AW1110" s="585"/>
      <c r="AX1110" s="585"/>
      <c r="AY1110" s="585"/>
      <c r="AZ1110" s="585"/>
      <c r="BA1110" s="585"/>
      <c r="BB1110" s="585"/>
      <c r="BC1110" s="585"/>
      <c r="BD1110" s="585"/>
      <c r="BE1110" s="585"/>
      <c r="BF1110" s="585"/>
      <c r="BG1110" s="585"/>
      <c r="BH1110" s="585"/>
      <c r="BI1110" s="585"/>
      <c r="BJ1110" s="585"/>
      <c r="BK1110" s="585"/>
      <c r="BL1110" s="585"/>
      <c r="BM1110" s="585"/>
      <c r="BN1110" s="585"/>
      <c r="BO1110" s="585"/>
      <c r="BP1110" s="1431" t="s">
        <v>41</v>
      </c>
      <c r="BQ1110" s="1431"/>
      <c r="BR1110" s="585"/>
      <c r="BS1110" s="585"/>
      <c r="BT1110" s="1433" t="e">
        <f>BT1108+BT1109</f>
        <v>#REF!</v>
      </c>
      <c r="BU1110" s="1433"/>
      <c r="BV1110" s="1433"/>
      <c r="BW1110" s="1433"/>
      <c r="BX1110" s="1433"/>
      <c r="BY1110" s="1433"/>
      <c r="BZ1110" s="1433"/>
      <c r="CA1110" s="1433"/>
      <c r="CB1110" s="1433"/>
      <c r="CC1110" s="1433"/>
      <c r="CD1110" s="585"/>
      <c r="CE1110" s="585"/>
      <c r="CF1110" s="586"/>
    </row>
    <row r="1111" spans="1:84" s="583" customFormat="1" ht="23.1" customHeight="1" thickBot="1">
      <c r="A1111" s="597"/>
      <c r="B1111" s="598" t="s">
        <v>1113</v>
      </c>
      <c r="C1111" s="598"/>
      <c r="D1111" s="598"/>
      <c r="E1111" s="598"/>
      <c r="F1111" s="598"/>
      <c r="G1111" s="598"/>
      <c r="H1111" s="598"/>
      <c r="I1111" s="598"/>
      <c r="J1111" s="598"/>
      <c r="K1111" s="598"/>
      <c r="L1111" s="598"/>
      <c r="M1111" s="598"/>
      <c r="N1111" s="598"/>
      <c r="O1111" s="598"/>
      <c r="P1111" s="598"/>
      <c r="Q1111" s="598"/>
      <c r="R1111" s="598"/>
      <c r="S1111" s="598"/>
      <c r="T1111" s="598"/>
      <c r="U1111" s="598"/>
      <c r="V1111" s="598"/>
      <c r="W1111" s="598"/>
      <c r="X1111" s="598"/>
      <c r="Y1111" s="598"/>
      <c r="Z1111" s="598"/>
      <c r="AA1111" s="598"/>
      <c r="AB1111" s="598"/>
      <c r="AC1111" s="598"/>
      <c r="AD1111" s="598"/>
      <c r="AE1111" s="598"/>
      <c r="AF1111" s="598"/>
      <c r="AG1111" s="598"/>
      <c r="AH1111" s="598"/>
      <c r="AI1111" s="598"/>
      <c r="AJ1111" s="598"/>
      <c r="AK1111" s="598"/>
      <c r="AL1111" s="598"/>
      <c r="AM1111" s="598"/>
      <c r="AN1111" s="598"/>
      <c r="AO1111" s="598"/>
      <c r="AP1111" s="598"/>
      <c r="AQ1111" s="598"/>
      <c r="AR1111" s="598"/>
      <c r="AS1111" s="598"/>
      <c r="AT1111" s="598"/>
      <c r="AU1111" s="598"/>
      <c r="AV1111" s="598"/>
      <c r="AW1111" s="598"/>
      <c r="AX1111" s="598"/>
      <c r="AY1111" s="598"/>
      <c r="AZ1111" s="598"/>
      <c r="BA1111" s="598"/>
      <c r="BB1111" s="598"/>
      <c r="BC1111" s="598"/>
      <c r="BD1111" s="598"/>
      <c r="BE1111" s="598"/>
      <c r="BF1111" s="598"/>
      <c r="BG1111" s="598"/>
      <c r="BH1111" s="598"/>
      <c r="BI1111" s="598"/>
      <c r="BJ1111" s="598"/>
      <c r="BK1111" s="598"/>
      <c r="BL1111" s="598"/>
      <c r="BM1111" s="598"/>
      <c r="BN1111" s="598"/>
      <c r="BO1111" s="598"/>
      <c r="BP1111" s="598"/>
      <c r="BQ1111" s="598"/>
      <c r="BR1111" s="598"/>
      <c r="BS1111" s="598"/>
      <c r="BT1111" s="1429" t="e">
        <f>BT1102+BT1106+BT1110</f>
        <v>#REF!</v>
      </c>
      <c r="BU1111" s="1429"/>
      <c r="BV1111" s="1429"/>
      <c r="BW1111" s="1429"/>
      <c r="BX1111" s="1429"/>
      <c r="BY1111" s="1429"/>
      <c r="BZ1111" s="1429"/>
      <c r="CA1111" s="1429"/>
      <c r="CB1111" s="1429"/>
      <c r="CC1111" s="1429"/>
      <c r="CD1111" s="598"/>
      <c r="CE1111" s="598"/>
      <c r="CF1111" s="599"/>
    </row>
    <row r="1112" spans="1:84" s="583" customFormat="1" ht="9.9499999999999993" customHeight="1">
      <c r="A1112" s="574"/>
      <c r="B1112" s="574"/>
      <c r="C1112" s="574"/>
      <c r="D1112" s="574"/>
      <c r="E1112" s="574"/>
      <c r="F1112" s="574"/>
      <c r="G1112" s="574"/>
      <c r="H1112" s="574"/>
      <c r="I1112" s="574"/>
      <c r="J1112" s="574"/>
      <c r="K1112" s="574"/>
      <c r="L1112" s="574"/>
      <c r="M1112" s="574"/>
      <c r="N1112" s="574"/>
      <c r="O1112" s="574"/>
      <c r="P1112" s="574"/>
      <c r="Q1112" s="574"/>
      <c r="R1112" s="574"/>
      <c r="S1112" s="574"/>
      <c r="T1112" s="574"/>
      <c r="U1112" s="574"/>
      <c r="V1112" s="574"/>
      <c r="W1112" s="574"/>
      <c r="X1112" s="574"/>
      <c r="Y1112" s="574"/>
      <c r="Z1112" s="574"/>
      <c r="AA1112" s="574"/>
      <c r="AB1112" s="574"/>
      <c r="AC1112" s="574"/>
      <c r="AD1112" s="574"/>
      <c r="AE1112" s="574"/>
      <c r="AF1112" s="574"/>
      <c r="AG1112" s="574"/>
      <c r="AH1112" s="574"/>
      <c r="AI1112" s="574"/>
      <c r="AJ1112" s="574"/>
      <c r="AK1112" s="574"/>
      <c r="AL1112" s="574"/>
      <c r="AM1112" s="574"/>
      <c r="AN1112" s="574"/>
      <c r="AO1112" s="574"/>
      <c r="AP1112" s="574"/>
      <c r="AQ1112" s="574"/>
      <c r="AR1112" s="574"/>
      <c r="AS1112" s="574"/>
      <c r="AT1112" s="574"/>
      <c r="AU1112" s="574"/>
      <c r="AV1112" s="574"/>
      <c r="AW1112" s="574"/>
      <c r="AX1112" s="574"/>
      <c r="AY1112" s="574"/>
      <c r="AZ1112" s="574"/>
      <c r="BA1112" s="574"/>
      <c r="BB1112" s="574"/>
      <c r="BC1112" s="574"/>
      <c r="BD1112" s="574"/>
      <c r="BE1112" s="574"/>
      <c r="BF1112" s="574"/>
      <c r="BG1112" s="574"/>
      <c r="BH1112" s="574"/>
      <c r="BI1112" s="574"/>
      <c r="BJ1112" s="574"/>
      <c r="BK1112" s="574"/>
      <c r="BL1112" s="574"/>
      <c r="BM1112" s="574"/>
      <c r="BN1112" s="574"/>
      <c r="BO1112" s="574"/>
      <c r="BP1112" s="574"/>
      <c r="BQ1112" s="574"/>
      <c r="BR1112" s="574"/>
      <c r="BS1112" s="574"/>
      <c r="BT1112" s="574"/>
      <c r="BU1112" s="574"/>
      <c r="BV1112" s="574"/>
      <c r="BW1112" s="574"/>
      <c r="BX1112" s="574"/>
      <c r="BY1112" s="574"/>
      <c r="BZ1112" s="574"/>
      <c r="CA1112" s="574"/>
      <c r="CB1112" s="574"/>
      <c r="CC1112" s="574"/>
      <c r="CD1112" s="574"/>
      <c r="CE1112" s="574"/>
      <c r="CF1112" s="574"/>
    </row>
    <row r="1113" spans="1:84" s="583" customFormat="1" ht="23.1" customHeight="1" thickBot="1">
      <c r="A1113" s="1446" t="s">
        <v>1095</v>
      </c>
      <c r="B1113" s="1446"/>
      <c r="C1113" s="1446"/>
      <c r="D1113" s="1446"/>
      <c r="E1113" s="1446"/>
      <c r="F1113" s="1446"/>
      <c r="G1113" s="1447">
        <f>G1098+1</f>
        <v>75</v>
      </c>
      <c r="H1113" s="1447"/>
      <c r="I1113" s="1447"/>
      <c r="J1113" s="1448" t="s">
        <v>1096</v>
      </c>
      <c r="K1113" s="1448"/>
      <c r="L1113" s="574"/>
      <c r="M1113" s="574"/>
      <c r="N1113" s="574"/>
      <c r="O1113" s="574"/>
      <c r="P1113" s="574"/>
      <c r="Q1113" s="574"/>
      <c r="R1113" s="574"/>
      <c r="S1113" s="574"/>
      <c r="T1113" s="574"/>
      <c r="U1113" s="574"/>
      <c r="V1113" s="574"/>
      <c r="W1113" s="574"/>
      <c r="X1113" s="574"/>
      <c r="Y1113" s="574"/>
      <c r="Z1113" s="574"/>
      <c r="AA1113" s="574"/>
      <c r="AB1113" s="574"/>
      <c r="AC1113" s="574"/>
      <c r="AD1113" s="574"/>
      <c r="AE1113" s="574"/>
      <c r="AF1113" s="574"/>
      <c r="AG1113" s="574"/>
      <c r="AH1113" s="574"/>
      <c r="AI1113" s="574"/>
      <c r="AJ1113" s="574"/>
      <c r="AK1113" s="574"/>
      <c r="AL1113" s="574"/>
      <c r="AM1113" s="574"/>
      <c r="AN1113" s="574"/>
      <c r="AO1113" s="574"/>
      <c r="AP1113" s="574"/>
      <c r="AQ1113" s="574"/>
      <c r="AR1113" s="574"/>
      <c r="AS1113" s="574"/>
      <c r="AT1113" s="574"/>
      <c r="AU1113" s="574"/>
      <c r="AV1113" s="574"/>
      <c r="AW1113" s="574"/>
      <c r="AX1113" s="574"/>
      <c r="AY1113" s="574"/>
      <c r="AZ1113" s="574"/>
      <c r="BA1113" s="574"/>
      <c r="BB1113" s="574"/>
      <c r="BC1113" s="574"/>
      <c r="BD1113" s="574"/>
      <c r="BE1113" s="574"/>
      <c r="BF1113" s="574"/>
      <c r="BG1113" s="574"/>
      <c r="BH1113" s="574"/>
      <c r="BI1113" s="574"/>
      <c r="BJ1113" s="574"/>
      <c r="BK1113" s="574"/>
      <c r="BL1113" s="574"/>
      <c r="BM1113" s="574"/>
      <c r="BN1113" s="574"/>
      <c r="BO1113" s="574"/>
      <c r="BP1113" s="574"/>
      <c r="BQ1113" s="574"/>
      <c r="BR1113" s="574"/>
      <c r="BS1113" s="574"/>
      <c r="BT1113" s="574"/>
      <c r="BU1113" s="574"/>
      <c r="BV1113" s="574"/>
      <c r="BW1113" s="574"/>
      <c r="BX1113" s="574"/>
      <c r="BY1113" s="574"/>
      <c r="BZ1113" s="574"/>
      <c r="CA1113" s="574"/>
      <c r="CB1113" s="574"/>
      <c r="CC1113" s="574"/>
      <c r="CD1113" s="574"/>
      <c r="CE1113" s="574"/>
      <c r="CF1113" s="574"/>
    </row>
    <row r="1114" spans="1:84" s="583" customFormat="1" ht="23.1" customHeight="1" thickBot="1">
      <c r="A1114" s="1483" t="s">
        <v>1097</v>
      </c>
      <c r="B1114" s="1484"/>
      <c r="C1114" s="1484"/>
      <c r="D1114" s="1484"/>
      <c r="E1114" s="1484"/>
      <c r="F1114" s="1484"/>
      <c r="G1114" s="1484"/>
      <c r="H1114" s="1484"/>
      <c r="I1114" s="581" t="s">
        <v>1225</v>
      </c>
      <c r="J1114" s="581"/>
      <c r="K1114" s="581"/>
      <c r="L1114" s="581"/>
      <c r="M1114" s="581"/>
      <c r="N1114" s="581"/>
      <c r="O1114" s="581"/>
      <c r="P1114" s="581"/>
      <c r="Q1114" s="581"/>
      <c r="R1114" s="581"/>
      <c r="S1114" s="581"/>
      <c r="T1114" s="581"/>
      <c r="U1114" s="581"/>
      <c r="V1114" s="581"/>
      <c r="W1114" s="581"/>
      <c r="X1114" s="581"/>
      <c r="Y1114" s="581"/>
      <c r="Z1114" s="581"/>
      <c r="AA1114" s="581"/>
      <c r="AB1114" s="581"/>
      <c r="AC1114" s="581"/>
      <c r="AD1114" s="581"/>
      <c r="AE1114" s="581"/>
      <c r="AF1114" s="581"/>
      <c r="AG1114" s="581"/>
      <c r="AH1114" s="581"/>
      <c r="AI1114" s="581"/>
      <c r="AJ1114" s="1484" t="s">
        <v>1099</v>
      </c>
      <c r="AK1114" s="1484"/>
      <c r="AL1114" s="1484"/>
      <c r="AM1114" s="1484"/>
      <c r="AN1114" s="1484"/>
      <c r="AO1114" s="1484"/>
      <c r="AP1114" s="1484"/>
      <c r="AQ1114" s="581" t="s">
        <v>1226</v>
      </c>
      <c r="AR1114" s="581"/>
      <c r="AS1114" s="581"/>
      <c r="AT1114" s="581"/>
      <c r="AU1114" s="581"/>
      <c r="AV1114" s="581"/>
      <c r="AW1114" s="581"/>
      <c r="AX1114" s="581"/>
      <c r="AY1114" s="581"/>
      <c r="AZ1114" s="581"/>
      <c r="BA1114" s="581"/>
      <c r="BB1114" s="581"/>
      <c r="BC1114" s="581"/>
      <c r="BD1114" s="581"/>
      <c r="BE1114" s="581"/>
      <c r="BF1114" s="581"/>
      <c r="BG1114" s="581"/>
      <c r="BH1114" s="581"/>
      <c r="BI1114" s="581"/>
      <c r="BJ1114" s="581"/>
      <c r="BK1114" s="581"/>
      <c r="BL1114" s="581"/>
      <c r="BM1114" s="581"/>
      <c r="BN1114" s="581"/>
      <c r="BO1114" s="581"/>
      <c r="BP1114" s="581"/>
      <c r="BQ1114" s="581"/>
      <c r="BR1114" s="581"/>
      <c r="BS1114" s="581"/>
      <c r="BT1114" s="581" t="s">
        <v>1227</v>
      </c>
      <c r="BU1114" s="581"/>
      <c r="BV1114" s="581"/>
      <c r="BW1114" s="581"/>
      <c r="BX1114" s="581"/>
      <c r="BY1114" s="581"/>
      <c r="BZ1114" s="581"/>
      <c r="CA1114" s="581"/>
      <c r="CB1114" s="581"/>
      <c r="CC1114" s="581"/>
      <c r="CD1114" s="581"/>
      <c r="CE1114" s="581"/>
      <c r="CF1114" s="582"/>
    </row>
    <row r="1115" spans="1:84" s="583" customFormat="1" ht="23.1" customHeight="1">
      <c r="A1115" s="584"/>
      <c r="B1115" s="585" t="s">
        <v>1102</v>
      </c>
      <c r="C1115" s="585"/>
      <c r="D1115" s="585"/>
      <c r="E1115" s="585"/>
      <c r="F1115" s="585"/>
      <c r="G1115" s="585"/>
      <c r="H1115" s="585"/>
      <c r="I1115" s="585"/>
      <c r="J1115" s="585"/>
      <c r="K1115" s="585"/>
      <c r="L1115" s="585"/>
      <c r="M1115" s="585"/>
      <c r="N1115" s="585"/>
      <c r="O1115" s="585"/>
      <c r="P1115" s="585"/>
      <c r="Q1115" s="585"/>
      <c r="R1115" s="585"/>
      <c r="S1115" s="585"/>
      <c r="T1115" s="585"/>
      <c r="U1115" s="585"/>
      <c r="V1115" s="585"/>
      <c r="W1115" s="585"/>
      <c r="X1115" s="585"/>
      <c r="Y1115" s="585"/>
      <c r="Z1115" s="585"/>
      <c r="AA1115" s="585"/>
      <c r="AB1115" s="585"/>
      <c r="AC1115" s="585"/>
      <c r="AD1115" s="585"/>
      <c r="AE1115" s="585"/>
      <c r="AF1115" s="585"/>
      <c r="AG1115" s="585"/>
      <c r="AH1115" s="585"/>
      <c r="AI1115" s="585"/>
      <c r="AJ1115" s="585"/>
      <c r="AK1115" s="585"/>
      <c r="AL1115" s="585"/>
      <c r="AM1115" s="585"/>
      <c r="AN1115" s="585"/>
      <c r="AO1115" s="585"/>
      <c r="AP1115" s="585"/>
      <c r="AQ1115" s="585"/>
      <c r="AR1115" s="585"/>
      <c r="AS1115" s="585"/>
      <c r="AT1115" s="585"/>
      <c r="AU1115" s="585"/>
      <c r="AV1115" s="585"/>
      <c r="AW1115" s="585"/>
      <c r="AX1115" s="585"/>
      <c r="AY1115" s="585"/>
      <c r="AZ1115" s="585"/>
      <c r="BA1115" s="585"/>
      <c r="BB1115" s="585"/>
      <c r="BC1115" s="585"/>
      <c r="BD1115" s="585"/>
      <c r="BE1115" s="585"/>
      <c r="BF1115" s="585"/>
      <c r="BG1115" s="585"/>
      <c r="BH1115" s="585"/>
      <c r="BI1115" s="585"/>
      <c r="BJ1115" s="585"/>
      <c r="BK1115" s="585"/>
      <c r="BL1115" s="585"/>
      <c r="BM1115" s="585"/>
      <c r="BN1115" s="585"/>
      <c r="BO1115" s="585"/>
      <c r="BP1115" s="585"/>
      <c r="BQ1115" s="585"/>
      <c r="BR1115" s="585"/>
      <c r="BS1115" s="585"/>
      <c r="BT1115" s="585"/>
      <c r="BU1115" s="585"/>
      <c r="BV1115" s="585"/>
      <c r="BW1115" s="585"/>
      <c r="BX1115" s="585"/>
      <c r="BY1115" s="585"/>
      <c r="BZ1115" s="585"/>
      <c r="CA1115" s="585"/>
      <c r="CB1115" s="585"/>
      <c r="CC1115" s="585"/>
      <c r="CD1115" s="585"/>
      <c r="CE1115" s="585"/>
      <c r="CF1115" s="586"/>
    </row>
    <row r="1116" spans="1:84" s="583" customFormat="1" ht="23.1" customHeight="1">
      <c r="A1116" s="587"/>
      <c r="B1116" s="574"/>
      <c r="C1116" s="574"/>
      <c r="D1116" s="405"/>
      <c r="E1116" s="574"/>
      <c r="F1116" s="422"/>
      <c r="G1116" s="422"/>
      <c r="H1116" s="422"/>
      <c r="I1116" s="422"/>
      <c r="J1116" s="422"/>
      <c r="K1116" s="422"/>
      <c r="L1116" s="422"/>
      <c r="M1116" s="422"/>
      <c r="N1116" s="574"/>
      <c r="O1116" s="574"/>
      <c r="P1116" s="574"/>
      <c r="Q1116" s="574"/>
      <c r="R1116" s="574"/>
      <c r="S1116" s="588"/>
      <c r="T1116" s="588"/>
      <c r="U1116" s="588"/>
      <c r="V1116" s="588"/>
      <c r="W1116" s="588"/>
      <c r="X1116" s="588"/>
      <c r="Y1116" s="588"/>
      <c r="Z1116" s="588"/>
      <c r="AA1116" s="574"/>
      <c r="AB1116" s="588"/>
      <c r="AC1116" s="585"/>
      <c r="AD1116" s="585"/>
      <c r="AE1116" s="600"/>
      <c r="AF1116" s="600"/>
      <c r="AG1116" s="600"/>
      <c r="AH1116" s="600"/>
      <c r="AI1116" s="600"/>
      <c r="AJ1116" s="600"/>
      <c r="AK1116" s="600"/>
      <c r="AL1116" s="600"/>
      <c r="AM1116" s="585"/>
      <c r="AN1116" s="585"/>
      <c r="AO1116" s="574"/>
      <c r="AP1116" s="430"/>
      <c r="AQ1116" s="430"/>
      <c r="AR1116" s="430"/>
      <c r="AS1116" s="430"/>
      <c r="AT1116" s="430"/>
      <c r="AU1116" s="430"/>
      <c r="AV1116" s="430"/>
      <c r="AW1116" s="430"/>
      <c r="AX1116" s="430"/>
      <c r="AY1116" s="430"/>
      <c r="AZ1116" s="430"/>
      <c r="BA1116" s="430"/>
      <c r="BB1116" s="430"/>
      <c r="BC1116" s="430"/>
      <c r="BD1116" s="574"/>
      <c r="BE1116" s="574"/>
      <c r="BF1116" s="574"/>
      <c r="BG1116" s="574"/>
      <c r="BH1116" s="574"/>
      <c r="BI1116" s="574"/>
      <c r="BJ1116" s="574"/>
      <c r="BK1116" s="574"/>
      <c r="BL1116" s="574"/>
      <c r="BM1116" s="574"/>
      <c r="BN1116" s="574"/>
      <c r="BO1116" s="574"/>
      <c r="BP1116" s="574"/>
      <c r="BQ1116" s="574"/>
      <c r="BR1116" s="574"/>
      <c r="BS1116" s="574"/>
      <c r="BT1116" s="574"/>
      <c r="BU1116" s="574"/>
      <c r="BV1116" s="574"/>
      <c r="BW1116" s="574"/>
      <c r="BX1116" s="574"/>
      <c r="BY1116" s="574"/>
      <c r="BZ1116" s="574"/>
      <c r="CA1116" s="574"/>
      <c r="CB1116" s="574"/>
      <c r="CC1116" s="574"/>
      <c r="CD1116" s="574"/>
      <c r="CE1116" s="574"/>
      <c r="CF1116" s="589"/>
    </row>
    <row r="1117" spans="1:84" s="583" customFormat="1" ht="23.1" customHeight="1">
      <c r="A1117" s="584"/>
      <c r="B1117" s="585"/>
      <c r="C1117" s="585"/>
      <c r="D1117" s="585"/>
      <c r="E1117" s="585"/>
      <c r="F1117" s="585"/>
      <c r="G1117" s="585"/>
      <c r="H1117" s="585"/>
      <c r="I1117" s="585"/>
      <c r="J1117" s="585"/>
      <c r="K1117" s="585"/>
      <c r="L1117" s="585"/>
      <c r="M1117" s="585"/>
      <c r="N1117" s="585"/>
      <c r="O1117" s="585"/>
      <c r="P1117" s="585"/>
      <c r="Q1117" s="585"/>
      <c r="R1117" s="585"/>
      <c r="S1117" s="585"/>
      <c r="T1117" s="585"/>
      <c r="U1117" s="585"/>
      <c r="V1117" s="590"/>
      <c r="W1117" s="590"/>
      <c r="X1117" s="590"/>
      <c r="Y1117" s="590"/>
      <c r="Z1117" s="590"/>
      <c r="AA1117" s="590"/>
      <c r="AB1117" s="590"/>
      <c r="AC1117" s="590"/>
      <c r="AD1117" s="574"/>
      <c r="AE1117" s="1440">
        <v>341000000</v>
      </c>
      <c r="AF1117" s="1440"/>
      <c r="AG1117" s="1440"/>
      <c r="AH1117" s="1440"/>
      <c r="AI1117" s="1440"/>
      <c r="AJ1117" s="1440"/>
      <c r="AK1117" s="1440"/>
      <c r="AL1117" s="1440"/>
      <c r="AM1117" s="1440"/>
      <c r="AN1117" s="1440"/>
      <c r="AO1117" s="1440"/>
      <c r="AP1117" s="1440"/>
      <c r="AQ1117" s="1440"/>
      <c r="AR1117" s="1440"/>
      <c r="AS1117" s="1440"/>
      <c r="AT1117" s="1431" t="s">
        <v>446</v>
      </c>
      <c r="AU1117" s="1431"/>
      <c r="AV1117" s="1441" t="s">
        <v>1103</v>
      </c>
      <c r="AW1117" s="1441"/>
      <c r="AX1117" s="1442">
        <v>2640</v>
      </c>
      <c r="AY1117" s="1442"/>
      <c r="AZ1117" s="1442"/>
      <c r="BA1117" s="1442"/>
      <c r="BB1117" s="1442"/>
      <c r="BC1117" s="1442"/>
      <c r="BD1117" s="585"/>
      <c r="BE1117" s="1431" t="s">
        <v>446</v>
      </c>
      <c r="BF1117" s="1431"/>
      <c r="BG1117" s="585"/>
      <c r="BH1117" s="591" t="s">
        <v>1104</v>
      </c>
      <c r="BI1117" s="585"/>
      <c r="BJ1117" s="585"/>
      <c r="BK1117" s="585"/>
      <c r="BL1117" s="1431" t="s">
        <v>1105</v>
      </c>
      <c r="BM1117" s="1431"/>
      <c r="BN1117" s="1431"/>
      <c r="BO1117" s="585"/>
      <c r="BP1117" s="1431" t="s">
        <v>41</v>
      </c>
      <c r="BQ1117" s="1431"/>
      <c r="BR1117" s="585"/>
      <c r="BS1117" s="585"/>
      <c r="BT1117" s="1437">
        <f>INT(AE1117*AX1117*10^-7)</f>
        <v>90024</v>
      </c>
      <c r="BU1117" s="1437"/>
      <c r="BV1117" s="1437"/>
      <c r="BW1117" s="1437"/>
      <c r="BX1117" s="1437"/>
      <c r="BY1117" s="1437"/>
      <c r="BZ1117" s="1437"/>
      <c r="CA1117" s="1437"/>
      <c r="CB1117" s="1437"/>
      <c r="CC1117" s="1437"/>
      <c r="CD1117" s="585"/>
      <c r="CE1117" s="585"/>
      <c r="CF1117" s="586"/>
    </row>
    <row r="1118" spans="1:84" s="583" customFormat="1" ht="23.1" customHeight="1">
      <c r="A1118" s="592"/>
      <c r="B1118" s="593" t="s">
        <v>1106</v>
      </c>
      <c r="C1118" s="593"/>
      <c r="D1118" s="593"/>
      <c r="E1118" s="593"/>
      <c r="F1118" s="593"/>
      <c r="G1118" s="593"/>
      <c r="H1118" s="593"/>
      <c r="I1118" s="593"/>
      <c r="J1118" s="593"/>
      <c r="K1118" s="593"/>
      <c r="L1118" s="593"/>
      <c r="M1118" s="593"/>
      <c r="N1118" s="593"/>
      <c r="O1118" s="593"/>
      <c r="P1118" s="593"/>
      <c r="Q1118" s="593"/>
      <c r="R1118" s="593"/>
      <c r="S1118" s="593"/>
      <c r="T1118" s="593"/>
      <c r="U1118" s="593"/>
      <c r="V1118" s="593"/>
      <c r="W1118" s="593"/>
      <c r="X1118" s="593"/>
      <c r="Y1118" s="593"/>
      <c r="Z1118" s="593"/>
      <c r="AA1118" s="593"/>
      <c r="AB1118" s="593"/>
      <c r="AC1118" s="593"/>
      <c r="AD1118" s="593"/>
      <c r="AE1118" s="593"/>
      <c r="AF1118" s="593"/>
      <c r="AG1118" s="593"/>
      <c r="AH1118" s="593"/>
      <c r="AI1118" s="593"/>
      <c r="AJ1118" s="593"/>
      <c r="AK1118" s="593"/>
      <c r="AL1118" s="593"/>
      <c r="AM1118" s="593"/>
      <c r="AN1118" s="593"/>
      <c r="AO1118" s="593"/>
      <c r="AP1118" s="593"/>
      <c r="AQ1118" s="593"/>
      <c r="AR1118" s="593"/>
      <c r="AS1118" s="593"/>
      <c r="AT1118" s="593"/>
      <c r="AU1118" s="593"/>
      <c r="AV1118" s="593"/>
      <c r="AW1118" s="593"/>
      <c r="AX1118" s="593"/>
      <c r="AY1118" s="593"/>
      <c r="AZ1118" s="593"/>
      <c r="BA1118" s="593"/>
      <c r="BB1118" s="593"/>
      <c r="BC1118" s="593"/>
      <c r="BD1118" s="593"/>
      <c r="BE1118" s="593"/>
      <c r="BF1118" s="593"/>
      <c r="BG1118" s="593"/>
      <c r="BH1118" s="593"/>
      <c r="BI1118" s="593"/>
      <c r="BJ1118" s="593"/>
      <c r="BK1118" s="593"/>
      <c r="BL1118" s="593"/>
      <c r="BM1118" s="593"/>
      <c r="BN1118" s="593"/>
      <c r="BO1118" s="593"/>
      <c r="BP1118" s="593"/>
      <c r="BQ1118" s="593"/>
      <c r="BR1118" s="593"/>
      <c r="BS1118" s="593"/>
      <c r="BT1118" s="594"/>
      <c r="BU1118" s="594"/>
      <c r="BV1118" s="594"/>
      <c r="BW1118" s="594"/>
      <c r="BX1118" s="594"/>
      <c r="BY1118" s="594"/>
      <c r="BZ1118" s="594"/>
      <c r="CA1118" s="594"/>
      <c r="CB1118" s="594"/>
      <c r="CC1118" s="594"/>
      <c r="CD1118" s="593"/>
      <c r="CE1118" s="593"/>
      <c r="CF1118" s="595"/>
    </row>
    <row r="1119" spans="1:84" s="583" customFormat="1" ht="23.1" customHeight="1">
      <c r="A1119" s="584"/>
      <c r="B1119" s="585"/>
      <c r="C1119" s="585"/>
      <c r="D1119" s="596" t="s">
        <v>268</v>
      </c>
      <c r="E1119" s="585"/>
      <c r="F1119" s="585"/>
      <c r="G1119" s="585"/>
      <c r="H1119" s="585"/>
      <c r="I1119" s="585"/>
      <c r="J1119" s="585"/>
      <c r="K1119" s="585"/>
      <c r="L1119" s="585"/>
      <c r="M1119" s="585"/>
      <c r="N1119" s="585"/>
      <c r="O1119" s="585"/>
      <c r="P1119" s="585"/>
      <c r="Q1119" s="585"/>
      <c r="R1119" s="585"/>
      <c r="S1119" s="585"/>
      <c r="T1119" s="574"/>
      <c r="U1119" s="574"/>
      <c r="V1119" s="1435">
        <f>HLOOKUP(D1119,$CJ$1:$CM$3,3,0)</f>
        <v>283297</v>
      </c>
      <c r="W1119" s="1435"/>
      <c r="X1119" s="1435"/>
      <c r="Y1119" s="1435"/>
      <c r="Z1119" s="1435"/>
      <c r="AA1119" s="1435"/>
      <c r="AB1119" s="1435"/>
      <c r="AC1119" s="1435"/>
      <c r="AD1119" s="1435"/>
      <c r="AE1119" s="1435"/>
      <c r="AF1119" s="1431" t="s">
        <v>446</v>
      </c>
      <c r="AG1119" s="1431"/>
      <c r="AH1119" s="574"/>
      <c r="AI1119" s="1436" t="s">
        <v>1107</v>
      </c>
      <c r="AJ1119" s="1436"/>
      <c r="AK1119" s="1436"/>
      <c r="AL1119" s="1436"/>
      <c r="AM1119" s="585"/>
      <c r="AN1119" s="1431" t="s">
        <v>446</v>
      </c>
      <c r="AO1119" s="1431"/>
      <c r="AP1119" s="585"/>
      <c r="AQ1119" s="1436" t="s">
        <v>1108</v>
      </c>
      <c r="AR1119" s="1436"/>
      <c r="AS1119" s="1436"/>
      <c r="AT1119" s="1436"/>
      <c r="AU1119" s="1436"/>
      <c r="AV1119" s="422"/>
      <c r="AW1119" s="1431" t="s">
        <v>446</v>
      </c>
      <c r="AX1119" s="1431"/>
      <c r="AY1119" s="440"/>
      <c r="AZ1119" s="1436" t="s">
        <v>1109</v>
      </c>
      <c r="BA1119" s="1436"/>
      <c r="BB1119" s="1436"/>
      <c r="BC1119" s="1436"/>
      <c r="BD1119" s="1436"/>
      <c r="BE1119" s="585"/>
      <c r="BF1119" s="1431" t="s">
        <v>446</v>
      </c>
      <c r="BG1119" s="1431"/>
      <c r="BH1119" s="1431">
        <v>1</v>
      </c>
      <c r="BI1119" s="1431"/>
      <c r="BJ1119" s="1431"/>
      <c r="BK1119" s="585"/>
      <c r="BL1119" s="585" t="s">
        <v>366</v>
      </c>
      <c r="BM1119" s="585"/>
      <c r="BN1119" s="585"/>
      <c r="BO1119" s="585"/>
      <c r="BP1119" s="1431" t="s">
        <v>41</v>
      </c>
      <c r="BQ1119" s="1431"/>
      <c r="BR1119" s="585"/>
      <c r="BS1119" s="585"/>
      <c r="BT1119" s="1432">
        <f>INT(V1119/8*16/12*25/20*BH1119)</f>
        <v>59020</v>
      </c>
      <c r="BU1119" s="1432"/>
      <c r="BV1119" s="1432"/>
      <c r="BW1119" s="1432"/>
      <c r="BX1119" s="1432"/>
      <c r="BY1119" s="1432"/>
      <c r="BZ1119" s="1432"/>
      <c r="CA1119" s="1432"/>
      <c r="CB1119" s="1432"/>
      <c r="CC1119" s="1432"/>
      <c r="CD1119" s="585"/>
      <c r="CE1119" s="585"/>
      <c r="CF1119" s="586"/>
    </row>
    <row r="1120" spans="1:84" s="583" customFormat="1" ht="23.1" customHeight="1">
      <c r="A1120" s="584"/>
      <c r="B1120" s="585"/>
      <c r="C1120" s="585"/>
      <c r="D1120" s="585"/>
      <c r="E1120" s="585"/>
      <c r="F1120" s="585"/>
      <c r="G1120" s="585"/>
      <c r="H1120" s="585"/>
      <c r="I1120" s="585"/>
      <c r="J1120" s="585"/>
      <c r="K1120" s="585"/>
      <c r="L1120" s="585"/>
      <c r="M1120" s="585"/>
      <c r="N1120" s="585"/>
      <c r="O1120" s="585"/>
      <c r="P1120" s="574"/>
      <c r="Q1120" s="574"/>
      <c r="R1120" s="574"/>
      <c r="S1120" s="574"/>
      <c r="T1120" s="574"/>
      <c r="U1120" s="574"/>
      <c r="V1120" s="574"/>
      <c r="W1120" s="574"/>
      <c r="X1120" s="574"/>
      <c r="Y1120" s="574"/>
      <c r="Z1120" s="574"/>
      <c r="AA1120" s="574"/>
      <c r="AB1120" s="574"/>
      <c r="AC1120" s="574"/>
      <c r="AD1120" s="574"/>
      <c r="AE1120" s="574"/>
      <c r="AF1120" s="574"/>
      <c r="AG1120" s="574"/>
      <c r="AH1120" s="574"/>
      <c r="AI1120" s="574"/>
      <c r="AJ1120" s="574"/>
      <c r="AK1120" s="574"/>
      <c r="AL1120" s="574"/>
      <c r="AM1120" s="574"/>
      <c r="AN1120" s="574"/>
      <c r="AO1120" s="574"/>
      <c r="AP1120" s="574"/>
      <c r="AQ1120" s="574"/>
      <c r="AR1120" s="574"/>
      <c r="AS1120" s="574"/>
      <c r="AT1120" s="574"/>
      <c r="AU1120" s="574"/>
      <c r="AV1120" s="574"/>
      <c r="AW1120" s="574"/>
      <c r="AX1120" s="574"/>
      <c r="AY1120" s="574"/>
      <c r="AZ1120" s="574"/>
      <c r="BA1120" s="574"/>
      <c r="BB1120" s="574"/>
      <c r="BC1120" s="574"/>
      <c r="BD1120" s="574"/>
      <c r="BE1120" s="574"/>
      <c r="BF1120" s="574"/>
      <c r="BG1120" s="585"/>
      <c r="BH1120" s="585"/>
      <c r="BI1120" s="585"/>
      <c r="BJ1120" s="585"/>
      <c r="BK1120" s="585"/>
      <c r="BL1120" s="585"/>
      <c r="BM1120" s="585"/>
      <c r="BN1120" s="585"/>
      <c r="BO1120" s="585"/>
      <c r="BP1120" s="1431"/>
      <c r="BQ1120" s="1431"/>
      <c r="BR1120" s="585"/>
      <c r="BS1120" s="585"/>
      <c r="BT1120" s="1432"/>
      <c r="BU1120" s="1432"/>
      <c r="BV1120" s="1432"/>
      <c r="BW1120" s="1432"/>
      <c r="BX1120" s="1432"/>
      <c r="BY1120" s="1432"/>
      <c r="BZ1120" s="1432"/>
      <c r="CA1120" s="1432"/>
      <c r="CB1120" s="1432"/>
      <c r="CC1120" s="1432"/>
      <c r="CD1120" s="585"/>
      <c r="CE1120" s="585"/>
      <c r="CF1120" s="586"/>
    </row>
    <row r="1121" spans="1:84" s="583" customFormat="1" ht="23.1" customHeight="1">
      <c r="A1121" s="584"/>
      <c r="B1121" s="585"/>
      <c r="C1121" s="585"/>
      <c r="D1121" s="585"/>
      <c r="E1121" s="585"/>
      <c r="F1121" s="585"/>
      <c r="G1121" s="585"/>
      <c r="H1121" s="585"/>
      <c r="I1121" s="585"/>
      <c r="J1121" s="585"/>
      <c r="K1121" s="585"/>
      <c r="L1121" s="585"/>
      <c r="M1121" s="585"/>
      <c r="N1121" s="585"/>
      <c r="O1121" s="585"/>
      <c r="P1121" s="585"/>
      <c r="Q1121" s="585"/>
      <c r="R1121" s="585"/>
      <c r="S1121" s="585"/>
      <c r="T1121" s="585"/>
      <c r="U1121" s="585"/>
      <c r="V1121" s="585"/>
      <c r="W1121" s="585"/>
      <c r="X1121" s="585"/>
      <c r="Y1121" s="585"/>
      <c r="Z1121" s="585"/>
      <c r="AA1121" s="585"/>
      <c r="AB1121" s="585"/>
      <c r="AC1121" s="585"/>
      <c r="AD1121" s="574"/>
      <c r="AE1121" s="574"/>
      <c r="AF1121" s="574"/>
      <c r="AG1121" s="574"/>
      <c r="AH1121" s="574"/>
      <c r="AI1121" s="574"/>
      <c r="AJ1121" s="574"/>
      <c r="AK1121" s="574"/>
      <c r="AL1121" s="574"/>
      <c r="AM1121" s="574"/>
      <c r="AN1121" s="574"/>
      <c r="AO1121" s="574"/>
      <c r="AP1121" s="574"/>
      <c r="AQ1121" s="574"/>
      <c r="AR1121" s="574"/>
      <c r="AS1121" s="585"/>
      <c r="AT1121" s="590"/>
      <c r="AU1121" s="590"/>
      <c r="AV1121" s="585"/>
      <c r="AW1121" s="585"/>
      <c r="AX1121" s="585"/>
      <c r="AY1121" s="585"/>
      <c r="AZ1121" s="585"/>
      <c r="BA1121" s="585"/>
      <c r="BB1121" s="585"/>
      <c r="BC1121" s="585"/>
      <c r="BD1121" s="585"/>
      <c r="BE1121" s="585"/>
      <c r="BF1121" s="585"/>
      <c r="BG1121" s="585"/>
      <c r="BH1121" s="585"/>
      <c r="BI1121" s="585"/>
      <c r="BJ1121" s="585"/>
      <c r="BK1121" s="585"/>
      <c r="BL1121" s="585"/>
      <c r="BM1121" s="585"/>
      <c r="BN1121" s="585"/>
      <c r="BO1121" s="585"/>
      <c r="BP1121" s="1431" t="s">
        <v>41</v>
      </c>
      <c r="BQ1121" s="1431"/>
      <c r="BR1121" s="585"/>
      <c r="BS1121" s="585"/>
      <c r="BT1121" s="1434">
        <f>BT1119+BT1120</f>
        <v>59020</v>
      </c>
      <c r="BU1121" s="1434"/>
      <c r="BV1121" s="1434"/>
      <c r="BW1121" s="1434"/>
      <c r="BX1121" s="1434"/>
      <c r="BY1121" s="1434"/>
      <c r="BZ1121" s="1434"/>
      <c r="CA1121" s="1434"/>
      <c r="CB1121" s="1434"/>
      <c r="CC1121" s="1434"/>
      <c r="CD1121" s="585"/>
      <c r="CE1121" s="585"/>
      <c r="CF1121" s="586"/>
    </row>
    <row r="1122" spans="1:84" s="583" customFormat="1" ht="23.1" customHeight="1">
      <c r="A1122" s="592"/>
      <c r="B1122" s="593" t="s">
        <v>1110</v>
      </c>
      <c r="C1122" s="593"/>
      <c r="D1122" s="593"/>
      <c r="E1122" s="593"/>
      <c r="F1122" s="593"/>
      <c r="G1122" s="593"/>
      <c r="H1122" s="593"/>
      <c r="I1122" s="593"/>
      <c r="J1122" s="593"/>
      <c r="K1122" s="593"/>
      <c r="L1122" s="593"/>
      <c r="M1122" s="593"/>
      <c r="N1122" s="593"/>
      <c r="O1122" s="593"/>
      <c r="P1122" s="593"/>
      <c r="Q1122" s="593"/>
      <c r="R1122" s="593"/>
      <c r="S1122" s="593"/>
      <c r="T1122" s="593"/>
      <c r="U1122" s="593"/>
      <c r="V1122" s="593"/>
      <c r="W1122" s="593"/>
      <c r="X1122" s="593"/>
      <c r="Y1122" s="593"/>
      <c r="Z1122" s="593"/>
      <c r="AA1122" s="593"/>
      <c r="AB1122" s="593"/>
      <c r="AC1122" s="593"/>
      <c r="AD1122" s="593"/>
      <c r="AE1122" s="593"/>
      <c r="AF1122" s="593"/>
      <c r="AG1122" s="593"/>
      <c r="AH1122" s="593"/>
      <c r="AI1122" s="593"/>
      <c r="AJ1122" s="593"/>
      <c r="AK1122" s="593"/>
      <c r="AL1122" s="593"/>
      <c r="AM1122" s="593"/>
      <c r="AN1122" s="593"/>
      <c r="AO1122" s="593"/>
      <c r="AP1122" s="593"/>
      <c r="AQ1122" s="593"/>
      <c r="AR1122" s="593"/>
      <c r="AS1122" s="593"/>
      <c r="AT1122" s="593"/>
      <c r="AU1122" s="593"/>
      <c r="AV1122" s="593"/>
      <c r="AW1122" s="593"/>
      <c r="AX1122" s="593"/>
      <c r="AY1122" s="593"/>
      <c r="AZ1122" s="593"/>
      <c r="BA1122" s="593"/>
      <c r="BB1122" s="593"/>
      <c r="BC1122" s="593"/>
      <c r="BD1122" s="593"/>
      <c r="BE1122" s="593"/>
      <c r="BF1122" s="593"/>
      <c r="BG1122" s="593"/>
      <c r="BH1122" s="593"/>
      <c r="BI1122" s="593"/>
      <c r="BJ1122" s="593"/>
      <c r="BK1122" s="593"/>
      <c r="BL1122" s="593"/>
      <c r="BM1122" s="593"/>
      <c r="BN1122" s="593"/>
      <c r="BO1122" s="593"/>
      <c r="BP1122" s="593"/>
      <c r="BQ1122" s="593"/>
      <c r="BR1122" s="593"/>
      <c r="BS1122" s="593"/>
      <c r="BT1122" s="593"/>
      <c r="BU1122" s="593"/>
      <c r="BV1122" s="593"/>
      <c r="BW1122" s="593"/>
      <c r="BX1122" s="593"/>
      <c r="BY1122" s="593"/>
      <c r="BZ1122" s="593"/>
      <c r="CA1122" s="593"/>
      <c r="CB1122" s="593"/>
      <c r="CC1122" s="593"/>
      <c r="CD1122" s="593"/>
      <c r="CE1122" s="593"/>
      <c r="CF1122" s="595"/>
    </row>
    <row r="1123" spans="1:84" s="583" customFormat="1" ht="23.1" customHeight="1">
      <c r="A1123" s="584"/>
      <c r="B1123" s="585"/>
      <c r="C1123" s="585"/>
      <c r="D1123" s="596" t="s">
        <v>1094</v>
      </c>
      <c r="E1123" s="585"/>
      <c r="F1123" s="585"/>
      <c r="G1123" s="585"/>
      <c r="H1123" s="585"/>
      <c r="I1123" s="585"/>
      <c r="J1123" s="585"/>
      <c r="K1123" s="585"/>
      <c r="L1123" s="585"/>
      <c r="M1123" s="585"/>
      <c r="N1123" s="585"/>
      <c r="O1123" s="585"/>
      <c r="P1123" s="585"/>
      <c r="Q1123" s="585"/>
      <c r="R1123" s="585"/>
      <c r="S1123" s="585"/>
      <c r="T1123" s="585"/>
      <c r="U1123" s="585"/>
      <c r="V1123" s="585"/>
      <c r="W1123" s="585"/>
      <c r="X1123" s="585"/>
      <c r="Y1123" s="585"/>
      <c r="Z1123" s="585"/>
      <c r="AA1123" s="585"/>
      <c r="AB1123" s="585"/>
      <c r="AC1123" s="585"/>
      <c r="AD1123" s="585"/>
      <c r="AE1123" s="585"/>
      <c r="AF1123" s="585"/>
      <c r="AG1123" s="585"/>
      <c r="AH1123" s="585"/>
      <c r="AI1123" s="585"/>
      <c r="AJ1123" s="585"/>
      <c r="AK1123" s="585"/>
      <c r="AL1123" s="585"/>
      <c r="AM1123" s="585"/>
      <c r="AN1123" s="585"/>
      <c r="AO1123" s="585"/>
      <c r="AP1123" s="585"/>
      <c r="AQ1123" s="585"/>
      <c r="AR1123" s="422"/>
      <c r="AS1123" s="1435" t="e">
        <f>HLOOKUP(D1123,$CN$1:$CO$3,3,0)</f>
        <v>#REF!</v>
      </c>
      <c r="AT1123" s="1435"/>
      <c r="AU1123" s="1435"/>
      <c r="AV1123" s="1435"/>
      <c r="AW1123" s="1435"/>
      <c r="AX1123" s="1435"/>
      <c r="AY1123" s="1435"/>
      <c r="AZ1123" s="1435"/>
      <c r="BA1123" s="1435"/>
      <c r="BB1123" s="1435"/>
      <c r="BC1123" s="585"/>
      <c r="BD1123" s="1431" t="s">
        <v>446</v>
      </c>
      <c r="BE1123" s="1431"/>
      <c r="BF1123" s="585"/>
      <c r="BG1123" s="1431">
        <v>17.7</v>
      </c>
      <c r="BH1123" s="1431"/>
      <c r="BI1123" s="1431"/>
      <c r="BJ1123" s="1431"/>
      <c r="BK1123" s="1431"/>
      <c r="BL1123" s="585" t="s">
        <v>1111</v>
      </c>
      <c r="BM1123" s="585"/>
      <c r="BN1123" s="585"/>
      <c r="BO1123" s="585"/>
      <c r="BP1123" s="1431" t="s">
        <v>41</v>
      </c>
      <c r="BQ1123" s="1431"/>
      <c r="BR1123" s="585"/>
      <c r="BS1123" s="585"/>
      <c r="BT1123" s="1432" t="e">
        <f>INT(AS1123*BG1123)</f>
        <v>#REF!</v>
      </c>
      <c r="BU1123" s="1432"/>
      <c r="BV1123" s="1432"/>
      <c r="BW1123" s="1432"/>
      <c r="BX1123" s="1432"/>
      <c r="BY1123" s="1432"/>
      <c r="BZ1123" s="1432"/>
      <c r="CA1123" s="1432"/>
      <c r="CB1123" s="1432"/>
      <c r="CC1123" s="1432"/>
      <c r="CD1123" s="585"/>
      <c r="CE1123" s="585"/>
      <c r="CF1123" s="586"/>
    </row>
    <row r="1124" spans="1:84" s="583" customFormat="1" ht="23.1" customHeight="1">
      <c r="A1124" s="584"/>
      <c r="B1124" s="585"/>
      <c r="C1124" s="585"/>
      <c r="D1124" s="591" t="str">
        <f>"잡재료 (주연료의 "&amp;BG1124&amp;"%) :"</f>
        <v>잡재료 (주연료의 35%) :</v>
      </c>
      <c r="E1124" s="585"/>
      <c r="F1124" s="585"/>
      <c r="G1124" s="585"/>
      <c r="H1124" s="585"/>
      <c r="I1124" s="585"/>
      <c r="J1124" s="585"/>
      <c r="K1124" s="585"/>
      <c r="L1124" s="585"/>
      <c r="M1124" s="585"/>
      <c r="N1124" s="585"/>
      <c r="O1124" s="585"/>
      <c r="P1124" s="585"/>
      <c r="Q1124" s="585"/>
      <c r="R1124" s="585"/>
      <c r="S1124" s="585"/>
      <c r="T1124" s="585"/>
      <c r="U1124" s="585"/>
      <c r="V1124" s="585"/>
      <c r="W1124" s="585"/>
      <c r="X1124" s="585"/>
      <c r="Y1124" s="585"/>
      <c r="Z1124" s="585"/>
      <c r="AA1124" s="585"/>
      <c r="AB1124" s="585"/>
      <c r="AC1124" s="585"/>
      <c r="AD1124" s="585"/>
      <c r="AE1124" s="585"/>
      <c r="AF1124" s="585"/>
      <c r="AG1124" s="585"/>
      <c r="AH1124" s="585"/>
      <c r="AI1124" s="585"/>
      <c r="AJ1124" s="585"/>
      <c r="AK1124" s="585"/>
      <c r="AL1124" s="585"/>
      <c r="AM1124" s="585"/>
      <c r="AN1124" s="585"/>
      <c r="AO1124" s="585"/>
      <c r="AP1124" s="585"/>
      <c r="AQ1124" s="585"/>
      <c r="AR1124" s="422" t="e">
        <f>BT1123</f>
        <v>#REF!</v>
      </c>
      <c r="AS1124" s="1430" t="e">
        <f>BT1123</f>
        <v>#REF!</v>
      </c>
      <c r="AT1124" s="1430"/>
      <c r="AU1124" s="1430"/>
      <c r="AV1124" s="1430"/>
      <c r="AW1124" s="1430"/>
      <c r="AX1124" s="1430"/>
      <c r="AY1124" s="1430"/>
      <c r="AZ1124" s="1430"/>
      <c r="BA1124" s="1430"/>
      <c r="BB1124" s="1430"/>
      <c r="BC1124" s="585"/>
      <c r="BD1124" s="1431" t="s">
        <v>446</v>
      </c>
      <c r="BE1124" s="1431"/>
      <c r="BF1124" s="585"/>
      <c r="BG1124" s="1431">
        <v>35</v>
      </c>
      <c r="BH1124" s="1431"/>
      <c r="BI1124" s="1431"/>
      <c r="BJ1124" s="1431"/>
      <c r="BK1124" s="1431"/>
      <c r="BL1124" s="585" t="s">
        <v>1112</v>
      </c>
      <c r="BM1124" s="585"/>
      <c r="BN1124" s="585"/>
      <c r="BO1124" s="585"/>
      <c r="BP1124" s="1431" t="s">
        <v>41</v>
      </c>
      <c r="BQ1124" s="1431"/>
      <c r="BR1124" s="585"/>
      <c r="BS1124" s="585"/>
      <c r="BT1124" s="1432" t="e">
        <f>INT(AS1124*BG1124/100)</f>
        <v>#REF!</v>
      </c>
      <c r="BU1124" s="1432"/>
      <c r="BV1124" s="1432"/>
      <c r="BW1124" s="1432"/>
      <c r="BX1124" s="1432"/>
      <c r="BY1124" s="1432"/>
      <c r="BZ1124" s="1432"/>
      <c r="CA1124" s="1432"/>
      <c r="CB1124" s="1432"/>
      <c r="CC1124" s="1432"/>
      <c r="CD1124" s="585"/>
      <c r="CE1124" s="585"/>
      <c r="CF1124" s="586"/>
    </row>
    <row r="1125" spans="1:84" s="583" customFormat="1" ht="23.1" customHeight="1" thickBot="1">
      <c r="A1125" s="584"/>
      <c r="B1125" s="585"/>
      <c r="C1125" s="585"/>
      <c r="D1125" s="585"/>
      <c r="E1125" s="585"/>
      <c r="F1125" s="585"/>
      <c r="G1125" s="585"/>
      <c r="H1125" s="585"/>
      <c r="I1125" s="585"/>
      <c r="J1125" s="585"/>
      <c r="K1125" s="585"/>
      <c r="L1125" s="585"/>
      <c r="M1125" s="585"/>
      <c r="N1125" s="585"/>
      <c r="O1125" s="585"/>
      <c r="P1125" s="585"/>
      <c r="Q1125" s="585"/>
      <c r="R1125" s="585"/>
      <c r="S1125" s="585"/>
      <c r="T1125" s="585"/>
      <c r="U1125" s="585"/>
      <c r="V1125" s="585"/>
      <c r="W1125" s="585"/>
      <c r="X1125" s="585"/>
      <c r="Y1125" s="585"/>
      <c r="Z1125" s="585"/>
      <c r="AA1125" s="585"/>
      <c r="AB1125" s="585"/>
      <c r="AC1125" s="585"/>
      <c r="AD1125" s="585"/>
      <c r="AE1125" s="585"/>
      <c r="AF1125" s="585"/>
      <c r="AG1125" s="585"/>
      <c r="AH1125" s="585"/>
      <c r="AI1125" s="585"/>
      <c r="AJ1125" s="585"/>
      <c r="AK1125" s="585"/>
      <c r="AL1125" s="585"/>
      <c r="AM1125" s="585"/>
      <c r="AN1125" s="585"/>
      <c r="AO1125" s="585"/>
      <c r="AP1125" s="585"/>
      <c r="AQ1125" s="585"/>
      <c r="AR1125" s="585"/>
      <c r="AS1125" s="585"/>
      <c r="AT1125" s="585"/>
      <c r="AU1125" s="585"/>
      <c r="AV1125" s="585"/>
      <c r="AW1125" s="585"/>
      <c r="AX1125" s="585"/>
      <c r="AY1125" s="585"/>
      <c r="AZ1125" s="585"/>
      <c r="BA1125" s="585"/>
      <c r="BB1125" s="585"/>
      <c r="BC1125" s="585"/>
      <c r="BD1125" s="585"/>
      <c r="BE1125" s="585"/>
      <c r="BF1125" s="585"/>
      <c r="BG1125" s="585"/>
      <c r="BH1125" s="585"/>
      <c r="BI1125" s="585"/>
      <c r="BJ1125" s="585"/>
      <c r="BK1125" s="585"/>
      <c r="BL1125" s="585"/>
      <c r="BM1125" s="585"/>
      <c r="BN1125" s="585"/>
      <c r="BO1125" s="585"/>
      <c r="BP1125" s="1431" t="s">
        <v>41</v>
      </c>
      <c r="BQ1125" s="1431"/>
      <c r="BR1125" s="585"/>
      <c r="BS1125" s="585"/>
      <c r="BT1125" s="1433" t="e">
        <f>BT1123+BT1124</f>
        <v>#REF!</v>
      </c>
      <c r="BU1125" s="1433"/>
      <c r="BV1125" s="1433"/>
      <c r="BW1125" s="1433"/>
      <c r="BX1125" s="1433"/>
      <c r="BY1125" s="1433"/>
      <c r="BZ1125" s="1433"/>
      <c r="CA1125" s="1433"/>
      <c r="CB1125" s="1433"/>
      <c r="CC1125" s="1433"/>
      <c r="CD1125" s="585"/>
      <c r="CE1125" s="585"/>
      <c r="CF1125" s="586"/>
    </row>
    <row r="1126" spans="1:84" s="583" customFormat="1" ht="23.1" customHeight="1" thickBot="1">
      <c r="A1126" s="597"/>
      <c r="B1126" s="598" t="s">
        <v>1113</v>
      </c>
      <c r="C1126" s="598"/>
      <c r="D1126" s="598"/>
      <c r="E1126" s="598"/>
      <c r="F1126" s="598"/>
      <c r="G1126" s="598"/>
      <c r="H1126" s="598"/>
      <c r="I1126" s="598"/>
      <c r="J1126" s="598"/>
      <c r="K1126" s="598"/>
      <c r="L1126" s="598"/>
      <c r="M1126" s="598"/>
      <c r="N1126" s="598"/>
      <c r="O1126" s="598"/>
      <c r="P1126" s="598"/>
      <c r="Q1126" s="598"/>
      <c r="R1126" s="598"/>
      <c r="S1126" s="598"/>
      <c r="T1126" s="598"/>
      <c r="U1126" s="598"/>
      <c r="V1126" s="598"/>
      <c r="W1126" s="598"/>
      <c r="X1126" s="598"/>
      <c r="Y1126" s="598"/>
      <c r="Z1126" s="598"/>
      <c r="AA1126" s="598"/>
      <c r="AB1126" s="598"/>
      <c r="AC1126" s="598"/>
      <c r="AD1126" s="598"/>
      <c r="AE1126" s="598"/>
      <c r="AF1126" s="598"/>
      <c r="AG1126" s="598"/>
      <c r="AH1126" s="598"/>
      <c r="AI1126" s="598"/>
      <c r="AJ1126" s="598"/>
      <c r="AK1126" s="598"/>
      <c r="AL1126" s="598"/>
      <c r="AM1126" s="598"/>
      <c r="AN1126" s="598"/>
      <c r="AO1126" s="598"/>
      <c r="AP1126" s="598"/>
      <c r="AQ1126" s="598"/>
      <c r="AR1126" s="598"/>
      <c r="AS1126" s="598"/>
      <c r="AT1126" s="598"/>
      <c r="AU1126" s="598"/>
      <c r="AV1126" s="598"/>
      <c r="AW1126" s="598"/>
      <c r="AX1126" s="598"/>
      <c r="AY1126" s="598"/>
      <c r="AZ1126" s="598"/>
      <c r="BA1126" s="598"/>
      <c r="BB1126" s="598"/>
      <c r="BC1126" s="598"/>
      <c r="BD1126" s="598"/>
      <c r="BE1126" s="598"/>
      <c r="BF1126" s="598"/>
      <c r="BG1126" s="598"/>
      <c r="BH1126" s="598"/>
      <c r="BI1126" s="598"/>
      <c r="BJ1126" s="598"/>
      <c r="BK1126" s="598"/>
      <c r="BL1126" s="598"/>
      <c r="BM1126" s="598"/>
      <c r="BN1126" s="598"/>
      <c r="BO1126" s="598"/>
      <c r="BP1126" s="598"/>
      <c r="BQ1126" s="598"/>
      <c r="BR1126" s="598"/>
      <c r="BS1126" s="598"/>
      <c r="BT1126" s="1429" t="e">
        <f>BT1117+BT1121+BT1125</f>
        <v>#REF!</v>
      </c>
      <c r="BU1126" s="1429"/>
      <c r="BV1126" s="1429"/>
      <c r="BW1126" s="1429"/>
      <c r="BX1126" s="1429"/>
      <c r="BY1126" s="1429"/>
      <c r="BZ1126" s="1429"/>
      <c r="CA1126" s="1429"/>
      <c r="CB1126" s="1429"/>
      <c r="CC1126" s="1429"/>
      <c r="CD1126" s="598"/>
      <c r="CE1126" s="598"/>
      <c r="CF1126" s="599"/>
    </row>
    <row r="1127" spans="1:84" s="583" customFormat="1" ht="9.9499999999999993" customHeight="1">
      <c r="A1127" s="574"/>
      <c r="B1127" s="574"/>
      <c r="C1127" s="574"/>
      <c r="D1127" s="574"/>
      <c r="E1127" s="574"/>
      <c r="F1127" s="574"/>
      <c r="G1127" s="574"/>
      <c r="H1127" s="574"/>
      <c r="I1127" s="574"/>
      <c r="J1127" s="574"/>
      <c r="K1127" s="574"/>
      <c r="L1127" s="574"/>
      <c r="M1127" s="574"/>
      <c r="N1127" s="574"/>
      <c r="O1127" s="574"/>
      <c r="P1127" s="574"/>
      <c r="Q1127" s="574"/>
      <c r="R1127" s="574"/>
      <c r="S1127" s="574"/>
      <c r="T1127" s="574"/>
      <c r="U1127" s="574"/>
      <c r="V1127" s="574"/>
      <c r="W1127" s="574"/>
      <c r="X1127" s="574"/>
      <c r="Y1127" s="574"/>
      <c r="Z1127" s="574"/>
      <c r="AA1127" s="574"/>
      <c r="AB1127" s="574"/>
      <c r="AC1127" s="574"/>
      <c r="AD1127" s="574"/>
      <c r="AE1127" s="574"/>
      <c r="AF1127" s="574"/>
      <c r="AG1127" s="574"/>
      <c r="AH1127" s="574"/>
      <c r="AI1127" s="574"/>
      <c r="AJ1127" s="574"/>
      <c r="AK1127" s="574"/>
      <c r="AL1127" s="574"/>
      <c r="AM1127" s="574"/>
      <c r="AN1127" s="574"/>
      <c r="AO1127" s="574"/>
      <c r="AP1127" s="574"/>
      <c r="AQ1127" s="574"/>
      <c r="AR1127" s="574"/>
      <c r="AS1127" s="574"/>
      <c r="AT1127" s="574"/>
      <c r="AU1127" s="574"/>
      <c r="AV1127" s="574"/>
      <c r="AW1127" s="574"/>
      <c r="AX1127" s="574"/>
      <c r="AY1127" s="574"/>
      <c r="AZ1127" s="574"/>
      <c r="BA1127" s="574"/>
      <c r="BB1127" s="574"/>
      <c r="BC1127" s="574"/>
      <c r="BD1127" s="574"/>
      <c r="BE1127" s="574"/>
      <c r="BF1127" s="574"/>
      <c r="BG1127" s="574"/>
      <c r="BH1127" s="574"/>
      <c r="BI1127" s="574"/>
      <c r="BJ1127" s="574"/>
      <c r="BK1127" s="574"/>
      <c r="BL1127" s="574"/>
      <c r="BM1127" s="574"/>
      <c r="BN1127" s="574"/>
      <c r="BO1127" s="574"/>
      <c r="BP1127" s="574"/>
      <c r="BQ1127" s="574"/>
      <c r="BR1127" s="574"/>
      <c r="BS1127" s="574"/>
      <c r="BT1127" s="574"/>
      <c r="BU1127" s="574"/>
      <c r="BV1127" s="574"/>
      <c r="BW1127" s="574"/>
      <c r="BX1127" s="574"/>
      <c r="BY1127" s="574"/>
      <c r="BZ1127" s="574"/>
      <c r="CA1127" s="574"/>
      <c r="CB1127" s="574"/>
      <c r="CC1127" s="574"/>
      <c r="CD1127" s="574"/>
      <c r="CE1127" s="574"/>
      <c r="CF1127" s="574"/>
    </row>
    <row r="1128" spans="1:84" s="583" customFormat="1" ht="23.1" customHeight="1" thickBot="1">
      <c r="A1128" s="1446" t="s">
        <v>1095</v>
      </c>
      <c r="B1128" s="1446"/>
      <c r="C1128" s="1446"/>
      <c r="D1128" s="1446"/>
      <c r="E1128" s="1446"/>
      <c r="F1128" s="1446"/>
      <c r="G1128" s="1447">
        <f>G1113+1</f>
        <v>76</v>
      </c>
      <c r="H1128" s="1447"/>
      <c r="I1128" s="1447"/>
      <c r="J1128" s="1448" t="s">
        <v>1096</v>
      </c>
      <c r="K1128" s="1448"/>
      <c r="L1128" s="574"/>
      <c r="M1128" s="574"/>
      <c r="N1128" s="574"/>
      <c r="O1128" s="574"/>
      <c r="P1128" s="574"/>
      <c r="Q1128" s="574"/>
      <c r="R1128" s="574"/>
      <c r="S1128" s="574"/>
      <c r="T1128" s="574"/>
      <c r="U1128" s="574"/>
      <c r="V1128" s="574"/>
      <c r="W1128" s="574"/>
      <c r="X1128" s="574"/>
      <c r="Y1128" s="574"/>
      <c r="Z1128" s="574"/>
      <c r="AA1128" s="574"/>
      <c r="AB1128" s="574"/>
      <c r="AC1128" s="574"/>
      <c r="AD1128" s="574"/>
      <c r="AE1128" s="574"/>
      <c r="AF1128" s="574"/>
      <c r="AG1128" s="574"/>
      <c r="AH1128" s="574"/>
      <c r="AI1128" s="574"/>
      <c r="AJ1128" s="574"/>
      <c r="AK1128" s="574"/>
      <c r="AL1128" s="574"/>
      <c r="AM1128" s="574"/>
      <c r="AN1128" s="574"/>
      <c r="AO1128" s="574"/>
      <c r="AP1128" s="574"/>
      <c r="AQ1128" s="574"/>
      <c r="AR1128" s="574"/>
      <c r="AS1128" s="574"/>
      <c r="AT1128" s="574"/>
      <c r="AU1128" s="574"/>
      <c r="AV1128" s="574"/>
      <c r="AW1128" s="574"/>
      <c r="AX1128" s="574"/>
      <c r="AY1128" s="574"/>
      <c r="AZ1128" s="574"/>
      <c r="BA1128" s="574"/>
      <c r="BB1128" s="574"/>
      <c r="BC1128" s="574"/>
      <c r="BD1128" s="574"/>
      <c r="BE1128" s="574"/>
      <c r="BF1128" s="574"/>
      <c r="BG1128" s="574"/>
      <c r="BH1128" s="574"/>
      <c r="BI1128" s="574"/>
      <c r="BJ1128" s="574"/>
      <c r="BK1128" s="574"/>
      <c r="BL1128" s="574"/>
      <c r="BM1128" s="574"/>
      <c r="BN1128" s="574"/>
      <c r="BO1128" s="574"/>
      <c r="BP1128" s="574"/>
      <c r="BQ1128" s="574"/>
      <c r="BR1128" s="574"/>
      <c r="BS1128" s="574"/>
      <c r="BT1128" s="574"/>
      <c r="BU1128" s="574"/>
      <c r="BV1128" s="574"/>
      <c r="BW1128" s="574"/>
      <c r="BX1128" s="574"/>
      <c r="BY1128" s="574"/>
      <c r="BZ1128" s="574"/>
      <c r="CA1128" s="574"/>
      <c r="CB1128" s="574"/>
      <c r="CC1128" s="574"/>
      <c r="CD1128" s="574"/>
      <c r="CE1128" s="574"/>
      <c r="CF1128" s="574"/>
    </row>
    <row r="1129" spans="1:84" s="603" customFormat="1" ht="23.1" customHeight="1" thickBot="1">
      <c r="A1129" s="1438" t="s">
        <v>1097</v>
      </c>
      <c r="B1129" s="1439"/>
      <c r="C1129" s="1439"/>
      <c r="D1129" s="1439"/>
      <c r="E1129" s="1439"/>
      <c r="F1129" s="1439"/>
      <c r="G1129" s="1439"/>
      <c r="H1129" s="1439"/>
      <c r="I1129" s="601" t="s">
        <v>1228</v>
      </c>
      <c r="J1129" s="601"/>
      <c r="K1129" s="601"/>
      <c r="L1129" s="601"/>
      <c r="M1129" s="601"/>
      <c r="N1129" s="601"/>
      <c r="O1129" s="601"/>
      <c r="P1129" s="601"/>
      <c r="Q1129" s="601"/>
      <c r="R1129" s="601"/>
      <c r="S1129" s="601"/>
      <c r="T1129" s="601"/>
      <c r="U1129" s="601"/>
      <c r="V1129" s="601"/>
      <c r="W1129" s="601"/>
      <c r="X1129" s="601"/>
      <c r="Y1129" s="601"/>
      <c r="Z1129" s="601"/>
      <c r="AA1129" s="601"/>
      <c r="AB1129" s="601"/>
      <c r="AC1129" s="601"/>
      <c r="AD1129" s="601"/>
      <c r="AE1129" s="601"/>
      <c r="AF1129" s="601"/>
      <c r="AG1129" s="601"/>
      <c r="AH1129" s="601"/>
      <c r="AI1129" s="601"/>
      <c r="AJ1129" s="1439" t="s">
        <v>1099</v>
      </c>
      <c r="AK1129" s="1439"/>
      <c r="AL1129" s="1439"/>
      <c r="AM1129" s="1439"/>
      <c r="AN1129" s="1439"/>
      <c r="AO1129" s="1439"/>
      <c r="AP1129" s="1439"/>
      <c r="AQ1129" s="601" t="s">
        <v>1229</v>
      </c>
      <c r="AR1129" s="601"/>
      <c r="AS1129" s="601"/>
      <c r="AT1129" s="601"/>
      <c r="AU1129" s="601"/>
      <c r="AV1129" s="601"/>
      <c r="AW1129" s="601"/>
      <c r="AX1129" s="601"/>
      <c r="AY1129" s="601"/>
      <c r="AZ1129" s="601"/>
      <c r="BA1129" s="601"/>
      <c r="BB1129" s="601"/>
      <c r="BC1129" s="601"/>
      <c r="BD1129" s="601"/>
      <c r="BE1129" s="601"/>
      <c r="BF1129" s="601"/>
      <c r="BG1129" s="601"/>
      <c r="BH1129" s="601"/>
      <c r="BI1129" s="601"/>
      <c r="BJ1129" s="601"/>
      <c r="BK1129" s="601"/>
      <c r="BL1129" s="601"/>
      <c r="BM1129" s="601"/>
      <c r="BN1129" s="601"/>
      <c r="BO1129" s="601"/>
      <c r="BP1129" s="601"/>
      <c r="BQ1129" s="601"/>
      <c r="BR1129" s="601"/>
      <c r="BS1129" s="601"/>
      <c r="BT1129" s="601" t="s">
        <v>1230</v>
      </c>
      <c r="BU1129" s="601"/>
      <c r="BV1129" s="601"/>
      <c r="BW1129" s="601"/>
      <c r="BX1129" s="601"/>
      <c r="BY1129" s="601"/>
      <c r="BZ1129" s="601"/>
      <c r="CA1129" s="601"/>
      <c r="CB1129" s="601"/>
      <c r="CC1129" s="601"/>
      <c r="CD1129" s="601"/>
      <c r="CE1129" s="601"/>
      <c r="CF1129" s="602"/>
    </row>
    <row r="1130" spans="1:84" s="583" customFormat="1" ht="23.1" customHeight="1">
      <c r="A1130" s="584"/>
      <c r="B1130" s="585" t="s">
        <v>1102</v>
      </c>
      <c r="C1130" s="585"/>
      <c r="D1130" s="585"/>
      <c r="E1130" s="585"/>
      <c r="F1130" s="585"/>
      <c r="G1130" s="585"/>
      <c r="H1130" s="585"/>
      <c r="I1130" s="585"/>
      <c r="J1130" s="585"/>
      <c r="K1130" s="585"/>
      <c r="L1130" s="585"/>
      <c r="M1130" s="585"/>
      <c r="N1130" s="585"/>
      <c r="O1130" s="585"/>
      <c r="P1130" s="585"/>
      <c r="Q1130" s="585"/>
      <c r="R1130" s="585"/>
      <c r="S1130" s="585"/>
      <c r="T1130" s="585"/>
      <c r="U1130" s="585"/>
      <c r="V1130" s="585"/>
      <c r="W1130" s="585"/>
      <c r="X1130" s="585"/>
      <c r="Y1130" s="585"/>
      <c r="Z1130" s="585"/>
      <c r="AA1130" s="585"/>
      <c r="AB1130" s="585"/>
      <c r="AC1130" s="585"/>
      <c r="AD1130" s="585"/>
      <c r="AE1130" s="585"/>
      <c r="AF1130" s="585"/>
      <c r="AG1130" s="585"/>
      <c r="AH1130" s="585"/>
      <c r="AI1130" s="585"/>
      <c r="AJ1130" s="585"/>
      <c r="AK1130" s="585"/>
      <c r="AL1130" s="585"/>
      <c r="AM1130" s="585"/>
      <c r="AN1130" s="585"/>
      <c r="AO1130" s="585"/>
      <c r="AP1130" s="585"/>
      <c r="AQ1130" s="585"/>
      <c r="AR1130" s="585"/>
      <c r="AS1130" s="585"/>
      <c r="AT1130" s="585"/>
      <c r="AU1130" s="585"/>
      <c r="AV1130" s="585"/>
      <c r="AW1130" s="585"/>
      <c r="AX1130" s="585"/>
      <c r="AY1130" s="585"/>
      <c r="AZ1130" s="585"/>
      <c r="BA1130" s="585"/>
      <c r="BB1130" s="585"/>
      <c r="BC1130" s="585"/>
      <c r="BD1130" s="585"/>
      <c r="BE1130" s="585"/>
      <c r="BF1130" s="585"/>
      <c r="BG1130" s="585"/>
      <c r="BH1130" s="585"/>
      <c r="BI1130" s="585"/>
      <c r="BJ1130" s="585"/>
      <c r="BK1130" s="585"/>
      <c r="BL1130" s="585"/>
      <c r="BM1130" s="585"/>
      <c r="BN1130" s="585"/>
      <c r="BO1130" s="585"/>
      <c r="BP1130" s="585"/>
      <c r="BQ1130" s="585"/>
      <c r="BR1130" s="585"/>
      <c r="BS1130" s="585"/>
      <c r="BT1130" s="585"/>
      <c r="BU1130" s="585"/>
      <c r="BV1130" s="585"/>
      <c r="BW1130" s="585"/>
      <c r="BX1130" s="585"/>
      <c r="BY1130" s="585"/>
      <c r="BZ1130" s="585"/>
      <c r="CA1130" s="585"/>
      <c r="CB1130" s="585"/>
      <c r="CC1130" s="585"/>
      <c r="CD1130" s="585"/>
      <c r="CE1130" s="585"/>
      <c r="CF1130" s="586"/>
    </row>
    <row r="1131" spans="1:84" s="583" customFormat="1" ht="23.1" customHeight="1">
      <c r="A1131" s="587"/>
      <c r="B1131" s="574"/>
      <c r="C1131" s="574"/>
      <c r="D1131" s="405"/>
      <c r="E1131" s="574"/>
      <c r="F1131" s="422"/>
      <c r="G1131" s="422"/>
      <c r="H1131" s="422"/>
      <c r="I1131" s="422"/>
      <c r="J1131" s="422"/>
      <c r="K1131" s="422"/>
      <c r="L1131" s="422"/>
      <c r="M1131" s="422"/>
      <c r="N1131" s="574"/>
      <c r="O1131" s="574"/>
      <c r="P1131" s="574"/>
      <c r="Q1131" s="574"/>
      <c r="R1131" s="574"/>
      <c r="S1131" s="588"/>
      <c r="T1131" s="588"/>
      <c r="U1131" s="588"/>
      <c r="V1131" s="588"/>
      <c r="W1131" s="588"/>
      <c r="X1131" s="588"/>
      <c r="Y1131" s="588"/>
      <c r="Z1131" s="588"/>
      <c r="AA1131" s="574"/>
      <c r="AB1131" s="588"/>
      <c r="AC1131" s="585"/>
      <c r="AD1131" s="585"/>
      <c r="AE1131" s="600"/>
      <c r="AF1131" s="600"/>
      <c r="AG1131" s="600"/>
      <c r="AH1131" s="600"/>
      <c r="AI1131" s="600"/>
      <c r="AJ1131" s="600"/>
      <c r="AK1131" s="600"/>
      <c r="AL1131" s="600"/>
      <c r="AM1131" s="585"/>
      <c r="AN1131" s="585"/>
      <c r="AO1131" s="574"/>
      <c r="AP1131" s="430"/>
      <c r="AQ1131" s="430"/>
      <c r="AR1131" s="430"/>
      <c r="AS1131" s="430"/>
      <c r="AT1131" s="430"/>
      <c r="AU1131" s="430"/>
      <c r="AV1131" s="430"/>
      <c r="AW1131" s="430"/>
      <c r="AX1131" s="430"/>
      <c r="AY1131" s="430"/>
      <c r="AZ1131" s="430"/>
      <c r="BA1131" s="430"/>
      <c r="BB1131" s="430"/>
      <c r="BC1131" s="430"/>
      <c r="BD1131" s="574"/>
      <c r="BE1131" s="574"/>
      <c r="BF1131" s="574"/>
      <c r="BG1131" s="574"/>
      <c r="BH1131" s="574"/>
      <c r="BI1131" s="574"/>
      <c r="BJ1131" s="574"/>
      <c r="BK1131" s="574"/>
      <c r="BL1131" s="574"/>
      <c r="BM1131" s="574"/>
      <c r="BN1131" s="574"/>
      <c r="BO1131" s="574"/>
      <c r="BP1131" s="574"/>
      <c r="BQ1131" s="574"/>
      <c r="BR1131" s="574"/>
      <c r="BS1131" s="574"/>
      <c r="BT1131" s="574"/>
      <c r="BU1131" s="574"/>
      <c r="BV1131" s="574"/>
      <c r="BW1131" s="574"/>
      <c r="BX1131" s="574"/>
      <c r="BY1131" s="574"/>
      <c r="BZ1131" s="574"/>
      <c r="CA1131" s="574"/>
      <c r="CB1131" s="574"/>
      <c r="CC1131" s="574"/>
      <c r="CD1131" s="574"/>
      <c r="CE1131" s="574"/>
      <c r="CF1131" s="589"/>
    </row>
    <row r="1132" spans="1:84" s="583" customFormat="1" ht="23.1" customHeight="1">
      <c r="A1132" s="584"/>
      <c r="B1132" s="585"/>
      <c r="C1132" s="585"/>
      <c r="D1132" s="585"/>
      <c r="E1132" s="585"/>
      <c r="F1132" s="585"/>
      <c r="G1132" s="585"/>
      <c r="H1132" s="585"/>
      <c r="I1132" s="585"/>
      <c r="J1132" s="585"/>
      <c r="K1132" s="585"/>
      <c r="L1132" s="585"/>
      <c r="M1132" s="585"/>
      <c r="N1132" s="585"/>
      <c r="O1132" s="585"/>
      <c r="P1132" s="585"/>
      <c r="Q1132" s="585"/>
      <c r="R1132" s="585"/>
      <c r="S1132" s="585"/>
      <c r="T1132" s="585"/>
      <c r="U1132" s="585"/>
      <c r="V1132" s="590"/>
      <c r="W1132" s="590"/>
      <c r="X1132" s="590"/>
      <c r="Y1132" s="590"/>
      <c r="Z1132" s="590"/>
      <c r="AA1132" s="590"/>
      <c r="AB1132" s="590"/>
      <c r="AC1132" s="590"/>
      <c r="AD1132" s="574"/>
      <c r="AE1132" s="1440">
        <v>267000</v>
      </c>
      <c r="AF1132" s="1440"/>
      <c r="AG1132" s="1440"/>
      <c r="AH1132" s="1440"/>
      <c r="AI1132" s="1440"/>
      <c r="AJ1132" s="1440"/>
      <c r="AK1132" s="1440"/>
      <c r="AL1132" s="1440"/>
      <c r="AM1132" s="1440"/>
      <c r="AN1132" s="1440"/>
      <c r="AO1132" s="1440"/>
      <c r="AP1132" s="1440"/>
      <c r="AQ1132" s="1440"/>
      <c r="AR1132" s="1440"/>
      <c r="AS1132" s="1440"/>
      <c r="AT1132" s="1431" t="s">
        <v>446</v>
      </c>
      <c r="AU1132" s="1431"/>
      <c r="AV1132" s="1441" t="s">
        <v>1103</v>
      </c>
      <c r="AW1132" s="1441"/>
      <c r="AX1132" s="1442">
        <v>5101</v>
      </c>
      <c r="AY1132" s="1442"/>
      <c r="AZ1132" s="1442"/>
      <c r="BA1132" s="1442"/>
      <c r="BB1132" s="1442"/>
      <c r="BC1132" s="1442"/>
      <c r="BD1132" s="585"/>
      <c r="BE1132" s="1431" t="s">
        <v>446</v>
      </c>
      <c r="BF1132" s="1431"/>
      <c r="BG1132" s="585"/>
      <c r="BH1132" s="591" t="s">
        <v>1104</v>
      </c>
      <c r="BI1132" s="585"/>
      <c r="BJ1132" s="585"/>
      <c r="BK1132" s="585"/>
      <c r="BL1132" s="1431" t="s">
        <v>1105</v>
      </c>
      <c r="BM1132" s="1431"/>
      <c r="BN1132" s="1431"/>
      <c r="BO1132" s="585"/>
      <c r="BP1132" s="1431" t="s">
        <v>41</v>
      </c>
      <c r="BQ1132" s="1431"/>
      <c r="BR1132" s="585"/>
      <c r="BS1132" s="585"/>
      <c r="BT1132" s="1437">
        <f>INT(AE1132*AX1132*10^-7)</f>
        <v>136</v>
      </c>
      <c r="BU1132" s="1437"/>
      <c r="BV1132" s="1437"/>
      <c r="BW1132" s="1437"/>
      <c r="BX1132" s="1437"/>
      <c r="BY1132" s="1437"/>
      <c r="BZ1132" s="1437"/>
      <c r="CA1132" s="1437"/>
      <c r="CB1132" s="1437"/>
      <c r="CC1132" s="1437"/>
      <c r="CD1132" s="585"/>
      <c r="CE1132" s="585"/>
      <c r="CF1132" s="586"/>
    </row>
    <row r="1133" spans="1:84" s="583" customFormat="1" ht="23.1" customHeight="1">
      <c r="A1133" s="592"/>
      <c r="B1133" s="593" t="s">
        <v>1106</v>
      </c>
      <c r="C1133" s="593"/>
      <c r="D1133" s="593"/>
      <c r="E1133" s="593"/>
      <c r="F1133" s="593"/>
      <c r="G1133" s="593"/>
      <c r="H1133" s="593"/>
      <c r="I1133" s="593"/>
      <c r="J1133" s="593"/>
      <c r="K1133" s="593"/>
      <c r="L1133" s="593"/>
      <c r="M1133" s="593"/>
      <c r="N1133" s="593"/>
      <c r="O1133" s="593"/>
      <c r="P1133" s="593"/>
      <c r="Q1133" s="593"/>
      <c r="R1133" s="593"/>
      <c r="S1133" s="593"/>
      <c r="T1133" s="593"/>
      <c r="U1133" s="593"/>
      <c r="V1133" s="593"/>
      <c r="W1133" s="593"/>
      <c r="X1133" s="593"/>
      <c r="Y1133" s="593"/>
      <c r="Z1133" s="593"/>
      <c r="AA1133" s="593"/>
      <c r="AB1133" s="593"/>
      <c r="AC1133" s="593"/>
      <c r="AD1133" s="593"/>
      <c r="AE1133" s="593"/>
      <c r="AF1133" s="593"/>
      <c r="AG1133" s="593"/>
      <c r="AH1133" s="593"/>
      <c r="AI1133" s="593"/>
      <c r="AJ1133" s="593"/>
      <c r="AK1133" s="593"/>
      <c r="AL1133" s="593"/>
      <c r="AM1133" s="593"/>
      <c r="AN1133" s="593"/>
      <c r="AO1133" s="593"/>
      <c r="AP1133" s="593"/>
      <c r="AQ1133" s="593"/>
      <c r="AR1133" s="593"/>
      <c r="AS1133" s="593"/>
      <c r="AT1133" s="593"/>
      <c r="AU1133" s="593"/>
      <c r="AV1133" s="593"/>
      <c r="AW1133" s="593"/>
      <c r="AX1133" s="593"/>
      <c r="AY1133" s="593"/>
      <c r="AZ1133" s="593"/>
      <c r="BA1133" s="593"/>
      <c r="BB1133" s="593"/>
      <c r="BC1133" s="593"/>
      <c r="BD1133" s="593"/>
      <c r="BE1133" s="593"/>
      <c r="BF1133" s="593"/>
      <c r="BG1133" s="593"/>
      <c r="BH1133" s="593"/>
      <c r="BI1133" s="593"/>
      <c r="BJ1133" s="593"/>
      <c r="BK1133" s="593"/>
      <c r="BL1133" s="593"/>
      <c r="BM1133" s="593"/>
      <c r="BN1133" s="593"/>
      <c r="BO1133" s="593"/>
      <c r="BP1133" s="593"/>
      <c r="BQ1133" s="593"/>
      <c r="BR1133" s="593"/>
      <c r="BS1133" s="593"/>
      <c r="BT1133" s="594"/>
      <c r="BU1133" s="594"/>
      <c r="BV1133" s="594"/>
      <c r="BW1133" s="594"/>
      <c r="BX1133" s="594"/>
      <c r="BY1133" s="594"/>
      <c r="BZ1133" s="594"/>
      <c r="CA1133" s="594"/>
      <c r="CB1133" s="594"/>
      <c r="CC1133" s="594"/>
      <c r="CD1133" s="593"/>
      <c r="CE1133" s="593"/>
      <c r="CF1133" s="595"/>
    </row>
    <row r="1134" spans="1:84" s="583" customFormat="1" ht="23.1" customHeight="1">
      <c r="A1134" s="584"/>
      <c r="B1134" s="585"/>
      <c r="C1134" s="585"/>
      <c r="D1134" s="596"/>
      <c r="E1134" s="585"/>
      <c r="F1134" s="585"/>
      <c r="G1134" s="585"/>
      <c r="H1134" s="585"/>
      <c r="I1134" s="585"/>
      <c r="J1134" s="585"/>
      <c r="K1134" s="585"/>
      <c r="L1134" s="585"/>
      <c r="M1134" s="585"/>
      <c r="N1134" s="585"/>
      <c r="O1134" s="585"/>
      <c r="P1134" s="585"/>
      <c r="Q1134" s="585"/>
      <c r="R1134" s="585"/>
      <c r="S1134" s="585"/>
      <c r="T1134" s="574"/>
      <c r="U1134" s="574"/>
      <c r="V1134" s="1430"/>
      <c r="W1134" s="1430"/>
      <c r="X1134" s="1430"/>
      <c r="Y1134" s="1430"/>
      <c r="Z1134" s="1430"/>
      <c r="AA1134" s="1430"/>
      <c r="AB1134" s="1430"/>
      <c r="AC1134" s="1430"/>
      <c r="AD1134" s="1430"/>
      <c r="AE1134" s="1430"/>
      <c r="AF1134" s="1431"/>
      <c r="AG1134" s="1431"/>
      <c r="AH1134" s="574"/>
      <c r="AI1134" s="1436"/>
      <c r="AJ1134" s="1436"/>
      <c r="AK1134" s="1436"/>
      <c r="AL1134" s="1436"/>
      <c r="AM1134" s="585"/>
      <c r="AN1134" s="1431"/>
      <c r="AO1134" s="1431"/>
      <c r="AP1134" s="585"/>
      <c r="AQ1134" s="1436"/>
      <c r="AR1134" s="1436"/>
      <c r="AS1134" s="1436"/>
      <c r="AT1134" s="1436"/>
      <c r="AU1134" s="1436"/>
      <c r="AV1134" s="422"/>
      <c r="AW1134" s="1431"/>
      <c r="AX1134" s="1431"/>
      <c r="AY1134" s="440"/>
      <c r="AZ1134" s="1436"/>
      <c r="BA1134" s="1436"/>
      <c r="BB1134" s="1436"/>
      <c r="BC1134" s="1436"/>
      <c r="BD1134" s="1436"/>
      <c r="BE1134" s="585"/>
      <c r="BF1134" s="1431"/>
      <c r="BG1134" s="1431"/>
      <c r="BH1134" s="1431"/>
      <c r="BI1134" s="1431"/>
      <c r="BJ1134" s="1431"/>
      <c r="BK1134" s="585"/>
      <c r="BL1134" s="585"/>
      <c r="BM1134" s="585"/>
      <c r="BN1134" s="585"/>
      <c r="BO1134" s="585"/>
      <c r="BP1134" s="1431"/>
      <c r="BQ1134" s="1431"/>
      <c r="BR1134" s="585"/>
      <c r="BS1134" s="585"/>
      <c r="BT1134" s="1432"/>
      <c r="BU1134" s="1432"/>
      <c r="BV1134" s="1432"/>
      <c r="BW1134" s="1432"/>
      <c r="BX1134" s="1432"/>
      <c r="BY1134" s="1432"/>
      <c r="BZ1134" s="1432"/>
      <c r="CA1134" s="1432"/>
      <c r="CB1134" s="1432"/>
      <c r="CC1134" s="1432"/>
      <c r="CD1134" s="585"/>
      <c r="CE1134" s="585"/>
      <c r="CF1134" s="586"/>
    </row>
    <row r="1135" spans="1:84" s="583" customFormat="1" ht="23.1" customHeight="1">
      <c r="A1135" s="584"/>
      <c r="B1135" s="585"/>
      <c r="C1135" s="585"/>
      <c r="D1135" s="585"/>
      <c r="E1135" s="585"/>
      <c r="F1135" s="585"/>
      <c r="G1135" s="585"/>
      <c r="H1135" s="585"/>
      <c r="I1135" s="585"/>
      <c r="J1135" s="585"/>
      <c r="K1135" s="585"/>
      <c r="L1135" s="585"/>
      <c r="M1135" s="585"/>
      <c r="N1135" s="585"/>
      <c r="O1135" s="585"/>
      <c r="P1135" s="574"/>
      <c r="Q1135" s="574"/>
      <c r="R1135" s="574"/>
      <c r="S1135" s="574"/>
      <c r="T1135" s="574"/>
      <c r="U1135" s="574"/>
      <c r="V1135" s="574"/>
      <c r="W1135" s="574"/>
      <c r="X1135" s="574"/>
      <c r="Y1135" s="574"/>
      <c r="Z1135" s="574"/>
      <c r="AA1135" s="574"/>
      <c r="AB1135" s="574"/>
      <c r="AC1135" s="574"/>
      <c r="AD1135" s="574"/>
      <c r="AE1135" s="574"/>
      <c r="AF1135" s="574"/>
      <c r="AG1135" s="574"/>
      <c r="AH1135" s="574"/>
      <c r="AI1135" s="574"/>
      <c r="AJ1135" s="574"/>
      <c r="AK1135" s="574"/>
      <c r="AL1135" s="574"/>
      <c r="AM1135" s="574"/>
      <c r="AN1135" s="574"/>
      <c r="AO1135" s="574"/>
      <c r="AP1135" s="574"/>
      <c r="AQ1135" s="574"/>
      <c r="AR1135" s="574"/>
      <c r="AS1135" s="574"/>
      <c r="AT1135" s="574"/>
      <c r="AU1135" s="574"/>
      <c r="AV1135" s="574"/>
      <c r="AW1135" s="574"/>
      <c r="AX1135" s="574"/>
      <c r="AY1135" s="574"/>
      <c r="AZ1135" s="574"/>
      <c r="BA1135" s="574"/>
      <c r="BB1135" s="574"/>
      <c r="BC1135" s="574"/>
      <c r="BD1135" s="574"/>
      <c r="BE1135" s="574"/>
      <c r="BF1135" s="574"/>
      <c r="BG1135" s="585"/>
      <c r="BH1135" s="585"/>
      <c r="BI1135" s="585"/>
      <c r="BJ1135" s="585"/>
      <c r="BK1135" s="585"/>
      <c r="BL1135" s="585"/>
      <c r="BM1135" s="585"/>
      <c r="BN1135" s="585"/>
      <c r="BO1135" s="585"/>
      <c r="BP1135" s="1431"/>
      <c r="BQ1135" s="1431"/>
      <c r="BR1135" s="585"/>
      <c r="BS1135" s="585"/>
      <c r="BT1135" s="1432"/>
      <c r="BU1135" s="1432"/>
      <c r="BV1135" s="1432"/>
      <c r="BW1135" s="1432"/>
      <c r="BX1135" s="1432"/>
      <c r="BY1135" s="1432"/>
      <c r="BZ1135" s="1432"/>
      <c r="CA1135" s="1432"/>
      <c r="CB1135" s="1432"/>
      <c r="CC1135" s="1432"/>
      <c r="CD1135" s="585"/>
      <c r="CE1135" s="585"/>
      <c r="CF1135" s="586"/>
    </row>
    <row r="1136" spans="1:84" s="583" customFormat="1" ht="23.1" customHeight="1">
      <c r="A1136" s="584"/>
      <c r="B1136" s="585"/>
      <c r="C1136" s="585"/>
      <c r="D1136" s="585"/>
      <c r="E1136" s="585"/>
      <c r="F1136" s="585"/>
      <c r="G1136" s="585"/>
      <c r="H1136" s="585"/>
      <c r="I1136" s="585"/>
      <c r="J1136" s="585"/>
      <c r="K1136" s="585"/>
      <c r="L1136" s="585"/>
      <c r="M1136" s="585"/>
      <c r="N1136" s="585"/>
      <c r="O1136" s="585"/>
      <c r="P1136" s="585"/>
      <c r="Q1136" s="585"/>
      <c r="R1136" s="585"/>
      <c r="S1136" s="585"/>
      <c r="T1136" s="585"/>
      <c r="U1136" s="585"/>
      <c r="V1136" s="585"/>
      <c r="W1136" s="585"/>
      <c r="X1136" s="585"/>
      <c r="Y1136" s="585"/>
      <c r="Z1136" s="585"/>
      <c r="AA1136" s="585"/>
      <c r="AB1136" s="585"/>
      <c r="AC1136" s="585"/>
      <c r="AD1136" s="574"/>
      <c r="AE1136" s="574"/>
      <c r="AF1136" s="574"/>
      <c r="AG1136" s="574"/>
      <c r="AH1136" s="574"/>
      <c r="AI1136" s="574"/>
      <c r="AJ1136" s="574"/>
      <c r="AK1136" s="574"/>
      <c r="AL1136" s="574"/>
      <c r="AM1136" s="574"/>
      <c r="AN1136" s="574"/>
      <c r="AO1136" s="574"/>
      <c r="AP1136" s="574"/>
      <c r="AQ1136" s="574"/>
      <c r="AR1136" s="574"/>
      <c r="AS1136" s="585"/>
      <c r="AT1136" s="590"/>
      <c r="AU1136" s="590"/>
      <c r="AV1136" s="585"/>
      <c r="AW1136" s="585"/>
      <c r="AX1136" s="585"/>
      <c r="AY1136" s="585"/>
      <c r="AZ1136" s="585"/>
      <c r="BA1136" s="585"/>
      <c r="BB1136" s="585"/>
      <c r="BC1136" s="585"/>
      <c r="BD1136" s="585"/>
      <c r="BE1136" s="585"/>
      <c r="BF1136" s="585"/>
      <c r="BG1136" s="585"/>
      <c r="BH1136" s="585"/>
      <c r="BI1136" s="585"/>
      <c r="BJ1136" s="585"/>
      <c r="BK1136" s="585"/>
      <c r="BL1136" s="585"/>
      <c r="BM1136" s="585"/>
      <c r="BN1136" s="585"/>
      <c r="BO1136" s="585"/>
      <c r="BP1136" s="1431" t="s">
        <v>41</v>
      </c>
      <c r="BQ1136" s="1431"/>
      <c r="BR1136" s="585"/>
      <c r="BS1136" s="585"/>
      <c r="BT1136" s="1434">
        <f>BT1134+BT1135</f>
        <v>0</v>
      </c>
      <c r="BU1136" s="1434"/>
      <c r="BV1136" s="1434"/>
      <c r="BW1136" s="1434"/>
      <c r="BX1136" s="1434"/>
      <c r="BY1136" s="1434"/>
      <c r="BZ1136" s="1434"/>
      <c r="CA1136" s="1434"/>
      <c r="CB1136" s="1434"/>
      <c r="CC1136" s="1434"/>
      <c r="CD1136" s="585"/>
      <c r="CE1136" s="585"/>
      <c r="CF1136" s="586"/>
    </row>
    <row r="1137" spans="1:84" s="583" customFormat="1" ht="23.1" customHeight="1">
      <c r="A1137" s="592"/>
      <c r="B1137" s="593" t="s">
        <v>1110</v>
      </c>
      <c r="C1137" s="593"/>
      <c r="D1137" s="593"/>
      <c r="E1137" s="593"/>
      <c r="F1137" s="593"/>
      <c r="G1137" s="593"/>
      <c r="H1137" s="593"/>
      <c r="I1137" s="593"/>
      <c r="J1137" s="593"/>
      <c r="K1137" s="593"/>
      <c r="L1137" s="593"/>
      <c r="M1137" s="593"/>
      <c r="N1137" s="593"/>
      <c r="O1137" s="593"/>
      <c r="P1137" s="593"/>
      <c r="Q1137" s="593"/>
      <c r="R1137" s="593"/>
      <c r="S1137" s="593"/>
      <c r="T1137" s="593"/>
      <c r="U1137" s="593"/>
      <c r="V1137" s="593"/>
      <c r="W1137" s="593"/>
      <c r="X1137" s="593"/>
      <c r="Y1137" s="593"/>
      <c r="Z1137" s="593"/>
      <c r="AA1137" s="593"/>
      <c r="AB1137" s="593"/>
      <c r="AC1137" s="593"/>
      <c r="AD1137" s="593"/>
      <c r="AE1137" s="593"/>
      <c r="AF1137" s="593"/>
      <c r="AG1137" s="593"/>
      <c r="AH1137" s="593"/>
      <c r="AI1137" s="593"/>
      <c r="AJ1137" s="593"/>
      <c r="AK1137" s="593"/>
      <c r="AL1137" s="593"/>
      <c r="AM1137" s="593"/>
      <c r="AN1137" s="593"/>
      <c r="AO1137" s="593"/>
      <c r="AP1137" s="593"/>
      <c r="AQ1137" s="593"/>
      <c r="AR1137" s="593"/>
      <c r="AS1137" s="593"/>
      <c r="AT1137" s="593"/>
      <c r="AU1137" s="593"/>
      <c r="AV1137" s="593"/>
      <c r="AW1137" s="593"/>
      <c r="AX1137" s="593"/>
      <c r="AY1137" s="593"/>
      <c r="AZ1137" s="593"/>
      <c r="BA1137" s="593"/>
      <c r="BB1137" s="593"/>
      <c r="BC1137" s="593"/>
      <c r="BD1137" s="593"/>
      <c r="BE1137" s="593"/>
      <c r="BF1137" s="593"/>
      <c r="BG1137" s="593"/>
      <c r="BH1137" s="593"/>
      <c r="BI1137" s="593"/>
      <c r="BJ1137" s="593"/>
      <c r="BK1137" s="593"/>
      <c r="BL1137" s="593"/>
      <c r="BM1137" s="593"/>
      <c r="BN1137" s="593"/>
      <c r="BO1137" s="593"/>
      <c r="BP1137" s="593"/>
      <c r="BQ1137" s="593"/>
      <c r="BR1137" s="593"/>
      <c r="BS1137" s="593"/>
      <c r="BT1137" s="593"/>
      <c r="BU1137" s="593"/>
      <c r="BV1137" s="593"/>
      <c r="BW1137" s="593"/>
      <c r="BX1137" s="593"/>
      <c r="BY1137" s="593"/>
      <c r="BZ1137" s="593"/>
      <c r="CA1137" s="593"/>
      <c r="CB1137" s="593"/>
      <c r="CC1137" s="593"/>
      <c r="CD1137" s="593"/>
      <c r="CE1137" s="593"/>
      <c r="CF1137" s="595"/>
    </row>
    <row r="1138" spans="1:84" s="583" customFormat="1" ht="23.1" customHeight="1">
      <c r="A1138" s="584"/>
      <c r="B1138" s="585"/>
      <c r="C1138" s="585"/>
      <c r="D1138" s="596" t="s">
        <v>42</v>
      </c>
      <c r="E1138" s="585"/>
      <c r="F1138" s="585"/>
      <c r="G1138" s="585"/>
      <c r="H1138" s="585"/>
      <c r="I1138" s="585"/>
      <c r="J1138" s="585"/>
      <c r="K1138" s="585"/>
      <c r="L1138" s="585"/>
      <c r="M1138" s="585"/>
      <c r="N1138" s="585"/>
      <c r="O1138" s="585"/>
      <c r="P1138" s="585"/>
      <c r="Q1138" s="585"/>
      <c r="R1138" s="585"/>
      <c r="S1138" s="585"/>
      <c r="T1138" s="585"/>
      <c r="U1138" s="585"/>
      <c r="V1138" s="585"/>
      <c r="W1138" s="585"/>
      <c r="X1138" s="585"/>
      <c r="Y1138" s="585"/>
      <c r="Z1138" s="585"/>
      <c r="AA1138" s="585"/>
      <c r="AB1138" s="585"/>
      <c r="AC1138" s="585"/>
      <c r="AD1138" s="585"/>
      <c r="AE1138" s="585"/>
      <c r="AF1138" s="585"/>
      <c r="AG1138" s="585"/>
      <c r="AH1138" s="585"/>
      <c r="AI1138" s="585"/>
      <c r="AJ1138" s="585"/>
      <c r="AK1138" s="585"/>
      <c r="AL1138" s="585"/>
      <c r="AM1138" s="585"/>
      <c r="AN1138" s="585"/>
      <c r="AO1138" s="585"/>
      <c r="AP1138" s="585"/>
      <c r="AQ1138" s="585"/>
      <c r="AR1138" s="422"/>
      <c r="AS1138" s="1435" t="e">
        <f>HLOOKUP(D1138,$CN$1:$CO$3,3,0)</f>
        <v>#REF!</v>
      </c>
      <c r="AT1138" s="1435"/>
      <c r="AU1138" s="1435"/>
      <c r="AV1138" s="1435"/>
      <c r="AW1138" s="1435"/>
      <c r="AX1138" s="1435"/>
      <c r="AY1138" s="1435"/>
      <c r="AZ1138" s="1435"/>
      <c r="BA1138" s="1435"/>
      <c r="BB1138" s="1435"/>
      <c r="BC1138" s="585"/>
      <c r="BD1138" s="1431" t="s">
        <v>446</v>
      </c>
      <c r="BE1138" s="1431"/>
      <c r="BF1138" s="585"/>
      <c r="BG1138" s="1431">
        <v>1</v>
      </c>
      <c r="BH1138" s="1431"/>
      <c r="BI1138" s="1431"/>
      <c r="BJ1138" s="1431"/>
      <c r="BK1138" s="1431"/>
      <c r="BL1138" s="585" t="s">
        <v>1111</v>
      </c>
      <c r="BM1138" s="585"/>
      <c r="BN1138" s="585"/>
      <c r="BO1138" s="585"/>
      <c r="BP1138" s="1431" t="s">
        <v>41</v>
      </c>
      <c r="BQ1138" s="1431"/>
      <c r="BR1138" s="585"/>
      <c r="BS1138" s="585"/>
      <c r="BT1138" s="1432" t="e">
        <f>INT(AS1138*BG1138)</f>
        <v>#REF!</v>
      </c>
      <c r="BU1138" s="1432"/>
      <c r="BV1138" s="1432"/>
      <c r="BW1138" s="1432"/>
      <c r="BX1138" s="1432"/>
      <c r="BY1138" s="1432"/>
      <c r="BZ1138" s="1432"/>
      <c r="CA1138" s="1432"/>
      <c r="CB1138" s="1432"/>
      <c r="CC1138" s="1432"/>
      <c r="CD1138" s="585"/>
      <c r="CE1138" s="585"/>
      <c r="CF1138" s="586"/>
    </row>
    <row r="1139" spans="1:84" s="583" customFormat="1" ht="23.1" customHeight="1">
      <c r="A1139" s="584"/>
      <c r="B1139" s="585"/>
      <c r="C1139" s="585"/>
      <c r="D1139" s="591" t="str">
        <f>"잡재료 (주연료의 "&amp;BG1139&amp;"%) :"</f>
        <v>잡재료 (주연료의 10%) :</v>
      </c>
      <c r="E1139" s="585"/>
      <c r="F1139" s="585"/>
      <c r="G1139" s="585"/>
      <c r="H1139" s="585"/>
      <c r="I1139" s="585"/>
      <c r="J1139" s="585"/>
      <c r="K1139" s="585"/>
      <c r="L1139" s="585"/>
      <c r="M1139" s="585"/>
      <c r="N1139" s="585"/>
      <c r="O1139" s="585"/>
      <c r="P1139" s="585"/>
      <c r="Q1139" s="585"/>
      <c r="R1139" s="585"/>
      <c r="S1139" s="585"/>
      <c r="T1139" s="585"/>
      <c r="U1139" s="585"/>
      <c r="V1139" s="585"/>
      <c r="W1139" s="585"/>
      <c r="X1139" s="585"/>
      <c r="Y1139" s="585"/>
      <c r="Z1139" s="585"/>
      <c r="AA1139" s="585"/>
      <c r="AB1139" s="585"/>
      <c r="AC1139" s="585"/>
      <c r="AD1139" s="585"/>
      <c r="AE1139" s="585"/>
      <c r="AF1139" s="585"/>
      <c r="AG1139" s="585"/>
      <c r="AH1139" s="585"/>
      <c r="AI1139" s="585"/>
      <c r="AJ1139" s="585"/>
      <c r="AK1139" s="585"/>
      <c r="AL1139" s="585"/>
      <c r="AM1139" s="585"/>
      <c r="AN1139" s="585"/>
      <c r="AO1139" s="585"/>
      <c r="AP1139" s="585"/>
      <c r="AQ1139" s="585"/>
      <c r="AR1139" s="422" t="e">
        <f>BT1138</f>
        <v>#REF!</v>
      </c>
      <c r="AS1139" s="1430" t="e">
        <f>BT1138</f>
        <v>#REF!</v>
      </c>
      <c r="AT1139" s="1430"/>
      <c r="AU1139" s="1430"/>
      <c r="AV1139" s="1430"/>
      <c r="AW1139" s="1430"/>
      <c r="AX1139" s="1430"/>
      <c r="AY1139" s="1430"/>
      <c r="AZ1139" s="1430"/>
      <c r="BA1139" s="1430"/>
      <c r="BB1139" s="1430"/>
      <c r="BC1139" s="585"/>
      <c r="BD1139" s="1431" t="s">
        <v>446</v>
      </c>
      <c r="BE1139" s="1431"/>
      <c r="BF1139" s="585"/>
      <c r="BG1139" s="1431">
        <v>10</v>
      </c>
      <c r="BH1139" s="1431"/>
      <c r="BI1139" s="1431"/>
      <c r="BJ1139" s="1431"/>
      <c r="BK1139" s="1431"/>
      <c r="BL1139" s="585" t="s">
        <v>1112</v>
      </c>
      <c r="BM1139" s="585"/>
      <c r="BN1139" s="585"/>
      <c r="BO1139" s="585"/>
      <c r="BP1139" s="1431" t="s">
        <v>41</v>
      </c>
      <c r="BQ1139" s="1431"/>
      <c r="BR1139" s="585"/>
      <c r="BS1139" s="585"/>
      <c r="BT1139" s="1487" t="e">
        <f>INT(AS1139*BG1139/100)</f>
        <v>#REF!</v>
      </c>
      <c r="BU1139" s="1487"/>
      <c r="BV1139" s="1487"/>
      <c r="BW1139" s="1487"/>
      <c r="BX1139" s="1487"/>
      <c r="BY1139" s="1487"/>
      <c r="BZ1139" s="1487"/>
      <c r="CA1139" s="1487"/>
      <c r="CB1139" s="1487"/>
      <c r="CC1139" s="1487"/>
      <c r="CD1139" s="585"/>
      <c r="CE1139" s="585"/>
      <c r="CF1139" s="586"/>
    </row>
    <row r="1140" spans="1:84" s="583" customFormat="1" ht="23.1" customHeight="1" thickBot="1">
      <c r="A1140" s="584"/>
      <c r="B1140" s="585"/>
      <c r="C1140" s="585"/>
      <c r="D1140" s="585"/>
      <c r="E1140" s="585"/>
      <c r="F1140" s="585"/>
      <c r="G1140" s="585"/>
      <c r="H1140" s="585"/>
      <c r="I1140" s="585"/>
      <c r="J1140" s="585"/>
      <c r="K1140" s="585"/>
      <c r="L1140" s="585"/>
      <c r="M1140" s="585"/>
      <c r="N1140" s="585"/>
      <c r="O1140" s="585"/>
      <c r="P1140" s="585"/>
      <c r="Q1140" s="585"/>
      <c r="R1140" s="585"/>
      <c r="S1140" s="585"/>
      <c r="T1140" s="585"/>
      <c r="U1140" s="585"/>
      <c r="V1140" s="585"/>
      <c r="W1140" s="585"/>
      <c r="X1140" s="585"/>
      <c r="Y1140" s="585"/>
      <c r="Z1140" s="585"/>
      <c r="AA1140" s="585"/>
      <c r="AB1140" s="585"/>
      <c r="AC1140" s="585"/>
      <c r="AD1140" s="585"/>
      <c r="AE1140" s="585"/>
      <c r="AF1140" s="585"/>
      <c r="AG1140" s="585"/>
      <c r="AH1140" s="585"/>
      <c r="AI1140" s="585"/>
      <c r="AJ1140" s="585"/>
      <c r="AK1140" s="585"/>
      <c r="AL1140" s="585"/>
      <c r="AM1140" s="585"/>
      <c r="AN1140" s="585"/>
      <c r="AO1140" s="585"/>
      <c r="AP1140" s="585"/>
      <c r="AQ1140" s="585"/>
      <c r="AR1140" s="585"/>
      <c r="AS1140" s="585"/>
      <c r="AT1140" s="585"/>
      <c r="AU1140" s="585"/>
      <c r="AV1140" s="585"/>
      <c r="AW1140" s="585"/>
      <c r="AX1140" s="585"/>
      <c r="AY1140" s="585"/>
      <c r="AZ1140" s="585"/>
      <c r="BA1140" s="585"/>
      <c r="BB1140" s="585"/>
      <c r="BC1140" s="585"/>
      <c r="BD1140" s="585"/>
      <c r="BE1140" s="585"/>
      <c r="BF1140" s="585"/>
      <c r="BG1140" s="585"/>
      <c r="BH1140" s="585"/>
      <c r="BI1140" s="585"/>
      <c r="BJ1140" s="585"/>
      <c r="BK1140" s="585"/>
      <c r="BL1140" s="585"/>
      <c r="BM1140" s="585"/>
      <c r="BN1140" s="585"/>
      <c r="BO1140" s="585"/>
      <c r="BP1140" s="1431" t="s">
        <v>41</v>
      </c>
      <c r="BQ1140" s="1431"/>
      <c r="BR1140" s="585"/>
      <c r="BS1140" s="585"/>
      <c r="BT1140" s="1433" t="e">
        <f>BT1138+BT1139</f>
        <v>#REF!</v>
      </c>
      <c r="BU1140" s="1433"/>
      <c r="BV1140" s="1433"/>
      <c r="BW1140" s="1433"/>
      <c r="BX1140" s="1433"/>
      <c r="BY1140" s="1433"/>
      <c r="BZ1140" s="1433"/>
      <c r="CA1140" s="1433"/>
      <c r="CB1140" s="1433"/>
      <c r="CC1140" s="1433"/>
      <c r="CD1140" s="585"/>
      <c r="CE1140" s="585"/>
      <c r="CF1140" s="586"/>
    </row>
    <row r="1141" spans="1:84" s="583" customFormat="1" ht="23.1" customHeight="1" thickBot="1">
      <c r="A1141" s="597"/>
      <c r="B1141" s="598" t="s">
        <v>1113</v>
      </c>
      <c r="C1141" s="598"/>
      <c r="D1141" s="598"/>
      <c r="E1141" s="598"/>
      <c r="F1141" s="598"/>
      <c r="G1141" s="598"/>
      <c r="H1141" s="598"/>
      <c r="I1141" s="598"/>
      <c r="J1141" s="598"/>
      <c r="K1141" s="598"/>
      <c r="L1141" s="598"/>
      <c r="M1141" s="598"/>
      <c r="N1141" s="598"/>
      <c r="O1141" s="598"/>
      <c r="P1141" s="598"/>
      <c r="Q1141" s="598"/>
      <c r="R1141" s="598"/>
      <c r="S1141" s="598"/>
      <c r="T1141" s="598"/>
      <c r="U1141" s="598"/>
      <c r="V1141" s="598"/>
      <c r="W1141" s="598"/>
      <c r="X1141" s="598"/>
      <c r="Y1141" s="598"/>
      <c r="Z1141" s="598"/>
      <c r="AA1141" s="598"/>
      <c r="AB1141" s="598"/>
      <c r="AC1141" s="598"/>
      <c r="AD1141" s="598"/>
      <c r="AE1141" s="598"/>
      <c r="AF1141" s="598"/>
      <c r="AG1141" s="598"/>
      <c r="AH1141" s="598"/>
      <c r="AI1141" s="598"/>
      <c r="AJ1141" s="598"/>
      <c r="AK1141" s="598"/>
      <c r="AL1141" s="598"/>
      <c r="AM1141" s="598"/>
      <c r="AN1141" s="598"/>
      <c r="AO1141" s="598"/>
      <c r="AP1141" s="598"/>
      <c r="AQ1141" s="598"/>
      <c r="AR1141" s="598"/>
      <c r="AS1141" s="598"/>
      <c r="AT1141" s="598"/>
      <c r="AU1141" s="598"/>
      <c r="AV1141" s="598"/>
      <c r="AW1141" s="598"/>
      <c r="AX1141" s="598"/>
      <c r="AY1141" s="598"/>
      <c r="AZ1141" s="598"/>
      <c r="BA1141" s="598"/>
      <c r="BB1141" s="598"/>
      <c r="BC1141" s="598"/>
      <c r="BD1141" s="598"/>
      <c r="BE1141" s="598"/>
      <c r="BF1141" s="598"/>
      <c r="BG1141" s="598"/>
      <c r="BH1141" s="598"/>
      <c r="BI1141" s="598"/>
      <c r="BJ1141" s="598"/>
      <c r="BK1141" s="598"/>
      <c r="BL1141" s="598"/>
      <c r="BM1141" s="598"/>
      <c r="BN1141" s="598"/>
      <c r="BO1141" s="598"/>
      <c r="BP1141" s="598"/>
      <c r="BQ1141" s="598"/>
      <c r="BR1141" s="598"/>
      <c r="BS1141" s="598"/>
      <c r="BT1141" s="1429" t="e">
        <f>BT1132+BT1136+BT1140</f>
        <v>#REF!</v>
      </c>
      <c r="BU1141" s="1429"/>
      <c r="BV1141" s="1429"/>
      <c r="BW1141" s="1429"/>
      <c r="BX1141" s="1429"/>
      <c r="BY1141" s="1429"/>
      <c r="BZ1141" s="1429"/>
      <c r="CA1141" s="1429"/>
      <c r="CB1141" s="1429"/>
      <c r="CC1141" s="1429"/>
      <c r="CD1141" s="598"/>
      <c r="CE1141" s="598"/>
      <c r="CF1141" s="599"/>
    </row>
    <row r="1142" spans="1:84" s="583" customFormat="1" ht="9.9499999999999993" customHeight="1">
      <c r="A1142" s="574"/>
      <c r="B1142" s="574"/>
      <c r="C1142" s="574"/>
      <c r="D1142" s="574"/>
      <c r="E1142" s="574"/>
      <c r="F1142" s="574"/>
      <c r="G1142" s="574"/>
      <c r="H1142" s="574"/>
      <c r="I1142" s="574"/>
      <c r="J1142" s="574"/>
      <c r="K1142" s="574"/>
      <c r="L1142" s="574"/>
      <c r="M1142" s="574"/>
      <c r="N1142" s="574"/>
      <c r="O1142" s="574"/>
      <c r="P1142" s="574"/>
      <c r="Q1142" s="574"/>
      <c r="R1142" s="574"/>
      <c r="S1142" s="574"/>
      <c r="T1142" s="574"/>
      <c r="U1142" s="574"/>
      <c r="V1142" s="574"/>
      <c r="W1142" s="574"/>
      <c r="X1142" s="574"/>
      <c r="Y1142" s="574"/>
      <c r="Z1142" s="574"/>
      <c r="AA1142" s="574"/>
      <c r="AB1142" s="574"/>
      <c r="AC1142" s="574"/>
      <c r="AD1142" s="574"/>
      <c r="AE1142" s="574"/>
      <c r="AF1142" s="574"/>
      <c r="AG1142" s="574"/>
      <c r="AH1142" s="574"/>
      <c r="AI1142" s="574"/>
      <c r="AJ1142" s="574"/>
      <c r="AK1142" s="574"/>
      <c r="AL1142" s="574"/>
      <c r="AM1142" s="574"/>
      <c r="AN1142" s="574"/>
      <c r="AO1142" s="574"/>
      <c r="AP1142" s="574"/>
      <c r="AQ1142" s="574"/>
      <c r="AR1142" s="574"/>
      <c r="AS1142" s="574"/>
      <c r="AT1142" s="574"/>
      <c r="AU1142" s="574"/>
      <c r="AV1142" s="574"/>
      <c r="AW1142" s="574"/>
      <c r="AX1142" s="574"/>
      <c r="AY1142" s="574"/>
      <c r="AZ1142" s="574"/>
      <c r="BA1142" s="574"/>
      <c r="BB1142" s="574"/>
      <c r="BC1142" s="574"/>
      <c r="BD1142" s="574"/>
      <c r="BE1142" s="574"/>
      <c r="BF1142" s="574"/>
      <c r="BG1142" s="574"/>
      <c r="BH1142" s="574"/>
      <c r="BI1142" s="574"/>
      <c r="BJ1142" s="574"/>
      <c r="BK1142" s="574"/>
      <c r="BL1142" s="574"/>
      <c r="BM1142" s="574"/>
      <c r="BN1142" s="574"/>
      <c r="BO1142" s="574"/>
      <c r="BP1142" s="574"/>
      <c r="BQ1142" s="574"/>
      <c r="BR1142" s="574"/>
      <c r="BS1142" s="574"/>
      <c r="BT1142" s="574"/>
      <c r="BU1142" s="574"/>
      <c r="BV1142" s="574"/>
      <c r="BW1142" s="574"/>
      <c r="BX1142" s="574"/>
      <c r="BY1142" s="574"/>
      <c r="BZ1142" s="574"/>
      <c r="CA1142" s="574"/>
      <c r="CB1142" s="574"/>
      <c r="CC1142" s="574"/>
      <c r="CD1142" s="574"/>
      <c r="CE1142" s="574"/>
      <c r="CF1142" s="574"/>
    </row>
    <row r="1143" spans="1:84" s="583" customFormat="1" ht="23.1" customHeight="1" thickBot="1">
      <c r="A1143" s="1446" t="s">
        <v>1095</v>
      </c>
      <c r="B1143" s="1446"/>
      <c r="C1143" s="1446"/>
      <c r="D1143" s="1446"/>
      <c r="E1143" s="1446"/>
      <c r="F1143" s="1446"/>
      <c r="G1143" s="1447">
        <f>G1128+1</f>
        <v>77</v>
      </c>
      <c r="H1143" s="1447"/>
      <c r="I1143" s="1447"/>
      <c r="J1143" s="1448" t="s">
        <v>1096</v>
      </c>
      <c r="K1143" s="1448"/>
      <c r="L1143" s="574"/>
      <c r="M1143" s="574"/>
      <c r="N1143" s="574"/>
      <c r="O1143" s="574"/>
      <c r="P1143" s="574"/>
      <c r="Q1143" s="574"/>
      <c r="R1143" s="574"/>
      <c r="S1143" s="574"/>
      <c r="T1143" s="574"/>
      <c r="U1143" s="574"/>
      <c r="V1143" s="574"/>
      <c r="W1143" s="574"/>
      <c r="X1143" s="574"/>
      <c r="Y1143" s="574"/>
      <c r="Z1143" s="574"/>
      <c r="AA1143" s="574"/>
      <c r="AB1143" s="574"/>
      <c r="AC1143" s="574"/>
      <c r="AD1143" s="574"/>
      <c r="AE1143" s="574"/>
      <c r="AF1143" s="574"/>
      <c r="AG1143" s="574"/>
      <c r="AH1143" s="574"/>
      <c r="AI1143" s="574"/>
      <c r="AJ1143" s="574"/>
      <c r="AK1143" s="574"/>
      <c r="AL1143" s="574"/>
      <c r="AM1143" s="574"/>
      <c r="AN1143" s="574"/>
      <c r="AO1143" s="574"/>
      <c r="AP1143" s="574"/>
      <c r="AQ1143" s="574"/>
      <c r="AR1143" s="574"/>
      <c r="AS1143" s="574"/>
      <c r="AT1143" s="574"/>
      <c r="AU1143" s="574"/>
      <c r="AV1143" s="574"/>
      <c r="AW1143" s="574"/>
      <c r="AX1143" s="574"/>
      <c r="AY1143" s="574"/>
      <c r="AZ1143" s="574"/>
      <c r="BA1143" s="574"/>
      <c r="BB1143" s="574"/>
      <c r="BC1143" s="574"/>
      <c r="BD1143" s="574"/>
      <c r="BE1143" s="574"/>
      <c r="BF1143" s="574"/>
      <c r="BG1143" s="574"/>
      <c r="BH1143" s="574"/>
      <c r="BI1143" s="574"/>
      <c r="BJ1143" s="574"/>
      <c r="BK1143" s="574"/>
      <c r="BL1143" s="574"/>
      <c r="BM1143" s="574"/>
      <c r="BN1143" s="574"/>
      <c r="BO1143" s="574"/>
      <c r="BP1143" s="574"/>
      <c r="BQ1143" s="574"/>
      <c r="BR1143" s="574"/>
      <c r="BS1143" s="574"/>
      <c r="BT1143" s="574"/>
      <c r="BU1143" s="574"/>
      <c r="BV1143" s="574"/>
      <c r="BW1143" s="574"/>
      <c r="BX1143" s="574"/>
      <c r="BY1143" s="574"/>
      <c r="BZ1143" s="574"/>
      <c r="CA1143" s="574"/>
      <c r="CB1143" s="574"/>
      <c r="CC1143" s="574"/>
      <c r="CD1143" s="574"/>
      <c r="CE1143" s="574"/>
      <c r="CF1143" s="574"/>
    </row>
    <row r="1144" spans="1:84" s="603" customFormat="1" ht="23.1" customHeight="1" thickBot="1">
      <c r="A1144" s="1438" t="s">
        <v>1097</v>
      </c>
      <c r="B1144" s="1439"/>
      <c r="C1144" s="1439"/>
      <c r="D1144" s="1439"/>
      <c r="E1144" s="1439"/>
      <c r="F1144" s="1439"/>
      <c r="G1144" s="1439"/>
      <c r="H1144" s="1439"/>
      <c r="I1144" s="601" t="s">
        <v>1231</v>
      </c>
      <c r="J1144" s="601"/>
      <c r="K1144" s="601"/>
      <c r="L1144" s="601"/>
      <c r="M1144" s="601"/>
      <c r="N1144" s="601"/>
      <c r="O1144" s="601"/>
      <c r="P1144" s="601"/>
      <c r="Q1144" s="601"/>
      <c r="R1144" s="601"/>
      <c r="S1144" s="601"/>
      <c r="T1144" s="601"/>
      <c r="U1144" s="601"/>
      <c r="V1144" s="601"/>
      <c r="W1144" s="601"/>
      <c r="X1144" s="601"/>
      <c r="Y1144" s="601"/>
      <c r="Z1144" s="601"/>
      <c r="AA1144" s="601"/>
      <c r="AB1144" s="601"/>
      <c r="AC1144" s="601"/>
      <c r="AD1144" s="601"/>
      <c r="AE1144" s="601"/>
      <c r="AF1144" s="601"/>
      <c r="AG1144" s="601"/>
      <c r="AH1144" s="601"/>
      <c r="AI1144" s="601"/>
      <c r="AJ1144" s="1439" t="s">
        <v>1099</v>
      </c>
      <c r="AK1144" s="1439"/>
      <c r="AL1144" s="1439"/>
      <c r="AM1144" s="1439"/>
      <c r="AN1144" s="1439"/>
      <c r="AO1144" s="1439"/>
      <c r="AP1144" s="1439"/>
      <c r="AQ1144" s="601" t="s">
        <v>550</v>
      </c>
      <c r="AR1144" s="601"/>
      <c r="AS1144" s="601"/>
      <c r="AT1144" s="601"/>
      <c r="AU1144" s="601"/>
      <c r="AV1144" s="601"/>
      <c r="AW1144" s="601"/>
      <c r="AX1144" s="601"/>
      <c r="AY1144" s="601"/>
      <c r="AZ1144" s="601"/>
      <c r="BA1144" s="601"/>
      <c r="BB1144" s="601"/>
      <c r="BC1144" s="601"/>
      <c r="BD1144" s="601"/>
      <c r="BE1144" s="601"/>
      <c r="BF1144" s="601"/>
      <c r="BG1144" s="601"/>
      <c r="BH1144" s="601"/>
      <c r="BI1144" s="601"/>
      <c r="BJ1144" s="601"/>
      <c r="BK1144" s="601"/>
      <c r="BL1144" s="601"/>
      <c r="BM1144" s="601"/>
      <c r="BN1144" s="601"/>
      <c r="BO1144" s="601"/>
      <c r="BP1144" s="601"/>
      <c r="BQ1144" s="601"/>
      <c r="BR1144" s="601"/>
      <c r="BS1144" s="601"/>
      <c r="BT1144" s="601" t="s">
        <v>1232</v>
      </c>
      <c r="BU1144" s="601"/>
      <c r="BV1144" s="601"/>
      <c r="BW1144" s="601"/>
      <c r="BX1144" s="601"/>
      <c r="BY1144" s="601"/>
      <c r="BZ1144" s="601"/>
      <c r="CA1144" s="601"/>
      <c r="CB1144" s="601"/>
      <c r="CC1144" s="601"/>
      <c r="CD1144" s="601"/>
      <c r="CE1144" s="601"/>
      <c r="CF1144" s="602"/>
    </row>
    <row r="1145" spans="1:84" s="583" customFormat="1" ht="23.1" customHeight="1">
      <c r="A1145" s="584"/>
      <c r="B1145" s="585" t="s">
        <v>1102</v>
      </c>
      <c r="C1145" s="585"/>
      <c r="D1145" s="585"/>
      <c r="E1145" s="585"/>
      <c r="F1145" s="585"/>
      <c r="G1145" s="585"/>
      <c r="H1145" s="585"/>
      <c r="I1145" s="585"/>
      <c r="J1145" s="585"/>
      <c r="K1145" s="585"/>
      <c r="L1145" s="585"/>
      <c r="M1145" s="585"/>
      <c r="N1145" s="585"/>
      <c r="O1145" s="585"/>
      <c r="P1145" s="585"/>
      <c r="Q1145" s="585"/>
      <c r="R1145" s="585"/>
      <c r="S1145" s="585"/>
      <c r="T1145" s="585"/>
      <c r="U1145" s="585"/>
      <c r="V1145" s="585"/>
      <c r="W1145" s="585"/>
      <c r="X1145" s="585"/>
      <c r="Y1145" s="585"/>
      <c r="Z1145" s="585"/>
      <c r="AA1145" s="585"/>
      <c r="AB1145" s="585"/>
      <c r="AC1145" s="585"/>
      <c r="AD1145" s="585"/>
      <c r="AE1145" s="585"/>
      <c r="AF1145" s="585"/>
      <c r="AG1145" s="585"/>
      <c r="AH1145" s="585"/>
      <c r="AI1145" s="585"/>
      <c r="AJ1145" s="585"/>
      <c r="AK1145" s="585"/>
      <c r="AL1145" s="585"/>
      <c r="AM1145" s="585"/>
      <c r="AN1145" s="585"/>
      <c r="AO1145" s="585"/>
      <c r="AP1145" s="585"/>
      <c r="AQ1145" s="585"/>
      <c r="AR1145" s="585"/>
      <c r="AS1145" s="585"/>
      <c r="AT1145" s="585"/>
      <c r="AU1145" s="585"/>
      <c r="AV1145" s="585"/>
      <c r="AW1145" s="585"/>
      <c r="AX1145" s="585"/>
      <c r="AY1145" s="585"/>
      <c r="AZ1145" s="585"/>
      <c r="BA1145" s="585"/>
      <c r="BB1145" s="585"/>
      <c r="BC1145" s="585"/>
      <c r="BD1145" s="585"/>
      <c r="BE1145" s="585"/>
      <c r="BF1145" s="585"/>
      <c r="BG1145" s="585"/>
      <c r="BH1145" s="585"/>
      <c r="BI1145" s="585"/>
      <c r="BJ1145" s="585"/>
      <c r="BK1145" s="585"/>
      <c r="BL1145" s="585"/>
      <c r="BM1145" s="585"/>
      <c r="BN1145" s="585"/>
      <c r="BO1145" s="585"/>
      <c r="BP1145" s="585"/>
      <c r="BQ1145" s="585"/>
      <c r="BR1145" s="585"/>
      <c r="BS1145" s="585"/>
      <c r="BT1145" s="585"/>
      <c r="BU1145" s="585"/>
      <c r="BV1145" s="585"/>
      <c r="BW1145" s="585"/>
      <c r="BX1145" s="585"/>
      <c r="BY1145" s="585"/>
      <c r="BZ1145" s="585"/>
      <c r="CA1145" s="585"/>
      <c r="CB1145" s="585"/>
      <c r="CC1145" s="585"/>
      <c r="CD1145" s="585"/>
      <c r="CE1145" s="585"/>
      <c r="CF1145" s="586"/>
    </row>
    <row r="1146" spans="1:84" s="583" customFormat="1" ht="23.1" customHeight="1">
      <c r="A1146" s="587"/>
      <c r="B1146" s="574"/>
      <c r="C1146" s="574"/>
      <c r="D1146" s="405"/>
      <c r="E1146" s="574"/>
      <c r="F1146" s="422"/>
      <c r="G1146" s="422"/>
      <c r="H1146" s="422"/>
      <c r="I1146" s="422"/>
      <c r="J1146" s="422"/>
      <c r="K1146" s="422"/>
      <c r="L1146" s="422"/>
      <c r="M1146" s="422"/>
      <c r="N1146" s="574"/>
      <c r="O1146" s="574"/>
      <c r="P1146" s="574"/>
      <c r="Q1146" s="574"/>
      <c r="R1146" s="574"/>
      <c r="S1146" s="588"/>
      <c r="T1146" s="588"/>
      <c r="U1146" s="588"/>
      <c r="V1146" s="588"/>
      <c r="W1146" s="588"/>
      <c r="X1146" s="588"/>
      <c r="Y1146" s="588"/>
      <c r="Z1146" s="588"/>
      <c r="AA1146" s="574"/>
      <c r="AB1146" s="588"/>
      <c r="AC1146" s="585"/>
      <c r="AD1146" s="585"/>
      <c r="AE1146" s="600"/>
      <c r="AF1146" s="600"/>
      <c r="AG1146" s="600"/>
      <c r="AH1146" s="600"/>
      <c r="AI1146" s="600"/>
      <c r="AJ1146" s="600"/>
      <c r="AK1146" s="600"/>
      <c r="AL1146" s="600"/>
      <c r="AM1146" s="585"/>
      <c r="AN1146" s="585"/>
      <c r="AO1146" s="574"/>
      <c r="AP1146" s="430"/>
      <c r="AQ1146" s="430"/>
      <c r="AR1146" s="430"/>
      <c r="AS1146" s="430"/>
      <c r="AT1146" s="430"/>
      <c r="AU1146" s="430"/>
      <c r="AV1146" s="430"/>
      <c r="AW1146" s="430"/>
      <c r="AX1146" s="430"/>
      <c r="AY1146" s="430"/>
      <c r="AZ1146" s="430"/>
      <c r="BA1146" s="430"/>
      <c r="BB1146" s="430"/>
      <c r="BC1146" s="430"/>
      <c r="BD1146" s="574"/>
      <c r="BE1146" s="574"/>
      <c r="BF1146" s="574"/>
      <c r="BG1146" s="574"/>
      <c r="BH1146" s="574"/>
      <c r="BI1146" s="574"/>
      <c r="BJ1146" s="574"/>
      <c r="BK1146" s="574"/>
      <c r="BL1146" s="574"/>
      <c r="BM1146" s="574"/>
      <c r="BN1146" s="574"/>
      <c r="BO1146" s="574"/>
      <c r="BP1146" s="574"/>
      <c r="BQ1146" s="574"/>
      <c r="BR1146" s="574"/>
      <c r="BS1146" s="574"/>
      <c r="BT1146" s="574"/>
      <c r="BU1146" s="574"/>
      <c r="BV1146" s="574"/>
      <c r="BW1146" s="574"/>
      <c r="BX1146" s="574"/>
      <c r="BY1146" s="574"/>
      <c r="BZ1146" s="574"/>
      <c r="CA1146" s="574"/>
      <c r="CB1146" s="574"/>
      <c r="CC1146" s="574"/>
      <c r="CD1146" s="574"/>
      <c r="CE1146" s="574"/>
      <c r="CF1146" s="589"/>
    </row>
    <row r="1147" spans="1:84" s="583" customFormat="1" ht="23.1" customHeight="1">
      <c r="A1147" s="584"/>
      <c r="B1147" s="585"/>
      <c r="C1147" s="585"/>
      <c r="D1147" s="585"/>
      <c r="E1147" s="585"/>
      <c r="F1147" s="585"/>
      <c r="G1147" s="585"/>
      <c r="H1147" s="585"/>
      <c r="I1147" s="585"/>
      <c r="J1147" s="585"/>
      <c r="K1147" s="585"/>
      <c r="L1147" s="585"/>
      <c r="M1147" s="585"/>
      <c r="N1147" s="585"/>
      <c r="O1147" s="585"/>
      <c r="P1147" s="585"/>
      <c r="Q1147" s="585"/>
      <c r="R1147" s="585"/>
      <c r="S1147" s="585"/>
      <c r="T1147" s="585"/>
      <c r="U1147" s="585"/>
      <c r="V1147" s="590"/>
      <c r="W1147" s="590"/>
      <c r="X1147" s="590"/>
      <c r="Y1147" s="590"/>
      <c r="Z1147" s="590"/>
      <c r="AA1147" s="590"/>
      <c r="AB1147" s="590"/>
      <c r="AC1147" s="590"/>
      <c r="AD1147" s="574"/>
      <c r="AE1147" s="1440">
        <v>14224000</v>
      </c>
      <c r="AF1147" s="1440"/>
      <c r="AG1147" s="1440"/>
      <c r="AH1147" s="1440"/>
      <c r="AI1147" s="1440"/>
      <c r="AJ1147" s="1440"/>
      <c r="AK1147" s="1440"/>
      <c r="AL1147" s="1440"/>
      <c r="AM1147" s="1440"/>
      <c r="AN1147" s="1440"/>
      <c r="AO1147" s="1440"/>
      <c r="AP1147" s="1440"/>
      <c r="AQ1147" s="1440"/>
      <c r="AR1147" s="1440"/>
      <c r="AS1147" s="1440"/>
      <c r="AT1147" s="1431" t="s">
        <v>446</v>
      </c>
      <c r="AU1147" s="1431"/>
      <c r="AV1147" s="1441" t="s">
        <v>1103</v>
      </c>
      <c r="AW1147" s="1441"/>
      <c r="AX1147" s="1442">
        <v>1719</v>
      </c>
      <c r="AY1147" s="1442"/>
      <c r="AZ1147" s="1442"/>
      <c r="BA1147" s="1442"/>
      <c r="BB1147" s="1442"/>
      <c r="BC1147" s="1442"/>
      <c r="BD1147" s="585"/>
      <c r="BE1147" s="1431" t="s">
        <v>446</v>
      </c>
      <c r="BF1147" s="1431"/>
      <c r="BG1147" s="585"/>
      <c r="BH1147" s="591" t="s">
        <v>1104</v>
      </c>
      <c r="BI1147" s="585"/>
      <c r="BJ1147" s="585"/>
      <c r="BK1147" s="585"/>
      <c r="BL1147" s="1431" t="s">
        <v>1105</v>
      </c>
      <c r="BM1147" s="1431"/>
      <c r="BN1147" s="1431"/>
      <c r="BO1147" s="585"/>
      <c r="BP1147" s="1431" t="s">
        <v>41</v>
      </c>
      <c r="BQ1147" s="1431"/>
      <c r="BR1147" s="585"/>
      <c r="BS1147" s="585"/>
      <c r="BT1147" s="1437">
        <f>INT(AE1147*AX1147*10^-7)</f>
        <v>2445</v>
      </c>
      <c r="BU1147" s="1437"/>
      <c r="BV1147" s="1437"/>
      <c r="BW1147" s="1437"/>
      <c r="BX1147" s="1437"/>
      <c r="BY1147" s="1437"/>
      <c r="BZ1147" s="1437"/>
      <c r="CA1147" s="1437"/>
      <c r="CB1147" s="1437"/>
      <c r="CC1147" s="1437"/>
      <c r="CD1147" s="585"/>
      <c r="CE1147" s="585"/>
      <c r="CF1147" s="586"/>
    </row>
    <row r="1148" spans="1:84" s="583" customFormat="1" ht="23.1" customHeight="1">
      <c r="A1148" s="592"/>
      <c r="B1148" s="593" t="s">
        <v>1106</v>
      </c>
      <c r="C1148" s="593"/>
      <c r="D1148" s="593"/>
      <c r="E1148" s="593"/>
      <c r="F1148" s="593"/>
      <c r="G1148" s="593"/>
      <c r="H1148" s="593"/>
      <c r="I1148" s="593"/>
      <c r="J1148" s="593"/>
      <c r="K1148" s="593"/>
      <c r="L1148" s="593"/>
      <c r="M1148" s="593"/>
      <c r="N1148" s="593"/>
      <c r="O1148" s="593"/>
      <c r="P1148" s="593"/>
      <c r="Q1148" s="593"/>
      <c r="R1148" s="593"/>
      <c r="S1148" s="593"/>
      <c r="T1148" s="593"/>
      <c r="U1148" s="593"/>
      <c r="V1148" s="593"/>
      <c r="W1148" s="593"/>
      <c r="X1148" s="593"/>
      <c r="Y1148" s="593"/>
      <c r="Z1148" s="593"/>
      <c r="AA1148" s="593"/>
      <c r="AB1148" s="593"/>
      <c r="AC1148" s="593"/>
      <c r="AD1148" s="593"/>
      <c r="AE1148" s="593"/>
      <c r="AF1148" s="593"/>
      <c r="AG1148" s="593"/>
      <c r="AH1148" s="593"/>
      <c r="AI1148" s="593"/>
      <c r="AJ1148" s="593"/>
      <c r="AK1148" s="593"/>
      <c r="AL1148" s="593"/>
      <c r="AM1148" s="593"/>
      <c r="AN1148" s="593"/>
      <c r="AO1148" s="593"/>
      <c r="AP1148" s="593"/>
      <c r="AQ1148" s="593"/>
      <c r="AR1148" s="593"/>
      <c r="AS1148" s="593"/>
      <c r="AT1148" s="593"/>
      <c r="AU1148" s="593"/>
      <c r="AV1148" s="593"/>
      <c r="AW1148" s="593"/>
      <c r="AX1148" s="593"/>
      <c r="AY1148" s="593"/>
      <c r="AZ1148" s="593"/>
      <c r="BA1148" s="593"/>
      <c r="BB1148" s="593"/>
      <c r="BC1148" s="593"/>
      <c r="BD1148" s="593"/>
      <c r="BE1148" s="593"/>
      <c r="BF1148" s="593"/>
      <c r="BG1148" s="593"/>
      <c r="BH1148" s="593"/>
      <c r="BI1148" s="593"/>
      <c r="BJ1148" s="593"/>
      <c r="BK1148" s="593"/>
      <c r="BL1148" s="593"/>
      <c r="BM1148" s="593"/>
      <c r="BN1148" s="593"/>
      <c r="BO1148" s="593"/>
      <c r="BP1148" s="593"/>
      <c r="BQ1148" s="593"/>
      <c r="BR1148" s="593"/>
      <c r="BS1148" s="593"/>
      <c r="BT1148" s="594"/>
      <c r="BU1148" s="594"/>
      <c r="BV1148" s="594"/>
      <c r="BW1148" s="594"/>
      <c r="BX1148" s="594"/>
      <c r="BY1148" s="594"/>
      <c r="BZ1148" s="594"/>
      <c r="CA1148" s="594"/>
      <c r="CB1148" s="594"/>
      <c r="CC1148" s="594"/>
      <c r="CD1148" s="593"/>
      <c r="CE1148" s="593"/>
      <c r="CF1148" s="595"/>
    </row>
    <row r="1149" spans="1:84" s="583" customFormat="1" ht="23.1" customHeight="1">
      <c r="A1149" s="584"/>
      <c r="B1149" s="585"/>
      <c r="C1149" s="585"/>
      <c r="D1149" s="596" t="s">
        <v>1093</v>
      </c>
      <c r="E1149" s="585"/>
      <c r="F1149" s="585"/>
      <c r="G1149" s="585"/>
      <c r="H1149" s="585"/>
      <c r="I1149" s="585"/>
      <c r="J1149" s="585"/>
      <c r="K1149" s="585"/>
      <c r="L1149" s="585"/>
      <c r="M1149" s="585"/>
      <c r="N1149" s="585"/>
      <c r="O1149" s="585"/>
      <c r="P1149" s="585"/>
      <c r="Q1149" s="585"/>
      <c r="R1149" s="585"/>
      <c r="S1149" s="585"/>
      <c r="T1149" s="574"/>
      <c r="U1149" s="574"/>
      <c r="V1149" s="1435">
        <f>HLOOKUP(D1149,$CJ$1:$CM$3,3,0)</f>
        <v>173995</v>
      </c>
      <c r="W1149" s="1435"/>
      <c r="X1149" s="1435"/>
      <c r="Y1149" s="1435"/>
      <c r="Z1149" s="1435"/>
      <c r="AA1149" s="1435"/>
      <c r="AB1149" s="1435"/>
      <c r="AC1149" s="1435"/>
      <c r="AD1149" s="1435"/>
      <c r="AE1149" s="1435"/>
      <c r="AF1149" s="1431" t="s">
        <v>446</v>
      </c>
      <c r="AG1149" s="1431"/>
      <c r="AH1149" s="574"/>
      <c r="AI1149" s="1436" t="s">
        <v>1107</v>
      </c>
      <c r="AJ1149" s="1436"/>
      <c r="AK1149" s="1436"/>
      <c r="AL1149" s="1436"/>
      <c r="AM1149" s="585"/>
      <c r="AN1149" s="1431" t="s">
        <v>446</v>
      </c>
      <c r="AO1149" s="1431"/>
      <c r="AP1149" s="585"/>
      <c r="AQ1149" s="1436" t="s">
        <v>1108</v>
      </c>
      <c r="AR1149" s="1436"/>
      <c r="AS1149" s="1436"/>
      <c r="AT1149" s="1436"/>
      <c r="AU1149" s="1436"/>
      <c r="AV1149" s="422"/>
      <c r="AW1149" s="1431" t="s">
        <v>446</v>
      </c>
      <c r="AX1149" s="1431"/>
      <c r="AY1149" s="440"/>
      <c r="AZ1149" s="1436" t="s">
        <v>1109</v>
      </c>
      <c r="BA1149" s="1436"/>
      <c r="BB1149" s="1436"/>
      <c r="BC1149" s="1436"/>
      <c r="BD1149" s="1436"/>
      <c r="BE1149" s="585"/>
      <c r="BF1149" s="1431" t="s">
        <v>446</v>
      </c>
      <c r="BG1149" s="1431"/>
      <c r="BH1149" s="1431">
        <v>1</v>
      </c>
      <c r="BI1149" s="1431"/>
      <c r="BJ1149" s="1431"/>
      <c r="BK1149" s="585"/>
      <c r="BL1149" s="585" t="s">
        <v>366</v>
      </c>
      <c r="BM1149" s="585"/>
      <c r="BN1149" s="585"/>
      <c r="BO1149" s="585"/>
      <c r="BP1149" s="1431" t="s">
        <v>41</v>
      </c>
      <c r="BQ1149" s="1431"/>
      <c r="BR1149" s="585"/>
      <c r="BS1149" s="585"/>
      <c r="BT1149" s="1432">
        <f>INT(V1149/8*16/12*25/20*BH1149)</f>
        <v>36248</v>
      </c>
      <c r="BU1149" s="1432"/>
      <c r="BV1149" s="1432"/>
      <c r="BW1149" s="1432"/>
      <c r="BX1149" s="1432"/>
      <c r="BY1149" s="1432"/>
      <c r="BZ1149" s="1432"/>
      <c r="CA1149" s="1432"/>
      <c r="CB1149" s="1432"/>
      <c r="CC1149" s="1432"/>
      <c r="CD1149" s="585"/>
      <c r="CE1149" s="585"/>
      <c r="CF1149" s="586"/>
    </row>
    <row r="1150" spans="1:84" s="583" customFormat="1" ht="23.1" customHeight="1">
      <c r="A1150" s="584"/>
      <c r="B1150" s="585"/>
      <c r="C1150" s="585"/>
      <c r="D1150" s="585"/>
      <c r="E1150" s="585"/>
      <c r="F1150" s="585"/>
      <c r="G1150" s="585"/>
      <c r="H1150" s="585"/>
      <c r="I1150" s="585"/>
      <c r="J1150" s="585"/>
      <c r="K1150" s="585"/>
      <c r="L1150" s="585"/>
      <c r="M1150" s="585"/>
      <c r="N1150" s="585"/>
      <c r="O1150" s="585"/>
      <c r="P1150" s="574"/>
      <c r="Q1150" s="574"/>
      <c r="R1150" s="574"/>
      <c r="S1150" s="574"/>
      <c r="T1150" s="574"/>
      <c r="U1150" s="574"/>
      <c r="V1150" s="574"/>
      <c r="W1150" s="574"/>
      <c r="X1150" s="574"/>
      <c r="Y1150" s="574"/>
      <c r="Z1150" s="574"/>
      <c r="AA1150" s="574"/>
      <c r="AB1150" s="574"/>
      <c r="AC1150" s="574"/>
      <c r="AD1150" s="574"/>
      <c r="AE1150" s="574"/>
      <c r="AF1150" s="574"/>
      <c r="AG1150" s="574"/>
      <c r="AH1150" s="574"/>
      <c r="AI1150" s="574"/>
      <c r="AJ1150" s="574"/>
      <c r="AK1150" s="574"/>
      <c r="AL1150" s="574"/>
      <c r="AM1150" s="574"/>
      <c r="AN1150" s="574"/>
      <c r="AO1150" s="574"/>
      <c r="AP1150" s="574"/>
      <c r="AQ1150" s="574"/>
      <c r="AR1150" s="574"/>
      <c r="AS1150" s="574"/>
      <c r="AT1150" s="574"/>
      <c r="AU1150" s="574"/>
      <c r="AV1150" s="574"/>
      <c r="AW1150" s="574"/>
      <c r="AX1150" s="574"/>
      <c r="AY1150" s="574"/>
      <c r="AZ1150" s="574"/>
      <c r="BA1150" s="574"/>
      <c r="BB1150" s="574"/>
      <c r="BC1150" s="574"/>
      <c r="BD1150" s="574"/>
      <c r="BE1150" s="574"/>
      <c r="BF1150" s="574"/>
      <c r="BG1150" s="585"/>
      <c r="BH1150" s="585"/>
      <c r="BI1150" s="585"/>
      <c r="BJ1150" s="585"/>
      <c r="BK1150" s="585"/>
      <c r="BL1150" s="585"/>
      <c r="BM1150" s="585"/>
      <c r="BN1150" s="585"/>
      <c r="BO1150" s="585"/>
      <c r="BP1150" s="1431"/>
      <c r="BQ1150" s="1431"/>
      <c r="BR1150" s="585"/>
      <c r="BS1150" s="585"/>
      <c r="BT1150" s="1432"/>
      <c r="BU1150" s="1432"/>
      <c r="BV1150" s="1432"/>
      <c r="BW1150" s="1432"/>
      <c r="BX1150" s="1432"/>
      <c r="BY1150" s="1432"/>
      <c r="BZ1150" s="1432"/>
      <c r="CA1150" s="1432"/>
      <c r="CB1150" s="1432"/>
      <c r="CC1150" s="1432"/>
      <c r="CD1150" s="585"/>
      <c r="CE1150" s="585"/>
      <c r="CF1150" s="586"/>
    </row>
    <row r="1151" spans="1:84" s="583" customFormat="1" ht="23.1" customHeight="1">
      <c r="A1151" s="584"/>
      <c r="B1151" s="585"/>
      <c r="C1151" s="585"/>
      <c r="D1151" s="585"/>
      <c r="E1151" s="585"/>
      <c r="F1151" s="585"/>
      <c r="G1151" s="585"/>
      <c r="H1151" s="585"/>
      <c r="I1151" s="585"/>
      <c r="J1151" s="585"/>
      <c r="K1151" s="585"/>
      <c r="L1151" s="585"/>
      <c r="M1151" s="585"/>
      <c r="N1151" s="585"/>
      <c r="O1151" s="585"/>
      <c r="P1151" s="585"/>
      <c r="Q1151" s="585"/>
      <c r="R1151" s="585"/>
      <c r="S1151" s="585"/>
      <c r="T1151" s="585"/>
      <c r="U1151" s="585"/>
      <c r="V1151" s="585"/>
      <c r="W1151" s="585"/>
      <c r="X1151" s="585"/>
      <c r="Y1151" s="585"/>
      <c r="Z1151" s="585"/>
      <c r="AA1151" s="585"/>
      <c r="AB1151" s="585"/>
      <c r="AC1151" s="585"/>
      <c r="AD1151" s="574"/>
      <c r="AE1151" s="574"/>
      <c r="AF1151" s="574"/>
      <c r="AG1151" s="574"/>
      <c r="AH1151" s="574"/>
      <c r="AI1151" s="574"/>
      <c r="AJ1151" s="574"/>
      <c r="AK1151" s="574"/>
      <c r="AL1151" s="574"/>
      <c r="AM1151" s="574"/>
      <c r="AN1151" s="574"/>
      <c r="AO1151" s="574"/>
      <c r="AP1151" s="574"/>
      <c r="AQ1151" s="574"/>
      <c r="AR1151" s="574"/>
      <c r="AS1151" s="585"/>
      <c r="AT1151" s="590"/>
      <c r="AU1151" s="590"/>
      <c r="AV1151" s="585"/>
      <c r="AW1151" s="585"/>
      <c r="AX1151" s="585"/>
      <c r="AY1151" s="585"/>
      <c r="AZ1151" s="585"/>
      <c r="BA1151" s="585"/>
      <c r="BB1151" s="585"/>
      <c r="BC1151" s="585"/>
      <c r="BD1151" s="585"/>
      <c r="BE1151" s="585"/>
      <c r="BF1151" s="585"/>
      <c r="BG1151" s="585"/>
      <c r="BH1151" s="585"/>
      <c r="BI1151" s="585"/>
      <c r="BJ1151" s="585"/>
      <c r="BK1151" s="585"/>
      <c r="BL1151" s="585"/>
      <c r="BM1151" s="585"/>
      <c r="BN1151" s="585"/>
      <c r="BO1151" s="585"/>
      <c r="BP1151" s="1431" t="s">
        <v>41</v>
      </c>
      <c r="BQ1151" s="1431"/>
      <c r="BR1151" s="585"/>
      <c r="BS1151" s="585"/>
      <c r="BT1151" s="1434">
        <f>BT1149+BT1150</f>
        <v>36248</v>
      </c>
      <c r="BU1151" s="1434"/>
      <c r="BV1151" s="1434"/>
      <c r="BW1151" s="1434"/>
      <c r="BX1151" s="1434"/>
      <c r="BY1151" s="1434"/>
      <c r="BZ1151" s="1434"/>
      <c r="CA1151" s="1434"/>
      <c r="CB1151" s="1434"/>
      <c r="CC1151" s="1434"/>
      <c r="CD1151" s="585"/>
      <c r="CE1151" s="585"/>
      <c r="CF1151" s="586"/>
    </row>
    <row r="1152" spans="1:84" s="583" customFormat="1" ht="23.1" customHeight="1">
      <c r="A1152" s="592"/>
      <c r="B1152" s="593" t="s">
        <v>1110</v>
      </c>
      <c r="C1152" s="593"/>
      <c r="D1152" s="593"/>
      <c r="E1152" s="593"/>
      <c r="F1152" s="593"/>
      <c r="G1152" s="593"/>
      <c r="H1152" s="593"/>
      <c r="I1152" s="593"/>
      <c r="J1152" s="593"/>
      <c r="K1152" s="593"/>
      <c r="L1152" s="593"/>
      <c r="M1152" s="593"/>
      <c r="N1152" s="593"/>
      <c r="O1152" s="593"/>
      <c r="P1152" s="593"/>
      <c r="Q1152" s="593"/>
      <c r="R1152" s="593"/>
      <c r="S1152" s="593"/>
      <c r="T1152" s="593"/>
      <c r="U1152" s="593"/>
      <c r="V1152" s="593"/>
      <c r="W1152" s="593"/>
      <c r="X1152" s="593"/>
      <c r="Y1152" s="593"/>
      <c r="Z1152" s="593"/>
      <c r="AA1152" s="593"/>
      <c r="AB1152" s="593"/>
      <c r="AC1152" s="593"/>
      <c r="AD1152" s="593"/>
      <c r="AE1152" s="593"/>
      <c r="AF1152" s="593"/>
      <c r="AG1152" s="593"/>
      <c r="AH1152" s="593"/>
      <c r="AI1152" s="593"/>
      <c r="AJ1152" s="593"/>
      <c r="AK1152" s="593"/>
      <c r="AL1152" s="593"/>
      <c r="AM1152" s="593"/>
      <c r="AN1152" s="593"/>
      <c r="AO1152" s="593"/>
      <c r="AP1152" s="593"/>
      <c r="AQ1152" s="593"/>
      <c r="AR1152" s="593"/>
      <c r="AS1152" s="593"/>
      <c r="AT1152" s="593"/>
      <c r="AU1152" s="593"/>
      <c r="AV1152" s="593"/>
      <c r="AW1152" s="593"/>
      <c r="AX1152" s="593"/>
      <c r="AY1152" s="593"/>
      <c r="AZ1152" s="593"/>
      <c r="BA1152" s="593"/>
      <c r="BB1152" s="593"/>
      <c r="BC1152" s="593"/>
      <c r="BD1152" s="593"/>
      <c r="BE1152" s="593"/>
      <c r="BF1152" s="593"/>
      <c r="BG1152" s="593"/>
      <c r="BH1152" s="593"/>
      <c r="BI1152" s="593"/>
      <c r="BJ1152" s="593"/>
      <c r="BK1152" s="593"/>
      <c r="BL1152" s="593"/>
      <c r="BM1152" s="593"/>
      <c r="BN1152" s="593"/>
      <c r="BO1152" s="593"/>
      <c r="BP1152" s="593"/>
      <c r="BQ1152" s="593"/>
      <c r="BR1152" s="593"/>
      <c r="BS1152" s="593"/>
      <c r="BT1152" s="593"/>
      <c r="BU1152" s="593"/>
      <c r="BV1152" s="593"/>
      <c r="BW1152" s="593"/>
      <c r="BX1152" s="593"/>
      <c r="BY1152" s="593"/>
      <c r="BZ1152" s="593"/>
      <c r="CA1152" s="593"/>
      <c r="CB1152" s="593"/>
      <c r="CC1152" s="593"/>
      <c r="CD1152" s="593"/>
      <c r="CE1152" s="593"/>
      <c r="CF1152" s="595"/>
    </row>
    <row r="1153" spans="1:84" s="583" customFormat="1" ht="23.1" customHeight="1">
      <c r="A1153" s="584"/>
      <c r="B1153" s="585"/>
      <c r="C1153" s="585"/>
      <c r="D1153" s="596" t="s">
        <v>1094</v>
      </c>
      <c r="E1153" s="585"/>
      <c r="F1153" s="585"/>
      <c r="G1153" s="585"/>
      <c r="H1153" s="585"/>
      <c r="I1153" s="585"/>
      <c r="J1153" s="585"/>
      <c r="K1153" s="585"/>
      <c r="L1153" s="585"/>
      <c r="M1153" s="585"/>
      <c r="N1153" s="585"/>
      <c r="O1153" s="585"/>
      <c r="P1153" s="585"/>
      <c r="Q1153" s="585"/>
      <c r="R1153" s="585"/>
      <c r="S1153" s="585"/>
      <c r="T1153" s="585"/>
      <c r="U1153" s="585"/>
      <c r="V1153" s="585"/>
      <c r="W1153" s="585"/>
      <c r="X1153" s="585"/>
      <c r="Y1153" s="585"/>
      <c r="Z1153" s="585"/>
      <c r="AA1153" s="585"/>
      <c r="AB1153" s="585"/>
      <c r="AC1153" s="585"/>
      <c r="AD1153" s="585"/>
      <c r="AE1153" s="585"/>
      <c r="AF1153" s="585"/>
      <c r="AG1153" s="585"/>
      <c r="AH1153" s="585"/>
      <c r="AI1153" s="585"/>
      <c r="AJ1153" s="585"/>
      <c r="AK1153" s="585"/>
      <c r="AL1153" s="585"/>
      <c r="AM1153" s="585"/>
      <c r="AN1153" s="585"/>
      <c r="AO1153" s="585"/>
      <c r="AP1153" s="585"/>
      <c r="AQ1153" s="585"/>
      <c r="AR1153" s="422"/>
      <c r="AS1153" s="1435" t="e">
        <f>HLOOKUP(D1153,$CN$1:$CO$3,3,0)</f>
        <v>#REF!</v>
      </c>
      <c r="AT1153" s="1435"/>
      <c r="AU1153" s="1435"/>
      <c r="AV1153" s="1435"/>
      <c r="AW1153" s="1435"/>
      <c r="AX1153" s="1435"/>
      <c r="AY1153" s="1435"/>
      <c r="AZ1153" s="1435"/>
      <c r="BA1153" s="1435"/>
      <c r="BB1153" s="1435"/>
      <c r="BC1153" s="585"/>
      <c r="BD1153" s="1431" t="s">
        <v>446</v>
      </c>
      <c r="BE1153" s="1431"/>
      <c r="BF1153" s="585"/>
      <c r="BG1153" s="1431">
        <v>6.2</v>
      </c>
      <c r="BH1153" s="1431"/>
      <c r="BI1153" s="1431"/>
      <c r="BJ1153" s="1431"/>
      <c r="BK1153" s="1431"/>
      <c r="BL1153" s="585" t="s">
        <v>1111</v>
      </c>
      <c r="BM1153" s="585"/>
      <c r="BN1153" s="585"/>
      <c r="BO1153" s="585"/>
      <c r="BP1153" s="1431" t="s">
        <v>41</v>
      </c>
      <c r="BQ1153" s="1431"/>
      <c r="BR1153" s="585"/>
      <c r="BS1153" s="585"/>
      <c r="BT1153" s="1432" t="e">
        <f>INT(AS1153*BG1153)</f>
        <v>#REF!</v>
      </c>
      <c r="BU1153" s="1432"/>
      <c r="BV1153" s="1432"/>
      <c r="BW1153" s="1432"/>
      <c r="BX1153" s="1432"/>
      <c r="BY1153" s="1432"/>
      <c r="BZ1153" s="1432"/>
      <c r="CA1153" s="1432"/>
      <c r="CB1153" s="1432"/>
      <c r="CC1153" s="1432"/>
      <c r="CD1153" s="585"/>
      <c r="CE1153" s="585"/>
      <c r="CF1153" s="586"/>
    </row>
    <row r="1154" spans="1:84" s="583" customFormat="1" ht="23.1" customHeight="1">
      <c r="A1154" s="584"/>
      <c r="B1154" s="585"/>
      <c r="C1154" s="585"/>
      <c r="D1154" s="591" t="str">
        <f>"잡재료 (주연료의 "&amp;BG1154&amp;"%) :"</f>
        <v>잡재료 (주연료의 16%) :</v>
      </c>
      <c r="E1154" s="585"/>
      <c r="F1154" s="585"/>
      <c r="G1154" s="585"/>
      <c r="H1154" s="585"/>
      <c r="I1154" s="585"/>
      <c r="J1154" s="585"/>
      <c r="K1154" s="585"/>
      <c r="L1154" s="585"/>
      <c r="M1154" s="585"/>
      <c r="N1154" s="585"/>
      <c r="O1154" s="585"/>
      <c r="P1154" s="585"/>
      <c r="Q1154" s="585"/>
      <c r="R1154" s="585"/>
      <c r="S1154" s="585"/>
      <c r="T1154" s="585"/>
      <c r="U1154" s="585"/>
      <c r="V1154" s="585"/>
      <c r="W1154" s="585"/>
      <c r="X1154" s="585"/>
      <c r="Y1154" s="585"/>
      <c r="Z1154" s="585"/>
      <c r="AA1154" s="585"/>
      <c r="AB1154" s="585"/>
      <c r="AC1154" s="585"/>
      <c r="AD1154" s="585"/>
      <c r="AE1154" s="585"/>
      <c r="AF1154" s="585"/>
      <c r="AG1154" s="585"/>
      <c r="AH1154" s="585"/>
      <c r="AI1154" s="585"/>
      <c r="AJ1154" s="585"/>
      <c r="AK1154" s="585"/>
      <c r="AL1154" s="585"/>
      <c r="AM1154" s="585"/>
      <c r="AN1154" s="585"/>
      <c r="AO1154" s="585"/>
      <c r="AP1154" s="585"/>
      <c r="AQ1154" s="585"/>
      <c r="AR1154" s="422" t="e">
        <f>BT1153</f>
        <v>#REF!</v>
      </c>
      <c r="AS1154" s="1435" t="e">
        <f>BT1153</f>
        <v>#REF!</v>
      </c>
      <c r="AT1154" s="1435"/>
      <c r="AU1154" s="1435"/>
      <c r="AV1154" s="1435"/>
      <c r="AW1154" s="1435"/>
      <c r="AX1154" s="1435"/>
      <c r="AY1154" s="1435"/>
      <c r="AZ1154" s="1435"/>
      <c r="BA1154" s="1435"/>
      <c r="BB1154" s="1435"/>
      <c r="BC1154" s="585"/>
      <c r="BD1154" s="1431" t="s">
        <v>446</v>
      </c>
      <c r="BE1154" s="1431"/>
      <c r="BF1154" s="585"/>
      <c r="BG1154" s="1431">
        <v>16</v>
      </c>
      <c r="BH1154" s="1431"/>
      <c r="BI1154" s="1431"/>
      <c r="BJ1154" s="1431"/>
      <c r="BK1154" s="1431"/>
      <c r="BL1154" s="585" t="s">
        <v>1112</v>
      </c>
      <c r="BM1154" s="585"/>
      <c r="BN1154" s="585"/>
      <c r="BO1154" s="585"/>
      <c r="BP1154" s="1431" t="s">
        <v>41</v>
      </c>
      <c r="BQ1154" s="1431"/>
      <c r="BR1154" s="585"/>
      <c r="BS1154" s="585"/>
      <c r="BT1154" s="1432" t="e">
        <f>INT(AS1154*BG1154/100)</f>
        <v>#REF!</v>
      </c>
      <c r="BU1154" s="1432"/>
      <c r="BV1154" s="1432"/>
      <c r="BW1154" s="1432"/>
      <c r="BX1154" s="1432"/>
      <c r="BY1154" s="1432"/>
      <c r="BZ1154" s="1432"/>
      <c r="CA1154" s="1432"/>
      <c r="CB1154" s="1432"/>
      <c r="CC1154" s="1432"/>
      <c r="CD1154" s="585"/>
      <c r="CE1154" s="585"/>
      <c r="CF1154" s="586"/>
    </row>
    <row r="1155" spans="1:84" s="583" customFormat="1" ht="23.1" customHeight="1" thickBot="1">
      <c r="A1155" s="584"/>
      <c r="B1155" s="585"/>
      <c r="C1155" s="585"/>
      <c r="D1155" s="585"/>
      <c r="E1155" s="585"/>
      <c r="F1155" s="585"/>
      <c r="G1155" s="585"/>
      <c r="H1155" s="585"/>
      <c r="I1155" s="585"/>
      <c r="J1155" s="585"/>
      <c r="K1155" s="585"/>
      <c r="L1155" s="585"/>
      <c r="M1155" s="585"/>
      <c r="N1155" s="585"/>
      <c r="O1155" s="585"/>
      <c r="P1155" s="585"/>
      <c r="Q1155" s="585"/>
      <c r="R1155" s="585"/>
      <c r="S1155" s="585"/>
      <c r="T1155" s="585"/>
      <c r="U1155" s="585"/>
      <c r="V1155" s="585"/>
      <c r="W1155" s="585"/>
      <c r="X1155" s="585"/>
      <c r="Y1155" s="585"/>
      <c r="Z1155" s="585"/>
      <c r="AA1155" s="585"/>
      <c r="AB1155" s="585"/>
      <c r="AC1155" s="585"/>
      <c r="AD1155" s="585"/>
      <c r="AE1155" s="585"/>
      <c r="AF1155" s="585"/>
      <c r="AG1155" s="585"/>
      <c r="AH1155" s="585"/>
      <c r="AI1155" s="585"/>
      <c r="AJ1155" s="585"/>
      <c r="AK1155" s="585"/>
      <c r="AL1155" s="585"/>
      <c r="AM1155" s="585"/>
      <c r="AN1155" s="585"/>
      <c r="AO1155" s="585"/>
      <c r="AP1155" s="585"/>
      <c r="AQ1155" s="585"/>
      <c r="AR1155" s="585"/>
      <c r="AS1155" s="585"/>
      <c r="AT1155" s="585"/>
      <c r="AU1155" s="585"/>
      <c r="AV1155" s="585"/>
      <c r="AW1155" s="585"/>
      <c r="AX1155" s="585"/>
      <c r="AY1155" s="585"/>
      <c r="AZ1155" s="585"/>
      <c r="BA1155" s="585"/>
      <c r="BB1155" s="585"/>
      <c r="BC1155" s="585"/>
      <c r="BD1155" s="585"/>
      <c r="BE1155" s="585"/>
      <c r="BF1155" s="585"/>
      <c r="BG1155" s="585"/>
      <c r="BH1155" s="585"/>
      <c r="BI1155" s="585"/>
      <c r="BJ1155" s="585"/>
      <c r="BK1155" s="585"/>
      <c r="BL1155" s="585"/>
      <c r="BM1155" s="585"/>
      <c r="BN1155" s="585"/>
      <c r="BO1155" s="585"/>
      <c r="BP1155" s="1431" t="s">
        <v>41</v>
      </c>
      <c r="BQ1155" s="1431"/>
      <c r="BR1155" s="585"/>
      <c r="BS1155" s="585"/>
      <c r="BT1155" s="1433" t="e">
        <f>BT1153+BT1154</f>
        <v>#REF!</v>
      </c>
      <c r="BU1155" s="1433"/>
      <c r="BV1155" s="1433"/>
      <c r="BW1155" s="1433"/>
      <c r="BX1155" s="1433"/>
      <c r="BY1155" s="1433"/>
      <c r="BZ1155" s="1433"/>
      <c r="CA1155" s="1433"/>
      <c r="CB1155" s="1433"/>
      <c r="CC1155" s="1433"/>
      <c r="CD1155" s="585"/>
      <c r="CE1155" s="585"/>
      <c r="CF1155" s="586"/>
    </row>
    <row r="1156" spans="1:84" s="583" customFormat="1" ht="23.1" customHeight="1" thickBot="1">
      <c r="A1156" s="597"/>
      <c r="B1156" s="598" t="s">
        <v>1113</v>
      </c>
      <c r="C1156" s="598"/>
      <c r="D1156" s="598"/>
      <c r="E1156" s="598"/>
      <c r="F1156" s="598"/>
      <c r="G1156" s="598"/>
      <c r="H1156" s="598"/>
      <c r="I1156" s="598"/>
      <c r="J1156" s="598"/>
      <c r="K1156" s="598"/>
      <c r="L1156" s="598"/>
      <c r="M1156" s="598"/>
      <c r="N1156" s="598"/>
      <c r="O1156" s="598"/>
      <c r="P1156" s="598"/>
      <c r="Q1156" s="598"/>
      <c r="R1156" s="598"/>
      <c r="S1156" s="598"/>
      <c r="T1156" s="598"/>
      <c r="U1156" s="598"/>
      <c r="V1156" s="598"/>
      <c r="W1156" s="598"/>
      <c r="X1156" s="598"/>
      <c r="Y1156" s="598"/>
      <c r="Z1156" s="598"/>
      <c r="AA1156" s="598"/>
      <c r="AB1156" s="598"/>
      <c r="AC1156" s="598"/>
      <c r="AD1156" s="598"/>
      <c r="AE1156" s="598"/>
      <c r="AF1156" s="598"/>
      <c r="AG1156" s="598"/>
      <c r="AH1156" s="598"/>
      <c r="AI1156" s="598"/>
      <c r="AJ1156" s="598"/>
      <c r="AK1156" s="598"/>
      <c r="AL1156" s="598"/>
      <c r="AM1156" s="598"/>
      <c r="AN1156" s="598"/>
      <c r="AO1156" s="598"/>
      <c r="AP1156" s="598"/>
      <c r="AQ1156" s="598"/>
      <c r="AR1156" s="598"/>
      <c r="AS1156" s="598"/>
      <c r="AT1156" s="598"/>
      <c r="AU1156" s="598"/>
      <c r="AV1156" s="598"/>
      <c r="AW1156" s="598"/>
      <c r="AX1156" s="598"/>
      <c r="AY1156" s="598"/>
      <c r="AZ1156" s="598"/>
      <c r="BA1156" s="598"/>
      <c r="BB1156" s="598"/>
      <c r="BC1156" s="598"/>
      <c r="BD1156" s="598"/>
      <c r="BE1156" s="598"/>
      <c r="BF1156" s="598"/>
      <c r="BG1156" s="598"/>
      <c r="BH1156" s="598"/>
      <c r="BI1156" s="598"/>
      <c r="BJ1156" s="598"/>
      <c r="BK1156" s="598"/>
      <c r="BL1156" s="598"/>
      <c r="BM1156" s="598"/>
      <c r="BN1156" s="598"/>
      <c r="BO1156" s="598"/>
      <c r="BP1156" s="598"/>
      <c r="BQ1156" s="598"/>
      <c r="BR1156" s="598"/>
      <c r="BS1156" s="598"/>
      <c r="BT1156" s="1429" t="e">
        <f>BT1147+BT1151+BT1155</f>
        <v>#REF!</v>
      </c>
      <c r="BU1156" s="1429"/>
      <c r="BV1156" s="1429"/>
      <c r="BW1156" s="1429"/>
      <c r="BX1156" s="1429"/>
      <c r="BY1156" s="1429"/>
      <c r="BZ1156" s="1429"/>
      <c r="CA1156" s="1429"/>
      <c r="CB1156" s="1429"/>
      <c r="CC1156" s="1429"/>
      <c r="CD1156" s="598"/>
      <c r="CE1156" s="598"/>
      <c r="CF1156" s="599"/>
    </row>
    <row r="1157" spans="1:84" s="583" customFormat="1" ht="9.9499999999999993" customHeight="1">
      <c r="A1157" s="574"/>
      <c r="B1157" s="574"/>
      <c r="C1157" s="574"/>
      <c r="D1157" s="574"/>
      <c r="E1157" s="574"/>
      <c r="F1157" s="574"/>
      <c r="G1157" s="574"/>
      <c r="H1157" s="574"/>
      <c r="I1157" s="574"/>
      <c r="J1157" s="574"/>
      <c r="K1157" s="574"/>
      <c r="L1157" s="574"/>
      <c r="M1157" s="574"/>
      <c r="N1157" s="574"/>
      <c r="O1157" s="574"/>
      <c r="P1157" s="574"/>
      <c r="Q1157" s="574"/>
      <c r="R1157" s="574"/>
      <c r="S1157" s="574"/>
      <c r="T1157" s="574"/>
      <c r="U1157" s="574"/>
      <c r="V1157" s="574"/>
      <c r="W1157" s="574"/>
      <c r="X1157" s="574"/>
      <c r="Y1157" s="574"/>
      <c r="Z1157" s="574"/>
      <c r="AA1157" s="574"/>
      <c r="AB1157" s="574"/>
      <c r="AC1157" s="574"/>
      <c r="AD1157" s="574"/>
      <c r="AE1157" s="574"/>
      <c r="AF1157" s="574"/>
      <c r="AG1157" s="574"/>
      <c r="AH1157" s="574"/>
      <c r="AI1157" s="574"/>
      <c r="AJ1157" s="574"/>
      <c r="AK1157" s="574"/>
      <c r="AL1157" s="574"/>
      <c r="AM1157" s="574"/>
      <c r="AN1157" s="574"/>
      <c r="AO1157" s="574"/>
      <c r="AP1157" s="574"/>
      <c r="AQ1157" s="574"/>
      <c r="AR1157" s="574"/>
      <c r="AS1157" s="574"/>
      <c r="AT1157" s="574"/>
      <c r="AU1157" s="574"/>
      <c r="AV1157" s="574"/>
      <c r="AW1157" s="574"/>
      <c r="AX1157" s="574"/>
      <c r="AY1157" s="574"/>
      <c r="AZ1157" s="574"/>
      <c r="BA1157" s="574"/>
      <c r="BB1157" s="574"/>
      <c r="BC1157" s="574"/>
      <c r="BD1157" s="574"/>
      <c r="BE1157" s="574"/>
      <c r="BF1157" s="574"/>
      <c r="BG1157" s="574"/>
      <c r="BH1157" s="574"/>
      <c r="BI1157" s="574"/>
      <c r="BJ1157" s="574"/>
      <c r="BK1157" s="574"/>
      <c r="BL1157" s="574"/>
      <c r="BM1157" s="574"/>
      <c r="BN1157" s="574"/>
      <c r="BO1157" s="574"/>
      <c r="BP1157" s="574"/>
      <c r="BQ1157" s="574"/>
      <c r="BR1157" s="574"/>
      <c r="BS1157" s="574"/>
      <c r="BT1157" s="574"/>
      <c r="BU1157" s="574"/>
      <c r="BV1157" s="574"/>
      <c r="BW1157" s="574"/>
      <c r="BX1157" s="574"/>
      <c r="BY1157" s="574"/>
      <c r="BZ1157" s="574"/>
      <c r="CA1157" s="574"/>
      <c r="CB1157" s="574"/>
      <c r="CC1157" s="574"/>
      <c r="CD1157" s="574"/>
      <c r="CE1157" s="574"/>
      <c r="CF1157" s="574"/>
    </row>
    <row r="1158" spans="1:84" s="583" customFormat="1" ht="23.1" customHeight="1" thickBot="1">
      <c r="A1158" s="1446" t="s">
        <v>1095</v>
      </c>
      <c r="B1158" s="1446"/>
      <c r="C1158" s="1446"/>
      <c r="D1158" s="1446"/>
      <c r="E1158" s="1446"/>
      <c r="F1158" s="1446"/>
      <c r="G1158" s="1447">
        <f>G1143+1</f>
        <v>78</v>
      </c>
      <c r="H1158" s="1447"/>
      <c r="I1158" s="1447"/>
      <c r="J1158" s="1448" t="s">
        <v>1096</v>
      </c>
      <c r="K1158" s="1448"/>
      <c r="L1158" s="574"/>
      <c r="M1158" s="574"/>
      <c r="N1158" s="574"/>
      <c r="O1158" s="574"/>
      <c r="P1158" s="574"/>
      <c r="Q1158" s="574"/>
      <c r="R1158" s="574"/>
      <c r="S1158" s="574"/>
      <c r="T1158" s="574"/>
      <c r="U1158" s="574"/>
      <c r="V1158" s="574"/>
      <c r="W1158" s="574"/>
      <c r="X1158" s="574"/>
      <c r="Y1158" s="574"/>
      <c r="Z1158" s="574"/>
      <c r="AA1158" s="574"/>
      <c r="AB1158" s="574"/>
      <c r="AC1158" s="574"/>
      <c r="AD1158" s="574"/>
      <c r="AE1158" s="574"/>
      <c r="AF1158" s="574"/>
      <c r="AG1158" s="574"/>
      <c r="AH1158" s="574"/>
      <c r="AI1158" s="574"/>
      <c r="AJ1158" s="574"/>
      <c r="AK1158" s="574"/>
      <c r="AL1158" s="574"/>
      <c r="AM1158" s="574"/>
      <c r="AN1158" s="574"/>
      <c r="AO1158" s="574"/>
      <c r="AP1158" s="574"/>
      <c r="AQ1158" s="574"/>
      <c r="AR1158" s="574"/>
      <c r="AS1158" s="574"/>
      <c r="AT1158" s="574"/>
      <c r="AU1158" s="574"/>
      <c r="AV1158" s="574"/>
      <c r="AW1158" s="574"/>
      <c r="AX1158" s="574"/>
      <c r="AY1158" s="574"/>
      <c r="AZ1158" s="574"/>
      <c r="BA1158" s="574"/>
      <c r="BB1158" s="574"/>
      <c r="BC1158" s="574"/>
      <c r="BD1158" s="574"/>
      <c r="BE1158" s="574"/>
      <c r="BF1158" s="574"/>
      <c r="BG1158" s="574"/>
      <c r="BH1158" s="574"/>
      <c r="BI1158" s="574"/>
      <c r="BJ1158" s="574"/>
      <c r="BK1158" s="574"/>
      <c r="BL1158" s="574"/>
      <c r="BM1158" s="574"/>
      <c r="BN1158" s="574"/>
      <c r="BO1158" s="574"/>
      <c r="BP1158" s="574"/>
      <c r="BQ1158" s="574"/>
      <c r="BR1158" s="574"/>
      <c r="BS1158" s="574"/>
      <c r="BT1158" s="574"/>
      <c r="BU1158" s="574"/>
      <c r="BV1158" s="574"/>
      <c r="BW1158" s="574"/>
      <c r="BX1158" s="574"/>
      <c r="BY1158" s="574"/>
      <c r="BZ1158" s="574"/>
      <c r="CA1158" s="574"/>
      <c r="CB1158" s="574"/>
      <c r="CC1158" s="574"/>
      <c r="CD1158" s="574"/>
      <c r="CE1158" s="574"/>
      <c r="CF1158" s="574"/>
    </row>
    <row r="1159" spans="1:84" s="603" customFormat="1" ht="23.1" customHeight="1" thickBot="1">
      <c r="A1159" s="1438" t="s">
        <v>1097</v>
      </c>
      <c r="B1159" s="1439"/>
      <c r="C1159" s="1439"/>
      <c r="D1159" s="1439"/>
      <c r="E1159" s="1439"/>
      <c r="F1159" s="1439"/>
      <c r="G1159" s="1439"/>
      <c r="H1159" s="1439"/>
      <c r="I1159" s="601" t="s">
        <v>1231</v>
      </c>
      <c r="J1159" s="601"/>
      <c r="K1159" s="601"/>
      <c r="L1159" s="601"/>
      <c r="M1159" s="601"/>
      <c r="N1159" s="601"/>
      <c r="O1159" s="601"/>
      <c r="P1159" s="601"/>
      <c r="Q1159" s="601"/>
      <c r="R1159" s="601"/>
      <c r="S1159" s="601"/>
      <c r="T1159" s="601"/>
      <c r="U1159" s="601"/>
      <c r="V1159" s="601"/>
      <c r="W1159" s="601"/>
      <c r="X1159" s="601"/>
      <c r="Y1159" s="601"/>
      <c r="Z1159" s="601"/>
      <c r="AA1159" s="601"/>
      <c r="AB1159" s="601"/>
      <c r="AC1159" s="601"/>
      <c r="AD1159" s="601"/>
      <c r="AE1159" s="601"/>
      <c r="AF1159" s="601"/>
      <c r="AG1159" s="601"/>
      <c r="AH1159" s="601"/>
      <c r="AI1159" s="601"/>
      <c r="AJ1159" s="1439" t="s">
        <v>1099</v>
      </c>
      <c r="AK1159" s="1439"/>
      <c r="AL1159" s="1439"/>
      <c r="AM1159" s="1439"/>
      <c r="AN1159" s="1439"/>
      <c r="AO1159" s="1439"/>
      <c r="AP1159" s="1439"/>
      <c r="AQ1159" s="601" t="s">
        <v>1233</v>
      </c>
      <c r="AR1159" s="601"/>
      <c r="AS1159" s="601"/>
      <c r="AT1159" s="601"/>
      <c r="AU1159" s="601"/>
      <c r="AV1159" s="601"/>
      <c r="AW1159" s="601"/>
      <c r="AX1159" s="601"/>
      <c r="AY1159" s="601"/>
      <c r="AZ1159" s="601"/>
      <c r="BA1159" s="601"/>
      <c r="BB1159" s="601"/>
      <c r="BC1159" s="601"/>
      <c r="BD1159" s="601"/>
      <c r="BE1159" s="601"/>
      <c r="BF1159" s="601"/>
      <c r="BG1159" s="601"/>
      <c r="BH1159" s="601"/>
      <c r="BI1159" s="601"/>
      <c r="BJ1159" s="601"/>
      <c r="BK1159" s="601"/>
      <c r="BL1159" s="601"/>
      <c r="BM1159" s="601"/>
      <c r="BN1159" s="601"/>
      <c r="BO1159" s="601"/>
      <c r="BP1159" s="601"/>
      <c r="BQ1159" s="601"/>
      <c r="BR1159" s="601"/>
      <c r="BS1159" s="601"/>
      <c r="BT1159" s="601" t="s">
        <v>1234</v>
      </c>
      <c r="BU1159" s="601"/>
      <c r="BV1159" s="601"/>
      <c r="BW1159" s="601"/>
      <c r="BX1159" s="601"/>
      <c r="BY1159" s="601"/>
      <c r="BZ1159" s="601"/>
      <c r="CA1159" s="601"/>
      <c r="CB1159" s="601"/>
      <c r="CC1159" s="601"/>
      <c r="CD1159" s="601"/>
      <c r="CE1159" s="601"/>
      <c r="CF1159" s="602"/>
    </row>
    <row r="1160" spans="1:84" s="583" customFormat="1" ht="23.1" customHeight="1">
      <c r="A1160" s="584"/>
      <c r="B1160" s="585" t="s">
        <v>1102</v>
      </c>
      <c r="C1160" s="585"/>
      <c r="D1160" s="585"/>
      <c r="E1160" s="585"/>
      <c r="F1160" s="585"/>
      <c r="G1160" s="585"/>
      <c r="H1160" s="585"/>
      <c r="I1160" s="585"/>
      <c r="J1160" s="585"/>
      <c r="K1160" s="585"/>
      <c r="L1160" s="585"/>
      <c r="M1160" s="585"/>
      <c r="N1160" s="585"/>
      <c r="O1160" s="585"/>
      <c r="P1160" s="585"/>
      <c r="Q1160" s="585"/>
      <c r="R1160" s="585"/>
      <c r="S1160" s="585"/>
      <c r="T1160" s="585"/>
      <c r="U1160" s="585"/>
      <c r="V1160" s="585"/>
      <c r="W1160" s="585"/>
      <c r="X1160" s="585"/>
      <c r="Y1160" s="585"/>
      <c r="Z1160" s="585"/>
      <c r="AA1160" s="585"/>
      <c r="AB1160" s="585"/>
      <c r="AC1160" s="585"/>
      <c r="AD1160" s="585"/>
      <c r="AE1160" s="585"/>
      <c r="AF1160" s="585"/>
      <c r="AG1160" s="585"/>
      <c r="AH1160" s="585"/>
      <c r="AI1160" s="585"/>
      <c r="AJ1160" s="585"/>
      <c r="AK1160" s="585"/>
      <c r="AL1160" s="585"/>
      <c r="AM1160" s="585"/>
      <c r="AN1160" s="585"/>
      <c r="AO1160" s="585"/>
      <c r="AP1160" s="585"/>
      <c r="AQ1160" s="585"/>
      <c r="AR1160" s="585"/>
      <c r="AS1160" s="585"/>
      <c r="AT1160" s="585"/>
      <c r="AU1160" s="585"/>
      <c r="AV1160" s="585"/>
      <c r="AW1160" s="585"/>
      <c r="AX1160" s="585"/>
      <c r="AY1160" s="585"/>
      <c r="AZ1160" s="585"/>
      <c r="BA1160" s="585"/>
      <c r="BB1160" s="585"/>
      <c r="BC1160" s="585"/>
      <c r="BD1160" s="585"/>
      <c r="BE1160" s="585"/>
      <c r="BF1160" s="585"/>
      <c r="BG1160" s="585"/>
      <c r="BH1160" s="585"/>
      <c r="BI1160" s="585"/>
      <c r="BJ1160" s="585"/>
      <c r="BK1160" s="585"/>
      <c r="BL1160" s="585"/>
      <c r="BM1160" s="585"/>
      <c r="BN1160" s="585"/>
      <c r="BO1160" s="585"/>
      <c r="BP1160" s="585"/>
      <c r="BQ1160" s="585"/>
      <c r="BR1160" s="585"/>
      <c r="BS1160" s="585"/>
      <c r="BT1160" s="585"/>
      <c r="BU1160" s="585"/>
      <c r="BV1160" s="585"/>
      <c r="BW1160" s="585"/>
      <c r="BX1160" s="585"/>
      <c r="BY1160" s="585"/>
      <c r="BZ1160" s="585"/>
      <c r="CA1160" s="585"/>
      <c r="CB1160" s="585"/>
      <c r="CC1160" s="585"/>
      <c r="CD1160" s="585"/>
      <c r="CE1160" s="585"/>
      <c r="CF1160" s="586"/>
    </row>
    <row r="1161" spans="1:84" s="583" customFormat="1" ht="23.1" customHeight="1">
      <c r="A1161" s="587"/>
      <c r="B1161" s="574"/>
      <c r="C1161" s="574"/>
      <c r="D1161" s="405"/>
      <c r="E1161" s="574"/>
      <c r="F1161" s="422"/>
      <c r="G1161" s="422"/>
      <c r="H1161" s="422"/>
      <c r="I1161" s="422"/>
      <c r="J1161" s="422"/>
      <c r="K1161" s="422"/>
      <c r="L1161" s="422"/>
      <c r="M1161" s="422"/>
      <c r="N1161" s="574"/>
      <c r="O1161" s="574"/>
      <c r="P1161" s="574"/>
      <c r="Q1161" s="574"/>
      <c r="R1161" s="574"/>
      <c r="S1161" s="588"/>
      <c r="T1161" s="588"/>
      <c r="U1161" s="588"/>
      <c r="V1161" s="588"/>
      <c r="W1161" s="588"/>
      <c r="X1161" s="588"/>
      <c r="Y1161" s="588"/>
      <c r="Z1161" s="588"/>
      <c r="AA1161" s="574"/>
      <c r="AB1161" s="588"/>
      <c r="AC1161" s="585"/>
      <c r="AD1161" s="585"/>
      <c r="AE1161" s="600"/>
      <c r="AF1161" s="600"/>
      <c r="AG1161" s="600"/>
      <c r="AH1161" s="600"/>
      <c r="AI1161" s="600"/>
      <c r="AJ1161" s="600"/>
      <c r="AK1161" s="600"/>
      <c r="AL1161" s="600"/>
      <c r="AM1161" s="585"/>
      <c r="AN1161" s="585"/>
      <c r="AO1161" s="574"/>
      <c r="AP1161" s="430"/>
      <c r="AQ1161" s="430"/>
      <c r="AR1161" s="430"/>
      <c r="AS1161" s="430"/>
      <c r="AT1161" s="430"/>
      <c r="AU1161" s="430"/>
      <c r="AV1161" s="430"/>
      <c r="AW1161" s="430"/>
      <c r="AX1161" s="430"/>
      <c r="AY1161" s="430"/>
      <c r="AZ1161" s="430"/>
      <c r="BA1161" s="430"/>
      <c r="BB1161" s="430"/>
      <c r="BC1161" s="430"/>
      <c r="BD1161" s="574"/>
      <c r="BE1161" s="574"/>
      <c r="BF1161" s="574"/>
      <c r="BG1161" s="574"/>
      <c r="BH1161" s="574"/>
      <c r="BI1161" s="574"/>
      <c r="BJ1161" s="574"/>
      <c r="BK1161" s="574"/>
      <c r="BL1161" s="574"/>
      <c r="BM1161" s="574"/>
      <c r="BN1161" s="574"/>
      <c r="BO1161" s="574"/>
      <c r="BP1161" s="574"/>
      <c r="BQ1161" s="574"/>
      <c r="BR1161" s="574"/>
      <c r="BS1161" s="574"/>
      <c r="BT1161" s="574"/>
      <c r="BU1161" s="574"/>
      <c r="BV1161" s="574"/>
      <c r="BW1161" s="574"/>
      <c r="BX1161" s="574"/>
      <c r="BY1161" s="574"/>
      <c r="BZ1161" s="574"/>
      <c r="CA1161" s="574"/>
      <c r="CB1161" s="574"/>
      <c r="CC1161" s="574"/>
      <c r="CD1161" s="574"/>
      <c r="CE1161" s="574"/>
      <c r="CF1161" s="589"/>
    </row>
    <row r="1162" spans="1:84" s="583" customFormat="1" ht="23.1" customHeight="1">
      <c r="A1162" s="584"/>
      <c r="B1162" s="585"/>
      <c r="C1162" s="585"/>
      <c r="D1162" s="585"/>
      <c r="E1162" s="585"/>
      <c r="F1162" s="585"/>
      <c r="G1162" s="585"/>
      <c r="H1162" s="585"/>
      <c r="I1162" s="585"/>
      <c r="J1162" s="585"/>
      <c r="K1162" s="585"/>
      <c r="L1162" s="585"/>
      <c r="M1162" s="585"/>
      <c r="N1162" s="585"/>
      <c r="O1162" s="585"/>
      <c r="P1162" s="585"/>
      <c r="Q1162" s="585"/>
      <c r="R1162" s="585"/>
      <c r="S1162" s="585"/>
      <c r="T1162" s="585"/>
      <c r="U1162" s="585"/>
      <c r="V1162" s="590"/>
      <c r="W1162" s="590"/>
      <c r="X1162" s="590"/>
      <c r="Y1162" s="590"/>
      <c r="Z1162" s="590"/>
      <c r="AA1162" s="590"/>
      <c r="AB1162" s="590"/>
      <c r="AC1162" s="590"/>
      <c r="AD1162" s="574"/>
      <c r="AE1162" s="1440">
        <v>20311000</v>
      </c>
      <c r="AF1162" s="1440"/>
      <c r="AG1162" s="1440"/>
      <c r="AH1162" s="1440"/>
      <c r="AI1162" s="1440"/>
      <c r="AJ1162" s="1440"/>
      <c r="AK1162" s="1440"/>
      <c r="AL1162" s="1440"/>
      <c r="AM1162" s="1440"/>
      <c r="AN1162" s="1440"/>
      <c r="AO1162" s="1440"/>
      <c r="AP1162" s="1440"/>
      <c r="AQ1162" s="1440"/>
      <c r="AR1162" s="1440"/>
      <c r="AS1162" s="1440"/>
      <c r="AT1162" s="1431" t="s">
        <v>446</v>
      </c>
      <c r="AU1162" s="1431"/>
      <c r="AV1162" s="1441" t="s">
        <v>1103</v>
      </c>
      <c r="AW1162" s="1441"/>
      <c r="AX1162" s="1442">
        <v>1719</v>
      </c>
      <c r="AY1162" s="1442"/>
      <c r="AZ1162" s="1442"/>
      <c r="BA1162" s="1442"/>
      <c r="BB1162" s="1442"/>
      <c r="BC1162" s="1442"/>
      <c r="BD1162" s="585"/>
      <c r="BE1162" s="1431" t="s">
        <v>446</v>
      </c>
      <c r="BF1162" s="1431"/>
      <c r="BG1162" s="585"/>
      <c r="BH1162" s="591" t="s">
        <v>1104</v>
      </c>
      <c r="BI1162" s="585"/>
      <c r="BJ1162" s="585"/>
      <c r="BK1162" s="585"/>
      <c r="BL1162" s="1431" t="s">
        <v>1105</v>
      </c>
      <c r="BM1162" s="1431"/>
      <c r="BN1162" s="1431"/>
      <c r="BO1162" s="585"/>
      <c r="BP1162" s="1431" t="s">
        <v>41</v>
      </c>
      <c r="BQ1162" s="1431"/>
      <c r="BR1162" s="585"/>
      <c r="BS1162" s="585"/>
      <c r="BT1162" s="1437">
        <f>INT(AE1162*AX1162*10^-7)</f>
        <v>3491</v>
      </c>
      <c r="BU1162" s="1437"/>
      <c r="BV1162" s="1437"/>
      <c r="BW1162" s="1437"/>
      <c r="BX1162" s="1437"/>
      <c r="BY1162" s="1437"/>
      <c r="BZ1162" s="1437"/>
      <c r="CA1162" s="1437"/>
      <c r="CB1162" s="1437"/>
      <c r="CC1162" s="1437"/>
      <c r="CD1162" s="585"/>
      <c r="CE1162" s="585"/>
      <c r="CF1162" s="586"/>
    </row>
    <row r="1163" spans="1:84" s="583" customFormat="1" ht="23.1" customHeight="1">
      <c r="A1163" s="592"/>
      <c r="B1163" s="593" t="s">
        <v>1106</v>
      </c>
      <c r="C1163" s="593"/>
      <c r="D1163" s="593"/>
      <c r="E1163" s="593"/>
      <c r="F1163" s="593"/>
      <c r="G1163" s="593"/>
      <c r="H1163" s="593"/>
      <c r="I1163" s="593"/>
      <c r="J1163" s="593"/>
      <c r="K1163" s="593"/>
      <c r="L1163" s="593"/>
      <c r="M1163" s="593"/>
      <c r="N1163" s="593"/>
      <c r="O1163" s="593"/>
      <c r="P1163" s="593"/>
      <c r="Q1163" s="593"/>
      <c r="R1163" s="593"/>
      <c r="S1163" s="593"/>
      <c r="T1163" s="593"/>
      <c r="U1163" s="593"/>
      <c r="V1163" s="593"/>
      <c r="W1163" s="593"/>
      <c r="X1163" s="593"/>
      <c r="Y1163" s="593"/>
      <c r="Z1163" s="593"/>
      <c r="AA1163" s="593"/>
      <c r="AB1163" s="593"/>
      <c r="AC1163" s="593"/>
      <c r="AD1163" s="593"/>
      <c r="AE1163" s="593"/>
      <c r="AF1163" s="593"/>
      <c r="AG1163" s="593"/>
      <c r="AH1163" s="593"/>
      <c r="AI1163" s="593"/>
      <c r="AJ1163" s="593"/>
      <c r="AK1163" s="593"/>
      <c r="AL1163" s="593"/>
      <c r="AM1163" s="593"/>
      <c r="AN1163" s="593"/>
      <c r="AO1163" s="593"/>
      <c r="AP1163" s="593"/>
      <c r="AQ1163" s="593"/>
      <c r="AR1163" s="593"/>
      <c r="AS1163" s="593"/>
      <c r="AT1163" s="593"/>
      <c r="AU1163" s="593"/>
      <c r="AV1163" s="593"/>
      <c r="AW1163" s="593"/>
      <c r="AX1163" s="593"/>
      <c r="AY1163" s="593"/>
      <c r="AZ1163" s="593"/>
      <c r="BA1163" s="593"/>
      <c r="BB1163" s="593"/>
      <c r="BC1163" s="593"/>
      <c r="BD1163" s="593"/>
      <c r="BE1163" s="593"/>
      <c r="BF1163" s="593"/>
      <c r="BG1163" s="593"/>
      <c r="BH1163" s="593"/>
      <c r="BI1163" s="593"/>
      <c r="BJ1163" s="593"/>
      <c r="BK1163" s="593"/>
      <c r="BL1163" s="593"/>
      <c r="BM1163" s="593"/>
      <c r="BN1163" s="593"/>
      <c r="BO1163" s="593"/>
      <c r="BP1163" s="593"/>
      <c r="BQ1163" s="593"/>
      <c r="BR1163" s="593"/>
      <c r="BS1163" s="593"/>
      <c r="BT1163" s="594"/>
      <c r="BU1163" s="594"/>
      <c r="BV1163" s="594"/>
      <c r="BW1163" s="594"/>
      <c r="BX1163" s="594"/>
      <c r="BY1163" s="594"/>
      <c r="BZ1163" s="594"/>
      <c r="CA1163" s="594"/>
      <c r="CB1163" s="594"/>
      <c r="CC1163" s="594"/>
      <c r="CD1163" s="593"/>
      <c r="CE1163" s="593"/>
      <c r="CF1163" s="595"/>
    </row>
    <row r="1164" spans="1:84" s="583" customFormat="1" ht="23.1" customHeight="1">
      <c r="A1164" s="584"/>
      <c r="B1164" s="585"/>
      <c r="C1164" s="585"/>
      <c r="D1164" s="596" t="s">
        <v>1093</v>
      </c>
      <c r="E1164" s="585"/>
      <c r="F1164" s="585"/>
      <c r="G1164" s="585"/>
      <c r="H1164" s="585"/>
      <c r="I1164" s="585"/>
      <c r="J1164" s="585"/>
      <c r="K1164" s="585"/>
      <c r="L1164" s="585"/>
      <c r="M1164" s="585"/>
      <c r="N1164" s="585"/>
      <c r="O1164" s="585"/>
      <c r="P1164" s="585"/>
      <c r="Q1164" s="585"/>
      <c r="R1164" s="585"/>
      <c r="S1164" s="585"/>
      <c r="T1164" s="574"/>
      <c r="U1164" s="574"/>
      <c r="V1164" s="1435">
        <f>HLOOKUP(D1164,$CJ$1:$CM$3,3,0)</f>
        <v>173995</v>
      </c>
      <c r="W1164" s="1435"/>
      <c r="X1164" s="1435"/>
      <c r="Y1164" s="1435"/>
      <c r="Z1164" s="1435"/>
      <c r="AA1164" s="1435"/>
      <c r="AB1164" s="1435"/>
      <c r="AC1164" s="1435"/>
      <c r="AD1164" s="1435"/>
      <c r="AE1164" s="1435"/>
      <c r="AF1164" s="1431" t="s">
        <v>446</v>
      </c>
      <c r="AG1164" s="1431"/>
      <c r="AH1164" s="574"/>
      <c r="AI1164" s="1436" t="s">
        <v>1107</v>
      </c>
      <c r="AJ1164" s="1436"/>
      <c r="AK1164" s="1436"/>
      <c r="AL1164" s="1436"/>
      <c r="AM1164" s="585"/>
      <c r="AN1164" s="1431" t="s">
        <v>446</v>
      </c>
      <c r="AO1164" s="1431"/>
      <c r="AP1164" s="585"/>
      <c r="AQ1164" s="1436" t="s">
        <v>1108</v>
      </c>
      <c r="AR1164" s="1436"/>
      <c r="AS1164" s="1436"/>
      <c r="AT1164" s="1436"/>
      <c r="AU1164" s="1436"/>
      <c r="AV1164" s="422"/>
      <c r="AW1164" s="1431" t="s">
        <v>446</v>
      </c>
      <c r="AX1164" s="1431"/>
      <c r="AY1164" s="440"/>
      <c r="AZ1164" s="1436" t="s">
        <v>1109</v>
      </c>
      <c r="BA1164" s="1436"/>
      <c r="BB1164" s="1436"/>
      <c r="BC1164" s="1436"/>
      <c r="BD1164" s="1436"/>
      <c r="BE1164" s="585"/>
      <c r="BF1164" s="1431" t="s">
        <v>446</v>
      </c>
      <c r="BG1164" s="1431"/>
      <c r="BH1164" s="1431">
        <v>1</v>
      </c>
      <c r="BI1164" s="1431"/>
      <c r="BJ1164" s="1431"/>
      <c r="BK1164" s="585"/>
      <c r="BL1164" s="585" t="s">
        <v>366</v>
      </c>
      <c r="BM1164" s="585"/>
      <c r="BN1164" s="585"/>
      <c r="BO1164" s="585"/>
      <c r="BP1164" s="1431" t="s">
        <v>41</v>
      </c>
      <c r="BQ1164" s="1431"/>
      <c r="BR1164" s="585"/>
      <c r="BS1164" s="585"/>
      <c r="BT1164" s="1432">
        <f>INT(V1164/8*16/12*25/20*BH1164)</f>
        <v>36248</v>
      </c>
      <c r="BU1164" s="1432"/>
      <c r="BV1164" s="1432"/>
      <c r="BW1164" s="1432"/>
      <c r="BX1164" s="1432"/>
      <c r="BY1164" s="1432"/>
      <c r="BZ1164" s="1432"/>
      <c r="CA1164" s="1432"/>
      <c r="CB1164" s="1432"/>
      <c r="CC1164" s="1432"/>
      <c r="CD1164" s="585"/>
      <c r="CE1164" s="585"/>
      <c r="CF1164" s="586"/>
    </row>
    <row r="1165" spans="1:84" s="583" customFormat="1" ht="23.1" customHeight="1">
      <c r="A1165" s="584"/>
      <c r="B1165" s="585"/>
      <c r="C1165" s="585"/>
      <c r="D1165" s="585"/>
      <c r="E1165" s="585"/>
      <c r="F1165" s="585"/>
      <c r="G1165" s="585"/>
      <c r="H1165" s="585"/>
      <c r="I1165" s="585"/>
      <c r="J1165" s="585"/>
      <c r="K1165" s="585"/>
      <c r="L1165" s="585"/>
      <c r="M1165" s="585"/>
      <c r="N1165" s="585"/>
      <c r="O1165" s="585"/>
      <c r="P1165" s="574"/>
      <c r="Q1165" s="574"/>
      <c r="R1165" s="574"/>
      <c r="S1165" s="574"/>
      <c r="T1165" s="574"/>
      <c r="U1165" s="574"/>
      <c r="V1165" s="574"/>
      <c r="W1165" s="574"/>
      <c r="X1165" s="574"/>
      <c r="Y1165" s="574"/>
      <c r="Z1165" s="574"/>
      <c r="AA1165" s="574"/>
      <c r="AB1165" s="574"/>
      <c r="AC1165" s="574"/>
      <c r="AD1165" s="574"/>
      <c r="AE1165" s="574"/>
      <c r="AF1165" s="574"/>
      <c r="AG1165" s="574"/>
      <c r="AH1165" s="574"/>
      <c r="AI1165" s="574"/>
      <c r="AJ1165" s="574"/>
      <c r="AK1165" s="574"/>
      <c r="AL1165" s="574"/>
      <c r="AM1165" s="574"/>
      <c r="AN1165" s="574"/>
      <c r="AO1165" s="574"/>
      <c r="AP1165" s="574"/>
      <c r="AQ1165" s="574"/>
      <c r="AR1165" s="574"/>
      <c r="AS1165" s="574"/>
      <c r="AT1165" s="574"/>
      <c r="AU1165" s="574"/>
      <c r="AV1165" s="574"/>
      <c r="AW1165" s="574"/>
      <c r="AX1165" s="574"/>
      <c r="AY1165" s="574"/>
      <c r="AZ1165" s="574"/>
      <c r="BA1165" s="574"/>
      <c r="BB1165" s="574"/>
      <c r="BC1165" s="574"/>
      <c r="BD1165" s="574"/>
      <c r="BE1165" s="574"/>
      <c r="BF1165" s="574"/>
      <c r="BG1165" s="585"/>
      <c r="BH1165" s="585"/>
      <c r="BI1165" s="585"/>
      <c r="BJ1165" s="585"/>
      <c r="BK1165" s="585"/>
      <c r="BL1165" s="585"/>
      <c r="BM1165" s="585"/>
      <c r="BN1165" s="585"/>
      <c r="BO1165" s="585"/>
      <c r="BP1165" s="1431"/>
      <c r="BQ1165" s="1431"/>
      <c r="BR1165" s="585"/>
      <c r="BS1165" s="585"/>
      <c r="BT1165" s="1432"/>
      <c r="BU1165" s="1432"/>
      <c r="BV1165" s="1432"/>
      <c r="BW1165" s="1432"/>
      <c r="BX1165" s="1432"/>
      <c r="BY1165" s="1432"/>
      <c r="BZ1165" s="1432"/>
      <c r="CA1165" s="1432"/>
      <c r="CB1165" s="1432"/>
      <c r="CC1165" s="1432"/>
      <c r="CD1165" s="585"/>
      <c r="CE1165" s="585"/>
      <c r="CF1165" s="586"/>
    </row>
    <row r="1166" spans="1:84" s="583" customFormat="1" ht="23.1" customHeight="1">
      <c r="A1166" s="584"/>
      <c r="B1166" s="585"/>
      <c r="C1166" s="585"/>
      <c r="D1166" s="585"/>
      <c r="E1166" s="585"/>
      <c r="F1166" s="585"/>
      <c r="G1166" s="585"/>
      <c r="H1166" s="585"/>
      <c r="I1166" s="585"/>
      <c r="J1166" s="585"/>
      <c r="K1166" s="585"/>
      <c r="L1166" s="585"/>
      <c r="M1166" s="585"/>
      <c r="N1166" s="585"/>
      <c r="O1166" s="585"/>
      <c r="P1166" s="585"/>
      <c r="Q1166" s="585"/>
      <c r="R1166" s="585"/>
      <c r="S1166" s="585"/>
      <c r="T1166" s="585"/>
      <c r="U1166" s="585"/>
      <c r="V1166" s="585"/>
      <c r="W1166" s="585"/>
      <c r="X1166" s="585"/>
      <c r="Y1166" s="585"/>
      <c r="Z1166" s="585"/>
      <c r="AA1166" s="585"/>
      <c r="AB1166" s="585"/>
      <c r="AC1166" s="585"/>
      <c r="AD1166" s="574"/>
      <c r="AE1166" s="574"/>
      <c r="AF1166" s="574"/>
      <c r="AG1166" s="574"/>
      <c r="AH1166" s="574"/>
      <c r="AI1166" s="574"/>
      <c r="AJ1166" s="574"/>
      <c r="AK1166" s="574"/>
      <c r="AL1166" s="574"/>
      <c r="AM1166" s="574"/>
      <c r="AN1166" s="574"/>
      <c r="AO1166" s="574"/>
      <c r="AP1166" s="574"/>
      <c r="AQ1166" s="574"/>
      <c r="AR1166" s="574"/>
      <c r="AS1166" s="585"/>
      <c r="AT1166" s="590"/>
      <c r="AU1166" s="590"/>
      <c r="AV1166" s="585"/>
      <c r="AW1166" s="585"/>
      <c r="AX1166" s="585"/>
      <c r="AY1166" s="585"/>
      <c r="AZ1166" s="585"/>
      <c r="BA1166" s="585"/>
      <c r="BB1166" s="585"/>
      <c r="BC1166" s="585"/>
      <c r="BD1166" s="585"/>
      <c r="BE1166" s="585"/>
      <c r="BF1166" s="585"/>
      <c r="BG1166" s="585"/>
      <c r="BH1166" s="585"/>
      <c r="BI1166" s="585"/>
      <c r="BJ1166" s="585"/>
      <c r="BK1166" s="585"/>
      <c r="BL1166" s="585"/>
      <c r="BM1166" s="585"/>
      <c r="BN1166" s="585"/>
      <c r="BO1166" s="585"/>
      <c r="BP1166" s="1431" t="s">
        <v>41</v>
      </c>
      <c r="BQ1166" s="1431"/>
      <c r="BR1166" s="585"/>
      <c r="BS1166" s="585"/>
      <c r="BT1166" s="1434">
        <f>BT1164+BT1165</f>
        <v>36248</v>
      </c>
      <c r="BU1166" s="1434"/>
      <c r="BV1166" s="1434"/>
      <c r="BW1166" s="1434"/>
      <c r="BX1166" s="1434"/>
      <c r="BY1166" s="1434"/>
      <c r="BZ1166" s="1434"/>
      <c r="CA1166" s="1434"/>
      <c r="CB1166" s="1434"/>
      <c r="CC1166" s="1434"/>
      <c r="CD1166" s="585"/>
      <c r="CE1166" s="585"/>
      <c r="CF1166" s="586"/>
    </row>
    <row r="1167" spans="1:84" s="583" customFormat="1" ht="23.1" customHeight="1">
      <c r="A1167" s="592"/>
      <c r="B1167" s="593" t="s">
        <v>1110</v>
      </c>
      <c r="C1167" s="593"/>
      <c r="D1167" s="593"/>
      <c r="E1167" s="593"/>
      <c r="F1167" s="593"/>
      <c r="G1167" s="593"/>
      <c r="H1167" s="593"/>
      <c r="I1167" s="593"/>
      <c r="J1167" s="593"/>
      <c r="K1167" s="593"/>
      <c r="L1167" s="593"/>
      <c r="M1167" s="593"/>
      <c r="N1167" s="593"/>
      <c r="O1167" s="593"/>
      <c r="P1167" s="593"/>
      <c r="Q1167" s="593"/>
      <c r="R1167" s="593"/>
      <c r="S1167" s="593"/>
      <c r="T1167" s="593"/>
      <c r="U1167" s="593"/>
      <c r="V1167" s="593"/>
      <c r="W1167" s="593"/>
      <c r="X1167" s="593"/>
      <c r="Y1167" s="593"/>
      <c r="Z1167" s="593"/>
      <c r="AA1167" s="593"/>
      <c r="AB1167" s="593"/>
      <c r="AC1167" s="593"/>
      <c r="AD1167" s="593"/>
      <c r="AE1167" s="593"/>
      <c r="AF1167" s="593"/>
      <c r="AG1167" s="593"/>
      <c r="AH1167" s="593"/>
      <c r="AI1167" s="593"/>
      <c r="AJ1167" s="593"/>
      <c r="AK1167" s="593"/>
      <c r="AL1167" s="593"/>
      <c r="AM1167" s="593"/>
      <c r="AN1167" s="593"/>
      <c r="AO1167" s="593"/>
      <c r="AP1167" s="593"/>
      <c r="AQ1167" s="593"/>
      <c r="AR1167" s="593"/>
      <c r="AS1167" s="593"/>
      <c r="AT1167" s="593"/>
      <c r="AU1167" s="593"/>
      <c r="AV1167" s="593"/>
      <c r="AW1167" s="593"/>
      <c r="AX1167" s="593"/>
      <c r="AY1167" s="593"/>
      <c r="AZ1167" s="593"/>
      <c r="BA1167" s="593"/>
      <c r="BB1167" s="593"/>
      <c r="BC1167" s="593"/>
      <c r="BD1167" s="593"/>
      <c r="BE1167" s="593"/>
      <c r="BF1167" s="593"/>
      <c r="BG1167" s="593"/>
      <c r="BH1167" s="593"/>
      <c r="BI1167" s="593"/>
      <c r="BJ1167" s="593"/>
      <c r="BK1167" s="593"/>
      <c r="BL1167" s="593"/>
      <c r="BM1167" s="593"/>
      <c r="BN1167" s="593"/>
      <c r="BO1167" s="593"/>
      <c r="BP1167" s="593"/>
      <c r="BQ1167" s="593"/>
      <c r="BR1167" s="593"/>
      <c r="BS1167" s="593"/>
      <c r="BT1167" s="593"/>
      <c r="BU1167" s="593"/>
      <c r="BV1167" s="593"/>
      <c r="BW1167" s="593"/>
      <c r="BX1167" s="593"/>
      <c r="BY1167" s="593"/>
      <c r="BZ1167" s="593"/>
      <c r="CA1167" s="593"/>
      <c r="CB1167" s="593"/>
      <c r="CC1167" s="593"/>
      <c r="CD1167" s="593"/>
      <c r="CE1167" s="593"/>
      <c r="CF1167" s="595"/>
    </row>
    <row r="1168" spans="1:84" s="583" customFormat="1" ht="23.1" customHeight="1">
      <c r="A1168" s="584"/>
      <c r="B1168" s="585"/>
      <c r="C1168" s="585"/>
      <c r="D1168" s="596" t="s">
        <v>1094</v>
      </c>
      <c r="E1168" s="585"/>
      <c r="F1168" s="585"/>
      <c r="G1168" s="585"/>
      <c r="H1168" s="585"/>
      <c r="I1168" s="585"/>
      <c r="J1168" s="585"/>
      <c r="K1168" s="585"/>
      <c r="L1168" s="585"/>
      <c r="M1168" s="585"/>
      <c r="N1168" s="585"/>
      <c r="O1168" s="585"/>
      <c r="P1168" s="585"/>
      <c r="Q1168" s="585"/>
      <c r="R1168" s="585"/>
      <c r="S1168" s="585"/>
      <c r="T1168" s="585"/>
      <c r="U1168" s="585"/>
      <c r="V1168" s="585"/>
      <c r="W1168" s="585"/>
      <c r="X1168" s="585"/>
      <c r="Y1168" s="585"/>
      <c r="Z1168" s="585"/>
      <c r="AA1168" s="585"/>
      <c r="AB1168" s="585"/>
      <c r="AC1168" s="585"/>
      <c r="AD1168" s="585"/>
      <c r="AE1168" s="585"/>
      <c r="AF1168" s="585"/>
      <c r="AG1168" s="585"/>
      <c r="AH1168" s="585"/>
      <c r="AI1168" s="585"/>
      <c r="AJ1168" s="585"/>
      <c r="AK1168" s="585"/>
      <c r="AL1168" s="585"/>
      <c r="AM1168" s="585"/>
      <c r="AN1168" s="585"/>
      <c r="AO1168" s="585"/>
      <c r="AP1168" s="585"/>
      <c r="AQ1168" s="585"/>
      <c r="AR1168" s="422"/>
      <c r="AS1168" s="1435" t="e">
        <f>HLOOKUP(D1168,$CN$1:$CO$3,3,0)</f>
        <v>#REF!</v>
      </c>
      <c r="AT1168" s="1435"/>
      <c r="AU1168" s="1435"/>
      <c r="AV1168" s="1435"/>
      <c r="AW1168" s="1435"/>
      <c r="AX1168" s="1435"/>
      <c r="AY1168" s="1435"/>
      <c r="AZ1168" s="1435"/>
      <c r="BA1168" s="1435"/>
      <c r="BB1168" s="1435"/>
      <c r="BC1168" s="585"/>
      <c r="BD1168" s="1431" t="s">
        <v>446</v>
      </c>
      <c r="BE1168" s="1431"/>
      <c r="BF1168" s="585"/>
      <c r="BG1168" s="1431">
        <v>10</v>
      </c>
      <c r="BH1168" s="1431"/>
      <c r="BI1168" s="1431"/>
      <c r="BJ1168" s="1431"/>
      <c r="BK1168" s="1431"/>
      <c r="BL1168" s="585" t="s">
        <v>1111</v>
      </c>
      <c r="BM1168" s="585"/>
      <c r="BN1168" s="585"/>
      <c r="BO1168" s="585"/>
      <c r="BP1168" s="1431" t="s">
        <v>41</v>
      </c>
      <c r="BQ1168" s="1431"/>
      <c r="BR1168" s="585"/>
      <c r="BS1168" s="585"/>
      <c r="BT1168" s="1432" t="e">
        <f>INT(AS1168*BG1168)</f>
        <v>#REF!</v>
      </c>
      <c r="BU1168" s="1432"/>
      <c r="BV1168" s="1432"/>
      <c r="BW1168" s="1432"/>
      <c r="BX1168" s="1432"/>
      <c r="BY1168" s="1432"/>
      <c r="BZ1168" s="1432"/>
      <c r="CA1168" s="1432"/>
      <c r="CB1168" s="1432"/>
      <c r="CC1168" s="1432"/>
      <c r="CD1168" s="585"/>
      <c r="CE1168" s="585"/>
      <c r="CF1168" s="586"/>
    </row>
    <row r="1169" spans="1:84" s="583" customFormat="1" ht="23.1" customHeight="1">
      <c r="A1169" s="584"/>
      <c r="B1169" s="585"/>
      <c r="C1169" s="585"/>
      <c r="D1169" s="591" t="str">
        <f>"잡재료 (주연료의 "&amp;BG1169&amp;"%) :"</f>
        <v>잡재료 (주연료의 16%) :</v>
      </c>
      <c r="E1169" s="585"/>
      <c r="F1169" s="585"/>
      <c r="G1169" s="585"/>
      <c r="H1169" s="585"/>
      <c r="I1169" s="585"/>
      <c r="J1169" s="585"/>
      <c r="K1169" s="585"/>
      <c r="L1169" s="585"/>
      <c r="M1169" s="585"/>
      <c r="N1169" s="585"/>
      <c r="O1169" s="585"/>
      <c r="P1169" s="585"/>
      <c r="Q1169" s="585"/>
      <c r="R1169" s="585"/>
      <c r="S1169" s="585"/>
      <c r="T1169" s="585"/>
      <c r="U1169" s="585"/>
      <c r="V1169" s="585"/>
      <c r="W1169" s="585"/>
      <c r="X1169" s="585"/>
      <c r="Y1169" s="585"/>
      <c r="Z1169" s="585"/>
      <c r="AA1169" s="585"/>
      <c r="AB1169" s="585"/>
      <c r="AC1169" s="585"/>
      <c r="AD1169" s="585"/>
      <c r="AE1169" s="585"/>
      <c r="AF1169" s="585"/>
      <c r="AG1169" s="585"/>
      <c r="AH1169" s="585"/>
      <c r="AI1169" s="585"/>
      <c r="AJ1169" s="585"/>
      <c r="AK1169" s="585"/>
      <c r="AL1169" s="585"/>
      <c r="AM1169" s="585"/>
      <c r="AN1169" s="585"/>
      <c r="AO1169" s="585"/>
      <c r="AP1169" s="585"/>
      <c r="AQ1169" s="585"/>
      <c r="AR1169" s="422" t="e">
        <f>BT1168</f>
        <v>#REF!</v>
      </c>
      <c r="AS1169" s="1430" t="e">
        <f>BT1168</f>
        <v>#REF!</v>
      </c>
      <c r="AT1169" s="1430"/>
      <c r="AU1169" s="1430"/>
      <c r="AV1169" s="1430"/>
      <c r="AW1169" s="1430"/>
      <c r="AX1169" s="1430"/>
      <c r="AY1169" s="1430"/>
      <c r="AZ1169" s="1430"/>
      <c r="BA1169" s="1430"/>
      <c r="BB1169" s="1430"/>
      <c r="BC1169" s="585"/>
      <c r="BD1169" s="1431" t="s">
        <v>446</v>
      </c>
      <c r="BE1169" s="1431"/>
      <c r="BF1169" s="585"/>
      <c r="BG1169" s="1431">
        <v>16</v>
      </c>
      <c r="BH1169" s="1431"/>
      <c r="BI1169" s="1431"/>
      <c r="BJ1169" s="1431"/>
      <c r="BK1169" s="1431"/>
      <c r="BL1169" s="585" t="s">
        <v>1112</v>
      </c>
      <c r="BM1169" s="585"/>
      <c r="BN1169" s="585"/>
      <c r="BO1169" s="585"/>
      <c r="BP1169" s="1431" t="s">
        <v>41</v>
      </c>
      <c r="BQ1169" s="1431"/>
      <c r="BR1169" s="585"/>
      <c r="BS1169" s="585"/>
      <c r="BT1169" s="1432" t="e">
        <f>INT(AS1169*BG1169/100)</f>
        <v>#REF!</v>
      </c>
      <c r="BU1169" s="1432"/>
      <c r="BV1169" s="1432"/>
      <c r="BW1169" s="1432"/>
      <c r="BX1169" s="1432"/>
      <c r="BY1169" s="1432"/>
      <c r="BZ1169" s="1432"/>
      <c r="CA1169" s="1432"/>
      <c r="CB1169" s="1432"/>
      <c r="CC1169" s="1432"/>
      <c r="CD1169" s="585"/>
      <c r="CE1169" s="585"/>
      <c r="CF1169" s="586"/>
    </row>
    <row r="1170" spans="1:84" s="583" customFormat="1" ht="23.1" customHeight="1" thickBot="1">
      <c r="A1170" s="584"/>
      <c r="B1170" s="585"/>
      <c r="C1170" s="585"/>
      <c r="D1170" s="585"/>
      <c r="E1170" s="585"/>
      <c r="F1170" s="585"/>
      <c r="G1170" s="585"/>
      <c r="H1170" s="585"/>
      <c r="I1170" s="585"/>
      <c r="J1170" s="585"/>
      <c r="K1170" s="585"/>
      <c r="L1170" s="585"/>
      <c r="M1170" s="585"/>
      <c r="N1170" s="585"/>
      <c r="O1170" s="585"/>
      <c r="P1170" s="585"/>
      <c r="Q1170" s="585"/>
      <c r="R1170" s="585"/>
      <c r="S1170" s="585"/>
      <c r="T1170" s="585"/>
      <c r="U1170" s="585"/>
      <c r="V1170" s="585"/>
      <c r="W1170" s="585"/>
      <c r="X1170" s="585"/>
      <c r="Y1170" s="585"/>
      <c r="Z1170" s="585"/>
      <c r="AA1170" s="585"/>
      <c r="AB1170" s="585"/>
      <c r="AC1170" s="585"/>
      <c r="AD1170" s="585"/>
      <c r="AE1170" s="585"/>
      <c r="AF1170" s="585"/>
      <c r="AG1170" s="585"/>
      <c r="AH1170" s="585"/>
      <c r="AI1170" s="585"/>
      <c r="AJ1170" s="585"/>
      <c r="AK1170" s="585"/>
      <c r="AL1170" s="585"/>
      <c r="AM1170" s="585"/>
      <c r="AN1170" s="585"/>
      <c r="AO1170" s="585"/>
      <c r="AP1170" s="585"/>
      <c r="AQ1170" s="585"/>
      <c r="AR1170" s="585"/>
      <c r="AS1170" s="585"/>
      <c r="AT1170" s="585"/>
      <c r="AU1170" s="585"/>
      <c r="AV1170" s="585"/>
      <c r="AW1170" s="585"/>
      <c r="AX1170" s="585"/>
      <c r="AY1170" s="585"/>
      <c r="AZ1170" s="585"/>
      <c r="BA1170" s="585"/>
      <c r="BB1170" s="585"/>
      <c r="BC1170" s="585"/>
      <c r="BD1170" s="585"/>
      <c r="BE1170" s="585"/>
      <c r="BF1170" s="585"/>
      <c r="BG1170" s="585"/>
      <c r="BH1170" s="585"/>
      <c r="BI1170" s="585"/>
      <c r="BJ1170" s="585"/>
      <c r="BK1170" s="585"/>
      <c r="BL1170" s="585"/>
      <c r="BM1170" s="585"/>
      <c r="BN1170" s="585"/>
      <c r="BO1170" s="585"/>
      <c r="BP1170" s="1431" t="s">
        <v>41</v>
      </c>
      <c r="BQ1170" s="1431"/>
      <c r="BR1170" s="585"/>
      <c r="BS1170" s="585"/>
      <c r="BT1170" s="1433" t="e">
        <f>BT1168+BT1169</f>
        <v>#REF!</v>
      </c>
      <c r="BU1170" s="1433"/>
      <c r="BV1170" s="1433"/>
      <c r="BW1170" s="1433"/>
      <c r="BX1170" s="1433"/>
      <c r="BY1170" s="1433"/>
      <c r="BZ1170" s="1433"/>
      <c r="CA1170" s="1433"/>
      <c r="CB1170" s="1433"/>
      <c r="CC1170" s="1433"/>
      <c r="CD1170" s="585"/>
      <c r="CE1170" s="585"/>
      <c r="CF1170" s="586"/>
    </row>
    <row r="1171" spans="1:84" s="583" customFormat="1" ht="23.1" customHeight="1" thickBot="1">
      <c r="A1171" s="597"/>
      <c r="B1171" s="598" t="s">
        <v>1113</v>
      </c>
      <c r="C1171" s="598"/>
      <c r="D1171" s="598"/>
      <c r="E1171" s="598"/>
      <c r="F1171" s="598"/>
      <c r="G1171" s="598"/>
      <c r="H1171" s="598"/>
      <c r="I1171" s="598"/>
      <c r="J1171" s="598"/>
      <c r="K1171" s="598"/>
      <c r="L1171" s="598"/>
      <c r="M1171" s="598"/>
      <c r="N1171" s="598"/>
      <c r="O1171" s="598"/>
      <c r="P1171" s="598"/>
      <c r="Q1171" s="598"/>
      <c r="R1171" s="598"/>
      <c r="S1171" s="598"/>
      <c r="T1171" s="598"/>
      <c r="U1171" s="598"/>
      <c r="V1171" s="598"/>
      <c r="W1171" s="598"/>
      <c r="X1171" s="598"/>
      <c r="Y1171" s="598"/>
      <c r="Z1171" s="598"/>
      <c r="AA1171" s="598"/>
      <c r="AB1171" s="598"/>
      <c r="AC1171" s="598"/>
      <c r="AD1171" s="598"/>
      <c r="AE1171" s="598"/>
      <c r="AF1171" s="598"/>
      <c r="AG1171" s="598"/>
      <c r="AH1171" s="598"/>
      <c r="AI1171" s="598"/>
      <c r="AJ1171" s="598"/>
      <c r="AK1171" s="598"/>
      <c r="AL1171" s="598"/>
      <c r="AM1171" s="598"/>
      <c r="AN1171" s="598"/>
      <c r="AO1171" s="598"/>
      <c r="AP1171" s="598"/>
      <c r="AQ1171" s="598"/>
      <c r="AR1171" s="598"/>
      <c r="AS1171" s="598"/>
      <c r="AT1171" s="598"/>
      <c r="AU1171" s="598"/>
      <c r="AV1171" s="598"/>
      <c r="AW1171" s="598"/>
      <c r="AX1171" s="598"/>
      <c r="AY1171" s="598"/>
      <c r="AZ1171" s="598"/>
      <c r="BA1171" s="598"/>
      <c r="BB1171" s="598"/>
      <c r="BC1171" s="598"/>
      <c r="BD1171" s="598"/>
      <c r="BE1171" s="598"/>
      <c r="BF1171" s="598"/>
      <c r="BG1171" s="598"/>
      <c r="BH1171" s="598"/>
      <c r="BI1171" s="598"/>
      <c r="BJ1171" s="598"/>
      <c r="BK1171" s="598"/>
      <c r="BL1171" s="598"/>
      <c r="BM1171" s="598"/>
      <c r="BN1171" s="598"/>
      <c r="BO1171" s="598"/>
      <c r="BP1171" s="598"/>
      <c r="BQ1171" s="598"/>
      <c r="BR1171" s="598"/>
      <c r="BS1171" s="598"/>
      <c r="BT1171" s="1429" t="e">
        <f>BT1162+BT1166+BT1170</f>
        <v>#REF!</v>
      </c>
      <c r="BU1171" s="1429"/>
      <c r="BV1171" s="1429"/>
      <c r="BW1171" s="1429"/>
      <c r="BX1171" s="1429"/>
      <c r="BY1171" s="1429"/>
      <c r="BZ1171" s="1429"/>
      <c r="CA1171" s="1429"/>
      <c r="CB1171" s="1429"/>
      <c r="CC1171" s="1429"/>
      <c r="CD1171" s="598"/>
      <c r="CE1171" s="598"/>
      <c r="CF1171" s="599"/>
    </row>
    <row r="1172" spans="1:84" s="583" customFormat="1" ht="9.9499999999999993" customHeight="1">
      <c r="A1172" s="574"/>
      <c r="B1172" s="574"/>
      <c r="C1172" s="574"/>
      <c r="D1172" s="574"/>
      <c r="E1172" s="574"/>
      <c r="F1172" s="574"/>
      <c r="G1172" s="574"/>
      <c r="H1172" s="574"/>
      <c r="I1172" s="574"/>
      <c r="J1172" s="574"/>
      <c r="K1172" s="574"/>
      <c r="L1172" s="574"/>
      <c r="M1172" s="574"/>
      <c r="N1172" s="574"/>
      <c r="O1172" s="574"/>
      <c r="P1172" s="574"/>
      <c r="Q1172" s="574"/>
      <c r="R1172" s="574"/>
      <c r="S1172" s="574"/>
      <c r="T1172" s="574"/>
      <c r="U1172" s="574"/>
      <c r="V1172" s="574"/>
      <c r="W1172" s="574"/>
      <c r="X1172" s="574"/>
      <c r="Y1172" s="574"/>
      <c r="Z1172" s="574"/>
      <c r="AA1172" s="574"/>
      <c r="AB1172" s="574"/>
      <c r="AC1172" s="574"/>
      <c r="AD1172" s="574"/>
      <c r="AE1172" s="574"/>
      <c r="AF1172" s="574"/>
      <c r="AG1172" s="574"/>
      <c r="AH1172" s="574"/>
      <c r="AI1172" s="574"/>
      <c r="AJ1172" s="574"/>
      <c r="AK1172" s="574"/>
      <c r="AL1172" s="574"/>
      <c r="AM1172" s="574"/>
      <c r="AN1172" s="574"/>
      <c r="AO1172" s="574"/>
      <c r="AP1172" s="574"/>
      <c r="AQ1172" s="574"/>
      <c r="AR1172" s="574"/>
      <c r="AS1172" s="574"/>
      <c r="AT1172" s="574"/>
      <c r="AU1172" s="574"/>
      <c r="AV1172" s="574"/>
      <c r="AW1172" s="574"/>
      <c r="AX1172" s="574"/>
      <c r="AY1172" s="574"/>
      <c r="AZ1172" s="574"/>
      <c r="BA1172" s="574"/>
      <c r="BB1172" s="574"/>
      <c r="BC1172" s="574"/>
      <c r="BD1172" s="574"/>
      <c r="BE1172" s="574"/>
      <c r="BF1172" s="574"/>
      <c r="BG1172" s="574"/>
      <c r="BH1172" s="574"/>
      <c r="BI1172" s="574"/>
      <c r="BJ1172" s="574"/>
      <c r="BK1172" s="574"/>
      <c r="BL1172" s="574"/>
      <c r="BM1172" s="574"/>
      <c r="BN1172" s="574"/>
      <c r="BO1172" s="574"/>
      <c r="BP1172" s="574"/>
      <c r="BQ1172" s="574"/>
      <c r="BR1172" s="574"/>
      <c r="BS1172" s="574"/>
      <c r="BT1172" s="574"/>
      <c r="BU1172" s="574"/>
      <c r="BV1172" s="574"/>
      <c r="BW1172" s="574"/>
      <c r="BX1172" s="574"/>
      <c r="BY1172" s="574"/>
      <c r="BZ1172" s="574"/>
      <c r="CA1172" s="574"/>
      <c r="CB1172" s="574"/>
      <c r="CC1172" s="574"/>
      <c r="CD1172" s="574"/>
      <c r="CE1172" s="574"/>
      <c r="CF1172" s="574"/>
    </row>
    <row r="1173" spans="1:84" s="583" customFormat="1" ht="23.1" customHeight="1" thickBot="1">
      <c r="A1173" s="1446" t="s">
        <v>1095</v>
      </c>
      <c r="B1173" s="1446"/>
      <c r="C1173" s="1446"/>
      <c r="D1173" s="1446"/>
      <c r="E1173" s="1446"/>
      <c r="F1173" s="1446"/>
      <c r="G1173" s="1447">
        <f>G1158+1</f>
        <v>79</v>
      </c>
      <c r="H1173" s="1447"/>
      <c r="I1173" s="1447"/>
      <c r="J1173" s="1448" t="s">
        <v>1096</v>
      </c>
      <c r="K1173" s="1448"/>
      <c r="L1173" s="574"/>
      <c r="M1173" s="574"/>
      <c r="N1173" s="574"/>
      <c r="O1173" s="574"/>
      <c r="P1173" s="574"/>
      <c r="Q1173" s="574"/>
      <c r="R1173" s="574"/>
      <c r="S1173" s="574"/>
      <c r="T1173" s="574"/>
      <c r="U1173" s="574"/>
      <c r="V1173" s="574"/>
      <c r="W1173" s="574"/>
      <c r="X1173" s="574"/>
      <c r="Y1173" s="574"/>
      <c r="Z1173" s="574"/>
      <c r="AA1173" s="574"/>
      <c r="AB1173" s="574"/>
      <c r="AC1173" s="574"/>
      <c r="AD1173" s="574"/>
      <c r="AE1173" s="574"/>
      <c r="AF1173" s="574"/>
      <c r="AG1173" s="574"/>
      <c r="AH1173" s="574"/>
      <c r="AI1173" s="574"/>
      <c r="AJ1173" s="574"/>
      <c r="AK1173" s="574"/>
      <c r="AL1173" s="574"/>
      <c r="AM1173" s="574"/>
      <c r="AN1173" s="574"/>
      <c r="AO1173" s="574"/>
      <c r="AP1173" s="574"/>
      <c r="AQ1173" s="574"/>
      <c r="AR1173" s="574"/>
      <c r="AS1173" s="574"/>
      <c r="AT1173" s="574"/>
      <c r="AU1173" s="574"/>
      <c r="AV1173" s="574"/>
      <c r="AW1173" s="574"/>
      <c r="AX1173" s="574"/>
      <c r="AY1173" s="574"/>
      <c r="AZ1173" s="574"/>
      <c r="BA1173" s="574"/>
      <c r="BB1173" s="574"/>
      <c r="BC1173" s="574"/>
      <c r="BD1173" s="574"/>
      <c r="BE1173" s="574"/>
      <c r="BF1173" s="574"/>
      <c r="BG1173" s="574"/>
      <c r="BH1173" s="574"/>
      <c r="BI1173" s="574"/>
      <c r="BJ1173" s="574"/>
      <c r="BK1173" s="574"/>
      <c r="BL1173" s="574"/>
      <c r="BM1173" s="574"/>
      <c r="BN1173" s="574"/>
      <c r="BO1173" s="574"/>
      <c r="BP1173" s="574"/>
      <c r="BQ1173" s="574"/>
      <c r="BR1173" s="574"/>
      <c r="BS1173" s="574"/>
      <c r="BT1173" s="574"/>
      <c r="BU1173" s="574"/>
      <c r="BV1173" s="574"/>
      <c r="BW1173" s="574"/>
      <c r="BX1173" s="574"/>
      <c r="BY1173" s="574"/>
      <c r="BZ1173" s="574"/>
      <c r="CA1173" s="574"/>
      <c r="CB1173" s="574"/>
      <c r="CC1173" s="574"/>
      <c r="CD1173" s="574"/>
      <c r="CE1173" s="574"/>
      <c r="CF1173" s="574"/>
    </row>
    <row r="1174" spans="1:84" s="603" customFormat="1" ht="23.1" customHeight="1" thickBot="1">
      <c r="A1174" s="1438" t="s">
        <v>1097</v>
      </c>
      <c r="B1174" s="1439"/>
      <c r="C1174" s="1439"/>
      <c r="D1174" s="1439"/>
      <c r="E1174" s="1439"/>
      <c r="F1174" s="1439"/>
      <c r="G1174" s="1439"/>
      <c r="H1174" s="1439"/>
      <c r="I1174" s="601" t="s">
        <v>731</v>
      </c>
      <c r="J1174" s="601"/>
      <c r="K1174" s="601"/>
      <c r="L1174" s="601"/>
      <c r="M1174" s="601"/>
      <c r="N1174" s="601"/>
      <c r="O1174" s="601"/>
      <c r="P1174" s="601"/>
      <c r="Q1174" s="601"/>
      <c r="R1174" s="601"/>
      <c r="S1174" s="601"/>
      <c r="T1174" s="601"/>
      <c r="U1174" s="601"/>
      <c r="V1174" s="601"/>
      <c r="W1174" s="601"/>
      <c r="X1174" s="601"/>
      <c r="Y1174" s="601"/>
      <c r="Z1174" s="601"/>
      <c r="AA1174" s="601"/>
      <c r="AB1174" s="601"/>
      <c r="AC1174" s="601"/>
      <c r="AD1174" s="601"/>
      <c r="AE1174" s="601"/>
      <c r="AF1174" s="601"/>
      <c r="AG1174" s="601"/>
      <c r="AH1174" s="601"/>
      <c r="AI1174" s="601"/>
      <c r="AJ1174" s="1439" t="s">
        <v>1099</v>
      </c>
      <c r="AK1174" s="1439"/>
      <c r="AL1174" s="1439"/>
      <c r="AM1174" s="1439"/>
      <c r="AN1174" s="1439"/>
      <c r="AO1174" s="1439"/>
      <c r="AP1174" s="1439"/>
      <c r="AQ1174" s="1499" t="s">
        <v>1235</v>
      </c>
      <c r="AR1174" s="1499"/>
      <c r="AS1174" s="1499"/>
      <c r="AT1174" s="1499"/>
      <c r="AU1174" s="1499"/>
      <c r="AV1174" s="1499"/>
      <c r="AW1174" s="1499"/>
      <c r="AX1174" s="1499"/>
      <c r="AY1174" s="1499"/>
      <c r="AZ1174" s="1499"/>
      <c r="BA1174" s="1499"/>
      <c r="BB1174" s="1499"/>
      <c r="BC1174" s="1499"/>
      <c r="BD1174" s="1499"/>
      <c r="BE1174" s="1499"/>
      <c r="BF1174" s="1499"/>
      <c r="BG1174" s="1499"/>
      <c r="BH1174" s="1499"/>
      <c r="BI1174" s="1499"/>
      <c r="BJ1174" s="601"/>
      <c r="BK1174" s="601"/>
      <c r="BL1174" s="601"/>
      <c r="BM1174" s="601"/>
      <c r="BN1174" s="601"/>
      <c r="BO1174" s="601"/>
      <c r="BP1174" s="601"/>
      <c r="BQ1174" s="601"/>
      <c r="BR1174" s="601"/>
      <c r="BS1174" s="601"/>
      <c r="BT1174" s="601" t="s">
        <v>1236</v>
      </c>
      <c r="BU1174" s="601"/>
      <c r="BV1174" s="601"/>
      <c r="BW1174" s="601"/>
      <c r="BX1174" s="601"/>
      <c r="BY1174" s="601"/>
      <c r="BZ1174" s="601"/>
      <c r="CA1174" s="601"/>
      <c r="CB1174" s="601"/>
      <c r="CC1174" s="601"/>
      <c r="CD1174" s="601"/>
      <c r="CE1174" s="601"/>
      <c r="CF1174" s="602"/>
    </row>
    <row r="1175" spans="1:84" s="583" customFormat="1" ht="23.1" customHeight="1">
      <c r="A1175" s="584"/>
      <c r="B1175" s="585" t="s">
        <v>1102</v>
      </c>
      <c r="C1175" s="585"/>
      <c r="D1175" s="585"/>
      <c r="E1175" s="585"/>
      <c r="F1175" s="585"/>
      <c r="G1175" s="585"/>
      <c r="H1175" s="585"/>
      <c r="I1175" s="585"/>
      <c r="J1175" s="585"/>
      <c r="K1175" s="585"/>
      <c r="L1175" s="585"/>
      <c r="M1175" s="585"/>
      <c r="N1175" s="585"/>
      <c r="O1175" s="585"/>
      <c r="P1175" s="585"/>
      <c r="Q1175" s="585"/>
      <c r="R1175" s="585"/>
      <c r="S1175" s="585"/>
      <c r="T1175" s="585"/>
      <c r="U1175" s="585"/>
      <c r="V1175" s="585"/>
      <c r="W1175" s="585"/>
      <c r="X1175" s="585"/>
      <c r="Y1175" s="585"/>
      <c r="Z1175" s="585"/>
      <c r="AA1175" s="585"/>
      <c r="AB1175" s="585"/>
      <c r="AC1175" s="585"/>
      <c r="AD1175" s="585"/>
      <c r="AE1175" s="585"/>
      <c r="AF1175" s="585"/>
      <c r="AG1175" s="585"/>
      <c r="AH1175" s="585"/>
      <c r="AI1175" s="585"/>
      <c r="AJ1175" s="585"/>
      <c r="AK1175" s="585"/>
      <c r="AL1175" s="585"/>
      <c r="AM1175" s="585"/>
      <c r="AN1175" s="585"/>
      <c r="AO1175" s="585"/>
      <c r="AP1175" s="585"/>
      <c r="AQ1175" s="585"/>
      <c r="AR1175" s="585"/>
      <c r="AS1175" s="585"/>
      <c r="AT1175" s="585"/>
      <c r="AU1175" s="585"/>
      <c r="AV1175" s="585"/>
      <c r="AW1175" s="585"/>
      <c r="AX1175" s="585"/>
      <c r="AY1175" s="585"/>
      <c r="AZ1175" s="585"/>
      <c r="BA1175" s="585"/>
      <c r="BB1175" s="585"/>
      <c r="BC1175" s="585"/>
      <c r="BD1175" s="585"/>
      <c r="BE1175" s="585"/>
      <c r="BF1175" s="585"/>
      <c r="BG1175" s="585"/>
      <c r="BH1175" s="585"/>
      <c r="BI1175" s="585"/>
      <c r="BJ1175" s="585"/>
      <c r="BK1175" s="585"/>
      <c r="BL1175" s="585"/>
      <c r="BM1175" s="585"/>
      <c r="BN1175" s="585"/>
      <c r="BO1175" s="585"/>
      <c r="BP1175" s="585"/>
      <c r="BQ1175" s="585"/>
      <c r="BR1175" s="585"/>
      <c r="BS1175" s="585"/>
      <c r="BT1175" s="585"/>
      <c r="BU1175" s="585"/>
      <c r="BV1175" s="585"/>
      <c r="BW1175" s="585"/>
      <c r="BX1175" s="585"/>
      <c r="BY1175" s="585"/>
      <c r="BZ1175" s="585"/>
      <c r="CA1175" s="585"/>
      <c r="CB1175" s="585"/>
      <c r="CC1175" s="585"/>
      <c r="CD1175" s="585"/>
      <c r="CE1175" s="585"/>
      <c r="CF1175" s="586"/>
    </row>
    <row r="1176" spans="1:84" s="583" customFormat="1" ht="23.1" customHeight="1">
      <c r="A1176" s="587"/>
      <c r="B1176" s="574"/>
      <c r="C1176" s="574"/>
      <c r="D1176" s="405"/>
      <c r="E1176" s="574"/>
      <c r="F1176" s="422"/>
      <c r="G1176" s="422"/>
      <c r="H1176" s="422"/>
      <c r="I1176" s="422"/>
      <c r="J1176" s="422"/>
      <c r="K1176" s="422"/>
      <c r="L1176" s="422"/>
      <c r="M1176" s="422"/>
      <c r="N1176" s="574"/>
      <c r="O1176" s="574"/>
      <c r="P1176" s="574"/>
      <c r="Q1176" s="574"/>
      <c r="R1176" s="574"/>
      <c r="S1176" s="1430"/>
      <c r="T1176" s="1430"/>
      <c r="U1176" s="1430"/>
      <c r="V1176" s="1430"/>
      <c r="W1176" s="1430"/>
      <c r="X1176" s="1430"/>
      <c r="Y1176" s="1430"/>
      <c r="Z1176" s="1430"/>
      <c r="AA1176" s="574"/>
      <c r="AB1176" s="588"/>
      <c r="AC1176" s="1431"/>
      <c r="AD1176" s="1431"/>
      <c r="AE1176" s="1498"/>
      <c r="AF1176" s="1498"/>
      <c r="AG1176" s="1498"/>
      <c r="AH1176" s="1498"/>
      <c r="AI1176" s="1498"/>
      <c r="AJ1176" s="1498"/>
      <c r="AK1176" s="1498"/>
      <c r="AL1176" s="1498"/>
      <c r="AM1176" s="1431"/>
      <c r="AN1176" s="1431"/>
      <c r="AO1176" s="574"/>
      <c r="AP1176" s="1486"/>
      <c r="AQ1176" s="1486"/>
      <c r="AR1176" s="1486"/>
      <c r="AS1176" s="1486"/>
      <c r="AT1176" s="1486"/>
      <c r="AU1176" s="1486"/>
      <c r="AV1176" s="1486"/>
      <c r="AW1176" s="1486"/>
      <c r="AX1176" s="1486"/>
      <c r="AY1176" s="1486"/>
      <c r="AZ1176" s="1486"/>
      <c r="BA1176" s="1486"/>
      <c r="BB1176" s="1486"/>
      <c r="BC1176" s="1486"/>
      <c r="BD1176" s="574"/>
      <c r="BE1176" s="574"/>
      <c r="BF1176" s="574"/>
      <c r="BG1176" s="574"/>
      <c r="BH1176" s="574"/>
      <c r="BI1176" s="574"/>
      <c r="BJ1176" s="574"/>
      <c r="BK1176" s="574"/>
      <c r="BL1176" s="574"/>
      <c r="BM1176" s="574"/>
      <c r="BN1176" s="574"/>
      <c r="BO1176" s="574"/>
      <c r="BP1176" s="574"/>
      <c r="BQ1176" s="574"/>
      <c r="BR1176" s="574"/>
      <c r="BS1176" s="574"/>
      <c r="BT1176" s="574"/>
      <c r="BU1176" s="574"/>
      <c r="BV1176" s="574"/>
      <c r="BW1176" s="574"/>
      <c r="BX1176" s="574"/>
      <c r="BY1176" s="574"/>
      <c r="BZ1176" s="574"/>
      <c r="CA1176" s="574"/>
      <c r="CB1176" s="574"/>
      <c r="CC1176" s="574"/>
      <c r="CD1176" s="574"/>
      <c r="CE1176" s="574"/>
      <c r="CF1176" s="589"/>
    </row>
    <row r="1177" spans="1:84" s="583" customFormat="1" ht="23.1" customHeight="1">
      <c r="A1177" s="584"/>
      <c r="B1177" s="585"/>
      <c r="C1177" s="585"/>
      <c r="D1177" s="585"/>
      <c r="E1177" s="585"/>
      <c r="F1177" s="585"/>
      <c r="G1177" s="585"/>
      <c r="H1177" s="585"/>
      <c r="I1177" s="585"/>
      <c r="J1177" s="585"/>
      <c r="K1177" s="585"/>
      <c r="L1177" s="585"/>
      <c r="M1177" s="585"/>
      <c r="N1177" s="585"/>
      <c r="O1177" s="585"/>
      <c r="P1177" s="585"/>
      <c r="Q1177" s="585"/>
      <c r="R1177" s="585"/>
      <c r="S1177" s="585"/>
      <c r="T1177" s="585"/>
      <c r="U1177" s="585"/>
      <c r="V1177" s="590"/>
      <c r="W1177" s="590"/>
      <c r="X1177" s="590"/>
      <c r="Y1177" s="590"/>
      <c r="Z1177" s="590"/>
      <c r="AA1177" s="590"/>
      <c r="AB1177" s="590"/>
      <c r="AC1177" s="590"/>
      <c r="AD1177" s="574"/>
      <c r="AE1177" s="1440">
        <v>1951000</v>
      </c>
      <c r="AF1177" s="1440"/>
      <c r="AG1177" s="1440"/>
      <c r="AH1177" s="1440"/>
      <c r="AI1177" s="1440"/>
      <c r="AJ1177" s="1440"/>
      <c r="AK1177" s="1440"/>
      <c r="AL1177" s="1440"/>
      <c r="AM1177" s="1440"/>
      <c r="AN1177" s="1440"/>
      <c r="AO1177" s="1440"/>
      <c r="AP1177" s="1440"/>
      <c r="AQ1177" s="1440"/>
      <c r="AR1177" s="1440"/>
      <c r="AS1177" s="1440"/>
      <c r="AT1177" s="1431" t="s">
        <v>446</v>
      </c>
      <c r="AU1177" s="1431"/>
      <c r="AV1177" s="1441" t="s">
        <v>1103</v>
      </c>
      <c r="AW1177" s="1441"/>
      <c r="AX1177" s="1442">
        <v>2500</v>
      </c>
      <c r="AY1177" s="1442"/>
      <c r="AZ1177" s="1442"/>
      <c r="BA1177" s="1442"/>
      <c r="BB1177" s="1442"/>
      <c r="BC1177" s="1442"/>
      <c r="BD1177" s="585"/>
      <c r="BE1177" s="1431" t="s">
        <v>446</v>
      </c>
      <c r="BF1177" s="1431"/>
      <c r="BG1177" s="585"/>
      <c r="BH1177" s="591" t="s">
        <v>1104</v>
      </c>
      <c r="BI1177" s="585"/>
      <c r="BJ1177" s="585"/>
      <c r="BK1177" s="585"/>
      <c r="BL1177" s="1431" t="s">
        <v>1105</v>
      </c>
      <c r="BM1177" s="1431"/>
      <c r="BN1177" s="1431"/>
      <c r="BO1177" s="585"/>
      <c r="BP1177" s="1431" t="s">
        <v>41</v>
      </c>
      <c r="BQ1177" s="1431"/>
      <c r="BR1177" s="585"/>
      <c r="BS1177" s="585"/>
      <c r="BT1177" s="1437">
        <f>INT(AE1177*AX1177*10^-7)</f>
        <v>487</v>
      </c>
      <c r="BU1177" s="1437"/>
      <c r="BV1177" s="1437"/>
      <c r="BW1177" s="1437"/>
      <c r="BX1177" s="1437"/>
      <c r="BY1177" s="1437"/>
      <c r="BZ1177" s="1437"/>
      <c r="CA1177" s="1437"/>
      <c r="CB1177" s="1437"/>
      <c r="CC1177" s="1437"/>
      <c r="CD1177" s="585"/>
      <c r="CE1177" s="585"/>
      <c r="CF1177" s="586"/>
    </row>
    <row r="1178" spans="1:84" s="583" customFormat="1" ht="23.1" customHeight="1">
      <c r="A1178" s="592"/>
      <c r="B1178" s="593" t="s">
        <v>1106</v>
      </c>
      <c r="C1178" s="593"/>
      <c r="D1178" s="593"/>
      <c r="E1178" s="593"/>
      <c r="F1178" s="593"/>
      <c r="G1178" s="593"/>
      <c r="H1178" s="593"/>
      <c r="I1178" s="593"/>
      <c r="J1178" s="593"/>
      <c r="K1178" s="593"/>
      <c r="L1178" s="593"/>
      <c r="M1178" s="593"/>
      <c r="N1178" s="593"/>
      <c r="O1178" s="593"/>
      <c r="P1178" s="593"/>
      <c r="Q1178" s="593"/>
      <c r="R1178" s="593"/>
      <c r="S1178" s="593"/>
      <c r="T1178" s="593"/>
      <c r="U1178" s="593"/>
      <c r="V1178" s="593"/>
      <c r="W1178" s="593"/>
      <c r="X1178" s="593"/>
      <c r="Y1178" s="593"/>
      <c r="Z1178" s="593"/>
      <c r="AA1178" s="593"/>
      <c r="AB1178" s="593"/>
      <c r="AC1178" s="593"/>
      <c r="AD1178" s="593"/>
      <c r="AE1178" s="593"/>
      <c r="AF1178" s="593"/>
      <c r="AG1178" s="593"/>
      <c r="AH1178" s="593"/>
      <c r="AI1178" s="593"/>
      <c r="AJ1178" s="593"/>
      <c r="AK1178" s="593"/>
      <c r="AL1178" s="593"/>
      <c r="AM1178" s="593"/>
      <c r="AN1178" s="593"/>
      <c r="AO1178" s="593"/>
      <c r="AP1178" s="593"/>
      <c r="AQ1178" s="593"/>
      <c r="AR1178" s="593"/>
      <c r="AS1178" s="593"/>
      <c r="AT1178" s="593"/>
      <c r="AU1178" s="593"/>
      <c r="AV1178" s="593"/>
      <c r="AW1178" s="593"/>
      <c r="AX1178" s="593"/>
      <c r="AY1178" s="593"/>
      <c r="AZ1178" s="593"/>
      <c r="BA1178" s="593"/>
      <c r="BB1178" s="593"/>
      <c r="BC1178" s="593"/>
      <c r="BD1178" s="593"/>
      <c r="BE1178" s="593"/>
      <c r="BF1178" s="593"/>
      <c r="BG1178" s="593"/>
      <c r="BH1178" s="593"/>
      <c r="BI1178" s="593"/>
      <c r="BJ1178" s="593"/>
      <c r="BK1178" s="593"/>
      <c r="BL1178" s="593"/>
      <c r="BM1178" s="593"/>
      <c r="BN1178" s="593"/>
      <c r="BO1178" s="593"/>
      <c r="BP1178" s="593"/>
      <c r="BQ1178" s="593"/>
      <c r="BR1178" s="593"/>
      <c r="BS1178" s="593"/>
      <c r="BT1178" s="594"/>
      <c r="BU1178" s="594"/>
      <c r="BV1178" s="594"/>
      <c r="BW1178" s="594"/>
      <c r="BX1178" s="594"/>
      <c r="BY1178" s="594"/>
      <c r="BZ1178" s="594"/>
      <c r="CA1178" s="594"/>
      <c r="CB1178" s="594"/>
      <c r="CC1178" s="594"/>
      <c r="CD1178" s="593"/>
      <c r="CE1178" s="593"/>
      <c r="CF1178" s="595"/>
    </row>
    <row r="1179" spans="1:84" s="583" customFormat="1" ht="23.1" customHeight="1">
      <c r="A1179" s="584"/>
      <c r="B1179" s="585"/>
      <c r="C1179" s="585"/>
      <c r="D1179" s="596"/>
      <c r="E1179" s="585"/>
      <c r="F1179" s="585"/>
      <c r="G1179" s="585"/>
      <c r="H1179" s="585"/>
      <c r="I1179" s="585"/>
      <c r="J1179" s="585"/>
      <c r="K1179" s="585"/>
      <c r="L1179" s="585"/>
      <c r="M1179" s="585"/>
      <c r="N1179" s="585"/>
      <c r="O1179" s="585"/>
      <c r="P1179" s="585"/>
      <c r="Q1179" s="585"/>
      <c r="R1179" s="585"/>
      <c r="S1179" s="585"/>
      <c r="T1179" s="574"/>
      <c r="U1179" s="574"/>
      <c r="V1179" s="1430"/>
      <c r="W1179" s="1430"/>
      <c r="X1179" s="1430"/>
      <c r="Y1179" s="1430"/>
      <c r="Z1179" s="1430"/>
      <c r="AA1179" s="1430"/>
      <c r="AB1179" s="1430"/>
      <c r="AC1179" s="1430"/>
      <c r="AD1179" s="1430"/>
      <c r="AE1179" s="1430"/>
      <c r="AF1179" s="1431"/>
      <c r="AG1179" s="1431"/>
      <c r="AH1179" s="574"/>
      <c r="AI1179" s="1436"/>
      <c r="AJ1179" s="1436"/>
      <c r="AK1179" s="1436"/>
      <c r="AL1179" s="1436"/>
      <c r="AM1179" s="585"/>
      <c r="AN1179" s="1431"/>
      <c r="AO1179" s="1431"/>
      <c r="AP1179" s="585"/>
      <c r="AQ1179" s="1436"/>
      <c r="AR1179" s="1436"/>
      <c r="AS1179" s="1436"/>
      <c r="AT1179" s="1436"/>
      <c r="AU1179" s="1436"/>
      <c r="AV1179" s="422"/>
      <c r="AW1179" s="1431"/>
      <c r="AX1179" s="1431"/>
      <c r="AY1179" s="440"/>
      <c r="AZ1179" s="1436"/>
      <c r="BA1179" s="1436"/>
      <c r="BB1179" s="1436"/>
      <c r="BC1179" s="1436"/>
      <c r="BD1179" s="1436"/>
      <c r="BE1179" s="585"/>
      <c r="BF1179" s="1431"/>
      <c r="BG1179" s="1431"/>
      <c r="BH1179" s="1431"/>
      <c r="BI1179" s="1431"/>
      <c r="BJ1179" s="1431"/>
      <c r="BK1179" s="585"/>
      <c r="BL1179" s="585"/>
      <c r="BM1179" s="585"/>
      <c r="BN1179" s="585"/>
      <c r="BO1179" s="585"/>
      <c r="BP1179" s="1431"/>
      <c r="BQ1179" s="1431"/>
      <c r="BR1179" s="585"/>
      <c r="BS1179" s="585"/>
      <c r="BT1179" s="1432"/>
      <c r="BU1179" s="1432"/>
      <c r="BV1179" s="1432"/>
      <c r="BW1179" s="1432"/>
      <c r="BX1179" s="1432"/>
      <c r="BY1179" s="1432"/>
      <c r="BZ1179" s="1432"/>
      <c r="CA1179" s="1432"/>
      <c r="CB1179" s="1432"/>
      <c r="CC1179" s="1432"/>
      <c r="CD1179" s="585"/>
      <c r="CE1179" s="585"/>
      <c r="CF1179" s="586"/>
    </row>
    <row r="1180" spans="1:84" s="583" customFormat="1" ht="23.1" customHeight="1">
      <c r="A1180" s="584"/>
      <c r="B1180" s="585"/>
      <c r="C1180" s="585"/>
      <c r="D1180" s="585"/>
      <c r="E1180" s="585"/>
      <c r="F1180" s="585"/>
      <c r="G1180" s="585"/>
      <c r="H1180" s="585"/>
      <c r="I1180" s="585"/>
      <c r="J1180" s="585"/>
      <c r="K1180" s="585"/>
      <c r="L1180" s="585"/>
      <c r="M1180" s="585"/>
      <c r="N1180" s="585"/>
      <c r="O1180" s="585"/>
      <c r="P1180" s="574"/>
      <c r="Q1180" s="574"/>
      <c r="R1180" s="574"/>
      <c r="S1180" s="574"/>
      <c r="T1180" s="574"/>
      <c r="U1180" s="574"/>
      <c r="V1180" s="574"/>
      <c r="W1180" s="574"/>
      <c r="X1180" s="574"/>
      <c r="Y1180" s="574"/>
      <c r="Z1180" s="574"/>
      <c r="AA1180" s="574"/>
      <c r="AB1180" s="574"/>
      <c r="AC1180" s="574"/>
      <c r="AD1180" s="574"/>
      <c r="AE1180" s="574"/>
      <c r="AF1180" s="574"/>
      <c r="AG1180" s="574"/>
      <c r="AH1180" s="574"/>
      <c r="AI1180" s="574"/>
      <c r="AJ1180" s="574"/>
      <c r="AK1180" s="574"/>
      <c r="AL1180" s="574"/>
      <c r="AM1180" s="574"/>
      <c r="AN1180" s="574"/>
      <c r="AO1180" s="574"/>
      <c r="AP1180" s="574"/>
      <c r="AQ1180" s="574"/>
      <c r="AR1180" s="574"/>
      <c r="AS1180" s="574"/>
      <c r="AT1180" s="574"/>
      <c r="AU1180" s="574"/>
      <c r="AV1180" s="574"/>
      <c r="AW1180" s="574"/>
      <c r="AX1180" s="574"/>
      <c r="AY1180" s="574"/>
      <c r="AZ1180" s="574"/>
      <c r="BA1180" s="574"/>
      <c r="BB1180" s="574"/>
      <c r="BC1180" s="574"/>
      <c r="BD1180" s="574"/>
      <c r="BE1180" s="574"/>
      <c r="BF1180" s="574"/>
      <c r="BG1180" s="585"/>
      <c r="BH1180" s="585"/>
      <c r="BI1180" s="585"/>
      <c r="BJ1180" s="585"/>
      <c r="BK1180" s="585"/>
      <c r="BL1180" s="585"/>
      <c r="BM1180" s="585"/>
      <c r="BN1180" s="585"/>
      <c r="BO1180" s="585"/>
      <c r="BP1180" s="1431"/>
      <c r="BQ1180" s="1431"/>
      <c r="BR1180" s="585"/>
      <c r="BS1180" s="585"/>
      <c r="BT1180" s="1432"/>
      <c r="BU1180" s="1432"/>
      <c r="BV1180" s="1432"/>
      <c r="BW1180" s="1432"/>
      <c r="BX1180" s="1432"/>
      <c r="BY1180" s="1432"/>
      <c r="BZ1180" s="1432"/>
      <c r="CA1180" s="1432"/>
      <c r="CB1180" s="1432"/>
      <c r="CC1180" s="1432"/>
      <c r="CD1180" s="585"/>
      <c r="CE1180" s="585"/>
      <c r="CF1180" s="586"/>
    </row>
    <row r="1181" spans="1:84" s="583" customFormat="1" ht="23.1" customHeight="1">
      <c r="A1181" s="584"/>
      <c r="B1181" s="585"/>
      <c r="C1181" s="585"/>
      <c r="D1181" s="585"/>
      <c r="E1181" s="585"/>
      <c r="F1181" s="585"/>
      <c r="G1181" s="585"/>
      <c r="H1181" s="585"/>
      <c r="I1181" s="585"/>
      <c r="J1181" s="585"/>
      <c r="K1181" s="585"/>
      <c r="L1181" s="585"/>
      <c r="M1181" s="585"/>
      <c r="N1181" s="585"/>
      <c r="O1181" s="585"/>
      <c r="P1181" s="585"/>
      <c r="Q1181" s="585"/>
      <c r="R1181" s="585"/>
      <c r="S1181" s="585"/>
      <c r="T1181" s="585"/>
      <c r="U1181" s="585"/>
      <c r="V1181" s="585"/>
      <c r="W1181" s="585"/>
      <c r="X1181" s="585"/>
      <c r="Y1181" s="585"/>
      <c r="Z1181" s="585"/>
      <c r="AA1181" s="585"/>
      <c r="AB1181" s="585"/>
      <c r="AC1181" s="585"/>
      <c r="AD1181" s="574"/>
      <c r="AE1181" s="574"/>
      <c r="AF1181" s="574"/>
      <c r="AG1181" s="574"/>
      <c r="AH1181" s="574"/>
      <c r="AI1181" s="574"/>
      <c r="AJ1181" s="574"/>
      <c r="AK1181" s="574"/>
      <c r="AL1181" s="574"/>
      <c r="AM1181" s="574"/>
      <c r="AN1181" s="574"/>
      <c r="AO1181" s="574"/>
      <c r="AP1181" s="574"/>
      <c r="AQ1181" s="574"/>
      <c r="AR1181" s="574"/>
      <c r="AS1181" s="585"/>
      <c r="AT1181" s="590"/>
      <c r="AU1181" s="590"/>
      <c r="AV1181" s="585"/>
      <c r="AW1181" s="585"/>
      <c r="AX1181" s="585"/>
      <c r="AY1181" s="585"/>
      <c r="AZ1181" s="585"/>
      <c r="BA1181" s="585"/>
      <c r="BB1181" s="585"/>
      <c r="BC1181" s="585"/>
      <c r="BD1181" s="585"/>
      <c r="BE1181" s="585"/>
      <c r="BF1181" s="585"/>
      <c r="BG1181" s="585"/>
      <c r="BH1181" s="585"/>
      <c r="BI1181" s="585"/>
      <c r="BJ1181" s="585"/>
      <c r="BK1181" s="585"/>
      <c r="BL1181" s="585"/>
      <c r="BM1181" s="585"/>
      <c r="BN1181" s="585"/>
      <c r="BO1181" s="585"/>
      <c r="BP1181" s="1431" t="s">
        <v>41</v>
      </c>
      <c r="BQ1181" s="1431"/>
      <c r="BR1181" s="585"/>
      <c r="BS1181" s="585"/>
      <c r="BT1181" s="1434">
        <f>BT1179+BT1180</f>
        <v>0</v>
      </c>
      <c r="BU1181" s="1434"/>
      <c r="BV1181" s="1434"/>
      <c r="BW1181" s="1434"/>
      <c r="BX1181" s="1434"/>
      <c r="BY1181" s="1434"/>
      <c r="BZ1181" s="1434"/>
      <c r="CA1181" s="1434"/>
      <c r="CB1181" s="1434"/>
      <c r="CC1181" s="1434"/>
      <c r="CD1181" s="585"/>
      <c r="CE1181" s="585"/>
      <c r="CF1181" s="586"/>
    </row>
    <row r="1182" spans="1:84" s="583" customFormat="1" ht="23.1" customHeight="1">
      <c r="A1182" s="592"/>
      <c r="B1182" s="593" t="s">
        <v>1110</v>
      </c>
      <c r="C1182" s="593"/>
      <c r="D1182" s="593"/>
      <c r="E1182" s="593"/>
      <c r="F1182" s="593"/>
      <c r="G1182" s="593"/>
      <c r="H1182" s="593"/>
      <c r="I1182" s="593"/>
      <c r="J1182" s="593"/>
      <c r="K1182" s="593"/>
      <c r="L1182" s="593"/>
      <c r="M1182" s="593"/>
      <c r="N1182" s="593"/>
      <c r="O1182" s="593"/>
      <c r="P1182" s="593"/>
      <c r="Q1182" s="593"/>
      <c r="R1182" s="593"/>
      <c r="S1182" s="593"/>
      <c r="T1182" s="593"/>
      <c r="U1182" s="593"/>
      <c r="V1182" s="593"/>
      <c r="W1182" s="593"/>
      <c r="X1182" s="593"/>
      <c r="Y1182" s="593"/>
      <c r="Z1182" s="593"/>
      <c r="AA1182" s="593"/>
      <c r="AB1182" s="593"/>
      <c r="AC1182" s="593"/>
      <c r="AD1182" s="593"/>
      <c r="AE1182" s="593"/>
      <c r="AF1182" s="593"/>
      <c r="AG1182" s="593"/>
      <c r="AH1182" s="593"/>
      <c r="AI1182" s="593"/>
      <c r="AJ1182" s="593"/>
      <c r="AK1182" s="593"/>
      <c r="AL1182" s="593"/>
      <c r="AM1182" s="593"/>
      <c r="AN1182" s="593"/>
      <c r="AO1182" s="593"/>
      <c r="AP1182" s="593"/>
      <c r="AQ1182" s="593"/>
      <c r="AR1182" s="593"/>
      <c r="AS1182" s="593"/>
      <c r="AT1182" s="593"/>
      <c r="AU1182" s="593"/>
      <c r="AV1182" s="593"/>
      <c r="AW1182" s="593"/>
      <c r="AX1182" s="593"/>
      <c r="AY1182" s="593"/>
      <c r="AZ1182" s="593"/>
      <c r="BA1182" s="593"/>
      <c r="BB1182" s="593"/>
      <c r="BC1182" s="593"/>
      <c r="BD1182" s="593"/>
      <c r="BE1182" s="593"/>
      <c r="BF1182" s="593"/>
      <c r="BG1182" s="593"/>
      <c r="BH1182" s="593"/>
      <c r="BI1182" s="593"/>
      <c r="BJ1182" s="593"/>
      <c r="BK1182" s="593"/>
      <c r="BL1182" s="593"/>
      <c r="BM1182" s="593"/>
      <c r="BN1182" s="593"/>
      <c r="BO1182" s="593"/>
      <c r="BP1182" s="593"/>
      <c r="BQ1182" s="593"/>
      <c r="BR1182" s="593"/>
      <c r="BS1182" s="593"/>
      <c r="BT1182" s="593"/>
      <c r="BU1182" s="593"/>
      <c r="BV1182" s="593"/>
      <c r="BW1182" s="593"/>
      <c r="BX1182" s="593"/>
      <c r="BY1182" s="593"/>
      <c r="BZ1182" s="593"/>
      <c r="CA1182" s="593"/>
      <c r="CB1182" s="593"/>
      <c r="CC1182" s="593"/>
      <c r="CD1182" s="593"/>
      <c r="CE1182" s="593"/>
      <c r="CF1182" s="595"/>
    </row>
    <row r="1183" spans="1:84" s="583" customFormat="1" ht="23.1" customHeight="1">
      <c r="A1183" s="584"/>
      <c r="B1183" s="585"/>
      <c r="C1183" s="585"/>
      <c r="D1183" s="596"/>
      <c r="E1183" s="585"/>
      <c r="F1183" s="585"/>
      <c r="G1183" s="585"/>
      <c r="H1183" s="585"/>
      <c r="I1183" s="585"/>
      <c r="J1183" s="585"/>
      <c r="K1183" s="585"/>
      <c r="L1183" s="585"/>
      <c r="M1183" s="585"/>
      <c r="N1183" s="585"/>
      <c r="O1183" s="585"/>
      <c r="P1183" s="585"/>
      <c r="Q1183" s="585"/>
      <c r="R1183" s="585"/>
      <c r="S1183" s="585"/>
      <c r="T1183" s="585"/>
      <c r="U1183" s="585"/>
      <c r="V1183" s="585"/>
      <c r="W1183" s="585"/>
      <c r="X1183" s="585"/>
      <c r="Y1183" s="585"/>
      <c r="Z1183" s="585"/>
      <c r="AA1183" s="585"/>
      <c r="AB1183" s="585"/>
      <c r="AC1183" s="585"/>
      <c r="AD1183" s="585"/>
      <c r="AE1183" s="585"/>
      <c r="AF1183" s="585"/>
      <c r="AG1183" s="585"/>
      <c r="AH1183" s="585"/>
      <c r="AI1183" s="585"/>
      <c r="AJ1183" s="585"/>
      <c r="AK1183" s="585"/>
      <c r="AL1183" s="585"/>
      <c r="AM1183" s="585"/>
      <c r="AN1183" s="585"/>
      <c r="AO1183" s="585"/>
      <c r="AP1183" s="585"/>
      <c r="AQ1183" s="585"/>
      <c r="AR1183" s="422"/>
      <c r="AS1183" s="1430"/>
      <c r="AT1183" s="1430"/>
      <c r="AU1183" s="1430"/>
      <c r="AV1183" s="1430"/>
      <c r="AW1183" s="1430"/>
      <c r="AX1183" s="1430"/>
      <c r="AY1183" s="1430"/>
      <c r="AZ1183" s="1430"/>
      <c r="BA1183" s="1430"/>
      <c r="BB1183" s="1430"/>
      <c r="BC1183" s="585"/>
      <c r="BD1183" s="1431"/>
      <c r="BE1183" s="1431"/>
      <c r="BF1183" s="585"/>
      <c r="BG1183" s="1431"/>
      <c r="BH1183" s="1431"/>
      <c r="BI1183" s="1431"/>
      <c r="BJ1183" s="1431"/>
      <c r="BK1183" s="1431"/>
      <c r="BL1183" s="585"/>
      <c r="BM1183" s="585"/>
      <c r="BN1183" s="585"/>
      <c r="BO1183" s="585"/>
      <c r="BP1183" s="1431"/>
      <c r="BQ1183" s="1431"/>
      <c r="BR1183" s="585"/>
      <c r="BS1183" s="585"/>
      <c r="BT1183" s="1432"/>
      <c r="BU1183" s="1432"/>
      <c r="BV1183" s="1432"/>
      <c r="BW1183" s="1432"/>
      <c r="BX1183" s="1432"/>
      <c r="BY1183" s="1432"/>
      <c r="BZ1183" s="1432"/>
      <c r="CA1183" s="1432"/>
      <c r="CB1183" s="1432"/>
      <c r="CC1183" s="1432"/>
      <c r="CD1183" s="585"/>
      <c r="CE1183" s="585"/>
      <c r="CF1183" s="586"/>
    </row>
    <row r="1184" spans="1:84" s="583" customFormat="1" ht="23.1" customHeight="1">
      <c r="A1184" s="584"/>
      <c r="B1184" s="585"/>
      <c r="C1184" s="585"/>
      <c r="D1184" s="591"/>
      <c r="E1184" s="585"/>
      <c r="F1184" s="585"/>
      <c r="G1184" s="585"/>
      <c r="H1184" s="585"/>
      <c r="I1184" s="585"/>
      <c r="J1184" s="585"/>
      <c r="K1184" s="585"/>
      <c r="L1184" s="585"/>
      <c r="M1184" s="585"/>
      <c r="N1184" s="585"/>
      <c r="O1184" s="585"/>
      <c r="P1184" s="585"/>
      <c r="Q1184" s="585"/>
      <c r="R1184" s="585"/>
      <c r="S1184" s="585"/>
      <c r="T1184" s="585"/>
      <c r="U1184" s="585"/>
      <c r="V1184" s="585"/>
      <c r="W1184" s="585"/>
      <c r="X1184" s="585"/>
      <c r="Y1184" s="585"/>
      <c r="Z1184" s="585"/>
      <c r="AA1184" s="585"/>
      <c r="AB1184" s="585"/>
      <c r="AC1184" s="585"/>
      <c r="AD1184" s="585"/>
      <c r="AE1184" s="585"/>
      <c r="AF1184" s="585"/>
      <c r="AG1184" s="585"/>
      <c r="AH1184" s="585"/>
      <c r="AI1184" s="585"/>
      <c r="AJ1184" s="585"/>
      <c r="AK1184" s="585"/>
      <c r="AL1184" s="585"/>
      <c r="AM1184" s="585"/>
      <c r="AN1184" s="585"/>
      <c r="AO1184" s="585"/>
      <c r="AP1184" s="585"/>
      <c r="AQ1184" s="585"/>
      <c r="AR1184" s="422"/>
      <c r="AS1184" s="1430"/>
      <c r="AT1184" s="1430"/>
      <c r="AU1184" s="1430"/>
      <c r="AV1184" s="1430"/>
      <c r="AW1184" s="1430"/>
      <c r="AX1184" s="1430"/>
      <c r="AY1184" s="1430"/>
      <c r="AZ1184" s="1430"/>
      <c r="BA1184" s="1430"/>
      <c r="BB1184" s="1430"/>
      <c r="BC1184" s="585"/>
      <c r="BD1184" s="1431"/>
      <c r="BE1184" s="1431"/>
      <c r="BF1184" s="585"/>
      <c r="BG1184" s="1431"/>
      <c r="BH1184" s="1431"/>
      <c r="BI1184" s="1431"/>
      <c r="BJ1184" s="1431"/>
      <c r="BK1184" s="1431"/>
      <c r="BL1184" s="585"/>
      <c r="BM1184" s="585"/>
      <c r="BN1184" s="585"/>
      <c r="BO1184" s="585"/>
      <c r="BP1184" s="1431"/>
      <c r="BQ1184" s="1431"/>
      <c r="BR1184" s="585"/>
      <c r="BS1184" s="585"/>
      <c r="BT1184" s="1432"/>
      <c r="BU1184" s="1432"/>
      <c r="BV1184" s="1432"/>
      <c r="BW1184" s="1432"/>
      <c r="BX1184" s="1432"/>
      <c r="BY1184" s="1432"/>
      <c r="BZ1184" s="1432"/>
      <c r="CA1184" s="1432"/>
      <c r="CB1184" s="1432"/>
      <c r="CC1184" s="1432"/>
      <c r="CD1184" s="585"/>
      <c r="CE1184" s="585"/>
      <c r="CF1184" s="586"/>
    </row>
    <row r="1185" spans="1:84" s="583" customFormat="1" ht="23.1" customHeight="1" thickBot="1">
      <c r="A1185" s="584"/>
      <c r="B1185" s="585"/>
      <c r="C1185" s="585"/>
      <c r="D1185" s="585"/>
      <c r="E1185" s="585"/>
      <c r="F1185" s="585"/>
      <c r="G1185" s="585"/>
      <c r="H1185" s="585"/>
      <c r="I1185" s="585"/>
      <c r="J1185" s="585"/>
      <c r="K1185" s="585"/>
      <c r="L1185" s="585"/>
      <c r="M1185" s="585"/>
      <c r="N1185" s="585"/>
      <c r="O1185" s="585"/>
      <c r="P1185" s="585"/>
      <c r="Q1185" s="585"/>
      <c r="R1185" s="585"/>
      <c r="S1185" s="585"/>
      <c r="T1185" s="585"/>
      <c r="U1185" s="585"/>
      <c r="V1185" s="585"/>
      <c r="W1185" s="585"/>
      <c r="X1185" s="585"/>
      <c r="Y1185" s="585"/>
      <c r="Z1185" s="585"/>
      <c r="AA1185" s="585"/>
      <c r="AB1185" s="585"/>
      <c r="AC1185" s="585"/>
      <c r="AD1185" s="585"/>
      <c r="AE1185" s="585"/>
      <c r="AF1185" s="585"/>
      <c r="AG1185" s="585"/>
      <c r="AH1185" s="585"/>
      <c r="AI1185" s="585"/>
      <c r="AJ1185" s="585"/>
      <c r="AK1185" s="585"/>
      <c r="AL1185" s="585"/>
      <c r="AM1185" s="585"/>
      <c r="AN1185" s="585"/>
      <c r="AO1185" s="585"/>
      <c r="AP1185" s="585"/>
      <c r="AQ1185" s="585"/>
      <c r="AR1185" s="585"/>
      <c r="AS1185" s="585"/>
      <c r="AT1185" s="585"/>
      <c r="AU1185" s="585"/>
      <c r="AV1185" s="585"/>
      <c r="AW1185" s="585"/>
      <c r="AX1185" s="585"/>
      <c r="AY1185" s="585"/>
      <c r="AZ1185" s="585"/>
      <c r="BA1185" s="585"/>
      <c r="BB1185" s="585"/>
      <c r="BC1185" s="585"/>
      <c r="BD1185" s="585"/>
      <c r="BE1185" s="585"/>
      <c r="BF1185" s="585"/>
      <c r="BG1185" s="585"/>
      <c r="BH1185" s="585"/>
      <c r="BI1185" s="585"/>
      <c r="BJ1185" s="585"/>
      <c r="BK1185" s="585"/>
      <c r="BL1185" s="585"/>
      <c r="BM1185" s="585"/>
      <c r="BN1185" s="585"/>
      <c r="BO1185" s="585"/>
      <c r="BP1185" s="1431" t="s">
        <v>41</v>
      </c>
      <c r="BQ1185" s="1431"/>
      <c r="BR1185" s="585"/>
      <c r="BS1185" s="585"/>
      <c r="BT1185" s="1433">
        <f>BT1183+BT1184</f>
        <v>0</v>
      </c>
      <c r="BU1185" s="1433"/>
      <c r="BV1185" s="1433"/>
      <c r="BW1185" s="1433"/>
      <c r="BX1185" s="1433"/>
      <c r="BY1185" s="1433"/>
      <c r="BZ1185" s="1433"/>
      <c r="CA1185" s="1433"/>
      <c r="CB1185" s="1433"/>
      <c r="CC1185" s="1433"/>
      <c r="CD1185" s="585"/>
      <c r="CE1185" s="585"/>
      <c r="CF1185" s="586"/>
    </row>
    <row r="1186" spans="1:84" s="583" customFormat="1" ht="23.1" customHeight="1" thickBot="1">
      <c r="A1186" s="597"/>
      <c r="B1186" s="598" t="s">
        <v>1113</v>
      </c>
      <c r="C1186" s="598"/>
      <c r="D1186" s="598"/>
      <c r="E1186" s="598"/>
      <c r="F1186" s="598"/>
      <c r="G1186" s="598"/>
      <c r="H1186" s="598"/>
      <c r="I1186" s="598"/>
      <c r="J1186" s="598"/>
      <c r="K1186" s="598"/>
      <c r="L1186" s="598"/>
      <c r="M1186" s="598"/>
      <c r="N1186" s="598"/>
      <c r="O1186" s="598"/>
      <c r="P1186" s="598"/>
      <c r="Q1186" s="598"/>
      <c r="R1186" s="598"/>
      <c r="S1186" s="598"/>
      <c r="T1186" s="598"/>
      <c r="U1186" s="598"/>
      <c r="V1186" s="598"/>
      <c r="W1186" s="598"/>
      <c r="X1186" s="598"/>
      <c r="Y1186" s="598"/>
      <c r="Z1186" s="598"/>
      <c r="AA1186" s="598"/>
      <c r="AB1186" s="598"/>
      <c r="AC1186" s="598"/>
      <c r="AD1186" s="598"/>
      <c r="AE1186" s="598"/>
      <c r="AF1186" s="598"/>
      <c r="AG1186" s="598"/>
      <c r="AH1186" s="598"/>
      <c r="AI1186" s="598"/>
      <c r="AJ1186" s="598"/>
      <c r="AK1186" s="598"/>
      <c r="AL1186" s="598"/>
      <c r="AM1186" s="598"/>
      <c r="AN1186" s="598"/>
      <c r="AO1186" s="598"/>
      <c r="AP1186" s="598"/>
      <c r="AQ1186" s="598"/>
      <c r="AR1186" s="598"/>
      <c r="AS1186" s="598"/>
      <c r="AT1186" s="598"/>
      <c r="AU1186" s="598"/>
      <c r="AV1186" s="598"/>
      <c r="AW1186" s="598"/>
      <c r="AX1186" s="598"/>
      <c r="AY1186" s="598"/>
      <c r="AZ1186" s="598"/>
      <c r="BA1186" s="598"/>
      <c r="BB1186" s="598"/>
      <c r="BC1186" s="598"/>
      <c r="BD1186" s="598"/>
      <c r="BE1186" s="598"/>
      <c r="BF1186" s="598"/>
      <c r="BG1186" s="598"/>
      <c r="BH1186" s="598"/>
      <c r="BI1186" s="598"/>
      <c r="BJ1186" s="598"/>
      <c r="BK1186" s="598"/>
      <c r="BL1186" s="598"/>
      <c r="BM1186" s="598"/>
      <c r="BN1186" s="598"/>
      <c r="BO1186" s="598"/>
      <c r="BP1186" s="598"/>
      <c r="BQ1186" s="598"/>
      <c r="BR1186" s="598"/>
      <c r="BS1186" s="598"/>
      <c r="BT1186" s="1429">
        <f>BT1177+BT1181+BT1185</f>
        <v>487</v>
      </c>
      <c r="BU1186" s="1429"/>
      <c r="BV1186" s="1429"/>
      <c r="BW1186" s="1429"/>
      <c r="BX1186" s="1429"/>
      <c r="BY1186" s="1429"/>
      <c r="BZ1186" s="1429"/>
      <c r="CA1186" s="1429"/>
      <c r="CB1186" s="1429"/>
      <c r="CC1186" s="1429"/>
      <c r="CD1186" s="598"/>
      <c r="CE1186" s="598"/>
      <c r="CF1186" s="599"/>
    </row>
    <row r="1187" spans="1:84" s="583" customFormat="1" ht="9.9499999999999993" customHeight="1">
      <c r="A1187" s="574"/>
      <c r="B1187" s="574"/>
      <c r="C1187" s="574"/>
      <c r="D1187" s="574"/>
      <c r="E1187" s="574"/>
      <c r="F1187" s="574"/>
      <c r="G1187" s="574"/>
      <c r="H1187" s="574"/>
      <c r="I1187" s="574"/>
      <c r="J1187" s="574"/>
      <c r="K1187" s="574"/>
      <c r="L1187" s="574"/>
      <c r="M1187" s="574"/>
      <c r="N1187" s="574"/>
      <c r="O1187" s="574"/>
      <c r="P1187" s="574"/>
      <c r="Q1187" s="574"/>
      <c r="R1187" s="574"/>
      <c r="S1187" s="574"/>
      <c r="T1187" s="574"/>
      <c r="U1187" s="574"/>
      <c r="V1187" s="574"/>
      <c r="W1187" s="574"/>
      <c r="X1187" s="574"/>
      <c r="Y1187" s="574"/>
      <c r="Z1187" s="574"/>
      <c r="AA1187" s="574"/>
      <c r="AB1187" s="574"/>
      <c r="AC1187" s="574"/>
      <c r="AD1187" s="574"/>
      <c r="AE1187" s="574"/>
      <c r="AF1187" s="574"/>
      <c r="AG1187" s="574"/>
      <c r="AH1187" s="574"/>
      <c r="AI1187" s="574"/>
      <c r="AJ1187" s="574"/>
      <c r="AK1187" s="574"/>
      <c r="AL1187" s="574"/>
      <c r="AM1187" s="574"/>
      <c r="AN1187" s="574"/>
      <c r="AO1187" s="574"/>
      <c r="AP1187" s="574"/>
      <c r="AQ1187" s="574"/>
      <c r="AR1187" s="574"/>
      <c r="AS1187" s="574"/>
      <c r="AT1187" s="574"/>
      <c r="AU1187" s="574"/>
      <c r="AV1187" s="574"/>
      <c r="AW1187" s="574"/>
      <c r="AX1187" s="574"/>
      <c r="AY1187" s="574"/>
      <c r="AZ1187" s="574"/>
      <c r="BA1187" s="574"/>
      <c r="BB1187" s="574"/>
      <c r="BC1187" s="574"/>
      <c r="BD1187" s="574"/>
      <c r="BE1187" s="574"/>
      <c r="BF1187" s="574"/>
      <c r="BG1187" s="574"/>
      <c r="BH1187" s="574"/>
      <c r="BI1187" s="574"/>
      <c r="BJ1187" s="574"/>
      <c r="BK1187" s="574"/>
      <c r="BL1187" s="574"/>
      <c r="BM1187" s="574"/>
      <c r="BN1187" s="574"/>
      <c r="BO1187" s="574"/>
      <c r="BP1187" s="574"/>
      <c r="BQ1187" s="574"/>
      <c r="BR1187" s="574"/>
      <c r="BS1187" s="574"/>
      <c r="BT1187" s="574"/>
      <c r="BU1187" s="574"/>
      <c r="BV1187" s="574"/>
      <c r="BW1187" s="574"/>
      <c r="BX1187" s="574"/>
      <c r="BY1187" s="574"/>
      <c r="BZ1187" s="574"/>
      <c r="CA1187" s="574"/>
      <c r="CB1187" s="574"/>
      <c r="CC1187" s="574"/>
      <c r="CD1187" s="574"/>
      <c r="CE1187" s="574"/>
      <c r="CF1187" s="574"/>
    </row>
    <row r="1188" spans="1:84" s="583" customFormat="1" ht="23.1" customHeight="1" thickBot="1">
      <c r="A1188" s="1446" t="s">
        <v>1095</v>
      </c>
      <c r="B1188" s="1446"/>
      <c r="C1188" s="1446"/>
      <c r="D1188" s="1446"/>
      <c r="E1188" s="1446"/>
      <c r="F1188" s="1446"/>
      <c r="G1188" s="1447">
        <f>G1173+1</f>
        <v>80</v>
      </c>
      <c r="H1188" s="1447"/>
      <c r="I1188" s="1447"/>
      <c r="J1188" s="1448" t="s">
        <v>1096</v>
      </c>
      <c r="K1188" s="1448"/>
      <c r="L1188" s="574"/>
      <c r="M1188" s="574"/>
      <c r="N1188" s="574"/>
      <c r="O1188" s="574"/>
      <c r="P1188" s="574"/>
      <c r="Q1188" s="574"/>
      <c r="R1188" s="574"/>
      <c r="S1188" s="574"/>
      <c r="T1188" s="574"/>
      <c r="U1188" s="574"/>
      <c r="V1188" s="574"/>
      <c r="W1188" s="574"/>
      <c r="X1188" s="574"/>
      <c r="Y1188" s="574"/>
      <c r="Z1188" s="574"/>
      <c r="AA1188" s="574"/>
      <c r="AB1188" s="574"/>
      <c r="AC1188" s="574"/>
      <c r="AD1188" s="574"/>
      <c r="AE1188" s="574"/>
      <c r="AF1188" s="574"/>
      <c r="AG1188" s="574"/>
      <c r="AH1188" s="574"/>
      <c r="AI1188" s="574"/>
      <c r="AJ1188" s="574"/>
      <c r="AK1188" s="574"/>
      <c r="AL1188" s="574"/>
      <c r="AM1188" s="574"/>
      <c r="AN1188" s="574"/>
      <c r="AO1188" s="574"/>
      <c r="AP1188" s="574"/>
      <c r="AQ1188" s="574"/>
      <c r="AR1188" s="574"/>
      <c r="AS1188" s="574"/>
      <c r="AT1188" s="574"/>
      <c r="AU1188" s="574"/>
      <c r="AV1188" s="574"/>
      <c r="AW1188" s="574"/>
      <c r="AX1188" s="574"/>
      <c r="AY1188" s="574"/>
      <c r="AZ1188" s="574"/>
      <c r="BA1188" s="574"/>
      <c r="BB1188" s="574"/>
      <c r="BC1188" s="574"/>
      <c r="BD1188" s="574"/>
      <c r="BE1188" s="574"/>
      <c r="BF1188" s="574"/>
      <c r="BG1188" s="574"/>
      <c r="BH1188" s="574"/>
      <c r="BI1188" s="574"/>
      <c r="BJ1188" s="574"/>
      <c r="BK1188" s="574"/>
      <c r="BL1188" s="574"/>
      <c r="BM1188" s="574"/>
      <c r="BN1188" s="574"/>
      <c r="BO1188" s="574"/>
      <c r="BP1188" s="574"/>
      <c r="BQ1188" s="574"/>
      <c r="BR1188" s="574"/>
      <c r="BS1188" s="574"/>
      <c r="BT1188" s="574"/>
      <c r="BU1188" s="574"/>
      <c r="BV1188" s="574"/>
      <c r="BW1188" s="574"/>
      <c r="BX1188" s="574"/>
      <c r="BY1188" s="574"/>
      <c r="BZ1188" s="574"/>
      <c r="CA1188" s="574"/>
      <c r="CB1188" s="574"/>
      <c r="CC1188" s="574"/>
      <c r="CD1188" s="574"/>
      <c r="CE1188" s="574"/>
      <c r="CF1188" s="574"/>
    </row>
    <row r="1189" spans="1:84" s="603" customFormat="1" ht="23.1" customHeight="1" thickBot="1">
      <c r="A1189" s="1438" t="s">
        <v>1097</v>
      </c>
      <c r="B1189" s="1439"/>
      <c r="C1189" s="1439"/>
      <c r="D1189" s="1439"/>
      <c r="E1189" s="1439"/>
      <c r="F1189" s="1439"/>
      <c r="G1189" s="1439"/>
      <c r="H1189" s="1439"/>
      <c r="I1189" s="601" t="s">
        <v>731</v>
      </c>
      <c r="J1189" s="601"/>
      <c r="K1189" s="601"/>
      <c r="L1189" s="601"/>
      <c r="M1189" s="601"/>
      <c r="N1189" s="601"/>
      <c r="O1189" s="601"/>
      <c r="P1189" s="601"/>
      <c r="Q1189" s="601"/>
      <c r="R1189" s="601"/>
      <c r="S1189" s="601"/>
      <c r="T1189" s="601"/>
      <c r="U1189" s="601"/>
      <c r="V1189" s="601"/>
      <c r="W1189" s="601"/>
      <c r="X1189" s="601"/>
      <c r="Y1189" s="601"/>
      <c r="Z1189" s="601"/>
      <c r="AA1189" s="601"/>
      <c r="AB1189" s="601"/>
      <c r="AC1189" s="601"/>
      <c r="AD1189" s="601"/>
      <c r="AE1189" s="601"/>
      <c r="AF1189" s="601"/>
      <c r="AG1189" s="601"/>
      <c r="AH1189" s="601"/>
      <c r="AI1189" s="601"/>
      <c r="AJ1189" s="1439" t="s">
        <v>1099</v>
      </c>
      <c r="AK1189" s="1439"/>
      <c r="AL1189" s="1439"/>
      <c r="AM1189" s="1439"/>
      <c r="AN1189" s="1439"/>
      <c r="AO1189" s="1439"/>
      <c r="AP1189" s="1439"/>
      <c r="AQ1189" s="601" t="s">
        <v>1237</v>
      </c>
      <c r="AR1189" s="601"/>
      <c r="AS1189" s="601"/>
      <c r="AT1189" s="601"/>
      <c r="AU1189" s="601"/>
      <c r="AV1189" s="601"/>
      <c r="AW1189" s="601"/>
      <c r="AX1189" s="601"/>
      <c r="AY1189" s="601"/>
      <c r="AZ1189" s="601"/>
      <c r="BA1189" s="601"/>
      <c r="BB1189" s="601"/>
      <c r="BC1189" s="601"/>
      <c r="BD1189" s="601"/>
      <c r="BE1189" s="601"/>
      <c r="BF1189" s="601"/>
      <c r="BG1189" s="601"/>
      <c r="BH1189" s="601"/>
      <c r="BI1189" s="601"/>
      <c r="BJ1189" s="601"/>
      <c r="BK1189" s="601"/>
      <c r="BL1189" s="601"/>
      <c r="BM1189" s="601"/>
      <c r="BN1189" s="601"/>
      <c r="BO1189" s="601"/>
      <c r="BP1189" s="601"/>
      <c r="BQ1189" s="601"/>
      <c r="BR1189" s="601"/>
      <c r="BS1189" s="601"/>
      <c r="BT1189" s="601" t="s">
        <v>1238</v>
      </c>
      <c r="BU1189" s="601"/>
      <c r="BV1189" s="601"/>
      <c r="BW1189" s="601"/>
      <c r="BX1189" s="601"/>
      <c r="BY1189" s="601"/>
      <c r="BZ1189" s="601"/>
      <c r="CA1189" s="601"/>
      <c r="CB1189" s="601"/>
      <c r="CC1189" s="601"/>
      <c r="CD1189" s="601"/>
      <c r="CE1189" s="601"/>
      <c r="CF1189" s="602"/>
    </row>
    <row r="1190" spans="1:84" s="583" customFormat="1" ht="23.1" customHeight="1">
      <c r="A1190" s="584"/>
      <c r="B1190" s="585" t="s">
        <v>1102</v>
      </c>
      <c r="C1190" s="585"/>
      <c r="D1190" s="585"/>
      <c r="E1190" s="585"/>
      <c r="F1190" s="585"/>
      <c r="G1190" s="585"/>
      <c r="H1190" s="585"/>
      <c r="I1190" s="585"/>
      <c r="J1190" s="585"/>
      <c r="K1190" s="585"/>
      <c r="L1190" s="585"/>
      <c r="M1190" s="585"/>
      <c r="N1190" s="585"/>
      <c r="O1190" s="585"/>
      <c r="P1190" s="585"/>
      <c r="Q1190" s="585"/>
      <c r="R1190" s="585"/>
      <c r="S1190" s="585"/>
      <c r="T1190" s="585"/>
      <c r="U1190" s="585"/>
      <c r="V1190" s="585"/>
      <c r="W1190" s="585"/>
      <c r="X1190" s="585"/>
      <c r="Y1190" s="585"/>
      <c r="Z1190" s="585"/>
      <c r="AA1190" s="585"/>
      <c r="AB1190" s="585"/>
      <c r="AC1190" s="585"/>
      <c r="AD1190" s="585"/>
      <c r="AE1190" s="585"/>
      <c r="AF1190" s="585"/>
      <c r="AG1190" s="585"/>
      <c r="AH1190" s="585"/>
      <c r="AI1190" s="585"/>
      <c r="AJ1190" s="585"/>
      <c r="AK1190" s="585"/>
      <c r="AL1190" s="585"/>
      <c r="AM1190" s="585"/>
      <c r="AN1190" s="585"/>
      <c r="AO1190" s="585"/>
      <c r="AP1190" s="585"/>
      <c r="AQ1190" s="585"/>
      <c r="AR1190" s="585"/>
      <c r="AS1190" s="585"/>
      <c r="AT1190" s="585"/>
      <c r="AU1190" s="585"/>
      <c r="AV1190" s="585"/>
      <c r="AW1190" s="585"/>
      <c r="AX1190" s="585"/>
      <c r="AY1190" s="585"/>
      <c r="AZ1190" s="585"/>
      <c r="BA1190" s="585"/>
      <c r="BB1190" s="585"/>
      <c r="BC1190" s="585"/>
      <c r="BD1190" s="585"/>
      <c r="BE1190" s="585"/>
      <c r="BF1190" s="585"/>
      <c r="BG1190" s="585"/>
      <c r="BH1190" s="585"/>
      <c r="BI1190" s="585"/>
      <c r="BJ1190" s="585"/>
      <c r="BK1190" s="585"/>
      <c r="BL1190" s="585"/>
      <c r="BM1190" s="585"/>
      <c r="BN1190" s="585"/>
      <c r="BO1190" s="585"/>
      <c r="BP1190" s="585"/>
      <c r="BQ1190" s="585"/>
      <c r="BR1190" s="585"/>
      <c r="BS1190" s="585"/>
      <c r="BT1190" s="585"/>
      <c r="BU1190" s="585"/>
      <c r="BV1190" s="585"/>
      <c r="BW1190" s="585"/>
      <c r="BX1190" s="585"/>
      <c r="BY1190" s="585"/>
      <c r="BZ1190" s="585"/>
      <c r="CA1190" s="585"/>
      <c r="CB1190" s="585"/>
      <c r="CC1190" s="585"/>
      <c r="CD1190" s="585"/>
      <c r="CE1190" s="585"/>
      <c r="CF1190" s="586"/>
    </row>
    <row r="1191" spans="1:84" s="583" customFormat="1" ht="23.1" customHeight="1">
      <c r="A1191" s="587"/>
      <c r="B1191" s="574"/>
      <c r="C1191" s="574"/>
      <c r="D1191" s="405"/>
      <c r="E1191" s="574"/>
      <c r="F1191" s="422"/>
      <c r="G1191" s="422"/>
      <c r="H1191" s="422"/>
      <c r="I1191" s="422"/>
      <c r="J1191" s="422"/>
      <c r="K1191" s="422"/>
      <c r="L1191" s="422"/>
      <c r="M1191" s="422"/>
      <c r="N1191" s="574"/>
      <c r="O1191" s="574"/>
      <c r="P1191" s="574"/>
      <c r="Q1191" s="574"/>
      <c r="R1191" s="574"/>
      <c r="S1191" s="1430"/>
      <c r="T1191" s="1430"/>
      <c r="U1191" s="1430"/>
      <c r="V1191" s="1430"/>
      <c r="W1191" s="1430"/>
      <c r="X1191" s="1430"/>
      <c r="Y1191" s="1430"/>
      <c r="Z1191" s="1430"/>
      <c r="AA1191" s="574"/>
      <c r="AB1191" s="588"/>
      <c r="AC1191" s="1431"/>
      <c r="AD1191" s="1431"/>
      <c r="AE1191" s="1498"/>
      <c r="AF1191" s="1498"/>
      <c r="AG1191" s="1498"/>
      <c r="AH1191" s="1498"/>
      <c r="AI1191" s="1498"/>
      <c r="AJ1191" s="1498"/>
      <c r="AK1191" s="1498"/>
      <c r="AL1191" s="1498"/>
      <c r="AM1191" s="1431"/>
      <c r="AN1191" s="1431"/>
      <c r="AO1191" s="574"/>
      <c r="AP1191" s="1486"/>
      <c r="AQ1191" s="1486"/>
      <c r="AR1191" s="1486"/>
      <c r="AS1191" s="1486"/>
      <c r="AT1191" s="1486"/>
      <c r="AU1191" s="1486"/>
      <c r="AV1191" s="1486"/>
      <c r="AW1191" s="1486"/>
      <c r="AX1191" s="1486"/>
      <c r="AY1191" s="1486"/>
      <c r="AZ1191" s="1486"/>
      <c r="BA1191" s="1486"/>
      <c r="BB1191" s="1486"/>
      <c r="BC1191" s="1486"/>
      <c r="BD1191" s="574"/>
      <c r="BE1191" s="574"/>
      <c r="BF1191" s="574"/>
      <c r="BG1191" s="574"/>
      <c r="BH1191" s="574"/>
      <c r="BI1191" s="574"/>
      <c r="BJ1191" s="574"/>
      <c r="BK1191" s="574"/>
      <c r="BL1191" s="574"/>
      <c r="BM1191" s="574"/>
      <c r="BN1191" s="574"/>
      <c r="BO1191" s="574"/>
      <c r="BP1191" s="574"/>
      <c r="BQ1191" s="574"/>
      <c r="BR1191" s="574"/>
      <c r="BS1191" s="574"/>
      <c r="BT1191" s="574"/>
      <c r="BU1191" s="574"/>
      <c r="BV1191" s="574"/>
      <c r="BW1191" s="574"/>
      <c r="BX1191" s="574"/>
      <c r="BY1191" s="574"/>
      <c r="BZ1191" s="574"/>
      <c r="CA1191" s="574"/>
      <c r="CB1191" s="574"/>
      <c r="CC1191" s="574"/>
      <c r="CD1191" s="574"/>
      <c r="CE1191" s="574"/>
      <c r="CF1191" s="589"/>
    </row>
    <row r="1192" spans="1:84" s="583" customFormat="1" ht="23.1" customHeight="1">
      <c r="A1192" s="584"/>
      <c r="B1192" s="585"/>
      <c r="C1192" s="585"/>
      <c r="D1192" s="585"/>
      <c r="E1192" s="585"/>
      <c r="F1192" s="585"/>
      <c r="G1192" s="585"/>
      <c r="H1192" s="585"/>
      <c r="I1192" s="585"/>
      <c r="J1192" s="585"/>
      <c r="K1192" s="585"/>
      <c r="L1192" s="585"/>
      <c r="M1192" s="585"/>
      <c r="N1192" s="585"/>
      <c r="O1192" s="585"/>
      <c r="P1192" s="585"/>
      <c r="Q1192" s="585"/>
      <c r="R1192" s="585"/>
      <c r="S1192" s="585"/>
      <c r="T1192" s="585"/>
      <c r="U1192" s="585"/>
      <c r="V1192" s="590"/>
      <c r="W1192" s="590"/>
      <c r="X1192" s="590"/>
      <c r="Y1192" s="590"/>
      <c r="Z1192" s="590"/>
      <c r="AA1192" s="590"/>
      <c r="AB1192" s="590"/>
      <c r="AC1192" s="590"/>
      <c r="AD1192" s="574"/>
      <c r="AE1192" s="1440">
        <v>1976000</v>
      </c>
      <c r="AF1192" s="1440"/>
      <c r="AG1192" s="1440"/>
      <c r="AH1192" s="1440"/>
      <c r="AI1192" s="1440"/>
      <c r="AJ1192" s="1440"/>
      <c r="AK1192" s="1440"/>
      <c r="AL1192" s="1440"/>
      <c r="AM1192" s="1440"/>
      <c r="AN1192" s="1440"/>
      <c r="AO1192" s="1440"/>
      <c r="AP1192" s="1440"/>
      <c r="AQ1192" s="1440"/>
      <c r="AR1192" s="1440"/>
      <c r="AS1192" s="1440"/>
      <c r="AT1192" s="1431" t="s">
        <v>446</v>
      </c>
      <c r="AU1192" s="1431"/>
      <c r="AV1192" s="1441" t="s">
        <v>1103</v>
      </c>
      <c r="AW1192" s="1441"/>
      <c r="AX1192" s="1442">
        <v>2500</v>
      </c>
      <c r="AY1192" s="1442"/>
      <c r="AZ1192" s="1442"/>
      <c r="BA1192" s="1442"/>
      <c r="BB1192" s="1442"/>
      <c r="BC1192" s="1442"/>
      <c r="BD1192" s="585"/>
      <c r="BE1192" s="1431" t="s">
        <v>446</v>
      </c>
      <c r="BF1192" s="1431"/>
      <c r="BG1192" s="585"/>
      <c r="BH1192" s="591" t="s">
        <v>1104</v>
      </c>
      <c r="BI1192" s="585"/>
      <c r="BJ1192" s="585"/>
      <c r="BK1192" s="585"/>
      <c r="BL1192" s="1431" t="s">
        <v>1105</v>
      </c>
      <c r="BM1192" s="1431"/>
      <c r="BN1192" s="1431"/>
      <c r="BO1192" s="585"/>
      <c r="BP1192" s="1431" t="s">
        <v>41</v>
      </c>
      <c r="BQ1192" s="1431"/>
      <c r="BR1192" s="585"/>
      <c r="BS1192" s="585"/>
      <c r="BT1192" s="1437">
        <f>INT(AE1192*AX1192*10^-7)</f>
        <v>494</v>
      </c>
      <c r="BU1192" s="1437"/>
      <c r="BV1192" s="1437"/>
      <c r="BW1192" s="1437"/>
      <c r="BX1192" s="1437"/>
      <c r="BY1192" s="1437"/>
      <c r="BZ1192" s="1437"/>
      <c r="CA1192" s="1437"/>
      <c r="CB1192" s="1437"/>
      <c r="CC1192" s="1437"/>
      <c r="CD1192" s="585"/>
      <c r="CE1192" s="585"/>
      <c r="CF1192" s="586"/>
    </row>
    <row r="1193" spans="1:84" s="583" customFormat="1" ht="23.1" customHeight="1">
      <c r="A1193" s="592"/>
      <c r="B1193" s="593" t="s">
        <v>1106</v>
      </c>
      <c r="C1193" s="593"/>
      <c r="D1193" s="593"/>
      <c r="E1193" s="593"/>
      <c r="F1193" s="593"/>
      <c r="G1193" s="593"/>
      <c r="H1193" s="593"/>
      <c r="I1193" s="593"/>
      <c r="J1193" s="593"/>
      <c r="K1193" s="593"/>
      <c r="L1193" s="593"/>
      <c r="M1193" s="593"/>
      <c r="N1193" s="593"/>
      <c r="O1193" s="593"/>
      <c r="P1193" s="593"/>
      <c r="Q1193" s="593"/>
      <c r="R1193" s="593"/>
      <c r="S1193" s="593"/>
      <c r="T1193" s="593"/>
      <c r="U1193" s="593"/>
      <c r="V1193" s="593"/>
      <c r="W1193" s="593"/>
      <c r="X1193" s="593"/>
      <c r="Y1193" s="593"/>
      <c r="Z1193" s="593"/>
      <c r="AA1193" s="593"/>
      <c r="AB1193" s="593"/>
      <c r="AC1193" s="593"/>
      <c r="AD1193" s="593"/>
      <c r="AE1193" s="593"/>
      <c r="AF1193" s="593"/>
      <c r="AG1193" s="593"/>
      <c r="AH1193" s="593"/>
      <c r="AI1193" s="593"/>
      <c r="AJ1193" s="593"/>
      <c r="AK1193" s="593"/>
      <c r="AL1193" s="593"/>
      <c r="AM1193" s="593"/>
      <c r="AN1193" s="593"/>
      <c r="AO1193" s="593"/>
      <c r="AP1193" s="593"/>
      <c r="AQ1193" s="593"/>
      <c r="AR1193" s="593"/>
      <c r="AS1193" s="593"/>
      <c r="AT1193" s="593"/>
      <c r="AU1193" s="593"/>
      <c r="AV1193" s="593"/>
      <c r="AW1193" s="593"/>
      <c r="AX1193" s="593"/>
      <c r="AY1193" s="593"/>
      <c r="AZ1193" s="593"/>
      <c r="BA1193" s="593"/>
      <c r="BB1193" s="593"/>
      <c r="BC1193" s="593"/>
      <c r="BD1193" s="593"/>
      <c r="BE1193" s="593"/>
      <c r="BF1193" s="593"/>
      <c r="BG1193" s="593"/>
      <c r="BH1193" s="593"/>
      <c r="BI1193" s="593"/>
      <c r="BJ1193" s="593"/>
      <c r="BK1193" s="593"/>
      <c r="BL1193" s="593"/>
      <c r="BM1193" s="593"/>
      <c r="BN1193" s="593"/>
      <c r="BO1193" s="593"/>
      <c r="BP1193" s="593"/>
      <c r="BQ1193" s="593"/>
      <c r="BR1193" s="593"/>
      <c r="BS1193" s="593"/>
      <c r="BT1193" s="594"/>
      <c r="BU1193" s="594"/>
      <c r="BV1193" s="594"/>
      <c r="BW1193" s="594"/>
      <c r="BX1193" s="594"/>
      <c r="BY1193" s="594"/>
      <c r="BZ1193" s="594"/>
      <c r="CA1193" s="594"/>
      <c r="CB1193" s="594"/>
      <c r="CC1193" s="594"/>
      <c r="CD1193" s="593"/>
      <c r="CE1193" s="593"/>
      <c r="CF1193" s="595"/>
    </row>
    <row r="1194" spans="1:84" s="583" customFormat="1" ht="23.1" customHeight="1">
      <c r="A1194" s="584"/>
      <c r="B1194" s="585"/>
      <c r="C1194" s="585"/>
      <c r="D1194" s="596"/>
      <c r="E1194" s="585"/>
      <c r="F1194" s="585"/>
      <c r="G1194" s="585"/>
      <c r="H1194" s="585"/>
      <c r="I1194" s="585"/>
      <c r="J1194" s="585"/>
      <c r="K1194" s="585"/>
      <c r="L1194" s="585"/>
      <c r="M1194" s="585"/>
      <c r="N1194" s="585"/>
      <c r="O1194" s="585"/>
      <c r="P1194" s="585"/>
      <c r="Q1194" s="585"/>
      <c r="R1194" s="585"/>
      <c r="S1194" s="585"/>
      <c r="T1194" s="574"/>
      <c r="U1194" s="574"/>
      <c r="V1194" s="1430"/>
      <c r="W1194" s="1430"/>
      <c r="X1194" s="1430"/>
      <c r="Y1194" s="1430"/>
      <c r="Z1194" s="1430"/>
      <c r="AA1194" s="1430"/>
      <c r="AB1194" s="1430"/>
      <c r="AC1194" s="1430"/>
      <c r="AD1194" s="1430"/>
      <c r="AE1194" s="1430"/>
      <c r="AF1194" s="1431"/>
      <c r="AG1194" s="1431"/>
      <c r="AH1194" s="574"/>
      <c r="AI1194" s="1436"/>
      <c r="AJ1194" s="1436"/>
      <c r="AK1194" s="1436"/>
      <c r="AL1194" s="1436"/>
      <c r="AM1194" s="585"/>
      <c r="AN1194" s="1431"/>
      <c r="AO1194" s="1431"/>
      <c r="AP1194" s="585"/>
      <c r="AQ1194" s="1436"/>
      <c r="AR1194" s="1436"/>
      <c r="AS1194" s="1436"/>
      <c r="AT1194" s="1436"/>
      <c r="AU1194" s="1436"/>
      <c r="AV1194" s="422"/>
      <c r="AW1194" s="1431"/>
      <c r="AX1194" s="1431"/>
      <c r="AY1194" s="440"/>
      <c r="AZ1194" s="1436"/>
      <c r="BA1194" s="1436"/>
      <c r="BB1194" s="1436"/>
      <c r="BC1194" s="1436"/>
      <c r="BD1194" s="1436"/>
      <c r="BE1194" s="585"/>
      <c r="BF1194" s="1431"/>
      <c r="BG1194" s="1431"/>
      <c r="BH1194" s="1431"/>
      <c r="BI1194" s="1431"/>
      <c r="BJ1194" s="1431"/>
      <c r="BK1194" s="585"/>
      <c r="BL1194" s="585"/>
      <c r="BM1194" s="585"/>
      <c r="BN1194" s="585"/>
      <c r="BO1194" s="585"/>
      <c r="BP1194" s="1431"/>
      <c r="BQ1194" s="1431"/>
      <c r="BR1194" s="585"/>
      <c r="BS1194" s="585"/>
      <c r="BT1194" s="1432"/>
      <c r="BU1194" s="1432"/>
      <c r="BV1194" s="1432"/>
      <c r="BW1194" s="1432"/>
      <c r="BX1194" s="1432"/>
      <c r="BY1194" s="1432"/>
      <c r="BZ1194" s="1432"/>
      <c r="CA1194" s="1432"/>
      <c r="CB1194" s="1432"/>
      <c r="CC1194" s="1432"/>
      <c r="CD1194" s="585"/>
      <c r="CE1194" s="585"/>
      <c r="CF1194" s="586"/>
    </row>
    <row r="1195" spans="1:84" s="583" customFormat="1" ht="23.1" customHeight="1">
      <c r="A1195" s="584"/>
      <c r="B1195" s="585"/>
      <c r="C1195" s="585"/>
      <c r="D1195" s="585"/>
      <c r="E1195" s="585"/>
      <c r="F1195" s="585"/>
      <c r="G1195" s="585"/>
      <c r="H1195" s="585"/>
      <c r="I1195" s="585"/>
      <c r="J1195" s="585"/>
      <c r="K1195" s="585"/>
      <c r="L1195" s="585"/>
      <c r="M1195" s="585"/>
      <c r="N1195" s="585"/>
      <c r="O1195" s="585"/>
      <c r="P1195" s="574"/>
      <c r="Q1195" s="574"/>
      <c r="R1195" s="574"/>
      <c r="S1195" s="574"/>
      <c r="T1195" s="574"/>
      <c r="U1195" s="574"/>
      <c r="V1195" s="574"/>
      <c r="W1195" s="574"/>
      <c r="X1195" s="574"/>
      <c r="Y1195" s="574"/>
      <c r="Z1195" s="574"/>
      <c r="AA1195" s="574"/>
      <c r="AB1195" s="574"/>
      <c r="AC1195" s="574"/>
      <c r="AD1195" s="574"/>
      <c r="AE1195" s="574"/>
      <c r="AF1195" s="574"/>
      <c r="AG1195" s="574"/>
      <c r="AH1195" s="574"/>
      <c r="AI1195" s="574"/>
      <c r="AJ1195" s="574"/>
      <c r="AK1195" s="574"/>
      <c r="AL1195" s="574"/>
      <c r="AM1195" s="574"/>
      <c r="AN1195" s="574"/>
      <c r="AO1195" s="574"/>
      <c r="AP1195" s="574"/>
      <c r="AQ1195" s="574"/>
      <c r="AR1195" s="574"/>
      <c r="AS1195" s="574"/>
      <c r="AT1195" s="574"/>
      <c r="AU1195" s="574"/>
      <c r="AV1195" s="574"/>
      <c r="AW1195" s="574"/>
      <c r="AX1195" s="574"/>
      <c r="AY1195" s="574"/>
      <c r="AZ1195" s="574"/>
      <c r="BA1195" s="574"/>
      <c r="BB1195" s="574"/>
      <c r="BC1195" s="574"/>
      <c r="BD1195" s="574"/>
      <c r="BE1195" s="574"/>
      <c r="BF1195" s="574"/>
      <c r="BG1195" s="585"/>
      <c r="BH1195" s="585"/>
      <c r="BI1195" s="585"/>
      <c r="BJ1195" s="585"/>
      <c r="BK1195" s="585"/>
      <c r="BL1195" s="585"/>
      <c r="BM1195" s="585"/>
      <c r="BN1195" s="585"/>
      <c r="BO1195" s="585"/>
      <c r="BP1195" s="1431"/>
      <c r="BQ1195" s="1431"/>
      <c r="BR1195" s="585"/>
      <c r="BS1195" s="585"/>
      <c r="BT1195" s="1432"/>
      <c r="BU1195" s="1432"/>
      <c r="BV1195" s="1432"/>
      <c r="BW1195" s="1432"/>
      <c r="BX1195" s="1432"/>
      <c r="BY1195" s="1432"/>
      <c r="BZ1195" s="1432"/>
      <c r="CA1195" s="1432"/>
      <c r="CB1195" s="1432"/>
      <c r="CC1195" s="1432"/>
      <c r="CD1195" s="585"/>
      <c r="CE1195" s="585"/>
      <c r="CF1195" s="586"/>
    </row>
    <row r="1196" spans="1:84" s="583" customFormat="1" ht="23.1" customHeight="1">
      <c r="A1196" s="584"/>
      <c r="B1196" s="585"/>
      <c r="C1196" s="585"/>
      <c r="D1196" s="585"/>
      <c r="E1196" s="585"/>
      <c r="F1196" s="585"/>
      <c r="G1196" s="585"/>
      <c r="H1196" s="585"/>
      <c r="I1196" s="585"/>
      <c r="J1196" s="585"/>
      <c r="K1196" s="585"/>
      <c r="L1196" s="585"/>
      <c r="M1196" s="585"/>
      <c r="N1196" s="585"/>
      <c r="O1196" s="585"/>
      <c r="P1196" s="585"/>
      <c r="Q1196" s="585"/>
      <c r="R1196" s="585"/>
      <c r="S1196" s="585"/>
      <c r="T1196" s="585"/>
      <c r="U1196" s="585"/>
      <c r="V1196" s="585"/>
      <c r="W1196" s="585"/>
      <c r="X1196" s="585"/>
      <c r="Y1196" s="585"/>
      <c r="Z1196" s="585"/>
      <c r="AA1196" s="585"/>
      <c r="AB1196" s="585"/>
      <c r="AC1196" s="585"/>
      <c r="AD1196" s="574"/>
      <c r="AE1196" s="574"/>
      <c r="AF1196" s="574"/>
      <c r="AG1196" s="574"/>
      <c r="AH1196" s="574"/>
      <c r="AI1196" s="574"/>
      <c r="AJ1196" s="574"/>
      <c r="AK1196" s="574"/>
      <c r="AL1196" s="574"/>
      <c r="AM1196" s="574"/>
      <c r="AN1196" s="574"/>
      <c r="AO1196" s="574"/>
      <c r="AP1196" s="574"/>
      <c r="AQ1196" s="574"/>
      <c r="AR1196" s="574"/>
      <c r="AS1196" s="585"/>
      <c r="AT1196" s="590"/>
      <c r="AU1196" s="590"/>
      <c r="AV1196" s="585"/>
      <c r="AW1196" s="585"/>
      <c r="AX1196" s="585"/>
      <c r="AY1196" s="585"/>
      <c r="AZ1196" s="585"/>
      <c r="BA1196" s="585"/>
      <c r="BB1196" s="585"/>
      <c r="BC1196" s="585"/>
      <c r="BD1196" s="585"/>
      <c r="BE1196" s="585"/>
      <c r="BF1196" s="585"/>
      <c r="BG1196" s="585"/>
      <c r="BH1196" s="585"/>
      <c r="BI1196" s="585"/>
      <c r="BJ1196" s="585"/>
      <c r="BK1196" s="585"/>
      <c r="BL1196" s="585"/>
      <c r="BM1196" s="585"/>
      <c r="BN1196" s="585"/>
      <c r="BO1196" s="585"/>
      <c r="BP1196" s="1431" t="s">
        <v>41</v>
      </c>
      <c r="BQ1196" s="1431"/>
      <c r="BR1196" s="585"/>
      <c r="BS1196" s="585"/>
      <c r="BT1196" s="1434">
        <f>BT1194+BT1195</f>
        <v>0</v>
      </c>
      <c r="BU1196" s="1434"/>
      <c r="BV1196" s="1434"/>
      <c r="BW1196" s="1434"/>
      <c r="BX1196" s="1434"/>
      <c r="BY1196" s="1434"/>
      <c r="BZ1196" s="1434"/>
      <c r="CA1196" s="1434"/>
      <c r="CB1196" s="1434"/>
      <c r="CC1196" s="1434"/>
      <c r="CD1196" s="585"/>
      <c r="CE1196" s="585"/>
      <c r="CF1196" s="586"/>
    </row>
    <row r="1197" spans="1:84" s="583" customFormat="1" ht="23.1" customHeight="1">
      <c r="A1197" s="592"/>
      <c r="B1197" s="593" t="s">
        <v>1110</v>
      </c>
      <c r="C1197" s="593"/>
      <c r="D1197" s="593"/>
      <c r="E1197" s="593"/>
      <c r="F1197" s="593"/>
      <c r="G1197" s="593"/>
      <c r="H1197" s="593"/>
      <c r="I1197" s="593"/>
      <c r="J1197" s="593"/>
      <c r="K1197" s="593"/>
      <c r="L1197" s="593"/>
      <c r="M1197" s="593"/>
      <c r="N1197" s="593"/>
      <c r="O1197" s="593"/>
      <c r="P1197" s="593"/>
      <c r="Q1197" s="593"/>
      <c r="R1197" s="593"/>
      <c r="S1197" s="593"/>
      <c r="T1197" s="593"/>
      <c r="U1197" s="593"/>
      <c r="V1197" s="593"/>
      <c r="W1197" s="593"/>
      <c r="X1197" s="593"/>
      <c r="Y1197" s="593"/>
      <c r="Z1197" s="593"/>
      <c r="AA1197" s="593"/>
      <c r="AB1197" s="593"/>
      <c r="AC1197" s="593"/>
      <c r="AD1197" s="593"/>
      <c r="AE1197" s="593"/>
      <c r="AF1197" s="593"/>
      <c r="AG1197" s="593"/>
      <c r="AH1197" s="593"/>
      <c r="AI1197" s="593"/>
      <c r="AJ1197" s="593"/>
      <c r="AK1197" s="593"/>
      <c r="AL1197" s="593"/>
      <c r="AM1197" s="593"/>
      <c r="AN1197" s="593"/>
      <c r="AO1197" s="593"/>
      <c r="AP1197" s="593"/>
      <c r="AQ1197" s="593"/>
      <c r="AR1197" s="593"/>
      <c r="AS1197" s="593"/>
      <c r="AT1197" s="593"/>
      <c r="AU1197" s="593"/>
      <c r="AV1197" s="593"/>
      <c r="AW1197" s="593"/>
      <c r="AX1197" s="593"/>
      <c r="AY1197" s="593"/>
      <c r="AZ1197" s="593"/>
      <c r="BA1197" s="593"/>
      <c r="BB1197" s="593"/>
      <c r="BC1197" s="593"/>
      <c r="BD1197" s="593"/>
      <c r="BE1197" s="593"/>
      <c r="BF1197" s="593"/>
      <c r="BG1197" s="593"/>
      <c r="BH1197" s="593"/>
      <c r="BI1197" s="593"/>
      <c r="BJ1197" s="593"/>
      <c r="BK1197" s="593"/>
      <c r="BL1197" s="593"/>
      <c r="BM1197" s="593"/>
      <c r="BN1197" s="593"/>
      <c r="BO1197" s="593"/>
      <c r="BP1197" s="593"/>
      <c r="BQ1197" s="593"/>
      <c r="BR1197" s="593"/>
      <c r="BS1197" s="593"/>
      <c r="BT1197" s="593"/>
      <c r="BU1197" s="593"/>
      <c r="BV1197" s="593"/>
      <c r="BW1197" s="593"/>
      <c r="BX1197" s="593"/>
      <c r="BY1197" s="593"/>
      <c r="BZ1197" s="593"/>
      <c r="CA1197" s="593"/>
      <c r="CB1197" s="593"/>
      <c r="CC1197" s="593"/>
      <c r="CD1197" s="593"/>
      <c r="CE1197" s="593"/>
      <c r="CF1197" s="595"/>
    </row>
    <row r="1198" spans="1:84" s="583" customFormat="1" ht="23.1" customHeight="1">
      <c r="A1198" s="584"/>
      <c r="B1198" s="585"/>
      <c r="C1198" s="585"/>
      <c r="D1198" s="596"/>
      <c r="E1198" s="585"/>
      <c r="F1198" s="585"/>
      <c r="G1198" s="585"/>
      <c r="H1198" s="585"/>
      <c r="I1198" s="585"/>
      <c r="J1198" s="585"/>
      <c r="K1198" s="585"/>
      <c r="L1198" s="585"/>
      <c r="M1198" s="585"/>
      <c r="N1198" s="585"/>
      <c r="O1198" s="585"/>
      <c r="P1198" s="585"/>
      <c r="Q1198" s="585"/>
      <c r="R1198" s="585"/>
      <c r="S1198" s="585"/>
      <c r="T1198" s="585"/>
      <c r="U1198" s="585"/>
      <c r="V1198" s="585"/>
      <c r="W1198" s="585"/>
      <c r="X1198" s="585"/>
      <c r="Y1198" s="585"/>
      <c r="Z1198" s="585"/>
      <c r="AA1198" s="585"/>
      <c r="AB1198" s="585"/>
      <c r="AC1198" s="585"/>
      <c r="AD1198" s="585"/>
      <c r="AE1198" s="585"/>
      <c r="AF1198" s="585"/>
      <c r="AG1198" s="585"/>
      <c r="AH1198" s="585"/>
      <c r="AI1198" s="585"/>
      <c r="AJ1198" s="585"/>
      <c r="AK1198" s="585"/>
      <c r="AL1198" s="585"/>
      <c r="AM1198" s="585"/>
      <c r="AN1198" s="585"/>
      <c r="AO1198" s="585"/>
      <c r="AP1198" s="585"/>
      <c r="AQ1198" s="585"/>
      <c r="AR1198" s="422"/>
      <c r="AS1198" s="1430"/>
      <c r="AT1198" s="1430"/>
      <c r="AU1198" s="1430"/>
      <c r="AV1198" s="1430"/>
      <c r="AW1198" s="1430"/>
      <c r="AX1198" s="1430"/>
      <c r="AY1198" s="1430"/>
      <c r="AZ1198" s="1430"/>
      <c r="BA1198" s="1430"/>
      <c r="BB1198" s="1430"/>
      <c r="BC1198" s="585"/>
      <c r="BD1198" s="1431"/>
      <c r="BE1198" s="1431"/>
      <c r="BF1198" s="585"/>
      <c r="BG1198" s="1431"/>
      <c r="BH1198" s="1431"/>
      <c r="BI1198" s="1431"/>
      <c r="BJ1198" s="1431"/>
      <c r="BK1198" s="1431"/>
      <c r="BL1198" s="585"/>
      <c r="BM1198" s="585"/>
      <c r="BN1198" s="585"/>
      <c r="BO1198" s="585"/>
      <c r="BP1198" s="1431"/>
      <c r="BQ1198" s="1431"/>
      <c r="BR1198" s="585"/>
      <c r="BS1198" s="585"/>
      <c r="BT1198" s="1432"/>
      <c r="BU1198" s="1432"/>
      <c r="BV1198" s="1432"/>
      <c r="BW1198" s="1432"/>
      <c r="BX1198" s="1432"/>
      <c r="BY1198" s="1432"/>
      <c r="BZ1198" s="1432"/>
      <c r="CA1198" s="1432"/>
      <c r="CB1198" s="1432"/>
      <c r="CC1198" s="1432"/>
      <c r="CD1198" s="585"/>
      <c r="CE1198" s="585"/>
      <c r="CF1198" s="586"/>
    </row>
    <row r="1199" spans="1:84" s="583" customFormat="1" ht="23.1" customHeight="1">
      <c r="A1199" s="584"/>
      <c r="B1199" s="585"/>
      <c r="C1199" s="585"/>
      <c r="D1199" s="591"/>
      <c r="E1199" s="585"/>
      <c r="F1199" s="585"/>
      <c r="G1199" s="585"/>
      <c r="H1199" s="585"/>
      <c r="I1199" s="585"/>
      <c r="J1199" s="585"/>
      <c r="K1199" s="585"/>
      <c r="L1199" s="585"/>
      <c r="M1199" s="585"/>
      <c r="N1199" s="585"/>
      <c r="O1199" s="585"/>
      <c r="P1199" s="585"/>
      <c r="Q1199" s="585"/>
      <c r="R1199" s="585"/>
      <c r="S1199" s="585"/>
      <c r="T1199" s="585"/>
      <c r="U1199" s="585"/>
      <c r="V1199" s="585"/>
      <c r="W1199" s="585"/>
      <c r="X1199" s="585"/>
      <c r="Y1199" s="585"/>
      <c r="Z1199" s="585"/>
      <c r="AA1199" s="585"/>
      <c r="AB1199" s="585"/>
      <c r="AC1199" s="585"/>
      <c r="AD1199" s="585"/>
      <c r="AE1199" s="585"/>
      <c r="AF1199" s="585"/>
      <c r="AG1199" s="585"/>
      <c r="AH1199" s="585"/>
      <c r="AI1199" s="585"/>
      <c r="AJ1199" s="585"/>
      <c r="AK1199" s="585"/>
      <c r="AL1199" s="585"/>
      <c r="AM1199" s="585"/>
      <c r="AN1199" s="585"/>
      <c r="AO1199" s="585"/>
      <c r="AP1199" s="585"/>
      <c r="AQ1199" s="585"/>
      <c r="AR1199" s="422"/>
      <c r="AS1199" s="1430"/>
      <c r="AT1199" s="1430"/>
      <c r="AU1199" s="1430"/>
      <c r="AV1199" s="1430"/>
      <c r="AW1199" s="1430"/>
      <c r="AX1199" s="1430"/>
      <c r="AY1199" s="1430"/>
      <c r="AZ1199" s="1430"/>
      <c r="BA1199" s="1430"/>
      <c r="BB1199" s="1430"/>
      <c r="BC1199" s="585"/>
      <c r="BD1199" s="1431"/>
      <c r="BE1199" s="1431"/>
      <c r="BF1199" s="585"/>
      <c r="BG1199" s="1431"/>
      <c r="BH1199" s="1431"/>
      <c r="BI1199" s="1431"/>
      <c r="BJ1199" s="1431"/>
      <c r="BK1199" s="1431"/>
      <c r="BL1199" s="585"/>
      <c r="BM1199" s="585"/>
      <c r="BN1199" s="585"/>
      <c r="BO1199" s="585"/>
      <c r="BP1199" s="1431"/>
      <c r="BQ1199" s="1431"/>
      <c r="BR1199" s="585"/>
      <c r="BS1199" s="585"/>
      <c r="BT1199" s="1432"/>
      <c r="BU1199" s="1432"/>
      <c r="BV1199" s="1432"/>
      <c r="BW1199" s="1432"/>
      <c r="BX1199" s="1432"/>
      <c r="BY1199" s="1432"/>
      <c r="BZ1199" s="1432"/>
      <c r="CA1199" s="1432"/>
      <c r="CB1199" s="1432"/>
      <c r="CC1199" s="1432"/>
      <c r="CD1199" s="585"/>
      <c r="CE1199" s="585"/>
      <c r="CF1199" s="586"/>
    </row>
    <row r="1200" spans="1:84" s="583" customFormat="1" ht="23.1" customHeight="1" thickBot="1">
      <c r="A1200" s="584"/>
      <c r="B1200" s="585"/>
      <c r="C1200" s="585"/>
      <c r="D1200" s="585"/>
      <c r="E1200" s="585"/>
      <c r="F1200" s="585"/>
      <c r="G1200" s="585"/>
      <c r="H1200" s="585"/>
      <c r="I1200" s="585"/>
      <c r="J1200" s="585"/>
      <c r="K1200" s="585"/>
      <c r="L1200" s="585"/>
      <c r="M1200" s="585"/>
      <c r="N1200" s="585"/>
      <c r="O1200" s="585"/>
      <c r="P1200" s="585"/>
      <c r="Q1200" s="585"/>
      <c r="R1200" s="585"/>
      <c r="S1200" s="585"/>
      <c r="T1200" s="585"/>
      <c r="U1200" s="585"/>
      <c r="V1200" s="585"/>
      <c r="W1200" s="585"/>
      <c r="X1200" s="585"/>
      <c r="Y1200" s="585"/>
      <c r="Z1200" s="585"/>
      <c r="AA1200" s="585"/>
      <c r="AB1200" s="585"/>
      <c r="AC1200" s="585"/>
      <c r="AD1200" s="585"/>
      <c r="AE1200" s="585"/>
      <c r="AF1200" s="585"/>
      <c r="AG1200" s="585"/>
      <c r="AH1200" s="585"/>
      <c r="AI1200" s="585"/>
      <c r="AJ1200" s="585"/>
      <c r="AK1200" s="585"/>
      <c r="AL1200" s="585"/>
      <c r="AM1200" s="585"/>
      <c r="AN1200" s="585"/>
      <c r="AO1200" s="585"/>
      <c r="AP1200" s="585"/>
      <c r="AQ1200" s="585"/>
      <c r="AR1200" s="585"/>
      <c r="AS1200" s="585"/>
      <c r="AT1200" s="585"/>
      <c r="AU1200" s="585"/>
      <c r="AV1200" s="585"/>
      <c r="AW1200" s="585"/>
      <c r="AX1200" s="585"/>
      <c r="AY1200" s="585"/>
      <c r="AZ1200" s="585"/>
      <c r="BA1200" s="585"/>
      <c r="BB1200" s="585"/>
      <c r="BC1200" s="585"/>
      <c r="BD1200" s="585"/>
      <c r="BE1200" s="585"/>
      <c r="BF1200" s="585"/>
      <c r="BG1200" s="585"/>
      <c r="BH1200" s="585"/>
      <c r="BI1200" s="585"/>
      <c r="BJ1200" s="585"/>
      <c r="BK1200" s="585"/>
      <c r="BL1200" s="585"/>
      <c r="BM1200" s="585"/>
      <c r="BN1200" s="585"/>
      <c r="BO1200" s="585"/>
      <c r="BP1200" s="1431" t="s">
        <v>41</v>
      </c>
      <c r="BQ1200" s="1431"/>
      <c r="BR1200" s="585"/>
      <c r="BS1200" s="585"/>
      <c r="BT1200" s="1433">
        <f>BT1198+BT1199</f>
        <v>0</v>
      </c>
      <c r="BU1200" s="1433"/>
      <c r="BV1200" s="1433"/>
      <c r="BW1200" s="1433"/>
      <c r="BX1200" s="1433"/>
      <c r="BY1200" s="1433"/>
      <c r="BZ1200" s="1433"/>
      <c r="CA1200" s="1433"/>
      <c r="CB1200" s="1433"/>
      <c r="CC1200" s="1433"/>
      <c r="CD1200" s="585"/>
      <c r="CE1200" s="585"/>
      <c r="CF1200" s="586"/>
    </row>
    <row r="1201" spans="1:84" s="583" customFormat="1" ht="23.1" customHeight="1" thickBot="1">
      <c r="A1201" s="597"/>
      <c r="B1201" s="598" t="s">
        <v>1113</v>
      </c>
      <c r="C1201" s="598"/>
      <c r="D1201" s="598"/>
      <c r="E1201" s="598"/>
      <c r="F1201" s="598"/>
      <c r="G1201" s="598"/>
      <c r="H1201" s="598"/>
      <c r="I1201" s="598"/>
      <c r="J1201" s="598"/>
      <c r="K1201" s="598"/>
      <c r="L1201" s="598"/>
      <c r="M1201" s="598"/>
      <c r="N1201" s="598"/>
      <c r="O1201" s="598"/>
      <c r="P1201" s="598"/>
      <c r="Q1201" s="598"/>
      <c r="R1201" s="598"/>
      <c r="S1201" s="598"/>
      <c r="T1201" s="598"/>
      <c r="U1201" s="598"/>
      <c r="V1201" s="598"/>
      <c r="W1201" s="598"/>
      <c r="X1201" s="598"/>
      <c r="Y1201" s="598"/>
      <c r="Z1201" s="598"/>
      <c r="AA1201" s="598"/>
      <c r="AB1201" s="598"/>
      <c r="AC1201" s="598"/>
      <c r="AD1201" s="598"/>
      <c r="AE1201" s="598"/>
      <c r="AF1201" s="598"/>
      <c r="AG1201" s="598"/>
      <c r="AH1201" s="598"/>
      <c r="AI1201" s="598"/>
      <c r="AJ1201" s="598"/>
      <c r="AK1201" s="598"/>
      <c r="AL1201" s="598"/>
      <c r="AM1201" s="598"/>
      <c r="AN1201" s="598"/>
      <c r="AO1201" s="598"/>
      <c r="AP1201" s="598"/>
      <c r="AQ1201" s="598"/>
      <c r="AR1201" s="598"/>
      <c r="AS1201" s="598"/>
      <c r="AT1201" s="598"/>
      <c r="AU1201" s="598"/>
      <c r="AV1201" s="598"/>
      <c r="AW1201" s="598"/>
      <c r="AX1201" s="598"/>
      <c r="AY1201" s="598"/>
      <c r="AZ1201" s="598"/>
      <c r="BA1201" s="598"/>
      <c r="BB1201" s="598"/>
      <c r="BC1201" s="598"/>
      <c r="BD1201" s="598"/>
      <c r="BE1201" s="598"/>
      <c r="BF1201" s="598"/>
      <c r="BG1201" s="598"/>
      <c r="BH1201" s="598"/>
      <c r="BI1201" s="598"/>
      <c r="BJ1201" s="598"/>
      <c r="BK1201" s="598"/>
      <c r="BL1201" s="598"/>
      <c r="BM1201" s="598"/>
      <c r="BN1201" s="598"/>
      <c r="BO1201" s="598"/>
      <c r="BP1201" s="598"/>
      <c r="BQ1201" s="598"/>
      <c r="BR1201" s="598"/>
      <c r="BS1201" s="598"/>
      <c r="BT1201" s="1429">
        <f>BT1192+BT1196+BT1200</f>
        <v>494</v>
      </c>
      <c r="BU1201" s="1429"/>
      <c r="BV1201" s="1429"/>
      <c r="BW1201" s="1429"/>
      <c r="BX1201" s="1429"/>
      <c r="BY1201" s="1429"/>
      <c r="BZ1201" s="1429"/>
      <c r="CA1201" s="1429"/>
      <c r="CB1201" s="1429"/>
      <c r="CC1201" s="1429"/>
      <c r="CD1201" s="598"/>
      <c r="CE1201" s="598"/>
      <c r="CF1201" s="599"/>
    </row>
    <row r="1202" spans="1:84" s="583" customFormat="1" ht="9.9499999999999993" customHeight="1">
      <c r="A1202" s="574"/>
      <c r="B1202" s="574"/>
      <c r="C1202" s="574"/>
      <c r="D1202" s="574"/>
      <c r="E1202" s="574"/>
      <c r="F1202" s="574"/>
      <c r="G1202" s="574"/>
      <c r="H1202" s="574"/>
      <c r="I1202" s="574"/>
      <c r="J1202" s="574"/>
      <c r="K1202" s="574"/>
      <c r="L1202" s="574"/>
      <c r="M1202" s="574"/>
      <c r="N1202" s="574"/>
      <c r="O1202" s="574"/>
      <c r="P1202" s="574"/>
      <c r="Q1202" s="574"/>
      <c r="R1202" s="574"/>
      <c r="S1202" s="574"/>
      <c r="T1202" s="574"/>
      <c r="U1202" s="574"/>
      <c r="V1202" s="574"/>
      <c r="W1202" s="574"/>
      <c r="X1202" s="574"/>
      <c r="Y1202" s="574"/>
      <c r="Z1202" s="574"/>
      <c r="AA1202" s="574"/>
      <c r="AB1202" s="574"/>
      <c r="AC1202" s="574"/>
      <c r="AD1202" s="574"/>
      <c r="AE1202" s="574"/>
      <c r="AF1202" s="574"/>
      <c r="AG1202" s="574"/>
      <c r="AH1202" s="574"/>
      <c r="AI1202" s="574"/>
      <c r="AJ1202" s="574"/>
      <c r="AK1202" s="574"/>
      <c r="AL1202" s="574"/>
      <c r="AM1202" s="574"/>
      <c r="AN1202" s="574"/>
      <c r="AO1202" s="574"/>
      <c r="AP1202" s="574"/>
      <c r="AQ1202" s="574"/>
      <c r="AR1202" s="574"/>
      <c r="AS1202" s="574"/>
      <c r="AT1202" s="574"/>
      <c r="AU1202" s="574"/>
      <c r="AV1202" s="574"/>
      <c r="AW1202" s="574"/>
      <c r="AX1202" s="574"/>
      <c r="AY1202" s="574"/>
      <c r="AZ1202" s="574"/>
      <c r="BA1202" s="574"/>
      <c r="BB1202" s="574"/>
      <c r="BC1202" s="574"/>
      <c r="BD1202" s="574"/>
      <c r="BE1202" s="574"/>
      <c r="BF1202" s="574"/>
      <c r="BG1202" s="574"/>
      <c r="BH1202" s="574"/>
      <c r="BI1202" s="574"/>
      <c r="BJ1202" s="574"/>
      <c r="BK1202" s="574"/>
      <c r="BL1202" s="574"/>
      <c r="BM1202" s="574"/>
      <c r="BN1202" s="574"/>
      <c r="BO1202" s="574"/>
      <c r="BP1202" s="574"/>
      <c r="BQ1202" s="574"/>
      <c r="BR1202" s="574"/>
      <c r="BS1202" s="574"/>
      <c r="BT1202" s="574"/>
      <c r="BU1202" s="574"/>
      <c r="BV1202" s="574"/>
      <c r="BW1202" s="574"/>
      <c r="BX1202" s="574"/>
      <c r="BY1202" s="574"/>
      <c r="BZ1202" s="574"/>
      <c r="CA1202" s="574"/>
      <c r="CB1202" s="574"/>
      <c r="CC1202" s="574"/>
      <c r="CD1202" s="574"/>
      <c r="CE1202" s="574"/>
      <c r="CF1202" s="574"/>
    </row>
    <row r="1203" spans="1:84" s="583" customFormat="1" ht="23.1" customHeight="1" thickBot="1">
      <c r="A1203" s="1446" t="s">
        <v>1095</v>
      </c>
      <c r="B1203" s="1446"/>
      <c r="C1203" s="1446"/>
      <c r="D1203" s="1446"/>
      <c r="E1203" s="1446"/>
      <c r="F1203" s="1446"/>
      <c r="G1203" s="1447">
        <f>G1188+1</f>
        <v>81</v>
      </c>
      <c r="H1203" s="1447"/>
      <c r="I1203" s="1447"/>
      <c r="J1203" s="1448" t="s">
        <v>1096</v>
      </c>
      <c r="K1203" s="1448"/>
      <c r="L1203" s="574"/>
      <c r="M1203" s="574"/>
      <c r="N1203" s="574"/>
      <c r="O1203" s="574"/>
      <c r="P1203" s="574"/>
      <c r="Q1203" s="574"/>
      <c r="R1203" s="574"/>
      <c r="S1203" s="574"/>
      <c r="T1203" s="574"/>
      <c r="U1203" s="574"/>
      <c r="V1203" s="574"/>
      <c r="W1203" s="574"/>
      <c r="X1203" s="574"/>
      <c r="Y1203" s="574"/>
      <c r="Z1203" s="574"/>
      <c r="AA1203" s="574"/>
      <c r="AB1203" s="574"/>
      <c r="AC1203" s="574"/>
      <c r="AD1203" s="574"/>
      <c r="AE1203" s="574"/>
      <c r="AF1203" s="574"/>
      <c r="AG1203" s="574"/>
      <c r="AH1203" s="574"/>
      <c r="AI1203" s="574"/>
      <c r="AJ1203" s="574"/>
      <c r="AK1203" s="574"/>
      <c r="AL1203" s="574"/>
      <c r="AM1203" s="574"/>
      <c r="AN1203" s="574"/>
      <c r="AO1203" s="574"/>
      <c r="AP1203" s="574"/>
      <c r="AQ1203" s="574"/>
      <c r="AR1203" s="574"/>
      <c r="AS1203" s="574"/>
      <c r="AT1203" s="574"/>
      <c r="AU1203" s="574"/>
      <c r="AV1203" s="574"/>
      <c r="AW1203" s="574"/>
      <c r="AX1203" s="574"/>
      <c r="AY1203" s="574"/>
      <c r="AZ1203" s="574"/>
      <c r="BA1203" s="574"/>
      <c r="BB1203" s="574"/>
      <c r="BC1203" s="574"/>
      <c r="BD1203" s="574"/>
      <c r="BE1203" s="574"/>
      <c r="BF1203" s="574"/>
      <c r="BG1203" s="574"/>
      <c r="BH1203" s="574"/>
      <c r="BI1203" s="574"/>
      <c r="BJ1203" s="574"/>
      <c r="BK1203" s="574"/>
      <c r="BL1203" s="574"/>
      <c r="BM1203" s="574"/>
      <c r="BN1203" s="574"/>
      <c r="BO1203" s="574"/>
      <c r="BP1203" s="574"/>
      <c r="BQ1203" s="574"/>
      <c r="BR1203" s="574"/>
      <c r="BS1203" s="574"/>
      <c r="BT1203" s="574"/>
      <c r="BU1203" s="574"/>
      <c r="BV1203" s="574"/>
      <c r="BW1203" s="574"/>
      <c r="BX1203" s="574"/>
      <c r="BY1203" s="574"/>
      <c r="BZ1203" s="574"/>
      <c r="CA1203" s="574"/>
      <c r="CB1203" s="574"/>
      <c r="CC1203" s="574"/>
      <c r="CD1203" s="574"/>
      <c r="CE1203" s="574"/>
      <c r="CF1203" s="574"/>
    </row>
    <row r="1204" spans="1:84" s="620" customFormat="1" ht="23.1" customHeight="1" thickBot="1">
      <c r="A1204" s="1496" t="s">
        <v>1097</v>
      </c>
      <c r="B1204" s="1497"/>
      <c r="C1204" s="1497"/>
      <c r="D1204" s="1497"/>
      <c r="E1204" s="1497"/>
      <c r="F1204" s="1497"/>
      <c r="G1204" s="1497"/>
      <c r="H1204" s="1497"/>
      <c r="I1204" s="618" t="s">
        <v>490</v>
      </c>
      <c r="J1204" s="618"/>
      <c r="K1204" s="618"/>
      <c r="L1204" s="618"/>
      <c r="M1204" s="618"/>
      <c r="N1204" s="618"/>
      <c r="O1204" s="618"/>
      <c r="P1204" s="618"/>
      <c r="Q1204" s="618"/>
      <c r="R1204" s="618"/>
      <c r="S1204" s="618"/>
      <c r="T1204" s="618"/>
      <c r="U1204" s="618"/>
      <c r="V1204" s="618"/>
      <c r="W1204" s="618"/>
      <c r="X1204" s="618"/>
      <c r="Y1204" s="618"/>
      <c r="Z1204" s="618"/>
      <c r="AA1204" s="618"/>
      <c r="AB1204" s="618"/>
      <c r="AC1204" s="618"/>
      <c r="AD1204" s="618"/>
      <c r="AE1204" s="618"/>
      <c r="AF1204" s="618"/>
      <c r="AG1204" s="618"/>
      <c r="AH1204" s="618"/>
      <c r="AI1204" s="618"/>
      <c r="AJ1204" s="1497" t="s">
        <v>1099</v>
      </c>
      <c r="AK1204" s="1497"/>
      <c r="AL1204" s="1497"/>
      <c r="AM1204" s="1497"/>
      <c r="AN1204" s="1497"/>
      <c r="AO1204" s="1497"/>
      <c r="AP1204" s="1497"/>
      <c r="AQ1204" s="618" t="s">
        <v>495</v>
      </c>
      <c r="AR1204" s="618"/>
      <c r="AS1204" s="618"/>
      <c r="AT1204" s="618"/>
      <c r="AU1204" s="618"/>
      <c r="AV1204" s="618"/>
      <c r="AW1204" s="618"/>
      <c r="AX1204" s="618"/>
      <c r="AY1204" s="618"/>
      <c r="AZ1204" s="618"/>
      <c r="BA1204" s="618"/>
      <c r="BB1204" s="618"/>
      <c r="BC1204" s="618"/>
      <c r="BD1204" s="618"/>
      <c r="BE1204" s="618"/>
      <c r="BF1204" s="618"/>
      <c r="BG1204" s="618"/>
      <c r="BH1204" s="618"/>
      <c r="BI1204" s="618"/>
      <c r="BJ1204" s="618"/>
      <c r="BK1204" s="618"/>
      <c r="BL1204" s="618"/>
      <c r="BM1204" s="618"/>
      <c r="BN1204" s="618"/>
      <c r="BO1204" s="618"/>
      <c r="BP1204" s="618"/>
      <c r="BQ1204" s="618"/>
      <c r="BR1204" s="618"/>
      <c r="BS1204" s="618"/>
      <c r="BT1204" s="618" t="s">
        <v>1239</v>
      </c>
      <c r="BU1204" s="618"/>
      <c r="BV1204" s="618"/>
      <c r="BW1204" s="618"/>
      <c r="BX1204" s="618"/>
      <c r="BY1204" s="618"/>
      <c r="BZ1204" s="618"/>
      <c r="CA1204" s="618"/>
      <c r="CB1204" s="618"/>
      <c r="CC1204" s="618"/>
      <c r="CD1204" s="618"/>
      <c r="CE1204" s="618"/>
      <c r="CF1204" s="619"/>
    </row>
    <row r="1205" spans="1:84" s="583" customFormat="1" ht="23.1" customHeight="1">
      <c r="A1205" s="584"/>
      <c r="B1205" s="585" t="s">
        <v>1102</v>
      </c>
      <c r="C1205" s="585"/>
      <c r="D1205" s="585"/>
      <c r="E1205" s="585"/>
      <c r="F1205" s="585"/>
      <c r="G1205" s="585"/>
      <c r="H1205" s="585"/>
      <c r="I1205" s="585"/>
      <c r="J1205" s="585"/>
      <c r="K1205" s="585"/>
      <c r="L1205" s="585"/>
      <c r="M1205" s="585"/>
      <c r="N1205" s="585"/>
      <c r="O1205" s="585"/>
      <c r="P1205" s="585"/>
      <c r="Q1205" s="585"/>
      <c r="R1205" s="585"/>
      <c r="S1205" s="585"/>
      <c r="T1205" s="585"/>
      <c r="U1205" s="585"/>
      <c r="V1205" s="585"/>
      <c r="W1205" s="585"/>
      <c r="X1205" s="585"/>
      <c r="Y1205" s="585"/>
      <c r="Z1205" s="585"/>
      <c r="AA1205" s="585"/>
      <c r="AB1205" s="585"/>
      <c r="AC1205" s="585"/>
      <c r="AD1205" s="585"/>
      <c r="AE1205" s="585"/>
      <c r="AF1205" s="585"/>
      <c r="AG1205" s="585"/>
      <c r="AH1205" s="585"/>
      <c r="AI1205" s="585"/>
      <c r="AJ1205" s="585"/>
      <c r="AK1205" s="585"/>
      <c r="AL1205" s="585"/>
      <c r="AM1205" s="585"/>
      <c r="AN1205" s="585"/>
      <c r="AO1205" s="585"/>
      <c r="AP1205" s="585"/>
      <c r="AQ1205" s="585"/>
      <c r="AR1205" s="585"/>
      <c r="AS1205" s="585"/>
      <c r="AT1205" s="585"/>
      <c r="AU1205" s="585"/>
      <c r="AV1205" s="585"/>
      <c r="AW1205" s="585"/>
      <c r="AX1205" s="585"/>
      <c r="AY1205" s="585"/>
      <c r="AZ1205" s="585"/>
      <c r="BA1205" s="585"/>
      <c r="BB1205" s="585"/>
      <c r="BC1205" s="585"/>
      <c r="BD1205" s="585"/>
      <c r="BE1205" s="585"/>
      <c r="BF1205" s="585"/>
      <c r="BG1205" s="585"/>
      <c r="BH1205" s="585"/>
      <c r="BI1205" s="585"/>
      <c r="BJ1205" s="585"/>
      <c r="BK1205" s="585"/>
      <c r="BL1205" s="585"/>
      <c r="BM1205" s="585"/>
      <c r="BN1205" s="585"/>
      <c r="BO1205" s="585"/>
      <c r="BP1205" s="585"/>
      <c r="BQ1205" s="585"/>
      <c r="BR1205" s="585"/>
      <c r="BS1205" s="585"/>
      <c r="BT1205" s="585"/>
      <c r="BU1205" s="585"/>
      <c r="BV1205" s="585"/>
      <c r="BW1205" s="585"/>
      <c r="BX1205" s="585"/>
      <c r="BY1205" s="585"/>
      <c r="BZ1205" s="585"/>
      <c r="CA1205" s="585"/>
      <c r="CB1205" s="585"/>
      <c r="CC1205" s="585"/>
      <c r="CD1205" s="585"/>
      <c r="CE1205" s="585"/>
      <c r="CF1205" s="586"/>
    </row>
    <row r="1206" spans="1:84" s="583" customFormat="1" ht="23.1" customHeight="1">
      <c r="A1206" s="587"/>
      <c r="B1206" s="574"/>
      <c r="C1206" s="574"/>
      <c r="D1206" s="405"/>
      <c r="E1206" s="574"/>
      <c r="F1206" s="422"/>
      <c r="G1206" s="422"/>
      <c r="H1206" s="422"/>
      <c r="I1206" s="422"/>
      <c r="J1206" s="422"/>
      <c r="K1206" s="422"/>
      <c r="L1206" s="422"/>
      <c r="M1206" s="422"/>
      <c r="N1206" s="574"/>
      <c r="O1206" s="574"/>
      <c r="P1206" s="574"/>
      <c r="Q1206" s="574"/>
      <c r="R1206" s="574"/>
      <c r="S1206" s="1430"/>
      <c r="T1206" s="1430"/>
      <c r="U1206" s="1430"/>
      <c r="V1206" s="1430"/>
      <c r="W1206" s="1430"/>
      <c r="X1206" s="1430"/>
      <c r="Y1206" s="1430"/>
      <c r="Z1206" s="1430"/>
      <c r="AA1206" s="574"/>
      <c r="AB1206" s="588"/>
      <c r="AC1206" s="1431"/>
      <c r="AD1206" s="1431"/>
      <c r="AE1206" s="1498"/>
      <c r="AF1206" s="1498"/>
      <c r="AG1206" s="1498"/>
      <c r="AH1206" s="1498"/>
      <c r="AI1206" s="1498"/>
      <c r="AJ1206" s="1498"/>
      <c r="AK1206" s="1498"/>
      <c r="AL1206" s="1498"/>
      <c r="AM1206" s="1431"/>
      <c r="AN1206" s="1431"/>
      <c r="AO1206" s="574"/>
      <c r="AP1206" s="1486"/>
      <c r="AQ1206" s="1486"/>
      <c r="AR1206" s="1486"/>
      <c r="AS1206" s="1486"/>
      <c r="AT1206" s="1486"/>
      <c r="AU1206" s="1486"/>
      <c r="AV1206" s="1486"/>
      <c r="AW1206" s="1486"/>
      <c r="AX1206" s="1486"/>
      <c r="AY1206" s="1486"/>
      <c r="AZ1206" s="1486"/>
      <c r="BA1206" s="1486"/>
      <c r="BB1206" s="1486"/>
      <c r="BC1206" s="1486"/>
      <c r="BD1206" s="574"/>
      <c r="BE1206" s="574"/>
      <c r="BF1206" s="574"/>
      <c r="BG1206" s="574"/>
      <c r="BH1206" s="574"/>
      <c r="BI1206" s="574"/>
      <c r="BJ1206" s="574"/>
      <c r="BK1206" s="574"/>
      <c r="BL1206" s="574"/>
      <c r="BM1206" s="574"/>
      <c r="BN1206" s="574"/>
      <c r="BO1206" s="574"/>
      <c r="BP1206" s="574"/>
      <c r="BQ1206" s="574"/>
      <c r="BR1206" s="574"/>
      <c r="BS1206" s="574"/>
      <c r="BT1206" s="574"/>
      <c r="BU1206" s="574"/>
      <c r="BV1206" s="574"/>
      <c r="BW1206" s="574"/>
      <c r="BX1206" s="574"/>
      <c r="BY1206" s="574"/>
      <c r="BZ1206" s="574"/>
      <c r="CA1206" s="574"/>
      <c r="CB1206" s="574"/>
      <c r="CC1206" s="574"/>
      <c r="CD1206" s="574"/>
      <c r="CE1206" s="574"/>
      <c r="CF1206" s="589"/>
    </row>
    <row r="1207" spans="1:84" s="583" customFormat="1" ht="23.1" customHeight="1">
      <c r="A1207" s="584"/>
      <c r="B1207" s="585"/>
      <c r="C1207" s="585"/>
      <c r="D1207" s="585"/>
      <c r="E1207" s="585"/>
      <c r="F1207" s="585"/>
      <c r="G1207" s="585"/>
      <c r="H1207" s="585"/>
      <c r="I1207" s="585"/>
      <c r="J1207" s="585"/>
      <c r="K1207" s="585"/>
      <c r="L1207" s="585"/>
      <c r="M1207" s="585"/>
      <c r="N1207" s="585"/>
      <c r="O1207" s="585"/>
      <c r="P1207" s="585"/>
      <c r="Q1207" s="585"/>
      <c r="R1207" s="585"/>
      <c r="S1207" s="585"/>
      <c r="T1207" s="585"/>
      <c r="U1207" s="585"/>
      <c r="V1207" s="590"/>
      <c r="W1207" s="590"/>
      <c r="X1207" s="590"/>
      <c r="Y1207" s="590"/>
      <c r="Z1207" s="590"/>
      <c r="AA1207" s="590"/>
      <c r="AB1207" s="590"/>
      <c r="AC1207" s="590"/>
      <c r="AD1207" s="574"/>
      <c r="AE1207" s="621"/>
      <c r="AF1207" s="621"/>
      <c r="AG1207" s="621"/>
      <c r="AH1207" s="621"/>
      <c r="AI1207" s="621"/>
      <c r="AJ1207" s="621"/>
      <c r="AK1207" s="621"/>
      <c r="AL1207" s="621"/>
      <c r="AM1207" s="621"/>
      <c r="AN1207" s="621"/>
      <c r="AO1207" s="621"/>
      <c r="AP1207" s="621"/>
      <c r="AQ1207" s="621"/>
      <c r="AR1207" s="621"/>
      <c r="AS1207" s="1494">
        <f>BT1222</f>
        <v>131040</v>
      </c>
      <c r="AT1207" s="1494"/>
      <c r="AU1207" s="1494"/>
      <c r="AV1207" s="1494"/>
      <c r="AW1207" s="1494"/>
      <c r="AX1207" s="1494"/>
      <c r="AY1207" s="1494"/>
      <c r="AZ1207" s="1494"/>
      <c r="BA1207" s="1494"/>
      <c r="BB1207" s="1494"/>
      <c r="BC1207" s="585"/>
      <c r="BD1207" s="1491" t="s">
        <v>446</v>
      </c>
      <c r="BE1207" s="1491"/>
      <c r="BF1207" s="585"/>
      <c r="BG1207" s="1491">
        <v>60</v>
      </c>
      <c r="BH1207" s="1491"/>
      <c r="BI1207" s="1491"/>
      <c r="BJ1207" s="1491"/>
      <c r="BK1207" s="1491"/>
      <c r="BL1207" s="585" t="s">
        <v>1112</v>
      </c>
      <c r="BM1207" s="585"/>
      <c r="BN1207" s="585"/>
      <c r="BO1207" s="585"/>
      <c r="BP1207" s="1491" t="s">
        <v>41</v>
      </c>
      <c r="BQ1207" s="1491"/>
      <c r="BR1207" s="585"/>
      <c r="BS1207" s="585"/>
      <c r="BT1207" s="1495">
        <f>INT(AS1207*BG1207/100)</f>
        <v>78624</v>
      </c>
      <c r="BU1207" s="1495"/>
      <c r="BV1207" s="1495"/>
      <c r="BW1207" s="1495"/>
      <c r="BX1207" s="1495"/>
      <c r="BY1207" s="1495"/>
      <c r="BZ1207" s="1495"/>
      <c r="CA1207" s="1495"/>
      <c r="CB1207" s="1495"/>
      <c r="CC1207" s="1495"/>
      <c r="CD1207" s="585"/>
      <c r="CE1207" s="585"/>
      <c r="CF1207" s="586"/>
    </row>
    <row r="1208" spans="1:84" s="583" customFormat="1" ht="23.1" customHeight="1">
      <c r="A1208" s="592"/>
      <c r="B1208" s="593" t="s">
        <v>1106</v>
      </c>
      <c r="C1208" s="593"/>
      <c r="D1208" s="593"/>
      <c r="E1208" s="593"/>
      <c r="F1208" s="593"/>
      <c r="G1208" s="593"/>
      <c r="H1208" s="593"/>
      <c r="I1208" s="593"/>
      <c r="J1208" s="593"/>
      <c r="K1208" s="593"/>
      <c r="L1208" s="593"/>
      <c r="M1208" s="593"/>
      <c r="N1208" s="593"/>
      <c r="O1208" s="593"/>
      <c r="P1208" s="593"/>
      <c r="Q1208" s="593"/>
      <c r="R1208" s="593"/>
      <c r="S1208" s="593"/>
      <c r="T1208" s="593"/>
      <c r="U1208" s="593"/>
      <c r="V1208" s="593"/>
      <c r="W1208" s="593"/>
      <c r="X1208" s="593"/>
      <c r="Y1208" s="593"/>
      <c r="Z1208" s="593"/>
      <c r="AA1208" s="608"/>
      <c r="AB1208" s="593"/>
      <c r="AC1208" s="593"/>
      <c r="AD1208" s="593"/>
      <c r="AE1208" s="593"/>
      <c r="AF1208" s="593"/>
      <c r="AG1208" s="593"/>
      <c r="AH1208" s="593"/>
      <c r="AI1208" s="593"/>
      <c r="AJ1208" s="593"/>
      <c r="AK1208" s="593"/>
      <c r="AL1208" s="593"/>
      <c r="AM1208" s="593"/>
      <c r="AN1208" s="593"/>
      <c r="AO1208" s="593"/>
      <c r="AP1208" s="593"/>
      <c r="AQ1208" s="593"/>
      <c r="AR1208" s="593"/>
      <c r="AS1208" s="593"/>
      <c r="AT1208" s="593"/>
      <c r="AU1208" s="593"/>
      <c r="AV1208" s="593"/>
      <c r="AW1208" s="593"/>
      <c r="AX1208" s="593"/>
      <c r="AY1208" s="593"/>
      <c r="AZ1208" s="593"/>
      <c r="BA1208" s="593"/>
      <c r="BB1208" s="593"/>
      <c r="BC1208" s="593"/>
      <c r="BD1208" s="593"/>
      <c r="BE1208" s="593"/>
      <c r="BF1208" s="593"/>
      <c r="BG1208" s="593"/>
      <c r="BH1208" s="593"/>
      <c r="BI1208" s="593"/>
      <c r="BJ1208" s="593"/>
      <c r="BK1208" s="593"/>
      <c r="BL1208" s="593"/>
      <c r="BM1208" s="593"/>
      <c r="BN1208" s="593"/>
      <c r="BO1208" s="593"/>
      <c r="BP1208" s="593"/>
      <c r="BQ1208" s="593"/>
      <c r="BR1208" s="593"/>
      <c r="BS1208" s="593"/>
      <c r="BT1208" s="622"/>
      <c r="BU1208" s="622"/>
      <c r="BV1208" s="622"/>
      <c r="BW1208" s="622"/>
      <c r="BX1208" s="622"/>
      <c r="BY1208" s="622"/>
      <c r="BZ1208" s="622"/>
      <c r="CA1208" s="622"/>
      <c r="CB1208" s="622"/>
      <c r="CC1208" s="622"/>
      <c r="CD1208" s="593"/>
      <c r="CE1208" s="593"/>
      <c r="CF1208" s="595"/>
    </row>
    <row r="1209" spans="1:84" s="583" customFormat="1" ht="23.1" customHeight="1">
      <c r="A1209" s="584"/>
      <c r="B1209" s="585"/>
      <c r="C1209" s="585"/>
      <c r="D1209" s="596" t="s">
        <v>268</v>
      </c>
      <c r="E1209" s="585"/>
      <c r="F1209" s="585"/>
      <c r="G1209" s="585"/>
      <c r="H1209" s="585"/>
      <c r="I1209" s="585"/>
      <c r="J1209" s="585"/>
      <c r="K1209" s="585"/>
      <c r="L1209" s="585"/>
      <c r="M1209" s="585"/>
      <c r="N1209" s="585"/>
      <c r="O1209" s="585"/>
      <c r="P1209" s="585"/>
      <c r="Q1209" s="585"/>
      <c r="R1209" s="585"/>
      <c r="S1209" s="585"/>
      <c r="T1209" s="574"/>
      <c r="U1209" s="574"/>
      <c r="V1209" s="1435">
        <f>HLOOKUP(D1209,$CJ$1:$CM$3,3,0)</f>
        <v>283297</v>
      </c>
      <c r="W1209" s="1435"/>
      <c r="X1209" s="1435"/>
      <c r="Y1209" s="1435"/>
      <c r="Z1209" s="1435"/>
      <c r="AA1209" s="1435"/>
      <c r="AB1209" s="1435"/>
      <c r="AC1209" s="1435"/>
      <c r="AD1209" s="1435"/>
      <c r="AE1209" s="1435"/>
      <c r="AF1209" s="1431" t="s">
        <v>446</v>
      </c>
      <c r="AG1209" s="1431"/>
      <c r="AH1209" s="574"/>
      <c r="AI1209" s="1436" t="s">
        <v>1107</v>
      </c>
      <c r="AJ1209" s="1436"/>
      <c r="AK1209" s="1436"/>
      <c r="AL1209" s="1436"/>
      <c r="AM1209" s="585"/>
      <c r="AN1209" s="1431" t="s">
        <v>446</v>
      </c>
      <c r="AO1209" s="1431"/>
      <c r="AP1209" s="585"/>
      <c r="AQ1209" s="1436" t="s">
        <v>1108</v>
      </c>
      <c r="AR1209" s="1436"/>
      <c r="AS1209" s="1436"/>
      <c r="AT1209" s="1436"/>
      <c r="AU1209" s="1436"/>
      <c r="AV1209" s="422"/>
      <c r="AW1209" s="1431" t="s">
        <v>446</v>
      </c>
      <c r="AX1209" s="1431"/>
      <c r="AY1209" s="440"/>
      <c r="AZ1209" s="1436" t="s">
        <v>1109</v>
      </c>
      <c r="BA1209" s="1436"/>
      <c r="BB1209" s="1436"/>
      <c r="BC1209" s="1436"/>
      <c r="BD1209" s="1436"/>
      <c r="BE1209" s="585"/>
      <c r="BF1209" s="1431" t="s">
        <v>446</v>
      </c>
      <c r="BG1209" s="1431"/>
      <c r="BH1209" s="1431">
        <v>1</v>
      </c>
      <c r="BI1209" s="1431"/>
      <c r="BJ1209" s="1431"/>
      <c r="BK1209" s="585"/>
      <c r="BL1209" s="585" t="s">
        <v>366</v>
      </c>
      <c r="BM1209" s="585"/>
      <c r="BN1209" s="585"/>
      <c r="BO1209" s="585"/>
      <c r="BP1209" s="1431" t="s">
        <v>41</v>
      </c>
      <c r="BQ1209" s="1431"/>
      <c r="BR1209" s="585"/>
      <c r="BS1209" s="585"/>
      <c r="BT1209" s="1493">
        <f>INT(V1209/8*16/12*25/20*BH1209)</f>
        <v>59020</v>
      </c>
      <c r="BU1209" s="1493"/>
      <c r="BV1209" s="1493"/>
      <c r="BW1209" s="1493"/>
      <c r="BX1209" s="1493"/>
      <c r="BY1209" s="1493"/>
      <c r="BZ1209" s="1493"/>
      <c r="CA1209" s="1493"/>
      <c r="CB1209" s="1493"/>
      <c r="CC1209" s="1493"/>
      <c r="CD1209" s="585"/>
      <c r="CE1209" s="585"/>
      <c r="CF1209" s="586"/>
    </row>
    <row r="1210" spans="1:84" s="583" customFormat="1" ht="23.1" customHeight="1">
      <c r="A1210" s="584"/>
      <c r="B1210" s="585"/>
      <c r="C1210" s="585"/>
      <c r="D1210" s="585"/>
      <c r="E1210" s="585"/>
      <c r="F1210" s="585"/>
      <c r="G1210" s="585"/>
      <c r="H1210" s="585"/>
      <c r="I1210" s="585"/>
      <c r="J1210" s="585"/>
      <c r="K1210" s="585"/>
      <c r="L1210" s="585"/>
      <c r="M1210" s="585"/>
      <c r="N1210" s="585"/>
      <c r="O1210" s="585"/>
      <c r="P1210" s="574"/>
      <c r="Q1210" s="574"/>
      <c r="R1210" s="574"/>
      <c r="S1210" s="574"/>
      <c r="T1210" s="574"/>
      <c r="U1210" s="574"/>
      <c r="V1210" s="574"/>
      <c r="W1210" s="574"/>
      <c r="X1210" s="574"/>
      <c r="Y1210" s="574"/>
      <c r="Z1210" s="574"/>
      <c r="AA1210" s="574"/>
      <c r="AB1210" s="574"/>
      <c r="AC1210" s="574"/>
      <c r="AD1210" s="574"/>
      <c r="AE1210" s="574"/>
      <c r="AF1210" s="574"/>
      <c r="AG1210" s="574"/>
      <c r="AH1210" s="574"/>
      <c r="AI1210" s="574"/>
      <c r="AJ1210" s="574"/>
      <c r="AK1210" s="574"/>
      <c r="AL1210" s="574"/>
      <c r="AM1210" s="574"/>
      <c r="AN1210" s="574"/>
      <c r="AO1210" s="574"/>
      <c r="AP1210" s="574"/>
      <c r="AQ1210" s="574"/>
      <c r="AR1210" s="574"/>
      <c r="AS1210" s="574"/>
      <c r="AT1210" s="574"/>
      <c r="AU1210" s="574"/>
      <c r="AV1210" s="574"/>
      <c r="AW1210" s="574"/>
      <c r="AX1210" s="574"/>
      <c r="AY1210" s="574"/>
      <c r="AZ1210" s="574"/>
      <c r="BA1210" s="574"/>
      <c r="BB1210" s="574"/>
      <c r="BC1210" s="574"/>
      <c r="BD1210" s="574"/>
      <c r="BE1210" s="574"/>
      <c r="BF1210" s="574"/>
      <c r="BG1210" s="585"/>
      <c r="BH1210" s="585"/>
      <c r="BI1210" s="585"/>
      <c r="BJ1210" s="585"/>
      <c r="BK1210" s="585"/>
      <c r="BL1210" s="585"/>
      <c r="BM1210" s="585"/>
      <c r="BN1210" s="585"/>
      <c r="BO1210" s="585"/>
      <c r="BP1210" s="1431"/>
      <c r="BQ1210" s="1431"/>
      <c r="BR1210" s="585"/>
      <c r="BS1210" s="585"/>
      <c r="BT1210" s="1490"/>
      <c r="BU1210" s="1490"/>
      <c r="BV1210" s="1490"/>
      <c r="BW1210" s="1490"/>
      <c r="BX1210" s="1490"/>
      <c r="BY1210" s="1490"/>
      <c r="BZ1210" s="1490"/>
      <c r="CA1210" s="1490"/>
      <c r="CB1210" s="1490"/>
      <c r="CC1210" s="1490"/>
      <c r="CD1210" s="585"/>
      <c r="CE1210" s="585"/>
      <c r="CF1210" s="586"/>
    </row>
    <row r="1211" spans="1:84" s="583" customFormat="1" ht="23.1" customHeight="1">
      <c r="A1211" s="584"/>
      <c r="B1211" s="585"/>
      <c r="C1211" s="585"/>
      <c r="D1211" s="585"/>
      <c r="E1211" s="585"/>
      <c r="F1211" s="585"/>
      <c r="G1211" s="585"/>
      <c r="H1211" s="585"/>
      <c r="I1211" s="585"/>
      <c r="J1211" s="585"/>
      <c r="K1211" s="585"/>
      <c r="L1211" s="585"/>
      <c r="M1211" s="585"/>
      <c r="N1211" s="585"/>
      <c r="O1211" s="585"/>
      <c r="P1211" s="585"/>
      <c r="Q1211" s="585"/>
      <c r="R1211" s="585"/>
      <c r="S1211" s="585"/>
      <c r="T1211" s="585"/>
      <c r="U1211" s="585"/>
      <c r="V1211" s="585"/>
      <c r="W1211" s="585"/>
      <c r="X1211" s="585"/>
      <c r="Y1211" s="585"/>
      <c r="Z1211" s="585"/>
      <c r="AA1211" s="585"/>
      <c r="AB1211" s="585"/>
      <c r="AC1211" s="585"/>
      <c r="AD1211" s="574"/>
      <c r="AE1211" s="574"/>
      <c r="AF1211" s="574"/>
      <c r="AG1211" s="574"/>
      <c r="AH1211" s="574"/>
      <c r="AI1211" s="574"/>
      <c r="AJ1211" s="574"/>
      <c r="AK1211" s="574"/>
      <c r="AL1211" s="574"/>
      <c r="AM1211" s="574"/>
      <c r="AN1211" s="574"/>
      <c r="AO1211" s="574"/>
      <c r="AP1211" s="574"/>
      <c r="AQ1211" s="574"/>
      <c r="AR1211" s="574"/>
      <c r="AS1211" s="585"/>
      <c r="AT1211" s="590"/>
      <c r="AU1211" s="590"/>
      <c r="AV1211" s="585"/>
      <c r="AW1211" s="585"/>
      <c r="AX1211" s="585"/>
      <c r="AY1211" s="585"/>
      <c r="AZ1211" s="585"/>
      <c r="BA1211" s="585"/>
      <c r="BB1211" s="585"/>
      <c r="BC1211" s="585"/>
      <c r="BD1211" s="585"/>
      <c r="BE1211" s="585"/>
      <c r="BF1211" s="585"/>
      <c r="BG1211" s="585"/>
      <c r="BH1211" s="585"/>
      <c r="BI1211" s="585"/>
      <c r="BJ1211" s="585"/>
      <c r="BK1211" s="585"/>
      <c r="BL1211" s="585"/>
      <c r="BM1211" s="585"/>
      <c r="BN1211" s="585"/>
      <c r="BO1211" s="585"/>
      <c r="BP1211" s="1491" t="s">
        <v>41</v>
      </c>
      <c r="BQ1211" s="1491"/>
      <c r="BR1211" s="585"/>
      <c r="BS1211" s="585"/>
      <c r="BT1211" s="1492">
        <f>BT1209+BT1210</f>
        <v>59020</v>
      </c>
      <c r="BU1211" s="1492"/>
      <c r="BV1211" s="1492"/>
      <c r="BW1211" s="1492"/>
      <c r="BX1211" s="1492"/>
      <c r="BY1211" s="1492"/>
      <c r="BZ1211" s="1492"/>
      <c r="CA1211" s="1492"/>
      <c r="CB1211" s="1492"/>
      <c r="CC1211" s="1492"/>
      <c r="CD1211" s="585"/>
      <c r="CE1211" s="585"/>
      <c r="CF1211" s="586"/>
    </row>
    <row r="1212" spans="1:84" s="583" customFormat="1" ht="23.1" customHeight="1">
      <c r="A1212" s="592"/>
      <c r="B1212" s="593" t="s">
        <v>1110</v>
      </c>
      <c r="C1212" s="593"/>
      <c r="D1212" s="593"/>
      <c r="E1212" s="593"/>
      <c r="F1212" s="593"/>
      <c r="G1212" s="593"/>
      <c r="H1212" s="593"/>
      <c r="I1212" s="593"/>
      <c r="J1212" s="593"/>
      <c r="K1212" s="593"/>
      <c r="L1212" s="593"/>
      <c r="M1212" s="593"/>
      <c r="N1212" s="593"/>
      <c r="O1212" s="593"/>
      <c r="P1212" s="593"/>
      <c r="Q1212" s="593"/>
      <c r="R1212" s="593"/>
      <c r="S1212" s="593"/>
      <c r="T1212" s="593"/>
      <c r="U1212" s="593"/>
      <c r="V1212" s="593"/>
      <c r="W1212" s="593"/>
      <c r="X1212" s="593"/>
      <c r="Y1212" s="593"/>
      <c r="Z1212" s="593"/>
      <c r="AA1212" s="593"/>
      <c r="AB1212" s="593"/>
      <c r="AC1212" s="593"/>
      <c r="AD1212" s="593"/>
      <c r="AE1212" s="593"/>
      <c r="AF1212" s="593"/>
      <c r="AG1212" s="593"/>
      <c r="AH1212" s="593"/>
      <c r="AI1212" s="593"/>
      <c r="AJ1212" s="593"/>
      <c r="AK1212" s="593"/>
      <c r="AL1212" s="593"/>
      <c r="AM1212" s="593"/>
      <c r="AN1212" s="593"/>
      <c r="AO1212" s="593"/>
      <c r="AP1212" s="593"/>
      <c r="AQ1212" s="593"/>
      <c r="AR1212" s="593"/>
      <c r="AS1212" s="593"/>
      <c r="AT1212" s="593"/>
      <c r="AU1212" s="593"/>
      <c r="AV1212" s="593"/>
      <c r="AW1212" s="593"/>
      <c r="AX1212" s="593"/>
      <c r="AY1212" s="593"/>
      <c r="AZ1212" s="593"/>
      <c r="BA1212" s="593"/>
      <c r="BB1212" s="593"/>
      <c r="BC1212" s="593"/>
      <c r="BD1212" s="593"/>
      <c r="BE1212" s="593"/>
      <c r="BF1212" s="593"/>
      <c r="BG1212" s="593"/>
      <c r="BH1212" s="593"/>
      <c r="BI1212" s="593"/>
      <c r="BJ1212" s="593"/>
      <c r="BK1212" s="593"/>
      <c r="BL1212" s="593"/>
      <c r="BM1212" s="593"/>
      <c r="BN1212" s="593"/>
      <c r="BO1212" s="593"/>
      <c r="BP1212" s="593"/>
      <c r="BQ1212" s="593"/>
      <c r="BR1212" s="593"/>
      <c r="BS1212" s="593"/>
      <c r="BT1212" s="593"/>
      <c r="BU1212" s="593"/>
      <c r="BV1212" s="593"/>
      <c r="BW1212" s="593"/>
      <c r="BX1212" s="593"/>
      <c r="BY1212" s="593"/>
      <c r="BZ1212" s="593"/>
      <c r="CA1212" s="593"/>
      <c r="CB1212" s="593"/>
      <c r="CC1212" s="593"/>
      <c r="CD1212" s="593"/>
      <c r="CE1212" s="593"/>
      <c r="CF1212" s="595"/>
    </row>
    <row r="1213" spans="1:84" s="583" customFormat="1" ht="23.1" customHeight="1">
      <c r="A1213" s="584"/>
      <c r="B1213" s="585"/>
      <c r="C1213" s="585"/>
      <c r="D1213" s="596"/>
      <c r="E1213" s="585"/>
      <c r="F1213" s="585"/>
      <c r="G1213" s="585"/>
      <c r="H1213" s="585"/>
      <c r="I1213" s="585"/>
      <c r="J1213" s="585"/>
      <c r="K1213" s="585"/>
      <c r="L1213" s="585"/>
      <c r="M1213" s="585"/>
      <c r="N1213" s="585"/>
      <c r="O1213" s="585"/>
      <c r="P1213" s="585"/>
      <c r="Q1213" s="585"/>
      <c r="R1213" s="585"/>
      <c r="S1213" s="585"/>
      <c r="T1213" s="585"/>
      <c r="U1213" s="585"/>
      <c r="V1213" s="585"/>
      <c r="W1213" s="585"/>
      <c r="X1213" s="585"/>
      <c r="Y1213" s="585"/>
      <c r="Z1213" s="585"/>
      <c r="AA1213" s="585"/>
      <c r="AB1213" s="585"/>
      <c r="AC1213" s="585"/>
      <c r="AD1213" s="585"/>
      <c r="AE1213" s="585"/>
      <c r="AF1213" s="585"/>
      <c r="AG1213" s="585"/>
      <c r="AH1213" s="585"/>
      <c r="AI1213" s="585"/>
      <c r="AJ1213" s="585"/>
      <c r="AK1213" s="585"/>
      <c r="AL1213" s="585"/>
      <c r="AM1213" s="585"/>
      <c r="AN1213" s="585"/>
      <c r="AO1213" s="585"/>
      <c r="AP1213" s="585"/>
      <c r="AQ1213" s="585"/>
      <c r="AR1213" s="422"/>
      <c r="AS1213" s="1430"/>
      <c r="AT1213" s="1430"/>
      <c r="AU1213" s="1430"/>
      <c r="AV1213" s="1430"/>
      <c r="AW1213" s="1430"/>
      <c r="AX1213" s="1430"/>
      <c r="AY1213" s="1430"/>
      <c r="AZ1213" s="1430"/>
      <c r="BA1213" s="1430"/>
      <c r="BB1213" s="1430"/>
      <c r="BC1213" s="585"/>
      <c r="BD1213" s="1431"/>
      <c r="BE1213" s="1431"/>
      <c r="BF1213" s="585"/>
      <c r="BG1213" s="1431"/>
      <c r="BH1213" s="1431"/>
      <c r="BI1213" s="1431"/>
      <c r="BJ1213" s="1431"/>
      <c r="BK1213" s="1431"/>
      <c r="BL1213" s="585"/>
      <c r="BM1213" s="585"/>
      <c r="BN1213" s="585"/>
      <c r="BO1213" s="585"/>
      <c r="BP1213" s="1431"/>
      <c r="BQ1213" s="1431"/>
      <c r="BR1213" s="585"/>
      <c r="BS1213" s="585"/>
      <c r="BT1213" s="1432"/>
      <c r="BU1213" s="1432"/>
      <c r="BV1213" s="1432"/>
      <c r="BW1213" s="1432"/>
      <c r="BX1213" s="1432"/>
      <c r="BY1213" s="1432"/>
      <c r="BZ1213" s="1432"/>
      <c r="CA1213" s="1432"/>
      <c r="CB1213" s="1432"/>
      <c r="CC1213" s="1432"/>
      <c r="CD1213" s="585"/>
      <c r="CE1213" s="585"/>
      <c r="CF1213" s="586"/>
    </row>
    <row r="1214" spans="1:84" s="583" customFormat="1" ht="23.1" customHeight="1">
      <c r="A1214" s="584"/>
      <c r="B1214" s="585"/>
      <c r="C1214" s="585"/>
      <c r="D1214" s="591"/>
      <c r="E1214" s="585"/>
      <c r="F1214" s="585"/>
      <c r="G1214" s="585"/>
      <c r="H1214" s="585"/>
      <c r="I1214" s="585"/>
      <c r="J1214" s="585"/>
      <c r="K1214" s="585"/>
      <c r="L1214" s="585"/>
      <c r="M1214" s="585"/>
      <c r="N1214" s="585"/>
      <c r="O1214" s="585"/>
      <c r="P1214" s="585"/>
      <c r="Q1214" s="585"/>
      <c r="R1214" s="585"/>
      <c r="S1214" s="585"/>
      <c r="T1214" s="585"/>
      <c r="U1214" s="585"/>
      <c r="V1214" s="585"/>
      <c r="W1214" s="585"/>
      <c r="X1214" s="585"/>
      <c r="Y1214" s="585"/>
      <c r="Z1214" s="585"/>
      <c r="AA1214" s="585"/>
      <c r="AB1214" s="585"/>
      <c r="AC1214" s="585"/>
      <c r="AD1214" s="585"/>
      <c r="AE1214" s="585"/>
      <c r="AF1214" s="585"/>
      <c r="AG1214" s="585"/>
      <c r="AH1214" s="585"/>
      <c r="AI1214" s="585"/>
      <c r="AJ1214" s="585"/>
      <c r="AK1214" s="585"/>
      <c r="AL1214" s="585"/>
      <c r="AM1214" s="585"/>
      <c r="AN1214" s="585"/>
      <c r="AO1214" s="585"/>
      <c r="AP1214" s="585"/>
      <c r="AQ1214" s="585"/>
      <c r="AR1214" s="422">
        <f>BT1213</f>
        <v>0</v>
      </c>
      <c r="AS1214" s="1430" t="e">
        <f>BT1230</f>
        <v>#REF!</v>
      </c>
      <c r="AT1214" s="1430"/>
      <c r="AU1214" s="1430"/>
      <c r="AV1214" s="1430"/>
      <c r="AW1214" s="1430"/>
      <c r="AX1214" s="1430"/>
      <c r="AY1214" s="1430"/>
      <c r="AZ1214" s="1430"/>
      <c r="BA1214" s="1430"/>
      <c r="BB1214" s="1430"/>
      <c r="BC1214" s="585"/>
      <c r="BD1214" s="1431" t="s">
        <v>446</v>
      </c>
      <c r="BE1214" s="1431"/>
      <c r="BF1214" s="585"/>
      <c r="BG1214" s="1431">
        <v>60</v>
      </c>
      <c r="BH1214" s="1431"/>
      <c r="BI1214" s="1431"/>
      <c r="BJ1214" s="1431"/>
      <c r="BK1214" s="1431"/>
      <c r="BL1214" s="585" t="s">
        <v>1112</v>
      </c>
      <c r="BM1214" s="585"/>
      <c r="BN1214" s="585"/>
      <c r="BO1214" s="585"/>
      <c r="BP1214" s="1431" t="s">
        <v>41</v>
      </c>
      <c r="BQ1214" s="1431"/>
      <c r="BR1214" s="585"/>
      <c r="BS1214" s="585"/>
      <c r="BT1214" s="1487" t="e">
        <f>INT(AS1214*BG1214/100)</f>
        <v>#REF!</v>
      </c>
      <c r="BU1214" s="1487"/>
      <c r="BV1214" s="1487"/>
      <c r="BW1214" s="1487"/>
      <c r="BX1214" s="1487"/>
      <c r="BY1214" s="1487"/>
      <c r="BZ1214" s="1487"/>
      <c r="CA1214" s="1487"/>
      <c r="CB1214" s="1487"/>
      <c r="CC1214" s="1487"/>
      <c r="CD1214" s="585"/>
      <c r="CE1214" s="585"/>
      <c r="CF1214" s="586"/>
    </row>
    <row r="1215" spans="1:84" s="583" customFormat="1" ht="23.1" customHeight="1" thickBot="1">
      <c r="A1215" s="584"/>
      <c r="B1215" s="585"/>
      <c r="C1215" s="585"/>
      <c r="D1215" s="585"/>
      <c r="E1215" s="585"/>
      <c r="F1215" s="585"/>
      <c r="G1215" s="585"/>
      <c r="H1215" s="585"/>
      <c r="I1215" s="585"/>
      <c r="J1215" s="585"/>
      <c r="K1215" s="585"/>
      <c r="L1215" s="585"/>
      <c r="M1215" s="585"/>
      <c r="N1215" s="585"/>
      <c r="O1215" s="585"/>
      <c r="P1215" s="585"/>
      <c r="Q1215" s="585"/>
      <c r="R1215" s="585"/>
      <c r="S1215" s="585"/>
      <c r="T1215" s="585"/>
      <c r="U1215" s="585"/>
      <c r="V1215" s="585"/>
      <c r="W1215" s="585"/>
      <c r="X1215" s="585"/>
      <c r="Y1215" s="585"/>
      <c r="Z1215" s="585"/>
      <c r="AA1215" s="585"/>
      <c r="AB1215" s="585"/>
      <c r="AC1215" s="585"/>
      <c r="AD1215" s="585"/>
      <c r="AE1215" s="585"/>
      <c r="AF1215" s="585"/>
      <c r="AG1215" s="585"/>
      <c r="AH1215" s="585"/>
      <c r="AI1215" s="585"/>
      <c r="AJ1215" s="585"/>
      <c r="AK1215" s="585"/>
      <c r="AL1215" s="585"/>
      <c r="AM1215" s="585"/>
      <c r="AN1215" s="585"/>
      <c r="AO1215" s="585"/>
      <c r="AP1215" s="585"/>
      <c r="AQ1215" s="585"/>
      <c r="AR1215" s="585"/>
      <c r="AS1215" s="585"/>
      <c r="AT1215" s="585"/>
      <c r="AU1215" s="585"/>
      <c r="AV1215" s="585"/>
      <c r="AW1215" s="585"/>
      <c r="AX1215" s="585"/>
      <c r="AY1215" s="585"/>
      <c r="AZ1215" s="585"/>
      <c r="BA1215" s="585"/>
      <c r="BB1215" s="585"/>
      <c r="BC1215" s="585"/>
      <c r="BD1215" s="585"/>
      <c r="BE1215" s="585"/>
      <c r="BF1215" s="585"/>
      <c r="BG1215" s="585"/>
      <c r="BH1215" s="585"/>
      <c r="BI1215" s="585"/>
      <c r="BJ1215" s="585"/>
      <c r="BK1215" s="585"/>
      <c r="BL1215" s="585"/>
      <c r="BM1215" s="585"/>
      <c r="BN1215" s="585"/>
      <c r="BO1215" s="585"/>
      <c r="BP1215" s="1488" t="s">
        <v>41</v>
      </c>
      <c r="BQ1215" s="1488"/>
      <c r="BR1215" s="585"/>
      <c r="BS1215" s="585"/>
      <c r="BT1215" s="1489" t="e">
        <f>BT1213+BT1214</f>
        <v>#REF!</v>
      </c>
      <c r="BU1215" s="1489"/>
      <c r="BV1215" s="1489"/>
      <c r="BW1215" s="1489"/>
      <c r="BX1215" s="1489"/>
      <c r="BY1215" s="1489"/>
      <c r="BZ1215" s="1489"/>
      <c r="CA1215" s="1489"/>
      <c r="CB1215" s="1489"/>
      <c r="CC1215" s="1489"/>
      <c r="CD1215" s="585"/>
      <c r="CE1215" s="585"/>
      <c r="CF1215" s="586"/>
    </row>
    <row r="1216" spans="1:84" s="583" customFormat="1" ht="23.1" customHeight="1" thickBot="1">
      <c r="A1216" s="597"/>
      <c r="B1216" s="598" t="s">
        <v>1113</v>
      </c>
      <c r="C1216" s="598"/>
      <c r="D1216" s="598"/>
      <c r="E1216" s="598"/>
      <c r="F1216" s="598"/>
      <c r="G1216" s="598"/>
      <c r="H1216" s="598"/>
      <c r="I1216" s="598"/>
      <c r="J1216" s="598"/>
      <c r="K1216" s="598"/>
      <c r="L1216" s="598"/>
      <c r="M1216" s="598"/>
      <c r="N1216" s="598"/>
      <c r="O1216" s="598"/>
      <c r="P1216" s="598"/>
      <c r="Q1216" s="598"/>
      <c r="R1216" s="598"/>
      <c r="S1216" s="598"/>
      <c r="T1216" s="598"/>
      <c r="U1216" s="598"/>
      <c r="V1216" s="598"/>
      <c r="W1216" s="598"/>
      <c r="X1216" s="598"/>
      <c r="Y1216" s="598"/>
      <c r="Z1216" s="598"/>
      <c r="AA1216" s="598"/>
      <c r="AB1216" s="598"/>
      <c r="AC1216" s="598"/>
      <c r="AD1216" s="598"/>
      <c r="AE1216" s="598"/>
      <c r="AF1216" s="598"/>
      <c r="AG1216" s="598"/>
      <c r="AH1216" s="598"/>
      <c r="AI1216" s="598"/>
      <c r="AJ1216" s="598"/>
      <c r="AK1216" s="598"/>
      <c r="AL1216" s="598"/>
      <c r="AM1216" s="598"/>
      <c r="AN1216" s="598"/>
      <c r="AO1216" s="598"/>
      <c r="AP1216" s="598"/>
      <c r="AQ1216" s="598"/>
      <c r="AR1216" s="598"/>
      <c r="AS1216" s="598"/>
      <c r="AT1216" s="598"/>
      <c r="AU1216" s="598"/>
      <c r="AV1216" s="598"/>
      <c r="AW1216" s="598"/>
      <c r="AX1216" s="598"/>
      <c r="AY1216" s="598"/>
      <c r="AZ1216" s="598"/>
      <c r="BA1216" s="598"/>
      <c r="BB1216" s="598"/>
      <c r="BC1216" s="598"/>
      <c r="BD1216" s="598"/>
      <c r="BE1216" s="598"/>
      <c r="BF1216" s="598"/>
      <c r="BG1216" s="598"/>
      <c r="BH1216" s="598"/>
      <c r="BI1216" s="598"/>
      <c r="BJ1216" s="598"/>
      <c r="BK1216" s="598"/>
      <c r="BL1216" s="598"/>
      <c r="BM1216" s="598"/>
      <c r="BN1216" s="598"/>
      <c r="BO1216" s="598"/>
      <c r="BP1216" s="598"/>
      <c r="BQ1216" s="598"/>
      <c r="BR1216" s="598"/>
      <c r="BS1216" s="598"/>
      <c r="BT1216" s="1429" t="e">
        <f>BT1207+BT1211+BT1215</f>
        <v>#REF!</v>
      </c>
      <c r="BU1216" s="1429"/>
      <c r="BV1216" s="1429"/>
      <c r="BW1216" s="1429"/>
      <c r="BX1216" s="1429"/>
      <c r="BY1216" s="1429"/>
      <c r="BZ1216" s="1429"/>
      <c r="CA1216" s="1429"/>
      <c r="CB1216" s="1429"/>
      <c r="CC1216" s="1429"/>
      <c r="CD1216" s="598"/>
      <c r="CE1216" s="598"/>
      <c r="CF1216" s="599"/>
    </row>
    <row r="1217" spans="1:84" s="583" customFormat="1" ht="9.9499999999999993" customHeight="1">
      <c r="A1217" s="574"/>
      <c r="B1217" s="574"/>
      <c r="C1217" s="574"/>
      <c r="D1217" s="574"/>
      <c r="E1217" s="574"/>
      <c r="F1217" s="574"/>
      <c r="G1217" s="574"/>
      <c r="H1217" s="574"/>
      <c r="I1217" s="574"/>
      <c r="J1217" s="574"/>
      <c r="K1217" s="574"/>
      <c r="L1217" s="574"/>
      <c r="M1217" s="574"/>
      <c r="N1217" s="574"/>
      <c r="O1217" s="574"/>
      <c r="P1217" s="574"/>
      <c r="Q1217" s="574"/>
      <c r="R1217" s="574"/>
      <c r="S1217" s="574"/>
      <c r="T1217" s="574"/>
      <c r="U1217" s="574"/>
      <c r="V1217" s="574"/>
      <c r="W1217" s="574"/>
      <c r="X1217" s="574"/>
      <c r="Y1217" s="574"/>
      <c r="Z1217" s="574"/>
      <c r="AA1217" s="574"/>
      <c r="AB1217" s="574"/>
      <c r="AC1217" s="574"/>
      <c r="AD1217" s="574"/>
      <c r="AE1217" s="574"/>
      <c r="AF1217" s="574"/>
      <c r="AG1217" s="574"/>
      <c r="AH1217" s="574"/>
      <c r="AI1217" s="574"/>
      <c r="AJ1217" s="574"/>
      <c r="AK1217" s="574"/>
      <c r="AL1217" s="574"/>
      <c r="AM1217" s="574"/>
      <c r="AN1217" s="574"/>
      <c r="AO1217" s="574"/>
      <c r="AP1217" s="574"/>
      <c r="AQ1217" s="574"/>
      <c r="AR1217" s="574"/>
      <c r="AS1217" s="574"/>
      <c r="AT1217" s="574"/>
      <c r="AU1217" s="574"/>
      <c r="AV1217" s="574"/>
      <c r="AW1217" s="574"/>
      <c r="AX1217" s="574"/>
      <c r="AY1217" s="574"/>
      <c r="AZ1217" s="574"/>
      <c r="BA1217" s="574"/>
      <c r="BB1217" s="574"/>
      <c r="BC1217" s="574"/>
      <c r="BD1217" s="574"/>
      <c r="BE1217" s="574"/>
      <c r="BF1217" s="574"/>
      <c r="BG1217" s="574"/>
      <c r="BH1217" s="574"/>
      <c r="BI1217" s="574"/>
      <c r="BJ1217" s="574"/>
      <c r="BK1217" s="574"/>
      <c r="BL1217" s="574"/>
      <c r="BM1217" s="574"/>
      <c r="BN1217" s="574"/>
      <c r="BO1217" s="574"/>
      <c r="BP1217" s="574"/>
      <c r="BQ1217" s="574"/>
      <c r="BR1217" s="574"/>
      <c r="BS1217" s="574"/>
      <c r="BT1217" s="574"/>
      <c r="BU1217" s="574"/>
      <c r="BV1217" s="574"/>
      <c r="BW1217" s="574"/>
      <c r="BX1217" s="574"/>
      <c r="BY1217" s="574"/>
      <c r="BZ1217" s="574"/>
      <c r="CA1217" s="574"/>
      <c r="CB1217" s="574"/>
      <c r="CC1217" s="574"/>
      <c r="CD1217" s="574"/>
      <c r="CE1217" s="574"/>
      <c r="CF1217" s="574"/>
    </row>
    <row r="1218" spans="1:84" s="583" customFormat="1" ht="23.1" customHeight="1" thickBot="1">
      <c r="A1218" s="1446" t="s">
        <v>1095</v>
      </c>
      <c r="B1218" s="1446"/>
      <c r="C1218" s="1446"/>
      <c r="D1218" s="1446"/>
      <c r="E1218" s="1446"/>
      <c r="F1218" s="1446"/>
      <c r="G1218" s="1447">
        <f>G1203+1</f>
        <v>82</v>
      </c>
      <c r="H1218" s="1447"/>
      <c r="I1218" s="1447"/>
      <c r="J1218" s="1448" t="s">
        <v>1096</v>
      </c>
      <c r="K1218" s="1448"/>
      <c r="L1218" s="574"/>
      <c r="M1218" s="574"/>
      <c r="N1218" s="574"/>
      <c r="O1218" s="574"/>
      <c r="P1218" s="574"/>
      <c r="Q1218" s="574"/>
      <c r="R1218" s="574"/>
      <c r="S1218" s="574"/>
      <c r="T1218" s="574"/>
      <c r="U1218" s="574"/>
      <c r="V1218" s="574"/>
      <c r="W1218" s="574"/>
      <c r="X1218" s="574"/>
      <c r="Y1218" s="574"/>
      <c r="Z1218" s="574"/>
      <c r="AA1218" s="574"/>
      <c r="AB1218" s="574"/>
      <c r="AC1218" s="574"/>
      <c r="AD1218" s="574"/>
      <c r="AE1218" s="574"/>
      <c r="AF1218" s="574"/>
      <c r="AG1218" s="574"/>
      <c r="AH1218" s="574"/>
      <c r="AI1218" s="574"/>
      <c r="AJ1218" s="574"/>
      <c r="AK1218" s="574"/>
      <c r="AL1218" s="574"/>
      <c r="AM1218" s="574"/>
      <c r="AN1218" s="574"/>
      <c r="AO1218" s="574"/>
      <c r="AP1218" s="574"/>
      <c r="AQ1218" s="574"/>
      <c r="AR1218" s="574"/>
      <c r="AS1218" s="574"/>
      <c r="AT1218" s="574"/>
      <c r="AU1218" s="574"/>
      <c r="AV1218" s="574"/>
      <c r="AW1218" s="574"/>
      <c r="AX1218" s="574"/>
      <c r="AY1218" s="574"/>
      <c r="AZ1218" s="574"/>
      <c r="BA1218" s="574"/>
      <c r="BB1218" s="574"/>
      <c r="BC1218" s="574"/>
      <c r="BD1218" s="574"/>
      <c r="BE1218" s="574"/>
      <c r="BF1218" s="574"/>
      <c r="BG1218" s="574"/>
      <c r="BH1218" s="574"/>
      <c r="BI1218" s="574"/>
      <c r="BJ1218" s="574"/>
      <c r="BK1218" s="574"/>
      <c r="BL1218" s="574"/>
      <c r="BM1218" s="574"/>
      <c r="BN1218" s="574"/>
      <c r="BO1218" s="574"/>
      <c r="BP1218" s="574"/>
      <c r="BQ1218" s="574"/>
      <c r="BR1218" s="574"/>
      <c r="BS1218" s="574"/>
      <c r="BT1218" s="574"/>
      <c r="BU1218" s="574"/>
      <c r="BV1218" s="574"/>
      <c r="BW1218" s="574"/>
      <c r="BX1218" s="574"/>
      <c r="BY1218" s="574"/>
      <c r="BZ1218" s="574"/>
      <c r="CA1218" s="574"/>
      <c r="CB1218" s="574"/>
      <c r="CC1218" s="574"/>
      <c r="CD1218" s="574"/>
      <c r="CE1218" s="574"/>
      <c r="CF1218" s="574"/>
    </row>
    <row r="1219" spans="1:84" s="583" customFormat="1" ht="23.1" customHeight="1" thickBot="1">
      <c r="A1219" s="1483" t="s">
        <v>1097</v>
      </c>
      <c r="B1219" s="1484"/>
      <c r="C1219" s="1484"/>
      <c r="D1219" s="1484"/>
      <c r="E1219" s="1484"/>
      <c r="F1219" s="1484"/>
      <c r="G1219" s="1484"/>
      <c r="H1219" s="1484"/>
      <c r="I1219" s="581" t="s">
        <v>490</v>
      </c>
      <c r="J1219" s="581"/>
      <c r="K1219" s="581"/>
      <c r="L1219" s="581"/>
      <c r="M1219" s="581"/>
      <c r="N1219" s="581"/>
      <c r="O1219" s="581"/>
      <c r="P1219" s="581"/>
      <c r="Q1219" s="581"/>
      <c r="R1219" s="581"/>
      <c r="S1219" s="581"/>
      <c r="T1219" s="581"/>
      <c r="U1219" s="581"/>
      <c r="V1219" s="581"/>
      <c r="W1219" s="581"/>
      <c r="X1219" s="581"/>
      <c r="Y1219" s="581"/>
      <c r="Z1219" s="581"/>
      <c r="AA1219" s="581"/>
      <c r="AB1219" s="581"/>
      <c r="AC1219" s="581"/>
      <c r="AD1219" s="581"/>
      <c r="AE1219" s="581"/>
      <c r="AF1219" s="581"/>
      <c r="AG1219" s="581"/>
      <c r="AH1219" s="581"/>
      <c r="AI1219" s="581"/>
      <c r="AJ1219" s="1484" t="s">
        <v>1099</v>
      </c>
      <c r="AK1219" s="1484"/>
      <c r="AL1219" s="1484"/>
      <c r="AM1219" s="1484"/>
      <c r="AN1219" s="1484"/>
      <c r="AO1219" s="1484"/>
      <c r="AP1219" s="1484"/>
      <c r="AQ1219" s="581" t="s">
        <v>493</v>
      </c>
      <c r="AR1219" s="581"/>
      <c r="AS1219" s="581"/>
      <c r="AT1219" s="581"/>
      <c r="AU1219" s="581"/>
      <c r="AV1219" s="581"/>
      <c r="AW1219" s="581"/>
      <c r="AX1219" s="581"/>
      <c r="AY1219" s="581"/>
      <c r="AZ1219" s="581"/>
      <c r="BA1219" s="581"/>
      <c r="BB1219" s="581"/>
      <c r="BC1219" s="581"/>
      <c r="BD1219" s="581"/>
      <c r="BE1219" s="581"/>
      <c r="BF1219" s="581"/>
      <c r="BG1219" s="581"/>
      <c r="BH1219" s="581"/>
      <c r="BI1219" s="581"/>
      <c r="BJ1219" s="581"/>
      <c r="BK1219" s="581"/>
      <c r="BL1219" s="581"/>
      <c r="BM1219" s="581"/>
      <c r="BN1219" s="581"/>
      <c r="BO1219" s="581"/>
      <c r="BP1219" s="581"/>
      <c r="BQ1219" s="581"/>
      <c r="BR1219" s="581"/>
      <c r="BS1219" s="581"/>
      <c r="BT1219" s="581" t="s">
        <v>1239</v>
      </c>
      <c r="BU1219" s="581"/>
      <c r="BV1219" s="581"/>
      <c r="BW1219" s="581"/>
      <c r="BX1219" s="581"/>
      <c r="BY1219" s="581"/>
      <c r="BZ1219" s="581"/>
      <c r="CA1219" s="581"/>
      <c r="CB1219" s="581"/>
      <c r="CC1219" s="581"/>
      <c r="CD1219" s="581"/>
      <c r="CE1219" s="581"/>
      <c r="CF1219" s="582"/>
    </row>
    <row r="1220" spans="1:84" s="583" customFormat="1" ht="23.1" customHeight="1">
      <c r="A1220" s="584"/>
      <c r="B1220" s="585" t="s">
        <v>1102</v>
      </c>
      <c r="C1220" s="585"/>
      <c r="D1220" s="585"/>
      <c r="E1220" s="585"/>
      <c r="F1220" s="585"/>
      <c r="G1220" s="585"/>
      <c r="H1220" s="585"/>
      <c r="I1220" s="585"/>
      <c r="J1220" s="585"/>
      <c r="K1220" s="585"/>
      <c r="L1220" s="585"/>
      <c r="M1220" s="585"/>
      <c r="N1220" s="585"/>
      <c r="O1220" s="585"/>
      <c r="P1220" s="585"/>
      <c r="Q1220" s="585"/>
      <c r="R1220" s="585"/>
      <c r="S1220" s="585"/>
      <c r="T1220" s="585"/>
      <c r="U1220" s="585"/>
      <c r="V1220" s="585"/>
      <c r="W1220" s="585"/>
      <c r="X1220" s="585"/>
      <c r="Y1220" s="585"/>
      <c r="Z1220" s="585"/>
      <c r="AA1220" s="585"/>
      <c r="AB1220" s="585"/>
      <c r="AC1220" s="585"/>
      <c r="AD1220" s="585"/>
      <c r="AE1220" s="585"/>
      <c r="AF1220" s="585"/>
      <c r="AG1220" s="585"/>
      <c r="AH1220" s="585"/>
      <c r="AI1220" s="585"/>
      <c r="AJ1220" s="585"/>
      <c r="AK1220" s="585"/>
      <c r="AL1220" s="585"/>
      <c r="AM1220" s="585"/>
      <c r="AN1220" s="585"/>
      <c r="AO1220" s="585"/>
      <c r="AP1220" s="585"/>
      <c r="AQ1220" s="585"/>
      <c r="AR1220" s="585"/>
      <c r="AS1220" s="585"/>
      <c r="AT1220" s="585"/>
      <c r="AU1220" s="585"/>
      <c r="AV1220" s="585"/>
      <c r="AW1220" s="585"/>
      <c r="AX1220" s="585"/>
      <c r="AY1220" s="585"/>
      <c r="AZ1220" s="585"/>
      <c r="BA1220" s="585"/>
      <c r="BB1220" s="585"/>
      <c r="BC1220" s="585"/>
      <c r="BD1220" s="585"/>
      <c r="BE1220" s="585"/>
      <c r="BF1220" s="585"/>
      <c r="BG1220" s="585"/>
      <c r="BH1220" s="585"/>
      <c r="BI1220" s="585"/>
      <c r="BJ1220" s="585"/>
      <c r="BK1220" s="585"/>
      <c r="BL1220" s="585"/>
      <c r="BM1220" s="585"/>
      <c r="BN1220" s="585"/>
      <c r="BO1220" s="585"/>
      <c r="BP1220" s="585"/>
      <c r="BQ1220" s="585"/>
      <c r="BR1220" s="585"/>
      <c r="BS1220" s="585"/>
      <c r="BT1220" s="585"/>
      <c r="BU1220" s="585"/>
      <c r="BV1220" s="585"/>
      <c r="BW1220" s="585"/>
      <c r="BX1220" s="585"/>
      <c r="BY1220" s="585"/>
      <c r="BZ1220" s="585"/>
      <c r="CA1220" s="585"/>
      <c r="CB1220" s="585"/>
      <c r="CC1220" s="585"/>
      <c r="CD1220" s="585"/>
      <c r="CE1220" s="585"/>
      <c r="CF1220" s="586"/>
    </row>
    <row r="1221" spans="1:84" s="583" customFormat="1" ht="23.1" customHeight="1">
      <c r="A1221" s="587"/>
      <c r="B1221" s="574"/>
      <c r="C1221" s="574"/>
      <c r="D1221" s="405"/>
      <c r="E1221" s="574"/>
      <c r="F1221" s="422"/>
      <c r="G1221" s="422"/>
      <c r="H1221" s="422"/>
      <c r="I1221" s="422"/>
      <c r="J1221" s="422"/>
      <c r="K1221" s="422"/>
      <c r="L1221" s="422"/>
      <c r="M1221" s="422"/>
      <c r="N1221" s="574"/>
      <c r="O1221" s="574"/>
      <c r="P1221" s="574"/>
      <c r="Q1221" s="574"/>
      <c r="R1221" s="574"/>
      <c r="S1221" s="1485"/>
      <c r="T1221" s="1485"/>
      <c r="U1221" s="1485"/>
      <c r="V1221" s="1485"/>
      <c r="W1221" s="1485"/>
      <c r="X1221" s="1485"/>
      <c r="Y1221" s="1485"/>
      <c r="Z1221" s="1485"/>
      <c r="AA1221" s="1485"/>
      <c r="AB1221" s="1485"/>
      <c r="AC1221" s="1485"/>
      <c r="AD1221" s="1485"/>
      <c r="AE1221" s="1485"/>
      <c r="AF1221" s="1485"/>
      <c r="AG1221" s="1485"/>
      <c r="AH1221" s="1485"/>
      <c r="AI1221" s="1485"/>
      <c r="AJ1221" s="1485"/>
      <c r="AK1221" s="1485"/>
      <c r="AL1221" s="1485"/>
      <c r="AM1221" s="1431"/>
      <c r="AN1221" s="1431"/>
      <c r="AO1221" s="574"/>
      <c r="AP1221" s="1486"/>
      <c r="AQ1221" s="1486"/>
      <c r="AR1221" s="1486"/>
      <c r="AS1221" s="1486"/>
      <c r="AT1221" s="1486"/>
      <c r="AU1221" s="1486"/>
      <c r="AV1221" s="1486"/>
      <c r="AW1221" s="1486"/>
      <c r="AX1221" s="1486"/>
      <c r="AY1221" s="1486"/>
      <c r="AZ1221" s="1486"/>
      <c r="BA1221" s="1486"/>
      <c r="BB1221" s="1486"/>
      <c r="BC1221" s="1486"/>
      <c r="BD1221" s="574"/>
      <c r="BE1221" s="574"/>
      <c r="BF1221" s="574"/>
      <c r="BG1221" s="574"/>
      <c r="BH1221" s="574"/>
      <c r="BI1221" s="574"/>
      <c r="BJ1221" s="574"/>
      <c r="BK1221" s="574"/>
      <c r="BL1221" s="574"/>
      <c r="BM1221" s="574"/>
      <c r="BN1221" s="574"/>
      <c r="BO1221" s="574"/>
      <c r="BP1221" s="574"/>
      <c r="BQ1221" s="574"/>
      <c r="BR1221" s="574"/>
      <c r="BS1221" s="574"/>
      <c r="BT1221" s="574"/>
      <c r="BU1221" s="574"/>
      <c r="BV1221" s="574"/>
      <c r="BW1221" s="574"/>
      <c r="BX1221" s="574"/>
      <c r="BY1221" s="574"/>
      <c r="BZ1221" s="574"/>
      <c r="CA1221" s="574"/>
      <c r="CB1221" s="574"/>
      <c r="CC1221" s="574"/>
      <c r="CD1221" s="574"/>
      <c r="CE1221" s="574"/>
      <c r="CF1221" s="589"/>
    </row>
    <row r="1222" spans="1:84" s="583" customFormat="1" ht="23.1" customHeight="1">
      <c r="A1222" s="584"/>
      <c r="B1222" s="585"/>
      <c r="C1222" s="585"/>
      <c r="D1222" s="585"/>
      <c r="E1222" s="585"/>
      <c r="F1222" s="585"/>
      <c r="G1222" s="585"/>
      <c r="H1222" s="585"/>
      <c r="I1222" s="585"/>
      <c r="J1222" s="585"/>
      <c r="K1222" s="585"/>
      <c r="L1222" s="585"/>
      <c r="M1222" s="585"/>
      <c r="N1222" s="585"/>
      <c r="O1222" s="585"/>
      <c r="P1222" s="585"/>
      <c r="Q1222" s="585"/>
      <c r="R1222" s="585"/>
      <c r="S1222" s="585"/>
      <c r="T1222" s="585"/>
      <c r="U1222" s="585"/>
      <c r="V1222" s="590"/>
      <c r="W1222" s="590"/>
      <c r="X1222" s="590"/>
      <c r="Y1222" s="590"/>
      <c r="Z1222" s="590"/>
      <c r="AA1222" s="590"/>
      <c r="AB1222" s="590"/>
      <c r="AC1222" s="590"/>
      <c r="AD1222" s="574"/>
      <c r="AE1222" s="1440">
        <v>325000000</v>
      </c>
      <c r="AF1222" s="1440"/>
      <c r="AG1222" s="1440"/>
      <c r="AH1222" s="1440"/>
      <c r="AI1222" s="1440"/>
      <c r="AJ1222" s="1440"/>
      <c r="AK1222" s="1440"/>
      <c r="AL1222" s="1440"/>
      <c r="AM1222" s="1440"/>
      <c r="AN1222" s="1440"/>
      <c r="AO1222" s="1440"/>
      <c r="AP1222" s="1440"/>
      <c r="AQ1222" s="1440"/>
      <c r="AR1222" s="1440"/>
      <c r="AS1222" s="1440"/>
      <c r="AT1222" s="1431" t="s">
        <v>446</v>
      </c>
      <c r="AU1222" s="1431"/>
      <c r="AV1222" s="1441" t="s">
        <v>1103</v>
      </c>
      <c r="AW1222" s="1441"/>
      <c r="AX1222" s="1442">
        <v>4032</v>
      </c>
      <c r="AY1222" s="1442"/>
      <c r="AZ1222" s="1442"/>
      <c r="BA1222" s="1442"/>
      <c r="BB1222" s="1442"/>
      <c r="BC1222" s="1442"/>
      <c r="BD1222" s="585"/>
      <c r="BE1222" s="1431" t="s">
        <v>446</v>
      </c>
      <c r="BF1222" s="1431"/>
      <c r="BG1222" s="585"/>
      <c r="BH1222" s="591" t="s">
        <v>1104</v>
      </c>
      <c r="BI1222" s="585"/>
      <c r="BJ1222" s="585"/>
      <c r="BK1222" s="585"/>
      <c r="BL1222" s="1431" t="s">
        <v>1105</v>
      </c>
      <c r="BM1222" s="1431"/>
      <c r="BN1222" s="1431"/>
      <c r="BO1222" s="585"/>
      <c r="BP1222" s="1431" t="s">
        <v>41</v>
      </c>
      <c r="BQ1222" s="1431"/>
      <c r="BR1222" s="585"/>
      <c r="BS1222" s="585"/>
      <c r="BT1222" s="1437">
        <f>INT(AE1222*AX1222*10^-7)</f>
        <v>131040</v>
      </c>
      <c r="BU1222" s="1437"/>
      <c r="BV1222" s="1437"/>
      <c r="BW1222" s="1437"/>
      <c r="BX1222" s="1437"/>
      <c r="BY1222" s="1437"/>
      <c r="BZ1222" s="1437"/>
      <c r="CA1222" s="1437"/>
      <c r="CB1222" s="1437"/>
      <c r="CC1222" s="1437"/>
      <c r="CD1222" s="585"/>
      <c r="CE1222" s="585"/>
      <c r="CF1222" s="586"/>
    </row>
    <row r="1223" spans="1:84" s="583" customFormat="1" ht="23.1" customHeight="1">
      <c r="A1223" s="592"/>
      <c r="B1223" s="593" t="s">
        <v>1106</v>
      </c>
      <c r="C1223" s="593"/>
      <c r="D1223" s="593"/>
      <c r="E1223" s="593"/>
      <c r="F1223" s="593"/>
      <c r="G1223" s="593"/>
      <c r="H1223" s="593"/>
      <c r="I1223" s="593"/>
      <c r="J1223" s="593"/>
      <c r="K1223" s="593"/>
      <c r="L1223" s="593"/>
      <c r="M1223" s="593"/>
      <c r="N1223" s="593"/>
      <c r="O1223" s="593"/>
      <c r="P1223" s="593"/>
      <c r="Q1223" s="593"/>
      <c r="R1223" s="593"/>
      <c r="S1223" s="593"/>
      <c r="T1223" s="593"/>
      <c r="U1223" s="593"/>
      <c r="V1223" s="593"/>
      <c r="W1223" s="593"/>
      <c r="X1223" s="593"/>
      <c r="Y1223" s="593"/>
      <c r="Z1223" s="593"/>
      <c r="AA1223" s="593"/>
      <c r="AB1223" s="593"/>
      <c r="AC1223" s="593"/>
      <c r="AD1223" s="593"/>
      <c r="AE1223" s="593"/>
      <c r="AF1223" s="593"/>
      <c r="AG1223" s="593"/>
      <c r="AH1223" s="593"/>
      <c r="AI1223" s="593"/>
      <c r="AJ1223" s="593"/>
      <c r="AK1223" s="593"/>
      <c r="AL1223" s="593"/>
      <c r="AM1223" s="593"/>
      <c r="AN1223" s="593"/>
      <c r="AO1223" s="593"/>
      <c r="AP1223" s="593"/>
      <c r="AQ1223" s="593"/>
      <c r="AR1223" s="593"/>
      <c r="AS1223" s="593"/>
      <c r="AT1223" s="593"/>
      <c r="AU1223" s="593"/>
      <c r="AV1223" s="593"/>
      <c r="AW1223" s="593"/>
      <c r="AX1223" s="593"/>
      <c r="AY1223" s="593"/>
      <c r="AZ1223" s="593"/>
      <c r="BA1223" s="593"/>
      <c r="BB1223" s="593"/>
      <c r="BC1223" s="593"/>
      <c r="BD1223" s="593"/>
      <c r="BE1223" s="593"/>
      <c r="BF1223" s="593"/>
      <c r="BG1223" s="593"/>
      <c r="BH1223" s="593"/>
      <c r="BI1223" s="593"/>
      <c r="BJ1223" s="593"/>
      <c r="BK1223" s="593"/>
      <c r="BL1223" s="593"/>
      <c r="BM1223" s="593"/>
      <c r="BN1223" s="593"/>
      <c r="BO1223" s="593"/>
      <c r="BP1223" s="593"/>
      <c r="BQ1223" s="593"/>
      <c r="BR1223" s="593"/>
      <c r="BS1223" s="593"/>
      <c r="BT1223" s="594"/>
      <c r="BU1223" s="594"/>
      <c r="BV1223" s="594"/>
      <c r="BW1223" s="594"/>
      <c r="BX1223" s="594"/>
      <c r="BY1223" s="594"/>
      <c r="BZ1223" s="594"/>
      <c r="CA1223" s="594"/>
      <c r="CB1223" s="594"/>
      <c r="CC1223" s="594"/>
      <c r="CD1223" s="593"/>
      <c r="CE1223" s="593"/>
      <c r="CF1223" s="595"/>
    </row>
    <row r="1224" spans="1:84" s="583" customFormat="1" ht="23.1" customHeight="1">
      <c r="A1224" s="584"/>
      <c r="B1224" s="585"/>
      <c r="C1224" s="585"/>
      <c r="D1224" s="596" t="s">
        <v>268</v>
      </c>
      <c r="E1224" s="585"/>
      <c r="F1224" s="585"/>
      <c r="G1224" s="585"/>
      <c r="H1224" s="585"/>
      <c r="I1224" s="585"/>
      <c r="J1224" s="585"/>
      <c r="K1224" s="585"/>
      <c r="L1224" s="585"/>
      <c r="M1224" s="585"/>
      <c r="N1224" s="585"/>
      <c r="O1224" s="585"/>
      <c r="P1224" s="585"/>
      <c r="Q1224" s="585"/>
      <c r="R1224" s="585"/>
      <c r="S1224" s="585"/>
      <c r="T1224" s="574"/>
      <c r="U1224" s="574"/>
      <c r="V1224" s="1435">
        <f>HLOOKUP(D1224,$CJ$1:$CM$3,3,0)</f>
        <v>283297</v>
      </c>
      <c r="W1224" s="1435"/>
      <c r="X1224" s="1435"/>
      <c r="Y1224" s="1435"/>
      <c r="Z1224" s="1435"/>
      <c r="AA1224" s="1435"/>
      <c r="AB1224" s="1435"/>
      <c r="AC1224" s="1435"/>
      <c r="AD1224" s="1435"/>
      <c r="AE1224" s="1435"/>
      <c r="AF1224" s="1431" t="s">
        <v>446</v>
      </c>
      <c r="AG1224" s="1431"/>
      <c r="AH1224" s="574"/>
      <c r="AI1224" s="1436" t="s">
        <v>1107</v>
      </c>
      <c r="AJ1224" s="1436"/>
      <c r="AK1224" s="1436"/>
      <c r="AL1224" s="1436"/>
      <c r="AM1224" s="585"/>
      <c r="AN1224" s="1431" t="s">
        <v>446</v>
      </c>
      <c r="AO1224" s="1431"/>
      <c r="AP1224" s="585"/>
      <c r="AQ1224" s="1436" t="s">
        <v>1108</v>
      </c>
      <c r="AR1224" s="1436"/>
      <c r="AS1224" s="1436"/>
      <c r="AT1224" s="1436"/>
      <c r="AU1224" s="1436"/>
      <c r="AV1224" s="422"/>
      <c r="AW1224" s="1431" t="s">
        <v>446</v>
      </c>
      <c r="AX1224" s="1431"/>
      <c r="AY1224" s="440"/>
      <c r="AZ1224" s="1436" t="s">
        <v>1109</v>
      </c>
      <c r="BA1224" s="1436"/>
      <c r="BB1224" s="1436"/>
      <c r="BC1224" s="1436"/>
      <c r="BD1224" s="1436"/>
      <c r="BE1224" s="585"/>
      <c r="BF1224" s="1431" t="s">
        <v>446</v>
      </c>
      <c r="BG1224" s="1431"/>
      <c r="BH1224" s="1431">
        <v>1</v>
      </c>
      <c r="BI1224" s="1431"/>
      <c r="BJ1224" s="1431"/>
      <c r="BK1224" s="585"/>
      <c r="BL1224" s="585" t="s">
        <v>366</v>
      </c>
      <c r="BM1224" s="585"/>
      <c r="BN1224" s="585"/>
      <c r="BO1224" s="585"/>
      <c r="BP1224" s="1431" t="s">
        <v>41</v>
      </c>
      <c r="BQ1224" s="1431"/>
      <c r="BR1224" s="585"/>
      <c r="BS1224" s="585"/>
      <c r="BT1224" s="1432">
        <f>INT(V1224/8*16/12*25/20*BH1224)</f>
        <v>59020</v>
      </c>
      <c r="BU1224" s="1432"/>
      <c r="BV1224" s="1432"/>
      <c r="BW1224" s="1432"/>
      <c r="BX1224" s="1432"/>
      <c r="BY1224" s="1432"/>
      <c r="BZ1224" s="1432"/>
      <c r="CA1224" s="1432"/>
      <c r="CB1224" s="1432"/>
      <c r="CC1224" s="1432"/>
      <c r="CD1224" s="585"/>
      <c r="CE1224" s="585"/>
      <c r="CF1224" s="586"/>
    </row>
    <row r="1225" spans="1:84" s="583" customFormat="1" ht="23.1" customHeight="1">
      <c r="A1225" s="584"/>
      <c r="B1225" s="585"/>
      <c r="C1225" s="585"/>
      <c r="D1225" s="585"/>
      <c r="E1225" s="585"/>
      <c r="F1225" s="585"/>
      <c r="G1225" s="585"/>
      <c r="H1225" s="585"/>
      <c r="I1225" s="585"/>
      <c r="J1225" s="585"/>
      <c r="K1225" s="585"/>
      <c r="L1225" s="585"/>
      <c r="M1225" s="585"/>
      <c r="N1225" s="585"/>
      <c r="O1225" s="585"/>
      <c r="P1225" s="574"/>
      <c r="Q1225" s="574"/>
      <c r="R1225" s="574"/>
      <c r="S1225" s="574"/>
      <c r="T1225" s="574"/>
      <c r="U1225" s="574"/>
      <c r="V1225" s="574"/>
      <c r="W1225" s="574"/>
      <c r="X1225" s="574"/>
      <c r="Y1225" s="574"/>
      <c r="Z1225" s="574"/>
      <c r="AA1225" s="574"/>
      <c r="AB1225" s="574"/>
      <c r="AC1225" s="574"/>
      <c r="AD1225" s="574"/>
      <c r="AE1225" s="574"/>
      <c r="AF1225" s="574"/>
      <c r="AG1225" s="574"/>
      <c r="AH1225" s="574"/>
      <c r="AI1225" s="574"/>
      <c r="AJ1225" s="574"/>
      <c r="AK1225" s="574"/>
      <c r="AL1225" s="574"/>
      <c r="AM1225" s="574"/>
      <c r="AN1225" s="574"/>
      <c r="AO1225" s="574"/>
      <c r="AP1225" s="574"/>
      <c r="AQ1225" s="574"/>
      <c r="AR1225" s="574"/>
      <c r="AS1225" s="574"/>
      <c r="AT1225" s="574"/>
      <c r="AU1225" s="574"/>
      <c r="AV1225" s="574"/>
      <c r="AW1225" s="574"/>
      <c r="AX1225" s="574"/>
      <c r="AY1225" s="574"/>
      <c r="AZ1225" s="574"/>
      <c r="BA1225" s="574"/>
      <c r="BB1225" s="574"/>
      <c r="BC1225" s="574"/>
      <c r="BD1225" s="574"/>
      <c r="BE1225" s="574"/>
      <c r="BF1225" s="574"/>
      <c r="BG1225" s="585"/>
      <c r="BH1225" s="585"/>
      <c r="BI1225" s="585"/>
      <c r="BJ1225" s="585"/>
      <c r="BK1225" s="585"/>
      <c r="BL1225" s="585"/>
      <c r="BM1225" s="585"/>
      <c r="BN1225" s="585"/>
      <c r="BO1225" s="585"/>
      <c r="BP1225" s="1431"/>
      <c r="BQ1225" s="1431"/>
      <c r="BR1225" s="585"/>
      <c r="BS1225" s="585"/>
      <c r="BT1225" s="1432"/>
      <c r="BU1225" s="1432"/>
      <c r="BV1225" s="1432"/>
      <c r="BW1225" s="1432"/>
      <c r="BX1225" s="1432"/>
      <c r="BY1225" s="1432"/>
      <c r="BZ1225" s="1432"/>
      <c r="CA1225" s="1432"/>
      <c r="CB1225" s="1432"/>
      <c r="CC1225" s="1432"/>
      <c r="CD1225" s="585"/>
      <c r="CE1225" s="585"/>
      <c r="CF1225" s="586"/>
    </row>
    <row r="1226" spans="1:84" s="583" customFormat="1" ht="23.1" customHeight="1">
      <c r="A1226" s="584"/>
      <c r="B1226" s="585"/>
      <c r="C1226" s="585"/>
      <c r="D1226" s="585"/>
      <c r="E1226" s="585"/>
      <c r="F1226" s="585"/>
      <c r="G1226" s="585"/>
      <c r="H1226" s="585"/>
      <c r="I1226" s="585"/>
      <c r="J1226" s="585"/>
      <c r="K1226" s="585"/>
      <c r="L1226" s="585"/>
      <c r="M1226" s="585"/>
      <c r="N1226" s="585"/>
      <c r="O1226" s="585"/>
      <c r="P1226" s="585"/>
      <c r="Q1226" s="585"/>
      <c r="R1226" s="585"/>
      <c r="S1226" s="585"/>
      <c r="T1226" s="585"/>
      <c r="U1226" s="585"/>
      <c r="V1226" s="585"/>
      <c r="W1226" s="585"/>
      <c r="X1226" s="585"/>
      <c r="Y1226" s="585"/>
      <c r="Z1226" s="585"/>
      <c r="AA1226" s="585"/>
      <c r="AB1226" s="585"/>
      <c r="AC1226" s="585"/>
      <c r="AD1226" s="574"/>
      <c r="AE1226" s="574"/>
      <c r="AF1226" s="574"/>
      <c r="AG1226" s="574"/>
      <c r="AH1226" s="574"/>
      <c r="AI1226" s="574"/>
      <c r="AJ1226" s="574"/>
      <c r="AK1226" s="574"/>
      <c r="AL1226" s="574"/>
      <c r="AM1226" s="574"/>
      <c r="AN1226" s="574"/>
      <c r="AO1226" s="574"/>
      <c r="AP1226" s="574"/>
      <c r="AQ1226" s="574"/>
      <c r="AR1226" s="574"/>
      <c r="AS1226" s="585"/>
      <c r="AT1226" s="590"/>
      <c r="AU1226" s="590"/>
      <c r="AV1226" s="585"/>
      <c r="AW1226" s="585"/>
      <c r="AX1226" s="585"/>
      <c r="AY1226" s="585"/>
      <c r="AZ1226" s="585"/>
      <c r="BA1226" s="585"/>
      <c r="BB1226" s="585"/>
      <c r="BC1226" s="585"/>
      <c r="BD1226" s="585"/>
      <c r="BE1226" s="585"/>
      <c r="BF1226" s="585"/>
      <c r="BG1226" s="585"/>
      <c r="BH1226" s="585"/>
      <c r="BI1226" s="585"/>
      <c r="BJ1226" s="585"/>
      <c r="BK1226" s="585"/>
      <c r="BL1226" s="585"/>
      <c r="BM1226" s="585"/>
      <c r="BN1226" s="585"/>
      <c r="BO1226" s="585"/>
      <c r="BP1226" s="1431" t="s">
        <v>41</v>
      </c>
      <c r="BQ1226" s="1431"/>
      <c r="BR1226" s="585"/>
      <c r="BS1226" s="585"/>
      <c r="BT1226" s="1434">
        <f>BT1224+BT1225</f>
        <v>59020</v>
      </c>
      <c r="BU1226" s="1434"/>
      <c r="BV1226" s="1434"/>
      <c r="BW1226" s="1434"/>
      <c r="BX1226" s="1434"/>
      <c r="BY1226" s="1434"/>
      <c r="BZ1226" s="1434"/>
      <c r="CA1226" s="1434"/>
      <c r="CB1226" s="1434"/>
      <c r="CC1226" s="1434"/>
      <c r="CD1226" s="585"/>
      <c r="CE1226" s="585"/>
      <c r="CF1226" s="586"/>
    </row>
    <row r="1227" spans="1:84" s="583" customFormat="1" ht="23.1" customHeight="1">
      <c r="A1227" s="592"/>
      <c r="B1227" s="593" t="s">
        <v>1110</v>
      </c>
      <c r="C1227" s="593"/>
      <c r="D1227" s="593"/>
      <c r="E1227" s="593"/>
      <c r="F1227" s="593"/>
      <c r="G1227" s="593"/>
      <c r="H1227" s="593"/>
      <c r="I1227" s="593"/>
      <c r="J1227" s="593"/>
      <c r="K1227" s="593"/>
      <c r="L1227" s="593"/>
      <c r="M1227" s="593"/>
      <c r="N1227" s="593"/>
      <c r="O1227" s="593"/>
      <c r="P1227" s="593"/>
      <c r="Q1227" s="593"/>
      <c r="R1227" s="593"/>
      <c r="S1227" s="593"/>
      <c r="T1227" s="593"/>
      <c r="U1227" s="593"/>
      <c r="V1227" s="593"/>
      <c r="W1227" s="593"/>
      <c r="X1227" s="593"/>
      <c r="Y1227" s="593"/>
      <c r="Z1227" s="593"/>
      <c r="AA1227" s="593"/>
      <c r="AB1227" s="593"/>
      <c r="AC1227" s="593"/>
      <c r="AD1227" s="593"/>
      <c r="AE1227" s="593"/>
      <c r="AF1227" s="593"/>
      <c r="AG1227" s="593"/>
      <c r="AH1227" s="593"/>
      <c r="AI1227" s="593"/>
      <c r="AJ1227" s="593"/>
      <c r="AK1227" s="593"/>
      <c r="AL1227" s="593"/>
      <c r="AM1227" s="593"/>
      <c r="AN1227" s="593"/>
      <c r="AO1227" s="593"/>
      <c r="AP1227" s="593"/>
      <c r="AQ1227" s="593"/>
      <c r="AR1227" s="593"/>
      <c r="AS1227" s="593"/>
      <c r="AT1227" s="593"/>
      <c r="AU1227" s="593"/>
      <c r="AV1227" s="593"/>
      <c r="AW1227" s="593"/>
      <c r="AX1227" s="593"/>
      <c r="AY1227" s="593"/>
      <c r="AZ1227" s="593"/>
      <c r="BA1227" s="593"/>
      <c r="BB1227" s="593"/>
      <c r="BC1227" s="593"/>
      <c r="BD1227" s="593"/>
      <c r="BE1227" s="593"/>
      <c r="BF1227" s="593"/>
      <c r="BG1227" s="593"/>
      <c r="BH1227" s="593"/>
      <c r="BI1227" s="593"/>
      <c r="BJ1227" s="593"/>
      <c r="BK1227" s="593"/>
      <c r="BL1227" s="593"/>
      <c r="BM1227" s="593"/>
      <c r="BN1227" s="593"/>
      <c r="BO1227" s="593"/>
      <c r="BP1227" s="593"/>
      <c r="BQ1227" s="593"/>
      <c r="BR1227" s="593"/>
      <c r="BS1227" s="593"/>
      <c r="BT1227" s="593"/>
      <c r="BU1227" s="593"/>
      <c r="BV1227" s="593"/>
      <c r="BW1227" s="593"/>
      <c r="BX1227" s="593"/>
      <c r="BY1227" s="593"/>
      <c r="BZ1227" s="593"/>
      <c r="CA1227" s="593"/>
      <c r="CB1227" s="593"/>
      <c r="CC1227" s="593"/>
      <c r="CD1227" s="593"/>
      <c r="CE1227" s="593"/>
      <c r="CF1227" s="595"/>
    </row>
    <row r="1228" spans="1:84" s="583" customFormat="1" ht="23.1" customHeight="1">
      <c r="A1228" s="584"/>
      <c r="B1228" s="585"/>
      <c r="C1228" s="585"/>
      <c r="D1228" s="596" t="s">
        <v>1094</v>
      </c>
      <c r="E1228" s="585"/>
      <c r="F1228" s="585"/>
      <c r="G1228" s="585"/>
      <c r="H1228" s="585"/>
      <c r="I1228" s="585"/>
      <c r="J1228" s="585"/>
      <c r="K1228" s="585"/>
      <c r="L1228" s="585"/>
      <c r="M1228" s="585"/>
      <c r="N1228" s="585"/>
      <c r="O1228" s="585"/>
      <c r="P1228" s="585"/>
      <c r="Q1228" s="585"/>
      <c r="R1228" s="585"/>
      <c r="S1228" s="585"/>
      <c r="T1228" s="585"/>
      <c r="U1228" s="585"/>
      <c r="V1228" s="585"/>
      <c r="W1228" s="585"/>
      <c r="X1228" s="585"/>
      <c r="Y1228" s="585"/>
      <c r="Z1228" s="585"/>
      <c r="AA1228" s="585"/>
      <c r="AB1228" s="585"/>
      <c r="AC1228" s="585"/>
      <c r="AD1228" s="585"/>
      <c r="AE1228" s="585"/>
      <c r="AF1228" s="585"/>
      <c r="AG1228" s="585"/>
      <c r="AH1228" s="585"/>
      <c r="AI1228" s="585"/>
      <c r="AJ1228" s="585"/>
      <c r="AK1228" s="585"/>
      <c r="AL1228" s="585"/>
      <c r="AM1228" s="585"/>
      <c r="AN1228" s="585"/>
      <c r="AO1228" s="585"/>
      <c r="AP1228" s="585"/>
      <c r="AQ1228" s="585"/>
      <c r="AR1228" s="422"/>
      <c r="AS1228" s="1435" t="e">
        <f>HLOOKUP(D1228,$CN$1:$CO$3,3,0)</f>
        <v>#REF!</v>
      </c>
      <c r="AT1228" s="1435"/>
      <c r="AU1228" s="1435"/>
      <c r="AV1228" s="1435"/>
      <c r="AW1228" s="1435"/>
      <c r="AX1228" s="1435"/>
      <c r="AY1228" s="1435"/>
      <c r="AZ1228" s="1435"/>
      <c r="BA1228" s="1435"/>
      <c r="BB1228" s="1435"/>
      <c r="BC1228" s="585"/>
      <c r="BD1228" s="1431" t="s">
        <v>446</v>
      </c>
      <c r="BE1228" s="1431"/>
      <c r="BF1228" s="585"/>
      <c r="BG1228" s="1431">
        <v>13.9</v>
      </c>
      <c r="BH1228" s="1431"/>
      <c r="BI1228" s="1431"/>
      <c r="BJ1228" s="1431"/>
      <c r="BK1228" s="1431"/>
      <c r="BL1228" s="585" t="s">
        <v>1111</v>
      </c>
      <c r="BM1228" s="585"/>
      <c r="BN1228" s="585"/>
      <c r="BO1228" s="585"/>
      <c r="BP1228" s="1431" t="s">
        <v>41</v>
      </c>
      <c r="BQ1228" s="1431"/>
      <c r="BR1228" s="585"/>
      <c r="BS1228" s="585"/>
      <c r="BT1228" s="1432" t="e">
        <f>INT(AS1228*BG1228)</f>
        <v>#REF!</v>
      </c>
      <c r="BU1228" s="1432"/>
      <c r="BV1228" s="1432"/>
      <c r="BW1228" s="1432"/>
      <c r="BX1228" s="1432"/>
      <c r="BY1228" s="1432"/>
      <c r="BZ1228" s="1432"/>
      <c r="CA1228" s="1432"/>
      <c r="CB1228" s="1432"/>
      <c r="CC1228" s="1432"/>
      <c r="CD1228" s="585"/>
      <c r="CE1228" s="585"/>
      <c r="CF1228" s="586"/>
    </row>
    <row r="1229" spans="1:84" s="583" customFormat="1" ht="23.1" customHeight="1">
      <c r="A1229" s="584"/>
      <c r="B1229" s="585"/>
      <c r="C1229" s="585"/>
      <c r="D1229" s="591" t="str">
        <f>"잡재료 (주연료의 "&amp;BG1229&amp;"%) :"</f>
        <v>잡재료 (주연료의 16%) :</v>
      </c>
      <c r="E1229" s="585"/>
      <c r="F1229" s="585"/>
      <c r="G1229" s="585"/>
      <c r="H1229" s="585"/>
      <c r="I1229" s="585"/>
      <c r="J1229" s="585"/>
      <c r="K1229" s="585"/>
      <c r="L1229" s="585"/>
      <c r="M1229" s="585"/>
      <c r="N1229" s="585"/>
      <c r="O1229" s="585"/>
      <c r="P1229" s="585"/>
      <c r="Q1229" s="585"/>
      <c r="R1229" s="585"/>
      <c r="S1229" s="585"/>
      <c r="T1229" s="585"/>
      <c r="U1229" s="585"/>
      <c r="V1229" s="585"/>
      <c r="W1229" s="585"/>
      <c r="X1229" s="585"/>
      <c r="Y1229" s="585"/>
      <c r="Z1229" s="585"/>
      <c r="AA1229" s="585"/>
      <c r="AB1229" s="585"/>
      <c r="AC1229" s="585"/>
      <c r="AD1229" s="585"/>
      <c r="AE1229" s="585"/>
      <c r="AF1229" s="585"/>
      <c r="AG1229" s="585"/>
      <c r="AH1229" s="585"/>
      <c r="AI1229" s="585"/>
      <c r="AJ1229" s="585"/>
      <c r="AK1229" s="585"/>
      <c r="AL1229" s="585"/>
      <c r="AM1229" s="585"/>
      <c r="AN1229" s="585"/>
      <c r="AO1229" s="585"/>
      <c r="AP1229" s="585"/>
      <c r="AQ1229" s="585"/>
      <c r="AR1229" s="422" t="e">
        <f>BT1228</f>
        <v>#REF!</v>
      </c>
      <c r="AS1229" s="1430" t="e">
        <f>BT1228</f>
        <v>#REF!</v>
      </c>
      <c r="AT1229" s="1430"/>
      <c r="AU1229" s="1430"/>
      <c r="AV1229" s="1430"/>
      <c r="AW1229" s="1430"/>
      <c r="AX1229" s="1430"/>
      <c r="AY1229" s="1430"/>
      <c r="AZ1229" s="1430"/>
      <c r="BA1229" s="1430"/>
      <c r="BB1229" s="1430"/>
      <c r="BC1229" s="585"/>
      <c r="BD1229" s="1431" t="s">
        <v>446</v>
      </c>
      <c r="BE1229" s="1431"/>
      <c r="BF1229" s="585"/>
      <c r="BG1229" s="1431">
        <v>16</v>
      </c>
      <c r="BH1229" s="1431"/>
      <c r="BI1229" s="1431"/>
      <c r="BJ1229" s="1431"/>
      <c r="BK1229" s="1431"/>
      <c r="BL1229" s="585" t="s">
        <v>1112</v>
      </c>
      <c r="BM1229" s="585"/>
      <c r="BN1229" s="585"/>
      <c r="BO1229" s="585"/>
      <c r="BP1229" s="1431" t="s">
        <v>41</v>
      </c>
      <c r="BQ1229" s="1431"/>
      <c r="BR1229" s="585"/>
      <c r="BS1229" s="585"/>
      <c r="BT1229" s="1432" t="e">
        <f>INT(AS1229*BG1229/100)</f>
        <v>#REF!</v>
      </c>
      <c r="BU1229" s="1432"/>
      <c r="BV1229" s="1432"/>
      <c r="BW1229" s="1432"/>
      <c r="BX1229" s="1432"/>
      <c r="BY1229" s="1432"/>
      <c r="BZ1229" s="1432"/>
      <c r="CA1229" s="1432"/>
      <c r="CB1229" s="1432"/>
      <c r="CC1229" s="1432"/>
      <c r="CD1229" s="585"/>
      <c r="CE1229" s="585"/>
      <c r="CF1229" s="586"/>
    </row>
    <row r="1230" spans="1:84" s="583" customFormat="1" ht="23.1" customHeight="1" thickBot="1">
      <c r="A1230" s="584"/>
      <c r="B1230" s="585"/>
      <c r="C1230" s="585"/>
      <c r="D1230" s="585"/>
      <c r="E1230" s="585"/>
      <c r="F1230" s="585"/>
      <c r="G1230" s="585"/>
      <c r="H1230" s="585"/>
      <c r="I1230" s="585"/>
      <c r="J1230" s="585"/>
      <c r="K1230" s="585"/>
      <c r="L1230" s="585"/>
      <c r="M1230" s="585"/>
      <c r="N1230" s="585"/>
      <c r="O1230" s="585"/>
      <c r="P1230" s="585"/>
      <c r="Q1230" s="585"/>
      <c r="R1230" s="585"/>
      <c r="S1230" s="585"/>
      <c r="T1230" s="585"/>
      <c r="U1230" s="585"/>
      <c r="V1230" s="585"/>
      <c r="W1230" s="585"/>
      <c r="X1230" s="585"/>
      <c r="Y1230" s="585"/>
      <c r="Z1230" s="585"/>
      <c r="AA1230" s="585"/>
      <c r="AB1230" s="585"/>
      <c r="AC1230" s="585"/>
      <c r="AD1230" s="585"/>
      <c r="AE1230" s="585"/>
      <c r="AF1230" s="585"/>
      <c r="AG1230" s="585"/>
      <c r="AH1230" s="585"/>
      <c r="AI1230" s="585"/>
      <c r="AJ1230" s="585"/>
      <c r="AK1230" s="585"/>
      <c r="AL1230" s="585"/>
      <c r="AM1230" s="585"/>
      <c r="AN1230" s="585"/>
      <c r="AO1230" s="585"/>
      <c r="AP1230" s="585"/>
      <c r="AQ1230" s="585"/>
      <c r="AR1230" s="585"/>
      <c r="AS1230" s="585"/>
      <c r="AT1230" s="585"/>
      <c r="AU1230" s="585"/>
      <c r="AV1230" s="585"/>
      <c r="AW1230" s="585"/>
      <c r="AX1230" s="585"/>
      <c r="AY1230" s="585"/>
      <c r="AZ1230" s="585"/>
      <c r="BA1230" s="585"/>
      <c r="BB1230" s="585"/>
      <c r="BC1230" s="585"/>
      <c r="BD1230" s="585"/>
      <c r="BE1230" s="585"/>
      <c r="BF1230" s="585"/>
      <c r="BG1230" s="585"/>
      <c r="BH1230" s="585"/>
      <c r="BI1230" s="585"/>
      <c r="BJ1230" s="585"/>
      <c r="BK1230" s="585"/>
      <c r="BL1230" s="585"/>
      <c r="BM1230" s="585"/>
      <c r="BN1230" s="585"/>
      <c r="BO1230" s="585"/>
      <c r="BP1230" s="1431" t="s">
        <v>41</v>
      </c>
      <c r="BQ1230" s="1431"/>
      <c r="BR1230" s="585"/>
      <c r="BS1230" s="585"/>
      <c r="BT1230" s="1433" t="e">
        <f>BT1228+BT1229</f>
        <v>#REF!</v>
      </c>
      <c r="BU1230" s="1433"/>
      <c r="BV1230" s="1433"/>
      <c r="BW1230" s="1433"/>
      <c r="BX1230" s="1433"/>
      <c r="BY1230" s="1433"/>
      <c r="BZ1230" s="1433"/>
      <c r="CA1230" s="1433"/>
      <c r="CB1230" s="1433"/>
      <c r="CC1230" s="1433"/>
      <c r="CD1230" s="585"/>
      <c r="CE1230" s="585"/>
      <c r="CF1230" s="586"/>
    </row>
    <row r="1231" spans="1:84" s="583" customFormat="1" ht="23.1" customHeight="1" thickBot="1">
      <c r="A1231" s="597"/>
      <c r="B1231" s="598" t="s">
        <v>1113</v>
      </c>
      <c r="C1231" s="598"/>
      <c r="D1231" s="598"/>
      <c r="E1231" s="598"/>
      <c r="F1231" s="598"/>
      <c r="G1231" s="598"/>
      <c r="H1231" s="598"/>
      <c r="I1231" s="598"/>
      <c r="J1231" s="598"/>
      <c r="K1231" s="598"/>
      <c r="L1231" s="598"/>
      <c r="M1231" s="598"/>
      <c r="N1231" s="598"/>
      <c r="O1231" s="598"/>
      <c r="P1231" s="598"/>
      <c r="Q1231" s="598"/>
      <c r="R1231" s="598"/>
      <c r="S1231" s="598"/>
      <c r="T1231" s="598"/>
      <c r="U1231" s="598"/>
      <c r="V1231" s="598"/>
      <c r="W1231" s="598"/>
      <c r="X1231" s="598"/>
      <c r="Y1231" s="598"/>
      <c r="Z1231" s="598"/>
      <c r="AA1231" s="598"/>
      <c r="AB1231" s="598"/>
      <c r="AC1231" s="598"/>
      <c r="AD1231" s="598"/>
      <c r="AE1231" s="598"/>
      <c r="AF1231" s="598"/>
      <c r="AG1231" s="598"/>
      <c r="AH1231" s="598"/>
      <c r="AI1231" s="598"/>
      <c r="AJ1231" s="598"/>
      <c r="AK1231" s="598"/>
      <c r="AL1231" s="598"/>
      <c r="AM1231" s="598"/>
      <c r="AN1231" s="598"/>
      <c r="AO1231" s="598"/>
      <c r="AP1231" s="598"/>
      <c r="AQ1231" s="598"/>
      <c r="AR1231" s="598"/>
      <c r="AS1231" s="598"/>
      <c r="AT1231" s="598"/>
      <c r="AU1231" s="598"/>
      <c r="AV1231" s="598"/>
      <c r="AW1231" s="598"/>
      <c r="AX1231" s="598"/>
      <c r="AY1231" s="598"/>
      <c r="AZ1231" s="598"/>
      <c r="BA1231" s="598"/>
      <c r="BB1231" s="598"/>
      <c r="BC1231" s="598"/>
      <c r="BD1231" s="598"/>
      <c r="BE1231" s="598"/>
      <c r="BF1231" s="598"/>
      <c r="BG1231" s="598"/>
      <c r="BH1231" s="598"/>
      <c r="BI1231" s="598"/>
      <c r="BJ1231" s="598"/>
      <c r="BK1231" s="598"/>
      <c r="BL1231" s="598"/>
      <c r="BM1231" s="598"/>
      <c r="BN1231" s="598"/>
      <c r="BO1231" s="598"/>
      <c r="BP1231" s="598"/>
      <c r="BQ1231" s="598"/>
      <c r="BR1231" s="598"/>
      <c r="BS1231" s="598"/>
      <c r="BT1231" s="1429" t="e">
        <f>BT1222+BT1226+BT1230</f>
        <v>#REF!</v>
      </c>
      <c r="BU1231" s="1429"/>
      <c r="BV1231" s="1429"/>
      <c r="BW1231" s="1429"/>
      <c r="BX1231" s="1429"/>
      <c r="BY1231" s="1429"/>
      <c r="BZ1231" s="1429"/>
      <c r="CA1231" s="1429"/>
      <c r="CB1231" s="1429"/>
      <c r="CC1231" s="1429"/>
      <c r="CD1231" s="598"/>
      <c r="CE1231" s="598"/>
      <c r="CF1231" s="599"/>
    </row>
    <row r="1232" spans="1:84" s="583" customFormat="1" ht="9.9499999999999993" customHeight="1">
      <c r="A1232" s="574"/>
      <c r="B1232" s="574"/>
      <c r="C1232" s="574"/>
      <c r="D1232" s="574"/>
      <c r="E1232" s="574"/>
      <c r="F1232" s="574"/>
      <c r="G1232" s="574"/>
      <c r="H1232" s="574"/>
      <c r="I1232" s="574"/>
      <c r="J1232" s="574"/>
      <c r="K1232" s="574"/>
      <c r="L1232" s="574"/>
      <c r="M1232" s="574"/>
      <c r="N1232" s="574"/>
      <c r="O1232" s="574"/>
      <c r="P1232" s="574"/>
      <c r="Q1232" s="574"/>
      <c r="R1232" s="574"/>
      <c r="S1232" s="574"/>
      <c r="T1232" s="574"/>
      <c r="U1232" s="574"/>
      <c r="V1232" s="574"/>
      <c r="W1232" s="574"/>
      <c r="X1232" s="574"/>
      <c r="Y1232" s="574"/>
      <c r="Z1232" s="574"/>
      <c r="AA1232" s="574"/>
      <c r="AB1232" s="574"/>
      <c r="AC1232" s="574"/>
      <c r="AD1232" s="574"/>
      <c r="AE1232" s="574"/>
      <c r="AF1232" s="574"/>
      <c r="AG1232" s="574"/>
      <c r="AH1232" s="574"/>
      <c r="AI1232" s="574"/>
      <c r="AJ1232" s="574"/>
      <c r="AK1232" s="574"/>
      <c r="AL1232" s="574"/>
      <c r="AM1232" s="574"/>
      <c r="AN1232" s="574"/>
      <c r="AO1232" s="574"/>
      <c r="AP1232" s="574"/>
      <c r="AQ1232" s="574"/>
      <c r="AR1232" s="574"/>
      <c r="AS1232" s="574"/>
      <c r="AT1232" s="574"/>
      <c r="AU1232" s="574"/>
      <c r="AV1232" s="574"/>
      <c r="AW1232" s="574"/>
      <c r="AX1232" s="574"/>
      <c r="AY1232" s="574"/>
      <c r="AZ1232" s="574"/>
      <c r="BA1232" s="574"/>
      <c r="BB1232" s="574"/>
      <c r="BC1232" s="574"/>
      <c r="BD1232" s="574"/>
      <c r="BE1232" s="574"/>
      <c r="BF1232" s="574"/>
      <c r="BG1232" s="574"/>
      <c r="BH1232" s="574"/>
      <c r="BI1232" s="574"/>
      <c r="BJ1232" s="574"/>
      <c r="BK1232" s="574"/>
      <c r="BL1232" s="574"/>
      <c r="BM1232" s="574"/>
      <c r="BN1232" s="574"/>
      <c r="BO1232" s="574"/>
      <c r="BP1232" s="574"/>
      <c r="BQ1232" s="574"/>
      <c r="BR1232" s="574"/>
      <c r="BS1232" s="574"/>
      <c r="BT1232" s="574"/>
      <c r="BU1232" s="574"/>
      <c r="BV1232" s="574"/>
      <c r="BW1232" s="574"/>
      <c r="BX1232" s="574"/>
      <c r="BY1232" s="574"/>
      <c r="BZ1232" s="574"/>
      <c r="CA1232" s="574"/>
      <c r="CB1232" s="574"/>
      <c r="CC1232" s="574"/>
      <c r="CD1232" s="574"/>
      <c r="CE1232" s="574"/>
      <c r="CF1232" s="574"/>
    </row>
    <row r="1233" spans="1:85" s="583" customFormat="1" ht="23.1" customHeight="1" thickBot="1">
      <c r="A1233" s="1446" t="s">
        <v>1095</v>
      </c>
      <c r="B1233" s="1446"/>
      <c r="C1233" s="1446"/>
      <c r="D1233" s="1446"/>
      <c r="E1233" s="1446"/>
      <c r="F1233" s="1446"/>
      <c r="G1233" s="1447">
        <f>G1218+1</f>
        <v>83</v>
      </c>
      <c r="H1233" s="1447"/>
      <c r="I1233" s="1447"/>
      <c r="J1233" s="1448" t="s">
        <v>1096</v>
      </c>
      <c r="K1233" s="1448"/>
      <c r="L1233" s="574"/>
      <c r="M1233" s="574"/>
      <c r="N1233" s="574"/>
      <c r="O1233" s="574"/>
      <c r="P1233" s="574"/>
      <c r="Q1233" s="574"/>
      <c r="R1233" s="574"/>
      <c r="S1233" s="574"/>
      <c r="T1233" s="574"/>
      <c r="U1233" s="574"/>
      <c r="V1233" s="574"/>
      <c r="W1233" s="574"/>
      <c r="X1233" s="574"/>
      <c r="Y1233" s="574"/>
      <c r="Z1233" s="574"/>
      <c r="AA1233" s="574"/>
      <c r="AB1233" s="574"/>
      <c r="AC1233" s="574"/>
      <c r="AD1233" s="574"/>
      <c r="AE1233" s="574"/>
      <c r="AF1233" s="574"/>
      <c r="AG1233" s="574"/>
      <c r="AH1233" s="574"/>
      <c r="AI1233" s="574"/>
      <c r="AJ1233" s="574"/>
      <c r="AK1233" s="574"/>
      <c r="AL1233" s="574"/>
      <c r="AM1233" s="574"/>
      <c r="AN1233" s="574"/>
      <c r="AO1233" s="574"/>
      <c r="AP1233" s="574"/>
      <c r="AQ1233" s="574"/>
      <c r="AR1233" s="574"/>
      <c r="AS1233" s="574"/>
      <c r="AT1233" s="574"/>
      <c r="AU1233" s="574"/>
      <c r="AV1233" s="574"/>
      <c r="AW1233" s="574"/>
      <c r="AX1233" s="574"/>
      <c r="AY1233" s="574"/>
      <c r="AZ1233" s="574"/>
      <c r="BA1233" s="574"/>
      <c r="BB1233" s="574"/>
      <c r="BC1233" s="574"/>
      <c r="BD1233" s="574"/>
      <c r="BE1233" s="574"/>
      <c r="BF1233" s="574"/>
      <c r="BG1233" s="574"/>
      <c r="BH1233" s="574"/>
      <c r="BI1233" s="574"/>
      <c r="BJ1233" s="574"/>
      <c r="BK1233" s="574"/>
      <c r="BL1233" s="574"/>
      <c r="BM1233" s="574"/>
      <c r="BN1233" s="574"/>
      <c r="BO1233" s="574"/>
      <c r="BP1233" s="574"/>
      <c r="BQ1233" s="574"/>
      <c r="BR1233" s="574"/>
      <c r="BS1233" s="574"/>
      <c r="BT1233" s="574"/>
      <c r="BU1233" s="574"/>
      <c r="BV1233" s="574"/>
      <c r="BW1233" s="574"/>
      <c r="BX1233" s="574"/>
      <c r="BY1233" s="574"/>
      <c r="BZ1233" s="574"/>
      <c r="CA1233" s="574"/>
      <c r="CB1233" s="574"/>
      <c r="CC1233" s="574"/>
      <c r="CD1233" s="574"/>
      <c r="CE1233" s="574"/>
      <c r="CF1233" s="574"/>
    </row>
    <row r="1234" spans="1:85" s="583" customFormat="1" ht="23.1" customHeight="1" thickBot="1">
      <c r="A1234" s="1483" t="s">
        <v>1097</v>
      </c>
      <c r="B1234" s="1484"/>
      <c r="C1234" s="1484"/>
      <c r="D1234" s="1484"/>
      <c r="E1234" s="1484"/>
      <c r="F1234" s="1484"/>
      <c r="G1234" s="1484"/>
      <c r="H1234" s="1484"/>
      <c r="I1234" s="581" t="s">
        <v>490</v>
      </c>
      <c r="J1234" s="581"/>
      <c r="K1234" s="581"/>
      <c r="L1234" s="581"/>
      <c r="M1234" s="581"/>
      <c r="N1234" s="581"/>
      <c r="O1234" s="581"/>
      <c r="P1234" s="581"/>
      <c r="Q1234" s="581"/>
      <c r="R1234" s="581"/>
      <c r="S1234" s="581"/>
      <c r="T1234" s="581"/>
      <c r="U1234" s="581"/>
      <c r="V1234" s="581"/>
      <c r="W1234" s="581"/>
      <c r="X1234" s="581"/>
      <c r="Y1234" s="581"/>
      <c r="Z1234" s="581"/>
      <c r="AA1234" s="581"/>
      <c r="AB1234" s="581"/>
      <c r="AC1234" s="581"/>
      <c r="AD1234" s="581"/>
      <c r="AE1234" s="581"/>
      <c r="AF1234" s="581"/>
      <c r="AG1234" s="581"/>
      <c r="AH1234" s="581"/>
      <c r="AI1234" s="581"/>
      <c r="AJ1234" s="1484" t="s">
        <v>1099</v>
      </c>
      <c r="AK1234" s="1484"/>
      <c r="AL1234" s="1484"/>
      <c r="AM1234" s="1484"/>
      <c r="AN1234" s="1484"/>
      <c r="AO1234" s="1484"/>
      <c r="AP1234" s="1484"/>
      <c r="AQ1234" s="581" t="s">
        <v>491</v>
      </c>
      <c r="AR1234" s="581"/>
      <c r="AS1234" s="581"/>
      <c r="AT1234" s="581"/>
      <c r="AU1234" s="581"/>
      <c r="AV1234" s="581"/>
      <c r="AW1234" s="581"/>
      <c r="AX1234" s="581"/>
      <c r="AY1234" s="581"/>
      <c r="AZ1234" s="581"/>
      <c r="BA1234" s="581"/>
      <c r="BB1234" s="581"/>
      <c r="BC1234" s="581"/>
      <c r="BD1234" s="581"/>
      <c r="BE1234" s="581"/>
      <c r="BF1234" s="581"/>
      <c r="BG1234" s="581"/>
      <c r="BH1234" s="581"/>
      <c r="BI1234" s="581"/>
      <c r="BJ1234" s="581"/>
      <c r="BK1234" s="581"/>
      <c r="BL1234" s="581"/>
      <c r="BM1234" s="581"/>
      <c r="BN1234" s="581"/>
      <c r="BO1234" s="581"/>
      <c r="BP1234" s="581"/>
      <c r="BQ1234" s="581"/>
      <c r="BR1234" s="581"/>
      <c r="BS1234" s="581"/>
      <c r="BT1234" s="581" t="s">
        <v>1240</v>
      </c>
      <c r="BU1234" s="581"/>
      <c r="BV1234" s="581"/>
      <c r="BW1234" s="581"/>
      <c r="BX1234" s="581"/>
      <c r="BY1234" s="581"/>
      <c r="BZ1234" s="581"/>
      <c r="CA1234" s="581"/>
      <c r="CB1234" s="581"/>
      <c r="CC1234" s="581"/>
      <c r="CD1234" s="581"/>
      <c r="CE1234" s="581"/>
      <c r="CF1234" s="582"/>
    </row>
    <row r="1235" spans="1:85" s="583" customFormat="1" ht="23.1" customHeight="1">
      <c r="A1235" s="584"/>
      <c r="B1235" s="585" t="s">
        <v>1102</v>
      </c>
      <c r="C1235" s="585"/>
      <c r="D1235" s="585"/>
      <c r="E1235" s="585"/>
      <c r="F1235" s="585"/>
      <c r="G1235" s="585"/>
      <c r="H1235" s="585"/>
      <c r="I1235" s="585"/>
      <c r="J1235" s="585"/>
      <c r="K1235" s="585"/>
      <c r="L1235" s="585"/>
      <c r="M1235" s="585"/>
      <c r="N1235" s="585"/>
      <c r="O1235" s="585"/>
      <c r="P1235" s="585"/>
      <c r="Q1235" s="585"/>
      <c r="R1235" s="585"/>
      <c r="S1235" s="585"/>
      <c r="T1235" s="585"/>
      <c r="U1235" s="585"/>
      <c r="V1235" s="585"/>
      <c r="W1235" s="585"/>
      <c r="X1235" s="585"/>
      <c r="Y1235" s="585"/>
      <c r="Z1235" s="585"/>
      <c r="AA1235" s="585"/>
      <c r="AB1235" s="585"/>
      <c r="AC1235" s="585"/>
      <c r="AD1235" s="585"/>
      <c r="AE1235" s="585"/>
      <c r="AF1235" s="585"/>
      <c r="AG1235" s="585"/>
      <c r="AH1235" s="585"/>
      <c r="AI1235" s="585"/>
      <c r="AJ1235" s="585"/>
      <c r="AK1235" s="585"/>
      <c r="AL1235" s="585"/>
      <c r="AM1235" s="585"/>
      <c r="AN1235" s="585"/>
      <c r="AO1235" s="585"/>
      <c r="AP1235" s="585"/>
      <c r="AQ1235" s="585"/>
      <c r="AR1235" s="585"/>
      <c r="AS1235" s="585"/>
      <c r="AT1235" s="585"/>
      <c r="AU1235" s="585"/>
      <c r="AV1235" s="585"/>
      <c r="AW1235" s="585"/>
      <c r="AX1235" s="585"/>
      <c r="AY1235" s="585"/>
      <c r="AZ1235" s="585"/>
      <c r="BA1235" s="585"/>
      <c r="BB1235" s="585"/>
      <c r="BC1235" s="585"/>
      <c r="BD1235" s="585"/>
      <c r="BE1235" s="585"/>
      <c r="BF1235" s="585"/>
      <c r="BG1235" s="585"/>
      <c r="BH1235" s="585"/>
      <c r="BI1235" s="585"/>
      <c r="BJ1235" s="585"/>
      <c r="BK1235" s="585"/>
      <c r="BL1235" s="585"/>
      <c r="BM1235" s="585"/>
      <c r="BN1235" s="585"/>
      <c r="BO1235" s="585"/>
      <c r="BP1235" s="585"/>
      <c r="BQ1235" s="585"/>
      <c r="BR1235" s="585"/>
      <c r="BS1235" s="585"/>
      <c r="BT1235" s="585"/>
      <c r="BU1235" s="585"/>
      <c r="BV1235" s="585"/>
      <c r="BW1235" s="585"/>
      <c r="BX1235" s="585"/>
      <c r="BY1235" s="585"/>
      <c r="BZ1235" s="585"/>
      <c r="CA1235" s="585"/>
      <c r="CB1235" s="585"/>
      <c r="CC1235" s="585"/>
      <c r="CD1235" s="585"/>
      <c r="CE1235" s="585"/>
      <c r="CF1235" s="586"/>
    </row>
    <row r="1236" spans="1:85" s="583" customFormat="1" ht="23.1" customHeight="1">
      <c r="A1236" s="587"/>
      <c r="B1236" s="574"/>
      <c r="C1236" s="574"/>
      <c r="D1236" s="405"/>
      <c r="E1236" s="574"/>
      <c r="F1236" s="422"/>
      <c r="G1236" s="422"/>
      <c r="H1236" s="422"/>
      <c r="I1236" s="422"/>
      <c r="J1236" s="422"/>
      <c r="K1236" s="422"/>
      <c r="L1236" s="422"/>
      <c r="M1236" s="422"/>
      <c r="N1236" s="574"/>
      <c r="O1236" s="574"/>
      <c r="P1236" s="574"/>
      <c r="Q1236" s="574"/>
      <c r="R1236" s="574"/>
      <c r="S1236" s="1485"/>
      <c r="T1236" s="1485"/>
      <c r="U1236" s="1485"/>
      <c r="V1236" s="1485"/>
      <c r="W1236" s="1485"/>
      <c r="X1236" s="1485"/>
      <c r="Y1236" s="1485"/>
      <c r="Z1236" s="1485"/>
      <c r="AA1236" s="1485"/>
      <c r="AB1236" s="1485"/>
      <c r="AC1236" s="1485"/>
      <c r="AD1236" s="1485"/>
      <c r="AE1236" s="1485"/>
      <c r="AF1236" s="1485"/>
      <c r="AG1236" s="1485"/>
      <c r="AH1236" s="1485"/>
      <c r="AI1236" s="1485"/>
      <c r="AJ1236" s="1485"/>
      <c r="AK1236" s="1485"/>
      <c r="AL1236" s="1485"/>
      <c r="AM1236" s="1431"/>
      <c r="AN1236" s="1431"/>
      <c r="AO1236" s="574"/>
      <c r="AP1236" s="1486"/>
      <c r="AQ1236" s="1486"/>
      <c r="AR1236" s="1486"/>
      <c r="AS1236" s="1486"/>
      <c r="AT1236" s="1486"/>
      <c r="AU1236" s="1486"/>
      <c r="AV1236" s="1486"/>
      <c r="AW1236" s="1486"/>
      <c r="AX1236" s="1486"/>
      <c r="AY1236" s="1486"/>
      <c r="AZ1236" s="1486"/>
      <c r="BA1236" s="1486"/>
      <c r="BB1236" s="1486"/>
      <c r="BC1236" s="1486"/>
      <c r="BD1236" s="574"/>
      <c r="BE1236" s="574"/>
      <c r="BF1236" s="574"/>
      <c r="BG1236" s="574"/>
      <c r="BH1236" s="574"/>
      <c r="BI1236" s="574"/>
      <c r="BJ1236" s="574"/>
      <c r="BK1236" s="574"/>
      <c r="BL1236" s="574"/>
      <c r="BM1236" s="574"/>
      <c r="BN1236" s="574"/>
      <c r="BO1236" s="574"/>
      <c r="BP1236" s="574"/>
      <c r="BQ1236" s="574"/>
      <c r="BR1236" s="574"/>
      <c r="BS1236" s="574"/>
      <c r="BT1236" s="574"/>
      <c r="BU1236" s="574"/>
      <c r="BV1236" s="574"/>
      <c r="BW1236" s="574"/>
      <c r="BX1236" s="574"/>
      <c r="BY1236" s="574"/>
      <c r="BZ1236" s="574"/>
      <c r="CA1236" s="574"/>
      <c r="CB1236" s="574"/>
      <c r="CC1236" s="574"/>
      <c r="CD1236" s="574"/>
      <c r="CE1236" s="574"/>
      <c r="CF1236" s="589"/>
    </row>
    <row r="1237" spans="1:85" s="583" customFormat="1" ht="23.1" customHeight="1">
      <c r="A1237" s="584"/>
      <c r="B1237" s="585"/>
      <c r="C1237" s="585"/>
      <c r="D1237" s="585"/>
      <c r="E1237" s="585"/>
      <c r="F1237" s="585"/>
      <c r="G1237" s="585"/>
      <c r="H1237" s="585"/>
      <c r="I1237" s="585"/>
      <c r="J1237" s="585"/>
      <c r="K1237" s="585"/>
      <c r="L1237" s="585"/>
      <c r="M1237" s="585"/>
      <c r="N1237" s="585"/>
      <c r="O1237" s="585"/>
      <c r="P1237" s="585"/>
      <c r="Q1237" s="585"/>
      <c r="R1237" s="585"/>
      <c r="S1237" s="585"/>
      <c r="T1237" s="585"/>
      <c r="U1237" s="585"/>
      <c r="V1237" s="590"/>
      <c r="W1237" s="590"/>
      <c r="X1237" s="590"/>
      <c r="Y1237" s="590"/>
      <c r="Z1237" s="590"/>
      <c r="AA1237" s="590"/>
      <c r="AB1237" s="590"/>
      <c r="AC1237" s="590"/>
      <c r="AD1237" s="574"/>
      <c r="AE1237" s="1440">
        <v>438356000</v>
      </c>
      <c r="AF1237" s="1440"/>
      <c r="AG1237" s="1440"/>
      <c r="AH1237" s="1440"/>
      <c r="AI1237" s="1440"/>
      <c r="AJ1237" s="1440"/>
      <c r="AK1237" s="1440"/>
      <c r="AL1237" s="1440"/>
      <c r="AM1237" s="1440"/>
      <c r="AN1237" s="1440"/>
      <c r="AO1237" s="1440"/>
      <c r="AP1237" s="1440"/>
      <c r="AQ1237" s="1440"/>
      <c r="AR1237" s="1440"/>
      <c r="AS1237" s="1440"/>
      <c r="AT1237" s="1431" t="s">
        <v>446</v>
      </c>
      <c r="AU1237" s="1431"/>
      <c r="AV1237" s="1441" t="s">
        <v>1103</v>
      </c>
      <c r="AW1237" s="1441"/>
      <c r="AX1237" s="1442">
        <v>4032</v>
      </c>
      <c r="AY1237" s="1442"/>
      <c r="AZ1237" s="1442"/>
      <c r="BA1237" s="1442"/>
      <c r="BB1237" s="1442"/>
      <c r="BC1237" s="1442"/>
      <c r="BD1237" s="585"/>
      <c r="BE1237" s="1431" t="s">
        <v>446</v>
      </c>
      <c r="BF1237" s="1431"/>
      <c r="BG1237" s="585"/>
      <c r="BH1237" s="591" t="s">
        <v>1104</v>
      </c>
      <c r="BI1237" s="585"/>
      <c r="BJ1237" s="585"/>
      <c r="BK1237" s="585"/>
      <c r="BL1237" s="1431" t="s">
        <v>1105</v>
      </c>
      <c r="BM1237" s="1431"/>
      <c r="BN1237" s="1431"/>
      <c r="BO1237" s="585"/>
      <c r="BP1237" s="1431" t="s">
        <v>41</v>
      </c>
      <c r="BQ1237" s="1431"/>
      <c r="BR1237" s="585"/>
      <c r="BS1237" s="585"/>
      <c r="BT1237" s="1437">
        <f>INT(AE1237*AX1237*10^-7)</f>
        <v>176745</v>
      </c>
      <c r="BU1237" s="1437"/>
      <c r="BV1237" s="1437"/>
      <c r="BW1237" s="1437"/>
      <c r="BX1237" s="1437"/>
      <c r="BY1237" s="1437"/>
      <c r="BZ1237" s="1437"/>
      <c r="CA1237" s="1437"/>
      <c r="CB1237" s="1437"/>
      <c r="CC1237" s="1437"/>
      <c r="CD1237" s="585"/>
      <c r="CE1237" s="585"/>
      <c r="CF1237" s="586"/>
    </row>
    <row r="1238" spans="1:85" s="583" customFormat="1" ht="23.1" customHeight="1">
      <c r="A1238" s="592"/>
      <c r="B1238" s="593" t="s">
        <v>1106</v>
      </c>
      <c r="C1238" s="593"/>
      <c r="D1238" s="593"/>
      <c r="E1238" s="593"/>
      <c r="F1238" s="593"/>
      <c r="G1238" s="593"/>
      <c r="H1238" s="593"/>
      <c r="I1238" s="593"/>
      <c r="J1238" s="593"/>
      <c r="K1238" s="593"/>
      <c r="L1238" s="593"/>
      <c r="M1238" s="593"/>
      <c r="N1238" s="593"/>
      <c r="O1238" s="593"/>
      <c r="P1238" s="593"/>
      <c r="Q1238" s="593"/>
      <c r="R1238" s="593"/>
      <c r="S1238" s="593"/>
      <c r="T1238" s="593"/>
      <c r="U1238" s="593"/>
      <c r="V1238" s="593"/>
      <c r="W1238" s="593"/>
      <c r="X1238" s="593"/>
      <c r="Y1238" s="593"/>
      <c r="Z1238" s="593"/>
      <c r="AA1238" s="593"/>
      <c r="AB1238" s="593"/>
      <c r="AC1238" s="593"/>
      <c r="AD1238" s="593"/>
      <c r="AE1238" s="593"/>
      <c r="AF1238" s="593"/>
      <c r="AG1238" s="593"/>
      <c r="AH1238" s="593"/>
      <c r="AI1238" s="593"/>
      <c r="AJ1238" s="593"/>
      <c r="AK1238" s="593"/>
      <c r="AL1238" s="593"/>
      <c r="AM1238" s="593"/>
      <c r="AN1238" s="593"/>
      <c r="AO1238" s="593"/>
      <c r="AP1238" s="593"/>
      <c r="AQ1238" s="593"/>
      <c r="AR1238" s="593"/>
      <c r="AS1238" s="593"/>
      <c r="AT1238" s="593"/>
      <c r="AU1238" s="593"/>
      <c r="AV1238" s="593"/>
      <c r="AW1238" s="593"/>
      <c r="AX1238" s="593"/>
      <c r="AY1238" s="593"/>
      <c r="AZ1238" s="593"/>
      <c r="BA1238" s="593"/>
      <c r="BB1238" s="593"/>
      <c r="BC1238" s="593"/>
      <c r="BD1238" s="593"/>
      <c r="BE1238" s="593"/>
      <c r="BF1238" s="593"/>
      <c r="BG1238" s="593"/>
      <c r="BH1238" s="593"/>
      <c r="BI1238" s="593"/>
      <c r="BJ1238" s="593"/>
      <c r="BK1238" s="593"/>
      <c r="BL1238" s="593"/>
      <c r="BM1238" s="593"/>
      <c r="BN1238" s="593"/>
      <c r="BO1238" s="593"/>
      <c r="BP1238" s="593"/>
      <c r="BQ1238" s="593"/>
      <c r="BR1238" s="593"/>
      <c r="BS1238" s="593"/>
      <c r="BT1238" s="594"/>
      <c r="BU1238" s="594"/>
      <c r="BV1238" s="594"/>
      <c r="BW1238" s="594"/>
      <c r="BX1238" s="594"/>
      <c r="BY1238" s="594"/>
      <c r="BZ1238" s="594"/>
      <c r="CA1238" s="594"/>
      <c r="CB1238" s="594"/>
      <c r="CC1238" s="594"/>
      <c r="CD1238" s="593"/>
      <c r="CE1238" s="593"/>
      <c r="CF1238" s="595"/>
    </row>
    <row r="1239" spans="1:85" s="583" customFormat="1" ht="23.1" customHeight="1">
      <c r="A1239" s="584"/>
      <c r="B1239" s="585"/>
      <c r="C1239" s="585"/>
      <c r="D1239" s="596" t="s">
        <v>268</v>
      </c>
      <c r="E1239" s="585"/>
      <c r="F1239" s="585"/>
      <c r="G1239" s="585"/>
      <c r="H1239" s="585"/>
      <c r="I1239" s="585"/>
      <c r="J1239" s="585"/>
      <c r="K1239" s="585"/>
      <c r="L1239" s="585"/>
      <c r="M1239" s="585"/>
      <c r="N1239" s="585"/>
      <c r="O1239" s="585"/>
      <c r="P1239" s="585"/>
      <c r="Q1239" s="585"/>
      <c r="R1239" s="585"/>
      <c r="S1239" s="585"/>
      <c r="T1239" s="574"/>
      <c r="U1239" s="574"/>
      <c r="V1239" s="1435">
        <f>HLOOKUP(D1239,$CJ$1:$CM$3,3,0)</f>
        <v>283297</v>
      </c>
      <c r="W1239" s="1435"/>
      <c r="X1239" s="1435"/>
      <c r="Y1239" s="1435"/>
      <c r="Z1239" s="1435"/>
      <c r="AA1239" s="1435"/>
      <c r="AB1239" s="1435"/>
      <c r="AC1239" s="1435"/>
      <c r="AD1239" s="1435"/>
      <c r="AE1239" s="1435"/>
      <c r="AF1239" s="1431" t="s">
        <v>446</v>
      </c>
      <c r="AG1239" s="1431"/>
      <c r="AH1239" s="574"/>
      <c r="AI1239" s="1436" t="s">
        <v>1107</v>
      </c>
      <c r="AJ1239" s="1436"/>
      <c r="AK1239" s="1436"/>
      <c r="AL1239" s="1436"/>
      <c r="AM1239" s="585"/>
      <c r="AN1239" s="1431" t="s">
        <v>446</v>
      </c>
      <c r="AO1239" s="1431"/>
      <c r="AP1239" s="585"/>
      <c r="AQ1239" s="1436" t="s">
        <v>1108</v>
      </c>
      <c r="AR1239" s="1436"/>
      <c r="AS1239" s="1436"/>
      <c r="AT1239" s="1436"/>
      <c r="AU1239" s="1436"/>
      <c r="AV1239" s="422"/>
      <c r="AW1239" s="1431" t="s">
        <v>446</v>
      </c>
      <c r="AX1239" s="1431"/>
      <c r="AY1239" s="440"/>
      <c r="AZ1239" s="1436" t="s">
        <v>1109</v>
      </c>
      <c r="BA1239" s="1436"/>
      <c r="BB1239" s="1436"/>
      <c r="BC1239" s="1436"/>
      <c r="BD1239" s="1436"/>
      <c r="BE1239" s="585"/>
      <c r="BF1239" s="1431" t="s">
        <v>446</v>
      </c>
      <c r="BG1239" s="1431"/>
      <c r="BH1239" s="1431">
        <v>1</v>
      </c>
      <c r="BI1239" s="1431"/>
      <c r="BJ1239" s="1431"/>
      <c r="BK1239" s="585"/>
      <c r="BL1239" s="585" t="s">
        <v>366</v>
      </c>
      <c r="BM1239" s="585"/>
      <c r="BN1239" s="585"/>
      <c r="BO1239" s="585"/>
      <c r="BP1239" s="1431" t="s">
        <v>41</v>
      </c>
      <c r="BQ1239" s="1431"/>
      <c r="BR1239" s="585"/>
      <c r="BS1239" s="585"/>
      <c r="BT1239" s="1432">
        <f>INT(V1239/8*16/12*25/20*BH1239)</f>
        <v>59020</v>
      </c>
      <c r="BU1239" s="1432"/>
      <c r="BV1239" s="1432"/>
      <c r="BW1239" s="1432"/>
      <c r="BX1239" s="1432"/>
      <c r="BY1239" s="1432"/>
      <c r="BZ1239" s="1432"/>
      <c r="CA1239" s="1432"/>
      <c r="CB1239" s="1432"/>
      <c r="CC1239" s="1432"/>
      <c r="CD1239" s="585"/>
      <c r="CE1239" s="585"/>
      <c r="CF1239" s="586"/>
    </row>
    <row r="1240" spans="1:85" s="583" customFormat="1" ht="23.1" customHeight="1">
      <c r="A1240" s="584"/>
      <c r="B1240" s="585"/>
      <c r="C1240" s="585"/>
      <c r="D1240" s="585"/>
      <c r="E1240" s="585"/>
      <c r="F1240" s="585"/>
      <c r="G1240" s="585"/>
      <c r="H1240" s="585"/>
      <c r="I1240" s="585"/>
      <c r="J1240" s="585"/>
      <c r="K1240" s="585"/>
      <c r="L1240" s="585"/>
      <c r="M1240" s="585"/>
      <c r="N1240" s="585"/>
      <c r="O1240" s="585"/>
      <c r="P1240" s="574"/>
      <c r="Q1240" s="574"/>
      <c r="R1240" s="574"/>
      <c r="S1240" s="574"/>
      <c r="T1240" s="574"/>
      <c r="U1240" s="574"/>
      <c r="V1240" s="574"/>
      <c r="W1240" s="574"/>
      <c r="X1240" s="574"/>
      <c r="Y1240" s="574"/>
      <c r="Z1240" s="574"/>
      <c r="AA1240" s="617"/>
      <c r="AB1240" s="574"/>
      <c r="AC1240" s="574"/>
      <c r="AD1240" s="574"/>
      <c r="AE1240" s="574"/>
      <c r="AF1240" s="574"/>
      <c r="AG1240" s="574"/>
      <c r="AH1240" s="574"/>
      <c r="AI1240" s="574"/>
      <c r="AJ1240" s="574"/>
      <c r="AK1240" s="574"/>
      <c r="AL1240" s="574"/>
      <c r="AM1240" s="574"/>
      <c r="AN1240" s="574"/>
      <c r="AO1240" s="574"/>
      <c r="AP1240" s="574"/>
      <c r="AQ1240" s="574"/>
      <c r="AR1240" s="574"/>
      <c r="AS1240" s="574"/>
      <c r="AT1240" s="574"/>
      <c r="AU1240" s="574"/>
      <c r="AV1240" s="574"/>
      <c r="AW1240" s="574"/>
      <c r="AX1240" s="574"/>
      <c r="AY1240" s="574"/>
      <c r="AZ1240" s="574"/>
      <c r="BA1240" s="574"/>
      <c r="BB1240" s="574"/>
      <c r="BC1240" s="574"/>
      <c r="BD1240" s="574"/>
      <c r="BE1240" s="574"/>
      <c r="BF1240" s="574"/>
      <c r="BG1240" s="585"/>
      <c r="BH1240" s="585"/>
      <c r="BI1240" s="585"/>
      <c r="BJ1240" s="585"/>
      <c r="BK1240" s="585"/>
      <c r="BL1240" s="585"/>
      <c r="BM1240" s="585"/>
      <c r="BN1240" s="585"/>
      <c r="BO1240" s="585"/>
      <c r="BP1240" s="1431"/>
      <c r="BQ1240" s="1431"/>
      <c r="BR1240" s="585"/>
      <c r="BS1240" s="585"/>
      <c r="BT1240" s="1432"/>
      <c r="BU1240" s="1432"/>
      <c r="BV1240" s="1432"/>
      <c r="BW1240" s="1432"/>
      <c r="BX1240" s="1432"/>
      <c r="BY1240" s="1432"/>
      <c r="BZ1240" s="1432"/>
      <c r="CA1240" s="1432"/>
      <c r="CB1240" s="1432"/>
      <c r="CC1240" s="1432"/>
      <c r="CD1240" s="585"/>
      <c r="CE1240" s="585"/>
      <c r="CF1240" s="586"/>
    </row>
    <row r="1241" spans="1:85" s="583" customFormat="1" ht="23.1" customHeight="1">
      <c r="A1241" s="584"/>
      <c r="B1241" s="585"/>
      <c r="C1241" s="585"/>
      <c r="D1241" s="585"/>
      <c r="E1241" s="585"/>
      <c r="F1241" s="585"/>
      <c r="G1241" s="585"/>
      <c r="H1241" s="585"/>
      <c r="I1241" s="585"/>
      <c r="J1241" s="585"/>
      <c r="K1241" s="585"/>
      <c r="L1241" s="585"/>
      <c r="M1241" s="585"/>
      <c r="N1241" s="585"/>
      <c r="O1241" s="585"/>
      <c r="P1241" s="585"/>
      <c r="Q1241" s="585"/>
      <c r="R1241" s="585"/>
      <c r="S1241" s="585"/>
      <c r="T1241" s="585"/>
      <c r="U1241" s="585"/>
      <c r="V1241" s="585"/>
      <c r="W1241" s="585"/>
      <c r="X1241" s="585"/>
      <c r="Y1241" s="585"/>
      <c r="Z1241" s="585"/>
      <c r="AA1241" s="585"/>
      <c r="AB1241" s="585"/>
      <c r="AC1241" s="585"/>
      <c r="AD1241" s="574"/>
      <c r="AE1241" s="574"/>
      <c r="AF1241" s="574"/>
      <c r="AG1241" s="574"/>
      <c r="AH1241" s="574"/>
      <c r="AI1241" s="574"/>
      <c r="AJ1241" s="574"/>
      <c r="AK1241" s="574"/>
      <c r="AL1241" s="574"/>
      <c r="AM1241" s="574"/>
      <c r="AN1241" s="574"/>
      <c r="AO1241" s="574"/>
      <c r="AP1241" s="574"/>
      <c r="AQ1241" s="574"/>
      <c r="AR1241" s="574"/>
      <c r="AS1241" s="585"/>
      <c r="AT1241" s="590"/>
      <c r="AU1241" s="590"/>
      <c r="AV1241" s="585"/>
      <c r="AW1241" s="585"/>
      <c r="AX1241" s="585"/>
      <c r="AY1241" s="585"/>
      <c r="AZ1241" s="585"/>
      <c r="BA1241" s="585"/>
      <c r="BB1241" s="585"/>
      <c r="BC1241" s="585"/>
      <c r="BD1241" s="585"/>
      <c r="BE1241" s="585"/>
      <c r="BF1241" s="585"/>
      <c r="BG1241" s="585"/>
      <c r="BH1241" s="585"/>
      <c r="BI1241" s="585"/>
      <c r="BJ1241" s="585"/>
      <c r="BK1241" s="585"/>
      <c r="BL1241" s="585"/>
      <c r="BM1241" s="585"/>
      <c r="BN1241" s="585"/>
      <c r="BO1241" s="585"/>
      <c r="BP1241" s="1431" t="s">
        <v>41</v>
      </c>
      <c r="BQ1241" s="1431"/>
      <c r="BR1241" s="585"/>
      <c r="BS1241" s="585"/>
      <c r="BT1241" s="1434">
        <f>BT1239+BT1240</f>
        <v>59020</v>
      </c>
      <c r="BU1241" s="1434"/>
      <c r="BV1241" s="1434"/>
      <c r="BW1241" s="1434"/>
      <c r="BX1241" s="1434"/>
      <c r="BY1241" s="1434"/>
      <c r="BZ1241" s="1434"/>
      <c r="CA1241" s="1434"/>
      <c r="CB1241" s="1434"/>
      <c r="CC1241" s="1434"/>
      <c r="CD1241" s="585"/>
      <c r="CE1241" s="585"/>
      <c r="CF1241" s="586"/>
    </row>
    <row r="1242" spans="1:85" s="583" customFormat="1" ht="23.1" customHeight="1">
      <c r="A1242" s="592"/>
      <c r="B1242" s="593" t="s">
        <v>1110</v>
      </c>
      <c r="C1242" s="593"/>
      <c r="D1242" s="593"/>
      <c r="E1242" s="593"/>
      <c r="F1242" s="593"/>
      <c r="G1242" s="593"/>
      <c r="H1242" s="593"/>
      <c r="I1242" s="593"/>
      <c r="J1242" s="593"/>
      <c r="K1242" s="593"/>
      <c r="L1242" s="593"/>
      <c r="M1242" s="593"/>
      <c r="N1242" s="593"/>
      <c r="O1242" s="593"/>
      <c r="P1242" s="593"/>
      <c r="Q1242" s="593"/>
      <c r="R1242" s="593"/>
      <c r="S1242" s="593"/>
      <c r="T1242" s="593"/>
      <c r="U1242" s="593"/>
      <c r="V1242" s="593"/>
      <c r="W1242" s="593"/>
      <c r="X1242" s="593"/>
      <c r="Y1242" s="593"/>
      <c r="Z1242" s="593"/>
      <c r="AA1242" s="593"/>
      <c r="AB1242" s="593"/>
      <c r="AC1242" s="593"/>
      <c r="AD1242" s="593"/>
      <c r="AE1242" s="593"/>
      <c r="AF1242" s="593"/>
      <c r="AG1242" s="593"/>
      <c r="AH1242" s="593"/>
      <c r="AI1242" s="593"/>
      <c r="AJ1242" s="593"/>
      <c r="AK1242" s="593"/>
      <c r="AL1242" s="593"/>
      <c r="AM1242" s="593"/>
      <c r="AN1242" s="593"/>
      <c r="AO1242" s="593"/>
      <c r="AP1242" s="593"/>
      <c r="AQ1242" s="593"/>
      <c r="AR1242" s="593"/>
      <c r="AS1242" s="593"/>
      <c r="AT1242" s="593"/>
      <c r="AU1242" s="593"/>
      <c r="AV1242" s="593"/>
      <c r="AW1242" s="593"/>
      <c r="AX1242" s="593"/>
      <c r="AY1242" s="593"/>
      <c r="AZ1242" s="593"/>
      <c r="BA1242" s="593"/>
      <c r="BB1242" s="593"/>
      <c r="BC1242" s="593"/>
      <c r="BD1242" s="593"/>
      <c r="BE1242" s="593"/>
      <c r="BF1242" s="593"/>
      <c r="BG1242" s="593"/>
      <c r="BH1242" s="593"/>
      <c r="BI1242" s="593"/>
      <c r="BJ1242" s="593"/>
      <c r="BK1242" s="593"/>
      <c r="BL1242" s="593"/>
      <c r="BM1242" s="593"/>
      <c r="BN1242" s="593"/>
      <c r="BO1242" s="593"/>
      <c r="BP1242" s="593"/>
      <c r="BQ1242" s="593"/>
      <c r="BR1242" s="593"/>
      <c r="BS1242" s="593"/>
      <c r="BT1242" s="593"/>
      <c r="BU1242" s="593"/>
      <c r="BV1242" s="593"/>
      <c r="BW1242" s="593"/>
      <c r="BX1242" s="593"/>
      <c r="BY1242" s="593"/>
      <c r="BZ1242" s="593"/>
      <c r="CA1242" s="593"/>
      <c r="CB1242" s="593"/>
      <c r="CC1242" s="593"/>
      <c r="CD1242" s="593"/>
      <c r="CE1242" s="593"/>
      <c r="CF1242" s="595"/>
    </row>
    <row r="1243" spans="1:85" s="583" customFormat="1" ht="23.1" customHeight="1">
      <c r="A1243" s="584"/>
      <c r="B1243" s="585"/>
      <c r="C1243" s="585"/>
      <c r="D1243" s="596" t="s">
        <v>1094</v>
      </c>
      <c r="E1243" s="585"/>
      <c r="F1243" s="585"/>
      <c r="G1243" s="585"/>
      <c r="H1243" s="585"/>
      <c r="I1243" s="585"/>
      <c r="J1243" s="585"/>
      <c r="K1243" s="585"/>
      <c r="L1243" s="585"/>
      <c r="M1243" s="585"/>
      <c r="N1243" s="585"/>
      <c r="O1243" s="585"/>
      <c r="P1243" s="585"/>
      <c r="Q1243" s="585"/>
      <c r="R1243" s="585"/>
      <c r="S1243" s="585"/>
      <c r="T1243" s="585"/>
      <c r="U1243" s="585"/>
      <c r="V1243" s="585"/>
      <c r="W1243" s="585"/>
      <c r="X1243" s="585"/>
      <c r="Y1243" s="585"/>
      <c r="Z1243" s="585"/>
      <c r="AA1243" s="585"/>
      <c r="AB1243" s="585"/>
      <c r="AC1243" s="585"/>
      <c r="AD1243" s="585"/>
      <c r="AE1243" s="585"/>
      <c r="AF1243" s="585"/>
      <c r="AG1243" s="585"/>
      <c r="AH1243" s="585"/>
      <c r="AI1243" s="585"/>
      <c r="AJ1243" s="585"/>
      <c r="AK1243" s="585"/>
      <c r="AL1243" s="585"/>
      <c r="AM1243" s="585"/>
      <c r="AN1243" s="585"/>
      <c r="AO1243" s="585"/>
      <c r="AP1243" s="585"/>
      <c r="AQ1243" s="585"/>
      <c r="AR1243" s="422"/>
      <c r="AS1243" s="1435" t="e">
        <f>HLOOKUP(D1243,$CN$1:$CO$3,3,0)</f>
        <v>#REF!</v>
      </c>
      <c r="AT1243" s="1435"/>
      <c r="AU1243" s="1435"/>
      <c r="AV1243" s="1435"/>
      <c r="AW1243" s="1435"/>
      <c r="AX1243" s="1435"/>
      <c r="AY1243" s="1435"/>
      <c r="AZ1243" s="1435"/>
      <c r="BA1243" s="1435"/>
      <c r="BB1243" s="1435"/>
      <c r="BC1243" s="585"/>
      <c r="BD1243" s="1431" t="s">
        <v>446</v>
      </c>
      <c r="BE1243" s="1431"/>
      <c r="BF1243" s="585"/>
      <c r="BG1243" s="1431">
        <v>52.7</v>
      </c>
      <c r="BH1243" s="1431"/>
      <c r="BI1243" s="1431"/>
      <c r="BJ1243" s="1431"/>
      <c r="BK1243" s="1431"/>
      <c r="BL1243" s="585" t="s">
        <v>1111</v>
      </c>
      <c r="BM1243" s="585"/>
      <c r="BN1243" s="585"/>
      <c r="BO1243" s="585"/>
      <c r="BP1243" s="1431" t="s">
        <v>41</v>
      </c>
      <c r="BQ1243" s="1431"/>
      <c r="BR1243" s="585"/>
      <c r="BS1243" s="585"/>
      <c r="BT1243" s="1432" t="e">
        <f>INT(AS1243*BG1243)</f>
        <v>#REF!</v>
      </c>
      <c r="BU1243" s="1432"/>
      <c r="BV1243" s="1432"/>
      <c r="BW1243" s="1432"/>
      <c r="BX1243" s="1432"/>
      <c r="BY1243" s="1432"/>
      <c r="BZ1243" s="1432"/>
      <c r="CA1243" s="1432"/>
      <c r="CB1243" s="1432"/>
      <c r="CC1243" s="1432"/>
      <c r="CD1243" s="585"/>
      <c r="CE1243" s="585"/>
      <c r="CF1243" s="586"/>
    </row>
    <row r="1244" spans="1:85" s="583" customFormat="1" ht="23.1" customHeight="1">
      <c r="A1244" s="584"/>
      <c r="B1244" s="585"/>
      <c r="C1244" s="585"/>
      <c r="D1244" s="591" t="str">
        <f>"잡재료 (주연료의 "&amp;BG1244&amp;"%) :"</f>
        <v>잡재료 (주연료의 16%) :</v>
      </c>
      <c r="E1244" s="585"/>
      <c r="F1244" s="585"/>
      <c r="G1244" s="585"/>
      <c r="H1244" s="585"/>
      <c r="I1244" s="585"/>
      <c r="J1244" s="585"/>
      <c r="K1244" s="585"/>
      <c r="L1244" s="585"/>
      <c r="M1244" s="585"/>
      <c r="N1244" s="585"/>
      <c r="O1244" s="585"/>
      <c r="P1244" s="585"/>
      <c r="Q1244" s="585"/>
      <c r="R1244" s="585"/>
      <c r="S1244" s="585"/>
      <c r="T1244" s="585"/>
      <c r="U1244" s="585"/>
      <c r="V1244" s="585"/>
      <c r="W1244" s="585"/>
      <c r="X1244" s="585"/>
      <c r="Y1244" s="585"/>
      <c r="Z1244" s="585"/>
      <c r="AA1244" s="585"/>
      <c r="AB1244" s="585"/>
      <c r="AC1244" s="585"/>
      <c r="AD1244" s="585"/>
      <c r="AE1244" s="585"/>
      <c r="AF1244" s="585"/>
      <c r="AG1244" s="585"/>
      <c r="AH1244" s="585"/>
      <c r="AI1244" s="585"/>
      <c r="AJ1244" s="585"/>
      <c r="AK1244" s="585"/>
      <c r="AL1244" s="585"/>
      <c r="AM1244" s="585"/>
      <c r="AN1244" s="585"/>
      <c r="AO1244" s="585"/>
      <c r="AP1244" s="585"/>
      <c r="AQ1244" s="585"/>
      <c r="AR1244" s="422" t="e">
        <f>BT1243</f>
        <v>#REF!</v>
      </c>
      <c r="AS1244" s="1430" t="e">
        <f>BT1243</f>
        <v>#REF!</v>
      </c>
      <c r="AT1244" s="1430"/>
      <c r="AU1244" s="1430"/>
      <c r="AV1244" s="1430"/>
      <c r="AW1244" s="1430"/>
      <c r="AX1244" s="1430"/>
      <c r="AY1244" s="1430"/>
      <c r="AZ1244" s="1430"/>
      <c r="BA1244" s="1430"/>
      <c r="BB1244" s="1430"/>
      <c r="BC1244" s="585"/>
      <c r="BD1244" s="1431" t="s">
        <v>446</v>
      </c>
      <c r="BE1244" s="1431"/>
      <c r="BF1244" s="585"/>
      <c r="BG1244" s="1431">
        <v>16</v>
      </c>
      <c r="BH1244" s="1431"/>
      <c r="BI1244" s="1431"/>
      <c r="BJ1244" s="1431"/>
      <c r="BK1244" s="1431"/>
      <c r="BL1244" s="585" t="s">
        <v>1112</v>
      </c>
      <c r="BM1244" s="585"/>
      <c r="BN1244" s="585"/>
      <c r="BO1244" s="585"/>
      <c r="BP1244" s="1431" t="s">
        <v>41</v>
      </c>
      <c r="BQ1244" s="1431"/>
      <c r="BR1244" s="585"/>
      <c r="BS1244" s="585"/>
      <c r="BT1244" s="1432" t="e">
        <f>INT(AS1244*BG1244/100)</f>
        <v>#REF!</v>
      </c>
      <c r="BU1244" s="1432"/>
      <c r="BV1244" s="1432"/>
      <c r="BW1244" s="1432"/>
      <c r="BX1244" s="1432"/>
      <c r="BY1244" s="1432"/>
      <c r="BZ1244" s="1432"/>
      <c r="CA1244" s="1432"/>
      <c r="CB1244" s="1432"/>
      <c r="CC1244" s="1432"/>
      <c r="CD1244" s="585"/>
      <c r="CE1244" s="585"/>
      <c r="CF1244" s="586"/>
    </row>
    <row r="1245" spans="1:85" s="583" customFormat="1" ht="23.1" customHeight="1" thickBot="1">
      <c r="A1245" s="584"/>
      <c r="B1245" s="585"/>
      <c r="C1245" s="585"/>
      <c r="D1245" s="585"/>
      <c r="E1245" s="585"/>
      <c r="F1245" s="585"/>
      <c r="G1245" s="585"/>
      <c r="H1245" s="585"/>
      <c r="I1245" s="585"/>
      <c r="J1245" s="585"/>
      <c r="K1245" s="585"/>
      <c r="L1245" s="585"/>
      <c r="M1245" s="585"/>
      <c r="N1245" s="585"/>
      <c r="O1245" s="585"/>
      <c r="P1245" s="585"/>
      <c r="Q1245" s="585"/>
      <c r="R1245" s="585"/>
      <c r="S1245" s="585"/>
      <c r="T1245" s="585"/>
      <c r="U1245" s="585"/>
      <c r="V1245" s="585"/>
      <c r="W1245" s="585"/>
      <c r="X1245" s="585"/>
      <c r="Y1245" s="585"/>
      <c r="Z1245" s="585"/>
      <c r="AA1245" s="585"/>
      <c r="AB1245" s="585"/>
      <c r="AC1245" s="585"/>
      <c r="AD1245" s="585"/>
      <c r="AE1245" s="585"/>
      <c r="AF1245" s="585"/>
      <c r="AG1245" s="585"/>
      <c r="AH1245" s="585"/>
      <c r="AI1245" s="585"/>
      <c r="AJ1245" s="585"/>
      <c r="AK1245" s="585"/>
      <c r="AL1245" s="585"/>
      <c r="AM1245" s="585"/>
      <c r="AN1245" s="585"/>
      <c r="AO1245" s="585"/>
      <c r="AP1245" s="585"/>
      <c r="AQ1245" s="585"/>
      <c r="AR1245" s="585"/>
      <c r="AS1245" s="585"/>
      <c r="AT1245" s="585"/>
      <c r="AU1245" s="585"/>
      <c r="AV1245" s="585"/>
      <c r="AW1245" s="585"/>
      <c r="AX1245" s="585"/>
      <c r="AY1245" s="585"/>
      <c r="AZ1245" s="585"/>
      <c r="BA1245" s="585"/>
      <c r="BB1245" s="585"/>
      <c r="BC1245" s="585"/>
      <c r="BD1245" s="585"/>
      <c r="BE1245" s="585"/>
      <c r="BF1245" s="585"/>
      <c r="BG1245" s="585"/>
      <c r="BH1245" s="585"/>
      <c r="BI1245" s="585"/>
      <c r="BJ1245" s="585"/>
      <c r="BK1245" s="585"/>
      <c r="BL1245" s="585"/>
      <c r="BM1245" s="585"/>
      <c r="BN1245" s="585"/>
      <c r="BO1245" s="585"/>
      <c r="BP1245" s="1431" t="s">
        <v>41</v>
      </c>
      <c r="BQ1245" s="1431"/>
      <c r="BR1245" s="585"/>
      <c r="BS1245" s="585"/>
      <c r="BT1245" s="1433" t="e">
        <f>BT1243+BT1244</f>
        <v>#REF!</v>
      </c>
      <c r="BU1245" s="1433"/>
      <c r="BV1245" s="1433"/>
      <c r="BW1245" s="1433"/>
      <c r="BX1245" s="1433"/>
      <c r="BY1245" s="1433"/>
      <c r="BZ1245" s="1433"/>
      <c r="CA1245" s="1433"/>
      <c r="CB1245" s="1433"/>
      <c r="CC1245" s="1433"/>
      <c r="CD1245" s="585"/>
      <c r="CE1245" s="585"/>
      <c r="CF1245" s="586"/>
    </row>
    <row r="1246" spans="1:85" s="583" customFormat="1" ht="22.5" customHeight="1" thickBot="1">
      <c r="A1246" s="597"/>
      <c r="B1246" s="598" t="s">
        <v>1113</v>
      </c>
      <c r="C1246" s="598"/>
      <c r="D1246" s="598"/>
      <c r="E1246" s="598"/>
      <c r="F1246" s="598"/>
      <c r="G1246" s="598"/>
      <c r="H1246" s="598"/>
      <c r="I1246" s="598"/>
      <c r="J1246" s="598"/>
      <c r="K1246" s="598"/>
      <c r="L1246" s="598"/>
      <c r="M1246" s="598"/>
      <c r="N1246" s="598"/>
      <c r="O1246" s="598"/>
      <c r="P1246" s="598"/>
      <c r="Q1246" s="598"/>
      <c r="R1246" s="598"/>
      <c r="S1246" s="598"/>
      <c r="T1246" s="598"/>
      <c r="U1246" s="598"/>
      <c r="V1246" s="598"/>
      <c r="W1246" s="598"/>
      <c r="X1246" s="598"/>
      <c r="Y1246" s="598"/>
      <c r="Z1246" s="598"/>
      <c r="AA1246" s="598"/>
      <c r="AB1246" s="598"/>
      <c r="AC1246" s="598"/>
      <c r="AD1246" s="598"/>
      <c r="AE1246" s="598"/>
      <c r="AF1246" s="598"/>
      <c r="AG1246" s="598"/>
      <c r="AH1246" s="598"/>
      <c r="AI1246" s="598"/>
      <c r="AJ1246" s="598"/>
      <c r="AK1246" s="598"/>
      <c r="AL1246" s="598"/>
      <c r="AM1246" s="598"/>
      <c r="AN1246" s="598"/>
      <c r="AO1246" s="598"/>
      <c r="AP1246" s="598"/>
      <c r="AQ1246" s="598"/>
      <c r="AR1246" s="598"/>
      <c r="AS1246" s="598"/>
      <c r="AT1246" s="598"/>
      <c r="AU1246" s="598"/>
      <c r="AV1246" s="598"/>
      <c r="AW1246" s="598"/>
      <c r="AX1246" s="598"/>
      <c r="AY1246" s="598"/>
      <c r="AZ1246" s="598"/>
      <c r="BA1246" s="598"/>
      <c r="BB1246" s="598"/>
      <c r="BC1246" s="598"/>
      <c r="BD1246" s="598"/>
      <c r="BE1246" s="598"/>
      <c r="BF1246" s="598"/>
      <c r="BG1246" s="598"/>
      <c r="BH1246" s="598"/>
      <c r="BI1246" s="598"/>
      <c r="BJ1246" s="598"/>
      <c r="BK1246" s="598"/>
      <c r="BL1246" s="598"/>
      <c r="BM1246" s="598"/>
      <c r="BN1246" s="598"/>
      <c r="BO1246" s="598"/>
      <c r="BP1246" s="598"/>
      <c r="BQ1246" s="598"/>
      <c r="BR1246" s="598"/>
      <c r="BS1246" s="598"/>
      <c r="BT1246" s="1429" t="e">
        <f>BT1237+BT1241+BT1245</f>
        <v>#REF!</v>
      </c>
      <c r="BU1246" s="1429"/>
      <c r="BV1246" s="1429"/>
      <c r="BW1246" s="1429"/>
      <c r="BX1246" s="1429"/>
      <c r="BY1246" s="1429"/>
      <c r="BZ1246" s="1429"/>
      <c r="CA1246" s="1429"/>
      <c r="CB1246" s="1429"/>
      <c r="CC1246" s="1429"/>
      <c r="CD1246" s="598"/>
      <c r="CE1246" s="598"/>
      <c r="CF1246" s="599"/>
    </row>
    <row r="1247" spans="1:85" s="583" customFormat="1" ht="9.9499999999999993" customHeight="1">
      <c r="A1247" s="574"/>
      <c r="B1247" s="574"/>
      <c r="C1247" s="574"/>
      <c r="D1247" s="574"/>
      <c r="E1247" s="574"/>
      <c r="F1247" s="574"/>
      <c r="G1247" s="574"/>
      <c r="H1247" s="574"/>
      <c r="I1247" s="574"/>
      <c r="J1247" s="574"/>
      <c r="K1247" s="574"/>
      <c r="L1247" s="574"/>
      <c r="M1247" s="574"/>
      <c r="N1247" s="574"/>
      <c r="O1247" s="574"/>
      <c r="P1247" s="574"/>
      <c r="Q1247" s="574"/>
      <c r="R1247" s="574"/>
      <c r="S1247" s="574"/>
      <c r="T1247" s="574"/>
      <c r="U1247" s="574"/>
      <c r="V1247" s="574"/>
      <c r="W1247" s="574"/>
      <c r="X1247" s="574"/>
      <c r="Y1247" s="574"/>
      <c r="Z1247" s="574"/>
      <c r="AA1247" s="574"/>
      <c r="AB1247" s="574"/>
      <c r="AC1247" s="574"/>
      <c r="AD1247" s="574"/>
      <c r="AE1247" s="574"/>
      <c r="AF1247" s="574"/>
      <c r="AG1247" s="574"/>
      <c r="AH1247" s="574"/>
      <c r="AI1247" s="574"/>
      <c r="AJ1247" s="574"/>
      <c r="AK1247" s="574"/>
      <c r="AL1247" s="574"/>
      <c r="AM1247" s="574"/>
      <c r="AN1247" s="574"/>
      <c r="AO1247" s="574"/>
      <c r="AP1247" s="574"/>
      <c r="AQ1247" s="574"/>
      <c r="AR1247" s="574"/>
      <c r="AS1247" s="574"/>
      <c r="AT1247" s="574"/>
      <c r="AU1247" s="574"/>
      <c r="AV1247" s="574"/>
      <c r="AW1247" s="574"/>
      <c r="AX1247" s="574"/>
      <c r="AY1247" s="574"/>
      <c r="AZ1247" s="574"/>
      <c r="BA1247" s="574"/>
      <c r="BB1247" s="574"/>
      <c r="BC1247" s="574"/>
      <c r="BD1247" s="574"/>
      <c r="BE1247" s="574"/>
      <c r="BF1247" s="574"/>
      <c r="BG1247" s="574"/>
      <c r="BH1247" s="574"/>
      <c r="BI1247" s="574"/>
      <c r="BJ1247" s="574"/>
      <c r="BK1247" s="574"/>
      <c r="BL1247" s="574"/>
      <c r="BM1247" s="574"/>
      <c r="BN1247" s="574"/>
      <c r="BO1247" s="574"/>
      <c r="BP1247" s="574"/>
      <c r="BQ1247" s="574"/>
      <c r="BR1247" s="574"/>
      <c r="BS1247" s="574"/>
      <c r="BT1247" s="574"/>
      <c r="BU1247" s="574"/>
      <c r="BV1247" s="574"/>
      <c r="BW1247" s="574"/>
      <c r="BX1247" s="574"/>
      <c r="BY1247" s="574"/>
      <c r="BZ1247" s="574"/>
      <c r="CA1247" s="574"/>
      <c r="CB1247" s="574"/>
      <c r="CC1247" s="574"/>
      <c r="CD1247" s="574"/>
      <c r="CE1247" s="574"/>
      <c r="CF1247" s="574"/>
    </row>
    <row r="1248" spans="1:85" s="583" customFormat="1" ht="23.1" customHeight="1" thickBot="1">
      <c r="A1248" s="1446" t="s">
        <v>1095</v>
      </c>
      <c r="B1248" s="1446"/>
      <c r="C1248" s="1446"/>
      <c r="D1248" s="1446"/>
      <c r="E1248" s="1446"/>
      <c r="F1248" s="1446"/>
      <c r="G1248" s="1447">
        <f>G1233+1</f>
        <v>84</v>
      </c>
      <c r="H1248" s="1447"/>
      <c r="I1248" s="1447"/>
      <c r="J1248" s="1448" t="s">
        <v>1096</v>
      </c>
      <c r="K1248" s="1448"/>
      <c r="L1248" s="574"/>
      <c r="M1248" s="574"/>
      <c r="N1248" s="574"/>
      <c r="O1248" s="574"/>
      <c r="P1248" s="574"/>
      <c r="Q1248" s="574"/>
      <c r="R1248" s="574"/>
      <c r="S1248" s="574"/>
      <c r="T1248" s="574"/>
      <c r="U1248" s="574"/>
      <c r="V1248" s="574"/>
      <c r="W1248" s="574"/>
      <c r="X1248" s="574"/>
      <c r="Y1248" s="574"/>
      <c r="Z1248" s="574"/>
      <c r="AA1248" s="574"/>
      <c r="AB1248" s="574"/>
      <c r="AC1248" s="574"/>
      <c r="AD1248" s="574"/>
      <c r="AE1248" s="574"/>
      <c r="AF1248" s="574"/>
      <c r="AG1248" s="574"/>
      <c r="AH1248" s="574"/>
      <c r="AI1248" s="574"/>
      <c r="AJ1248" s="574"/>
      <c r="AK1248" s="574"/>
      <c r="AL1248" s="574"/>
      <c r="AM1248" s="574"/>
      <c r="AN1248" s="574"/>
      <c r="AO1248" s="574"/>
      <c r="AP1248" s="574"/>
      <c r="AQ1248" s="574"/>
      <c r="AR1248" s="574"/>
      <c r="AS1248" s="574"/>
      <c r="AT1248" s="574"/>
      <c r="AU1248" s="574"/>
      <c r="AV1248" s="574"/>
      <c r="AW1248" s="574"/>
      <c r="AX1248" s="574"/>
      <c r="AY1248" s="574"/>
      <c r="AZ1248" s="574"/>
      <c r="BA1248" s="574"/>
      <c r="BB1248" s="574"/>
      <c r="BC1248" s="574"/>
      <c r="BD1248" s="574"/>
      <c r="BE1248" s="574"/>
      <c r="BF1248" s="574"/>
      <c r="BG1248" s="574"/>
      <c r="BH1248" s="574"/>
      <c r="BI1248" s="574"/>
      <c r="BJ1248" s="574"/>
      <c r="BK1248" s="574"/>
      <c r="BL1248" s="574"/>
      <c r="BM1248" s="574"/>
      <c r="BN1248" s="574"/>
      <c r="BO1248" s="574"/>
      <c r="BP1248" s="574"/>
      <c r="BQ1248" s="574"/>
      <c r="BR1248" s="574"/>
      <c r="BS1248" s="574"/>
      <c r="BT1248" s="574"/>
      <c r="BU1248" s="574"/>
      <c r="BV1248" s="574"/>
      <c r="BW1248" s="574"/>
      <c r="BX1248" s="574"/>
      <c r="BY1248" s="574"/>
      <c r="BZ1248" s="574"/>
      <c r="CA1248" s="574"/>
      <c r="CB1248" s="574"/>
      <c r="CC1248" s="574"/>
      <c r="CD1248" s="574"/>
      <c r="CE1248" s="574"/>
      <c r="CF1248" s="574"/>
      <c r="CG1248" s="583" t="s">
        <v>1145</v>
      </c>
    </row>
    <row r="1249" spans="1:89" s="583" customFormat="1" ht="23.1" customHeight="1" thickBot="1">
      <c r="A1249" s="1483" t="s">
        <v>1097</v>
      </c>
      <c r="B1249" s="1484"/>
      <c r="C1249" s="1484"/>
      <c r="D1249" s="1484"/>
      <c r="E1249" s="1484"/>
      <c r="F1249" s="1484"/>
      <c r="G1249" s="1484"/>
      <c r="H1249" s="1484"/>
      <c r="I1249" s="581" t="s">
        <v>1241</v>
      </c>
      <c r="J1249" s="581"/>
      <c r="K1249" s="581"/>
      <c r="L1249" s="581"/>
      <c r="M1249" s="581"/>
      <c r="N1249" s="581"/>
      <c r="O1249" s="581"/>
      <c r="P1249" s="581"/>
      <c r="Q1249" s="581"/>
      <c r="R1249" s="581"/>
      <c r="S1249" s="581"/>
      <c r="T1249" s="581"/>
      <c r="U1249" s="581"/>
      <c r="V1249" s="581"/>
      <c r="W1249" s="581"/>
      <c r="X1249" s="581"/>
      <c r="Y1249" s="581"/>
      <c r="Z1249" s="581"/>
      <c r="AA1249" s="581"/>
      <c r="AB1249" s="581"/>
      <c r="AC1249" s="581"/>
      <c r="AD1249" s="581"/>
      <c r="AE1249" s="581"/>
      <c r="AF1249" s="581"/>
      <c r="AG1249" s="581"/>
      <c r="AH1249" s="581"/>
      <c r="AI1249" s="581"/>
      <c r="AJ1249" s="1484" t="s">
        <v>1099</v>
      </c>
      <c r="AK1249" s="1484"/>
      <c r="AL1249" s="1484"/>
      <c r="AM1249" s="1484"/>
      <c r="AN1249" s="1484"/>
      <c r="AO1249" s="1484"/>
      <c r="AP1249" s="1484"/>
      <c r="AQ1249" s="581" t="s">
        <v>1146</v>
      </c>
      <c r="AR1249" s="581"/>
      <c r="AS1249" s="581"/>
      <c r="AT1249" s="581"/>
      <c r="AU1249" s="581"/>
      <c r="AV1249" s="581"/>
      <c r="AW1249" s="581"/>
      <c r="AX1249" s="581"/>
      <c r="AY1249" s="581"/>
      <c r="AZ1249" s="581"/>
      <c r="BA1249" s="581"/>
      <c r="BB1249" s="581"/>
      <c r="BC1249" s="581"/>
      <c r="BD1249" s="581"/>
      <c r="BE1249" s="581"/>
      <c r="BF1249" s="581"/>
      <c r="BG1249" s="581"/>
      <c r="BH1249" s="581"/>
      <c r="BI1249" s="581"/>
      <c r="BJ1249" s="581"/>
      <c r="BK1249" s="581"/>
      <c r="BL1249" s="581"/>
      <c r="BM1249" s="581"/>
      <c r="BN1249" s="581"/>
      <c r="BO1249" s="581"/>
      <c r="BP1249" s="581"/>
      <c r="BQ1249" s="581"/>
      <c r="BR1249" s="581"/>
      <c r="BS1249" s="581"/>
      <c r="BT1249" s="581" t="s">
        <v>1242</v>
      </c>
      <c r="BU1249" s="581"/>
      <c r="BV1249" s="581"/>
      <c r="BW1249" s="581"/>
      <c r="BX1249" s="581"/>
      <c r="BY1249" s="581"/>
      <c r="BZ1249" s="581"/>
      <c r="CA1249" s="581"/>
      <c r="CB1249" s="581"/>
      <c r="CC1249" s="581"/>
      <c r="CD1249" s="581"/>
      <c r="CE1249" s="581"/>
      <c r="CF1249" s="582"/>
    </row>
    <row r="1250" spans="1:89" s="583" customFormat="1" ht="23.1" customHeight="1">
      <c r="A1250" s="584"/>
      <c r="B1250" s="585" t="s">
        <v>1102</v>
      </c>
      <c r="C1250" s="585"/>
      <c r="D1250" s="585"/>
      <c r="E1250" s="585"/>
      <c r="F1250" s="585"/>
      <c r="G1250" s="585"/>
      <c r="H1250" s="585"/>
      <c r="I1250" s="585"/>
      <c r="J1250" s="585"/>
      <c r="K1250" s="585"/>
      <c r="L1250" s="585"/>
      <c r="M1250" s="585"/>
      <c r="N1250" s="585"/>
      <c r="O1250" s="585"/>
      <c r="P1250" s="585"/>
      <c r="Q1250" s="585"/>
      <c r="R1250" s="585"/>
      <c r="S1250" s="585"/>
      <c r="T1250" s="585"/>
      <c r="U1250" s="585"/>
      <c r="V1250" s="585"/>
      <c r="W1250" s="585"/>
      <c r="X1250" s="585"/>
      <c r="Y1250" s="585"/>
      <c r="Z1250" s="585"/>
      <c r="AA1250" s="585"/>
      <c r="AB1250" s="585"/>
      <c r="AC1250" s="585"/>
      <c r="AD1250" s="585"/>
      <c r="AE1250" s="585"/>
      <c r="AF1250" s="585"/>
      <c r="AG1250" s="585"/>
      <c r="AH1250" s="585"/>
      <c r="AI1250" s="585"/>
      <c r="AJ1250" s="585"/>
      <c r="AK1250" s="585"/>
      <c r="AL1250" s="585"/>
      <c r="AM1250" s="585"/>
      <c r="AN1250" s="585"/>
      <c r="AO1250" s="585"/>
      <c r="AP1250" s="585"/>
      <c r="AQ1250" s="585"/>
      <c r="AR1250" s="585"/>
      <c r="AS1250" s="585"/>
      <c r="AT1250" s="585"/>
      <c r="AU1250" s="585"/>
      <c r="AV1250" s="585"/>
      <c r="AW1250" s="585"/>
      <c r="AX1250" s="585"/>
      <c r="AY1250" s="585"/>
      <c r="AZ1250" s="585"/>
      <c r="BA1250" s="585"/>
      <c r="BB1250" s="585"/>
      <c r="BC1250" s="585"/>
      <c r="BD1250" s="585"/>
      <c r="BE1250" s="585"/>
      <c r="BF1250" s="585"/>
      <c r="BG1250" s="585"/>
      <c r="BH1250" s="585"/>
      <c r="BI1250" s="585"/>
      <c r="BJ1250" s="585"/>
      <c r="BK1250" s="585"/>
      <c r="BL1250" s="585"/>
      <c r="BM1250" s="585"/>
      <c r="BN1250" s="585"/>
      <c r="BO1250" s="585"/>
      <c r="BP1250" s="585"/>
      <c r="BQ1250" s="585"/>
      <c r="BR1250" s="585"/>
      <c r="BS1250" s="585"/>
      <c r="BT1250" s="585"/>
      <c r="BU1250" s="585"/>
      <c r="BV1250" s="585"/>
      <c r="BW1250" s="585"/>
      <c r="BX1250" s="585"/>
      <c r="BY1250" s="585"/>
      <c r="BZ1250" s="585"/>
      <c r="CA1250" s="585"/>
      <c r="CB1250" s="585"/>
      <c r="CC1250" s="585"/>
      <c r="CD1250" s="585"/>
      <c r="CE1250" s="585"/>
      <c r="CF1250" s="586"/>
    </row>
    <row r="1251" spans="1:89" s="583" customFormat="1" ht="23.1" customHeight="1">
      <c r="A1251" s="587"/>
      <c r="B1251" s="574"/>
      <c r="C1251" s="574"/>
      <c r="D1251" s="405"/>
      <c r="E1251" s="574"/>
      <c r="F1251" s="422"/>
      <c r="G1251" s="422"/>
      <c r="H1251" s="422"/>
      <c r="I1251" s="422"/>
      <c r="J1251" s="422"/>
      <c r="K1251" s="422"/>
      <c r="L1251" s="422"/>
      <c r="M1251" s="422"/>
      <c r="N1251" s="574"/>
      <c r="O1251" s="574"/>
      <c r="P1251" s="574"/>
      <c r="Q1251" s="574"/>
      <c r="R1251" s="574"/>
      <c r="S1251" s="1485"/>
      <c r="T1251" s="1485"/>
      <c r="U1251" s="1485"/>
      <c r="V1251" s="1485"/>
      <c r="W1251" s="1485"/>
      <c r="X1251" s="1485"/>
      <c r="Y1251" s="1485"/>
      <c r="Z1251" s="1485"/>
      <c r="AA1251" s="1485"/>
      <c r="AB1251" s="1485"/>
      <c r="AC1251" s="1485"/>
      <c r="AD1251" s="1485"/>
      <c r="AE1251" s="1485"/>
      <c r="AF1251" s="1485"/>
      <c r="AG1251" s="1485"/>
      <c r="AH1251" s="1485"/>
      <c r="AI1251" s="1485"/>
      <c r="AJ1251" s="1485"/>
      <c r="AK1251" s="1485"/>
      <c r="AL1251" s="1485"/>
      <c r="AM1251" s="1431"/>
      <c r="AN1251" s="1431"/>
      <c r="AO1251" s="574"/>
      <c r="AP1251" s="1486"/>
      <c r="AQ1251" s="1486"/>
      <c r="AR1251" s="1486"/>
      <c r="AS1251" s="1486"/>
      <c r="AT1251" s="1486"/>
      <c r="AU1251" s="1486"/>
      <c r="AV1251" s="1486"/>
      <c r="AW1251" s="1486"/>
      <c r="AX1251" s="1486"/>
      <c r="AY1251" s="1486"/>
      <c r="AZ1251" s="1486"/>
      <c r="BA1251" s="1486"/>
      <c r="BB1251" s="1486"/>
      <c r="BC1251" s="1486"/>
      <c r="BD1251" s="574"/>
      <c r="BE1251" s="574"/>
      <c r="BF1251" s="574"/>
      <c r="BG1251" s="574"/>
      <c r="BH1251" s="574"/>
      <c r="BI1251" s="574"/>
      <c r="BJ1251" s="574"/>
      <c r="BK1251" s="574"/>
      <c r="BL1251" s="574"/>
      <c r="BM1251" s="574"/>
      <c r="BN1251" s="574"/>
      <c r="BO1251" s="574"/>
      <c r="BP1251" s="574"/>
      <c r="BQ1251" s="574"/>
      <c r="BR1251" s="574"/>
      <c r="BS1251" s="574"/>
      <c r="BT1251" s="574"/>
      <c r="BU1251" s="574"/>
      <c r="BV1251" s="574"/>
      <c r="BW1251" s="574"/>
      <c r="BX1251" s="574"/>
      <c r="BY1251" s="574"/>
      <c r="BZ1251" s="574"/>
      <c r="CA1251" s="574"/>
      <c r="CB1251" s="574"/>
      <c r="CC1251" s="574"/>
      <c r="CD1251" s="574"/>
      <c r="CE1251" s="574"/>
      <c r="CF1251" s="589"/>
    </row>
    <row r="1252" spans="1:89" s="583" customFormat="1" ht="23.1" customHeight="1">
      <c r="A1252" s="584"/>
      <c r="B1252" s="585"/>
      <c r="C1252" s="585"/>
      <c r="D1252" s="585"/>
      <c r="E1252" s="585"/>
      <c r="F1252" s="585"/>
      <c r="G1252" s="585"/>
      <c r="H1252" s="585"/>
      <c r="I1252" s="585"/>
      <c r="J1252" s="585"/>
      <c r="K1252" s="585"/>
      <c r="L1252" s="585"/>
      <c r="M1252" s="585"/>
      <c r="N1252" s="585"/>
      <c r="O1252" s="585"/>
      <c r="P1252" s="585"/>
      <c r="Q1252" s="585"/>
      <c r="R1252" s="585"/>
      <c r="S1252" s="585"/>
      <c r="T1252" s="585"/>
      <c r="U1252" s="585"/>
      <c r="V1252" s="590"/>
      <c r="W1252" s="590"/>
      <c r="X1252" s="590"/>
      <c r="Y1252" s="590"/>
      <c r="Z1252" s="590"/>
      <c r="AA1252" s="590"/>
      <c r="AB1252" s="590"/>
      <c r="AC1252" s="590"/>
      <c r="AD1252" s="574"/>
      <c r="AE1252" s="1440">
        <v>29250000</v>
      </c>
      <c r="AF1252" s="1440"/>
      <c r="AG1252" s="1440"/>
      <c r="AH1252" s="1440"/>
      <c r="AI1252" s="1440"/>
      <c r="AJ1252" s="1440"/>
      <c r="AK1252" s="1440"/>
      <c r="AL1252" s="1440"/>
      <c r="AM1252" s="1440"/>
      <c r="AN1252" s="1440"/>
      <c r="AO1252" s="1440"/>
      <c r="AP1252" s="1440"/>
      <c r="AQ1252" s="1440"/>
      <c r="AR1252" s="1440"/>
      <c r="AS1252" s="1440"/>
      <c r="AT1252" s="1431" t="s">
        <v>446</v>
      </c>
      <c r="AU1252" s="1431"/>
      <c r="AV1252" s="1441" t="s">
        <v>1103</v>
      </c>
      <c r="AW1252" s="1441"/>
      <c r="AX1252" s="1442">
        <v>4032</v>
      </c>
      <c r="AY1252" s="1442"/>
      <c r="AZ1252" s="1442"/>
      <c r="BA1252" s="1442"/>
      <c r="BB1252" s="1442"/>
      <c r="BC1252" s="1442"/>
      <c r="BD1252" s="585"/>
      <c r="BE1252" s="1431" t="s">
        <v>446</v>
      </c>
      <c r="BF1252" s="1431"/>
      <c r="BG1252" s="585"/>
      <c r="BH1252" s="591" t="s">
        <v>1104</v>
      </c>
      <c r="BI1252" s="585"/>
      <c r="BJ1252" s="585"/>
      <c r="BK1252" s="585"/>
      <c r="BL1252" s="1431" t="s">
        <v>1105</v>
      </c>
      <c r="BM1252" s="1431"/>
      <c r="BN1252" s="1431"/>
      <c r="BO1252" s="585"/>
      <c r="BP1252" s="1431" t="s">
        <v>41</v>
      </c>
      <c r="BQ1252" s="1431"/>
      <c r="BR1252" s="585"/>
      <c r="BS1252" s="585"/>
      <c r="BT1252" s="1437">
        <f>INT(AE1252*AX1252*10^-7)</f>
        <v>11793</v>
      </c>
      <c r="BU1252" s="1437"/>
      <c r="BV1252" s="1437"/>
      <c r="BW1252" s="1437"/>
      <c r="BX1252" s="1437"/>
      <c r="BY1252" s="1437"/>
      <c r="BZ1252" s="1437"/>
      <c r="CA1252" s="1437"/>
      <c r="CB1252" s="1437"/>
      <c r="CC1252" s="1437"/>
      <c r="CD1252" s="585"/>
      <c r="CE1252" s="585"/>
      <c r="CF1252" s="586"/>
    </row>
    <row r="1253" spans="1:89" s="583" customFormat="1" ht="23.1" customHeight="1">
      <c r="A1253" s="592"/>
      <c r="B1253" s="593" t="s">
        <v>1106</v>
      </c>
      <c r="C1253" s="593"/>
      <c r="D1253" s="593"/>
      <c r="E1253" s="593"/>
      <c r="F1253" s="593"/>
      <c r="G1253" s="593"/>
      <c r="H1253" s="593"/>
      <c r="I1253" s="593"/>
      <c r="J1253" s="593"/>
      <c r="K1253" s="593"/>
      <c r="L1253" s="593"/>
      <c r="M1253" s="593"/>
      <c r="N1253" s="593"/>
      <c r="O1253" s="593"/>
      <c r="P1253" s="593"/>
      <c r="Q1253" s="593"/>
      <c r="R1253" s="593"/>
      <c r="S1253" s="593"/>
      <c r="T1253" s="593"/>
      <c r="U1253" s="593"/>
      <c r="V1253" s="593"/>
      <c r="W1253" s="593"/>
      <c r="X1253" s="593"/>
      <c r="Y1253" s="593"/>
      <c r="Z1253" s="593"/>
      <c r="AA1253" s="593"/>
      <c r="AB1253" s="593"/>
      <c r="AC1253" s="593"/>
      <c r="AD1253" s="593"/>
      <c r="AE1253" s="593"/>
      <c r="AF1253" s="593"/>
      <c r="AG1253" s="593"/>
      <c r="AH1253" s="593"/>
      <c r="AI1253" s="593"/>
      <c r="AJ1253" s="593"/>
      <c r="AK1253" s="593"/>
      <c r="AL1253" s="593"/>
      <c r="AM1253" s="593"/>
      <c r="AN1253" s="593"/>
      <c r="AO1253" s="593"/>
      <c r="AP1253" s="593"/>
      <c r="AQ1253" s="593"/>
      <c r="AR1253" s="593"/>
      <c r="AS1253" s="593"/>
      <c r="AT1253" s="593"/>
      <c r="AU1253" s="593"/>
      <c r="AV1253" s="593"/>
      <c r="AW1253" s="593"/>
      <c r="AX1253" s="593"/>
      <c r="AY1253" s="593"/>
      <c r="AZ1253" s="593"/>
      <c r="BA1253" s="593"/>
      <c r="BB1253" s="593"/>
      <c r="BC1253" s="593"/>
      <c r="BD1253" s="593"/>
      <c r="BE1253" s="593"/>
      <c r="BF1253" s="593"/>
      <c r="BG1253" s="593"/>
      <c r="BH1253" s="593"/>
      <c r="BI1253" s="593"/>
      <c r="BJ1253" s="593"/>
      <c r="BK1253" s="593"/>
      <c r="BL1253" s="593"/>
      <c r="BM1253" s="593"/>
      <c r="BN1253" s="593"/>
      <c r="BO1253" s="593"/>
      <c r="BP1253" s="593"/>
      <c r="BQ1253" s="593"/>
      <c r="BR1253" s="593"/>
      <c r="BS1253" s="593"/>
      <c r="BT1253" s="594"/>
      <c r="BU1253" s="594"/>
      <c r="BV1253" s="594"/>
      <c r="BW1253" s="594"/>
      <c r="BX1253" s="594"/>
      <c r="BY1253" s="594"/>
      <c r="BZ1253" s="594"/>
      <c r="CA1253" s="594"/>
      <c r="CB1253" s="594"/>
      <c r="CC1253" s="594"/>
      <c r="CD1253" s="593"/>
      <c r="CE1253" s="593"/>
      <c r="CF1253" s="595"/>
      <c r="CK1253" s="623"/>
    </row>
    <row r="1254" spans="1:89" s="583" customFormat="1" ht="23.1" customHeight="1">
      <c r="A1254" s="584"/>
      <c r="B1254" s="585"/>
      <c r="C1254" s="585"/>
      <c r="D1254" s="596" t="s">
        <v>268</v>
      </c>
      <c r="E1254" s="585"/>
      <c r="F1254" s="585"/>
      <c r="G1254" s="585"/>
      <c r="H1254" s="585"/>
      <c r="I1254" s="585"/>
      <c r="J1254" s="585"/>
      <c r="K1254" s="585"/>
      <c r="L1254" s="585"/>
      <c r="M1254" s="585"/>
      <c r="N1254" s="585"/>
      <c r="O1254" s="585"/>
      <c r="P1254" s="585"/>
      <c r="Q1254" s="585"/>
      <c r="R1254" s="585"/>
      <c r="S1254" s="585"/>
      <c r="T1254" s="574"/>
      <c r="U1254" s="574"/>
      <c r="V1254" s="1435">
        <f>HLOOKUP(D1254,$CJ$1:$CM$3,3,0)</f>
        <v>283297</v>
      </c>
      <c r="W1254" s="1435"/>
      <c r="X1254" s="1435"/>
      <c r="Y1254" s="1435"/>
      <c r="Z1254" s="1435"/>
      <c r="AA1254" s="1435"/>
      <c r="AB1254" s="1435"/>
      <c r="AC1254" s="1435"/>
      <c r="AD1254" s="1435"/>
      <c r="AE1254" s="1435"/>
      <c r="AF1254" s="1431" t="s">
        <v>446</v>
      </c>
      <c r="AG1254" s="1431"/>
      <c r="AH1254" s="574"/>
      <c r="AI1254" s="1436" t="s">
        <v>1107</v>
      </c>
      <c r="AJ1254" s="1436"/>
      <c r="AK1254" s="1436"/>
      <c r="AL1254" s="1436"/>
      <c r="AM1254" s="585"/>
      <c r="AN1254" s="1431" t="s">
        <v>446</v>
      </c>
      <c r="AO1254" s="1431"/>
      <c r="AP1254" s="585"/>
      <c r="AQ1254" s="1436" t="s">
        <v>1108</v>
      </c>
      <c r="AR1254" s="1436"/>
      <c r="AS1254" s="1436"/>
      <c r="AT1254" s="1436"/>
      <c r="AU1254" s="1436"/>
      <c r="AV1254" s="422"/>
      <c r="AW1254" s="1431" t="s">
        <v>446</v>
      </c>
      <c r="AX1254" s="1431"/>
      <c r="AY1254" s="440"/>
      <c r="AZ1254" s="1436" t="s">
        <v>1109</v>
      </c>
      <c r="BA1254" s="1436"/>
      <c r="BB1254" s="1436"/>
      <c r="BC1254" s="1436"/>
      <c r="BD1254" s="1436"/>
      <c r="BE1254" s="585"/>
      <c r="BF1254" s="1431" t="s">
        <v>446</v>
      </c>
      <c r="BG1254" s="1431"/>
      <c r="BH1254" s="1431"/>
      <c r="BI1254" s="1431"/>
      <c r="BJ1254" s="1431"/>
      <c r="BK1254" s="585"/>
      <c r="BL1254" s="585" t="s">
        <v>366</v>
      </c>
      <c r="BM1254" s="585"/>
      <c r="BN1254" s="585"/>
      <c r="BO1254" s="585"/>
      <c r="BP1254" s="1431" t="s">
        <v>41</v>
      </c>
      <c r="BQ1254" s="1431"/>
      <c r="BR1254" s="585"/>
      <c r="BS1254" s="585"/>
      <c r="BT1254" s="1432">
        <f>INT(V1254/8*16/12*25/20*BH1254)</f>
        <v>0</v>
      </c>
      <c r="BU1254" s="1432"/>
      <c r="BV1254" s="1432"/>
      <c r="BW1254" s="1432"/>
      <c r="BX1254" s="1432"/>
      <c r="BY1254" s="1432"/>
      <c r="BZ1254" s="1432"/>
      <c r="CA1254" s="1432"/>
      <c r="CB1254" s="1432"/>
      <c r="CC1254" s="1432"/>
      <c r="CD1254" s="585"/>
      <c r="CE1254" s="585"/>
      <c r="CF1254" s="586"/>
    </row>
    <row r="1255" spans="1:89" s="583" customFormat="1" ht="23.1" customHeight="1">
      <c r="A1255" s="584"/>
      <c r="B1255" s="585"/>
      <c r="C1255" s="585"/>
      <c r="D1255" s="585"/>
      <c r="E1255" s="585"/>
      <c r="F1255" s="585"/>
      <c r="G1255" s="585"/>
      <c r="H1255" s="585"/>
      <c r="I1255" s="585"/>
      <c r="J1255" s="585"/>
      <c r="K1255" s="585"/>
      <c r="L1255" s="585"/>
      <c r="M1255" s="585"/>
      <c r="N1255" s="585"/>
      <c r="O1255" s="585"/>
      <c r="P1255" s="574"/>
      <c r="Q1255" s="574"/>
      <c r="R1255" s="574"/>
      <c r="S1255" s="574"/>
      <c r="T1255" s="574"/>
      <c r="U1255" s="574"/>
      <c r="V1255" s="574"/>
      <c r="W1255" s="574"/>
      <c r="X1255" s="574"/>
      <c r="Y1255" s="574"/>
      <c r="Z1255" s="574"/>
      <c r="AA1255" s="574"/>
      <c r="AB1255" s="574"/>
      <c r="AC1255" s="574"/>
      <c r="AD1255" s="574"/>
      <c r="AE1255" s="574"/>
      <c r="AF1255" s="574"/>
      <c r="AG1255" s="574"/>
      <c r="AH1255" s="574"/>
      <c r="AI1255" s="574"/>
      <c r="AJ1255" s="574"/>
      <c r="AK1255" s="574"/>
      <c r="AL1255" s="574"/>
      <c r="AM1255" s="574"/>
      <c r="AN1255" s="574"/>
      <c r="AO1255" s="574"/>
      <c r="AP1255" s="574"/>
      <c r="AQ1255" s="574"/>
      <c r="AR1255" s="574"/>
      <c r="AS1255" s="574"/>
      <c r="AT1255" s="574"/>
      <c r="AU1255" s="574"/>
      <c r="AV1255" s="574"/>
      <c r="AW1255" s="574"/>
      <c r="AX1255" s="574"/>
      <c r="AY1255" s="574"/>
      <c r="AZ1255" s="574"/>
      <c r="BA1255" s="574"/>
      <c r="BB1255" s="574"/>
      <c r="BC1255" s="574"/>
      <c r="BD1255" s="574"/>
      <c r="BE1255" s="574"/>
      <c r="BF1255" s="574"/>
      <c r="BG1255" s="585"/>
      <c r="BH1255" s="585"/>
      <c r="BI1255" s="585"/>
      <c r="BJ1255" s="585"/>
      <c r="BK1255" s="585"/>
      <c r="BL1255" s="585"/>
      <c r="BM1255" s="585"/>
      <c r="BN1255" s="585"/>
      <c r="BO1255" s="585"/>
      <c r="BP1255" s="1431"/>
      <c r="BQ1255" s="1431"/>
      <c r="BR1255" s="585"/>
      <c r="BS1255" s="585"/>
      <c r="BT1255" s="1432"/>
      <c r="BU1255" s="1432"/>
      <c r="BV1255" s="1432"/>
      <c r="BW1255" s="1432"/>
      <c r="BX1255" s="1432"/>
      <c r="BY1255" s="1432"/>
      <c r="BZ1255" s="1432"/>
      <c r="CA1255" s="1432"/>
      <c r="CB1255" s="1432"/>
      <c r="CC1255" s="1432"/>
      <c r="CD1255" s="585"/>
      <c r="CE1255" s="585"/>
      <c r="CF1255" s="586"/>
    </row>
    <row r="1256" spans="1:89" s="583" customFormat="1" ht="23.1" customHeight="1">
      <c r="A1256" s="584"/>
      <c r="B1256" s="585"/>
      <c r="C1256" s="585"/>
      <c r="D1256" s="585"/>
      <c r="E1256" s="585"/>
      <c r="F1256" s="585"/>
      <c r="G1256" s="585"/>
      <c r="H1256" s="585"/>
      <c r="I1256" s="585"/>
      <c r="J1256" s="585"/>
      <c r="K1256" s="585"/>
      <c r="L1256" s="585"/>
      <c r="M1256" s="585"/>
      <c r="N1256" s="585"/>
      <c r="O1256" s="585"/>
      <c r="P1256" s="585"/>
      <c r="Q1256" s="585"/>
      <c r="R1256" s="585"/>
      <c r="S1256" s="585"/>
      <c r="T1256" s="585"/>
      <c r="U1256" s="585"/>
      <c r="V1256" s="585"/>
      <c r="W1256" s="585"/>
      <c r="X1256" s="585"/>
      <c r="Y1256" s="585"/>
      <c r="Z1256" s="585"/>
      <c r="AA1256" s="585"/>
      <c r="AB1256" s="585"/>
      <c r="AC1256" s="585"/>
      <c r="AD1256" s="574"/>
      <c r="AE1256" s="574"/>
      <c r="AF1256" s="574"/>
      <c r="AG1256" s="574"/>
      <c r="AH1256" s="574"/>
      <c r="AI1256" s="574"/>
      <c r="AJ1256" s="574"/>
      <c r="AK1256" s="574"/>
      <c r="AL1256" s="574"/>
      <c r="AM1256" s="574"/>
      <c r="AN1256" s="574"/>
      <c r="AO1256" s="574"/>
      <c r="AP1256" s="574"/>
      <c r="AQ1256" s="574"/>
      <c r="AR1256" s="574"/>
      <c r="AS1256" s="585"/>
      <c r="AT1256" s="590"/>
      <c r="AU1256" s="590"/>
      <c r="AV1256" s="585"/>
      <c r="AW1256" s="585"/>
      <c r="AX1256" s="585"/>
      <c r="AY1256" s="585"/>
      <c r="AZ1256" s="585"/>
      <c r="BA1256" s="585"/>
      <c r="BB1256" s="585"/>
      <c r="BC1256" s="585"/>
      <c r="BD1256" s="585"/>
      <c r="BE1256" s="585"/>
      <c r="BF1256" s="585"/>
      <c r="BG1256" s="585"/>
      <c r="BH1256" s="585"/>
      <c r="BI1256" s="585"/>
      <c r="BJ1256" s="585"/>
      <c r="BK1256" s="585"/>
      <c r="BL1256" s="585"/>
      <c r="BM1256" s="585"/>
      <c r="BN1256" s="585"/>
      <c r="BO1256" s="585"/>
      <c r="BP1256" s="1431" t="s">
        <v>41</v>
      </c>
      <c r="BQ1256" s="1431"/>
      <c r="BR1256" s="585"/>
      <c r="BS1256" s="585"/>
      <c r="BT1256" s="1434">
        <f>BT1254+BT1255</f>
        <v>0</v>
      </c>
      <c r="BU1256" s="1434"/>
      <c r="BV1256" s="1434"/>
      <c r="BW1256" s="1434"/>
      <c r="BX1256" s="1434"/>
      <c r="BY1256" s="1434"/>
      <c r="BZ1256" s="1434"/>
      <c r="CA1256" s="1434"/>
      <c r="CB1256" s="1434"/>
      <c r="CC1256" s="1434"/>
      <c r="CD1256" s="585"/>
      <c r="CE1256" s="585"/>
      <c r="CF1256" s="586"/>
    </row>
    <row r="1257" spans="1:89" s="583" customFormat="1" ht="23.1" customHeight="1">
      <c r="A1257" s="592"/>
      <c r="B1257" s="593" t="s">
        <v>1110</v>
      </c>
      <c r="C1257" s="593"/>
      <c r="D1257" s="593"/>
      <c r="E1257" s="593"/>
      <c r="F1257" s="593"/>
      <c r="G1257" s="593"/>
      <c r="H1257" s="593"/>
      <c r="I1257" s="593"/>
      <c r="J1257" s="593"/>
      <c r="K1257" s="593"/>
      <c r="L1257" s="593"/>
      <c r="M1257" s="593"/>
      <c r="N1257" s="593"/>
      <c r="O1257" s="593"/>
      <c r="P1257" s="593"/>
      <c r="Q1257" s="593"/>
      <c r="R1257" s="593"/>
      <c r="S1257" s="593"/>
      <c r="T1257" s="593"/>
      <c r="U1257" s="593"/>
      <c r="V1257" s="593"/>
      <c r="W1257" s="593"/>
      <c r="X1257" s="593"/>
      <c r="Y1257" s="593"/>
      <c r="Z1257" s="593"/>
      <c r="AA1257" s="593"/>
      <c r="AB1257" s="593"/>
      <c r="AC1257" s="593"/>
      <c r="AD1257" s="593"/>
      <c r="AE1257" s="593"/>
      <c r="AF1257" s="593"/>
      <c r="AG1257" s="593"/>
      <c r="AH1257" s="593"/>
      <c r="AI1257" s="593"/>
      <c r="AJ1257" s="593"/>
      <c r="AK1257" s="593"/>
      <c r="AL1257" s="593"/>
      <c r="AM1257" s="593"/>
      <c r="AN1257" s="593"/>
      <c r="AO1257" s="593"/>
      <c r="AP1257" s="593"/>
      <c r="AQ1257" s="593"/>
      <c r="AR1257" s="593"/>
      <c r="AS1257" s="593"/>
      <c r="AT1257" s="593"/>
      <c r="AU1257" s="593"/>
      <c r="AV1257" s="593"/>
      <c r="AW1257" s="593"/>
      <c r="AX1257" s="593"/>
      <c r="AY1257" s="593"/>
      <c r="AZ1257" s="593"/>
      <c r="BA1257" s="593"/>
      <c r="BB1257" s="593"/>
      <c r="BC1257" s="593"/>
      <c r="BD1257" s="593"/>
      <c r="BE1257" s="593"/>
      <c r="BF1257" s="593"/>
      <c r="BG1257" s="593"/>
      <c r="BH1257" s="593"/>
      <c r="BI1257" s="593"/>
      <c r="BJ1257" s="593"/>
      <c r="BK1257" s="593"/>
      <c r="BL1257" s="593"/>
      <c r="BM1257" s="593"/>
      <c r="BN1257" s="593"/>
      <c r="BO1257" s="593"/>
      <c r="BP1257" s="593"/>
      <c r="BQ1257" s="593"/>
      <c r="BR1257" s="593"/>
      <c r="BS1257" s="593"/>
      <c r="BT1257" s="593"/>
      <c r="BU1257" s="593"/>
      <c r="BV1257" s="593"/>
      <c r="BW1257" s="593"/>
      <c r="BX1257" s="593"/>
      <c r="BY1257" s="593"/>
      <c r="BZ1257" s="593"/>
      <c r="CA1257" s="593"/>
      <c r="CB1257" s="593"/>
      <c r="CC1257" s="593"/>
      <c r="CD1257" s="593"/>
      <c r="CE1257" s="593"/>
      <c r="CF1257" s="595"/>
    </row>
    <row r="1258" spans="1:89" s="583" customFormat="1" ht="23.1" customHeight="1">
      <c r="A1258" s="584"/>
      <c r="B1258" s="585"/>
      <c r="C1258" s="585"/>
      <c r="D1258" s="596" t="s">
        <v>1094</v>
      </c>
      <c r="E1258" s="585"/>
      <c r="F1258" s="585"/>
      <c r="G1258" s="585"/>
      <c r="H1258" s="585"/>
      <c r="I1258" s="585"/>
      <c r="J1258" s="585"/>
      <c r="K1258" s="585"/>
      <c r="L1258" s="585"/>
      <c r="M1258" s="585"/>
      <c r="N1258" s="585"/>
      <c r="O1258" s="585"/>
      <c r="P1258" s="585"/>
      <c r="Q1258" s="585"/>
      <c r="R1258" s="585"/>
      <c r="S1258" s="585"/>
      <c r="T1258" s="585"/>
      <c r="U1258" s="585"/>
      <c r="V1258" s="585"/>
      <c r="W1258" s="585"/>
      <c r="X1258" s="585"/>
      <c r="Y1258" s="585"/>
      <c r="Z1258" s="585"/>
      <c r="AA1258" s="585"/>
      <c r="AB1258" s="585"/>
      <c r="AC1258" s="585"/>
      <c r="AD1258" s="585"/>
      <c r="AE1258" s="585"/>
      <c r="AF1258" s="585"/>
      <c r="AG1258" s="585"/>
      <c r="AH1258" s="585"/>
      <c r="AI1258" s="585"/>
      <c r="AJ1258" s="585"/>
      <c r="AK1258" s="585"/>
      <c r="AL1258" s="585"/>
      <c r="AM1258" s="585"/>
      <c r="AN1258" s="585"/>
      <c r="AO1258" s="585"/>
      <c r="AP1258" s="585"/>
      <c r="AQ1258" s="585"/>
      <c r="AR1258" s="422"/>
      <c r="AS1258" s="1435" t="e">
        <f>HLOOKUP(D1258,$CN$1:$CO$3,3,0)</f>
        <v>#REF!</v>
      </c>
      <c r="AT1258" s="1435"/>
      <c r="AU1258" s="1435"/>
      <c r="AV1258" s="1435"/>
      <c r="AW1258" s="1435"/>
      <c r="AX1258" s="1435"/>
      <c r="AY1258" s="1435"/>
      <c r="AZ1258" s="1435"/>
      <c r="BA1258" s="1435"/>
      <c r="BB1258" s="1435"/>
      <c r="BC1258" s="585"/>
      <c r="BD1258" s="1431" t="s">
        <v>446</v>
      </c>
      <c r="BE1258" s="1431"/>
      <c r="BF1258" s="585"/>
      <c r="BG1258" s="1431"/>
      <c r="BH1258" s="1431"/>
      <c r="BI1258" s="1431"/>
      <c r="BJ1258" s="1431"/>
      <c r="BK1258" s="1431"/>
      <c r="BL1258" s="585" t="s">
        <v>1111</v>
      </c>
      <c r="BM1258" s="585"/>
      <c r="BN1258" s="585"/>
      <c r="BO1258" s="585"/>
      <c r="BP1258" s="1431" t="s">
        <v>41</v>
      </c>
      <c r="BQ1258" s="1431"/>
      <c r="BR1258" s="585"/>
      <c r="BS1258" s="585"/>
      <c r="BT1258" s="1432" t="e">
        <f>INT(AS1258*BG1258)</f>
        <v>#REF!</v>
      </c>
      <c r="BU1258" s="1432"/>
      <c r="BV1258" s="1432"/>
      <c r="BW1258" s="1432"/>
      <c r="BX1258" s="1432"/>
      <c r="BY1258" s="1432"/>
      <c r="BZ1258" s="1432"/>
      <c r="CA1258" s="1432"/>
      <c r="CB1258" s="1432"/>
      <c r="CC1258" s="1432"/>
      <c r="CD1258" s="585"/>
      <c r="CE1258" s="585"/>
      <c r="CF1258" s="586"/>
    </row>
    <row r="1259" spans="1:89" s="583" customFormat="1" ht="23.1" customHeight="1">
      <c r="A1259" s="584"/>
      <c r="B1259" s="585"/>
      <c r="C1259" s="585"/>
      <c r="D1259" s="591" t="str">
        <f>"잡재료 (주연료의 "&amp;BG1259&amp;"%) :"</f>
        <v>잡재료 (주연료의 %) :</v>
      </c>
      <c r="E1259" s="585"/>
      <c r="F1259" s="585"/>
      <c r="G1259" s="585"/>
      <c r="H1259" s="585"/>
      <c r="I1259" s="585"/>
      <c r="J1259" s="585"/>
      <c r="K1259" s="585"/>
      <c r="L1259" s="585"/>
      <c r="M1259" s="585"/>
      <c r="N1259" s="585"/>
      <c r="O1259" s="585"/>
      <c r="P1259" s="585"/>
      <c r="Q1259" s="585"/>
      <c r="R1259" s="585"/>
      <c r="S1259" s="585"/>
      <c r="T1259" s="585"/>
      <c r="U1259" s="585"/>
      <c r="V1259" s="585"/>
      <c r="W1259" s="585"/>
      <c r="X1259" s="585"/>
      <c r="Y1259" s="585"/>
      <c r="Z1259" s="585"/>
      <c r="AA1259" s="585"/>
      <c r="AB1259" s="585"/>
      <c r="AC1259" s="585"/>
      <c r="AD1259" s="585"/>
      <c r="AE1259" s="585"/>
      <c r="AF1259" s="585"/>
      <c r="AG1259" s="585"/>
      <c r="AH1259" s="585"/>
      <c r="AI1259" s="585"/>
      <c r="AJ1259" s="585"/>
      <c r="AK1259" s="585"/>
      <c r="AL1259" s="585"/>
      <c r="AM1259" s="585"/>
      <c r="AN1259" s="585"/>
      <c r="AO1259" s="585"/>
      <c r="AP1259" s="585"/>
      <c r="AQ1259" s="585"/>
      <c r="AR1259" s="422" t="e">
        <f>BT1258</f>
        <v>#REF!</v>
      </c>
      <c r="AS1259" s="1430" t="e">
        <f>BT1258</f>
        <v>#REF!</v>
      </c>
      <c r="AT1259" s="1430"/>
      <c r="AU1259" s="1430"/>
      <c r="AV1259" s="1430"/>
      <c r="AW1259" s="1430"/>
      <c r="AX1259" s="1430"/>
      <c r="AY1259" s="1430"/>
      <c r="AZ1259" s="1430"/>
      <c r="BA1259" s="1430"/>
      <c r="BB1259" s="1430"/>
      <c r="BC1259" s="585"/>
      <c r="BD1259" s="1431" t="s">
        <v>446</v>
      </c>
      <c r="BE1259" s="1431"/>
      <c r="BF1259" s="585"/>
      <c r="BG1259" s="1431"/>
      <c r="BH1259" s="1431"/>
      <c r="BI1259" s="1431"/>
      <c r="BJ1259" s="1431"/>
      <c r="BK1259" s="1431"/>
      <c r="BL1259" s="585" t="s">
        <v>1112</v>
      </c>
      <c r="BM1259" s="585"/>
      <c r="BN1259" s="585"/>
      <c r="BO1259" s="585"/>
      <c r="BP1259" s="1431" t="s">
        <v>41</v>
      </c>
      <c r="BQ1259" s="1431"/>
      <c r="BR1259" s="585"/>
      <c r="BS1259" s="585"/>
      <c r="BT1259" s="1432" t="e">
        <f>INT(AS1259*BG1259/100)</f>
        <v>#REF!</v>
      </c>
      <c r="BU1259" s="1432"/>
      <c r="BV1259" s="1432"/>
      <c r="BW1259" s="1432"/>
      <c r="BX1259" s="1432"/>
      <c r="BY1259" s="1432"/>
      <c r="BZ1259" s="1432"/>
      <c r="CA1259" s="1432"/>
      <c r="CB1259" s="1432"/>
      <c r="CC1259" s="1432"/>
      <c r="CD1259" s="585"/>
      <c r="CE1259" s="585"/>
      <c r="CF1259" s="586"/>
    </row>
    <row r="1260" spans="1:89" s="583" customFormat="1" ht="23.1" customHeight="1" thickBot="1">
      <c r="A1260" s="584"/>
      <c r="B1260" s="585"/>
      <c r="C1260" s="585"/>
      <c r="D1260" s="585"/>
      <c r="E1260" s="585"/>
      <c r="F1260" s="585"/>
      <c r="G1260" s="585"/>
      <c r="H1260" s="585"/>
      <c r="I1260" s="585"/>
      <c r="J1260" s="585"/>
      <c r="K1260" s="585"/>
      <c r="L1260" s="585"/>
      <c r="M1260" s="585"/>
      <c r="N1260" s="585"/>
      <c r="O1260" s="585"/>
      <c r="P1260" s="585"/>
      <c r="Q1260" s="585"/>
      <c r="R1260" s="585"/>
      <c r="S1260" s="585"/>
      <c r="T1260" s="585"/>
      <c r="U1260" s="585"/>
      <c r="V1260" s="585"/>
      <c r="W1260" s="585"/>
      <c r="X1260" s="585"/>
      <c r="Y1260" s="585"/>
      <c r="Z1260" s="585"/>
      <c r="AA1260" s="585"/>
      <c r="AB1260" s="585"/>
      <c r="AC1260" s="585"/>
      <c r="AD1260" s="585"/>
      <c r="AE1260" s="585"/>
      <c r="AF1260" s="585"/>
      <c r="AG1260" s="585"/>
      <c r="AH1260" s="585"/>
      <c r="AI1260" s="585"/>
      <c r="AJ1260" s="585"/>
      <c r="AK1260" s="585"/>
      <c r="AL1260" s="585"/>
      <c r="AM1260" s="585"/>
      <c r="AN1260" s="585"/>
      <c r="AO1260" s="585"/>
      <c r="AP1260" s="585"/>
      <c r="AQ1260" s="585"/>
      <c r="AR1260" s="585"/>
      <c r="AS1260" s="585"/>
      <c r="AT1260" s="585"/>
      <c r="AU1260" s="585"/>
      <c r="AV1260" s="585"/>
      <c r="AW1260" s="585"/>
      <c r="AX1260" s="585"/>
      <c r="AY1260" s="585"/>
      <c r="AZ1260" s="585"/>
      <c r="BA1260" s="585"/>
      <c r="BB1260" s="585"/>
      <c r="BC1260" s="585"/>
      <c r="BD1260" s="585"/>
      <c r="BE1260" s="585"/>
      <c r="BF1260" s="585"/>
      <c r="BG1260" s="585"/>
      <c r="BH1260" s="585"/>
      <c r="BI1260" s="585"/>
      <c r="BJ1260" s="585"/>
      <c r="BK1260" s="585"/>
      <c r="BL1260" s="585"/>
      <c r="BM1260" s="585"/>
      <c r="BN1260" s="585"/>
      <c r="BO1260" s="585"/>
      <c r="BP1260" s="1431" t="s">
        <v>41</v>
      </c>
      <c r="BQ1260" s="1431"/>
      <c r="BR1260" s="585"/>
      <c r="BS1260" s="585"/>
      <c r="BT1260" s="1433" t="e">
        <f>BT1258+BT1259</f>
        <v>#REF!</v>
      </c>
      <c r="BU1260" s="1433"/>
      <c r="BV1260" s="1433"/>
      <c r="BW1260" s="1433"/>
      <c r="BX1260" s="1433"/>
      <c r="BY1260" s="1433"/>
      <c r="BZ1260" s="1433"/>
      <c r="CA1260" s="1433"/>
      <c r="CB1260" s="1433"/>
      <c r="CC1260" s="1433"/>
      <c r="CD1260" s="585"/>
      <c r="CE1260" s="585"/>
      <c r="CF1260" s="586"/>
    </row>
    <row r="1261" spans="1:89" s="583" customFormat="1" ht="22.5" customHeight="1" thickBot="1">
      <c r="A1261" s="597"/>
      <c r="B1261" s="598" t="s">
        <v>1113</v>
      </c>
      <c r="C1261" s="598"/>
      <c r="D1261" s="598"/>
      <c r="E1261" s="598"/>
      <c r="F1261" s="598"/>
      <c r="G1261" s="598"/>
      <c r="H1261" s="598"/>
      <c r="I1261" s="598"/>
      <c r="J1261" s="598"/>
      <c r="K1261" s="598"/>
      <c r="L1261" s="598"/>
      <c r="M1261" s="598"/>
      <c r="N1261" s="598"/>
      <c r="O1261" s="598"/>
      <c r="P1261" s="598"/>
      <c r="Q1261" s="598"/>
      <c r="R1261" s="598"/>
      <c r="S1261" s="598"/>
      <c r="T1261" s="598"/>
      <c r="U1261" s="598"/>
      <c r="V1261" s="598"/>
      <c r="W1261" s="598"/>
      <c r="X1261" s="598"/>
      <c r="Y1261" s="598"/>
      <c r="Z1261" s="598"/>
      <c r="AA1261" s="598"/>
      <c r="AB1261" s="598"/>
      <c r="AC1261" s="598"/>
      <c r="AD1261" s="598"/>
      <c r="AE1261" s="598"/>
      <c r="AF1261" s="598"/>
      <c r="AG1261" s="598"/>
      <c r="AH1261" s="598"/>
      <c r="AI1261" s="598"/>
      <c r="AJ1261" s="598"/>
      <c r="AK1261" s="598"/>
      <c r="AL1261" s="598"/>
      <c r="AM1261" s="598"/>
      <c r="AN1261" s="598"/>
      <c r="AO1261" s="598"/>
      <c r="AP1261" s="598"/>
      <c r="AQ1261" s="598"/>
      <c r="AR1261" s="598"/>
      <c r="AS1261" s="598"/>
      <c r="AT1261" s="598"/>
      <c r="AU1261" s="598"/>
      <c r="AV1261" s="598"/>
      <c r="AW1261" s="598"/>
      <c r="AX1261" s="598"/>
      <c r="AY1261" s="598"/>
      <c r="AZ1261" s="598"/>
      <c r="BA1261" s="598"/>
      <c r="BB1261" s="598"/>
      <c r="BC1261" s="598"/>
      <c r="BD1261" s="598"/>
      <c r="BE1261" s="598"/>
      <c r="BF1261" s="598"/>
      <c r="BG1261" s="598"/>
      <c r="BH1261" s="598"/>
      <c r="BI1261" s="598"/>
      <c r="BJ1261" s="598"/>
      <c r="BK1261" s="598"/>
      <c r="BL1261" s="598"/>
      <c r="BM1261" s="598"/>
      <c r="BN1261" s="598"/>
      <c r="BO1261" s="598"/>
      <c r="BP1261" s="598"/>
      <c r="BQ1261" s="598"/>
      <c r="BR1261" s="598"/>
      <c r="BS1261" s="598"/>
      <c r="BT1261" s="1429" t="e">
        <f>BT1252+BT1256+BT1260</f>
        <v>#REF!</v>
      </c>
      <c r="BU1261" s="1429"/>
      <c r="BV1261" s="1429"/>
      <c r="BW1261" s="1429"/>
      <c r="BX1261" s="1429"/>
      <c r="BY1261" s="1429"/>
      <c r="BZ1261" s="1429"/>
      <c r="CA1261" s="1429"/>
      <c r="CB1261" s="1429"/>
      <c r="CC1261" s="1429"/>
      <c r="CD1261" s="598"/>
      <c r="CE1261" s="598"/>
      <c r="CF1261" s="599"/>
    </row>
    <row r="1262" spans="1:89" s="583" customFormat="1" ht="9.9499999999999993" customHeight="1">
      <c r="A1262" s="574"/>
      <c r="B1262" s="574"/>
      <c r="C1262" s="574"/>
      <c r="D1262" s="574"/>
      <c r="E1262" s="574"/>
      <c r="F1262" s="574"/>
      <c r="G1262" s="574"/>
      <c r="H1262" s="574"/>
      <c r="I1262" s="574"/>
      <c r="J1262" s="574"/>
      <c r="K1262" s="574"/>
      <c r="L1262" s="574"/>
      <c r="M1262" s="574"/>
      <c r="N1262" s="574"/>
      <c r="O1262" s="574"/>
      <c r="P1262" s="574"/>
      <c r="Q1262" s="574"/>
      <c r="R1262" s="574"/>
      <c r="S1262" s="574"/>
      <c r="T1262" s="574"/>
      <c r="U1262" s="574"/>
      <c r="V1262" s="574"/>
      <c r="W1262" s="574"/>
      <c r="X1262" s="574"/>
      <c r="Y1262" s="574"/>
      <c r="Z1262" s="574"/>
      <c r="AA1262" s="574"/>
      <c r="AB1262" s="574"/>
      <c r="AC1262" s="574"/>
      <c r="AD1262" s="574"/>
      <c r="AE1262" s="574"/>
      <c r="AF1262" s="574"/>
      <c r="AG1262" s="574"/>
      <c r="AH1262" s="574"/>
      <c r="AI1262" s="574"/>
      <c r="AJ1262" s="574"/>
      <c r="AK1262" s="574"/>
      <c r="AL1262" s="574"/>
      <c r="AM1262" s="574"/>
      <c r="AN1262" s="574"/>
      <c r="AO1262" s="574"/>
      <c r="AP1262" s="574"/>
      <c r="AQ1262" s="574"/>
      <c r="AR1262" s="574"/>
      <c r="AS1262" s="574"/>
      <c r="AT1262" s="574"/>
      <c r="AU1262" s="574"/>
      <c r="AV1262" s="574"/>
      <c r="AW1262" s="574"/>
      <c r="AX1262" s="574"/>
      <c r="AY1262" s="574"/>
      <c r="AZ1262" s="574"/>
      <c r="BA1262" s="574"/>
      <c r="BB1262" s="574"/>
      <c r="BC1262" s="574"/>
      <c r="BD1262" s="574"/>
      <c r="BE1262" s="574"/>
      <c r="BF1262" s="574"/>
      <c r="BG1262" s="574"/>
      <c r="BH1262" s="574"/>
      <c r="BI1262" s="574"/>
      <c r="BJ1262" s="574"/>
      <c r="BK1262" s="574"/>
      <c r="BL1262" s="574"/>
      <c r="BM1262" s="574"/>
      <c r="BN1262" s="574"/>
      <c r="BO1262" s="574"/>
      <c r="BP1262" s="574"/>
      <c r="BQ1262" s="574"/>
      <c r="BR1262" s="574"/>
      <c r="BS1262" s="574"/>
      <c r="BT1262" s="574"/>
      <c r="BU1262" s="574"/>
      <c r="BV1262" s="574"/>
      <c r="BW1262" s="574"/>
      <c r="BX1262" s="574"/>
      <c r="BY1262" s="574"/>
      <c r="BZ1262" s="574"/>
      <c r="CA1262" s="574"/>
      <c r="CB1262" s="574"/>
      <c r="CC1262" s="574"/>
      <c r="CD1262" s="574"/>
      <c r="CE1262" s="574"/>
      <c r="CF1262" s="574"/>
    </row>
    <row r="1263" spans="1:89" s="583" customFormat="1" ht="23.1" customHeight="1" thickBot="1">
      <c r="A1263" s="1446" t="s">
        <v>1095</v>
      </c>
      <c r="B1263" s="1446"/>
      <c r="C1263" s="1446"/>
      <c r="D1263" s="1446"/>
      <c r="E1263" s="1446"/>
      <c r="F1263" s="1446"/>
      <c r="G1263" s="1447">
        <f>G1248+1</f>
        <v>85</v>
      </c>
      <c r="H1263" s="1447"/>
      <c r="I1263" s="1447"/>
      <c r="J1263" s="1448" t="s">
        <v>1096</v>
      </c>
      <c r="K1263" s="1448"/>
      <c r="L1263" s="574"/>
      <c r="M1263" s="574"/>
      <c r="N1263" s="574"/>
      <c r="O1263" s="574"/>
      <c r="P1263" s="574"/>
      <c r="Q1263" s="574"/>
      <c r="R1263" s="574"/>
      <c r="S1263" s="574"/>
      <c r="T1263" s="574"/>
      <c r="U1263" s="574"/>
      <c r="V1263" s="574"/>
      <c r="W1263" s="574"/>
      <c r="X1263" s="574"/>
      <c r="Y1263" s="574"/>
      <c r="Z1263" s="574"/>
      <c r="AA1263" s="574"/>
      <c r="AB1263" s="574"/>
      <c r="AC1263" s="574"/>
      <c r="AD1263" s="574"/>
      <c r="AE1263" s="574"/>
      <c r="AF1263" s="574"/>
      <c r="AG1263" s="574"/>
      <c r="AH1263" s="574"/>
      <c r="AI1263" s="574"/>
      <c r="AJ1263" s="574"/>
      <c r="AK1263" s="574"/>
      <c r="AL1263" s="574"/>
      <c r="AM1263" s="574"/>
      <c r="AN1263" s="574"/>
      <c r="AO1263" s="574"/>
      <c r="AP1263" s="574"/>
      <c r="AQ1263" s="574"/>
      <c r="AR1263" s="574"/>
      <c r="AS1263" s="574"/>
      <c r="AT1263" s="574"/>
      <c r="AU1263" s="574"/>
      <c r="AV1263" s="574"/>
      <c r="AW1263" s="574"/>
      <c r="AX1263" s="574"/>
      <c r="AY1263" s="574"/>
      <c r="AZ1263" s="574"/>
      <c r="BA1263" s="574"/>
      <c r="BB1263" s="574"/>
      <c r="BC1263" s="574"/>
      <c r="BD1263" s="574"/>
      <c r="BE1263" s="574"/>
      <c r="BF1263" s="574"/>
      <c r="BG1263" s="574"/>
      <c r="BH1263" s="574"/>
      <c r="BI1263" s="574"/>
      <c r="BJ1263" s="574"/>
      <c r="BK1263" s="574"/>
      <c r="BL1263" s="574"/>
      <c r="BM1263" s="574"/>
      <c r="BN1263" s="574"/>
      <c r="BO1263" s="574"/>
      <c r="BP1263" s="574"/>
      <c r="BQ1263" s="574"/>
      <c r="BR1263" s="574"/>
      <c r="BS1263" s="574"/>
      <c r="BT1263" s="574"/>
      <c r="BU1263" s="574"/>
      <c r="BV1263" s="574"/>
      <c r="BW1263" s="574"/>
      <c r="BX1263" s="574"/>
      <c r="BY1263" s="574"/>
      <c r="BZ1263" s="574"/>
      <c r="CA1263" s="574"/>
      <c r="CB1263" s="574"/>
      <c r="CC1263" s="574"/>
      <c r="CD1263" s="574"/>
      <c r="CE1263" s="574"/>
      <c r="CF1263" s="574"/>
    </row>
    <row r="1264" spans="1:89" s="603" customFormat="1" ht="23.1" customHeight="1" thickBot="1">
      <c r="A1264" s="1438" t="s">
        <v>1097</v>
      </c>
      <c r="B1264" s="1439"/>
      <c r="C1264" s="1439"/>
      <c r="D1264" s="1439"/>
      <c r="E1264" s="1439"/>
      <c r="F1264" s="1439"/>
      <c r="G1264" s="1439"/>
      <c r="H1264" s="1439"/>
      <c r="I1264" s="601" t="s">
        <v>1243</v>
      </c>
      <c r="J1264" s="601"/>
      <c r="K1264" s="601"/>
      <c r="L1264" s="601"/>
      <c r="M1264" s="601"/>
      <c r="N1264" s="601"/>
      <c r="O1264" s="601"/>
      <c r="P1264" s="601"/>
      <c r="Q1264" s="601"/>
      <c r="R1264" s="601"/>
      <c r="S1264" s="601"/>
      <c r="T1264" s="601"/>
      <c r="U1264" s="601"/>
      <c r="V1264" s="601"/>
      <c r="W1264" s="601"/>
      <c r="X1264" s="601"/>
      <c r="Y1264" s="601"/>
      <c r="Z1264" s="601"/>
      <c r="AA1264" s="601"/>
      <c r="AB1264" s="601"/>
      <c r="AC1264" s="601"/>
      <c r="AD1264" s="601"/>
      <c r="AE1264" s="601"/>
      <c r="AF1264" s="601"/>
      <c r="AG1264" s="601"/>
      <c r="AH1264" s="601"/>
      <c r="AI1264" s="601"/>
      <c r="AJ1264" s="1439" t="s">
        <v>1099</v>
      </c>
      <c r="AK1264" s="1439"/>
      <c r="AL1264" s="1439"/>
      <c r="AM1264" s="1439"/>
      <c r="AN1264" s="1439"/>
      <c r="AO1264" s="1439"/>
      <c r="AP1264" s="1439"/>
      <c r="AQ1264" s="601" t="s">
        <v>1244</v>
      </c>
      <c r="AR1264" s="601"/>
      <c r="AS1264" s="601"/>
      <c r="AT1264" s="601"/>
      <c r="AU1264" s="601"/>
      <c r="AV1264" s="601"/>
      <c r="AW1264" s="601"/>
      <c r="AX1264" s="601"/>
      <c r="AY1264" s="601"/>
      <c r="AZ1264" s="601"/>
      <c r="BA1264" s="601"/>
      <c r="BB1264" s="601"/>
      <c r="BC1264" s="601"/>
      <c r="BD1264" s="601"/>
      <c r="BE1264" s="601"/>
      <c r="BF1264" s="601"/>
      <c r="BG1264" s="601"/>
      <c r="BH1264" s="601"/>
      <c r="BI1264" s="601"/>
      <c r="BJ1264" s="601"/>
      <c r="BK1264" s="601"/>
      <c r="BL1264" s="601"/>
      <c r="BM1264" s="601"/>
      <c r="BN1264" s="601"/>
      <c r="BO1264" s="601"/>
      <c r="BP1264" s="601"/>
      <c r="BQ1264" s="601"/>
      <c r="BR1264" s="601"/>
      <c r="BS1264" s="601"/>
      <c r="BT1264" s="601" t="s">
        <v>1245</v>
      </c>
      <c r="BU1264" s="601"/>
      <c r="BV1264" s="601"/>
      <c r="BW1264" s="601"/>
      <c r="BX1264" s="601"/>
      <c r="BY1264" s="601"/>
      <c r="BZ1264" s="601"/>
      <c r="CA1264" s="601"/>
      <c r="CB1264" s="601"/>
      <c r="CC1264" s="601"/>
      <c r="CD1264" s="601"/>
      <c r="CE1264" s="601"/>
      <c r="CF1264" s="602"/>
    </row>
    <row r="1265" spans="1:84" s="583" customFormat="1" ht="23.1" customHeight="1">
      <c r="A1265" s="584"/>
      <c r="B1265" s="585" t="s">
        <v>1102</v>
      </c>
      <c r="C1265" s="585"/>
      <c r="D1265" s="585"/>
      <c r="E1265" s="585"/>
      <c r="F1265" s="585"/>
      <c r="G1265" s="585"/>
      <c r="H1265" s="585"/>
      <c r="I1265" s="585"/>
      <c r="J1265" s="585"/>
      <c r="K1265" s="585"/>
      <c r="L1265" s="585"/>
      <c r="M1265" s="585"/>
      <c r="N1265" s="585"/>
      <c r="O1265" s="585"/>
      <c r="P1265" s="585"/>
      <c r="Q1265" s="585"/>
      <c r="R1265" s="585"/>
      <c r="S1265" s="585"/>
      <c r="T1265" s="585"/>
      <c r="U1265" s="585"/>
      <c r="V1265" s="585"/>
      <c r="W1265" s="585"/>
      <c r="X1265" s="585"/>
      <c r="Y1265" s="585"/>
      <c r="Z1265" s="585"/>
      <c r="AA1265" s="585"/>
      <c r="AB1265" s="585"/>
      <c r="AC1265" s="585"/>
      <c r="AD1265" s="585"/>
      <c r="AE1265" s="585"/>
      <c r="AF1265" s="585"/>
      <c r="AG1265" s="585"/>
      <c r="AH1265" s="585"/>
      <c r="AI1265" s="585"/>
      <c r="AJ1265" s="585"/>
      <c r="AK1265" s="585"/>
      <c r="AL1265" s="585"/>
      <c r="AM1265" s="585"/>
      <c r="AN1265" s="585"/>
      <c r="AO1265" s="585"/>
      <c r="AP1265" s="585"/>
      <c r="AQ1265" s="585"/>
      <c r="AR1265" s="585"/>
      <c r="AS1265" s="585"/>
      <c r="AT1265" s="585"/>
      <c r="AU1265" s="585"/>
      <c r="AV1265" s="585"/>
      <c r="AW1265" s="585"/>
      <c r="AX1265" s="585"/>
      <c r="AY1265" s="585"/>
      <c r="AZ1265" s="585"/>
      <c r="BA1265" s="585"/>
      <c r="BB1265" s="585"/>
      <c r="BC1265" s="585"/>
      <c r="BD1265" s="585"/>
      <c r="BE1265" s="585"/>
      <c r="BF1265" s="585"/>
      <c r="BG1265" s="585"/>
      <c r="BH1265" s="585"/>
      <c r="BI1265" s="585"/>
      <c r="BJ1265" s="585"/>
      <c r="BK1265" s="585"/>
      <c r="BL1265" s="585"/>
      <c r="BM1265" s="585"/>
      <c r="BN1265" s="585"/>
      <c r="BO1265" s="585"/>
      <c r="BP1265" s="585"/>
      <c r="BQ1265" s="585"/>
      <c r="BR1265" s="585"/>
      <c r="BS1265" s="585"/>
      <c r="BT1265" s="585"/>
      <c r="BU1265" s="585"/>
      <c r="BV1265" s="585"/>
      <c r="BW1265" s="585"/>
      <c r="BX1265" s="585"/>
      <c r="BY1265" s="585"/>
      <c r="BZ1265" s="585"/>
      <c r="CA1265" s="585"/>
      <c r="CB1265" s="585"/>
      <c r="CC1265" s="585"/>
      <c r="CD1265" s="585"/>
      <c r="CE1265" s="585"/>
      <c r="CF1265" s="586"/>
    </row>
    <row r="1266" spans="1:84" s="583" customFormat="1" ht="23.1" customHeight="1">
      <c r="A1266" s="587"/>
      <c r="B1266" s="574"/>
      <c r="C1266" s="574"/>
      <c r="D1266" s="405"/>
      <c r="E1266" s="574"/>
      <c r="F1266" s="422"/>
      <c r="G1266" s="422"/>
      <c r="H1266" s="422"/>
      <c r="I1266" s="422"/>
      <c r="J1266" s="422"/>
      <c r="K1266" s="422"/>
      <c r="L1266" s="422"/>
      <c r="M1266" s="422"/>
      <c r="N1266" s="574"/>
      <c r="O1266" s="574"/>
      <c r="P1266" s="574"/>
      <c r="Q1266" s="574"/>
      <c r="R1266" s="574"/>
      <c r="S1266" s="588"/>
      <c r="T1266" s="588"/>
      <c r="U1266" s="588"/>
      <c r="V1266" s="588"/>
      <c r="W1266" s="588"/>
      <c r="X1266" s="588"/>
      <c r="Y1266" s="588"/>
      <c r="Z1266" s="588"/>
      <c r="AA1266" s="574"/>
      <c r="AB1266" s="588"/>
      <c r="AC1266" s="585"/>
      <c r="AD1266" s="585"/>
      <c r="AE1266" s="600"/>
      <c r="AF1266" s="600"/>
      <c r="AG1266" s="600"/>
      <c r="AH1266" s="600"/>
      <c r="AI1266" s="600"/>
      <c r="AJ1266" s="600"/>
      <c r="AK1266" s="600"/>
      <c r="AL1266" s="600"/>
      <c r="AM1266" s="585"/>
      <c r="AN1266" s="585"/>
      <c r="AO1266" s="574"/>
      <c r="AP1266" s="430"/>
      <c r="AQ1266" s="430"/>
      <c r="AR1266" s="430"/>
      <c r="AS1266" s="430"/>
      <c r="AT1266" s="430"/>
      <c r="AU1266" s="430"/>
      <c r="AV1266" s="430"/>
      <c r="AW1266" s="430"/>
      <c r="AX1266" s="430"/>
      <c r="AY1266" s="430"/>
      <c r="AZ1266" s="430"/>
      <c r="BA1266" s="430"/>
      <c r="BB1266" s="430"/>
      <c r="BC1266" s="430"/>
      <c r="BD1266" s="574"/>
      <c r="BE1266" s="574"/>
      <c r="BF1266" s="574"/>
      <c r="BG1266" s="574"/>
      <c r="BH1266" s="574"/>
      <c r="BI1266" s="574"/>
      <c r="BJ1266" s="574"/>
      <c r="BK1266" s="574"/>
      <c r="BL1266" s="574"/>
      <c r="BM1266" s="574"/>
      <c r="BN1266" s="574"/>
      <c r="BO1266" s="574"/>
      <c r="BP1266" s="574"/>
      <c r="BQ1266" s="574"/>
      <c r="BR1266" s="574"/>
      <c r="BS1266" s="574"/>
      <c r="BT1266" s="574"/>
      <c r="BU1266" s="574"/>
      <c r="BV1266" s="574"/>
      <c r="BW1266" s="574"/>
      <c r="BX1266" s="574"/>
      <c r="BY1266" s="574"/>
      <c r="BZ1266" s="574"/>
      <c r="CA1266" s="574"/>
      <c r="CB1266" s="574"/>
      <c r="CC1266" s="574"/>
      <c r="CD1266" s="574"/>
      <c r="CE1266" s="574"/>
      <c r="CF1266" s="589"/>
    </row>
    <row r="1267" spans="1:84" s="583" customFormat="1" ht="23.1" customHeight="1">
      <c r="A1267" s="584"/>
      <c r="B1267" s="585"/>
      <c r="C1267" s="585"/>
      <c r="D1267" s="585"/>
      <c r="E1267" s="585"/>
      <c r="F1267" s="585"/>
      <c r="G1267" s="585"/>
      <c r="H1267" s="585"/>
      <c r="I1267" s="585"/>
      <c r="J1267" s="585"/>
      <c r="K1267" s="585"/>
      <c r="L1267" s="585"/>
      <c r="M1267" s="585"/>
      <c r="N1267" s="585"/>
      <c r="O1267" s="585"/>
      <c r="P1267" s="585"/>
      <c r="Q1267" s="585"/>
      <c r="R1267" s="585"/>
      <c r="S1267" s="585"/>
      <c r="T1267" s="585"/>
      <c r="U1267" s="585"/>
      <c r="V1267" s="590"/>
      <c r="W1267" s="590"/>
      <c r="X1267" s="590"/>
      <c r="Y1267" s="590"/>
      <c r="Z1267" s="590"/>
      <c r="AA1267" s="590"/>
      <c r="AB1267" s="590"/>
      <c r="AC1267" s="590"/>
      <c r="AD1267" s="574"/>
      <c r="AE1267" s="1440">
        <v>896000</v>
      </c>
      <c r="AF1267" s="1440"/>
      <c r="AG1267" s="1440"/>
      <c r="AH1267" s="1440"/>
      <c r="AI1267" s="1440"/>
      <c r="AJ1267" s="1440"/>
      <c r="AK1267" s="1440"/>
      <c r="AL1267" s="1440"/>
      <c r="AM1267" s="1440"/>
      <c r="AN1267" s="1440"/>
      <c r="AO1267" s="1440"/>
      <c r="AP1267" s="1440"/>
      <c r="AQ1267" s="1440"/>
      <c r="AR1267" s="1440"/>
      <c r="AS1267" s="1440"/>
      <c r="AT1267" s="1431" t="s">
        <v>446</v>
      </c>
      <c r="AU1267" s="1431"/>
      <c r="AV1267" s="1441" t="s">
        <v>1103</v>
      </c>
      <c r="AW1267" s="1441"/>
      <c r="AX1267" s="1442">
        <v>5268</v>
      </c>
      <c r="AY1267" s="1442"/>
      <c r="AZ1267" s="1442"/>
      <c r="BA1267" s="1442"/>
      <c r="BB1267" s="1442"/>
      <c r="BC1267" s="1442"/>
      <c r="BD1267" s="585"/>
      <c r="BE1267" s="1431" t="s">
        <v>446</v>
      </c>
      <c r="BF1267" s="1431"/>
      <c r="BG1267" s="585"/>
      <c r="BH1267" s="591" t="s">
        <v>1104</v>
      </c>
      <c r="BI1267" s="585"/>
      <c r="BJ1267" s="585"/>
      <c r="BK1267" s="585"/>
      <c r="BL1267" s="1431" t="s">
        <v>1105</v>
      </c>
      <c r="BM1267" s="1431"/>
      <c r="BN1267" s="1431"/>
      <c r="BO1267" s="585"/>
      <c r="BP1267" s="1431" t="s">
        <v>41</v>
      </c>
      <c r="BQ1267" s="1431"/>
      <c r="BR1267" s="585"/>
      <c r="BS1267" s="585"/>
      <c r="BT1267" s="1437">
        <f>INT(AE1267*AX1267*10^-7)</f>
        <v>472</v>
      </c>
      <c r="BU1267" s="1437"/>
      <c r="BV1267" s="1437"/>
      <c r="BW1267" s="1437"/>
      <c r="BX1267" s="1437"/>
      <c r="BY1267" s="1437"/>
      <c r="BZ1267" s="1437"/>
      <c r="CA1267" s="1437"/>
      <c r="CB1267" s="1437"/>
      <c r="CC1267" s="1437"/>
      <c r="CD1267" s="585"/>
      <c r="CE1267" s="585"/>
      <c r="CF1267" s="586"/>
    </row>
    <row r="1268" spans="1:84" s="583" customFormat="1" ht="23.1" customHeight="1">
      <c r="A1268" s="592"/>
      <c r="B1268" s="593" t="s">
        <v>1106</v>
      </c>
      <c r="C1268" s="593"/>
      <c r="D1268" s="593"/>
      <c r="E1268" s="593"/>
      <c r="F1268" s="593"/>
      <c r="G1268" s="593"/>
      <c r="H1268" s="593"/>
      <c r="I1268" s="593"/>
      <c r="J1268" s="593"/>
      <c r="K1268" s="593"/>
      <c r="L1268" s="593"/>
      <c r="M1268" s="593"/>
      <c r="N1268" s="593"/>
      <c r="O1268" s="593"/>
      <c r="P1268" s="593"/>
      <c r="Q1268" s="593"/>
      <c r="R1268" s="593"/>
      <c r="S1268" s="593"/>
      <c r="T1268" s="593"/>
      <c r="U1268" s="593"/>
      <c r="V1268" s="593"/>
      <c r="W1268" s="593"/>
      <c r="X1268" s="593"/>
      <c r="Y1268" s="593"/>
      <c r="Z1268" s="593"/>
      <c r="AA1268" s="593"/>
      <c r="AB1268" s="593"/>
      <c r="AC1268" s="593"/>
      <c r="AD1268" s="593"/>
      <c r="AE1268" s="593"/>
      <c r="AF1268" s="593"/>
      <c r="AG1268" s="593"/>
      <c r="AH1268" s="593"/>
      <c r="AI1268" s="593"/>
      <c r="AJ1268" s="593"/>
      <c r="AK1268" s="593"/>
      <c r="AL1268" s="593"/>
      <c r="AM1268" s="593"/>
      <c r="AN1268" s="593"/>
      <c r="AO1268" s="593"/>
      <c r="AP1268" s="593"/>
      <c r="AQ1268" s="593"/>
      <c r="AR1268" s="593"/>
      <c r="AS1268" s="593"/>
      <c r="AT1268" s="593"/>
      <c r="AU1268" s="593"/>
      <c r="AV1268" s="593"/>
      <c r="AW1268" s="593"/>
      <c r="AX1268" s="593"/>
      <c r="AY1268" s="593"/>
      <c r="AZ1268" s="593"/>
      <c r="BA1268" s="593"/>
      <c r="BB1268" s="593"/>
      <c r="BC1268" s="593"/>
      <c r="BD1268" s="593"/>
      <c r="BE1268" s="593"/>
      <c r="BF1268" s="593"/>
      <c r="BG1268" s="593"/>
      <c r="BH1268" s="593"/>
      <c r="BI1268" s="593"/>
      <c r="BJ1268" s="593"/>
      <c r="BK1268" s="593"/>
      <c r="BL1268" s="593"/>
      <c r="BM1268" s="593"/>
      <c r="BN1268" s="593"/>
      <c r="BO1268" s="593"/>
      <c r="BP1268" s="593"/>
      <c r="BQ1268" s="593"/>
      <c r="BR1268" s="593"/>
      <c r="BS1268" s="593"/>
      <c r="BT1268" s="594"/>
      <c r="BU1268" s="594"/>
      <c r="BV1268" s="594"/>
      <c r="BW1268" s="594"/>
      <c r="BX1268" s="594"/>
      <c r="BY1268" s="594"/>
      <c r="BZ1268" s="594"/>
      <c r="CA1268" s="594"/>
      <c r="CB1268" s="594"/>
      <c r="CC1268" s="594"/>
      <c r="CD1268" s="593"/>
      <c r="CE1268" s="593"/>
      <c r="CF1268" s="595"/>
    </row>
    <row r="1269" spans="1:84" s="583" customFormat="1" ht="23.1" customHeight="1">
      <c r="A1269" s="584"/>
      <c r="B1269" s="585"/>
      <c r="C1269" s="585"/>
      <c r="D1269" s="596"/>
      <c r="E1269" s="585"/>
      <c r="F1269" s="585"/>
      <c r="G1269" s="585"/>
      <c r="H1269" s="585"/>
      <c r="I1269" s="585"/>
      <c r="J1269" s="585"/>
      <c r="K1269" s="585"/>
      <c r="L1269" s="585"/>
      <c r="M1269" s="585"/>
      <c r="N1269" s="585"/>
      <c r="O1269" s="585"/>
      <c r="P1269" s="585"/>
      <c r="Q1269" s="585"/>
      <c r="R1269" s="585"/>
      <c r="S1269" s="585"/>
      <c r="T1269" s="574"/>
      <c r="U1269" s="574"/>
      <c r="V1269" s="1430"/>
      <c r="W1269" s="1430"/>
      <c r="X1269" s="1430"/>
      <c r="Y1269" s="1430"/>
      <c r="Z1269" s="1430"/>
      <c r="AA1269" s="1430"/>
      <c r="AB1269" s="1430"/>
      <c r="AC1269" s="1430"/>
      <c r="AD1269" s="1430"/>
      <c r="AE1269" s="1430"/>
      <c r="AF1269" s="1431"/>
      <c r="AG1269" s="1431"/>
      <c r="AH1269" s="574"/>
      <c r="AI1269" s="1436"/>
      <c r="AJ1269" s="1436"/>
      <c r="AK1269" s="1436"/>
      <c r="AL1269" s="1436"/>
      <c r="AM1269" s="585"/>
      <c r="AN1269" s="1431"/>
      <c r="AO1269" s="1431"/>
      <c r="AP1269" s="585"/>
      <c r="AQ1269" s="1436"/>
      <c r="AR1269" s="1436"/>
      <c r="AS1269" s="1436"/>
      <c r="AT1269" s="1436"/>
      <c r="AU1269" s="1436"/>
      <c r="AV1269" s="422"/>
      <c r="AW1269" s="1431"/>
      <c r="AX1269" s="1431"/>
      <c r="AY1269" s="440"/>
      <c r="AZ1269" s="1436"/>
      <c r="BA1269" s="1436"/>
      <c r="BB1269" s="1436"/>
      <c r="BC1269" s="1436"/>
      <c r="BD1269" s="1436"/>
      <c r="BE1269" s="585"/>
      <c r="BF1269" s="1431"/>
      <c r="BG1269" s="1431"/>
      <c r="BH1269" s="1431"/>
      <c r="BI1269" s="1431"/>
      <c r="BJ1269" s="1431"/>
      <c r="BK1269" s="585"/>
      <c r="BL1269" s="585"/>
      <c r="BM1269" s="585"/>
      <c r="BN1269" s="585"/>
      <c r="BO1269" s="585"/>
      <c r="BP1269" s="1431"/>
      <c r="BQ1269" s="1431"/>
      <c r="BR1269" s="585"/>
      <c r="BS1269" s="585"/>
      <c r="BT1269" s="1432"/>
      <c r="BU1269" s="1432"/>
      <c r="BV1269" s="1432"/>
      <c r="BW1269" s="1432"/>
      <c r="BX1269" s="1432"/>
      <c r="BY1269" s="1432"/>
      <c r="BZ1269" s="1432"/>
      <c r="CA1269" s="1432"/>
      <c r="CB1269" s="1432"/>
      <c r="CC1269" s="1432"/>
      <c r="CD1269" s="585"/>
      <c r="CE1269" s="585"/>
      <c r="CF1269" s="586"/>
    </row>
    <row r="1270" spans="1:84" s="583" customFormat="1" ht="23.1" customHeight="1">
      <c r="A1270" s="584"/>
      <c r="B1270" s="585"/>
      <c r="C1270" s="585"/>
      <c r="D1270" s="585"/>
      <c r="E1270" s="585"/>
      <c r="F1270" s="585"/>
      <c r="G1270" s="585"/>
      <c r="H1270" s="585"/>
      <c r="I1270" s="585"/>
      <c r="J1270" s="585"/>
      <c r="K1270" s="585"/>
      <c r="L1270" s="585"/>
      <c r="M1270" s="585"/>
      <c r="N1270" s="585"/>
      <c r="O1270" s="585"/>
      <c r="P1270" s="574"/>
      <c r="Q1270" s="574"/>
      <c r="R1270" s="574"/>
      <c r="S1270" s="574"/>
      <c r="T1270" s="574"/>
      <c r="U1270" s="574"/>
      <c r="V1270" s="574"/>
      <c r="W1270" s="574"/>
      <c r="X1270" s="574"/>
      <c r="Y1270" s="574"/>
      <c r="Z1270" s="574"/>
      <c r="AA1270" s="574"/>
      <c r="AB1270" s="574"/>
      <c r="AC1270" s="574"/>
      <c r="AD1270" s="574"/>
      <c r="AE1270" s="574"/>
      <c r="AF1270" s="574"/>
      <c r="AG1270" s="574"/>
      <c r="AH1270" s="574"/>
      <c r="AI1270" s="574"/>
      <c r="AJ1270" s="574"/>
      <c r="AK1270" s="574"/>
      <c r="AL1270" s="574"/>
      <c r="AM1270" s="574"/>
      <c r="AN1270" s="574"/>
      <c r="AO1270" s="574"/>
      <c r="AP1270" s="574"/>
      <c r="AQ1270" s="574"/>
      <c r="AR1270" s="574"/>
      <c r="AS1270" s="574"/>
      <c r="AT1270" s="574"/>
      <c r="AU1270" s="574"/>
      <c r="AV1270" s="574"/>
      <c r="AW1270" s="574"/>
      <c r="AX1270" s="574"/>
      <c r="AY1270" s="574"/>
      <c r="AZ1270" s="574"/>
      <c r="BA1270" s="574"/>
      <c r="BB1270" s="574"/>
      <c r="BC1270" s="574"/>
      <c r="BD1270" s="574"/>
      <c r="BE1270" s="574"/>
      <c r="BF1270" s="574"/>
      <c r="BG1270" s="585"/>
      <c r="BH1270" s="585"/>
      <c r="BI1270" s="585"/>
      <c r="BJ1270" s="585"/>
      <c r="BK1270" s="585"/>
      <c r="BL1270" s="585"/>
      <c r="BM1270" s="585"/>
      <c r="BN1270" s="585"/>
      <c r="BO1270" s="585"/>
      <c r="BP1270" s="1431"/>
      <c r="BQ1270" s="1431"/>
      <c r="BR1270" s="585"/>
      <c r="BS1270" s="585"/>
      <c r="BT1270" s="1432"/>
      <c r="BU1270" s="1432"/>
      <c r="BV1270" s="1432"/>
      <c r="BW1270" s="1432"/>
      <c r="BX1270" s="1432"/>
      <c r="BY1270" s="1432"/>
      <c r="BZ1270" s="1432"/>
      <c r="CA1270" s="1432"/>
      <c r="CB1270" s="1432"/>
      <c r="CC1270" s="1432"/>
      <c r="CD1270" s="585"/>
      <c r="CE1270" s="585"/>
      <c r="CF1270" s="586"/>
    </row>
    <row r="1271" spans="1:84" s="583" customFormat="1" ht="23.1" customHeight="1">
      <c r="A1271" s="584"/>
      <c r="B1271" s="585"/>
      <c r="C1271" s="585"/>
      <c r="D1271" s="585"/>
      <c r="E1271" s="585"/>
      <c r="F1271" s="585"/>
      <c r="G1271" s="585"/>
      <c r="H1271" s="585"/>
      <c r="I1271" s="585"/>
      <c r="J1271" s="585"/>
      <c r="K1271" s="585"/>
      <c r="L1271" s="585"/>
      <c r="M1271" s="585"/>
      <c r="N1271" s="585"/>
      <c r="O1271" s="585"/>
      <c r="P1271" s="585"/>
      <c r="Q1271" s="585"/>
      <c r="R1271" s="585"/>
      <c r="S1271" s="585"/>
      <c r="T1271" s="585"/>
      <c r="U1271" s="585"/>
      <c r="V1271" s="585"/>
      <c r="W1271" s="585"/>
      <c r="X1271" s="585"/>
      <c r="Y1271" s="585"/>
      <c r="Z1271" s="585"/>
      <c r="AA1271" s="585"/>
      <c r="AB1271" s="585"/>
      <c r="AC1271" s="585"/>
      <c r="AD1271" s="574"/>
      <c r="AE1271" s="574"/>
      <c r="AF1271" s="574"/>
      <c r="AG1271" s="574"/>
      <c r="AH1271" s="574"/>
      <c r="AI1271" s="574"/>
      <c r="AJ1271" s="574"/>
      <c r="AK1271" s="574"/>
      <c r="AL1271" s="574"/>
      <c r="AM1271" s="574"/>
      <c r="AN1271" s="574"/>
      <c r="AO1271" s="574"/>
      <c r="AP1271" s="574"/>
      <c r="AQ1271" s="574"/>
      <c r="AR1271" s="574"/>
      <c r="AS1271" s="585"/>
      <c r="AT1271" s="590"/>
      <c r="AU1271" s="590"/>
      <c r="AV1271" s="585"/>
      <c r="AW1271" s="585"/>
      <c r="AX1271" s="585"/>
      <c r="AY1271" s="585"/>
      <c r="AZ1271" s="585"/>
      <c r="BA1271" s="585"/>
      <c r="BB1271" s="585"/>
      <c r="BC1271" s="585"/>
      <c r="BD1271" s="585"/>
      <c r="BE1271" s="585"/>
      <c r="BF1271" s="585"/>
      <c r="BG1271" s="585"/>
      <c r="BH1271" s="585"/>
      <c r="BI1271" s="585"/>
      <c r="BJ1271" s="585"/>
      <c r="BK1271" s="585"/>
      <c r="BL1271" s="585"/>
      <c r="BM1271" s="585"/>
      <c r="BN1271" s="585"/>
      <c r="BO1271" s="585"/>
      <c r="BP1271" s="1431" t="s">
        <v>41</v>
      </c>
      <c r="BQ1271" s="1431"/>
      <c r="BR1271" s="585"/>
      <c r="BS1271" s="585"/>
      <c r="BT1271" s="1434">
        <f>BT1269+BT1270</f>
        <v>0</v>
      </c>
      <c r="BU1271" s="1434"/>
      <c r="BV1271" s="1434"/>
      <c r="BW1271" s="1434"/>
      <c r="BX1271" s="1434"/>
      <c r="BY1271" s="1434"/>
      <c r="BZ1271" s="1434"/>
      <c r="CA1271" s="1434"/>
      <c r="CB1271" s="1434"/>
      <c r="CC1271" s="1434"/>
      <c r="CD1271" s="585"/>
      <c r="CE1271" s="585"/>
      <c r="CF1271" s="586"/>
    </row>
    <row r="1272" spans="1:84" s="583" customFormat="1" ht="23.1" customHeight="1">
      <c r="A1272" s="592"/>
      <c r="B1272" s="593" t="s">
        <v>1110</v>
      </c>
      <c r="C1272" s="593"/>
      <c r="D1272" s="593"/>
      <c r="E1272" s="593"/>
      <c r="F1272" s="593"/>
      <c r="G1272" s="593"/>
      <c r="H1272" s="593"/>
      <c r="I1272" s="593"/>
      <c r="J1272" s="593"/>
      <c r="K1272" s="593"/>
      <c r="L1272" s="593"/>
      <c r="M1272" s="593"/>
      <c r="N1272" s="593"/>
      <c r="O1272" s="593"/>
      <c r="P1272" s="593"/>
      <c r="Q1272" s="593"/>
      <c r="R1272" s="593"/>
      <c r="S1272" s="593"/>
      <c r="T1272" s="593"/>
      <c r="U1272" s="593"/>
      <c r="V1272" s="593"/>
      <c r="W1272" s="593"/>
      <c r="X1272" s="593"/>
      <c r="Y1272" s="593"/>
      <c r="Z1272" s="593"/>
      <c r="AA1272" s="593"/>
      <c r="AB1272" s="593"/>
      <c r="AC1272" s="593"/>
      <c r="AD1272" s="593"/>
      <c r="AE1272" s="593"/>
      <c r="AF1272" s="593"/>
      <c r="AG1272" s="593"/>
      <c r="AH1272" s="593"/>
      <c r="AI1272" s="593"/>
      <c r="AJ1272" s="593"/>
      <c r="AK1272" s="593"/>
      <c r="AL1272" s="593"/>
      <c r="AM1272" s="593"/>
      <c r="AN1272" s="593"/>
      <c r="AO1272" s="593"/>
      <c r="AP1272" s="593"/>
      <c r="AQ1272" s="593"/>
      <c r="AR1272" s="593"/>
      <c r="AS1272" s="593"/>
      <c r="AT1272" s="593"/>
      <c r="AU1272" s="593"/>
      <c r="AV1272" s="593"/>
      <c r="AW1272" s="593"/>
      <c r="AX1272" s="593"/>
      <c r="AY1272" s="593"/>
      <c r="AZ1272" s="593"/>
      <c r="BA1272" s="593"/>
      <c r="BB1272" s="593"/>
      <c r="BC1272" s="593"/>
      <c r="BD1272" s="593"/>
      <c r="BE1272" s="593"/>
      <c r="BF1272" s="593"/>
      <c r="BG1272" s="593"/>
      <c r="BH1272" s="593"/>
      <c r="BI1272" s="593"/>
      <c r="BJ1272" s="593"/>
      <c r="BK1272" s="593"/>
      <c r="BL1272" s="593"/>
      <c r="BM1272" s="593"/>
      <c r="BN1272" s="593"/>
      <c r="BO1272" s="593"/>
      <c r="BP1272" s="593"/>
      <c r="BQ1272" s="593"/>
      <c r="BR1272" s="593"/>
      <c r="BS1272" s="593"/>
      <c r="BT1272" s="593"/>
      <c r="BU1272" s="593"/>
      <c r="BV1272" s="593"/>
      <c r="BW1272" s="593"/>
      <c r="BX1272" s="593"/>
      <c r="BY1272" s="593"/>
      <c r="BZ1272" s="593"/>
      <c r="CA1272" s="593"/>
      <c r="CB1272" s="593"/>
      <c r="CC1272" s="593"/>
      <c r="CD1272" s="593"/>
      <c r="CE1272" s="593"/>
      <c r="CF1272" s="595"/>
    </row>
    <row r="1273" spans="1:84" s="583" customFormat="1" ht="23.1" customHeight="1">
      <c r="A1273" s="584"/>
      <c r="B1273" s="585"/>
      <c r="C1273" s="585"/>
      <c r="D1273" s="596"/>
      <c r="E1273" s="585"/>
      <c r="F1273" s="585"/>
      <c r="G1273" s="585"/>
      <c r="H1273" s="585"/>
      <c r="I1273" s="585"/>
      <c r="J1273" s="585"/>
      <c r="K1273" s="585"/>
      <c r="L1273" s="585"/>
      <c r="M1273" s="585"/>
      <c r="N1273" s="585"/>
      <c r="O1273" s="585"/>
      <c r="P1273" s="585"/>
      <c r="Q1273" s="585"/>
      <c r="R1273" s="585"/>
      <c r="S1273" s="585"/>
      <c r="T1273" s="585"/>
      <c r="U1273" s="585"/>
      <c r="V1273" s="585"/>
      <c r="W1273" s="585"/>
      <c r="X1273" s="585"/>
      <c r="Y1273" s="585"/>
      <c r="Z1273" s="585"/>
      <c r="AA1273" s="585"/>
      <c r="AB1273" s="585"/>
      <c r="AC1273" s="585"/>
      <c r="AD1273" s="585"/>
      <c r="AE1273" s="585"/>
      <c r="AF1273" s="585"/>
      <c r="AG1273" s="585"/>
      <c r="AH1273" s="585"/>
      <c r="AI1273" s="585"/>
      <c r="AJ1273" s="585"/>
      <c r="AK1273" s="585"/>
      <c r="AL1273" s="585"/>
      <c r="AM1273" s="585"/>
      <c r="AN1273" s="585"/>
      <c r="AO1273" s="585"/>
      <c r="AP1273" s="585"/>
      <c r="AQ1273" s="585"/>
      <c r="AR1273" s="422"/>
      <c r="AS1273" s="1430"/>
      <c r="AT1273" s="1430"/>
      <c r="AU1273" s="1430"/>
      <c r="AV1273" s="1430"/>
      <c r="AW1273" s="1430"/>
      <c r="AX1273" s="1430"/>
      <c r="AY1273" s="1430"/>
      <c r="AZ1273" s="1430"/>
      <c r="BA1273" s="1430"/>
      <c r="BB1273" s="1430"/>
      <c r="BC1273" s="585"/>
      <c r="BD1273" s="1431"/>
      <c r="BE1273" s="1431"/>
      <c r="BF1273" s="585"/>
      <c r="BG1273" s="1431"/>
      <c r="BH1273" s="1431"/>
      <c r="BI1273" s="1431"/>
      <c r="BJ1273" s="1431"/>
      <c r="BK1273" s="1431"/>
      <c r="BL1273" s="585"/>
      <c r="BM1273" s="585"/>
      <c r="BN1273" s="585"/>
      <c r="BO1273" s="585"/>
      <c r="BP1273" s="1431"/>
      <c r="BQ1273" s="1431"/>
      <c r="BR1273" s="585"/>
      <c r="BS1273" s="585"/>
      <c r="BT1273" s="1432"/>
      <c r="BU1273" s="1432"/>
      <c r="BV1273" s="1432"/>
      <c r="BW1273" s="1432"/>
      <c r="BX1273" s="1432"/>
      <c r="BY1273" s="1432"/>
      <c r="BZ1273" s="1432"/>
      <c r="CA1273" s="1432"/>
      <c r="CB1273" s="1432"/>
      <c r="CC1273" s="1432"/>
      <c r="CD1273" s="585"/>
      <c r="CE1273" s="585"/>
      <c r="CF1273" s="586"/>
    </row>
    <row r="1274" spans="1:84" s="583" customFormat="1" ht="23.1" customHeight="1">
      <c r="A1274" s="584"/>
      <c r="B1274" s="585"/>
      <c r="C1274" s="585"/>
      <c r="D1274" s="591"/>
      <c r="E1274" s="585"/>
      <c r="F1274" s="585"/>
      <c r="G1274" s="585"/>
      <c r="H1274" s="585"/>
      <c r="I1274" s="585"/>
      <c r="J1274" s="585"/>
      <c r="K1274" s="585"/>
      <c r="L1274" s="585"/>
      <c r="M1274" s="585"/>
      <c r="N1274" s="585"/>
      <c r="O1274" s="585"/>
      <c r="P1274" s="585"/>
      <c r="Q1274" s="585"/>
      <c r="R1274" s="585"/>
      <c r="S1274" s="585"/>
      <c r="T1274" s="585"/>
      <c r="U1274" s="585"/>
      <c r="V1274" s="585"/>
      <c r="W1274" s="585"/>
      <c r="X1274" s="585"/>
      <c r="Y1274" s="585"/>
      <c r="Z1274" s="585"/>
      <c r="AA1274" s="585"/>
      <c r="AB1274" s="585"/>
      <c r="AC1274" s="585"/>
      <c r="AD1274" s="585"/>
      <c r="AE1274" s="585"/>
      <c r="AF1274" s="585"/>
      <c r="AG1274" s="585"/>
      <c r="AH1274" s="585"/>
      <c r="AI1274" s="585"/>
      <c r="AJ1274" s="585"/>
      <c r="AK1274" s="585"/>
      <c r="AL1274" s="585"/>
      <c r="AM1274" s="585"/>
      <c r="AN1274" s="585"/>
      <c r="AO1274" s="585"/>
      <c r="AP1274" s="585"/>
      <c r="AQ1274" s="585"/>
      <c r="AR1274" s="422"/>
      <c r="AS1274" s="1430"/>
      <c r="AT1274" s="1430"/>
      <c r="AU1274" s="1430"/>
      <c r="AV1274" s="1430"/>
      <c r="AW1274" s="1430"/>
      <c r="AX1274" s="1430"/>
      <c r="AY1274" s="1430"/>
      <c r="AZ1274" s="1430"/>
      <c r="BA1274" s="1430"/>
      <c r="BB1274" s="1430"/>
      <c r="BC1274" s="585"/>
      <c r="BD1274" s="1431"/>
      <c r="BE1274" s="1431"/>
      <c r="BF1274" s="585"/>
      <c r="BG1274" s="1431"/>
      <c r="BH1274" s="1431"/>
      <c r="BI1274" s="1431"/>
      <c r="BJ1274" s="1431"/>
      <c r="BK1274" s="1431"/>
      <c r="BL1274" s="585"/>
      <c r="BM1274" s="585"/>
      <c r="BN1274" s="585"/>
      <c r="BO1274" s="585"/>
      <c r="BP1274" s="1431"/>
      <c r="BQ1274" s="1431"/>
      <c r="BR1274" s="585"/>
      <c r="BS1274" s="585"/>
      <c r="BT1274" s="1432"/>
      <c r="BU1274" s="1432"/>
      <c r="BV1274" s="1432"/>
      <c r="BW1274" s="1432"/>
      <c r="BX1274" s="1432"/>
      <c r="BY1274" s="1432"/>
      <c r="BZ1274" s="1432"/>
      <c r="CA1274" s="1432"/>
      <c r="CB1274" s="1432"/>
      <c r="CC1274" s="1432"/>
      <c r="CD1274" s="585"/>
      <c r="CE1274" s="585"/>
      <c r="CF1274" s="586"/>
    </row>
    <row r="1275" spans="1:84" s="583" customFormat="1" ht="23.1" customHeight="1" thickBot="1">
      <c r="A1275" s="584"/>
      <c r="B1275" s="585"/>
      <c r="C1275" s="585"/>
      <c r="D1275" s="585"/>
      <c r="E1275" s="585"/>
      <c r="F1275" s="585"/>
      <c r="G1275" s="585"/>
      <c r="H1275" s="585"/>
      <c r="I1275" s="585"/>
      <c r="J1275" s="585"/>
      <c r="K1275" s="585"/>
      <c r="L1275" s="585"/>
      <c r="M1275" s="585"/>
      <c r="N1275" s="585"/>
      <c r="O1275" s="585"/>
      <c r="P1275" s="585"/>
      <c r="Q1275" s="585"/>
      <c r="R1275" s="585"/>
      <c r="S1275" s="585"/>
      <c r="T1275" s="585"/>
      <c r="U1275" s="585"/>
      <c r="V1275" s="585"/>
      <c r="W1275" s="585"/>
      <c r="X1275" s="585"/>
      <c r="Y1275" s="585"/>
      <c r="Z1275" s="585"/>
      <c r="AA1275" s="585"/>
      <c r="AB1275" s="585"/>
      <c r="AC1275" s="585"/>
      <c r="AD1275" s="585"/>
      <c r="AE1275" s="585"/>
      <c r="AF1275" s="585"/>
      <c r="AG1275" s="585"/>
      <c r="AH1275" s="585"/>
      <c r="AI1275" s="585"/>
      <c r="AJ1275" s="585"/>
      <c r="AK1275" s="585"/>
      <c r="AL1275" s="585"/>
      <c r="AM1275" s="585"/>
      <c r="AN1275" s="585"/>
      <c r="AO1275" s="585"/>
      <c r="AP1275" s="585"/>
      <c r="AQ1275" s="585"/>
      <c r="AR1275" s="585"/>
      <c r="AS1275" s="585"/>
      <c r="AT1275" s="585"/>
      <c r="AU1275" s="585"/>
      <c r="AV1275" s="585"/>
      <c r="AW1275" s="585"/>
      <c r="AX1275" s="585"/>
      <c r="AY1275" s="585"/>
      <c r="AZ1275" s="585"/>
      <c r="BA1275" s="585"/>
      <c r="BB1275" s="585"/>
      <c r="BC1275" s="585"/>
      <c r="BD1275" s="585"/>
      <c r="BE1275" s="585"/>
      <c r="BF1275" s="585"/>
      <c r="BG1275" s="585"/>
      <c r="BH1275" s="585"/>
      <c r="BI1275" s="585"/>
      <c r="BJ1275" s="585"/>
      <c r="BK1275" s="585"/>
      <c r="BL1275" s="585"/>
      <c r="BM1275" s="585"/>
      <c r="BN1275" s="585"/>
      <c r="BO1275" s="585"/>
      <c r="BP1275" s="1431" t="s">
        <v>41</v>
      </c>
      <c r="BQ1275" s="1431"/>
      <c r="BR1275" s="585"/>
      <c r="BS1275" s="585"/>
      <c r="BT1275" s="1433">
        <f>BT1273+BT1274</f>
        <v>0</v>
      </c>
      <c r="BU1275" s="1433"/>
      <c r="BV1275" s="1433"/>
      <c r="BW1275" s="1433"/>
      <c r="BX1275" s="1433"/>
      <c r="BY1275" s="1433"/>
      <c r="BZ1275" s="1433"/>
      <c r="CA1275" s="1433"/>
      <c r="CB1275" s="1433"/>
      <c r="CC1275" s="1433"/>
      <c r="CD1275" s="585"/>
      <c r="CE1275" s="585"/>
      <c r="CF1275" s="586"/>
    </row>
    <row r="1276" spans="1:84" s="583" customFormat="1" ht="23.1" customHeight="1" thickBot="1">
      <c r="A1276" s="597"/>
      <c r="B1276" s="598" t="s">
        <v>1113</v>
      </c>
      <c r="C1276" s="598"/>
      <c r="D1276" s="598"/>
      <c r="E1276" s="598"/>
      <c r="F1276" s="598"/>
      <c r="G1276" s="598"/>
      <c r="H1276" s="598"/>
      <c r="I1276" s="598"/>
      <c r="J1276" s="598"/>
      <c r="K1276" s="598"/>
      <c r="L1276" s="598"/>
      <c r="M1276" s="598"/>
      <c r="N1276" s="598"/>
      <c r="O1276" s="598"/>
      <c r="P1276" s="598"/>
      <c r="Q1276" s="598"/>
      <c r="R1276" s="598"/>
      <c r="S1276" s="598"/>
      <c r="T1276" s="598"/>
      <c r="U1276" s="598"/>
      <c r="V1276" s="598"/>
      <c r="W1276" s="598"/>
      <c r="X1276" s="598"/>
      <c r="Y1276" s="598"/>
      <c r="Z1276" s="598"/>
      <c r="AA1276" s="598"/>
      <c r="AB1276" s="598"/>
      <c r="AC1276" s="598"/>
      <c r="AD1276" s="598"/>
      <c r="AE1276" s="598"/>
      <c r="AF1276" s="598"/>
      <c r="AG1276" s="598"/>
      <c r="AH1276" s="598"/>
      <c r="AI1276" s="598"/>
      <c r="AJ1276" s="598"/>
      <c r="AK1276" s="598"/>
      <c r="AL1276" s="598"/>
      <c r="AM1276" s="598"/>
      <c r="AN1276" s="598"/>
      <c r="AO1276" s="598"/>
      <c r="AP1276" s="598"/>
      <c r="AQ1276" s="598"/>
      <c r="AR1276" s="598"/>
      <c r="AS1276" s="598"/>
      <c r="AT1276" s="598"/>
      <c r="AU1276" s="598"/>
      <c r="AV1276" s="598"/>
      <c r="AW1276" s="598"/>
      <c r="AX1276" s="598"/>
      <c r="AY1276" s="598"/>
      <c r="AZ1276" s="598"/>
      <c r="BA1276" s="598"/>
      <c r="BB1276" s="598"/>
      <c r="BC1276" s="598"/>
      <c r="BD1276" s="598"/>
      <c r="BE1276" s="598"/>
      <c r="BF1276" s="598"/>
      <c r="BG1276" s="598"/>
      <c r="BH1276" s="598"/>
      <c r="BI1276" s="598"/>
      <c r="BJ1276" s="598"/>
      <c r="BK1276" s="598"/>
      <c r="BL1276" s="598"/>
      <c r="BM1276" s="598"/>
      <c r="BN1276" s="598"/>
      <c r="BO1276" s="598"/>
      <c r="BP1276" s="598"/>
      <c r="BQ1276" s="598"/>
      <c r="BR1276" s="598"/>
      <c r="BS1276" s="598"/>
      <c r="BT1276" s="1429">
        <f>BT1267+BT1271+BT1275</f>
        <v>472</v>
      </c>
      <c r="BU1276" s="1429"/>
      <c r="BV1276" s="1429"/>
      <c r="BW1276" s="1429"/>
      <c r="BX1276" s="1429"/>
      <c r="BY1276" s="1429"/>
      <c r="BZ1276" s="1429"/>
      <c r="CA1276" s="1429"/>
      <c r="CB1276" s="1429"/>
      <c r="CC1276" s="1429"/>
      <c r="CD1276" s="598"/>
      <c r="CE1276" s="598"/>
      <c r="CF1276" s="599"/>
    </row>
    <row r="1277" spans="1:84" s="583" customFormat="1" ht="9.9499999999999993" customHeight="1">
      <c r="A1277" s="574"/>
      <c r="B1277" s="574"/>
      <c r="C1277" s="574"/>
      <c r="D1277" s="574"/>
      <c r="E1277" s="574"/>
      <c r="F1277" s="574"/>
      <c r="G1277" s="574"/>
      <c r="H1277" s="574"/>
      <c r="I1277" s="574"/>
      <c r="J1277" s="574"/>
      <c r="K1277" s="574"/>
      <c r="L1277" s="574"/>
      <c r="M1277" s="574"/>
      <c r="N1277" s="574"/>
      <c r="O1277" s="574"/>
      <c r="P1277" s="574"/>
      <c r="Q1277" s="574"/>
      <c r="R1277" s="574"/>
      <c r="S1277" s="574"/>
      <c r="T1277" s="574"/>
      <c r="U1277" s="574"/>
      <c r="V1277" s="574"/>
      <c r="W1277" s="574"/>
      <c r="X1277" s="574"/>
      <c r="Y1277" s="574"/>
      <c r="Z1277" s="574"/>
      <c r="AA1277" s="574"/>
      <c r="AB1277" s="574"/>
      <c r="AC1277" s="574"/>
      <c r="AD1277" s="574"/>
      <c r="AE1277" s="574"/>
      <c r="AF1277" s="574"/>
      <c r="AG1277" s="574"/>
      <c r="AH1277" s="574"/>
      <c r="AI1277" s="574"/>
      <c r="AJ1277" s="574"/>
      <c r="AK1277" s="574"/>
      <c r="AL1277" s="574"/>
      <c r="AM1277" s="574"/>
      <c r="AN1277" s="574"/>
      <c r="AO1277" s="574"/>
      <c r="AP1277" s="574"/>
      <c r="AQ1277" s="574"/>
      <c r="AR1277" s="574"/>
      <c r="AS1277" s="574"/>
      <c r="AT1277" s="574"/>
      <c r="AU1277" s="574"/>
      <c r="AV1277" s="574"/>
      <c r="AW1277" s="574"/>
      <c r="AX1277" s="574"/>
      <c r="AY1277" s="574"/>
      <c r="AZ1277" s="574"/>
      <c r="BA1277" s="574"/>
      <c r="BB1277" s="574"/>
      <c r="BC1277" s="574"/>
      <c r="BD1277" s="574"/>
      <c r="BE1277" s="574"/>
      <c r="BF1277" s="574"/>
      <c r="BG1277" s="574"/>
      <c r="BH1277" s="574"/>
      <c r="BI1277" s="574"/>
      <c r="BJ1277" s="574"/>
      <c r="BK1277" s="574"/>
      <c r="BL1277" s="574"/>
      <c r="BM1277" s="574"/>
      <c r="BN1277" s="574"/>
      <c r="BO1277" s="574"/>
      <c r="BP1277" s="574"/>
      <c r="BQ1277" s="574"/>
      <c r="BR1277" s="574"/>
      <c r="BS1277" s="574"/>
      <c r="BT1277" s="574"/>
      <c r="BU1277" s="574"/>
      <c r="BV1277" s="574"/>
      <c r="BW1277" s="574"/>
      <c r="BX1277" s="574"/>
      <c r="BY1277" s="574"/>
      <c r="BZ1277" s="574"/>
      <c r="CA1277" s="574"/>
      <c r="CB1277" s="574"/>
      <c r="CC1277" s="574"/>
      <c r="CD1277" s="574"/>
      <c r="CE1277" s="574"/>
      <c r="CF1277" s="574"/>
    </row>
    <row r="1278" spans="1:84" s="583" customFormat="1" ht="23.1" customHeight="1" thickBot="1">
      <c r="A1278" s="1446" t="s">
        <v>1095</v>
      </c>
      <c r="B1278" s="1446"/>
      <c r="C1278" s="1446"/>
      <c r="D1278" s="1446"/>
      <c r="E1278" s="1446"/>
      <c r="F1278" s="1446"/>
      <c r="G1278" s="1447">
        <f>G1263+1</f>
        <v>86</v>
      </c>
      <c r="H1278" s="1447"/>
      <c r="I1278" s="1447"/>
      <c r="J1278" s="1448" t="s">
        <v>1096</v>
      </c>
      <c r="K1278" s="1448"/>
      <c r="L1278" s="574"/>
      <c r="M1278" s="574"/>
      <c r="N1278" s="574"/>
      <c r="O1278" s="574"/>
      <c r="P1278" s="574"/>
      <c r="Q1278" s="574"/>
      <c r="R1278" s="574"/>
      <c r="S1278" s="574"/>
      <c r="T1278" s="574"/>
      <c r="U1278" s="574"/>
      <c r="V1278" s="574"/>
      <c r="W1278" s="574"/>
      <c r="X1278" s="574"/>
      <c r="Y1278" s="574"/>
      <c r="Z1278" s="574"/>
      <c r="AA1278" s="574"/>
      <c r="AB1278" s="574"/>
      <c r="AC1278" s="574"/>
      <c r="AD1278" s="574"/>
      <c r="AE1278" s="574"/>
      <c r="AF1278" s="574"/>
      <c r="AG1278" s="574"/>
      <c r="AH1278" s="574"/>
      <c r="AI1278" s="574"/>
      <c r="AJ1278" s="574"/>
      <c r="AK1278" s="574"/>
      <c r="AL1278" s="574"/>
      <c r="AM1278" s="574"/>
      <c r="AN1278" s="574"/>
      <c r="AO1278" s="574"/>
      <c r="AP1278" s="574"/>
      <c r="AQ1278" s="574"/>
      <c r="AR1278" s="574"/>
      <c r="AS1278" s="574"/>
      <c r="AT1278" s="574"/>
      <c r="AU1278" s="574"/>
      <c r="AV1278" s="574"/>
      <c r="AW1278" s="574"/>
      <c r="AX1278" s="574"/>
      <c r="AY1278" s="574"/>
      <c r="AZ1278" s="574"/>
      <c r="BA1278" s="574"/>
      <c r="BB1278" s="574"/>
      <c r="BC1278" s="574"/>
      <c r="BD1278" s="574"/>
      <c r="BE1278" s="574"/>
      <c r="BF1278" s="574"/>
      <c r="BG1278" s="574"/>
      <c r="BH1278" s="574"/>
      <c r="BI1278" s="574"/>
      <c r="BJ1278" s="574"/>
      <c r="BK1278" s="574"/>
      <c r="BL1278" s="574"/>
      <c r="BM1278" s="574"/>
      <c r="BN1278" s="574"/>
      <c r="BO1278" s="574"/>
      <c r="BP1278" s="574"/>
      <c r="BQ1278" s="574"/>
      <c r="BR1278" s="574"/>
      <c r="BS1278" s="574"/>
      <c r="BT1278" s="574"/>
      <c r="BU1278" s="574"/>
      <c r="BV1278" s="574"/>
      <c r="BW1278" s="574"/>
      <c r="BX1278" s="574"/>
      <c r="BY1278" s="574"/>
      <c r="BZ1278" s="574"/>
      <c r="CA1278" s="574"/>
      <c r="CB1278" s="574"/>
      <c r="CC1278" s="574"/>
      <c r="CD1278" s="574"/>
      <c r="CE1278" s="574"/>
      <c r="CF1278" s="574"/>
    </row>
    <row r="1279" spans="1:84" s="603" customFormat="1" ht="23.1" customHeight="1" thickBot="1">
      <c r="A1279" s="1438" t="s">
        <v>1097</v>
      </c>
      <c r="B1279" s="1439"/>
      <c r="C1279" s="1439"/>
      <c r="D1279" s="1439"/>
      <c r="E1279" s="1439"/>
      <c r="F1279" s="1439"/>
      <c r="G1279" s="1439"/>
      <c r="H1279" s="1439"/>
      <c r="I1279" s="601" t="s">
        <v>1243</v>
      </c>
      <c r="J1279" s="601"/>
      <c r="K1279" s="601"/>
      <c r="L1279" s="601"/>
      <c r="M1279" s="601"/>
      <c r="N1279" s="601"/>
      <c r="O1279" s="601"/>
      <c r="P1279" s="601"/>
      <c r="Q1279" s="601"/>
      <c r="R1279" s="601"/>
      <c r="S1279" s="601"/>
      <c r="T1279" s="601"/>
      <c r="U1279" s="601"/>
      <c r="V1279" s="601"/>
      <c r="W1279" s="601"/>
      <c r="X1279" s="601"/>
      <c r="Y1279" s="601"/>
      <c r="Z1279" s="601"/>
      <c r="AA1279" s="601"/>
      <c r="AB1279" s="601"/>
      <c r="AC1279" s="601"/>
      <c r="AD1279" s="601"/>
      <c r="AE1279" s="601"/>
      <c r="AF1279" s="601"/>
      <c r="AG1279" s="601"/>
      <c r="AH1279" s="601"/>
      <c r="AI1279" s="601"/>
      <c r="AJ1279" s="1439" t="s">
        <v>1099</v>
      </c>
      <c r="AK1279" s="1439"/>
      <c r="AL1279" s="1439"/>
      <c r="AM1279" s="1439"/>
      <c r="AN1279" s="1439"/>
      <c r="AO1279" s="1439"/>
      <c r="AP1279" s="1439"/>
      <c r="AQ1279" s="601" t="s">
        <v>1246</v>
      </c>
      <c r="AR1279" s="601"/>
      <c r="AS1279" s="601"/>
      <c r="AT1279" s="601"/>
      <c r="AU1279" s="601"/>
      <c r="AV1279" s="601"/>
      <c r="AW1279" s="601"/>
      <c r="AX1279" s="601"/>
      <c r="AY1279" s="601"/>
      <c r="AZ1279" s="601"/>
      <c r="BA1279" s="601"/>
      <c r="BB1279" s="601"/>
      <c r="BC1279" s="601"/>
      <c r="BD1279" s="601"/>
      <c r="BE1279" s="601"/>
      <c r="BF1279" s="601"/>
      <c r="BG1279" s="601"/>
      <c r="BH1279" s="601"/>
      <c r="BI1279" s="601"/>
      <c r="BJ1279" s="601"/>
      <c r="BK1279" s="601"/>
      <c r="BL1279" s="601"/>
      <c r="BM1279" s="601"/>
      <c r="BN1279" s="601"/>
      <c r="BO1279" s="601"/>
      <c r="BP1279" s="601"/>
      <c r="BQ1279" s="601"/>
      <c r="BR1279" s="601"/>
      <c r="BS1279" s="601"/>
      <c r="BT1279" s="601" t="s">
        <v>1247</v>
      </c>
      <c r="BU1279" s="601"/>
      <c r="BV1279" s="601"/>
      <c r="BW1279" s="601"/>
      <c r="BX1279" s="601"/>
      <c r="BY1279" s="601"/>
      <c r="BZ1279" s="601"/>
      <c r="CA1279" s="601"/>
      <c r="CB1279" s="601"/>
      <c r="CC1279" s="601"/>
      <c r="CD1279" s="601"/>
      <c r="CE1279" s="601"/>
      <c r="CF1279" s="602"/>
    </row>
    <row r="1280" spans="1:84" s="583" customFormat="1" ht="23.1" customHeight="1">
      <c r="A1280" s="584"/>
      <c r="B1280" s="585" t="s">
        <v>1102</v>
      </c>
      <c r="C1280" s="585"/>
      <c r="D1280" s="585"/>
      <c r="E1280" s="585"/>
      <c r="F1280" s="585"/>
      <c r="G1280" s="585"/>
      <c r="H1280" s="585"/>
      <c r="I1280" s="585"/>
      <c r="J1280" s="585"/>
      <c r="K1280" s="585"/>
      <c r="L1280" s="585"/>
      <c r="M1280" s="585"/>
      <c r="N1280" s="585"/>
      <c r="O1280" s="585"/>
      <c r="P1280" s="585"/>
      <c r="Q1280" s="585"/>
      <c r="R1280" s="585"/>
      <c r="S1280" s="585"/>
      <c r="T1280" s="585"/>
      <c r="U1280" s="585"/>
      <c r="V1280" s="585"/>
      <c r="W1280" s="585"/>
      <c r="X1280" s="585"/>
      <c r="Y1280" s="585"/>
      <c r="Z1280" s="585"/>
      <c r="AA1280" s="585"/>
      <c r="AB1280" s="585"/>
      <c r="AC1280" s="585"/>
      <c r="AD1280" s="585"/>
      <c r="AE1280" s="585"/>
      <c r="AF1280" s="585"/>
      <c r="AG1280" s="585"/>
      <c r="AH1280" s="585"/>
      <c r="AI1280" s="585"/>
      <c r="AJ1280" s="585"/>
      <c r="AK1280" s="585"/>
      <c r="AL1280" s="585"/>
      <c r="AM1280" s="585"/>
      <c r="AN1280" s="585"/>
      <c r="AO1280" s="585"/>
      <c r="AP1280" s="585"/>
      <c r="AQ1280" s="585"/>
      <c r="AR1280" s="585"/>
      <c r="AS1280" s="585"/>
      <c r="AT1280" s="585"/>
      <c r="AU1280" s="585"/>
      <c r="AV1280" s="585"/>
      <c r="AW1280" s="585"/>
      <c r="AX1280" s="585"/>
      <c r="AY1280" s="585"/>
      <c r="AZ1280" s="585"/>
      <c r="BA1280" s="585"/>
      <c r="BB1280" s="585"/>
      <c r="BC1280" s="585"/>
      <c r="BD1280" s="585"/>
      <c r="BE1280" s="585"/>
      <c r="BF1280" s="585"/>
      <c r="BG1280" s="585"/>
      <c r="BH1280" s="585"/>
      <c r="BI1280" s="585"/>
      <c r="BJ1280" s="585"/>
      <c r="BK1280" s="585"/>
      <c r="BL1280" s="585"/>
      <c r="BM1280" s="585"/>
      <c r="BN1280" s="585"/>
      <c r="BO1280" s="585"/>
      <c r="BP1280" s="585"/>
      <c r="BQ1280" s="585"/>
      <c r="BR1280" s="585"/>
      <c r="BS1280" s="585"/>
      <c r="BT1280" s="585"/>
      <c r="BU1280" s="585"/>
      <c r="BV1280" s="585"/>
      <c r="BW1280" s="585"/>
      <c r="BX1280" s="585"/>
      <c r="BY1280" s="585"/>
      <c r="BZ1280" s="585"/>
      <c r="CA1280" s="585"/>
      <c r="CB1280" s="585"/>
      <c r="CC1280" s="585"/>
      <c r="CD1280" s="585"/>
      <c r="CE1280" s="585"/>
      <c r="CF1280" s="586"/>
    </row>
    <row r="1281" spans="1:84" s="583" customFormat="1" ht="23.1" customHeight="1">
      <c r="A1281" s="587"/>
      <c r="B1281" s="574"/>
      <c r="C1281" s="574"/>
      <c r="D1281" s="405"/>
      <c r="E1281" s="574"/>
      <c r="F1281" s="422"/>
      <c r="G1281" s="422"/>
      <c r="H1281" s="422"/>
      <c r="I1281" s="422"/>
      <c r="J1281" s="422"/>
      <c r="K1281" s="422"/>
      <c r="L1281" s="422"/>
      <c r="M1281" s="422"/>
      <c r="N1281" s="574"/>
      <c r="O1281" s="574"/>
      <c r="P1281" s="574"/>
      <c r="Q1281" s="574"/>
      <c r="R1281" s="574"/>
      <c r="S1281" s="588"/>
      <c r="T1281" s="588"/>
      <c r="U1281" s="588"/>
      <c r="V1281" s="588"/>
      <c r="W1281" s="588"/>
      <c r="X1281" s="588"/>
      <c r="Y1281" s="588"/>
      <c r="Z1281" s="588"/>
      <c r="AA1281" s="574"/>
      <c r="AB1281" s="588"/>
      <c r="AC1281" s="585"/>
      <c r="AD1281" s="585"/>
      <c r="AE1281" s="600"/>
      <c r="AF1281" s="600"/>
      <c r="AG1281" s="600"/>
      <c r="AH1281" s="600"/>
      <c r="AI1281" s="600"/>
      <c r="AJ1281" s="600"/>
      <c r="AK1281" s="600"/>
      <c r="AL1281" s="600"/>
      <c r="AM1281" s="585"/>
      <c r="AN1281" s="585"/>
      <c r="AO1281" s="574"/>
      <c r="AP1281" s="430"/>
      <c r="AQ1281" s="430"/>
      <c r="AR1281" s="430"/>
      <c r="AS1281" s="430"/>
      <c r="AT1281" s="430"/>
      <c r="AU1281" s="430"/>
      <c r="AV1281" s="430"/>
      <c r="AW1281" s="430"/>
      <c r="AX1281" s="430"/>
      <c r="AY1281" s="430"/>
      <c r="AZ1281" s="430"/>
      <c r="BA1281" s="430"/>
      <c r="BB1281" s="430"/>
      <c r="BC1281" s="430"/>
      <c r="BD1281" s="574"/>
      <c r="BE1281" s="574"/>
      <c r="BF1281" s="574"/>
      <c r="BG1281" s="574"/>
      <c r="BH1281" s="574"/>
      <c r="BI1281" s="574"/>
      <c r="BJ1281" s="574"/>
      <c r="BK1281" s="574"/>
      <c r="BL1281" s="574"/>
      <c r="BM1281" s="574"/>
      <c r="BN1281" s="574"/>
      <c r="BO1281" s="574"/>
      <c r="BP1281" s="574"/>
      <c r="BQ1281" s="574"/>
      <c r="BR1281" s="574"/>
      <c r="BS1281" s="574"/>
      <c r="BT1281" s="574"/>
      <c r="BU1281" s="574"/>
      <c r="BV1281" s="574"/>
      <c r="BW1281" s="574"/>
      <c r="BX1281" s="574"/>
      <c r="BY1281" s="574"/>
      <c r="BZ1281" s="574"/>
      <c r="CA1281" s="574"/>
      <c r="CB1281" s="574"/>
      <c r="CC1281" s="574"/>
      <c r="CD1281" s="574"/>
      <c r="CE1281" s="574"/>
      <c r="CF1281" s="589"/>
    </row>
    <row r="1282" spans="1:84" s="583" customFormat="1" ht="23.1" customHeight="1">
      <c r="A1282" s="584"/>
      <c r="B1282" s="585"/>
      <c r="C1282" s="585"/>
      <c r="D1282" s="585"/>
      <c r="E1282" s="585"/>
      <c r="F1282" s="585"/>
      <c r="G1282" s="585"/>
      <c r="H1282" s="585"/>
      <c r="I1282" s="585"/>
      <c r="J1282" s="585"/>
      <c r="K1282" s="585"/>
      <c r="L1282" s="585"/>
      <c r="M1282" s="585"/>
      <c r="N1282" s="585"/>
      <c r="O1282" s="585"/>
      <c r="P1282" s="585"/>
      <c r="Q1282" s="585"/>
      <c r="R1282" s="585"/>
      <c r="S1282" s="585"/>
      <c r="T1282" s="585"/>
      <c r="U1282" s="585"/>
      <c r="V1282" s="590"/>
      <c r="W1282" s="590"/>
      <c r="X1282" s="590"/>
      <c r="Y1282" s="590"/>
      <c r="Z1282" s="590"/>
      <c r="AA1282" s="590"/>
      <c r="AB1282" s="590"/>
      <c r="AC1282" s="590"/>
      <c r="AD1282" s="574"/>
      <c r="AE1282" s="1440">
        <v>1265000</v>
      </c>
      <c r="AF1282" s="1440"/>
      <c r="AG1282" s="1440"/>
      <c r="AH1282" s="1440"/>
      <c r="AI1282" s="1440"/>
      <c r="AJ1282" s="1440"/>
      <c r="AK1282" s="1440"/>
      <c r="AL1282" s="1440"/>
      <c r="AM1282" s="1440"/>
      <c r="AN1282" s="1440"/>
      <c r="AO1282" s="1440"/>
      <c r="AP1282" s="1440"/>
      <c r="AQ1282" s="1440"/>
      <c r="AR1282" s="1440"/>
      <c r="AS1282" s="1440"/>
      <c r="AT1282" s="1431" t="s">
        <v>446</v>
      </c>
      <c r="AU1282" s="1431"/>
      <c r="AV1282" s="1441" t="s">
        <v>1103</v>
      </c>
      <c r="AW1282" s="1441"/>
      <c r="AX1282" s="1442">
        <v>5268</v>
      </c>
      <c r="AY1282" s="1442"/>
      <c r="AZ1282" s="1442"/>
      <c r="BA1282" s="1442"/>
      <c r="BB1282" s="1442"/>
      <c r="BC1282" s="1442"/>
      <c r="BD1282" s="585"/>
      <c r="BE1282" s="1431" t="s">
        <v>446</v>
      </c>
      <c r="BF1282" s="1431"/>
      <c r="BG1282" s="585"/>
      <c r="BH1282" s="591" t="s">
        <v>1104</v>
      </c>
      <c r="BI1282" s="585"/>
      <c r="BJ1282" s="585"/>
      <c r="BK1282" s="585"/>
      <c r="BL1282" s="1431" t="s">
        <v>1105</v>
      </c>
      <c r="BM1282" s="1431"/>
      <c r="BN1282" s="1431"/>
      <c r="BO1282" s="585"/>
      <c r="BP1282" s="1431" t="s">
        <v>41</v>
      </c>
      <c r="BQ1282" s="1431"/>
      <c r="BR1282" s="585"/>
      <c r="BS1282" s="585"/>
      <c r="BT1282" s="1437">
        <f>INT(AE1282*AX1282*10^-7)</f>
        <v>666</v>
      </c>
      <c r="BU1282" s="1437"/>
      <c r="BV1282" s="1437"/>
      <c r="BW1282" s="1437"/>
      <c r="BX1282" s="1437"/>
      <c r="BY1282" s="1437"/>
      <c r="BZ1282" s="1437"/>
      <c r="CA1282" s="1437"/>
      <c r="CB1282" s="1437"/>
      <c r="CC1282" s="1437"/>
      <c r="CD1282" s="585"/>
      <c r="CE1282" s="585"/>
      <c r="CF1282" s="586"/>
    </row>
    <row r="1283" spans="1:84" s="583" customFormat="1" ht="23.1" customHeight="1">
      <c r="A1283" s="592"/>
      <c r="B1283" s="593" t="s">
        <v>1106</v>
      </c>
      <c r="C1283" s="593"/>
      <c r="D1283" s="593"/>
      <c r="E1283" s="593"/>
      <c r="F1283" s="593"/>
      <c r="G1283" s="593"/>
      <c r="H1283" s="593"/>
      <c r="I1283" s="593"/>
      <c r="J1283" s="593"/>
      <c r="K1283" s="593"/>
      <c r="L1283" s="593"/>
      <c r="M1283" s="593"/>
      <c r="N1283" s="593"/>
      <c r="O1283" s="593"/>
      <c r="P1283" s="593"/>
      <c r="Q1283" s="593"/>
      <c r="R1283" s="593"/>
      <c r="S1283" s="593"/>
      <c r="T1283" s="593"/>
      <c r="U1283" s="593"/>
      <c r="V1283" s="593"/>
      <c r="W1283" s="593"/>
      <c r="X1283" s="593"/>
      <c r="Y1283" s="593"/>
      <c r="Z1283" s="593"/>
      <c r="AA1283" s="593"/>
      <c r="AB1283" s="593"/>
      <c r="AC1283" s="593"/>
      <c r="AD1283" s="593"/>
      <c r="AE1283" s="593"/>
      <c r="AF1283" s="593"/>
      <c r="AG1283" s="593"/>
      <c r="AH1283" s="593"/>
      <c r="AI1283" s="593"/>
      <c r="AJ1283" s="593"/>
      <c r="AK1283" s="593"/>
      <c r="AL1283" s="593"/>
      <c r="AM1283" s="593"/>
      <c r="AN1283" s="593"/>
      <c r="AO1283" s="593"/>
      <c r="AP1283" s="593"/>
      <c r="AQ1283" s="593"/>
      <c r="AR1283" s="593"/>
      <c r="AS1283" s="593"/>
      <c r="AT1283" s="593"/>
      <c r="AU1283" s="593"/>
      <c r="AV1283" s="593"/>
      <c r="AW1283" s="593"/>
      <c r="AX1283" s="593"/>
      <c r="AY1283" s="593"/>
      <c r="AZ1283" s="593"/>
      <c r="BA1283" s="593"/>
      <c r="BB1283" s="593"/>
      <c r="BC1283" s="593"/>
      <c r="BD1283" s="593"/>
      <c r="BE1283" s="593"/>
      <c r="BF1283" s="593"/>
      <c r="BG1283" s="593"/>
      <c r="BH1283" s="593"/>
      <c r="BI1283" s="593"/>
      <c r="BJ1283" s="593"/>
      <c r="BK1283" s="593"/>
      <c r="BL1283" s="593"/>
      <c r="BM1283" s="593"/>
      <c r="BN1283" s="593"/>
      <c r="BO1283" s="593"/>
      <c r="BP1283" s="593"/>
      <c r="BQ1283" s="593"/>
      <c r="BR1283" s="593"/>
      <c r="BS1283" s="593"/>
      <c r="BT1283" s="594"/>
      <c r="BU1283" s="594"/>
      <c r="BV1283" s="594"/>
      <c r="BW1283" s="594"/>
      <c r="BX1283" s="594"/>
      <c r="BY1283" s="594"/>
      <c r="BZ1283" s="594"/>
      <c r="CA1283" s="594"/>
      <c r="CB1283" s="594"/>
      <c r="CC1283" s="594"/>
      <c r="CD1283" s="593"/>
      <c r="CE1283" s="593"/>
      <c r="CF1283" s="595"/>
    </row>
    <row r="1284" spans="1:84" s="583" customFormat="1" ht="23.1" customHeight="1">
      <c r="A1284" s="584"/>
      <c r="B1284" s="585"/>
      <c r="C1284" s="585"/>
      <c r="D1284" s="596"/>
      <c r="E1284" s="585"/>
      <c r="F1284" s="585"/>
      <c r="G1284" s="585"/>
      <c r="H1284" s="585"/>
      <c r="I1284" s="585"/>
      <c r="J1284" s="585"/>
      <c r="K1284" s="585"/>
      <c r="L1284" s="585"/>
      <c r="M1284" s="585"/>
      <c r="N1284" s="585"/>
      <c r="O1284" s="585"/>
      <c r="P1284" s="585"/>
      <c r="Q1284" s="585"/>
      <c r="R1284" s="585"/>
      <c r="S1284" s="585"/>
      <c r="T1284" s="574"/>
      <c r="U1284" s="574"/>
      <c r="V1284" s="1430"/>
      <c r="W1284" s="1430"/>
      <c r="X1284" s="1430"/>
      <c r="Y1284" s="1430"/>
      <c r="Z1284" s="1430"/>
      <c r="AA1284" s="1430"/>
      <c r="AB1284" s="1430"/>
      <c r="AC1284" s="1430"/>
      <c r="AD1284" s="1430"/>
      <c r="AE1284" s="1430"/>
      <c r="AF1284" s="1431"/>
      <c r="AG1284" s="1431"/>
      <c r="AH1284" s="574"/>
      <c r="AI1284" s="1436"/>
      <c r="AJ1284" s="1436"/>
      <c r="AK1284" s="1436"/>
      <c r="AL1284" s="1436"/>
      <c r="AM1284" s="585"/>
      <c r="AN1284" s="1431"/>
      <c r="AO1284" s="1431"/>
      <c r="AP1284" s="585"/>
      <c r="AQ1284" s="1436"/>
      <c r="AR1284" s="1436"/>
      <c r="AS1284" s="1436"/>
      <c r="AT1284" s="1436"/>
      <c r="AU1284" s="1436"/>
      <c r="AV1284" s="422"/>
      <c r="AW1284" s="1431"/>
      <c r="AX1284" s="1431"/>
      <c r="AY1284" s="440"/>
      <c r="AZ1284" s="1436"/>
      <c r="BA1284" s="1436"/>
      <c r="BB1284" s="1436"/>
      <c r="BC1284" s="1436"/>
      <c r="BD1284" s="1436"/>
      <c r="BE1284" s="585"/>
      <c r="BF1284" s="1431"/>
      <c r="BG1284" s="1431"/>
      <c r="BH1284" s="1431"/>
      <c r="BI1284" s="1431"/>
      <c r="BJ1284" s="1431"/>
      <c r="BK1284" s="585"/>
      <c r="BL1284" s="585"/>
      <c r="BM1284" s="585"/>
      <c r="BN1284" s="585"/>
      <c r="BO1284" s="585"/>
      <c r="BP1284" s="1431"/>
      <c r="BQ1284" s="1431"/>
      <c r="BR1284" s="585"/>
      <c r="BS1284" s="585"/>
      <c r="BT1284" s="1432"/>
      <c r="BU1284" s="1432"/>
      <c r="BV1284" s="1432"/>
      <c r="BW1284" s="1432"/>
      <c r="BX1284" s="1432"/>
      <c r="BY1284" s="1432"/>
      <c r="BZ1284" s="1432"/>
      <c r="CA1284" s="1432"/>
      <c r="CB1284" s="1432"/>
      <c r="CC1284" s="1432"/>
      <c r="CD1284" s="585"/>
      <c r="CE1284" s="585"/>
      <c r="CF1284" s="586"/>
    </row>
    <row r="1285" spans="1:84" s="583" customFormat="1" ht="23.1" customHeight="1">
      <c r="A1285" s="584"/>
      <c r="B1285" s="585"/>
      <c r="C1285" s="585"/>
      <c r="D1285" s="585"/>
      <c r="E1285" s="585"/>
      <c r="F1285" s="585"/>
      <c r="G1285" s="585"/>
      <c r="H1285" s="585"/>
      <c r="I1285" s="585"/>
      <c r="J1285" s="585"/>
      <c r="K1285" s="585"/>
      <c r="L1285" s="585"/>
      <c r="M1285" s="585"/>
      <c r="N1285" s="585"/>
      <c r="O1285" s="585"/>
      <c r="P1285" s="574"/>
      <c r="Q1285" s="574"/>
      <c r="R1285" s="574"/>
      <c r="S1285" s="574"/>
      <c r="T1285" s="574"/>
      <c r="U1285" s="574"/>
      <c r="V1285" s="574"/>
      <c r="W1285" s="574"/>
      <c r="X1285" s="574"/>
      <c r="Y1285" s="574"/>
      <c r="Z1285" s="574"/>
      <c r="AA1285" s="574"/>
      <c r="AB1285" s="574"/>
      <c r="AC1285" s="574"/>
      <c r="AD1285" s="574"/>
      <c r="AE1285" s="574"/>
      <c r="AF1285" s="574"/>
      <c r="AG1285" s="574"/>
      <c r="AH1285" s="574"/>
      <c r="AI1285" s="574"/>
      <c r="AJ1285" s="574"/>
      <c r="AK1285" s="574"/>
      <c r="AL1285" s="574"/>
      <c r="AM1285" s="574"/>
      <c r="AN1285" s="574"/>
      <c r="AO1285" s="574"/>
      <c r="AP1285" s="574"/>
      <c r="AQ1285" s="574"/>
      <c r="AR1285" s="574"/>
      <c r="AS1285" s="574"/>
      <c r="AT1285" s="574"/>
      <c r="AU1285" s="574"/>
      <c r="AV1285" s="574"/>
      <c r="AW1285" s="574"/>
      <c r="AX1285" s="574"/>
      <c r="AY1285" s="574"/>
      <c r="AZ1285" s="574"/>
      <c r="BA1285" s="574"/>
      <c r="BB1285" s="574"/>
      <c r="BC1285" s="574"/>
      <c r="BD1285" s="574"/>
      <c r="BE1285" s="574"/>
      <c r="BF1285" s="574"/>
      <c r="BG1285" s="585"/>
      <c r="BH1285" s="585"/>
      <c r="BI1285" s="585"/>
      <c r="BJ1285" s="585"/>
      <c r="BK1285" s="585"/>
      <c r="BL1285" s="585"/>
      <c r="BM1285" s="585"/>
      <c r="BN1285" s="585"/>
      <c r="BO1285" s="585"/>
      <c r="BP1285" s="1431"/>
      <c r="BQ1285" s="1431"/>
      <c r="BR1285" s="585"/>
      <c r="BS1285" s="585"/>
      <c r="BT1285" s="1432"/>
      <c r="BU1285" s="1432"/>
      <c r="BV1285" s="1432"/>
      <c r="BW1285" s="1432"/>
      <c r="BX1285" s="1432"/>
      <c r="BY1285" s="1432"/>
      <c r="BZ1285" s="1432"/>
      <c r="CA1285" s="1432"/>
      <c r="CB1285" s="1432"/>
      <c r="CC1285" s="1432"/>
      <c r="CD1285" s="585"/>
      <c r="CE1285" s="585"/>
      <c r="CF1285" s="586"/>
    </row>
    <row r="1286" spans="1:84" s="583" customFormat="1" ht="23.1" customHeight="1">
      <c r="A1286" s="584"/>
      <c r="B1286" s="585"/>
      <c r="C1286" s="585"/>
      <c r="D1286" s="585"/>
      <c r="E1286" s="585"/>
      <c r="F1286" s="585"/>
      <c r="G1286" s="585"/>
      <c r="H1286" s="585"/>
      <c r="I1286" s="585"/>
      <c r="J1286" s="585"/>
      <c r="K1286" s="585"/>
      <c r="L1286" s="585"/>
      <c r="M1286" s="585"/>
      <c r="N1286" s="585"/>
      <c r="O1286" s="585"/>
      <c r="P1286" s="585"/>
      <c r="Q1286" s="585"/>
      <c r="R1286" s="585"/>
      <c r="S1286" s="585"/>
      <c r="T1286" s="585"/>
      <c r="U1286" s="585"/>
      <c r="V1286" s="585"/>
      <c r="W1286" s="585"/>
      <c r="X1286" s="585"/>
      <c r="Y1286" s="585"/>
      <c r="Z1286" s="585"/>
      <c r="AA1286" s="585"/>
      <c r="AB1286" s="585"/>
      <c r="AC1286" s="585"/>
      <c r="AD1286" s="574"/>
      <c r="AE1286" s="574"/>
      <c r="AF1286" s="574"/>
      <c r="AG1286" s="574"/>
      <c r="AH1286" s="574"/>
      <c r="AI1286" s="574"/>
      <c r="AJ1286" s="574"/>
      <c r="AK1286" s="574"/>
      <c r="AL1286" s="574"/>
      <c r="AM1286" s="574"/>
      <c r="AN1286" s="574"/>
      <c r="AO1286" s="574"/>
      <c r="AP1286" s="574"/>
      <c r="AQ1286" s="574"/>
      <c r="AR1286" s="574"/>
      <c r="AS1286" s="585"/>
      <c r="AT1286" s="590"/>
      <c r="AU1286" s="590"/>
      <c r="AV1286" s="585"/>
      <c r="AW1286" s="585"/>
      <c r="AX1286" s="585"/>
      <c r="AY1286" s="585"/>
      <c r="AZ1286" s="585"/>
      <c r="BA1286" s="585"/>
      <c r="BB1286" s="585"/>
      <c r="BC1286" s="585"/>
      <c r="BD1286" s="585"/>
      <c r="BE1286" s="585"/>
      <c r="BF1286" s="585"/>
      <c r="BG1286" s="585"/>
      <c r="BH1286" s="585"/>
      <c r="BI1286" s="585"/>
      <c r="BJ1286" s="585"/>
      <c r="BK1286" s="585"/>
      <c r="BL1286" s="585"/>
      <c r="BM1286" s="585"/>
      <c r="BN1286" s="585"/>
      <c r="BO1286" s="585"/>
      <c r="BP1286" s="1431" t="s">
        <v>41</v>
      </c>
      <c r="BQ1286" s="1431"/>
      <c r="BR1286" s="585"/>
      <c r="BS1286" s="585"/>
      <c r="BT1286" s="1434">
        <f>BT1284+BT1285</f>
        <v>0</v>
      </c>
      <c r="BU1286" s="1434"/>
      <c r="BV1286" s="1434"/>
      <c r="BW1286" s="1434"/>
      <c r="BX1286" s="1434"/>
      <c r="BY1286" s="1434"/>
      <c r="BZ1286" s="1434"/>
      <c r="CA1286" s="1434"/>
      <c r="CB1286" s="1434"/>
      <c r="CC1286" s="1434"/>
      <c r="CD1286" s="585"/>
      <c r="CE1286" s="585"/>
      <c r="CF1286" s="586"/>
    </row>
    <row r="1287" spans="1:84" s="583" customFormat="1" ht="23.1" customHeight="1">
      <c r="A1287" s="592"/>
      <c r="B1287" s="593" t="s">
        <v>1110</v>
      </c>
      <c r="C1287" s="593"/>
      <c r="D1287" s="593"/>
      <c r="E1287" s="593"/>
      <c r="F1287" s="593"/>
      <c r="G1287" s="593"/>
      <c r="H1287" s="593"/>
      <c r="I1287" s="593"/>
      <c r="J1287" s="593"/>
      <c r="K1287" s="593"/>
      <c r="L1287" s="593"/>
      <c r="M1287" s="593"/>
      <c r="N1287" s="593"/>
      <c r="O1287" s="593"/>
      <c r="P1287" s="593"/>
      <c r="Q1287" s="593"/>
      <c r="R1287" s="593"/>
      <c r="S1287" s="593"/>
      <c r="T1287" s="593"/>
      <c r="U1287" s="593"/>
      <c r="V1287" s="593"/>
      <c r="W1287" s="593"/>
      <c r="X1287" s="593"/>
      <c r="Y1287" s="593"/>
      <c r="Z1287" s="593"/>
      <c r="AA1287" s="593"/>
      <c r="AB1287" s="593"/>
      <c r="AC1287" s="593"/>
      <c r="AD1287" s="593"/>
      <c r="AE1287" s="593"/>
      <c r="AF1287" s="593"/>
      <c r="AG1287" s="593"/>
      <c r="AH1287" s="593"/>
      <c r="AI1287" s="593"/>
      <c r="AJ1287" s="593"/>
      <c r="AK1287" s="593"/>
      <c r="AL1287" s="593"/>
      <c r="AM1287" s="593"/>
      <c r="AN1287" s="593"/>
      <c r="AO1287" s="593"/>
      <c r="AP1287" s="593"/>
      <c r="AQ1287" s="593"/>
      <c r="AR1287" s="593"/>
      <c r="AS1287" s="593"/>
      <c r="AT1287" s="593"/>
      <c r="AU1287" s="593"/>
      <c r="AV1287" s="593"/>
      <c r="AW1287" s="593"/>
      <c r="AX1287" s="593"/>
      <c r="AY1287" s="593"/>
      <c r="AZ1287" s="593"/>
      <c r="BA1287" s="593"/>
      <c r="BB1287" s="593"/>
      <c r="BC1287" s="593"/>
      <c r="BD1287" s="593"/>
      <c r="BE1287" s="593"/>
      <c r="BF1287" s="593"/>
      <c r="BG1287" s="593"/>
      <c r="BH1287" s="593"/>
      <c r="BI1287" s="593"/>
      <c r="BJ1287" s="593"/>
      <c r="BK1287" s="593"/>
      <c r="BL1287" s="593"/>
      <c r="BM1287" s="593"/>
      <c r="BN1287" s="593"/>
      <c r="BO1287" s="593"/>
      <c r="BP1287" s="593"/>
      <c r="BQ1287" s="593"/>
      <c r="BR1287" s="593"/>
      <c r="BS1287" s="593"/>
      <c r="BT1287" s="593"/>
      <c r="BU1287" s="593"/>
      <c r="BV1287" s="593"/>
      <c r="BW1287" s="593"/>
      <c r="BX1287" s="593"/>
      <c r="BY1287" s="593"/>
      <c r="BZ1287" s="593"/>
      <c r="CA1287" s="593"/>
      <c r="CB1287" s="593"/>
      <c r="CC1287" s="593"/>
      <c r="CD1287" s="593"/>
      <c r="CE1287" s="593"/>
      <c r="CF1287" s="595"/>
    </row>
    <row r="1288" spans="1:84" s="583" customFormat="1" ht="23.1" customHeight="1">
      <c r="A1288" s="584"/>
      <c r="B1288" s="585"/>
      <c r="C1288" s="585"/>
      <c r="D1288" s="596"/>
      <c r="E1288" s="585"/>
      <c r="F1288" s="585"/>
      <c r="G1288" s="585"/>
      <c r="H1288" s="585"/>
      <c r="I1288" s="585"/>
      <c r="J1288" s="585"/>
      <c r="K1288" s="585"/>
      <c r="L1288" s="585"/>
      <c r="M1288" s="585"/>
      <c r="N1288" s="585"/>
      <c r="O1288" s="585"/>
      <c r="P1288" s="585"/>
      <c r="Q1288" s="585"/>
      <c r="R1288" s="585"/>
      <c r="S1288" s="585"/>
      <c r="T1288" s="585"/>
      <c r="U1288" s="585"/>
      <c r="V1288" s="585"/>
      <c r="W1288" s="585"/>
      <c r="X1288" s="585"/>
      <c r="Y1288" s="585"/>
      <c r="Z1288" s="585"/>
      <c r="AA1288" s="585"/>
      <c r="AB1288" s="585"/>
      <c r="AC1288" s="585"/>
      <c r="AD1288" s="585"/>
      <c r="AE1288" s="585"/>
      <c r="AF1288" s="585"/>
      <c r="AG1288" s="585"/>
      <c r="AH1288" s="585"/>
      <c r="AI1288" s="585"/>
      <c r="AJ1288" s="585"/>
      <c r="AK1288" s="585"/>
      <c r="AL1288" s="585"/>
      <c r="AM1288" s="585"/>
      <c r="AN1288" s="585"/>
      <c r="AO1288" s="585"/>
      <c r="AP1288" s="585"/>
      <c r="AQ1288" s="585"/>
      <c r="AR1288" s="422"/>
      <c r="AS1288" s="1430"/>
      <c r="AT1288" s="1430"/>
      <c r="AU1288" s="1430"/>
      <c r="AV1288" s="1430"/>
      <c r="AW1288" s="1430"/>
      <c r="AX1288" s="1430"/>
      <c r="AY1288" s="1430"/>
      <c r="AZ1288" s="1430"/>
      <c r="BA1288" s="1430"/>
      <c r="BB1288" s="1430"/>
      <c r="BC1288" s="585"/>
      <c r="BD1288" s="1431"/>
      <c r="BE1288" s="1431"/>
      <c r="BF1288" s="585"/>
      <c r="BG1288" s="1431"/>
      <c r="BH1288" s="1431"/>
      <c r="BI1288" s="1431"/>
      <c r="BJ1288" s="1431"/>
      <c r="BK1288" s="1431"/>
      <c r="BL1288" s="585"/>
      <c r="BM1288" s="585"/>
      <c r="BN1288" s="585"/>
      <c r="BO1288" s="585"/>
      <c r="BP1288" s="1431"/>
      <c r="BQ1288" s="1431"/>
      <c r="BR1288" s="585"/>
      <c r="BS1288" s="585"/>
      <c r="BT1288" s="1432"/>
      <c r="BU1288" s="1432"/>
      <c r="BV1288" s="1432"/>
      <c r="BW1288" s="1432"/>
      <c r="BX1288" s="1432"/>
      <c r="BY1288" s="1432"/>
      <c r="BZ1288" s="1432"/>
      <c r="CA1288" s="1432"/>
      <c r="CB1288" s="1432"/>
      <c r="CC1288" s="1432"/>
      <c r="CD1288" s="585"/>
      <c r="CE1288" s="585"/>
      <c r="CF1288" s="586"/>
    </row>
    <row r="1289" spans="1:84" s="583" customFormat="1" ht="23.1" customHeight="1">
      <c r="A1289" s="584"/>
      <c r="B1289" s="585"/>
      <c r="C1289" s="585"/>
      <c r="D1289" s="591"/>
      <c r="E1289" s="585"/>
      <c r="F1289" s="585"/>
      <c r="G1289" s="585"/>
      <c r="H1289" s="585"/>
      <c r="I1289" s="585"/>
      <c r="J1289" s="585"/>
      <c r="K1289" s="585"/>
      <c r="L1289" s="585"/>
      <c r="M1289" s="585"/>
      <c r="N1289" s="585"/>
      <c r="O1289" s="585"/>
      <c r="P1289" s="585"/>
      <c r="Q1289" s="585"/>
      <c r="R1289" s="585"/>
      <c r="S1289" s="585"/>
      <c r="T1289" s="585"/>
      <c r="U1289" s="585"/>
      <c r="V1289" s="585"/>
      <c r="W1289" s="585"/>
      <c r="X1289" s="585"/>
      <c r="Y1289" s="585"/>
      <c r="Z1289" s="585"/>
      <c r="AA1289" s="585"/>
      <c r="AB1289" s="585"/>
      <c r="AC1289" s="585"/>
      <c r="AD1289" s="585"/>
      <c r="AE1289" s="585"/>
      <c r="AF1289" s="585"/>
      <c r="AG1289" s="585"/>
      <c r="AH1289" s="585"/>
      <c r="AI1289" s="585"/>
      <c r="AJ1289" s="585"/>
      <c r="AK1289" s="585"/>
      <c r="AL1289" s="585"/>
      <c r="AM1289" s="585"/>
      <c r="AN1289" s="585"/>
      <c r="AO1289" s="585"/>
      <c r="AP1289" s="585"/>
      <c r="AQ1289" s="585"/>
      <c r="AR1289" s="422"/>
      <c r="AS1289" s="1430"/>
      <c r="AT1289" s="1430"/>
      <c r="AU1289" s="1430"/>
      <c r="AV1289" s="1430"/>
      <c r="AW1289" s="1430"/>
      <c r="AX1289" s="1430"/>
      <c r="AY1289" s="1430"/>
      <c r="AZ1289" s="1430"/>
      <c r="BA1289" s="1430"/>
      <c r="BB1289" s="1430"/>
      <c r="BC1289" s="585"/>
      <c r="BD1289" s="1431"/>
      <c r="BE1289" s="1431"/>
      <c r="BF1289" s="585"/>
      <c r="BG1289" s="1431"/>
      <c r="BH1289" s="1431"/>
      <c r="BI1289" s="1431"/>
      <c r="BJ1289" s="1431"/>
      <c r="BK1289" s="1431"/>
      <c r="BL1289" s="585"/>
      <c r="BM1289" s="585"/>
      <c r="BN1289" s="585"/>
      <c r="BO1289" s="585"/>
      <c r="BP1289" s="1431"/>
      <c r="BQ1289" s="1431"/>
      <c r="BR1289" s="585"/>
      <c r="BS1289" s="585"/>
      <c r="BT1289" s="1432"/>
      <c r="BU1289" s="1432"/>
      <c r="BV1289" s="1432"/>
      <c r="BW1289" s="1432"/>
      <c r="BX1289" s="1432"/>
      <c r="BY1289" s="1432"/>
      <c r="BZ1289" s="1432"/>
      <c r="CA1289" s="1432"/>
      <c r="CB1289" s="1432"/>
      <c r="CC1289" s="1432"/>
      <c r="CD1289" s="585"/>
      <c r="CE1289" s="585"/>
      <c r="CF1289" s="586"/>
    </row>
    <row r="1290" spans="1:84" s="583" customFormat="1" ht="23.1" customHeight="1" thickBot="1">
      <c r="A1290" s="584"/>
      <c r="B1290" s="585"/>
      <c r="C1290" s="585"/>
      <c r="D1290" s="585"/>
      <c r="E1290" s="585"/>
      <c r="F1290" s="585"/>
      <c r="G1290" s="585"/>
      <c r="H1290" s="585"/>
      <c r="I1290" s="585"/>
      <c r="J1290" s="585"/>
      <c r="K1290" s="585"/>
      <c r="L1290" s="585"/>
      <c r="M1290" s="585"/>
      <c r="N1290" s="585"/>
      <c r="O1290" s="585"/>
      <c r="P1290" s="585"/>
      <c r="Q1290" s="585"/>
      <c r="R1290" s="585"/>
      <c r="S1290" s="585"/>
      <c r="T1290" s="585"/>
      <c r="U1290" s="585"/>
      <c r="V1290" s="585"/>
      <c r="W1290" s="585"/>
      <c r="X1290" s="585"/>
      <c r="Y1290" s="585"/>
      <c r="Z1290" s="585"/>
      <c r="AA1290" s="585"/>
      <c r="AB1290" s="585"/>
      <c r="AC1290" s="585"/>
      <c r="AD1290" s="585"/>
      <c r="AE1290" s="585"/>
      <c r="AF1290" s="585"/>
      <c r="AG1290" s="585"/>
      <c r="AH1290" s="585"/>
      <c r="AI1290" s="585"/>
      <c r="AJ1290" s="585"/>
      <c r="AK1290" s="585"/>
      <c r="AL1290" s="585"/>
      <c r="AM1290" s="585"/>
      <c r="AN1290" s="585"/>
      <c r="AO1290" s="585"/>
      <c r="AP1290" s="585"/>
      <c r="AQ1290" s="585"/>
      <c r="AR1290" s="585"/>
      <c r="AS1290" s="585"/>
      <c r="AT1290" s="585"/>
      <c r="AU1290" s="585"/>
      <c r="AV1290" s="585"/>
      <c r="AW1290" s="585"/>
      <c r="AX1290" s="585"/>
      <c r="AY1290" s="585"/>
      <c r="AZ1290" s="585"/>
      <c r="BA1290" s="585"/>
      <c r="BB1290" s="585"/>
      <c r="BC1290" s="585"/>
      <c r="BD1290" s="585"/>
      <c r="BE1290" s="585"/>
      <c r="BF1290" s="585"/>
      <c r="BG1290" s="585"/>
      <c r="BH1290" s="585"/>
      <c r="BI1290" s="585"/>
      <c r="BJ1290" s="585"/>
      <c r="BK1290" s="585"/>
      <c r="BL1290" s="585"/>
      <c r="BM1290" s="585"/>
      <c r="BN1290" s="585"/>
      <c r="BO1290" s="585"/>
      <c r="BP1290" s="1431" t="s">
        <v>41</v>
      </c>
      <c r="BQ1290" s="1431"/>
      <c r="BR1290" s="585"/>
      <c r="BS1290" s="585"/>
      <c r="BT1290" s="1433">
        <f>BT1288+BT1289</f>
        <v>0</v>
      </c>
      <c r="BU1290" s="1433"/>
      <c r="BV1290" s="1433"/>
      <c r="BW1290" s="1433"/>
      <c r="BX1290" s="1433"/>
      <c r="BY1290" s="1433"/>
      <c r="BZ1290" s="1433"/>
      <c r="CA1290" s="1433"/>
      <c r="CB1290" s="1433"/>
      <c r="CC1290" s="1433"/>
      <c r="CD1290" s="585"/>
      <c r="CE1290" s="585"/>
      <c r="CF1290" s="586"/>
    </row>
    <row r="1291" spans="1:84" s="583" customFormat="1" ht="23.1" customHeight="1" thickBot="1">
      <c r="A1291" s="597"/>
      <c r="B1291" s="598" t="s">
        <v>1113</v>
      </c>
      <c r="C1291" s="598"/>
      <c r="D1291" s="598"/>
      <c r="E1291" s="598"/>
      <c r="F1291" s="598"/>
      <c r="G1291" s="598"/>
      <c r="H1291" s="598"/>
      <c r="I1291" s="598"/>
      <c r="J1291" s="598"/>
      <c r="K1291" s="598"/>
      <c r="L1291" s="598"/>
      <c r="M1291" s="598"/>
      <c r="N1291" s="598"/>
      <c r="O1291" s="598"/>
      <c r="P1291" s="598"/>
      <c r="Q1291" s="598"/>
      <c r="R1291" s="598"/>
      <c r="S1291" s="598"/>
      <c r="T1291" s="598"/>
      <c r="U1291" s="598"/>
      <c r="V1291" s="598"/>
      <c r="W1291" s="598"/>
      <c r="X1291" s="598"/>
      <c r="Y1291" s="598"/>
      <c r="Z1291" s="598"/>
      <c r="AA1291" s="598"/>
      <c r="AB1291" s="598"/>
      <c r="AC1291" s="598"/>
      <c r="AD1291" s="598"/>
      <c r="AE1291" s="598"/>
      <c r="AF1291" s="598"/>
      <c r="AG1291" s="598"/>
      <c r="AH1291" s="598"/>
      <c r="AI1291" s="598"/>
      <c r="AJ1291" s="598"/>
      <c r="AK1291" s="598"/>
      <c r="AL1291" s="598"/>
      <c r="AM1291" s="598"/>
      <c r="AN1291" s="598"/>
      <c r="AO1291" s="598"/>
      <c r="AP1291" s="598"/>
      <c r="AQ1291" s="598"/>
      <c r="AR1291" s="598"/>
      <c r="AS1291" s="598"/>
      <c r="AT1291" s="598"/>
      <c r="AU1291" s="598"/>
      <c r="AV1291" s="598"/>
      <c r="AW1291" s="598"/>
      <c r="AX1291" s="598"/>
      <c r="AY1291" s="598"/>
      <c r="AZ1291" s="598"/>
      <c r="BA1291" s="598"/>
      <c r="BB1291" s="598"/>
      <c r="BC1291" s="598"/>
      <c r="BD1291" s="598"/>
      <c r="BE1291" s="598"/>
      <c r="BF1291" s="598"/>
      <c r="BG1291" s="598"/>
      <c r="BH1291" s="598"/>
      <c r="BI1291" s="598"/>
      <c r="BJ1291" s="598"/>
      <c r="BK1291" s="598"/>
      <c r="BL1291" s="598"/>
      <c r="BM1291" s="598"/>
      <c r="BN1291" s="598"/>
      <c r="BO1291" s="598"/>
      <c r="BP1291" s="598"/>
      <c r="BQ1291" s="598"/>
      <c r="BR1291" s="598"/>
      <c r="BS1291" s="598"/>
      <c r="BT1291" s="1429">
        <f>BT1282+BT1286+BT1290</f>
        <v>666</v>
      </c>
      <c r="BU1291" s="1429"/>
      <c r="BV1291" s="1429"/>
      <c r="BW1291" s="1429"/>
      <c r="BX1291" s="1429"/>
      <c r="BY1291" s="1429"/>
      <c r="BZ1291" s="1429"/>
      <c r="CA1291" s="1429"/>
      <c r="CB1291" s="1429"/>
      <c r="CC1291" s="1429"/>
      <c r="CD1291" s="598"/>
      <c r="CE1291" s="598"/>
      <c r="CF1291" s="599"/>
    </row>
    <row r="1292" spans="1:84" s="583" customFormat="1" ht="9.9499999999999993" customHeight="1">
      <c r="A1292" s="574"/>
      <c r="B1292" s="574"/>
      <c r="C1292" s="574"/>
      <c r="D1292" s="574"/>
      <c r="E1292" s="574"/>
      <c r="F1292" s="574"/>
      <c r="G1292" s="574"/>
      <c r="H1292" s="574"/>
      <c r="I1292" s="574"/>
      <c r="J1292" s="574"/>
      <c r="K1292" s="574"/>
      <c r="L1292" s="574"/>
      <c r="M1292" s="574"/>
      <c r="N1292" s="574"/>
      <c r="O1292" s="574"/>
      <c r="P1292" s="574"/>
      <c r="Q1292" s="574"/>
      <c r="R1292" s="574"/>
      <c r="S1292" s="574"/>
      <c r="T1292" s="574"/>
      <c r="U1292" s="574"/>
      <c r="V1292" s="574"/>
      <c r="W1292" s="574"/>
      <c r="X1292" s="574"/>
      <c r="Y1292" s="574"/>
      <c r="Z1292" s="574"/>
      <c r="AA1292" s="574"/>
      <c r="AB1292" s="574"/>
      <c r="AC1292" s="574"/>
      <c r="AD1292" s="574"/>
      <c r="AE1292" s="574"/>
      <c r="AF1292" s="574"/>
      <c r="AG1292" s="574"/>
      <c r="AH1292" s="574"/>
      <c r="AI1292" s="574"/>
      <c r="AJ1292" s="574"/>
      <c r="AK1292" s="574"/>
      <c r="AL1292" s="574"/>
      <c r="AM1292" s="574"/>
      <c r="AN1292" s="574"/>
      <c r="AO1292" s="574"/>
      <c r="AP1292" s="574"/>
      <c r="AQ1292" s="574"/>
      <c r="AR1292" s="574"/>
      <c r="AS1292" s="574"/>
      <c r="AT1292" s="574"/>
      <c r="AU1292" s="574"/>
      <c r="AV1292" s="574"/>
      <c r="AW1292" s="574"/>
      <c r="AX1292" s="574"/>
      <c r="AY1292" s="574"/>
      <c r="AZ1292" s="574"/>
      <c r="BA1292" s="574"/>
      <c r="BB1292" s="574"/>
      <c r="BC1292" s="574"/>
      <c r="BD1292" s="574"/>
      <c r="BE1292" s="574"/>
      <c r="BF1292" s="574"/>
      <c r="BG1292" s="574"/>
      <c r="BH1292" s="574"/>
      <c r="BI1292" s="574"/>
      <c r="BJ1292" s="574"/>
      <c r="BK1292" s="574"/>
      <c r="BL1292" s="574"/>
      <c r="BM1292" s="574"/>
      <c r="BN1292" s="574"/>
      <c r="BO1292" s="574"/>
      <c r="BP1292" s="574"/>
      <c r="BQ1292" s="574"/>
      <c r="BR1292" s="574"/>
      <c r="BS1292" s="574"/>
      <c r="BT1292" s="574"/>
      <c r="BU1292" s="574"/>
      <c r="BV1292" s="574"/>
      <c r="BW1292" s="574"/>
      <c r="BX1292" s="574"/>
      <c r="BY1292" s="574"/>
      <c r="BZ1292" s="574"/>
      <c r="CA1292" s="574"/>
      <c r="CB1292" s="574"/>
      <c r="CC1292" s="574"/>
      <c r="CD1292" s="574"/>
      <c r="CE1292" s="574"/>
      <c r="CF1292" s="574"/>
    </row>
    <row r="1293" spans="1:84" s="583" customFormat="1" ht="23.1" customHeight="1" thickBot="1">
      <c r="A1293" s="1446" t="s">
        <v>1095</v>
      </c>
      <c r="B1293" s="1446"/>
      <c r="C1293" s="1446"/>
      <c r="D1293" s="1446"/>
      <c r="E1293" s="1446"/>
      <c r="F1293" s="1446"/>
      <c r="G1293" s="1447">
        <f>G1278+1</f>
        <v>87</v>
      </c>
      <c r="H1293" s="1447"/>
      <c r="I1293" s="1447"/>
      <c r="J1293" s="1448" t="s">
        <v>1096</v>
      </c>
      <c r="K1293" s="1448"/>
      <c r="L1293" s="574"/>
      <c r="M1293" s="574"/>
      <c r="N1293" s="574"/>
      <c r="O1293" s="574"/>
      <c r="P1293" s="574"/>
      <c r="Q1293" s="574"/>
      <c r="R1293" s="574"/>
      <c r="S1293" s="574"/>
      <c r="T1293" s="574"/>
      <c r="U1293" s="574"/>
      <c r="V1293" s="574"/>
      <c r="W1293" s="574"/>
      <c r="X1293" s="574"/>
      <c r="Y1293" s="574"/>
      <c r="Z1293" s="574"/>
      <c r="AA1293" s="574"/>
      <c r="AB1293" s="574"/>
      <c r="AC1293" s="574"/>
      <c r="AD1293" s="574"/>
      <c r="AE1293" s="574"/>
      <c r="AF1293" s="574"/>
      <c r="AG1293" s="574"/>
      <c r="AH1293" s="574"/>
      <c r="AI1293" s="574"/>
      <c r="AJ1293" s="574"/>
      <c r="AK1293" s="574"/>
      <c r="AL1293" s="574"/>
      <c r="AM1293" s="574"/>
      <c r="AN1293" s="574"/>
      <c r="AO1293" s="574"/>
      <c r="AP1293" s="574"/>
      <c r="AQ1293" s="574"/>
      <c r="AR1293" s="574"/>
      <c r="AS1293" s="574"/>
      <c r="AT1293" s="574"/>
      <c r="AU1293" s="574"/>
      <c r="AV1293" s="574"/>
      <c r="AW1293" s="574"/>
      <c r="AX1293" s="574"/>
      <c r="AY1293" s="574"/>
      <c r="AZ1293" s="574"/>
      <c r="BA1293" s="574"/>
      <c r="BB1293" s="574"/>
      <c r="BC1293" s="574"/>
      <c r="BD1293" s="574"/>
      <c r="BE1293" s="574"/>
      <c r="BF1293" s="574"/>
      <c r="BG1293" s="574"/>
      <c r="BH1293" s="574"/>
      <c r="BI1293" s="574"/>
      <c r="BJ1293" s="574"/>
      <c r="BK1293" s="574"/>
      <c r="BL1293" s="574"/>
      <c r="BM1293" s="574"/>
      <c r="BN1293" s="574"/>
      <c r="BO1293" s="574"/>
      <c r="BP1293" s="574"/>
      <c r="BQ1293" s="574"/>
      <c r="BR1293" s="574"/>
      <c r="BS1293" s="574"/>
      <c r="BT1293" s="574"/>
      <c r="BU1293" s="574"/>
      <c r="BV1293" s="574"/>
      <c r="BW1293" s="574"/>
      <c r="BX1293" s="574"/>
      <c r="BY1293" s="574"/>
      <c r="BZ1293" s="574"/>
      <c r="CA1293" s="574"/>
      <c r="CB1293" s="574"/>
      <c r="CC1293" s="574"/>
      <c r="CD1293" s="574"/>
      <c r="CE1293" s="574"/>
      <c r="CF1293" s="574"/>
    </row>
    <row r="1294" spans="1:84" s="603" customFormat="1" ht="23.1" customHeight="1" thickBot="1">
      <c r="A1294" s="1438" t="s">
        <v>1097</v>
      </c>
      <c r="B1294" s="1439"/>
      <c r="C1294" s="1439"/>
      <c r="D1294" s="1439"/>
      <c r="E1294" s="1439"/>
      <c r="F1294" s="1439"/>
      <c r="G1294" s="1439"/>
      <c r="H1294" s="1439"/>
      <c r="I1294" s="601" t="s">
        <v>1248</v>
      </c>
      <c r="J1294" s="601"/>
      <c r="K1294" s="601"/>
      <c r="L1294" s="601"/>
      <c r="M1294" s="601"/>
      <c r="N1294" s="601"/>
      <c r="O1294" s="601"/>
      <c r="P1294" s="601"/>
      <c r="Q1294" s="601"/>
      <c r="R1294" s="601"/>
      <c r="S1294" s="601"/>
      <c r="T1294" s="601"/>
      <c r="U1294" s="601"/>
      <c r="V1294" s="601"/>
      <c r="W1294" s="601"/>
      <c r="X1294" s="601"/>
      <c r="Y1294" s="601"/>
      <c r="Z1294" s="601"/>
      <c r="AA1294" s="601"/>
      <c r="AB1294" s="601"/>
      <c r="AC1294" s="601"/>
      <c r="AD1294" s="601"/>
      <c r="AE1294" s="601"/>
      <c r="AF1294" s="601"/>
      <c r="AG1294" s="601"/>
      <c r="AH1294" s="601"/>
      <c r="AI1294" s="601"/>
      <c r="AJ1294" s="1439" t="s">
        <v>1099</v>
      </c>
      <c r="AK1294" s="1439"/>
      <c r="AL1294" s="1439"/>
      <c r="AM1294" s="1439"/>
      <c r="AN1294" s="1439"/>
      <c r="AO1294" s="1439"/>
      <c r="AP1294" s="1439"/>
      <c r="AQ1294" s="601" t="s">
        <v>1249</v>
      </c>
      <c r="AR1294" s="601"/>
      <c r="AS1294" s="601"/>
      <c r="AT1294" s="601"/>
      <c r="AU1294" s="601"/>
      <c r="AV1294" s="601"/>
      <c r="AW1294" s="601"/>
      <c r="AX1294" s="601"/>
      <c r="AY1294" s="601"/>
      <c r="AZ1294" s="601"/>
      <c r="BA1294" s="601"/>
      <c r="BB1294" s="601"/>
      <c r="BC1294" s="601"/>
      <c r="BD1294" s="601"/>
      <c r="BE1294" s="601"/>
      <c r="BF1294" s="601"/>
      <c r="BG1294" s="601"/>
      <c r="BH1294" s="601"/>
      <c r="BI1294" s="601"/>
      <c r="BJ1294" s="601"/>
      <c r="BK1294" s="601"/>
      <c r="BL1294" s="601"/>
      <c r="BM1294" s="601"/>
      <c r="BN1294" s="601"/>
      <c r="BO1294" s="601"/>
      <c r="BP1294" s="601"/>
      <c r="BQ1294" s="601"/>
      <c r="BR1294" s="601"/>
      <c r="BS1294" s="601"/>
      <c r="BT1294" s="601" t="s">
        <v>1250</v>
      </c>
      <c r="BU1294" s="601"/>
      <c r="BV1294" s="601"/>
      <c r="BW1294" s="601"/>
      <c r="BX1294" s="601"/>
      <c r="BY1294" s="601"/>
      <c r="BZ1294" s="601"/>
      <c r="CA1294" s="601"/>
      <c r="CB1294" s="601"/>
      <c r="CC1294" s="601"/>
      <c r="CD1294" s="601"/>
      <c r="CE1294" s="601"/>
      <c r="CF1294" s="602"/>
    </row>
    <row r="1295" spans="1:84" s="583" customFormat="1" ht="23.1" customHeight="1">
      <c r="A1295" s="584"/>
      <c r="B1295" s="585" t="s">
        <v>1102</v>
      </c>
      <c r="C1295" s="585"/>
      <c r="D1295" s="585"/>
      <c r="E1295" s="585"/>
      <c r="F1295" s="585"/>
      <c r="G1295" s="585"/>
      <c r="H1295" s="585"/>
      <c r="I1295" s="585"/>
      <c r="J1295" s="585"/>
      <c r="K1295" s="585"/>
      <c r="L1295" s="585"/>
      <c r="M1295" s="585"/>
      <c r="N1295" s="585"/>
      <c r="O1295" s="585"/>
      <c r="P1295" s="585"/>
      <c r="Q1295" s="585"/>
      <c r="R1295" s="585"/>
      <c r="S1295" s="585"/>
      <c r="T1295" s="585"/>
      <c r="U1295" s="585"/>
      <c r="V1295" s="585"/>
      <c r="W1295" s="585"/>
      <c r="X1295" s="585"/>
      <c r="Y1295" s="585"/>
      <c r="Z1295" s="585"/>
      <c r="AA1295" s="585"/>
      <c r="AB1295" s="585"/>
      <c r="AC1295" s="585"/>
      <c r="AD1295" s="585"/>
      <c r="AE1295" s="585"/>
      <c r="AF1295" s="585"/>
      <c r="AG1295" s="585"/>
      <c r="AH1295" s="585"/>
      <c r="AI1295" s="585"/>
      <c r="AJ1295" s="585"/>
      <c r="AK1295" s="585"/>
      <c r="AL1295" s="585"/>
      <c r="AM1295" s="585"/>
      <c r="AN1295" s="585"/>
      <c r="AO1295" s="585"/>
      <c r="AP1295" s="585"/>
      <c r="AQ1295" s="585"/>
      <c r="AR1295" s="585"/>
      <c r="AS1295" s="585"/>
      <c r="AT1295" s="585"/>
      <c r="AU1295" s="585"/>
      <c r="AV1295" s="585"/>
      <c r="AW1295" s="585"/>
      <c r="AX1295" s="585"/>
      <c r="AY1295" s="585"/>
      <c r="AZ1295" s="585"/>
      <c r="BA1295" s="585"/>
      <c r="BB1295" s="585"/>
      <c r="BC1295" s="585"/>
      <c r="BD1295" s="585"/>
      <c r="BE1295" s="585"/>
      <c r="BF1295" s="585"/>
      <c r="BG1295" s="585"/>
      <c r="BH1295" s="585"/>
      <c r="BI1295" s="585"/>
      <c r="BJ1295" s="585"/>
      <c r="BK1295" s="585"/>
      <c r="BL1295" s="585"/>
      <c r="BM1295" s="585"/>
      <c r="BN1295" s="585"/>
      <c r="BO1295" s="585"/>
      <c r="BP1295" s="585"/>
      <c r="BQ1295" s="585"/>
      <c r="BR1295" s="585"/>
      <c r="BS1295" s="585"/>
      <c r="BT1295" s="585"/>
      <c r="BU1295" s="585"/>
      <c r="BV1295" s="585"/>
      <c r="BW1295" s="585"/>
      <c r="BX1295" s="585"/>
      <c r="BY1295" s="585"/>
      <c r="BZ1295" s="585"/>
      <c r="CA1295" s="585"/>
      <c r="CB1295" s="585"/>
      <c r="CC1295" s="585"/>
      <c r="CD1295" s="585"/>
      <c r="CE1295" s="585"/>
      <c r="CF1295" s="586"/>
    </row>
    <row r="1296" spans="1:84" s="583" customFormat="1" ht="23.1" customHeight="1">
      <c r="A1296" s="587"/>
      <c r="B1296" s="574"/>
      <c r="C1296" s="574"/>
      <c r="D1296" s="405"/>
      <c r="E1296" s="574"/>
      <c r="F1296" s="422"/>
      <c r="G1296" s="422"/>
      <c r="H1296" s="422"/>
      <c r="I1296" s="422"/>
      <c r="J1296" s="422"/>
      <c r="K1296" s="422"/>
      <c r="L1296" s="422"/>
      <c r="M1296" s="422"/>
      <c r="N1296" s="574"/>
      <c r="O1296" s="574"/>
      <c r="P1296" s="574"/>
      <c r="Q1296" s="574"/>
      <c r="R1296" s="574"/>
      <c r="S1296" s="588"/>
      <c r="T1296" s="588"/>
      <c r="U1296" s="588"/>
      <c r="V1296" s="588"/>
      <c r="W1296" s="588"/>
      <c r="X1296" s="588"/>
      <c r="Y1296" s="588"/>
      <c r="Z1296" s="588"/>
      <c r="AA1296" s="574"/>
      <c r="AB1296" s="588"/>
      <c r="AC1296" s="585"/>
      <c r="AD1296" s="585"/>
      <c r="AE1296" s="600"/>
      <c r="AF1296" s="600"/>
      <c r="AG1296" s="600"/>
      <c r="AH1296" s="600"/>
      <c r="AI1296" s="600"/>
      <c r="AJ1296" s="600"/>
      <c r="AK1296" s="600"/>
      <c r="AL1296" s="600"/>
      <c r="AM1296" s="585"/>
      <c r="AN1296" s="585"/>
      <c r="AO1296" s="574"/>
      <c r="AP1296" s="430"/>
      <c r="AQ1296" s="430"/>
      <c r="AR1296" s="430"/>
      <c r="AS1296" s="430"/>
      <c r="AT1296" s="430"/>
      <c r="AU1296" s="430"/>
      <c r="AV1296" s="430"/>
      <c r="AW1296" s="430"/>
      <c r="AX1296" s="430"/>
      <c r="AY1296" s="430"/>
      <c r="AZ1296" s="430"/>
      <c r="BA1296" s="430"/>
      <c r="BB1296" s="430"/>
      <c r="BC1296" s="430"/>
      <c r="BD1296" s="574"/>
      <c r="BE1296" s="574"/>
      <c r="BF1296" s="574"/>
      <c r="BG1296" s="574"/>
      <c r="BH1296" s="574"/>
      <c r="BI1296" s="574"/>
      <c r="BJ1296" s="574"/>
      <c r="BK1296" s="574"/>
      <c r="BL1296" s="574"/>
      <c r="BM1296" s="574"/>
      <c r="BN1296" s="574"/>
      <c r="BO1296" s="574"/>
      <c r="BP1296" s="574"/>
      <c r="BQ1296" s="574"/>
      <c r="BR1296" s="574"/>
      <c r="BS1296" s="574"/>
      <c r="BT1296" s="574"/>
      <c r="BU1296" s="574"/>
      <c r="BV1296" s="574"/>
      <c r="BW1296" s="574"/>
      <c r="BX1296" s="574"/>
      <c r="BY1296" s="574"/>
      <c r="BZ1296" s="574"/>
      <c r="CA1296" s="574"/>
      <c r="CB1296" s="574"/>
      <c r="CC1296" s="574"/>
      <c r="CD1296" s="574"/>
      <c r="CE1296" s="574"/>
      <c r="CF1296" s="589"/>
    </row>
    <row r="1297" spans="1:84" s="583" customFormat="1" ht="23.1" customHeight="1">
      <c r="A1297" s="584"/>
      <c r="B1297" s="585"/>
      <c r="C1297" s="585"/>
      <c r="D1297" s="585"/>
      <c r="E1297" s="585"/>
      <c r="F1297" s="585"/>
      <c r="G1297" s="585"/>
      <c r="H1297" s="585"/>
      <c r="I1297" s="585"/>
      <c r="J1297" s="585"/>
      <c r="K1297" s="585"/>
      <c r="L1297" s="585"/>
      <c r="M1297" s="585"/>
      <c r="N1297" s="585"/>
      <c r="O1297" s="585"/>
      <c r="P1297" s="585"/>
      <c r="Q1297" s="585"/>
      <c r="R1297" s="585"/>
      <c r="S1297" s="585"/>
      <c r="T1297" s="585"/>
      <c r="U1297" s="585"/>
      <c r="V1297" s="590"/>
      <c r="W1297" s="590"/>
      <c r="X1297" s="590"/>
      <c r="Y1297" s="590"/>
      <c r="Z1297" s="590"/>
      <c r="AA1297" s="590"/>
      <c r="AB1297" s="590"/>
      <c r="AC1297" s="590"/>
      <c r="AD1297" s="574"/>
      <c r="AE1297" s="1440">
        <v>970000</v>
      </c>
      <c r="AF1297" s="1440"/>
      <c r="AG1297" s="1440"/>
      <c r="AH1297" s="1440"/>
      <c r="AI1297" s="1440"/>
      <c r="AJ1297" s="1440"/>
      <c r="AK1297" s="1440"/>
      <c r="AL1297" s="1440"/>
      <c r="AM1297" s="1440"/>
      <c r="AN1297" s="1440"/>
      <c r="AO1297" s="1440"/>
      <c r="AP1297" s="1440"/>
      <c r="AQ1297" s="1440"/>
      <c r="AR1297" s="1440"/>
      <c r="AS1297" s="1440"/>
      <c r="AT1297" s="1431" t="s">
        <v>446</v>
      </c>
      <c r="AU1297" s="1431"/>
      <c r="AV1297" s="1441" t="s">
        <v>1103</v>
      </c>
      <c r="AW1297" s="1441"/>
      <c r="AX1297" s="1442">
        <v>3220</v>
      </c>
      <c r="AY1297" s="1442"/>
      <c r="AZ1297" s="1442"/>
      <c r="BA1297" s="1442"/>
      <c r="BB1297" s="1442"/>
      <c r="BC1297" s="1442"/>
      <c r="BD1297" s="585"/>
      <c r="BE1297" s="1431" t="s">
        <v>446</v>
      </c>
      <c r="BF1297" s="1431"/>
      <c r="BG1297" s="585"/>
      <c r="BH1297" s="591" t="s">
        <v>1104</v>
      </c>
      <c r="BI1297" s="585"/>
      <c r="BJ1297" s="585"/>
      <c r="BK1297" s="585"/>
      <c r="BL1297" s="1431" t="s">
        <v>1105</v>
      </c>
      <c r="BM1297" s="1431"/>
      <c r="BN1297" s="1431"/>
      <c r="BO1297" s="585"/>
      <c r="BP1297" s="1431" t="s">
        <v>41</v>
      </c>
      <c r="BQ1297" s="1431"/>
      <c r="BR1297" s="585"/>
      <c r="BS1297" s="585"/>
      <c r="BT1297" s="1437">
        <f>INT(AE1297*AX1297*10^-7)</f>
        <v>312</v>
      </c>
      <c r="BU1297" s="1437"/>
      <c r="BV1297" s="1437"/>
      <c r="BW1297" s="1437"/>
      <c r="BX1297" s="1437"/>
      <c r="BY1297" s="1437"/>
      <c r="BZ1297" s="1437"/>
      <c r="CA1297" s="1437"/>
      <c r="CB1297" s="1437"/>
      <c r="CC1297" s="1437"/>
      <c r="CD1297" s="585"/>
      <c r="CE1297" s="585"/>
      <c r="CF1297" s="586"/>
    </row>
    <row r="1298" spans="1:84" s="583" customFormat="1" ht="23.1" customHeight="1">
      <c r="A1298" s="592"/>
      <c r="B1298" s="593" t="s">
        <v>1106</v>
      </c>
      <c r="C1298" s="593"/>
      <c r="D1298" s="593"/>
      <c r="E1298" s="593"/>
      <c r="F1298" s="593"/>
      <c r="G1298" s="593"/>
      <c r="H1298" s="593"/>
      <c r="I1298" s="593"/>
      <c r="J1298" s="593"/>
      <c r="K1298" s="593"/>
      <c r="L1298" s="593"/>
      <c r="M1298" s="593"/>
      <c r="N1298" s="593"/>
      <c r="O1298" s="593"/>
      <c r="P1298" s="593"/>
      <c r="Q1298" s="593"/>
      <c r="R1298" s="593"/>
      <c r="S1298" s="593"/>
      <c r="T1298" s="593"/>
      <c r="U1298" s="593"/>
      <c r="V1298" s="593"/>
      <c r="W1298" s="593"/>
      <c r="X1298" s="593"/>
      <c r="Y1298" s="593"/>
      <c r="Z1298" s="593"/>
      <c r="AA1298" s="593"/>
      <c r="AB1298" s="593"/>
      <c r="AC1298" s="593"/>
      <c r="AD1298" s="593"/>
      <c r="AE1298" s="593"/>
      <c r="AF1298" s="593"/>
      <c r="AG1298" s="593"/>
      <c r="AH1298" s="593"/>
      <c r="AI1298" s="593"/>
      <c r="AJ1298" s="593"/>
      <c r="AK1298" s="593"/>
      <c r="AL1298" s="593"/>
      <c r="AM1298" s="593"/>
      <c r="AN1298" s="593"/>
      <c r="AO1298" s="593"/>
      <c r="AP1298" s="593"/>
      <c r="AQ1298" s="593"/>
      <c r="AR1298" s="593"/>
      <c r="AS1298" s="593"/>
      <c r="AT1298" s="593"/>
      <c r="AU1298" s="593"/>
      <c r="AV1298" s="593"/>
      <c r="AW1298" s="593"/>
      <c r="AX1298" s="593"/>
      <c r="AY1298" s="593"/>
      <c r="AZ1298" s="593"/>
      <c r="BA1298" s="593"/>
      <c r="BB1298" s="593"/>
      <c r="BC1298" s="593"/>
      <c r="BD1298" s="593"/>
      <c r="BE1298" s="593"/>
      <c r="BF1298" s="593"/>
      <c r="BG1298" s="593"/>
      <c r="BH1298" s="593"/>
      <c r="BI1298" s="593"/>
      <c r="BJ1298" s="593"/>
      <c r="BK1298" s="593"/>
      <c r="BL1298" s="593"/>
      <c r="BM1298" s="593"/>
      <c r="BN1298" s="593"/>
      <c r="BO1298" s="593"/>
      <c r="BP1298" s="593"/>
      <c r="BQ1298" s="593"/>
      <c r="BR1298" s="593"/>
      <c r="BS1298" s="593"/>
      <c r="BT1298" s="594"/>
      <c r="BU1298" s="594"/>
      <c r="BV1298" s="594"/>
      <c r="BW1298" s="594"/>
      <c r="BX1298" s="594"/>
      <c r="BY1298" s="594"/>
      <c r="BZ1298" s="594"/>
      <c r="CA1298" s="594"/>
      <c r="CB1298" s="594"/>
      <c r="CC1298" s="594"/>
      <c r="CD1298" s="593"/>
      <c r="CE1298" s="593"/>
      <c r="CF1298" s="595"/>
    </row>
    <row r="1299" spans="1:84" s="583" customFormat="1" ht="23.1" customHeight="1">
      <c r="A1299" s="584"/>
      <c r="B1299" s="585"/>
      <c r="C1299" s="585"/>
      <c r="D1299" s="596"/>
      <c r="E1299" s="585"/>
      <c r="F1299" s="585"/>
      <c r="G1299" s="585"/>
      <c r="H1299" s="585"/>
      <c r="I1299" s="585"/>
      <c r="J1299" s="585"/>
      <c r="K1299" s="585"/>
      <c r="L1299" s="585"/>
      <c r="M1299" s="585"/>
      <c r="N1299" s="585"/>
      <c r="O1299" s="585"/>
      <c r="P1299" s="585"/>
      <c r="Q1299" s="585"/>
      <c r="R1299" s="585"/>
      <c r="S1299" s="585"/>
      <c r="T1299" s="574"/>
      <c r="U1299" s="574"/>
      <c r="V1299" s="1430"/>
      <c r="W1299" s="1430"/>
      <c r="X1299" s="1430"/>
      <c r="Y1299" s="1430"/>
      <c r="Z1299" s="1430"/>
      <c r="AA1299" s="1430"/>
      <c r="AB1299" s="1430"/>
      <c r="AC1299" s="1430"/>
      <c r="AD1299" s="1430"/>
      <c r="AE1299" s="1430"/>
      <c r="AF1299" s="1431"/>
      <c r="AG1299" s="1431"/>
      <c r="AH1299" s="574"/>
      <c r="AI1299" s="1436"/>
      <c r="AJ1299" s="1436"/>
      <c r="AK1299" s="1436"/>
      <c r="AL1299" s="1436"/>
      <c r="AM1299" s="585"/>
      <c r="AN1299" s="1431"/>
      <c r="AO1299" s="1431"/>
      <c r="AP1299" s="585"/>
      <c r="AQ1299" s="1436"/>
      <c r="AR1299" s="1436"/>
      <c r="AS1299" s="1436"/>
      <c r="AT1299" s="1436"/>
      <c r="AU1299" s="1436"/>
      <c r="AV1299" s="422"/>
      <c r="AW1299" s="1431"/>
      <c r="AX1299" s="1431"/>
      <c r="AY1299" s="440"/>
      <c r="AZ1299" s="1436"/>
      <c r="BA1299" s="1436"/>
      <c r="BB1299" s="1436"/>
      <c r="BC1299" s="1436"/>
      <c r="BD1299" s="1436"/>
      <c r="BE1299" s="585"/>
      <c r="BF1299" s="1431"/>
      <c r="BG1299" s="1431"/>
      <c r="BH1299" s="1431"/>
      <c r="BI1299" s="1431"/>
      <c r="BJ1299" s="1431"/>
      <c r="BK1299" s="585"/>
      <c r="BL1299" s="585"/>
      <c r="BM1299" s="585"/>
      <c r="BN1299" s="585"/>
      <c r="BO1299" s="585"/>
      <c r="BP1299" s="1431"/>
      <c r="BQ1299" s="1431"/>
      <c r="BR1299" s="585"/>
      <c r="BS1299" s="585"/>
      <c r="BT1299" s="1432"/>
      <c r="BU1299" s="1432"/>
      <c r="BV1299" s="1432"/>
      <c r="BW1299" s="1432"/>
      <c r="BX1299" s="1432"/>
      <c r="BY1299" s="1432"/>
      <c r="BZ1299" s="1432"/>
      <c r="CA1299" s="1432"/>
      <c r="CB1299" s="1432"/>
      <c r="CC1299" s="1432"/>
      <c r="CD1299" s="585"/>
      <c r="CE1299" s="585"/>
      <c r="CF1299" s="586"/>
    </row>
    <row r="1300" spans="1:84" s="583" customFormat="1" ht="23.1" customHeight="1">
      <c r="A1300" s="584"/>
      <c r="B1300" s="585"/>
      <c r="C1300" s="585"/>
      <c r="D1300" s="585"/>
      <c r="E1300" s="585"/>
      <c r="F1300" s="585"/>
      <c r="G1300" s="585"/>
      <c r="H1300" s="585"/>
      <c r="I1300" s="585"/>
      <c r="J1300" s="585"/>
      <c r="K1300" s="585"/>
      <c r="L1300" s="585"/>
      <c r="M1300" s="585"/>
      <c r="N1300" s="585"/>
      <c r="O1300" s="585"/>
      <c r="P1300" s="574"/>
      <c r="Q1300" s="574"/>
      <c r="R1300" s="574"/>
      <c r="S1300" s="574"/>
      <c r="T1300" s="574"/>
      <c r="U1300" s="574"/>
      <c r="V1300" s="574"/>
      <c r="W1300" s="574"/>
      <c r="X1300" s="574"/>
      <c r="Y1300" s="574"/>
      <c r="Z1300" s="574"/>
      <c r="AA1300" s="574"/>
      <c r="AB1300" s="574"/>
      <c r="AC1300" s="574"/>
      <c r="AD1300" s="574"/>
      <c r="AE1300" s="574"/>
      <c r="AF1300" s="574"/>
      <c r="AG1300" s="574"/>
      <c r="AH1300" s="574"/>
      <c r="AI1300" s="574"/>
      <c r="AJ1300" s="574"/>
      <c r="AK1300" s="574"/>
      <c r="AL1300" s="574"/>
      <c r="AM1300" s="574"/>
      <c r="AN1300" s="574"/>
      <c r="AO1300" s="574"/>
      <c r="AP1300" s="574"/>
      <c r="AQ1300" s="574"/>
      <c r="AR1300" s="574"/>
      <c r="AS1300" s="574"/>
      <c r="AT1300" s="574"/>
      <c r="AU1300" s="574"/>
      <c r="AV1300" s="574"/>
      <c r="AW1300" s="574"/>
      <c r="AX1300" s="574"/>
      <c r="AY1300" s="574"/>
      <c r="AZ1300" s="574"/>
      <c r="BA1300" s="574"/>
      <c r="BB1300" s="574"/>
      <c r="BC1300" s="574"/>
      <c r="BD1300" s="574"/>
      <c r="BE1300" s="574"/>
      <c r="BF1300" s="574"/>
      <c r="BG1300" s="585"/>
      <c r="BH1300" s="585"/>
      <c r="BI1300" s="585"/>
      <c r="BJ1300" s="585"/>
      <c r="BK1300" s="585"/>
      <c r="BL1300" s="585"/>
      <c r="BM1300" s="585"/>
      <c r="BN1300" s="585"/>
      <c r="BO1300" s="585"/>
      <c r="BP1300" s="1431"/>
      <c r="BQ1300" s="1431"/>
      <c r="BR1300" s="585"/>
      <c r="BS1300" s="585"/>
      <c r="BT1300" s="1432"/>
      <c r="BU1300" s="1432"/>
      <c r="BV1300" s="1432"/>
      <c r="BW1300" s="1432"/>
      <c r="BX1300" s="1432"/>
      <c r="BY1300" s="1432"/>
      <c r="BZ1300" s="1432"/>
      <c r="CA1300" s="1432"/>
      <c r="CB1300" s="1432"/>
      <c r="CC1300" s="1432"/>
      <c r="CD1300" s="585"/>
      <c r="CE1300" s="585"/>
      <c r="CF1300" s="586"/>
    </row>
    <row r="1301" spans="1:84" s="583" customFormat="1" ht="23.1" customHeight="1">
      <c r="A1301" s="584"/>
      <c r="B1301" s="585"/>
      <c r="C1301" s="585"/>
      <c r="D1301" s="585"/>
      <c r="E1301" s="585"/>
      <c r="F1301" s="585"/>
      <c r="G1301" s="585"/>
      <c r="H1301" s="585"/>
      <c r="I1301" s="585"/>
      <c r="J1301" s="585"/>
      <c r="K1301" s="585"/>
      <c r="L1301" s="585"/>
      <c r="M1301" s="585"/>
      <c r="N1301" s="585"/>
      <c r="O1301" s="585"/>
      <c r="P1301" s="585"/>
      <c r="Q1301" s="585"/>
      <c r="R1301" s="585"/>
      <c r="S1301" s="585"/>
      <c r="T1301" s="585"/>
      <c r="U1301" s="585"/>
      <c r="V1301" s="585"/>
      <c r="W1301" s="585"/>
      <c r="X1301" s="585"/>
      <c r="Y1301" s="585"/>
      <c r="Z1301" s="585"/>
      <c r="AA1301" s="585"/>
      <c r="AB1301" s="585"/>
      <c r="AC1301" s="585"/>
      <c r="AD1301" s="574"/>
      <c r="AE1301" s="574"/>
      <c r="AF1301" s="574"/>
      <c r="AG1301" s="574"/>
      <c r="AH1301" s="574"/>
      <c r="AI1301" s="574"/>
      <c r="AJ1301" s="574"/>
      <c r="AK1301" s="574"/>
      <c r="AL1301" s="574"/>
      <c r="AM1301" s="574"/>
      <c r="AN1301" s="574"/>
      <c r="AO1301" s="574"/>
      <c r="AP1301" s="574"/>
      <c r="AQ1301" s="574"/>
      <c r="AR1301" s="574"/>
      <c r="AS1301" s="585"/>
      <c r="AT1301" s="590"/>
      <c r="AU1301" s="590"/>
      <c r="AV1301" s="585"/>
      <c r="AW1301" s="585"/>
      <c r="AX1301" s="585"/>
      <c r="AY1301" s="585"/>
      <c r="AZ1301" s="585"/>
      <c r="BA1301" s="585"/>
      <c r="BB1301" s="585"/>
      <c r="BC1301" s="585"/>
      <c r="BD1301" s="585"/>
      <c r="BE1301" s="585"/>
      <c r="BF1301" s="585"/>
      <c r="BG1301" s="585"/>
      <c r="BH1301" s="585"/>
      <c r="BI1301" s="585"/>
      <c r="BJ1301" s="585"/>
      <c r="BK1301" s="585"/>
      <c r="BL1301" s="585"/>
      <c r="BM1301" s="585"/>
      <c r="BN1301" s="585"/>
      <c r="BO1301" s="585"/>
      <c r="BP1301" s="1431" t="s">
        <v>41</v>
      </c>
      <c r="BQ1301" s="1431"/>
      <c r="BR1301" s="585"/>
      <c r="BS1301" s="585"/>
      <c r="BT1301" s="1434">
        <f>BT1299+BT1300</f>
        <v>0</v>
      </c>
      <c r="BU1301" s="1434"/>
      <c r="BV1301" s="1434"/>
      <c r="BW1301" s="1434"/>
      <c r="BX1301" s="1434"/>
      <c r="BY1301" s="1434"/>
      <c r="BZ1301" s="1434"/>
      <c r="CA1301" s="1434"/>
      <c r="CB1301" s="1434"/>
      <c r="CC1301" s="1434"/>
      <c r="CD1301" s="585"/>
      <c r="CE1301" s="585"/>
      <c r="CF1301" s="586"/>
    </row>
    <row r="1302" spans="1:84" s="583" customFormat="1" ht="23.1" customHeight="1">
      <c r="A1302" s="592"/>
      <c r="B1302" s="593" t="s">
        <v>1110</v>
      </c>
      <c r="C1302" s="593"/>
      <c r="D1302" s="593"/>
      <c r="E1302" s="593"/>
      <c r="F1302" s="593"/>
      <c r="G1302" s="593"/>
      <c r="H1302" s="593"/>
      <c r="I1302" s="593"/>
      <c r="J1302" s="593"/>
      <c r="K1302" s="593"/>
      <c r="L1302" s="593"/>
      <c r="M1302" s="593"/>
      <c r="N1302" s="593"/>
      <c r="O1302" s="593"/>
      <c r="P1302" s="593"/>
      <c r="Q1302" s="593"/>
      <c r="R1302" s="593"/>
      <c r="S1302" s="593"/>
      <c r="T1302" s="593"/>
      <c r="U1302" s="593"/>
      <c r="V1302" s="593"/>
      <c r="W1302" s="593"/>
      <c r="X1302" s="593"/>
      <c r="Y1302" s="593"/>
      <c r="Z1302" s="593"/>
      <c r="AA1302" s="593"/>
      <c r="AB1302" s="593"/>
      <c r="AC1302" s="593"/>
      <c r="AD1302" s="593"/>
      <c r="AE1302" s="593"/>
      <c r="AF1302" s="593"/>
      <c r="AG1302" s="593"/>
      <c r="AH1302" s="593"/>
      <c r="AI1302" s="593"/>
      <c r="AJ1302" s="593"/>
      <c r="AK1302" s="593"/>
      <c r="AL1302" s="593"/>
      <c r="AM1302" s="593"/>
      <c r="AN1302" s="593"/>
      <c r="AO1302" s="593"/>
      <c r="AP1302" s="593"/>
      <c r="AQ1302" s="593"/>
      <c r="AR1302" s="593"/>
      <c r="AS1302" s="593"/>
      <c r="AT1302" s="593"/>
      <c r="AU1302" s="593"/>
      <c r="AV1302" s="593"/>
      <c r="AW1302" s="593"/>
      <c r="AX1302" s="593"/>
      <c r="AY1302" s="593"/>
      <c r="AZ1302" s="593"/>
      <c r="BA1302" s="593"/>
      <c r="BB1302" s="593"/>
      <c r="BC1302" s="593"/>
      <c r="BD1302" s="593"/>
      <c r="BE1302" s="593"/>
      <c r="BF1302" s="593"/>
      <c r="BG1302" s="593"/>
      <c r="BH1302" s="593"/>
      <c r="BI1302" s="593"/>
      <c r="BJ1302" s="593"/>
      <c r="BK1302" s="593"/>
      <c r="BL1302" s="593"/>
      <c r="BM1302" s="593"/>
      <c r="BN1302" s="593"/>
      <c r="BO1302" s="593"/>
      <c r="BP1302" s="593"/>
      <c r="BQ1302" s="593"/>
      <c r="BR1302" s="593"/>
      <c r="BS1302" s="593"/>
      <c r="BT1302" s="593"/>
      <c r="BU1302" s="593"/>
      <c r="BV1302" s="593"/>
      <c r="BW1302" s="593"/>
      <c r="BX1302" s="593"/>
      <c r="BY1302" s="593"/>
      <c r="BZ1302" s="593"/>
      <c r="CA1302" s="593"/>
      <c r="CB1302" s="593"/>
      <c r="CC1302" s="593"/>
      <c r="CD1302" s="593"/>
      <c r="CE1302" s="593"/>
      <c r="CF1302" s="595"/>
    </row>
    <row r="1303" spans="1:84" s="583" customFormat="1" ht="23.1" customHeight="1">
      <c r="A1303" s="584"/>
      <c r="B1303" s="585"/>
      <c r="C1303" s="585"/>
      <c r="D1303" s="596"/>
      <c r="E1303" s="585"/>
      <c r="F1303" s="585"/>
      <c r="G1303" s="585"/>
      <c r="H1303" s="585"/>
      <c r="I1303" s="585"/>
      <c r="J1303" s="585"/>
      <c r="K1303" s="585"/>
      <c r="L1303" s="585"/>
      <c r="M1303" s="585"/>
      <c r="N1303" s="585"/>
      <c r="O1303" s="585"/>
      <c r="P1303" s="585"/>
      <c r="Q1303" s="585"/>
      <c r="R1303" s="585"/>
      <c r="S1303" s="585"/>
      <c r="T1303" s="585"/>
      <c r="U1303" s="585"/>
      <c r="V1303" s="585"/>
      <c r="W1303" s="585"/>
      <c r="X1303" s="585"/>
      <c r="Y1303" s="585"/>
      <c r="Z1303" s="585"/>
      <c r="AA1303" s="585"/>
      <c r="AB1303" s="585"/>
      <c r="AC1303" s="585"/>
      <c r="AD1303" s="585"/>
      <c r="AE1303" s="585"/>
      <c r="AF1303" s="585"/>
      <c r="AG1303" s="585"/>
      <c r="AH1303" s="585"/>
      <c r="AI1303" s="585"/>
      <c r="AJ1303" s="585"/>
      <c r="AK1303" s="585"/>
      <c r="AL1303" s="585"/>
      <c r="AM1303" s="585"/>
      <c r="AN1303" s="585"/>
      <c r="AO1303" s="585"/>
      <c r="AP1303" s="585"/>
      <c r="AQ1303" s="585"/>
      <c r="AR1303" s="422"/>
      <c r="AS1303" s="1430"/>
      <c r="AT1303" s="1430"/>
      <c r="AU1303" s="1430"/>
      <c r="AV1303" s="1430"/>
      <c r="AW1303" s="1430"/>
      <c r="AX1303" s="1430"/>
      <c r="AY1303" s="1430"/>
      <c r="AZ1303" s="1430"/>
      <c r="BA1303" s="1430"/>
      <c r="BB1303" s="1430"/>
      <c r="BC1303" s="585"/>
      <c r="BD1303" s="1431"/>
      <c r="BE1303" s="1431"/>
      <c r="BF1303" s="585"/>
      <c r="BG1303" s="1431"/>
      <c r="BH1303" s="1431"/>
      <c r="BI1303" s="1431"/>
      <c r="BJ1303" s="1431"/>
      <c r="BK1303" s="1431"/>
      <c r="BL1303" s="585"/>
      <c r="BM1303" s="585"/>
      <c r="BN1303" s="585"/>
      <c r="BO1303" s="585"/>
      <c r="BP1303" s="1431"/>
      <c r="BQ1303" s="1431"/>
      <c r="BR1303" s="585"/>
      <c r="BS1303" s="585"/>
      <c r="BT1303" s="1432"/>
      <c r="BU1303" s="1432"/>
      <c r="BV1303" s="1432"/>
      <c r="BW1303" s="1432"/>
      <c r="BX1303" s="1432"/>
      <c r="BY1303" s="1432"/>
      <c r="BZ1303" s="1432"/>
      <c r="CA1303" s="1432"/>
      <c r="CB1303" s="1432"/>
      <c r="CC1303" s="1432"/>
      <c r="CD1303" s="585"/>
      <c r="CE1303" s="585"/>
      <c r="CF1303" s="586"/>
    </row>
    <row r="1304" spans="1:84" s="583" customFormat="1" ht="23.1" customHeight="1">
      <c r="A1304" s="584"/>
      <c r="B1304" s="585"/>
      <c r="C1304" s="585"/>
      <c r="D1304" s="591"/>
      <c r="E1304" s="585"/>
      <c r="F1304" s="585"/>
      <c r="G1304" s="585"/>
      <c r="H1304" s="585"/>
      <c r="I1304" s="585"/>
      <c r="J1304" s="585"/>
      <c r="K1304" s="585"/>
      <c r="L1304" s="585"/>
      <c r="M1304" s="585"/>
      <c r="N1304" s="585"/>
      <c r="O1304" s="585"/>
      <c r="P1304" s="585"/>
      <c r="Q1304" s="585"/>
      <c r="R1304" s="585"/>
      <c r="S1304" s="585"/>
      <c r="T1304" s="585"/>
      <c r="U1304" s="585"/>
      <c r="V1304" s="585"/>
      <c r="W1304" s="585"/>
      <c r="X1304" s="585"/>
      <c r="Y1304" s="585"/>
      <c r="Z1304" s="585"/>
      <c r="AA1304" s="585"/>
      <c r="AB1304" s="585"/>
      <c r="AC1304" s="585"/>
      <c r="AD1304" s="585"/>
      <c r="AE1304" s="585"/>
      <c r="AF1304" s="585"/>
      <c r="AG1304" s="585"/>
      <c r="AH1304" s="585"/>
      <c r="AI1304" s="585"/>
      <c r="AJ1304" s="585"/>
      <c r="AK1304" s="585"/>
      <c r="AL1304" s="585"/>
      <c r="AM1304" s="585"/>
      <c r="AN1304" s="585"/>
      <c r="AO1304" s="585"/>
      <c r="AP1304" s="585"/>
      <c r="AQ1304" s="585"/>
      <c r="AR1304" s="422"/>
      <c r="AS1304" s="1430"/>
      <c r="AT1304" s="1430"/>
      <c r="AU1304" s="1430"/>
      <c r="AV1304" s="1430"/>
      <c r="AW1304" s="1430"/>
      <c r="AX1304" s="1430"/>
      <c r="AY1304" s="1430"/>
      <c r="AZ1304" s="1430"/>
      <c r="BA1304" s="1430"/>
      <c r="BB1304" s="1430"/>
      <c r="BC1304" s="585"/>
      <c r="BD1304" s="1431"/>
      <c r="BE1304" s="1431"/>
      <c r="BF1304" s="585"/>
      <c r="BG1304" s="1431"/>
      <c r="BH1304" s="1431"/>
      <c r="BI1304" s="1431"/>
      <c r="BJ1304" s="1431"/>
      <c r="BK1304" s="1431"/>
      <c r="BL1304" s="585"/>
      <c r="BM1304" s="585"/>
      <c r="BN1304" s="585"/>
      <c r="BO1304" s="585"/>
      <c r="BP1304" s="1431"/>
      <c r="BQ1304" s="1431"/>
      <c r="BR1304" s="585"/>
      <c r="BS1304" s="585"/>
      <c r="BT1304" s="1432"/>
      <c r="BU1304" s="1432"/>
      <c r="BV1304" s="1432"/>
      <c r="BW1304" s="1432"/>
      <c r="BX1304" s="1432"/>
      <c r="BY1304" s="1432"/>
      <c r="BZ1304" s="1432"/>
      <c r="CA1304" s="1432"/>
      <c r="CB1304" s="1432"/>
      <c r="CC1304" s="1432"/>
      <c r="CD1304" s="585"/>
      <c r="CE1304" s="585"/>
      <c r="CF1304" s="586"/>
    </row>
    <row r="1305" spans="1:84" s="583" customFormat="1" ht="23.1" customHeight="1" thickBot="1">
      <c r="A1305" s="584"/>
      <c r="B1305" s="585"/>
      <c r="C1305" s="585"/>
      <c r="D1305" s="585"/>
      <c r="E1305" s="585"/>
      <c r="F1305" s="585"/>
      <c r="G1305" s="585"/>
      <c r="H1305" s="585"/>
      <c r="I1305" s="585"/>
      <c r="J1305" s="585"/>
      <c r="K1305" s="585"/>
      <c r="L1305" s="585"/>
      <c r="M1305" s="585"/>
      <c r="N1305" s="585"/>
      <c r="O1305" s="585"/>
      <c r="P1305" s="585"/>
      <c r="Q1305" s="585"/>
      <c r="R1305" s="585"/>
      <c r="S1305" s="585"/>
      <c r="T1305" s="585"/>
      <c r="U1305" s="585"/>
      <c r="V1305" s="585"/>
      <c r="W1305" s="585"/>
      <c r="X1305" s="585"/>
      <c r="Y1305" s="585"/>
      <c r="Z1305" s="585"/>
      <c r="AA1305" s="585"/>
      <c r="AB1305" s="585"/>
      <c r="AC1305" s="585"/>
      <c r="AD1305" s="585"/>
      <c r="AE1305" s="585"/>
      <c r="AF1305" s="585"/>
      <c r="AG1305" s="585"/>
      <c r="AH1305" s="585"/>
      <c r="AI1305" s="585"/>
      <c r="AJ1305" s="585"/>
      <c r="AK1305" s="585"/>
      <c r="AL1305" s="585"/>
      <c r="AM1305" s="585"/>
      <c r="AN1305" s="585"/>
      <c r="AO1305" s="585"/>
      <c r="AP1305" s="585"/>
      <c r="AQ1305" s="585"/>
      <c r="AR1305" s="585"/>
      <c r="AS1305" s="585"/>
      <c r="AT1305" s="585"/>
      <c r="AU1305" s="585"/>
      <c r="AV1305" s="585"/>
      <c r="AW1305" s="585"/>
      <c r="AX1305" s="585"/>
      <c r="AY1305" s="585"/>
      <c r="AZ1305" s="585"/>
      <c r="BA1305" s="585"/>
      <c r="BB1305" s="585"/>
      <c r="BC1305" s="585"/>
      <c r="BD1305" s="585"/>
      <c r="BE1305" s="585"/>
      <c r="BF1305" s="585"/>
      <c r="BG1305" s="585"/>
      <c r="BH1305" s="585"/>
      <c r="BI1305" s="585"/>
      <c r="BJ1305" s="585"/>
      <c r="BK1305" s="585"/>
      <c r="BL1305" s="585"/>
      <c r="BM1305" s="585"/>
      <c r="BN1305" s="585"/>
      <c r="BO1305" s="585"/>
      <c r="BP1305" s="1431" t="s">
        <v>41</v>
      </c>
      <c r="BQ1305" s="1431"/>
      <c r="BR1305" s="585"/>
      <c r="BS1305" s="585"/>
      <c r="BT1305" s="1433">
        <f>BT1303+BT1304</f>
        <v>0</v>
      </c>
      <c r="BU1305" s="1433"/>
      <c r="BV1305" s="1433"/>
      <c r="BW1305" s="1433"/>
      <c r="BX1305" s="1433"/>
      <c r="BY1305" s="1433"/>
      <c r="BZ1305" s="1433"/>
      <c r="CA1305" s="1433"/>
      <c r="CB1305" s="1433"/>
      <c r="CC1305" s="1433"/>
      <c r="CD1305" s="585"/>
      <c r="CE1305" s="585"/>
      <c r="CF1305" s="586"/>
    </row>
    <row r="1306" spans="1:84" s="583" customFormat="1" ht="23.1" customHeight="1" thickBot="1">
      <c r="A1306" s="597"/>
      <c r="B1306" s="598" t="s">
        <v>1113</v>
      </c>
      <c r="C1306" s="598"/>
      <c r="D1306" s="598"/>
      <c r="E1306" s="598"/>
      <c r="F1306" s="598"/>
      <c r="G1306" s="598"/>
      <c r="H1306" s="598"/>
      <c r="I1306" s="598"/>
      <c r="J1306" s="598"/>
      <c r="K1306" s="598"/>
      <c r="L1306" s="598"/>
      <c r="M1306" s="598"/>
      <c r="N1306" s="598"/>
      <c r="O1306" s="598"/>
      <c r="P1306" s="598"/>
      <c r="Q1306" s="598"/>
      <c r="R1306" s="598"/>
      <c r="S1306" s="598"/>
      <c r="T1306" s="598"/>
      <c r="U1306" s="598"/>
      <c r="V1306" s="598"/>
      <c r="W1306" s="598"/>
      <c r="X1306" s="598"/>
      <c r="Y1306" s="598"/>
      <c r="Z1306" s="598"/>
      <c r="AA1306" s="598"/>
      <c r="AB1306" s="598"/>
      <c r="AC1306" s="598"/>
      <c r="AD1306" s="598"/>
      <c r="AE1306" s="598"/>
      <c r="AF1306" s="598"/>
      <c r="AG1306" s="598"/>
      <c r="AH1306" s="598"/>
      <c r="AI1306" s="598"/>
      <c r="AJ1306" s="598"/>
      <c r="AK1306" s="598"/>
      <c r="AL1306" s="598"/>
      <c r="AM1306" s="598"/>
      <c r="AN1306" s="598"/>
      <c r="AO1306" s="598"/>
      <c r="AP1306" s="598"/>
      <c r="AQ1306" s="598"/>
      <c r="AR1306" s="598"/>
      <c r="AS1306" s="598"/>
      <c r="AT1306" s="598"/>
      <c r="AU1306" s="598"/>
      <c r="AV1306" s="598"/>
      <c r="AW1306" s="598"/>
      <c r="AX1306" s="598"/>
      <c r="AY1306" s="598"/>
      <c r="AZ1306" s="598"/>
      <c r="BA1306" s="598"/>
      <c r="BB1306" s="598"/>
      <c r="BC1306" s="598"/>
      <c r="BD1306" s="598"/>
      <c r="BE1306" s="598"/>
      <c r="BF1306" s="598"/>
      <c r="BG1306" s="598"/>
      <c r="BH1306" s="598"/>
      <c r="BI1306" s="598"/>
      <c r="BJ1306" s="598"/>
      <c r="BK1306" s="598"/>
      <c r="BL1306" s="598"/>
      <c r="BM1306" s="598"/>
      <c r="BN1306" s="598"/>
      <c r="BO1306" s="598"/>
      <c r="BP1306" s="598"/>
      <c r="BQ1306" s="598"/>
      <c r="BR1306" s="598"/>
      <c r="BS1306" s="598"/>
      <c r="BT1306" s="1429">
        <f>BT1297+BT1301+BT1305</f>
        <v>312</v>
      </c>
      <c r="BU1306" s="1429"/>
      <c r="BV1306" s="1429"/>
      <c r="BW1306" s="1429"/>
      <c r="BX1306" s="1429"/>
      <c r="BY1306" s="1429"/>
      <c r="BZ1306" s="1429"/>
      <c r="CA1306" s="1429"/>
      <c r="CB1306" s="1429"/>
      <c r="CC1306" s="1429"/>
      <c r="CD1306" s="598"/>
      <c r="CE1306" s="598"/>
      <c r="CF1306" s="599"/>
    </row>
    <row r="1307" spans="1:84" s="583" customFormat="1" ht="9.9499999999999993" customHeight="1">
      <c r="A1307" s="574"/>
      <c r="B1307" s="574"/>
      <c r="C1307" s="574"/>
      <c r="D1307" s="574"/>
      <c r="E1307" s="574"/>
      <c r="F1307" s="574"/>
      <c r="G1307" s="574"/>
      <c r="H1307" s="574"/>
      <c r="I1307" s="574"/>
      <c r="J1307" s="574"/>
      <c r="K1307" s="574"/>
      <c r="L1307" s="574"/>
      <c r="M1307" s="574"/>
      <c r="N1307" s="574"/>
      <c r="O1307" s="574"/>
      <c r="P1307" s="574"/>
      <c r="Q1307" s="574"/>
      <c r="R1307" s="574"/>
      <c r="S1307" s="574"/>
      <c r="T1307" s="574"/>
      <c r="U1307" s="574"/>
      <c r="V1307" s="574"/>
      <c r="W1307" s="574"/>
      <c r="X1307" s="574"/>
      <c r="Y1307" s="574"/>
      <c r="Z1307" s="574"/>
      <c r="AA1307" s="574"/>
      <c r="AB1307" s="574"/>
      <c r="AC1307" s="574"/>
      <c r="AD1307" s="574"/>
      <c r="AE1307" s="574"/>
      <c r="AF1307" s="574"/>
      <c r="AG1307" s="574"/>
      <c r="AH1307" s="574"/>
      <c r="AI1307" s="574"/>
      <c r="AJ1307" s="574"/>
      <c r="AK1307" s="574"/>
      <c r="AL1307" s="574"/>
      <c r="AM1307" s="574"/>
      <c r="AN1307" s="574"/>
      <c r="AO1307" s="574"/>
      <c r="AP1307" s="574"/>
      <c r="AQ1307" s="574"/>
      <c r="AR1307" s="574"/>
      <c r="AS1307" s="574"/>
      <c r="AT1307" s="574"/>
      <c r="AU1307" s="574"/>
      <c r="AV1307" s="574"/>
      <c r="AW1307" s="574"/>
      <c r="AX1307" s="574"/>
      <c r="AY1307" s="574"/>
      <c r="AZ1307" s="574"/>
      <c r="BA1307" s="574"/>
      <c r="BB1307" s="574"/>
      <c r="BC1307" s="574"/>
      <c r="BD1307" s="574"/>
      <c r="BE1307" s="574"/>
      <c r="BF1307" s="574"/>
      <c r="BG1307" s="574"/>
      <c r="BH1307" s="574"/>
      <c r="BI1307" s="574"/>
      <c r="BJ1307" s="574"/>
      <c r="BK1307" s="574"/>
      <c r="BL1307" s="574"/>
      <c r="BM1307" s="574"/>
      <c r="BN1307" s="574"/>
      <c r="BO1307" s="574"/>
      <c r="BP1307" s="574"/>
      <c r="BQ1307" s="574"/>
      <c r="BR1307" s="574"/>
      <c r="BS1307" s="574"/>
      <c r="BT1307" s="574"/>
      <c r="BU1307" s="574"/>
      <c r="BV1307" s="574"/>
      <c r="BW1307" s="574"/>
      <c r="BX1307" s="574"/>
      <c r="BY1307" s="574"/>
      <c r="BZ1307" s="574"/>
      <c r="CA1307" s="574"/>
      <c r="CB1307" s="574"/>
      <c r="CC1307" s="574"/>
      <c r="CD1307" s="574"/>
      <c r="CE1307" s="574"/>
      <c r="CF1307" s="574"/>
    </row>
    <row r="1308" spans="1:84" s="583" customFormat="1" ht="23.1" customHeight="1" thickBot="1">
      <c r="A1308" s="1446" t="s">
        <v>1095</v>
      </c>
      <c r="B1308" s="1446"/>
      <c r="C1308" s="1446"/>
      <c r="D1308" s="1446"/>
      <c r="E1308" s="1446"/>
      <c r="F1308" s="1446"/>
      <c r="G1308" s="1447">
        <f>G1293+1</f>
        <v>88</v>
      </c>
      <c r="H1308" s="1447"/>
      <c r="I1308" s="1447"/>
      <c r="J1308" s="1448" t="s">
        <v>1096</v>
      </c>
      <c r="K1308" s="1448"/>
      <c r="L1308" s="574"/>
      <c r="M1308" s="574"/>
      <c r="N1308" s="574"/>
      <c r="O1308" s="574"/>
      <c r="P1308" s="574"/>
      <c r="Q1308" s="574"/>
      <c r="R1308" s="574"/>
      <c r="S1308" s="574"/>
      <c r="T1308" s="574"/>
      <c r="U1308" s="574"/>
      <c r="V1308" s="574"/>
      <c r="W1308" s="574"/>
      <c r="X1308" s="574"/>
      <c r="Y1308" s="574"/>
      <c r="Z1308" s="574"/>
      <c r="AA1308" s="574"/>
      <c r="AB1308" s="574"/>
      <c r="AC1308" s="574"/>
      <c r="AD1308" s="574"/>
      <c r="AE1308" s="574"/>
      <c r="AF1308" s="574"/>
      <c r="AG1308" s="574"/>
      <c r="AH1308" s="574"/>
      <c r="AI1308" s="574"/>
      <c r="AJ1308" s="574"/>
      <c r="AK1308" s="574"/>
      <c r="AL1308" s="574"/>
      <c r="AM1308" s="574"/>
      <c r="AN1308" s="574"/>
      <c r="AO1308" s="574"/>
      <c r="AP1308" s="574"/>
      <c r="AQ1308" s="574"/>
      <c r="AR1308" s="574"/>
      <c r="AS1308" s="574"/>
      <c r="AT1308" s="574"/>
      <c r="AU1308" s="574"/>
      <c r="AV1308" s="574"/>
      <c r="AW1308" s="574"/>
      <c r="AX1308" s="574"/>
      <c r="AY1308" s="574"/>
      <c r="AZ1308" s="574"/>
      <c r="BA1308" s="574"/>
      <c r="BB1308" s="574"/>
      <c r="BC1308" s="574"/>
      <c r="BD1308" s="574"/>
      <c r="BE1308" s="574"/>
      <c r="BF1308" s="574"/>
      <c r="BG1308" s="574"/>
      <c r="BH1308" s="574"/>
      <c r="BI1308" s="574"/>
      <c r="BJ1308" s="574"/>
      <c r="BK1308" s="574"/>
      <c r="BL1308" s="574"/>
      <c r="BM1308" s="574"/>
      <c r="BN1308" s="574"/>
      <c r="BO1308" s="574"/>
      <c r="BP1308" s="574"/>
      <c r="BQ1308" s="574"/>
      <c r="BR1308" s="574"/>
      <c r="BS1308" s="574"/>
      <c r="BT1308" s="574"/>
      <c r="BU1308" s="574"/>
      <c r="BV1308" s="574"/>
      <c r="BW1308" s="574"/>
      <c r="BX1308" s="574"/>
      <c r="BY1308" s="574"/>
      <c r="BZ1308" s="574"/>
      <c r="CA1308" s="574"/>
      <c r="CB1308" s="574"/>
      <c r="CC1308" s="574"/>
      <c r="CD1308" s="574"/>
      <c r="CE1308" s="574"/>
      <c r="CF1308" s="574"/>
    </row>
    <row r="1309" spans="1:84" s="583" customFormat="1" ht="23.1" customHeight="1" thickBot="1">
      <c r="A1309" s="1483" t="s">
        <v>1097</v>
      </c>
      <c r="B1309" s="1484"/>
      <c r="C1309" s="1484"/>
      <c r="D1309" s="1484"/>
      <c r="E1309" s="1484"/>
      <c r="F1309" s="1484"/>
      <c r="G1309" s="1484"/>
      <c r="H1309" s="1484"/>
      <c r="I1309" s="581" t="s">
        <v>553</v>
      </c>
      <c r="J1309" s="581"/>
      <c r="K1309" s="581"/>
      <c r="L1309" s="581"/>
      <c r="M1309" s="581"/>
      <c r="N1309" s="581"/>
      <c r="O1309" s="581"/>
      <c r="P1309" s="581"/>
      <c r="Q1309" s="581"/>
      <c r="R1309" s="581"/>
      <c r="S1309" s="581"/>
      <c r="T1309" s="581"/>
      <c r="U1309" s="581"/>
      <c r="V1309" s="581"/>
      <c r="W1309" s="581"/>
      <c r="X1309" s="581"/>
      <c r="Y1309" s="581"/>
      <c r="Z1309" s="581"/>
      <c r="AA1309" s="581"/>
      <c r="AB1309" s="581"/>
      <c r="AC1309" s="581"/>
      <c r="AD1309" s="581"/>
      <c r="AE1309" s="581"/>
      <c r="AF1309" s="581"/>
      <c r="AG1309" s="581"/>
      <c r="AH1309" s="581"/>
      <c r="AI1309" s="581"/>
      <c r="AJ1309" s="1484" t="s">
        <v>1099</v>
      </c>
      <c r="AK1309" s="1484"/>
      <c r="AL1309" s="1484"/>
      <c r="AM1309" s="1484"/>
      <c r="AN1309" s="1484"/>
      <c r="AO1309" s="1484"/>
      <c r="AP1309" s="1484"/>
      <c r="AQ1309" s="581" t="s">
        <v>1251</v>
      </c>
      <c r="AR1309" s="581"/>
      <c r="AS1309" s="581"/>
      <c r="AT1309" s="581"/>
      <c r="AU1309" s="581"/>
      <c r="AV1309" s="581"/>
      <c r="AW1309" s="581"/>
      <c r="AX1309" s="581"/>
      <c r="AY1309" s="581"/>
      <c r="AZ1309" s="581"/>
      <c r="BA1309" s="581"/>
      <c r="BB1309" s="581"/>
      <c r="BC1309" s="581"/>
      <c r="BD1309" s="581"/>
      <c r="BE1309" s="581"/>
      <c r="BF1309" s="581"/>
      <c r="BG1309" s="581"/>
      <c r="BH1309" s="581"/>
      <c r="BI1309" s="581"/>
      <c r="BJ1309" s="581"/>
      <c r="BK1309" s="581"/>
      <c r="BL1309" s="581"/>
      <c r="BM1309" s="581"/>
      <c r="BN1309" s="581"/>
      <c r="BO1309" s="581"/>
      <c r="BP1309" s="581"/>
      <c r="BQ1309" s="581"/>
      <c r="BR1309" s="581"/>
      <c r="BS1309" s="581"/>
      <c r="BT1309" s="581" t="s">
        <v>1252</v>
      </c>
      <c r="BU1309" s="581"/>
      <c r="BV1309" s="581"/>
      <c r="BW1309" s="581"/>
      <c r="BX1309" s="581"/>
      <c r="BY1309" s="581"/>
      <c r="BZ1309" s="581"/>
      <c r="CA1309" s="581"/>
      <c r="CB1309" s="581"/>
      <c r="CC1309" s="581"/>
      <c r="CD1309" s="581"/>
      <c r="CE1309" s="581"/>
      <c r="CF1309" s="582"/>
    </row>
    <row r="1310" spans="1:84" s="583" customFormat="1" ht="23.1" customHeight="1">
      <c r="A1310" s="584"/>
      <c r="B1310" s="585" t="s">
        <v>1102</v>
      </c>
      <c r="C1310" s="585"/>
      <c r="D1310" s="585"/>
      <c r="E1310" s="585"/>
      <c r="F1310" s="585"/>
      <c r="G1310" s="585"/>
      <c r="H1310" s="585"/>
      <c r="I1310" s="585"/>
      <c r="J1310" s="585"/>
      <c r="K1310" s="585"/>
      <c r="L1310" s="585"/>
      <c r="M1310" s="585"/>
      <c r="N1310" s="585"/>
      <c r="O1310" s="585"/>
      <c r="P1310" s="585"/>
      <c r="Q1310" s="585"/>
      <c r="R1310" s="585"/>
      <c r="S1310" s="585"/>
      <c r="T1310" s="585"/>
      <c r="U1310" s="585"/>
      <c r="V1310" s="585"/>
      <c r="W1310" s="585"/>
      <c r="X1310" s="585"/>
      <c r="Y1310" s="585"/>
      <c r="Z1310" s="585"/>
      <c r="AA1310" s="585"/>
      <c r="AB1310" s="585"/>
      <c r="AC1310" s="585"/>
      <c r="AD1310" s="585"/>
      <c r="AE1310" s="585"/>
      <c r="AF1310" s="585"/>
      <c r="AG1310" s="585"/>
      <c r="AH1310" s="585"/>
      <c r="AI1310" s="585"/>
      <c r="AJ1310" s="585"/>
      <c r="AK1310" s="585"/>
      <c r="AL1310" s="585"/>
      <c r="AM1310" s="585"/>
      <c r="AN1310" s="585"/>
      <c r="AO1310" s="585"/>
      <c r="AP1310" s="585"/>
      <c r="AQ1310" s="585"/>
      <c r="AR1310" s="585"/>
      <c r="AS1310" s="585"/>
      <c r="AT1310" s="585"/>
      <c r="AU1310" s="585"/>
      <c r="AV1310" s="585"/>
      <c r="AW1310" s="585"/>
      <c r="AX1310" s="585"/>
      <c r="AY1310" s="585"/>
      <c r="AZ1310" s="585"/>
      <c r="BA1310" s="585"/>
      <c r="BB1310" s="585"/>
      <c r="BC1310" s="585"/>
      <c r="BD1310" s="585"/>
      <c r="BE1310" s="585"/>
      <c r="BF1310" s="585"/>
      <c r="BG1310" s="585"/>
      <c r="BH1310" s="585"/>
      <c r="BI1310" s="585"/>
      <c r="BJ1310" s="585"/>
      <c r="BK1310" s="585"/>
      <c r="BL1310" s="585"/>
      <c r="BM1310" s="585"/>
      <c r="BN1310" s="585"/>
      <c r="BO1310" s="585"/>
      <c r="BP1310" s="585"/>
      <c r="BQ1310" s="585"/>
      <c r="BR1310" s="585"/>
      <c r="BS1310" s="585"/>
      <c r="BT1310" s="585"/>
      <c r="BU1310" s="585"/>
      <c r="BV1310" s="585"/>
      <c r="BW1310" s="585"/>
      <c r="BX1310" s="585"/>
      <c r="BY1310" s="585"/>
      <c r="BZ1310" s="585"/>
      <c r="CA1310" s="585"/>
      <c r="CB1310" s="585"/>
      <c r="CC1310" s="585"/>
      <c r="CD1310" s="585"/>
      <c r="CE1310" s="585"/>
      <c r="CF1310" s="586"/>
    </row>
    <row r="1311" spans="1:84" s="583" customFormat="1" ht="23.1" customHeight="1">
      <c r="A1311" s="587"/>
      <c r="B1311" s="574"/>
      <c r="C1311" s="574"/>
      <c r="D1311" s="405"/>
      <c r="E1311" s="574"/>
      <c r="F1311" s="422"/>
      <c r="G1311" s="422"/>
      <c r="H1311" s="422"/>
      <c r="I1311" s="422"/>
      <c r="J1311" s="422"/>
      <c r="K1311" s="422"/>
      <c r="L1311" s="422"/>
      <c r="M1311" s="422"/>
      <c r="N1311" s="574"/>
      <c r="O1311" s="574"/>
      <c r="P1311" s="574"/>
      <c r="Q1311" s="574"/>
      <c r="R1311" s="574"/>
      <c r="S1311" s="588"/>
      <c r="T1311" s="588"/>
      <c r="U1311" s="588"/>
      <c r="V1311" s="588"/>
      <c r="W1311" s="588"/>
      <c r="X1311" s="588"/>
      <c r="Y1311" s="588"/>
      <c r="Z1311" s="588"/>
      <c r="AA1311" s="574"/>
      <c r="AB1311" s="588"/>
      <c r="AC1311" s="585"/>
      <c r="AD1311" s="585"/>
      <c r="AE1311" s="600"/>
      <c r="AF1311" s="600"/>
      <c r="AG1311" s="600"/>
      <c r="AH1311" s="600"/>
      <c r="AI1311" s="600"/>
      <c r="AJ1311" s="600"/>
      <c r="AK1311" s="600"/>
      <c r="AL1311" s="600"/>
      <c r="AM1311" s="585"/>
      <c r="AN1311" s="585"/>
      <c r="AO1311" s="574"/>
      <c r="AP1311" s="430"/>
      <c r="AQ1311" s="430"/>
      <c r="AR1311" s="430"/>
      <c r="AS1311" s="430"/>
      <c r="AT1311" s="430"/>
      <c r="AU1311" s="430"/>
      <c r="AV1311" s="430"/>
      <c r="AW1311" s="430"/>
      <c r="AX1311" s="430"/>
      <c r="AY1311" s="430"/>
      <c r="AZ1311" s="430"/>
      <c r="BA1311" s="430"/>
      <c r="BB1311" s="430"/>
      <c r="BC1311" s="430"/>
      <c r="BD1311" s="574"/>
      <c r="BE1311" s="574"/>
      <c r="BF1311" s="574"/>
      <c r="BG1311" s="574"/>
      <c r="BH1311" s="574"/>
      <c r="BI1311" s="574"/>
      <c r="BJ1311" s="574"/>
      <c r="BK1311" s="574"/>
      <c r="BL1311" s="574"/>
      <c r="BM1311" s="574"/>
      <c r="BN1311" s="574"/>
      <c r="BO1311" s="574"/>
      <c r="BP1311" s="574"/>
      <c r="BQ1311" s="574"/>
      <c r="BR1311" s="574"/>
      <c r="BS1311" s="574"/>
      <c r="BT1311" s="574"/>
      <c r="BU1311" s="574"/>
      <c r="BV1311" s="574"/>
      <c r="BW1311" s="574"/>
      <c r="BX1311" s="574"/>
      <c r="BY1311" s="574"/>
      <c r="BZ1311" s="574"/>
      <c r="CA1311" s="574"/>
      <c r="CB1311" s="574"/>
      <c r="CC1311" s="574"/>
      <c r="CD1311" s="574"/>
      <c r="CE1311" s="574"/>
      <c r="CF1311" s="589"/>
    </row>
    <row r="1312" spans="1:84" s="583" customFormat="1" ht="23.1" customHeight="1">
      <c r="A1312" s="584"/>
      <c r="B1312" s="585"/>
      <c r="C1312" s="585"/>
      <c r="D1312" s="585"/>
      <c r="E1312" s="585"/>
      <c r="F1312" s="585"/>
      <c r="G1312" s="585"/>
      <c r="H1312" s="585"/>
      <c r="I1312" s="585"/>
      <c r="J1312" s="585"/>
      <c r="K1312" s="585"/>
      <c r="L1312" s="585"/>
      <c r="M1312" s="585"/>
      <c r="N1312" s="585"/>
      <c r="O1312" s="585"/>
      <c r="P1312" s="585"/>
      <c r="Q1312" s="585"/>
      <c r="R1312" s="585"/>
      <c r="S1312" s="585"/>
      <c r="T1312" s="585"/>
      <c r="U1312" s="585"/>
      <c r="V1312" s="590"/>
      <c r="W1312" s="590"/>
      <c r="X1312" s="590"/>
      <c r="Y1312" s="590"/>
      <c r="Z1312" s="590"/>
      <c r="AA1312" s="590"/>
      <c r="AB1312" s="590"/>
      <c r="AC1312" s="590"/>
      <c r="AD1312" s="574"/>
      <c r="AE1312" s="1440">
        <v>47263000</v>
      </c>
      <c r="AF1312" s="1440"/>
      <c r="AG1312" s="1440"/>
      <c r="AH1312" s="1440"/>
      <c r="AI1312" s="1440"/>
      <c r="AJ1312" s="1440"/>
      <c r="AK1312" s="1440"/>
      <c r="AL1312" s="1440"/>
      <c r="AM1312" s="1440"/>
      <c r="AN1312" s="1440"/>
      <c r="AO1312" s="1440"/>
      <c r="AP1312" s="1440"/>
      <c r="AQ1312" s="1440"/>
      <c r="AR1312" s="1440"/>
      <c r="AS1312" s="1440"/>
      <c r="AT1312" s="1431" t="s">
        <v>446</v>
      </c>
      <c r="AU1312" s="1431"/>
      <c r="AV1312" s="1441" t="s">
        <v>1103</v>
      </c>
      <c r="AW1312" s="1441"/>
      <c r="AX1312" s="1442">
        <v>2113</v>
      </c>
      <c r="AY1312" s="1442"/>
      <c r="AZ1312" s="1442"/>
      <c r="BA1312" s="1442"/>
      <c r="BB1312" s="1442"/>
      <c r="BC1312" s="1442"/>
      <c r="BD1312" s="585"/>
      <c r="BE1312" s="1431" t="s">
        <v>446</v>
      </c>
      <c r="BF1312" s="1431"/>
      <c r="BG1312" s="585"/>
      <c r="BH1312" s="591" t="s">
        <v>1104</v>
      </c>
      <c r="BI1312" s="585"/>
      <c r="BJ1312" s="585"/>
      <c r="BK1312" s="585"/>
      <c r="BL1312" s="1431" t="s">
        <v>1105</v>
      </c>
      <c r="BM1312" s="1431"/>
      <c r="BN1312" s="1431"/>
      <c r="BO1312" s="585"/>
      <c r="BP1312" s="1431" t="s">
        <v>41</v>
      </c>
      <c r="BQ1312" s="1431"/>
      <c r="BR1312" s="585"/>
      <c r="BS1312" s="585"/>
      <c r="BT1312" s="1437">
        <f>INT(AE1312*AX1312*10^-7)</f>
        <v>9986</v>
      </c>
      <c r="BU1312" s="1437"/>
      <c r="BV1312" s="1437"/>
      <c r="BW1312" s="1437"/>
      <c r="BX1312" s="1437"/>
      <c r="BY1312" s="1437"/>
      <c r="BZ1312" s="1437"/>
      <c r="CA1312" s="1437"/>
      <c r="CB1312" s="1437"/>
      <c r="CC1312" s="1437"/>
      <c r="CD1312" s="585"/>
      <c r="CE1312" s="585"/>
      <c r="CF1312" s="586"/>
    </row>
    <row r="1313" spans="1:84" s="583" customFormat="1" ht="23.1" customHeight="1">
      <c r="A1313" s="592"/>
      <c r="B1313" s="593" t="s">
        <v>1106</v>
      </c>
      <c r="C1313" s="593"/>
      <c r="D1313" s="593"/>
      <c r="E1313" s="593"/>
      <c r="F1313" s="593"/>
      <c r="G1313" s="593"/>
      <c r="H1313" s="593"/>
      <c r="I1313" s="593"/>
      <c r="J1313" s="593"/>
      <c r="K1313" s="593"/>
      <c r="L1313" s="593"/>
      <c r="M1313" s="593"/>
      <c r="N1313" s="593"/>
      <c r="O1313" s="593"/>
      <c r="P1313" s="593"/>
      <c r="Q1313" s="593"/>
      <c r="R1313" s="593"/>
      <c r="S1313" s="593"/>
      <c r="T1313" s="593"/>
      <c r="U1313" s="593"/>
      <c r="V1313" s="593"/>
      <c r="W1313" s="593"/>
      <c r="X1313" s="593"/>
      <c r="Y1313" s="593"/>
      <c r="Z1313" s="593"/>
      <c r="AA1313" s="593"/>
      <c r="AB1313" s="593"/>
      <c r="AC1313" s="593"/>
      <c r="AD1313" s="593"/>
      <c r="AE1313" s="593"/>
      <c r="AF1313" s="593"/>
      <c r="AG1313" s="593"/>
      <c r="AH1313" s="593"/>
      <c r="AI1313" s="593"/>
      <c r="AJ1313" s="593"/>
      <c r="AK1313" s="593"/>
      <c r="AL1313" s="593"/>
      <c r="AM1313" s="593"/>
      <c r="AN1313" s="593"/>
      <c r="AO1313" s="593"/>
      <c r="AP1313" s="593"/>
      <c r="AQ1313" s="593"/>
      <c r="AR1313" s="593"/>
      <c r="AS1313" s="593"/>
      <c r="AT1313" s="593"/>
      <c r="AU1313" s="593"/>
      <c r="AV1313" s="593"/>
      <c r="AW1313" s="593"/>
      <c r="AX1313" s="593"/>
      <c r="AY1313" s="593"/>
      <c r="AZ1313" s="593"/>
      <c r="BA1313" s="593"/>
      <c r="BB1313" s="593"/>
      <c r="BC1313" s="593"/>
      <c r="BD1313" s="593"/>
      <c r="BE1313" s="593"/>
      <c r="BF1313" s="593"/>
      <c r="BG1313" s="593"/>
      <c r="BH1313" s="593"/>
      <c r="BI1313" s="593"/>
      <c r="BJ1313" s="593"/>
      <c r="BK1313" s="593"/>
      <c r="BL1313" s="593"/>
      <c r="BM1313" s="593"/>
      <c r="BN1313" s="593"/>
      <c r="BO1313" s="593"/>
      <c r="BP1313" s="593"/>
      <c r="BQ1313" s="593"/>
      <c r="BR1313" s="593"/>
      <c r="BS1313" s="593"/>
      <c r="BT1313" s="594"/>
      <c r="BU1313" s="594"/>
      <c r="BV1313" s="594"/>
      <c r="BW1313" s="594"/>
      <c r="BX1313" s="594"/>
      <c r="BY1313" s="594"/>
      <c r="BZ1313" s="594"/>
      <c r="CA1313" s="594"/>
      <c r="CB1313" s="594"/>
      <c r="CC1313" s="594"/>
      <c r="CD1313" s="593"/>
      <c r="CE1313" s="593"/>
      <c r="CF1313" s="595"/>
    </row>
    <row r="1314" spans="1:84" s="583" customFormat="1" ht="23.1" customHeight="1">
      <c r="A1314" s="584"/>
      <c r="B1314" s="585"/>
      <c r="C1314" s="585"/>
      <c r="D1314" s="596" t="s">
        <v>1092</v>
      </c>
      <c r="E1314" s="585"/>
      <c r="F1314" s="585"/>
      <c r="G1314" s="585"/>
      <c r="H1314" s="585"/>
      <c r="I1314" s="585"/>
      <c r="J1314" s="585"/>
      <c r="K1314" s="585"/>
      <c r="L1314" s="585"/>
      <c r="M1314" s="585"/>
      <c r="N1314" s="585"/>
      <c r="O1314" s="585"/>
      <c r="P1314" s="585"/>
      <c r="Q1314" s="585"/>
      <c r="R1314" s="585"/>
      <c r="S1314" s="585"/>
      <c r="T1314" s="574"/>
      <c r="U1314" s="574"/>
      <c r="V1314" s="1435">
        <f>HLOOKUP(D1314,$CJ$1:$CM$3,3,0)</f>
        <v>238936</v>
      </c>
      <c r="W1314" s="1435"/>
      <c r="X1314" s="1435"/>
      <c r="Y1314" s="1435"/>
      <c r="Z1314" s="1435"/>
      <c r="AA1314" s="1435"/>
      <c r="AB1314" s="1435"/>
      <c r="AC1314" s="1435"/>
      <c r="AD1314" s="1435"/>
      <c r="AE1314" s="1435"/>
      <c r="AF1314" s="1431" t="s">
        <v>446</v>
      </c>
      <c r="AG1314" s="1431"/>
      <c r="AH1314" s="574"/>
      <c r="AI1314" s="1436" t="s">
        <v>1107</v>
      </c>
      <c r="AJ1314" s="1436"/>
      <c r="AK1314" s="1436"/>
      <c r="AL1314" s="1436"/>
      <c r="AM1314" s="585"/>
      <c r="AN1314" s="1431" t="s">
        <v>446</v>
      </c>
      <c r="AO1314" s="1431"/>
      <c r="AP1314" s="585"/>
      <c r="AQ1314" s="1436" t="s">
        <v>1108</v>
      </c>
      <c r="AR1314" s="1436"/>
      <c r="AS1314" s="1436"/>
      <c r="AT1314" s="1436"/>
      <c r="AU1314" s="1436"/>
      <c r="AV1314" s="422"/>
      <c r="AW1314" s="1431" t="s">
        <v>446</v>
      </c>
      <c r="AX1314" s="1431"/>
      <c r="AY1314" s="440"/>
      <c r="AZ1314" s="1436" t="s">
        <v>1109</v>
      </c>
      <c r="BA1314" s="1436"/>
      <c r="BB1314" s="1436"/>
      <c r="BC1314" s="1436"/>
      <c r="BD1314" s="1436"/>
      <c r="BE1314" s="585"/>
      <c r="BF1314" s="1431" t="s">
        <v>446</v>
      </c>
      <c r="BG1314" s="1431"/>
      <c r="BH1314" s="1431">
        <v>1</v>
      </c>
      <c r="BI1314" s="1431"/>
      <c r="BJ1314" s="1431"/>
      <c r="BK1314" s="585"/>
      <c r="BL1314" s="585" t="s">
        <v>366</v>
      </c>
      <c r="BM1314" s="585"/>
      <c r="BN1314" s="585"/>
      <c r="BO1314" s="585"/>
      <c r="BP1314" s="1431" t="s">
        <v>41</v>
      </c>
      <c r="BQ1314" s="1431"/>
      <c r="BR1314" s="585"/>
      <c r="BS1314" s="585"/>
      <c r="BT1314" s="1432">
        <f>INT(V1314/8*16/12*25/20*BH1314)</f>
        <v>49778</v>
      </c>
      <c r="BU1314" s="1432"/>
      <c r="BV1314" s="1432"/>
      <c r="BW1314" s="1432"/>
      <c r="BX1314" s="1432"/>
      <c r="BY1314" s="1432"/>
      <c r="BZ1314" s="1432"/>
      <c r="CA1314" s="1432"/>
      <c r="CB1314" s="1432"/>
      <c r="CC1314" s="1432"/>
      <c r="CD1314" s="585"/>
      <c r="CE1314" s="585"/>
      <c r="CF1314" s="586"/>
    </row>
    <row r="1315" spans="1:84" s="583" customFormat="1" ht="23.1" customHeight="1">
      <c r="A1315" s="584"/>
      <c r="B1315" s="585"/>
      <c r="C1315" s="585"/>
      <c r="D1315" s="585"/>
      <c r="E1315" s="585"/>
      <c r="F1315" s="585"/>
      <c r="G1315" s="585"/>
      <c r="H1315" s="585"/>
      <c r="I1315" s="585"/>
      <c r="J1315" s="585"/>
      <c r="K1315" s="585"/>
      <c r="L1315" s="585"/>
      <c r="M1315" s="585"/>
      <c r="N1315" s="585"/>
      <c r="O1315" s="585"/>
      <c r="P1315" s="574"/>
      <c r="Q1315" s="574"/>
      <c r="R1315" s="574"/>
      <c r="S1315" s="574"/>
      <c r="T1315" s="574"/>
      <c r="U1315" s="574"/>
      <c r="V1315" s="574"/>
      <c r="W1315" s="574"/>
      <c r="X1315" s="574"/>
      <c r="Y1315" s="574"/>
      <c r="Z1315" s="574"/>
      <c r="AA1315" s="574"/>
      <c r="AB1315" s="574"/>
      <c r="AC1315" s="574"/>
      <c r="AD1315" s="574"/>
      <c r="AE1315" s="574"/>
      <c r="AF1315" s="574"/>
      <c r="AG1315" s="574"/>
      <c r="AH1315" s="574"/>
      <c r="AI1315" s="574"/>
      <c r="AJ1315" s="574"/>
      <c r="AK1315" s="574"/>
      <c r="AL1315" s="574"/>
      <c r="AM1315" s="574"/>
      <c r="AN1315" s="574"/>
      <c r="AO1315" s="574"/>
      <c r="AP1315" s="574"/>
      <c r="AQ1315" s="574"/>
      <c r="AR1315" s="574"/>
      <c r="AS1315" s="574"/>
      <c r="AT1315" s="574"/>
      <c r="AU1315" s="574"/>
      <c r="AV1315" s="574"/>
      <c r="AW1315" s="574"/>
      <c r="AX1315" s="574"/>
      <c r="AY1315" s="574"/>
      <c r="AZ1315" s="574"/>
      <c r="BA1315" s="574"/>
      <c r="BB1315" s="574"/>
      <c r="BC1315" s="574"/>
      <c r="BD1315" s="574"/>
      <c r="BE1315" s="574"/>
      <c r="BF1315" s="574"/>
      <c r="BG1315" s="585"/>
      <c r="BH1315" s="585"/>
      <c r="BI1315" s="585"/>
      <c r="BJ1315" s="585"/>
      <c r="BK1315" s="585"/>
      <c r="BL1315" s="585"/>
      <c r="BM1315" s="585"/>
      <c r="BN1315" s="585"/>
      <c r="BO1315" s="585"/>
      <c r="BP1315" s="1431"/>
      <c r="BQ1315" s="1431"/>
      <c r="BR1315" s="585"/>
      <c r="BS1315" s="585"/>
      <c r="BT1315" s="1432"/>
      <c r="BU1315" s="1432"/>
      <c r="BV1315" s="1432"/>
      <c r="BW1315" s="1432"/>
      <c r="BX1315" s="1432"/>
      <c r="BY1315" s="1432"/>
      <c r="BZ1315" s="1432"/>
      <c r="CA1315" s="1432"/>
      <c r="CB1315" s="1432"/>
      <c r="CC1315" s="1432"/>
      <c r="CD1315" s="585"/>
      <c r="CE1315" s="585"/>
      <c r="CF1315" s="586"/>
    </row>
    <row r="1316" spans="1:84" s="583" customFormat="1" ht="23.1" customHeight="1">
      <c r="A1316" s="584"/>
      <c r="B1316" s="585"/>
      <c r="C1316" s="585"/>
      <c r="D1316" s="585"/>
      <c r="E1316" s="585"/>
      <c r="F1316" s="585"/>
      <c r="G1316" s="585"/>
      <c r="H1316" s="585"/>
      <c r="I1316" s="585"/>
      <c r="J1316" s="585"/>
      <c r="K1316" s="585"/>
      <c r="L1316" s="585"/>
      <c r="M1316" s="585"/>
      <c r="N1316" s="585"/>
      <c r="O1316" s="585"/>
      <c r="P1316" s="585"/>
      <c r="Q1316" s="585"/>
      <c r="R1316" s="585"/>
      <c r="S1316" s="585"/>
      <c r="T1316" s="585"/>
      <c r="U1316" s="585"/>
      <c r="V1316" s="585"/>
      <c r="W1316" s="585"/>
      <c r="X1316" s="585"/>
      <c r="Y1316" s="585"/>
      <c r="Z1316" s="585"/>
      <c r="AA1316" s="585"/>
      <c r="AB1316" s="585"/>
      <c r="AC1316" s="585"/>
      <c r="AD1316" s="574"/>
      <c r="AE1316" s="574"/>
      <c r="AF1316" s="574"/>
      <c r="AG1316" s="574"/>
      <c r="AH1316" s="574"/>
      <c r="AI1316" s="574"/>
      <c r="AJ1316" s="574"/>
      <c r="AK1316" s="574"/>
      <c r="AL1316" s="574"/>
      <c r="AM1316" s="574"/>
      <c r="AN1316" s="574"/>
      <c r="AO1316" s="574"/>
      <c r="AP1316" s="574"/>
      <c r="AQ1316" s="574"/>
      <c r="AR1316" s="574"/>
      <c r="AS1316" s="585"/>
      <c r="AT1316" s="590"/>
      <c r="AU1316" s="590"/>
      <c r="AV1316" s="585"/>
      <c r="AW1316" s="585"/>
      <c r="AX1316" s="585"/>
      <c r="AY1316" s="585"/>
      <c r="AZ1316" s="585"/>
      <c r="BA1316" s="585"/>
      <c r="BB1316" s="585"/>
      <c r="BC1316" s="585"/>
      <c r="BD1316" s="585"/>
      <c r="BE1316" s="585"/>
      <c r="BF1316" s="585"/>
      <c r="BG1316" s="585"/>
      <c r="BH1316" s="585"/>
      <c r="BI1316" s="585"/>
      <c r="BJ1316" s="585"/>
      <c r="BK1316" s="585"/>
      <c r="BL1316" s="585"/>
      <c r="BM1316" s="585"/>
      <c r="BN1316" s="585"/>
      <c r="BO1316" s="585"/>
      <c r="BP1316" s="1431" t="s">
        <v>41</v>
      </c>
      <c r="BQ1316" s="1431"/>
      <c r="BR1316" s="585"/>
      <c r="BS1316" s="585"/>
      <c r="BT1316" s="1434">
        <f>BT1314+BT1315</f>
        <v>49778</v>
      </c>
      <c r="BU1316" s="1434"/>
      <c r="BV1316" s="1434"/>
      <c r="BW1316" s="1434"/>
      <c r="BX1316" s="1434"/>
      <c r="BY1316" s="1434"/>
      <c r="BZ1316" s="1434"/>
      <c r="CA1316" s="1434"/>
      <c r="CB1316" s="1434"/>
      <c r="CC1316" s="1434"/>
      <c r="CD1316" s="585"/>
      <c r="CE1316" s="585"/>
      <c r="CF1316" s="586"/>
    </row>
    <row r="1317" spans="1:84" s="583" customFormat="1" ht="23.1" customHeight="1">
      <c r="A1317" s="592"/>
      <c r="B1317" s="593" t="s">
        <v>1110</v>
      </c>
      <c r="C1317" s="593"/>
      <c r="D1317" s="593"/>
      <c r="E1317" s="593"/>
      <c r="F1317" s="593"/>
      <c r="G1317" s="593"/>
      <c r="H1317" s="593"/>
      <c r="I1317" s="593"/>
      <c r="J1317" s="593"/>
      <c r="K1317" s="593"/>
      <c r="L1317" s="593"/>
      <c r="M1317" s="593"/>
      <c r="N1317" s="593"/>
      <c r="O1317" s="593"/>
      <c r="P1317" s="593"/>
      <c r="Q1317" s="593"/>
      <c r="R1317" s="593"/>
      <c r="S1317" s="593"/>
      <c r="T1317" s="593"/>
      <c r="U1317" s="593"/>
      <c r="V1317" s="593"/>
      <c r="W1317" s="593"/>
      <c r="X1317" s="593"/>
      <c r="Y1317" s="593"/>
      <c r="Z1317" s="593"/>
      <c r="AA1317" s="593"/>
      <c r="AB1317" s="593"/>
      <c r="AC1317" s="593"/>
      <c r="AD1317" s="593"/>
      <c r="AE1317" s="593"/>
      <c r="AF1317" s="593"/>
      <c r="AG1317" s="593"/>
      <c r="AH1317" s="593"/>
      <c r="AI1317" s="593"/>
      <c r="AJ1317" s="593"/>
      <c r="AK1317" s="593"/>
      <c r="AL1317" s="593"/>
      <c r="AM1317" s="593"/>
      <c r="AN1317" s="593"/>
      <c r="AO1317" s="593"/>
      <c r="AP1317" s="593"/>
      <c r="AQ1317" s="593"/>
      <c r="AR1317" s="593"/>
      <c r="AS1317" s="593"/>
      <c r="AT1317" s="593"/>
      <c r="AU1317" s="593"/>
      <c r="AV1317" s="593"/>
      <c r="AW1317" s="593"/>
      <c r="AX1317" s="593"/>
      <c r="AY1317" s="593"/>
      <c r="AZ1317" s="593"/>
      <c r="BA1317" s="593"/>
      <c r="BB1317" s="593"/>
      <c r="BC1317" s="593"/>
      <c r="BD1317" s="593"/>
      <c r="BE1317" s="593"/>
      <c r="BF1317" s="593"/>
      <c r="BG1317" s="593"/>
      <c r="BH1317" s="593"/>
      <c r="BI1317" s="593"/>
      <c r="BJ1317" s="593"/>
      <c r="BK1317" s="593"/>
      <c r="BL1317" s="593"/>
      <c r="BM1317" s="593"/>
      <c r="BN1317" s="593"/>
      <c r="BO1317" s="593"/>
      <c r="BP1317" s="593"/>
      <c r="BQ1317" s="593"/>
      <c r="BR1317" s="593"/>
      <c r="BS1317" s="593"/>
      <c r="BT1317" s="593"/>
      <c r="BU1317" s="593"/>
      <c r="BV1317" s="593"/>
      <c r="BW1317" s="593"/>
      <c r="BX1317" s="593"/>
      <c r="BY1317" s="593"/>
      <c r="BZ1317" s="593"/>
      <c r="CA1317" s="593"/>
      <c r="CB1317" s="593"/>
      <c r="CC1317" s="593"/>
      <c r="CD1317" s="593"/>
      <c r="CE1317" s="593"/>
      <c r="CF1317" s="595"/>
    </row>
    <row r="1318" spans="1:84" s="583" customFormat="1" ht="23.1" customHeight="1">
      <c r="A1318" s="584"/>
      <c r="B1318" s="585"/>
      <c r="C1318" s="585"/>
      <c r="D1318" s="596" t="s">
        <v>1094</v>
      </c>
      <c r="E1318" s="585"/>
      <c r="F1318" s="585"/>
      <c r="G1318" s="585"/>
      <c r="H1318" s="585"/>
      <c r="I1318" s="585"/>
      <c r="J1318" s="585"/>
      <c r="K1318" s="585"/>
      <c r="L1318" s="585"/>
      <c r="M1318" s="585"/>
      <c r="N1318" s="585"/>
      <c r="O1318" s="585"/>
      <c r="P1318" s="585"/>
      <c r="Q1318" s="585"/>
      <c r="R1318" s="585"/>
      <c r="S1318" s="585"/>
      <c r="T1318" s="585"/>
      <c r="U1318" s="585"/>
      <c r="V1318" s="585"/>
      <c r="W1318" s="585"/>
      <c r="X1318" s="585"/>
      <c r="Y1318" s="585"/>
      <c r="Z1318" s="585"/>
      <c r="AA1318" s="585"/>
      <c r="AB1318" s="585"/>
      <c r="AC1318" s="585"/>
      <c r="AD1318" s="585"/>
      <c r="AE1318" s="585"/>
      <c r="AF1318" s="585"/>
      <c r="AG1318" s="585"/>
      <c r="AH1318" s="585"/>
      <c r="AI1318" s="585"/>
      <c r="AJ1318" s="585"/>
      <c r="AK1318" s="585"/>
      <c r="AL1318" s="585"/>
      <c r="AM1318" s="585"/>
      <c r="AN1318" s="585"/>
      <c r="AO1318" s="585"/>
      <c r="AP1318" s="585"/>
      <c r="AQ1318" s="585"/>
      <c r="AR1318" s="422"/>
      <c r="AS1318" s="1435" t="e">
        <f>HLOOKUP(D1318,$CN$1:$CO$3,3,0)</f>
        <v>#REF!</v>
      </c>
      <c r="AT1318" s="1435"/>
      <c r="AU1318" s="1435"/>
      <c r="AV1318" s="1435"/>
      <c r="AW1318" s="1435"/>
      <c r="AX1318" s="1435"/>
      <c r="AY1318" s="1435"/>
      <c r="AZ1318" s="1435"/>
      <c r="BA1318" s="1435"/>
      <c r="BB1318" s="1435"/>
      <c r="BC1318" s="585"/>
      <c r="BD1318" s="1431" t="s">
        <v>446</v>
      </c>
      <c r="BE1318" s="1431"/>
      <c r="BF1318" s="585"/>
      <c r="BG1318" s="1431">
        <v>9.3000000000000007</v>
      </c>
      <c r="BH1318" s="1431"/>
      <c r="BI1318" s="1431"/>
      <c r="BJ1318" s="1431"/>
      <c r="BK1318" s="1431"/>
      <c r="BL1318" s="585" t="s">
        <v>1111</v>
      </c>
      <c r="BM1318" s="585"/>
      <c r="BN1318" s="585"/>
      <c r="BO1318" s="585"/>
      <c r="BP1318" s="1431" t="s">
        <v>41</v>
      </c>
      <c r="BQ1318" s="1431"/>
      <c r="BR1318" s="585"/>
      <c r="BS1318" s="585"/>
      <c r="BT1318" s="1432" t="e">
        <f>INT(AS1318*BG1318)</f>
        <v>#REF!</v>
      </c>
      <c r="BU1318" s="1432"/>
      <c r="BV1318" s="1432"/>
      <c r="BW1318" s="1432"/>
      <c r="BX1318" s="1432"/>
      <c r="BY1318" s="1432"/>
      <c r="BZ1318" s="1432"/>
      <c r="CA1318" s="1432"/>
      <c r="CB1318" s="1432"/>
      <c r="CC1318" s="1432"/>
      <c r="CD1318" s="585"/>
      <c r="CE1318" s="585"/>
      <c r="CF1318" s="586"/>
    </row>
    <row r="1319" spans="1:84" s="583" customFormat="1" ht="23.1" customHeight="1">
      <c r="A1319" s="584"/>
      <c r="B1319" s="585"/>
      <c r="C1319" s="585"/>
      <c r="D1319" s="591" t="str">
        <f>"잡재료 (주연료의 "&amp;BG1319&amp;"%) :"</f>
        <v>잡재료 (주연료의 30%) :</v>
      </c>
      <c r="E1319" s="585"/>
      <c r="F1319" s="585"/>
      <c r="G1319" s="585"/>
      <c r="H1319" s="585"/>
      <c r="I1319" s="585"/>
      <c r="J1319" s="585"/>
      <c r="K1319" s="585"/>
      <c r="L1319" s="585"/>
      <c r="M1319" s="585"/>
      <c r="N1319" s="585"/>
      <c r="O1319" s="585"/>
      <c r="P1319" s="585"/>
      <c r="Q1319" s="585"/>
      <c r="R1319" s="585"/>
      <c r="S1319" s="585"/>
      <c r="T1319" s="585"/>
      <c r="U1319" s="585"/>
      <c r="V1319" s="585"/>
      <c r="W1319" s="585"/>
      <c r="X1319" s="585"/>
      <c r="Y1319" s="585"/>
      <c r="Z1319" s="585"/>
      <c r="AA1319" s="585"/>
      <c r="AB1319" s="585"/>
      <c r="AC1319" s="585"/>
      <c r="AD1319" s="585"/>
      <c r="AE1319" s="585"/>
      <c r="AF1319" s="585"/>
      <c r="AG1319" s="585"/>
      <c r="AH1319" s="585"/>
      <c r="AI1319" s="585"/>
      <c r="AJ1319" s="585"/>
      <c r="AK1319" s="585"/>
      <c r="AL1319" s="585"/>
      <c r="AM1319" s="585"/>
      <c r="AN1319" s="585"/>
      <c r="AO1319" s="585"/>
      <c r="AP1319" s="585"/>
      <c r="AQ1319" s="585"/>
      <c r="AR1319" s="422" t="e">
        <f>BT1318</f>
        <v>#REF!</v>
      </c>
      <c r="AS1319" s="1430" t="e">
        <f>BT1318</f>
        <v>#REF!</v>
      </c>
      <c r="AT1319" s="1430"/>
      <c r="AU1319" s="1430"/>
      <c r="AV1319" s="1430"/>
      <c r="AW1319" s="1430"/>
      <c r="AX1319" s="1430"/>
      <c r="AY1319" s="1430"/>
      <c r="AZ1319" s="1430"/>
      <c r="BA1319" s="1430"/>
      <c r="BB1319" s="1430"/>
      <c r="BC1319" s="585"/>
      <c r="BD1319" s="1431" t="s">
        <v>446</v>
      </c>
      <c r="BE1319" s="1431"/>
      <c r="BF1319" s="585"/>
      <c r="BG1319" s="1431">
        <v>30</v>
      </c>
      <c r="BH1319" s="1431"/>
      <c r="BI1319" s="1431"/>
      <c r="BJ1319" s="1431"/>
      <c r="BK1319" s="1431"/>
      <c r="BL1319" s="585" t="s">
        <v>1112</v>
      </c>
      <c r="BM1319" s="585"/>
      <c r="BN1319" s="585"/>
      <c r="BO1319" s="585"/>
      <c r="BP1319" s="1431" t="s">
        <v>41</v>
      </c>
      <c r="BQ1319" s="1431"/>
      <c r="BR1319" s="585"/>
      <c r="BS1319" s="585"/>
      <c r="BT1319" s="1432" t="e">
        <f>INT(AS1319*BG1319/100)</f>
        <v>#REF!</v>
      </c>
      <c r="BU1319" s="1432"/>
      <c r="BV1319" s="1432"/>
      <c r="BW1319" s="1432"/>
      <c r="BX1319" s="1432"/>
      <c r="BY1319" s="1432"/>
      <c r="BZ1319" s="1432"/>
      <c r="CA1319" s="1432"/>
      <c r="CB1319" s="1432"/>
      <c r="CC1319" s="1432"/>
      <c r="CD1319" s="585"/>
      <c r="CE1319" s="585"/>
      <c r="CF1319" s="586"/>
    </row>
    <row r="1320" spans="1:84" s="583" customFormat="1" ht="23.1" customHeight="1" thickBot="1">
      <c r="A1320" s="584"/>
      <c r="B1320" s="585"/>
      <c r="C1320" s="585"/>
      <c r="D1320" s="585"/>
      <c r="E1320" s="585"/>
      <c r="F1320" s="585"/>
      <c r="G1320" s="585"/>
      <c r="H1320" s="585"/>
      <c r="I1320" s="585"/>
      <c r="J1320" s="585"/>
      <c r="K1320" s="585"/>
      <c r="L1320" s="585"/>
      <c r="M1320" s="585"/>
      <c r="N1320" s="585"/>
      <c r="O1320" s="585"/>
      <c r="P1320" s="585"/>
      <c r="Q1320" s="585"/>
      <c r="R1320" s="585"/>
      <c r="S1320" s="585"/>
      <c r="T1320" s="585"/>
      <c r="U1320" s="585"/>
      <c r="V1320" s="585"/>
      <c r="W1320" s="585"/>
      <c r="X1320" s="585"/>
      <c r="Y1320" s="585"/>
      <c r="Z1320" s="585"/>
      <c r="AA1320" s="585"/>
      <c r="AB1320" s="585"/>
      <c r="AC1320" s="585"/>
      <c r="AD1320" s="585"/>
      <c r="AE1320" s="585"/>
      <c r="AF1320" s="585"/>
      <c r="AG1320" s="585"/>
      <c r="AH1320" s="585"/>
      <c r="AI1320" s="585"/>
      <c r="AJ1320" s="585"/>
      <c r="AK1320" s="585"/>
      <c r="AL1320" s="585"/>
      <c r="AM1320" s="585"/>
      <c r="AN1320" s="585"/>
      <c r="AO1320" s="585"/>
      <c r="AP1320" s="585"/>
      <c r="AQ1320" s="585"/>
      <c r="AR1320" s="585"/>
      <c r="AS1320" s="585"/>
      <c r="AT1320" s="585"/>
      <c r="AU1320" s="585"/>
      <c r="AV1320" s="585"/>
      <c r="AW1320" s="585"/>
      <c r="AX1320" s="585"/>
      <c r="AY1320" s="585"/>
      <c r="AZ1320" s="585"/>
      <c r="BA1320" s="585"/>
      <c r="BB1320" s="585"/>
      <c r="BC1320" s="585"/>
      <c r="BD1320" s="585"/>
      <c r="BE1320" s="585"/>
      <c r="BF1320" s="585"/>
      <c r="BG1320" s="585"/>
      <c r="BH1320" s="585"/>
      <c r="BI1320" s="585"/>
      <c r="BJ1320" s="585"/>
      <c r="BK1320" s="585"/>
      <c r="BL1320" s="585"/>
      <c r="BM1320" s="585"/>
      <c r="BN1320" s="585"/>
      <c r="BO1320" s="585"/>
      <c r="BP1320" s="1431" t="s">
        <v>41</v>
      </c>
      <c r="BQ1320" s="1431"/>
      <c r="BR1320" s="585"/>
      <c r="BS1320" s="585"/>
      <c r="BT1320" s="1433" t="e">
        <f>BT1318+BT1319</f>
        <v>#REF!</v>
      </c>
      <c r="BU1320" s="1433"/>
      <c r="BV1320" s="1433"/>
      <c r="BW1320" s="1433"/>
      <c r="BX1320" s="1433"/>
      <c r="BY1320" s="1433"/>
      <c r="BZ1320" s="1433"/>
      <c r="CA1320" s="1433"/>
      <c r="CB1320" s="1433"/>
      <c r="CC1320" s="1433"/>
      <c r="CD1320" s="585"/>
      <c r="CE1320" s="585"/>
      <c r="CF1320" s="586"/>
    </row>
    <row r="1321" spans="1:84" s="583" customFormat="1" ht="23.1" customHeight="1" thickBot="1">
      <c r="A1321" s="597"/>
      <c r="B1321" s="598" t="s">
        <v>1113</v>
      </c>
      <c r="C1321" s="598"/>
      <c r="D1321" s="598"/>
      <c r="E1321" s="598"/>
      <c r="F1321" s="598"/>
      <c r="G1321" s="598"/>
      <c r="H1321" s="598"/>
      <c r="I1321" s="598"/>
      <c r="J1321" s="598"/>
      <c r="K1321" s="598"/>
      <c r="L1321" s="598"/>
      <c r="M1321" s="598"/>
      <c r="N1321" s="598"/>
      <c r="O1321" s="598"/>
      <c r="P1321" s="598"/>
      <c r="Q1321" s="598"/>
      <c r="R1321" s="598"/>
      <c r="S1321" s="598"/>
      <c r="T1321" s="598"/>
      <c r="U1321" s="598"/>
      <c r="V1321" s="598"/>
      <c r="W1321" s="598"/>
      <c r="X1321" s="598"/>
      <c r="Y1321" s="598"/>
      <c r="Z1321" s="598"/>
      <c r="AA1321" s="598"/>
      <c r="AB1321" s="598"/>
      <c r="AC1321" s="598"/>
      <c r="AD1321" s="598"/>
      <c r="AE1321" s="598"/>
      <c r="AF1321" s="598"/>
      <c r="AG1321" s="598"/>
      <c r="AH1321" s="598"/>
      <c r="AI1321" s="598"/>
      <c r="AJ1321" s="598"/>
      <c r="AK1321" s="598"/>
      <c r="AL1321" s="598"/>
      <c r="AM1321" s="598"/>
      <c r="AN1321" s="598"/>
      <c r="AO1321" s="598"/>
      <c r="AP1321" s="598"/>
      <c r="AQ1321" s="598"/>
      <c r="AR1321" s="598"/>
      <c r="AS1321" s="598"/>
      <c r="AT1321" s="598"/>
      <c r="AU1321" s="598"/>
      <c r="AV1321" s="598"/>
      <c r="AW1321" s="598"/>
      <c r="AX1321" s="598"/>
      <c r="AY1321" s="598"/>
      <c r="AZ1321" s="598"/>
      <c r="BA1321" s="598"/>
      <c r="BB1321" s="598"/>
      <c r="BC1321" s="598"/>
      <c r="BD1321" s="598"/>
      <c r="BE1321" s="598"/>
      <c r="BF1321" s="598"/>
      <c r="BG1321" s="598"/>
      <c r="BH1321" s="598"/>
      <c r="BI1321" s="598"/>
      <c r="BJ1321" s="598"/>
      <c r="BK1321" s="598"/>
      <c r="BL1321" s="598"/>
      <c r="BM1321" s="598"/>
      <c r="BN1321" s="598"/>
      <c r="BO1321" s="598"/>
      <c r="BP1321" s="598"/>
      <c r="BQ1321" s="598"/>
      <c r="BR1321" s="598"/>
      <c r="BS1321" s="598"/>
      <c r="BT1321" s="1429" t="e">
        <f>BT1312+BT1316+BT1320</f>
        <v>#REF!</v>
      </c>
      <c r="BU1321" s="1429"/>
      <c r="BV1321" s="1429"/>
      <c r="BW1321" s="1429"/>
      <c r="BX1321" s="1429"/>
      <c r="BY1321" s="1429"/>
      <c r="BZ1321" s="1429"/>
      <c r="CA1321" s="1429"/>
      <c r="CB1321" s="1429"/>
      <c r="CC1321" s="1429"/>
      <c r="CD1321" s="598"/>
      <c r="CE1321" s="598"/>
      <c r="CF1321" s="599"/>
    </row>
    <row r="1322" spans="1:84" s="583" customFormat="1" ht="9.9499999999999993" customHeight="1">
      <c r="A1322" s="574"/>
      <c r="B1322" s="574"/>
      <c r="C1322" s="574"/>
      <c r="D1322" s="574"/>
      <c r="E1322" s="574"/>
      <c r="F1322" s="574"/>
      <c r="G1322" s="574"/>
      <c r="H1322" s="574"/>
      <c r="I1322" s="574"/>
      <c r="J1322" s="574"/>
      <c r="K1322" s="574"/>
      <c r="L1322" s="574"/>
      <c r="M1322" s="574"/>
      <c r="N1322" s="574"/>
      <c r="O1322" s="574"/>
      <c r="P1322" s="574"/>
      <c r="Q1322" s="574"/>
      <c r="R1322" s="574"/>
      <c r="S1322" s="574"/>
      <c r="T1322" s="574"/>
      <c r="U1322" s="574"/>
      <c r="V1322" s="574"/>
      <c r="W1322" s="574"/>
      <c r="X1322" s="574"/>
      <c r="Y1322" s="574"/>
      <c r="Z1322" s="574"/>
      <c r="AA1322" s="574"/>
      <c r="AB1322" s="574"/>
      <c r="AC1322" s="574"/>
      <c r="AD1322" s="574"/>
      <c r="AE1322" s="574"/>
      <c r="AF1322" s="574"/>
      <c r="AG1322" s="574"/>
      <c r="AH1322" s="574"/>
      <c r="AI1322" s="574"/>
      <c r="AJ1322" s="574"/>
      <c r="AK1322" s="574"/>
      <c r="AL1322" s="574"/>
      <c r="AM1322" s="574"/>
      <c r="AN1322" s="574"/>
      <c r="AO1322" s="574"/>
      <c r="AP1322" s="574"/>
      <c r="AQ1322" s="574"/>
      <c r="AR1322" s="574"/>
      <c r="AS1322" s="574"/>
      <c r="AT1322" s="574"/>
      <c r="AU1322" s="574"/>
      <c r="AV1322" s="574"/>
      <c r="AW1322" s="574"/>
      <c r="AX1322" s="574"/>
      <c r="AY1322" s="574"/>
      <c r="AZ1322" s="574"/>
      <c r="BA1322" s="574"/>
      <c r="BB1322" s="574"/>
      <c r="BC1322" s="574"/>
      <c r="BD1322" s="574"/>
      <c r="BE1322" s="574"/>
      <c r="BF1322" s="574"/>
      <c r="BG1322" s="574"/>
      <c r="BH1322" s="574"/>
      <c r="BI1322" s="574"/>
      <c r="BJ1322" s="574"/>
      <c r="BK1322" s="574"/>
      <c r="BL1322" s="574"/>
      <c r="BM1322" s="574"/>
      <c r="BN1322" s="574"/>
      <c r="BO1322" s="574"/>
      <c r="BP1322" s="574"/>
      <c r="BQ1322" s="574"/>
      <c r="BR1322" s="574"/>
      <c r="BS1322" s="574"/>
      <c r="BT1322" s="574"/>
      <c r="BU1322" s="574"/>
      <c r="BV1322" s="574"/>
      <c r="BW1322" s="574"/>
      <c r="BX1322" s="574"/>
      <c r="BY1322" s="574"/>
      <c r="BZ1322" s="574"/>
      <c r="CA1322" s="574"/>
      <c r="CB1322" s="574"/>
      <c r="CC1322" s="574"/>
      <c r="CD1322" s="574"/>
      <c r="CE1322" s="574"/>
      <c r="CF1322" s="574"/>
    </row>
    <row r="1323" spans="1:84" s="583" customFormat="1" ht="23.1" customHeight="1" thickBot="1">
      <c r="A1323" s="1446" t="s">
        <v>1095</v>
      </c>
      <c r="B1323" s="1446"/>
      <c r="C1323" s="1446"/>
      <c r="D1323" s="1446"/>
      <c r="E1323" s="1446"/>
      <c r="F1323" s="1446"/>
      <c r="G1323" s="1447">
        <f>G1308+1</f>
        <v>89</v>
      </c>
      <c r="H1323" s="1447"/>
      <c r="I1323" s="1447"/>
      <c r="J1323" s="1448" t="s">
        <v>1096</v>
      </c>
      <c r="K1323" s="1448"/>
      <c r="L1323" s="574"/>
      <c r="M1323" s="574"/>
      <c r="N1323" s="574"/>
      <c r="O1323" s="574"/>
      <c r="P1323" s="574"/>
      <c r="Q1323" s="574"/>
      <c r="R1323" s="574"/>
      <c r="S1323" s="574"/>
      <c r="T1323" s="574"/>
      <c r="U1323" s="574"/>
      <c r="V1323" s="574"/>
      <c r="W1323" s="574"/>
      <c r="X1323" s="574"/>
      <c r="Y1323" s="574"/>
      <c r="Z1323" s="574"/>
      <c r="AA1323" s="574"/>
      <c r="AB1323" s="574"/>
      <c r="AC1323" s="574"/>
      <c r="AD1323" s="574"/>
      <c r="AE1323" s="574"/>
      <c r="AF1323" s="574"/>
      <c r="AG1323" s="574"/>
      <c r="AH1323" s="574"/>
      <c r="AI1323" s="574"/>
      <c r="AJ1323" s="574"/>
      <c r="AK1323" s="574"/>
      <c r="AL1323" s="574"/>
      <c r="AM1323" s="574"/>
      <c r="AN1323" s="574"/>
      <c r="AO1323" s="574"/>
      <c r="AP1323" s="574"/>
      <c r="AQ1323" s="574"/>
      <c r="AR1323" s="574"/>
      <c r="AS1323" s="574"/>
      <c r="AT1323" s="574"/>
      <c r="AU1323" s="574"/>
      <c r="AV1323" s="574"/>
      <c r="AW1323" s="574"/>
      <c r="AX1323" s="574"/>
      <c r="AY1323" s="574"/>
      <c r="AZ1323" s="574"/>
      <c r="BA1323" s="574"/>
      <c r="BB1323" s="574"/>
      <c r="BC1323" s="574"/>
      <c r="BD1323" s="574"/>
      <c r="BE1323" s="574"/>
      <c r="BF1323" s="574"/>
      <c r="BG1323" s="574"/>
      <c r="BH1323" s="574"/>
      <c r="BI1323" s="574"/>
      <c r="BJ1323" s="574"/>
      <c r="BK1323" s="574"/>
      <c r="BL1323" s="574"/>
      <c r="BM1323" s="574"/>
      <c r="BN1323" s="574"/>
      <c r="BO1323" s="574"/>
      <c r="BP1323" s="574"/>
      <c r="BQ1323" s="574"/>
      <c r="BR1323" s="574"/>
      <c r="BS1323" s="574"/>
      <c r="BT1323" s="574"/>
      <c r="BU1323" s="574"/>
      <c r="BV1323" s="574"/>
      <c r="BW1323" s="574"/>
      <c r="BX1323" s="574"/>
      <c r="BY1323" s="574"/>
      <c r="BZ1323" s="574"/>
      <c r="CA1323" s="574"/>
      <c r="CB1323" s="574"/>
      <c r="CC1323" s="574"/>
      <c r="CD1323" s="574"/>
      <c r="CE1323" s="574"/>
      <c r="CF1323" s="574"/>
    </row>
    <row r="1324" spans="1:84" s="583" customFormat="1" ht="23.1" customHeight="1" thickBot="1">
      <c r="A1324" s="1483" t="s">
        <v>1097</v>
      </c>
      <c r="B1324" s="1484"/>
      <c r="C1324" s="1484"/>
      <c r="D1324" s="1484"/>
      <c r="E1324" s="1484"/>
      <c r="F1324" s="1484"/>
      <c r="G1324" s="1484"/>
      <c r="H1324" s="1484"/>
      <c r="I1324" s="581" t="s">
        <v>553</v>
      </c>
      <c r="J1324" s="581"/>
      <c r="K1324" s="581"/>
      <c r="L1324" s="581"/>
      <c r="M1324" s="581"/>
      <c r="N1324" s="581"/>
      <c r="O1324" s="581"/>
      <c r="P1324" s="581"/>
      <c r="Q1324" s="581"/>
      <c r="R1324" s="581"/>
      <c r="S1324" s="581"/>
      <c r="T1324" s="581"/>
      <c r="U1324" s="581"/>
      <c r="V1324" s="581"/>
      <c r="W1324" s="581"/>
      <c r="X1324" s="581"/>
      <c r="Y1324" s="581"/>
      <c r="Z1324" s="581"/>
      <c r="AA1324" s="581"/>
      <c r="AB1324" s="581"/>
      <c r="AC1324" s="581"/>
      <c r="AD1324" s="581"/>
      <c r="AE1324" s="581"/>
      <c r="AF1324" s="581"/>
      <c r="AG1324" s="581"/>
      <c r="AH1324" s="581"/>
      <c r="AI1324" s="581"/>
      <c r="AJ1324" s="1484" t="s">
        <v>1099</v>
      </c>
      <c r="AK1324" s="1484"/>
      <c r="AL1324" s="1484"/>
      <c r="AM1324" s="1484"/>
      <c r="AN1324" s="1484"/>
      <c r="AO1324" s="1484"/>
      <c r="AP1324" s="1484"/>
      <c r="AQ1324" s="581" t="s">
        <v>1253</v>
      </c>
      <c r="AR1324" s="581"/>
      <c r="AS1324" s="581"/>
      <c r="AT1324" s="581"/>
      <c r="AU1324" s="581"/>
      <c r="AV1324" s="581"/>
      <c r="AW1324" s="581"/>
      <c r="AX1324" s="581"/>
      <c r="AY1324" s="581"/>
      <c r="AZ1324" s="581"/>
      <c r="BA1324" s="581"/>
      <c r="BB1324" s="581"/>
      <c r="BC1324" s="581"/>
      <c r="BD1324" s="581"/>
      <c r="BE1324" s="581"/>
      <c r="BF1324" s="581"/>
      <c r="BG1324" s="581"/>
      <c r="BH1324" s="581"/>
      <c r="BI1324" s="581"/>
      <c r="BJ1324" s="581"/>
      <c r="BK1324" s="581"/>
      <c r="BL1324" s="581"/>
      <c r="BM1324" s="581"/>
      <c r="BN1324" s="581"/>
      <c r="BO1324" s="581"/>
      <c r="BP1324" s="581"/>
      <c r="BQ1324" s="581"/>
      <c r="BR1324" s="581"/>
      <c r="BS1324" s="581"/>
      <c r="BT1324" s="581" t="s">
        <v>1254</v>
      </c>
      <c r="BU1324" s="581"/>
      <c r="BV1324" s="581"/>
      <c r="BW1324" s="581"/>
      <c r="BX1324" s="581"/>
      <c r="BY1324" s="581"/>
      <c r="BZ1324" s="581"/>
      <c r="CA1324" s="581"/>
      <c r="CB1324" s="581"/>
      <c r="CC1324" s="581"/>
      <c r="CD1324" s="581"/>
      <c r="CE1324" s="581"/>
      <c r="CF1324" s="582"/>
    </row>
    <row r="1325" spans="1:84" s="583" customFormat="1" ht="23.1" customHeight="1">
      <c r="A1325" s="584"/>
      <c r="B1325" s="585" t="s">
        <v>1102</v>
      </c>
      <c r="C1325" s="585"/>
      <c r="D1325" s="585"/>
      <c r="E1325" s="585"/>
      <c r="F1325" s="585"/>
      <c r="G1325" s="585"/>
      <c r="H1325" s="585"/>
      <c r="I1325" s="585"/>
      <c r="J1325" s="585"/>
      <c r="K1325" s="585"/>
      <c r="L1325" s="585"/>
      <c r="M1325" s="585"/>
      <c r="N1325" s="585"/>
      <c r="O1325" s="585"/>
      <c r="P1325" s="585"/>
      <c r="Q1325" s="585"/>
      <c r="R1325" s="585"/>
      <c r="S1325" s="585"/>
      <c r="T1325" s="585"/>
      <c r="U1325" s="585"/>
      <c r="V1325" s="585"/>
      <c r="W1325" s="585"/>
      <c r="X1325" s="585"/>
      <c r="Y1325" s="585"/>
      <c r="Z1325" s="585"/>
      <c r="AA1325" s="585"/>
      <c r="AB1325" s="585"/>
      <c r="AC1325" s="585"/>
      <c r="AD1325" s="585"/>
      <c r="AE1325" s="585"/>
      <c r="AF1325" s="585"/>
      <c r="AG1325" s="585"/>
      <c r="AH1325" s="585"/>
      <c r="AI1325" s="585"/>
      <c r="AJ1325" s="585"/>
      <c r="AK1325" s="585"/>
      <c r="AL1325" s="585"/>
      <c r="AM1325" s="585"/>
      <c r="AN1325" s="585"/>
      <c r="AO1325" s="585"/>
      <c r="AP1325" s="585"/>
      <c r="AQ1325" s="585"/>
      <c r="AR1325" s="585"/>
      <c r="AS1325" s="585"/>
      <c r="AT1325" s="585"/>
      <c r="AU1325" s="585"/>
      <c r="AV1325" s="585"/>
      <c r="AW1325" s="585"/>
      <c r="AX1325" s="585"/>
      <c r="AY1325" s="585"/>
      <c r="AZ1325" s="585"/>
      <c r="BA1325" s="585"/>
      <c r="BB1325" s="585"/>
      <c r="BC1325" s="585"/>
      <c r="BD1325" s="585"/>
      <c r="BE1325" s="585"/>
      <c r="BF1325" s="585"/>
      <c r="BG1325" s="585"/>
      <c r="BH1325" s="585"/>
      <c r="BI1325" s="585"/>
      <c r="BJ1325" s="585"/>
      <c r="BK1325" s="585"/>
      <c r="BL1325" s="585"/>
      <c r="BM1325" s="585"/>
      <c r="BN1325" s="585"/>
      <c r="BO1325" s="585"/>
      <c r="BP1325" s="585"/>
      <c r="BQ1325" s="585"/>
      <c r="BR1325" s="585"/>
      <c r="BS1325" s="585"/>
      <c r="BT1325" s="585"/>
      <c r="BU1325" s="585"/>
      <c r="BV1325" s="585"/>
      <c r="BW1325" s="585"/>
      <c r="BX1325" s="585"/>
      <c r="BY1325" s="585"/>
      <c r="BZ1325" s="585"/>
      <c r="CA1325" s="585"/>
      <c r="CB1325" s="585"/>
      <c r="CC1325" s="585"/>
      <c r="CD1325" s="585"/>
      <c r="CE1325" s="585"/>
      <c r="CF1325" s="586"/>
    </row>
    <row r="1326" spans="1:84" s="583" customFormat="1" ht="23.1" customHeight="1">
      <c r="A1326" s="587"/>
      <c r="B1326" s="574"/>
      <c r="C1326" s="574"/>
      <c r="D1326" s="624"/>
      <c r="E1326" s="574"/>
      <c r="F1326" s="625"/>
      <c r="G1326" s="625"/>
      <c r="H1326" s="625"/>
      <c r="I1326" s="625"/>
      <c r="J1326" s="625"/>
      <c r="K1326" s="625"/>
      <c r="L1326" s="625"/>
      <c r="M1326" s="625"/>
      <c r="N1326" s="574"/>
      <c r="O1326" s="574"/>
      <c r="P1326" s="574"/>
      <c r="Q1326" s="574"/>
      <c r="R1326" s="574"/>
      <c r="S1326" s="626"/>
      <c r="T1326" s="626"/>
      <c r="U1326" s="626"/>
      <c r="V1326" s="626"/>
      <c r="W1326" s="626"/>
      <c r="X1326" s="626"/>
      <c r="Y1326" s="626"/>
      <c r="Z1326" s="626"/>
      <c r="AA1326" s="574"/>
      <c r="AB1326" s="626"/>
      <c r="AC1326" s="585"/>
      <c r="AD1326" s="585"/>
      <c r="AE1326" s="627"/>
      <c r="AF1326" s="627"/>
      <c r="AG1326" s="627"/>
      <c r="AH1326" s="627"/>
      <c r="AI1326" s="627"/>
      <c r="AJ1326" s="627"/>
      <c r="AK1326" s="627"/>
      <c r="AL1326" s="627"/>
      <c r="AM1326" s="585"/>
      <c r="AN1326" s="585"/>
      <c r="AO1326" s="574"/>
      <c r="AP1326" s="628"/>
      <c r="AQ1326" s="628"/>
      <c r="AR1326" s="628"/>
      <c r="AS1326" s="628"/>
      <c r="AT1326" s="628"/>
      <c r="AU1326" s="628"/>
      <c r="AV1326" s="628"/>
      <c r="AW1326" s="628"/>
      <c r="AX1326" s="628"/>
      <c r="AY1326" s="628"/>
      <c r="AZ1326" s="628"/>
      <c r="BA1326" s="628"/>
      <c r="BB1326" s="628"/>
      <c r="BC1326" s="628"/>
      <c r="BD1326" s="574"/>
      <c r="BE1326" s="574"/>
      <c r="BF1326" s="574"/>
      <c r="BG1326" s="574"/>
      <c r="BH1326" s="574"/>
      <c r="BI1326" s="574"/>
      <c r="BJ1326" s="574"/>
      <c r="BK1326" s="574"/>
      <c r="BL1326" s="574"/>
      <c r="BM1326" s="574"/>
      <c r="BN1326" s="574"/>
      <c r="BO1326" s="574"/>
      <c r="BP1326" s="574"/>
      <c r="BQ1326" s="574"/>
      <c r="BR1326" s="574"/>
      <c r="BS1326" s="574"/>
      <c r="BT1326" s="574"/>
      <c r="BU1326" s="574"/>
      <c r="BV1326" s="574"/>
      <c r="BW1326" s="574"/>
      <c r="BX1326" s="574"/>
      <c r="BY1326" s="574"/>
      <c r="BZ1326" s="574"/>
      <c r="CA1326" s="574"/>
      <c r="CB1326" s="574"/>
      <c r="CC1326" s="574"/>
      <c r="CD1326" s="574"/>
      <c r="CE1326" s="574"/>
      <c r="CF1326" s="589"/>
    </row>
    <row r="1327" spans="1:84" s="583" customFormat="1" ht="23.1" customHeight="1">
      <c r="A1327" s="584"/>
      <c r="B1327" s="585"/>
      <c r="C1327" s="585"/>
      <c r="D1327" s="585"/>
      <c r="E1327" s="585"/>
      <c r="F1327" s="585"/>
      <c r="G1327" s="585"/>
      <c r="H1327" s="585"/>
      <c r="I1327" s="585"/>
      <c r="J1327" s="585"/>
      <c r="K1327" s="585"/>
      <c r="L1327" s="585"/>
      <c r="M1327" s="585"/>
      <c r="N1327" s="585"/>
      <c r="O1327" s="585"/>
      <c r="P1327" s="585"/>
      <c r="Q1327" s="585"/>
      <c r="R1327" s="585"/>
      <c r="S1327" s="585"/>
      <c r="T1327" s="585"/>
      <c r="U1327" s="585"/>
      <c r="V1327" s="590"/>
      <c r="W1327" s="590"/>
      <c r="X1327" s="590"/>
      <c r="Y1327" s="590"/>
      <c r="Z1327" s="590"/>
      <c r="AA1327" s="590"/>
      <c r="AB1327" s="590"/>
      <c r="AC1327" s="590"/>
      <c r="AD1327" s="574"/>
      <c r="AE1327" s="1440">
        <v>90649000</v>
      </c>
      <c r="AF1327" s="1440"/>
      <c r="AG1327" s="1440"/>
      <c r="AH1327" s="1440"/>
      <c r="AI1327" s="1440"/>
      <c r="AJ1327" s="1440"/>
      <c r="AK1327" s="1440"/>
      <c r="AL1327" s="1440"/>
      <c r="AM1327" s="1440"/>
      <c r="AN1327" s="1440"/>
      <c r="AO1327" s="1440"/>
      <c r="AP1327" s="1440"/>
      <c r="AQ1327" s="1440"/>
      <c r="AR1327" s="1440"/>
      <c r="AS1327" s="1440"/>
      <c r="AT1327" s="1431" t="s">
        <v>446</v>
      </c>
      <c r="AU1327" s="1431"/>
      <c r="AV1327" s="1441" t="s">
        <v>1103</v>
      </c>
      <c r="AW1327" s="1441"/>
      <c r="AX1327" s="1482">
        <v>2113</v>
      </c>
      <c r="AY1327" s="1482"/>
      <c r="AZ1327" s="1482"/>
      <c r="BA1327" s="1482"/>
      <c r="BB1327" s="1482"/>
      <c r="BC1327" s="1482"/>
      <c r="BD1327" s="585"/>
      <c r="BE1327" s="1431" t="s">
        <v>446</v>
      </c>
      <c r="BF1327" s="1431"/>
      <c r="BG1327" s="585"/>
      <c r="BH1327" s="591" t="s">
        <v>1104</v>
      </c>
      <c r="BI1327" s="585"/>
      <c r="BJ1327" s="585"/>
      <c r="BK1327" s="585"/>
      <c r="BL1327" s="1431" t="s">
        <v>1105</v>
      </c>
      <c r="BM1327" s="1431"/>
      <c r="BN1327" s="1431"/>
      <c r="BO1327" s="585"/>
      <c r="BP1327" s="1431" t="s">
        <v>41</v>
      </c>
      <c r="BQ1327" s="1431"/>
      <c r="BR1327" s="585"/>
      <c r="BS1327" s="585"/>
      <c r="BT1327" s="1480">
        <f>INT(AE1327*AX1327*10^-7)</f>
        <v>19154</v>
      </c>
      <c r="BU1327" s="1480"/>
      <c r="BV1327" s="1480"/>
      <c r="BW1327" s="1480"/>
      <c r="BX1327" s="1480"/>
      <c r="BY1327" s="1480"/>
      <c r="BZ1327" s="1480"/>
      <c r="CA1327" s="1480"/>
      <c r="CB1327" s="1480"/>
      <c r="CC1327" s="1480"/>
      <c r="CD1327" s="585"/>
      <c r="CE1327" s="585"/>
      <c r="CF1327" s="586"/>
    </row>
    <row r="1328" spans="1:84" s="583" customFormat="1" ht="23.1" customHeight="1">
      <c r="A1328" s="592"/>
      <c r="B1328" s="593" t="s">
        <v>1106</v>
      </c>
      <c r="C1328" s="593"/>
      <c r="D1328" s="593"/>
      <c r="E1328" s="593"/>
      <c r="F1328" s="593"/>
      <c r="G1328" s="593"/>
      <c r="H1328" s="593"/>
      <c r="I1328" s="593"/>
      <c r="J1328" s="593"/>
      <c r="K1328" s="593"/>
      <c r="L1328" s="593"/>
      <c r="M1328" s="593"/>
      <c r="N1328" s="593"/>
      <c r="O1328" s="593"/>
      <c r="P1328" s="593"/>
      <c r="Q1328" s="593"/>
      <c r="R1328" s="593"/>
      <c r="S1328" s="593"/>
      <c r="T1328" s="593"/>
      <c r="U1328" s="593"/>
      <c r="V1328" s="593"/>
      <c r="W1328" s="593"/>
      <c r="X1328" s="593"/>
      <c r="Y1328" s="593"/>
      <c r="Z1328" s="593"/>
      <c r="AA1328" s="593"/>
      <c r="AB1328" s="593"/>
      <c r="AC1328" s="593"/>
      <c r="AD1328" s="593"/>
      <c r="AE1328" s="593"/>
      <c r="AF1328" s="593"/>
      <c r="AG1328" s="593"/>
      <c r="AH1328" s="593"/>
      <c r="AI1328" s="593"/>
      <c r="AJ1328" s="593"/>
      <c r="AK1328" s="593"/>
      <c r="AL1328" s="593"/>
      <c r="AM1328" s="593"/>
      <c r="AN1328" s="593"/>
      <c r="AO1328" s="593"/>
      <c r="AP1328" s="593"/>
      <c r="AQ1328" s="593"/>
      <c r="AR1328" s="593"/>
      <c r="AS1328" s="593"/>
      <c r="AT1328" s="593"/>
      <c r="AU1328" s="593"/>
      <c r="AV1328" s="593"/>
      <c r="AW1328" s="593"/>
      <c r="AX1328" s="593"/>
      <c r="AY1328" s="593"/>
      <c r="AZ1328" s="593"/>
      <c r="BA1328" s="593"/>
      <c r="BB1328" s="593"/>
      <c r="BC1328" s="593"/>
      <c r="BD1328" s="593"/>
      <c r="BE1328" s="593"/>
      <c r="BF1328" s="593"/>
      <c r="BG1328" s="593"/>
      <c r="BH1328" s="593"/>
      <c r="BI1328" s="593"/>
      <c r="BJ1328" s="593"/>
      <c r="BK1328" s="593"/>
      <c r="BL1328" s="593"/>
      <c r="BM1328" s="593"/>
      <c r="BN1328" s="593"/>
      <c r="BO1328" s="593"/>
      <c r="BP1328" s="593"/>
      <c r="BQ1328" s="593"/>
      <c r="BR1328" s="593"/>
      <c r="BS1328" s="593"/>
      <c r="BT1328" s="594"/>
      <c r="BU1328" s="594"/>
      <c r="BV1328" s="594"/>
      <c r="BW1328" s="594"/>
      <c r="BX1328" s="594"/>
      <c r="BY1328" s="594"/>
      <c r="BZ1328" s="594"/>
      <c r="CA1328" s="594"/>
      <c r="CB1328" s="594"/>
      <c r="CC1328" s="594"/>
      <c r="CD1328" s="593"/>
      <c r="CE1328" s="593"/>
      <c r="CF1328" s="595"/>
    </row>
    <row r="1329" spans="1:91" s="583" customFormat="1" ht="23.1" customHeight="1">
      <c r="A1329" s="584"/>
      <c r="B1329" s="585"/>
      <c r="C1329" s="585"/>
      <c r="D1329" s="596" t="s">
        <v>1092</v>
      </c>
      <c r="E1329" s="585"/>
      <c r="F1329" s="585"/>
      <c r="G1329" s="585"/>
      <c r="H1329" s="585"/>
      <c r="I1329" s="585"/>
      <c r="J1329" s="585"/>
      <c r="K1329" s="585"/>
      <c r="L1329" s="585"/>
      <c r="M1329" s="585"/>
      <c r="N1329" s="585"/>
      <c r="O1329" s="585"/>
      <c r="P1329" s="585"/>
      <c r="Q1329" s="585"/>
      <c r="R1329" s="585"/>
      <c r="S1329" s="585"/>
      <c r="T1329" s="574"/>
      <c r="U1329" s="574"/>
      <c r="V1329" s="1476">
        <f>HLOOKUP(D1329,$CJ$1:$CM$3,3,0)</f>
        <v>238936</v>
      </c>
      <c r="W1329" s="1476"/>
      <c r="X1329" s="1476"/>
      <c r="Y1329" s="1476"/>
      <c r="Z1329" s="1476"/>
      <c r="AA1329" s="1476"/>
      <c r="AB1329" s="1476"/>
      <c r="AC1329" s="1476"/>
      <c r="AD1329" s="1476"/>
      <c r="AE1329" s="1476"/>
      <c r="AF1329" s="1431" t="s">
        <v>446</v>
      </c>
      <c r="AG1329" s="1431"/>
      <c r="AH1329" s="574"/>
      <c r="AI1329" s="1481" t="s">
        <v>1107</v>
      </c>
      <c r="AJ1329" s="1481"/>
      <c r="AK1329" s="1481"/>
      <c r="AL1329" s="1481"/>
      <c r="AM1329" s="585"/>
      <c r="AN1329" s="1431" t="s">
        <v>446</v>
      </c>
      <c r="AO1329" s="1431"/>
      <c r="AP1329" s="585"/>
      <c r="AQ1329" s="1481" t="s">
        <v>1108</v>
      </c>
      <c r="AR1329" s="1481"/>
      <c r="AS1329" s="1481"/>
      <c r="AT1329" s="1481"/>
      <c r="AU1329" s="1481"/>
      <c r="AV1329" s="625"/>
      <c r="AW1329" s="1431" t="s">
        <v>446</v>
      </c>
      <c r="AX1329" s="1431"/>
      <c r="AY1329" s="629"/>
      <c r="AZ1329" s="1481" t="s">
        <v>1109</v>
      </c>
      <c r="BA1329" s="1481"/>
      <c r="BB1329" s="1481"/>
      <c r="BC1329" s="1481"/>
      <c r="BD1329" s="1481"/>
      <c r="BE1329" s="585"/>
      <c r="BF1329" s="1431" t="s">
        <v>446</v>
      </c>
      <c r="BG1329" s="1431"/>
      <c r="BH1329" s="1431">
        <v>1</v>
      </c>
      <c r="BI1329" s="1431"/>
      <c r="BJ1329" s="1431"/>
      <c r="BK1329" s="585"/>
      <c r="BL1329" s="585" t="s">
        <v>366</v>
      </c>
      <c r="BM1329" s="585"/>
      <c r="BN1329" s="585"/>
      <c r="BO1329" s="585"/>
      <c r="BP1329" s="1431" t="s">
        <v>41</v>
      </c>
      <c r="BQ1329" s="1431"/>
      <c r="BR1329" s="585"/>
      <c r="BS1329" s="585"/>
      <c r="BT1329" s="1477">
        <f>INT(V1329/8*16/12*25/20*BH1329)</f>
        <v>49778</v>
      </c>
      <c r="BU1329" s="1477"/>
      <c r="BV1329" s="1477"/>
      <c r="BW1329" s="1477"/>
      <c r="BX1329" s="1477"/>
      <c r="BY1329" s="1477"/>
      <c r="BZ1329" s="1477"/>
      <c r="CA1329" s="1477"/>
      <c r="CB1329" s="1477"/>
      <c r="CC1329" s="1477"/>
      <c r="CD1329" s="585"/>
      <c r="CE1329" s="585"/>
      <c r="CF1329" s="586"/>
    </row>
    <row r="1330" spans="1:91" s="583" customFormat="1" ht="23.1" customHeight="1">
      <c r="A1330" s="584"/>
      <c r="B1330" s="585"/>
      <c r="C1330" s="585"/>
      <c r="D1330" s="585"/>
      <c r="E1330" s="585"/>
      <c r="F1330" s="585"/>
      <c r="G1330" s="585"/>
      <c r="H1330" s="585"/>
      <c r="I1330" s="585"/>
      <c r="J1330" s="585"/>
      <c r="K1330" s="585"/>
      <c r="L1330" s="585"/>
      <c r="M1330" s="585"/>
      <c r="N1330" s="585"/>
      <c r="O1330" s="585"/>
      <c r="P1330" s="574"/>
      <c r="Q1330" s="574"/>
      <c r="R1330" s="574"/>
      <c r="S1330" s="574"/>
      <c r="T1330" s="574"/>
      <c r="U1330" s="574"/>
      <c r="V1330" s="574"/>
      <c r="W1330" s="574"/>
      <c r="X1330" s="574"/>
      <c r="Y1330" s="574"/>
      <c r="Z1330" s="574"/>
      <c r="AA1330" s="574"/>
      <c r="AB1330" s="574"/>
      <c r="AC1330" s="574"/>
      <c r="AD1330" s="574"/>
      <c r="AE1330" s="574"/>
      <c r="AF1330" s="574"/>
      <c r="AG1330" s="574"/>
      <c r="AH1330" s="574"/>
      <c r="AI1330" s="574"/>
      <c r="AJ1330" s="574"/>
      <c r="AK1330" s="574"/>
      <c r="AL1330" s="574"/>
      <c r="AM1330" s="574"/>
      <c r="AN1330" s="574"/>
      <c r="AO1330" s="574"/>
      <c r="AP1330" s="574"/>
      <c r="AQ1330" s="574"/>
      <c r="AR1330" s="574"/>
      <c r="AS1330" s="574"/>
      <c r="AT1330" s="574"/>
      <c r="AU1330" s="574"/>
      <c r="AV1330" s="574"/>
      <c r="AW1330" s="574"/>
      <c r="AX1330" s="574"/>
      <c r="AY1330" s="574"/>
      <c r="AZ1330" s="574"/>
      <c r="BA1330" s="574"/>
      <c r="BB1330" s="574"/>
      <c r="BC1330" s="574"/>
      <c r="BD1330" s="574"/>
      <c r="BE1330" s="574"/>
      <c r="BF1330" s="574"/>
      <c r="BG1330" s="585"/>
      <c r="BH1330" s="585"/>
      <c r="BI1330" s="585"/>
      <c r="BJ1330" s="585"/>
      <c r="BK1330" s="585"/>
      <c r="BL1330" s="585"/>
      <c r="BM1330" s="585"/>
      <c r="BN1330" s="585"/>
      <c r="BO1330" s="585"/>
      <c r="BP1330" s="1431"/>
      <c r="BQ1330" s="1431"/>
      <c r="BR1330" s="585"/>
      <c r="BS1330" s="585"/>
      <c r="BT1330" s="1477"/>
      <c r="BU1330" s="1477"/>
      <c r="BV1330" s="1477"/>
      <c r="BW1330" s="1477"/>
      <c r="BX1330" s="1477"/>
      <c r="BY1330" s="1477"/>
      <c r="BZ1330" s="1477"/>
      <c r="CA1330" s="1477"/>
      <c r="CB1330" s="1477"/>
      <c r="CC1330" s="1477"/>
      <c r="CD1330" s="585"/>
      <c r="CE1330" s="585"/>
      <c r="CF1330" s="586"/>
    </row>
    <row r="1331" spans="1:91" s="583" customFormat="1" ht="23.1" customHeight="1">
      <c r="A1331" s="584"/>
      <c r="B1331" s="585"/>
      <c r="C1331" s="585"/>
      <c r="D1331" s="585"/>
      <c r="E1331" s="585"/>
      <c r="F1331" s="585"/>
      <c r="G1331" s="585"/>
      <c r="H1331" s="585"/>
      <c r="I1331" s="585"/>
      <c r="J1331" s="585"/>
      <c r="K1331" s="585"/>
      <c r="L1331" s="585"/>
      <c r="M1331" s="585"/>
      <c r="N1331" s="585"/>
      <c r="O1331" s="585"/>
      <c r="P1331" s="585"/>
      <c r="Q1331" s="585"/>
      <c r="R1331" s="585"/>
      <c r="S1331" s="585"/>
      <c r="T1331" s="585"/>
      <c r="U1331" s="585"/>
      <c r="V1331" s="585"/>
      <c r="W1331" s="585"/>
      <c r="X1331" s="585"/>
      <c r="Y1331" s="585"/>
      <c r="Z1331" s="585"/>
      <c r="AA1331" s="585"/>
      <c r="AB1331" s="585"/>
      <c r="AC1331" s="585"/>
      <c r="AD1331" s="574"/>
      <c r="AE1331" s="574"/>
      <c r="AF1331" s="574"/>
      <c r="AG1331" s="574"/>
      <c r="AH1331" s="574"/>
      <c r="AI1331" s="574"/>
      <c r="AJ1331" s="574"/>
      <c r="AK1331" s="574"/>
      <c r="AL1331" s="574"/>
      <c r="AM1331" s="574"/>
      <c r="AN1331" s="574"/>
      <c r="AO1331" s="574"/>
      <c r="AP1331" s="574"/>
      <c r="AQ1331" s="574"/>
      <c r="AR1331" s="574"/>
      <c r="AS1331" s="585"/>
      <c r="AT1331" s="590"/>
      <c r="AU1331" s="590"/>
      <c r="AV1331" s="585"/>
      <c r="AW1331" s="585"/>
      <c r="AX1331" s="585"/>
      <c r="AY1331" s="585"/>
      <c r="AZ1331" s="585"/>
      <c r="BA1331" s="585"/>
      <c r="BB1331" s="585"/>
      <c r="BC1331" s="585"/>
      <c r="BD1331" s="585"/>
      <c r="BE1331" s="585"/>
      <c r="BF1331" s="585"/>
      <c r="BG1331" s="585"/>
      <c r="BH1331" s="585"/>
      <c r="BI1331" s="585"/>
      <c r="BJ1331" s="585"/>
      <c r="BK1331" s="585"/>
      <c r="BL1331" s="585"/>
      <c r="BM1331" s="585"/>
      <c r="BN1331" s="585"/>
      <c r="BO1331" s="585"/>
      <c r="BP1331" s="1431" t="s">
        <v>41</v>
      </c>
      <c r="BQ1331" s="1431"/>
      <c r="BR1331" s="585"/>
      <c r="BS1331" s="585"/>
      <c r="BT1331" s="1479">
        <f>BT1329+BT1330</f>
        <v>49778</v>
      </c>
      <c r="BU1331" s="1479"/>
      <c r="BV1331" s="1479"/>
      <c r="BW1331" s="1479"/>
      <c r="BX1331" s="1479"/>
      <c r="BY1331" s="1479"/>
      <c r="BZ1331" s="1479"/>
      <c r="CA1331" s="1479"/>
      <c r="CB1331" s="1479"/>
      <c r="CC1331" s="1479"/>
      <c r="CD1331" s="585"/>
      <c r="CE1331" s="585"/>
      <c r="CF1331" s="586"/>
    </row>
    <row r="1332" spans="1:91" s="583" customFormat="1" ht="23.1" customHeight="1">
      <c r="A1332" s="592"/>
      <c r="B1332" s="593" t="s">
        <v>1110</v>
      </c>
      <c r="C1332" s="593"/>
      <c r="D1332" s="593"/>
      <c r="E1332" s="593"/>
      <c r="F1332" s="593"/>
      <c r="G1332" s="593"/>
      <c r="H1332" s="593"/>
      <c r="I1332" s="593"/>
      <c r="J1332" s="593"/>
      <c r="K1332" s="593"/>
      <c r="L1332" s="593"/>
      <c r="M1332" s="593"/>
      <c r="N1332" s="593"/>
      <c r="O1332" s="593"/>
      <c r="P1332" s="593"/>
      <c r="Q1332" s="593"/>
      <c r="R1332" s="593"/>
      <c r="S1332" s="593"/>
      <c r="T1332" s="593"/>
      <c r="U1332" s="593"/>
      <c r="V1332" s="593"/>
      <c r="W1332" s="593"/>
      <c r="X1332" s="593"/>
      <c r="Y1332" s="593"/>
      <c r="Z1332" s="593"/>
      <c r="AA1332" s="593"/>
      <c r="AB1332" s="593"/>
      <c r="AC1332" s="593"/>
      <c r="AD1332" s="593"/>
      <c r="AE1332" s="593"/>
      <c r="AF1332" s="593"/>
      <c r="AG1332" s="593"/>
      <c r="AH1332" s="593"/>
      <c r="AI1332" s="593"/>
      <c r="AJ1332" s="593"/>
      <c r="AK1332" s="593"/>
      <c r="AL1332" s="593"/>
      <c r="AM1332" s="593"/>
      <c r="AN1332" s="593"/>
      <c r="AO1332" s="593"/>
      <c r="AP1332" s="593"/>
      <c r="AQ1332" s="593"/>
      <c r="AR1332" s="593"/>
      <c r="AS1332" s="593"/>
      <c r="AT1332" s="593"/>
      <c r="AU1332" s="593"/>
      <c r="AV1332" s="593"/>
      <c r="AW1332" s="593"/>
      <c r="AX1332" s="593"/>
      <c r="AY1332" s="593"/>
      <c r="AZ1332" s="593"/>
      <c r="BA1332" s="593"/>
      <c r="BB1332" s="593"/>
      <c r="BC1332" s="593"/>
      <c r="BD1332" s="593"/>
      <c r="BE1332" s="593"/>
      <c r="BF1332" s="593"/>
      <c r="BG1332" s="593"/>
      <c r="BH1332" s="593"/>
      <c r="BI1332" s="593"/>
      <c r="BJ1332" s="593"/>
      <c r="BK1332" s="593"/>
      <c r="BL1332" s="593"/>
      <c r="BM1332" s="593"/>
      <c r="BN1332" s="593"/>
      <c r="BO1332" s="593"/>
      <c r="BP1332" s="593"/>
      <c r="BQ1332" s="593"/>
      <c r="BR1332" s="593"/>
      <c r="BS1332" s="593"/>
      <c r="BT1332" s="593"/>
      <c r="BU1332" s="593"/>
      <c r="BV1332" s="593"/>
      <c r="BW1332" s="593"/>
      <c r="BX1332" s="593"/>
      <c r="BY1332" s="593"/>
      <c r="BZ1332" s="593"/>
      <c r="CA1332" s="593"/>
      <c r="CB1332" s="593"/>
      <c r="CC1332" s="593"/>
      <c r="CD1332" s="593"/>
      <c r="CE1332" s="593"/>
      <c r="CF1332" s="595"/>
    </row>
    <row r="1333" spans="1:91" s="583" customFormat="1" ht="23.1" customHeight="1">
      <c r="A1333" s="584"/>
      <c r="B1333" s="585"/>
      <c r="C1333" s="585"/>
      <c r="D1333" s="596" t="s">
        <v>1094</v>
      </c>
      <c r="E1333" s="585"/>
      <c r="F1333" s="585"/>
      <c r="G1333" s="585"/>
      <c r="H1333" s="585"/>
      <c r="I1333" s="585"/>
      <c r="J1333" s="585"/>
      <c r="K1333" s="585"/>
      <c r="L1333" s="585"/>
      <c r="M1333" s="585"/>
      <c r="N1333" s="585"/>
      <c r="O1333" s="585"/>
      <c r="P1333" s="585"/>
      <c r="Q1333" s="585"/>
      <c r="R1333" s="585"/>
      <c r="S1333" s="585"/>
      <c r="T1333" s="585"/>
      <c r="U1333" s="585"/>
      <c r="V1333" s="585"/>
      <c r="W1333" s="585"/>
      <c r="X1333" s="585"/>
      <c r="Y1333" s="585"/>
      <c r="Z1333" s="585"/>
      <c r="AA1333" s="585"/>
      <c r="AB1333" s="585"/>
      <c r="AC1333" s="585"/>
      <c r="AD1333" s="585"/>
      <c r="AE1333" s="585"/>
      <c r="AF1333" s="585"/>
      <c r="AG1333" s="585"/>
      <c r="AH1333" s="585"/>
      <c r="AI1333" s="585"/>
      <c r="AJ1333" s="585"/>
      <c r="AK1333" s="585"/>
      <c r="AL1333" s="585"/>
      <c r="AM1333" s="585"/>
      <c r="AN1333" s="585"/>
      <c r="AO1333" s="585"/>
      <c r="AP1333" s="585"/>
      <c r="AQ1333" s="585"/>
      <c r="AR1333" s="625"/>
      <c r="AS1333" s="1476" t="e">
        <f>HLOOKUP(D1333,$CN$1:$CO$3,3,0)</f>
        <v>#REF!</v>
      </c>
      <c r="AT1333" s="1476"/>
      <c r="AU1333" s="1476"/>
      <c r="AV1333" s="1476"/>
      <c r="AW1333" s="1476"/>
      <c r="AX1333" s="1476"/>
      <c r="AY1333" s="1476"/>
      <c r="AZ1333" s="1476"/>
      <c r="BA1333" s="1476"/>
      <c r="BB1333" s="1476"/>
      <c r="BC1333" s="585"/>
      <c r="BD1333" s="1431" t="s">
        <v>446</v>
      </c>
      <c r="BE1333" s="1431"/>
      <c r="BF1333" s="585"/>
      <c r="BG1333" s="1431">
        <v>12.9</v>
      </c>
      <c r="BH1333" s="1431"/>
      <c r="BI1333" s="1431"/>
      <c r="BJ1333" s="1431"/>
      <c r="BK1333" s="1431"/>
      <c r="BL1333" s="585" t="s">
        <v>1111</v>
      </c>
      <c r="BM1333" s="585"/>
      <c r="BN1333" s="585"/>
      <c r="BO1333" s="585"/>
      <c r="BP1333" s="1431" t="s">
        <v>41</v>
      </c>
      <c r="BQ1333" s="1431"/>
      <c r="BR1333" s="585"/>
      <c r="BS1333" s="585"/>
      <c r="BT1333" s="1477" t="e">
        <f>INT(AS1333*BG1333)</f>
        <v>#REF!</v>
      </c>
      <c r="BU1333" s="1477"/>
      <c r="BV1333" s="1477"/>
      <c r="BW1333" s="1477"/>
      <c r="BX1333" s="1477"/>
      <c r="BY1333" s="1477"/>
      <c r="BZ1333" s="1477"/>
      <c r="CA1333" s="1477"/>
      <c r="CB1333" s="1477"/>
      <c r="CC1333" s="1477"/>
      <c r="CD1333" s="585"/>
      <c r="CE1333" s="585"/>
      <c r="CF1333" s="586"/>
    </row>
    <row r="1334" spans="1:91" s="583" customFormat="1" ht="23.1" customHeight="1">
      <c r="A1334" s="584"/>
      <c r="B1334" s="585"/>
      <c r="C1334" s="585"/>
      <c r="D1334" s="591" t="str">
        <f>"잡재료 (주연료의 "&amp;BG1334&amp;"%) :"</f>
        <v>잡재료 (주연료의 30%) :</v>
      </c>
      <c r="E1334" s="585"/>
      <c r="F1334" s="585"/>
      <c r="G1334" s="585"/>
      <c r="H1334" s="585"/>
      <c r="I1334" s="585"/>
      <c r="J1334" s="585"/>
      <c r="K1334" s="585"/>
      <c r="L1334" s="585"/>
      <c r="M1334" s="585"/>
      <c r="N1334" s="585"/>
      <c r="O1334" s="585"/>
      <c r="P1334" s="585"/>
      <c r="Q1334" s="585"/>
      <c r="R1334" s="585"/>
      <c r="S1334" s="585"/>
      <c r="T1334" s="585"/>
      <c r="U1334" s="585"/>
      <c r="V1334" s="585"/>
      <c r="W1334" s="585"/>
      <c r="X1334" s="585"/>
      <c r="Y1334" s="585"/>
      <c r="Z1334" s="585"/>
      <c r="AA1334" s="585"/>
      <c r="AB1334" s="585"/>
      <c r="AC1334" s="585"/>
      <c r="AD1334" s="585"/>
      <c r="AE1334" s="585"/>
      <c r="AF1334" s="585"/>
      <c r="AG1334" s="585"/>
      <c r="AH1334" s="585"/>
      <c r="AI1334" s="585"/>
      <c r="AJ1334" s="585"/>
      <c r="AK1334" s="585"/>
      <c r="AL1334" s="585"/>
      <c r="AM1334" s="585"/>
      <c r="AN1334" s="585"/>
      <c r="AO1334" s="585"/>
      <c r="AP1334" s="585"/>
      <c r="AQ1334" s="585"/>
      <c r="AR1334" s="625" t="e">
        <f>BT1333</f>
        <v>#REF!</v>
      </c>
      <c r="AS1334" s="1478" t="e">
        <f>BT1333</f>
        <v>#REF!</v>
      </c>
      <c r="AT1334" s="1478"/>
      <c r="AU1334" s="1478"/>
      <c r="AV1334" s="1478"/>
      <c r="AW1334" s="1478"/>
      <c r="AX1334" s="1478"/>
      <c r="AY1334" s="1478"/>
      <c r="AZ1334" s="1478"/>
      <c r="BA1334" s="1478"/>
      <c r="BB1334" s="1478"/>
      <c r="BC1334" s="585"/>
      <c r="BD1334" s="1431" t="s">
        <v>446</v>
      </c>
      <c r="BE1334" s="1431"/>
      <c r="BF1334" s="585"/>
      <c r="BG1334" s="1431">
        <v>30</v>
      </c>
      <c r="BH1334" s="1431"/>
      <c r="BI1334" s="1431"/>
      <c r="BJ1334" s="1431"/>
      <c r="BK1334" s="1431"/>
      <c r="BL1334" s="585" t="s">
        <v>1112</v>
      </c>
      <c r="BM1334" s="585"/>
      <c r="BN1334" s="585"/>
      <c r="BO1334" s="585"/>
      <c r="BP1334" s="1431" t="s">
        <v>41</v>
      </c>
      <c r="BQ1334" s="1431"/>
      <c r="BR1334" s="585"/>
      <c r="BS1334" s="585"/>
      <c r="BT1334" s="1477" t="e">
        <f>INT(AS1334*BG1334/100)</f>
        <v>#REF!</v>
      </c>
      <c r="BU1334" s="1477"/>
      <c r="BV1334" s="1477"/>
      <c r="BW1334" s="1477"/>
      <c r="BX1334" s="1477"/>
      <c r="BY1334" s="1477"/>
      <c r="BZ1334" s="1477"/>
      <c r="CA1334" s="1477"/>
      <c r="CB1334" s="1477"/>
      <c r="CC1334" s="1477"/>
      <c r="CD1334" s="585"/>
      <c r="CE1334" s="585"/>
      <c r="CF1334" s="586"/>
    </row>
    <row r="1335" spans="1:91" s="583" customFormat="1" ht="23.1" customHeight="1" thickBot="1">
      <c r="A1335" s="584"/>
      <c r="B1335" s="585"/>
      <c r="C1335" s="585"/>
      <c r="D1335" s="585"/>
      <c r="E1335" s="585"/>
      <c r="F1335" s="585"/>
      <c r="G1335" s="585"/>
      <c r="H1335" s="585"/>
      <c r="I1335" s="585"/>
      <c r="J1335" s="585"/>
      <c r="K1335" s="585"/>
      <c r="L1335" s="585"/>
      <c r="M1335" s="585"/>
      <c r="N1335" s="585"/>
      <c r="O1335" s="585"/>
      <c r="P1335" s="585"/>
      <c r="Q1335" s="585"/>
      <c r="R1335" s="585"/>
      <c r="S1335" s="585"/>
      <c r="T1335" s="585"/>
      <c r="U1335" s="585"/>
      <c r="V1335" s="585"/>
      <c r="W1335" s="585"/>
      <c r="X1335" s="585"/>
      <c r="Y1335" s="585"/>
      <c r="Z1335" s="585"/>
      <c r="AA1335" s="585"/>
      <c r="AB1335" s="585"/>
      <c r="AC1335" s="585"/>
      <c r="AD1335" s="585"/>
      <c r="AE1335" s="585"/>
      <c r="AF1335" s="585"/>
      <c r="AG1335" s="585"/>
      <c r="AH1335" s="585"/>
      <c r="AI1335" s="585"/>
      <c r="AJ1335" s="585"/>
      <c r="AK1335" s="585"/>
      <c r="AL1335" s="585"/>
      <c r="AM1335" s="585"/>
      <c r="AN1335" s="585"/>
      <c r="AO1335" s="585"/>
      <c r="AP1335" s="585"/>
      <c r="AQ1335" s="585"/>
      <c r="AR1335" s="585"/>
      <c r="AS1335" s="585"/>
      <c r="AT1335" s="585"/>
      <c r="AU1335" s="585"/>
      <c r="AV1335" s="585"/>
      <c r="AW1335" s="585"/>
      <c r="AX1335" s="585"/>
      <c r="AY1335" s="585"/>
      <c r="AZ1335" s="585"/>
      <c r="BA1335" s="585"/>
      <c r="BB1335" s="585"/>
      <c r="BC1335" s="585"/>
      <c r="BD1335" s="585"/>
      <c r="BE1335" s="585"/>
      <c r="BF1335" s="585"/>
      <c r="BG1335" s="585"/>
      <c r="BH1335" s="585"/>
      <c r="BI1335" s="585"/>
      <c r="BJ1335" s="585"/>
      <c r="BK1335" s="585"/>
      <c r="BL1335" s="585"/>
      <c r="BM1335" s="585"/>
      <c r="BN1335" s="585"/>
      <c r="BO1335" s="585"/>
      <c r="BP1335" s="1431" t="s">
        <v>41</v>
      </c>
      <c r="BQ1335" s="1431"/>
      <c r="BR1335" s="585"/>
      <c r="BS1335" s="585"/>
      <c r="BT1335" s="1474" t="e">
        <f>BT1333+BT1334</f>
        <v>#REF!</v>
      </c>
      <c r="BU1335" s="1474"/>
      <c r="BV1335" s="1474"/>
      <c r="BW1335" s="1474"/>
      <c r="BX1335" s="1474"/>
      <c r="BY1335" s="1474"/>
      <c r="BZ1335" s="1474"/>
      <c r="CA1335" s="1474"/>
      <c r="CB1335" s="1474"/>
      <c r="CC1335" s="1474"/>
      <c r="CD1335" s="585"/>
      <c r="CE1335" s="585"/>
      <c r="CF1335" s="586"/>
    </row>
    <row r="1336" spans="1:91" s="583" customFormat="1" ht="23.1" customHeight="1" thickBot="1">
      <c r="A1336" s="597"/>
      <c r="B1336" s="598" t="s">
        <v>1113</v>
      </c>
      <c r="C1336" s="598"/>
      <c r="D1336" s="598"/>
      <c r="E1336" s="598"/>
      <c r="F1336" s="598"/>
      <c r="G1336" s="598"/>
      <c r="H1336" s="598"/>
      <c r="I1336" s="598"/>
      <c r="J1336" s="598"/>
      <c r="K1336" s="598"/>
      <c r="L1336" s="598"/>
      <c r="M1336" s="598"/>
      <c r="N1336" s="598"/>
      <c r="O1336" s="598"/>
      <c r="P1336" s="598"/>
      <c r="Q1336" s="598"/>
      <c r="R1336" s="598"/>
      <c r="S1336" s="598"/>
      <c r="T1336" s="598"/>
      <c r="U1336" s="598"/>
      <c r="V1336" s="598"/>
      <c r="W1336" s="598"/>
      <c r="X1336" s="598"/>
      <c r="Y1336" s="598"/>
      <c r="Z1336" s="598"/>
      <c r="AA1336" s="598"/>
      <c r="AB1336" s="598"/>
      <c r="AC1336" s="598"/>
      <c r="AD1336" s="598"/>
      <c r="AE1336" s="598"/>
      <c r="AF1336" s="598"/>
      <c r="AG1336" s="598"/>
      <c r="AH1336" s="598"/>
      <c r="AI1336" s="598"/>
      <c r="AJ1336" s="598"/>
      <c r="AK1336" s="598"/>
      <c r="AL1336" s="598"/>
      <c r="AM1336" s="598"/>
      <c r="AN1336" s="598"/>
      <c r="AO1336" s="598"/>
      <c r="AP1336" s="598"/>
      <c r="AQ1336" s="598"/>
      <c r="AR1336" s="598"/>
      <c r="AS1336" s="598"/>
      <c r="AT1336" s="598"/>
      <c r="AU1336" s="598"/>
      <c r="AV1336" s="598"/>
      <c r="AW1336" s="598"/>
      <c r="AX1336" s="598"/>
      <c r="AY1336" s="598"/>
      <c r="AZ1336" s="598"/>
      <c r="BA1336" s="598"/>
      <c r="BB1336" s="598"/>
      <c r="BC1336" s="598"/>
      <c r="BD1336" s="598"/>
      <c r="BE1336" s="598"/>
      <c r="BF1336" s="598"/>
      <c r="BG1336" s="598"/>
      <c r="BH1336" s="598"/>
      <c r="BI1336" s="598"/>
      <c r="BJ1336" s="598"/>
      <c r="BK1336" s="598"/>
      <c r="BL1336" s="598"/>
      <c r="BM1336" s="598"/>
      <c r="BN1336" s="598"/>
      <c r="BO1336" s="598"/>
      <c r="BP1336" s="598"/>
      <c r="BQ1336" s="598"/>
      <c r="BR1336" s="598"/>
      <c r="BS1336" s="598"/>
      <c r="BT1336" s="1475" t="e">
        <f>BT1327+BT1331+BT1335</f>
        <v>#REF!</v>
      </c>
      <c r="BU1336" s="1475"/>
      <c r="BV1336" s="1475"/>
      <c r="BW1336" s="1475"/>
      <c r="BX1336" s="1475"/>
      <c r="BY1336" s="1475"/>
      <c r="BZ1336" s="1475"/>
      <c r="CA1336" s="1475"/>
      <c r="CB1336" s="1475"/>
      <c r="CC1336" s="1475"/>
      <c r="CD1336" s="598"/>
      <c r="CE1336" s="598"/>
      <c r="CF1336" s="599"/>
    </row>
    <row r="1337" spans="1:91" s="583" customFormat="1" ht="9.9499999999999993" customHeight="1">
      <c r="A1337" s="574"/>
      <c r="B1337" s="574"/>
      <c r="C1337" s="574"/>
      <c r="D1337" s="574"/>
      <c r="E1337" s="574"/>
      <c r="F1337" s="574"/>
      <c r="G1337" s="574"/>
      <c r="H1337" s="574"/>
      <c r="I1337" s="574"/>
      <c r="J1337" s="574"/>
      <c r="K1337" s="574"/>
      <c r="L1337" s="574"/>
      <c r="M1337" s="574"/>
      <c r="N1337" s="574"/>
      <c r="O1337" s="574"/>
      <c r="P1337" s="574"/>
      <c r="Q1337" s="574"/>
      <c r="R1337" s="574"/>
      <c r="S1337" s="574"/>
      <c r="T1337" s="574"/>
      <c r="U1337" s="574"/>
      <c r="V1337" s="574"/>
      <c r="W1337" s="574"/>
      <c r="X1337" s="574"/>
      <c r="Y1337" s="574"/>
      <c r="Z1337" s="574"/>
      <c r="AA1337" s="574"/>
      <c r="AB1337" s="574"/>
      <c r="AC1337" s="574"/>
      <c r="AD1337" s="574"/>
      <c r="AE1337" s="574"/>
      <c r="AF1337" s="574"/>
      <c r="AG1337" s="574"/>
      <c r="AH1337" s="574"/>
      <c r="AI1337" s="574"/>
      <c r="AJ1337" s="574"/>
      <c r="AK1337" s="574"/>
      <c r="AL1337" s="574"/>
      <c r="AM1337" s="574"/>
      <c r="AN1337" s="574"/>
      <c r="AO1337" s="574"/>
      <c r="AP1337" s="574"/>
      <c r="AQ1337" s="574"/>
      <c r="AR1337" s="574"/>
      <c r="AS1337" s="574"/>
      <c r="AT1337" s="574"/>
      <c r="AU1337" s="574"/>
      <c r="AV1337" s="574"/>
      <c r="AW1337" s="574"/>
      <c r="AX1337" s="574"/>
      <c r="AY1337" s="574"/>
      <c r="AZ1337" s="574"/>
      <c r="BA1337" s="574"/>
      <c r="BB1337" s="574"/>
      <c r="BC1337" s="574"/>
      <c r="BD1337" s="574"/>
      <c r="BE1337" s="574"/>
      <c r="BF1337" s="574"/>
      <c r="BG1337" s="574"/>
      <c r="BH1337" s="574"/>
      <c r="BI1337" s="574"/>
      <c r="BJ1337" s="574"/>
      <c r="BK1337" s="574"/>
      <c r="BL1337" s="574"/>
      <c r="BM1337" s="574"/>
      <c r="BN1337" s="574"/>
      <c r="BO1337" s="574"/>
      <c r="BP1337" s="574"/>
      <c r="BQ1337" s="574"/>
      <c r="BR1337" s="574"/>
      <c r="BS1337" s="574"/>
      <c r="BT1337" s="574"/>
      <c r="BU1337" s="574"/>
      <c r="BV1337" s="574"/>
      <c r="BW1337" s="574"/>
      <c r="BX1337" s="574"/>
      <c r="BY1337" s="574"/>
      <c r="BZ1337" s="574"/>
      <c r="CA1337" s="574"/>
      <c r="CB1337" s="574"/>
      <c r="CC1337" s="574"/>
      <c r="CD1337" s="574"/>
      <c r="CE1337" s="574"/>
      <c r="CF1337" s="574"/>
    </row>
    <row r="1338" spans="1:91" s="583" customFormat="1" ht="23.1" customHeight="1" thickBot="1">
      <c r="A1338" s="1446" t="s">
        <v>1095</v>
      </c>
      <c r="B1338" s="1446"/>
      <c r="C1338" s="1446"/>
      <c r="D1338" s="1446"/>
      <c r="E1338" s="1446"/>
      <c r="F1338" s="1446"/>
      <c r="G1338" s="1447">
        <f>G1323+1</f>
        <v>90</v>
      </c>
      <c r="H1338" s="1447"/>
      <c r="I1338" s="1447"/>
      <c r="J1338" s="1448" t="s">
        <v>1096</v>
      </c>
      <c r="K1338" s="1448"/>
      <c r="L1338" s="574"/>
      <c r="M1338" s="574"/>
      <c r="N1338" s="574"/>
      <c r="O1338" s="574"/>
      <c r="P1338" s="574"/>
      <c r="Q1338" s="574"/>
      <c r="R1338" s="574"/>
      <c r="S1338" s="574"/>
      <c r="T1338" s="574"/>
      <c r="U1338" s="574"/>
      <c r="V1338" s="574"/>
      <c r="W1338" s="574"/>
      <c r="X1338" s="574"/>
      <c r="Y1338" s="574"/>
      <c r="Z1338" s="574"/>
      <c r="AA1338" s="574"/>
      <c r="AB1338" s="574"/>
      <c r="AC1338" s="574"/>
      <c r="AD1338" s="574"/>
      <c r="AE1338" s="574"/>
      <c r="AF1338" s="574"/>
      <c r="AG1338" s="574"/>
      <c r="AH1338" s="574"/>
      <c r="AI1338" s="574"/>
      <c r="AJ1338" s="574"/>
      <c r="AK1338" s="574"/>
      <c r="AL1338" s="574"/>
      <c r="AM1338" s="574"/>
      <c r="AN1338" s="574"/>
      <c r="AO1338" s="574"/>
      <c r="AP1338" s="574"/>
      <c r="AQ1338" s="574"/>
      <c r="AR1338" s="574"/>
      <c r="AS1338" s="574"/>
      <c r="AT1338" s="574"/>
      <c r="AU1338" s="574"/>
      <c r="AV1338" s="574"/>
      <c r="AW1338" s="574"/>
      <c r="AX1338" s="574"/>
      <c r="AY1338" s="574"/>
      <c r="AZ1338" s="574"/>
      <c r="BA1338" s="574"/>
      <c r="BB1338" s="574"/>
      <c r="BC1338" s="574"/>
      <c r="BD1338" s="574"/>
      <c r="BE1338" s="574"/>
      <c r="BF1338" s="574"/>
      <c r="BG1338" s="574"/>
      <c r="BH1338" s="574"/>
      <c r="BI1338" s="574"/>
      <c r="BJ1338" s="574"/>
      <c r="BK1338" s="574"/>
      <c r="BL1338" s="574"/>
      <c r="BM1338" s="574"/>
      <c r="BN1338" s="574"/>
      <c r="BO1338" s="574"/>
      <c r="BP1338" s="574"/>
      <c r="BQ1338" s="574"/>
      <c r="BR1338" s="574"/>
      <c r="BS1338" s="574"/>
      <c r="BT1338" s="574"/>
      <c r="BU1338" s="574"/>
      <c r="BV1338" s="574"/>
      <c r="BW1338" s="574"/>
      <c r="BX1338" s="574"/>
      <c r="BY1338" s="574"/>
      <c r="BZ1338" s="574"/>
      <c r="CA1338" s="574"/>
      <c r="CB1338" s="574"/>
      <c r="CC1338" s="574"/>
      <c r="CD1338" s="574"/>
      <c r="CE1338" s="574"/>
      <c r="CF1338" s="574"/>
    </row>
    <row r="1339" spans="1:91" s="603" customFormat="1" ht="23.1" customHeight="1" thickBot="1">
      <c r="A1339" s="1438" t="s">
        <v>1097</v>
      </c>
      <c r="B1339" s="1439"/>
      <c r="C1339" s="1439"/>
      <c r="D1339" s="1439"/>
      <c r="E1339" s="1439"/>
      <c r="F1339" s="1439"/>
      <c r="G1339" s="1439"/>
      <c r="H1339" s="1439"/>
      <c r="I1339" s="601" t="s">
        <v>556</v>
      </c>
      <c r="J1339" s="601"/>
      <c r="K1339" s="601"/>
      <c r="L1339" s="601"/>
      <c r="M1339" s="601"/>
      <c r="N1339" s="601"/>
      <c r="O1339" s="601"/>
      <c r="P1339" s="601"/>
      <c r="Q1339" s="601"/>
      <c r="R1339" s="601"/>
      <c r="S1339" s="601"/>
      <c r="T1339" s="601"/>
      <c r="U1339" s="601"/>
      <c r="V1339" s="601"/>
      <c r="W1339" s="601"/>
      <c r="X1339" s="601"/>
      <c r="Y1339" s="601"/>
      <c r="Z1339" s="601"/>
      <c r="AA1339" s="601"/>
      <c r="AB1339" s="601"/>
      <c r="AC1339" s="601"/>
      <c r="AD1339" s="601"/>
      <c r="AE1339" s="601"/>
      <c r="AF1339" s="601"/>
      <c r="AG1339" s="601"/>
      <c r="AH1339" s="601"/>
      <c r="AI1339" s="601"/>
      <c r="AJ1339" s="1439" t="s">
        <v>1099</v>
      </c>
      <c r="AK1339" s="1439"/>
      <c r="AL1339" s="1439"/>
      <c r="AM1339" s="1439"/>
      <c r="AN1339" s="1439"/>
      <c r="AO1339" s="1439"/>
      <c r="AP1339" s="1439"/>
      <c r="AQ1339" s="601" t="s">
        <v>1255</v>
      </c>
      <c r="AR1339" s="601"/>
      <c r="AS1339" s="601"/>
      <c r="AT1339" s="601"/>
      <c r="AU1339" s="601"/>
      <c r="AV1339" s="601"/>
      <c r="AW1339" s="601"/>
      <c r="AX1339" s="601"/>
      <c r="AY1339" s="601"/>
      <c r="AZ1339" s="601"/>
      <c r="BA1339" s="601"/>
      <c r="BB1339" s="601"/>
      <c r="BC1339" s="601"/>
      <c r="BD1339" s="601"/>
      <c r="BE1339" s="601"/>
      <c r="BF1339" s="601"/>
      <c r="BG1339" s="601"/>
      <c r="BH1339" s="601"/>
      <c r="BI1339" s="601"/>
      <c r="BJ1339" s="601"/>
      <c r="BK1339" s="601"/>
      <c r="BL1339" s="601"/>
      <c r="BM1339" s="601"/>
      <c r="BN1339" s="601"/>
      <c r="BO1339" s="601"/>
      <c r="BP1339" s="601"/>
      <c r="BQ1339" s="601"/>
      <c r="BR1339" s="601"/>
      <c r="BS1339" s="601"/>
      <c r="BT1339" s="601" t="s">
        <v>1256</v>
      </c>
      <c r="BU1339" s="601"/>
      <c r="BV1339" s="601"/>
      <c r="BW1339" s="601"/>
      <c r="BX1339" s="601"/>
      <c r="BY1339" s="601"/>
      <c r="BZ1339" s="601"/>
      <c r="CA1339" s="601"/>
      <c r="CB1339" s="601"/>
      <c r="CC1339" s="601"/>
      <c r="CD1339" s="601"/>
      <c r="CE1339" s="601"/>
      <c r="CF1339" s="602"/>
    </row>
    <row r="1340" spans="1:91" s="583" customFormat="1" ht="23.1" customHeight="1">
      <c r="A1340" s="584"/>
      <c r="B1340" s="585" t="s">
        <v>1102</v>
      </c>
      <c r="C1340" s="585"/>
      <c r="D1340" s="585"/>
      <c r="E1340" s="585"/>
      <c r="F1340" s="585"/>
      <c r="G1340" s="585"/>
      <c r="H1340" s="585"/>
      <c r="I1340" s="585"/>
      <c r="J1340" s="585"/>
      <c r="K1340" s="585"/>
      <c r="L1340" s="585"/>
      <c r="M1340" s="585"/>
      <c r="N1340" s="585"/>
      <c r="O1340" s="585"/>
      <c r="P1340" s="585"/>
      <c r="Q1340" s="585"/>
      <c r="R1340" s="585"/>
      <c r="S1340" s="585"/>
      <c r="T1340" s="585"/>
      <c r="U1340" s="585"/>
      <c r="V1340" s="585"/>
      <c r="W1340" s="585"/>
      <c r="X1340" s="585"/>
      <c r="Y1340" s="585"/>
      <c r="Z1340" s="585"/>
      <c r="AA1340" s="585"/>
      <c r="AB1340" s="585"/>
      <c r="AC1340" s="585"/>
      <c r="AD1340" s="585"/>
      <c r="AE1340" s="585"/>
      <c r="AF1340" s="585"/>
      <c r="AG1340" s="585"/>
      <c r="AH1340" s="585"/>
      <c r="AI1340" s="585"/>
      <c r="AJ1340" s="585"/>
      <c r="AK1340" s="585"/>
      <c r="AL1340" s="585"/>
      <c r="AM1340" s="585"/>
      <c r="AN1340" s="585"/>
      <c r="AO1340" s="585"/>
      <c r="AP1340" s="585"/>
      <c r="AQ1340" s="585"/>
      <c r="AR1340" s="585"/>
      <c r="AS1340" s="585"/>
      <c r="AT1340" s="585"/>
      <c r="AU1340" s="585"/>
      <c r="AV1340" s="585"/>
      <c r="AW1340" s="585"/>
      <c r="AX1340" s="585"/>
      <c r="AY1340" s="585"/>
      <c r="AZ1340" s="585"/>
      <c r="BA1340" s="585"/>
      <c r="BB1340" s="585"/>
      <c r="BC1340" s="585"/>
      <c r="BD1340" s="585"/>
      <c r="BE1340" s="585"/>
      <c r="BF1340" s="585"/>
      <c r="BG1340" s="585"/>
      <c r="BH1340" s="585"/>
      <c r="BI1340" s="585"/>
      <c r="BJ1340" s="585"/>
      <c r="BK1340" s="585"/>
      <c r="BL1340" s="585"/>
      <c r="BM1340" s="585"/>
      <c r="BN1340" s="585"/>
      <c r="BO1340" s="585"/>
      <c r="BP1340" s="585"/>
      <c r="BQ1340" s="585"/>
      <c r="BR1340" s="585"/>
      <c r="BS1340" s="585"/>
      <c r="BT1340" s="585"/>
      <c r="BU1340" s="585"/>
      <c r="BV1340" s="585"/>
      <c r="BW1340" s="585"/>
      <c r="BX1340" s="585"/>
      <c r="BY1340" s="585"/>
      <c r="BZ1340" s="585"/>
      <c r="CA1340" s="585"/>
      <c r="CB1340" s="585"/>
      <c r="CC1340" s="585"/>
      <c r="CD1340" s="585"/>
      <c r="CE1340" s="585"/>
      <c r="CF1340" s="586"/>
    </row>
    <row r="1341" spans="1:91" s="583" customFormat="1" ht="23.1" customHeight="1">
      <c r="A1341" s="587"/>
      <c r="B1341" s="574"/>
      <c r="C1341" s="574"/>
      <c r="D1341" s="405"/>
      <c r="E1341" s="574"/>
      <c r="F1341" s="422"/>
      <c r="G1341" s="422"/>
      <c r="H1341" s="422"/>
      <c r="I1341" s="422"/>
      <c r="J1341" s="422"/>
      <c r="K1341" s="422"/>
      <c r="L1341" s="422"/>
      <c r="M1341" s="422"/>
      <c r="N1341" s="574"/>
      <c r="O1341" s="574"/>
      <c r="P1341" s="574"/>
      <c r="Q1341" s="574"/>
      <c r="R1341" s="574"/>
      <c r="S1341" s="588"/>
      <c r="T1341" s="588"/>
      <c r="U1341" s="588"/>
      <c r="V1341" s="588"/>
      <c r="W1341" s="588"/>
      <c r="X1341" s="588"/>
      <c r="Y1341" s="588"/>
      <c r="Z1341" s="588"/>
      <c r="AA1341" s="574"/>
      <c r="AB1341" s="588"/>
      <c r="AC1341" s="585"/>
      <c r="AD1341" s="585"/>
      <c r="AE1341" s="600"/>
      <c r="AF1341" s="600"/>
      <c r="AG1341" s="600"/>
      <c r="AH1341" s="600"/>
      <c r="AI1341" s="600"/>
      <c r="AJ1341" s="600"/>
      <c r="AK1341" s="600"/>
      <c r="AL1341" s="600"/>
      <c r="AM1341" s="585"/>
      <c r="AN1341" s="585"/>
      <c r="AO1341" s="574"/>
      <c r="AP1341" s="430"/>
      <c r="AQ1341" s="430"/>
      <c r="AR1341" s="430"/>
      <c r="AS1341" s="430"/>
      <c r="AT1341" s="430"/>
      <c r="AU1341" s="430"/>
      <c r="AV1341" s="430"/>
      <c r="AW1341" s="430"/>
      <c r="AX1341" s="430"/>
      <c r="AY1341" s="430"/>
      <c r="AZ1341" s="430"/>
      <c r="BA1341" s="430"/>
      <c r="BB1341" s="430"/>
      <c r="BC1341" s="430"/>
      <c r="BD1341" s="574"/>
      <c r="BE1341" s="574"/>
      <c r="BF1341" s="574"/>
      <c r="BG1341" s="574"/>
      <c r="BH1341" s="574"/>
      <c r="BI1341" s="574"/>
      <c r="BJ1341" s="574"/>
      <c r="BK1341" s="574"/>
      <c r="BL1341" s="574"/>
      <c r="BM1341" s="574"/>
      <c r="BN1341" s="574"/>
      <c r="BO1341" s="574"/>
      <c r="BP1341" s="574"/>
      <c r="BQ1341" s="574"/>
      <c r="BR1341" s="574"/>
      <c r="BS1341" s="574"/>
      <c r="BT1341" s="574"/>
      <c r="BU1341" s="574"/>
      <c r="BV1341" s="574"/>
      <c r="BW1341" s="574"/>
      <c r="BX1341" s="574"/>
      <c r="BY1341" s="574"/>
      <c r="BZ1341" s="574"/>
      <c r="CA1341" s="574"/>
      <c r="CB1341" s="574"/>
      <c r="CC1341" s="574"/>
      <c r="CD1341" s="574"/>
      <c r="CE1341" s="574"/>
      <c r="CF1341" s="589"/>
    </row>
    <row r="1342" spans="1:91" s="583" customFormat="1" ht="23.1" customHeight="1">
      <c r="A1342" s="584"/>
      <c r="B1342" s="585"/>
      <c r="C1342" s="585"/>
      <c r="D1342" s="585"/>
      <c r="E1342" s="585"/>
      <c r="F1342" s="585"/>
      <c r="G1342" s="585"/>
      <c r="H1342" s="585"/>
      <c r="I1342" s="585"/>
      <c r="J1342" s="585"/>
      <c r="K1342" s="585"/>
      <c r="L1342" s="585"/>
      <c r="M1342" s="585"/>
      <c r="N1342" s="585"/>
      <c r="O1342" s="585"/>
      <c r="P1342" s="585"/>
      <c r="Q1342" s="585"/>
      <c r="R1342" s="585"/>
      <c r="S1342" s="585"/>
      <c r="T1342" s="585"/>
      <c r="U1342" s="585"/>
      <c r="V1342" s="590"/>
      <c r="W1342" s="590"/>
      <c r="X1342" s="590"/>
      <c r="Y1342" s="590"/>
      <c r="Z1342" s="590"/>
      <c r="AA1342" s="590"/>
      <c r="AB1342" s="590"/>
      <c r="AC1342" s="590"/>
      <c r="AD1342" s="574"/>
      <c r="AE1342" s="1440">
        <v>922000</v>
      </c>
      <c r="AF1342" s="1440"/>
      <c r="AG1342" s="1440"/>
      <c r="AH1342" s="1440"/>
      <c r="AI1342" s="1440"/>
      <c r="AJ1342" s="1440"/>
      <c r="AK1342" s="1440"/>
      <c r="AL1342" s="1440"/>
      <c r="AM1342" s="1440"/>
      <c r="AN1342" s="1440"/>
      <c r="AO1342" s="1440"/>
      <c r="AP1342" s="1440"/>
      <c r="AQ1342" s="1440"/>
      <c r="AR1342" s="1440"/>
      <c r="AS1342" s="1440"/>
      <c r="AT1342" s="1431" t="s">
        <v>446</v>
      </c>
      <c r="AU1342" s="1431"/>
      <c r="AV1342" s="1441" t="s">
        <v>1103</v>
      </c>
      <c r="AW1342" s="1441"/>
      <c r="AX1342" s="1442">
        <v>2799</v>
      </c>
      <c r="AY1342" s="1442"/>
      <c r="AZ1342" s="1442"/>
      <c r="BA1342" s="1442"/>
      <c r="BB1342" s="1442"/>
      <c r="BC1342" s="1442"/>
      <c r="BD1342" s="585"/>
      <c r="BE1342" s="1431" t="s">
        <v>446</v>
      </c>
      <c r="BF1342" s="1431"/>
      <c r="BG1342" s="585"/>
      <c r="BH1342" s="591" t="s">
        <v>1104</v>
      </c>
      <c r="BI1342" s="585"/>
      <c r="BJ1342" s="585"/>
      <c r="BK1342" s="585"/>
      <c r="BL1342" s="1431" t="s">
        <v>1105</v>
      </c>
      <c r="BM1342" s="1431"/>
      <c r="BN1342" s="1431"/>
      <c r="BO1342" s="585"/>
      <c r="BP1342" s="1431" t="s">
        <v>41</v>
      </c>
      <c r="BQ1342" s="1431"/>
      <c r="BR1342" s="585"/>
      <c r="BS1342" s="585"/>
      <c r="BT1342" s="1437">
        <f>INT(AE1342*AX1342*10^-7)</f>
        <v>258</v>
      </c>
      <c r="BU1342" s="1437"/>
      <c r="BV1342" s="1437"/>
      <c r="BW1342" s="1437"/>
      <c r="BX1342" s="1437"/>
      <c r="BY1342" s="1437"/>
      <c r="BZ1342" s="1437"/>
      <c r="CA1342" s="1437"/>
      <c r="CB1342" s="1437"/>
      <c r="CC1342" s="1437"/>
      <c r="CD1342" s="585"/>
      <c r="CE1342" s="585"/>
      <c r="CF1342" s="586"/>
    </row>
    <row r="1343" spans="1:91" s="583" customFormat="1" ht="23.1" customHeight="1">
      <c r="A1343" s="592"/>
      <c r="B1343" s="593" t="s">
        <v>1106</v>
      </c>
      <c r="C1343" s="593"/>
      <c r="D1343" s="593"/>
      <c r="E1343" s="593"/>
      <c r="F1343" s="593"/>
      <c r="G1343" s="593"/>
      <c r="H1343" s="593"/>
      <c r="I1343" s="593"/>
      <c r="J1343" s="593"/>
      <c r="K1343" s="593"/>
      <c r="L1343" s="593"/>
      <c r="M1343" s="593"/>
      <c r="N1343" s="593"/>
      <c r="O1343" s="593"/>
      <c r="P1343" s="593"/>
      <c r="Q1343" s="593"/>
      <c r="R1343" s="593"/>
      <c r="S1343" s="593"/>
      <c r="T1343" s="593"/>
      <c r="U1343" s="593"/>
      <c r="V1343" s="593"/>
      <c r="W1343" s="593"/>
      <c r="X1343" s="593"/>
      <c r="Y1343" s="593"/>
      <c r="Z1343" s="593"/>
      <c r="AA1343" s="593"/>
      <c r="AB1343" s="593"/>
      <c r="AC1343" s="593"/>
      <c r="AD1343" s="593"/>
      <c r="AE1343" s="593"/>
      <c r="AF1343" s="593"/>
      <c r="AG1343" s="593"/>
      <c r="AH1343" s="593"/>
      <c r="AI1343" s="593"/>
      <c r="AJ1343" s="593"/>
      <c r="AK1343" s="593"/>
      <c r="AL1343" s="593"/>
      <c r="AM1343" s="593"/>
      <c r="AN1343" s="593"/>
      <c r="AO1343" s="593"/>
      <c r="AP1343" s="593"/>
      <c r="AQ1343" s="593"/>
      <c r="AR1343" s="593"/>
      <c r="AS1343" s="593"/>
      <c r="AT1343" s="593"/>
      <c r="AU1343" s="593"/>
      <c r="AV1343" s="593"/>
      <c r="AW1343" s="593"/>
      <c r="AX1343" s="593"/>
      <c r="AY1343" s="593"/>
      <c r="AZ1343" s="593"/>
      <c r="BA1343" s="593"/>
      <c r="BB1343" s="593"/>
      <c r="BC1343" s="593"/>
      <c r="BD1343" s="593"/>
      <c r="BE1343" s="593"/>
      <c r="BF1343" s="593"/>
      <c r="BG1343" s="593"/>
      <c r="BH1343" s="593"/>
      <c r="BI1343" s="593"/>
      <c r="BJ1343" s="593"/>
      <c r="BK1343" s="593"/>
      <c r="BL1343" s="593"/>
      <c r="BM1343" s="593"/>
      <c r="BN1343" s="593"/>
      <c r="BO1343" s="593"/>
      <c r="BP1343" s="593"/>
      <c r="BQ1343" s="593"/>
      <c r="BR1343" s="593"/>
      <c r="BS1343" s="593"/>
      <c r="BT1343" s="594"/>
      <c r="BU1343" s="594"/>
      <c r="BV1343" s="594"/>
      <c r="BW1343" s="594"/>
      <c r="BX1343" s="594"/>
      <c r="BY1343" s="594"/>
      <c r="BZ1343" s="594"/>
      <c r="CA1343" s="594"/>
      <c r="CB1343" s="594"/>
      <c r="CC1343" s="594"/>
      <c r="CD1343" s="593"/>
      <c r="CE1343" s="593"/>
      <c r="CF1343" s="595"/>
      <c r="CL1343" s="583">
        <v>1.2</v>
      </c>
      <c r="CM1343" s="583">
        <v>250</v>
      </c>
    </row>
    <row r="1344" spans="1:91" s="583" customFormat="1" ht="23.1" customHeight="1">
      <c r="A1344" s="584"/>
      <c r="B1344" s="585"/>
      <c r="C1344" s="585"/>
      <c r="D1344" s="596" t="s">
        <v>1257</v>
      </c>
      <c r="E1344" s="585"/>
      <c r="F1344" s="585"/>
      <c r="G1344" s="585"/>
      <c r="H1344" s="585"/>
      <c r="I1344" s="585"/>
      <c r="J1344" s="585"/>
      <c r="K1344" s="585"/>
      <c r="L1344" s="585"/>
      <c r="M1344" s="585"/>
      <c r="N1344" s="585"/>
      <c r="O1344" s="585"/>
      <c r="P1344" s="585"/>
      <c r="Q1344" s="585"/>
      <c r="R1344" s="585"/>
      <c r="S1344" s="585"/>
      <c r="T1344" s="574"/>
      <c r="U1344" s="574"/>
      <c r="V1344" s="1430">
        <v>0</v>
      </c>
      <c r="W1344" s="1430"/>
      <c r="X1344" s="1430"/>
      <c r="Y1344" s="1430"/>
      <c r="Z1344" s="1430"/>
      <c r="AA1344" s="1430"/>
      <c r="AB1344" s="1430"/>
      <c r="AC1344" s="1430"/>
      <c r="AD1344" s="1430"/>
      <c r="AE1344" s="1430"/>
      <c r="AF1344" s="1431" t="s">
        <v>446</v>
      </c>
      <c r="AG1344" s="1431"/>
      <c r="AH1344" s="574"/>
      <c r="AI1344" s="1436" t="s">
        <v>1107</v>
      </c>
      <c r="AJ1344" s="1436"/>
      <c r="AK1344" s="1436"/>
      <c r="AL1344" s="1436"/>
      <c r="AM1344" s="585"/>
      <c r="AN1344" s="1431" t="s">
        <v>446</v>
      </c>
      <c r="AO1344" s="1431"/>
      <c r="AP1344" s="585"/>
      <c r="AQ1344" s="1436" t="s">
        <v>1108</v>
      </c>
      <c r="AR1344" s="1436"/>
      <c r="AS1344" s="1436"/>
      <c r="AT1344" s="1436"/>
      <c r="AU1344" s="1436"/>
      <c r="AV1344" s="422"/>
      <c r="AW1344" s="1431" t="s">
        <v>446</v>
      </c>
      <c r="AX1344" s="1431"/>
      <c r="AY1344" s="440"/>
      <c r="AZ1344" s="1436" t="s">
        <v>1109</v>
      </c>
      <c r="BA1344" s="1436"/>
      <c r="BB1344" s="1436"/>
      <c r="BC1344" s="1436"/>
      <c r="BD1344" s="1436"/>
      <c r="BE1344" s="585"/>
      <c r="BF1344" s="1431" t="s">
        <v>446</v>
      </c>
      <c r="BG1344" s="1431"/>
      <c r="BH1344" s="1431">
        <v>1</v>
      </c>
      <c r="BI1344" s="1431"/>
      <c r="BJ1344" s="1431"/>
      <c r="BK1344" s="585"/>
      <c r="BL1344" s="585" t="s">
        <v>366</v>
      </c>
      <c r="BM1344" s="585"/>
      <c r="BN1344" s="585"/>
      <c r="BO1344" s="585"/>
      <c r="BP1344" s="1431" t="s">
        <v>41</v>
      </c>
      <c r="BQ1344" s="1431"/>
      <c r="BR1344" s="585"/>
      <c r="BS1344" s="585"/>
      <c r="BT1344" s="1432">
        <f>INT(V1344/8*16/12*25/20*BH1344)</f>
        <v>0</v>
      </c>
      <c r="BU1344" s="1432"/>
      <c r="BV1344" s="1432"/>
      <c r="BW1344" s="1432"/>
      <c r="BX1344" s="1432"/>
      <c r="BY1344" s="1432"/>
      <c r="BZ1344" s="1432"/>
      <c r="CA1344" s="1432"/>
      <c r="CB1344" s="1432"/>
      <c r="CC1344" s="1432"/>
      <c r="CD1344" s="585"/>
      <c r="CE1344" s="585"/>
      <c r="CF1344" s="586"/>
    </row>
    <row r="1345" spans="1:84" s="583" customFormat="1" ht="23.1" customHeight="1">
      <c r="A1345" s="584"/>
      <c r="B1345" s="585"/>
      <c r="C1345" s="585"/>
      <c r="D1345" s="585"/>
      <c r="E1345" s="585"/>
      <c r="F1345" s="585"/>
      <c r="G1345" s="585"/>
      <c r="H1345" s="585"/>
      <c r="I1345" s="585"/>
      <c r="J1345" s="585"/>
      <c r="K1345" s="585"/>
      <c r="L1345" s="585"/>
      <c r="M1345" s="585"/>
      <c r="N1345" s="585"/>
      <c r="O1345" s="585"/>
      <c r="P1345" s="574"/>
      <c r="Q1345" s="574"/>
      <c r="R1345" s="574"/>
      <c r="S1345" s="574"/>
      <c r="T1345" s="574"/>
      <c r="U1345" s="574"/>
      <c r="V1345" s="574"/>
      <c r="W1345" s="574"/>
      <c r="X1345" s="574"/>
      <c r="Y1345" s="574"/>
      <c r="Z1345" s="574"/>
      <c r="AA1345" s="574"/>
      <c r="AB1345" s="574"/>
      <c r="AC1345" s="574"/>
      <c r="AD1345" s="574"/>
      <c r="AE1345" s="574"/>
      <c r="AF1345" s="574"/>
      <c r="AG1345" s="574"/>
      <c r="AH1345" s="574"/>
      <c r="AI1345" s="574"/>
      <c r="AJ1345" s="574"/>
      <c r="AK1345" s="574"/>
      <c r="AL1345" s="574"/>
      <c r="AM1345" s="574"/>
      <c r="AN1345" s="574"/>
      <c r="AO1345" s="574"/>
      <c r="AP1345" s="574"/>
      <c r="AQ1345" s="574"/>
      <c r="AR1345" s="574"/>
      <c r="AS1345" s="574"/>
      <c r="AT1345" s="574"/>
      <c r="AU1345" s="574"/>
      <c r="AV1345" s="574"/>
      <c r="AW1345" s="574"/>
      <c r="AX1345" s="574"/>
      <c r="AY1345" s="574"/>
      <c r="AZ1345" s="574"/>
      <c r="BA1345" s="574"/>
      <c r="BB1345" s="574"/>
      <c r="BC1345" s="574"/>
      <c r="BD1345" s="574"/>
      <c r="BE1345" s="574"/>
      <c r="BF1345" s="574"/>
      <c r="BG1345" s="585"/>
      <c r="BH1345" s="585"/>
      <c r="BI1345" s="585"/>
      <c r="BJ1345" s="585"/>
      <c r="BK1345" s="585"/>
      <c r="BL1345" s="585"/>
      <c r="BM1345" s="585"/>
      <c r="BN1345" s="585"/>
      <c r="BO1345" s="585"/>
      <c r="BP1345" s="1431"/>
      <c r="BQ1345" s="1431"/>
      <c r="BR1345" s="585"/>
      <c r="BS1345" s="585"/>
      <c r="BT1345" s="1432"/>
      <c r="BU1345" s="1432"/>
      <c r="BV1345" s="1432"/>
      <c r="BW1345" s="1432"/>
      <c r="BX1345" s="1432"/>
      <c r="BY1345" s="1432"/>
      <c r="BZ1345" s="1432"/>
      <c r="CA1345" s="1432"/>
      <c r="CB1345" s="1432"/>
      <c r="CC1345" s="1432"/>
      <c r="CD1345" s="585"/>
      <c r="CE1345" s="585"/>
      <c r="CF1345" s="586"/>
    </row>
    <row r="1346" spans="1:84" s="583" customFormat="1" ht="23.1" customHeight="1">
      <c r="A1346" s="584"/>
      <c r="B1346" s="585"/>
      <c r="C1346" s="585"/>
      <c r="D1346" s="585"/>
      <c r="E1346" s="585"/>
      <c r="F1346" s="585"/>
      <c r="G1346" s="585"/>
      <c r="H1346" s="585"/>
      <c r="I1346" s="585"/>
      <c r="J1346" s="585"/>
      <c r="K1346" s="585"/>
      <c r="L1346" s="585"/>
      <c r="M1346" s="585"/>
      <c r="N1346" s="585"/>
      <c r="O1346" s="585"/>
      <c r="P1346" s="585"/>
      <c r="Q1346" s="585"/>
      <c r="R1346" s="585"/>
      <c r="S1346" s="585"/>
      <c r="T1346" s="585"/>
      <c r="U1346" s="585"/>
      <c r="V1346" s="585"/>
      <c r="W1346" s="585"/>
      <c r="X1346" s="585"/>
      <c r="Y1346" s="585"/>
      <c r="Z1346" s="585"/>
      <c r="AA1346" s="585"/>
      <c r="AB1346" s="585"/>
      <c r="AC1346" s="585"/>
      <c r="AD1346" s="574"/>
      <c r="AE1346" s="574"/>
      <c r="AF1346" s="574"/>
      <c r="AG1346" s="574"/>
      <c r="AH1346" s="574"/>
      <c r="AI1346" s="574"/>
      <c r="AJ1346" s="574"/>
      <c r="AK1346" s="574"/>
      <c r="AL1346" s="574"/>
      <c r="AM1346" s="574"/>
      <c r="AN1346" s="574"/>
      <c r="AO1346" s="574"/>
      <c r="AP1346" s="574"/>
      <c r="AQ1346" s="574"/>
      <c r="AR1346" s="574"/>
      <c r="AS1346" s="585"/>
      <c r="AT1346" s="590"/>
      <c r="AU1346" s="590"/>
      <c r="AV1346" s="585"/>
      <c r="AW1346" s="585"/>
      <c r="AX1346" s="585"/>
      <c r="AY1346" s="585"/>
      <c r="AZ1346" s="585"/>
      <c r="BA1346" s="585"/>
      <c r="BB1346" s="585"/>
      <c r="BC1346" s="585"/>
      <c r="BD1346" s="585"/>
      <c r="BE1346" s="585"/>
      <c r="BF1346" s="585"/>
      <c r="BG1346" s="585"/>
      <c r="BH1346" s="585"/>
      <c r="BI1346" s="585"/>
      <c r="BJ1346" s="585"/>
      <c r="BK1346" s="585"/>
      <c r="BL1346" s="585"/>
      <c r="BM1346" s="585"/>
      <c r="BN1346" s="585"/>
      <c r="BO1346" s="585"/>
      <c r="BP1346" s="1431" t="s">
        <v>41</v>
      </c>
      <c r="BQ1346" s="1431"/>
      <c r="BR1346" s="585"/>
      <c r="BS1346" s="585"/>
      <c r="BT1346" s="1434">
        <f>BT1344+BT1345</f>
        <v>0</v>
      </c>
      <c r="BU1346" s="1434"/>
      <c r="BV1346" s="1434"/>
      <c r="BW1346" s="1434"/>
      <c r="BX1346" s="1434"/>
      <c r="BY1346" s="1434"/>
      <c r="BZ1346" s="1434"/>
      <c r="CA1346" s="1434"/>
      <c r="CB1346" s="1434"/>
      <c r="CC1346" s="1434"/>
      <c r="CD1346" s="585"/>
      <c r="CE1346" s="585"/>
      <c r="CF1346" s="586"/>
    </row>
    <row r="1347" spans="1:84" s="583" customFormat="1" ht="23.1" customHeight="1">
      <c r="A1347" s="592"/>
      <c r="B1347" s="593" t="s">
        <v>1110</v>
      </c>
      <c r="C1347" s="593"/>
      <c r="D1347" s="593"/>
      <c r="E1347" s="593"/>
      <c r="F1347" s="593"/>
      <c r="G1347" s="593"/>
      <c r="H1347" s="593"/>
      <c r="I1347" s="593"/>
      <c r="J1347" s="593"/>
      <c r="K1347" s="593"/>
      <c r="L1347" s="593"/>
      <c r="M1347" s="593"/>
      <c r="N1347" s="593"/>
      <c r="O1347" s="593"/>
      <c r="P1347" s="593"/>
      <c r="Q1347" s="593"/>
      <c r="R1347" s="593"/>
      <c r="S1347" s="593"/>
      <c r="T1347" s="593"/>
      <c r="U1347" s="593"/>
      <c r="V1347" s="593"/>
      <c r="W1347" s="593"/>
      <c r="X1347" s="593"/>
      <c r="Y1347" s="593"/>
      <c r="Z1347" s="593"/>
      <c r="AA1347" s="593"/>
      <c r="AB1347" s="593"/>
      <c r="AC1347" s="593"/>
      <c r="AD1347" s="593"/>
      <c r="AE1347" s="593"/>
      <c r="AF1347" s="593"/>
      <c r="AG1347" s="593"/>
      <c r="AH1347" s="593"/>
      <c r="AI1347" s="593"/>
      <c r="AJ1347" s="593"/>
      <c r="AK1347" s="593"/>
      <c r="AL1347" s="593"/>
      <c r="AM1347" s="593"/>
      <c r="AN1347" s="593"/>
      <c r="AO1347" s="593"/>
      <c r="AP1347" s="593"/>
      <c r="AQ1347" s="593"/>
      <c r="AR1347" s="593"/>
      <c r="AS1347" s="593"/>
      <c r="AT1347" s="593"/>
      <c r="AU1347" s="593"/>
      <c r="AV1347" s="593"/>
      <c r="AW1347" s="593"/>
      <c r="AX1347" s="593"/>
      <c r="AY1347" s="593"/>
      <c r="AZ1347" s="593"/>
      <c r="BA1347" s="593"/>
      <c r="BB1347" s="593"/>
      <c r="BC1347" s="593"/>
      <c r="BD1347" s="593"/>
      <c r="BE1347" s="593"/>
      <c r="BF1347" s="593"/>
      <c r="BG1347" s="593"/>
      <c r="BH1347" s="593"/>
      <c r="BI1347" s="593"/>
      <c r="BJ1347" s="593"/>
      <c r="BK1347" s="593"/>
      <c r="BL1347" s="593"/>
      <c r="BM1347" s="593"/>
      <c r="BN1347" s="593"/>
      <c r="BO1347" s="593"/>
      <c r="BP1347" s="593"/>
      <c r="BQ1347" s="593"/>
      <c r="BR1347" s="593"/>
      <c r="BS1347" s="593"/>
      <c r="BT1347" s="593"/>
      <c r="BU1347" s="593"/>
      <c r="BV1347" s="593"/>
      <c r="BW1347" s="593"/>
      <c r="BX1347" s="593"/>
      <c r="BY1347" s="593"/>
      <c r="BZ1347" s="593"/>
      <c r="CA1347" s="593"/>
      <c r="CB1347" s="593"/>
      <c r="CC1347" s="593"/>
      <c r="CD1347" s="593"/>
      <c r="CE1347" s="593"/>
      <c r="CF1347" s="595"/>
    </row>
    <row r="1348" spans="1:84" s="583" customFormat="1" ht="23.1" customHeight="1">
      <c r="A1348" s="584"/>
      <c r="B1348" s="585"/>
      <c r="C1348" s="585"/>
      <c r="D1348" s="596" t="s">
        <v>42</v>
      </c>
      <c r="E1348" s="585"/>
      <c r="F1348" s="585"/>
      <c r="G1348" s="585"/>
      <c r="H1348" s="585"/>
      <c r="I1348" s="585"/>
      <c r="J1348" s="585"/>
      <c r="K1348" s="585"/>
      <c r="L1348" s="585"/>
      <c r="M1348" s="585"/>
      <c r="N1348" s="585"/>
      <c r="O1348" s="585"/>
      <c r="P1348" s="585"/>
      <c r="Q1348" s="585"/>
      <c r="R1348" s="585"/>
      <c r="S1348" s="585"/>
      <c r="T1348" s="585"/>
      <c r="U1348" s="585"/>
      <c r="V1348" s="585"/>
      <c r="W1348" s="585"/>
      <c r="X1348" s="585"/>
      <c r="Y1348" s="585"/>
      <c r="Z1348" s="585"/>
      <c r="AA1348" s="585"/>
      <c r="AB1348" s="585"/>
      <c r="AC1348" s="585"/>
      <c r="AD1348" s="585"/>
      <c r="AE1348" s="585"/>
      <c r="AF1348" s="585"/>
      <c r="AG1348" s="585"/>
      <c r="AH1348" s="585"/>
      <c r="AI1348" s="585"/>
      <c r="AJ1348" s="585"/>
      <c r="AK1348" s="585"/>
      <c r="AL1348" s="585"/>
      <c r="AM1348" s="585"/>
      <c r="AN1348" s="585"/>
      <c r="AO1348" s="585"/>
      <c r="AP1348" s="585"/>
      <c r="AQ1348" s="585"/>
      <c r="AR1348" s="422"/>
      <c r="AS1348" s="1435" t="e">
        <f>HLOOKUP(D1348,$CN$1:$CO$3,3,0)</f>
        <v>#REF!</v>
      </c>
      <c r="AT1348" s="1435"/>
      <c r="AU1348" s="1435"/>
      <c r="AV1348" s="1435"/>
      <c r="AW1348" s="1435"/>
      <c r="AX1348" s="1435"/>
      <c r="AY1348" s="1435"/>
      <c r="AZ1348" s="1435"/>
      <c r="BA1348" s="1435"/>
      <c r="BB1348" s="1435"/>
      <c r="BC1348" s="585"/>
      <c r="BD1348" s="1431" t="s">
        <v>446</v>
      </c>
      <c r="BE1348" s="1431"/>
      <c r="BF1348" s="585"/>
      <c r="BG1348" s="1431">
        <v>1.3</v>
      </c>
      <c r="BH1348" s="1431"/>
      <c r="BI1348" s="1431"/>
      <c r="BJ1348" s="1431"/>
      <c r="BK1348" s="1431"/>
      <c r="BL1348" s="585" t="s">
        <v>1111</v>
      </c>
      <c r="BM1348" s="585"/>
      <c r="BN1348" s="585"/>
      <c r="BO1348" s="585"/>
      <c r="BP1348" s="1431" t="s">
        <v>41</v>
      </c>
      <c r="BQ1348" s="1431"/>
      <c r="BR1348" s="585"/>
      <c r="BS1348" s="585"/>
      <c r="BT1348" s="1432" t="e">
        <f>INT(AS1348*BG1348)</f>
        <v>#REF!</v>
      </c>
      <c r="BU1348" s="1432"/>
      <c r="BV1348" s="1432"/>
      <c r="BW1348" s="1432"/>
      <c r="BX1348" s="1432"/>
      <c r="BY1348" s="1432"/>
      <c r="BZ1348" s="1432"/>
      <c r="CA1348" s="1432"/>
      <c r="CB1348" s="1432"/>
      <c r="CC1348" s="1432"/>
      <c r="CD1348" s="585"/>
      <c r="CE1348" s="585"/>
      <c r="CF1348" s="586"/>
    </row>
    <row r="1349" spans="1:84" s="583" customFormat="1" ht="23.1" customHeight="1">
      <c r="A1349" s="584"/>
      <c r="B1349" s="585"/>
      <c r="C1349" s="585"/>
      <c r="D1349" s="591" t="str">
        <f>"잡재료 (주연료의 "&amp;BG1349&amp;"%) :"</f>
        <v>잡재료 (주연료의 20%) :</v>
      </c>
      <c r="E1349" s="585"/>
      <c r="F1349" s="585"/>
      <c r="G1349" s="585"/>
      <c r="H1349" s="585"/>
      <c r="I1349" s="585"/>
      <c r="J1349" s="585"/>
      <c r="K1349" s="585"/>
      <c r="L1349" s="585"/>
      <c r="M1349" s="585"/>
      <c r="N1349" s="585"/>
      <c r="O1349" s="585"/>
      <c r="P1349" s="585"/>
      <c r="Q1349" s="585"/>
      <c r="R1349" s="585"/>
      <c r="S1349" s="585"/>
      <c r="T1349" s="585"/>
      <c r="U1349" s="585"/>
      <c r="V1349" s="585"/>
      <c r="W1349" s="585"/>
      <c r="X1349" s="585"/>
      <c r="Y1349" s="585"/>
      <c r="Z1349" s="585"/>
      <c r="AA1349" s="585"/>
      <c r="AB1349" s="585"/>
      <c r="AC1349" s="585"/>
      <c r="AD1349" s="585"/>
      <c r="AE1349" s="585"/>
      <c r="AF1349" s="585"/>
      <c r="AG1349" s="585"/>
      <c r="AH1349" s="585"/>
      <c r="AI1349" s="585"/>
      <c r="AJ1349" s="585"/>
      <c r="AK1349" s="585"/>
      <c r="AL1349" s="585"/>
      <c r="AM1349" s="585"/>
      <c r="AN1349" s="585"/>
      <c r="AO1349" s="585"/>
      <c r="AP1349" s="585"/>
      <c r="AQ1349" s="585"/>
      <c r="AR1349" s="422" t="e">
        <f>BT1348</f>
        <v>#REF!</v>
      </c>
      <c r="AS1349" s="1430" t="e">
        <f>BT1348</f>
        <v>#REF!</v>
      </c>
      <c r="AT1349" s="1430"/>
      <c r="AU1349" s="1430"/>
      <c r="AV1349" s="1430"/>
      <c r="AW1349" s="1430"/>
      <c r="AX1349" s="1430"/>
      <c r="AY1349" s="1430"/>
      <c r="AZ1349" s="1430"/>
      <c r="BA1349" s="1430"/>
      <c r="BB1349" s="1430"/>
      <c r="BC1349" s="585"/>
      <c r="BD1349" s="1431" t="s">
        <v>446</v>
      </c>
      <c r="BE1349" s="1431"/>
      <c r="BF1349" s="585"/>
      <c r="BG1349" s="1431">
        <v>20</v>
      </c>
      <c r="BH1349" s="1431"/>
      <c r="BI1349" s="1431"/>
      <c r="BJ1349" s="1431"/>
      <c r="BK1349" s="1431"/>
      <c r="BL1349" s="585" t="s">
        <v>1112</v>
      </c>
      <c r="BM1349" s="585"/>
      <c r="BN1349" s="585"/>
      <c r="BO1349" s="585"/>
      <c r="BP1349" s="1431" t="s">
        <v>41</v>
      </c>
      <c r="BQ1349" s="1431"/>
      <c r="BR1349" s="585"/>
      <c r="BS1349" s="585"/>
      <c r="BT1349" s="1432" t="e">
        <f>INT(AS1349*BG1349/100)</f>
        <v>#REF!</v>
      </c>
      <c r="BU1349" s="1432"/>
      <c r="BV1349" s="1432"/>
      <c r="BW1349" s="1432"/>
      <c r="BX1349" s="1432"/>
      <c r="BY1349" s="1432"/>
      <c r="BZ1349" s="1432"/>
      <c r="CA1349" s="1432"/>
      <c r="CB1349" s="1432"/>
      <c r="CC1349" s="1432"/>
      <c r="CD1349" s="585"/>
      <c r="CE1349" s="585"/>
      <c r="CF1349" s="586"/>
    </row>
    <row r="1350" spans="1:84" s="583" customFormat="1" ht="23.1" customHeight="1" thickBot="1">
      <c r="A1350" s="584"/>
      <c r="B1350" s="585"/>
      <c r="C1350" s="585"/>
      <c r="D1350" s="585"/>
      <c r="E1350" s="585"/>
      <c r="F1350" s="585"/>
      <c r="G1350" s="585"/>
      <c r="H1350" s="585"/>
      <c r="I1350" s="585"/>
      <c r="J1350" s="585"/>
      <c r="K1350" s="585"/>
      <c r="L1350" s="585"/>
      <c r="M1350" s="585"/>
      <c r="N1350" s="585"/>
      <c r="O1350" s="585"/>
      <c r="P1350" s="585"/>
      <c r="Q1350" s="585"/>
      <c r="R1350" s="585"/>
      <c r="S1350" s="585"/>
      <c r="T1350" s="585"/>
      <c r="U1350" s="585"/>
      <c r="V1350" s="585"/>
      <c r="W1350" s="585"/>
      <c r="X1350" s="585"/>
      <c r="Y1350" s="585"/>
      <c r="Z1350" s="585"/>
      <c r="AA1350" s="585"/>
      <c r="AB1350" s="585"/>
      <c r="AC1350" s="585"/>
      <c r="AD1350" s="585"/>
      <c r="AE1350" s="585"/>
      <c r="AF1350" s="585"/>
      <c r="AG1350" s="585"/>
      <c r="AH1350" s="585"/>
      <c r="AI1350" s="585"/>
      <c r="AJ1350" s="585"/>
      <c r="AK1350" s="585"/>
      <c r="AL1350" s="585"/>
      <c r="AM1350" s="585"/>
      <c r="AN1350" s="585"/>
      <c r="AO1350" s="585"/>
      <c r="AP1350" s="585"/>
      <c r="AQ1350" s="585"/>
      <c r="AR1350" s="585"/>
      <c r="AS1350" s="585"/>
      <c r="AT1350" s="585"/>
      <c r="AU1350" s="585"/>
      <c r="AV1350" s="585"/>
      <c r="AW1350" s="585"/>
      <c r="AX1350" s="585"/>
      <c r="AY1350" s="585"/>
      <c r="AZ1350" s="585"/>
      <c r="BA1350" s="585"/>
      <c r="BB1350" s="585"/>
      <c r="BC1350" s="585"/>
      <c r="BD1350" s="585"/>
      <c r="BE1350" s="585"/>
      <c r="BF1350" s="585"/>
      <c r="BG1350" s="585"/>
      <c r="BH1350" s="585"/>
      <c r="BI1350" s="585"/>
      <c r="BJ1350" s="585"/>
      <c r="BK1350" s="585"/>
      <c r="BL1350" s="585"/>
      <c r="BM1350" s="585"/>
      <c r="BN1350" s="585"/>
      <c r="BO1350" s="585"/>
      <c r="BP1350" s="1431" t="s">
        <v>41</v>
      </c>
      <c r="BQ1350" s="1431"/>
      <c r="BR1350" s="585"/>
      <c r="BS1350" s="585"/>
      <c r="BT1350" s="1433" t="e">
        <f>BT1348+BT1349</f>
        <v>#REF!</v>
      </c>
      <c r="BU1350" s="1433"/>
      <c r="BV1350" s="1433"/>
      <c r="BW1350" s="1433"/>
      <c r="BX1350" s="1433"/>
      <c r="BY1350" s="1433"/>
      <c r="BZ1350" s="1433"/>
      <c r="CA1350" s="1433"/>
      <c r="CB1350" s="1433"/>
      <c r="CC1350" s="1433"/>
      <c r="CD1350" s="585"/>
      <c r="CE1350" s="585"/>
      <c r="CF1350" s="586"/>
    </row>
    <row r="1351" spans="1:84" s="583" customFormat="1" ht="23.1" customHeight="1" thickBot="1">
      <c r="A1351" s="597"/>
      <c r="B1351" s="598" t="s">
        <v>1113</v>
      </c>
      <c r="C1351" s="598"/>
      <c r="D1351" s="598"/>
      <c r="E1351" s="598"/>
      <c r="F1351" s="598"/>
      <c r="G1351" s="598"/>
      <c r="H1351" s="598"/>
      <c r="I1351" s="598"/>
      <c r="J1351" s="598"/>
      <c r="K1351" s="598"/>
      <c r="L1351" s="598"/>
      <c r="M1351" s="598"/>
      <c r="N1351" s="598"/>
      <c r="O1351" s="598"/>
      <c r="P1351" s="598"/>
      <c r="Q1351" s="598"/>
      <c r="R1351" s="598"/>
      <c r="S1351" s="598"/>
      <c r="T1351" s="598"/>
      <c r="U1351" s="598"/>
      <c r="V1351" s="598"/>
      <c r="W1351" s="598"/>
      <c r="X1351" s="598"/>
      <c r="Y1351" s="598"/>
      <c r="Z1351" s="598"/>
      <c r="AA1351" s="598"/>
      <c r="AB1351" s="598"/>
      <c r="AC1351" s="598"/>
      <c r="AD1351" s="598"/>
      <c r="AE1351" s="598"/>
      <c r="AF1351" s="598"/>
      <c r="AG1351" s="598"/>
      <c r="AH1351" s="598"/>
      <c r="AI1351" s="598"/>
      <c r="AJ1351" s="598"/>
      <c r="AK1351" s="598"/>
      <c r="AL1351" s="598"/>
      <c r="AM1351" s="598"/>
      <c r="AN1351" s="598"/>
      <c r="AO1351" s="598"/>
      <c r="AP1351" s="598"/>
      <c r="AQ1351" s="598"/>
      <c r="AR1351" s="598"/>
      <c r="AS1351" s="598"/>
      <c r="AT1351" s="598"/>
      <c r="AU1351" s="598"/>
      <c r="AV1351" s="598"/>
      <c r="AW1351" s="598"/>
      <c r="AX1351" s="598"/>
      <c r="AY1351" s="598"/>
      <c r="AZ1351" s="598"/>
      <c r="BA1351" s="598"/>
      <c r="BB1351" s="598"/>
      <c r="BC1351" s="598"/>
      <c r="BD1351" s="598"/>
      <c r="BE1351" s="598"/>
      <c r="BF1351" s="598"/>
      <c r="BG1351" s="598"/>
      <c r="BH1351" s="598"/>
      <c r="BI1351" s="598"/>
      <c r="BJ1351" s="598"/>
      <c r="BK1351" s="598"/>
      <c r="BL1351" s="598"/>
      <c r="BM1351" s="598"/>
      <c r="BN1351" s="598"/>
      <c r="BO1351" s="598"/>
      <c r="BP1351" s="598"/>
      <c r="BQ1351" s="598"/>
      <c r="BR1351" s="598"/>
      <c r="BS1351" s="598"/>
      <c r="BT1351" s="1429" t="e">
        <f>BT1342+BT1346+BT1350</f>
        <v>#REF!</v>
      </c>
      <c r="BU1351" s="1429"/>
      <c r="BV1351" s="1429"/>
      <c r="BW1351" s="1429"/>
      <c r="BX1351" s="1429"/>
      <c r="BY1351" s="1429"/>
      <c r="BZ1351" s="1429"/>
      <c r="CA1351" s="1429"/>
      <c r="CB1351" s="1429"/>
      <c r="CC1351" s="1429"/>
      <c r="CD1351" s="598"/>
      <c r="CE1351" s="598"/>
      <c r="CF1351" s="599"/>
    </row>
    <row r="1352" spans="1:84" s="583" customFormat="1" ht="9.9499999999999993" customHeight="1">
      <c r="A1352" s="574"/>
      <c r="B1352" s="574"/>
      <c r="C1352" s="574"/>
      <c r="D1352" s="574"/>
      <c r="E1352" s="574"/>
      <c r="F1352" s="574"/>
      <c r="G1352" s="574"/>
      <c r="H1352" s="574"/>
      <c r="I1352" s="574"/>
      <c r="J1352" s="574"/>
      <c r="K1352" s="574"/>
      <c r="L1352" s="574"/>
      <c r="M1352" s="574"/>
      <c r="N1352" s="574"/>
      <c r="O1352" s="574"/>
      <c r="P1352" s="574"/>
      <c r="Q1352" s="574"/>
      <c r="R1352" s="574"/>
      <c r="S1352" s="574"/>
      <c r="T1352" s="574"/>
      <c r="U1352" s="574"/>
      <c r="V1352" s="574"/>
      <c r="W1352" s="574"/>
      <c r="X1352" s="574"/>
      <c r="Y1352" s="574"/>
      <c r="Z1352" s="574"/>
      <c r="AA1352" s="574"/>
      <c r="AB1352" s="574"/>
      <c r="AC1352" s="574"/>
      <c r="AD1352" s="574"/>
      <c r="AE1352" s="574"/>
      <c r="AF1352" s="574"/>
      <c r="AG1352" s="574"/>
      <c r="AH1352" s="574"/>
      <c r="AI1352" s="574"/>
      <c r="AJ1352" s="574"/>
      <c r="AK1352" s="574"/>
      <c r="AL1352" s="574"/>
      <c r="AM1352" s="574"/>
      <c r="AN1352" s="574"/>
      <c r="AO1352" s="574"/>
      <c r="AP1352" s="574"/>
      <c r="AQ1352" s="574"/>
      <c r="AR1352" s="574"/>
      <c r="AS1352" s="574"/>
      <c r="AT1352" s="574"/>
      <c r="AU1352" s="574"/>
      <c r="AV1352" s="574"/>
      <c r="AW1352" s="574"/>
      <c r="AX1352" s="574"/>
      <c r="AY1352" s="574"/>
      <c r="AZ1352" s="574"/>
      <c r="BA1352" s="574"/>
      <c r="BB1352" s="574"/>
      <c r="BC1352" s="574"/>
      <c r="BD1352" s="574"/>
      <c r="BE1352" s="574"/>
      <c r="BF1352" s="574"/>
      <c r="BG1352" s="574"/>
      <c r="BH1352" s="574"/>
      <c r="BI1352" s="574"/>
      <c r="BJ1352" s="574"/>
      <c r="BK1352" s="574"/>
      <c r="BL1352" s="574"/>
      <c r="BM1352" s="574"/>
      <c r="BN1352" s="574"/>
      <c r="BO1352" s="574"/>
      <c r="BP1352" s="574"/>
      <c r="BQ1352" s="574"/>
      <c r="BR1352" s="574"/>
      <c r="BS1352" s="574"/>
      <c r="BT1352" s="574"/>
      <c r="BU1352" s="574"/>
      <c r="BV1352" s="574"/>
      <c r="BW1352" s="574"/>
      <c r="BX1352" s="574"/>
      <c r="BY1352" s="574"/>
      <c r="BZ1352" s="574"/>
      <c r="CA1352" s="574"/>
      <c r="CB1352" s="574"/>
      <c r="CC1352" s="574"/>
      <c r="CD1352" s="574"/>
      <c r="CE1352" s="574"/>
      <c r="CF1352" s="574"/>
    </row>
    <row r="1353" spans="1:84" s="583" customFormat="1" ht="23.1" customHeight="1" thickBot="1">
      <c r="A1353" s="1446" t="s">
        <v>1095</v>
      </c>
      <c r="B1353" s="1446"/>
      <c r="C1353" s="1446"/>
      <c r="D1353" s="1446"/>
      <c r="E1353" s="1446"/>
      <c r="F1353" s="1446"/>
      <c r="G1353" s="1447">
        <f>G1338+1</f>
        <v>91</v>
      </c>
      <c r="H1353" s="1447"/>
      <c r="I1353" s="1447"/>
      <c r="J1353" s="1448" t="s">
        <v>1096</v>
      </c>
      <c r="K1353" s="1448"/>
      <c r="L1353" s="574"/>
      <c r="M1353" s="574"/>
      <c r="N1353" s="574"/>
      <c r="O1353" s="574"/>
      <c r="P1353" s="574"/>
      <c r="Q1353" s="574"/>
      <c r="R1353" s="574"/>
      <c r="S1353" s="574"/>
      <c r="T1353" s="574"/>
      <c r="U1353" s="574"/>
      <c r="V1353" s="574"/>
      <c r="W1353" s="574"/>
      <c r="X1353" s="574"/>
      <c r="Y1353" s="574"/>
      <c r="Z1353" s="574"/>
      <c r="AA1353" s="574"/>
      <c r="AB1353" s="574"/>
      <c r="AC1353" s="574"/>
      <c r="AD1353" s="574"/>
      <c r="AE1353" s="574"/>
      <c r="AF1353" s="574"/>
      <c r="AG1353" s="574"/>
      <c r="AH1353" s="574"/>
      <c r="AI1353" s="574"/>
      <c r="AJ1353" s="574"/>
      <c r="AK1353" s="574"/>
      <c r="AL1353" s="574"/>
      <c r="AM1353" s="574"/>
      <c r="AN1353" s="574"/>
      <c r="AO1353" s="574"/>
      <c r="AP1353" s="574"/>
      <c r="AQ1353" s="574"/>
      <c r="AR1353" s="574"/>
      <c r="AS1353" s="574"/>
      <c r="AT1353" s="574"/>
      <c r="AU1353" s="574"/>
      <c r="AV1353" s="574"/>
      <c r="AW1353" s="574"/>
      <c r="AX1353" s="574"/>
      <c r="AY1353" s="574"/>
      <c r="AZ1353" s="574"/>
      <c r="BA1353" s="574"/>
      <c r="BB1353" s="574"/>
      <c r="BC1353" s="574"/>
      <c r="BD1353" s="574"/>
      <c r="BE1353" s="574"/>
      <c r="BF1353" s="574"/>
      <c r="BG1353" s="574"/>
      <c r="BH1353" s="574"/>
      <c r="BI1353" s="574"/>
      <c r="BJ1353" s="574"/>
      <c r="BK1353" s="574"/>
      <c r="BL1353" s="574"/>
      <c r="BM1353" s="574"/>
      <c r="BN1353" s="574"/>
      <c r="BO1353" s="574"/>
      <c r="BP1353" s="574"/>
      <c r="BQ1353" s="574"/>
      <c r="BR1353" s="574"/>
      <c r="BS1353" s="574"/>
      <c r="BT1353" s="574"/>
      <c r="BU1353" s="574"/>
      <c r="BV1353" s="574"/>
      <c r="BW1353" s="574"/>
      <c r="BX1353" s="574"/>
      <c r="BY1353" s="574"/>
      <c r="BZ1353" s="574"/>
      <c r="CA1353" s="574"/>
      <c r="CB1353" s="574"/>
      <c r="CC1353" s="574"/>
      <c r="CD1353" s="574"/>
      <c r="CE1353" s="574"/>
      <c r="CF1353" s="574"/>
    </row>
    <row r="1354" spans="1:84" s="603" customFormat="1" ht="23.1" customHeight="1" thickBot="1">
      <c r="A1354" s="1438" t="s">
        <v>1097</v>
      </c>
      <c r="B1354" s="1439"/>
      <c r="C1354" s="1439"/>
      <c r="D1354" s="1439"/>
      <c r="E1354" s="1439"/>
      <c r="F1354" s="1439"/>
      <c r="G1354" s="1439"/>
      <c r="H1354" s="1439"/>
      <c r="I1354" s="601" t="s">
        <v>1258</v>
      </c>
      <c r="J1354" s="601"/>
      <c r="K1354" s="601"/>
      <c r="L1354" s="601"/>
      <c r="M1354" s="601"/>
      <c r="N1354" s="601"/>
      <c r="O1354" s="601"/>
      <c r="P1354" s="601"/>
      <c r="Q1354" s="601"/>
      <c r="R1354" s="601"/>
      <c r="S1354" s="601"/>
      <c r="T1354" s="601"/>
      <c r="U1354" s="601"/>
      <c r="V1354" s="601"/>
      <c r="W1354" s="601"/>
      <c r="X1354" s="601"/>
      <c r="Y1354" s="601"/>
      <c r="Z1354" s="601"/>
      <c r="AA1354" s="601"/>
      <c r="AB1354" s="601"/>
      <c r="AC1354" s="601"/>
      <c r="AD1354" s="601"/>
      <c r="AE1354" s="601"/>
      <c r="AF1354" s="601"/>
      <c r="AG1354" s="601"/>
      <c r="AH1354" s="601"/>
      <c r="AI1354" s="601"/>
      <c r="AJ1354" s="1439" t="s">
        <v>1099</v>
      </c>
      <c r="AK1354" s="1439"/>
      <c r="AL1354" s="1439"/>
      <c r="AM1354" s="1439"/>
      <c r="AN1354" s="1439"/>
      <c r="AO1354" s="1439"/>
      <c r="AP1354" s="1439"/>
      <c r="AQ1354" s="601" t="s">
        <v>1259</v>
      </c>
      <c r="AR1354" s="601"/>
      <c r="AS1354" s="601"/>
      <c r="AT1354" s="601"/>
      <c r="AU1354" s="601"/>
      <c r="AV1354" s="601"/>
      <c r="AW1354" s="601"/>
      <c r="AX1354" s="601"/>
      <c r="AY1354" s="601"/>
      <c r="AZ1354" s="601"/>
      <c r="BA1354" s="601"/>
      <c r="BB1354" s="601"/>
      <c r="BC1354" s="601"/>
      <c r="BD1354" s="601"/>
      <c r="BE1354" s="601"/>
      <c r="BF1354" s="601"/>
      <c r="BG1354" s="601"/>
      <c r="BH1354" s="601"/>
      <c r="BI1354" s="601"/>
      <c r="BJ1354" s="601"/>
      <c r="BK1354" s="601"/>
      <c r="BL1354" s="601"/>
      <c r="BM1354" s="601"/>
      <c r="BN1354" s="601"/>
      <c r="BO1354" s="601"/>
      <c r="BP1354" s="601"/>
      <c r="BQ1354" s="601"/>
      <c r="BR1354" s="601"/>
      <c r="BS1354" s="601"/>
      <c r="BT1354" s="601" t="s">
        <v>1260</v>
      </c>
      <c r="BU1354" s="601"/>
      <c r="BV1354" s="601"/>
      <c r="BW1354" s="601"/>
      <c r="BX1354" s="601"/>
      <c r="BY1354" s="601"/>
      <c r="BZ1354" s="601"/>
      <c r="CA1354" s="601"/>
      <c r="CB1354" s="601"/>
      <c r="CC1354" s="601"/>
      <c r="CD1354" s="601"/>
      <c r="CE1354" s="601"/>
      <c r="CF1354" s="602"/>
    </row>
    <row r="1355" spans="1:84" s="583" customFormat="1" ht="23.1" customHeight="1">
      <c r="A1355" s="584"/>
      <c r="B1355" s="585" t="s">
        <v>1102</v>
      </c>
      <c r="C1355" s="585"/>
      <c r="D1355" s="585"/>
      <c r="E1355" s="585"/>
      <c r="F1355" s="585"/>
      <c r="G1355" s="585"/>
      <c r="H1355" s="585"/>
      <c r="I1355" s="585"/>
      <c r="J1355" s="585"/>
      <c r="K1355" s="585"/>
      <c r="L1355" s="585"/>
      <c r="M1355" s="585"/>
      <c r="N1355" s="585"/>
      <c r="O1355" s="585"/>
      <c r="P1355" s="585"/>
      <c r="Q1355" s="585"/>
      <c r="R1355" s="585"/>
      <c r="S1355" s="585"/>
      <c r="T1355" s="585"/>
      <c r="U1355" s="585"/>
      <c r="V1355" s="585"/>
      <c r="W1355" s="585"/>
      <c r="X1355" s="585"/>
      <c r="Y1355" s="585"/>
      <c r="Z1355" s="585"/>
      <c r="AA1355" s="585"/>
      <c r="AB1355" s="585"/>
      <c r="AC1355" s="585"/>
      <c r="AD1355" s="585"/>
      <c r="AE1355" s="585"/>
      <c r="AF1355" s="585"/>
      <c r="AG1355" s="585"/>
      <c r="AH1355" s="585"/>
      <c r="AI1355" s="585"/>
      <c r="AJ1355" s="585"/>
      <c r="AK1355" s="585"/>
      <c r="AL1355" s="585"/>
      <c r="AM1355" s="585"/>
      <c r="AN1355" s="585"/>
      <c r="AO1355" s="585"/>
      <c r="AP1355" s="585"/>
      <c r="AQ1355" s="585"/>
      <c r="AR1355" s="585"/>
      <c r="AS1355" s="585"/>
      <c r="AT1355" s="585"/>
      <c r="AU1355" s="585"/>
      <c r="AV1355" s="585"/>
      <c r="AW1355" s="585"/>
      <c r="AX1355" s="585"/>
      <c r="AY1355" s="585"/>
      <c r="AZ1355" s="585"/>
      <c r="BA1355" s="585"/>
      <c r="BB1355" s="585"/>
      <c r="BC1355" s="585"/>
      <c r="BD1355" s="585"/>
      <c r="BE1355" s="585"/>
      <c r="BF1355" s="585"/>
      <c r="BG1355" s="585"/>
      <c r="BH1355" s="585"/>
      <c r="BI1355" s="585"/>
      <c r="BJ1355" s="585"/>
      <c r="BK1355" s="585"/>
      <c r="BL1355" s="585"/>
      <c r="BM1355" s="585"/>
      <c r="BN1355" s="585"/>
      <c r="BO1355" s="585"/>
      <c r="BP1355" s="585"/>
      <c r="BQ1355" s="585"/>
      <c r="BR1355" s="585"/>
      <c r="BS1355" s="585"/>
      <c r="BT1355" s="585"/>
      <c r="BU1355" s="585"/>
      <c r="BV1355" s="585"/>
      <c r="BW1355" s="585"/>
      <c r="BX1355" s="585"/>
      <c r="BY1355" s="585"/>
      <c r="BZ1355" s="585"/>
      <c r="CA1355" s="585"/>
      <c r="CB1355" s="585"/>
      <c r="CC1355" s="585"/>
      <c r="CD1355" s="585"/>
      <c r="CE1355" s="585"/>
      <c r="CF1355" s="586"/>
    </row>
    <row r="1356" spans="1:84" s="583" customFormat="1" ht="23.1" customHeight="1">
      <c r="A1356" s="587"/>
      <c r="B1356" s="574"/>
      <c r="C1356" s="574"/>
      <c r="D1356" s="405"/>
      <c r="E1356" s="574"/>
      <c r="F1356" s="422"/>
      <c r="G1356" s="422"/>
      <c r="H1356" s="422"/>
      <c r="I1356" s="422"/>
      <c r="J1356" s="422"/>
      <c r="K1356" s="422"/>
      <c r="L1356" s="422"/>
      <c r="M1356" s="422"/>
      <c r="N1356" s="574"/>
      <c r="O1356" s="574"/>
      <c r="P1356" s="574"/>
      <c r="Q1356" s="574"/>
      <c r="R1356" s="574"/>
      <c r="S1356" s="588"/>
      <c r="T1356" s="588"/>
      <c r="U1356" s="588"/>
      <c r="V1356" s="588"/>
      <c r="W1356" s="588"/>
      <c r="X1356" s="588"/>
      <c r="Y1356" s="588"/>
      <c r="Z1356" s="588"/>
      <c r="AA1356" s="574"/>
      <c r="AB1356" s="588"/>
      <c r="AC1356" s="585"/>
      <c r="AD1356" s="585"/>
      <c r="AE1356" s="600"/>
      <c r="AF1356" s="600"/>
      <c r="AG1356" s="600"/>
      <c r="AH1356" s="600"/>
      <c r="AI1356" s="600"/>
      <c r="AJ1356" s="600"/>
      <c r="AK1356" s="600"/>
      <c r="AL1356" s="600"/>
      <c r="AM1356" s="585"/>
      <c r="AN1356" s="585"/>
      <c r="AO1356" s="574"/>
      <c r="AP1356" s="430"/>
      <c r="AQ1356" s="430"/>
      <c r="AR1356" s="430"/>
      <c r="AS1356" s="430"/>
      <c r="AT1356" s="430"/>
      <c r="AU1356" s="430"/>
      <c r="AV1356" s="430"/>
      <c r="AW1356" s="430"/>
      <c r="AX1356" s="430"/>
      <c r="AY1356" s="430"/>
      <c r="AZ1356" s="430"/>
      <c r="BA1356" s="430"/>
      <c r="BB1356" s="430"/>
      <c r="BC1356" s="430"/>
      <c r="BD1356" s="574"/>
      <c r="BE1356" s="574"/>
      <c r="BF1356" s="574"/>
      <c r="BG1356" s="574"/>
      <c r="BH1356" s="574"/>
      <c r="BI1356" s="574"/>
      <c r="BJ1356" s="574"/>
      <c r="BK1356" s="574"/>
      <c r="BL1356" s="574"/>
      <c r="BM1356" s="574"/>
      <c r="BN1356" s="574"/>
      <c r="BO1356" s="574"/>
      <c r="BP1356" s="574"/>
      <c r="BQ1356" s="574"/>
      <c r="BR1356" s="574"/>
      <c r="BS1356" s="574"/>
      <c r="BT1356" s="574"/>
      <c r="BU1356" s="574"/>
      <c r="BV1356" s="574"/>
      <c r="BW1356" s="574"/>
      <c r="BX1356" s="574"/>
      <c r="BY1356" s="574"/>
      <c r="BZ1356" s="574"/>
      <c r="CA1356" s="574"/>
      <c r="CB1356" s="574"/>
      <c r="CC1356" s="574"/>
      <c r="CD1356" s="574"/>
      <c r="CE1356" s="574"/>
      <c r="CF1356" s="589"/>
    </row>
    <row r="1357" spans="1:84" s="583" customFormat="1" ht="23.1" customHeight="1">
      <c r="A1357" s="584"/>
      <c r="B1357" s="585"/>
      <c r="C1357" s="585"/>
      <c r="D1357" s="585"/>
      <c r="E1357" s="585"/>
      <c r="F1357" s="585"/>
      <c r="G1357" s="585"/>
      <c r="H1357" s="585"/>
      <c r="I1357" s="585"/>
      <c r="J1357" s="585"/>
      <c r="K1357" s="585"/>
      <c r="L1357" s="585"/>
      <c r="M1357" s="585"/>
      <c r="N1357" s="585"/>
      <c r="O1357" s="585"/>
      <c r="P1357" s="585"/>
      <c r="Q1357" s="585"/>
      <c r="R1357" s="585"/>
      <c r="S1357" s="585"/>
      <c r="T1357" s="585"/>
      <c r="U1357" s="585"/>
      <c r="V1357" s="590"/>
      <c r="W1357" s="590"/>
      <c r="X1357" s="590"/>
      <c r="Y1357" s="590"/>
      <c r="Z1357" s="590"/>
      <c r="AA1357" s="590"/>
      <c r="AB1357" s="590"/>
      <c r="AC1357" s="590"/>
      <c r="AD1357" s="574"/>
      <c r="AE1357" s="1440">
        <v>68298000</v>
      </c>
      <c r="AF1357" s="1440"/>
      <c r="AG1357" s="1440"/>
      <c r="AH1357" s="1440"/>
      <c r="AI1357" s="1440"/>
      <c r="AJ1357" s="1440"/>
      <c r="AK1357" s="1440"/>
      <c r="AL1357" s="1440"/>
      <c r="AM1357" s="1440"/>
      <c r="AN1357" s="1440"/>
      <c r="AO1357" s="1440"/>
      <c r="AP1357" s="1440"/>
      <c r="AQ1357" s="1440"/>
      <c r="AR1357" s="1440"/>
      <c r="AS1357" s="1440"/>
      <c r="AT1357" s="1431" t="s">
        <v>446</v>
      </c>
      <c r="AU1357" s="1431"/>
      <c r="AV1357" s="1441" t="s">
        <v>1103</v>
      </c>
      <c r="AW1357" s="1441"/>
      <c r="AX1357" s="1442">
        <v>2362</v>
      </c>
      <c r="AY1357" s="1442"/>
      <c r="AZ1357" s="1442"/>
      <c r="BA1357" s="1442"/>
      <c r="BB1357" s="1442"/>
      <c r="BC1357" s="1442"/>
      <c r="BD1357" s="585"/>
      <c r="BE1357" s="1431" t="s">
        <v>446</v>
      </c>
      <c r="BF1357" s="1431"/>
      <c r="BG1357" s="585"/>
      <c r="BH1357" s="591" t="s">
        <v>1104</v>
      </c>
      <c r="BI1357" s="585"/>
      <c r="BJ1357" s="585"/>
      <c r="BK1357" s="585"/>
      <c r="BL1357" s="1431" t="s">
        <v>1105</v>
      </c>
      <c r="BM1357" s="1431"/>
      <c r="BN1357" s="1431"/>
      <c r="BO1357" s="585"/>
      <c r="BP1357" s="1431" t="s">
        <v>41</v>
      </c>
      <c r="BQ1357" s="1431"/>
      <c r="BR1357" s="585"/>
      <c r="BS1357" s="585"/>
      <c r="BT1357" s="1437">
        <f>INT(AE1357*AX1357*10^-7)</f>
        <v>16131</v>
      </c>
      <c r="BU1357" s="1437"/>
      <c r="BV1357" s="1437"/>
      <c r="BW1357" s="1437"/>
      <c r="BX1357" s="1437"/>
      <c r="BY1357" s="1437"/>
      <c r="BZ1357" s="1437"/>
      <c r="CA1357" s="1437"/>
      <c r="CB1357" s="1437"/>
      <c r="CC1357" s="1437"/>
      <c r="CD1357" s="585"/>
      <c r="CE1357" s="585"/>
      <c r="CF1357" s="586"/>
    </row>
    <row r="1358" spans="1:84" s="583" customFormat="1" ht="23.1" customHeight="1">
      <c r="A1358" s="592"/>
      <c r="B1358" s="593" t="s">
        <v>1106</v>
      </c>
      <c r="C1358" s="593"/>
      <c r="D1358" s="593"/>
      <c r="E1358" s="593"/>
      <c r="F1358" s="593"/>
      <c r="G1358" s="593"/>
      <c r="H1358" s="593"/>
      <c r="I1358" s="593"/>
      <c r="J1358" s="593"/>
      <c r="K1358" s="593"/>
      <c r="L1358" s="593"/>
      <c r="M1358" s="593"/>
      <c r="N1358" s="593"/>
      <c r="O1358" s="593"/>
      <c r="P1358" s="593"/>
      <c r="Q1358" s="593"/>
      <c r="R1358" s="593"/>
      <c r="S1358" s="593"/>
      <c r="T1358" s="593"/>
      <c r="U1358" s="593"/>
      <c r="V1358" s="593"/>
      <c r="W1358" s="593"/>
      <c r="X1358" s="593"/>
      <c r="Y1358" s="593"/>
      <c r="Z1358" s="593"/>
      <c r="AA1358" s="593"/>
      <c r="AB1358" s="593"/>
      <c r="AC1358" s="593"/>
      <c r="AD1358" s="593"/>
      <c r="AE1358" s="593"/>
      <c r="AF1358" s="593"/>
      <c r="AG1358" s="593"/>
      <c r="AH1358" s="593"/>
      <c r="AI1358" s="593"/>
      <c r="AJ1358" s="593"/>
      <c r="AK1358" s="593"/>
      <c r="AL1358" s="593"/>
      <c r="AM1358" s="593"/>
      <c r="AN1358" s="593"/>
      <c r="AO1358" s="593"/>
      <c r="AP1358" s="593"/>
      <c r="AQ1358" s="593"/>
      <c r="AR1358" s="593"/>
      <c r="AS1358" s="593"/>
      <c r="AT1358" s="593"/>
      <c r="AU1358" s="593"/>
      <c r="AV1358" s="593"/>
      <c r="AW1358" s="593"/>
      <c r="AX1358" s="593"/>
      <c r="AY1358" s="593"/>
      <c r="AZ1358" s="593"/>
      <c r="BA1358" s="593"/>
      <c r="BB1358" s="593"/>
      <c r="BC1358" s="593"/>
      <c r="BD1358" s="593"/>
      <c r="BE1358" s="593"/>
      <c r="BF1358" s="593"/>
      <c r="BG1358" s="593"/>
      <c r="BH1358" s="593"/>
      <c r="BI1358" s="593"/>
      <c r="BJ1358" s="593"/>
      <c r="BK1358" s="593"/>
      <c r="BL1358" s="593"/>
      <c r="BM1358" s="593"/>
      <c r="BN1358" s="593"/>
      <c r="BO1358" s="593"/>
      <c r="BP1358" s="593"/>
      <c r="BQ1358" s="593"/>
      <c r="BR1358" s="593"/>
      <c r="BS1358" s="593"/>
      <c r="BT1358" s="594"/>
      <c r="BU1358" s="594"/>
      <c r="BV1358" s="594"/>
      <c r="BW1358" s="594"/>
      <c r="BX1358" s="594"/>
      <c r="BY1358" s="594"/>
      <c r="BZ1358" s="594"/>
      <c r="CA1358" s="594"/>
      <c r="CB1358" s="594"/>
      <c r="CC1358" s="594"/>
      <c r="CD1358" s="593"/>
      <c r="CE1358" s="593"/>
      <c r="CF1358" s="595"/>
    </row>
    <row r="1359" spans="1:84" s="583" customFormat="1" ht="23.1" customHeight="1">
      <c r="A1359" s="584"/>
      <c r="B1359" s="585"/>
      <c r="C1359" s="585"/>
      <c r="D1359" s="596" t="s">
        <v>1093</v>
      </c>
      <c r="E1359" s="585"/>
      <c r="F1359" s="585"/>
      <c r="G1359" s="585"/>
      <c r="H1359" s="585"/>
      <c r="I1359" s="585"/>
      <c r="J1359" s="585"/>
      <c r="K1359" s="585"/>
      <c r="L1359" s="585"/>
      <c r="M1359" s="585"/>
      <c r="N1359" s="585"/>
      <c r="O1359" s="585"/>
      <c r="P1359" s="585"/>
      <c r="Q1359" s="585"/>
      <c r="R1359" s="585"/>
      <c r="S1359" s="585"/>
      <c r="T1359" s="574"/>
      <c r="U1359" s="574"/>
      <c r="V1359" s="1435">
        <f>HLOOKUP(D1359,$CJ$1:$CM$3,3,0)</f>
        <v>173995</v>
      </c>
      <c r="W1359" s="1435"/>
      <c r="X1359" s="1435"/>
      <c r="Y1359" s="1435"/>
      <c r="Z1359" s="1435"/>
      <c r="AA1359" s="1435"/>
      <c r="AB1359" s="1435"/>
      <c r="AC1359" s="1435"/>
      <c r="AD1359" s="1435"/>
      <c r="AE1359" s="1435"/>
      <c r="AF1359" s="1431" t="s">
        <v>446</v>
      </c>
      <c r="AG1359" s="1431"/>
      <c r="AH1359" s="574"/>
      <c r="AI1359" s="1436" t="s">
        <v>1107</v>
      </c>
      <c r="AJ1359" s="1436"/>
      <c r="AK1359" s="1436"/>
      <c r="AL1359" s="1436"/>
      <c r="AM1359" s="585"/>
      <c r="AN1359" s="1431" t="s">
        <v>446</v>
      </c>
      <c r="AO1359" s="1431"/>
      <c r="AP1359" s="585"/>
      <c r="AQ1359" s="1436" t="s">
        <v>1108</v>
      </c>
      <c r="AR1359" s="1436"/>
      <c r="AS1359" s="1436"/>
      <c r="AT1359" s="1436"/>
      <c r="AU1359" s="1436"/>
      <c r="AV1359" s="422"/>
      <c r="AW1359" s="1431" t="s">
        <v>446</v>
      </c>
      <c r="AX1359" s="1431"/>
      <c r="AY1359" s="440"/>
      <c r="AZ1359" s="1436" t="s">
        <v>1109</v>
      </c>
      <c r="BA1359" s="1436"/>
      <c r="BB1359" s="1436"/>
      <c r="BC1359" s="1436"/>
      <c r="BD1359" s="1436"/>
      <c r="BE1359" s="585"/>
      <c r="BF1359" s="1431" t="s">
        <v>446</v>
      </c>
      <c r="BG1359" s="1431"/>
      <c r="BH1359" s="1431">
        <v>1</v>
      </c>
      <c r="BI1359" s="1431"/>
      <c r="BJ1359" s="1431"/>
      <c r="BK1359" s="585"/>
      <c r="BL1359" s="585" t="s">
        <v>366</v>
      </c>
      <c r="BM1359" s="585"/>
      <c r="BN1359" s="585"/>
      <c r="BO1359" s="585"/>
      <c r="BP1359" s="1431" t="s">
        <v>41</v>
      </c>
      <c r="BQ1359" s="1431"/>
      <c r="BR1359" s="585"/>
      <c r="BS1359" s="585"/>
      <c r="BT1359" s="1432">
        <f>INT(V1359/8*16/12*25/20*BH1359)</f>
        <v>36248</v>
      </c>
      <c r="BU1359" s="1432"/>
      <c r="BV1359" s="1432"/>
      <c r="BW1359" s="1432"/>
      <c r="BX1359" s="1432"/>
      <c r="BY1359" s="1432"/>
      <c r="BZ1359" s="1432"/>
      <c r="CA1359" s="1432"/>
      <c r="CB1359" s="1432"/>
      <c r="CC1359" s="1432"/>
      <c r="CD1359" s="585"/>
      <c r="CE1359" s="585"/>
      <c r="CF1359" s="586"/>
    </row>
    <row r="1360" spans="1:84" s="583" customFormat="1" ht="23.1" customHeight="1">
      <c r="A1360" s="584"/>
      <c r="B1360" s="585"/>
      <c r="C1360" s="585"/>
      <c r="D1360" s="585"/>
      <c r="E1360" s="585"/>
      <c r="F1360" s="585"/>
      <c r="G1360" s="585"/>
      <c r="H1360" s="585"/>
      <c r="I1360" s="585"/>
      <c r="J1360" s="585"/>
      <c r="K1360" s="585"/>
      <c r="L1360" s="585"/>
      <c r="M1360" s="585"/>
      <c r="N1360" s="585"/>
      <c r="O1360" s="585"/>
      <c r="P1360" s="574"/>
      <c r="Q1360" s="574"/>
      <c r="R1360" s="574"/>
      <c r="S1360" s="574"/>
      <c r="T1360" s="574"/>
      <c r="U1360" s="574"/>
      <c r="V1360" s="574"/>
      <c r="W1360" s="574"/>
      <c r="X1360" s="574"/>
      <c r="Y1360" s="574"/>
      <c r="Z1360" s="574"/>
      <c r="AA1360" s="574"/>
      <c r="AB1360" s="574"/>
      <c r="AC1360" s="574"/>
      <c r="AD1360" s="574"/>
      <c r="AE1360" s="574"/>
      <c r="AF1360" s="574"/>
      <c r="AG1360" s="574"/>
      <c r="AH1360" s="574"/>
      <c r="AI1360" s="574"/>
      <c r="AJ1360" s="574"/>
      <c r="AK1360" s="574"/>
      <c r="AL1360" s="574"/>
      <c r="AM1360" s="574"/>
      <c r="AN1360" s="574"/>
      <c r="AO1360" s="574"/>
      <c r="AP1360" s="574"/>
      <c r="AQ1360" s="574"/>
      <c r="AR1360" s="574"/>
      <c r="AS1360" s="574"/>
      <c r="AT1360" s="574"/>
      <c r="AU1360" s="574"/>
      <c r="AV1360" s="574"/>
      <c r="AW1360" s="574"/>
      <c r="AX1360" s="574"/>
      <c r="AY1360" s="574"/>
      <c r="AZ1360" s="574"/>
      <c r="BA1360" s="574"/>
      <c r="BB1360" s="574"/>
      <c r="BC1360" s="574"/>
      <c r="BD1360" s="574"/>
      <c r="BE1360" s="574"/>
      <c r="BF1360" s="574"/>
      <c r="BG1360" s="585"/>
      <c r="BH1360" s="585"/>
      <c r="BI1360" s="585"/>
      <c r="BJ1360" s="585"/>
      <c r="BK1360" s="585"/>
      <c r="BL1360" s="585"/>
      <c r="BM1360" s="585"/>
      <c r="BN1360" s="585"/>
      <c r="BO1360" s="585"/>
      <c r="BP1360" s="1431"/>
      <c r="BQ1360" s="1431"/>
      <c r="BR1360" s="585"/>
      <c r="BS1360" s="585"/>
      <c r="BT1360" s="1432"/>
      <c r="BU1360" s="1432"/>
      <c r="BV1360" s="1432"/>
      <c r="BW1360" s="1432"/>
      <c r="BX1360" s="1432"/>
      <c r="BY1360" s="1432"/>
      <c r="BZ1360" s="1432"/>
      <c r="CA1360" s="1432"/>
      <c r="CB1360" s="1432"/>
      <c r="CC1360" s="1432"/>
      <c r="CD1360" s="585"/>
      <c r="CE1360" s="585"/>
      <c r="CF1360" s="586"/>
    </row>
    <row r="1361" spans="1:84" s="583" customFormat="1" ht="23.1" customHeight="1">
      <c r="A1361" s="584"/>
      <c r="B1361" s="585"/>
      <c r="C1361" s="585"/>
      <c r="D1361" s="585"/>
      <c r="E1361" s="585"/>
      <c r="F1361" s="585"/>
      <c r="G1361" s="585"/>
      <c r="H1361" s="585"/>
      <c r="I1361" s="585"/>
      <c r="J1361" s="585"/>
      <c r="K1361" s="585"/>
      <c r="L1361" s="585"/>
      <c r="M1361" s="585"/>
      <c r="N1361" s="585"/>
      <c r="O1361" s="585"/>
      <c r="P1361" s="585"/>
      <c r="Q1361" s="585"/>
      <c r="R1361" s="585"/>
      <c r="S1361" s="585"/>
      <c r="T1361" s="585"/>
      <c r="U1361" s="585"/>
      <c r="V1361" s="585"/>
      <c r="W1361" s="585"/>
      <c r="X1361" s="585"/>
      <c r="Y1361" s="585"/>
      <c r="Z1361" s="585"/>
      <c r="AA1361" s="585"/>
      <c r="AB1361" s="585"/>
      <c r="AC1361" s="585"/>
      <c r="AD1361" s="574"/>
      <c r="AE1361" s="574"/>
      <c r="AF1361" s="574"/>
      <c r="AG1361" s="574"/>
      <c r="AH1361" s="574"/>
      <c r="AI1361" s="574"/>
      <c r="AJ1361" s="574"/>
      <c r="AK1361" s="574"/>
      <c r="AL1361" s="574"/>
      <c r="AM1361" s="574"/>
      <c r="AN1361" s="574"/>
      <c r="AO1361" s="574"/>
      <c r="AP1361" s="574"/>
      <c r="AQ1361" s="574"/>
      <c r="AR1361" s="574"/>
      <c r="AS1361" s="585"/>
      <c r="AT1361" s="590"/>
      <c r="AU1361" s="590"/>
      <c r="AV1361" s="585"/>
      <c r="AW1361" s="585"/>
      <c r="AX1361" s="585"/>
      <c r="AY1361" s="585"/>
      <c r="AZ1361" s="585"/>
      <c r="BA1361" s="585"/>
      <c r="BB1361" s="585"/>
      <c r="BC1361" s="585"/>
      <c r="BD1361" s="585"/>
      <c r="BE1361" s="585"/>
      <c r="BF1361" s="585"/>
      <c r="BG1361" s="585"/>
      <c r="BH1361" s="585"/>
      <c r="BI1361" s="585"/>
      <c r="BJ1361" s="585"/>
      <c r="BK1361" s="585"/>
      <c r="BL1361" s="585"/>
      <c r="BM1361" s="585"/>
      <c r="BN1361" s="585"/>
      <c r="BO1361" s="585"/>
      <c r="BP1361" s="1431" t="s">
        <v>41</v>
      </c>
      <c r="BQ1361" s="1431"/>
      <c r="BR1361" s="585"/>
      <c r="BS1361" s="585"/>
      <c r="BT1361" s="1434">
        <f>BT1359+BT1360</f>
        <v>36248</v>
      </c>
      <c r="BU1361" s="1434"/>
      <c r="BV1361" s="1434"/>
      <c r="BW1361" s="1434"/>
      <c r="BX1361" s="1434"/>
      <c r="BY1361" s="1434"/>
      <c r="BZ1361" s="1434"/>
      <c r="CA1361" s="1434"/>
      <c r="CB1361" s="1434"/>
      <c r="CC1361" s="1434"/>
      <c r="CD1361" s="585"/>
      <c r="CE1361" s="585"/>
      <c r="CF1361" s="586"/>
    </row>
    <row r="1362" spans="1:84" s="583" customFormat="1" ht="23.1" customHeight="1">
      <c r="A1362" s="592"/>
      <c r="B1362" s="593" t="s">
        <v>1110</v>
      </c>
      <c r="C1362" s="593"/>
      <c r="D1362" s="593"/>
      <c r="E1362" s="593"/>
      <c r="F1362" s="593"/>
      <c r="G1362" s="593"/>
      <c r="H1362" s="593"/>
      <c r="I1362" s="593"/>
      <c r="J1362" s="593"/>
      <c r="K1362" s="593"/>
      <c r="L1362" s="593"/>
      <c r="M1362" s="593"/>
      <c r="N1362" s="593"/>
      <c r="O1362" s="593"/>
      <c r="P1362" s="593"/>
      <c r="Q1362" s="593"/>
      <c r="R1362" s="593"/>
      <c r="S1362" s="593"/>
      <c r="T1362" s="593"/>
      <c r="U1362" s="593"/>
      <c r="V1362" s="593"/>
      <c r="W1362" s="593"/>
      <c r="X1362" s="593"/>
      <c r="Y1362" s="593"/>
      <c r="Z1362" s="593"/>
      <c r="AA1362" s="593"/>
      <c r="AB1362" s="593"/>
      <c r="AC1362" s="593"/>
      <c r="AD1362" s="593"/>
      <c r="AE1362" s="593"/>
      <c r="AF1362" s="593"/>
      <c r="AG1362" s="593"/>
      <c r="AH1362" s="593"/>
      <c r="AI1362" s="593"/>
      <c r="AJ1362" s="593"/>
      <c r="AK1362" s="593"/>
      <c r="AL1362" s="593"/>
      <c r="AM1362" s="593"/>
      <c r="AN1362" s="593"/>
      <c r="AO1362" s="593"/>
      <c r="AP1362" s="593"/>
      <c r="AQ1362" s="593"/>
      <c r="AR1362" s="593"/>
      <c r="AS1362" s="593"/>
      <c r="AT1362" s="593"/>
      <c r="AU1362" s="593"/>
      <c r="AV1362" s="593"/>
      <c r="AW1362" s="593"/>
      <c r="AX1362" s="593"/>
      <c r="AY1362" s="593"/>
      <c r="AZ1362" s="593"/>
      <c r="BA1362" s="593"/>
      <c r="BB1362" s="593"/>
      <c r="BC1362" s="593"/>
      <c r="BD1362" s="593"/>
      <c r="BE1362" s="593"/>
      <c r="BF1362" s="593"/>
      <c r="BG1362" s="593"/>
      <c r="BH1362" s="593"/>
      <c r="BI1362" s="593"/>
      <c r="BJ1362" s="593"/>
      <c r="BK1362" s="593"/>
      <c r="BL1362" s="593"/>
      <c r="BM1362" s="593"/>
      <c r="BN1362" s="593"/>
      <c r="BO1362" s="593"/>
      <c r="BP1362" s="593"/>
      <c r="BQ1362" s="593"/>
      <c r="BR1362" s="593"/>
      <c r="BS1362" s="593"/>
      <c r="BT1362" s="593"/>
      <c r="BU1362" s="593"/>
      <c r="BV1362" s="593"/>
      <c r="BW1362" s="593"/>
      <c r="BX1362" s="593"/>
      <c r="BY1362" s="593"/>
      <c r="BZ1362" s="593"/>
      <c r="CA1362" s="593"/>
      <c r="CB1362" s="593"/>
      <c r="CC1362" s="593"/>
      <c r="CD1362" s="593"/>
      <c r="CE1362" s="593"/>
      <c r="CF1362" s="595"/>
    </row>
    <row r="1363" spans="1:84" s="583" customFormat="1" ht="23.1" customHeight="1">
      <c r="A1363" s="584"/>
      <c r="B1363" s="585"/>
      <c r="C1363" s="585"/>
      <c r="D1363" s="596" t="s">
        <v>1094</v>
      </c>
      <c r="E1363" s="585"/>
      <c r="F1363" s="585"/>
      <c r="G1363" s="585"/>
      <c r="H1363" s="585"/>
      <c r="I1363" s="585"/>
      <c r="J1363" s="585"/>
      <c r="K1363" s="585"/>
      <c r="L1363" s="585"/>
      <c r="M1363" s="585"/>
      <c r="N1363" s="585"/>
      <c r="O1363" s="585"/>
      <c r="P1363" s="585"/>
      <c r="Q1363" s="585"/>
      <c r="R1363" s="585"/>
      <c r="S1363" s="585"/>
      <c r="T1363" s="585"/>
      <c r="U1363" s="585"/>
      <c r="V1363" s="585"/>
      <c r="W1363" s="585"/>
      <c r="X1363" s="585"/>
      <c r="Y1363" s="585"/>
      <c r="Z1363" s="585"/>
      <c r="AA1363" s="585"/>
      <c r="AB1363" s="585"/>
      <c r="AC1363" s="585"/>
      <c r="AD1363" s="585"/>
      <c r="AE1363" s="585"/>
      <c r="AF1363" s="585"/>
      <c r="AG1363" s="585"/>
      <c r="AH1363" s="585"/>
      <c r="AI1363" s="585"/>
      <c r="AJ1363" s="585"/>
      <c r="AK1363" s="585"/>
      <c r="AL1363" s="585"/>
      <c r="AM1363" s="585"/>
      <c r="AN1363" s="585"/>
      <c r="AO1363" s="585"/>
      <c r="AP1363" s="585"/>
      <c r="AQ1363" s="585"/>
      <c r="AR1363" s="422"/>
      <c r="AS1363" s="1435" t="e">
        <f>HLOOKUP(D1363,$CN$1:$CO$3,3,0)</f>
        <v>#REF!</v>
      </c>
      <c r="AT1363" s="1435"/>
      <c r="AU1363" s="1435"/>
      <c r="AV1363" s="1435"/>
      <c r="AW1363" s="1435"/>
      <c r="AX1363" s="1435"/>
      <c r="AY1363" s="1435"/>
      <c r="AZ1363" s="1435"/>
      <c r="BA1363" s="1435"/>
      <c r="BB1363" s="1435"/>
      <c r="BC1363" s="585"/>
      <c r="BD1363" s="1431" t="s">
        <v>446</v>
      </c>
      <c r="BE1363" s="1431"/>
      <c r="BF1363" s="585"/>
      <c r="BG1363" s="1431">
        <v>20.7</v>
      </c>
      <c r="BH1363" s="1431"/>
      <c r="BI1363" s="1431"/>
      <c r="BJ1363" s="1431"/>
      <c r="BK1363" s="1431"/>
      <c r="BL1363" s="585" t="s">
        <v>1111</v>
      </c>
      <c r="BM1363" s="585"/>
      <c r="BN1363" s="585"/>
      <c r="BO1363" s="585"/>
      <c r="BP1363" s="1431" t="s">
        <v>41</v>
      </c>
      <c r="BQ1363" s="1431"/>
      <c r="BR1363" s="585"/>
      <c r="BS1363" s="585"/>
      <c r="BT1363" s="1432" t="e">
        <f>INT(AS1363*BG1363)</f>
        <v>#REF!</v>
      </c>
      <c r="BU1363" s="1432"/>
      <c r="BV1363" s="1432"/>
      <c r="BW1363" s="1432"/>
      <c r="BX1363" s="1432"/>
      <c r="BY1363" s="1432"/>
      <c r="BZ1363" s="1432"/>
      <c r="CA1363" s="1432"/>
      <c r="CB1363" s="1432"/>
      <c r="CC1363" s="1432"/>
      <c r="CD1363" s="585"/>
      <c r="CE1363" s="585"/>
      <c r="CF1363" s="586"/>
    </row>
    <row r="1364" spans="1:84" s="583" customFormat="1" ht="23.1" customHeight="1">
      <c r="A1364" s="584"/>
      <c r="B1364" s="585"/>
      <c r="C1364" s="585"/>
      <c r="D1364" s="591" t="str">
        <f>"잡재료 (주연료의 "&amp;BG1364&amp;"%) :"</f>
        <v>잡재료 (주연료의 4%) :</v>
      </c>
      <c r="E1364" s="585"/>
      <c r="F1364" s="585"/>
      <c r="G1364" s="585"/>
      <c r="H1364" s="585"/>
      <c r="I1364" s="585"/>
      <c r="J1364" s="585"/>
      <c r="K1364" s="585"/>
      <c r="L1364" s="585"/>
      <c r="M1364" s="585"/>
      <c r="N1364" s="585"/>
      <c r="O1364" s="585"/>
      <c r="P1364" s="585"/>
      <c r="Q1364" s="585"/>
      <c r="R1364" s="585"/>
      <c r="S1364" s="585"/>
      <c r="T1364" s="585"/>
      <c r="U1364" s="585"/>
      <c r="V1364" s="585"/>
      <c r="W1364" s="585"/>
      <c r="X1364" s="585"/>
      <c r="Y1364" s="585"/>
      <c r="Z1364" s="585"/>
      <c r="AA1364" s="585"/>
      <c r="AB1364" s="585"/>
      <c r="AC1364" s="585"/>
      <c r="AD1364" s="585"/>
      <c r="AE1364" s="585"/>
      <c r="AF1364" s="585"/>
      <c r="AG1364" s="585"/>
      <c r="AH1364" s="585"/>
      <c r="AI1364" s="585"/>
      <c r="AJ1364" s="585"/>
      <c r="AK1364" s="585"/>
      <c r="AL1364" s="585"/>
      <c r="AM1364" s="585"/>
      <c r="AN1364" s="585"/>
      <c r="AO1364" s="585"/>
      <c r="AP1364" s="585"/>
      <c r="AQ1364" s="585"/>
      <c r="AR1364" s="422" t="e">
        <f>BT1363</f>
        <v>#REF!</v>
      </c>
      <c r="AS1364" s="1430" t="e">
        <f>BT1363</f>
        <v>#REF!</v>
      </c>
      <c r="AT1364" s="1430"/>
      <c r="AU1364" s="1430"/>
      <c r="AV1364" s="1430"/>
      <c r="AW1364" s="1430"/>
      <c r="AX1364" s="1430"/>
      <c r="AY1364" s="1430"/>
      <c r="AZ1364" s="1430"/>
      <c r="BA1364" s="1430"/>
      <c r="BB1364" s="1430"/>
      <c r="BC1364" s="585"/>
      <c r="BD1364" s="1431" t="s">
        <v>446</v>
      </c>
      <c r="BE1364" s="1431"/>
      <c r="BF1364" s="585"/>
      <c r="BG1364" s="1431">
        <v>4</v>
      </c>
      <c r="BH1364" s="1431"/>
      <c r="BI1364" s="1431"/>
      <c r="BJ1364" s="1431"/>
      <c r="BK1364" s="1431"/>
      <c r="BL1364" s="585" t="s">
        <v>1112</v>
      </c>
      <c r="BM1364" s="585"/>
      <c r="BN1364" s="585"/>
      <c r="BO1364" s="585"/>
      <c r="BP1364" s="1431" t="s">
        <v>41</v>
      </c>
      <c r="BQ1364" s="1431"/>
      <c r="BR1364" s="585"/>
      <c r="BS1364" s="585"/>
      <c r="BT1364" s="1432" t="e">
        <f>INT(AS1364*BG1364/100)</f>
        <v>#REF!</v>
      </c>
      <c r="BU1364" s="1432"/>
      <c r="BV1364" s="1432"/>
      <c r="BW1364" s="1432"/>
      <c r="BX1364" s="1432"/>
      <c r="BY1364" s="1432"/>
      <c r="BZ1364" s="1432"/>
      <c r="CA1364" s="1432"/>
      <c r="CB1364" s="1432"/>
      <c r="CC1364" s="1432"/>
      <c r="CD1364" s="585"/>
      <c r="CE1364" s="585"/>
      <c r="CF1364" s="586"/>
    </row>
    <row r="1365" spans="1:84" s="583" customFormat="1" ht="23.1" customHeight="1" thickBot="1">
      <c r="A1365" s="584"/>
      <c r="B1365" s="585"/>
      <c r="C1365" s="585"/>
      <c r="D1365" s="585"/>
      <c r="E1365" s="585"/>
      <c r="F1365" s="585"/>
      <c r="G1365" s="585"/>
      <c r="H1365" s="585"/>
      <c r="I1365" s="585"/>
      <c r="J1365" s="585"/>
      <c r="K1365" s="585"/>
      <c r="L1365" s="585"/>
      <c r="M1365" s="585"/>
      <c r="N1365" s="585"/>
      <c r="O1365" s="585"/>
      <c r="P1365" s="585"/>
      <c r="Q1365" s="585"/>
      <c r="R1365" s="585"/>
      <c r="S1365" s="585"/>
      <c r="T1365" s="585"/>
      <c r="U1365" s="585"/>
      <c r="V1365" s="585"/>
      <c r="W1365" s="585"/>
      <c r="X1365" s="585"/>
      <c r="Y1365" s="585"/>
      <c r="Z1365" s="585"/>
      <c r="AA1365" s="585"/>
      <c r="AB1365" s="585"/>
      <c r="AC1365" s="585"/>
      <c r="AD1365" s="585"/>
      <c r="AE1365" s="585"/>
      <c r="AF1365" s="585"/>
      <c r="AG1365" s="585"/>
      <c r="AH1365" s="585"/>
      <c r="AI1365" s="585"/>
      <c r="AJ1365" s="585"/>
      <c r="AK1365" s="585"/>
      <c r="AL1365" s="585"/>
      <c r="AM1365" s="585"/>
      <c r="AN1365" s="585"/>
      <c r="AO1365" s="585"/>
      <c r="AP1365" s="585"/>
      <c r="AQ1365" s="585"/>
      <c r="AR1365" s="585"/>
      <c r="AS1365" s="585"/>
      <c r="AT1365" s="585"/>
      <c r="AU1365" s="585"/>
      <c r="AV1365" s="585"/>
      <c r="AW1365" s="585"/>
      <c r="AX1365" s="585"/>
      <c r="AY1365" s="585"/>
      <c r="AZ1365" s="585"/>
      <c r="BA1365" s="585"/>
      <c r="BB1365" s="585"/>
      <c r="BC1365" s="585"/>
      <c r="BD1365" s="585"/>
      <c r="BE1365" s="585"/>
      <c r="BF1365" s="585"/>
      <c r="BG1365" s="585"/>
      <c r="BH1365" s="585"/>
      <c r="BI1365" s="585"/>
      <c r="BJ1365" s="585"/>
      <c r="BK1365" s="585"/>
      <c r="BL1365" s="585"/>
      <c r="BM1365" s="585"/>
      <c r="BN1365" s="585"/>
      <c r="BO1365" s="585"/>
      <c r="BP1365" s="1431" t="s">
        <v>41</v>
      </c>
      <c r="BQ1365" s="1431"/>
      <c r="BR1365" s="585"/>
      <c r="BS1365" s="585"/>
      <c r="BT1365" s="1433" t="e">
        <f>BT1363+BT1364</f>
        <v>#REF!</v>
      </c>
      <c r="BU1365" s="1433"/>
      <c r="BV1365" s="1433"/>
      <c r="BW1365" s="1433"/>
      <c r="BX1365" s="1433"/>
      <c r="BY1365" s="1433"/>
      <c r="BZ1365" s="1433"/>
      <c r="CA1365" s="1433"/>
      <c r="CB1365" s="1433"/>
      <c r="CC1365" s="1433"/>
      <c r="CD1365" s="585"/>
      <c r="CE1365" s="585"/>
      <c r="CF1365" s="586"/>
    </row>
    <row r="1366" spans="1:84" s="583" customFormat="1" ht="23.1" customHeight="1" thickBot="1">
      <c r="A1366" s="597"/>
      <c r="B1366" s="598" t="s">
        <v>1113</v>
      </c>
      <c r="C1366" s="598"/>
      <c r="D1366" s="598"/>
      <c r="E1366" s="598"/>
      <c r="F1366" s="598"/>
      <c r="G1366" s="598"/>
      <c r="H1366" s="598"/>
      <c r="I1366" s="598"/>
      <c r="J1366" s="598"/>
      <c r="K1366" s="598"/>
      <c r="L1366" s="598"/>
      <c r="M1366" s="598"/>
      <c r="N1366" s="598"/>
      <c r="O1366" s="598"/>
      <c r="P1366" s="598"/>
      <c r="Q1366" s="598"/>
      <c r="R1366" s="598"/>
      <c r="S1366" s="598"/>
      <c r="T1366" s="598"/>
      <c r="U1366" s="598"/>
      <c r="V1366" s="598"/>
      <c r="W1366" s="598"/>
      <c r="X1366" s="598"/>
      <c r="Y1366" s="598"/>
      <c r="Z1366" s="598"/>
      <c r="AA1366" s="598"/>
      <c r="AB1366" s="598"/>
      <c r="AC1366" s="598"/>
      <c r="AD1366" s="598"/>
      <c r="AE1366" s="598"/>
      <c r="AF1366" s="598"/>
      <c r="AG1366" s="598"/>
      <c r="AH1366" s="598"/>
      <c r="AI1366" s="598"/>
      <c r="AJ1366" s="598"/>
      <c r="AK1366" s="598"/>
      <c r="AL1366" s="598"/>
      <c r="AM1366" s="598"/>
      <c r="AN1366" s="598"/>
      <c r="AO1366" s="598"/>
      <c r="AP1366" s="598"/>
      <c r="AQ1366" s="598"/>
      <c r="AR1366" s="598"/>
      <c r="AS1366" s="598"/>
      <c r="AT1366" s="598"/>
      <c r="AU1366" s="598"/>
      <c r="AV1366" s="598"/>
      <c r="AW1366" s="598"/>
      <c r="AX1366" s="598"/>
      <c r="AY1366" s="598"/>
      <c r="AZ1366" s="598"/>
      <c r="BA1366" s="598"/>
      <c r="BB1366" s="598"/>
      <c r="BC1366" s="598"/>
      <c r="BD1366" s="598"/>
      <c r="BE1366" s="598"/>
      <c r="BF1366" s="598"/>
      <c r="BG1366" s="598"/>
      <c r="BH1366" s="598"/>
      <c r="BI1366" s="598"/>
      <c r="BJ1366" s="598"/>
      <c r="BK1366" s="598"/>
      <c r="BL1366" s="598"/>
      <c r="BM1366" s="598"/>
      <c r="BN1366" s="598"/>
      <c r="BO1366" s="598"/>
      <c r="BP1366" s="598"/>
      <c r="BQ1366" s="598"/>
      <c r="BR1366" s="598"/>
      <c r="BS1366" s="598"/>
      <c r="BT1366" s="1429" t="e">
        <f>BT1357+BT1361+BT1365</f>
        <v>#REF!</v>
      </c>
      <c r="BU1366" s="1429"/>
      <c r="BV1366" s="1429"/>
      <c r="BW1366" s="1429"/>
      <c r="BX1366" s="1429"/>
      <c r="BY1366" s="1429"/>
      <c r="BZ1366" s="1429"/>
      <c r="CA1366" s="1429"/>
      <c r="CB1366" s="1429"/>
      <c r="CC1366" s="1429"/>
      <c r="CD1366" s="598"/>
      <c r="CE1366" s="598"/>
      <c r="CF1366" s="599"/>
    </row>
    <row r="1367" spans="1:84" s="583" customFormat="1" ht="9.9499999999999993" customHeight="1">
      <c r="A1367" s="574"/>
      <c r="B1367" s="574"/>
      <c r="C1367" s="574"/>
      <c r="D1367" s="574"/>
      <c r="E1367" s="574"/>
      <c r="F1367" s="574"/>
      <c r="G1367" s="574"/>
      <c r="H1367" s="574"/>
      <c r="I1367" s="574"/>
      <c r="J1367" s="574"/>
      <c r="K1367" s="574"/>
      <c r="L1367" s="574"/>
      <c r="M1367" s="574"/>
      <c r="N1367" s="574"/>
      <c r="O1367" s="574"/>
      <c r="P1367" s="574"/>
      <c r="Q1367" s="574"/>
      <c r="R1367" s="574"/>
      <c r="S1367" s="574"/>
      <c r="T1367" s="574"/>
      <c r="U1367" s="574"/>
      <c r="V1367" s="574"/>
      <c r="W1367" s="574"/>
      <c r="X1367" s="574"/>
      <c r="Y1367" s="574"/>
      <c r="Z1367" s="574"/>
      <c r="AA1367" s="574"/>
      <c r="AB1367" s="574"/>
      <c r="AC1367" s="574"/>
      <c r="AD1367" s="574"/>
      <c r="AE1367" s="574"/>
      <c r="AF1367" s="574"/>
      <c r="AG1367" s="574"/>
      <c r="AH1367" s="574"/>
      <c r="AI1367" s="574"/>
      <c r="AJ1367" s="574"/>
      <c r="AK1367" s="574"/>
      <c r="AL1367" s="574"/>
      <c r="AM1367" s="574"/>
      <c r="AN1367" s="574"/>
      <c r="AO1367" s="574"/>
      <c r="AP1367" s="574"/>
      <c r="AQ1367" s="574"/>
      <c r="AR1367" s="574"/>
      <c r="AS1367" s="574"/>
      <c r="AT1367" s="574"/>
      <c r="AU1367" s="574"/>
      <c r="AV1367" s="574"/>
      <c r="AW1367" s="574"/>
      <c r="AX1367" s="574"/>
      <c r="AY1367" s="574"/>
      <c r="AZ1367" s="574"/>
      <c r="BA1367" s="574"/>
      <c r="BB1367" s="574"/>
      <c r="BC1367" s="574"/>
      <c r="BD1367" s="574"/>
      <c r="BE1367" s="574"/>
      <c r="BF1367" s="574"/>
      <c r="BG1367" s="574"/>
      <c r="BH1367" s="574"/>
      <c r="BI1367" s="574"/>
      <c r="BJ1367" s="574"/>
      <c r="BK1367" s="574"/>
      <c r="BL1367" s="574"/>
      <c r="BM1367" s="574"/>
      <c r="BN1367" s="574"/>
      <c r="BO1367" s="574"/>
      <c r="BP1367" s="574"/>
      <c r="BQ1367" s="574"/>
      <c r="BR1367" s="574"/>
      <c r="BS1367" s="574"/>
      <c r="BT1367" s="574"/>
      <c r="BU1367" s="574"/>
      <c r="BV1367" s="574"/>
      <c r="BW1367" s="574"/>
      <c r="BX1367" s="574"/>
      <c r="BY1367" s="574"/>
      <c r="BZ1367" s="574"/>
      <c r="CA1367" s="574"/>
      <c r="CB1367" s="574"/>
      <c r="CC1367" s="574"/>
      <c r="CD1367" s="574"/>
      <c r="CE1367" s="574"/>
      <c r="CF1367" s="574"/>
    </row>
    <row r="1368" spans="1:84" s="583" customFormat="1" ht="23.1" customHeight="1" thickBot="1">
      <c r="A1368" s="1446" t="s">
        <v>1095</v>
      </c>
      <c r="B1368" s="1446"/>
      <c r="C1368" s="1446"/>
      <c r="D1368" s="1446"/>
      <c r="E1368" s="1446"/>
      <c r="F1368" s="1446"/>
      <c r="G1368" s="1447">
        <f>G1353+1</f>
        <v>92</v>
      </c>
      <c r="H1368" s="1447"/>
      <c r="I1368" s="1447"/>
      <c r="J1368" s="1448" t="s">
        <v>1096</v>
      </c>
      <c r="K1368" s="1448"/>
      <c r="L1368" s="574"/>
      <c r="M1368" s="574"/>
      <c r="N1368" s="574"/>
      <c r="O1368" s="574"/>
      <c r="P1368" s="574"/>
      <c r="Q1368" s="574"/>
      <c r="R1368" s="574"/>
      <c r="S1368" s="574"/>
      <c r="T1368" s="574"/>
      <c r="U1368" s="574"/>
      <c r="V1368" s="574"/>
      <c r="W1368" s="574"/>
      <c r="X1368" s="574"/>
      <c r="Y1368" s="574"/>
      <c r="Z1368" s="574"/>
      <c r="AA1368" s="574"/>
      <c r="AB1368" s="574"/>
      <c r="AC1368" s="574"/>
      <c r="AD1368" s="574"/>
      <c r="AE1368" s="574"/>
      <c r="AF1368" s="574"/>
      <c r="AG1368" s="574"/>
      <c r="AH1368" s="574"/>
      <c r="AI1368" s="574"/>
      <c r="AJ1368" s="574"/>
      <c r="AK1368" s="574"/>
      <c r="AL1368" s="574"/>
      <c r="AM1368" s="574"/>
      <c r="AN1368" s="574"/>
      <c r="AO1368" s="574"/>
      <c r="AP1368" s="574"/>
      <c r="AQ1368" s="574"/>
      <c r="AR1368" s="574"/>
      <c r="AS1368" s="574"/>
      <c r="AT1368" s="574"/>
      <c r="AU1368" s="574"/>
      <c r="AV1368" s="574"/>
      <c r="AW1368" s="574"/>
      <c r="AX1368" s="574"/>
      <c r="AY1368" s="574"/>
      <c r="AZ1368" s="574"/>
      <c r="BA1368" s="574"/>
      <c r="BB1368" s="574"/>
      <c r="BC1368" s="574"/>
      <c r="BD1368" s="574"/>
      <c r="BE1368" s="574"/>
      <c r="BF1368" s="574"/>
      <c r="BG1368" s="574"/>
      <c r="BH1368" s="574"/>
      <c r="BI1368" s="574"/>
      <c r="BJ1368" s="574"/>
      <c r="BK1368" s="574"/>
      <c r="BL1368" s="574"/>
      <c r="BM1368" s="574"/>
      <c r="BN1368" s="574"/>
      <c r="BO1368" s="574"/>
      <c r="BP1368" s="574"/>
      <c r="BQ1368" s="574"/>
      <c r="BR1368" s="574"/>
      <c r="BS1368" s="574"/>
      <c r="BT1368" s="574"/>
      <c r="BU1368" s="574"/>
      <c r="BV1368" s="574"/>
      <c r="BW1368" s="574"/>
      <c r="BX1368" s="574"/>
      <c r="BY1368" s="574"/>
      <c r="BZ1368" s="574"/>
      <c r="CA1368" s="574"/>
      <c r="CB1368" s="574"/>
      <c r="CC1368" s="574"/>
      <c r="CD1368" s="574"/>
      <c r="CE1368" s="574"/>
      <c r="CF1368" s="574"/>
    </row>
    <row r="1369" spans="1:84" s="603" customFormat="1" ht="23.1" customHeight="1" thickBot="1">
      <c r="A1369" s="1438" t="s">
        <v>1097</v>
      </c>
      <c r="B1369" s="1439"/>
      <c r="C1369" s="1439"/>
      <c r="D1369" s="1439"/>
      <c r="E1369" s="1439"/>
      <c r="F1369" s="1439"/>
      <c r="G1369" s="1439"/>
      <c r="H1369" s="1439"/>
      <c r="I1369" s="601" t="s">
        <v>1261</v>
      </c>
      <c r="J1369" s="601"/>
      <c r="K1369" s="601"/>
      <c r="L1369" s="601"/>
      <c r="M1369" s="601"/>
      <c r="N1369" s="601"/>
      <c r="O1369" s="601"/>
      <c r="P1369" s="601"/>
      <c r="Q1369" s="601"/>
      <c r="R1369" s="601"/>
      <c r="S1369" s="601"/>
      <c r="T1369" s="601"/>
      <c r="U1369" s="601"/>
      <c r="V1369" s="601"/>
      <c r="W1369" s="601"/>
      <c r="X1369" s="601"/>
      <c r="Y1369" s="601"/>
      <c r="Z1369" s="601"/>
      <c r="AA1369" s="601"/>
      <c r="AB1369" s="601"/>
      <c r="AC1369" s="601"/>
      <c r="AD1369" s="601"/>
      <c r="AE1369" s="601"/>
      <c r="AF1369" s="601"/>
      <c r="AG1369" s="601"/>
      <c r="AH1369" s="601"/>
      <c r="AI1369" s="601"/>
      <c r="AJ1369" s="1439" t="s">
        <v>1099</v>
      </c>
      <c r="AK1369" s="1439"/>
      <c r="AL1369" s="1439"/>
      <c r="AM1369" s="1439"/>
      <c r="AN1369" s="1439"/>
      <c r="AO1369" s="1439"/>
      <c r="AP1369" s="1439"/>
      <c r="AQ1369" s="601" t="s">
        <v>1262</v>
      </c>
      <c r="AR1369" s="601"/>
      <c r="AS1369" s="601"/>
      <c r="AT1369" s="601"/>
      <c r="AU1369" s="601"/>
      <c r="AV1369" s="601"/>
      <c r="AW1369" s="601"/>
      <c r="AX1369" s="601"/>
      <c r="AY1369" s="601"/>
      <c r="AZ1369" s="601"/>
      <c r="BA1369" s="601"/>
      <c r="BB1369" s="601"/>
      <c r="BC1369" s="601"/>
      <c r="BD1369" s="601"/>
      <c r="BE1369" s="601"/>
      <c r="BF1369" s="601"/>
      <c r="BG1369" s="601"/>
      <c r="BH1369" s="601"/>
      <c r="BI1369" s="601"/>
      <c r="BJ1369" s="601"/>
      <c r="BK1369" s="601"/>
      <c r="BL1369" s="601"/>
      <c r="BM1369" s="601"/>
      <c r="BN1369" s="601"/>
      <c r="BO1369" s="601"/>
      <c r="BP1369" s="601"/>
      <c r="BQ1369" s="601"/>
      <c r="BR1369" s="601"/>
      <c r="BS1369" s="601"/>
      <c r="BT1369" s="601" t="s">
        <v>1263</v>
      </c>
      <c r="BU1369" s="601"/>
      <c r="BV1369" s="601"/>
      <c r="BW1369" s="601"/>
      <c r="BX1369" s="601"/>
      <c r="BY1369" s="601"/>
      <c r="BZ1369" s="601"/>
      <c r="CA1369" s="601"/>
      <c r="CB1369" s="601"/>
      <c r="CC1369" s="601"/>
      <c r="CD1369" s="601"/>
      <c r="CE1369" s="601"/>
      <c r="CF1369" s="602"/>
    </row>
    <row r="1370" spans="1:84" s="583" customFormat="1" ht="23.1" customHeight="1">
      <c r="A1370" s="584"/>
      <c r="B1370" s="585" t="s">
        <v>1102</v>
      </c>
      <c r="C1370" s="585"/>
      <c r="D1370" s="585"/>
      <c r="E1370" s="585"/>
      <c r="F1370" s="585"/>
      <c r="G1370" s="585"/>
      <c r="H1370" s="585"/>
      <c r="I1370" s="585"/>
      <c r="J1370" s="585"/>
      <c r="K1370" s="585"/>
      <c r="L1370" s="585"/>
      <c r="M1370" s="585"/>
      <c r="N1370" s="585"/>
      <c r="O1370" s="585"/>
      <c r="P1370" s="585"/>
      <c r="Q1370" s="585"/>
      <c r="R1370" s="585"/>
      <c r="S1370" s="585"/>
      <c r="T1370" s="585"/>
      <c r="U1370" s="585"/>
      <c r="V1370" s="585"/>
      <c r="W1370" s="585"/>
      <c r="X1370" s="585"/>
      <c r="Y1370" s="585"/>
      <c r="Z1370" s="585"/>
      <c r="AA1370" s="585"/>
      <c r="AB1370" s="585"/>
      <c r="AC1370" s="585"/>
      <c r="AD1370" s="585"/>
      <c r="AE1370" s="585"/>
      <c r="AF1370" s="585"/>
      <c r="AG1370" s="585"/>
      <c r="AH1370" s="585"/>
      <c r="AI1370" s="585"/>
      <c r="AJ1370" s="585"/>
      <c r="AK1370" s="585"/>
      <c r="AL1370" s="585"/>
      <c r="AM1370" s="585"/>
      <c r="AN1370" s="585"/>
      <c r="AO1370" s="585"/>
      <c r="AP1370" s="585"/>
      <c r="AQ1370" s="585"/>
      <c r="AR1370" s="585"/>
      <c r="AS1370" s="585"/>
      <c r="AT1370" s="585"/>
      <c r="AU1370" s="585"/>
      <c r="AV1370" s="585"/>
      <c r="AW1370" s="585"/>
      <c r="AX1370" s="585"/>
      <c r="AY1370" s="585"/>
      <c r="AZ1370" s="585"/>
      <c r="BA1370" s="585"/>
      <c r="BB1370" s="585"/>
      <c r="BC1370" s="585"/>
      <c r="BD1370" s="585"/>
      <c r="BE1370" s="585"/>
      <c r="BF1370" s="585"/>
      <c r="BG1370" s="585"/>
      <c r="BH1370" s="585"/>
      <c r="BI1370" s="585"/>
      <c r="BJ1370" s="585"/>
      <c r="BK1370" s="585"/>
      <c r="BL1370" s="585"/>
      <c r="BM1370" s="585"/>
      <c r="BN1370" s="585"/>
      <c r="BO1370" s="585"/>
      <c r="BP1370" s="585"/>
      <c r="BQ1370" s="585"/>
      <c r="BR1370" s="585"/>
      <c r="BS1370" s="585"/>
      <c r="BT1370" s="585"/>
      <c r="BU1370" s="585"/>
      <c r="BV1370" s="585"/>
      <c r="BW1370" s="585"/>
      <c r="BX1370" s="585"/>
      <c r="BY1370" s="585"/>
      <c r="BZ1370" s="585"/>
      <c r="CA1370" s="585"/>
      <c r="CB1370" s="585"/>
      <c r="CC1370" s="585"/>
      <c r="CD1370" s="585"/>
      <c r="CE1370" s="585"/>
      <c r="CF1370" s="586"/>
    </row>
    <row r="1371" spans="1:84" s="583" customFormat="1" ht="23.1" customHeight="1">
      <c r="A1371" s="587"/>
      <c r="B1371" s="574"/>
      <c r="C1371" s="574"/>
      <c r="D1371" s="405"/>
      <c r="E1371" s="574"/>
      <c r="F1371" s="422"/>
      <c r="G1371" s="422"/>
      <c r="H1371" s="422"/>
      <c r="I1371" s="422"/>
      <c r="J1371" s="422"/>
      <c r="K1371" s="422"/>
      <c r="L1371" s="422"/>
      <c r="M1371" s="422"/>
      <c r="N1371" s="574"/>
      <c r="O1371" s="574"/>
      <c r="P1371" s="574"/>
      <c r="Q1371" s="574"/>
      <c r="R1371" s="574"/>
      <c r="S1371" s="588"/>
      <c r="T1371" s="588"/>
      <c r="U1371" s="588"/>
      <c r="V1371" s="588"/>
      <c r="W1371" s="588"/>
      <c r="X1371" s="588"/>
      <c r="Y1371" s="588"/>
      <c r="Z1371" s="588"/>
      <c r="AA1371" s="574"/>
      <c r="AB1371" s="588"/>
      <c r="AC1371" s="585"/>
      <c r="AD1371" s="585"/>
      <c r="AE1371" s="600"/>
      <c r="AF1371" s="600"/>
      <c r="AG1371" s="600"/>
      <c r="AH1371" s="600"/>
      <c r="AI1371" s="600"/>
      <c r="AJ1371" s="600"/>
      <c r="AK1371" s="600"/>
      <c r="AL1371" s="600"/>
      <c r="AM1371" s="585"/>
      <c r="AN1371" s="585"/>
      <c r="AO1371" s="574"/>
      <c r="AP1371" s="430"/>
      <c r="AQ1371" s="430"/>
      <c r="AR1371" s="430"/>
      <c r="AS1371" s="430"/>
      <c r="AT1371" s="430"/>
      <c r="AU1371" s="430"/>
      <c r="AV1371" s="430"/>
      <c r="AW1371" s="430"/>
      <c r="AX1371" s="430"/>
      <c r="AY1371" s="430"/>
      <c r="AZ1371" s="430"/>
      <c r="BA1371" s="430"/>
      <c r="BB1371" s="430"/>
      <c r="BC1371" s="430"/>
      <c r="BD1371" s="574"/>
      <c r="BE1371" s="574"/>
      <c r="BF1371" s="574"/>
      <c r="BG1371" s="574"/>
      <c r="BH1371" s="574"/>
      <c r="BI1371" s="574"/>
      <c r="BJ1371" s="574"/>
      <c r="BK1371" s="574"/>
      <c r="BL1371" s="574"/>
      <c r="BM1371" s="574"/>
      <c r="BN1371" s="574"/>
      <c r="BO1371" s="574"/>
      <c r="BP1371" s="574"/>
      <c r="BQ1371" s="574"/>
      <c r="BR1371" s="574"/>
      <c r="BS1371" s="574"/>
      <c r="BT1371" s="574"/>
      <c r="BU1371" s="574"/>
      <c r="BV1371" s="574"/>
      <c r="BW1371" s="574"/>
      <c r="BX1371" s="574"/>
      <c r="BY1371" s="574"/>
      <c r="BZ1371" s="574"/>
      <c r="CA1371" s="574"/>
      <c r="CB1371" s="574"/>
      <c r="CC1371" s="574"/>
      <c r="CD1371" s="574"/>
      <c r="CE1371" s="574"/>
      <c r="CF1371" s="589"/>
    </row>
    <row r="1372" spans="1:84" s="583" customFormat="1" ht="23.1" customHeight="1">
      <c r="A1372" s="584"/>
      <c r="B1372" s="585"/>
      <c r="C1372" s="585"/>
      <c r="D1372" s="585"/>
      <c r="E1372" s="585"/>
      <c r="F1372" s="585"/>
      <c r="G1372" s="585"/>
      <c r="H1372" s="585"/>
      <c r="I1372" s="585"/>
      <c r="J1372" s="585"/>
      <c r="K1372" s="585"/>
      <c r="L1372" s="585"/>
      <c r="M1372" s="585"/>
      <c r="N1372" s="585"/>
      <c r="O1372" s="585"/>
      <c r="P1372" s="585"/>
      <c r="Q1372" s="585"/>
      <c r="R1372" s="585"/>
      <c r="S1372" s="585"/>
      <c r="T1372" s="585"/>
      <c r="U1372" s="585"/>
      <c r="V1372" s="590"/>
      <c r="W1372" s="590"/>
      <c r="X1372" s="590"/>
      <c r="Y1372" s="590"/>
      <c r="Z1372" s="590"/>
      <c r="AA1372" s="590"/>
      <c r="AB1372" s="590"/>
      <c r="AC1372" s="590"/>
      <c r="AD1372" s="574"/>
      <c r="AE1372" s="1440">
        <v>13075000</v>
      </c>
      <c r="AF1372" s="1440"/>
      <c r="AG1372" s="1440"/>
      <c r="AH1372" s="1440"/>
      <c r="AI1372" s="1440"/>
      <c r="AJ1372" s="1440"/>
      <c r="AK1372" s="1440"/>
      <c r="AL1372" s="1440"/>
      <c r="AM1372" s="1440"/>
      <c r="AN1372" s="1440"/>
      <c r="AO1372" s="1440"/>
      <c r="AP1372" s="1440"/>
      <c r="AQ1372" s="1440"/>
      <c r="AR1372" s="1440"/>
      <c r="AS1372" s="1440"/>
      <c r="AT1372" s="1431" t="s">
        <v>446</v>
      </c>
      <c r="AU1372" s="1431"/>
      <c r="AV1372" s="1441" t="s">
        <v>1103</v>
      </c>
      <c r="AW1372" s="1441"/>
      <c r="AX1372" s="1442">
        <v>2799</v>
      </c>
      <c r="AY1372" s="1442"/>
      <c r="AZ1372" s="1442"/>
      <c r="BA1372" s="1442"/>
      <c r="BB1372" s="1442"/>
      <c r="BC1372" s="1442"/>
      <c r="BD1372" s="585"/>
      <c r="BE1372" s="1431" t="s">
        <v>446</v>
      </c>
      <c r="BF1372" s="1431"/>
      <c r="BG1372" s="585"/>
      <c r="BH1372" s="591" t="s">
        <v>1104</v>
      </c>
      <c r="BI1372" s="585"/>
      <c r="BJ1372" s="585"/>
      <c r="BK1372" s="585"/>
      <c r="BL1372" s="1431" t="s">
        <v>1105</v>
      </c>
      <c r="BM1372" s="1431"/>
      <c r="BN1372" s="1431"/>
      <c r="BO1372" s="585"/>
      <c r="BP1372" s="1431" t="s">
        <v>41</v>
      </c>
      <c r="BQ1372" s="1431"/>
      <c r="BR1372" s="585"/>
      <c r="BS1372" s="585"/>
      <c r="BT1372" s="1437">
        <f>INT(AE1372*AX1372*10^-7)</f>
        <v>3659</v>
      </c>
      <c r="BU1372" s="1437"/>
      <c r="BV1372" s="1437"/>
      <c r="BW1372" s="1437"/>
      <c r="BX1372" s="1437"/>
      <c r="BY1372" s="1437"/>
      <c r="BZ1372" s="1437"/>
      <c r="CA1372" s="1437"/>
      <c r="CB1372" s="1437"/>
      <c r="CC1372" s="1437"/>
      <c r="CD1372" s="585"/>
      <c r="CE1372" s="585"/>
      <c r="CF1372" s="586"/>
    </row>
    <row r="1373" spans="1:84" s="583" customFormat="1" ht="23.1" customHeight="1">
      <c r="A1373" s="592"/>
      <c r="B1373" s="593" t="s">
        <v>1106</v>
      </c>
      <c r="C1373" s="593"/>
      <c r="D1373" s="593"/>
      <c r="E1373" s="593"/>
      <c r="F1373" s="593"/>
      <c r="G1373" s="593"/>
      <c r="H1373" s="593"/>
      <c r="I1373" s="593"/>
      <c r="J1373" s="593"/>
      <c r="K1373" s="593"/>
      <c r="L1373" s="593"/>
      <c r="M1373" s="593"/>
      <c r="N1373" s="593"/>
      <c r="O1373" s="593"/>
      <c r="P1373" s="593"/>
      <c r="Q1373" s="593"/>
      <c r="R1373" s="593"/>
      <c r="S1373" s="593"/>
      <c r="T1373" s="593"/>
      <c r="U1373" s="593"/>
      <c r="V1373" s="593"/>
      <c r="W1373" s="593"/>
      <c r="X1373" s="593"/>
      <c r="Y1373" s="593"/>
      <c r="Z1373" s="593"/>
      <c r="AA1373" s="593"/>
      <c r="AB1373" s="593"/>
      <c r="AC1373" s="593"/>
      <c r="AD1373" s="593"/>
      <c r="AE1373" s="593"/>
      <c r="AF1373" s="593"/>
      <c r="AG1373" s="593"/>
      <c r="AH1373" s="593"/>
      <c r="AI1373" s="593"/>
      <c r="AJ1373" s="593"/>
      <c r="AK1373" s="593"/>
      <c r="AL1373" s="593"/>
      <c r="AM1373" s="593"/>
      <c r="AN1373" s="593"/>
      <c r="AO1373" s="593"/>
      <c r="AP1373" s="593"/>
      <c r="AQ1373" s="593"/>
      <c r="AR1373" s="593"/>
      <c r="AS1373" s="593"/>
      <c r="AT1373" s="593"/>
      <c r="AU1373" s="593"/>
      <c r="AV1373" s="593"/>
      <c r="AW1373" s="593"/>
      <c r="AX1373" s="593"/>
      <c r="AY1373" s="593"/>
      <c r="AZ1373" s="593"/>
      <c r="BA1373" s="593"/>
      <c r="BB1373" s="593"/>
      <c r="BC1373" s="593"/>
      <c r="BD1373" s="593"/>
      <c r="BE1373" s="593"/>
      <c r="BF1373" s="593"/>
      <c r="BG1373" s="593"/>
      <c r="BH1373" s="593"/>
      <c r="BI1373" s="593"/>
      <c r="BJ1373" s="593"/>
      <c r="BK1373" s="593"/>
      <c r="BL1373" s="593"/>
      <c r="BM1373" s="593"/>
      <c r="BN1373" s="593"/>
      <c r="BO1373" s="593"/>
      <c r="BP1373" s="593"/>
      <c r="BQ1373" s="593"/>
      <c r="BR1373" s="593"/>
      <c r="BS1373" s="593"/>
      <c r="BT1373" s="594"/>
      <c r="BU1373" s="594"/>
      <c r="BV1373" s="594"/>
      <c r="BW1373" s="594"/>
      <c r="BX1373" s="594"/>
      <c r="BY1373" s="594"/>
      <c r="BZ1373" s="594"/>
      <c r="CA1373" s="594"/>
      <c r="CB1373" s="594"/>
      <c r="CC1373" s="594"/>
      <c r="CD1373" s="593"/>
      <c r="CE1373" s="593"/>
      <c r="CF1373" s="595"/>
    </row>
    <row r="1374" spans="1:84" s="583" customFormat="1" ht="23.1" customHeight="1">
      <c r="A1374" s="584"/>
      <c r="B1374" s="585"/>
      <c r="C1374" s="585"/>
      <c r="D1374" s="596" t="s">
        <v>1093</v>
      </c>
      <c r="E1374" s="585"/>
      <c r="F1374" s="585"/>
      <c r="G1374" s="585"/>
      <c r="H1374" s="585"/>
      <c r="I1374" s="585"/>
      <c r="J1374" s="585"/>
      <c r="K1374" s="585"/>
      <c r="L1374" s="585"/>
      <c r="M1374" s="585"/>
      <c r="N1374" s="585"/>
      <c r="O1374" s="585"/>
      <c r="P1374" s="585"/>
      <c r="Q1374" s="585"/>
      <c r="R1374" s="585"/>
      <c r="S1374" s="585"/>
      <c r="T1374" s="574"/>
      <c r="U1374" s="574"/>
      <c r="V1374" s="1435">
        <f>HLOOKUP(D1374,$CJ$1:$CM$3,3,0)</f>
        <v>173995</v>
      </c>
      <c r="W1374" s="1435"/>
      <c r="X1374" s="1435"/>
      <c r="Y1374" s="1435"/>
      <c r="Z1374" s="1435"/>
      <c r="AA1374" s="1435"/>
      <c r="AB1374" s="1435"/>
      <c r="AC1374" s="1435"/>
      <c r="AD1374" s="1435"/>
      <c r="AE1374" s="1435"/>
      <c r="AF1374" s="1431" t="s">
        <v>446</v>
      </c>
      <c r="AG1374" s="1431"/>
      <c r="AH1374" s="574"/>
      <c r="AI1374" s="1436" t="s">
        <v>1107</v>
      </c>
      <c r="AJ1374" s="1436"/>
      <c r="AK1374" s="1436"/>
      <c r="AL1374" s="1436"/>
      <c r="AM1374" s="585"/>
      <c r="AN1374" s="1431" t="s">
        <v>446</v>
      </c>
      <c r="AO1374" s="1431"/>
      <c r="AP1374" s="585"/>
      <c r="AQ1374" s="1436" t="s">
        <v>1108</v>
      </c>
      <c r="AR1374" s="1436"/>
      <c r="AS1374" s="1436"/>
      <c r="AT1374" s="1436"/>
      <c r="AU1374" s="1436"/>
      <c r="AV1374" s="422"/>
      <c r="AW1374" s="1431" t="s">
        <v>446</v>
      </c>
      <c r="AX1374" s="1431"/>
      <c r="AY1374" s="440"/>
      <c r="AZ1374" s="1436" t="s">
        <v>1109</v>
      </c>
      <c r="BA1374" s="1436"/>
      <c r="BB1374" s="1436"/>
      <c r="BC1374" s="1436"/>
      <c r="BD1374" s="1436"/>
      <c r="BE1374" s="585"/>
      <c r="BF1374" s="1431" t="s">
        <v>446</v>
      </c>
      <c r="BG1374" s="1431"/>
      <c r="BH1374" s="1431">
        <v>1</v>
      </c>
      <c r="BI1374" s="1431"/>
      <c r="BJ1374" s="1431"/>
      <c r="BK1374" s="585"/>
      <c r="BL1374" s="585" t="s">
        <v>366</v>
      </c>
      <c r="BM1374" s="585"/>
      <c r="BN1374" s="585"/>
      <c r="BO1374" s="585"/>
      <c r="BP1374" s="1431" t="s">
        <v>41</v>
      </c>
      <c r="BQ1374" s="1431"/>
      <c r="BR1374" s="585"/>
      <c r="BS1374" s="585"/>
      <c r="BT1374" s="1432">
        <f>INT(V1374/8*16/12*25/20*BH1374)</f>
        <v>36248</v>
      </c>
      <c r="BU1374" s="1432"/>
      <c r="BV1374" s="1432"/>
      <c r="BW1374" s="1432"/>
      <c r="BX1374" s="1432"/>
      <c r="BY1374" s="1432"/>
      <c r="BZ1374" s="1432"/>
      <c r="CA1374" s="1432"/>
      <c r="CB1374" s="1432"/>
      <c r="CC1374" s="1432"/>
      <c r="CD1374" s="585"/>
      <c r="CE1374" s="585"/>
      <c r="CF1374" s="586"/>
    </row>
    <row r="1375" spans="1:84" s="583" customFormat="1" ht="23.1" customHeight="1">
      <c r="A1375" s="584"/>
      <c r="B1375" s="585"/>
      <c r="C1375" s="585"/>
      <c r="D1375" s="585"/>
      <c r="E1375" s="585"/>
      <c r="F1375" s="585"/>
      <c r="G1375" s="585"/>
      <c r="H1375" s="585"/>
      <c r="I1375" s="585"/>
      <c r="J1375" s="585"/>
      <c r="K1375" s="585"/>
      <c r="L1375" s="585"/>
      <c r="M1375" s="585"/>
      <c r="N1375" s="585"/>
      <c r="O1375" s="585"/>
      <c r="P1375" s="574"/>
      <c r="Q1375" s="574"/>
      <c r="R1375" s="574"/>
      <c r="S1375" s="574"/>
      <c r="T1375" s="574"/>
      <c r="U1375" s="574"/>
      <c r="V1375" s="574"/>
      <c r="W1375" s="574"/>
      <c r="X1375" s="574"/>
      <c r="Y1375" s="574"/>
      <c r="Z1375" s="574"/>
      <c r="AA1375" s="574"/>
      <c r="AB1375" s="574"/>
      <c r="AC1375" s="574"/>
      <c r="AD1375" s="574"/>
      <c r="AE1375" s="574"/>
      <c r="AF1375" s="574"/>
      <c r="AG1375" s="574"/>
      <c r="AH1375" s="574"/>
      <c r="AI1375" s="574"/>
      <c r="AJ1375" s="574"/>
      <c r="AK1375" s="574"/>
      <c r="AL1375" s="574"/>
      <c r="AM1375" s="574"/>
      <c r="AN1375" s="574"/>
      <c r="AO1375" s="574"/>
      <c r="AP1375" s="574"/>
      <c r="AQ1375" s="574"/>
      <c r="AR1375" s="574"/>
      <c r="AS1375" s="574"/>
      <c r="AT1375" s="574"/>
      <c r="AU1375" s="574"/>
      <c r="AV1375" s="574"/>
      <c r="AW1375" s="574"/>
      <c r="AX1375" s="574"/>
      <c r="AY1375" s="574"/>
      <c r="AZ1375" s="574"/>
      <c r="BA1375" s="574"/>
      <c r="BB1375" s="574"/>
      <c r="BC1375" s="574"/>
      <c r="BD1375" s="574"/>
      <c r="BE1375" s="574"/>
      <c r="BF1375" s="574"/>
      <c r="BG1375" s="585"/>
      <c r="BH1375" s="585"/>
      <c r="BI1375" s="585"/>
      <c r="BJ1375" s="585"/>
      <c r="BK1375" s="585"/>
      <c r="BL1375" s="585"/>
      <c r="BM1375" s="585"/>
      <c r="BN1375" s="585"/>
      <c r="BO1375" s="585"/>
      <c r="BP1375" s="1431"/>
      <c r="BQ1375" s="1431"/>
      <c r="BR1375" s="585"/>
      <c r="BS1375" s="585"/>
      <c r="BT1375" s="1432"/>
      <c r="BU1375" s="1432"/>
      <c r="BV1375" s="1432"/>
      <c r="BW1375" s="1432"/>
      <c r="BX1375" s="1432"/>
      <c r="BY1375" s="1432"/>
      <c r="BZ1375" s="1432"/>
      <c r="CA1375" s="1432"/>
      <c r="CB1375" s="1432"/>
      <c r="CC1375" s="1432"/>
      <c r="CD1375" s="585"/>
      <c r="CE1375" s="585"/>
      <c r="CF1375" s="586"/>
    </row>
    <row r="1376" spans="1:84" s="583" customFormat="1" ht="23.1" customHeight="1">
      <c r="A1376" s="584"/>
      <c r="B1376" s="585"/>
      <c r="C1376" s="585"/>
      <c r="D1376" s="585"/>
      <c r="E1376" s="585"/>
      <c r="F1376" s="585"/>
      <c r="G1376" s="585"/>
      <c r="H1376" s="585"/>
      <c r="I1376" s="585"/>
      <c r="J1376" s="585"/>
      <c r="K1376" s="585"/>
      <c r="L1376" s="585"/>
      <c r="M1376" s="585"/>
      <c r="N1376" s="585"/>
      <c r="O1376" s="585"/>
      <c r="P1376" s="585"/>
      <c r="Q1376" s="585"/>
      <c r="R1376" s="585"/>
      <c r="S1376" s="585"/>
      <c r="T1376" s="585"/>
      <c r="U1376" s="585"/>
      <c r="V1376" s="585"/>
      <c r="W1376" s="585"/>
      <c r="X1376" s="585"/>
      <c r="Y1376" s="585"/>
      <c r="Z1376" s="585"/>
      <c r="AA1376" s="585"/>
      <c r="AB1376" s="585"/>
      <c r="AC1376" s="585"/>
      <c r="AD1376" s="574"/>
      <c r="AE1376" s="574"/>
      <c r="AF1376" s="574"/>
      <c r="AG1376" s="574"/>
      <c r="AH1376" s="574"/>
      <c r="AI1376" s="574"/>
      <c r="AJ1376" s="574"/>
      <c r="AK1376" s="574"/>
      <c r="AL1376" s="574"/>
      <c r="AM1376" s="574"/>
      <c r="AN1376" s="574"/>
      <c r="AO1376" s="574"/>
      <c r="AP1376" s="574"/>
      <c r="AQ1376" s="574"/>
      <c r="AR1376" s="574"/>
      <c r="AS1376" s="585"/>
      <c r="AT1376" s="590"/>
      <c r="AU1376" s="590"/>
      <c r="AV1376" s="585"/>
      <c r="AW1376" s="585"/>
      <c r="AX1376" s="585"/>
      <c r="AY1376" s="585"/>
      <c r="AZ1376" s="585"/>
      <c r="BA1376" s="585"/>
      <c r="BB1376" s="585"/>
      <c r="BC1376" s="585"/>
      <c r="BD1376" s="585"/>
      <c r="BE1376" s="585"/>
      <c r="BF1376" s="585"/>
      <c r="BG1376" s="585"/>
      <c r="BH1376" s="585"/>
      <c r="BI1376" s="585"/>
      <c r="BJ1376" s="585"/>
      <c r="BK1376" s="585"/>
      <c r="BL1376" s="585"/>
      <c r="BM1376" s="585"/>
      <c r="BN1376" s="585"/>
      <c r="BO1376" s="585"/>
      <c r="BP1376" s="1431" t="s">
        <v>41</v>
      </c>
      <c r="BQ1376" s="1431"/>
      <c r="BR1376" s="585"/>
      <c r="BS1376" s="585"/>
      <c r="BT1376" s="1434">
        <f>BT1374+BT1375</f>
        <v>36248</v>
      </c>
      <c r="BU1376" s="1434"/>
      <c r="BV1376" s="1434"/>
      <c r="BW1376" s="1434"/>
      <c r="BX1376" s="1434"/>
      <c r="BY1376" s="1434"/>
      <c r="BZ1376" s="1434"/>
      <c r="CA1376" s="1434"/>
      <c r="CB1376" s="1434"/>
      <c r="CC1376" s="1434"/>
      <c r="CD1376" s="585"/>
      <c r="CE1376" s="585"/>
      <c r="CF1376" s="586"/>
    </row>
    <row r="1377" spans="1:84" s="583" customFormat="1" ht="23.1" customHeight="1">
      <c r="A1377" s="592"/>
      <c r="B1377" s="593" t="s">
        <v>1110</v>
      </c>
      <c r="C1377" s="593"/>
      <c r="D1377" s="593"/>
      <c r="E1377" s="593"/>
      <c r="F1377" s="593"/>
      <c r="G1377" s="593"/>
      <c r="H1377" s="593"/>
      <c r="I1377" s="593"/>
      <c r="J1377" s="593"/>
      <c r="K1377" s="593"/>
      <c r="L1377" s="593"/>
      <c r="M1377" s="593"/>
      <c r="N1377" s="593"/>
      <c r="O1377" s="593"/>
      <c r="P1377" s="593"/>
      <c r="Q1377" s="593"/>
      <c r="R1377" s="593"/>
      <c r="S1377" s="593"/>
      <c r="T1377" s="593"/>
      <c r="U1377" s="593"/>
      <c r="V1377" s="593"/>
      <c r="W1377" s="593"/>
      <c r="X1377" s="593"/>
      <c r="Y1377" s="593"/>
      <c r="Z1377" s="593"/>
      <c r="AA1377" s="593"/>
      <c r="AB1377" s="593"/>
      <c r="AC1377" s="593"/>
      <c r="AD1377" s="593"/>
      <c r="AE1377" s="593"/>
      <c r="AF1377" s="593"/>
      <c r="AG1377" s="593"/>
      <c r="AH1377" s="593"/>
      <c r="AI1377" s="593"/>
      <c r="AJ1377" s="593"/>
      <c r="AK1377" s="593"/>
      <c r="AL1377" s="593"/>
      <c r="AM1377" s="593"/>
      <c r="AN1377" s="593"/>
      <c r="AO1377" s="593"/>
      <c r="AP1377" s="593"/>
      <c r="AQ1377" s="593"/>
      <c r="AR1377" s="593"/>
      <c r="AS1377" s="593"/>
      <c r="AT1377" s="593"/>
      <c r="AU1377" s="593"/>
      <c r="AV1377" s="593"/>
      <c r="AW1377" s="593"/>
      <c r="AX1377" s="593"/>
      <c r="AY1377" s="593"/>
      <c r="AZ1377" s="593"/>
      <c r="BA1377" s="593"/>
      <c r="BB1377" s="593"/>
      <c r="BC1377" s="593"/>
      <c r="BD1377" s="593"/>
      <c r="BE1377" s="593"/>
      <c r="BF1377" s="593"/>
      <c r="BG1377" s="593"/>
      <c r="BH1377" s="593"/>
      <c r="BI1377" s="593"/>
      <c r="BJ1377" s="593"/>
      <c r="BK1377" s="593"/>
      <c r="BL1377" s="593"/>
      <c r="BM1377" s="593"/>
      <c r="BN1377" s="593"/>
      <c r="BO1377" s="593"/>
      <c r="BP1377" s="593"/>
      <c r="BQ1377" s="593"/>
      <c r="BR1377" s="593"/>
      <c r="BS1377" s="593"/>
      <c r="BT1377" s="593"/>
      <c r="BU1377" s="593"/>
      <c r="BV1377" s="593"/>
      <c r="BW1377" s="593"/>
      <c r="BX1377" s="593"/>
      <c r="BY1377" s="593"/>
      <c r="BZ1377" s="593"/>
      <c r="CA1377" s="593"/>
      <c r="CB1377" s="593"/>
      <c r="CC1377" s="593"/>
      <c r="CD1377" s="593"/>
      <c r="CE1377" s="593"/>
      <c r="CF1377" s="595"/>
    </row>
    <row r="1378" spans="1:84" s="583" customFormat="1" ht="23.1" customHeight="1">
      <c r="A1378" s="584"/>
      <c r="B1378" s="585"/>
      <c r="C1378" s="585"/>
      <c r="D1378" s="596" t="s">
        <v>42</v>
      </c>
      <c r="E1378" s="585"/>
      <c r="F1378" s="585"/>
      <c r="G1378" s="585"/>
      <c r="H1378" s="585"/>
      <c r="I1378" s="585"/>
      <c r="J1378" s="585"/>
      <c r="K1378" s="585"/>
      <c r="L1378" s="585"/>
      <c r="M1378" s="585"/>
      <c r="N1378" s="585"/>
      <c r="O1378" s="585"/>
      <c r="P1378" s="585"/>
      <c r="Q1378" s="585"/>
      <c r="R1378" s="585"/>
      <c r="S1378" s="585"/>
      <c r="T1378" s="585"/>
      <c r="U1378" s="585"/>
      <c r="V1378" s="585"/>
      <c r="W1378" s="585"/>
      <c r="X1378" s="585"/>
      <c r="Y1378" s="585"/>
      <c r="Z1378" s="585"/>
      <c r="AA1378" s="585"/>
      <c r="AB1378" s="585"/>
      <c r="AC1378" s="585"/>
      <c r="AD1378" s="585"/>
      <c r="AE1378" s="585"/>
      <c r="AF1378" s="585"/>
      <c r="AG1378" s="585"/>
      <c r="AH1378" s="585"/>
      <c r="AI1378" s="585"/>
      <c r="AJ1378" s="585"/>
      <c r="AK1378" s="585"/>
      <c r="AL1378" s="585"/>
      <c r="AM1378" s="585"/>
      <c r="AN1378" s="585"/>
      <c r="AO1378" s="585"/>
      <c r="AP1378" s="585"/>
      <c r="AQ1378" s="585"/>
      <c r="AR1378" s="422"/>
      <c r="AS1378" s="1435" t="e">
        <f>HLOOKUP(D1378,$CN$1:$CO$3,3,0)</f>
        <v>#REF!</v>
      </c>
      <c r="AT1378" s="1435"/>
      <c r="AU1378" s="1435"/>
      <c r="AV1378" s="1435"/>
      <c r="AW1378" s="1435"/>
      <c r="AX1378" s="1435"/>
      <c r="AY1378" s="1435"/>
      <c r="AZ1378" s="1435"/>
      <c r="BA1378" s="1435"/>
      <c r="BB1378" s="1435"/>
      <c r="BC1378" s="585"/>
      <c r="BD1378" s="1431" t="s">
        <v>446</v>
      </c>
      <c r="BE1378" s="1431"/>
      <c r="BF1378" s="585"/>
      <c r="BG1378" s="1431">
        <v>3.38</v>
      </c>
      <c r="BH1378" s="1431"/>
      <c r="BI1378" s="1431"/>
      <c r="BJ1378" s="1431"/>
      <c r="BK1378" s="1431"/>
      <c r="BL1378" s="585" t="s">
        <v>1111</v>
      </c>
      <c r="BM1378" s="585"/>
      <c r="BN1378" s="585"/>
      <c r="BO1378" s="585"/>
      <c r="BP1378" s="1431" t="s">
        <v>41</v>
      </c>
      <c r="BQ1378" s="1431"/>
      <c r="BR1378" s="585"/>
      <c r="BS1378" s="585"/>
      <c r="BT1378" s="1432" t="e">
        <f>INT(AS1378*BG1378)</f>
        <v>#REF!</v>
      </c>
      <c r="BU1378" s="1432"/>
      <c r="BV1378" s="1432"/>
      <c r="BW1378" s="1432"/>
      <c r="BX1378" s="1432"/>
      <c r="BY1378" s="1432"/>
      <c r="BZ1378" s="1432"/>
      <c r="CA1378" s="1432"/>
      <c r="CB1378" s="1432"/>
      <c r="CC1378" s="1432"/>
      <c r="CD1378" s="585"/>
      <c r="CE1378" s="585"/>
      <c r="CF1378" s="586"/>
    </row>
    <row r="1379" spans="1:84" s="583" customFormat="1" ht="23.1" customHeight="1">
      <c r="A1379" s="584"/>
      <c r="B1379" s="585"/>
      <c r="C1379" s="585"/>
      <c r="D1379" s="591" t="str">
        <f>"잡재료 (주연료의 "&amp;BG1379&amp;"%) :"</f>
        <v>잡재료 (주연료의 20%) :</v>
      </c>
      <c r="E1379" s="585"/>
      <c r="F1379" s="585"/>
      <c r="G1379" s="585"/>
      <c r="H1379" s="585"/>
      <c r="I1379" s="585"/>
      <c r="J1379" s="585"/>
      <c r="K1379" s="585"/>
      <c r="L1379" s="585"/>
      <c r="M1379" s="585"/>
      <c r="N1379" s="585"/>
      <c r="O1379" s="585"/>
      <c r="P1379" s="585"/>
      <c r="Q1379" s="585"/>
      <c r="R1379" s="585"/>
      <c r="S1379" s="585"/>
      <c r="T1379" s="585"/>
      <c r="U1379" s="585"/>
      <c r="V1379" s="585"/>
      <c r="W1379" s="585"/>
      <c r="X1379" s="585"/>
      <c r="Y1379" s="585"/>
      <c r="Z1379" s="585"/>
      <c r="AA1379" s="585"/>
      <c r="AB1379" s="585"/>
      <c r="AC1379" s="585"/>
      <c r="AD1379" s="585"/>
      <c r="AE1379" s="585"/>
      <c r="AF1379" s="585"/>
      <c r="AG1379" s="585"/>
      <c r="AH1379" s="585"/>
      <c r="AI1379" s="585"/>
      <c r="AJ1379" s="585"/>
      <c r="AK1379" s="585"/>
      <c r="AL1379" s="585"/>
      <c r="AM1379" s="585"/>
      <c r="AN1379" s="585"/>
      <c r="AO1379" s="585"/>
      <c r="AP1379" s="585"/>
      <c r="AQ1379" s="585"/>
      <c r="AR1379" s="422" t="e">
        <f>BT1378</f>
        <v>#REF!</v>
      </c>
      <c r="AS1379" s="1430" t="e">
        <f>BT1378</f>
        <v>#REF!</v>
      </c>
      <c r="AT1379" s="1430"/>
      <c r="AU1379" s="1430"/>
      <c r="AV1379" s="1430"/>
      <c r="AW1379" s="1430"/>
      <c r="AX1379" s="1430"/>
      <c r="AY1379" s="1430"/>
      <c r="AZ1379" s="1430"/>
      <c r="BA1379" s="1430"/>
      <c r="BB1379" s="1430"/>
      <c r="BC1379" s="585"/>
      <c r="BD1379" s="1431" t="s">
        <v>446</v>
      </c>
      <c r="BE1379" s="1431"/>
      <c r="BF1379" s="585"/>
      <c r="BG1379" s="1431">
        <v>20</v>
      </c>
      <c r="BH1379" s="1431"/>
      <c r="BI1379" s="1431"/>
      <c r="BJ1379" s="1431"/>
      <c r="BK1379" s="1431"/>
      <c r="BL1379" s="585" t="s">
        <v>1112</v>
      </c>
      <c r="BM1379" s="585"/>
      <c r="BN1379" s="585"/>
      <c r="BO1379" s="585"/>
      <c r="BP1379" s="1431" t="s">
        <v>41</v>
      </c>
      <c r="BQ1379" s="1431"/>
      <c r="BR1379" s="585"/>
      <c r="BS1379" s="585"/>
      <c r="BT1379" s="1432" t="e">
        <f>INT(AS1379*BG1379/100)</f>
        <v>#REF!</v>
      </c>
      <c r="BU1379" s="1432"/>
      <c r="BV1379" s="1432"/>
      <c r="BW1379" s="1432"/>
      <c r="BX1379" s="1432"/>
      <c r="BY1379" s="1432"/>
      <c r="BZ1379" s="1432"/>
      <c r="CA1379" s="1432"/>
      <c r="CB1379" s="1432"/>
      <c r="CC1379" s="1432"/>
      <c r="CD1379" s="585"/>
      <c r="CE1379" s="585"/>
      <c r="CF1379" s="586"/>
    </row>
    <row r="1380" spans="1:84" s="583" customFormat="1" ht="23.1" customHeight="1" thickBot="1">
      <c r="A1380" s="584"/>
      <c r="B1380" s="585"/>
      <c r="C1380" s="585"/>
      <c r="D1380" s="585"/>
      <c r="E1380" s="585"/>
      <c r="F1380" s="585"/>
      <c r="G1380" s="585"/>
      <c r="H1380" s="585"/>
      <c r="I1380" s="585"/>
      <c r="J1380" s="585"/>
      <c r="K1380" s="585"/>
      <c r="L1380" s="585"/>
      <c r="M1380" s="585"/>
      <c r="N1380" s="585"/>
      <c r="O1380" s="585"/>
      <c r="P1380" s="585"/>
      <c r="Q1380" s="585"/>
      <c r="R1380" s="585"/>
      <c r="S1380" s="585"/>
      <c r="T1380" s="585"/>
      <c r="U1380" s="585"/>
      <c r="V1380" s="585"/>
      <c r="W1380" s="585"/>
      <c r="X1380" s="585"/>
      <c r="Y1380" s="585"/>
      <c r="Z1380" s="585"/>
      <c r="AA1380" s="585"/>
      <c r="AB1380" s="585"/>
      <c r="AC1380" s="585"/>
      <c r="AD1380" s="585"/>
      <c r="AE1380" s="585"/>
      <c r="AF1380" s="585"/>
      <c r="AG1380" s="585"/>
      <c r="AH1380" s="585"/>
      <c r="AI1380" s="585"/>
      <c r="AJ1380" s="585"/>
      <c r="AK1380" s="585"/>
      <c r="AL1380" s="585"/>
      <c r="AM1380" s="585"/>
      <c r="AN1380" s="585"/>
      <c r="AO1380" s="585"/>
      <c r="AP1380" s="585"/>
      <c r="AQ1380" s="585"/>
      <c r="AR1380" s="585"/>
      <c r="AS1380" s="585"/>
      <c r="AT1380" s="585"/>
      <c r="AU1380" s="585"/>
      <c r="AV1380" s="585"/>
      <c r="AW1380" s="585"/>
      <c r="AX1380" s="585"/>
      <c r="AY1380" s="585"/>
      <c r="AZ1380" s="585"/>
      <c r="BA1380" s="585"/>
      <c r="BB1380" s="585"/>
      <c r="BC1380" s="585"/>
      <c r="BD1380" s="585"/>
      <c r="BE1380" s="585"/>
      <c r="BF1380" s="585"/>
      <c r="BG1380" s="585"/>
      <c r="BH1380" s="585"/>
      <c r="BI1380" s="585"/>
      <c r="BJ1380" s="585"/>
      <c r="BK1380" s="585"/>
      <c r="BL1380" s="585"/>
      <c r="BM1380" s="585"/>
      <c r="BN1380" s="585"/>
      <c r="BO1380" s="585"/>
      <c r="BP1380" s="1431" t="s">
        <v>41</v>
      </c>
      <c r="BQ1380" s="1431"/>
      <c r="BR1380" s="585"/>
      <c r="BS1380" s="585"/>
      <c r="BT1380" s="1433" t="e">
        <f>BT1378+BT1379</f>
        <v>#REF!</v>
      </c>
      <c r="BU1380" s="1433"/>
      <c r="BV1380" s="1433"/>
      <c r="BW1380" s="1433"/>
      <c r="BX1380" s="1433"/>
      <c r="BY1380" s="1433"/>
      <c r="BZ1380" s="1433"/>
      <c r="CA1380" s="1433"/>
      <c r="CB1380" s="1433"/>
      <c r="CC1380" s="1433"/>
      <c r="CD1380" s="585"/>
      <c r="CE1380" s="585"/>
      <c r="CF1380" s="586"/>
    </row>
    <row r="1381" spans="1:84" s="583" customFormat="1" ht="23.1" customHeight="1" thickBot="1">
      <c r="A1381" s="597"/>
      <c r="B1381" s="598" t="s">
        <v>1113</v>
      </c>
      <c r="C1381" s="598"/>
      <c r="D1381" s="598"/>
      <c r="E1381" s="598"/>
      <c r="F1381" s="598"/>
      <c r="G1381" s="598"/>
      <c r="H1381" s="598"/>
      <c r="I1381" s="598"/>
      <c r="J1381" s="598"/>
      <c r="K1381" s="598"/>
      <c r="L1381" s="598"/>
      <c r="M1381" s="598"/>
      <c r="N1381" s="598"/>
      <c r="O1381" s="598"/>
      <c r="P1381" s="598"/>
      <c r="Q1381" s="598"/>
      <c r="R1381" s="598"/>
      <c r="S1381" s="598"/>
      <c r="T1381" s="598"/>
      <c r="U1381" s="598"/>
      <c r="V1381" s="598"/>
      <c r="W1381" s="598"/>
      <c r="X1381" s="598"/>
      <c r="Y1381" s="598"/>
      <c r="Z1381" s="598"/>
      <c r="AA1381" s="598"/>
      <c r="AB1381" s="598"/>
      <c r="AC1381" s="598"/>
      <c r="AD1381" s="598"/>
      <c r="AE1381" s="598"/>
      <c r="AF1381" s="598"/>
      <c r="AG1381" s="598"/>
      <c r="AH1381" s="598"/>
      <c r="AI1381" s="598"/>
      <c r="AJ1381" s="598"/>
      <c r="AK1381" s="598"/>
      <c r="AL1381" s="598"/>
      <c r="AM1381" s="598"/>
      <c r="AN1381" s="598"/>
      <c r="AO1381" s="598"/>
      <c r="AP1381" s="598"/>
      <c r="AQ1381" s="598"/>
      <c r="AR1381" s="598"/>
      <c r="AS1381" s="598"/>
      <c r="AT1381" s="598"/>
      <c r="AU1381" s="598"/>
      <c r="AV1381" s="598"/>
      <c r="AW1381" s="598"/>
      <c r="AX1381" s="598"/>
      <c r="AY1381" s="598"/>
      <c r="AZ1381" s="598"/>
      <c r="BA1381" s="598"/>
      <c r="BB1381" s="598"/>
      <c r="BC1381" s="598"/>
      <c r="BD1381" s="598"/>
      <c r="BE1381" s="598"/>
      <c r="BF1381" s="598"/>
      <c r="BG1381" s="598"/>
      <c r="BH1381" s="598"/>
      <c r="BI1381" s="598"/>
      <c r="BJ1381" s="598"/>
      <c r="BK1381" s="598"/>
      <c r="BL1381" s="598"/>
      <c r="BM1381" s="598"/>
      <c r="BN1381" s="598"/>
      <c r="BO1381" s="598"/>
      <c r="BP1381" s="598"/>
      <c r="BQ1381" s="598"/>
      <c r="BR1381" s="598"/>
      <c r="BS1381" s="598"/>
      <c r="BT1381" s="1429" t="e">
        <f>BT1372+BT1376+BT1380</f>
        <v>#REF!</v>
      </c>
      <c r="BU1381" s="1429"/>
      <c r="BV1381" s="1429"/>
      <c r="BW1381" s="1429"/>
      <c r="BX1381" s="1429"/>
      <c r="BY1381" s="1429"/>
      <c r="BZ1381" s="1429"/>
      <c r="CA1381" s="1429"/>
      <c r="CB1381" s="1429"/>
      <c r="CC1381" s="1429"/>
      <c r="CD1381" s="598"/>
      <c r="CE1381" s="598"/>
      <c r="CF1381" s="599"/>
    </row>
    <row r="1382" spans="1:84" s="583" customFormat="1" ht="9.9499999999999993" customHeight="1">
      <c r="A1382" s="574"/>
      <c r="B1382" s="574"/>
      <c r="C1382" s="574"/>
      <c r="D1382" s="574"/>
      <c r="E1382" s="574"/>
      <c r="F1382" s="574"/>
      <c r="G1382" s="574"/>
      <c r="H1382" s="574"/>
      <c r="I1382" s="574"/>
      <c r="J1382" s="574"/>
      <c r="K1382" s="574"/>
      <c r="L1382" s="574"/>
      <c r="M1382" s="574"/>
      <c r="N1382" s="574"/>
      <c r="O1382" s="574"/>
      <c r="P1382" s="574"/>
      <c r="Q1382" s="574"/>
      <c r="R1382" s="574"/>
      <c r="S1382" s="574"/>
      <c r="T1382" s="574"/>
      <c r="U1382" s="574"/>
      <c r="V1382" s="574"/>
      <c r="W1382" s="574"/>
      <c r="X1382" s="574"/>
      <c r="Y1382" s="574"/>
      <c r="Z1382" s="574"/>
      <c r="AA1382" s="574"/>
      <c r="AB1382" s="574"/>
      <c r="AC1382" s="574"/>
      <c r="AD1382" s="574"/>
      <c r="AE1382" s="574"/>
      <c r="AF1382" s="574"/>
      <c r="AG1382" s="574"/>
      <c r="AH1382" s="574"/>
      <c r="AI1382" s="574"/>
      <c r="AJ1382" s="574"/>
      <c r="AK1382" s="574"/>
      <c r="AL1382" s="574"/>
      <c r="AM1382" s="574"/>
      <c r="AN1382" s="574"/>
      <c r="AO1382" s="574"/>
      <c r="AP1382" s="574"/>
      <c r="AQ1382" s="574"/>
      <c r="AR1382" s="574"/>
      <c r="AS1382" s="574"/>
      <c r="AT1382" s="574"/>
      <c r="AU1382" s="574"/>
      <c r="AV1382" s="574"/>
      <c r="AW1382" s="574"/>
      <c r="AX1382" s="574"/>
      <c r="AY1382" s="574"/>
      <c r="AZ1382" s="574"/>
      <c r="BA1382" s="574"/>
      <c r="BB1382" s="574"/>
      <c r="BC1382" s="574"/>
      <c r="BD1382" s="574"/>
      <c r="BE1382" s="574"/>
      <c r="BF1382" s="574"/>
      <c r="BG1382" s="574"/>
      <c r="BH1382" s="574"/>
      <c r="BI1382" s="574"/>
      <c r="BJ1382" s="574"/>
      <c r="BK1382" s="574"/>
      <c r="BL1382" s="574"/>
      <c r="BM1382" s="574"/>
      <c r="BN1382" s="574"/>
      <c r="BO1382" s="574"/>
      <c r="BP1382" s="574"/>
      <c r="BQ1382" s="574"/>
      <c r="BR1382" s="574"/>
      <c r="BS1382" s="574"/>
      <c r="BT1382" s="574"/>
      <c r="BU1382" s="574"/>
      <c r="BV1382" s="574"/>
      <c r="BW1382" s="574"/>
      <c r="BX1382" s="574"/>
      <c r="BY1382" s="574"/>
      <c r="BZ1382" s="574"/>
      <c r="CA1382" s="574"/>
      <c r="CB1382" s="574"/>
      <c r="CC1382" s="574"/>
      <c r="CD1382" s="574"/>
      <c r="CE1382" s="574"/>
      <c r="CF1382" s="574"/>
    </row>
    <row r="1383" spans="1:84" s="583" customFormat="1" ht="23.1" customHeight="1" thickBot="1">
      <c r="A1383" s="1446" t="s">
        <v>1095</v>
      </c>
      <c r="B1383" s="1446"/>
      <c r="C1383" s="1446"/>
      <c r="D1383" s="1446"/>
      <c r="E1383" s="1446"/>
      <c r="F1383" s="1446"/>
      <c r="G1383" s="1447">
        <f>G1368+1</f>
        <v>93</v>
      </c>
      <c r="H1383" s="1447"/>
      <c r="I1383" s="1447"/>
      <c r="J1383" s="1448" t="s">
        <v>1096</v>
      </c>
      <c r="K1383" s="1448"/>
      <c r="L1383" s="574"/>
      <c r="M1383" s="574"/>
      <c r="N1383" s="574"/>
      <c r="O1383" s="574"/>
      <c r="P1383" s="574"/>
      <c r="Q1383" s="574"/>
      <c r="R1383" s="574"/>
      <c r="S1383" s="574"/>
      <c r="T1383" s="574"/>
      <c r="U1383" s="574"/>
      <c r="V1383" s="574"/>
      <c r="W1383" s="574"/>
      <c r="X1383" s="574"/>
      <c r="Y1383" s="574"/>
      <c r="Z1383" s="574"/>
      <c r="AA1383" s="574"/>
      <c r="AB1383" s="574"/>
      <c r="AC1383" s="574"/>
      <c r="AD1383" s="574"/>
      <c r="AE1383" s="574"/>
      <c r="AF1383" s="574"/>
      <c r="AG1383" s="574"/>
      <c r="AH1383" s="574"/>
      <c r="AI1383" s="574"/>
      <c r="AJ1383" s="574"/>
      <c r="AK1383" s="574"/>
      <c r="AL1383" s="574"/>
      <c r="AM1383" s="574"/>
      <c r="AN1383" s="574"/>
      <c r="AO1383" s="574"/>
      <c r="AP1383" s="574"/>
      <c r="AQ1383" s="574"/>
      <c r="AR1383" s="574"/>
      <c r="AS1383" s="574"/>
      <c r="AT1383" s="574"/>
      <c r="AU1383" s="574"/>
      <c r="AV1383" s="574"/>
      <c r="AW1383" s="574"/>
      <c r="AX1383" s="574"/>
      <c r="AY1383" s="574"/>
      <c r="AZ1383" s="574"/>
      <c r="BA1383" s="574"/>
      <c r="BB1383" s="574"/>
      <c r="BC1383" s="574"/>
      <c r="BD1383" s="574"/>
      <c r="BE1383" s="574"/>
      <c r="BF1383" s="574"/>
      <c r="BG1383" s="574"/>
      <c r="BH1383" s="574"/>
      <c r="BI1383" s="574"/>
      <c r="BJ1383" s="574"/>
      <c r="BK1383" s="574"/>
      <c r="BL1383" s="574"/>
      <c r="BM1383" s="574"/>
      <c r="BN1383" s="574"/>
      <c r="BO1383" s="574"/>
      <c r="BP1383" s="574"/>
      <c r="BQ1383" s="574"/>
      <c r="BR1383" s="574"/>
      <c r="BS1383" s="574"/>
      <c r="BT1383" s="574"/>
      <c r="BU1383" s="574"/>
      <c r="BV1383" s="574"/>
      <c r="BW1383" s="574"/>
      <c r="BX1383" s="574"/>
      <c r="BY1383" s="574"/>
      <c r="BZ1383" s="574"/>
      <c r="CA1383" s="574"/>
      <c r="CB1383" s="574"/>
      <c r="CC1383" s="574"/>
      <c r="CD1383" s="574"/>
      <c r="CE1383" s="574"/>
      <c r="CF1383" s="574"/>
    </row>
    <row r="1384" spans="1:84" s="603" customFormat="1" ht="23.1" customHeight="1" thickBot="1">
      <c r="A1384" s="1438" t="s">
        <v>1097</v>
      </c>
      <c r="B1384" s="1439"/>
      <c r="C1384" s="1439"/>
      <c r="D1384" s="1439"/>
      <c r="E1384" s="1439"/>
      <c r="F1384" s="1439"/>
      <c r="G1384" s="1439"/>
      <c r="H1384" s="1439"/>
      <c r="I1384" s="601" t="s">
        <v>1261</v>
      </c>
      <c r="J1384" s="601"/>
      <c r="K1384" s="601"/>
      <c r="L1384" s="601"/>
      <c r="M1384" s="601"/>
      <c r="N1384" s="601"/>
      <c r="O1384" s="601"/>
      <c r="P1384" s="601"/>
      <c r="Q1384" s="601"/>
      <c r="R1384" s="601"/>
      <c r="S1384" s="601"/>
      <c r="T1384" s="601"/>
      <c r="U1384" s="601"/>
      <c r="V1384" s="601"/>
      <c r="W1384" s="601"/>
      <c r="X1384" s="601"/>
      <c r="Y1384" s="601"/>
      <c r="Z1384" s="601"/>
      <c r="AA1384" s="601"/>
      <c r="AB1384" s="601"/>
      <c r="AC1384" s="601"/>
      <c r="AD1384" s="601"/>
      <c r="AE1384" s="601"/>
      <c r="AF1384" s="601"/>
      <c r="AG1384" s="601"/>
      <c r="AH1384" s="601"/>
      <c r="AI1384" s="601"/>
      <c r="AJ1384" s="1439" t="s">
        <v>1099</v>
      </c>
      <c r="AK1384" s="1439"/>
      <c r="AL1384" s="1439"/>
      <c r="AM1384" s="1439"/>
      <c r="AN1384" s="1439"/>
      <c r="AO1384" s="1439"/>
      <c r="AP1384" s="1439"/>
      <c r="AQ1384" s="601" t="s">
        <v>1264</v>
      </c>
      <c r="AR1384" s="601"/>
      <c r="AS1384" s="601"/>
      <c r="AT1384" s="601"/>
      <c r="AU1384" s="601"/>
      <c r="AV1384" s="601"/>
      <c r="AW1384" s="601"/>
      <c r="AX1384" s="601"/>
      <c r="AY1384" s="601"/>
      <c r="AZ1384" s="601"/>
      <c r="BA1384" s="601"/>
      <c r="BB1384" s="601"/>
      <c r="BC1384" s="601"/>
      <c r="BD1384" s="601"/>
      <c r="BE1384" s="601"/>
      <c r="BF1384" s="601"/>
      <c r="BG1384" s="601"/>
      <c r="BH1384" s="601"/>
      <c r="BI1384" s="601"/>
      <c r="BJ1384" s="601"/>
      <c r="BK1384" s="601"/>
      <c r="BL1384" s="601"/>
      <c r="BM1384" s="601"/>
      <c r="BN1384" s="601"/>
      <c r="BO1384" s="601"/>
      <c r="BP1384" s="601"/>
      <c r="BQ1384" s="601"/>
      <c r="BR1384" s="601"/>
      <c r="BS1384" s="601"/>
      <c r="BT1384" s="601" t="s">
        <v>1265</v>
      </c>
      <c r="BU1384" s="601"/>
      <c r="BV1384" s="601"/>
      <c r="BW1384" s="601"/>
      <c r="BX1384" s="601"/>
      <c r="BY1384" s="601"/>
      <c r="BZ1384" s="601"/>
      <c r="CA1384" s="601"/>
      <c r="CB1384" s="601"/>
      <c r="CC1384" s="601"/>
      <c r="CD1384" s="601"/>
      <c r="CE1384" s="601"/>
      <c r="CF1384" s="602"/>
    </row>
    <row r="1385" spans="1:84" s="583" customFormat="1" ht="23.1" customHeight="1">
      <c r="A1385" s="584"/>
      <c r="B1385" s="585" t="s">
        <v>1102</v>
      </c>
      <c r="C1385" s="585"/>
      <c r="D1385" s="585"/>
      <c r="E1385" s="585"/>
      <c r="F1385" s="585"/>
      <c r="G1385" s="585"/>
      <c r="H1385" s="585"/>
      <c r="I1385" s="585"/>
      <c r="J1385" s="585"/>
      <c r="K1385" s="585"/>
      <c r="L1385" s="585"/>
      <c r="M1385" s="585"/>
      <c r="N1385" s="585"/>
      <c r="O1385" s="585"/>
      <c r="P1385" s="585"/>
      <c r="Q1385" s="585"/>
      <c r="R1385" s="585"/>
      <c r="S1385" s="585"/>
      <c r="T1385" s="585"/>
      <c r="U1385" s="585"/>
      <c r="V1385" s="585"/>
      <c r="W1385" s="585"/>
      <c r="X1385" s="585"/>
      <c r="Y1385" s="585"/>
      <c r="Z1385" s="585"/>
      <c r="AA1385" s="585"/>
      <c r="AB1385" s="585"/>
      <c r="AC1385" s="585"/>
      <c r="AD1385" s="585"/>
      <c r="AE1385" s="585"/>
      <c r="AF1385" s="585"/>
      <c r="AG1385" s="585"/>
      <c r="AH1385" s="585"/>
      <c r="AI1385" s="585"/>
      <c r="AJ1385" s="585"/>
      <c r="AK1385" s="585"/>
      <c r="AL1385" s="585"/>
      <c r="AM1385" s="585"/>
      <c r="AN1385" s="585"/>
      <c r="AO1385" s="585"/>
      <c r="AP1385" s="585"/>
      <c r="AQ1385" s="585"/>
      <c r="AR1385" s="585"/>
      <c r="AS1385" s="585"/>
      <c r="AT1385" s="585"/>
      <c r="AU1385" s="585"/>
      <c r="AV1385" s="585"/>
      <c r="AW1385" s="585"/>
      <c r="AX1385" s="585"/>
      <c r="AY1385" s="585"/>
      <c r="AZ1385" s="585"/>
      <c r="BA1385" s="585"/>
      <c r="BB1385" s="585"/>
      <c r="BC1385" s="585"/>
      <c r="BD1385" s="585"/>
      <c r="BE1385" s="585"/>
      <c r="BF1385" s="585"/>
      <c r="BG1385" s="585"/>
      <c r="BH1385" s="585"/>
      <c r="BI1385" s="585"/>
      <c r="BJ1385" s="585"/>
      <c r="BK1385" s="585"/>
      <c r="BL1385" s="585"/>
      <c r="BM1385" s="585"/>
      <c r="BN1385" s="585"/>
      <c r="BO1385" s="585"/>
      <c r="BP1385" s="585"/>
      <c r="BQ1385" s="585"/>
      <c r="BR1385" s="585"/>
      <c r="BS1385" s="585"/>
      <c r="BT1385" s="585"/>
      <c r="BU1385" s="585"/>
      <c r="BV1385" s="585"/>
      <c r="BW1385" s="585"/>
      <c r="BX1385" s="585"/>
      <c r="BY1385" s="585"/>
      <c r="BZ1385" s="585"/>
      <c r="CA1385" s="585"/>
      <c r="CB1385" s="585"/>
      <c r="CC1385" s="585"/>
      <c r="CD1385" s="585"/>
      <c r="CE1385" s="585"/>
      <c r="CF1385" s="586"/>
    </row>
    <row r="1386" spans="1:84" s="583" customFormat="1" ht="23.1" customHeight="1">
      <c r="A1386" s="587"/>
      <c r="B1386" s="574"/>
      <c r="C1386" s="574"/>
      <c r="D1386" s="405"/>
      <c r="E1386" s="574"/>
      <c r="F1386" s="422"/>
      <c r="G1386" s="422"/>
      <c r="H1386" s="422"/>
      <c r="I1386" s="422"/>
      <c r="J1386" s="422"/>
      <c r="K1386" s="422"/>
      <c r="L1386" s="422"/>
      <c r="M1386" s="422"/>
      <c r="N1386" s="574"/>
      <c r="O1386" s="574"/>
      <c r="P1386" s="574"/>
      <c r="Q1386" s="574"/>
      <c r="R1386" s="574"/>
      <c r="S1386" s="588"/>
      <c r="T1386" s="588"/>
      <c r="U1386" s="588"/>
      <c r="V1386" s="588"/>
      <c r="W1386" s="588"/>
      <c r="X1386" s="588"/>
      <c r="Y1386" s="588"/>
      <c r="Z1386" s="588"/>
      <c r="AA1386" s="574"/>
      <c r="AB1386" s="588"/>
      <c r="AC1386" s="585"/>
      <c r="AD1386" s="585"/>
      <c r="AE1386" s="600"/>
      <c r="AF1386" s="600"/>
      <c r="AG1386" s="600"/>
      <c r="AH1386" s="600"/>
      <c r="AI1386" s="600"/>
      <c r="AJ1386" s="600"/>
      <c r="AK1386" s="600"/>
      <c r="AL1386" s="600"/>
      <c r="AM1386" s="585"/>
      <c r="AN1386" s="585"/>
      <c r="AO1386" s="574"/>
      <c r="AP1386" s="430"/>
      <c r="AQ1386" s="430"/>
      <c r="AR1386" s="430"/>
      <c r="AS1386" s="430"/>
      <c r="AT1386" s="430"/>
      <c r="AU1386" s="430"/>
      <c r="AV1386" s="430"/>
      <c r="AW1386" s="430"/>
      <c r="AX1386" s="430"/>
      <c r="AY1386" s="430"/>
      <c r="AZ1386" s="430"/>
      <c r="BA1386" s="430"/>
      <c r="BB1386" s="430"/>
      <c r="BC1386" s="430"/>
      <c r="BD1386" s="574"/>
      <c r="BE1386" s="574"/>
      <c r="BF1386" s="574"/>
      <c r="BG1386" s="574"/>
      <c r="BH1386" s="574"/>
      <c r="BI1386" s="574"/>
      <c r="BJ1386" s="574"/>
      <c r="BK1386" s="574"/>
      <c r="BL1386" s="574"/>
      <c r="BM1386" s="574"/>
      <c r="BN1386" s="574"/>
      <c r="BO1386" s="574"/>
      <c r="BP1386" s="574"/>
      <c r="BQ1386" s="574"/>
      <c r="BR1386" s="574"/>
      <c r="BS1386" s="574"/>
      <c r="BT1386" s="574"/>
      <c r="BU1386" s="574"/>
      <c r="BV1386" s="574"/>
      <c r="BW1386" s="574"/>
      <c r="BX1386" s="574"/>
      <c r="BY1386" s="574"/>
      <c r="BZ1386" s="574"/>
      <c r="CA1386" s="574"/>
      <c r="CB1386" s="574"/>
      <c r="CC1386" s="574"/>
      <c r="CD1386" s="574"/>
      <c r="CE1386" s="574"/>
      <c r="CF1386" s="589"/>
    </row>
    <row r="1387" spans="1:84" s="583" customFormat="1" ht="23.1" customHeight="1">
      <c r="A1387" s="584"/>
      <c r="B1387" s="585"/>
      <c r="C1387" s="585"/>
      <c r="D1387" s="585"/>
      <c r="E1387" s="585"/>
      <c r="F1387" s="585"/>
      <c r="G1387" s="585"/>
      <c r="H1387" s="585"/>
      <c r="I1387" s="585"/>
      <c r="J1387" s="585"/>
      <c r="K1387" s="585"/>
      <c r="L1387" s="585"/>
      <c r="M1387" s="585"/>
      <c r="N1387" s="585"/>
      <c r="O1387" s="585"/>
      <c r="P1387" s="585"/>
      <c r="Q1387" s="585"/>
      <c r="R1387" s="585"/>
      <c r="S1387" s="585"/>
      <c r="T1387" s="585"/>
      <c r="U1387" s="585"/>
      <c r="V1387" s="590"/>
      <c r="W1387" s="590"/>
      <c r="X1387" s="590"/>
      <c r="Y1387" s="590"/>
      <c r="Z1387" s="590"/>
      <c r="AA1387" s="590"/>
      <c r="AB1387" s="590"/>
      <c r="AC1387" s="590"/>
      <c r="AD1387" s="574"/>
      <c r="AE1387" s="1440">
        <v>13445000</v>
      </c>
      <c r="AF1387" s="1440"/>
      <c r="AG1387" s="1440"/>
      <c r="AH1387" s="1440"/>
      <c r="AI1387" s="1440"/>
      <c r="AJ1387" s="1440"/>
      <c r="AK1387" s="1440"/>
      <c r="AL1387" s="1440"/>
      <c r="AM1387" s="1440"/>
      <c r="AN1387" s="1440"/>
      <c r="AO1387" s="1440"/>
      <c r="AP1387" s="1440"/>
      <c r="AQ1387" s="1440"/>
      <c r="AR1387" s="1440"/>
      <c r="AS1387" s="1440"/>
      <c r="AT1387" s="1431" t="s">
        <v>446</v>
      </c>
      <c r="AU1387" s="1431"/>
      <c r="AV1387" s="1441" t="s">
        <v>1103</v>
      </c>
      <c r="AW1387" s="1441"/>
      <c r="AX1387" s="1442">
        <v>2799</v>
      </c>
      <c r="AY1387" s="1442"/>
      <c r="AZ1387" s="1442"/>
      <c r="BA1387" s="1442"/>
      <c r="BB1387" s="1442"/>
      <c r="BC1387" s="1442"/>
      <c r="BD1387" s="585"/>
      <c r="BE1387" s="1431" t="s">
        <v>446</v>
      </c>
      <c r="BF1387" s="1431"/>
      <c r="BG1387" s="585"/>
      <c r="BH1387" s="591" t="s">
        <v>1104</v>
      </c>
      <c r="BI1387" s="585"/>
      <c r="BJ1387" s="585"/>
      <c r="BK1387" s="585"/>
      <c r="BL1387" s="1431" t="s">
        <v>1105</v>
      </c>
      <c r="BM1387" s="1431"/>
      <c r="BN1387" s="1431"/>
      <c r="BO1387" s="585"/>
      <c r="BP1387" s="1431" t="s">
        <v>41</v>
      </c>
      <c r="BQ1387" s="1431"/>
      <c r="BR1387" s="585"/>
      <c r="BS1387" s="585"/>
      <c r="BT1387" s="1437">
        <f>INT(AE1387*AX1387*10^-7)</f>
        <v>3763</v>
      </c>
      <c r="BU1387" s="1437"/>
      <c r="BV1387" s="1437"/>
      <c r="BW1387" s="1437"/>
      <c r="BX1387" s="1437"/>
      <c r="BY1387" s="1437"/>
      <c r="BZ1387" s="1437"/>
      <c r="CA1387" s="1437"/>
      <c r="CB1387" s="1437"/>
      <c r="CC1387" s="1437"/>
      <c r="CD1387" s="585"/>
      <c r="CE1387" s="585"/>
      <c r="CF1387" s="586"/>
    </row>
    <row r="1388" spans="1:84" s="583" customFormat="1" ht="23.1" customHeight="1">
      <c r="A1388" s="592"/>
      <c r="B1388" s="593" t="s">
        <v>1106</v>
      </c>
      <c r="C1388" s="593"/>
      <c r="D1388" s="593"/>
      <c r="E1388" s="593"/>
      <c r="F1388" s="593"/>
      <c r="G1388" s="593"/>
      <c r="H1388" s="593"/>
      <c r="I1388" s="593"/>
      <c r="J1388" s="593"/>
      <c r="K1388" s="593"/>
      <c r="L1388" s="593"/>
      <c r="M1388" s="593"/>
      <c r="N1388" s="593"/>
      <c r="O1388" s="593"/>
      <c r="P1388" s="593"/>
      <c r="Q1388" s="593"/>
      <c r="R1388" s="593"/>
      <c r="S1388" s="593"/>
      <c r="T1388" s="593"/>
      <c r="U1388" s="593"/>
      <c r="V1388" s="593"/>
      <c r="W1388" s="593"/>
      <c r="X1388" s="593"/>
      <c r="Y1388" s="593"/>
      <c r="Z1388" s="593"/>
      <c r="AA1388" s="593"/>
      <c r="AB1388" s="593"/>
      <c r="AC1388" s="593"/>
      <c r="AD1388" s="593"/>
      <c r="AE1388" s="593"/>
      <c r="AF1388" s="593"/>
      <c r="AG1388" s="593"/>
      <c r="AH1388" s="593"/>
      <c r="AI1388" s="593"/>
      <c r="AJ1388" s="593"/>
      <c r="AK1388" s="593"/>
      <c r="AL1388" s="593"/>
      <c r="AM1388" s="593"/>
      <c r="AN1388" s="593"/>
      <c r="AO1388" s="593"/>
      <c r="AP1388" s="593"/>
      <c r="AQ1388" s="593"/>
      <c r="AR1388" s="593"/>
      <c r="AS1388" s="593"/>
      <c r="AT1388" s="593"/>
      <c r="AU1388" s="593"/>
      <c r="AV1388" s="593"/>
      <c r="AW1388" s="593"/>
      <c r="AX1388" s="593"/>
      <c r="AY1388" s="593"/>
      <c r="AZ1388" s="593"/>
      <c r="BA1388" s="593"/>
      <c r="BB1388" s="593"/>
      <c r="BC1388" s="593"/>
      <c r="BD1388" s="593"/>
      <c r="BE1388" s="593"/>
      <c r="BF1388" s="593"/>
      <c r="BG1388" s="593"/>
      <c r="BH1388" s="593"/>
      <c r="BI1388" s="593"/>
      <c r="BJ1388" s="593"/>
      <c r="BK1388" s="593"/>
      <c r="BL1388" s="593"/>
      <c r="BM1388" s="593"/>
      <c r="BN1388" s="593"/>
      <c r="BO1388" s="593"/>
      <c r="BP1388" s="593"/>
      <c r="BQ1388" s="593"/>
      <c r="BR1388" s="593"/>
      <c r="BS1388" s="593"/>
      <c r="BT1388" s="594"/>
      <c r="BU1388" s="594"/>
      <c r="BV1388" s="594"/>
      <c r="BW1388" s="594"/>
      <c r="BX1388" s="594"/>
      <c r="BY1388" s="594"/>
      <c r="BZ1388" s="594"/>
      <c r="CA1388" s="594"/>
      <c r="CB1388" s="594"/>
      <c r="CC1388" s="594"/>
      <c r="CD1388" s="593"/>
      <c r="CE1388" s="593"/>
      <c r="CF1388" s="595"/>
    </row>
    <row r="1389" spans="1:84" s="583" customFormat="1" ht="23.1" customHeight="1">
      <c r="A1389" s="584"/>
      <c r="B1389" s="585"/>
      <c r="C1389" s="585"/>
      <c r="D1389" s="596" t="s">
        <v>1093</v>
      </c>
      <c r="E1389" s="585"/>
      <c r="F1389" s="585"/>
      <c r="G1389" s="585"/>
      <c r="H1389" s="585"/>
      <c r="I1389" s="585"/>
      <c r="J1389" s="585"/>
      <c r="K1389" s="585"/>
      <c r="L1389" s="585"/>
      <c r="M1389" s="585"/>
      <c r="N1389" s="585"/>
      <c r="O1389" s="585"/>
      <c r="P1389" s="585"/>
      <c r="Q1389" s="585"/>
      <c r="R1389" s="585"/>
      <c r="S1389" s="585"/>
      <c r="T1389" s="574"/>
      <c r="U1389" s="574"/>
      <c r="V1389" s="1430">
        <f>HLOOKUP(D1389,$CJ$1:$CM$3,3,0)</f>
        <v>173995</v>
      </c>
      <c r="W1389" s="1430"/>
      <c r="X1389" s="1430"/>
      <c r="Y1389" s="1430"/>
      <c r="Z1389" s="1430"/>
      <c r="AA1389" s="1430"/>
      <c r="AB1389" s="1430"/>
      <c r="AC1389" s="1430"/>
      <c r="AD1389" s="1430"/>
      <c r="AE1389" s="1430"/>
      <c r="AF1389" s="1431" t="s">
        <v>446</v>
      </c>
      <c r="AG1389" s="1431"/>
      <c r="AH1389" s="574"/>
      <c r="AI1389" s="1436" t="s">
        <v>1107</v>
      </c>
      <c r="AJ1389" s="1436"/>
      <c r="AK1389" s="1436"/>
      <c r="AL1389" s="1436"/>
      <c r="AM1389" s="585"/>
      <c r="AN1389" s="1431" t="s">
        <v>446</v>
      </c>
      <c r="AO1389" s="1431"/>
      <c r="AP1389" s="585"/>
      <c r="AQ1389" s="1436" t="s">
        <v>1108</v>
      </c>
      <c r="AR1389" s="1436"/>
      <c r="AS1389" s="1436"/>
      <c r="AT1389" s="1436"/>
      <c r="AU1389" s="1436"/>
      <c r="AV1389" s="422"/>
      <c r="AW1389" s="1431" t="s">
        <v>446</v>
      </c>
      <c r="AX1389" s="1431"/>
      <c r="AY1389" s="440"/>
      <c r="AZ1389" s="1436" t="s">
        <v>1109</v>
      </c>
      <c r="BA1389" s="1436"/>
      <c r="BB1389" s="1436"/>
      <c r="BC1389" s="1436"/>
      <c r="BD1389" s="1436"/>
      <c r="BE1389" s="585"/>
      <c r="BF1389" s="1431" t="s">
        <v>446</v>
      </c>
      <c r="BG1389" s="1431"/>
      <c r="BH1389" s="1431">
        <v>1</v>
      </c>
      <c r="BI1389" s="1431"/>
      <c r="BJ1389" s="1431"/>
      <c r="BK1389" s="585"/>
      <c r="BL1389" s="585" t="s">
        <v>366</v>
      </c>
      <c r="BM1389" s="585"/>
      <c r="BN1389" s="585"/>
      <c r="BO1389" s="585"/>
      <c r="BP1389" s="1431" t="s">
        <v>41</v>
      </c>
      <c r="BQ1389" s="1431"/>
      <c r="BR1389" s="585"/>
      <c r="BS1389" s="585"/>
      <c r="BT1389" s="1432">
        <f>INT(V1389/8*16/12*25/20*BH1389)</f>
        <v>36248</v>
      </c>
      <c r="BU1389" s="1432"/>
      <c r="BV1389" s="1432"/>
      <c r="BW1389" s="1432"/>
      <c r="BX1389" s="1432"/>
      <c r="BY1389" s="1432"/>
      <c r="BZ1389" s="1432"/>
      <c r="CA1389" s="1432"/>
      <c r="CB1389" s="1432"/>
      <c r="CC1389" s="1432"/>
      <c r="CD1389" s="585"/>
      <c r="CE1389" s="585"/>
      <c r="CF1389" s="586"/>
    </row>
    <row r="1390" spans="1:84" s="583" customFormat="1" ht="23.1" customHeight="1">
      <c r="A1390" s="584"/>
      <c r="B1390" s="585"/>
      <c r="C1390" s="585"/>
      <c r="D1390" s="585"/>
      <c r="E1390" s="585"/>
      <c r="F1390" s="585"/>
      <c r="G1390" s="585"/>
      <c r="H1390" s="585"/>
      <c r="I1390" s="585"/>
      <c r="J1390" s="585"/>
      <c r="K1390" s="585"/>
      <c r="L1390" s="585"/>
      <c r="M1390" s="585"/>
      <c r="N1390" s="585"/>
      <c r="O1390" s="585"/>
      <c r="P1390" s="574"/>
      <c r="Q1390" s="574"/>
      <c r="R1390" s="574"/>
      <c r="S1390" s="574"/>
      <c r="T1390" s="574"/>
      <c r="U1390" s="574"/>
      <c r="V1390" s="574"/>
      <c r="W1390" s="574"/>
      <c r="X1390" s="574"/>
      <c r="Y1390" s="574"/>
      <c r="Z1390" s="574"/>
      <c r="AA1390" s="574"/>
      <c r="AB1390" s="574"/>
      <c r="AC1390" s="574"/>
      <c r="AD1390" s="574"/>
      <c r="AE1390" s="574"/>
      <c r="AF1390" s="574"/>
      <c r="AG1390" s="574"/>
      <c r="AH1390" s="574"/>
      <c r="AI1390" s="574"/>
      <c r="AJ1390" s="574"/>
      <c r="AK1390" s="574"/>
      <c r="AL1390" s="574"/>
      <c r="AM1390" s="574"/>
      <c r="AN1390" s="574"/>
      <c r="AO1390" s="574"/>
      <c r="AP1390" s="574"/>
      <c r="AQ1390" s="574"/>
      <c r="AR1390" s="574"/>
      <c r="AS1390" s="574"/>
      <c r="AT1390" s="574"/>
      <c r="AU1390" s="574"/>
      <c r="AV1390" s="574"/>
      <c r="AW1390" s="574"/>
      <c r="AX1390" s="574"/>
      <c r="AY1390" s="574"/>
      <c r="AZ1390" s="574"/>
      <c r="BA1390" s="574"/>
      <c r="BB1390" s="574"/>
      <c r="BC1390" s="574"/>
      <c r="BD1390" s="574"/>
      <c r="BE1390" s="574"/>
      <c r="BF1390" s="574"/>
      <c r="BG1390" s="585"/>
      <c r="BH1390" s="585"/>
      <c r="BI1390" s="585"/>
      <c r="BJ1390" s="585"/>
      <c r="BK1390" s="585"/>
      <c r="BL1390" s="585"/>
      <c r="BM1390" s="585"/>
      <c r="BN1390" s="585"/>
      <c r="BO1390" s="585"/>
      <c r="BP1390" s="1431"/>
      <c r="BQ1390" s="1431"/>
      <c r="BR1390" s="585"/>
      <c r="BS1390" s="585"/>
      <c r="BT1390" s="1432"/>
      <c r="BU1390" s="1432"/>
      <c r="BV1390" s="1432"/>
      <c r="BW1390" s="1432"/>
      <c r="BX1390" s="1432"/>
      <c r="BY1390" s="1432"/>
      <c r="BZ1390" s="1432"/>
      <c r="CA1390" s="1432"/>
      <c r="CB1390" s="1432"/>
      <c r="CC1390" s="1432"/>
      <c r="CD1390" s="585"/>
      <c r="CE1390" s="585"/>
      <c r="CF1390" s="586"/>
    </row>
    <row r="1391" spans="1:84" s="583" customFormat="1" ht="23.1" customHeight="1">
      <c r="A1391" s="584"/>
      <c r="B1391" s="585"/>
      <c r="C1391" s="585"/>
      <c r="D1391" s="585"/>
      <c r="E1391" s="585"/>
      <c r="F1391" s="585"/>
      <c r="G1391" s="585"/>
      <c r="H1391" s="585"/>
      <c r="I1391" s="585"/>
      <c r="J1391" s="585"/>
      <c r="K1391" s="585"/>
      <c r="L1391" s="585"/>
      <c r="M1391" s="585"/>
      <c r="N1391" s="585"/>
      <c r="O1391" s="585"/>
      <c r="P1391" s="585"/>
      <c r="Q1391" s="585"/>
      <c r="R1391" s="585"/>
      <c r="S1391" s="585"/>
      <c r="T1391" s="585"/>
      <c r="U1391" s="585"/>
      <c r="V1391" s="585"/>
      <c r="W1391" s="585"/>
      <c r="X1391" s="585"/>
      <c r="Y1391" s="585"/>
      <c r="Z1391" s="585"/>
      <c r="AA1391" s="585"/>
      <c r="AB1391" s="585"/>
      <c r="AC1391" s="585"/>
      <c r="AD1391" s="574"/>
      <c r="AE1391" s="574"/>
      <c r="AF1391" s="574"/>
      <c r="AG1391" s="574"/>
      <c r="AH1391" s="574"/>
      <c r="AI1391" s="574"/>
      <c r="AJ1391" s="574"/>
      <c r="AK1391" s="574"/>
      <c r="AL1391" s="574"/>
      <c r="AM1391" s="574"/>
      <c r="AN1391" s="574"/>
      <c r="AO1391" s="574"/>
      <c r="AP1391" s="574"/>
      <c r="AQ1391" s="574"/>
      <c r="AR1391" s="574"/>
      <c r="AS1391" s="585"/>
      <c r="AT1391" s="590"/>
      <c r="AU1391" s="590"/>
      <c r="AV1391" s="585"/>
      <c r="AW1391" s="585"/>
      <c r="AX1391" s="585"/>
      <c r="AY1391" s="585"/>
      <c r="AZ1391" s="585"/>
      <c r="BA1391" s="585"/>
      <c r="BB1391" s="585"/>
      <c r="BC1391" s="585"/>
      <c r="BD1391" s="585"/>
      <c r="BE1391" s="585"/>
      <c r="BF1391" s="585"/>
      <c r="BG1391" s="585"/>
      <c r="BH1391" s="585"/>
      <c r="BI1391" s="585"/>
      <c r="BJ1391" s="585"/>
      <c r="BK1391" s="585"/>
      <c r="BL1391" s="585"/>
      <c r="BM1391" s="585"/>
      <c r="BN1391" s="585"/>
      <c r="BO1391" s="585"/>
      <c r="BP1391" s="1431" t="s">
        <v>41</v>
      </c>
      <c r="BQ1391" s="1431"/>
      <c r="BR1391" s="585"/>
      <c r="BS1391" s="585"/>
      <c r="BT1391" s="1434">
        <f>BT1389+BT1390</f>
        <v>36248</v>
      </c>
      <c r="BU1391" s="1434"/>
      <c r="BV1391" s="1434"/>
      <c r="BW1391" s="1434"/>
      <c r="BX1391" s="1434"/>
      <c r="BY1391" s="1434"/>
      <c r="BZ1391" s="1434"/>
      <c r="CA1391" s="1434"/>
      <c r="CB1391" s="1434"/>
      <c r="CC1391" s="1434"/>
      <c r="CD1391" s="585"/>
      <c r="CE1391" s="585"/>
      <c r="CF1391" s="586"/>
    </row>
    <row r="1392" spans="1:84" s="583" customFormat="1" ht="23.1" customHeight="1">
      <c r="A1392" s="592"/>
      <c r="B1392" s="593" t="s">
        <v>1110</v>
      </c>
      <c r="C1392" s="593"/>
      <c r="D1392" s="593"/>
      <c r="E1392" s="593"/>
      <c r="F1392" s="593"/>
      <c r="G1392" s="593"/>
      <c r="H1392" s="593"/>
      <c r="I1392" s="593"/>
      <c r="J1392" s="593"/>
      <c r="K1392" s="593"/>
      <c r="L1392" s="593"/>
      <c r="M1392" s="593"/>
      <c r="N1392" s="593"/>
      <c r="O1392" s="593"/>
      <c r="P1392" s="593"/>
      <c r="Q1392" s="593"/>
      <c r="R1392" s="593"/>
      <c r="S1392" s="593"/>
      <c r="T1392" s="593"/>
      <c r="U1392" s="593"/>
      <c r="V1392" s="593"/>
      <c r="W1392" s="593"/>
      <c r="X1392" s="593"/>
      <c r="Y1392" s="593"/>
      <c r="Z1392" s="593"/>
      <c r="AA1392" s="593"/>
      <c r="AB1392" s="593"/>
      <c r="AC1392" s="593"/>
      <c r="AD1392" s="593"/>
      <c r="AE1392" s="593"/>
      <c r="AF1392" s="593"/>
      <c r="AG1392" s="593"/>
      <c r="AH1392" s="593"/>
      <c r="AI1392" s="593"/>
      <c r="AJ1392" s="593"/>
      <c r="AK1392" s="593"/>
      <c r="AL1392" s="593"/>
      <c r="AM1392" s="593"/>
      <c r="AN1392" s="593"/>
      <c r="AO1392" s="593"/>
      <c r="AP1392" s="593"/>
      <c r="AQ1392" s="593"/>
      <c r="AR1392" s="593"/>
      <c r="AS1392" s="593"/>
      <c r="AT1392" s="593"/>
      <c r="AU1392" s="593"/>
      <c r="AV1392" s="593"/>
      <c r="AW1392" s="593"/>
      <c r="AX1392" s="593"/>
      <c r="AY1392" s="593"/>
      <c r="AZ1392" s="593"/>
      <c r="BA1392" s="593"/>
      <c r="BB1392" s="593"/>
      <c r="BC1392" s="593"/>
      <c r="BD1392" s="593"/>
      <c r="BE1392" s="593"/>
      <c r="BF1392" s="593"/>
      <c r="BG1392" s="593"/>
      <c r="BH1392" s="593"/>
      <c r="BI1392" s="593"/>
      <c r="BJ1392" s="593"/>
      <c r="BK1392" s="593"/>
      <c r="BL1392" s="593"/>
      <c r="BM1392" s="593"/>
      <c r="BN1392" s="593"/>
      <c r="BO1392" s="593"/>
      <c r="BP1392" s="593"/>
      <c r="BQ1392" s="593"/>
      <c r="BR1392" s="593"/>
      <c r="BS1392" s="593"/>
      <c r="BT1392" s="593"/>
      <c r="BU1392" s="593"/>
      <c r="BV1392" s="593"/>
      <c r="BW1392" s="593"/>
      <c r="BX1392" s="593"/>
      <c r="BY1392" s="593"/>
      <c r="BZ1392" s="593"/>
      <c r="CA1392" s="593"/>
      <c r="CB1392" s="593"/>
      <c r="CC1392" s="593"/>
      <c r="CD1392" s="593"/>
      <c r="CE1392" s="593"/>
      <c r="CF1392" s="595"/>
    </row>
    <row r="1393" spans="1:84" s="583" customFormat="1" ht="23.1" customHeight="1">
      <c r="A1393" s="584"/>
      <c r="B1393" s="585"/>
      <c r="C1393" s="585"/>
      <c r="D1393" s="596" t="s">
        <v>42</v>
      </c>
      <c r="E1393" s="585"/>
      <c r="F1393" s="585"/>
      <c r="G1393" s="585"/>
      <c r="H1393" s="585"/>
      <c r="I1393" s="585"/>
      <c r="J1393" s="585"/>
      <c r="K1393" s="585"/>
      <c r="L1393" s="585"/>
      <c r="M1393" s="585"/>
      <c r="N1393" s="585"/>
      <c r="O1393" s="585"/>
      <c r="P1393" s="585"/>
      <c r="Q1393" s="585"/>
      <c r="R1393" s="585"/>
      <c r="S1393" s="585"/>
      <c r="T1393" s="585"/>
      <c r="U1393" s="585"/>
      <c r="V1393" s="585"/>
      <c r="W1393" s="585"/>
      <c r="X1393" s="585"/>
      <c r="Y1393" s="585"/>
      <c r="Z1393" s="585"/>
      <c r="AA1393" s="585"/>
      <c r="AB1393" s="585"/>
      <c r="AC1393" s="585"/>
      <c r="AD1393" s="585"/>
      <c r="AE1393" s="585"/>
      <c r="AF1393" s="585"/>
      <c r="AG1393" s="585"/>
      <c r="AH1393" s="585"/>
      <c r="AI1393" s="585"/>
      <c r="AJ1393" s="585"/>
      <c r="AK1393" s="585"/>
      <c r="AL1393" s="585"/>
      <c r="AM1393" s="585"/>
      <c r="AN1393" s="585"/>
      <c r="AO1393" s="585"/>
      <c r="AP1393" s="585"/>
      <c r="AQ1393" s="585"/>
      <c r="AR1393" s="422"/>
      <c r="AS1393" s="1430" t="e">
        <f>HLOOKUP(D1393,$CN$1:$CO$3,3,0)</f>
        <v>#REF!</v>
      </c>
      <c r="AT1393" s="1430"/>
      <c r="AU1393" s="1430"/>
      <c r="AV1393" s="1430"/>
      <c r="AW1393" s="1430"/>
      <c r="AX1393" s="1430"/>
      <c r="AY1393" s="1430"/>
      <c r="AZ1393" s="1430"/>
      <c r="BA1393" s="1430"/>
      <c r="BB1393" s="1430"/>
      <c r="BC1393" s="585"/>
      <c r="BD1393" s="1431" t="s">
        <v>446</v>
      </c>
      <c r="BE1393" s="1431"/>
      <c r="BF1393" s="585"/>
      <c r="BG1393" s="1431">
        <v>5.53</v>
      </c>
      <c r="BH1393" s="1431"/>
      <c r="BI1393" s="1431"/>
      <c r="BJ1393" s="1431"/>
      <c r="BK1393" s="1431"/>
      <c r="BL1393" s="585" t="s">
        <v>1111</v>
      </c>
      <c r="BM1393" s="585"/>
      <c r="BN1393" s="585"/>
      <c r="BO1393" s="585"/>
      <c r="BP1393" s="1431" t="s">
        <v>41</v>
      </c>
      <c r="BQ1393" s="1431"/>
      <c r="BR1393" s="585"/>
      <c r="BS1393" s="585"/>
      <c r="BT1393" s="1432" t="e">
        <f>INT(AS1393*BG1393)</f>
        <v>#REF!</v>
      </c>
      <c r="BU1393" s="1432"/>
      <c r="BV1393" s="1432"/>
      <c r="BW1393" s="1432"/>
      <c r="BX1393" s="1432"/>
      <c r="BY1393" s="1432"/>
      <c r="BZ1393" s="1432"/>
      <c r="CA1393" s="1432"/>
      <c r="CB1393" s="1432"/>
      <c r="CC1393" s="1432"/>
      <c r="CD1393" s="585"/>
      <c r="CE1393" s="585"/>
      <c r="CF1393" s="586"/>
    </row>
    <row r="1394" spans="1:84" s="583" customFormat="1" ht="23.1" customHeight="1">
      <c r="A1394" s="584"/>
      <c r="B1394" s="585"/>
      <c r="C1394" s="585"/>
      <c r="D1394" s="591" t="str">
        <f>"잡재료 (주연료의 "&amp;BG1394&amp;"%) :"</f>
        <v>잡재료 (주연료의 20%) :</v>
      </c>
      <c r="E1394" s="585"/>
      <c r="F1394" s="585"/>
      <c r="G1394" s="585"/>
      <c r="H1394" s="585"/>
      <c r="I1394" s="585"/>
      <c r="J1394" s="585"/>
      <c r="K1394" s="585"/>
      <c r="L1394" s="585"/>
      <c r="M1394" s="585"/>
      <c r="N1394" s="585"/>
      <c r="O1394" s="585"/>
      <c r="P1394" s="585"/>
      <c r="Q1394" s="585"/>
      <c r="R1394" s="585"/>
      <c r="S1394" s="585"/>
      <c r="T1394" s="585"/>
      <c r="U1394" s="585"/>
      <c r="V1394" s="585"/>
      <c r="W1394" s="585"/>
      <c r="X1394" s="585"/>
      <c r="Y1394" s="585"/>
      <c r="Z1394" s="585"/>
      <c r="AA1394" s="585"/>
      <c r="AB1394" s="585"/>
      <c r="AC1394" s="585"/>
      <c r="AD1394" s="585"/>
      <c r="AE1394" s="585"/>
      <c r="AF1394" s="585"/>
      <c r="AG1394" s="585"/>
      <c r="AH1394" s="585"/>
      <c r="AI1394" s="585"/>
      <c r="AJ1394" s="585"/>
      <c r="AK1394" s="585"/>
      <c r="AL1394" s="585"/>
      <c r="AM1394" s="585"/>
      <c r="AN1394" s="585"/>
      <c r="AO1394" s="585"/>
      <c r="AP1394" s="585"/>
      <c r="AQ1394" s="585"/>
      <c r="AR1394" s="422" t="e">
        <f>BT1393</f>
        <v>#REF!</v>
      </c>
      <c r="AS1394" s="1430" t="e">
        <f>BT1393</f>
        <v>#REF!</v>
      </c>
      <c r="AT1394" s="1430"/>
      <c r="AU1394" s="1430"/>
      <c r="AV1394" s="1430"/>
      <c r="AW1394" s="1430"/>
      <c r="AX1394" s="1430"/>
      <c r="AY1394" s="1430"/>
      <c r="AZ1394" s="1430"/>
      <c r="BA1394" s="1430"/>
      <c r="BB1394" s="1430"/>
      <c r="BC1394" s="585"/>
      <c r="BD1394" s="1431" t="s">
        <v>446</v>
      </c>
      <c r="BE1394" s="1431"/>
      <c r="BF1394" s="585"/>
      <c r="BG1394" s="1431">
        <v>20</v>
      </c>
      <c r="BH1394" s="1431"/>
      <c r="BI1394" s="1431"/>
      <c r="BJ1394" s="1431"/>
      <c r="BK1394" s="1431"/>
      <c r="BL1394" s="585" t="s">
        <v>1112</v>
      </c>
      <c r="BM1394" s="585"/>
      <c r="BN1394" s="585"/>
      <c r="BO1394" s="585"/>
      <c r="BP1394" s="1431" t="s">
        <v>41</v>
      </c>
      <c r="BQ1394" s="1431"/>
      <c r="BR1394" s="585"/>
      <c r="BS1394" s="585"/>
      <c r="BT1394" s="1432" t="e">
        <f>INT(AS1394*BG1394/100)</f>
        <v>#REF!</v>
      </c>
      <c r="BU1394" s="1432"/>
      <c r="BV1394" s="1432"/>
      <c r="BW1394" s="1432"/>
      <c r="BX1394" s="1432"/>
      <c r="BY1394" s="1432"/>
      <c r="BZ1394" s="1432"/>
      <c r="CA1394" s="1432"/>
      <c r="CB1394" s="1432"/>
      <c r="CC1394" s="1432"/>
      <c r="CD1394" s="585"/>
      <c r="CE1394" s="585"/>
      <c r="CF1394" s="586"/>
    </row>
    <row r="1395" spans="1:84" s="583" customFormat="1" ht="23.1" customHeight="1" thickBot="1">
      <c r="A1395" s="584"/>
      <c r="B1395" s="585"/>
      <c r="C1395" s="585"/>
      <c r="D1395" s="585"/>
      <c r="E1395" s="585"/>
      <c r="F1395" s="585"/>
      <c r="G1395" s="585"/>
      <c r="H1395" s="585"/>
      <c r="I1395" s="585"/>
      <c r="J1395" s="585"/>
      <c r="K1395" s="585"/>
      <c r="L1395" s="585"/>
      <c r="M1395" s="585"/>
      <c r="N1395" s="585"/>
      <c r="O1395" s="585"/>
      <c r="P1395" s="585"/>
      <c r="Q1395" s="585"/>
      <c r="R1395" s="585"/>
      <c r="S1395" s="585"/>
      <c r="T1395" s="585"/>
      <c r="U1395" s="585"/>
      <c r="V1395" s="585"/>
      <c r="W1395" s="585"/>
      <c r="X1395" s="585"/>
      <c r="Y1395" s="585"/>
      <c r="Z1395" s="585"/>
      <c r="AA1395" s="585"/>
      <c r="AB1395" s="585"/>
      <c r="AC1395" s="585"/>
      <c r="AD1395" s="585"/>
      <c r="AE1395" s="585"/>
      <c r="AF1395" s="585"/>
      <c r="AG1395" s="585"/>
      <c r="AH1395" s="585"/>
      <c r="AI1395" s="585"/>
      <c r="AJ1395" s="585"/>
      <c r="AK1395" s="585"/>
      <c r="AL1395" s="585"/>
      <c r="AM1395" s="585"/>
      <c r="AN1395" s="585"/>
      <c r="AO1395" s="585"/>
      <c r="AP1395" s="585"/>
      <c r="AQ1395" s="585"/>
      <c r="AR1395" s="585"/>
      <c r="AS1395" s="585"/>
      <c r="AT1395" s="585"/>
      <c r="AU1395" s="585"/>
      <c r="AV1395" s="585"/>
      <c r="AW1395" s="585"/>
      <c r="AX1395" s="585"/>
      <c r="AY1395" s="585"/>
      <c r="AZ1395" s="585"/>
      <c r="BA1395" s="585"/>
      <c r="BB1395" s="585"/>
      <c r="BC1395" s="585"/>
      <c r="BD1395" s="585"/>
      <c r="BE1395" s="585"/>
      <c r="BF1395" s="585"/>
      <c r="BG1395" s="585"/>
      <c r="BH1395" s="585"/>
      <c r="BI1395" s="585"/>
      <c r="BJ1395" s="585"/>
      <c r="BK1395" s="585"/>
      <c r="BL1395" s="585"/>
      <c r="BM1395" s="585"/>
      <c r="BN1395" s="585"/>
      <c r="BO1395" s="585"/>
      <c r="BP1395" s="1431" t="s">
        <v>41</v>
      </c>
      <c r="BQ1395" s="1431"/>
      <c r="BR1395" s="585"/>
      <c r="BS1395" s="585"/>
      <c r="BT1395" s="1433" t="e">
        <f>BT1393+BT1394</f>
        <v>#REF!</v>
      </c>
      <c r="BU1395" s="1433"/>
      <c r="BV1395" s="1433"/>
      <c r="BW1395" s="1433"/>
      <c r="BX1395" s="1433"/>
      <c r="BY1395" s="1433"/>
      <c r="BZ1395" s="1433"/>
      <c r="CA1395" s="1433"/>
      <c r="CB1395" s="1433"/>
      <c r="CC1395" s="1433"/>
      <c r="CD1395" s="585"/>
      <c r="CE1395" s="585"/>
      <c r="CF1395" s="586"/>
    </row>
    <row r="1396" spans="1:84" s="583" customFormat="1" ht="23.1" customHeight="1" thickBot="1">
      <c r="A1396" s="597"/>
      <c r="B1396" s="598" t="s">
        <v>1113</v>
      </c>
      <c r="C1396" s="598"/>
      <c r="D1396" s="598"/>
      <c r="E1396" s="598"/>
      <c r="F1396" s="598"/>
      <c r="G1396" s="598"/>
      <c r="H1396" s="598"/>
      <c r="I1396" s="598"/>
      <c r="J1396" s="598"/>
      <c r="K1396" s="598"/>
      <c r="L1396" s="598"/>
      <c r="M1396" s="598"/>
      <c r="N1396" s="598"/>
      <c r="O1396" s="598"/>
      <c r="P1396" s="598"/>
      <c r="Q1396" s="598"/>
      <c r="R1396" s="598"/>
      <c r="S1396" s="598"/>
      <c r="T1396" s="598"/>
      <c r="U1396" s="598"/>
      <c r="V1396" s="598"/>
      <c r="W1396" s="598"/>
      <c r="X1396" s="598"/>
      <c r="Y1396" s="598"/>
      <c r="Z1396" s="598"/>
      <c r="AA1396" s="598"/>
      <c r="AB1396" s="598"/>
      <c r="AC1396" s="598"/>
      <c r="AD1396" s="598"/>
      <c r="AE1396" s="598"/>
      <c r="AF1396" s="598"/>
      <c r="AG1396" s="598"/>
      <c r="AH1396" s="598"/>
      <c r="AI1396" s="598"/>
      <c r="AJ1396" s="598"/>
      <c r="AK1396" s="598"/>
      <c r="AL1396" s="598"/>
      <c r="AM1396" s="598"/>
      <c r="AN1396" s="598"/>
      <c r="AO1396" s="598"/>
      <c r="AP1396" s="598"/>
      <c r="AQ1396" s="598"/>
      <c r="AR1396" s="598"/>
      <c r="AS1396" s="598"/>
      <c r="AT1396" s="598"/>
      <c r="AU1396" s="598"/>
      <c r="AV1396" s="598"/>
      <c r="AW1396" s="598"/>
      <c r="AX1396" s="598"/>
      <c r="AY1396" s="598"/>
      <c r="AZ1396" s="598"/>
      <c r="BA1396" s="598"/>
      <c r="BB1396" s="598"/>
      <c r="BC1396" s="598"/>
      <c r="BD1396" s="598"/>
      <c r="BE1396" s="598"/>
      <c r="BF1396" s="598"/>
      <c r="BG1396" s="598"/>
      <c r="BH1396" s="598"/>
      <c r="BI1396" s="598"/>
      <c r="BJ1396" s="598"/>
      <c r="BK1396" s="598"/>
      <c r="BL1396" s="598"/>
      <c r="BM1396" s="598"/>
      <c r="BN1396" s="598"/>
      <c r="BO1396" s="598"/>
      <c r="BP1396" s="598"/>
      <c r="BQ1396" s="598"/>
      <c r="BR1396" s="598"/>
      <c r="BS1396" s="598"/>
      <c r="BT1396" s="1429" t="e">
        <f>BT1387+BT1391+BT1395</f>
        <v>#REF!</v>
      </c>
      <c r="BU1396" s="1429"/>
      <c r="BV1396" s="1429"/>
      <c r="BW1396" s="1429"/>
      <c r="BX1396" s="1429"/>
      <c r="BY1396" s="1429"/>
      <c r="BZ1396" s="1429"/>
      <c r="CA1396" s="1429"/>
      <c r="CB1396" s="1429"/>
      <c r="CC1396" s="1429"/>
      <c r="CD1396" s="598"/>
      <c r="CE1396" s="598"/>
      <c r="CF1396" s="599"/>
    </row>
    <row r="1397" spans="1:84" s="583" customFormat="1" ht="9.9499999999999993" customHeight="1">
      <c r="A1397" s="574"/>
      <c r="B1397" s="574"/>
      <c r="C1397" s="574"/>
      <c r="D1397" s="574"/>
      <c r="E1397" s="574"/>
      <c r="F1397" s="574"/>
      <c r="G1397" s="574"/>
      <c r="H1397" s="574"/>
      <c r="I1397" s="574"/>
      <c r="J1397" s="574"/>
      <c r="K1397" s="574"/>
      <c r="L1397" s="574"/>
      <c r="M1397" s="574"/>
      <c r="N1397" s="574"/>
      <c r="O1397" s="574"/>
      <c r="P1397" s="574"/>
      <c r="Q1397" s="574"/>
      <c r="R1397" s="574"/>
      <c r="S1397" s="574"/>
      <c r="T1397" s="574"/>
      <c r="U1397" s="574"/>
      <c r="V1397" s="574"/>
      <c r="W1397" s="574"/>
      <c r="X1397" s="574"/>
      <c r="Y1397" s="574"/>
      <c r="Z1397" s="574"/>
      <c r="AA1397" s="574"/>
      <c r="AB1397" s="574"/>
      <c r="AC1397" s="574"/>
      <c r="AD1397" s="574"/>
      <c r="AE1397" s="574"/>
      <c r="AF1397" s="574"/>
      <c r="AG1397" s="574"/>
      <c r="AH1397" s="574"/>
      <c r="AI1397" s="574"/>
      <c r="AJ1397" s="574"/>
      <c r="AK1397" s="574"/>
      <c r="AL1397" s="574"/>
      <c r="AM1397" s="574"/>
      <c r="AN1397" s="574"/>
      <c r="AO1397" s="574"/>
      <c r="AP1397" s="574"/>
      <c r="AQ1397" s="574"/>
      <c r="AR1397" s="574"/>
      <c r="AS1397" s="574"/>
      <c r="AT1397" s="574"/>
      <c r="AU1397" s="574"/>
      <c r="AV1397" s="574"/>
      <c r="AW1397" s="574"/>
      <c r="AX1397" s="574"/>
      <c r="AY1397" s="574"/>
      <c r="AZ1397" s="574"/>
      <c r="BA1397" s="574"/>
      <c r="BB1397" s="574"/>
      <c r="BC1397" s="574"/>
      <c r="BD1397" s="574"/>
      <c r="BE1397" s="574"/>
      <c r="BF1397" s="574"/>
      <c r="BG1397" s="574"/>
      <c r="BH1397" s="574"/>
      <c r="BI1397" s="574"/>
      <c r="BJ1397" s="574"/>
      <c r="BK1397" s="574"/>
      <c r="BL1397" s="574"/>
      <c r="BM1397" s="574"/>
      <c r="BN1397" s="574"/>
      <c r="BO1397" s="574"/>
      <c r="BP1397" s="574"/>
      <c r="BQ1397" s="574"/>
      <c r="BR1397" s="574"/>
      <c r="BS1397" s="574"/>
      <c r="BT1397" s="574"/>
      <c r="BU1397" s="574"/>
      <c r="BV1397" s="574"/>
      <c r="BW1397" s="574"/>
      <c r="BX1397" s="574"/>
      <c r="BY1397" s="574"/>
      <c r="BZ1397" s="574"/>
      <c r="CA1397" s="574"/>
      <c r="CB1397" s="574"/>
      <c r="CC1397" s="574"/>
      <c r="CD1397" s="574"/>
      <c r="CE1397" s="574"/>
      <c r="CF1397" s="574"/>
    </row>
    <row r="1398" spans="1:84" s="583" customFormat="1" ht="23.1" customHeight="1" thickBot="1">
      <c r="A1398" s="1446" t="s">
        <v>1095</v>
      </c>
      <c r="B1398" s="1446"/>
      <c r="C1398" s="1446"/>
      <c r="D1398" s="1446"/>
      <c r="E1398" s="1446"/>
      <c r="F1398" s="1446"/>
      <c r="G1398" s="1447">
        <f>G1383+1</f>
        <v>94</v>
      </c>
      <c r="H1398" s="1447"/>
      <c r="I1398" s="1447"/>
      <c r="J1398" s="1448" t="s">
        <v>1096</v>
      </c>
      <c r="K1398" s="1448"/>
      <c r="L1398" s="574"/>
      <c r="M1398" s="574"/>
      <c r="N1398" s="574"/>
      <c r="O1398" s="574"/>
      <c r="P1398" s="574"/>
      <c r="Q1398" s="574"/>
      <c r="R1398" s="574"/>
      <c r="S1398" s="574"/>
      <c r="T1398" s="574"/>
      <c r="U1398" s="574"/>
      <c r="V1398" s="574"/>
      <c r="W1398" s="574"/>
      <c r="X1398" s="574"/>
      <c r="Y1398" s="574"/>
      <c r="Z1398" s="574"/>
      <c r="AA1398" s="574"/>
      <c r="AB1398" s="574"/>
      <c r="AC1398" s="574"/>
      <c r="AD1398" s="574"/>
      <c r="AE1398" s="574"/>
      <c r="AF1398" s="574"/>
      <c r="AG1398" s="574"/>
      <c r="AH1398" s="574"/>
      <c r="AI1398" s="574"/>
      <c r="AJ1398" s="574"/>
      <c r="AK1398" s="574"/>
      <c r="AL1398" s="574"/>
      <c r="AM1398" s="574"/>
      <c r="AN1398" s="574"/>
      <c r="AO1398" s="574"/>
      <c r="AP1398" s="574"/>
      <c r="AQ1398" s="574"/>
      <c r="AR1398" s="574"/>
      <c r="AS1398" s="574"/>
      <c r="AT1398" s="574"/>
      <c r="AU1398" s="574"/>
      <c r="AV1398" s="574"/>
      <c r="AW1398" s="574"/>
      <c r="AX1398" s="574"/>
      <c r="AY1398" s="574"/>
      <c r="AZ1398" s="574"/>
      <c r="BA1398" s="574"/>
      <c r="BB1398" s="574"/>
      <c r="BC1398" s="574"/>
      <c r="BD1398" s="574"/>
      <c r="BE1398" s="574"/>
      <c r="BF1398" s="574"/>
      <c r="BG1398" s="574"/>
      <c r="BH1398" s="574"/>
      <c r="BI1398" s="574"/>
      <c r="BJ1398" s="574"/>
      <c r="BK1398" s="574"/>
      <c r="BL1398" s="574"/>
      <c r="BM1398" s="574"/>
      <c r="BN1398" s="574"/>
      <c r="BO1398" s="574"/>
      <c r="BP1398" s="574"/>
      <c r="BQ1398" s="574"/>
      <c r="BR1398" s="574"/>
      <c r="BS1398" s="574"/>
      <c r="BT1398" s="574"/>
      <c r="BU1398" s="574"/>
      <c r="BV1398" s="574"/>
      <c r="BW1398" s="574"/>
      <c r="BX1398" s="574"/>
      <c r="BY1398" s="574"/>
      <c r="BZ1398" s="574"/>
      <c r="CA1398" s="574"/>
      <c r="CB1398" s="574"/>
      <c r="CC1398" s="574"/>
      <c r="CD1398" s="574"/>
      <c r="CE1398" s="574"/>
      <c r="CF1398" s="574"/>
    </row>
    <row r="1399" spans="1:84" s="603" customFormat="1" ht="23.1" customHeight="1" thickBot="1">
      <c r="A1399" s="1438" t="s">
        <v>1097</v>
      </c>
      <c r="B1399" s="1439"/>
      <c r="C1399" s="1439"/>
      <c r="D1399" s="1439"/>
      <c r="E1399" s="1439"/>
      <c r="F1399" s="1439"/>
      <c r="G1399" s="1439"/>
      <c r="H1399" s="1439"/>
      <c r="I1399" s="601" t="s">
        <v>1266</v>
      </c>
      <c r="J1399" s="601"/>
      <c r="K1399" s="601"/>
      <c r="L1399" s="601"/>
      <c r="M1399" s="601"/>
      <c r="N1399" s="601"/>
      <c r="O1399" s="601"/>
      <c r="P1399" s="601"/>
      <c r="Q1399" s="601"/>
      <c r="R1399" s="601"/>
      <c r="S1399" s="601"/>
      <c r="T1399" s="601"/>
      <c r="U1399" s="601"/>
      <c r="V1399" s="601"/>
      <c r="W1399" s="601"/>
      <c r="X1399" s="601"/>
      <c r="Y1399" s="601"/>
      <c r="Z1399" s="601"/>
      <c r="AA1399" s="601"/>
      <c r="AB1399" s="601"/>
      <c r="AC1399" s="601"/>
      <c r="AD1399" s="601"/>
      <c r="AE1399" s="601"/>
      <c r="AF1399" s="601"/>
      <c r="AG1399" s="601"/>
      <c r="AH1399" s="601"/>
      <c r="AI1399" s="601"/>
      <c r="AJ1399" s="1439" t="s">
        <v>1099</v>
      </c>
      <c r="AK1399" s="1439"/>
      <c r="AL1399" s="1439"/>
      <c r="AM1399" s="1439"/>
      <c r="AN1399" s="1439"/>
      <c r="AO1399" s="1439"/>
      <c r="AP1399" s="1439"/>
      <c r="AQ1399" s="601" t="s">
        <v>1267</v>
      </c>
      <c r="AR1399" s="601"/>
      <c r="AS1399" s="601"/>
      <c r="AT1399" s="601"/>
      <c r="AU1399" s="601"/>
      <c r="AV1399" s="601"/>
      <c r="AW1399" s="601"/>
      <c r="AX1399" s="601"/>
      <c r="AY1399" s="601"/>
      <c r="AZ1399" s="601"/>
      <c r="BA1399" s="601"/>
      <c r="BB1399" s="601"/>
      <c r="BC1399" s="601"/>
      <c r="BD1399" s="601"/>
      <c r="BE1399" s="601"/>
      <c r="BF1399" s="601"/>
      <c r="BG1399" s="601"/>
      <c r="BH1399" s="601"/>
      <c r="BI1399" s="601"/>
      <c r="BJ1399" s="601"/>
      <c r="BK1399" s="601"/>
      <c r="BL1399" s="601"/>
      <c r="BM1399" s="601"/>
      <c r="BN1399" s="601"/>
      <c r="BO1399" s="601"/>
      <c r="BP1399" s="601"/>
      <c r="BQ1399" s="601"/>
      <c r="BR1399" s="601"/>
      <c r="BS1399" s="601"/>
      <c r="BT1399" s="601" t="s">
        <v>1268</v>
      </c>
      <c r="BU1399" s="601"/>
      <c r="BV1399" s="601"/>
      <c r="BW1399" s="601"/>
      <c r="BX1399" s="601"/>
      <c r="BY1399" s="601"/>
      <c r="BZ1399" s="601"/>
      <c r="CA1399" s="601"/>
      <c r="CB1399" s="601"/>
      <c r="CC1399" s="601"/>
      <c r="CD1399" s="601"/>
      <c r="CE1399" s="601"/>
      <c r="CF1399" s="602"/>
    </row>
    <row r="1400" spans="1:84" s="583" customFormat="1" ht="23.1" customHeight="1">
      <c r="A1400" s="584"/>
      <c r="B1400" s="585" t="s">
        <v>1102</v>
      </c>
      <c r="C1400" s="585"/>
      <c r="D1400" s="585"/>
      <c r="E1400" s="585"/>
      <c r="F1400" s="585"/>
      <c r="G1400" s="585"/>
      <c r="H1400" s="585"/>
      <c r="I1400" s="585"/>
      <c r="J1400" s="585"/>
      <c r="K1400" s="585"/>
      <c r="L1400" s="585"/>
      <c r="M1400" s="585"/>
      <c r="N1400" s="585"/>
      <c r="O1400" s="585"/>
      <c r="P1400" s="585"/>
      <c r="Q1400" s="585"/>
      <c r="R1400" s="585"/>
      <c r="S1400" s="585"/>
      <c r="T1400" s="585"/>
      <c r="U1400" s="585"/>
      <c r="V1400" s="585"/>
      <c r="W1400" s="585"/>
      <c r="X1400" s="585"/>
      <c r="Y1400" s="585"/>
      <c r="Z1400" s="585"/>
      <c r="AA1400" s="585"/>
      <c r="AB1400" s="585"/>
      <c r="AC1400" s="585"/>
      <c r="AD1400" s="585"/>
      <c r="AE1400" s="585"/>
      <c r="AF1400" s="585"/>
      <c r="AG1400" s="585"/>
      <c r="AH1400" s="585"/>
      <c r="AI1400" s="585"/>
      <c r="AJ1400" s="585"/>
      <c r="AK1400" s="585"/>
      <c r="AL1400" s="585"/>
      <c r="AM1400" s="585"/>
      <c r="AN1400" s="585"/>
      <c r="AO1400" s="585"/>
      <c r="AP1400" s="585"/>
      <c r="AQ1400" s="585"/>
      <c r="AR1400" s="585"/>
      <c r="AS1400" s="585"/>
      <c r="AT1400" s="585"/>
      <c r="AU1400" s="585"/>
      <c r="AV1400" s="585"/>
      <c r="AW1400" s="585"/>
      <c r="AX1400" s="585"/>
      <c r="AY1400" s="585"/>
      <c r="AZ1400" s="585"/>
      <c r="BA1400" s="585"/>
      <c r="BB1400" s="585"/>
      <c r="BC1400" s="585"/>
      <c r="BD1400" s="585"/>
      <c r="BE1400" s="585"/>
      <c r="BF1400" s="585"/>
      <c r="BG1400" s="585"/>
      <c r="BH1400" s="585"/>
      <c r="BI1400" s="585"/>
      <c r="BJ1400" s="585"/>
      <c r="BK1400" s="585"/>
      <c r="BL1400" s="585"/>
      <c r="BM1400" s="585"/>
      <c r="BN1400" s="585"/>
      <c r="BO1400" s="585"/>
      <c r="BP1400" s="585"/>
      <c r="BQ1400" s="585"/>
      <c r="BR1400" s="585"/>
      <c r="BS1400" s="585"/>
      <c r="BT1400" s="585"/>
      <c r="BU1400" s="585"/>
      <c r="BV1400" s="585"/>
      <c r="BW1400" s="585"/>
      <c r="BX1400" s="585"/>
      <c r="BY1400" s="585"/>
      <c r="BZ1400" s="585"/>
      <c r="CA1400" s="585"/>
      <c r="CB1400" s="585"/>
      <c r="CC1400" s="585"/>
      <c r="CD1400" s="585"/>
      <c r="CE1400" s="585"/>
      <c r="CF1400" s="586"/>
    </row>
    <row r="1401" spans="1:84" s="583" customFormat="1" ht="23.1" customHeight="1">
      <c r="A1401" s="587"/>
      <c r="B1401" s="574"/>
      <c r="C1401" s="574"/>
      <c r="D1401" s="405"/>
      <c r="E1401" s="574"/>
      <c r="F1401" s="422"/>
      <c r="G1401" s="422"/>
      <c r="H1401" s="422"/>
      <c r="I1401" s="422"/>
      <c r="J1401" s="422"/>
      <c r="K1401" s="422"/>
      <c r="L1401" s="422"/>
      <c r="M1401" s="422"/>
      <c r="N1401" s="574"/>
      <c r="O1401" s="574"/>
      <c r="P1401" s="574"/>
      <c r="Q1401" s="574"/>
      <c r="R1401" s="574"/>
      <c r="S1401" s="588"/>
      <c r="T1401" s="588"/>
      <c r="U1401" s="588"/>
      <c r="V1401" s="588"/>
      <c r="W1401" s="588"/>
      <c r="X1401" s="588"/>
      <c r="Y1401" s="588"/>
      <c r="Z1401" s="588"/>
      <c r="AA1401" s="574"/>
      <c r="AB1401" s="588"/>
      <c r="AC1401" s="585"/>
      <c r="AD1401" s="585"/>
      <c r="AE1401" s="600"/>
      <c r="AF1401" s="600"/>
      <c r="AG1401" s="600"/>
      <c r="AH1401" s="600"/>
      <c r="AI1401" s="600"/>
      <c r="AJ1401" s="600"/>
      <c r="AK1401" s="600"/>
      <c r="AL1401" s="600"/>
      <c r="AM1401" s="585"/>
      <c r="AN1401" s="585"/>
      <c r="AO1401" s="574"/>
      <c r="AP1401" s="430"/>
      <c r="AQ1401" s="430"/>
      <c r="AR1401" s="430"/>
      <c r="AS1401" s="430"/>
      <c r="AT1401" s="430"/>
      <c r="AU1401" s="430"/>
      <c r="AV1401" s="430"/>
      <c r="AW1401" s="430"/>
      <c r="AX1401" s="430"/>
      <c r="AY1401" s="430"/>
      <c r="AZ1401" s="430"/>
      <c r="BA1401" s="430"/>
      <c r="BB1401" s="430"/>
      <c r="BC1401" s="430"/>
      <c r="BD1401" s="574"/>
      <c r="BE1401" s="574"/>
      <c r="BF1401" s="574"/>
      <c r="BG1401" s="574"/>
      <c r="BH1401" s="574"/>
      <c r="BI1401" s="574"/>
      <c r="BJ1401" s="574"/>
      <c r="BK1401" s="574"/>
      <c r="BL1401" s="574"/>
      <c r="BM1401" s="574"/>
      <c r="BN1401" s="574"/>
      <c r="BO1401" s="574"/>
      <c r="BP1401" s="574"/>
      <c r="BQ1401" s="574"/>
      <c r="BR1401" s="574"/>
      <c r="BS1401" s="574"/>
      <c r="BT1401" s="574"/>
      <c r="BU1401" s="574"/>
      <c r="BV1401" s="574"/>
      <c r="BW1401" s="574"/>
      <c r="BX1401" s="574"/>
      <c r="BY1401" s="574"/>
      <c r="BZ1401" s="574"/>
      <c r="CA1401" s="574"/>
      <c r="CB1401" s="574"/>
      <c r="CC1401" s="574"/>
      <c r="CD1401" s="574"/>
      <c r="CE1401" s="574"/>
      <c r="CF1401" s="589"/>
    </row>
    <row r="1402" spans="1:84" s="583" customFormat="1" ht="23.1" customHeight="1">
      <c r="A1402" s="584"/>
      <c r="B1402" s="585"/>
      <c r="C1402" s="585"/>
      <c r="D1402" s="585"/>
      <c r="E1402" s="585"/>
      <c r="F1402" s="585"/>
      <c r="G1402" s="585"/>
      <c r="H1402" s="585"/>
      <c r="I1402" s="585"/>
      <c r="J1402" s="585"/>
      <c r="K1402" s="585"/>
      <c r="L1402" s="585"/>
      <c r="M1402" s="585"/>
      <c r="N1402" s="585"/>
      <c r="O1402" s="585"/>
      <c r="P1402" s="585"/>
      <c r="Q1402" s="585"/>
      <c r="R1402" s="585"/>
      <c r="S1402" s="585"/>
      <c r="T1402" s="585"/>
      <c r="U1402" s="585"/>
      <c r="V1402" s="590"/>
      <c r="W1402" s="590"/>
      <c r="X1402" s="590"/>
      <c r="Y1402" s="590"/>
      <c r="Z1402" s="590"/>
      <c r="AA1402" s="590"/>
      <c r="AB1402" s="590"/>
      <c r="AC1402" s="590"/>
      <c r="AD1402" s="574"/>
      <c r="AE1402" s="1440">
        <v>14452000</v>
      </c>
      <c r="AF1402" s="1440"/>
      <c r="AG1402" s="1440"/>
      <c r="AH1402" s="1440"/>
      <c r="AI1402" s="1440"/>
      <c r="AJ1402" s="1440"/>
      <c r="AK1402" s="1440"/>
      <c r="AL1402" s="1440"/>
      <c r="AM1402" s="1440"/>
      <c r="AN1402" s="1440"/>
      <c r="AO1402" s="1440"/>
      <c r="AP1402" s="1440"/>
      <c r="AQ1402" s="1440"/>
      <c r="AR1402" s="1440"/>
      <c r="AS1402" s="1440"/>
      <c r="AT1402" s="1431" t="s">
        <v>446</v>
      </c>
      <c r="AU1402" s="1431"/>
      <c r="AV1402" s="1441" t="s">
        <v>1103</v>
      </c>
      <c r="AW1402" s="1441"/>
      <c r="AX1402" s="1442">
        <v>2362</v>
      </c>
      <c r="AY1402" s="1442"/>
      <c r="AZ1402" s="1442"/>
      <c r="BA1402" s="1442"/>
      <c r="BB1402" s="1442"/>
      <c r="BC1402" s="1442"/>
      <c r="BD1402" s="585"/>
      <c r="BE1402" s="1431" t="s">
        <v>446</v>
      </c>
      <c r="BF1402" s="1431"/>
      <c r="BG1402" s="585"/>
      <c r="BH1402" s="591" t="s">
        <v>1104</v>
      </c>
      <c r="BI1402" s="585"/>
      <c r="BJ1402" s="585"/>
      <c r="BK1402" s="585"/>
      <c r="BL1402" s="1431" t="s">
        <v>1105</v>
      </c>
      <c r="BM1402" s="1431"/>
      <c r="BN1402" s="1431"/>
      <c r="BO1402" s="585"/>
      <c r="BP1402" s="1431" t="s">
        <v>41</v>
      </c>
      <c r="BQ1402" s="1431"/>
      <c r="BR1402" s="585"/>
      <c r="BS1402" s="585"/>
      <c r="BT1402" s="1437">
        <f>INT(AE1402*AX1402*10^-7)</f>
        <v>3413</v>
      </c>
      <c r="BU1402" s="1437"/>
      <c r="BV1402" s="1437"/>
      <c r="BW1402" s="1437"/>
      <c r="BX1402" s="1437"/>
      <c r="BY1402" s="1437"/>
      <c r="BZ1402" s="1437"/>
      <c r="CA1402" s="1437"/>
      <c r="CB1402" s="1437"/>
      <c r="CC1402" s="1437"/>
      <c r="CD1402" s="585"/>
      <c r="CE1402" s="585"/>
      <c r="CF1402" s="586"/>
    </row>
    <row r="1403" spans="1:84" s="583" customFormat="1" ht="23.1" customHeight="1">
      <c r="A1403" s="592"/>
      <c r="B1403" s="593" t="s">
        <v>1106</v>
      </c>
      <c r="C1403" s="593"/>
      <c r="D1403" s="593"/>
      <c r="E1403" s="593"/>
      <c r="F1403" s="593"/>
      <c r="G1403" s="593"/>
      <c r="H1403" s="593"/>
      <c r="I1403" s="593"/>
      <c r="J1403" s="593"/>
      <c r="K1403" s="593"/>
      <c r="L1403" s="593"/>
      <c r="M1403" s="593"/>
      <c r="N1403" s="593"/>
      <c r="O1403" s="593"/>
      <c r="P1403" s="593"/>
      <c r="Q1403" s="593"/>
      <c r="R1403" s="593"/>
      <c r="S1403" s="593"/>
      <c r="T1403" s="593"/>
      <c r="U1403" s="593"/>
      <c r="V1403" s="593"/>
      <c r="W1403" s="593"/>
      <c r="X1403" s="593"/>
      <c r="Y1403" s="593"/>
      <c r="Z1403" s="593"/>
      <c r="AA1403" s="593"/>
      <c r="AB1403" s="593"/>
      <c r="AC1403" s="593"/>
      <c r="AD1403" s="593"/>
      <c r="AE1403" s="593"/>
      <c r="AF1403" s="593"/>
      <c r="AG1403" s="593"/>
      <c r="AH1403" s="593"/>
      <c r="AI1403" s="593"/>
      <c r="AJ1403" s="593"/>
      <c r="AK1403" s="593"/>
      <c r="AL1403" s="593"/>
      <c r="AM1403" s="593"/>
      <c r="AN1403" s="593"/>
      <c r="AO1403" s="593"/>
      <c r="AP1403" s="593"/>
      <c r="AQ1403" s="593"/>
      <c r="AR1403" s="593"/>
      <c r="AS1403" s="593"/>
      <c r="AT1403" s="593"/>
      <c r="AU1403" s="593"/>
      <c r="AV1403" s="593"/>
      <c r="AW1403" s="593"/>
      <c r="AX1403" s="593"/>
      <c r="AY1403" s="593"/>
      <c r="AZ1403" s="593"/>
      <c r="BA1403" s="593"/>
      <c r="BB1403" s="593"/>
      <c r="BC1403" s="593"/>
      <c r="BD1403" s="593"/>
      <c r="BE1403" s="593"/>
      <c r="BF1403" s="593"/>
      <c r="BG1403" s="593"/>
      <c r="BH1403" s="593"/>
      <c r="BI1403" s="593"/>
      <c r="BJ1403" s="593"/>
      <c r="BK1403" s="593"/>
      <c r="BL1403" s="593"/>
      <c r="BM1403" s="593"/>
      <c r="BN1403" s="593"/>
      <c r="BO1403" s="593"/>
      <c r="BP1403" s="593"/>
      <c r="BQ1403" s="593"/>
      <c r="BR1403" s="593"/>
      <c r="BS1403" s="593"/>
      <c r="BT1403" s="594"/>
      <c r="BU1403" s="594"/>
      <c r="BV1403" s="594"/>
      <c r="BW1403" s="594"/>
      <c r="BX1403" s="594"/>
      <c r="BY1403" s="594"/>
      <c r="BZ1403" s="594"/>
      <c r="CA1403" s="594"/>
      <c r="CB1403" s="594"/>
      <c r="CC1403" s="594"/>
      <c r="CD1403" s="593"/>
      <c r="CE1403" s="593"/>
      <c r="CF1403" s="595"/>
    </row>
    <row r="1404" spans="1:84" s="583" customFormat="1" ht="23.1" customHeight="1">
      <c r="A1404" s="584"/>
      <c r="B1404" s="585"/>
      <c r="C1404" s="585"/>
      <c r="D1404" s="596" t="s">
        <v>1093</v>
      </c>
      <c r="E1404" s="585"/>
      <c r="F1404" s="585"/>
      <c r="G1404" s="585"/>
      <c r="H1404" s="585"/>
      <c r="I1404" s="585"/>
      <c r="J1404" s="585"/>
      <c r="K1404" s="585"/>
      <c r="L1404" s="585"/>
      <c r="M1404" s="585"/>
      <c r="N1404" s="585"/>
      <c r="O1404" s="585"/>
      <c r="P1404" s="585"/>
      <c r="Q1404" s="585"/>
      <c r="R1404" s="585"/>
      <c r="S1404" s="585"/>
      <c r="T1404" s="574"/>
      <c r="U1404" s="574"/>
      <c r="V1404" s="1430">
        <f>HLOOKUP(D1404,$CJ$1:$CM$3,3,0)</f>
        <v>173995</v>
      </c>
      <c r="W1404" s="1430"/>
      <c r="X1404" s="1430"/>
      <c r="Y1404" s="1430"/>
      <c r="Z1404" s="1430"/>
      <c r="AA1404" s="1430"/>
      <c r="AB1404" s="1430"/>
      <c r="AC1404" s="1430"/>
      <c r="AD1404" s="1430"/>
      <c r="AE1404" s="1430"/>
      <c r="AF1404" s="1431" t="s">
        <v>446</v>
      </c>
      <c r="AG1404" s="1431"/>
      <c r="AH1404" s="574"/>
      <c r="AI1404" s="1436" t="s">
        <v>1107</v>
      </c>
      <c r="AJ1404" s="1436"/>
      <c r="AK1404" s="1436"/>
      <c r="AL1404" s="1436"/>
      <c r="AM1404" s="585"/>
      <c r="AN1404" s="1431" t="s">
        <v>446</v>
      </c>
      <c r="AO1404" s="1431"/>
      <c r="AP1404" s="585"/>
      <c r="AQ1404" s="1436" t="s">
        <v>1108</v>
      </c>
      <c r="AR1404" s="1436"/>
      <c r="AS1404" s="1436"/>
      <c r="AT1404" s="1436"/>
      <c r="AU1404" s="1436"/>
      <c r="AV1404" s="422"/>
      <c r="AW1404" s="1431" t="s">
        <v>446</v>
      </c>
      <c r="AX1404" s="1431"/>
      <c r="AY1404" s="440"/>
      <c r="AZ1404" s="1436" t="s">
        <v>1109</v>
      </c>
      <c r="BA1404" s="1436"/>
      <c r="BB1404" s="1436"/>
      <c r="BC1404" s="1436"/>
      <c r="BD1404" s="1436"/>
      <c r="BE1404" s="585"/>
      <c r="BF1404" s="1431" t="s">
        <v>446</v>
      </c>
      <c r="BG1404" s="1431"/>
      <c r="BH1404" s="1431">
        <v>1</v>
      </c>
      <c r="BI1404" s="1431"/>
      <c r="BJ1404" s="1431"/>
      <c r="BK1404" s="585"/>
      <c r="BL1404" s="585" t="s">
        <v>366</v>
      </c>
      <c r="BM1404" s="585"/>
      <c r="BN1404" s="585"/>
      <c r="BO1404" s="585"/>
      <c r="BP1404" s="1431" t="s">
        <v>41</v>
      </c>
      <c r="BQ1404" s="1431"/>
      <c r="BR1404" s="585"/>
      <c r="BS1404" s="585"/>
      <c r="BT1404" s="1432">
        <f>INT(V1404/8*16/12*25/20*BH1404)</f>
        <v>36248</v>
      </c>
      <c r="BU1404" s="1432"/>
      <c r="BV1404" s="1432"/>
      <c r="BW1404" s="1432"/>
      <c r="BX1404" s="1432"/>
      <c r="BY1404" s="1432"/>
      <c r="BZ1404" s="1432"/>
      <c r="CA1404" s="1432"/>
      <c r="CB1404" s="1432"/>
      <c r="CC1404" s="1432"/>
      <c r="CD1404" s="585"/>
      <c r="CE1404" s="585"/>
      <c r="CF1404" s="586"/>
    </row>
    <row r="1405" spans="1:84" s="583" customFormat="1" ht="23.1" customHeight="1">
      <c r="A1405" s="584"/>
      <c r="B1405" s="585"/>
      <c r="C1405" s="585"/>
      <c r="D1405" s="585"/>
      <c r="E1405" s="585"/>
      <c r="F1405" s="585"/>
      <c r="G1405" s="585"/>
      <c r="H1405" s="585"/>
      <c r="I1405" s="585"/>
      <c r="J1405" s="585"/>
      <c r="K1405" s="585"/>
      <c r="L1405" s="585"/>
      <c r="M1405" s="585"/>
      <c r="N1405" s="585"/>
      <c r="O1405" s="585"/>
      <c r="P1405" s="574"/>
      <c r="Q1405" s="574"/>
      <c r="R1405" s="574"/>
      <c r="S1405" s="574"/>
      <c r="T1405" s="574"/>
      <c r="U1405" s="574"/>
      <c r="V1405" s="574"/>
      <c r="W1405" s="574"/>
      <c r="X1405" s="574"/>
      <c r="Y1405" s="574"/>
      <c r="Z1405" s="574"/>
      <c r="AA1405" s="574"/>
      <c r="AB1405" s="574"/>
      <c r="AC1405" s="574"/>
      <c r="AD1405" s="574"/>
      <c r="AE1405" s="574"/>
      <c r="AF1405" s="574"/>
      <c r="AG1405" s="574"/>
      <c r="AH1405" s="574"/>
      <c r="AI1405" s="574"/>
      <c r="AJ1405" s="574"/>
      <c r="AK1405" s="574"/>
      <c r="AL1405" s="574"/>
      <c r="AM1405" s="574"/>
      <c r="AN1405" s="574"/>
      <c r="AO1405" s="574"/>
      <c r="AP1405" s="574"/>
      <c r="AQ1405" s="574"/>
      <c r="AR1405" s="574"/>
      <c r="AS1405" s="574"/>
      <c r="AT1405" s="574"/>
      <c r="AU1405" s="574"/>
      <c r="AV1405" s="574"/>
      <c r="AW1405" s="574"/>
      <c r="AX1405" s="574"/>
      <c r="AY1405" s="574"/>
      <c r="AZ1405" s="574"/>
      <c r="BA1405" s="574"/>
      <c r="BB1405" s="574"/>
      <c r="BC1405" s="574"/>
      <c r="BD1405" s="574"/>
      <c r="BE1405" s="574"/>
      <c r="BF1405" s="574"/>
      <c r="BG1405" s="585"/>
      <c r="BH1405" s="585"/>
      <c r="BI1405" s="585"/>
      <c r="BJ1405" s="585"/>
      <c r="BK1405" s="585"/>
      <c r="BL1405" s="585"/>
      <c r="BM1405" s="585"/>
      <c r="BN1405" s="585"/>
      <c r="BO1405" s="585"/>
      <c r="BP1405" s="1431"/>
      <c r="BQ1405" s="1431"/>
      <c r="BR1405" s="585"/>
      <c r="BS1405" s="585"/>
      <c r="BT1405" s="1432"/>
      <c r="BU1405" s="1432"/>
      <c r="BV1405" s="1432"/>
      <c r="BW1405" s="1432"/>
      <c r="BX1405" s="1432"/>
      <c r="BY1405" s="1432"/>
      <c r="BZ1405" s="1432"/>
      <c r="CA1405" s="1432"/>
      <c r="CB1405" s="1432"/>
      <c r="CC1405" s="1432"/>
      <c r="CD1405" s="585"/>
      <c r="CE1405" s="585"/>
      <c r="CF1405" s="586"/>
    </row>
    <row r="1406" spans="1:84" s="583" customFormat="1" ht="23.1" customHeight="1">
      <c r="A1406" s="584"/>
      <c r="B1406" s="585"/>
      <c r="C1406" s="585"/>
      <c r="D1406" s="585"/>
      <c r="E1406" s="585"/>
      <c r="F1406" s="585"/>
      <c r="G1406" s="585"/>
      <c r="H1406" s="585"/>
      <c r="I1406" s="585"/>
      <c r="J1406" s="585"/>
      <c r="K1406" s="585"/>
      <c r="L1406" s="585"/>
      <c r="M1406" s="585"/>
      <c r="N1406" s="585"/>
      <c r="O1406" s="585"/>
      <c r="P1406" s="585"/>
      <c r="Q1406" s="585"/>
      <c r="R1406" s="585"/>
      <c r="S1406" s="585"/>
      <c r="T1406" s="585"/>
      <c r="U1406" s="585"/>
      <c r="V1406" s="585"/>
      <c r="W1406" s="585"/>
      <c r="X1406" s="585"/>
      <c r="Y1406" s="585"/>
      <c r="Z1406" s="585"/>
      <c r="AA1406" s="585"/>
      <c r="AB1406" s="585"/>
      <c r="AC1406" s="585"/>
      <c r="AD1406" s="574"/>
      <c r="AE1406" s="574"/>
      <c r="AF1406" s="574"/>
      <c r="AG1406" s="574"/>
      <c r="AH1406" s="574"/>
      <c r="AI1406" s="574"/>
      <c r="AJ1406" s="574"/>
      <c r="AK1406" s="574"/>
      <c r="AL1406" s="574"/>
      <c r="AM1406" s="574"/>
      <c r="AN1406" s="574"/>
      <c r="AO1406" s="574"/>
      <c r="AP1406" s="574"/>
      <c r="AQ1406" s="574"/>
      <c r="AR1406" s="574"/>
      <c r="AS1406" s="585"/>
      <c r="AT1406" s="590"/>
      <c r="AU1406" s="590"/>
      <c r="AV1406" s="585"/>
      <c r="AW1406" s="585"/>
      <c r="AX1406" s="585"/>
      <c r="AY1406" s="585"/>
      <c r="AZ1406" s="585"/>
      <c r="BA1406" s="585"/>
      <c r="BB1406" s="585"/>
      <c r="BC1406" s="585"/>
      <c r="BD1406" s="585"/>
      <c r="BE1406" s="585"/>
      <c r="BF1406" s="585"/>
      <c r="BG1406" s="585"/>
      <c r="BH1406" s="585"/>
      <c r="BI1406" s="585"/>
      <c r="BJ1406" s="585"/>
      <c r="BK1406" s="585"/>
      <c r="BL1406" s="585"/>
      <c r="BM1406" s="585"/>
      <c r="BN1406" s="585"/>
      <c r="BO1406" s="585"/>
      <c r="BP1406" s="1431" t="s">
        <v>41</v>
      </c>
      <c r="BQ1406" s="1431"/>
      <c r="BR1406" s="585"/>
      <c r="BS1406" s="585"/>
      <c r="BT1406" s="1434">
        <f>BT1404+BT1405</f>
        <v>36248</v>
      </c>
      <c r="BU1406" s="1434"/>
      <c r="BV1406" s="1434"/>
      <c r="BW1406" s="1434"/>
      <c r="BX1406" s="1434"/>
      <c r="BY1406" s="1434"/>
      <c r="BZ1406" s="1434"/>
      <c r="CA1406" s="1434"/>
      <c r="CB1406" s="1434"/>
      <c r="CC1406" s="1434"/>
      <c r="CD1406" s="585"/>
      <c r="CE1406" s="585"/>
      <c r="CF1406" s="586"/>
    </row>
    <row r="1407" spans="1:84" s="583" customFormat="1" ht="23.1" customHeight="1">
      <c r="A1407" s="592"/>
      <c r="B1407" s="593" t="s">
        <v>1110</v>
      </c>
      <c r="C1407" s="593"/>
      <c r="D1407" s="593"/>
      <c r="E1407" s="593"/>
      <c r="F1407" s="593"/>
      <c r="G1407" s="593"/>
      <c r="H1407" s="593"/>
      <c r="I1407" s="593"/>
      <c r="J1407" s="593"/>
      <c r="K1407" s="593"/>
      <c r="L1407" s="593"/>
      <c r="M1407" s="593"/>
      <c r="N1407" s="593"/>
      <c r="O1407" s="593"/>
      <c r="P1407" s="593"/>
      <c r="Q1407" s="593"/>
      <c r="R1407" s="593"/>
      <c r="S1407" s="593"/>
      <c r="T1407" s="593"/>
      <c r="U1407" s="593"/>
      <c r="V1407" s="593"/>
      <c r="W1407" s="593"/>
      <c r="X1407" s="593"/>
      <c r="Y1407" s="593"/>
      <c r="Z1407" s="593"/>
      <c r="AA1407" s="593"/>
      <c r="AB1407" s="593"/>
      <c r="AC1407" s="593"/>
      <c r="AD1407" s="593"/>
      <c r="AE1407" s="593"/>
      <c r="AF1407" s="593"/>
      <c r="AG1407" s="593"/>
      <c r="AH1407" s="593"/>
      <c r="AI1407" s="593"/>
      <c r="AJ1407" s="593"/>
      <c r="AK1407" s="593"/>
      <c r="AL1407" s="593"/>
      <c r="AM1407" s="593"/>
      <c r="AN1407" s="593"/>
      <c r="AO1407" s="593"/>
      <c r="AP1407" s="593"/>
      <c r="AQ1407" s="593"/>
      <c r="AR1407" s="593"/>
      <c r="AS1407" s="593"/>
      <c r="AT1407" s="593"/>
      <c r="AU1407" s="593"/>
      <c r="AV1407" s="593"/>
      <c r="AW1407" s="593"/>
      <c r="AX1407" s="593"/>
      <c r="AY1407" s="593"/>
      <c r="AZ1407" s="593"/>
      <c r="BA1407" s="593"/>
      <c r="BB1407" s="593"/>
      <c r="BC1407" s="593"/>
      <c r="BD1407" s="593"/>
      <c r="BE1407" s="593"/>
      <c r="BF1407" s="593"/>
      <c r="BG1407" s="593"/>
      <c r="BH1407" s="593"/>
      <c r="BI1407" s="593"/>
      <c r="BJ1407" s="593"/>
      <c r="BK1407" s="593"/>
      <c r="BL1407" s="593"/>
      <c r="BM1407" s="593"/>
      <c r="BN1407" s="593"/>
      <c r="BO1407" s="593"/>
      <c r="BP1407" s="593"/>
      <c r="BQ1407" s="593"/>
      <c r="BR1407" s="593"/>
      <c r="BS1407" s="593"/>
      <c r="BT1407" s="593"/>
      <c r="BU1407" s="593"/>
      <c r="BV1407" s="593"/>
      <c r="BW1407" s="593"/>
      <c r="BX1407" s="593"/>
      <c r="BY1407" s="593"/>
      <c r="BZ1407" s="593"/>
      <c r="CA1407" s="593"/>
      <c r="CB1407" s="593"/>
      <c r="CC1407" s="593"/>
      <c r="CD1407" s="593"/>
      <c r="CE1407" s="593"/>
      <c r="CF1407" s="595"/>
    </row>
    <row r="1408" spans="1:84" s="583" customFormat="1" ht="23.1" customHeight="1">
      <c r="A1408" s="584"/>
      <c r="B1408" s="585"/>
      <c r="C1408" s="585"/>
      <c r="D1408" s="596" t="s">
        <v>1094</v>
      </c>
      <c r="E1408" s="585"/>
      <c r="F1408" s="585"/>
      <c r="G1408" s="585"/>
      <c r="H1408" s="585"/>
      <c r="I1408" s="585"/>
      <c r="J1408" s="585"/>
      <c r="K1408" s="585"/>
      <c r="L1408" s="585"/>
      <c r="M1408" s="585"/>
      <c r="N1408" s="585"/>
      <c r="O1408" s="585"/>
      <c r="P1408" s="585"/>
      <c r="Q1408" s="585"/>
      <c r="R1408" s="585"/>
      <c r="S1408" s="585"/>
      <c r="T1408" s="585"/>
      <c r="U1408" s="585"/>
      <c r="V1408" s="585"/>
      <c r="W1408" s="585"/>
      <c r="X1408" s="585"/>
      <c r="Y1408" s="585"/>
      <c r="Z1408" s="585"/>
      <c r="AA1408" s="585"/>
      <c r="AB1408" s="585"/>
      <c r="AC1408" s="585"/>
      <c r="AD1408" s="585"/>
      <c r="AE1408" s="585"/>
      <c r="AF1408" s="585"/>
      <c r="AG1408" s="585"/>
      <c r="AH1408" s="585"/>
      <c r="AI1408" s="585"/>
      <c r="AJ1408" s="585"/>
      <c r="AK1408" s="585"/>
      <c r="AL1408" s="585"/>
      <c r="AM1408" s="585"/>
      <c r="AN1408" s="585"/>
      <c r="AO1408" s="585"/>
      <c r="AP1408" s="585"/>
      <c r="AQ1408" s="585"/>
      <c r="AR1408" s="422"/>
      <c r="AS1408" s="1430" t="e">
        <f>HLOOKUP(D1408,$CN$1:$CO$3,3,0)</f>
        <v>#REF!</v>
      </c>
      <c r="AT1408" s="1430"/>
      <c r="AU1408" s="1430"/>
      <c r="AV1408" s="1430"/>
      <c r="AW1408" s="1430"/>
      <c r="AX1408" s="1430"/>
      <c r="AY1408" s="1430"/>
      <c r="AZ1408" s="1430"/>
      <c r="BA1408" s="1430"/>
      <c r="BB1408" s="1430"/>
      <c r="BC1408" s="585"/>
      <c r="BD1408" s="1431" t="s">
        <v>446</v>
      </c>
      <c r="BE1408" s="1431"/>
      <c r="BF1408" s="585"/>
      <c r="BG1408" s="1431">
        <v>4.3</v>
      </c>
      <c r="BH1408" s="1431"/>
      <c r="BI1408" s="1431"/>
      <c r="BJ1408" s="1431"/>
      <c r="BK1408" s="1431"/>
      <c r="BL1408" s="585" t="s">
        <v>1111</v>
      </c>
      <c r="BM1408" s="585"/>
      <c r="BN1408" s="585"/>
      <c r="BO1408" s="585"/>
      <c r="BP1408" s="1431" t="s">
        <v>41</v>
      </c>
      <c r="BQ1408" s="1431"/>
      <c r="BR1408" s="585"/>
      <c r="BS1408" s="585"/>
      <c r="BT1408" s="1432" t="e">
        <f>INT(AS1408*BG1408)</f>
        <v>#REF!</v>
      </c>
      <c r="BU1408" s="1432"/>
      <c r="BV1408" s="1432"/>
      <c r="BW1408" s="1432"/>
      <c r="BX1408" s="1432"/>
      <c r="BY1408" s="1432"/>
      <c r="BZ1408" s="1432"/>
      <c r="CA1408" s="1432"/>
      <c r="CB1408" s="1432"/>
      <c r="CC1408" s="1432"/>
      <c r="CD1408" s="585"/>
      <c r="CE1408" s="585"/>
      <c r="CF1408" s="586"/>
    </row>
    <row r="1409" spans="1:84" s="583" customFormat="1" ht="23.1" customHeight="1">
      <c r="A1409" s="584"/>
      <c r="B1409" s="585"/>
      <c r="C1409" s="585"/>
      <c r="D1409" s="591" t="str">
        <f>"잡재료 (주연료의 "&amp;BG1409&amp;"%) :"</f>
        <v>잡재료 (주연료의 24%) :</v>
      </c>
      <c r="E1409" s="585"/>
      <c r="F1409" s="585"/>
      <c r="G1409" s="585"/>
      <c r="H1409" s="585"/>
      <c r="I1409" s="585"/>
      <c r="J1409" s="585"/>
      <c r="K1409" s="585"/>
      <c r="L1409" s="585"/>
      <c r="M1409" s="585"/>
      <c r="N1409" s="585"/>
      <c r="O1409" s="585"/>
      <c r="P1409" s="585"/>
      <c r="Q1409" s="585"/>
      <c r="R1409" s="585"/>
      <c r="S1409" s="585"/>
      <c r="T1409" s="585"/>
      <c r="U1409" s="585"/>
      <c r="V1409" s="585"/>
      <c r="W1409" s="585"/>
      <c r="X1409" s="585"/>
      <c r="Y1409" s="585"/>
      <c r="Z1409" s="585"/>
      <c r="AA1409" s="585"/>
      <c r="AB1409" s="585"/>
      <c r="AC1409" s="585"/>
      <c r="AD1409" s="585"/>
      <c r="AE1409" s="585"/>
      <c r="AF1409" s="585"/>
      <c r="AG1409" s="585"/>
      <c r="AH1409" s="585"/>
      <c r="AI1409" s="585"/>
      <c r="AJ1409" s="585"/>
      <c r="AK1409" s="585"/>
      <c r="AL1409" s="585"/>
      <c r="AM1409" s="585"/>
      <c r="AN1409" s="585"/>
      <c r="AO1409" s="585"/>
      <c r="AP1409" s="585"/>
      <c r="AQ1409" s="585"/>
      <c r="AR1409" s="422" t="e">
        <f>BT1408</f>
        <v>#REF!</v>
      </c>
      <c r="AS1409" s="1430" t="e">
        <f>BT1408</f>
        <v>#REF!</v>
      </c>
      <c r="AT1409" s="1430"/>
      <c r="AU1409" s="1430"/>
      <c r="AV1409" s="1430"/>
      <c r="AW1409" s="1430"/>
      <c r="AX1409" s="1430"/>
      <c r="AY1409" s="1430"/>
      <c r="AZ1409" s="1430"/>
      <c r="BA1409" s="1430"/>
      <c r="BB1409" s="1430"/>
      <c r="BC1409" s="585"/>
      <c r="BD1409" s="1431" t="s">
        <v>446</v>
      </c>
      <c r="BE1409" s="1431"/>
      <c r="BF1409" s="585"/>
      <c r="BG1409" s="1431">
        <v>24</v>
      </c>
      <c r="BH1409" s="1431"/>
      <c r="BI1409" s="1431"/>
      <c r="BJ1409" s="1431"/>
      <c r="BK1409" s="1431"/>
      <c r="BL1409" s="585" t="s">
        <v>1112</v>
      </c>
      <c r="BM1409" s="585"/>
      <c r="BN1409" s="585"/>
      <c r="BO1409" s="585"/>
      <c r="BP1409" s="1431" t="s">
        <v>41</v>
      </c>
      <c r="BQ1409" s="1431"/>
      <c r="BR1409" s="585"/>
      <c r="BS1409" s="585"/>
      <c r="BT1409" s="1432" t="e">
        <f>INT(AS1409*BG1409/100)</f>
        <v>#REF!</v>
      </c>
      <c r="BU1409" s="1432"/>
      <c r="BV1409" s="1432"/>
      <c r="BW1409" s="1432"/>
      <c r="BX1409" s="1432"/>
      <c r="BY1409" s="1432"/>
      <c r="BZ1409" s="1432"/>
      <c r="CA1409" s="1432"/>
      <c r="CB1409" s="1432"/>
      <c r="CC1409" s="1432"/>
      <c r="CD1409" s="585"/>
      <c r="CE1409" s="585"/>
      <c r="CF1409" s="586"/>
    </row>
    <row r="1410" spans="1:84" s="583" customFormat="1" ht="23.1" customHeight="1" thickBot="1">
      <c r="A1410" s="584"/>
      <c r="B1410" s="585"/>
      <c r="C1410" s="585"/>
      <c r="D1410" s="585"/>
      <c r="E1410" s="585"/>
      <c r="F1410" s="585"/>
      <c r="G1410" s="585"/>
      <c r="H1410" s="585"/>
      <c r="I1410" s="585"/>
      <c r="J1410" s="585"/>
      <c r="K1410" s="585"/>
      <c r="L1410" s="585"/>
      <c r="M1410" s="585"/>
      <c r="N1410" s="585"/>
      <c r="O1410" s="585"/>
      <c r="P1410" s="585"/>
      <c r="Q1410" s="585"/>
      <c r="R1410" s="585"/>
      <c r="S1410" s="585"/>
      <c r="T1410" s="585"/>
      <c r="U1410" s="585"/>
      <c r="V1410" s="585"/>
      <c r="W1410" s="585"/>
      <c r="X1410" s="585"/>
      <c r="Y1410" s="585"/>
      <c r="Z1410" s="585"/>
      <c r="AA1410" s="585"/>
      <c r="AB1410" s="585"/>
      <c r="AC1410" s="585"/>
      <c r="AD1410" s="585"/>
      <c r="AE1410" s="585"/>
      <c r="AF1410" s="585"/>
      <c r="AG1410" s="585"/>
      <c r="AH1410" s="585"/>
      <c r="AI1410" s="585"/>
      <c r="AJ1410" s="585"/>
      <c r="AK1410" s="585"/>
      <c r="AL1410" s="585"/>
      <c r="AM1410" s="585"/>
      <c r="AN1410" s="585"/>
      <c r="AO1410" s="585"/>
      <c r="AP1410" s="585"/>
      <c r="AQ1410" s="585"/>
      <c r="AR1410" s="585"/>
      <c r="AS1410" s="585"/>
      <c r="AT1410" s="585"/>
      <c r="AU1410" s="585"/>
      <c r="AV1410" s="585"/>
      <c r="AW1410" s="585"/>
      <c r="AX1410" s="585"/>
      <c r="AY1410" s="585"/>
      <c r="AZ1410" s="585"/>
      <c r="BA1410" s="585"/>
      <c r="BB1410" s="585"/>
      <c r="BC1410" s="585"/>
      <c r="BD1410" s="585"/>
      <c r="BE1410" s="585"/>
      <c r="BF1410" s="585"/>
      <c r="BG1410" s="585"/>
      <c r="BH1410" s="585"/>
      <c r="BI1410" s="585"/>
      <c r="BJ1410" s="585"/>
      <c r="BK1410" s="585"/>
      <c r="BL1410" s="585"/>
      <c r="BM1410" s="585"/>
      <c r="BN1410" s="585"/>
      <c r="BO1410" s="585"/>
      <c r="BP1410" s="1431" t="s">
        <v>41</v>
      </c>
      <c r="BQ1410" s="1431"/>
      <c r="BR1410" s="585"/>
      <c r="BS1410" s="585"/>
      <c r="BT1410" s="1433" t="e">
        <f>BT1408+BT1409</f>
        <v>#REF!</v>
      </c>
      <c r="BU1410" s="1433"/>
      <c r="BV1410" s="1433"/>
      <c r="BW1410" s="1433"/>
      <c r="BX1410" s="1433"/>
      <c r="BY1410" s="1433"/>
      <c r="BZ1410" s="1433"/>
      <c r="CA1410" s="1433"/>
      <c r="CB1410" s="1433"/>
      <c r="CC1410" s="1433"/>
      <c r="CD1410" s="585"/>
      <c r="CE1410" s="585"/>
      <c r="CF1410" s="586"/>
    </row>
    <row r="1411" spans="1:84" s="583" customFormat="1" ht="23.1" customHeight="1" thickBot="1">
      <c r="A1411" s="597"/>
      <c r="B1411" s="598" t="s">
        <v>1113</v>
      </c>
      <c r="C1411" s="598"/>
      <c r="D1411" s="598"/>
      <c r="E1411" s="598"/>
      <c r="F1411" s="598"/>
      <c r="G1411" s="598"/>
      <c r="H1411" s="598"/>
      <c r="I1411" s="598"/>
      <c r="J1411" s="598"/>
      <c r="K1411" s="598"/>
      <c r="L1411" s="598"/>
      <c r="M1411" s="598"/>
      <c r="N1411" s="598"/>
      <c r="O1411" s="598"/>
      <c r="P1411" s="598"/>
      <c r="Q1411" s="598"/>
      <c r="R1411" s="598"/>
      <c r="S1411" s="598"/>
      <c r="T1411" s="598"/>
      <c r="U1411" s="598"/>
      <c r="V1411" s="598"/>
      <c r="W1411" s="598"/>
      <c r="X1411" s="598"/>
      <c r="Y1411" s="598"/>
      <c r="Z1411" s="598"/>
      <c r="AA1411" s="598"/>
      <c r="AB1411" s="598"/>
      <c r="AC1411" s="598"/>
      <c r="AD1411" s="598"/>
      <c r="AE1411" s="598"/>
      <c r="AF1411" s="598"/>
      <c r="AG1411" s="598"/>
      <c r="AH1411" s="598"/>
      <c r="AI1411" s="598"/>
      <c r="AJ1411" s="598"/>
      <c r="AK1411" s="598"/>
      <c r="AL1411" s="598"/>
      <c r="AM1411" s="598"/>
      <c r="AN1411" s="598"/>
      <c r="AO1411" s="598"/>
      <c r="AP1411" s="598"/>
      <c r="AQ1411" s="598"/>
      <c r="AR1411" s="598"/>
      <c r="AS1411" s="598"/>
      <c r="AT1411" s="598"/>
      <c r="AU1411" s="598"/>
      <c r="AV1411" s="598"/>
      <c r="AW1411" s="598"/>
      <c r="AX1411" s="598"/>
      <c r="AY1411" s="598"/>
      <c r="AZ1411" s="598"/>
      <c r="BA1411" s="598"/>
      <c r="BB1411" s="598"/>
      <c r="BC1411" s="598"/>
      <c r="BD1411" s="598"/>
      <c r="BE1411" s="598"/>
      <c r="BF1411" s="598"/>
      <c r="BG1411" s="598"/>
      <c r="BH1411" s="598"/>
      <c r="BI1411" s="598"/>
      <c r="BJ1411" s="598"/>
      <c r="BK1411" s="598"/>
      <c r="BL1411" s="598"/>
      <c r="BM1411" s="598"/>
      <c r="BN1411" s="598"/>
      <c r="BO1411" s="598"/>
      <c r="BP1411" s="598"/>
      <c r="BQ1411" s="598"/>
      <c r="BR1411" s="598"/>
      <c r="BS1411" s="598"/>
      <c r="BT1411" s="1429" t="e">
        <f>BT1402+BT1406+BT1410</f>
        <v>#REF!</v>
      </c>
      <c r="BU1411" s="1429"/>
      <c r="BV1411" s="1429"/>
      <c r="BW1411" s="1429"/>
      <c r="BX1411" s="1429"/>
      <c r="BY1411" s="1429"/>
      <c r="BZ1411" s="1429"/>
      <c r="CA1411" s="1429"/>
      <c r="CB1411" s="1429"/>
      <c r="CC1411" s="1429"/>
      <c r="CD1411" s="598"/>
      <c r="CE1411" s="598"/>
      <c r="CF1411" s="599"/>
    </row>
    <row r="1412" spans="1:84" s="583" customFormat="1" ht="9.9499999999999993" customHeight="1">
      <c r="A1412" s="574"/>
      <c r="B1412" s="574"/>
      <c r="C1412" s="574"/>
      <c r="D1412" s="574"/>
      <c r="E1412" s="574"/>
      <c r="F1412" s="574"/>
      <c r="G1412" s="574"/>
      <c r="H1412" s="574"/>
      <c r="I1412" s="574"/>
      <c r="J1412" s="574"/>
      <c r="K1412" s="574"/>
      <c r="L1412" s="574"/>
      <c r="M1412" s="574"/>
      <c r="N1412" s="574"/>
      <c r="O1412" s="574"/>
      <c r="P1412" s="574"/>
      <c r="Q1412" s="574"/>
      <c r="R1412" s="574"/>
      <c r="S1412" s="574"/>
      <c r="T1412" s="574"/>
      <c r="U1412" s="574"/>
      <c r="V1412" s="574"/>
      <c r="W1412" s="574"/>
      <c r="X1412" s="574"/>
      <c r="Y1412" s="574"/>
      <c r="Z1412" s="574"/>
      <c r="AA1412" s="574"/>
      <c r="AB1412" s="574"/>
      <c r="AC1412" s="574"/>
      <c r="AD1412" s="574"/>
      <c r="AE1412" s="574"/>
      <c r="AF1412" s="574"/>
      <c r="AG1412" s="574"/>
      <c r="AH1412" s="574"/>
      <c r="AI1412" s="574"/>
      <c r="AJ1412" s="574"/>
      <c r="AK1412" s="574"/>
      <c r="AL1412" s="574"/>
      <c r="AM1412" s="574"/>
      <c r="AN1412" s="574"/>
      <c r="AO1412" s="574"/>
      <c r="AP1412" s="574"/>
      <c r="AQ1412" s="574"/>
      <c r="AR1412" s="574"/>
      <c r="AS1412" s="574"/>
      <c r="AT1412" s="574"/>
      <c r="AU1412" s="574"/>
      <c r="AV1412" s="574"/>
      <c r="AW1412" s="574"/>
      <c r="AX1412" s="574"/>
      <c r="AY1412" s="574"/>
      <c r="AZ1412" s="574"/>
      <c r="BA1412" s="574"/>
      <c r="BB1412" s="574"/>
      <c r="BC1412" s="574"/>
      <c r="BD1412" s="574"/>
      <c r="BE1412" s="574"/>
      <c r="BF1412" s="574"/>
      <c r="BG1412" s="574"/>
      <c r="BH1412" s="574"/>
      <c r="BI1412" s="574"/>
      <c r="BJ1412" s="574"/>
      <c r="BK1412" s="574"/>
      <c r="BL1412" s="574"/>
      <c r="BM1412" s="574"/>
      <c r="BN1412" s="574"/>
      <c r="BO1412" s="574"/>
      <c r="BP1412" s="574"/>
      <c r="BQ1412" s="574"/>
      <c r="BR1412" s="574"/>
      <c r="BS1412" s="574"/>
      <c r="BT1412" s="574"/>
      <c r="BU1412" s="574"/>
      <c r="BV1412" s="574"/>
      <c r="BW1412" s="574"/>
      <c r="BX1412" s="574"/>
      <c r="BY1412" s="574"/>
      <c r="BZ1412" s="574"/>
      <c r="CA1412" s="574"/>
      <c r="CB1412" s="574"/>
      <c r="CC1412" s="574"/>
      <c r="CD1412" s="574"/>
      <c r="CE1412" s="574"/>
      <c r="CF1412" s="574"/>
    </row>
    <row r="1413" spans="1:84" s="583" customFormat="1" ht="23.1" customHeight="1" thickBot="1">
      <c r="A1413" s="1446" t="s">
        <v>1095</v>
      </c>
      <c r="B1413" s="1446"/>
      <c r="C1413" s="1446"/>
      <c r="D1413" s="1446"/>
      <c r="E1413" s="1446"/>
      <c r="F1413" s="1446"/>
      <c r="G1413" s="1447">
        <f>G1398+1</f>
        <v>95</v>
      </c>
      <c r="H1413" s="1447"/>
      <c r="I1413" s="1447"/>
      <c r="J1413" s="1448" t="s">
        <v>1096</v>
      </c>
      <c r="K1413" s="1448"/>
      <c r="L1413" s="574"/>
      <c r="M1413" s="574"/>
      <c r="N1413" s="574"/>
      <c r="O1413" s="574"/>
      <c r="P1413" s="574"/>
      <c r="Q1413" s="574"/>
      <c r="R1413" s="574"/>
      <c r="S1413" s="574"/>
      <c r="T1413" s="574"/>
      <c r="U1413" s="574"/>
      <c r="V1413" s="574"/>
      <c r="W1413" s="574"/>
      <c r="X1413" s="574"/>
      <c r="Y1413" s="574"/>
      <c r="Z1413" s="574"/>
      <c r="AA1413" s="574"/>
      <c r="AB1413" s="574"/>
      <c r="AC1413" s="574"/>
      <c r="AD1413" s="574"/>
      <c r="AE1413" s="574"/>
      <c r="AF1413" s="574"/>
      <c r="AG1413" s="574"/>
      <c r="AH1413" s="574"/>
      <c r="AI1413" s="574"/>
      <c r="AJ1413" s="574"/>
      <c r="AK1413" s="574"/>
      <c r="AL1413" s="574"/>
      <c r="AM1413" s="574"/>
      <c r="AN1413" s="574"/>
      <c r="AO1413" s="574"/>
      <c r="AP1413" s="574"/>
      <c r="AQ1413" s="574"/>
      <c r="AR1413" s="574"/>
      <c r="AS1413" s="574"/>
      <c r="AT1413" s="574"/>
      <c r="AU1413" s="574"/>
      <c r="AV1413" s="574"/>
      <c r="AW1413" s="574"/>
      <c r="AX1413" s="574"/>
      <c r="AY1413" s="574"/>
      <c r="AZ1413" s="574"/>
      <c r="BA1413" s="574"/>
      <c r="BB1413" s="574"/>
      <c r="BC1413" s="574"/>
      <c r="BD1413" s="574"/>
      <c r="BE1413" s="574"/>
      <c r="BF1413" s="574"/>
      <c r="BG1413" s="574"/>
      <c r="BH1413" s="574"/>
      <c r="BI1413" s="574"/>
      <c r="BJ1413" s="574"/>
      <c r="BK1413" s="574"/>
      <c r="BL1413" s="574"/>
      <c r="BM1413" s="574"/>
      <c r="BN1413" s="574"/>
      <c r="BO1413" s="574"/>
      <c r="BP1413" s="574"/>
      <c r="BQ1413" s="574"/>
      <c r="BR1413" s="574"/>
      <c r="BS1413" s="574"/>
      <c r="BT1413" s="574"/>
      <c r="BU1413" s="574"/>
      <c r="BV1413" s="574"/>
      <c r="BW1413" s="574"/>
      <c r="BX1413" s="574"/>
      <c r="BY1413" s="574"/>
      <c r="BZ1413" s="574"/>
      <c r="CA1413" s="574"/>
      <c r="CB1413" s="574"/>
      <c r="CC1413" s="574"/>
      <c r="CD1413" s="574"/>
      <c r="CE1413" s="574"/>
      <c r="CF1413" s="574"/>
    </row>
    <row r="1414" spans="1:84" s="603" customFormat="1" ht="23.1" customHeight="1" thickBot="1">
      <c r="A1414" s="1438" t="s">
        <v>1097</v>
      </c>
      <c r="B1414" s="1439"/>
      <c r="C1414" s="1439"/>
      <c r="D1414" s="1439"/>
      <c r="E1414" s="1439"/>
      <c r="F1414" s="1439"/>
      <c r="G1414" s="1439"/>
      <c r="H1414" s="1439"/>
      <c r="I1414" s="601" t="s">
        <v>1266</v>
      </c>
      <c r="J1414" s="601"/>
      <c r="K1414" s="601"/>
      <c r="L1414" s="601"/>
      <c r="M1414" s="601"/>
      <c r="N1414" s="601"/>
      <c r="O1414" s="601"/>
      <c r="P1414" s="601"/>
      <c r="Q1414" s="601"/>
      <c r="R1414" s="601"/>
      <c r="S1414" s="601"/>
      <c r="T1414" s="601"/>
      <c r="U1414" s="601"/>
      <c r="V1414" s="601"/>
      <c r="W1414" s="601"/>
      <c r="X1414" s="601"/>
      <c r="Y1414" s="601"/>
      <c r="Z1414" s="601"/>
      <c r="AA1414" s="601"/>
      <c r="AB1414" s="601"/>
      <c r="AC1414" s="601"/>
      <c r="AD1414" s="601"/>
      <c r="AE1414" s="601"/>
      <c r="AF1414" s="601"/>
      <c r="AG1414" s="601"/>
      <c r="AH1414" s="601"/>
      <c r="AI1414" s="601"/>
      <c r="AJ1414" s="1439" t="s">
        <v>1099</v>
      </c>
      <c r="AK1414" s="1439"/>
      <c r="AL1414" s="1439"/>
      <c r="AM1414" s="1439"/>
      <c r="AN1414" s="1439"/>
      <c r="AO1414" s="1439"/>
      <c r="AP1414" s="1439"/>
      <c r="AQ1414" s="601" t="s">
        <v>1269</v>
      </c>
      <c r="AR1414" s="601"/>
      <c r="AS1414" s="601"/>
      <c r="AT1414" s="601"/>
      <c r="AU1414" s="601"/>
      <c r="AV1414" s="601"/>
      <c r="AW1414" s="601"/>
      <c r="AX1414" s="601"/>
      <c r="AY1414" s="601"/>
      <c r="AZ1414" s="601"/>
      <c r="BA1414" s="601"/>
      <c r="BB1414" s="601"/>
      <c r="BC1414" s="601"/>
      <c r="BD1414" s="601"/>
      <c r="BE1414" s="601"/>
      <c r="BF1414" s="601"/>
      <c r="BG1414" s="601"/>
      <c r="BH1414" s="601"/>
      <c r="BI1414" s="601"/>
      <c r="BJ1414" s="601"/>
      <c r="BK1414" s="601"/>
      <c r="BL1414" s="601"/>
      <c r="BM1414" s="601"/>
      <c r="BN1414" s="601"/>
      <c r="BO1414" s="601"/>
      <c r="BP1414" s="601"/>
      <c r="BQ1414" s="601"/>
      <c r="BR1414" s="601"/>
      <c r="BS1414" s="601"/>
      <c r="BT1414" s="601" t="s">
        <v>1270</v>
      </c>
      <c r="BU1414" s="601"/>
      <c r="BV1414" s="601"/>
      <c r="BW1414" s="601"/>
      <c r="BX1414" s="601"/>
      <c r="BY1414" s="601"/>
      <c r="BZ1414" s="601"/>
      <c r="CA1414" s="601"/>
      <c r="CB1414" s="601"/>
      <c r="CC1414" s="601"/>
      <c r="CD1414" s="601"/>
      <c r="CE1414" s="601"/>
      <c r="CF1414" s="602"/>
    </row>
    <row r="1415" spans="1:84" s="583" customFormat="1" ht="23.1" customHeight="1">
      <c r="A1415" s="584"/>
      <c r="B1415" s="585" t="s">
        <v>1102</v>
      </c>
      <c r="C1415" s="585"/>
      <c r="D1415" s="585"/>
      <c r="E1415" s="585"/>
      <c r="F1415" s="585"/>
      <c r="G1415" s="585"/>
      <c r="H1415" s="585"/>
      <c r="I1415" s="585"/>
      <c r="J1415" s="585"/>
      <c r="K1415" s="585"/>
      <c r="L1415" s="585"/>
      <c r="M1415" s="585"/>
      <c r="N1415" s="585"/>
      <c r="O1415" s="585"/>
      <c r="P1415" s="585"/>
      <c r="Q1415" s="585"/>
      <c r="R1415" s="585"/>
      <c r="S1415" s="585"/>
      <c r="T1415" s="585"/>
      <c r="U1415" s="585"/>
      <c r="V1415" s="585"/>
      <c r="W1415" s="585"/>
      <c r="X1415" s="585"/>
      <c r="Y1415" s="585"/>
      <c r="Z1415" s="585"/>
      <c r="AA1415" s="585"/>
      <c r="AB1415" s="585"/>
      <c r="AC1415" s="585"/>
      <c r="AD1415" s="585"/>
      <c r="AE1415" s="585"/>
      <c r="AF1415" s="585"/>
      <c r="AG1415" s="585"/>
      <c r="AH1415" s="585"/>
      <c r="AI1415" s="585"/>
      <c r="AJ1415" s="585"/>
      <c r="AK1415" s="585"/>
      <c r="AL1415" s="585"/>
      <c r="AM1415" s="585"/>
      <c r="AN1415" s="585"/>
      <c r="AO1415" s="585"/>
      <c r="AP1415" s="585"/>
      <c r="AQ1415" s="585"/>
      <c r="AR1415" s="585"/>
      <c r="AS1415" s="585"/>
      <c r="AT1415" s="585"/>
      <c r="AU1415" s="585"/>
      <c r="AV1415" s="585"/>
      <c r="AW1415" s="585"/>
      <c r="AX1415" s="585"/>
      <c r="AY1415" s="585"/>
      <c r="AZ1415" s="585"/>
      <c r="BA1415" s="585"/>
      <c r="BB1415" s="585"/>
      <c r="BC1415" s="585"/>
      <c r="BD1415" s="585"/>
      <c r="BE1415" s="585"/>
      <c r="BF1415" s="585"/>
      <c r="BG1415" s="585"/>
      <c r="BH1415" s="585"/>
      <c r="BI1415" s="585"/>
      <c r="BJ1415" s="585"/>
      <c r="BK1415" s="585"/>
      <c r="BL1415" s="585"/>
      <c r="BM1415" s="585"/>
      <c r="BN1415" s="585"/>
      <c r="BO1415" s="585"/>
      <c r="BP1415" s="585"/>
      <c r="BQ1415" s="585"/>
      <c r="BR1415" s="585"/>
      <c r="BS1415" s="585"/>
      <c r="BT1415" s="585"/>
      <c r="BU1415" s="585"/>
      <c r="BV1415" s="585"/>
      <c r="BW1415" s="585"/>
      <c r="BX1415" s="585"/>
      <c r="BY1415" s="585"/>
      <c r="BZ1415" s="585"/>
      <c r="CA1415" s="585"/>
      <c r="CB1415" s="585"/>
      <c r="CC1415" s="585"/>
      <c r="CD1415" s="585"/>
      <c r="CE1415" s="585"/>
      <c r="CF1415" s="586"/>
    </row>
    <row r="1416" spans="1:84" s="583" customFormat="1" ht="23.1" customHeight="1">
      <c r="A1416" s="587"/>
      <c r="B1416" s="574"/>
      <c r="C1416" s="574"/>
      <c r="D1416" s="405"/>
      <c r="E1416" s="574"/>
      <c r="F1416" s="422"/>
      <c r="G1416" s="422"/>
      <c r="H1416" s="422"/>
      <c r="I1416" s="422"/>
      <c r="J1416" s="422"/>
      <c r="K1416" s="422"/>
      <c r="L1416" s="422"/>
      <c r="M1416" s="422"/>
      <c r="N1416" s="574"/>
      <c r="O1416" s="574"/>
      <c r="P1416" s="574"/>
      <c r="Q1416" s="574"/>
      <c r="R1416" s="574"/>
      <c r="S1416" s="588"/>
      <c r="T1416" s="588"/>
      <c r="U1416" s="588"/>
      <c r="V1416" s="588"/>
      <c r="W1416" s="588"/>
      <c r="X1416" s="588"/>
      <c r="Y1416" s="588"/>
      <c r="Z1416" s="588"/>
      <c r="AA1416" s="574"/>
      <c r="AB1416" s="588"/>
      <c r="AC1416" s="585"/>
      <c r="AD1416" s="585"/>
      <c r="AE1416" s="600"/>
      <c r="AF1416" s="600"/>
      <c r="AG1416" s="600"/>
      <c r="AH1416" s="600"/>
      <c r="AI1416" s="600"/>
      <c r="AJ1416" s="600"/>
      <c r="AK1416" s="600"/>
      <c r="AL1416" s="600"/>
      <c r="AM1416" s="585"/>
      <c r="AN1416" s="585"/>
      <c r="AO1416" s="574"/>
      <c r="AP1416" s="430"/>
      <c r="AQ1416" s="430"/>
      <c r="AR1416" s="430"/>
      <c r="AS1416" s="430"/>
      <c r="AT1416" s="430"/>
      <c r="AU1416" s="430"/>
      <c r="AV1416" s="430"/>
      <c r="AW1416" s="430"/>
      <c r="AX1416" s="430"/>
      <c r="AY1416" s="430"/>
      <c r="AZ1416" s="430"/>
      <c r="BA1416" s="430"/>
      <c r="BB1416" s="430"/>
      <c r="BC1416" s="430"/>
      <c r="BD1416" s="574"/>
      <c r="BE1416" s="574"/>
      <c r="BF1416" s="574"/>
      <c r="BG1416" s="574"/>
      <c r="BH1416" s="574"/>
      <c r="BI1416" s="574"/>
      <c r="BJ1416" s="574"/>
      <c r="BK1416" s="574"/>
      <c r="BL1416" s="574"/>
      <c r="BM1416" s="574"/>
      <c r="BN1416" s="574"/>
      <c r="BO1416" s="574"/>
      <c r="BP1416" s="574"/>
      <c r="BQ1416" s="574"/>
      <c r="BR1416" s="574"/>
      <c r="BS1416" s="574"/>
      <c r="BT1416" s="574"/>
      <c r="BU1416" s="574"/>
      <c r="BV1416" s="574"/>
      <c r="BW1416" s="574"/>
      <c r="BX1416" s="574"/>
      <c r="BY1416" s="574"/>
      <c r="BZ1416" s="574"/>
      <c r="CA1416" s="574"/>
      <c r="CB1416" s="574"/>
      <c r="CC1416" s="574"/>
      <c r="CD1416" s="574"/>
      <c r="CE1416" s="574"/>
      <c r="CF1416" s="589"/>
    </row>
    <row r="1417" spans="1:84" s="583" customFormat="1" ht="23.1" customHeight="1">
      <c r="A1417" s="584"/>
      <c r="B1417" s="585"/>
      <c r="C1417" s="585"/>
      <c r="D1417" s="585"/>
      <c r="E1417" s="585"/>
      <c r="F1417" s="585"/>
      <c r="G1417" s="585"/>
      <c r="H1417" s="585"/>
      <c r="I1417" s="585"/>
      <c r="J1417" s="585"/>
      <c r="K1417" s="585"/>
      <c r="L1417" s="585"/>
      <c r="M1417" s="585"/>
      <c r="N1417" s="585"/>
      <c r="O1417" s="585"/>
      <c r="P1417" s="585"/>
      <c r="Q1417" s="585"/>
      <c r="R1417" s="585"/>
      <c r="S1417" s="585"/>
      <c r="T1417" s="585"/>
      <c r="U1417" s="585"/>
      <c r="V1417" s="590"/>
      <c r="W1417" s="590"/>
      <c r="X1417" s="590"/>
      <c r="Y1417" s="590"/>
      <c r="Z1417" s="590"/>
      <c r="AA1417" s="590"/>
      <c r="AB1417" s="590"/>
      <c r="AC1417" s="590"/>
      <c r="AD1417" s="574"/>
      <c r="AE1417" s="1440">
        <v>19856000</v>
      </c>
      <c r="AF1417" s="1440"/>
      <c r="AG1417" s="1440"/>
      <c r="AH1417" s="1440"/>
      <c r="AI1417" s="1440"/>
      <c r="AJ1417" s="1440"/>
      <c r="AK1417" s="1440"/>
      <c r="AL1417" s="1440"/>
      <c r="AM1417" s="1440"/>
      <c r="AN1417" s="1440"/>
      <c r="AO1417" s="1440"/>
      <c r="AP1417" s="1440"/>
      <c r="AQ1417" s="1440"/>
      <c r="AR1417" s="1440"/>
      <c r="AS1417" s="1440"/>
      <c r="AT1417" s="1431" t="s">
        <v>446</v>
      </c>
      <c r="AU1417" s="1431"/>
      <c r="AV1417" s="1441" t="s">
        <v>1103</v>
      </c>
      <c r="AW1417" s="1441"/>
      <c r="AX1417" s="1442">
        <v>2362</v>
      </c>
      <c r="AY1417" s="1442"/>
      <c r="AZ1417" s="1442"/>
      <c r="BA1417" s="1442"/>
      <c r="BB1417" s="1442"/>
      <c r="BC1417" s="1442"/>
      <c r="BD1417" s="585"/>
      <c r="BE1417" s="1431" t="s">
        <v>446</v>
      </c>
      <c r="BF1417" s="1431"/>
      <c r="BG1417" s="585"/>
      <c r="BH1417" s="591" t="s">
        <v>1104</v>
      </c>
      <c r="BI1417" s="585"/>
      <c r="BJ1417" s="585"/>
      <c r="BK1417" s="585"/>
      <c r="BL1417" s="1431" t="s">
        <v>1105</v>
      </c>
      <c r="BM1417" s="1431"/>
      <c r="BN1417" s="1431"/>
      <c r="BO1417" s="585"/>
      <c r="BP1417" s="1431" t="s">
        <v>41</v>
      </c>
      <c r="BQ1417" s="1431"/>
      <c r="BR1417" s="585"/>
      <c r="BS1417" s="585"/>
      <c r="BT1417" s="1437">
        <f>INT(AE1417*AX1417*10^-7)</f>
        <v>4689</v>
      </c>
      <c r="BU1417" s="1437"/>
      <c r="BV1417" s="1437"/>
      <c r="BW1417" s="1437"/>
      <c r="BX1417" s="1437"/>
      <c r="BY1417" s="1437"/>
      <c r="BZ1417" s="1437"/>
      <c r="CA1417" s="1437"/>
      <c r="CB1417" s="1437"/>
      <c r="CC1417" s="1437"/>
      <c r="CD1417" s="585"/>
      <c r="CE1417" s="585"/>
      <c r="CF1417" s="586"/>
    </row>
    <row r="1418" spans="1:84" s="583" customFormat="1" ht="23.1" customHeight="1">
      <c r="A1418" s="592"/>
      <c r="B1418" s="593" t="s">
        <v>1106</v>
      </c>
      <c r="C1418" s="593"/>
      <c r="D1418" s="593"/>
      <c r="E1418" s="593"/>
      <c r="F1418" s="593"/>
      <c r="G1418" s="593"/>
      <c r="H1418" s="593"/>
      <c r="I1418" s="593"/>
      <c r="J1418" s="593"/>
      <c r="K1418" s="593"/>
      <c r="L1418" s="593"/>
      <c r="M1418" s="593"/>
      <c r="N1418" s="593"/>
      <c r="O1418" s="593"/>
      <c r="P1418" s="593"/>
      <c r="Q1418" s="593"/>
      <c r="R1418" s="593"/>
      <c r="S1418" s="593"/>
      <c r="T1418" s="593"/>
      <c r="U1418" s="593"/>
      <c r="V1418" s="593"/>
      <c r="W1418" s="593"/>
      <c r="X1418" s="593"/>
      <c r="Y1418" s="593"/>
      <c r="Z1418" s="593"/>
      <c r="AA1418" s="593"/>
      <c r="AB1418" s="593"/>
      <c r="AC1418" s="593"/>
      <c r="AD1418" s="593"/>
      <c r="AE1418" s="593"/>
      <c r="AF1418" s="593"/>
      <c r="AG1418" s="593"/>
      <c r="AH1418" s="593"/>
      <c r="AI1418" s="593"/>
      <c r="AJ1418" s="593"/>
      <c r="AK1418" s="593"/>
      <c r="AL1418" s="593"/>
      <c r="AM1418" s="593"/>
      <c r="AN1418" s="593"/>
      <c r="AO1418" s="593"/>
      <c r="AP1418" s="593"/>
      <c r="AQ1418" s="593"/>
      <c r="AR1418" s="593"/>
      <c r="AS1418" s="593"/>
      <c r="AT1418" s="593"/>
      <c r="AU1418" s="593"/>
      <c r="AV1418" s="593"/>
      <c r="AW1418" s="593"/>
      <c r="AX1418" s="593"/>
      <c r="AY1418" s="593"/>
      <c r="AZ1418" s="593"/>
      <c r="BA1418" s="593"/>
      <c r="BB1418" s="593"/>
      <c r="BC1418" s="593"/>
      <c r="BD1418" s="593"/>
      <c r="BE1418" s="593"/>
      <c r="BF1418" s="593"/>
      <c r="BG1418" s="593"/>
      <c r="BH1418" s="593"/>
      <c r="BI1418" s="593"/>
      <c r="BJ1418" s="593"/>
      <c r="BK1418" s="593"/>
      <c r="BL1418" s="593"/>
      <c r="BM1418" s="593"/>
      <c r="BN1418" s="593"/>
      <c r="BO1418" s="593"/>
      <c r="BP1418" s="593"/>
      <c r="BQ1418" s="593"/>
      <c r="BR1418" s="593"/>
      <c r="BS1418" s="593"/>
      <c r="BT1418" s="594"/>
      <c r="BU1418" s="594"/>
      <c r="BV1418" s="594"/>
      <c r="BW1418" s="594"/>
      <c r="BX1418" s="594"/>
      <c r="BY1418" s="594"/>
      <c r="BZ1418" s="594"/>
      <c r="CA1418" s="594"/>
      <c r="CB1418" s="594"/>
      <c r="CC1418" s="594"/>
      <c r="CD1418" s="593"/>
      <c r="CE1418" s="593"/>
      <c r="CF1418" s="595"/>
    </row>
    <row r="1419" spans="1:84" s="583" customFormat="1" ht="23.1" customHeight="1">
      <c r="A1419" s="584"/>
      <c r="B1419" s="585"/>
      <c r="C1419" s="585"/>
      <c r="D1419" s="596" t="s">
        <v>1093</v>
      </c>
      <c r="E1419" s="585"/>
      <c r="F1419" s="585"/>
      <c r="G1419" s="585"/>
      <c r="H1419" s="585"/>
      <c r="I1419" s="585"/>
      <c r="J1419" s="585"/>
      <c r="K1419" s="585"/>
      <c r="L1419" s="585"/>
      <c r="M1419" s="585"/>
      <c r="N1419" s="585"/>
      <c r="O1419" s="585"/>
      <c r="P1419" s="585"/>
      <c r="Q1419" s="585"/>
      <c r="R1419" s="585"/>
      <c r="S1419" s="585"/>
      <c r="T1419" s="574"/>
      <c r="U1419" s="574"/>
      <c r="V1419" s="1430">
        <f>HLOOKUP(D1419,$CJ$1:$CM$3,3,0)</f>
        <v>173995</v>
      </c>
      <c r="W1419" s="1430"/>
      <c r="X1419" s="1430"/>
      <c r="Y1419" s="1430"/>
      <c r="Z1419" s="1430"/>
      <c r="AA1419" s="1430"/>
      <c r="AB1419" s="1430"/>
      <c r="AC1419" s="1430"/>
      <c r="AD1419" s="1430"/>
      <c r="AE1419" s="1430"/>
      <c r="AF1419" s="1431" t="s">
        <v>446</v>
      </c>
      <c r="AG1419" s="1431"/>
      <c r="AH1419" s="574"/>
      <c r="AI1419" s="1436" t="s">
        <v>1107</v>
      </c>
      <c r="AJ1419" s="1436"/>
      <c r="AK1419" s="1436"/>
      <c r="AL1419" s="1436"/>
      <c r="AM1419" s="585"/>
      <c r="AN1419" s="1431" t="s">
        <v>446</v>
      </c>
      <c r="AO1419" s="1431"/>
      <c r="AP1419" s="585"/>
      <c r="AQ1419" s="1436" t="s">
        <v>1108</v>
      </c>
      <c r="AR1419" s="1436"/>
      <c r="AS1419" s="1436"/>
      <c r="AT1419" s="1436"/>
      <c r="AU1419" s="1436"/>
      <c r="AV1419" s="422"/>
      <c r="AW1419" s="1431" t="s">
        <v>446</v>
      </c>
      <c r="AX1419" s="1431"/>
      <c r="AY1419" s="440"/>
      <c r="AZ1419" s="1436" t="s">
        <v>1109</v>
      </c>
      <c r="BA1419" s="1436"/>
      <c r="BB1419" s="1436"/>
      <c r="BC1419" s="1436"/>
      <c r="BD1419" s="1436"/>
      <c r="BE1419" s="585"/>
      <c r="BF1419" s="1431" t="s">
        <v>446</v>
      </c>
      <c r="BG1419" s="1431"/>
      <c r="BH1419" s="1431">
        <v>1</v>
      </c>
      <c r="BI1419" s="1431"/>
      <c r="BJ1419" s="1431"/>
      <c r="BK1419" s="585"/>
      <c r="BL1419" s="585" t="s">
        <v>366</v>
      </c>
      <c r="BM1419" s="585"/>
      <c r="BN1419" s="585"/>
      <c r="BO1419" s="585"/>
      <c r="BP1419" s="1431" t="s">
        <v>41</v>
      </c>
      <c r="BQ1419" s="1431"/>
      <c r="BR1419" s="585"/>
      <c r="BS1419" s="585"/>
      <c r="BT1419" s="1432">
        <f>INT(V1419/8*16/12*25/20*BH1419)</f>
        <v>36248</v>
      </c>
      <c r="BU1419" s="1432"/>
      <c r="BV1419" s="1432"/>
      <c r="BW1419" s="1432"/>
      <c r="BX1419" s="1432"/>
      <c r="BY1419" s="1432"/>
      <c r="BZ1419" s="1432"/>
      <c r="CA1419" s="1432"/>
      <c r="CB1419" s="1432"/>
      <c r="CC1419" s="1432"/>
      <c r="CD1419" s="585"/>
      <c r="CE1419" s="585"/>
      <c r="CF1419" s="586"/>
    </row>
    <row r="1420" spans="1:84" s="583" customFormat="1" ht="23.1" customHeight="1">
      <c r="A1420" s="584"/>
      <c r="B1420" s="585"/>
      <c r="C1420" s="585"/>
      <c r="D1420" s="585"/>
      <c r="E1420" s="585"/>
      <c r="F1420" s="585"/>
      <c r="G1420" s="585"/>
      <c r="H1420" s="585"/>
      <c r="I1420" s="585"/>
      <c r="J1420" s="585"/>
      <c r="K1420" s="585"/>
      <c r="L1420" s="585"/>
      <c r="M1420" s="585"/>
      <c r="N1420" s="585"/>
      <c r="O1420" s="585"/>
      <c r="P1420" s="574"/>
      <c r="Q1420" s="574"/>
      <c r="R1420" s="574"/>
      <c r="S1420" s="574"/>
      <c r="T1420" s="574"/>
      <c r="U1420" s="574"/>
      <c r="V1420" s="574"/>
      <c r="W1420" s="574"/>
      <c r="X1420" s="574"/>
      <c r="Y1420" s="574"/>
      <c r="Z1420" s="574"/>
      <c r="AA1420" s="574"/>
      <c r="AB1420" s="574"/>
      <c r="AC1420" s="574"/>
      <c r="AD1420" s="574"/>
      <c r="AE1420" s="574"/>
      <c r="AF1420" s="574"/>
      <c r="AG1420" s="574"/>
      <c r="AH1420" s="574"/>
      <c r="AI1420" s="574"/>
      <c r="AJ1420" s="574"/>
      <c r="AK1420" s="574"/>
      <c r="AL1420" s="574"/>
      <c r="AM1420" s="574"/>
      <c r="AN1420" s="574"/>
      <c r="AO1420" s="574"/>
      <c r="AP1420" s="574"/>
      <c r="AQ1420" s="574"/>
      <c r="AR1420" s="574"/>
      <c r="AS1420" s="574"/>
      <c r="AT1420" s="574"/>
      <c r="AU1420" s="574"/>
      <c r="AV1420" s="574"/>
      <c r="AW1420" s="574"/>
      <c r="AX1420" s="574"/>
      <c r="AY1420" s="574"/>
      <c r="AZ1420" s="574"/>
      <c r="BA1420" s="574"/>
      <c r="BB1420" s="574"/>
      <c r="BC1420" s="574"/>
      <c r="BD1420" s="574"/>
      <c r="BE1420" s="574"/>
      <c r="BF1420" s="574"/>
      <c r="BG1420" s="585"/>
      <c r="BH1420" s="585"/>
      <c r="BI1420" s="585"/>
      <c r="BJ1420" s="585"/>
      <c r="BK1420" s="585"/>
      <c r="BL1420" s="585"/>
      <c r="BM1420" s="585"/>
      <c r="BN1420" s="585"/>
      <c r="BO1420" s="585"/>
      <c r="BP1420" s="1431"/>
      <c r="BQ1420" s="1431"/>
      <c r="BR1420" s="585"/>
      <c r="BS1420" s="585"/>
      <c r="BT1420" s="1432"/>
      <c r="BU1420" s="1432"/>
      <c r="BV1420" s="1432"/>
      <c r="BW1420" s="1432"/>
      <c r="BX1420" s="1432"/>
      <c r="BY1420" s="1432"/>
      <c r="BZ1420" s="1432"/>
      <c r="CA1420" s="1432"/>
      <c r="CB1420" s="1432"/>
      <c r="CC1420" s="1432"/>
      <c r="CD1420" s="585"/>
      <c r="CE1420" s="585"/>
      <c r="CF1420" s="586"/>
    </row>
    <row r="1421" spans="1:84" s="583" customFormat="1" ht="23.1" customHeight="1">
      <c r="A1421" s="584"/>
      <c r="B1421" s="585"/>
      <c r="C1421" s="585"/>
      <c r="D1421" s="585"/>
      <c r="E1421" s="585"/>
      <c r="F1421" s="585"/>
      <c r="G1421" s="585"/>
      <c r="H1421" s="585"/>
      <c r="I1421" s="585"/>
      <c r="J1421" s="585"/>
      <c r="K1421" s="585"/>
      <c r="L1421" s="585"/>
      <c r="M1421" s="585"/>
      <c r="N1421" s="585"/>
      <c r="O1421" s="585"/>
      <c r="P1421" s="585"/>
      <c r="Q1421" s="585"/>
      <c r="R1421" s="585"/>
      <c r="S1421" s="585"/>
      <c r="T1421" s="585"/>
      <c r="U1421" s="585"/>
      <c r="V1421" s="585"/>
      <c r="W1421" s="585"/>
      <c r="X1421" s="585"/>
      <c r="Y1421" s="585"/>
      <c r="Z1421" s="585"/>
      <c r="AA1421" s="585"/>
      <c r="AB1421" s="585"/>
      <c r="AC1421" s="585"/>
      <c r="AD1421" s="574"/>
      <c r="AE1421" s="574"/>
      <c r="AF1421" s="574"/>
      <c r="AG1421" s="574"/>
      <c r="AH1421" s="574"/>
      <c r="AI1421" s="574"/>
      <c r="AJ1421" s="574"/>
      <c r="AK1421" s="574"/>
      <c r="AL1421" s="574"/>
      <c r="AM1421" s="574"/>
      <c r="AN1421" s="574"/>
      <c r="AO1421" s="574"/>
      <c r="AP1421" s="574"/>
      <c r="AQ1421" s="574"/>
      <c r="AR1421" s="574"/>
      <c r="AS1421" s="585"/>
      <c r="AT1421" s="590"/>
      <c r="AU1421" s="590"/>
      <c r="AV1421" s="585"/>
      <c r="AW1421" s="585"/>
      <c r="AX1421" s="585"/>
      <c r="AY1421" s="585"/>
      <c r="AZ1421" s="585"/>
      <c r="BA1421" s="585"/>
      <c r="BB1421" s="585"/>
      <c r="BC1421" s="585"/>
      <c r="BD1421" s="585"/>
      <c r="BE1421" s="585"/>
      <c r="BF1421" s="585"/>
      <c r="BG1421" s="585"/>
      <c r="BH1421" s="585"/>
      <c r="BI1421" s="585"/>
      <c r="BJ1421" s="585"/>
      <c r="BK1421" s="585"/>
      <c r="BL1421" s="585"/>
      <c r="BM1421" s="585"/>
      <c r="BN1421" s="585"/>
      <c r="BO1421" s="585"/>
      <c r="BP1421" s="1431" t="s">
        <v>41</v>
      </c>
      <c r="BQ1421" s="1431"/>
      <c r="BR1421" s="585"/>
      <c r="BS1421" s="585"/>
      <c r="BT1421" s="1434">
        <f>BT1419+BT1420</f>
        <v>36248</v>
      </c>
      <c r="BU1421" s="1434"/>
      <c r="BV1421" s="1434"/>
      <c r="BW1421" s="1434"/>
      <c r="BX1421" s="1434"/>
      <c r="BY1421" s="1434"/>
      <c r="BZ1421" s="1434"/>
      <c r="CA1421" s="1434"/>
      <c r="CB1421" s="1434"/>
      <c r="CC1421" s="1434"/>
      <c r="CD1421" s="585"/>
      <c r="CE1421" s="585"/>
      <c r="CF1421" s="586"/>
    </row>
    <row r="1422" spans="1:84" s="583" customFormat="1" ht="23.1" customHeight="1">
      <c r="A1422" s="592"/>
      <c r="B1422" s="593" t="s">
        <v>1110</v>
      </c>
      <c r="C1422" s="593"/>
      <c r="D1422" s="593"/>
      <c r="E1422" s="593"/>
      <c r="F1422" s="593"/>
      <c r="G1422" s="593"/>
      <c r="H1422" s="593"/>
      <c r="I1422" s="593"/>
      <c r="J1422" s="593"/>
      <c r="K1422" s="593"/>
      <c r="L1422" s="593"/>
      <c r="M1422" s="593"/>
      <c r="N1422" s="593"/>
      <c r="O1422" s="593"/>
      <c r="P1422" s="593"/>
      <c r="Q1422" s="593"/>
      <c r="R1422" s="593"/>
      <c r="S1422" s="593"/>
      <c r="T1422" s="593"/>
      <c r="U1422" s="593"/>
      <c r="V1422" s="593"/>
      <c r="W1422" s="593"/>
      <c r="X1422" s="593"/>
      <c r="Y1422" s="593"/>
      <c r="Z1422" s="593"/>
      <c r="AA1422" s="593"/>
      <c r="AB1422" s="593"/>
      <c r="AC1422" s="593"/>
      <c r="AD1422" s="593"/>
      <c r="AE1422" s="593"/>
      <c r="AF1422" s="593"/>
      <c r="AG1422" s="593"/>
      <c r="AH1422" s="593"/>
      <c r="AI1422" s="593"/>
      <c r="AJ1422" s="593"/>
      <c r="AK1422" s="593"/>
      <c r="AL1422" s="593"/>
      <c r="AM1422" s="593"/>
      <c r="AN1422" s="593"/>
      <c r="AO1422" s="593"/>
      <c r="AP1422" s="593"/>
      <c r="AQ1422" s="593"/>
      <c r="AR1422" s="593"/>
      <c r="AS1422" s="593"/>
      <c r="AT1422" s="593"/>
      <c r="AU1422" s="593"/>
      <c r="AV1422" s="593"/>
      <c r="AW1422" s="593"/>
      <c r="AX1422" s="593"/>
      <c r="AY1422" s="593"/>
      <c r="AZ1422" s="593"/>
      <c r="BA1422" s="593"/>
      <c r="BB1422" s="593"/>
      <c r="BC1422" s="593"/>
      <c r="BD1422" s="593"/>
      <c r="BE1422" s="593"/>
      <c r="BF1422" s="593"/>
      <c r="BG1422" s="593"/>
      <c r="BH1422" s="593"/>
      <c r="BI1422" s="593"/>
      <c r="BJ1422" s="593"/>
      <c r="BK1422" s="593"/>
      <c r="BL1422" s="593"/>
      <c r="BM1422" s="593"/>
      <c r="BN1422" s="593"/>
      <c r="BO1422" s="593"/>
      <c r="BP1422" s="593"/>
      <c r="BQ1422" s="593"/>
      <c r="BR1422" s="593"/>
      <c r="BS1422" s="593"/>
      <c r="BT1422" s="593"/>
      <c r="BU1422" s="593"/>
      <c r="BV1422" s="593"/>
      <c r="BW1422" s="593"/>
      <c r="BX1422" s="593"/>
      <c r="BY1422" s="593"/>
      <c r="BZ1422" s="593"/>
      <c r="CA1422" s="593"/>
      <c r="CB1422" s="593"/>
      <c r="CC1422" s="593"/>
      <c r="CD1422" s="593"/>
      <c r="CE1422" s="593"/>
      <c r="CF1422" s="595"/>
    </row>
    <row r="1423" spans="1:84" s="583" customFormat="1" ht="23.1" customHeight="1">
      <c r="A1423" s="584"/>
      <c r="B1423" s="585"/>
      <c r="C1423" s="585"/>
      <c r="D1423" s="596" t="s">
        <v>1094</v>
      </c>
      <c r="E1423" s="585"/>
      <c r="F1423" s="585"/>
      <c r="G1423" s="585"/>
      <c r="H1423" s="585"/>
      <c r="I1423" s="585"/>
      <c r="J1423" s="585"/>
      <c r="K1423" s="585"/>
      <c r="L1423" s="585"/>
      <c r="M1423" s="585"/>
      <c r="N1423" s="585"/>
      <c r="O1423" s="585"/>
      <c r="P1423" s="585"/>
      <c r="Q1423" s="585"/>
      <c r="R1423" s="585"/>
      <c r="S1423" s="585"/>
      <c r="T1423" s="585"/>
      <c r="U1423" s="585"/>
      <c r="V1423" s="585"/>
      <c r="W1423" s="585"/>
      <c r="X1423" s="585"/>
      <c r="Y1423" s="585"/>
      <c r="Z1423" s="585"/>
      <c r="AA1423" s="585"/>
      <c r="AB1423" s="585"/>
      <c r="AC1423" s="585"/>
      <c r="AD1423" s="585"/>
      <c r="AE1423" s="585"/>
      <c r="AF1423" s="585"/>
      <c r="AG1423" s="585"/>
      <c r="AH1423" s="585"/>
      <c r="AI1423" s="585"/>
      <c r="AJ1423" s="585"/>
      <c r="AK1423" s="585"/>
      <c r="AL1423" s="585"/>
      <c r="AM1423" s="585"/>
      <c r="AN1423" s="585"/>
      <c r="AO1423" s="585"/>
      <c r="AP1423" s="585"/>
      <c r="AQ1423" s="585"/>
      <c r="AR1423" s="422"/>
      <c r="AS1423" s="1430" t="e">
        <f>HLOOKUP(D1423,$CN$1:$CO$3,3,0)</f>
        <v>#REF!</v>
      </c>
      <c r="AT1423" s="1430"/>
      <c r="AU1423" s="1430"/>
      <c r="AV1423" s="1430"/>
      <c r="AW1423" s="1430"/>
      <c r="AX1423" s="1430"/>
      <c r="AY1423" s="1430"/>
      <c r="AZ1423" s="1430"/>
      <c r="BA1423" s="1430"/>
      <c r="BB1423" s="1430"/>
      <c r="BC1423" s="585"/>
      <c r="BD1423" s="1431" t="s">
        <v>446</v>
      </c>
      <c r="BE1423" s="1431"/>
      <c r="BF1423" s="585"/>
      <c r="BG1423" s="1431">
        <v>8.6999999999999993</v>
      </c>
      <c r="BH1423" s="1431"/>
      <c r="BI1423" s="1431"/>
      <c r="BJ1423" s="1431"/>
      <c r="BK1423" s="1431"/>
      <c r="BL1423" s="585" t="s">
        <v>1111</v>
      </c>
      <c r="BM1423" s="585"/>
      <c r="BN1423" s="585"/>
      <c r="BO1423" s="585"/>
      <c r="BP1423" s="1431" t="s">
        <v>41</v>
      </c>
      <c r="BQ1423" s="1431"/>
      <c r="BR1423" s="585"/>
      <c r="BS1423" s="585"/>
      <c r="BT1423" s="1432" t="e">
        <f>INT(AS1423*BG1423)</f>
        <v>#REF!</v>
      </c>
      <c r="BU1423" s="1432"/>
      <c r="BV1423" s="1432"/>
      <c r="BW1423" s="1432"/>
      <c r="BX1423" s="1432"/>
      <c r="BY1423" s="1432"/>
      <c r="BZ1423" s="1432"/>
      <c r="CA1423" s="1432"/>
      <c r="CB1423" s="1432"/>
      <c r="CC1423" s="1432"/>
      <c r="CD1423" s="585"/>
      <c r="CE1423" s="585"/>
      <c r="CF1423" s="586"/>
    </row>
    <row r="1424" spans="1:84" s="583" customFormat="1" ht="23.1" customHeight="1">
      <c r="A1424" s="584"/>
      <c r="B1424" s="585"/>
      <c r="C1424" s="585"/>
      <c r="D1424" s="591" t="str">
        <f>"잡재료 (주연료의 "&amp;BG1424&amp;"%) :"</f>
        <v>잡재료 (주연료의 24%) :</v>
      </c>
      <c r="E1424" s="585"/>
      <c r="F1424" s="585"/>
      <c r="G1424" s="585"/>
      <c r="H1424" s="585"/>
      <c r="I1424" s="585"/>
      <c r="J1424" s="585"/>
      <c r="K1424" s="585"/>
      <c r="L1424" s="585"/>
      <c r="M1424" s="585"/>
      <c r="N1424" s="585"/>
      <c r="O1424" s="585"/>
      <c r="P1424" s="585"/>
      <c r="Q1424" s="585"/>
      <c r="R1424" s="585"/>
      <c r="S1424" s="585"/>
      <c r="T1424" s="585"/>
      <c r="U1424" s="585"/>
      <c r="V1424" s="585"/>
      <c r="W1424" s="585"/>
      <c r="X1424" s="585"/>
      <c r="Y1424" s="585"/>
      <c r="Z1424" s="585"/>
      <c r="AA1424" s="585"/>
      <c r="AB1424" s="585"/>
      <c r="AC1424" s="585"/>
      <c r="AD1424" s="585"/>
      <c r="AE1424" s="585"/>
      <c r="AF1424" s="585"/>
      <c r="AG1424" s="585"/>
      <c r="AH1424" s="585"/>
      <c r="AI1424" s="585"/>
      <c r="AJ1424" s="585"/>
      <c r="AK1424" s="585"/>
      <c r="AL1424" s="585"/>
      <c r="AM1424" s="585"/>
      <c r="AN1424" s="585"/>
      <c r="AO1424" s="585"/>
      <c r="AP1424" s="585"/>
      <c r="AQ1424" s="585"/>
      <c r="AR1424" s="422" t="e">
        <f>BT1423</f>
        <v>#REF!</v>
      </c>
      <c r="AS1424" s="1430" t="e">
        <f>BT1423</f>
        <v>#REF!</v>
      </c>
      <c r="AT1424" s="1430"/>
      <c r="AU1424" s="1430"/>
      <c r="AV1424" s="1430"/>
      <c r="AW1424" s="1430"/>
      <c r="AX1424" s="1430"/>
      <c r="AY1424" s="1430"/>
      <c r="AZ1424" s="1430"/>
      <c r="BA1424" s="1430"/>
      <c r="BB1424" s="1430"/>
      <c r="BC1424" s="585"/>
      <c r="BD1424" s="1431" t="s">
        <v>446</v>
      </c>
      <c r="BE1424" s="1431"/>
      <c r="BF1424" s="585"/>
      <c r="BG1424" s="1431">
        <v>24</v>
      </c>
      <c r="BH1424" s="1431"/>
      <c r="BI1424" s="1431"/>
      <c r="BJ1424" s="1431"/>
      <c r="BK1424" s="1431"/>
      <c r="BL1424" s="585" t="s">
        <v>1112</v>
      </c>
      <c r="BM1424" s="585"/>
      <c r="BN1424" s="585"/>
      <c r="BO1424" s="585"/>
      <c r="BP1424" s="1431" t="s">
        <v>41</v>
      </c>
      <c r="BQ1424" s="1431"/>
      <c r="BR1424" s="585"/>
      <c r="BS1424" s="585"/>
      <c r="BT1424" s="1432" t="e">
        <f>INT(AS1424*BG1424/100)</f>
        <v>#REF!</v>
      </c>
      <c r="BU1424" s="1432"/>
      <c r="BV1424" s="1432"/>
      <c r="BW1424" s="1432"/>
      <c r="BX1424" s="1432"/>
      <c r="BY1424" s="1432"/>
      <c r="BZ1424" s="1432"/>
      <c r="CA1424" s="1432"/>
      <c r="CB1424" s="1432"/>
      <c r="CC1424" s="1432"/>
      <c r="CD1424" s="585"/>
      <c r="CE1424" s="585"/>
      <c r="CF1424" s="586"/>
    </row>
    <row r="1425" spans="1:84" s="583" customFormat="1" ht="23.1" customHeight="1" thickBot="1">
      <c r="A1425" s="584"/>
      <c r="B1425" s="585"/>
      <c r="C1425" s="585"/>
      <c r="D1425" s="585"/>
      <c r="E1425" s="585"/>
      <c r="F1425" s="585"/>
      <c r="G1425" s="585"/>
      <c r="H1425" s="585"/>
      <c r="I1425" s="585"/>
      <c r="J1425" s="585"/>
      <c r="K1425" s="585"/>
      <c r="L1425" s="585"/>
      <c r="M1425" s="585"/>
      <c r="N1425" s="585"/>
      <c r="O1425" s="585"/>
      <c r="P1425" s="585"/>
      <c r="Q1425" s="585"/>
      <c r="R1425" s="585"/>
      <c r="S1425" s="585"/>
      <c r="T1425" s="585"/>
      <c r="U1425" s="585"/>
      <c r="V1425" s="585"/>
      <c r="W1425" s="585"/>
      <c r="X1425" s="585"/>
      <c r="Y1425" s="585"/>
      <c r="Z1425" s="585"/>
      <c r="AA1425" s="585"/>
      <c r="AB1425" s="585"/>
      <c r="AC1425" s="585"/>
      <c r="AD1425" s="585"/>
      <c r="AE1425" s="585"/>
      <c r="AF1425" s="585"/>
      <c r="AG1425" s="585"/>
      <c r="AH1425" s="585"/>
      <c r="AI1425" s="585"/>
      <c r="AJ1425" s="585"/>
      <c r="AK1425" s="585"/>
      <c r="AL1425" s="585"/>
      <c r="AM1425" s="585"/>
      <c r="AN1425" s="585"/>
      <c r="AO1425" s="585"/>
      <c r="AP1425" s="585"/>
      <c r="AQ1425" s="585"/>
      <c r="AR1425" s="585"/>
      <c r="AS1425" s="585"/>
      <c r="AT1425" s="585"/>
      <c r="AU1425" s="585"/>
      <c r="AV1425" s="585"/>
      <c r="AW1425" s="585"/>
      <c r="AX1425" s="585"/>
      <c r="AY1425" s="585"/>
      <c r="AZ1425" s="585"/>
      <c r="BA1425" s="585"/>
      <c r="BB1425" s="585"/>
      <c r="BC1425" s="585"/>
      <c r="BD1425" s="585"/>
      <c r="BE1425" s="585"/>
      <c r="BF1425" s="585"/>
      <c r="BG1425" s="585"/>
      <c r="BH1425" s="585"/>
      <c r="BI1425" s="585"/>
      <c r="BJ1425" s="585"/>
      <c r="BK1425" s="585"/>
      <c r="BL1425" s="585"/>
      <c r="BM1425" s="585"/>
      <c r="BN1425" s="585"/>
      <c r="BO1425" s="585"/>
      <c r="BP1425" s="1431" t="s">
        <v>41</v>
      </c>
      <c r="BQ1425" s="1431"/>
      <c r="BR1425" s="585"/>
      <c r="BS1425" s="585"/>
      <c r="BT1425" s="1433" t="e">
        <f>BT1423+BT1424</f>
        <v>#REF!</v>
      </c>
      <c r="BU1425" s="1433"/>
      <c r="BV1425" s="1433"/>
      <c r="BW1425" s="1433"/>
      <c r="BX1425" s="1433"/>
      <c r="BY1425" s="1433"/>
      <c r="BZ1425" s="1433"/>
      <c r="CA1425" s="1433"/>
      <c r="CB1425" s="1433"/>
      <c r="CC1425" s="1433"/>
      <c r="CD1425" s="585"/>
      <c r="CE1425" s="585"/>
      <c r="CF1425" s="586"/>
    </row>
    <row r="1426" spans="1:84" s="583" customFormat="1" ht="23.1" customHeight="1" thickBot="1">
      <c r="A1426" s="597"/>
      <c r="B1426" s="598" t="s">
        <v>1113</v>
      </c>
      <c r="C1426" s="598"/>
      <c r="D1426" s="598"/>
      <c r="E1426" s="598"/>
      <c r="F1426" s="598"/>
      <c r="G1426" s="598"/>
      <c r="H1426" s="598"/>
      <c r="I1426" s="598"/>
      <c r="J1426" s="598"/>
      <c r="K1426" s="598"/>
      <c r="L1426" s="598"/>
      <c r="M1426" s="598"/>
      <c r="N1426" s="598"/>
      <c r="O1426" s="598"/>
      <c r="P1426" s="598"/>
      <c r="Q1426" s="598"/>
      <c r="R1426" s="598"/>
      <c r="S1426" s="598"/>
      <c r="T1426" s="598"/>
      <c r="U1426" s="598"/>
      <c r="V1426" s="598"/>
      <c r="W1426" s="598"/>
      <c r="X1426" s="598"/>
      <c r="Y1426" s="598"/>
      <c r="Z1426" s="598"/>
      <c r="AA1426" s="598"/>
      <c r="AB1426" s="598"/>
      <c r="AC1426" s="598"/>
      <c r="AD1426" s="598"/>
      <c r="AE1426" s="598"/>
      <c r="AF1426" s="598"/>
      <c r="AG1426" s="598"/>
      <c r="AH1426" s="598"/>
      <c r="AI1426" s="598"/>
      <c r="AJ1426" s="598"/>
      <c r="AK1426" s="598"/>
      <c r="AL1426" s="598"/>
      <c r="AM1426" s="598"/>
      <c r="AN1426" s="598"/>
      <c r="AO1426" s="598"/>
      <c r="AP1426" s="598"/>
      <c r="AQ1426" s="598"/>
      <c r="AR1426" s="598"/>
      <c r="AS1426" s="598"/>
      <c r="AT1426" s="598"/>
      <c r="AU1426" s="598"/>
      <c r="AV1426" s="598"/>
      <c r="AW1426" s="598"/>
      <c r="AX1426" s="598"/>
      <c r="AY1426" s="598"/>
      <c r="AZ1426" s="598"/>
      <c r="BA1426" s="598"/>
      <c r="BB1426" s="598"/>
      <c r="BC1426" s="598"/>
      <c r="BD1426" s="598"/>
      <c r="BE1426" s="598"/>
      <c r="BF1426" s="598"/>
      <c r="BG1426" s="598"/>
      <c r="BH1426" s="598"/>
      <c r="BI1426" s="598"/>
      <c r="BJ1426" s="598"/>
      <c r="BK1426" s="598"/>
      <c r="BL1426" s="598"/>
      <c r="BM1426" s="598"/>
      <c r="BN1426" s="598"/>
      <c r="BO1426" s="598"/>
      <c r="BP1426" s="598"/>
      <c r="BQ1426" s="598"/>
      <c r="BR1426" s="598"/>
      <c r="BS1426" s="598"/>
      <c r="BT1426" s="1429" t="e">
        <f>BT1417+BT1421+BT1425</f>
        <v>#REF!</v>
      </c>
      <c r="BU1426" s="1429"/>
      <c r="BV1426" s="1429"/>
      <c r="BW1426" s="1429"/>
      <c r="BX1426" s="1429"/>
      <c r="BY1426" s="1429"/>
      <c r="BZ1426" s="1429"/>
      <c r="CA1426" s="1429"/>
      <c r="CB1426" s="1429"/>
      <c r="CC1426" s="1429"/>
      <c r="CD1426" s="598"/>
      <c r="CE1426" s="598"/>
      <c r="CF1426" s="599"/>
    </row>
    <row r="1427" spans="1:84" s="583" customFormat="1" ht="9.9499999999999993" customHeight="1">
      <c r="A1427" s="574"/>
      <c r="B1427" s="574"/>
      <c r="C1427" s="574"/>
      <c r="D1427" s="574"/>
      <c r="E1427" s="574"/>
      <c r="F1427" s="574"/>
      <c r="G1427" s="574"/>
      <c r="H1427" s="574"/>
      <c r="I1427" s="574"/>
      <c r="J1427" s="574"/>
      <c r="K1427" s="574"/>
      <c r="L1427" s="574"/>
      <c r="M1427" s="574"/>
      <c r="N1427" s="574"/>
      <c r="O1427" s="574"/>
      <c r="P1427" s="574"/>
      <c r="Q1427" s="574"/>
      <c r="R1427" s="574"/>
      <c r="S1427" s="574"/>
      <c r="T1427" s="574"/>
      <c r="U1427" s="574"/>
      <c r="V1427" s="574"/>
      <c r="W1427" s="574"/>
      <c r="X1427" s="574"/>
      <c r="Y1427" s="574"/>
      <c r="Z1427" s="574"/>
      <c r="AA1427" s="574"/>
      <c r="AB1427" s="574"/>
      <c r="AC1427" s="574"/>
      <c r="AD1427" s="574"/>
      <c r="AE1427" s="574"/>
      <c r="AF1427" s="574"/>
      <c r="AG1427" s="574"/>
      <c r="AH1427" s="574"/>
      <c r="AI1427" s="574"/>
      <c r="AJ1427" s="574"/>
      <c r="AK1427" s="574"/>
      <c r="AL1427" s="574"/>
      <c r="AM1427" s="574"/>
      <c r="AN1427" s="574"/>
      <c r="AO1427" s="574"/>
      <c r="AP1427" s="574"/>
      <c r="AQ1427" s="574"/>
      <c r="AR1427" s="574"/>
      <c r="AS1427" s="574"/>
      <c r="AT1427" s="574"/>
      <c r="AU1427" s="574"/>
      <c r="AV1427" s="574"/>
      <c r="AW1427" s="574"/>
      <c r="AX1427" s="574"/>
      <c r="AY1427" s="574"/>
      <c r="AZ1427" s="574"/>
      <c r="BA1427" s="574"/>
      <c r="BB1427" s="574"/>
      <c r="BC1427" s="574"/>
      <c r="BD1427" s="574"/>
      <c r="BE1427" s="574"/>
      <c r="BF1427" s="574"/>
      <c r="BG1427" s="574"/>
      <c r="BH1427" s="574"/>
      <c r="BI1427" s="574"/>
      <c r="BJ1427" s="574"/>
      <c r="BK1427" s="574"/>
      <c r="BL1427" s="574"/>
      <c r="BM1427" s="574"/>
      <c r="BN1427" s="574"/>
      <c r="BO1427" s="574"/>
      <c r="BP1427" s="574"/>
      <c r="BQ1427" s="574"/>
      <c r="BR1427" s="574"/>
      <c r="BS1427" s="574"/>
      <c r="BT1427" s="574"/>
      <c r="BU1427" s="574"/>
      <c r="BV1427" s="574"/>
      <c r="BW1427" s="574"/>
      <c r="BX1427" s="574"/>
      <c r="BY1427" s="574"/>
      <c r="BZ1427" s="574"/>
      <c r="CA1427" s="574"/>
      <c r="CB1427" s="574"/>
      <c r="CC1427" s="574"/>
      <c r="CD1427" s="574"/>
      <c r="CE1427" s="574"/>
      <c r="CF1427" s="574"/>
    </row>
    <row r="1428" spans="1:84" s="583" customFormat="1" ht="23.1" customHeight="1" thickBot="1">
      <c r="A1428" s="1446" t="s">
        <v>1095</v>
      </c>
      <c r="B1428" s="1446"/>
      <c r="C1428" s="1446"/>
      <c r="D1428" s="1446"/>
      <c r="E1428" s="1446"/>
      <c r="F1428" s="1446"/>
      <c r="G1428" s="1447">
        <f>G1413+1</f>
        <v>96</v>
      </c>
      <c r="H1428" s="1447"/>
      <c r="I1428" s="1447"/>
      <c r="J1428" s="1448" t="s">
        <v>1096</v>
      </c>
      <c r="K1428" s="1448"/>
      <c r="L1428" s="574"/>
      <c r="M1428" s="574"/>
      <c r="N1428" s="574"/>
      <c r="O1428" s="574"/>
      <c r="P1428" s="574"/>
      <c r="Q1428" s="574"/>
      <c r="R1428" s="574"/>
      <c r="S1428" s="574"/>
      <c r="T1428" s="574"/>
      <c r="U1428" s="574"/>
      <c r="V1428" s="574"/>
      <c r="W1428" s="574"/>
      <c r="X1428" s="574"/>
      <c r="Y1428" s="574"/>
      <c r="Z1428" s="574"/>
      <c r="AA1428" s="574"/>
      <c r="AB1428" s="574"/>
      <c r="AC1428" s="574"/>
      <c r="AD1428" s="574"/>
      <c r="AE1428" s="574"/>
      <c r="AF1428" s="574"/>
      <c r="AG1428" s="574"/>
      <c r="AH1428" s="574"/>
      <c r="AI1428" s="574"/>
      <c r="AJ1428" s="574"/>
      <c r="AK1428" s="574"/>
      <c r="AL1428" s="574"/>
      <c r="AM1428" s="574"/>
      <c r="AN1428" s="574"/>
      <c r="AO1428" s="574"/>
      <c r="AP1428" s="574"/>
      <c r="AQ1428" s="574"/>
      <c r="AR1428" s="574"/>
      <c r="AS1428" s="574"/>
      <c r="AT1428" s="574"/>
      <c r="AU1428" s="574"/>
      <c r="AV1428" s="574"/>
      <c r="AW1428" s="574"/>
      <c r="AX1428" s="574"/>
      <c r="AY1428" s="574"/>
      <c r="AZ1428" s="574"/>
      <c r="BA1428" s="574"/>
      <c r="BB1428" s="574"/>
      <c r="BC1428" s="574"/>
      <c r="BD1428" s="574"/>
      <c r="BE1428" s="574"/>
      <c r="BF1428" s="574"/>
      <c r="BG1428" s="574"/>
      <c r="BH1428" s="574"/>
      <c r="BI1428" s="574"/>
      <c r="BJ1428" s="574"/>
      <c r="BK1428" s="574"/>
      <c r="BL1428" s="574"/>
      <c r="BM1428" s="574"/>
      <c r="BN1428" s="574"/>
      <c r="BO1428" s="574"/>
      <c r="BP1428" s="574"/>
      <c r="BQ1428" s="574"/>
      <c r="BR1428" s="574"/>
      <c r="BS1428" s="574"/>
      <c r="BT1428" s="574"/>
      <c r="BU1428" s="574"/>
      <c r="BV1428" s="574"/>
      <c r="BW1428" s="574"/>
      <c r="BX1428" s="574"/>
      <c r="BY1428" s="574"/>
      <c r="BZ1428" s="574"/>
      <c r="CA1428" s="574"/>
      <c r="CB1428" s="574"/>
      <c r="CC1428" s="574"/>
      <c r="CD1428" s="574"/>
      <c r="CE1428" s="574"/>
      <c r="CF1428" s="574"/>
    </row>
    <row r="1429" spans="1:84" s="603" customFormat="1" ht="23.1" customHeight="1" thickBot="1">
      <c r="A1429" s="1438" t="s">
        <v>1097</v>
      </c>
      <c r="B1429" s="1439"/>
      <c r="C1429" s="1439"/>
      <c r="D1429" s="1439"/>
      <c r="E1429" s="1439"/>
      <c r="F1429" s="1439"/>
      <c r="G1429" s="1439"/>
      <c r="H1429" s="1439"/>
      <c r="I1429" s="601" t="s">
        <v>1271</v>
      </c>
      <c r="J1429" s="601"/>
      <c r="K1429" s="601"/>
      <c r="L1429" s="601"/>
      <c r="M1429" s="601"/>
      <c r="N1429" s="601"/>
      <c r="O1429" s="601"/>
      <c r="P1429" s="601"/>
      <c r="Q1429" s="601"/>
      <c r="R1429" s="601"/>
      <c r="S1429" s="601"/>
      <c r="T1429" s="601"/>
      <c r="U1429" s="601"/>
      <c r="V1429" s="601"/>
      <c r="W1429" s="601"/>
      <c r="X1429" s="601"/>
      <c r="Y1429" s="601"/>
      <c r="Z1429" s="601"/>
      <c r="AA1429" s="601"/>
      <c r="AB1429" s="601"/>
      <c r="AC1429" s="601"/>
      <c r="AD1429" s="601"/>
      <c r="AE1429" s="601"/>
      <c r="AF1429" s="601"/>
      <c r="AG1429" s="601"/>
      <c r="AH1429" s="601"/>
      <c r="AI1429" s="601"/>
      <c r="AJ1429" s="1439" t="s">
        <v>1099</v>
      </c>
      <c r="AK1429" s="1439"/>
      <c r="AL1429" s="1439"/>
      <c r="AM1429" s="1439"/>
      <c r="AN1429" s="1439"/>
      <c r="AO1429" s="1439"/>
      <c r="AP1429" s="1439"/>
      <c r="AQ1429" s="601" t="s">
        <v>1272</v>
      </c>
      <c r="AR1429" s="601"/>
      <c r="AS1429" s="601"/>
      <c r="AT1429" s="601"/>
      <c r="AU1429" s="601"/>
      <c r="AV1429" s="601"/>
      <c r="AW1429" s="601"/>
      <c r="AX1429" s="601"/>
      <c r="AY1429" s="601"/>
      <c r="AZ1429" s="601"/>
      <c r="BA1429" s="601"/>
      <c r="BB1429" s="601"/>
      <c r="BC1429" s="601"/>
      <c r="BD1429" s="601"/>
      <c r="BE1429" s="601"/>
      <c r="BF1429" s="601"/>
      <c r="BG1429" s="601"/>
      <c r="BH1429" s="601"/>
      <c r="BI1429" s="601"/>
      <c r="BJ1429" s="601"/>
      <c r="BK1429" s="601"/>
      <c r="BL1429" s="601"/>
      <c r="BM1429" s="601"/>
      <c r="BN1429" s="601"/>
      <c r="BO1429" s="601"/>
      <c r="BP1429" s="601"/>
      <c r="BQ1429" s="601"/>
      <c r="BR1429" s="601"/>
      <c r="BS1429" s="601"/>
      <c r="BT1429" s="601" t="s">
        <v>1273</v>
      </c>
      <c r="BU1429" s="601"/>
      <c r="BV1429" s="601"/>
      <c r="BW1429" s="601"/>
      <c r="BX1429" s="601"/>
      <c r="BY1429" s="601"/>
      <c r="BZ1429" s="601"/>
      <c r="CA1429" s="601"/>
      <c r="CB1429" s="601"/>
      <c r="CC1429" s="601"/>
      <c r="CD1429" s="601"/>
      <c r="CE1429" s="601"/>
      <c r="CF1429" s="602"/>
    </row>
    <row r="1430" spans="1:84" s="583" customFormat="1" ht="23.1" customHeight="1">
      <c r="A1430" s="584"/>
      <c r="B1430" s="585" t="s">
        <v>1102</v>
      </c>
      <c r="C1430" s="585"/>
      <c r="D1430" s="585"/>
      <c r="E1430" s="585"/>
      <c r="F1430" s="585"/>
      <c r="G1430" s="585"/>
      <c r="H1430" s="585"/>
      <c r="I1430" s="585"/>
      <c r="J1430" s="585"/>
      <c r="K1430" s="585"/>
      <c r="L1430" s="585"/>
      <c r="M1430" s="585"/>
      <c r="N1430" s="585"/>
      <c r="O1430" s="585"/>
      <c r="P1430" s="585"/>
      <c r="Q1430" s="585"/>
      <c r="R1430" s="585"/>
      <c r="S1430" s="585"/>
      <c r="T1430" s="585"/>
      <c r="U1430" s="585"/>
      <c r="V1430" s="585"/>
      <c r="W1430" s="585"/>
      <c r="X1430" s="585"/>
      <c r="Y1430" s="585"/>
      <c r="Z1430" s="585"/>
      <c r="AA1430" s="585"/>
      <c r="AB1430" s="585"/>
      <c r="AC1430" s="585"/>
      <c r="AD1430" s="585"/>
      <c r="AE1430" s="585"/>
      <c r="AF1430" s="585"/>
      <c r="AG1430" s="585"/>
      <c r="AH1430" s="585"/>
      <c r="AI1430" s="585"/>
      <c r="AJ1430" s="585"/>
      <c r="AK1430" s="585"/>
      <c r="AL1430" s="585"/>
      <c r="AM1430" s="585"/>
      <c r="AN1430" s="585"/>
      <c r="AO1430" s="585"/>
      <c r="AP1430" s="585"/>
      <c r="AQ1430" s="585"/>
      <c r="AR1430" s="585"/>
      <c r="AS1430" s="585"/>
      <c r="AT1430" s="585"/>
      <c r="AU1430" s="585"/>
      <c r="AV1430" s="585"/>
      <c r="AW1430" s="585"/>
      <c r="AX1430" s="585"/>
      <c r="AY1430" s="585"/>
      <c r="AZ1430" s="585"/>
      <c r="BA1430" s="585"/>
      <c r="BB1430" s="585"/>
      <c r="BC1430" s="585"/>
      <c r="BD1430" s="585"/>
      <c r="BE1430" s="585"/>
      <c r="BF1430" s="585"/>
      <c r="BG1430" s="585"/>
      <c r="BH1430" s="585"/>
      <c r="BI1430" s="585"/>
      <c r="BJ1430" s="585"/>
      <c r="BK1430" s="585"/>
      <c r="BL1430" s="585"/>
      <c r="BM1430" s="585"/>
      <c r="BN1430" s="585"/>
      <c r="BO1430" s="585"/>
      <c r="BP1430" s="585"/>
      <c r="BQ1430" s="585"/>
      <c r="BR1430" s="585"/>
      <c r="BS1430" s="585"/>
      <c r="BT1430" s="585"/>
      <c r="BU1430" s="585"/>
      <c r="BV1430" s="585"/>
      <c r="BW1430" s="585"/>
      <c r="BX1430" s="585"/>
      <c r="BY1430" s="585"/>
      <c r="BZ1430" s="585"/>
      <c r="CA1430" s="585"/>
      <c r="CB1430" s="585"/>
      <c r="CC1430" s="585"/>
      <c r="CD1430" s="585"/>
      <c r="CE1430" s="585"/>
      <c r="CF1430" s="586"/>
    </row>
    <row r="1431" spans="1:84" s="583" customFormat="1" ht="23.1" customHeight="1">
      <c r="A1431" s="587"/>
      <c r="B1431" s="574"/>
      <c r="C1431" s="574"/>
      <c r="D1431" s="405"/>
      <c r="E1431" s="574"/>
      <c r="F1431" s="422"/>
      <c r="G1431" s="422"/>
      <c r="H1431" s="422"/>
      <c r="I1431" s="422"/>
      <c r="J1431" s="422"/>
      <c r="K1431" s="422"/>
      <c r="L1431" s="422"/>
      <c r="M1431" s="422"/>
      <c r="N1431" s="574"/>
      <c r="O1431" s="574"/>
      <c r="P1431" s="574"/>
      <c r="Q1431" s="574"/>
      <c r="R1431" s="574"/>
      <c r="S1431" s="588"/>
      <c r="T1431" s="588"/>
      <c r="U1431" s="588"/>
      <c r="V1431" s="588"/>
      <c r="W1431" s="588"/>
      <c r="X1431" s="588"/>
      <c r="Y1431" s="588"/>
      <c r="Z1431" s="588"/>
      <c r="AA1431" s="574"/>
      <c r="AB1431" s="588"/>
      <c r="AC1431" s="585"/>
      <c r="AD1431" s="585"/>
      <c r="AE1431" s="600"/>
      <c r="AF1431" s="600"/>
      <c r="AG1431" s="600"/>
      <c r="AH1431" s="600"/>
      <c r="AI1431" s="600"/>
      <c r="AJ1431" s="600"/>
      <c r="AK1431" s="600"/>
      <c r="AL1431" s="600"/>
      <c r="AM1431" s="585"/>
      <c r="AN1431" s="585"/>
      <c r="AO1431" s="574"/>
      <c r="AP1431" s="430"/>
      <c r="AQ1431" s="430"/>
      <c r="AR1431" s="430"/>
      <c r="AS1431" s="430"/>
      <c r="AT1431" s="430"/>
      <c r="AU1431" s="430"/>
      <c r="AV1431" s="430"/>
      <c r="AW1431" s="430"/>
      <c r="AX1431" s="430"/>
      <c r="AY1431" s="430"/>
      <c r="AZ1431" s="430"/>
      <c r="BA1431" s="430"/>
      <c r="BB1431" s="430"/>
      <c r="BC1431" s="430"/>
      <c r="BD1431" s="574"/>
      <c r="BE1431" s="574"/>
      <c r="BF1431" s="574"/>
      <c r="BG1431" s="574"/>
      <c r="BH1431" s="574"/>
      <c r="BI1431" s="574"/>
      <c r="BJ1431" s="574"/>
      <c r="BK1431" s="574"/>
      <c r="BL1431" s="574"/>
      <c r="BM1431" s="574"/>
      <c r="BN1431" s="574"/>
      <c r="BO1431" s="574"/>
      <c r="BP1431" s="574"/>
      <c r="BQ1431" s="574"/>
      <c r="BR1431" s="574"/>
      <c r="BS1431" s="574"/>
      <c r="BT1431" s="574"/>
      <c r="BU1431" s="574"/>
      <c r="BV1431" s="574"/>
      <c r="BW1431" s="574"/>
      <c r="BX1431" s="574"/>
      <c r="BY1431" s="574"/>
      <c r="BZ1431" s="574"/>
      <c r="CA1431" s="574"/>
      <c r="CB1431" s="574"/>
      <c r="CC1431" s="574"/>
      <c r="CD1431" s="574"/>
      <c r="CE1431" s="574"/>
      <c r="CF1431" s="589"/>
    </row>
    <row r="1432" spans="1:84" s="583" customFormat="1" ht="23.1" customHeight="1">
      <c r="A1432" s="584"/>
      <c r="B1432" s="585"/>
      <c r="C1432" s="585"/>
      <c r="D1432" s="585"/>
      <c r="E1432" s="585"/>
      <c r="F1432" s="585"/>
      <c r="G1432" s="585"/>
      <c r="H1432" s="585"/>
      <c r="I1432" s="585"/>
      <c r="J1432" s="585"/>
      <c r="K1432" s="585"/>
      <c r="L1432" s="585"/>
      <c r="M1432" s="585"/>
      <c r="N1432" s="585"/>
      <c r="O1432" s="585"/>
      <c r="P1432" s="585"/>
      <c r="Q1432" s="585"/>
      <c r="R1432" s="585"/>
      <c r="S1432" s="585"/>
      <c r="T1432" s="585"/>
      <c r="U1432" s="585"/>
      <c r="V1432" s="590"/>
      <c r="W1432" s="590"/>
      <c r="X1432" s="590"/>
      <c r="Y1432" s="590"/>
      <c r="Z1432" s="590"/>
      <c r="AA1432" s="590"/>
      <c r="AB1432" s="590"/>
      <c r="AC1432" s="590"/>
      <c r="AD1432" s="574"/>
      <c r="AE1432" s="1440">
        <v>391000</v>
      </c>
      <c r="AF1432" s="1440"/>
      <c r="AG1432" s="1440"/>
      <c r="AH1432" s="1440"/>
      <c r="AI1432" s="1440"/>
      <c r="AJ1432" s="1440"/>
      <c r="AK1432" s="1440"/>
      <c r="AL1432" s="1440"/>
      <c r="AM1432" s="1440"/>
      <c r="AN1432" s="1440"/>
      <c r="AO1432" s="1440"/>
      <c r="AP1432" s="1440"/>
      <c r="AQ1432" s="1440"/>
      <c r="AR1432" s="1440"/>
      <c r="AS1432" s="1440"/>
      <c r="AT1432" s="1431" t="s">
        <v>446</v>
      </c>
      <c r="AU1432" s="1431"/>
      <c r="AV1432" s="1441" t="s">
        <v>1103</v>
      </c>
      <c r="AW1432" s="1441"/>
      <c r="AX1432" s="1442">
        <v>2362</v>
      </c>
      <c r="AY1432" s="1442"/>
      <c r="AZ1432" s="1442"/>
      <c r="BA1432" s="1442"/>
      <c r="BB1432" s="1442"/>
      <c r="BC1432" s="1442"/>
      <c r="BD1432" s="585"/>
      <c r="BE1432" s="1431" t="s">
        <v>446</v>
      </c>
      <c r="BF1432" s="1431"/>
      <c r="BG1432" s="585"/>
      <c r="BH1432" s="591" t="s">
        <v>1104</v>
      </c>
      <c r="BI1432" s="585"/>
      <c r="BJ1432" s="585"/>
      <c r="BK1432" s="585"/>
      <c r="BL1432" s="1431" t="s">
        <v>1105</v>
      </c>
      <c r="BM1432" s="1431"/>
      <c r="BN1432" s="1431"/>
      <c r="BO1432" s="585"/>
      <c r="BP1432" s="1431" t="s">
        <v>41</v>
      </c>
      <c r="BQ1432" s="1431"/>
      <c r="BR1432" s="585"/>
      <c r="BS1432" s="585"/>
      <c r="BT1432" s="1437">
        <f>INT(AE1432*AX1432*10^-7)</f>
        <v>92</v>
      </c>
      <c r="BU1432" s="1437"/>
      <c r="BV1432" s="1437"/>
      <c r="BW1432" s="1437"/>
      <c r="BX1432" s="1437"/>
      <c r="BY1432" s="1437"/>
      <c r="BZ1432" s="1437"/>
      <c r="CA1432" s="1437"/>
      <c r="CB1432" s="1437"/>
      <c r="CC1432" s="1437"/>
      <c r="CD1432" s="585"/>
      <c r="CE1432" s="585"/>
      <c r="CF1432" s="586"/>
    </row>
    <row r="1433" spans="1:84" s="583" customFormat="1" ht="23.1" customHeight="1">
      <c r="A1433" s="592"/>
      <c r="B1433" s="593" t="s">
        <v>1106</v>
      </c>
      <c r="C1433" s="593"/>
      <c r="D1433" s="593"/>
      <c r="E1433" s="593"/>
      <c r="F1433" s="593"/>
      <c r="G1433" s="593"/>
      <c r="H1433" s="593"/>
      <c r="I1433" s="593"/>
      <c r="J1433" s="593"/>
      <c r="K1433" s="593"/>
      <c r="L1433" s="593"/>
      <c r="M1433" s="593"/>
      <c r="N1433" s="593"/>
      <c r="O1433" s="593"/>
      <c r="P1433" s="593"/>
      <c r="Q1433" s="593"/>
      <c r="R1433" s="593"/>
      <c r="S1433" s="593"/>
      <c r="T1433" s="593"/>
      <c r="U1433" s="593"/>
      <c r="V1433" s="593"/>
      <c r="W1433" s="593"/>
      <c r="X1433" s="593"/>
      <c r="Y1433" s="593"/>
      <c r="Z1433" s="593"/>
      <c r="AA1433" s="593"/>
      <c r="AB1433" s="593"/>
      <c r="AC1433" s="593"/>
      <c r="AD1433" s="593"/>
      <c r="AE1433" s="593"/>
      <c r="AF1433" s="593"/>
      <c r="AG1433" s="593"/>
      <c r="AH1433" s="593"/>
      <c r="AI1433" s="593"/>
      <c r="AJ1433" s="593"/>
      <c r="AK1433" s="593"/>
      <c r="AL1433" s="593"/>
      <c r="AM1433" s="593"/>
      <c r="AN1433" s="593"/>
      <c r="AO1433" s="593"/>
      <c r="AP1433" s="593"/>
      <c r="AQ1433" s="593"/>
      <c r="AR1433" s="593"/>
      <c r="AS1433" s="593"/>
      <c r="AT1433" s="593"/>
      <c r="AU1433" s="593"/>
      <c r="AV1433" s="593"/>
      <c r="AW1433" s="593"/>
      <c r="AX1433" s="593"/>
      <c r="AY1433" s="593"/>
      <c r="AZ1433" s="593"/>
      <c r="BA1433" s="593"/>
      <c r="BB1433" s="593"/>
      <c r="BC1433" s="593"/>
      <c r="BD1433" s="593"/>
      <c r="BE1433" s="593"/>
      <c r="BF1433" s="593"/>
      <c r="BG1433" s="593"/>
      <c r="BH1433" s="593"/>
      <c r="BI1433" s="593"/>
      <c r="BJ1433" s="593"/>
      <c r="BK1433" s="593"/>
      <c r="BL1433" s="593"/>
      <c r="BM1433" s="593"/>
      <c r="BN1433" s="593"/>
      <c r="BO1433" s="593"/>
      <c r="BP1433" s="593"/>
      <c r="BQ1433" s="593"/>
      <c r="BR1433" s="593"/>
      <c r="BS1433" s="593"/>
      <c r="BT1433" s="594"/>
      <c r="BU1433" s="594"/>
      <c r="BV1433" s="594"/>
      <c r="BW1433" s="594"/>
      <c r="BX1433" s="594"/>
      <c r="BY1433" s="594"/>
      <c r="BZ1433" s="594"/>
      <c r="CA1433" s="594"/>
      <c r="CB1433" s="594"/>
      <c r="CC1433" s="594"/>
      <c r="CD1433" s="593"/>
      <c r="CE1433" s="593"/>
      <c r="CF1433" s="595"/>
    </row>
    <row r="1434" spans="1:84" s="583" customFormat="1" ht="23.1" customHeight="1">
      <c r="A1434" s="584"/>
      <c r="B1434" s="585"/>
      <c r="C1434" s="585"/>
      <c r="D1434" s="596"/>
      <c r="E1434" s="585"/>
      <c r="F1434" s="585"/>
      <c r="G1434" s="585"/>
      <c r="H1434" s="585"/>
      <c r="I1434" s="585"/>
      <c r="J1434" s="585"/>
      <c r="K1434" s="585"/>
      <c r="L1434" s="585"/>
      <c r="M1434" s="585"/>
      <c r="N1434" s="585"/>
      <c r="O1434" s="585"/>
      <c r="P1434" s="585"/>
      <c r="Q1434" s="585"/>
      <c r="R1434" s="585"/>
      <c r="S1434" s="585"/>
      <c r="T1434" s="574"/>
      <c r="U1434" s="574"/>
      <c r="V1434" s="1430"/>
      <c r="W1434" s="1430"/>
      <c r="X1434" s="1430"/>
      <c r="Y1434" s="1430"/>
      <c r="Z1434" s="1430"/>
      <c r="AA1434" s="1430"/>
      <c r="AB1434" s="1430"/>
      <c r="AC1434" s="1430"/>
      <c r="AD1434" s="1430"/>
      <c r="AE1434" s="1430"/>
      <c r="AF1434" s="1431"/>
      <c r="AG1434" s="1431"/>
      <c r="AH1434" s="574"/>
      <c r="AI1434" s="1436"/>
      <c r="AJ1434" s="1436"/>
      <c r="AK1434" s="1436"/>
      <c r="AL1434" s="1436"/>
      <c r="AM1434" s="585"/>
      <c r="AN1434" s="1431"/>
      <c r="AO1434" s="1431"/>
      <c r="AP1434" s="585"/>
      <c r="AQ1434" s="1436"/>
      <c r="AR1434" s="1436"/>
      <c r="AS1434" s="1436"/>
      <c r="AT1434" s="1436"/>
      <c r="AU1434" s="1436"/>
      <c r="AV1434" s="422"/>
      <c r="AW1434" s="1431"/>
      <c r="AX1434" s="1431"/>
      <c r="AY1434" s="440"/>
      <c r="AZ1434" s="1436"/>
      <c r="BA1434" s="1436"/>
      <c r="BB1434" s="1436"/>
      <c r="BC1434" s="1436"/>
      <c r="BD1434" s="1436"/>
      <c r="BE1434" s="585"/>
      <c r="BF1434" s="1431"/>
      <c r="BG1434" s="1431"/>
      <c r="BH1434" s="1431"/>
      <c r="BI1434" s="1431"/>
      <c r="BJ1434" s="1431"/>
      <c r="BK1434" s="585"/>
      <c r="BL1434" s="585"/>
      <c r="BM1434" s="585"/>
      <c r="BN1434" s="585"/>
      <c r="BO1434" s="585"/>
      <c r="BP1434" s="1431"/>
      <c r="BQ1434" s="1431"/>
      <c r="BR1434" s="585"/>
      <c r="BS1434" s="585"/>
      <c r="BT1434" s="1432"/>
      <c r="BU1434" s="1432"/>
      <c r="BV1434" s="1432"/>
      <c r="BW1434" s="1432"/>
      <c r="BX1434" s="1432"/>
      <c r="BY1434" s="1432"/>
      <c r="BZ1434" s="1432"/>
      <c r="CA1434" s="1432"/>
      <c r="CB1434" s="1432"/>
      <c r="CC1434" s="1432"/>
      <c r="CD1434" s="585"/>
      <c r="CE1434" s="585"/>
      <c r="CF1434" s="586"/>
    </row>
    <row r="1435" spans="1:84" s="583" customFormat="1" ht="23.1" customHeight="1">
      <c r="A1435" s="584"/>
      <c r="B1435" s="585"/>
      <c r="C1435" s="585"/>
      <c r="D1435" s="585"/>
      <c r="E1435" s="585"/>
      <c r="F1435" s="585"/>
      <c r="G1435" s="585"/>
      <c r="H1435" s="585"/>
      <c r="I1435" s="585"/>
      <c r="J1435" s="585"/>
      <c r="K1435" s="585"/>
      <c r="L1435" s="585"/>
      <c r="M1435" s="585"/>
      <c r="N1435" s="585"/>
      <c r="O1435" s="585"/>
      <c r="P1435" s="574"/>
      <c r="Q1435" s="574"/>
      <c r="R1435" s="574"/>
      <c r="S1435" s="574"/>
      <c r="T1435" s="574"/>
      <c r="U1435" s="574"/>
      <c r="V1435" s="574"/>
      <c r="W1435" s="574"/>
      <c r="X1435" s="574"/>
      <c r="Y1435" s="574"/>
      <c r="Z1435" s="574"/>
      <c r="AA1435" s="574"/>
      <c r="AB1435" s="574"/>
      <c r="AC1435" s="574"/>
      <c r="AD1435" s="574"/>
      <c r="AE1435" s="574"/>
      <c r="AF1435" s="574"/>
      <c r="AG1435" s="574"/>
      <c r="AH1435" s="574"/>
      <c r="AI1435" s="574"/>
      <c r="AJ1435" s="574"/>
      <c r="AK1435" s="574"/>
      <c r="AL1435" s="574"/>
      <c r="AM1435" s="574"/>
      <c r="AN1435" s="574"/>
      <c r="AO1435" s="574"/>
      <c r="AP1435" s="574"/>
      <c r="AQ1435" s="574"/>
      <c r="AR1435" s="574"/>
      <c r="AS1435" s="574"/>
      <c r="AT1435" s="574"/>
      <c r="AU1435" s="574"/>
      <c r="AV1435" s="574"/>
      <c r="AW1435" s="574"/>
      <c r="AX1435" s="574"/>
      <c r="AY1435" s="574"/>
      <c r="AZ1435" s="574"/>
      <c r="BA1435" s="574"/>
      <c r="BB1435" s="574"/>
      <c r="BC1435" s="574"/>
      <c r="BD1435" s="574"/>
      <c r="BE1435" s="574"/>
      <c r="BF1435" s="574"/>
      <c r="BG1435" s="585"/>
      <c r="BH1435" s="585"/>
      <c r="BI1435" s="585"/>
      <c r="BJ1435" s="585"/>
      <c r="BK1435" s="585"/>
      <c r="BL1435" s="585"/>
      <c r="BM1435" s="585"/>
      <c r="BN1435" s="585"/>
      <c r="BO1435" s="585"/>
      <c r="BP1435" s="1431"/>
      <c r="BQ1435" s="1431"/>
      <c r="BR1435" s="585"/>
      <c r="BS1435" s="585"/>
      <c r="BT1435" s="1432"/>
      <c r="BU1435" s="1432"/>
      <c r="BV1435" s="1432"/>
      <c r="BW1435" s="1432"/>
      <c r="BX1435" s="1432"/>
      <c r="BY1435" s="1432"/>
      <c r="BZ1435" s="1432"/>
      <c r="CA1435" s="1432"/>
      <c r="CB1435" s="1432"/>
      <c r="CC1435" s="1432"/>
      <c r="CD1435" s="585"/>
      <c r="CE1435" s="585"/>
      <c r="CF1435" s="586"/>
    </row>
    <row r="1436" spans="1:84" s="583" customFormat="1" ht="23.1" customHeight="1">
      <c r="A1436" s="584"/>
      <c r="B1436" s="585"/>
      <c r="C1436" s="585"/>
      <c r="D1436" s="585"/>
      <c r="E1436" s="585"/>
      <c r="F1436" s="585"/>
      <c r="G1436" s="585"/>
      <c r="H1436" s="585"/>
      <c r="I1436" s="585"/>
      <c r="J1436" s="585"/>
      <c r="K1436" s="585"/>
      <c r="L1436" s="585"/>
      <c r="M1436" s="585"/>
      <c r="N1436" s="585"/>
      <c r="O1436" s="585"/>
      <c r="P1436" s="585"/>
      <c r="Q1436" s="585"/>
      <c r="R1436" s="585"/>
      <c r="S1436" s="585"/>
      <c r="T1436" s="585"/>
      <c r="U1436" s="585"/>
      <c r="V1436" s="585"/>
      <c r="W1436" s="585"/>
      <c r="X1436" s="585"/>
      <c r="Y1436" s="585"/>
      <c r="Z1436" s="585"/>
      <c r="AA1436" s="585"/>
      <c r="AB1436" s="585"/>
      <c r="AC1436" s="585"/>
      <c r="AD1436" s="574"/>
      <c r="AE1436" s="574"/>
      <c r="AF1436" s="574"/>
      <c r="AG1436" s="574"/>
      <c r="AH1436" s="574"/>
      <c r="AI1436" s="574"/>
      <c r="AJ1436" s="574"/>
      <c r="AK1436" s="574"/>
      <c r="AL1436" s="574"/>
      <c r="AM1436" s="574"/>
      <c r="AN1436" s="574"/>
      <c r="AO1436" s="574"/>
      <c r="AP1436" s="574"/>
      <c r="AQ1436" s="574"/>
      <c r="AR1436" s="574"/>
      <c r="AS1436" s="585"/>
      <c r="AT1436" s="590"/>
      <c r="AU1436" s="590"/>
      <c r="AV1436" s="585"/>
      <c r="AW1436" s="585"/>
      <c r="AX1436" s="585"/>
      <c r="AY1436" s="585"/>
      <c r="AZ1436" s="585"/>
      <c r="BA1436" s="585"/>
      <c r="BB1436" s="585"/>
      <c r="BC1436" s="585"/>
      <c r="BD1436" s="585"/>
      <c r="BE1436" s="585"/>
      <c r="BF1436" s="585"/>
      <c r="BG1436" s="585"/>
      <c r="BH1436" s="585"/>
      <c r="BI1436" s="585"/>
      <c r="BJ1436" s="585"/>
      <c r="BK1436" s="585"/>
      <c r="BL1436" s="585"/>
      <c r="BM1436" s="585"/>
      <c r="BN1436" s="585"/>
      <c r="BO1436" s="585"/>
      <c r="BP1436" s="1431" t="s">
        <v>41</v>
      </c>
      <c r="BQ1436" s="1431"/>
      <c r="BR1436" s="585"/>
      <c r="BS1436" s="585"/>
      <c r="BT1436" s="1434">
        <f>BT1434+BT1435</f>
        <v>0</v>
      </c>
      <c r="BU1436" s="1434"/>
      <c r="BV1436" s="1434"/>
      <c r="BW1436" s="1434"/>
      <c r="BX1436" s="1434"/>
      <c r="BY1436" s="1434"/>
      <c r="BZ1436" s="1434"/>
      <c r="CA1436" s="1434"/>
      <c r="CB1436" s="1434"/>
      <c r="CC1436" s="1434"/>
      <c r="CD1436" s="585"/>
      <c r="CE1436" s="585"/>
      <c r="CF1436" s="586"/>
    </row>
    <row r="1437" spans="1:84" s="583" customFormat="1" ht="23.1" customHeight="1">
      <c r="A1437" s="592"/>
      <c r="B1437" s="593" t="s">
        <v>1110</v>
      </c>
      <c r="C1437" s="593"/>
      <c r="D1437" s="593"/>
      <c r="E1437" s="593"/>
      <c r="F1437" s="593"/>
      <c r="G1437" s="593"/>
      <c r="H1437" s="593"/>
      <c r="I1437" s="593"/>
      <c r="J1437" s="593"/>
      <c r="K1437" s="593"/>
      <c r="L1437" s="593"/>
      <c r="M1437" s="593"/>
      <c r="N1437" s="593"/>
      <c r="O1437" s="593"/>
      <c r="P1437" s="593"/>
      <c r="Q1437" s="593"/>
      <c r="R1437" s="593"/>
      <c r="S1437" s="593"/>
      <c r="T1437" s="593"/>
      <c r="U1437" s="593"/>
      <c r="V1437" s="593"/>
      <c r="W1437" s="593"/>
      <c r="X1437" s="593"/>
      <c r="Y1437" s="593"/>
      <c r="Z1437" s="593"/>
      <c r="AA1437" s="593"/>
      <c r="AB1437" s="593"/>
      <c r="AC1437" s="593"/>
      <c r="AD1437" s="593"/>
      <c r="AE1437" s="593"/>
      <c r="AF1437" s="593"/>
      <c r="AG1437" s="593"/>
      <c r="AH1437" s="593"/>
      <c r="AI1437" s="593"/>
      <c r="AJ1437" s="593"/>
      <c r="AK1437" s="593"/>
      <c r="AL1437" s="593"/>
      <c r="AM1437" s="593"/>
      <c r="AN1437" s="593"/>
      <c r="AO1437" s="593"/>
      <c r="AP1437" s="593"/>
      <c r="AQ1437" s="593"/>
      <c r="AR1437" s="593"/>
      <c r="AS1437" s="593"/>
      <c r="AT1437" s="593"/>
      <c r="AU1437" s="593"/>
      <c r="AV1437" s="593"/>
      <c r="AW1437" s="593"/>
      <c r="AX1437" s="593"/>
      <c r="AY1437" s="593"/>
      <c r="AZ1437" s="593"/>
      <c r="BA1437" s="593"/>
      <c r="BB1437" s="593"/>
      <c r="BC1437" s="593"/>
      <c r="BD1437" s="593"/>
      <c r="BE1437" s="593"/>
      <c r="BF1437" s="593"/>
      <c r="BG1437" s="593"/>
      <c r="BH1437" s="593"/>
      <c r="BI1437" s="593"/>
      <c r="BJ1437" s="593"/>
      <c r="BK1437" s="593"/>
      <c r="BL1437" s="593"/>
      <c r="BM1437" s="593"/>
      <c r="BN1437" s="593"/>
      <c r="BO1437" s="593"/>
      <c r="BP1437" s="593"/>
      <c r="BQ1437" s="593"/>
      <c r="BR1437" s="593"/>
      <c r="BS1437" s="593"/>
      <c r="BT1437" s="593"/>
      <c r="BU1437" s="593"/>
      <c r="BV1437" s="593"/>
      <c r="BW1437" s="593"/>
      <c r="BX1437" s="593"/>
      <c r="BY1437" s="593"/>
      <c r="BZ1437" s="593"/>
      <c r="CA1437" s="593"/>
      <c r="CB1437" s="593"/>
      <c r="CC1437" s="593"/>
      <c r="CD1437" s="593"/>
      <c r="CE1437" s="593"/>
      <c r="CF1437" s="595"/>
    </row>
    <row r="1438" spans="1:84" s="583" customFormat="1" ht="23.1" customHeight="1">
      <c r="A1438" s="584"/>
      <c r="B1438" s="585"/>
      <c r="C1438" s="585"/>
      <c r="D1438" s="596"/>
      <c r="E1438" s="585"/>
      <c r="F1438" s="585"/>
      <c r="G1438" s="585"/>
      <c r="H1438" s="585"/>
      <c r="I1438" s="585"/>
      <c r="J1438" s="585"/>
      <c r="K1438" s="585"/>
      <c r="L1438" s="585"/>
      <c r="M1438" s="585"/>
      <c r="N1438" s="585"/>
      <c r="O1438" s="585"/>
      <c r="P1438" s="585"/>
      <c r="Q1438" s="585"/>
      <c r="R1438" s="585"/>
      <c r="S1438" s="585"/>
      <c r="T1438" s="585"/>
      <c r="U1438" s="585"/>
      <c r="V1438" s="585"/>
      <c r="W1438" s="585"/>
      <c r="X1438" s="585"/>
      <c r="Y1438" s="585"/>
      <c r="Z1438" s="585"/>
      <c r="AA1438" s="585"/>
      <c r="AB1438" s="585"/>
      <c r="AC1438" s="585"/>
      <c r="AD1438" s="585"/>
      <c r="AE1438" s="585"/>
      <c r="AF1438" s="585"/>
      <c r="AG1438" s="585"/>
      <c r="AH1438" s="585"/>
      <c r="AI1438" s="585"/>
      <c r="AJ1438" s="585"/>
      <c r="AK1438" s="585"/>
      <c r="AL1438" s="585"/>
      <c r="AM1438" s="585"/>
      <c r="AN1438" s="585"/>
      <c r="AO1438" s="585"/>
      <c r="AP1438" s="585"/>
      <c r="AQ1438" s="585"/>
      <c r="AR1438" s="422"/>
      <c r="AS1438" s="1430"/>
      <c r="AT1438" s="1430"/>
      <c r="AU1438" s="1430"/>
      <c r="AV1438" s="1430"/>
      <c r="AW1438" s="1430"/>
      <c r="AX1438" s="1430"/>
      <c r="AY1438" s="1430"/>
      <c r="AZ1438" s="1430"/>
      <c r="BA1438" s="1430"/>
      <c r="BB1438" s="1430"/>
      <c r="BC1438" s="585"/>
      <c r="BD1438" s="1431"/>
      <c r="BE1438" s="1431"/>
      <c r="BF1438" s="585"/>
      <c r="BG1438" s="1431"/>
      <c r="BH1438" s="1431"/>
      <c r="BI1438" s="1431"/>
      <c r="BJ1438" s="1431"/>
      <c r="BK1438" s="1431"/>
      <c r="BL1438" s="585"/>
      <c r="BM1438" s="585"/>
      <c r="BN1438" s="585"/>
      <c r="BO1438" s="585"/>
      <c r="BP1438" s="1431"/>
      <c r="BQ1438" s="1431"/>
      <c r="BR1438" s="585"/>
      <c r="BS1438" s="585"/>
      <c r="BT1438" s="1432"/>
      <c r="BU1438" s="1432"/>
      <c r="BV1438" s="1432"/>
      <c r="BW1438" s="1432"/>
      <c r="BX1438" s="1432"/>
      <c r="BY1438" s="1432"/>
      <c r="BZ1438" s="1432"/>
      <c r="CA1438" s="1432"/>
      <c r="CB1438" s="1432"/>
      <c r="CC1438" s="1432"/>
      <c r="CD1438" s="585"/>
      <c r="CE1438" s="585"/>
      <c r="CF1438" s="586"/>
    </row>
    <row r="1439" spans="1:84" s="583" customFormat="1" ht="23.1" customHeight="1">
      <c r="A1439" s="584"/>
      <c r="B1439" s="585"/>
      <c r="C1439" s="585"/>
      <c r="D1439" s="591"/>
      <c r="E1439" s="585"/>
      <c r="F1439" s="585"/>
      <c r="G1439" s="585"/>
      <c r="H1439" s="585"/>
      <c r="I1439" s="585"/>
      <c r="J1439" s="585"/>
      <c r="K1439" s="585"/>
      <c r="L1439" s="585"/>
      <c r="M1439" s="585"/>
      <c r="N1439" s="585"/>
      <c r="O1439" s="585"/>
      <c r="P1439" s="585"/>
      <c r="Q1439" s="585"/>
      <c r="R1439" s="585"/>
      <c r="S1439" s="585"/>
      <c r="T1439" s="585"/>
      <c r="U1439" s="585"/>
      <c r="V1439" s="585"/>
      <c r="W1439" s="585"/>
      <c r="X1439" s="585"/>
      <c r="Y1439" s="585"/>
      <c r="Z1439" s="585"/>
      <c r="AA1439" s="585"/>
      <c r="AB1439" s="585"/>
      <c r="AC1439" s="585"/>
      <c r="AD1439" s="585"/>
      <c r="AE1439" s="585"/>
      <c r="AF1439" s="585"/>
      <c r="AG1439" s="585"/>
      <c r="AH1439" s="585"/>
      <c r="AI1439" s="585"/>
      <c r="AJ1439" s="585"/>
      <c r="AK1439" s="585"/>
      <c r="AL1439" s="585"/>
      <c r="AM1439" s="585"/>
      <c r="AN1439" s="585"/>
      <c r="AO1439" s="585"/>
      <c r="AP1439" s="585"/>
      <c r="AQ1439" s="585"/>
      <c r="AR1439" s="422"/>
      <c r="AS1439" s="1430"/>
      <c r="AT1439" s="1430"/>
      <c r="AU1439" s="1430"/>
      <c r="AV1439" s="1430"/>
      <c r="AW1439" s="1430"/>
      <c r="AX1439" s="1430"/>
      <c r="AY1439" s="1430"/>
      <c r="AZ1439" s="1430"/>
      <c r="BA1439" s="1430"/>
      <c r="BB1439" s="1430"/>
      <c r="BC1439" s="585"/>
      <c r="BD1439" s="1431"/>
      <c r="BE1439" s="1431"/>
      <c r="BF1439" s="585"/>
      <c r="BG1439" s="1431"/>
      <c r="BH1439" s="1431"/>
      <c r="BI1439" s="1431"/>
      <c r="BJ1439" s="1431"/>
      <c r="BK1439" s="1431"/>
      <c r="BL1439" s="585"/>
      <c r="BM1439" s="585"/>
      <c r="BN1439" s="585"/>
      <c r="BO1439" s="585"/>
      <c r="BP1439" s="1431"/>
      <c r="BQ1439" s="1431"/>
      <c r="BR1439" s="585"/>
      <c r="BS1439" s="585"/>
      <c r="BT1439" s="1432"/>
      <c r="BU1439" s="1432"/>
      <c r="BV1439" s="1432"/>
      <c r="BW1439" s="1432"/>
      <c r="BX1439" s="1432"/>
      <c r="BY1439" s="1432"/>
      <c r="BZ1439" s="1432"/>
      <c r="CA1439" s="1432"/>
      <c r="CB1439" s="1432"/>
      <c r="CC1439" s="1432"/>
      <c r="CD1439" s="585"/>
      <c r="CE1439" s="585"/>
      <c r="CF1439" s="586"/>
    </row>
    <row r="1440" spans="1:84" s="583" customFormat="1" ht="23.1" customHeight="1" thickBot="1">
      <c r="A1440" s="584"/>
      <c r="B1440" s="585"/>
      <c r="C1440" s="585"/>
      <c r="D1440" s="585"/>
      <c r="E1440" s="585"/>
      <c r="F1440" s="585"/>
      <c r="G1440" s="585"/>
      <c r="H1440" s="585"/>
      <c r="I1440" s="585"/>
      <c r="J1440" s="585"/>
      <c r="K1440" s="585"/>
      <c r="L1440" s="585"/>
      <c r="M1440" s="585"/>
      <c r="N1440" s="585"/>
      <c r="O1440" s="585"/>
      <c r="P1440" s="585"/>
      <c r="Q1440" s="585"/>
      <c r="R1440" s="585"/>
      <c r="S1440" s="585"/>
      <c r="T1440" s="585"/>
      <c r="U1440" s="585"/>
      <c r="V1440" s="585"/>
      <c r="W1440" s="585"/>
      <c r="X1440" s="585"/>
      <c r="Y1440" s="585"/>
      <c r="Z1440" s="585"/>
      <c r="AA1440" s="585"/>
      <c r="AB1440" s="585"/>
      <c r="AC1440" s="585"/>
      <c r="AD1440" s="585"/>
      <c r="AE1440" s="585"/>
      <c r="AF1440" s="585"/>
      <c r="AG1440" s="585"/>
      <c r="AH1440" s="585"/>
      <c r="AI1440" s="585"/>
      <c r="AJ1440" s="585"/>
      <c r="AK1440" s="585"/>
      <c r="AL1440" s="585"/>
      <c r="AM1440" s="585"/>
      <c r="AN1440" s="585"/>
      <c r="AO1440" s="585"/>
      <c r="AP1440" s="585"/>
      <c r="AQ1440" s="585"/>
      <c r="AR1440" s="585"/>
      <c r="AS1440" s="585"/>
      <c r="AT1440" s="585"/>
      <c r="AU1440" s="585"/>
      <c r="AV1440" s="585"/>
      <c r="AW1440" s="585"/>
      <c r="AX1440" s="585"/>
      <c r="AY1440" s="585"/>
      <c r="AZ1440" s="585"/>
      <c r="BA1440" s="585"/>
      <c r="BB1440" s="585"/>
      <c r="BC1440" s="585"/>
      <c r="BD1440" s="585"/>
      <c r="BE1440" s="585"/>
      <c r="BF1440" s="585"/>
      <c r="BG1440" s="585"/>
      <c r="BH1440" s="585"/>
      <c r="BI1440" s="585"/>
      <c r="BJ1440" s="585"/>
      <c r="BK1440" s="585"/>
      <c r="BL1440" s="585"/>
      <c r="BM1440" s="585"/>
      <c r="BN1440" s="585"/>
      <c r="BO1440" s="585"/>
      <c r="BP1440" s="1431" t="s">
        <v>41</v>
      </c>
      <c r="BQ1440" s="1431"/>
      <c r="BR1440" s="585"/>
      <c r="BS1440" s="585"/>
      <c r="BT1440" s="1433">
        <f>BT1438+BT1439</f>
        <v>0</v>
      </c>
      <c r="BU1440" s="1433"/>
      <c r="BV1440" s="1433"/>
      <c r="BW1440" s="1433"/>
      <c r="BX1440" s="1433"/>
      <c r="BY1440" s="1433"/>
      <c r="BZ1440" s="1433"/>
      <c r="CA1440" s="1433"/>
      <c r="CB1440" s="1433"/>
      <c r="CC1440" s="1433"/>
      <c r="CD1440" s="585"/>
      <c r="CE1440" s="585"/>
      <c r="CF1440" s="586"/>
    </row>
    <row r="1441" spans="1:84" s="583" customFormat="1" ht="23.1" customHeight="1" thickBot="1">
      <c r="A1441" s="597"/>
      <c r="B1441" s="598" t="s">
        <v>1113</v>
      </c>
      <c r="C1441" s="598"/>
      <c r="D1441" s="598"/>
      <c r="E1441" s="598"/>
      <c r="F1441" s="598"/>
      <c r="G1441" s="598"/>
      <c r="H1441" s="598"/>
      <c r="I1441" s="598"/>
      <c r="J1441" s="598"/>
      <c r="K1441" s="598"/>
      <c r="L1441" s="598"/>
      <c r="M1441" s="598"/>
      <c r="N1441" s="598"/>
      <c r="O1441" s="598"/>
      <c r="P1441" s="598"/>
      <c r="Q1441" s="598"/>
      <c r="R1441" s="598"/>
      <c r="S1441" s="598"/>
      <c r="T1441" s="598"/>
      <c r="U1441" s="598"/>
      <c r="V1441" s="598"/>
      <c r="W1441" s="598"/>
      <c r="X1441" s="598"/>
      <c r="Y1441" s="598"/>
      <c r="Z1441" s="598"/>
      <c r="AA1441" s="598"/>
      <c r="AB1441" s="598"/>
      <c r="AC1441" s="598"/>
      <c r="AD1441" s="598"/>
      <c r="AE1441" s="598"/>
      <c r="AF1441" s="598"/>
      <c r="AG1441" s="598"/>
      <c r="AH1441" s="598"/>
      <c r="AI1441" s="598"/>
      <c r="AJ1441" s="598"/>
      <c r="AK1441" s="598"/>
      <c r="AL1441" s="598"/>
      <c r="AM1441" s="598"/>
      <c r="AN1441" s="598"/>
      <c r="AO1441" s="598"/>
      <c r="AP1441" s="598"/>
      <c r="AQ1441" s="598"/>
      <c r="AR1441" s="598"/>
      <c r="AS1441" s="598"/>
      <c r="AT1441" s="598"/>
      <c r="AU1441" s="598"/>
      <c r="AV1441" s="598"/>
      <c r="AW1441" s="598"/>
      <c r="AX1441" s="598"/>
      <c r="AY1441" s="598"/>
      <c r="AZ1441" s="598"/>
      <c r="BA1441" s="598"/>
      <c r="BB1441" s="598"/>
      <c r="BC1441" s="598"/>
      <c r="BD1441" s="598"/>
      <c r="BE1441" s="598"/>
      <c r="BF1441" s="598"/>
      <c r="BG1441" s="598"/>
      <c r="BH1441" s="598"/>
      <c r="BI1441" s="598"/>
      <c r="BJ1441" s="598"/>
      <c r="BK1441" s="598"/>
      <c r="BL1441" s="598"/>
      <c r="BM1441" s="598"/>
      <c r="BN1441" s="598"/>
      <c r="BO1441" s="598"/>
      <c r="BP1441" s="598"/>
      <c r="BQ1441" s="598"/>
      <c r="BR1441" s="598"/>
      <c r="BS1441" s="598"/>
      <c r="BT1441" s="1429">
        <f>BT1432+BT1436+BT1440</f>
        <v>92</v>
      </c>
      <c r="BU1441" s="1429"/>
      <c r="BV1441" s="1429"/>
      <c r="BW1441" s="1429"/>
      <c r="BX1441" s="1429"/>
      <c r="BY1441" s="1429"/>
      <c r="BZ1441" s="1429"/>
      <c r="CA1441" s="1429"/>
      <c r="CB1441" s="1429"/>
      <c r="CC1441" s="1429"/>
      <c r="CD1441" s="598"/>
      <c r="CE1441" s="598"/>
      <c r="CF1441" s="599"/>
    </row>
    <row r="1442" spans="1:84" s="583" customFormat="1" ht="9.9499999999999993" customHeight="1">
      <c r="A1442" s="574"/>
      <c r="B1442" s="574"/>
      <c r="C1442" s="574"/>
      <c r="D1442" s="574"/>
      <c r="E1442" s="574"/>
      <c r="F1442" s="574"/>
      <c r="G1442" s="574"/>
      <c r="H1442" s="574"/>
      <c r="I1442" s="574"/>
      <c r="J1442" s="574"/>
      <c r="K1442" s="574"/>
      <c r="L1442" s="574"/>
      <c r="M1442" s="574"/>
      <c r="N1442" s="574"/>
      <c r="O1442" s="574"/>
      <c r="P1442" s="574"/>
      <c r="Q1442" s="574"/>
      <c r="R1442" s="574"/>
      <c r="S1442" s="574"/>
      <c r="T1442" s="574"/>
      <c r="U1442" s="574"/>
      <c r="V1442" s="574"/>
      <c r="W1442" s="574"/>
      <c r="X1442" s="574"/>
      <c r="Y1442" s="574"/>
      <c r="Z1442" s="574"/>
      <c r="AA1442" s="574"/>
      <c r="AB1442" s="574"/>
      <c r="AC1442" s="574"/>
      <c r="AD1442" s="574"/>
      <c r="AE1442" s="574"/>
      <c r="AF1442" s="574"/>
      <c r="AG1442" s="574"/>
      <c r="AH1442" s="574"/>
      <c r="AI1442" s="574"/>
      <c r="AJ1442" s="574"/>
      <c r="AK1442" s="574"/>
      <c r="AL1442" s="574"/>
      <c r="AM1442" s="574"/>
      <c r="AN1442" s="574"/>
      <c r="AO1442" s="574"/>
      <c r="AP1442" s="574"/>
      <c r="AQ1442" s="574"/>
      <c r="AR1442" s="574"/>
      <c r="AS1442" s="574"/>
      <c r="AT1442" s="574"/>
      <c r="AU1442" s="574"/>
      <c r="AV1442" s="574"/>
      <c r="AW1442" s="574"/>
      <c r="AX1442" s="574"/>
      <c r="AY1442" s="574"/>
      <c r="AZ1442" s="574"/>
      <c r="BA1442" s="574"/>
      <c r="BB1442" s="574"/>
      <c r="BC1442" s="574"/>
      <c r="BD1442" s="574"/>
      <c r="BE1442" s="574"/>
      <c r="BF1442" s="574"/>
      <c r="BG1442" s="574"/>
      <c r="BH1442" s="574"/>
      <c r="BI1442" s="574"/>
      <c r="BJ1442" s="574"/>
      <c r="BK1442" s="574"/>
      <c r="BL1442" s="574"/>
      <c r="BM1442" s="574"/>
      <c r="BN1442" s="574"/>
      <c r="BO1442" s="574"/>
      <c r="BP1442" s="574"/>
      <c r="BQ1442" s="574"/>
      <c r="BR1442" s="574"/>
      <c r="BS1442" s="574"/>
      <c r="BT1442" s="574"/>
      <c r="BU1442" s="574"/>
      <c r="BV1442" s="574"/>
      <c r="BW1442" s="574"/>
      <c r="BX1442" s="574"/>
      <c r="BY1442" s="574"/>
      <c r="BZ1442" s="574"/>
      <c r="CA1442" s="574"/>
      <c r="CB1442" s="574"/>
      <c r="CC1442" s="574"/>
      <c r="CD1442" s="574"/>
      <c r="CE1442" s="574"/>
      <c r="CF1442" s="574"/>
    </row>
    <row r="1443" spans="1:84" s="583" customFormat="1" ht="23.1" customHeight="1" thickBot="1">
      <c r="A1443" s="1446" t="s">
        <v>1095</v>
      </c>
      <c r="B1443" s="1446"/>
      <c r="C1443" s="1446"/>
      <c r="D1443" s="1446"/>
      <c r="E1443" s="1446"/>
      <c r="F1443" s="1446"/>
      <c r="G1443" s="1447">
        <f>G1428+1</f>
        <v>97</v>
      </c>
      <c r="H1443" s="1447"/>
      <c r="I1443" s="1447"/>
      <c r="J1443" s="1448" t="s">
        <v>1096</v>
      </c>
      <c r="K1443" s="1448"/>
      <c r="L1443" s="574"/>
      <c r="M1443" s="574"/>
      <c r="N1443" s="574"/>
      <c r="O1443" s="574"/>
      <c r="P1443" s="574"/>
      <c r="Q1443" s="574"/>
      <c r="R1443" s="574"/>
      <c r="S1443" s="574"/>
      <c r="T1443" s="574"/>
      <c r="U1443" s="574"/>
      <c r="V1443" s="574"/>
      <c r="W1443" s="574"/>
      <c r="X1443" s="574"/>
      <c r="Y1443" s="574"/>
      <c r="Z1443" s="574"/>
      <c r="AA1443" s="574"/>
      <c r="AB1443" s="574"/>
      <c r="AC1443" s="574"/>
      <c r="AD1443" s="574"/>
      <c r="AE1443" s="574"/>
      <c r="AF1443" s="574"/>
      <c r="AG1443" s="574"/>
      <c r="AH1443" s="574"/>
      <c r="AI1443" s="574"/>
      <c r="AJ1443" s="574"/>
      <c r="AK1443" s="574"/>
      <c r="AL1443" s="574"/>
      <c r="AM1443" s="574"/>
      <c r="AN1443" s="574"/>
      <c r="AO1443" s="574"/>
      <c r="AP1443" s="574"/>
      <c r="AQ1443" s="574"/>
      <c r="AR1443" s="574"/>
      <c r="AS1443" s="574"/>
      <c r="AT1443" s="574"/>
      <c r="AU1443" s="574"/>
      <c r="AV1443" s="574"/>
      <c r="AW1443" s="574"/>
      <c r="AX1443" s="574"/>
      <c r="AY1443" s="574"/>
      <c r="AZ1443" s="574"/>
      <c r="BA1443" s="574"/>
      <c r="BB1443" s="574"/>
      <c r="BC1443" s="574"/>
      <c r="BD1443" s="574"/>
      <c r="BE1443" s="574"/>
      <c r="BF1443" s="574"/>
      <c r="BG1443" s="574"/>
      <c r="BH1443" s="574"/>
      <c r="BI1443" s="574"/>
      <c r="BJ1443" s="574"/>
      <c r="BK1443" s="574"/>
      <c r="BL1443" s="574"/>
      <c r="BM1443" s="574"/>
      <c r="BN1443" s="574"/>
      <c r="BO1443" s="574"/>
      <c r="BP1443" s="574"/>
      <c r="BQ1443" s="574"/>
      <c r="BR1443" s="574"/>
      <c r="BS1443" s="574"/>
      <c r="BT1443" s="574"/>
      <c r="BU1443" s="574"/>
      <c r="BV1443" s="574"/>
      <c r="BW1443" s="574"/>
      <c r="BX1443" s="574"/>
      <c r="BY1443" s="574"/>
      <c r="BZ1443" s="574"/>
      <c r="CA1443" s="574"/>
      <c r="CB1443" s="574"/>
      <c r="CC1443" s="574"/>
      <c r="CD1443" s="574"/>
      <c r="CE1443" s="574"/>
      <c r="CF1443" s="574"/>
    </row>
    <row r="1444" spans="1:84" s="603" customFormat="1" ht="23.1" customHeight="1" thickBot="1">
      <c r="A1444" s="1438" t="s">
        <v>1097</v>
      </c>
      <c r="B1444" s="1439"/>
      <c r="C1444" s="1439"/>
      <c r="D1444" s="1439"/>
      <c r="E1444" s="1439"/>
      <c r="F1444" s="1439"/>
      <c r="G1444" s="1439"/>
      <c r="H1444" s="1439"/>
      <c r="I1444" s="601" t="s">
        <v>1274</v>
      </c>
      <c r="J1444" s="601"/>
      <c r="K1444" s="601"/>
      <c r="L1444" s="601"/>
      <c r="M1444" s="601"/>
      <c r="N1444" s="601"/>
      <c r="O1444" s="601"/>
      <c r="P1444" s="601"/>
      <c r="Q1444" s="601"/>
      <c r="R1444" s="601"/>
      <c r="S1444" s="601"/>
      <c r="T1444" s="601"/>
      <c r="U1444" s="601"/>
      <c r="V1444" s="601"/>
      <c r="W1444" s="601"/>
      <c r="X1444" s="601"/>
      <c r="Y1444" s="601"/>
      <c r="Z1444" s="601"/>
      <c r="AA1444" s="601"/>
      <c r="AB1444" s="601"/>
      <c r="AC1444" s="601"/>
      <c r="AD1444" s="601"/>
      <c r="AE1444" s="601"/>
      <c r="AF1444" s="601"/>
      <c r="AG1444" s="601"/>
      <c r="AH1444" s="601"/>
      <c r="AI1444" s="601"/>
      <c r="AJ1444" s="1439" t="s">
        <v>1099</v>
      </c>
      <c r="AK1444" s="1439"/>
      <c r="AL1444" s="1439"/>
      <c r="AM1444" s="1439"/>
      <c r="AN1444" s="1439"/>
      <c r="AO1444" s="1439"/>
      <c r="AP1444" s="1439"/>
      <c r="AQ1444" s="601" t="s">
        <v>1275</v>
      </c>
      <c r="AR1444" s="601"/>
      <c r="AS1444" s="601"/>
      <c r="AT1444" s="601"/>
      <c r="AU1444" s="601"/>
      <c r="AV1444" s="601"/>
      <c r="AW1444" s="601"/>
      <c r="AX1444" s="601"/>
      <c r="AY1444" s="601"/>
      <c r="AZ1444" s="601"/>
      <c r="BA1444" s="601"/>
      <c r="BB1444" s="601"/>
      <c r="BC1444" s="601"/>
      <c r="BD1444" s="601"/>
      <c r="BE1444" s="601"/>
      <c r="BF1444" s="601"/>
      <c r="BG1444" s="601"/>
      <c r="BH1444" s="601"/>
      <c r="BI1444" s="601"/>
      <c r="BJ1444" s="601"/>
      <c r="BK1444" s="601"/>
      <c r="BL1444" s="601"/>
      <c r="BM1444" s="601"/>
      <c r="BN1444" s="601"/>
      <c r="BO1444" s="601"/>
      <c r="BP1444" s="601"/>
      <c r="BQ1444" s="601"/>
      <c r="BR1444" s="601"/>
      <c r="BS1444" s="601"/>
      <c r="BT1444" s="601" t="s">
        <v>1276</v>
      </c>
      <c r="BU1444" s="601"/>
      <c r="BV1444" s="601"/>
      <c r="BW1444" s="601"/>
      <c r="BX1444" s="601"/>
      <c r="BY1444" s="601"/>
      <c r="BZ1444" s="601"/>
      <c r="CA1444" s="601"/>
      <c r="CB1444" s="601"/>
      <c r="CC1444" s="601"/>
      <c r="CD1444" s="601"/>
      <c r="CE1444" s="601"/>
      <c r="CF1444" s="602"/>
    </row>
    <row r="1445" spans="1:84" s="583" customFormat="1" ht="23.1" customHeight="1">
      <c r="A1445" s="584"/>
      <c r="B1445" s="585" t="s">
        <v>1102</v>
      </c>
      <c r="C1445" s="585"/>
      <c r="D1445" s="585"/>
      <c r="E1445" s="585"/>
      <c r="F1445" s="585"/>
      <c r="G1445" s="585"/>
      <c r="H1445" s="585"/>
      <c r="I1445" s="585"/>
      <c r="J1445" s="585"/>
      <c r="K1445" s="585"/>
      <c r="L1445" s="585"/>
      <c r="M1445" s="585"/>
      <c r="N1445" s="585"/>
      <c r="O1445" s="585"/>
      <c r="P1445" s="585"/>
      <c r="Q1445" s="585"/>
      <c r="R1445" s="585"/>
      <c r="S1445" s="585"/>
      <c r="T1445" s="585"/>
      <c r="U1445" s="585"/>
      <c r="V1445" s="585"/>
      <c r="W1445" s="585"/>
      <c r="X1445" s="585"/>
      <c r="Y1445" s="585"/>
      <c r="Z1445" s="585"/>
      <c r="AA1445" s="585"/>
      <c r="AB1445" s="585"/>
      <c r="AC1445" s="585"/>
      <c r="AD1445" s="585"/>
      <c r="AE1445" s="585"/>
      <c r="AF1445" s="585"/>
      <c r="AG1445" s="585"/>
      <c r="AH1445" s="585"/>
      <c r="AI1445" s="585"/>
      <c r="AJ1445" s="585"/>
      <c r="AK1445" s="585"/>
      <c r="AL1445" s="585"/>
      <c r="AM1445" s="585"/>
      <c r="AN1445" s="585"/>
      <c r="AO1445" s="585"/>
      <c r="AP1445" s="585"/>
      <c r="AQ1445" s="585"/>
      <c r="AR1445" s="585"/>
      <c r="AS1445" s="585"/>
      <c r="AT1445" s="585"/>
      <c r="AU1445" s="585"/>
      <c r="AV1445" s="585"/>
      <c r="AW1445" s="585"/>
      <c r="AX1445" s="585"/>
      <c r="AY1445" s="585"/>
      <c r="AZ1445" s="585"/>
      <c r="BA1445" s="585"/>
      <c r="BB1445" s="585"/>
      <c r="BC1445" s="585"/>
      <c r="BD1445" s="585"/>
      <c r="BE1445" s="585"/>
      <c r="BF1445" s="585"/>
      <c r="BG1445" s="585"/>
      <c r="BH1445" s="585"/>
      <c r="BI1445" s="585"/>
      <c r="BJ1445" s="585"/>
      <c r="BK1445" s="585"/>
      <c r="BL1445" s="585"/>
      <c r="BM1445" s="585"/>
      <c r="BN1445" s="585"/>
      <c r="BO1445" s="585"/>
      <c r="BP1445" s="585"/>
      <c r="BQ1445" s="585"/>
      <c r="BR1445" s="585"/>
      <c r="BS1445" s="585"/>
      <c r="BT1445" s="585"/>
      <c r="BU1445" s="585"/>
      <c r="BV1445" s="585"/>
      <c r="BW1445" s="585"/>
      <c r="BX1445" s="585"/>
      <c r="BY1445" s="585"/>
      <c r="BZ1445" s="585"/>
      <c r="CA1445" s="585"/>
      <c r="CB1445" s="585"/>
      <c r="CC1445" s="585"/>
      <c r="CD1445" s="585"/>
      <c r="CE1445" s="585"/>
      <c r="CF1445" s="586"/>
    </row>
    <row r="1446" spans="1:84" s="583" customFormat="1" ht="23.1" customHeight="1">
      <c r="A1446" s="587"/>
      <c r="B1446" s="574"/>
      <c r="C1446" s="574"/>
      <c r="D1446" s="405"/>
      <c r="E1446" s="574"/>
      <c r="F1446" s="422"/>
      <c r="G1446" s="422"/>
      <c r="H1446" s="422"/>
      <c r="I1446" s="422"/>
      <c r="J1446" s="422"/>
      <c r="K1446" s="422"/>
      <c r="L1446" s="422"/>
      <c r="M1446" s="422"/>
      <c r="N1446" s="574"/>
      <c r="O1446" s="574"/>
      <c r="P1446" s="574"/>
      <c r="Q1446" s="574"/>
      <c r="R1446" s="574"/>
      <c r="S1446" s="588"/>
      <c r="T1446" s="588"/>
      <c r="U1446" s="588"/>
      <c r="V1446" s="588"/>
      <c r="W1446" s="588"/>
      <c r="X1446" s="588"/>
      <c r="Y1446" s="588"/>
      <c r="Z1446" s="588"/>
      <c r="AA1446" s="574"/>
      <c r="AB1446" s="588"/>
      <c r="AC1446" s="585"/>
      <c r="AD1446" s="585"/>
      <c r="AE1446" s="600"/>
      <c r="AF1446" s="600"/>
      <c r="AG1446" s="600"/>
      <c r="AH1446" s="600"/>
      <c r="AI1446" s="600"/>
      <c r="AJ1446" s="600"/>
      <c r="AK1446" s="600"/>
      <c r="AL1446" s="600"/>
      <c r="AM1446" s="585"/>
      <c r="AN1446" s="585"/>
      <c r="AO1446" s="574"/>
      <c r="AP1446" s="430"/>
      <c r="AQ1446" s="430"/>
      <c r="AR1446" s="430"/>
      <c r="AS1446" s="430"/>
      <c r="AT1446" s="430"/>
      <c r="AU1446" s="430"/>
      <c r="AV1446" s="430"/>
      <c r="AW1446" s="430"/>
      <c r="AX1446" s="430"/>
      <c r="AY1446" s="430"/>
      <c r="AZ1446" s="430"/>
      <c r="BA1446" s="430"/>
      <c r="BB1446" s="430"/>
      <c r="BC1446" s="430"/>
      <c r="BD1446" s="574"/>
      <c r="BE1446" s="574"/>
      <c r="BF1446" s="574"/>
      <c r="BG1446" s="574"/>
      <c r="BH1446" s="574"/>
      <c r="BI1446" s="574"/>
      <c r="BJ1446" s="574"/>
      <c r="BK1446" s="574"/>
      <c r="BL1446" s="574"/>
      <c r="BM1446" s="574"/>
      <c r="BN1446" s="574"/>
      <c r="BO1446" s="574"/>
      <c r="BP1446" s="574"/>
      <c r="BQ1446" s="574"/>
      <c r="BR1446" s="574"/>
      <c r="BS1446" s="574"/>
      <c r="BT1446" s="574"/>
      <c r="BU1446" s="574"/>
      <c r="BV1446" s="574"/>
      <c r="BW1446" s="574"/>
      <c r="BX1446" s="574"/>
      <c r="BY1446" s="574"/>
      <c r="BZ1446" s="574"/>
      <c r="CA1446" s="574"/>
      <c r="CB1446" s="574"/>
      <c r="CC1446" s="574"/>
      <c r="CD1446" s="574"/>
      <c r="CE1446" s="574"/>
      <c r="CF1446" s="589"/>
    </row>
    <row r="1447" spans="1:84" s="583" customFormat="1" ht="23.1" customHeight="1">
      <c r="A1447" s="584"/>
      <c r="B1447" s="585"/>
      <c r="C1447" s="585"/>
      <c r="D1447" s="585"/>
      <c r="E1447" s="585"/>
      <c r="F1447" s="585"/>
      <c r="G1447" s="585"/>
      <c r="H1447" s="585"/>
      <c r="I1447" s="585"/>
      <c r="J1447" s="585"/>
      <c r="K1447" s="585"/>
      <c r="L1447" s="585"/>
      <c r="M1447" s="585"/>
      <c r="N1447" s="585"/>
      <c r="O1447" s="585"/>
      <c r="P1447" s="585"/>
      <c r="Q1447" s="585"/>
      <c r="R1447" s="585"/>
      <c r="S1447" s="585"/>
      <c r="T1447" s="585"/>
      <c r="U1447" s="585"/>
      <c r="V1447" s="590"/>
      <c r="W1447" s="590"/>
      <c r="X1447" s="590"/>
      <c r="Y1447" s="590"/>
      <c r="Z1447" s="590"/>
      <c r="AA1447" s="590"/>
      <c r="AB1447" s="590"/>
      <c r="AC1447" s="590"/>
      <c r="AD1447" s="574"/>
      <c r="AE1447" s="1440">
        <v>5448000</v>
      </c>
      <c r="AF1447" s="1440"/>
      <c r="AG1447" s="1440"/>
      <c r="AH1447" s="1440"/>
      <c r="AI1447" s="1440"/>
      <c r="AJ1447" s="1440"/>
      <c r="AK1447" s="1440"/>
      <c r="AL1447" s="1440"/>
      <c r="AM1447" s="1440"/>
      <c r="AN1447" s="1440"/>
      <c r="AO1447" s="1440"/>
      <c r="AP1447" s="1440"/>
      <c r="AQ1447" s="1440"/>
      <c r="AR1447" s="1440"/>
      <c r="AS1447" s="1440"/>
      <c r="AT1447" s="1431" t="s">
        <v>446</v>
      </c>
      <c r="AU1447" s="1431"/>
      <c r="AV1447" s="1441" t="s">
        <v>1103</v>
      </c>
      <c r="AW1447" s="1441"/>
      <c r="AX1447" s="1442">
        <v>2362</v>
      </c>
      <c r="AY1447" s="1442"/>
      <c r="AZ1447" s="1442"/>
      <c r="BA1447" s="1442"/>
      <c r="BB1447" s="1442"/>
      <c r="BC1447" s="1442"/>
      <c r="BD1447" s="585"/>
      <c r="BE1447" s="1431" t="s">
        <v>446</v>
      </c>
      <c r="BF1447" s="1431"/>
      <c r="BG1447" s="585"/>
      <c r="BH1447" s="591" t="s">
        <v>1104</v>
      </c>
      <c r="BI1447" s="585"/>
      <c r="BJ1447" s="585"/>
      <c r="BK1447" s="585"/>
      <c r="BL1447" s="1431" t="s">
        <v>1105</v>
      </c>
      <c r="BM1447" s="1431"/>
      <c r="BN1447" s="1431"/>
      <c r="BO1447" s="585"/>
      <c r="BP1447" s="1431" t="s">
        <v>41</v>
      </c>
      <c r="BQ1447" s="1431"/>
      <c r="BR1447" s="585"/>
      <c r="BS1447" s="585"/>
      <c r="BT1447" s="1437">
        <f>INT(AE1447*AX1447*10^-7)</f>
        <v>1286</v>
      </c>
      <c r="BU1447" s="1437"/>
      <c r="BV1447" s="1437"/>
      <c r="BW1447" s="1437"/>
      <c r="BX1447" s="1437"/>
      <c r="BY1447" s="1437"/>
      <c r="BZ1447" s="1437"/>
      <c r="CA1447" s="1437"/>
      <c r="CB1447" s="1437"/>
      <c r="CC1447" s="1437"/>
      <c r="CD1447" s="585"/>
      <c r="CE1447" s="585"/>
      <c r="CF1447" s="586"/>
    </row>
    <row r="1448" spans="1:84" s="583" customFormat="1" ht="23.1" customHeight="1">
      <c r="A1448" s="592"/>
      <c r="B1448" s="593" t="s">
        <v>1106</v>
      </c>
      <c r="C1448" s="593"/>
      <c r="D1448" s="593"/>
      <c r="E1448" s="593"/>
      <c r="F1448" s="593"/>
      <c r="G1448" s="593"/>
      <c r="H1448" s="593"/>
      <c r="I1448" s="593"/>
      <c r="J1448" s="593"/>
      <c r="K1448" s="593"/>
      <c r="L1448" s="593"/>
      <c r="M1448" s="593"/>
      <c r="N1448" s="593"/>
      <c r="O1448" s="593"/>
      <c r="P1448" s="593"/>
      <c r="Q1448" s="593"/>
      <c r="R1448" s="593"/>
      <c r="S1448" s="593"/>
      <c r="T1448" s="593"/>
      <c r="U1448" s="593"/>
      <c r="V1448" s="593"/>
      <c r="W1448" s="593"/>
      <c r="X1448" s="593"/>
      <c r="Y1448" s="593"/>
      <c r="Z1448" s="593"/>
      <c r="AA1448" s="593"/>
      <c r="AB1448" s="593"/>
      <c r="AC1448" s="593"/>
      <c r="AD1448" s="593"/>
      <c r="AE1448" s="593"/>
      <c r="AF1448" s="593"/>
      <c r="AG1448" s="593"/>
      <c r="AH1448" s="593"/>
      <c r="AI1448" s="593"/>
      <c r="AJ1448" s="593"/>
      <c r="AK1448" s="593"/>
      <c r="AL1448" s="593"/>
      <c r="AM1448" s="593"/>
      <c r="AN1448" s="593"/>
      <c r="AO1448" s="593"/>
      <c r="AP1448" s="593"/>
      <c r="AQ1448" s="593"/>
      <c r="AR1448" s="593"/>
      <c r="AS1448" s="593"/>
      <c r="AT1448" s="593"/>
      <c r="AU1448" s="593"/>
      <c r="AV1448" s="593"/>
      <c r="AW1448" s="593"/>
      <c r="AX1448" s="593"/>
      <c r="AY1448" s="593"/>
      <c r="AZ1448" s="593"/>
      <c r="BA1448" s="593"/>
      <c r="BB1448" s="593"/>
      <c r="BC1448" s="593"/>
      <c r="BD1448" s="593"/>
      <c r="BE1448" s="593"/>
      <c r="BF1448" s="593"/>
      <c r="BG1448" s="593"/>
      <c r="BH1448" s="593"/>
      <c r="BI1448" s="593"/>
      <c r="BJ1448" s="593"/>
      <c r="BK1448" s="593"/>
      <c r="BL1448" s="593"/>
      <c r="BM1448" s="593"/>
      <c r="BN1448" s="593"/>
      <c r="BO1448" s="593"/>
      <c r="BP1448" s="593"/>
      <c r="BQ1448" s="593"/>
      <c r="BR1448" s="593"/>
      <c r="BS1448" s="593"/>
      <c r="BT1448" s="594"/>
      <c r="BU1448" s="594"/>
      <c r="BV1448" s="594"/>
      <c r="BW1448" s="594"/>
      <c r="BX1448" s="594"/>
      <c r="BY1448" s="594"/>
      <c r="BZ1448" s="594"/>
      <c r="CA1448" s="594"/>
      <c r="CB1448" s="594"/>
      <c r="CC1448" s="594"/>
      <c r="CD1448" s="593"/>
      <c r="CE1448" s="593"/>
      <c r="CF1448" s="595"/>
    </row>
    <row r="1449" spans="1:84" s="583" customFormat="1" ht="23.1" customHeight="1">
      <c r="A1449" s="584"/>
      <c r="B1449" s="585"/>
      <c r="C1449" s="585"/>
      <c r="D1449" s="596"/>
      <c r="E1449" s="585"/>
      <c r="F1449" s="585"/>
      <c r="G1449" s="585"/>
      <c r="H1449" s="585"/>
      <c r="I1449" s="585"/>
      <c r="J1449" s="585"/>
      <c r="K1449" s="585"/>
      <c r="L1449" s="585"/>
      <c r="M1449" s="585"/>
      <c r="N1449" s="585"/>
      <c r="O1449" s="585"/>
      <c r="P1449" s="585"/>
      <c r="Q1449" s="585"/>
      <c r="R1449" s="585"/>
      <c r="S1449" s="585"/>
      <c r="T1449" s="574"/>
      <c r="U1449" s="574"/>
      <c r="V1449" s="1430"/>
      <c r="W1449" s="1430"/>
      <c r="X1449" s="1430"/>
      <c r="Y1449" s="1430"/>
      <c r="Z1449" s="1430"/>
      <c r="AA1449" s="1430"/>
      <c r="AB1449" s="1430"/>
      <c r="AC1449" s="1430"/>
      <c r="AD1449" s="1430"/>
      <c r="AE1449" s="1430"/>
      <c r="AF1449" s="1431"/>
      <c r="AG1449" s="1431"/>
      <c r="AH1449" s="574"/>
      <c r="AI1449" s="1436"/>
      <c r="AJ1449" s="1436"/>
      <c r="AK1449" s="1436"/>
      <c r="AL1449" s="1436"/>
      <c r="AM1449" s="585"/>
      <c r="AN1449" s="1431"/>
      <c r="AO1449" s="1431"/>
      <c r="AP1449" s="585"/>
      <c r="AQ1449" s="1436"/>
      <c r="AR1449" s="1436"/>
      <c r="AS1449" s="1436"/>
      <c r="AT1449" s="1436"/>
      <c r="AU1449" s="1436"/>
      <c r="AV1449" s="422"/>
      <c r="AW1449" s="1431"/>
      <c r="AX1449" s="1431"/>
      <c r="AY1449" s="440"/>
      <c r="AZ1449" s="1436"/>
      <c r="BA1449" s="1436"/>
      <c r="BB1449" s="1436"/>
      <c r="BC1449" s="1436"/>
      <c r="BD1449" s="1436"/>
      <c r="BE1449" s="585"/>
      <c r="BF1449" s="1431"/>
      <c r="BG1449" s="1431"/>
      <c r="BH1449" s="1431"/>
      <c r="BI1449" s="1431"/>
      <c r="BJ1449" s="1431"/>
      <c r="BK1449" s="585"/>
      <c r="BL1449" s="585"/>
      <c r="BM1449" s="585"/>
      <c r="BN1449" s="585"/>
      <c r="BO1449" s="585"/>
      <c r="BP1449" s="1431"/>
      <c r="BQ1449" s="1431"/>
      <c r="BR1449" s="585"/>
      <c r="BS1449" s="585"/>
      <c r="BT1449" s="1432"/>
      <c r="BU1449" s="1432"/>
      <c r="BV1449" s="1432"/>
      <c r="BW1449" s="1432"/>
      <c r="BX1449" s="1432"/>
      <c r="BY1449" s="1432"/>
      <c r="BZ1449" s="1432"/>
      <c r="CA1449" s="1432"/>
      <c r="CB1449" s="1432"/>
      <c r="CC1449" s="1432"/>
      <c r="CD1449" s="585"/>
      <c r="CE1449" s="585"/>
      <c r="CF1449" s="586"/>
    </row>
    <row r="1450" spans="1:84" s="583" customFormat="1" ht="23.1" customHeight="1">
      <c r="A1450" s="584"/>
      <c r="B1450" s="585"/>
      <c r="C1450" s="585"/>
      <c r="D1450" s="585"/>
      <c r="E1450" s="585"/>
      <c r="F1450" s="585"/>
      <c r="G1450" s="585"/>
      <c r="H1450" s="585"/>
      <c r="I1450" s="585"/>
      <c r="J1450" s="585"/>
      <c r="K1450" s="585"/>
      <c r="L1450" s="585"/>
      <c r="M1450" s="585"/>
      <c r="N1450" s="585"/>
      <c r="O1450" s="585"/>
      <c r="P1450" s="574"/>
      <c r="Q1450" s="574"/>
      <c r="R1450" s="574"/>
      <c r="S1450" s="574"/>
      <c r="T1450" s="574"/>
      <c r="U1450" s="574"/>
      <c r="V1450" s="574"/>
      <c r="W1450" s="574"/>
      <c r="X1450" s="574"/>
      <c r="Y1450" s="574"/>
      <c r="Z1450" s="574"/>
      <c r="AA1450" s="574"/>
      <c r="AB1450" s="574"/>
      <c r="AC1450" s="574"/>
      <c r="AD1450" s="574"/>
      <c r="AE1450" s="574"/>
      <c r="AF1450" s="574"/>
      <c r="AG1450" s="574"/>
      <c r="AH1450" s="574"/>
      <c r="AI1450" s="574"/>
      <c r="AJ1450" s="574"/>
      <c r="AK1450" s="574"/>
      <c r="AL1450" s="574"/>
      <c r="AM1450" s="574"/>
      <c r="AN1450" s="574"/>
      <c r="AO1450" s="574"/>
      <c r="AP1450" s="574"/>
      <c r="AQ1450" s="574"/>
      <c r="AR1450" s="574"/>
      <c r="AS1450" s="574"/>
      <c r="AT1450" s="574"/>
      <c r="AU1450" s="574"/>
      <c r="AV1450" s="574"/>
      <c r="AW1450" s="574"/>
      <c r="AX1450" s="574"/>
      <c r="AY1450" s="574"/>
      <c r="AZ1450" s="574"/>
      <c r="BA1450" s="574"/>
      <c r="BB1450" s="574"/>
      <c r="BC1450" s="574"/>
      <c r="BD1450" s="574"/>
      <c r="BE1450" s="574"/>
      <c r="BF1450" s="574"/>
      <c r="BG1450" s="585"/>
      <c r="BH1450" s="585"/>
      <c r="BI1450" s="585"/>
      <c r="BJ1450" s="585"/>
      <c r="BK1450" s="585"/>
      <c r="BL1450" s="585"/>
      <c r="BM1450" s="585"/>
      <c r="BN1450" s="585"/>
      <c r="BO1450" s="585"/>
      <c r="BP1450" s="1431"/>
      <c r="BQ1450" s="1431"/>
      <c r="BR1450" s="585"/>
      <c r="BS1450" s="585"/>
      <c r="BT1450" s="1432"/>
      <c r="BU1450" s="1432"/>
      <c r="BV1450" s="1432"/>
      <c r="BW1450" s="1432"/>
      <c r="BX1450" s="1432"/>
      <c r="BY1450" s="1432"/>
      <c r="BZ1450" s="1432"/>
      <c r="CA1450" s="1432"/>
      <c r="CB1450" s="1432"/>
      <c r="CC1450" s="1432"/>
      <c r="CD1450" s="585"/>
      <c r="CE1450" s="585"/>
      <c r="CF1450" s="586"/>
    </row>
    <row r="1451" spans="1:84" s="583" customFormat="1" ht="23.1" customHeight="1">
      <c r="A1451" s="584"/>
      <c r="B1451" s="585"/>
      <c r="C1451" s="585"/>
      <c r="D1451" s="585"/>
      <c r="E1451" s="585"/>
      <c r="F1451" s="585"/>
      <c r="G1451" s="585"/>
      <c r="H1451" s="585"/>
      <c r="I1451" s="585"/>
      <c r="J1451" s="585"/>
      <c r="K1451" s="585"/>
      <c r="L1451" s="585"/>
      <c r="M1451" s="585"/>
      <c r="N1451" s="585"/>
      <c r="O1451" s="585"/>
      <c r="P1451" s="585"/>
      <c r="Q1451" s="585"/>
      <c r="R1451" s="585"/>
      <c r="S1451" s="585"/>
      <c r="T1451" s="585"/>
      <c r="U1451" s="585"/>
      <c r="V1451" s="585"/>
      <c r="W1451" s="585"/>
      <c r="X1451" s="585"/>
      <c r="Y1451" s="585"/>
      <c r="Z1451" s="585"/>
      <c r="AA1451" s="585"/>
      <c r="AB1451" s="585"/>
      <c r="AC1451" s="585"/>
      <c r="AD1451" s="574"/>
      <c r="AE1451" s="574"/>
      <c r="AF1451" s="574"/>
      <c r="AG1451" s="574"/>
      <c r="AH1451" s="574"/>
      <c r="AI1451" s="574"/>
      <c r="AJ1451" s="574"/>
      <c r="AK1451" s="574"/>
      <c r="AL1451" s="574"/>
      <c r="AM1451" s="574"/>
      <c r="AN1451" s="574"/>
      <c r="AO1451" s="574"/>
      <c r="AP1451" s="574"/>
      <c r="AQ1451" s="574"/>
      <c r="AR1451" s="574"/>
      <c r="AS1451" s="585"/>
      <c r="AT1451" s="590"/>
      <c r="AU1451" s="590"/>
      <c r="AV1451" s="585"/>
      <c r="AW1451" s="585"/>
      <c r="AX1451" s="585"/>
      <c r="AY1451" s="585"/>
      <c r="AZ1451" s="585"/>
      <c r="BA1451" s="585"/>
      <c r="BB1451" s="585"/>
      <c r="BC1451" s="585"/>
      <c r="BD1451" s="585"/>
      <c r="BE1451" s="585"/>
      <c r="BF1451" s="585"/>
      <c r="BG1451" s="585"/>
      <c r="BH1451" s="585"/>
      <c r="BI1451" s="585"/>
      <c r="BJ1451" s="585"/>
      <c r="BK1451" s="585"/>
      <c r="BL1451" s="585"/>
      <c r="BM1451" s="585"/>
      <c r="BN1451" s="585"/>
      <c r="BO1451" s="585"/>
      <c r="BP1451" s="1431" t="s">
        <v>41</v>
      </c>
      <c r="BQ1451" s="1431"/>
      <c r="BR1451" s="585"/>
      <c r="BS1451" s="585"/>
      <c r="BT1451" s="1434">
        <f>BT1449+BT1450</f>
        <v>0</v>
      </c>
      <c r="BU1451" s="1434"/>
      <c r="BV1451" s="1434"/>
      <c r="BW1451" s="1434"/>
      <c r="BX1451" s="1434"/>
      <c r="BY1451" s="1434"/>
      <c r="BZ1451" s="1434"/>
      <c r="CA1451" s="1434"/>
      <c r="CB1451" s="1434"/>
      <c r="CC1451" s="1434"/>
      <c r="CD1451" s="585"/>
      <c r="CE1451" s="585"/>
      <c r="CF1451" s="586"/>
    </row>
    <row r="1452" spans="1:84" s="583" customFormat="1" ht="23.1" customHeight="1">
      <c r="A1452" s="592"/>
      <c r="B1452" s="593" t="s">
        <v>1110</v>
      </c>
      <c r="C1452" s="593"/>
      <c r="D1452" s="593"/>
      <c r="E1452" s="593"/>
      <c r="F1452" s="593"/>
      <c r="G1452" s="593"/>
      <c r="H1452" s="593"/>
      <c r="I1452" s="593"/>
      <c r="J1452" s="593"/>
      <c r="K1452" s="593"/>
      <c r="L1452" s="593"/>
      <c r="M1452" s="593"/>
      <c r="N1452" s="593"/>
      <c r="O1452" s="593"/>
      <c r="P1452" s="593"/>
      <c r="Q1452" s="593"/>
      <c r="R1452" s="593"/>
      <c r="S1452" s="593"/>
      <c r="T1452" s="593"/>
      <c r="U1452" s="593"/>
      <c r="V1452" s="593"/>
      <c r="W1452" s="593"/>
      <c r="X1452" s="593"/>
      <c r="Y1452" s="593"/>
      <c r="Z1452" s="593"/>
      <c r="AA1452" s="593"/>
      <c r="AB1452" s="593"/>
      <c r="AC1452" s="593"/>
      <c r="AD1452" s="593"/>
      <c r="AE1452" s="593"/>
      <c r="AF1452" s="593"/>
      <c r="AG1452" s="593"/>
      <c r="AH1452" s="593"/>
      <c r="AI1452" s="593"/>
      <c r="AJ1452" s="593"/>
      <c r="AK1452" s="593"/>
      <c r="AL1452" s="593"/>
      <c r="AM1452" s="593"/>
      <c r="AN1452" s="593"/>
      <c r="AO1452" s="593"/>
      <c r="AP1452" s="593"/>
      <c r="AQ1452" s="593"/>
      <c r="AR1452" s="593"/>
      <c r="AS1452" s="593"/>
      <c r="AT1452" s="593"/>
      <c r="AU1452" s="593"/>
      <c r="AV1452" s="593"/>
      <c r="AW1452" s="593"/>
      <c r="AX1452" s="593"/>
      <c r="AY1452" s="593"/>
      <c r="AZ1452" s="593"/>
      <c r="BA1452" s="593"/>
      <c r="BB1452" s="593"/>
      <c r="BC1452" s="593"/>
      <c r="BD1452" s="593"/>
      <c r="BE1452" s="593"/>
      <c r="BF1452" s="593"/>
      <c r="BG1452" s="593"/>
      <c r="BH1452" s="593"/>
      <c r="BI1452" s="593"/>
      <c r="BJ1452" s="593"/>
      <c r="BK1452" s="593"/>
      <c r="BL1452" s="593"/>
      <c r="BM1452" s="593"/>
      <c r="BN1452" s="593"/>
      <c r="BO1452" s="593"/>
      <c r="BP1452" s="593"/>
      <c r="BQ1452" s="593"/>
      <c r="BR1452" s="593"/>
      <c r="BS1452" s="593"/>
      <c r="BT1452" s="593"/>
      <c r="BU1452" s="593"/>
      <c r="BV1452" s="593"/>
      <c r="BW1452" s="593"/>
      <c r="BX1452" s="593"/>
      <c r="BY1452" s="593"/>
      <c r="BZ1452" s="593"/>
      <c r="CA1452" s="593"/>
      <c r="CB1452" s="593"/>
      <c r="CC1452" s="593"/>
      <c r="CD1452" s="593"/>
      <c r="CE1452" s="593"/>
      <c r="CF1452" s="595"/>
    </row>
    <row r="1453" spans="1:84" s="583" customFormat="1" ht="23.1" customHeight="1">
      <c r="A1453" s="584"/>
      <c r="B1453" s="585"/>
      <c r="C1453" s="585"/>
      <c r="D1453" s="596"/>
      <c r="E1453" s="585"/>
      <c r="F1453" s="585"/>
      <c r="G1453" s="585"/>
      <c r="H1453" s="585"/>
      <c r="I1453" s="585"/>
      <c r="J1453" s="585"/>
      <c r="K1453" s="585"/>
      <c r="L1453" s="585"/>
      <c r="M1453" s="585"/>
      <c r="N1453" s="585"/>
      <c r="O1453" s="585"/>
      <c r="P1453" s="585"/>
      <c r="Q1453" s="585"/>
      <c r="R1453" s="585"/>
      <c r="S1453" s="585"/>
      <c r="T1453" s="585"/>
      <c r="U1453" s="585"/>
      <c r="V1453" s="585"/>
      <c r="W1453" s="585"/>
      <c r="X1453" s="585"/>
      <c r="Y1453" s="585"/>
      <c r="Z1453" s="585"/>
      <c r="AA1453" s="585"/>
      <c r="AB1453" s="585"/>
      <c r="AC1453" s="585"/>
      <c r="AD1453" s="585"/>
      <c r="AE1453" s="585"/>
      <c r="AF1453" s="585"/>
      <c r="AG1453" s="585"/>
      <c r="AH1453" s="585"/>
      <c r="AI1453" s="585"/>
      <c r="AJ1453" s="585"/>
      <c r="AK1453" s="585"/>
      <c r="AL1453" s="585"/>
      <c r="AM1453" s="585"/>
      <c r="AN1453" s="585"/>
      <c r="AO1453" s="585"/>
      <c r="AP1453" s="585"/>
      <c r="AQ1453" s="585"/>
      <c r="AR1453" s="422"/>
      <c r="AS1453" s="1430"/>
      <c r="AT1453" s="1430"/>
      <c r="AU1453" s="1430"/>
      <c r="AV1453" s="1430"/>
      <c r="AW1453" s="1430"/>
      <c r="AX1453" s="1430"/>
      <c r="AY1453" s="1430"/>
      <c r="AZ1453" s="1430"/>
      <c r="BA1453" s="1430"/>
      <c r="BB1453" s="1430"/>
      <c r="BC1453" s="585"/>
      <c r="BD1453" s="1431"/>
      <c r="BE1453" s="1431"/>
      <c r="BF1453" s="585"/>
      <c r="BG1453" s="1431"/>
      <c r="BH1453" s="1431"/>
      <c r="BI1453" s="1431"/>
      <c r="BJ1453" s="1431"/>
      <c r="BK1453" s="1431"/>
      <c r="BL1453" s="585"/>
      <c r="BM1453" s="585"/>
      <c r="BN1453" s="585"/>
      <c r="BO1453" s="585"/>
      <c r="BP1453" s="1431"/>
      <c r="BQ1453" s="1431"/>
      <c r="BR1453" s="585"/>
      <c r="BS1453" s="585"/>
      <c r="BT1453" s="1432"/>
      <c r="BU1453" s="1432"/>
      <c r="BV1453" s="1432"/>
      <c r="BW1453" s="1432"/>
      <c r="BX1453" s="1432"/>
      <c r="BY1453" s="1432"/>
      <c r="BZ1453" s="1432"/>
      <c r="CA1453" s="1432"/>
      <c r="CB1453" s="1432"/>
      <c r="CC1453" s="1432"/>
      <c r="CD1453" s="585"/>
      <c r="CE1453" s="585"/>
      <c r="CF1453" s="586"/>
    </row>
    <row r="1454" spans="1:84" s="583" customFormat="1" ht="23.1" customHeight="1">
      <c r="A1454" s="584"/>
      <c r="B1454" s="585"/>
      <c r="C1454" s="585"/>
      <c r="D1454" s="591"/>
      <c r="E1454" s="585"/>
      <c r="F1454" s="585"/>
      <c r="G1454" s="585"/>
      <c r="H1454" s="585"/>
      <c r="I1454" s="585"/>
      <c r="J1454" s="585"/>
      <c r="K1454" s="585"/>
      <c r="L1454" s="585"/>
      <c r="M1454" s="585"/>
      <c r="N1454" s="585"/>
      <c r="O1454" s="585"/>
      <c r="P1454" s="585"/>
      <c r="Q1454" s="585"/>
      <c r="R1454" s="585"/>
      <c r="S1454" s="585"/>
      <c r="T1454" s="585"/>
      <c r="U1454" s="585"/>
      <c r="V1454" s="585"/>
      <c r="W1454" s="585"/>
      <c r="X1454" s="585"/>
      <c r="Y1454" s="585"/>
      <c r="Z1454" s="585"/>
      <c r="AA1454" s="585"/>
      <c r="AB1454" s="585"/>
      <c r="AC1454" s="585"/>
      <c r="AD1454" s="585"/>
      <c r="AE1454" s="585"/>
      <c r="AF1454" s="585"/>
      <c r="AG1454" s="585"/>
      <c r="AH1454" s="585"/>
      <c r="AI1454" s="585"/>
      <c r="AJ1454" s="585"/>
      <c r="AK1454" s="585"/>
      <c r="AL1454" s="585"/>
      <c r="AM1454" s="585"/>
      <c r="AN1454" s="585"/>
      <c r="AO1454" s="585"/>
      <c r="AP1454" s="585"/>
      <c r="AQ1454" s="585"/>
      <c r="AR1454" s="422"/>
      <c r="AS1454" s="1430"/>
      <c r="AT1454" s="1430"/>
      <c r="AU1454" s="1430"/>
      <c r="AV1454" s="1430"/>
      <c r="AW1454" s="1430"/>
      <c r="AX1454" s="1430"/>
      <c r="AY1454" s="1430"/>
      <c r="AZ1454" s="1430"/>
      <c r="BA1454" s="1430"/>
      <c r="BB1454" s="1430"/>
      <c r="BC1454" s="585"/>
      <c r="BD1454" s="1431"/>
      <c r="BE1454" s="1431"/>
      <c r="BF1454" s="585"/>
      <c r="BG1454" s="1431"/>
      <c r="BH1454" s="1431"/>
      <c r="BI1454" s="1431"/>
      <c r="BJ1454" s="1431"/>
      <c r="BK1454" s="1431"/>
      <c r="BL1454" s="585"/>
      <c r="BM1454" s="585"/>
      <c r="BN1454" s="585"/>
      <c r="BO1454" s="585"/>
      <c r="BP1454" s="1431"/>
      <c r="BQ1454" s="1431"/>
      <c r="BR1454" s="585"/>
      <c r="BS1454" s="585"/>
      <c r="BT1454" s="1432"/>
      <c r="BU1454" s="1432"/>
      <c r="BV1454" s="1432"/>
      <c r="BW1454" s="1432"/>
      <c r="BX1454" s="1432"/>
      <c r="BY1454" s="1432"/>
      <c r="BZ1454" s="1432"/>
      <c r="CA1454" s="1432"/>
      <c r="CB1454" s="1432"/>
      <c r="CC1454" s="1432"/>
      <c r="CD1454" s="585"/>
      <c r="CE1454" s="585"/>
      <c r="CF1454" s="586"/>
    </row>
    <row r="1455" spans="1:84" s="583" customFormat="1" ht="23.1" customHeight="1" thickBot="1">
      <c r="A1455" s="584"/>
      <c r="B1455" s="585"/>
      <c r="C1455" s="585"/>
      <c r="D1455" s="585"/>
      <c r="E1455" s="585"/>
      <c r="F1455" s="585"/>
      <c r="G1455" s="585"/>
      <c r="H1455" s="585"/>
      <c r="I1455" s="585"/>
      <c r="J1455" s="585"/>
      <c r="K1455" s="585"/>
      <c r="L1455" s="585"/>
      <c r="M1455" s="585"/>
      <c r="N1455" s="585"/>
      <c r="O1455" s="585"/>
      <c r="P1455" s="585"/>
      <c r="Q1455" s="585"/>
      <c r="R1455" s="585"/>
      <c r="S1455" s="585"/>
      <c r="T1455" s="585"/>
      <c r="U1455" s="585"/>
      <c r="V1455" s="585"/>
      <c r="W1455" s="585"/>
      <c r="X1455" s="585"/>
      <c r="Y1455" s="585"/>
      <c r="Z1455" s="585"/>
      <c r="AA1455" s="585"/>
      <c r="AB1455" s="585"/>
      <c r="AC1455" s="585"/>
      <c r="AD1455" s="585"/>
      <c r="AE1455" s="585"/>
      <c r="AF1455" s="585"/>
      <c r="AG1455" s="585"/>
      <c r="AH1455" s="585"/>
      <c r="AI1455" s="585"/>
      <c r="AJ1455" s="585"/>
      <c r="AK1455" s="585"/>
      <c r="AL1455" s="585"/>
      <c r="AM1455" s="585"/>
      <c r="AN1455" s="585"/>
      <c r="AO1455" s="585"/>
      <c r="AP1455" s="585"/>
      <c r="AQ1455" s="585"/>
      <c r="AR1455" s="585"/>
      <c r="AS1455" s="585"/>
      <c r="AT1455" s="585"/>
      <c r="AU1455" s="585"/>
      <c r="AV1455" s="585"/>
      <c r="AW1455" s="585"/>
      <c r="AX1455" s="585"/>
      <c r="AY1455" s="585"/>
      <c r="AZ1455" s="585"/>
      <c r="BA1455" s="585"/>
      <c r="BB1455" s="585"/>
      <c r="BC1455" s="585"/>
      <c r="BD1455" s="585"/>
      <c r="BE1455" s="585"/>
      <c r="BF1455" s="585"/>
      <c r="BG1455" s="585"/>
      <c r="BH1455" s="585"/>
      <c r="BI1455" s="585"/>
      <c r="BJ1455" s="585"/>
      <c r="BK1455" s="585"/>
      <c r="BL1455" s="585"/>
      <c r="BM1455" s="585"/>
      <c r="BN1455" s="585"/>
      <c r="BO1455" s="585"/>
      <c r="BP1455" s="1431" t="s">
        <v>41</v>
      </c>
      <c r="BQ1455" s="1431"/>
      <c r="BR1455" s="585"/>
      <c r="BS1455" s="585"/>
      <c r="BT1455" s="1433">
        <f>BT1453+BT1454</f>
        <v>0</v>
      </c>
      <c r="BU1455" s="1433"/>
      <c r="BV1455" s="1433"/>
      <c r="BW1455" s="1433"/>
      <c r="BX1455" s="1433"/>
      <c r="BY1455" s="1433"/>
      <c r="BZ1455" s="1433"/>
      <c r="CA1455" s="1433"/>
      <c r="CB1455" s="1433"/>
      <c r="CC1455" s="1433"/>
      <c r="CD1455" s="585"/>
      <c r="CE1455" s="585"/>
      <c r="CF1455" s="586"/>
    </row>
    <row r="1456" spans="1:84" s="583" customFormat="1" ht="23.1" customHeight="1" thickBot="1">
      <c r="A1456" s="597"/>
      <c r="B1456" s="598" t="s">
        <v>1113</v>
      </c>
      <c r="C1456" s="598"/>
      <c r="D1456" s="598"/>
      <c r="E1456" s="598"/>
      <c r="F1456" s="598"/>
      <c r="G1456" s="598"/>
      <c r="H1456" s="598"/>
      <c r="I1456" s="598"/>
      <c r="J1456" s="598"/>
      <c r="K1456" s="598"/>
      <c r="L1456" s="598"/>
      <c r="M1456" s="598"/>
      <c r="N1456" s="598"/>
      <c r="O1456" s="598"/>
      <c r="P1456" s="598"/>
      <c r="Q1456" s="598"/>
      <c r="R1456" s="598"/>
      <c r="S1456" s="598"/>
      <c r="T1456" s="598"/>
      <c r="U1456" s="598"/>
      <c r="V1456" s="598"/>
      <c r="W1456" s="598"/>
      <c r="X1456" s="598"/>
      <c r="Y1456" s="598"/>
      <c r="Z1456" s="598"/>
      <c r="AA1456" s="598"/>
      <c r="AB1456" s="598"/>
      <c r="AC1456" s="598"/>
      <c r="AD1456" s="598"/>
      <c r="AE1456" s="598"/>
      <c r="AF1456" s="598"/>
      <c r="AG1456" s="598"/>
      <c r="AH1456" s="598"/>
      <c r="AI1456" s="598"/>
      <c r="AJ1456" s="598"/>
      <c r="AK1456" s="598"/>
      <c r="AL1456" s="598"/>
      <c r="AM1456" s="598"/>
      <c r="AN1456" s="598"/>
      <c r="AO1456" s="598"/>
      <c r="AP1456" s="598"/>
      <c r="AQ1456" s="598"/>
      <c r="AR1456" s="598"/>
      <c r="AS1456" s="598"/>
      <c r="AT1456" s="598"/>
      <c r="AU1456" s="598"/>
      <c r="AV1456" s="598"/>
      <c r="AW1456" s="598"/>
      <c r="AX1456" s="598"/>
      <c r="AY1456" s="598"/>
      <c r="AZ1456" s="598"/>
      <c r="BA1456" s="598"/>
      <c r="BB1456" s="598"/>
      <c r="BC1456" s="598"/>
      <c r="BD1456" s="598"/>
      <c r="BE1456" s="598"/>
      <c r="BF1456" s="598"/>
      <c r="BG1456" s="598"/>
      <c r="BH1456" s="598"/>
      <c r="BI1456" s="598"/>
      <c r="BJ1456" s="598"/>
      <c r="BK1456" s="598"/>
      <c r="BL1456" s="598"/>
      <c r="BM1456" s="598"/>
      <c r="BN1456" s="598"/>
      <c r="BO1456" s="598"/>
      <c r="BP1456" s="598"/>
      <c r="BQ1456" s="598"/>
      <c r="BR1456" s="598"/>
      <c r="BS1456" s="598"/>
      <c r="BT1456" s="1429">
        <f>BT1447+BT1451+BT1455</f>
        <v>1286</v>
      </c>
      <c r="BU1456" s="1429"/>
      <c r="BV1456" s="1429"/>
      <c r="BW1456" s="1429"/>
      <c r="BX1456" s="1429"/>
      <c r="BY1456" s="1429"/>
      <c r="BZ1456" s="1429"/>
      <c r="CA1456" s="1429"/>
      <c r="CB1456" s="1429"/>
      <c r="CC1456" s="1429"/>
      <c r="CD1456" s="598"/>
      <c r="CE1456" s="598"/>
      <c r="CF1456" s="599"/>
    </row>
    <row r="1457" spans="1:84" s="583" customFormat="1" ht="9.9499999999999993" customHeight="1">
      <c r="A1457" s="574"/>
      <c r="B1457" s="574"/>
      <c r="C1457" s="574"/>
      <c r="D1457" s="574"/>
      <c r="E1457" s="574"/>
      <c r="F1457" s="574"/>
      <c r="G1457" s="574"/>
      <c r="H1457" s="574"/>
      <c r="I1457" s="574"/>
      <c r="J1457" s="574"/>
      <c r="K1457" s="574"/>
      <c r="L1457" s="574"/>
      <c r="M1457" s="574"/>
      <c r="N1457" s="574"/>
      <c r="O1457" s="574"/>
      <c r="P1457" s="574"/>
      <c r="Q1457" s="574"/>
      <c r="R1457" s="574"/>
      <c r="S1457" s="574"/>
      <c r="T1457" s="574"/>
      <c r="U1457" s="574"/>
      <c r="V1457" s="574"/>
      <c r="W1457" s="574"/>
      <c r="X1457" s="574"/>
      <c r="Y1457" s="574"/>
      <c r="Z1457" s="574"/>
      <c r="AA1457" s="574"/>
      <c r="AB1457" s="574"/>
      <c r="AC1457" s="574"/>
      <c r="AD1457" s="574"/>
      <c r="AE1457" s="574"/>
      <c r="AF1457" s="574"/>
      <c r="AG1457" s="574"/>
      <c r="AH1457" s="574"/>
      <c r="AI1457" s="574"/>
      <c r="AJ1457" s="574"/>
      <c r="AK1457" s="574"/>
      <c r="AL1457" s="574"/>
      <c r="AM1457" s="574"/>
      <c r="AN1457" s="574"/>
      <c r="AO1457" s="574"/>
      <c r="AP1457" s="574"/>
      <c r="AQ1457" s="574"/>
      <c r="AR1457" s="574"/>
      <c r="AS1457" s="574"/>
      <c r="AT1457" s="574"/>
      <c r="AU1457" s="574"/>
      <c r="AV1457" s="574"/>
      <c r="AW1457" s="574"/>
      <c r="AX1457" s="574"/>
      <c r="AY1457" s="574"/>
      <c r="AZ1457" s="574"/>
      <c r="BA1457" s="574"/>
      <c r="BB1457" s="574"/>
      <c r="BC1457" s="574"/>
      <c r="BD1457" s="574"/>
      <c r="BE1457" s="574"/>
      <c r="BF1457" s="574"/>
      <c r="BG1457" s="574"/>
      <c r="BH1457" s="574"/>
      <c r="BI1457" s="574"/>
      <c r="BJ1457" s="574"/>
      <c r="BK1457" s="574"/>
      <c r="BL1457" s="574"/>
      <c r="BM1457" s="574"/>
      <c r="BN1457" s="574"/>
      <c r="BO1457" s="574"/>
      <c r="BP1457" s="574"/>
      <c r="BQ1457" s="574"/>
      <c r="BR1457" s="574"/>
      <c r="BS1457" s="574"/>
      <c r="BT1457" s="574"/>
      <c r="BU1457" s="574"/>
      <c r="BV1457" s="574"/>
      <c r="BW1457" s="574"/>
      <c r="BX1457" s="574"/>
      <c r="BY1457" s="574"/>
      <c r="BZ1457" s="574"/>
      <c r="CA1457" s="574"/>
      <c r="CB1457" s="574"/>
      <c r="CC1457" s="574"/>
      <c r="CD1457" s="574"/>
      <c r="CE1457" s="574"/>
      <c r="CF1457" s="574"/>
    </row>
    <row r="1458" spans="1:84" s="583" customFormat="1" ht="23.1" customHeight="1" thickBot="1">
      <c r="A1458" s="1446" t="s">
        <v>1095</v>
      </c>
      <c r="B1458" s="1446"/>
      <c r="C1458" s="1446"/>
      <c r="D1458" s="1446"/>
      <c r="E1458" s="1446"/>
      <c r="F1458" s="1446"/>
      <c r="G1458" s="1447">
        <f>G1443+1</f>
        <v>98</v>
      </c>
      <c r="H1458" s="1447"/>
      <c r="I1458" s="1447"/>
      <c r="J1458" s="1448" t="s">
        <v>1096</v>
      </c>
      <c r="K1458" s="1448"/>
      <c r="L1458" s="574"/>
      <c r="M1458" s="574"/>
      <c r="N1458" s="574"/>
      <c r="O1458" s="574"/>
      <c r="P1458" s="574"/>
      <c r="Q1458" s="574"/>
      <c r="R1458" s="574"/>
      <c r="S1458" s="574"/>
      <c r="T1458" s="574"/>
      <c r="U1458" s="574"/>
      <c r="V1458" s="574"/>
      <c r="W1458" s="574"/>
      <c r="X1458" s="574"/>
      <c r="Y1458" s="574"/>
      <c r="Z1458" s="574"/>
      <c r="AA1458" s="574"/>
      <c r="AB1458" s="574"/>
      <c r="AC1458" s="574"/>
      <c r="AD1458" s="574"/>
      <c r="AE1458" s="574"/>
      <c r="AF1458" s="574"/>
      <c r="AG1458" s="574"/>
      <c r="AH1458" s="574"/>
      <c r="AI1458" s="574"/>
      <c r="AJ1458" s="574"/>
      <c r="AK1458" s="574"/>
      <c r="AL1458" s="574"/>
      <c r="AM1458" s="574"/>
      <c r="AN1458" s="574"/>
      <c r="AO1458" s="574"/>
      <c r="AP1458" s="574"/>
      <c r="AQ1458" s="574"/>
      <c r="AR1458" s="574"/>
      <c r="AS1458" s="574"/>
      <c r="AT1458" s="574"/>
      <c r="AU1458" s="574"/>
      <c r="AV1458" s="574"/>
      <c r="AW1458" s="574"/>
      <c r="AX1458" s="574"/>
      <c r="AY1458" s="574"/>
      <c r="AZ1458" s="574"/>
      <c r="BA1458" s="574"/>
      <c r="BB1458" s="574"/>
      <c r="BC1458" s="574"/>
      <c r="BD1458" s="574"/>
      <c r="BE1458" s="574"/>
      <c r="BF1458" s="574"/>
      <c r="BG1458" s="574"/>
      <c r="BH1458" s="574"/>
      <c r="BI1458" s="574"/>
      <c r="BJ1458" s="574"/>
      <c r="BK1458" s="574"/>
      <c r="BL1458" s="574"/>
      <c r="BM1458" s="574"/>
      <c r="BN1458" s="574"/>
      <c r="BO1458" s="574"/>
      <c r="BP1458" s="574"/>
      <c r="BQ1458" s="574"/>
      <c r="BR1458" s="574"/>
      <c r="BS1458" s="574"/>
      <c r="BT1458" s="574"/>
      <c r="BU1458" s="574"/>
      <c r="BV1458" s="574"/>
      <c r="BW1458" s="574"/>
      <c r="BX1458" s="574"/>
      <c r="BY1458" s="574"/>
      <c r="BZ1458" s="574"/>
      <c r="CA1458" s="574"/>
      <c r="CB1458" s="574"/>
      <c r="CC1458" s="574"/>
      <c r="CD1458" s="574"/>
      <c r="CE1458" s="574"/>
      <c r="CF1458" s="574"/>
    </row>
    <row r="1459" spans="1:84" s="603" customFormat="1" ht="23.1" customHeight="1" thickBot="1">
      <c r="A1459" s="1438" t="s">
        <v>1097</v>
      </c>
      <c r="B1459" s="1439"/>
      <c r="C1459" s="1439"/>
      <c r="D1459" s="1439"/>
      <c r="E1459" s="1439"/>
      <c r="F1459" s="1439"/>
      <c r="G1459" s="1439"/>
      <c r="H1459" s="1439"/>
      <c r="I1459" s="601" t="s">
        <v>1277</v>
      </c>
      <c r="J1459" s="601"/>
      <c r="K1459" s="601"/>
      <c r="L1459" s="601"/>
      <c r="M1459" s="601"/>
      <c r="N1459" s="601"/>
      <c r="O1459" s="601"/>
      <c r="P1459" s="601"/>
      <c r="Q1459" s="601"/>
      <c r="R1459" s="601"/>
      <c r="S1459" s="601"/>
      <c r="T1459" s="601"/>
      <c r="U1459" s="601"/>
      <c r="V1459" s="601"/>
      <c r="W1459" s="601"/>
      <c r="X1459" s="601"/>
      <c r="Y1459" s="601"/>
      <c r="Z1459" s="601"/>
      <c r="AA1459" s="601"/>
      <c r="AB1459" s="601"/>
      <c r="AC1459" s="601"/>
      <c r="AD1459" s="601"/>
      <c r="AE1459" s="601"/>
      <c r="AF1459" s="601"/>
      <c r="AG1459" s="601"/>
      <c r="AH1459" s="601"/>
      <c r="AI1459" s="601"/>
      <c r="AJ1459" s="1439" t="s">
        <v>1099</v>
      </c>
      <c r="AK1459" s="1439"/>
      <c r="AL1459" s="1439"/>
      <c r="AM1459" s="1439"/>
      <c r="AN1459" s="1439"/>
      <c r="AO1459" s="1439"/>
      <c r="AP1459" s="1439"/>
      <c r="AQ1459" s="601" t="s">
        <v>1278</v>
      </c>
      <c r="AR1459" s="601"/>
      <c r="AS1459" s="601"/>
      <c r="AT1459" s="601"/>
      <c r="AU1459" s="601"/>
      <c r="AV1459" s="601"/>
      <c r="AW1459" s="601"/>
      <c r="AX1459" s="601"/>
      <c r="AY1459" s="601"/>
      <c r="AZ1459" s="601"/>
      <c r="BA1459" s="601"/>
      <c r="BB1459" s="601"/>
      <c r="BC1459" s="601"/>
      <c r="BD1459" s="601"/>
      <c r="BE1459" s="601"/>
      <c r="BF1459" s="601"/>
      <c r="BG1459" s="601"/>
      <c r="BH1459" s="601"/>
      <c r="BI1459" s="601"/>
      <c r="BJ1459" s="601"/>
      <c r="BK1459" s="601"/>
      <c r="BL1459" s="601"/>
      <c r="BM1459" s="601"/>
      <c r="BN1459" s="601"/>
      <c r="BO1459" s="601"/>
      <c r="BP1459" s="601"/>
      <c r="BQ1459" s="601"/>
      <c r="BR1459" s="601"/>
      <c r="BS1459" s="601"/>
      <c r="BT1459" s="601" t="s">
        <v>1279</v>
      </c>
      <c r="BU1459" s="601"/>
      <c r="BV1459" s="601"/>
      <c r="BW1459" s="601"/>
      <c r="BX1459" s="601"/>
      <c r="BY1459" s="601"/>
      <c r="BZ1459" s="601"/>
      <c r="CA1459" s="601"/>
      <c r="CB1459" s="601"/>
      <c r="CC1459" s="601"/>
      <c r="CD1459" s="601"/>
      <c r="CE1459" s="601"/>
      <c r="CF1459" s="602"/>
    </row>
    <row r="1460" spans="1:84" s="583" customFormat="1" ht="23.1" customHeight="1">
      <c r="A1460" s="584"/>
      <c r="B1460" s="585" t="s">
        <v>1102</v>
      </c>
      <c r="C1460" s="585"/>
      <c r="D1460" s="585"/>
      <c r="E1460" s="585"/>
      <c r="F1460" s="585"/>
      <c r="G1460" s="585"/>
      <c r="H1460" s="585"/>
      <c r="I1460" s="585"/>
      <c r="J1460" s="585"/>
      <c r="K1460" s="585"/>
      <c r="L1460" s="585"/>
      <c r="M1460" s="585"/>
      <c r="N1460" s="585"/>
      <c r="O1460" s="585"/>
      <c r="P1460" s="585"/>
      <c r="Q1460" s="585"/>
      <c r="R1460" s="585"/>
      <c r="S1460" s="585"/>
      <c r="T1460" s="585"/>
      <c r="U1460" s="585"/>
      <c r="V1460" s="585"/>
      <c r="W1460" s="585"/>
      <c r="X1460" s="585"/>
      <c r="Y1460" s="585"/>
      <c r="Z1460" s="585"/>
      <c r="AA1460" s="585"/>
      <c r="AB1460" s="585"/>
      <c r="AC1460" s="585"/>
      <c r="AD1460" s="585"/>
      <c r="AE1460" s="585"/>
      <c r="AF1460" s="585"/>
      <c r="AG1460" s="585"/>
      <c r="AH1460" s="585"/>
      <c r="AI1460" s="585"/>
      <c r="AJ1460" s="585"/>
      <c r="AK1460" s="585"/>
      <c r="AL1460" s="585"/>
      <c r="AM1460" s="585"/>
      <c r="AN1460" s="585"/>
      <c r="AO1460" s="585"/>
      <c r="AP1460" s="585"/>
      <c r="AQ1460" s="585"/>
      <c r="AR1460" s="585"/>
      <c r="AS1460" s="585"/>
      <c r="AT1460" s="585"/>
      <c r="AU1460" s="585"/>
      <c r="AV1460" s="585"/>
      <c r="AW1460" s="585"/>
      <c r="AX1460" s="585"/>
      <c r="AY1460" s="585"/>
      <c r="AZ1460" s="585"/>
      <c r="BA1460" s="585"/>
      <c r="BB1460" s="585"/>
      <c r="BC1460" s="585"/>
      <c r="BD1460" s="585"/>
      <c r="BE1460" s="585"/>
      <c r="BF1460" s="585"/>
      <c r="BG1460" s="585"/>
      <c r="BH1460" s="585"/>
      <c r="BI1460" s="585"/>
      <c r="BJ1460" s="585"/>
      <c r="BK1460" s="585"/>
      <c r="BL1460" s="585"/>
      <c r="BM1460" s="585"/>
      <c r="BN1460" s="585"/>
      <c r="BO1460" s="585"/>
      <c r="BP1460" s="585"/>
      <c r="BQ1460" s="585"/>
      <c r="BR1460" s="585"/>
      <c r="BS1460" s="585"/>
      <c r="BT1460" s="585"/>
      <c r="BU1460" s="585"/>
      <c r="BV1460" s="585"/>
      <c r="BW1460" s="585"/>
      <c r="BX1460" s="585"/>
      <c r="BY1460" s="585"/>
      <c r="BZ1460" s="585"/>
      <c r="CA1460" s="585"/>
      <c r="CB1460" s="585"/>
      <c r="CC1460" s="585"/>
      <c r="CD1460" s="585"/>
      <c r="CE1460" s="585"/>
      <c r="CF1460" s="586"/>
    </row>
    <row r="1461" spans="1:84" s="583" customFormat="1" ht="23.1" customHeight="1">
      <c r="A1461" s="587"/>
      <c r="B1461" s="574"/>
      <c r="C1461" s="574"/>
      <c r="D1461" s="405"/>
      <c r="E1461" s="574"/>
      <c r="F1461" s="422"/>
      <c r="G1461" s="422"/>
      <c r="H1461" s="422"/>
      <c r="I1461" s="422"/>
      <c r="J1461" s="422"/>
      <c r="K1461" s="422"/>
      <c r="L1461" s="422"/>
      <c r="M1461" s="422"/>
      <c r="N1461" s="574"/>
      <c r="O1461" s="574"/>
      <c r="P1461" s="574"/>
      <c r="Q1461" s="574"/>
      <c r="R1461" s="574"/>
      <c r="S1461" s="588"/>
      <c r="T1461" s="588"/>
      <c r="U1461" s="588"/>
      <c r="V1461" s="588"/>
      <c r="W1461" s="588"/>
      <c r="X1461" s="588"/>
      <c r="Y1461" s="588"/>
      <c r="Z1461" s="588"/>
      <c r="AA1461" s="574"/>
      <c r="AB1461" s="588"/>
      <c r="AC1461" s="585"/>
      <c r="AD1461" s="585"/>
      <c r="AE1461" s="600"/>
      <c r="AF1461" s="600"/>
      <c r="AG1461" s="600"/>
      <c r="AH1461" s="600"/>
      <c r="AI1461" s="600"/>
      <c r="AJ1461" s="600"/>
      <c r="AK1461" s="600"/>
      <c r="AL1461" s="600"/>
      <c r="AM1461" s="585"/>
      <c r="AN1461" s="585"/>
      <c r="AO1461" s="574"/>
      <c r="AP1461" s="430"/>
      <c r="AQ1461" s="430"/>
      <c r="AR1461" s="430"/>
      <c r="AS1461" s="430"/>
      <c r="AT1461" s="430"/>
      <c r="AU1461" s="430"/>
      <c r="AV1461" s="430"/>
      <c r="AW1461" s="430"/>
      <c r="AX1461" s="430"/>
      <c r="AY1461" s="430"/>
      <c r="AZ1461" s="430"/>
      <c r="BA1461" s="430"/>
      <c r="BB1461" s="430"/>
      <c r="BC1461" s="430"/>
      <c r="BD1461" s="574"/>
      <c r="BE1461" s="574"/>
      <c r="BF1461" s="574"/>
      <c r="BG1461" s="574"/>
      <c r="BH1461" s="574"/>
      <c r="BI1461" s="574"/>
      <c r="BJ1461" s="574"/>
      <c r="BK1461" s="574"/>
      <c r="BL1461" s="574"/>
      <c r="BM1461" s="574"/>
      <c r="BN1461" s="574"/>
      <c r="BO1461" s="574"/>
      <c r="BP1461" s="574"/>
      <c r="BQ1461" s="574"/>
      <c r="BR1461" s="574"/>
      <c r="BS1461" s="574"/>
      <c r="BT1461" s="574"/>
      <c r="BU1461" s="574"/>
      <c r="BV1461" s="574"/>
      <c r="BW1461" s="574"/>
      <c r="BX1461" s="574"/>
      <c r="BY1461" s="574"/>
      <c r="BZ1461" s="574"/>
      <c r="CA1461" s="574"/>
      <c r="CB1461" s="574"/>
      <c r="CC1461" s="574"/>
      <c r="CD1461" s="574"/>
      <c r="CE1461" s="574"/>
      <c r="CF1461" s="589"/>
    </row>
    <row r="1462" spans="1:84" s="583" customFormat="1" ht="23.1" customHeight="1">
      <c r="A1462" s="584"/>
      <c r="B1462" s="585"/>
      <c r="C1462" s="585"/>
      <c r="D1462" s="585"/>
      <c r="E1462" s="585"/>
      <c r="F1462" s="585"/>
      <c r="G1462" s="585"/>
      <c r="H1462" s="585"/>
      <c r="I1462" s="585"/>
      <c r="J1462" s="585"/>
      <c r="K1462" s="585"/>
      <c r="L1462" s="585"/>
      <c r="M1462" s="585"/>
      <c r="N1462" s="585"/>
      <c r="O1462" s="585"/>
      <c r="P1462" s="585"/>
      <c r="Q1462" s="585"/>
      <c r="R1462" s="585"/>
      <c r="S1462" s="585"/>
      <c r="T1462" s="585"/>
      <c r="U1462" s="585"/>
      <c r="V1462" s="590"/>
      <c r="W1462" s="590"/>
      <c r="X1462" s="590"/>
      <c r="Y1462" s="590"/>
      <c r="Z1462" s="590"/>
      <c r="AA1462" s="590"/>
      <c r="AB1462" s="590"/>
      <c r="AC1462" s="590"/>
      <c r="AD1462" s="574"/>
      <c r="AE1462" s="1440">
        <v>1958000</v>
      </c>
      <c r="AF1462" s="1440"/>
      <c r="AG1462" s="1440"/>
      <c r="AH1462" s="1440"/>
      <c r="AI1462" s="1440"/>
      <c r="AJ1462" s="1440"/>
      <c r="AK1462" s="1440"/>
      <c r="AL1462" s="1440"/>
      <c r="AM1462" s="1440"/>
      <c r="AN1462" s="1440"/>
      <c r="AO1462" s="1440"/>
      <c r="AP1462" s="1440"/>
      <c r="AQ1462" s="1440"/>
      <c r="AR1462" s="1440"/>
      <c r="AS1462" s="1440"/>
      <c r="AT1462" s="1431" t="s">
        <v>446</v>
      </c>
      <c r="AU1462" s="1431"/>
      <c r="AV1462" s="1441" t="s">
        <v>1103</v>
      </c>
      <c r="AW1462" s="1441"/>
      <c r="AX1462" s="1442">
        <v>2362</v>
      </c>
      <c r="AY1462" s="1442"/>
      <c r="AZ1462" s="1442"/>
      <c r="BA1462" s="1442"/>
      <c r="BB1462" s="1442"/>
      <c r="BC1462" s="1442"/>
      <c r="BD1462" s="585"/>
      <c r="BE1462" s="1431" t="s">
        <v>446</v>
      </c>
      <c r="BF1462" s="1431"/>
      <c r="BG1462" s="585"/>
      <c r="BH1462" s="591" t="s">
        <v>1104</v>
      </c>
      <c r="BI1462" s="585"/>
      <c r="BJ1462" s="585"/>
      <c r="BK1462" s="585"/>
      <c r="BL1462" s="1431" t="s">
        <v>1105</v>
      </c>
      <c r="BM1462" s="1431"/>
      <c r="BN1462" s="1431"/>
      <c r="BO1462" s="585"/>
      <c r="BP1462" s="1431" t="s">
        <v>41</v>
      </c>
      <c r="BQ1462" s="1431"/>
      <c r="BR1462" s="585"/>
      <c r="BS1462" s="585"/>
      <c r="BT1462" s="1437">
        <f>INT(AE1462*AX1462*10^-7)</f>
        <v>462</v>
      </c>
      <c r="BU1462" s="1437"/>
      <c r="BV1462" s="1437"/>
      <c r="BW1462" s="1437"/>
      <c r="BX1462" s="1437"/>
      <c r="BY1462" s="1437"/>
      <c r="BZ1462" s="1437"/>
      <c r="CA1462" s="1437"/>
      <c r="CB1462" s="1437"/>
      <c r="CC1462" s="1437"/>
      <c r="CD1462" s="585"/>
      <c r="CE1462" s="585"/>
      <c r="CF1462" s="586"/>
    </row>
    <row r="1463" spans="1:84" s="583" customFormat="1" ht="23.1" customHeight="1">
      <c r="A1463" s="592"/>
      <c r="B1463" s="593" t="s">
        <v>1106</v>
      </c>
      <c r="C1463" s="593"/>
      <c r="D1463" s="593"/>
      <c r="E1463" s="593"/>
      <c r="F1463" s="593"/>
      <c r="G1463" s="593"/>
      <c r="H1463" s="593"/>
      <c r="I1463" s="593"/>
      <c r="J1463" s="593"/>
      <c r="K1463" s="593"/>
      <c r="L1463" s="593"/>
      <c r="M1463" s="593"/>
      <c r="N1463" s="593"/>
      <c r="O1463" s="593"/>
      <c r="P1463" s="593"/>
      <c r="Q1463" s="593"/>
      <c r="R1463" s="593"/>
      <c r="S1463" s="593"/>
      <c r="T1463" s="593"/>
      <c r="U1463" s="593"/>
      <c r="V1463" s="593"/>
      <c r="W1463" s="593"/>
      <c r="X1463" s="593"/>
      <c r="Y1463" s="593"/>
      <c r="Z1463" s="593"/>
      <c r="AA1463" s="593"/>
      <c r="AB1463" s="593"/>
      <c r="AC1463" s="593"/>
      <c r="AD1463" s="593"/>
      <c r="AE1463" s="593"/>
      <c r="AF1463" s="593"/>
      <c r="AG1463" s="593"/>
      <c r="AH1463" s="593"/>
      <c r="AI1463" s="593"/>
      <c r="AJ1463" s="593"/>
      <c r="AK1463" s="593"/>
      <c r="AL1463" s="593"/>
      <c r="AM1463" s="593"/>
      <c r="AN1463" s="593"/>
      <c r="AO1463" s="593"/>
      <c r="AP1463" s="593"/>
      <c r="AQ1463" s="593"/>
      <c r="AR1463" s="593"/>
      <c r="AS1463" s="593"/>
      <c r="AT1463" s="593"/>
      <c r="AU1463" s="593"/>
      <c r="AV1463" s="593"/>
      <c r="AW1463" s="593"/>
      <c r="AX1463" s="593"/>
      <c r="AY1463" s="593"/>
      <c r="AZ1463" s="593"/>
      <c r="BA1463" s="593"/>
      <c r="BB1463" s="593"/>
      <c r="BC1463" s="593"/>
      <c r="BD1463" s="593"/>
      <c r="BE1463" s="593"/>
      <c r="BF1463" s="593"/>
      <c r="BG1463" s="593"/>
      <c r="BH1463" s="593"/>
      <c r="BI1463" s="593"/>
      <c r="BJ1463" s="593"/>
      <c r="BK1463" s="593"/>
      <c r="BL1463" s="593"/>
      <c r="BM1463" s="593"/>
      <c r="BN1463" s="593"/>
      <c r="BO1463" s="593"/>
      <c r="BP1463" s="593"/>
      <c r="BQ1463" s="593"/>
      <c r="BR1463" s="593"/>
      <c r="BS1463" s="593"/>
      <c r="BT1463" s="594"/>
      <c r="BU1463" s="594"/>
      <c r="BV1463" s="594"/>
      <c r="BW1463" s="594"/>
      <c r="BX1463" s="594"/>
      <c r="BY1463" s="594"/>
      <c r="BZ1463" s="594"/>
      <c r="CA1463" s="594"/>
      <c r="CB1463" s="594"/>
      <c r="CC1463" s="594"/>
      <c r="CD1463" s="593"/>
      <c r="CE1463" s="593"/>
      <c r="CF1463" s="595"/>
    </row>
    <row r="1464" spans="1:84" s="583" customFormat="1" ht="23.1" customHeight="1">
      <c r="A1464" s="584"/>
      <c r="B1464" s="585"/>
      <c r="C1464" s="585"/>
      <c r="D1464" s="596"/>
      <c r="E1464" s="585"/>
      <c r="F1464" s="585"/>
      <c r="G1464" s="585"/>
      <c r="H1464" s="585"/>
      <c r="I1464" s="585"/>
      <c r="J1464" s="585"/>
      <c r="K1464" s="585"/>
      <c r="L1464" s="585"/>
      <c r="M1464" s="585"/>
      <c r="N1464" s="585"/>
      <c r="O1464" s="585"/>
      <c r="P1464" s="585"/>
      <c r="Q1464" s="585"/>
      <c r="R1464" s="585"/>
      <c r="S1464" s="585"/>
      <c r="T1464" s="574"/>
      <c r="U1464" s="574"/>
      <c r="V1464" s="1430"/>
      <c r="W1464" s="1430"/>
      <c r="X1464" s="1430"/>
      <c r="Y1464" s="1430"/>
      <c r="Z1464" s="1430"/>
      <c r="AA1464" s="1430"/>
      <c r="AB1464" s="1430"/>
      <c r="AC1464" s="1430"/>
      <c r="AD1464" s="1430"/>
      <c r="AE1464" s="1430"/>
      <c r="AF1464" s="1431"/>
      <c r="AG1464" s="1431"/>
      <c r="AH1464" s="574"/>
      <c r="AI1464" s="1436"/>
      <c r="AJ1464" s="1436"/>
      <c r="AK1464" s="1436"/>
      <c r="AL1464" s="1436"/>
      <c r="AM1464" s="585"/>
      <c r="AN1464" s="1431"/>
      <c r="AO1464" s="1431"/>
      <c r="AP1464" s="585"/>
      <c r="AQ1464" s="1436"/>
      <c r="AR1464" s="1436"/>
      <c r="AS1464" s="1436"/>
      <c r="AT1464" s="1436"/>
      <c r="AU1464" s="1436"/>
      <c r="AV1464" s="422"/>
      <c r="AW1464" s="1431"/>
      <c r="AX1464" s="1431"/>
      <c r="AY1464" s="440"/>
      <c r="AZ1464" s="1436"/>
      <c r="BA1464" s="1436"/>
      <c r="BB1464" s="1436"/>
      <c r="BC1464" s="1436"/>
      <c r="BD1464" s="1436"/>
      <c r="BE1464" s="585"/>
      <c r="BF1464" s="1431"/>
      <c r="BG1464" s="1431"/>
      <c r="BH1464" s="1431"/>
      <c r="BI1464" s="1431"/>
      <c r="BJ1464" s="1431"/>
      <c r="BK1464" s="585"/>
      <c r="BL1464" s="585"/>
      <c r="BM1464" s="585"/>
      <c r="BN1464" s="585"/>
      <c r="BO1464" s="585"/>
      <c r="BP1464" s="1431"/>
      <c r="BQ1464" s="1431"/>
      <c r="BR1464" s="585"/>
      <c r="BS1464" s="585"/>
      <c r="BT1464" s="1432"/>
      <c r="BU1464" s="1432"/>
      <c r="BV1464" s="1432"/>
      <c r="BW1464" s="1432"/>
      <c r="BX1464" s="1432"/>
      <c r="BY1464" s="1432"/>
      <c r="BZ1464" s="1432"/>
      <c r="CA1464" s="1432"/>
      <c r="CB1464" s="1432"/>
      <c r="CC1464" s="1432"/>
      <c r="CD1464" s="585"/>
      <c r="CE1464" s="585"/>
      <c r="CF1464" s="586"/>
    </row>
    <row r="1465" spans="1:84" s="583" customFormat="1" ht="23.1" customHeight="1">
      <c r="A1465" s="584"/>
      <c r="B1465" s="585"/>
      <c r="C1465" s="585"/>
      <c r="D1465" s="585"/>
      <c r="E1465" s="585"/>
      <c r="F1465" s="585"/>
      <c r="G1465" s="585"/>
      <c r="H1465" s="585"/>
      <c r="I1465" s="585"/>
      <c r="J1465" s="585"/>
      <c r="K1465" s="585"/>
      <c r="L1465" s="585"/>
      <c r="M1465" s="585"/>
      <c r="N1465" s="585"/>
      <c r="O1465" s="585"/>
      <c r="P1465" s="574"/>
      <c r="Q1465" s="574"/>
      <c r="R1465" s="574"/>
      <c r="S1465" s="574"/>
      <c r="T1465" s="574"/>
      <c r="U1465" s="574"/>
      <c r="V1465" s="574"/>
      <c r="W1465" s="574"/>
      <c r="X1465" s="574"/>
      <c r="Y1465" s="574"/>
      <c r="Z1465" s="574"/>
      <c r="AA1465" s="574"/>
      <c r="AB1465" s="574"/>
      <c r="AC1465" s="574"/>
      <c r="AD1465" s="574"/>
      <c r="AE1465" s="574"/>
      <c r="AF1465" s="574"/>
      <c r="AG1465" s="574"/>
      <c r="AH1465" s="574"/>
      <c r="AI1465" s="574"/>
      <c r="AJ1465" s="574"/>
      <c r="AK1465" s="574"/>
      <c r="AL1465" s="574"/>
      <c r="AM1465" s="574"/>
      <c r="AN1465" s="574"/>
      <c r="AO1465" s="574"/>
      <c r="AP1465" s="574"/>
      <c r="AQ1465" s="574"/>
      <c r="AR1465" s="574"/>
      <c r="AS1465" s="574"/>
      <c r="AT1465" s="574"/>
      <c r="AU1465" s="574"/>
      <c r="AV1465" s="574"/>
      <c r="AW1465" s="574"/>
      <c r="AX1465" s="574"/>
      <c r="AY1465" s="574"/>
      <c r="AZ1465" s="574"/>
      <c r="BA1465" s="574"/>
      <c r="BB1465" s="574"/>
      <c r="BC1465" s="574"/>
      <c r="BD1465" s="574"/>
      <c r="BE1465" s="574"/>
      <c r="BF1465" s="574"/>
      <c r="BG1465" s="585"/>
      <c r="BH1465" s="585"/>
      <c r="BI1465" s="585"/>
      <c r="BJ1465" s="585"/>
      <c r="BK1465" s="585"/>
      <c r="BL1465" s="585"/>
      <c r="BM1465" s="585"/>
      <c r="BN1465" s="585"/>
      <c r="BO1465" s="585"/>
      <c r="BP1465" s="1431"/>
      <c r="BQ1465" s="1431"/>
      <c r="BR1465" s="585"/>
      <c r="BS1465" s="585"/>
      <c r="BT1465" s="1432"/>
      <c r="BU1465" s="1432"/>
      <c r="BV1465" s="1432"/>
      <c r="BW1465" s="1432"/>
      <c r="BX1465" s="1432"/>
      <c r="BY1465" s="1432"/>
      <c r="BZ1465" s="1432"/>
      <c r="CA1465" s="1432"/>
      <c r="CB1465" s="1432"/>
      <c r="CC1465" s="1432"/>
      <c r="CD1465" s="585"/>
      <c r="CE1465" s="585"/>
      <c r="CF1465" s="586"/>
    </row>
    <row r="1466" spans="1:84" s="583" customFormat="1" ht="23.1" customHeight="1">
      <c r="A1466" s="584"/>
      <c r="B1466" s="585"/>
      <c r="C1466" s="585"/>
      <c r="D1466" s="585"/>
      <c r="E1466" s="585"/>
      <c r="F1466" s="585"/>
      <c r="G1466" s="585"/>
      <c r="H1466" s="585"/>
      <c r="I1466" s="585"/>
      <c r="J1466" s="585"/>
      <c r="K1466" s="585"/>
      <c r="L1466" s="585"/>
      <c r="M1466" s="585"/>
      <c r="N1466" s="585"/>
      <c r="O1466" s="585"/>
      <c r="P1466" s="585"/>
      <c r="Q1466" s="585"/>
      <c r="R1466" s="585"/>
      <c r="S1466" s="585"/>
      <c r="T1466" s="585"/>
      <c r="U1466" s="585"/>
      <c r="V1466" s="585"/>
      <c r="W1466" s="585"/>
      <c r="X1466" s="585"/>
      <c r="Y1466" s="585"/>
      <c r="Z1466" s="585"/>
      <c r="AA1466" s="585"/>
      <c r="AB1466" s="585"/>
      <c r="AC1466" s="585"/>
      <c r="AD1466" s="574"/>
      <c r="AE1466" s="574"/>
      <c r="AF1466" s="574"/>
      <c r="AG1466" s="574"/>
      <c r="AH1466" s="574"/>
      <c r="AI1466" s="574"/>
      <c r="AJ1466" s="574"/>
      <c r="AK1466" s="574"/>
      <c r="AL1466" s="574"/>
      <c r="AM1466" s="574"/>
      <c r="AN1466" s="574"/>
      <c r="AO1466" s="574"/>
      <c r="AP1466" s="574"/>
      <c r="AQ1466" s="574"/>
      <c r="AR1466" s="574"/>
      <c r="AS1466" s="585"/>
      <c r="AT1466" s="590"/>
      <c r="AU1466" s="590"/>
      <c r="AV1466" s="585"/>
      <c r="AW1466" s="585"/>
      <c r="AX1466" s="585"/>
      <c r="AY1466" s="585"/>
      <c r="AZ1466" s="585"/>
      <c r="BA1466" s="585"/>
      <c r="BB1466" s="585"/>
      <c r="BC1466" s="585"/>
      <c r="BD1466" s="585"/>
      <c r="BE1466" s="585"/>
      <c r="BF1466" s="585"/>
      <c r="BG1466" s="585"/>
      <c r="BH1466" s="585"/>
      <c r="BI1466" s="585"/>
      <c r="BJ1466" s="585"/>
      <c r="BK1466" s="585"/>
      <c r="BL1466" s="585"/>
      <c r="BM1466" s="585"/>
      <c r="BN1466" s="585"/>
      <c r="BO1466" s="585"/>
      <c r="BP1466" s="1431" t="s">
        <v>41</v>
      </c>
      <c r="BQ1466" s="1431"/>
      <c r="BR1466" s="585"/>
      <c r="BS1466" s="585"/>
      <c r="BT1466" s="1434">
        <f>BT1464+BT1465</f>
        <v>0</v>
      </c>
      <c r="BU1466" s="1434"/>
      <c r="BV1466" s="1434"/>
      <c r="BW1466" s="1434"/>
      <c r="BX1466" s="1434"/>
      <c r="BY1466" s="1434"/>
      <c r="BZ1466" s="1434"/>
      <c r="CA1466" s="1434"/>
      <c r="CB1466" s="1434"/>
      <c r="CC1466" s="1434"/>
      <c r="CD1466" s="585"/>
      <c r="CE1466" s="585"/>
      <c r="CF1466" s="586"/>
    </row>
    <row r="1467" spans="1:84" s="583" customFormat="1" ht="23.1" customHeight="1">
      <c r="A1467" s="592"/>
      <c r="B1467" s="593" t="s">
        <v>1110</v>
      </c>
      <c r="C1467" s="593"/>
      <c r="D1467" s="593"/>
      <c r="E1467" s="593"/>
      <c r="F1467" s="593"/>
      <c r="G1467" s="593"/>
      <c r="H1467" s="593"/>
      <c r="I1467" s="593"/>
      <c r="J1467" s="593"/>
      <c r="K1467" s="593"/>
      <c r="L1467" s="593"/>
      <c r="M1467" s="593"/>
      <c r="N1467" s="593"/>
      <c r="O1467" s="593"/>
      <c r="P1467" s="593"/>
      <c r="Q1467" s="593"/>
      <c r="R1467" s="593"/>
      <c r="S1467" s="593"/>
      <c r="T1467" s="593"/>
      <c r="U1467" s="593"/>
      <c r="V1467" s="593"/>
      <c r="W1467" s="593"/>
      <c r="X1467" s="593"/>
      <c r="Y1467" s="593"/>
      <c r="Z1467" s="593"/>
      <c r="AA1467" s="593"/>
      <c r="AB1467" s="593"/>
      <c r="AC1467" s="593"/>
      <c r="AD1467" s="593"/>
      <c r="AE1467" s="593"/>
      <c r="AF1467" s="593"/>
      <c r="AG1467" s="593"/>
      <c r="AH1467" s="593"/>
      <c r="AI1467" s="593"/>
      <c r="AJ1467" s="593"/>
      <c r="AK1467" s="593"/>
      <c r="AL1467" s="593"/>
      <c r="AM1467" s="593"/>
      <c r="AN1467" s="593"/>
      <c r="AO1467" s="593"/>
      <c r="AP1467" s="593"/>
      <c r="AQ1467" s="593"/>
      <c r="AR1467" s="593"/>
      <c r="AS1467" s="593"/>
      <c r="AT1467" s="593"/>
      <c r="AU1467" s="593"/>
      <c r="AV1467" s="593"/>
      <c r="AW1467" s="593"/>
      <c r="AX1467" s="593"/>
      <c r="AY1467" s="593"/>
      <c r="AZ1467" s="593"/>
      <c r="BA1467" s="593"/>
      <c r="BB1467" s="593"/>
      <c r="BC1467" s="593"/>
      <c r="BD1467" s="593"/>
      <c r="BE1467" s="593"/>
      <c r="BF1467" s="593"/>
      <c r="BG1467" s="593"/>
      <c r="BH1467" s="593"/>
      <c r="BI1467" s="593"/>
      <c r="BJ1467" s="593"/>
      <c r="BK1467" s="593"/>
      <c r="BL1467" s="593"/>
      <c r="BM1467" s="593"/>
      <c r="BN1467" s="593"/>
      <c r="BO1467" s="593"/>
      <c r="BP1467" s="593"/>
      <c r="BQ1467" s="593"/>
      <c r="BR1467" s="593"/>
      <c r="BS1467" s="593"/>
      <c r="BT1467" s="593"/>
      <c r="BU1467" s="593"/>
      <c r="BV1467" s="593"/>
      <c r="BW1467" s="593"/>
      <c r="BX1467" s="593"/>
      <c r="BY1467" s="593"/>
      <c r="BZ1467" s="593"/>
      <c r="CA1467" s="593"/>
      <c r="CB1467" s="593"/>
      <c r="CC1467" s="593"/>
      <c r="CD1467" s="593"/>
      <c r="CE1467" s="593"/>
      <c r="CF1467" s="595"/>
    </row>
    <row r="1468" spans="1:84" s="583" customFormat="1" ht="23.1" customHeight="1">
      <c r="A1468" s="584"/>
      <c r="B1468" s="585"/>
      <c r="C1468" s="585"/>
      <c r="D1468" s="596"/>
      <c r="E1468" s="585"/>
      <c r="F1468" s="585"/>
      <c r="G1468" s="585"/>
      <c r="H1468" s="585"/>
      <c r="I1468" s="585"/>
      <c r="J1468" s="585"/>
      <c r="K1468" s="585"/>
      <c r="L1468" s="585"/>
      <c r="M1468" s="585"/>
      <c r="N1468" s="585"/>
      <c r="O1468" s="585"/>
      <c r="P1468" s="585"/>
      <c r="Q1468" s="585"/>
      <c r="R1468" s="585"/>
      <c r="S1468" s="585"/>
      <c r="T1468" s="585"/>
      <c r="U1468" s="585"/>
      <c r="V1468" s="585"/>
      <c r="W1468" s="585"/>
      <c r="X1468" s="585"/>
      <c r="Y1468" s="585"/>
      <c r="Z1468" s="585"/>
      <c r="AA1468" s="585"/>
      <c r="AB1468" s="585"/>
      <c r="AC1468" s="585"/>
      <c r="AD1468" s="585"/>
      <c r="AE1468" s="585"/>
      <c r="AF1468" s="585"/>
      <c r="AG1468" s="585"/>
      <c r="AH1468" s="585"/>
      <c r="AI1468" s="585"/>
      <c r="AJ1468" s="585"/>
      <c r="AK1468" s="585"/>
      <c r="AL1468" s="585"/>
      <c r="AM1468" s="585"/>
      <c r="AN1468" s="585"/>
      <c r="AO1468" s="585"/>
      <c r="AP1468" s="585"/>
      <c r="AQ1468" s="585"/>
      <c r="AR1468" s="422"/>
      <c r="AS1468" s="1430"/>
      <c r="AT1468" s="1430"/>
      <c r="AU1468" s="1430"/>
      <c r="AV1468" s="1430"/>
      <c r="AW1468" s="1430"/>
      <c r="AX1468" s="1430"/>
      <c r="AY1468" s="1430"/>
      <c r="AZ1468" s="1430"/>
      <c r="BA1468" s="1430"/>
      <c r="BB1468" s="1430"/>
      <c r="BC1468" s="585"/>
      <c r="BD1468" s="1431"/>
      <c r="BE1468" s="1431"/>
      <c r="BF1468" s="585"/>
      <c r="BG1468" s="1431"/>
      <c r="BH1468" s="1431"/>
      <c r="BI1468" s="1431"/>
      <c r="BJ1468" s="1431"/>
      <c r="BK1468" s="1431"/>
      <c r="BL1468" s="585"/>
      <c r="BM1468" s="585"/>
      <c r="BN1468" s="585"/>
      <c r="BO1468" s="585"/>
      <c r="BP1468" s="1431"/>
      <c r="BQ1468" s="1431"/>
      <c r="BR1468" s="585"/>
      <c r="BS1468" s="585"/>
      <c r="BT1468" s="1432"/>
      <c r="BU1468" s="1432"/>
      <c r="BV1468" s="1432"/>
      <c r="BW1468" s="1432"/>
      <c r="BX1468" s="1432"/>
      <c r="BY1468" s="1432"/>
      <c r="BZ1468" s="1432"/>
      <c r="CA1468" s="1432"/>
      <c r="CB1468" s="1432"/>
      <c r="CC1468" s="1432"/>
      <c r="CD1468" s="585"/>
      <c r="CE1468" s="585"/>
      <c r="CF1468" s="586"/>
    </row>
    <row r="1469" spans="1:84" s="583" customFormat="1" ht="23.1" customHeight="1">
      <c r="A1469" s="584"/>
      <c r="B1469" s="585"/>
      <c r="C1469" s="585"/>
      <c r="D1469" s="591"/>
      <c r="E1469" s="585"/>
      <c r="F1469" s="585"/>
      <c r="G1469" s="585"/>
      <c r="H1469" s="585"/>
      <c r="I1469" s="585"/>
      <c r="J1469" s="585"/>
      <c r="K1469" s="585"/>
      <c r="L1469" s="585"/>
      <c r="M1469" s="585"/>
      <c r="N1469" s="585"/>
      <c r="O1469" s="585"/>
      <c r="P1469" s="585"/>
      <c r="Q1469" s="585"/>
      <c r="R1469" s="585"/>
      <c r="S1469" s="585"/>
      <c r="T1469" s="585"/>
      <c r="U1469" s="585"/>
      <c r="V1469" s="585"/>
      <c r="W1469" s="585"/>
      <c r="X1469" s="585"/>
      <c r="Y1469" s="585"/>
      <c r="Z1469" s="585"/>
      <c r="AA1469" s="585"/>
      <c r="AB1469" s="585"/>
      <c r="AC1469" s="585"/>
      <c r="AD1469" s="585"/>
      <c r="AE1469" s="585"/>
      <c r="AF1469" s="585"/>
      <c r="AG1469" s="585"/>
      <c r="AH1469" s="585"/>
      <c r="AI1469" s="585"/>
      <c r="AJ1469" s="585"/>
      <c r="AK1469" s="585"/>
      <c r="AL1469" s="585"/>
      <c r="AM1469" s="585"/>
      <c r="AN1469" s="585"/>
      <c r="AO1469" s="585"/>
      <c r="AP1469" s="585"/>
      <c r="AQ1469" s="585"/>
      <c r="AR1469" s="422"/>
      <c r="AS1469" s="1430"/>
      <c r="AT1469" s="1430"/>
      <c r="AU1469" s="1430"/>
      <c r="AV1469" s="1430"/>
      <c r="AW1469" s="1430"/>
      <c r="AX1469" s="1430"/>
      <c r="AY1469" s="1430"/>
      <c r="AZ1469" s="1430"/>
      <c r="BA1469" s="1430"/>
      <c r="BB1469" s="1430"/>
      <c r="BC1469" s="585"/>
      <c r="BD1469" s="1431"/>
      <c r="BE1469" s="1431"/>
      <c r="BF1469" s="585"/>
      <c r="BG1469" s="1431"/>
      <c r="BH1469" s="1431"/>
      <c r="BI1469" s="1431"/>
      <c r="BJ1469" s="1431"/>
      <c r="BK1469" s="1431"/>
      <c r="BL1469" s="585"/>
      <c r="BM1469" s="585"/>
      <c r="BN1469" s="585"/>
      <c r="BO1469" s="585"/>
      <c r="BP1469" s="1431"/>
      <c r="BQ1469" s="1431"/>
      <c r="BR1469" s="585"/>
      <c r="BS1469" s="585"/>
      <c r="BT1469" s="1432"/>
      <c r="BU1469" s="1432"/>
      <c r="BV1469" s="1432"/>
      <c r="BW1469" s="1432"/>
      <c r="BX1469" s="1432"/>
      <c r="BY1469" s="1432"/>
      <c r="BZ1469" s="1432"/>
      <c r="CA1469" s="1432"/>
      <c r="CB1469" s="1432"/>
      <c r="CC1469" s="1432"/>
      <c r="CD1469" s="585"/>
      <c r="CE1469" s="585"/>
      <c r="CF1469" s="586"/>
    </row>
    <row r="1470" spans="1:84" s="583" customFormat="1" ht="23.1" customHeight="1" thickBot="1">
      <c r="A1470" s="584"/>
      <c r="B1470" s="585"/>
      <c r="C1470" s="585"/>
      <c r="D1470" s="585"/>
      <c r="E1470" s="585"/>
      <c r="F1470" s="585"/>
      <c r="G1470" s="585"/>
      <c r="H1470" s="585"/>
      <c r="I1470" s="585"/>
      <c r="J1470" s="585"/>
      <c r="K1470" s="585"/>
      <c r="L1470" s="585"/>
      <c r="M1470" s="585"/>
      <c r="N1470" s="585"/>
      <c r="O1470" s="585"/>
      <c r="P1470" s="585"/>
      <c r="Q1470" s="585"/>
      <c r="R1470" s="585"/>
      <c r="S1470" s="585"/>
      <c r="T1470" s="585"/>
      <c r="U1470" s="585"/>
      <c r="V1470" s="585"/>
      <c r="W1470" s="585"/>
      <c r="X1470" s="585"/>
      <c r="Y1470" s="585"/>
      <c r="Z1470" s="585"/>
      <c r="AA1470" s="585"/>
      <c r="AB1470" s="585"/>
      <c r="AC1470" s="585"/>
      <c r="AD1470" s="585"/>
      <c r="AE1470" s="585"/>
      <c r="AF1470" s="585"/>
      <c r="AG1470" s="585"/>
      <c r="AH1470" s="585"/>
      <c r="AI1470" s="585"/>
      <c r="AJ1470" s="585"/>
      <c r="AK1470" s="585"/>
      <c r="AL1470" s="585"/>
      <c r="AM1470" s="585"/>
      <c r="AN1470" s="585"/>
      <c r="AO1470" s="585"/>
      <c r="AP1470" s="585"/>
      <c r="AQ1470" s="585"/>
      <c r="AR1470" s="585"/>
      <c r="AS1470" s="585"/>
      <c r="AT1470" s="585"/>
      <c r="AU1470" s="585"/>
      <c r="AV1470" s="585"/>
      <c r="AW1470" s="585"/>
      <c r="AX1470" s="585"/>
      <c r="AY1470" s="585"/>
      <c r="AZ1470" s="585"/>
      <c r="BA1470" s="585"/>
      <c r="BB1470" s="585"/>
      <c r="BC1470" s="585"/>
      <c r="BD1470" s="585"/>
      <c r="BE1470" s="585"/>
      <c r="BF1470" s="585"/>
      <c r="BG1470" s="585"/>
      <c r="BH1470" s="585"/>
      <c r="BI1470" s="585"/>
      <c r="BJ1470" s="585"/>
      <c r="BK1470" s="585"/>
      <c r="BL1470" s="585"/>
      <c r="BM1470" s="585"/>
      <c r="BN1470" s="585"/>
      <c r="BO1470" s="585"/>
      <c r="BP1470" s="1431" t="s">
        <v>41</v>
      </c>
      <c r="BQ1470" s="1431"/>
      <c r="BR1470" s="585"/>
      <c r="BS1470" s="585"/>
      <c r="BT1470" s="1433">
        <f>BT1468+BT1469</f>
        <v>0</v>
      </c>
      <c r="BU1470" s="1433"/>
      <c r="BV1470" s="1433"/>
      <c r="BW1470" s="1433"/>
      <c r="BX1470" s="1433"/>
      <c r="BY1470" s="1433"/>
      <c r="BZ1470" s="1433"/>
      <c r="CA1470" s="1433"/>
      <c r="CB1470" s="1433"/>
      <c r="CC1470" s="1433"/>
      <c r="CD1470" s="585"/>
      <c r="CE1470" s="585"/>
      <c r="CF1470" s="586"/>
    </row>
    <row r="1471" spans="1:84" s="583" customFormat="1" ht="23.1" customHeight="1" thickBot="1">
      <c r="A1471" s="597"/>
      <c r="B1471" s="598" t="s">
        <v>1113</v>
      </c>
      <c r="C1471" s="598"/>
      <c r="D1471" s="598"/>
      <c r="E1471" s="598"/>
      <c r="F1471" s="598"/>
      <c r="G1471" s="598"/>
      <c r="H1471" s="598"/>
      <c r="I1471" s="598"/>
      <c r="J1471" s="598"/>
      <c r="K1471" s="598"/>
      <c r="L1471" s="598"/>
      <c r="M1471" s="598"/>
      <c r="N1471" s="598"/>
      <c r="O1471" s="598"/>
      <c r="P1471" s="598"/>
      <c r="Q1471" s="598"/>
      <c r="R1471" s="598"/>
      <c r="S1471" s="598"/>
      <c r="T1471" s="598"/>
      <c r="U1471" s="598"/>
      <c r="V1471" s="598"/>
      <c r="W1471" s="598"/>
      <c r="X1471" s="598"/>
      <c r="Y1471" s="598"/>
      <c r="Z1471" s="598"/>
      <c r="AA1471" s="598"/>
      <c r="AB1471" s="598"/>
      <c r="AC1471" s="598"/>
      <c r="AD1471" s="598"/>
      <c r="AE1471" s="598"/>
      <c r="AF1471" s="598"/>
      <c r="AG1471" s="598"/>
      <c r="AH1471" s="598"/>
      <c r="AI1471" s="598"/>
      <c r="AJ1471" s="598"/>
      <c r="AK1471" s="598"/>
      <c r="AL1471" s="598"/>
      <c r="AM1471" s="598"/>
      <c r="AN1471" s="598"/>
      <c r="AO1471" s="598"/>
      <c r="AP1471" s="598"/>
      <c r="AQ1471" s="598"/>
      <c r="AR1471" s="598"/>
      <c r="AS1471" s="598"/>
      <c r="AT1471" s="598"/>
      <c r="AU1471" s="598"/>
      <c r="AV1471" s="598"/>
      <c r="AW1471" s="598"/>
      <c r="AX1471" s="598"/>
      <c r="AY1471" s="598"/>
      <c r="AZ1471" s="598"/>
      <c r="BA1471" s="598"/>
      <c r="BB1471" s="598"/>
      <c r="BC1471" s="598"/>
      <c r="BD1471" s="598"/>
      <c r="BE1471" s="598"/>
      <c r="BF1471" s="598"/>
      <c r="BG1471" s="598"/>
      <c r="BH1471" s="598"/>
      <c r="BI1471" s="598"/>
      <c r="BJ1471" s="598"/>
      <c r="BK1471" s="598"/>
      <c r="BL1471" s="598"/>
      <c r="BM1471" s="598"/>
      <c r="BN1471" s="598"/>
      <c r="BO1471" s="598"/>
      <c r="BP1471" s="598"/>
      <c r="BQ1471" s="598"/>
      <c r="BR1471" s="598"/>
      <c r="BS1471" s="598"/>
      <c r="BT1471" s="1429">
        <f>BT1462+BT1466+BT1470</f>
        <v>462</v>
      </c>
      <c r="BU1471" s="1429"/>
      <c r="BV1471" s="1429"/>
      <c r="BW1471" s="1429"/>
      <c r="BX1471" s="1429"/>
      <c r="BY1471" s="1429"/>
      <c r="BZ1471" s="1429"/>
      <c r="CA1471" s="1429"/>
      <c r="CB1471" s="1429"/>
      <c r="CC1471" s="1429"/>
      <c r="CD1471" s="598"/>
      <c r="CE1471" s="598"/>
      <c r="CF1471" s="599"/>
    </row>
    <row r="1472" spans="1:84" s="583" customFormat="1" ht="9.9499999999999993" customHeight="1">
      <c r="A1472" s="574"/>
      <c r="B1472" s="574"/>
      <c r="C1472" s="574"/>
      <c r="D1472" s="574"/>
      <c r="E1472" s="574"/>
      <c r="F1472" s="574"/>
      <c r="G1472" s="574"/>
      <c r="H1472" s="574"/>
      <c r="I1472" s="574"/>
      <c r="J1472" s="574"/>
      <c r="K1472" s="574"/>
      <c r="L1472" s="574"/>
      <c r="M1472" s="574"/>
      <c r="N1472" s="574"/>
      <c r="O1472" s="574"/>
      <c r="P1472" s="574"/>
      <c r="Q1472" s="574"/>
      <c r="R1472" s="574"/>
      <c r="S1472" s="574"/>
      <c r="T1472" s="574"/>
      <c r="U1472" s="574"/>
      <c r="V1472" s="574"/>
      <c r="W1472" s="574"/>
      <c r="X1472" s="574"/>
      <c r="Y1472" s="574"/>
      <c r="Z1472" s="574"/>
      <c r="AA1472" s="574"/>
      <c r="AB1472" s="574"/>
      <c r="AC1472" s="574"/>
      <c r="AD1472" s="574"/>
      <c r="AE1472" s="574"/>
      <c r="AF1472" s="574"/>
      <c r="AG1472" s="574"/>
      <c r="AH1472" s="574"/>
      <c r="AI1472" s="574"/>
      <c r="AJ1472" s="574"/>
      <c r="AK1472" s="574"/>
      <c r="AL1472" s="574"/>
      <c r="AM1472" s="574"/>
      <c r="AN1472" s="574"/>
      <c r="AO1472" s="574"/>
      <c r="AP1472" s="574"/>
      <c r="AQ1472" s="574"/>
      <c r="AR1472" s="574"/>
      <c r="AS1472" s="574"/>
      <c r="AT1472" s="574"/>
      <c r="AU1472" s="574"/>
      <c r="AV1472" s="574"/>
      <c r="AW1472" s="574"/>
      <c r="AX1472" s="574"/>
      <c r="AY1472" s="574"/>
      <c r="AZ1472" s="574"/>
      <c r="BA1472" s="574"/>
      <c r="BB1472" s="574"/>
      <c r="BC1472" s="574"/>
      <c r="BD1472" s="574"/>
      <c r="BE1472" s="574"/>
      <c r="BF1472" s="574"/>
      <c r="BG1472" s="574"/>
      <c r="BH1472" s="574"/>
      <c r="BI1472" s="574"/>
      <c r="BJ1472" s="574"/>
      <c r="BK1472" s="574"/>
      <c r="BL1472" s="574"/>
      <c r="BM1472" s="574"/>
      <c r="BN1472" s="574"/>
      <c r="BO1472" s="574"/>
      <c r="BP1472" s="574"/>
      <c r="BQ1472" s="574"/>
      <c r="BR1472" s="574"/>
      <c r="BS1472" s="574"/>
      <c r="BT1472" s="574"/>
      <c r="BU1472" s="574"/>
      <c r="BV1472" s="574"/>
      <c r="BW1472" s="574"/>
      <c r="BX1472" s="574"/>
      <c r="BY1472" s="574"/>
      <c r="BZ1472" s="574"/>
      <c r="CA1472" s="574"/>
      <c r="CB1472" s="574"/>
      <c r="CC1472" s="574"/>
      <c r="CD1472" s="574"/>
      <c r="CE1472" s="574"/>
      <c r="CF1472" s="574"/>
    </row>
    <row r="1473" spans="1:84" s="583" customFormat="1" ht="23.1" customHeight="1" thickBot="1">
      <c r="A1473" s="1446" t="s">
        <v>1095</v>
      </c>
      <c r="B1473" s="1446"/>
      <c r="C1473" s="1446"/>
      <c r="D1473" s="1446"/>
      <c r="E1473" s="1446"/>
      <c r="F1473" s="1446"/>
      <c r="G1473" s="1447">
        <f>G1458+1</f>
        <v>99</v>
      </c>
      <c r="H1473" s="1447"/>
      <c r="I1473" s="1447"/>
      <c r="J1473" s="1448" t="s">
        <v>1096</v>
      </c>
      <c r="K1473" s="1448"/>
      <c r="L1473" s="574"/>
      <c r="M1473" s="574"/>
      <c r="N1473" s="574"/>
      <c r="O1473" s="574"/>
      <c r="P1473" s="574"/>
      <c r="Q1473" s="574"/>
      <c r="R1473" s="574"/>
      <c r="S1473" s="574"/>
      <c r="T1473" s="574"/>
      <c r="U1473" s="574"/>
      <c r="V1473" s="574"/>
      <c r="W1473" s="574"/>
      <c r="X1473" s="574"/>
      <c r="Y1473" s="574"/>
      <c r="Z1473" s="574"/>
      <c r="AA1473" s="574"/>
      <c r="AB1473" s="574"/>
      <c r="AC1473" s="574"/>
      <c r="AD1473" s="574"/>
      <c r="AE1473" s="574"/>
      <c r="AF1473" s="574"/>
      <c r="AG1473" s="574"/>
      <c r="AH1473" s="574"/>
      <c r="AI1473" s="574"/>
      <c r="AJ1473" s="574"/>
      <c r="AK1473" s="574"/>
      <c r="AL1473" s="574"/>
      <c r="AM1473" s="574"/>
      <c r="AN1473" s="574"/>
      <c r="AO1473" s="574"/>
      <c r="AP1473" s="574"/>
      <c r="AQ1473" s="574"/>
      <c r="AR1473" s="574"/>
      <c r="AS1473" s="574"/>
      <c r="AT1473" s="574"/>
      <c r="AU1473" s="574"/>
      <c r="AV1473" s="574"/>
      <c r="AW1473" s="574"/>
      <c r="AX1473" s="574"/>
      <c r="AY1473" s="574"/>
      <c r="AZ1473" s="574"/>
      <c r="BA1473" s="574"/>
      <c r="BB1473" s="574"/>
      <c r="BC1473" s="574"/>
      <c r="BD1473" s="574"/>
      <c r="BE1473" s="574"/>
      <c r="BF1473" s="574"/>
      <c r="BG1473" s="574"/>
      <c r="BH1473" s="574"/>
      <c r="BI1473" s="574"/>
      <c r="BJ1473" s="574"/>
      <c r="BK1473" s="574"/>
      <c r="BL1473" s="574"/>
      <c r="BM1473" s="574"/>
      <c r="BN1473" s="574"/>
      <c r="BO1473" s="574"/>
      <c r="BP1473" s="574"/>
      <c r="BQ1473" s="574"/>
      <c r="BR1473" s="574"/>
      <c r="BS1473" s="574"/>
      <c r="BT1473" s="574"/>
      <c r="BU1473" s="574"/>
      <c r="BV1473" s="574"/>
      <c r="BW1473" s="574"/>
      <c r="BX1473" s="574"/>
      <c r="BY1473" s="574"/>
      <c r="BZ1473" s="574"/>
      <c r="CA1473" s="574"/>
      <c r="CB1473" s="574"/>
      <c r="CC1473" s="574"/>
      <c r="CD1473" s="574"/>
      <c r="CE1473" s="574"/>
      <c r="CF1473" s="574"/>
    </row>
    <row r="1474" spans="1:84" s="603" customFormat="1" ht="23.1" customHeight="1" thickBot="1">
      <c r="A1474" s="1438" t="s">
        <v>1097</v>
      </c>
      <c r="B1474" s="1439"/>
      <c r="C1474" s="1439"/>
      <c r="D1474" s="1439"/>
      <c r="E1474" s="1439"/>
      <c r="F1474" s="1439"/>
      <c r="G1474" s="1439"/>
      <c r="H1474" s="1439"/>
      <c r="I1474" s="601" t="s">
        <v>1280</v>
      </c>
      <c r="J1474" s="601"/>
      <c r="K1474" s="601"/>
      <c r="L1474" s="601"/>
      <c r="M1474" s="601"/>
      <c r="N1474" s="601"/>
      <c r="O1474" s="601"/>
      <c r="P1474" s="601"/>
      <c r="Q1474" s="601"/>
      <c r="R1474" s="601"/>
      <c r="S1474" s="601"/>
      <c r="T1474" s="601"/>
      <c r="U1474" s="601"/>
      <c r="V1474" s="601"/>
      <c r="W1474" s="601"/>
      <c r="X1474" s="601"/>
      <c r="Y1474" s="601"/>
      <c r="Z1474" s="601"/>
      <c r="AA1474" s="601"/>
      <c r="AB1474" s="601"/>
      <c r="AC1474" s="601"/>
      <c r="AD1474" s="601"/>
      <c r="AE1474" s="601"/>
      <c r="AF1474" s="601"/>
      <c r="AG1474" s="601"/>
      <c r="AH1474" s="601"/>
      <c r="AI1474" s="601"/>
      <c r="AJ1474" s="1439" t="s">
        <v>1099</v>
      </c>
      <c r="AK1474" s="1439"/>
      <c r="AL1474" s="1439"/>
      <c r="AM1474" s="1439"/>
      <c r="AN1474" s="1439"/>
      <c r="AO1474" s="1439"/>
      <c r="AP1474" s="1439"/>
      <c r="AQ1474" s="601" t="s">
        <v>1281</v>
      </c>
      <c r="AR1474" s="601"/>
      <c r="AS1474" s="601"/>
      <c r="AT1474" s="601"/>
      <c r="AU1474" s="601"/>
      <c r="AV1474" s="601"/>
      <c r="AW1474" s="601"/>
      <c r="AX1474" s="601"/>
      <c r="AY1474" s="601"/>
      <c r="AZ1474" s="601"/>
      <c r="BA1474" s="601"/>
      <c r="BB1474" s="601"/>
      <c r="BC1474" s="601"/>
      <c r="BD1474" s="601"/>
      <c r="BE1474" s="601"/>
      <c r="BF1474" s="601"/>
      <c r="BG1474" s="601"/>
      <c r="BH1474" s="601"/>
      <c r="BI1474" s="601"/>
      <c r="BJ1474" s="601"/>
      <c r="BK1474" s="601"/>
      <c r="BL1474" s="601"/>
      <c r="BM1474" s="601"/>
      <c r="BN1474" s="601"/>
      <c r="BO1474" s="601"/>
      <c r="BP1474" s="601"/>
      <c r="BQ1474" s="601"/>
      <c r="BR1474" s="601"/>
      <c r="BS1474" s="601"/>
      <c r="BT1474" s="601" t="s">
        <v>1282</v>
      </c>
      <c r="BU1474" s="601"/>
      <c r="BV1474" s="601"/>
      <c r="BW1474" s="601"/>
      <c r="BX1474" s="601"/>
      <c r="BY1474" s="601"/>
      <c r="BZ1474" s="601"/>
      <c r="CA1474" s="601"/>
      <c r="CB1474" s="601"/>
      <c r="CC1474" s="601"/>
      <c r="CD1474" s="601"/>
      <c r="CE1474" s="601"/>
      <c r="CF1474" s="602"/>
    </row>
    <row r="1475" spans="1:84" s="583" customFormat="1" ht="23.1" customHeight="1">
      <c r="A1475" s="584"/>
      <c r="B1475" s="585" t="s">
        <v>1102</v>
      </c>
      <c r="C1475" s="585"/>
      <c r="D1475" s="585"/>
      <c r="E1475" s="585"/>
      <c r="F1475" s="585"/>
      <c r="G1475" s="585"/>
      <c r="H1475" s="585"/>
      <c r="I1475" s="585"/>
      <c r="J1475" s="585"/>
      <c r="K1475" s="585"/>
      <c r="L1475" s="585"/>
      <c r="M1475" s="585"/>
      <c r="N1475" s="585"/>
      <c r="O1475" s="585"/>
      <c r="P1475" s="585"/>
      <c r="Q1475" s="585"/>
      <c r="R1475" s="585"/>
      <c r="S1475" s="585"/>
      <c r="T1475" s="585"/>
      <c r="U1475" s="585"/>
      <c r="V1475" s="585"/>
      <c r="W1475" s="585"/>
      <c r="X1475" s="585"/>
      <c r="Y1475" s="585"/>
      <c r="Z1475" s="585"/>
      <c r="AA1475" s="585"/>
      <c r="AB1475" s="585"/>
      <c r="AC1475" s="585"/>
      <c r="AD1475" s="585"/>
      <c r="AE1475" s="585"/>
      <c r="AF1475" s="585"/>
      <c r="AG1475" s="585"/>
      <c r="AH1475" s="585"/>
      <c r="AI1475" s="585"/>
      <c r="AJ1475" s="585"/>
      <c r="AK1475" s="585"/>
      <c r="AL1475" s="585"/>
      <c r="AM1475" s="585"/>
      <c r="AN1475" s="585"/>
      <c r="AO1475" s="585"/>
      <c r="AP1475" s="585"/>
      <c r="AQ1475" s="585"/>
      <c r="AR1475" s="585"/>
      <c r="AS1475" s="585"/>
      <c r="AT1475" s="585"/>
      <c r="AU1475" s="585"/>
      <c r="AV1475" s="585"/>
      <c r="AW1475" s="585"/>
      <c r="AX1475" s="585"/>
      <c r="AY1475" s="585"/>
      <c r="AZ1475" s="585"/>
      <c r="BA1475" s="585"/>
      <c r="BB1475" s="585"/>
      <c r="BC1475" s="585"/>
      <c r="BD1475" s="585"/>
      <c r="BE1475" s="585"/>
      <c r="BF1475" s="585"/>
      <c r="BG1475" s="585"/>
      <c r="BH1475" s="585"/>
      <c r="BI1475" s="585"/>
      <c r="BJ1475" s="585"/>
      <c r="BK1475" s="585"/>
      <c r="BL1475" s="585"/>
      <c r="BM1475" s="585"/>
      <c r="BN1475" s="585"/>
      <c r="BO1475" s="585"/>
      <c r="BP1475" s="585"/>
      <c r="BQ1475" s="585"/>
      <c r="BR1475" s="585"/>
      <c r="BS1475" s="585"/>
      <c r="BT1475" s="585"/>
      <c r="BU1475" s="585"/>
      <c r="BV1475" s="585"/>
      <c r="BW1475" s="585"/>
      <c r="BX1475" s="585"/>
      <c r="BY1475" s="585"/>
      <c r="BZ1475" s="585"/>
      <c r="CA1475" s="585"/>
      <c r="CB1475" s="585"/>
      <c r="CC1475" s="585"/>
      <c r="CD1475" s="585"/>
      <c r="CE1475" s="585"/>
      <c r="CF1475" s="586"/>
    </row>
    <row r="1476" spans="1:84" s="583" customFormat="1" ht="23.1" customHeight="1">
      <c r="A1476" s="587"/>
      <c r="B1476" s="574"/>
      <c r="C1476" s="574"/>
      <c r="D1476" s="405"/>
      <c r="E1476" s="574"/>
      <c r="F1476" s="422"/>
      <c r="G1476" s="422"/>
      <c r="H1476" s="422"/>
      <c r="I1476" s="422"/>
      <c r="J1476" s="422"/>
      <c r="K1476" s="422"/>
      <c r="L1476" s="422"/>
      <c r="M1476" s="422"/>
      <c r="N1476" s="574"/>
      <c r="O1476" s="574"/>
      <c r="P1476" s="574"/>
      <c r="Q1476" s="574"/>
      <c r="R1476" s="574"/>
      <c r="S1476" s="588"/>
      <c r="T1476" s="588"/>
      <c r="U1476" s="588"/>
      <c r="V1476" s="588"/>
      <c r="W1476" s="588"/>
      <c r="X1476" s="588"/>
      <c r="Y1476" s="588"/>
      <c r="Z1476" s="588"/>
      <c r="AA1476" s="574"/>
      <c r="AB1476" s="588"/>
      <c r="AC1476" s="585"/>
      <c r="AD1476" s="585"/>
      <c r="AE1476" s="600"/>
      <c r="AF1476" s="600"/>
      <c r="AG1476" s="600"/>
      <c r="AH1476" s="600"/>
      <c r="AI1476" s="600"/>
      <c r="AJ1476" s="600"/>
      <c r="AK1476" s="600"/>
      <c r="AL1476" s="600"/>
      <c r="AM1476" s="585"/>
      <c r="AN1476" s="585"/>
      <c r="AO1476" s="574"/>
      <c r="AP1476" s="430"/>
      <c r="AQ1476" s="430"/>
      <c r="AR1476" s="430"/>
      <c r="AS1476" s="430"/>
      <c r="AT1476" s="430"/>
      <c r="AU1476" s="430"/>
      <c r="AV1476" s="430"/>
      <c r="AW1476" s="430"/>
      <c r="AX1476" s="430"/>
      <c r="AY1476" s="430"/>
      <c r="AZ1476" s="430"/>
      <c r="BA1476" s="430"/>
      <c r="BB1476" s="430"/>
      <c r="BC1476" s="430"/>
      <c r="BD1476" s="574"/>
      <c r="BE1476" s="574"/>
      <c r="BF1476" s="574"/>
      <c r="BG1476" s="574"/>
      <c r="BH1476" s="574"/>
      <c r="BI1476" s="574"/>
      <c r="BJ1476" s="574"/>
      <c r="BK1476" s="574"/>
      <c r="BL1476" s="574"/>
      <c r="BM1476" s="574"/>
      <c r="BN1476" s="574"/>
      <c r="BO1476" s="574"/>
      <c r="BP1476" s="574"/>
      <c r="BQ1476" s="574"/>
      <c r="BR1476" s="574"/>
      <c r="BS1476" s="574"/>
      <c r="BT1476" s="574"/>
      <c r="BU1476" s="574"/>
      <c r="BV1476" s="574"/>
      <c r="BW1476" s="574"/>
      <c r="BX1476" s="574"/>
      <c r="BY1476" s="574"/>
      <c r="BZ1476" s="574"/>
      <c r="CA1476" s="574"/>
      <c r="CB1476" s="574"/>
      <c r="CC1476" s="574"/>
      <c r="CD1476" s="574"/>
      <c r="CE1476" s="574"/>
      <c r="CF1476" s="589"/>
    </row>
    <row r="1477" spans="1:84" s="583" customFormat="1" ht="23.1" customHeight="1">
      <c r="A1477" s="584"/>
      <c r="B1477" s="585"/>
      <c r="C1477" s="585"/>
      <c r="D1477" s="585"/>
      <c r="E1477" s="585"/>
      <c r="F1477" s="585"/>
      <c r="G1477" s="585"/>
      <c r="H1477" s="585"/>
      <c r="I1477" s="585"/>
      <c r="J1477" s="585"/>
      <c r="K1477" s="585"/>
      <c r="L1477" s="585"/>
      <c r="M1477" s="585"/>
      <c r="N1477" s="585"/>
      <c r="O1477" s="585"/>
      <c r="P1477" s="585"/>
      <c r="Q1477" s="585"/>
      <c r="R1477" s="585"/>
      <c r="S1477" s="585"/>
      <c r="T1477" s="585"/>
      <c r="U1477" s="585"/>
      <c r="V1477" s="590"/>
      <c r="W1477" s="590"/>
      <c r="X1477" s="590"/>
      <c r="Y1477" s="590"/>
      <c r="Z1477" s="590"/>
      <c r="AA1477" s="590"/>
      <c r="AB1477" s="590"/>
      <c r="AC1477" s="590"/>
      <c r="AD1477" s="574"/>
      <c r="AE1477" s="1440">
        <v>2010000</v>
      </c>
      <c r="AF1477" s="1440"/>
      <c r="AG1477" s="1440"/>
      <c r="AH1477" s="1440"/>
      <c r="AI1477" s="1440"/>
      <c r="AJ1477" s="1440"/>
      <c r="AK1477" s="1440"/>
      <c r="AL1477" s="1440"/>
      <c r="AM1477" s="1440"/>
      <c r="AN1477" s="1440"/>
      <c r="AO1477" s="1440"/>
      <c r="AP1477" s="1440"/>
      <c r="AQ1477" s="1440"/>
      <c r="AR1477" s="1440"/>
      <c r="AS1477" s="1440"/>
      <c r="AT1477" s="1431" t="s">
        <v>446</v>
      </c>
      <c r="AU1477" s="1431"/>
      <c r="AV1477" s="1441" t="s">
        <v>1103</v>
      </c>
      <c r="AW1477" s="1441"/>
      <c r="AX1477" s="1442">
        <v>6132</v>
      </c>
      <c r="AY1477" s="1442"/>
      <c r="AZ1477" s="1442"/>
      <c r="BA1477" s="1442"/>
      <c r="BB1477" s="1442"/>
      <c r="BC1477" s="1442"/>
      <c r="BD1477" s="585"/>
      <c r="BE1477" s="1431" t="s">
        <v>446</v>
      </c>
      <c r="BF1477" s="1431"/>
      <c r="BG1477" s="585"/>
      <c r="BH1477" s="591" t="s">
        <v>1104</v>
      </c>
      <c r="BI1477" s="585"/>
      <c r="BJ1477" s="585"/>
      <c r="BK1477" s="585"/>
      <c r="BL1477" s="1431" t="s">
        <v>1105</v>
      </c>
      <c r="BM1477" s="1431"/>
      <c r="BN1477" s="1431"/>
      <c r="BO1477" s="585"/>
      <c r="BP1477" s="1431" t="s">
        <v>41</v>
      </c>
      <c r="BQ1477" s="1431"/>
      <c r="BR1477" s="585"/>
      <c r="BS1477" s="585"/>
      <c r="BT1477" s="1437">
        <f>INT(AE1477*AX1477*10^-7)</f>
        <v>1232</v>
      </c>
      <c r="BU1477" s="1437"/>
      <c r="BV1477" s="1437"/>
      <c r="BW1477" s="1437"/>
      <c r="BX1477" s="1437"/>
      <c r="BY1477" s="1437"/>
      <c r="BZ1477" s="1437"/>
      <c r="CA1477" s="1437"/>
      <c r="CB1477" s="1437"/>
      <c r="CC1477" s="1437"/>
      <c r="CD1477" s="585"/>
      <c r="CE1477" s="585"/>
      <c r="CF1477" s="586"/>
    </row>
    <row r="1478" spans="1:84" s="583" customFormat="1" ht="23.1" customHeight="1">
      <c r="A1478" s="592"/>
      <c r="B1478" s="593" t="s">
        <v>1106</v>
      </c>
      <c r="C1478" s="593"/>
      <c r="D1478" s="593"/>
      <c r="E1478" s="593"/>
      <c r="F1478" s="593"/>
      <c r="G1478" s="593"/>
      <c r="H1478" s="593"/>
      <c r="I1478" s="593"/>
      <c r="J1478" s="593"/>
      <c r="K1478" s="593"/>
      <c r="L1478" s="593"/>
      <c r="M1478" s="593"/>
      <c r="N1478" s="593"/>
      <c r="O1478" s="593"/>
      <c r="P1478" s="593"/>
      <c r="Q1478" s="593"/>
      <c r="R1478" s="593"/>
      <c r="S1478" s="593"/>
      <c r="T1478" s="593"/>
      <c r="U1478" s="593"/>
      <c r="V1478" s="593"/>
      <c r="W1478" s="593"/>
      <c r="X1478" s="593"/>
      <c r="Y1478" s="593"/>
      <c r="Z1478" s="593"/>
      <c r="AA1478" s="593"/>
      <c r="AB1478" s="593"/>
      <c r="AC1478" s="593"/>
      <c r="AD1478" s="593"/>
      <c r="AE1478" s="593"/>
      <c r="AF1478" s="593"/>
      <c r="AG1478" s="593"/>
      <c r="AH1478" s="593"/>
      <c r="AI1478" s="593"/>
      <c r="AJ1478" s="593"/>
      <c r="AK1478" s="593"/>
      <c r="AL1478" s="593"/>
      <c r="AM1478" s="593"/>
      <c r="AN1478" s="593"/>
      <c r="AO1478" s="593"/>
      <c r="AP1478" s="593"/>
      <c r="AQ1478" s="593"/>
      <c r="AR1478" s="593"/>
      <c r="AS1478" s="593"/>
      <c r="AT1478" s="593"/>
      <c r="AU1478" s="593"/>
      <c r="AV1478" s="593"/>
      <c r="AW1478" s="593"/>
      <c r="AX1478" s="593"/>
      <c r="AY1478" s="593"/>
      <c r="AZ1478" s="593"/>
      <c r="BA1478" s="593"/>
      <c r="BB1478" s="593"/>
      <c r="BC1478" s="593"/>
      <c r="BD1478" s="593"/>
      <c r="BE1478" s="593"/>
      <c r="BF1478" s="593"/>
      <c r="BG1478" s="593"/>
      <c r="BH1478" s="593"/>
      <c r="BI1478" s="593"/>
      <c r="BJ1478" s="593"/>
      <c r="BK1478" s="593"/>
      <c r="BL1478" s="593"/>
      <c r="BM1478" s="593"/>
      <c r="BN1478" s="593"/>
      <c r="BO1478" s="593"/>
      <c r="BP1478" s="593"/>
      <c r="BQ1478" s="593"/>
      <c r="BR1478" s="593"/>
      <c r="BS1478" s="593"/>
      <c r="BT1478" s="594"/>
      <c r="BU1478" s="594"/>
      <c r="BV1478" s="594"/>
      <c r="BW1478" s="594"/>
      <c r="BX1478" s="594"/>
      <c r="BY1478" s="594"/>
      <c r="BZ1478" s="594"/>
      <c r="CA1478" s="594"/>
      <c r="CB1478" s="594"/>
      <c r="CC1478" s="594"/>
      <c r="CD1478" s="593"/>
      <c r="CE1478" s="593"/>
      <c r="CF1478" s="595"/>
    </row>
    <row r="1479" spans="1:84" s="583" customFormat="1" ht="23.1" customHeight="1">
      <c r="A1479" s="584"/>
      <c r="B1479" s="585"/>
      <c r="C1479" s="585"/>
      <c r="D1479" s="596"/>
      <c r="E1479" s="585"/>
      <c r="F1479" s="585"/>
      <c r="G1479" s="585"/>
      <c r="H1479" s="585"/>
      <c r="I1479" s="585"/>
      <c r="J1479" s="585"/>
      <c r="K1479" s="585"/>
      <c r="L1479" s="585"/>
      <c r="M1479" s="585"/>
      <c r="N1479" s="585"/>
      <c r="O1479" s="585"/>
      <c r="P1479" s="585"/>
      <c r="Q1479" s="585"/>
      <c r="R1479" s="585"/>
      <c r="S1479" s="585"/>
      <c r="T1479" s="574"/>
      <c r="U1479" s="574"/>
      <c r="V1479" s="1430"/>
      <c r="W1479" s="1430"/>
      <c r="X1479" s="1430"/>
      <c r="Y1479" s="1430"/>
      <c r="Z1479" s="1430"/>
      <c r="AA1479" s="1430"/>
      <c r="AB1479" s="1430"/>
      <c r="AC1479" s="1430"/>
      <c r="AD1479" s="1430"/>
      <c r="AE1479" s="1430"/>
      <c r="AF1479" s="1431"/>
      <c r="AG1479" s="1431"/>
      <c r="AH1479" s="574"/>
      <c r="AI1479" s="1436"/>
      <c r="AJ1479" s="1436"/>
      <c r="AK1479" s="1436"/>
      <c r="AL1479" s="1436"/>
      <c r="AM1479" s="585"/>
      <c r="AN1479" s="1431"/>
      <c r="AO1479" s="1431"/>
      <c r="AP1479" s="585"/>
      <c r="AQ1479" s="1436"/>
      <c r="AR1479" s="1436"/>
      <c r="AS1479" s="1436"/>
      <c r="AT1479" s="1436"/>
      <c r="AU1479" s="1436"/>
      <c r="AV1479" s="422"/>
      <c r="AW1479" s="1431"/>
      <c r="AX1479" s="1431"/>
      <c r="AY1479" s="440"/>
      <c r="AZ1479" s="1436"/>
      <c r="BA1479" s="1436"/>
      <c r="BB1479" s="1436"/>
      <c r="BC1479" s="1436"/>
      <c r="BD1479" s="1436"/>
      <c r="BE1479" s="585"/>
      <c r="BF1479" s="1431"/>
      <c r="BG1479" s="1431"/>
      <c r="BH1479" s="1431"/>
      <c r="BI1479" s="1431"/>
      <c r="BJ1479" s="1431"/>
      <c r="BK1479" s="585"/>
      <c r="BL1479" s="585"/>
      <c r="BM1479" s="585"/>
      <c r="BN1479" s="585"/>
      <c r="BO1479" s="585"/>
      <c r="BP1479" s="1431"/>
      <c r="BQ1479" s="1431"/>
      <c r="BR1479" s="585"/>
      <c r="BS1479" s="585"/>
      <c r="BT1479" s="1432"/>
      <c r="BU1479" s="1432"/>
      <c r="BV1479" s="1432"/>
      <c r="BW1479" s="1432"/>
      <c r="BX1479" s="1432"/>
      <c r="BY1479" s="1432"/>
      <c r="BZ1479" s="1432"/>
      <c r="CA1479" s="1432"/>
      <c r="CB1479" s="1432"/>
      <c r="CC1479" s="1432"/>
      <c r="CD1479" s="585"/>
      <c r="CE1479" s="585"/>
      <c r="CF1479" s="586"/>
    </row>
    <row r="1480" spans="1:84" s="583" customFormat="1" ht="23.1" customHeight="1">
      <c r="A1480" s="584"/>
      <c r="B1480" s="585"/>
      <c r="C1480" s="585"/>
      <c r="D1480" s="585"/>
      <c r="E1480" s="585"/>
      <c r="F1480" s="585"/>
      <c r="G1480" s="585"/>
      <c r="H1480" s="585"/>
      <c r="I1480" s="585"/>
      <c r="J1480" s="585"/>
      <c r="K1480" s="585"/>
      <c r="L1480" s="585"/>
      <c r="M1480" s="585"/>
      <c r="N1480" s="585"/>
      <c r="O1480" s="585"/>
      <c r="P1480" s="574"/>
      <c r="Q1480" s="574"/>
      <c r="R1480" s="574"/>
      <c r="S1480" s="574"/>
      <c r="T1480" s="574"/>
      <c r="U1480" s="574"/>
      <c r="V1480" s="574"/>
      <c r="W1480" s="574"/>
      <c r="X1480" s="574"/>
      <c r="Y1480" s="574"/>
      <c r="Z1480" s="574"/>
      <c r="AA1480" s="574"/>
      <c r="AB1480" s="574"/>
      <c r="AC1480" s="574"/>
      <c r="AD1480" s="574"/>
      <c r="AE1480" s="574"/>
      <c r="AF1480" s="574"/>
      <c r="AG1480" s="574"/>
      <c r="AH1480" s="574"/>
      <c r="AI1480" s="574"/>
      <c r="AJ1480" s="574"/>
      <c r="AK1480" s="574"/>
      <c r="AL1480" s="574"/>
      <c r="AM1480" s="574"/>
      <c r="AN1480" s="574"/>
      <c r="AO1480" s="574"/>
      <c r="AP1480" s="574"/>
      <c r="AQ1480" s="574"/>
      <c r="AR1480" s="574"/>
      <c r="AS1480" s="574"/>
      <c r="AT1480" s="574"/>
      <c r="AU1480" s="574"/>
      <c r="AV1480" s="574"/>
      <c r="AW1480" s="574"/>
      <c r="AX1480" s="574"/>
      <c r="AY1480" s="574"/>
      <c r="AZ1480" s="574"/>
      <c r="BA1480" s="574"/>
      <c r="BB1480" s="574"/>
      <c r="BC1480" s="574"/>
      <c r="BD1480" s="574"/>
      <c r="BE1480" s="574"/>
      <c r="BF1480" s="574"/>
      <c r="BG1480" s="585"/>
      <c r="BH1480" s="585"/>
      <c r="BI1480" s="585"/>
      <c r="BJ1480" s="585"/>
      <c r="BK1480" s="585"/>
      <c r="BL1480" s="585"/>
      <c r="BM1480" s="585"/>
      <c r="BN1480" s="585"/>
      <c r="BO1480" s="585"/>
      <c r="BP1480" s="1431"/>
      <c r="BQ1480" s="1431"/>
      <c r="BR1480" s="585"/>
      <c r="BS1480" s="585"/>
      <c r="BT1480" s="1432"/>
      <c r="BU1480" s="1432"/>
      <c r="BV1480" s="1432"/>
      <c r="BW1480" s="1432"/>
      <c r="BX1480" s="1432"/>
      <c r="BY1480" s="1432"/>
      <c r="BZ1480" s="1432"/>
      <c r="CA1480" s="1432"/>
      <c r="CB1480" s="1432"/>
      <c r="CC1480" s="1432"/>
      <c r="CD1480" s="585"/>
      <c r="CE1480" s="585"/>
      <c r="CF1480" s="586"/>
    </row>
    <row r="1481" spans="1:84" s="583" customFormat="1" ht="23.1" customHeight="1">
      <c r="A1481" s="584"/>
      <c r="B1481" s="585"/>
      <c r="C1481" s="585"/>
      <c r="D1481" s="585"/>
      <c r="E1481" s="585"/>
      <c r="F1481" s="585"/>
      <c r="G1481" s="585"/>
      <c r="H1481" s="585"/>
      <c r="I1481" s="585"/>
      <c r="J1481" s="585"/>
      <c r="K1481" s="585"/>
      <c r="L1481" s="585"/>
      <c r="M1481" s="585"/>
      <c r="N1481" s="585"/>
      <c r="O1481" s="585"/>
      <c r="P1481" s="585"/>
      <c r="Q1481" s="585"/>
      <c r="R1481" s="585"/>
      <c r="S1481" s="585"/>
      <c r="T1481" s="585"/>
      <c r="U1481" s="585"/>
      <c r="V1481" s="585"/>
      <c r="W1481" s="585"/>
      <c r="X1481" s="585"/>
      <c r="Y1481" s="585"/>
      <c r="Z1481" s="585"/>
      <c r="AA1481" s="585"/>
      <c r="AB1481" s="585"/>
      <c r="AC1481" s="585"/>
      <c r="AD1481" s="574"/>
      <c r="AE1481" s="574"/>
      <c r="AF1481" s="574"/>
      <c r="AG1481" s="574"/>
      <c r="AH1481" s="574"/>
      <c r="AI1481" s="574"/>
      <c r="AJ1481" s="574"/>
      <c r="AK1481" s="574"/>
      <c r="AL1481" s="574"/>
      <c r="AM1481" s="574"/>
      <c r="AN1481" s="574"/>
      <c r="AO1481" s="574"/>
      <c r="AP1481" s="574"/>
      <c r="AQ1481" s="574"/>
      <c r="AR1481" s="574"/>
      <c r="AS1481" s="585"/>
      <c r="AT1481" s="590"/>
      <c r="AU1481" s="590"/>
      <c r="AV1481" s="585"/>
      <c r="AW1481" s="585"/>
      <c r="AX1481" s="585"/>
      <c r="AY1481" s="585"/>
      <c r="AZ1481" s="585"/>
      <c r="BA1481" s="585"/>
      <c r="BB1481" s="585"/>
      <c r="BC1481" s="585"/>
      <c r="BD1481" s="585"/>
      <c r="BE1481" s="585"/>
      <c r="BF1481" s="585"/>
      <c r="BG1481" s="585"/>
      <c r="BH1481" s="585"/>
      <c r="BI1481" s="585"/>
      <c r="BJ1481" s="585"/>
      <c r="BK1481" s="585"/>
      <c r="BL1481" s="585"/>
      <c r="BM1481" s="585"/>
      <c r="BN1481" s="585"/>
      <c r="BO1481" s="585"/>
      <c r="BP1481" s="1431" t="s">
        <v>41</v>
      </c>
      <c r="BQ1481" s="1431"/>
      <c r="BR1481" s="585"/>
      <c r="BS1481" s="585"/>
      <c r="BT1481" s="1434">
        <f>BT1479+BT1480</f>
        <v>0</v>
      </c>
      <c r="BU1481" s="1434"/>
      <c r="BV1481" s="1434"/>
      <c r="BW1481" s="1434"/>
      <c r="BX1481" s="1434"/>
      <c r="BY1481" s="1434"/>
      <c r="BZ1481" s="1434"/>
      <c r="CA1481" s="1434"/>
      <c r="CB1481" s="1434"/>
      <c r="CC1481" s="1434"/>
      <c r="CD1481" s="585"/>
      <c r="CE1481" s="585"/>
      <c r="CF1481" s="586"/>
    </row>
    <row r="1482" spans="1:84" s="583" customFormat="1" ht="23.1" customHeight="1">
      <c r="A1482" s="592"/>
      <c r="B1482" s="593" t="s">
        <v>1110</v>
      </c>
      <c r="C1482" s="593"/>
      <c r="D1482" s="593"/>
      <c r="E1482" s="593"/>
      <c r="F1482" s="593"/>
      <c r="G1482" s="593"/>
      <c r="H1482" s="593"/>
      <c r="I1482" s="593"/>
      <c r="J1482" s="593"/>
      <c r="K1482" s="593"/>
      <c r="L1482" s="593"/>
      <c r="M1482" s="593"/>
      <c r="N1482" s="593"/>
      <c r="O1482" s="593"/>
      <c r="P1482" s="593"/>
      <c r="Q1482" s="593"/>
      <c r="R1482" s="593"/>
      <c r="S1482" s="593"/>
      <c r="T1482" s="593"/>
      <c r="U1482" s="593"/>
      <c r="V1482" s="593"/>
      <c r="W1482" s="593"/>
      <c r="X1482" s="593"/>
      <c r="Y1482" s="593"/>
      <c r="Z1482" s="593"/>
      <c r="AA1482" s="593"/>
      <c r="AB1482" s="593"/>
      <c r="AC1482" s="593"/>
      <c r="AD1482" s="593"/>
      <c r="AE1482" s="593"/>
      <c r="AF1482" s="593"/>
      <c r="AG1482" s="593"/>
      <c r="AH1482" s="593"/>
      <c r="AI1482" s="593"/>
      <c r="AJ1482" s="593"/>
      <c r="AK1482" s="593"/>
      <c r="AL1482" s="593"/>
      <c r="AM1482" s="593"/>
      <c r="AN1482" s="593"/>
      <c r="AO1482" s="593"/>
      <c r="AP1482" s="593"/>
      <c r="AQ1482" s="593"/>
      <c r="AR1482" s="593"/>
      <c r="AS1482" s="593"/>
      <c r="AT1482" s="593"/>
      <c r="AU1482" s="593"/>
      <c r="AV1482" s="593"/>
      <c r="AW1482" s="593"/>
      <c r="AX1482" s="593"/>
      <c r="AY1482" s="593"/>
      <c r="AZ1482" s="593"/>
      <c r="BA1482" s="593"/>
      <c r="BB1482" s="593"/>
      <c r="BC1482" s="593"/>
      <c r="BD1482" s="593"/>
      <c r="BE1482" s="593"/>
      <c r="BF1482" s="593"/>
      <c r="BG1482" s="593"/>
      <c r="BH1482" s="593"/>
      <c r="BI1482" s="593"/>
      <c r="BJ1482" s="593"/>
      <c r="BK1482" s="593"/>
      <c r="BL1482" s="593"/>
      <c r="BM1482" s="593"/>
      <c r="BN1482" s="593"/>
      <c r="BO1482" s="593"/>
      <c r="BP1482" s="593"/>
      <c r="BQ1482" s="593"/>
      <c r="BR1482" s="593"/>
      <c r="BS1482" s="593"/>
      <c r="BT1482" s="593"/>
      <c r="BU1482" s="593"/>
      <c r="BV1482" s="593"/>
      <c r="BW1482" s="593"/>
      <c r="BX1482" s="593"/>
      <c r="BY1482" s="593"/>
      <c r="BZ1482" s="593"/>
      <c r="CA1482" s="593"/>
      <c r="CB1482" s="593"/>
      <c r="CC1482" s="593"/>
      <c r="CD1482" s="593"/>
      <c r="CE1482" s="593"/>
      <c r="CF1482" s="595"/>
    </row>
    <row r="1483" spans="1:84" s="583" customFormat="1" ht="23.1" customHeight="1">
      <c r="A1483" s="584"/>
      <c r="B1483" s="585"/>
      <c r="C1483" s="585"/>
      <c r="D1483" s="596"/>
      <c r="E1483" s="585"/>
      <c r="F1483" s="585"/>
      <c r="G1483" s="585"/>
      <c r="H1483" s="585"/>
      <c r="I1483" s="585"/>
      <c r="J1483" s="585"/>
      <c r="K1483" s="585"/>
      <c r="L1483" s="585"/>
      <c r="M1483" s="585"/>
      <c r="N1483" s="585"/>
      <c r="O1483" s="585"/>
      <c r="P1483" s="585"/>
      <c r="Q1483" s="585"/>
      <c r="R1483" s="585"/>
      <c r="S1483" s="585"/>
      <c r="T1483" s="585"/>
      <c r="U1483" s="585"/>
      <c r="V1483" s="585"/>
      <c r="W1483" s="585"/>
      <c r="X1483" s="585"/>
      <c r="Y1483" s="585"/>
      <c r="Z1483" s="585"/>
      <c r="AA1483" s="585"/>
      <c r="AB1483" s="585"/>
      <c r="AC1483" s="585"/>
      <c r="AD1483" s="585"/>
      <c r="AE1483" s="585"/>
      <c r="AF1483" s="585"/>
      <c r="AG1483" s="585"/>
      <c r="AH1483" s="585"/>
      <c r="AI1483" s="585"/>
      <c r="AJ1483" s="585"/>
      <c r="AK1483" s="585"/>
      <c r="AL1483" s="585"/>
      <c r="AM1483" s="585"/>
      <c r="AN1483" s="585"/>
      <c r="AO1483" s="585"/>
      <c r="AP1483" s="585"/>
      <c r="AQ1483" s="585"/>
      <c r="AR1483" s="422"/>
      <c r="AS1483" s="1430"/>
      <c r="AT1483" s="1430"/>
      <c r="AU1483" s="1430"/>
      <c r="AV1483" s="1430"/>
      <c r="AW1483" s="1430"/>
      <c r="AX1483" s="1430"/>
      <c r="AY1483" s="1430"/>
      <c r="AZ1483" s="1430"/>
      <c r="BA1483" s="1430"/>
      <c r="BB1483" s="1430"/>
      <c r="BC1483" s="585"/>
      <c r="BD1483" s="1431"/>
      <c r="BE1483" s="1431"/>
      <c r="BF1483" s="585"/>
      <c r="BG1483" s="1431"/>
      <c r="BH1483" s="1431"/>
      <c r="BI1483" s="1431"/>
      <c r="BJ1483" s="1431"/>
      <c r="BK1483" s="1431"/>
      <c r="BL1483" s="585"/>
      <c r="BM1483" s="585"/>
      <c r="BN1483" s="585"/>
      <c r="BO1483" s="585"/>
      <c r="BP1483" s="1431"/>
      <c r="BQ1483" s="1431"/>
      <c r="BR1483" s="585"/>
      <c r="BS1483" s="585"/>
      <c r="BT1483" s="1432"/>
      <c r="BU1483" s="1432"/>
      <c r="BV1483" s="1432"/>
      <c r="BW1483" s="1432"/>
      <c r="BX1483" s="1432"/>
      <c r="BY1483" s="1432"/>
      <c r="BZ1483" s="1432"/>
      <c r="CA1483" s="1432"/>
      <c r="CB1483" s="1432"/>
      <c r="CC1483" s="1432"/>
      <c r="CD1483" s="585"/>
      <c r="CE1483" s="585"/>
      <c r="CF1483" s="586"/>
    </row>
    <row r="1484" spans="1:84" s="583" customFormat="1" ht="23.1" customHeight="1">
      <c r="A1484" s="584"/>
      <c r="B1484" s="585"/>
      <c r="C1484" s="585"/>
      <c r="D1484" s="591"/>
      <c r="E1484" s="585"/>
      <c r="F1484" s="585"/>
      <c r="G1484" s="585"/>
      <c r="H1484" s="585"/>
      <c r="I1484" s="585"/>
      <c r="J1484" s="585"/>
      <c r="K1484" s="585"/>
      <c r="L1484" s="585"/>
      <c r="M1484" s="585"/>
      <c r="N1484" s="585"/>
      <c r="O1484" s="585"/>
      <c r="P1484" s="585"/>
      <c r="Q1484" s="585"/>
      <c r="R1484" s="585"/>
      <c r="S1484" s="585"/>
      <c r="T1484" s="585"/>
      <c r="U1484" s="585"/>
      <c r="V1484" s="585"/>
      <c r="W1484" s="585"/>
      <c r="X1484" s="585"/>
      <c r="Y1484" s="585"/>
      <c r="Z1484" s="585"/>
      <c r="AA1484" s="585"/>
      <c r="AB1484" s="585"/>
      <c r="AC1484" s="585"/>
      <c r="AD1484" s="585"/>
      <c r="AE1484" s="585"/>
      <c r="AF1484" s="585"/>
      <c r="AG1484" s="585"/>
      <c r="AH1484" s="585"/>
      <c r="AI1484" s="585"/>
      <c r="AJ1484" s="585"/>
      <c r="AK1484" s="585"/>
      <c r="AL1484" s="585"/>
      <c r="AM1484" s="585"/>
      <c r="AN1484" s="585"/>
      <c r="AO1484" s="585"/>
      <c r="AP1484" s="585"/>
      <c r="AQ1484" s="585"/>
      <c r="AR1484" s="422"/>
      <c r="AS1484" s="1430"/>
      <c r="AT1484" s="1430"/>
      <c r="AU1484" s="1430"/>
      <c r="AV1484" s="1430"/>
      <c r="AW1484" s="1430"/>
      <c r="AX1484" s="1430"/>
      <c r="AY1484" s="1430"/>
      <c r="AZ1484" s="1430"/>
      <c r="BA1484" s="1430"/>
      <c r="BB1484" s="1430"/>
      <c r="BC1484" s="585"/>
      <c r="BD1484" s="1431"/>
      <c r="BE1484" s="1431"/>
      <c r="BF1484" s="585"/>
      <c r="BG1484" s="1431"/>
      <c r="BH1484" s="1431"/>
      <c r="BI1484" s="1431"/>
      <c r="BJ1484" s="1431"/>
      <c r="BK1484" s="1431"/>
      <c r="BL1484" s="585"/>
      <c r="BM1484" s="585"/>
      <c r="BN1484" s="585"/>
      <c r="BO1484" s="585"/>
      <c r="BP1484" s="1431"/>
      <c r="BQ1484" s="1431"/>
      <c r="BR1484" s="585"/>
      <c r="BS1484" s="585"/>
      <c r="BT1484" s="1432"/>
      <c r="BU1484" s="1432"/>
      <c r="BV1484" s="1432"/>
      <c r="BW1484" s="1432"/>
      <c r="BX1484" s="1432"/>
      <c r="BY1484" s="1432"/>
      <c r="BZ1484" s="1432"/>
      <c r="CA1484" s="1432"/>
      <c r="CB1484" s="1432"/>
      <c r="CC1484" s="1432"/>
      <c r="CD1484" s="585"/>
      <c r="CE1484" s="585"/>
      <c r="CF1484" s="586"/>
    </row>
    <row r="1485" spans="1:84" s="583" customFormat="1" ht="23.1" customHeight="1" thickBot="1">
      <c r="A1485" s="584"/>
      <c r="B1485" s="585"/>
      <c r="C1485" s="585"/>
      <c r="D1485" s="585"/>
      <c r="E1485" s="585"/>
      <c r="F1485" s="585"/>
      <c r="G1485" s="585"/>
      <c r="H1485" s="585"/>
      <c r="I1485" s="585"/>
      <c r="J1485" s="585"/>
      <c r="K1485" s="585"/>
      <c r="L1485" s="585"/>
      <c r="M1485" s="585"/>
      <c r="N1485" s="585"/>
      <c r="O1485" s="585"/>
      <c r="P1485" s="585"/>
      <c r="Q1485" s="585"/>
      <c r="R1485" s="585"/>
      <c r="S1485" s="585"/>
      <c r="T1485" s="585"/>
      <c r="U1485" s="585"/>
      <c r="V1485" s="585"/>
      <c r="W1485" s="585"/>
      <c r="X1485" s="585"/>
      <c r="Y1485" s="585"/>
      <c r="Z1485" s="585"/>
      <c r="AA1485" s="585"/>
      <c r="AB1485" s="585"/>
      <c r="AC1485" s="585"/>
      <c r="AD1485" s="585"/>
      <c r="AE1485" s="585"/>
      <c r="AF1485" s="585"/>
      <c r="AG1485" s="585"/>
      <c r="AH1485" s="585"/>
      <c r="AI1485" s="585"/>
      <c r="AJ1485" s="585"/>
      <c r="AK1485" s="585"/>
      <c r="AL1485" s="585"/>
      <c r="AM1485" s="585"/>
      <c r="AN1485" s="585"/>
      <c r="AO1485" s="585"/>
      <c r="AP1485" s="585"/>
      <c r="AQ1485" s="585"/>
      <c r="AR1485" s="585"/>
      <c r="AS1485" s="585"/>
      <c r="AT1485" s="585"/>
      <c r="AU1485" s="585"/>
      <c r="AV1485" s="585"/>
      <c r="AW1485" s="585"/>
      <c r="AX1485" s="585"/>
      <c r="AY1485" s="585"/>
      <c r="AZ1485" s="585"/>
      <c r="BA1485" s="585"/>
      <c r="BB1485" s="585"/>
      <c r="BC1485" s="585"/>
      <c r="BD1485" s="585"/>
      <c r="BE1485" s="585"/>
      <c r="BF1485" s="585"/>
      <c r="BG1485" s="585"/>
      <c r="BH1485" s="585"/>
      <c r="BI1485" s="585"/>
      <c r="BJ1485" s="585"/>
      <c r="BK1485" s="585"/>
      <c r="BL1485" s="585"/>
      <c r="BM1485" s="585"/>
      <c r="BN1485" s="585"/>
      <c r="BO1485" s="585"/>
      <c r="BP1485" s="1431" t="s">
        <v>41</v>
      </c>
      <c r="BQ1485" s="1431"/>
      <c r="BR1485" s="585"/>
      <c r="BS1485" s="585"/>
      <c r="BT1485" s="1433">
        <f>BT1483+BT1484</f>
        <v>0</v>
      </c>
      <c r="BU1485" s="1433"/>
      <c r="BV1485" s="1433"/>
      <c r="BW1485" s="1433"/>
      <c r="BX1485" s="1433"/>
      <c r="BY1485" s="1433"/>
      <c r="BZ1485" s="1433"/>
      <c r="CA1485" s="1433"/>
      <c r="CB1485" s="1433"/>
      <c r="CC1485" s="1433"/>
      <c r="CD1485" s="585"/>
      <c r="CE1485" s="585"/>
      <c r="CF1485" s="586"/>
    </row>
    <row r="1486" spans="1:84" s="583" customFormat="1" ht="23.1" customHeight="1" thickBot="1">
      <c r="A1486" s="597"/>
      <c r="B1486" s="598" t="s">
        <v>1113</v>
      </c>
      <c r="C1486" s="598"/>
      <c r="D1486" s="598"/>
      <c r="E1486" s="598"/>
      <c r="F1486" s="598"/>
      <c r="G1486" s="598"/>
      <c r="H1486" s="598"/>
      <c r="I1486" s="598"/>
      <c r="J1486" s="598"/>
      <c r="K1486" s="598"/>
      <c r="L1486" s="598"/>
      <c r="M1486" s="598"/>
      <c r="N1486" s="598"/>
      <c r="O1486" s="598"/>
      <c r="P1486" s="598"/>
      <c r="Q1486" s="598"/>
      <c r="R1486" s="598"/>
      <c r="S1486" s="598"/>
      <c r="T1486" s="598"/>
      <c r="U1486" s="598"/>
      <c r="V1486" s="598"/>
      <c r="W1486" s="598"/>
      <c r="X1486" s="598"/>
      <c r="Y1486" s="598"/>
      <c r="Z1486" s="598"/>
      <c r="AA1486" s="598"/>
      <c r="AB1486" s="598"/>
      <c r="AC1486" s="598"/>
      <c r="AD1486" s="598"/>
      <c r="AE1486" s="598"/>
      <c r="AF1486" s="598"/>
      <c r="AG1486" s="598"/>
      <c r="AH1486" s="598"/>
      <c r="AI1486" s="598"/>
      <c r="AJ1486" s="598"/>
      <c r="AK1486" s="598"/>
      <c r="AL1486" s="598"/>
      <c r="AM1486" s="598"/>
      <c r="AN1486" s="598"/>
      <c r="AO1486" s="598"/>
      <c r="AP1486" s="598"/>
      <c r="AQ1486" s="598"/>
      <c r="AR1486" s="598"/>
      <c r="AS1486" s="598"/>
      <c r="AT1486" s="598"/>
      <c r="AU1486" s="598"/>
      <c r="AV1486" s="598"/>
      <c r="AW1486" s="598"/>
      <c r="AX1486" s="598"/>
      <c r="AY1486" s="598"/>
      <c r="AZ1486" s="598"/>
      <c r="BA1486" s="598"/>
      <c r="BB1486" s="598"/>
      <c r="BC1486" s="598"/>
      <c r="BD1486" s="598"/>
      <c r="BE1486" s="598"/>
      <c r="BF1486" s="598"/>
      <c r="BG1486" s="598"/>
      <c r="BH1486" s="598"/>
      <c r="BI1486" s="598"/>
      <c r="BJ1486" s="598"/>
      <c r="BK1486" s="598"/>
      <c r="BL1486" s="598"/>
      <c r="BM1486" s="598"/>
      <c r="BN1486" s="598"/>
      <c r="BO1486" s="598"/>
      <c r="BP1486" s="598"/>
      <c r="BQ1486" s="598"/>
      <c r="BR1486" s="598"/>
      <c r="BS1486" s="598"/>
      <c r="BT1486" s="1429">
        <f>BT1477+BT1481+BT1485</f>
        <v>1232</v>
      </c>
      <c r="BU1486" s="1429"/>
      <c r="BV1486" s="1429"/>
      <c r="BW1486" s="1429"/>
      <c r="BX1486" s="1429"/>
      <c r="BY1486" s="1429"/>
      <c r="BZ1486" s="1429"/>
      <c r="CA1486" s="1429"/>
      <c r="CB1486" s="1429"/>
      <c r="CC1486" s="1429"/>
      <c r="CD1486" s="598"/>
      <c r="CE1486" s="598"/>
      <c r="CF1486" s="599"/>
    </row>
    <row r="1487" spans="1:84" s="583" customFormat="1" ht="9.9499999999999993" customHeight="1">
      <c r="A1487" s="574"/>
      <c r="B1487" s="574"/>
      <c r="C1487" s="574"/>
      <c r="D1487" s="574"/>
      <c r="E1487" s="574"/>
      <c r="F1487" s="574"/>
      <c r="G1487" s="574"/>
      <c r="H1487" s="574"/>
      <c r="I1487" s="574"/>
      <c r="J1487" s="574"/>
      <c r="K1487" s="574"/>
      <c r="L1487" s="574"/>
      <c r="M1487" s="574"/>
      <c r="N1487" s="574"/>
      <c r="O1487" s="574"/>
      <c r="P1487" s="574"/>
      <c r="Q1487" s="574"/>
      <c r="R1487" s="574"/>
      <c r="S1487" s="574"/>
      <c r="T1487" s="574"/>
      <c r="U1487" s="574"/>
      <c r="V1487" s="574"/>
      <c r="W1487" s="574"/>
      <c r="X1487" s="574"/>
      <c r="Y1487" s="574"/>
      <c r="Z1487" s="574"/>
      <c r="AA1487" s="574"/>
      <c r="AB1487" s="574"/>
      <c r="AC1487" s="574"/>
      <c r="AD1487" s="574"/>
      <c r="AE1487" s="574"/>
      <c r="AF1487" s="574"/>
      <c r="AG1487" s="574"/>
      <c r="AH1487" s="574"/>
      <c r="AI1487" s="574"/>
      <c r="AJ1487" s="574"/>
      <c r="AK1487" s="574"/>
      <c r="AL1487" s="574"/>
      <c r="AM1487" s="574"/>
      <c r="AN1487" s="574"/>
      <c r="AO1487" s="574"/>
      <c r="AP1487" s="574"/>
      <c r="AQ1487" s="574"/>
      <c r="AR1487" s="574"/>
      <c r="AS1487" s="574"/>
      <c r="AT1487" s="574"/>
      <c r="AU1487" s="574"/>
      <c r="AV1487" s="574"/>
      <c r="AW1487" s="574"/>
      <c r="AX1487" s="574"/>
      <c r="AY1487" s="574"/>
      <c r="AZ1487" s="574"/>
      <c r="BA1487" s="574"/>
      <c r="BB1487" s="574"/>
      <c r="BC1487" s="574"/>
      <c r="BD1487" s="574"/>
      <c r="BE1487" s="574"/>
      <c r="BF1487" s="574"/>
      <c r="BG1487" s="574"/>
      <c r="BH1487" s="574"/>
      <c r="BI1487" s="574"/>
      <c r="BJ1487" s="574"/>
      <c r="BK1487" s="574"/>
      <c r="BL1487" s="574"/>
      <c r="BM1487" s="574"/>
      <c r="BN1487" s="574"/>
      <c r="BO1487" s="574"/>
      <c r="BP1487" s="574"/>
      <c r="BQ1487" s="574"/>
      <c r="BR1487" s="574"/>
      <c r="BS1487" s="574"/>
      <c r="BT1487" s="574"/>
      <c r="BU1487" s="574"/>
      <c r="BV1487" s="574"/>
      <c r="BW1487" s="574"/>
      <c r="BX1487" s="574"/>
      <c r="BY1487" s="574"/>
      <c r="BZ1487" s="574"/>
      <c r="CA1487" s="574"/>
      <c r="CB1487" s="574"/>
      <c r="CC1487" s="574"/>
      <c r="CD1487" s="574"/>
      <c r="CE1487" s="574"/>
      <c r="CF1487" s="574"/>
    </row>
    <row r="1488" spans="1:84" s="583" customFormat="1" ht="23.1" customHeight="1" thickBot="1">
      <c r="A1488" s="1446" t="s">
        <v>1095</v>
      </c>
      <c r="B1488" s="1446"/>
      <c r="C1488" s="1446"/>
      <c r="D1488" s="1446"/>
      <c r="E1488" s="1446"/>
      <c r="F1488" s="1446"/>
      <c r="G1488" s="1447">
        <f>G1473+1</f>
        <v>100</v>
      </c>
      <c r="H1488" s="1447"/>
      <c r="I1488" s="1447"/>
      <c r="J1488" s="1448" t="s">
        <v>1096</v>
      </c>
      <c r="K1488" s="1448"/>
      <c r="L1488" s="574"/>
      <c r="M1488" s="574"/>
      <c r="N1488" s="574"/>
      <c r="O1488" s="574"/>
      <c r="P1488" s="574"/>
      <c r="Q1488" s="574"/>
      <c r="R1488" s="574"/>
      <c r="S1488" s="574"/>
      <c r="T1488" s="574"/>
      <c r="U1488" s="574"/>
      <c r="V1488" s="574"/>
      <c r="W1488" s="574"/>
      <c r="X1488" s="574"/>
      <c r="Y1488" s="574"/>
      <c r="Z1488" s="574"/>
      <c r="AA1488" s="574"/>
      <c r="AB1488" s="574"/>
      <c r="AC1488" s="574"/>
      <c r="AD1488" s="574"/>
      <c r="AE1488" s="574"/>
      <c r="AF1488" s="574"/>
      <c r="AG1488" s="574"/>
      <c r="AH1488" s="574"/>
      <c r="AI1488" s="574"/>
      <c r="AJ1488" s="574"/>
      <c r="AK1488" s="574"/>
      <c r="AL1488" s="574"/>
      <c r="AM1488" s="574"/>
      <c r="AN1488" s="574"/>
      <c r="AO1488" s="574"/>
      <c r="AP1488" s="574"/>
      <c r="AQ1488" s="574"/>
      <c r="AR1488" s="574"/>
      <c r="AS1488" s="574"/>
      <c r="AT1488" s="574"/>
      <c r="AU1488" s="574"/>
      <c r="AV1488" s="574"/>
      <c r="AW1488" s="574"/>
      <c r="AX1488" s="574"/>
      <c r="AY1488" s="574"/>
      <c r="AZ1488" s="574"/>
      <c r="BA1488" s="574"/>
      <c r="BB1488" s="574"/>
      <c r="BC1488" s="574"/>
      <c r="BD1488" s="574"/>
      <c r="BE1488" s="574"/>
      <c r="BF1488" s="574"/>
      <c r="BG1488" s="574"/>
      <c r="BH1488" s="574"/>
      <c r="BI1488" s="574"/>
      <c r="BJ1488" s="574"/>
      <c r="BK1488" s="574"/>
      <c r="BL1488" s="574"/>
      <c r="BM1488" s="574"/>
      <c r="BN1488" s="574"/>
      <c r="BO1488" s="574"/>
      <c r="BP1488" s="574"/>
      <c r="BQ1488" s="574"/>
      <c r="BR1488" s="574"/>
      <c r="BS1488" s="574"/>
      <c r="BT1488" s="574"/>
      <c r="BU1488" s="574"/>
      <c r="BV1488" s="574"/>
      <c r="BW1488" s="574"/>
      <c r="BX1488" s="574"/>
      <c r="BY1488" s="574"/>
      <c r="BZ1488" s="574"/>
      <c r="CA1488" s="574"/>
      <c r="CB1488" s="574"/>
      <c r="CC1488" s="574"/>
      <c r="CD1488" s="574"/>
      <c r="CE1488" s="574"/>
      <c r="CF1488" s="574"/>
    </row>
    <row r="1489" spans="1:84" s="603" customFormat="1" ht="23.1" customHeight="1" thickBot="1">
      <c r="A1489" s="1438" t="s">
        <v>1097</v>
      </c>
      <c r="B1489" s="1439"/>
      <c r="C1489" s="1439"/>
      <c r="D1489" s="1439"/>
      <c r="E1489" s="1439"/>
      <c r="F1489" s="1439"/>
      <c r="G1489" s="1439"/>
      <c r="H1489" s="1439"/>
      <c r="I1489" s="601" t="s">
        <v>1283</v>
      </c>
      <c r="J1489" s="601"/>
      <c r="K1489" s="601"/>
      <c r="L1489" s="601"/>
      <c r="M1489" s="601"/>
      <c r="N1489" s="601"/>
      <c r="O1489" s="601"/>
      <c r="P1489" s="601"/>
      <c r="Q1489" s="601"/>
      <c r="R1489" s="601"/>
      <c r="S1489" s="601"/>
      <c r="T1489" s="601"/>
      <c r="U1489" s="601"/>
      <c r="V1489" s="601"/>
      <c r="W1489" s="601"/>
      <c r="X1489" s="601"/>
      <c r="Y1489" s="601"/>
      <c r="Z1489" s="601"/>
      <c r="AA1489" s="601"/>
      <c r="AB1489" s="601"/>
      <c r="AC1489" s="601"/>
      <c r="AD1489" s="601"/>
      <c r="AE1489" s="601"/>
      <c r="AF1489" s="601"/>
      <c r="AG1489" s="601"/>
      <c r="AH1489" s="601"/>
      <c r="AI1489" s="601"/>
      <c r="AJ1489" s="1439" t="s">
        <v>1099</v>
      </c>
      <c r="AK1489" s="1439"/>
      <c r="AL1489" s="1439"/>
      <c r="AM1489" s="1439"/>
      <c r="AN1489" s="1439"/>
      <c r="AO1489" s="1439"/>
      <c r="AP1489" s="1439"/>
      <c r="AQ1489" s="601" t="s">
        <v>1284</v>
      </c>
      <c r="AR1489" s="601"/>
      <c r="AS1489" s="601"/>
      <c r="AT1489" s="601"/>
      <c r="AU1489" s="601"/>
      <c r="AV1489" s="601"/>
      <c r="AW1489" s="601"/>
      <c r="AX1489" s="601"/>
      <c r="AY1489" s="601"/>
      <c r="AZ1489" s="601"/>
      <c r="BA1489" s="601"/>
      <c r="BB1489" s="601"/>
      <c r="BC1489" s="601"/>
      <c r="BD1489" s="601"/>
      <c r="BE1489" s="601"/>
      <c r="BF1489" s="601"/>
      <c r="BG1489" s="601"/>
      <c r="BH1489" s="601"/>
      <c r="BI1489" s="601"/>
      <c r="BJ1489" s="601"/>
      <c r="BK1489" s="601"/>
      <c r="BL1489" s="601"/>
      <c r="BM1489" s="601"/>
      <c r="BN1489" s="601"/>
      <c r="BO1489" s="601"/>
      <c r="BP1489" s="601"/>
      <c r="BQ1489" s="601"/>
      <c r="BR1489" s="601"/>
      <c r="BS1489" s="601"/>
      <c r="BT1489" s="601" t="s">
        <v>1285</v>
      </c>
      <c r="BU1489" s="601"/>
      <c r="BV1489" s="601"/>
      <c r="BW1489" s="601"/>
      <c r="BX1489" s="601"/>
      <c r="BY1489" s="601"/>
      <c r="BZ1489" s="601"/>
      <c r="CA1489" s="601"/>
      <c r="CB1489" s="601"/>
      <c r="CC1489" s="601"/>
      <c r="CD1489" s="601"/>
      <c r="CE1489" s="601"/>
      <c r="CF1489" s="602"/>
    </row>
    <row r="1490" spans="1:84" s="583" customFormat="1" ht="23.1" customHeight="1">
      <c r="A1490" s="584"/>
      <c r="B1490" s="585" t="s">
        <v>1102</v>
      </c>
      <c r="C1490" s="585"/>
      <c r="D1490" s="585"/>
      <c r="E1490" s="585"/>
      <c r="F1490" s="585"/>
      <c r="G1490" s="585"/>
      <c r="H1490" s="585"/>
      <c r="I1490" s="585"/>
      <c r="J1490" s="585"/>
      <c r="K1490" s="585"/>
      <c r="L1490" s="585"/>
      <c r="M1490" s="585"/>
      <c r="N1490" s="585"/>
      <c r="O1490" s="585"/>
      <c r="P1490" s="585"/>
      <c r="Q1490" s="585"/>
      <c r="R1490" s="585"/>
      <c r="S1490" s="585"/>
      <c r="T1490" s="585"/>
      <c r="U1490" s="585"/>
      <c r="V1490" s="585"/>
      <c r="W1490" s="585"/>
      <c r="X1490" s="585"/>
      <c r="Y1490" s="585"/>
      <c r="Z1490" s="585"/>
      <c r="AA1490" s="585"/>
      <c r="AB1490" s="585"/>
      <c r="AC1490" s="585"/>
      <c r="AD1490" s="585"/>
      <c r="AE1490" s="585"/>
      <c r="AF1490" s="585"/>
      <c r="AG1490" s="585"/>
      <c r="AH1490" s="585"/>
      <c r="AI1490" s="585"/>
      <c r="AJ1490" s="585"/>
      <c r="AK1490" s="585"/>
      <c r="AL1490" s="585"/>
      <c r="AM1490" s="585"/>
      <c r="AN1490" s="585"/>
      <c r="AO1490" s="585"/>
      <c r="AP1490" s="585"/>
      <c r="AQ1490" s="585"/>
      <c r="AR1490" s="585"/>
      <c r="AS1490" s="585"/>
      <c r="AT1490" s="585"/>
      <c r="AU1490" s="585"/>
      <c r="AV1490" s="585"/>
      <c r="AW1490" s="585"/>
      <c r="AX1490" s="585"/>
      <c r="AY1490" s="585"/>
      <c r="AZ1490" s="585"/>
      <c r="BA1490" s="585"/>
      <c r="BB1490" s="585"/>
      <c r="BC1490" s="585"/>
      <c r="BD1490" s="585"/>
      <c r="BE1490" s="585"/>
      <c r="BF1490" s="585"/>
      <c r="BG1490" s="585"/>
      <c r="BH1490" s="585"/>
      <c r="BI1490" s="585"/>
      <c r="BJ1490" s="585"/>
      <c r="BK1490" s="585"/>
      <c r="BL1490" s="585"/>
      <c r="BM1490" s="585"/>
      <c r="BN1490" s="585"/>
      <c r="BO1490" s="585"/>
      <c r="BP1490" s="585"/>
      <c r="BQ1490" s="585"/>
      <c r="BR1490" s="585"/>
      <c r="BS1490" s="585"/>
      <c r="BT1490" s="585"/>
      <c r="BU1490" s="585"/>
      <c r="BV1490" s="585"/>
      <c r="BW1490" s="585"/>
      <c r="BX1490" s="585"/>
      <c r="BY1490" s="585"/>
      <c r="BZ1490" s="585"/>
      <c r="CA1490" s="585"/>
      <c r="CB1490" s="585"/>
      <c r="CC1490" s="585"/>
      <c r="CD1490" s="585"/>
      <c r="CE1490" s="585"/>
      <c r="CF1490" s="586"/>
    </row>
    <row r="1491" spans="1:84" s="583" customFormat="1" ht="23.1" customHeight="1">
      <c r="A1491" s="587"/>
      <c r="B1491" s="574"/>
      <c r="C1491" s="574"/>
      <c r="D1491" s="405"/>
      <c r="E1491" s="574"/>
      <c r="F1491" s="422"/>
      <c r="G1491" s="422"/>
      <c r="H1491" s="422"/>
      <c r="I1491" s="422"/>
      <c r="J1491" s="422"/>
      <c r="K1491" s="422"/>
      <c r="L1491" s="422"/>
      <c r="M1491" s="422"/>
      <c r="N1491" s="574"/>
      <c r="O1491" s="574"/>
      <c r="P1491" s="574"/>
      <c r="Q1491" s="574"/>
      <c r="R1491" s="574"/>
      <c r="S1491" s="588"/>
      <c r="T1491" s="588"/>
      <c r="U1491" s="588"/>
      <c r="V1491" s="588"/>
      <c r="W1491" s="588"/>
      <c r="X1491" s="588"/>
      <c r="Y1491" s="588"/>
      <c r="Z1491" s="588"/>
      <c r="AA1491" s="574"/>
      <c r="AB1491" s="588"/>
      <c r="AC1491" s="585"/>
      <c r="AD1491" s="585"/>
      <c r="AE1491" s="600"/>
      <c r="AF1491" s="600"/>
      <c r="AG1491" s="600"/>
      <c r="AH1491" s="600"/>
      <c r="AI1491" s="600"/>
      <c r="AJ1491" s="600"/>
      <c r="AK1491" s="600"/>
      <c r="AL1491" s="600"/>
      <c r="AM1491" s="585"/>
      <c r="AN1491" s="585"/>
      <c r="AO1491" s="574"/>
      <c r="AP1491" s="430"/>
      <c r="AQ1491" s="430"/>
      <c r="AR1491" s="430"/>
      <c r="AS1491" s="430"/>
      <c r="AT1491" s="430"/>
      <c r="AU1491" s="430"/>
      <c r="AV1491" s="430"/>
      <c r="AW1491" s="430"/>
      <c r="AX1491" s="430"/>
      <c r="AY1491" s="430"/>
      <c r="AZ1491" s="430"/>
      <c r="BA1491" s="430"/>
      <c r="BB1491" s="430"/>
      <c r="BC1491" s="430"/>
      <c r="BD1491" s="574"/>
      <c r="BE1491" s="574"/>
      <c r="BF1491" s="574"/>
      <c r="BG1491" s="574"/>
      <c r="BH1491" s="574"/>
      <c r="BI1491" s="574"/>
      <c r="BJ1491" s="574"/>
      <c r="BK1491" s="574"/>
      <c r="BL1491" s="574"/>
      <c r="BM1491" s="574"/>
      <c r="BN1491" s="574"/>
      <c r="BO1491" s="574"/>
      <c r="BP1491" s="574"/>
      <c r="BQ1491" s="574"/>
      <c r="BR1491" s="574"/>
      <c r="BS1491" s="574"/>
      <c r="BT1491" s="574"/>
      <c r="BU1491" s="574"/>
      <c r="BV1491" s="574"/>
      <c r="BW1491" s="574"/>
      <c r="BX1491" s="574"/>
      <c r="BY1491" s="574"/>
      <c r="BZ1491" s="574"/>
      <c r="CA1491" s="574"/>
      <c r="CB1491" s="574"/>
      <c r="CC1491" s="574"/>
      <c r="CD1491" s="574"/>
      <c r="CE1491" s="574"/>
      <c r="CF1491" s="589"/>
    </row>
    <row r="1492" spans="1:84" s="583" customFormat="1" ht="23.1" customHeight="1">
      <c r="A1492" s="584"/>
      <c r="B1492" s="585"/>
      <c r="C1492" s="585"/>
      <c r="D1492" s="585"/>
      <c r="E1492" s="585"/>
      <c r="F1492" s="585"/>
      <c r="G1492" s="585"/>
      <c r="H1492" s="585"/>
      <c r="I1492" s="585"/>
      <c r="J1492" s="585"/>
      <c r="K1492" s="585"/>
      <c r="L1492" s="585"/>
      <c r="M1492" s="585"/>
      <c r="N1492" s="585"/>
      <c r="O1492" s="585"/>
      <c r="P1492" s="585"/>
      <c r="Q1492" s="585"/>
      <c r="R1492" s="585"/>
      <c r="S1492" s="585"/>
      <c r="T1492" s="585"/>
      <c r="U1492" s="585"/>
      <c r="V1492" s="590"/>
      <c r="W1492" s="590"/>
      <c r="X1492" s="590"/>
      <c r="Y1492" s="590"/>
      <c r="Z1492" s="590"/>
      <c r="AA1492" s="590"/>
      <c r="AB1492" s="590"/>
      <c r="AC1492" s="590"/>
      <c r="AD1492" s="574"/>
      <c r="AE1492" s="1440">
        <v>259000</v>
      </c>
      <c r="AF1492" s="1440"/>
      <c r="AG1492" s="1440"/>
      <c r="AH1492" s="1440"/>
      <c r="AI1492" s="1440"/>
      <c r="AJ1492" s="1440"/>
      <c r="AK1492" s="1440"/>
      <c r="AL1492" s="1440"/>
      <c r="AM1492" s="1440"/>
      <c r="AN1492" s="1440"/>
      <c r="AO1492" s="1440"/>
      <c r="AP1492" s="1440"/>
      <c r="AQ1492" s="1440"/>
      <c r="AR1492" s="1440"/>
      <c r="AS1492" s="1440"/>
      <c r="AT1492" s="1431" t="s">
        <v>446</v>
      </c>
      <c r="AU1492" s="1431"/>
      <c r="AV1492" s="1441" t="s">
        <v>1103</v>
      </c>
      <c r="AW1492" s="1441"/>
      <c r="AX1492" s="1442">
        <v>2754</v>
      </c>
      <c r="AY1492" s="1442"/>
      <c r="AZ1492" s="1442"/>
      <c r="BA1492" s="1442"/>
      <c r="BB1492" s="1442"/>
      <c r="BC1492" s="1442"/>
      <c r="BD1492" s="585"/>
      <c r="BE1492" s="1431" t="s">
        <v>446</v>
      </c>
      <c r="BF1492" s="1431"/>
      <c r="BG1492" s="585"/>
      <c r="BH1492" s="591" t="s">
        <v>1104</v>
      </c>
      <c r="BI1492" s="585"/>
      <c r="BJ1492" s="585"/>
      <c r="BK1492" s="585"/>
      <c r="BL1492" s="1431" t="s">
        <v>1105</v>
      </c>
      <c r="BM1492" s="1431"/>
      <c r="BN1492" s="1431"/>
      <c r="BO1492" s="585"/>
      <c r="BP1492" s="1431" t="s">
        <v>41</v>
      </c>
      <c r="BQ1492" s="1431"/>
      <c r="BR1492" s="585"/>
      <c r="BS1492" s="585"/>
      <c r="BT1492" s="1437">
        <f>INT(AE1492*AX1492*10^-7)</f>
        <v>71</v>
      </c>
      <c r="BU1492" s="1437"/>
      <c r="BV1492" s="1437"/>
      <c r="BW1492" s="1437"/>
      <c r="BX1492" s="1437"/>
      <c r="BY1492" s="1437"/>
      <c r="BZ1492" s="1437"/>
      <c r="CA1492" s="1437"/>
      <c r="CB1492" s="1437"/>
      <c r="CC1492" s="1437"/>
      <c r="CD1492" s="585"/>
      <c r="CE1492" s="585"/>
      <c r="CF1492" s="586"/>
    </row>
    <row r="1493" spans="1:84" s="583" customFormat="1" ht="23.1" customHeight="1">
      <c r="A1493" s="592"/>
      <c r="B1493" s="593" t="s">
        <v>1106</v>
      </c>
      <c r="C1493" s="593"/>
      <c r="D1493" s="593"/>
      <c r="E1493" s="593"/>
      <c r="F1493" s="593"/>
      <c r="G1493" s="593"/>
      <c r="H1493" s="593"/>
      <c r="I1493" s="593"/>
      <c r="J1493" s="593"/>
      <c r="K1493" s="593"/>
      <c r="L1493" s="593"/>
      <c r="M1493" s="593"/>
      <c r="N1493" s="593"/>
      <c r="O1493" s="593"/>
      <c r="P1493" s="593"/>
      <c r="Q1493" s="593"/>
      <c r="R1493" s="593"/>
      <c r="S1493" s="593"/>
      <c r="T1493" s="593"/>
      <c r="U1493" s="593"/>
      <c r="V1493" s="593"/>
      <c r="W1493" s="593"/>
      <c r="X1493" s="593"/>
      <c r="Y1493" s="593"/>
      <c r="Z1493" s="593"/>
      <c r="AA1493" s="593"/>
      <c r="AB1493" s="593"/>
      <c r="AC1493" s="593"/>
      <c r="AD1493" s="593"/>
      <c r="AE1493" s="593"/>
      <c r="AF1493" s="593"/>
      <c r="AG1493" s="593"/>
      <c r="AH1493" s="593"/>
      <c r="AI1493" s="593"/>
      <c r="AJ1493" s="593"/>
      <c r="AK1493" s="593"/>
      <c r="AL1493" s="593"/>
      <c r="AM1493" s="593"/>
      <c r="AN1493" s="593"/>
      <c r="AO1493" s="593"/>
      <c r="AP1493" s="593"/>
      <c r="AQ1493" s="593"/>
      <c r="AR1493" s="593"/>
      <c r="AS1493" s="593"/>
      <c r="AT1493" s="593"/>
      <c r="AU1493" s="593"/>
      <c r="AV1493" s="593"/>
      <c r="AW1493" s="593"/>
      <c r="AX1493" s="593"/>
      <c r="AY1493" s="593"/>
      <c r="AZ1493" s="593"/>
      <c r="BA1493" s="593"/>
      <c r="BB1493" s="593"/>
      <c r="BC1493" s="593"/>
      <c r="BD1493" s="593"/>
      <c r="BE1493" s="593"/>
      <c r="BF1493" s="593"/>
      <c r="BG1493" s="593"/>
      <c r="BH1493" s="593"/>
      <c r="BI1493" s="593"/>
      <c r="BJ1493" s="593"/>
      <c r="BK1493" s="593"/>
      <c r="BL1493" s="593"/>
      <c r="BM1493" s="593"/>
      <c r="BN1493" s="593"/>
      <c r="BO1493" s="593"/>
      <c r="BP1493" s="593"/>
      <c r="BQ1493" s="593"/>
      <c r="BR1493" s="593"/>
      <c r="BS1493" s="593"/>
      <c r="BT1493" s="594"/>
      <c r="BU1493" s="594"/>
      <c r="BV1493" s="594"/>
      <c r="BW1493" s="594"/>
      <c r="BX1493" s="594"/>
      <c r="BY1493" s="594"/>
      <c r="BZ1493" s="594"/>
      <c r="CA1493" s="594"/>
      <c r="CB1493" s="594"/>
      <c r="CC1493" s="594"/>
      <c r="CD1493" s="593"/>
      <c r="CE1493" s="593"/>
      <c r="CF1493" s="595"/>
    </row>
    <row r="1494" spans="1:84" s="583" customFormat="1" ht="23.1" customHeight="1">
      <c r="A1494" s="584"/>
      <c r="B1494" s="585"/>
      <c r="C1494" s="585"/>
      <c r="D1494" s="596"/>
      <c r="E1494" s="585"/>
      <c r="F1494" s="585"/>
      <c r="G1494" s="585"/>
      <c r="H1494" s="585"/>
      <c r="I1494" s="585"/>
      <c r="J1494" s="585"/>
      <c r="K1494" s="585"/>
      <c r="L1494" s="585"/>
      <c r="M1494" s="585"/>
      <c r="N1494" s="585"/>
      <c r="O1494" s="585"/>
      <c r="P1494" s="585"/>
      <c r="Q1494" s="585"/>
      <c r="R1494" s="585"/>
      <c r="S1494" s="585"/>
      <c r="T1494" s="574"/>
      <c r="U1494" s="574"/>
      <c r="V1494" s="1430"/>
      <c r="W1494" s="1430"/>
      <c r="X1494" s="1430"/>
      <c r="Y1494" s="1430"/>
      <c r="Z1494" s="1430"/>
      <c r="AA1494" s="1430"/>
      <c r="AB1494" s="1430"/>
      <c r="AC1494" s="1430"/>
      <c r="AD1494" s="1430"/>
      <c r="AE1494" s="1430"/>
      <c r="AF1494" s="1431"/>
      <c r="AG1494" s="1431"/>
      <c r="AH1494" s="574"/>
      <c r="AI1494" s="1436"/>
      <c r="AJ1494" s="1436"/>
      <c r="AK1494" s="1436"/>
      <c r="AL1494" s="1436"/>
      <c r="AM1494" s="585"/>
      <c r="AN1494" s="1431"/>
      <c r="AO1494" s="1431"/>
      <c r="AP1494" s="585"/>
      <c r="AQ1494" s="1436"/>
      <c r="AR1494" s="1436"/>
      <c r="AS1494" s="1436"/>
      <c r="AT1494" s="1436"/>
      <c r="AU1494" s="1436"/>
      <c r="AV1494" s="422"/>
      <c r="AW1494" s="1431"/>
      <c r="AX1494" s="1431"/>
      <c r="AY1494" s="440"/>
      <c r="AZ1494" s="1436"/>
      <c r="BA1494" s="1436"/>
      <c r="BB1494" s="1436"/>
      <c r="BC1494" s="1436"/>
      <c r="BD1494" s="1436"/>
      <c r="BE1494" s="585"/>
      <c r="BF1494" s="1431"/>
      <c r="BG1494" s="1431"/>
      <c r="BH1494" s="1431"/>
      <c r="BI1494" s="1431"/>
      <c r="BJ1494" s="1431"/>
      <c r="BK1494" s="585"/>
      <c r="BL1494" s="585"/>
      <c r="BM1494" s="585"/>
      <c r="BN1494" s="585"/>
      <c r="BO1494" s="585"/>
      <c r="BP1494" s="1431"/>
      <c r="BQ1494" s="1431"/>
      <c r="BR1494" s="585"/>
      <c r="BS1494" s="585"/>
      <c r="BT1494" s="1432"/>
      <c r="BU1494" s="1432"/>
      <c r="BV1494" s="1432"/>
      <c r="BW1494" s="1432"/>
      <c r="BX1494" s="1432"/>
      <c r="BY1494" s="1432"/>
      <c r="BZ1494" s="1432"/>
      <c r="CA1494" s="1432"/>
      <c r="CB1494" s="1432"/>
      <c r="CC1494" s="1432"/>
      <c r="CD1494" s="585"/>
      <c r="CE1494" s="585"/>
      <c r="CF1494" s="586"/>
    </row>
    <row r="1495" spans="1:84" s="583" customFormat="1" ht="23.1" customHeight="1">
      <c r="A1495" s="584"/>
      <c r="B1495" s="585"/>
      <c r="C1495" s="585"/>
      <c r="D1495" s="585"/>
      <c r="E1495" s="585"/>
      <c r="F1495" s="585"/>
      <c r="G1495" s="585"/>
      <c r="H1495" s="585"/>
      <c r="I1495" s="585"/>
      <c r="J1495" s="585"/>
      <c r="K1495" s="585"/>
      <c r="L1495" s="585"/>
      <c r="M1495" s="585"/>
      <c r="N1495" s="585"/>
      <c r="O1495" s="585"/>
      <c r="P1495" s="574"/>
      <c r="Q1495" s="574"/>
      <c r="R1495" s="574"/>
      <c r="S1495" s="574"/>
      <c r="T1495" s="574"/>
      <c r="U1495" s="574"/>
      <c r="V1495" s="574"/>
      <c r="W1495" s="574"/>
      <c r="X1495" s="574"/>
      <c r="Y1495" s="574"/>
      <c r="Z1495" s="574"/>
      <c r="AA1495" s="574"/>
      <c r="AB1495" s="574"/>
      <c r="AC1495" s="574"/>
      <c r="AD1495" s="574"/>
      <c r="AE1495" s="574"/>
      <c r="AF1495" s="574"/>
      <c r="AG1495" s="574"/>
      <c r="AH1495" s="574"/>
      <c r="AI1495" s="574"/>
      <c r="AJ1495" s="574"/>
      <c r="AK1495" s="574"/>
      <c r="AL1495" s="574"/>
      <c r="AM1495" s="574"/>
      <c r="AN1495" s="574"/>
      <c r="AO1495" s="574"/>
      <c r="AP1495" s="574"/>
      <c r="AQ1495" s="574"/>
      <c r="AR1495" s="574"/>
      <c r="AS1495" s="574"/>
      <c r="AT1495" s="574"/>
      <c r="AU1495" s="574"/>
      <c r="AV1495" s="574"/>
      <c r="AW1495" s="574"/>
      <c r="AX1495" s="574"/>
      <c r="AY1495" s="574"/>
      <c r="AZ1495" s="574"/>
      <c r="BA1495" s="574"/>
      <c r="BB1495" s="574"/>
      <c r="BC1495" s="574"/>
      <c r="BD1495" s="574"/>
      <c r="BE1495" s="574"/>
      <c r="BF1495" s="574"/>
      <c r="BG1495" s="585"/>
      <c r="BH1495" s="585"/>
      <c r="BI1495" s="585"/>
      <c r="BJ1495" s="585"/>
      <c r="BK1495" s="585"/>
      <c r="BL1495" s="585"/>
      <c r="BM1495" s="585"/>
      <c r="BN1495" s="585"/>
      <c r="BO1495" s="585"/>
      <c r="BP1495" s="1431"/>
      <c r="BQ1495" s="1431"/>
      <c r="BR1495" s="585"/>
      <c r="BS1495" s="585"/>
      <c r="BT1495" s="1432"/>
      <c r="BU1495" s="1432"/>
      <c r="BV1495" s="1432"/>
      <c r="BW1495" s="1432"/>
      <c r="BX1495" s="1432"/>
      <c r="BY1495" s="1432"/>
      <c r="BZ1495" s="1432"/>
      <c r="CA1495" s="1432"/>
      <c r="CB1495" s="1432"/>
      <c r="CC1495" s="1432"/>
      <c r="CD1495" s="585"/>
      <c r="CE1495" s="585"/>
      <c r="CF1495" s="586"/>
    </row>
    <row r="1496" spans="1:84" s="583" customFormat="1" ht="23.1" customHeight="1">
      <c r="A1496" s="584"/>
      <c r="B1496" s="585"/>
      <c r="C1496" s="585"/>
      <c r="D1496" s="585"/>
      <c r="E1496" s="585"/>
      <c r="F1496" s="585"/>
      <c r="G1496" s="585"/>
      <c r="H1496" s="585"/>
      <c r="I1496" s="585"/>
      <c r="J1496" s="585"/>
      <c r="K1496" s="585"/>
      <c r="L1496" s="585"/>
      <c r="M1496" s="585"/>
      <c r="N1496" s="585"/>
      <c r="O1496" s="585"/>
      <c r="P1496" s="585"/>
      <c r="Q1496" s="585"/>
      <c r="R1496" s="585"/>
      <c r="S1496" s="585"/>
      <c r="T1496" s="585"/>
      <c r="U1496" s="585"/>
      <c r="V1496" s="585"/>
      <c r="W1496" s="585"/>
      <c r="X1496" s="585"/>
      <c r="Y1496" s="585"/>
      <c r="Z1496" s="585"/>
      <c r="AA1496" s="585"/>
      <c r="AB1496" s="585"/>
      <c r="AC1496" s="585"/>
      <c r="AD1496" s="574"/>
      <c r="AE1496" s="574"/>
      <c r="AF1496" s="574"/>
      <c r="AG1496" s="574"/>
      <c r="AH1496" s="574"/>
      <c r="AI1496" s="574"/>
      <c r="AJ1496" s="574"/>
      <c r="AK1496" s="574"/>
      <c r="AL1496" s="574"/>
      <c r="AM1496" s="574"/>
      <c r="AN1496" s="574"/>
      <c r="AO1496" s="574"/>
      <c r="AP1496" s="574"/>
      <c r="AQ1496" s="574"/>
      <c r="AR1496" s="574"/>
      <c r="AS1496" s="585"/>
      <c r="AT1496" s="590"/>
      <c r="AU1496" s="590"/>
      <c r="AV1496" s="585"/>
      <c r="AW1496" s="585"/>
      <c r="AX1496" s="585"/>
      <c r="AY1496" s="585"/>
      <c r="AZ1496" s="585"/>
      <c r="BA1496" s="585"/>
      <c r="BB1496" s="585"/>
      <c r="BC1496" s="585"/>
      <c r="BD1496" s="585"/>
      <c r="BE1496" s="585"/>
      <c r="BF1496" s="585"/>
      <c r="BG1496" s="585"/>
      <c r="BH1496" s="585"/>
      <c r="BI1496" s="585"/>
      <c r="BJ1496" s="585"/>
      <c r="BK1496" s="585"/>
      <c r="BL1496" s="585"/>
      <c r="BM1496" s="585"/>
      <c r="BN1496" s="585"/>
      <c r="BO1496" s="585"/>
      <c r="BP1496" s="1431" t="s">
        <v>41</v>
      </c>
      <c r="BQ1496" s="1431"/>
      <c r="BR1496" s="585"/>
      <c r="BS1496" s="585"/>
      <c r="BT1496" s="1434">
        <f>BT1494+BT1495</f>
        <v>0</v>
      </c>
      <c r="BU1496" s="1434"/>
      <c r="BV1496" s="1434"/>
      <c r="BW1496" s="1434"/>
      <c r="BX1496" s="1434"/>
      <c r="BY1496" s="1434"/>
      <c r="BZ1496" s="1434"/>
      <c r="CA1496" s="1434"/>
      <c r="CB1496" s="1434"/>
      <c r="CC1496" s="1434"/>
      <c r="CD1496" s="585"/>
      <c r="CE1496" s="585"/>
      <c r="CF1496" s="586"/>
    </row>
    <row r="1497" spans="1:84" s="583" customFormat="1" ht="23.1" customHeight="1">
      <c r="A1497" s="592"/>
      <c r="B1497" s="593" t="s">
        <v>1110</v>
      </c>
      <c r="C1497" s="593"/>
      <c r="D1497" s="593"/>
      <c r="E1497" s="593"/>
      <c r="F1497" s="593"/>
      <c r="G1497" s="593"/>
      <c r="H1497" s="593"/>
      <c r="I1497" s="593"/>
      <c r="J1497" s="593"/>
      <c r="K1497" s="593"/>
      <c r="L1497" s="593"/>
      <c r="M1497" s="593"/>
      <c r="N1497" s="593"/>
      <c r="O1497" s="593"/>
      <c r="P1497" s="593"/>
      <c r="Q1497" s="593"/>
      <c r="R1497" s="593"/>
      <c r="S1497" s="593"/>
      <c r="T1497" s="593"/>
      <c r="U1497" s="593"/>
      <c r="V1497" s="593"/>
      <c r="W1497" s="593"/>
      <c r="X1497" s="593"/>
      <c r="Y1497" s="593"/>
      <c r="Z1497" s="593"/>
      <c r="AA1497" s="593"/>
      <c r="AB1497" s="593"/>
      <c r="AC1497" s="593"/>
      <c r="AD1497" s="593"/>
      <c r="AE1497" s="593"/>
      <c r="AF1497" s="593"/>
      <c r="AG1497" s="593"/>
      <c r="AH1497" s="593"/>
      <c r="AI1497" s="593"/>
      <c r="AJ1497" s="593"/>
      <c r="AK1497" s="593"/>
      <c r="AL1497" s="593"/>
      <c r="AM1497" s="593"/>
      <c r="AN1497" s="593"/>
      <c r="AO1497" s="593"/>
      <c r="AP1497" s="593"/>
      <c r="AQ1497" s="593"/>
      <c r="AR1497" s="593"/>
      <c r="AS1497" s="593"/>
      <c r="AT1497" s="593"/>
      <c r="AU1497" s="593"/>
      <c r="AV1497" s="593"/>
      <c r="AW1497" s="593"/>
      <c r="AX1497" s="593"/>
      <c r="AY1497" s="593"/>
      <c r="AZ1497" s="593"/>
      <c r="BA1497" s="593"/>
      <c r="BB1497" s="593"/>
      <c r="BC1497" s="593"/>
      <c r="BD1497" s="593"/>
      <c r="BE1497" s="593"/>
      <c r="BF1497" s="593"/>
      <c r="BG1497" s="593"/>
      <c r="BH1497" s="593"/>
      <c r="BI1497" s="593"/>
      <c r="BJ1497" s="593"/>
      <c r="BK1497" s="593"/>
      <c r="BL1497" s="593"/>
      <c r="BM1497" s="593"/>
      <c r="BN1497" s="593"/>
      <c r="BO1497" s="593"/>
      <c r="BP1497" s="593"/>
      <c r="BQ1497" s="593"/>
      <c r="BR1497" s="593"/>
      <c r="BS1497" s="593"/>
      <c r="BT1497" s="593"/>
      <c r="BU1497" s="593"/>
      <c r="BV1497" s="593"/>
      <c r="BW1497" s="593"/>
      <c r="BX1497" s="593"/>
      <c r="BY1497" s="593"/>
      <c r="BZ1497" s="593"/>
      <c r="CA1497" s="593"/>
      <c r="CB1497" s="593"/>
      <c r="CC1497" s="593"/>
      <c r="CD1497" s="593"/>
      <c r="CE1497" s="593"/>
      <c r="CF1497" s="595"/>
    </row>
    <row r="1498" spans="1:84" s="583" customFormat="1" ht="23.1" customHeight="1">
      <c r="A1498" s="584"/>
      <c r="B1498" s="585"/>
      <c r="C1498" s="585"/>
      <c r="D1498" s="596"/>
      <c r="E1498" s="585"/>
      <c r="F1498" s="585"/>
      <c r="G1498" s="585"/>
      <c r="H1498" s="585"/>
      <c r="I1498" s="585"/>
      <c r="J1498" s="585"/>
      <c r="K1498" s="585"/>
      <c r="L1498" s="585"/>
      <c r="M1498" s="585"/>
      <c r="N1498" s="585"/>
      <c r="O1498" s="585"/>
      <c r="P1498" s="585"/>
      <c r="Q1498" s="585"/>
      <c r="R1498" s="585"/>
      <c r="S1498" s="585"/>
      <c r="T1498" s="585"/>
      <c r="U1498" s="585"/>
      <c r="V1498" s="585"/>
      <c r="W1498" s="585"/>
      <c r="X1498" s="585"/>
      <c r="Y1498" s="585"/>
      <c r="Z1498" s="585"/>
      <c r="AA1498" s="585"/>
      <c r="AB1498" s="585"/>
      <c r="AC1498" s="585"/>
      <c r="AD1498" s="585"/>
      <c r="AE1498" s="585"/>
      <c r="AF1498" s="585"/>
      <c r="AG1498" s="585"/>
      <c r="AH1498" s="585"/>
      <c r="AI1498" s="585"/>
      <c r="AJ1498" s="585"/>
      <c r="AK1498" s="585"/>
      <c r="AL1498" s="585"/>
      <c r="AM1498" s="585"/>
      <c r="AN1498" s="585"/>
      <c r="AO1498" s="585"/>
      <c r="AP1498" s="585"/>
      <c r="AQ1498" s="585"/>
      <c r="AR1498" s="422"/>
      <c r="AS1498" s="1430"/>
      <c r="AT1498" s="1430"/>
      <c r="AU1498" s="1430"/>
      <c r="AV1498" s="1430"/>
      <c r="AW1498" s="1430"/>
      <c r="AX1498" s="1430"/>
      <c r="AY1498" s="1430"/>
      <c r="AZ1498" s="1430"/>
      <c r="BA1498" s="1430"/>
      <c r="BB1498" s="1430"/>
      <c r="BC1498" s="585"/>
      <c r="BD1498" s="1431"/>
      <c r="BE1498" s="1431"/>
      <c r="BF1498" s="585"/>
      <c r="BG1498" s="1431"/>
      <c r="BH1498" s="1431"/>
      <c r="BI1498" s="1431"/>
      <c r="BJ1498" s="1431"/>
      <c r="BK1498" s="1431"/>
      <c r="BL1498" s="585"/>
      <c r="BM1498" s="585"/>
      <c r="BN1498" s="585"/>
      <c r="BO1498" s="585"/>
      <c r="BP1498" s="1431"/>
      <c r="BQ1498" s="1431"/>
      <c r="BR1498" s="585"/>
      <c r="BS1498" s="585"/>
      <c r="BT1498" s="1432"/>
      <c r="BU1498" s="1432"/>
      <c r="BV1498" s="1432"/>
      <c r="BW1498" s="1432"/>
      <c r="BX1498" s="1432"/>
      <c r="BY1498" s="1432"/>
      <c r="BZ1498" s="1432"/>
      <c r="CA1498" s="1432"/>
      <c r="CB1498" s="1432"/>
      <c r="CC1498" s="1432"/>
      <c r="CD1498" s="585"/>
      <c r="CE1498" s="585"/>
      <c r="CF1498" s="586"/>
    </row>
    <row r="1499" spans="1:84" s="583" customFormat="1" ht="23.1" customHeight="1">
      <c r="A1499" s="584"/>
      <c r="B1499" s="585"/>
      <c r="C1499" s="585"/>
      <c r="D1499" s="591"/>
      <c r="E1499" s="585"/>
      <c r="F1499" s="585"/>
      <c r="G1499" s="585"/>
      <c r="H1499" s="585"/>
      <c r="I1499" s="585"/>
      <c r="J1499" s="585"/>
      <c r="K1499" s="585"/>
      <c r="L1499" s="585"/>
      <c r="M1499" s="585"/>
      <c r="N1499" s="585"/>
      <c r="O1499" s="585"/>
      <c r="P1499" s="585"/>
      <c r="Q1499" s="585"/>
      <c r="R1499" s="585"/>
      <c r="S1499" s="585"/>
      <c r="T1499" s="585"/>
      <c r="U1499" s="585"/>
      <c r="V1499" s="585"/>
      <c r="W1499" s="585"/>
      <c r="X1499" s="585"/>
      <c r="Y1499" s="585"/>
      <c r="Z1499" s="585"/>
      <c r="AA1499" s="585"/>
      <c r="AB1499" s="585"/>
      <c r="AC1499" s="585"/>
      <c r="AD1499" s="585"/>
      <c r="AE1499" s="585"/>
      <c r="AF1499" s="585"/>
      <c r="AG1499" s="585"/>
      <c r="AH1499" s="585"/>
      <c r="AI1499" s="585"/>
      <c r="AJ1499" s="585"/>
      <c r="AK1499" s="585"/>
      <c r="AL1499" s="585"/>
      <c r="AM1499" s="585"/>
      <c r="AN1499" s="585"/>
      <c r="AO1499" s="585"/>
      <c r="AP1499" s="585"/>
      <c r="AQ1499" s="585"/>
      <c r="AR1499" s="422"/>
      <c r="AS1499" s="1430"/>
      <c r="AT1499" s="1430"/>
      <c r="AU1499" s="1430"/>
      <c r="AV1499" s="1430"/>
      <c r="AW1499" s="1430"/>
      <c r="AX1499" s="1430"/>
      <c r="AY1499" s="1430"/>
      <c r="AZ1499" s="1430"/>
      <c r="BA1499" s="1430"/>
      <c r="BB1499" s="1430"/>
      <c r="BC1499" s="585"/>
      <c r="BD1499" s="1431"/>
      <c r="BE1499" s="1431"/>
      <c r="BF1499" s="585"/>
      <c r="BG1499" s="1431"/>
      <c r="BH1499" s="1431"/>
      <c r="BI1499" s="1431"/>
      <c r="BJ1499" s="1431"/>
      <c r="BK1499" s="1431"/>
      <c r="BL1499" s="585"/>
      <c r="BM1499" s="585"/>
      <c r="BN1499" s="585"/>
      <c r="BO1499" s="585"/>
      <c r="BP1499" s="1431"/>
      <c r="BQ1499" s="1431"/>
      <c r="BR1499" s="585"/>
      <c r="BS1499" s="585"/>
      <c r="BT1499" s="1432"/>
      <c r="BU1499" s="1432"/>
      <c r="BV1499" s="1432"/>
      <c r="BW1499" s="1432"/>
      <c r="BX1499" s="1432"/>
      <c r="BY1499" s="1432"/>
      <c r="BZ1499" s="1432"/>
      <c r="CA1499" s="1432"/>
      <c r="CB1499" s="1432"/>
      <c r="CC1499" s="1432"/>
      <c r="CD1499" s="585"/>
      <c r="CE1499" s="585"/>
      <c r="CF1499" s="586"/>
    </row>
    <row r="1500" spans="1:84" s="583" customFormat="1" ht="23.1" customHeight="1" thickBot="1">
      <c r="A1500" s="584"/>
      <c r="B1500" s="585"/>
      <c r="C1500" s="585"/>
      <c r="D1500" s="585"/>
      <c r="E1500" s="585"/>
      <c r="F1500" s="585"/>
      <c r="G1500" s="585"/>
      <c r="H1500" s="585"/>
      <c r="I1500" s="585"/>
      <c r="J1500" s="585"/>
      <c r="K1500" s="585"/>
      <c r="L1500" s="585"/>
      <c r="M1500" s="585"/>
      <c r="N1500" s="585"/>
      <c r="O1500" s="585"/>
      <c r="P1500" s="585"/>
      <c r="Q1500" s="585"/>
      <c r="R1500" s="585"/>
      <c r="S1500" s="585"/>
      <c r="T1500" s="585"/>
      <c r="U1500" s="585"/>
      <c r="V1500" s="585"/>
      <c r="W1500" s="585"/>
      <c r="X1500" s="585"/>
      <c r="Y1500" s="585"/>
      <c r="Z1500" s="585"/>
      <c r="AA1500" s="585"/>
      <c r="AB1500" s="585"/>
      <c r="AC1500" s="585"/>
      <c r="AD1500" s="585"/>
      <c r="AE1500" s="585"/>
      <c r="AF1500" s="585"/>
      <c r="AG1500" s="585"/>
      <c r="AH1500" s="585"/>
      <c r="AI1500" s="585"/>
      <c r="AJ1500" s="585"/>
      <c r="AK1500" s="585"/>
      <c r="AL1500" s="585"/>
      <c r="AM1500" s="585"/>
      <c r="AN1500" s="585"/>
      <c r="AO1500" s="585"/>
      <c r="AP1500" s="585"/>
      <c r="AQ1500" s="585"/>
      <c r="AR1500" s="585"/>
      <c r="AS1500" s="585"/>
      <c r="AT1500" s="585"/>
      <c r="AU1500" s="585"/>
      <c r="AV1500" s="585"/>
      <c r="AW1500" s="585"/>
      <c r="AX1500" s="585"/>
      <c r="AY1500" s="585"/>
      <c r="AZ1500" s="585"/>
      <c r="BA1500" s="585"/>
      <c r="BB1500" s="585"/>
      <c r="BC1500" s="585"/>
      <c r="BD1500" s="585"/>
      <c r="BE1500" s="585"/>
      <c r="BF1500" s="585"/>
      <c r="BG1500" s="585"/>
      <c r="BH1500" s="585"/>
      <c r="BI1500" s="585"/>
      <c r="BJ1500" s="585"/>
      <c r="BK1500" s="585"/>
      <c r="BL1500" s="585"/>
      <c r="BM1500" s="585"/>
      <c r="BN1500" s="585"/>
      <c r="BO1500" s="585"/>
      <c r="BP1500" s="1431" t="s">
        <v>41</v>
      </c>
      <c r="BQ1500" s="1431"/>
      <c r="BR1500" s="585"/>
      <c r="BS1500" s="585"/>
      <c r="BT1500" s="1433">
        <f>BT1498+BT1499</f>
        <v>0</v>
      </c>
      <c r="BU1500" s="1433"/>
      <c r="BV1500" s="1433"/>
      <c r="BW1500" s="1433"/>
      <c r="BX1500" s="1433"/>
      <c r="BY1500" s="1433"/>
      <c r="BZ1500" s="1433"/>
      <c r="CA1500" s="1433"/>
      <c r="CB1500" s="1433"/>
      <c r="CC1500" s="1433"/>
      <c r="CD1500" s="585"/>
      <c r="CE1500" s="585"/>
      <c r="CF1500" s="586"/>
    </row>
    <row r="1501" spans="1:84" s="583" customFormat="1" ht="23.1" customHeight="1" thickBot="1">
      <c r="A1501" s="597"/>
      <c r="B1501" s="598" t="s">
        <v>1113</v>
      </c>
      <c r="C1501" s="598"/>
      <c r="D1501" s="598"/>
      <c r="E1501" s="598"/>
      <c r="F1501" s="598"/>
      <c r="G1501" s="598"/>
      <c r="H1501" s="598"/>
      <c r="I1501" s="598"/>
      <c r="J1501" s="598"/>
      <c r="K1501" s="598"/>
      <c r="L1501" s="598"/>
      <c r="M1501" s="598"/>
      <c r="N1501" s="598"/>
      <c r="O1501" s="598"/>
      <c r="P1501" s="598"/>
      <c r="Q1501" s="598"/>
      <c r="R1501" s="598"/>
      <c r="S1501" s="598"/>
      <c r="T1501" s="598"/>
      <c r="U1501" s="598"/>
      <c r="V1501" s="598"/>
      <c r="W1501" s="598"/>
      <c r="X1501" s="598"/>
      <c r="Y1501" s="598"/>
      <c r="Z1501" s="598"/>
      <c r="AA1501" s="598"/>
      <c r="AB1501" s="598"/>
      <c r="AC1501" s="598"/>
      <c r="AD1501" s="598"/>
      <c r="AE1501" s="598"/>
      <c r="AF1501" s="598"/>
      <c r="AG1501" s="598"/>
      <c r="AH1501" s="598"/>
      <c r="AI1501" s="598"/>
      <c r="AJ1501" s="598"/>
      <c r="AK1501" s="598"/>
      <c r="AL1501" s="598"/>
      <c r="AM1501" s="598"/>
      <c r="AN1501" s="598"/>
      <c r="AO1501" s="598"/>
      <c r="AP1501" s="598"/>
      <c r="AQ1501" s="598"/>
      <c r="AR1501" s="598"/>
      <c r="AS1501" s="598"/>
      <c r="AT1501" s="598"/>
      <c r="AU1501" s="598"/>
      <c r="AV1501" s="598"/>
      <c r="AW1501" s="598"/>
      <c r="AX1501" s="598"/>
      <c r="AY1501" s="598"/>
      <c r="AZ1501" s="598"/>
      <c r="BA1501" s="598"/>
      <c r="BB1501" s="598"/>
      <c r="BC1501" s="598"/>
      <c r="BD1501" s="598"/>
      <c r="BE1501" s="598"/>
      <c r="BF1501" s="598"/>
      <c r="BG1501" s="598"/>
      <c r="BH1501" s="598"/>
      <c r="BI1501" s="598"/>
      <c r="BJ1501" s="598"/>
      <c r="BK1501" s="598"/>
      <c r="BL1501" s="598"/>
      <c r="BM1501" s="598"/>
      <c r="BN1501" s="598"/>
      <c r="BO1501" s="598"/>
      <c r="BP1501" s="598"/>
      <c r="BQ1501" s="598"/>
      <c r="BR1501" s="598"/>
      <c r="BS1501" s="598"/>
      <c r="BT1501" s="1429">
        <f>BT1492+BT1496+BT1500</f>
        <v>71</v>
      </c>
      <c r="BU1501" s="1429"/>
      <c r="BV1501" s="1429"/>
      <c r="BW1501" s="1429"/>
      <c r="BX1501" s="1429"/>
      <c r="BY1501" s="1429"/>
      <c r="BZ1501" s="1429"/>
      <c r="CA1501" s="1429"/>
      <c r="CB1501" s="1429"/>
      <c r="CC1501" s="1429"/>
      <c r="CD1501" s="598"/>
      <c r="CE1501" s="598"/>
      <c r="CF1501" s="599"/>
    </row>
    <row r="1502" spans="1:84" s="583" customFormat="1" ht="9.9499999999999993" customHeight="1">
      <c r="A1502" s="574"/>
      <c r="B1502" s="574"/>
      <c r="C1502" s="574"/>
      <c r="D1502" s="574"/>
      <c r="E1502" s="574"/>
      <c r="F1502" s="574"/>
      <c r="G1502" s="574"/>
      <c r="H1502" s="574"/>
      <c r="I1502" s="574"/>
      <c r="J1502" s="574"/>
      <c r="K1502" s="574"/>
      <c r="L1502" s="574"/>
      <c r="M1502" s="574"/>
      <c r="N1502" s="574"/>
      <c r="O1502" s="574"/>
      <c r="P1502" s="574"/>
      <c r="Q1502" s="574"/>
      <c r="R1502" s="574"/>
      <c r="S1502" s="574"/>
      <c r="T1502" s="574"/>
      <c r="U1502" s="574"/>
      <c r="V1502" s="574"/>
      <c r="W1502" s="574"/>
      <c r="X1502" s="574"/>
      <c r="Y1502" s="574"/>
      <c r="Z1502" s="574"/>
      <c r="AA1502" s="574"/>
      <c r="AB1502" s="574"/>
      <c r="AC1502" s="574"/>
      <c r="AD1502" s="574"/>
      <c r="AE1502" s="574"/>
      <c r="AF1502" s="574"/>
      <c r="AG1502" s="574"/>
      <c r="AH1502" s="574"/>
      <c r="AI1502" s="574"/>
      <c r="AJ1502" s="574"/>
      <c r="AK1502" s="574"/>
      <c r="AL1502" s="574"/>
      <c r="AM1502" s="574"/>
      <c r="AN1502" s="574"/>
      <c r="AO1502" s="574"/>
      <c r="AP1502" s="574"/>
      <c r="AQ1502" s="574"/>
      <c r="AR1502" s="574"/>
      <c r="AS1502" s="574"/>
      <c r="AT1502" s="574"/>
      <c r="AU1502" s="574"/>
      <c r="AV1502" s="574"/>
      <c r="AW1502" s="574"/>
      <c r="AX1502" s="574"/>
      <c r="AY1502" s="574"/>
      <c r="AZ1502" s="574"/>
      <c r="BA1502" s="574"/>
      <c r="BB1502" s="574"/>
      <c r="BC1502" s="574"/>
      <c r="BD1502" s="574"/>
      <c r="BE1502" s="574"/>
      <c r="BF1502" s="574"/>
      <c r="BG1502" s="574"/>
      <c r="BH1502" s="574"/>
      <c r="BI1502" s="574"/>
      <c r="BJ1502" s="574"/>
      <c r="BK1502" s="574"/>
      <c r="BL1502" s="574"/>
      <c r="BM1502" s="574"/>
      <c r="BN1502" s="574"/>
      <c r="BO1502" s="574"/>
      <c r="BP1502" s="574"/>
      <c r="BQ1502" s="574"/>
      <c r="BR1502" s="574"/>
      <c r="BS1502" s="574"/>
      <c r="BT1502" s="574"/>
      <c r="BU1502" s="574"/>
      <c r="BV1502" s="574"/>
      <c r="BW1502" s="574"/>
      <c r="BX1502" s="574"/>
      <c r="BY1502" s="574"/>
      <c r="BZ1502" s="574"/>
      <c r="CA1502" s="574"/>
      <c r="CB1502" s="574"/>
      <c r="CC1502" s="574"/>
      <c r="CD1502" s="574"/>
      <c r="CE1502" s="574"/>
      <c r="CF1502" s="574"/>
    </row>
    <row r="1503" spans="1:84" s="583" customFormat="1" ht="23.1" customHeight="1" thickBot="1">
      <c r="A1503" s="1446" t="s">
        <v>1095</v>
      </c>
      <c r="B1503" s="1446"/>
      <c r="C1503" s="1446"/>
      <c r="D1503" s="1446"/>
      <c r="E1503" s="1446"/>
      <c r="F1503" s="1446"/>
      <c r="G1503" s="1447">
        <f>G1488+1</f>
        <v>101</v>
      </c>
      <c r="H1503" s="1447"/>
      <c r="I1503" s="1447"/>
      <c r="J1503" s="1448" t="s">
        <v>1096</v>
      </c>
      <c r="K1503" s="1448"/>
      <c r="L1503" s="574"/>
      <c r="M1503" s="574"/>
      <c r="N1503" s="574"/>
      <c r="O1503" s="574"/>
      <c r="P1503" s="574"/>
      <c r="Q1503" s="574"/>
      <c r="R1503" s="574"/>
      <c r="S1503" s="574"/>
      <c r="T1503" s="574"/>
      <c r="U1503" s="574"/>
      <c r="V1503" s="574"/>
      <c r="W1503" s="574"/>
      <c r="X1503" s="574"/>
      <c r="Y1503" s="574"/>
      <c r="Z1503" s="574"/>
      <c r="AA1503" s="574"/>
      <c r="AB1503" s="574"/>
      <c r="AC1503" s="574"/>
      <c r="AD1503" s="574"/>
      <c r="AE1503" s="574"/>
      <c r="AF1503" s="574"/>
      <c r="AG1503" s="574"/>
      <c r="AH1503" s="574"/>
      <c r="AI1503" s="574"/>
      <c r="AJ1503" s="574"/>
      <c r="AK1503" s="574"/>
      <c r="AL1503" s="574"/>
      <c r="AM1503" s="574"/>
      <c r="AN1503" s="574"/>
      <c r="AO1503" s="574"/>
      <c r="AP1503" s="574"/>
      <c r="AQ1503" s="574"/>
      <c r="AR1503" s="574"/>
      <c r="AS1503" s="574"/>
      <c r="AT1503" s="574"/>
      <c r="AU1503" s="574"/>
      <c r="AV1503" s="574"/>
      <c r="AW1503" s="574"/>
      <c r="AX1503" s="574"/>
      <c r="AY1503" s="574"/>
      <c r="AZ1503" s="574"/>
      <c r="BA1503" s="574"/>
      <c r="BB1503" s="574"/>
      <c r="BC1503" s="574"/>
      <c r="BD1503" s="574"/>
      <c r="BE1503" s="574"/>
      <c r="BF1503" s="574"/>
      <c r="BG1503" s="574"/>
      <c r="BH1503" s="574"/>
      <c r="BI1503" s="574"/>
      <c r="BJ1503" s="574"/>
      <c r="BK1503" s="574"/>
      <c r="BL1503" s="574"/>
      <c r="BM1503" s="574"/>
      <c r="BN1503" s="574"/>
      <c r="BO1503" s="574"/>
      <c r="BP1503" s="574"/>
      <c r="BQ1503" s="574"/>
      <c r="BR1503" s="574"/>
      <c r="BS1503" s="574"/>
      <c r="BT1503" s="574"/>
      <c r="BU1503" s="574"/>
      <c r="BV1503" s="574"/>
      <c r="BW1503" s="574"/>
      <c r="BX1503" s="574"/>
      <c r="BY1503" s="574"/>
      <c r="BZ1503" s="574"/>
      <c r="CA1503" s="574"/>
      <c r="CB1503" s="574"/>
      <c r="CC1503" s="574"/>
      <c r="CD1503" s="574"/>
      <c r="CE1503" s="574"/>
      <c r="CF1503" s="574"/>
    </row>
    <row r="1504" spans="1:84" s="603" customFormat="1" ht="23.1" customHeight="1" thickBot="1">
      <c r="A1504" s="1438" t="s">
        <v>1097</v>
      </c>
      <c r="B1504" s="1439"/>
      <c r="C1504" s="1439"/>
      <c r="D1504" s="1439"/>
      <c r="E1504" s="1439"/>
      <c r="F1504" s="1439"/>
      <c r="G1504" s="1439"/>
      <c r="H1504" s="1439"/>
      <c r="I1504" s="601" t="s">
        <v>1283</v>
      </c>
      <c r="J1504" s="601"/>
      <c r="K1504" s="601"/>
      <c r="L1504" s="601"/>
      <c r="M1504" s="601"/>
      <c r="N1504" s="601"/>
      <c r="O1504" s="601"/>
      <c r="P1504" s="601"/>
      <c r="Q1504" s="601"/>
      <c r="R1504" s="601"/>
      <c r="S1504" s="601"/>
      <c r="T1504" s="601"/>
      <c r="U1504" s="601"/>
      <c r="V1504" s="601"/>
      <c r="W1504" s="601"/>
      <c r="X1504" s="601"/>
      <c r="Y1504" s="601"/>
      <c r="Z1504" s="601"/>
      <c r="AA1504" s="601"/>
      <c r="AB1504" s="601"/>
      <c r="AC1504" s="601"/>
      <c r="AD1504" s="601"/>
      <c r="AE1504" s="601"/>
      <c r="AF1504" s="601"/>
      <c r="AG1504" s="601"/>
      <c r="AH1504" s="601"/>
      <c r="AI1504" s="601"/>
      <c r="AJ1504" s="1439" t="s">
        <v>1099</v>
      </c>
      <c r="AK1504" s="1439"/>
      <c r="AL1504" s="1439"/>
      <c r="AM1504" s="1439"/>
      <c r="AN1504" s="1439"/>
      <c r="AO1504" s="1439"/>
      <c r="AP1504" s="1439"/>
      <c r="AQ1504" s="630" t="s">
        <v>1286</v>
      </c>
      <c r="AR1504" s="601"/>
      <c r="AS1504" s="601"/>
      <c r="AT1504" s="601"/>
      <c r="AU1504" s="601"/>
      <c r="AV1504" s="601"/>
      <c r="AW1504" s="601"/>
      <c r="AX1504" s="601"/>
      <c r="AY1504" s="601"/>
      <c r="AZ1504" s="601"/>
      <c r="BA1504" s="601"/>
      <c r="BB1504" s="601"/>
      <c r="BC1504" s="601"/>
      <c r="BD1504" s="601"/>
      <c r="BE1504" s="601"/>
      <c r="BF1504" s="601"/>
      <c r="BG1504" s="601"/>
      <c r="BH1504" s="601"/>
      <c r="BI1504" s="601"/>
      <c r="BJ1504" s="601"/>
      <c r="BK1504" s="601"/>
      <c r="BL1504" s="601"/>
      <c r="BM1504" s="601"/>
      <c r="BN1504" s="601"/>
      <c r="BO1504" s="601"/>
      <c r="BP1504" s="601"/>
      <c r="BQ1504" s="601"/>
      <c r="BR1504" s="601"/>
      <c r="BS1504" s="601"/>
      <c r="BT1504" s="630" t="s">
        <v>1287</v>
      </c>
      <c r="BU1504" s="601"/>
      <c r="BV1504" s="601"/>
      <c r="BW1504" s="601"/>
      <c r="BX1504" s="601"/>
      <c r="BY1504" s="601"/>
      <c r="BZ1504" s="601"/>
      <c r="CA1504" s="601"/>
      <c r="CB1504" s="601"/>
      <c r="CC1504" s="601"/>
      <c r="CD1504" s="601"/>
      <c r="CE1504" s="601"/>
      <c r="CF1504" s="602"/>
    </row>
    <row r="1505" spans="1:84" s="583" customFormat="1" ht="23.1" customHeight="1">
      <c r="A1505" s="584"/>
      <c r="B1505" s="585" t="s">
        <v>1102</v>
      </c>
      <c r="C1505" s="585"/>
      <c r="D1505" s="585"/>
      <c r="E1505" s="585"/>
      <c r="F1505" s="585"/>
      <c r="G1505" s="585"/>
      <c r="H1505" s="585"/>
      <c r="I1505" s="585"/>
      <c r="J1505" s="585"/>
      <c r="K1505" s="585"/>
      <c r="L1505" s="585"/>
      <c r="M1505" s="585"/>
      <c r="N1505" s="585"/>
      <c r="O1505" s="585"/>
      <c r="P1505" s="585"/>
      <c r="Q1505" s="585"/>
      <c r="R1505" s="585"/>
      <c r="S1505" s="585"/>
      <c r="T1505" s="585"/>
      <c r="U1505" s="585"/>
      <c r="V1505" s="585"/>
      <c r="W1505" s="585"/>
      <c r="X1505" s="585"/>
      <c r="Y1505" s="585"/>
      <c r="Z1505" s="585"/>
      <c r="AA1505" s="585"/>
      <c r="AB1505" s="585"/>
      <c r="AC1505" s="585"/>
      <c r="AD1505" s="585"/>
      <c r="AE1505" s="585"/>
      <c r="AF1505" s="585"/>
      <c r="AG1505" s="585"/>
      <c r="AH1505" s="585"/>
      <c r="AI1505" s="585"/>
      <c r="AJ1505" s="585"/>
      <c r="AK1505" s="585"/>
      <c r="AL1505" s="585"/>
      <c r="AM1505" s="585"/>
      <c r="AN1505" s="585"/>
      <c r="AO1505" s="585"/>
      <c r="AP1505" s="585"/>
      <c r="AQ1505" s="585"/>
      <c r="AR1505" s="585"/>
      <c r="AS1505" s="585"/>
      <c r="AT1505" s="585"/>
      <c r="AU1505" s="585"/>
      <c r="AV1505" s="585"/>
      <c r="AW1505" s="585"/>
      <c r="AX1505" s="585"/>
      <c r="AY1505" s="585"/>
      <c r="AZ1505" s="585"/>
      <c r="BA1505" s="585"/>
      <c r="BB1505" s="585"/>
      <c r="BC1505" s="585"/>
      <c r="BD1505" s="585"/>
      <c r="BE1505" s="585"/>
      <c r="BF1505" s="585"/>
      <c r="BG1505" s="585"/>
      <c r="BH1505" s="585"/>
      <c r="BI1505" s="585"/>
      <c r="BJ1505" s="585"/>
      <c r="BK1505" s="585"/>
      <c r="BL1505" s="585"/>
      <c r="BM1505" s="585"/>
      <c r="BN1505" s="585"/>
      <c r="BO1505" s="585"/>
      <c r="BP1505" s="585"/>
      <c r="BQ1505" s="585"/>
      <c r="BR1505" s="585"/>
      <c r="BS1505" s="585"/>
      <c r="BT1505" s="585"/>
      <c r="BU1505" s="585"/>
      <c r="BV1505" s="585"/>
      <c r="BW1505" s="585"/>
      <c r="BX1505" s="585"/>
      <c r="BY1505" s="585"/>
      <c r="BZ1505" s="585"/>
      <c r="CA1505" s="585"/>
      <c r="CB1505" s="585"/>
      <c r="CC1505" s="585"/>
      <c r="CD1505" s="585"/>
      <c r="CE1505" s="585"/>
      <c r="CF1505" s="586"/>
    </row>
    <row r="1506" spans="1:84" s="583" customFormat="1" ht="23.1" customHeight="1">
      <c r="A1506" s="587"/>
      <c r="B1506" s="574"/>
      <c r="C1506" s="574"/>
      <c r="D1506" s="405"/>
      <c r="E1506" s="574"/>
      <c r="F1506" s="422"/>
      <c r="G1506" s="422"/>
      <c r="H1506" s="422"/>
      <c r="I1506" s="422"/>
      <c r="J1506" s="422"/>
      <c r="K1506" s="422"/>
      <c r="L1506" s="422"/>
      <c r="M1506" s="422"/>
      <c r="N1506" s="574"/>
      <c r="O1506" s="574"/>
      <c r="P1506" s="574"/>
      <c r="Q1506" s="574"/>
      <c r="R1506" s="574"/>
      <c r="S1506" s="588"/>
      <c r="T1506" s="588"/>
      <c r="U1506" s="588"/>
      <c r="V1506" s="588"/>
      <c r="W1506" s="588"/>
      <c r="X1506" s="588"/>
      <c r="Y1506" s="588"/>
      <c r="Z1506" s="588"/>
      <c r="AA1506" s="574"/>
      <c r="AB1506" s="588"/>
      <c r="AC1506" s="585"/>
      <c r="AD1506" s="585"/>
      <c r="AE1506" s="600"/>
      <c r="AF1506" s="600"/>
      <c r="AG1506" s="600"/>
      <c r="AH1506" s="600"/>
      <c r="AI1506" s="600"/>
      <c r="AJ1506" s="600"/>
      <c r="AK1506" s="600"/>
      <c r="AL1506" s="600"/>
      <c r="AM1506" s="585"/>
      <c r="AN1506" s="585"/>
      <c r="AO1506" s="574"/>
      <c r="AP1506" s="430"/>
      <c r="AQ1506" s="430"/>
      <c r="AR1506" s="430"/>
      <c r="AS1506" s="430"/>
      <c r="AT1506" s="430"/>
      <c r="AU1506" s="430"/>
      <c r="AV1506" s="430"/>
      <c r="AW1506" s="430"/>
      <c r="AX1506" s="430"/>
      <c r="AY1506" s="430"/>
      <c r="AZ1506" s="430"/>
      <c r="BA1506" s="430"/>
      <c r="BB1506" s="430"/>
      <c r="BC1506" s="430"/>
      <c r="BD1506" s="574"/>
      <c r="BE1506" s="574"/>
      <c r="BF1506" s="574"/>
      <c r="BG1506" s="574"/>
      <c r="BH1506" s="574"/>
      <c r="BI1506" s="574"/>
      <c r="BJ1506" s="574"/>
      <c r="BK1506" s="574"/>
      <c r="BL1506" s="574"/>
      <c r="BM1506" s="574"/>
      <c r="BN1506" s="574"/>
      <c r="BO1506" s="574"/>
      <c r="BP1506" s="574"/>
      <c r="BQ1506" s="574"/>
      <c r="BR1506" s="574"/>
      <c r="BS1506" s="574"/>
      <c r="BT1506" s="574"/>
      <c r="BU1506" s="574"/>
      <c r="BV1506" s="574"/>
      <c r="BW1506" s="574"/>
      <c r="BX1506" s="574"/>
      <c r="BY1506" s="574"/>
      <c r="BZ1506" s="574"/>
      <c r="CA1506" s="574"/>
      <c r="CB1506" s="574"/>
      <c r="CC1506" s="574"/>
      <c r="CD1506" s="574"/>
      <c r="CE1506" s="574"/>
      <c r="CF1506" s="589"/>
    </row>
    <row r="1507" spans="1:84" s="583" customFormat="1" ht="23.1" customHeight="1">
      <c r="A1507" s="584"/>
      <c r="B1507" s="585"/>
      <c r="C1507" s="585"/>
      <c r="D1507" s="585"/>
      <c r="E1507" s="585"/>
      <c r="F1507" s="585"/>
      <c r="G1507" s="585"/>
      <c r="H1507" s="585"/>
      <c r="I1507" s="585"/>
      <c r="J1507" s="585"/>
      <c r="K1507" s="585"/>
      <c r="L1507" s="585"/>
      <c r="M1507" s="585"/>
      <c r="N1507" s="585"/>
      <c r="O1507" s="585"/>
      <c r="P1507" s="585"/>
      <c r="Q1507" s="585"/>
      <c r="R1507" s="585"/>
      <c r="S1507" s="585"/>
      <c r="T1507" s="585"/>
      <c r="U1507" s="585"/>
      <c r="V1507" s="590"/>
      <c r="W1507" s="590"/>
      <c r="X1507" s="590"/>
      <c r="Y1507" s="590"/>
      <c r="Z1507" s="590"/>
      <c r="AA1507" s="590"/>
      <c r="AB1507" s="590"/>
      <c r="AC1507" s="590"/>
      <c r="AD1507" s="574"/>
      <c r="AE1507" s="1440">
        <v>1155000</v>
      </c>
      <c r="AF1507" s="1440"/>
      <c r="AG1507" s="1440"/>
      <c r="AH1507" s="1440"/>
      <c r="AI1507" s="1440"/>
      <c r="AJ1507" s="1440"/>
      <c r="AK1507" s="1440"/>
      <c r="AL1507" s="1440"/>
      <c r="AM1507" s="1440"/>
      <c r="AN1507" s="1440"/>
      <c r="AO1507" s="1440"/>
      <c r="AP1507" s="1440"/>
      <c r="AQ1507" s="1440"/>
      <c r="AR1507" s="1440"/>
      <c r="AS1507" s="1440"/>
      <c r="AT1507" s="1431" t="s">
        <v>446</v>
      </c>
      <c r="AU1507" s="1431"/>
      <c r="AV1507" s="1441" t="s">
        <v>1103</v>
      </c>
      <c r="AW1507" s="1441"/>
      <c r="AX1507" s="1442">
        <v>2754</v>
      </c>
      <c r="AY1507" s="1442"/>
      <c r="AZ1507" s="1442"/>
      <c r="BA1507" s="1442"/>
      <c r="BB1507" s="1442"/>
      <c r="BC1507" s="1442"/>
      <c r="BD1507" s="585"/>
      <c r="BE1507" s="1431" t="s">
        <v>446</v>
      </c>
      <c r="BF1507" s="1431"/>
      <c r="BG1507" s="585"/>
      <c r="BH1507" s="591" t="s">
        <v>1104</v>
      </c>
      <c r="BI1507" s="585"/>
      <c r="BJ1507" s="585"/>
      <c r="BK1507" s="585"/>
      <c r="BL1507" s="1431" t="s">
        <v>1105</v>
      </c>
      <c r="BM1507" s="1431"/>
      <c r="BN1507" s="1431"/>
      <c r="BO1507" s="585"/>
      <c r="BP1507" s="1431" t="s">
        <v>41</v>
      </c>
      <c r="BQ1507" s="1431"/>
      <c r="BR1507" s="585"/>
      <c r="BS1507" s="585"/>
      <c r="BT1507" s="1437">
        <f>INT(AE1507*AX1507*10^-7)</f>
        <v>318</v>
      </c>
      <c r="BU1507" s="1437"/>
      <c r="BV1507" s="1437"/>
      <c r="BW1507" s="1437"/>
      <c r="BX1507" s="1437"/>
      <c r="BY1507" s="1437"/>
      <c r="BZ1507" s="1437"/>
      <c r="CA1507" s="1437"/>
      <c r="CB1507" s="1437"/>
      <c r="CC1507" s="1437"/>
      <c r="CD1507" s="585"/>
      <c r="CE1507" s="585"/>
      <c r="CF1507" s="586"/>
    </row>
    <row r="1508" spans="1:84" s="583" customFormat="1" ht="23.1" customHeight="1">
      <c r="A1508" s="592"/>
      <c r="B1508" s="593" t="s">
        <v>1106</v>
      </c>
      <c r="C1508" s="593"/>
      <c r="D1508" s="593"/>
      <c r="E1508" s="593"/>
      <c r="F1508" s="593"/>
      <c r="G1508" s="593"/>
      <c r="H1508" s="593"/>
      <c r="I1508" s="593"/>
      <c r="J1508" s="593"/>
      <c r="K1508" s="593"/>
      <c r="L1508" s="593"/>
      <c r="M1508" s="593"/>
      <c r="N1508" s="593"/>
      <c r="O1508" s="593"/>
      <c r="P1508" s="593"/>
      <c r="Q1508" s="593"/>
      <c r="R1508" s="593"/>
      <c r="S1508" s="593"/>
      <c r="T1508" s="593"/>
      <c r="U1508" s="593"/>
      <c r="V1508" s="593"/>
      <c r="W1508" s="593"/>
      <c r="X1508" s="593"/>
      <c r="Y1508" s="593"/>
      <c r="Z1508" s="593"/>
      <c r="AA1508" s="593"/>
      <c r="AB1508" s="593"/>
      <c r="AC1508" s="593"/>
      <c r="AD1508" s="593"/>
      <c r="AE1508" s="593"/>
      <c r="AF1508" s="593"/>
      <c r="AG1508" s="593"/>
      <c r="AH1508" s="593"/>
      <c r="AI1508" s="593"/>
      <c r="AJ1508" s="593"/>
      <c r="AK1508" s="593"/>
      <c r="AL1508" s="593"/>
      <c r="AM1508" s="593"/>
      <c r="AN1508" s="593"/>
      <c r="AO1508" s="593"/>
      <c r="AP1508" s="593"/>
      <c r="AQ1508" s="593"/>
      <c r="AR1508" s="593"/>
      <c r="AS1508" s="593"/>
      <c r="AT1508" s="593"/>
      <c r="AU1508" s="593"/>
      <c r="AV1508" s="593"/>
      <c r="AW1508" s="593"/>
      <c r="AX1508" s="593"/>
      <c r="AY1508" s="593"/>
      <c r="AZ1508" s="593"/>
      <c r="BA1508" s="593"/>
      <c r="BB1508" s="593"/>
      <c r="BC1508" s="593"/>
      <c r="BD1508" s="593"/>
      <c r="BE1508" s="593"/>
      <c r="BF1508" s="593"/>
      <c r="BG1508" s="593"/>
      <c r="BH1508" s="593"/>
      <c r="BI1508" s="593"/>
      <c r="BJ1508" s="593"/>
      <c r="BK1508" s="593"/>
      <c r="BL1508" s="593"/>
      <c r="BM1508" s="593"/>
      <c r="BN1508" s="593"/>
      <c r="BO1508" s="593"/>
      <c r="BP1508" s="593"/>
      <c r="BQ1508" s="593"/>
      <c r="BR1508" s="593"/>
      <c r="BS1508" s="593"/>
      <c r="BT1508" s="594"/>
      <c r="BU1508" s="594"/>
      <c r="BV1508" s="594"/>
      <c r="BW1508" s="594"/>
      <c r="BX1508" s="594"/>
      <c r="BY1508" s="594"/>
      <c r="BZ1508" s="594"/>
      <c r="CA1508" s="594"/>
      <c r="CB1508" s="594"/>
      <c r="CC1508" s="594"/>
      <c r="CD1508" s="593"/>
      <c r="CE1508" s="593"/>
      <c r="CF1508" s="595"/>
    </row>
    <row r="1509" spans="1:84" s="583" customFormat="1" ht="23.1" customHeight="1">
      <c r="A1509" s="584"/>
      <c r="B1509" s="585"/>
      <c r="C1509" s="585"/>
      <c r="D1509" s="596"/>
      <c r="E1509" s="585"/>
      <c r="F1509" s="585"/>
      <c r="G1509" s="585"/>
      <c r="H1509" s="585"/>
      <c r="I1509" s="585"/>
      <c r="J1509" s="585"/>
      <c r="K1509" s="585"/>
      <c r="L1509" s="585"/>
      <c r="M1509" s="585"/>
      <c r="N1509" s="585"/>
      <c r="O1509" s="585"/>
      <c r="P1509" s="585"/>
      <c r="Q1509" s="585"/>
      <c r="R1509" s="585"/>
      <c r="S1509" s="585"/>
      <c r="T1509" s="574"/>
      <c r="U1509" s="574"/>
      <c r="V1509" s="1430"/>
      <c r="W1509" s="1430"/>
      <c r="X1509" s="1430"/>
      <c r="Y1509" s="1430"/>
      <c r="Z1509" s="1430"/>
      <c r="AA1509" s="1430"/>
      <c r="AB1509" s="1430"/>
      <c r="AC1509" s="1430"/>
      <c r="AD1509" s="1430"/>
      <c r="AE1509" s="1430"/>
      <c r="AF1509" s="1431"/>
      <c r="AG1509" s="1431"/>
      <c r="AH1509" s="574"/>
      <c r="AI1509" s="1436"/>
      <c r="AJ1509" s="1436"/>
      <c r="AK1509" s="1436"/>
      <c r="AL1509" s="1436"/>
      <c r="AM1509" s="585"/>
      <c r="AN1509" s="1431"/>
      <c r="AO1509" s="1431"/>
      <c r="AP1509" s="585"/>
      <c r="AQ1509" s="1436"/>
      <c r="AR1509" s="1436"/>
      <c r="AS1509" s="1436"/>
      <c r="AT1509" s="1436"/>
      <c r="AU1509" s="1436"/>
      <c r="AV1509" s="422"/>
      <c r="AW1509" s="1431"/>
      <c r="AX1509" s="1431"/>
      <c r="AY1509" s="440"/>
      <c r="AZ1509" s="1436"/>
      <c r="BA1509" s="1436"/>
      <c r="BB1509" s="1436"/>
      <c r="BC1509" s="1436"/>
      <c r="BD1509" s="1436"/>
      <c r="BE1509" s="585"/>
      <c r="BF1509" s="1431"/>
      <c r="BG1509" s="1431"/>
      <c r="BH1509" s="1431"/>
      <c r="BI1509" s="1431"/>
      <c r="BJ1509" s="1431"/>
      <c r="BK1509" s="585"/>
      <c r="BL1509" s="585"/>
      <c r="BM1509" s="585"/>
      <c r="BN1509" s="585"/>
      <c r="BO1509" s="585"/>
      <c r="BP1509" s="1431"/>
      <c r="BQ1509" s="1431"/>
      <c r="BR1509" s="585"/>
      <c r="BS1509" s="585"/>
      <c r="BT1509" s="1432"/>
      <c r="BU1509" s="1432"/>
      <c r="BV1509" s="1432"/>
      <c r="BW1509" s="1432"/>
      <c r="BX1509" s="1432"/>
      <c r="BY1509" s="1432"/>
      <c r="BZ1509" s="1432"/>
      <c r="CA1509" s="1432"/>
      <c r="CB1509" s="1432"/>
      <c r="CC1509" s="1432"/>
      <c r="CD1509" s="585"/>
      <c r="CE1509" s="585"/>
      <c r="CF1509" s="586"/>
    </row>
    <row r="1510" spans="1:84" s="583" customFormat="1" ht="23.1" customHeight="1">
      <c r="A1510" s="584"/>
      <c r="B1510" s="585"/>
      <c r="C1510" s="585"/>
      <c r="D1510" s="585"/>
      <c r="E1510" s="585"/>
      <c r="F1510" s="585"/>
      <c r="G1510" s="585"/>
      <c r="H1510" s="585"/>
      <c r="I1510" s="585"/>
      <c r="J1510" s="585"/>
      <c r="K1510" s="585"/>
      <c r="L1510" s="585"/>
      <c r="M1510" s="585"/>
      <c r="N1510" s="585"/>
      <c r="O1510" s="585"/>
      <c r="P1510" s="574"/>
      <c r="Q1510" s="574"/>
      <c r="R1510" s="574"/>
      <c r="S1510" s="574"/>
      <c r="T1510" s="574"/>
      <c r="U1510" s="574"/>
      <c r="V1510" s="574"/>
      <c r="W1510" s="574"/>
      <c r="X1510" s="574"/>
      <c r="Y1510" s="574"/>
      <c r="Z1510" s="574"/>
      <c r="AA1510" s="574"/>
      <c r="AB1510" s="574"/>
      <c r="AC1510" s="574"/>
      <c r="AD1510" s="574"/>
      <c r="AE1510" s="574"/>
      <c r="AF1510" s="574"/>
      <c r="AG1510" s="574"/>
      <c r="AH1510" s="574"/>
      <c r="AI1510" s="574"/>
      <c r="AJ1510" s="574"/>
      <c r="AK1510" s="574"/>
      <c r="AL1510" s="574"/>
      <c r="AM1510" s="574"/>
      <c r="AN1510" s="574"/>
      <c r="AO1510" s="574"/>
      <c r="AP1510" s="574"/>
      <c r="AQ1510" s="574"/>
      <c r="AR1510" s="574"/>
      <c r="AS1510" s="574"/>
      <c r="AT1510" s="574"/>
      <c r="AU1510" s="574"/>
      <c r="AV1510" s="574"/>
      <c r="AW1510" s="574"/>
      <c r="AX1510" s="574"/>
      <c r="AY1510" s="574"/>
      <c r="AZ1510" s="574"/>
      <c r="BA1510" s="574"/>
      <c r="BB1510" s="574"/>
      <c r="BC1510" s="574"/>
      <c r="BD1510" s="574"/>
      <c r="BE1510" s="574"/>
      <c r="BF1510" s="574"/>
      <c r="BG1510" s="585"/>
      <c r="BH1510" s="585"/>
      <c r="BI1510" s="585"/>
      <c r="BJ1510" s="585"/>
      <c r="BK1510" s="585"/>
      <c r="BL1510" s="585"/>
      <c r="BM1510" s="585"/>
      <c r="BN1510" s="585"/>
      <c r="BO1510" s="585"/>
      <c r="BP1510" s="1431"/>
      <c r="BQ1510" s="1431"/>
      <c r="BR1510" s="585"/>
      <c r="BS1510" s="585"/>
      <c r="BT1510" s="1432"/>
      <c r="BU1510" s="1432"/>
      <c r="BV1510" s="1432"/>
      <c r="BW1510" s="1432"/>
      <c r="BX1510" s="1432"/>
      <c r="BY1510" s="1432"/>
      <c r="BZ1510" s="1432"/>
      <c r="CA1510" s="1432"/>
      <c r="CB1510" s="1432"/>
      <c r="CC1510" s="1432"/>
      <c r="CD1510" s="585"/>
      <c r="CE1510" s="585"/>
      <c r="CF1510" s="586"/>
    </row>
    <row r="1511" spans="1:84" s="583" customFormat="1" ht="23.1" customHeight="1">
      <c r="A1511" s="584"/>
      <c r="B1511" s="585"/>
      <c r="C1511" s="585"/>
      <c r="D1511" s="585"/>
      <c r="E1511" s="585"/>
      <c r="F1511" s="585"/>
      <c r="G1511" s="585"/>
      <c r="H1511" s="585"/>
      <c r="I1511" s="585"/>
      <c r="J1511" s="585"/>
      <c r="K1511" s="585"/>
      <c r="L1511" s="585"/>
      <c r="M1511" s="585"/>
      <c r="N1511" s="585"/>
      <c r="O1511" s="585"/>
      <c r="P1511" s="585"/>
      <c r="Q1511" s="585"/>
      <c r="R1511" s="585"/>
      <c r="S1511" s="585"/>
      <c r="T1511" s="585"/>
      <c r="U1511" s="585"/>
      <c r="V1511" s="585"/>
      <c r="W1511" s="585"/>
      <c r="X1511" s="585"/>
      <c r="Y1511" s="585"/>
      <c r="Z1511" s="585"/>
      <c r="AA1511" s="585"/>
      <c r="AB1511" s="585"/>
      <c r="AC1511" s="585"/>
      <c r="AD1511" s="574"/>
      <c r="AE1511" s="574"/>
      <c r="AF1511" s="574"/>
      <c r="AG1511" s="574"/>
      <c r="AH1511" s="574"/>
      <c r="AI1511" s="574"/>
      <c r="AJ1511" s="574"/>
      <c r="AK1511" s="574"/>
      <c r="AL1511" s="574"/>
      <c r="AM1511" s="574"/>
      <c r="AN1511" s="574"/>
      <c r="AO1511" s="574"/>
      <c r="AP1511" s="574"/>
      <c r="AQ1511" s="574"/>
      <c r="AR1511" s="574"/>
      <c r="AS1511" s="585"/>
      <c r="AT1511" s="590"/>
      <c r="AU1511" s="590"/>
      <c r="AV1511" s="585"/>
      <c r="AW1511" s="585"/>
      <c r="AX1511" s="585"/>
      <c r="AY1511" s="585"/>
      <c r="AZ1511" s="585"/>
      <c r="BA1511" s="585"/>
      <c r="BB1511" s="585"/>
      <c r="BC1511" s="585"/>
      <c r="BD1511" s="585"/>
      <c r="BE1511" s="585"/>
      <c r="BF1511" s="585"/>
      <c r="BG1511" s="585"/>
      <c r="BH1511" s="585"/>
      <c r="BI1511" s="585"/>
      <c r="BJ1511" s="585"/>
      <c r="BK1511" s="585"/>
      <c r="BL1511" s="585"/>
      <c r="BM1511" s="585"/>
      <c r="BN1511" s="585"/>
      <c r="BO1511" s="585"/>
      <c r="BP1511" s="1431" t="s">
        <v>41</v>
      </c>
      <c r="BQ1511" s="1431"/>
      <c r="BR1511" s="585"/>
      <c r="BS1511" s="585"/>
      <c r="BT1511" s="1434">
        <f>BT1509+BT1510</f>
        <v>0</v>
      </c>
      <c r="BU1511" s="1434"/>
      <c r="BV1511" s="1434"/>
      <c r="BW1511" s="1434"/>
      <c r="BX1511" s="1434"/>
      <c r="BY1511" s="1434"/>
      <c r="BZ1511" s="1434"/>
      <c r="CA1511" s="1434"/>
      <c r="CB1511" s="1434"/>
      <c r="CC1511" s="1434"/>
      <c r="CD1511" s="585"/>
      <c r="CE1511" s="585"/>
      <c r="CF1511" s="586"/>
    </row>
    <row r="1512" spans="1:84" s="583" customFormat="1" ht="23.1" customHeight="1">
      <c r="A1512" s="592"/>
      <c r="B1512" s="593" t="s">
        <v>1110</v>
      </c>
      <c r="C1512" s="593"/>
      <c r="D1512" s="593"/>
      <c r="E1512" s="593"/>
      <c r="F1512" s="593"/>
      <c r="G1512" s="593"/>
      <c r="H1512" s="593"/>
      <c r="I1512" s="593"/>
      <c r="J1512" s="593"/>
      <c r="K1512" s="593"/>
      <c r="L1512" s="593"/>
      <c r="M1512" s="593"/>
      <c r="N1512" s="593"/>
      <c r="O1512" s="593"/>
      <c r="P1512" s="593"/>
      <c r="Q1512" s="593"/>
      <c r="R1512" s="593"/>
      <c r="S1512" s="593"/>
      <c r="T1512" s="593"/>
      <c r="U1512" s="593"/>
      <c r="V1512" s="593"/>
      <c r="W1512" s="593"/>
      <c r="X1512" s="593"/>
      <c r="Y1512" s="593"/>
      <c r="Z1512" s="593"/>
      <c r="AA1512" s="593"/>
      <c r="AB1512" s="593"/>
      <c r="AC1512" s="593"/>
      <c r="AD1512" s="593"/>
      <c r="AE1512" s="593"/>
      <c r="AF1512" s="593"/>
      <c r="AG1512" s="593"/>
      <c r="AH1512" s="593"/>
      <c r="AI1512" s="593"/>
      <c r="AJ1512" s="593"/>
      <c r="AK1512" s="593"/>
      <c r="AL1512" s="593"/>
      <c r="AM1512" s="593"/>
      <c r="AN1512" s="593"/>
      <c r="AO1512" s="593"/>
      <c r="AP1512" s="593"/>
      <c r="AQ1512" s="593"/>
      <c r="AR1512" s="593"/>
      <c r="AS1512" s="593"/>
      <c r="AT1512" s="593"/>
      <c r="AU1512" s="593"/>
      <c r="AV1512" s="593"/>
      <c r="AW1512" s="593"/>
      <c r="AX1512" s="593"/>
      <c r="AY1512" s="593"/>
      <c r="AZ1512" s="593"/>
      <c r="BA1512" s="593"/>
      <c r="BB1512" s="593"/>
      <c r="BC1512" s="593"/>
      <c r="BD1512" s="593"/>
      <c r="BE1512" s="593"/>
      <c r="BF1512" s="593"/>
      <c r="BG1512" s="593"/>
      <c r="BH1512" s="593"/>
      <c r="BI1512" s="593"/>
      <c r="BJ1512" s="593"/>
      <c r="BK1512" s="593"/>
      <c r="BL1512" s="593"/>
      <c r="BM1512" s="593"/>
      <c r="BN1512" s="593"/>
      <c r="BO1512" s="593"/>
      <c r="BP1512" s="593"/>
      <c r="BQ1512" s="593"/>
      <c r="BR1512" s="593"/>
      <c r="BS1512" s="593"/>
      <c r="BT1512" s="593"/>
      <c r="BU1512" s="593"/>
      <c r="BV1512" s="593"/>
      <c r="BW1512" s="593"/>
      <c r="BX1512" s="593"/>
      <c r="BY1512" s="593"/>
      <c r="BZ1512" s="593"/>
      <c r="CA1512" s="593"/>
      <c r="CB1512" s="593"/>
      <c r="CC1512" s="593"/>
      <c r="CD1512" s="593"/>
      <c r="CE1512" s="593"/>
      <c r="CF1512" s="595"/>
    </row>
    <row r="1513" spans="1:84" s="583" customFormat="1" ht="23.1" customHeight="1">
      <c r="A1513" s="584"/>
      <c r="B1513" s="585"/>
      <c r="C1513" s="585"/>
      <c r="D1513" s="596"/>
      <c r="E1513" s="585"/>
      <c r="F1513" s="585"/>
      <c r="G1513" s="585"/>
      <c r="H1513" s="585"/>
      <c r="I1513" s="585"/>
      <c r="J1513" s="585"/>
      <c r="K1513" s="585"/>
      <c r="L1513" s="585"/>
      <c r="M1513" s="585"/>
      <c r="N1513" s="585"/>
      <c r="O1513" s="585"/>
      <c r="P1513" s="585"/>
      <c r="Q1513" s="585"/>
      <c r="R1513" s="585"/>
      <c r="S1513" s="585"/>
      <c r="T1513" s="585"/>
      <c r="U1513" s="585"/>
      <c r="V1513" s="585"/>
      <c r="W1513" s="585"/>
      <c r="X1513" s="585"/>
      <c r="Y1513" s="585"/>
      <c r="Z1513" s="585"/>
      <c r="AA1513" s="585"/>
      <c r="AB1513" s="585"/>
      <c r="AC1513" s="585"/>
      <c r="AD1513" s="585"/>
      <c r="AE1513" s="585"/>
      <c r="AF1513" s="585"/>
      <c r="AG1513" s="585"/>
      <c r="AH1513" s="585"/>
      <c r="AI1513" s="585"/>
      <c r="AJ1513" s="585"/>
      <c r="AK1513" s="585"/>
      <c r="AL1513" s="585"/>
      <c r="AM1513" s="585"/>
      <c r="AN1513" s="585"/>
      <c r="AO1513" s="585"/>
      <c r="AP1513" s="585"/>
      <c r="AQ1513" s="585"/>
      <c r="AR1513" s="422"/>
      <c r="AS1513" s="1430"/>
      <c r="AT1513" s="1430"/>
      <c r="AU1513" s="1430"/>
      <c r="AV1513" s="1430"/>
      <c r="AW1513" s="1430"/>
      <c r="AX1513" s="1430"/>
      <c r="AY1513" s="1430"/>
      <c r="AZ1513" s="1430"/>
      <c r="BA1513" s="1430"/>
      <c r="BB1513" s="1430"/>
      <c r="BC1513" s="585"/>
      <c r="BD1513" s="1431"/>
      <c r="BE1513" s="1431"/>
      <c r="BF1513" s="585"/>
      <c r="BG1513" s="1431"/>
      <c r="BH1513" s="1431"/>
      <c r="BI1513" s="1431"/>
      <c r="BJ1513" s="1431"/>
      <c r="BK1513" s="1431"/>
      <c r="BL1513" s="585"/>
      <c r="BM1513" s="585"/>
      <c r="BN1513" s="585"/>
      <c r="BO1513" s="585"/>
      <c r="BP1513" s="1431"/>
      <c r="BQ1513" s="1431"/>
      <c r="BR1513" s="585"/>
      <c r="BS1513" s="585"/>
      <c r="BT1513" s="1432"/>
      <c r="BU1513" s="1432"/>
      <c r="BV1513" s="1432"/>
      <c r="BW1513" s="1432"/>
      <c r="BX1513" s="1432"/>
      <c r="BY1513" s="1432"/>
      <c r="BZ1513" s="1432"/>
      <c r="CA1513" s="1432"/>
      <c r="CB1513" s="1432"/>
      <c r="CC1513" s="1432"/>
      <c r="CD1513" s="585"/>
      <c r="CE1513" s="585"/>
      <c r="CF1513" s="586"/>
    </row>
    <row r="1514" spans="1:84" s="583" customFormat="1" ht="23.1" customHeight="1">
      <c r="A1514" s="584"/>
      <c r="B1514" s="585"/>
      <c r="C1514" s="585"/>
      <c r="D1514" s="591"/>
      <c r="E1514" s="585"/>
      <c r="F1514" s="585"/>
      <c r="G1514" s="585"/>
      <c r="H1514" s="585"/>
      <c r="I1514" s="585"/>
      <c r="J1514" s="585"/>
      <c r="K1514" s="585"/>
      <c r="L1514" s="585"/>
      <c r="M1514" s="585"/>
      <c r="N1514" s="585"/>
      <c r="O1514" s="585"/>
      <c r="P1514" s="585"/>
      <c r="Q1514" s="585"/>
      <c r="R1514" s="585"/>
      <c r="S1514" s="585"/>
      <c r="T1514" s="585"/>
      <c r="U1514" s="585"/>
      <c r="V1514" s="585"/>
      <c r="W1514" s="585"/>
      <c r="X1514" s="585"/>
      <c r="Y1514" s="585"/>
      <c r="Z1514" s="585"/>
      <c r="AA1514" s="585"/>
      <c r="AB1514" s="585"/>
      <c r="AC1514" s="585"/>
      <c r="AD1514" s="585"/>
      <c r="AE1514" s="585"/>
      <c r="AF1514" s="585"/>
      <c r="AG1514" s="585"/>
      <c r="AH1514" s="585"/>
      <c r="AI1514" s="585"/>
      <c r="AJ1514" s="585"/>
      <c r="AK1514" s="585"/>
      <c r="AL1514" s="585"/>
      <c r="AM1514" s="585"/>
      <c r="AN1514" s="585"/>
      <c r="AO1514" s="585"/>
      <c r="AP1514" s="585"/>
      <c r="AQ1514" s="585"/>
      <c r="AR1514" s="422"/>
      <c r="AS1514" s="1430"/>
      <c r="AT1514" s="1430"/>
      <c r="AU1514" s="1430"/>
      <c r="AV1514" s="1430"/>
      <c r="AW1514" s="1430"/>
      <c r="AX1514" s="1430"/>
      <c r="AY1514" s="1430"/>
      <c r="AZ1514" s="1430"/>
      <c r="BA1514" s="1430"/>
      <c r="BB1514" s="1430"/>
      <c r="BC1514" s="585"/>
      <c r="BD1514" s="1431"/>
      <c r="BE1514" s="1431"/>
      <c r="BF1514" s="585"/>
      <c r="BG1514" s="1431"/>
      <c r="BH1514" s="1431"/>
      <c r="BI1514" s="1431"/>
      <c r="BJ1514" s="1431"/>
      <c r="BK1514" s="1431"/>
      <c r="BL1514" s="585"/>
      <c r="BM1514" s="585"/>
      <c r="BN1514" s="585"/>
      <c r="BO1514" s="585"/>
      <c r="BP1514" s="1431"/>
      <c r="BQ1514" s="1431"/>
      <c r="BR1514" s="585"/>
      <c r="BS1514" s="585"/>
      <c r="BT1514" s="1432"/>
      <c r="BU1514" s="1432"/>
      <c r="BV1514" s="1432"/>
      <c r="BW1514" s="1432"/>
      <c r="BX1514" s="1432"/>
      <c r="BY1514" s="1432"/>
      <c r="BZ1514" s="1432"/>
      <c r="CA1514" s="1432"/>
      <c r="CB1514" s="1432"/>
      <c r="CC1514" s="1432"/>
      <c r="CD1514" s="585"/>
      <c r="CE1514" s="585"/>
      <c r="CF1514" s="586"/>
    </row>
    <row r="1515" spans="1:84" s="583" customFormat="1" ht="23.1" customHeight="1" thickBot="1">
      <c r="A1515" s="584"/>
      <c r="B1515" s="585"/>
      <c r="C1515" s="585"/>
      <c r="D1515" s="585"/>
      <c r="E1515" s="585"/>
      <c r="F1515" s="585"/>
      <c r="G1515" s="585"/>
      <c r="H1515" s="585"/>
      <c r="I1515" s="585"/>
      <c r="J1515" s="585"/>
      <c r="K1515" s="585"/>
      <c r="L1515" s="585"/>
      <c r="M1515" s="585"/>
      <c r="N1515" s="585"/>
      <c r="O1515" s="585"/>
      <c r="P1515" s="585"/>
      <c r="Q1515" s="585"/>
      <c r="R1515" s="585"/>
      <c r="S1515" s="585"/>
      <c r="T1515" s="585"/>
      <c r="U1515" s="585"/>
      <c r="V1515" s="585"/>
      <c r="W1515" s="585"/>
      <c r="X1515" s="585"/>
      <c r="Y1515" s="585"/>
      <c r="Z1515" s="585"/>
      <c r="AA1515" s="585"/>
      <c r="AB1515" s="585"/>
      <c r="AC1515" s="585"/>
      <c r="AD1515" s="585"/>
      <c r="AE1515" s="585"/>
      <c r="AF1515" s="585"/>
      <c r="AG1515" s="585"/>
      <c r="AH1515" s="585"/>
      <c r="AI1515" s="585"/>
      <c r="AJ1515" s="585"/>
      <c r="AK1515" s="585"/>
      <c r="AL1515" s="585"/>
      <c r="AM1515" s="585"/>
      <c r="AN1515" s="585"/>
      <c r="AO1515" s="585"/>
      <c r="AP1515" s="585"/>
      <c r="AQ1515" s="585"/>
      <c r="AR1515" s="585"/>
      <c r="AS1515" s="585"/>
      <c r="AT1515" s="585"/>
      <c r="AU1515" s="585"/>
      <c r="AV1515" s="585"/>
      <c r="AW1515" s="585"/>
      <c r="AX1515" s="585"/>
      <c r="AY1515" s="585"/>
      <c r="AZ1515" s="585"/>
      <c r="BA1515" s="585"/>
      <c r="BB1515" s="585"/>
      <c r="BC1515" s="585"/>
      <c r="BD1515" s="585"/>
      <c r="BE1515" s="585"/>
      <c r="BF1515" s="585"/>
      <c r="BG1515" s="585"/>
      <c r="BH1515" s="585"/>
      <c r="BI1515" s="585"/>
      <c r="BJ1515" s="585"/>
      <c r="BK1515" s="585"/>
      <c r="BL1515" s="585"/>
      <c r="BM1515" s="585"/>
      <c r="BN1515" s="585"/>
      <c r="BO1515" s="585"/>
      <c r="BP1515" s="1431" t="s">
        <v>41</v>
      </c>
      <c r="BQ1515" s="1431"/>
      <c r="BR1515" s="585"/>
      <c r="BS1515" s="585"/>
      <c r="BT1515" s="1433">
        <f>BT1513+BT1514</f>
        <v>0</v>
      </c>
      <c r="BU1515" s="1433"/>
      <c r="BV1515" s="1433"/>
      <c r="BW1515" s="1433"/>
      <c r="BX1515" s="1433"/>
      <c r="BY1515" s="1433"/>
      <c r="BZ1515" s="1433"/>
      <c r="CA1515" s="1433"/>
      <c r="CB1515" s="1433"/>
      <c r="CC1515" s="1433"/>
      <c r="CD1515" s="585"/>
      <c r="CE1515" s="585"/>
      <c r="CF1515" s="586"/>
    </row>
    <row r="1516" spans="1:84" s="583" customFormat="1" ht="23.1" customHeight="1" thickBot="1">
      <c r="A1516" s="597"/>
      <c r="B1516" s="598" t="s">
        <v>1113</v>
      </c>
      <c r="C1516" s="598"/>
      <c r="D1516" s="598"/>
      <c r="E1516" s="598"/>
      <c r="F1516" s="598"/>
      <c r="G1516" s="598"/>
      <c r="H1516" s="598"/>
      <c r="I1516" s="598"/>
      <c r="J1516" s="598"/>
      <c r="K1516" s="598"/>
      <c r="L1516" s="598"/>
      <c r="M1516" s="598"/>
      <c r="N1516" s="598"/>
      <c r="O1516" s="598"/>
      <c r="P1516" s="598"/>
      <c r="Q1516" s="598"/>
      <c r="R1516" s="598"/>
      <c r="S1516" s="598"/>
      <c r="T1516" s="598"/>
      <c r="U1516" s="598"/>
      <c r="V1516" s="598"/>
      <c r="W1516" s="598"/>
      <c r="X1516" s="598"/>
      <c r="Y1516" s="598"/>
      <c r="Z1516" s="598"/>
      <c r="AA1516" s="598"/>
      <c r="AB1516" s="598"/>
      <c r="AC1516" s="598"/>
      <c r="AD1516" s="598"/>
      <c r="AE1516" s="598"/>
      <c r="AF1516" s="598"/>
      <c r="AG1516" s="598"/>
      <c r="AH1516" s="598"/>
      <c r="AI1516" s="598"/>
      <c r="AJ1516" s="598"/>
      <c r="AK1516" s="598"/>
      <c r="AL1516" s="598"/>
      <c r="AM1516" s="598"/>
      <c r="AN1516" s="598"/>
      <c r="AO1516" s="598"/>
      <c r="AP1516" s="598"/>
      <c r="AQ1516" s="598"/>
      <c r="AR1516" s="598"/>
      <c r="AS1516" s="598"/>
      <c r="AT1516" s="598"/>
      <c r="AU1516" s="598"/>
      <c r="AV1516" s="598"/>
      <c r="AW1516" s="598"/>
      <c r="AX1516" s="598"/>
      <c r="AY1516" s="598"/>
      <c r="AZ1516" s="598"/>
      <c r="BA1516" s="598"/>
      <c r="BB1516" s="598"/>
      <c r="BC1516" s="598"/>
      <c r="BD1516" s="598"/>
      <c r="BE1516" s="598"/>
      <c r="BF1516" s="598"/>
      <c r="BG1516" s="598"/>
      <c r="BH1516" s="598"/>
      <c r="BI1516" s="598"/>
      <c r="BJ1516" s="598"/>
      <c r="BK1516" s="598"/>
      <c r="BL1516" s="598"/>
      <c r="BM1516" s="598"/>
      <c r="BN1516" s="598"/>
      <c r="BO1516" s="598"/>
      <c r="BP1516" s="598"/>
      <c r="BQ1516" s="598"/>
      <c r="BR1516" s="598"/>
      <c r="BS1516" s="598"/>
      <c r="BT1516" s="1429">
        <f>BT1507+BT1511+BT1515</f>
        <v>318</v>
      </c>
      <c r="BU1516" s="1429"/>
      <c r="BV1516" s="1429"/>
      <c r="BW1516" s="1429"/>
      <c r="BX1516" s="1429"/>
      <c r="BY1516" s="1429"/>
      <c r="BZ1516" s="1429"/>
      <c r="CA1516" s="1429"/>
      <c r="CB1516" s="1429"/>
      <c r="CC1516" s="1429"/>
      <c r="CD1516" s="598"/>
      <c r="CE1516" s="598"/>
      <c r="CF1516" s="599"/>
    </row>
    <row r="1517" spans="1:84" s="583" customFormat="1" ht="9.9499999999999993" customHeight="1">
      <c r="A1517" s="574"/>
      <c r="B1517" s="574"/>
      <c r="C1517" s="574"/>
      <c r="D1517" s="574"/>
      <c r="E1517" s="574"/>
      <c r="F1517" s="574"/>
      <c r="G1517" s="574"/>
      <c r="H1517" s="574"/>
      <c r="I1517" s="574"/>
      <c r="J1517" s="574"/>
      <c r="K1517" s="574"/>
      <c r="L1517" s="574"/>
      <c r="M1517" s="574"/>
      <c r="N1517" s="574"/>
      <c r="O1517" s="574"/>
      <c r="P1517" s="574"/>
      <c r="Q1517" s="574"/>
      <c r="R1517" s="574"/>
      <c r="S1517" s="574"/>
      <c r="T1517" s="574"/>
      <c r="U1517" s="574"/>
      <c r="V1517" s="574"/>
      <c r="W1517" s="574"/>
      <c r="X1517" s="574"/>
      <c r="Y1517" s="574"/>
      <c r="Z1517" s="574"/>
      <c r="AA1517" s="574"/>
      <c r="AB1517" s="574"/>
      <c r="AC1517" s="574"/>
      <c r="AD1517" s="574"/>
      <c r="AE1517" s="574"/>
      <c r="AF1517" s="574"/>
      <c r="AG1517" s="574"/>
      <c r="AH1517" s="574"/>
      <c r="AI1517" s="574"/>
      <c r="AJ1517" s="574"/>
      <c r="AK1517" s="574"/>
      <c r="AL1517" s="574"/>
      <c r="AM1517" s="574"/>
      <c r="AN1517" s="574"/>
      <c r="AO1517" s="574"/>
      <c r="AP1517" s="574"/>
      <c r="AQ1517" s="574"/>
      <c r="AR1517" s="574"/>
      <c r="AS1517" s="574"/>
      <c r="AT1517" s="574"/>
      <c r="AU1517" s="574"/>
      <c r="AV1517" s="574"/>
      <c r="AW1517" s="574"/>
      <c r="AX1517" s="574"/>
      <c r="AY1517" s="574"/>
      <c r="AZ1517" s="574"/>
      <c r="BA1517" s="574"/>
      <c r="BB1517" s="574"/>
      <c r="BC1517" s="574"/>
      <c r="BD1517" s="574"/>
      <c r="BE1517" s="574"/>
      <c r="BF1517" s="574"/>
      <c r="BG1517" s="574"/>
      <c r="BH1517" s="574"/>
      <c r="BI1517" s="574"/>
      <c r="BJ1517" s="574"/>
      <c r="BK1517" s="574"/>
      <c r="BL1517" s="574"/>
      <c r="BM1517" s="574"/>
      <c r="BN1517" s="574"/>
      <c r="BO1517" s="574"/>
      <c r="BP1517" s="574"/>
      <c r="BQ1517" s="574"/>
      <c r="BR1517" s="574"/>
      <c r="BS1517" s="574"/>
      <c r="BT1517" s="574"/>
      <c r="BU1517" s="574"/>
      <c r="BV1517" s="574"/>
      <c r="BW1517" s="574"/>
      <c r="BX1517" s="574"/>
      <c r="BY1517" s="574"/>
      <c r="BZ1517" s="574"/>
      <c r="CA1517" s="574"/>
      <c r="CB1517" s="574"/>
      <c r="CC1517" s="574"/>
      <c r="CD1517" s="574"/>
      <c r="CE1517" s="574"/>
      <c r="CF1517" s="574"/>
    </row>
    <row r="1518" spans="1:84" s="583" customFormat="1" ht="23.1" customHeight="1" thickBot="1">
      <c r="A1518" s="1446" t="s">
        <v>1095</v>
      </c>
      <c r="B1518" s="1446"/>
      <c r="C1518" s="1446"/>
      <c r="D1518" s="1446"/>
      <c r="E1518" s="1446"/>
      <c r="F1518" s="1446"/>
      <c r="G1518" s="1447">
        <f>G1503+1</f>
        <v>102</v>
      </c>
      <c r="H1518" s="1447"/>
      <c r="I1518" s="1447"/>
      <c r="J1518" s="1447"/>
      <c r="K1518" s="1448" t="s">
        <v>1096</v>
      </c>
      <c r="L1518" s="1448"/>
      <c r="M1518" s="574"/>
      <c r="N1518" s="574"/>
      <c r="Q1518" s="574"/>
      <c r="R1518" s="574"/>
      <c r="S1518" s="574"/>
      <c r="T1518" s="574"/>
      <c r="U1518" s="574"/>
      <c r="V1518" s="574"/>
      <c r="W1518" s="574"/>
      <c r="X1518" s="574"/>
      <c r="Y1518" s="574"/>
      <c r="Z1518" s="574"/>
      <c r="AA1518" s="574"/>
      <c r="AB1518" s="574"/>
      <c r="AC1518" s="574"/>
      <c r="AD1518" s="574"/>
      <c r="AE1518" s="574"/>
      <c r="AF1518" s="574"/>
      <c r="AG1518" s="574"/>
      <c r="AH1518" s="574"/>
      <c r="AI1518" s="574"/>
      <c r="AJ1518" s="574"/>
      <c r="AK1518" s="574"/>
      <c r="AL1518" s="574"/>
      <c r="AM1518" s="574"/>
      <c r="AN1518" s="574"/>
      <c r="AO1518" s="574"/>
      <c r="AP1518" s="574"/>
      <c r="AQ1518" s="574"/>
      <c r="AR1518" s="574"/>
      <c r="AS1518" s="574"/>
      <c r="AT1518" s="574"/>
      <c r="AU1518" s="574"/>
      <c r="AV1518" s="574"/>
      <c r="AW1518" s="574"/>
      <c r="AX1518" s="574"/>
      <c r="AY1518" s="574"/>
      <c r="AZ1518" s="574"/>
      <c r="BA1518" s="574"/>
      <c r="BB1518" s="574"/>
      <c r="BC1518" s="574"/>
      <c r="BD1518" s="574"/>
      <c r="BE1518" s="574"/>
      <c r="BF1518" s="574"/>
      <c r="BG1518" s="574"/>
      <c r="BH1518" s="574"/>
      <c r="BI1518" s="574"/>
      <c r="BJ1518" s="574"/>
      <c r="BK1518" s="574"/>
      <c r="BL1518" s="574"/>
      <c r="BM1518" s="574"/>
      <c r="BN1518" s="574"/>
      <c r="BO1518" s="574"/>
      <c r="BP1518" s="574"/>
      <c r="BQ1518" s="574"/>
      <c r="BR1518" s="574"/>
      <c r="BS1518" s="574"/>
      <c r="BT1518" s="574"/>
      <c r="BU1518" s="574"/>
      <c r="BV1518" s="574"/>
      <c r="BW1518" s="574"/>
      <c r="BX1518" s="574"/>
      <c r="BY1518" s="574"/>
      <c r="BZ1518" s="574"/>
      <c r="CA1518" s="574"/>
      <c r="CB1518" s="574"/>
      <c r="CC1518" s="574"/>
      <c r="CD1518" s="574"/>
      <c r="CE1518" s="574"/>
      <c r="CF1518" s="574"/>
    </row>
    <row r="1519" spans="1:84" s="603" customFormat="1" ht="23.1" customHeight="1" thickBot="1">
      <c r="A1519" s="1438" t="s">
        <v>1097</v>
      </c>
      <c r="B1519" s="1439"/>
      <c r="C1519" s="1439"/>
      <c r="D1519" s="1439"/>
      <c r="E1519" s="1439"/>
      <c r="F1519" s="1439"/>
      <c r="G1519" s="1439"/>
      <c r="H1519" s="1439"/>
      <c r="I1519" s="601" t="s">
        <v>1288</v>
      </c>
      <c r="J1519" s="601"/>
      <c r="K1519" s="601"/>
      <c r="L1519" s="601"/>
      <c r="M1519" s="601"/>
      <c r="N1519" s="601"/>
      <c r="O1519" s="601"/>
      <c r="P1519" s="601"/>
      <c r="Q1519" s="601"/>
      <c r="R1519" s="601"/>
      <c r="S1519" s="601"/>
      <c r="T1519" s="601"/>
      <c r="U1519" s="601"/>
      <c r="V1519" s="601"/>
      <c r="W1519" s="601"/>
      <c r="X1519" s="601"/>
      <c r="Y1519" s="601"/>
      <c r="Z1519" s="601"/>
      <c r="AA1519" s="601"/>
      <c r="AB1519" s="601"/>
      <c r="AC1519" s="601"/>
      <c r="AD1519" s="601"/>
      <c r="AE1519" s="601"/>
      <c r="AF1519" s="601"/>
      <c r="AG1519" s="601"/>
      <c r="AH1519" s="601"/>
      <c r="AI1519" s="601"/>
      <c r="AJ1519" s="1439" t="s">
        <v>1099</v>
      </c>
      <c r="AK1519" s="1439"/>
      <c r="AL1519" s="1439"/>
      <c r="AM1519" s="1439"/>
      <c r="AN1519" s="1439"/>
      <c r="AO1519" s="1439"/>
      <c r="AP1519" s="1439"/>
      <c r="AQ1519" s="601" t="s">
        <v>1289</v>
      </c>
      <c r="AR1519" s="601"/>
      <c r="AS1519" s="601"/>
      <c r="AT1519" s="601"/>
      <c r="AU1519" s="601"/>
      <c r="AV1519" s="601"/>
      <c r="AW1519" s="601"/>
      <c r="AX1519" s="601"/>
      <c r="AY1519" s="601"/>
      <c r="AZ1519" s="601"/>
      <c r="BA1519" s="601"/>
      <c r="BB1519" s="601"/>
      <c r="BC1519" s="601"/>
      <c r="BD1519" s="601"/>
      <c r="BE1519" s="601"/>
      <c r="BF1519" s="601"/>
      <c r="BG1519" s="601"/>
      <c r="BH1519" s="601"/>
      <c r="BI1519" s="601"/>
      <c r="BJ1519" s="601"/>
      <c r="BK1519" s="601"/>
      <c r="BL1519" s="601"/>
      <c r="BM1519" s="601"/>
      <c r="BN1519" s="601"/>
      <c r="BO1519" s="601"/>
      <c r="BP1519" s="601"/>
      <c r="BQ1519" s="601"/>
      <c r="BR1519" s="601"/>
      <c r="BS1519" s="601"/>
      <c r="BT1519" s="601" t="s">
        <v>1290</v>
      </c>
      <c r="BU1519" s="601"/>
      <c r="BV1519" s="601"/>
      <c r="BW1519" s="601"/>
      <c r="BX1519" s="601"/>
      <c r="BY1519" s="601"/>
      <c r="BZ1519" s="601"/>
      <c r="CA1519" s="601"/>
      <c r="CB1519" s="601"/>
      <c r="CC1519" s="601"/>
      <c r="CD1519" s="601"/>
      <c r="CE1519" s="601"/>
      <c r="CF1519" s="602"/>
    </row>
    <row r="1520" spans="1:84" s="583" customFormat="1" ht="23.1" customHeight="1">
      <c r="A1520" s="584"/>
      <c r="B1520" s="585" t="s">
        <v>1102</v>
      </c>
      <c r="C1520" s="585"/>
      <c r="D1520" s="585"/>
      <c r="E1520" s="585"/>
      <c r="F1520" s="585"/>
      <c r="G1520" s="585"/>
      <c r="H1520" s="585"/>
      <c r="I1520" s="585"/>
      <c r="J1520" s="585"/>
      <c r="K1520" s="585"/>
      <c r="L1520" s="585"/>
      <c r="M1520" s="585"/>
      <c r="N1520" s="585"/>
      <c r="O1520" s="585"/>
      <c r="P1520" s="585"/>
      <c r="Q1520" s="585"/>
      <c r="R1520" s="585"/>
      <c r="S1520" s="585"/>
      <c r="T1520" s="585"/>
      <c r="U1520" s="585"/>
      <c r="V1520" s="585"/>
      <c r="W1520" s="585"/>
      <c r="X1520" s="585"/>
      <c r="Y1520" s="585"/>
      <c r="Z1520" s="585"/>
      <c r="AA1520" s="585"/>
      <c r="AB1520" s="585"/>
      <c r="AC1520" s="585"/>
      <c r="AD1520" s="585"/>
      <c r="AE1520" s="585"/>
      <c r="AF1520" s="585"/>
      <c r="AG1520" s="585"/>
      <c r="AH1520" s="585"/>
      <c r="AI1520" s="585"/>
      <c r="AJ1520" s="585"/>
      <c r="AK1520" s="585"/>
      <c r="AL1520" s="585"/>
      <c r="AM1520" s="585"/>
      <c r="AN1520" s="585"/>
      <c r="AO1520" s="585"/>
      <c r="AP1520" s="585"/>
      <c r="AQ1520" s="585"/>
      <c r="AR1520" s="585"/>
      <c r="AS1520" s="585"/>
      <c r="AT1520" s="585"/>
      <c r="AU1520" s="585"/>
      <c r="AV1520" s="585"/>
      <c r="AW1520" s="585"/>
      <c r="AX1520" s="585"/>
      <c r="AY1520" s="585"/>
      <c r="AZ1520" s="585"/>
      <c r="BA1520" s="585"/>
      <c r="BB1520" s="585"/>
      <c r="BC1520" s="585"/>
      <c r="BD1520" s="585"/>
      <c r="BE1520" s="585"/>
      <c r="BF1520" s="585"/>
      <c r="BG1520" s="585"/>
      <c r="BH1520" s="585"/>
      <c r="BI1520" s="585"/>
      <c r="BJ1520" s="585"/>
      <c r="BK1520" s="585"/>
      <c r="BL1520" s="585"/>
      <c r="BM1520" s="585"/>
      <c r="BN1520" s="585"/>
      <c r="BO1520" s="585"/>
      <c r="BP1520" s="585"/>
      <c r="BQ1520" s="585"/>
      <c r="BR1520" s="585"/>
      <c r="BS1520" s="585"/>
      <c r="BT1520" s="585"/>
      <c r="BU1520" s="585"/>
      <c r="BV1520" s="585"/>
      <c r="BW1520" s="585"/>
      <c r="BX1520" s="585"/>
      <c r="BY1520" s="585"/>
      <c r="BZ1520" s="585"/>
      <c r="CA1520" s="585"/>
      <c r="CB1520" s="585"/>
      <c r="CC1520" s="585"/>
      <c r="CD1520" s="585"/>
      <c r="CE1520" s="585"/>
      <c r="CF1520" s="586"/>
    </row>
    <row r="1521" spans="1:84" s="583" customFormat="1" ht="23.1" customHeight="1">
      <c r="A1521" s="587"/>
      <c r="B1521" s="574"/>
      <c r="C1521" s="574"/>
      <c r="D1521" s="405"/>
      <c r="E1521" s="574"/>
      <c r="F1521" s="422"/>
      <c r="G1521" s="422"/>
      <c r="H1521" s="422"/>
      <c r="I1521" s="422"/>
      <c r="J1521" s="422"/>
      <c r="K1521" s="422"/>
      <c r="L1521" s="422"/>
      <c r="M1521" s="422"/>
      <c r="N1521" s="574"/>
      <c r="O1521" s="574"/>
      <c r="P1521" s="574"/>
      <c r="Q1521" s="574"/>
      <c r="R1521" s="574"/>
      <c r="S1521" s="588"/>
      <c r="T1521" s="588"/>
      <c r="U1521" s="588"/>
      <c r="V1521" s="588"/>
      <c r="W1521" s="588"/>
      <c r="X1521" s="588"/>
      <c r="Y1521" s="588"/>
      <c r="Z1521" s="588"/>
      <c r="AA1521" s="574"/>
      <c r="AB1521" s="588"/>
      <c r="AC1521" s="585"/>
      <c r="AD1521" s="585"/>
      <c r="AE1521" s="600"/>
      <c r="AF1521" s="600"/>
      <c r="AG1521" s="600"/>
      <c r="AH1521" s="600"/>
      <c r="AI1521" s="600"/>
      <c r="AJ1521" s="600"/>
      <c r="AK1521" s="600"/>
      <c r="AL1521" s="600"/>
      <c r="AM1521" s="585"/>
      <c r="AN1521" s="585"/>
      <c r="AO1521" s="574"/>
      <c r="AP1521" s="430"/>
      <c r="AQ1521" s="430"/>
      <c r="AR1521" s="430"/>
      <c r="AS1521" s="430"/>
      <c r="AT1521" s="430"/>
      <c r="AU1521" s="430"/>
      <c r="AV1521" s="430"/>
      <c r="AW1521" s="430"/>
      <c r="AX1521" s="430"/>
      <c r="AY1521" s="430"/>
      <c r="AZ1521" s="430"/>
      <c r="BA1521" s="430"/>
      <c r="BB1521" s="430"/>
      <c r="BC1521" s="430"/>
      <c r="BD1521" s="574"/>
      <c r="BE1521" s="574"/>
      <c r="BF1521" s="574"/>
      <c r="BG1521" s="574"/>
      <c r="BH1521" s="574"/>
      <c r="BI1521" s="574"/>
      <c r="BJ1521" s="574"/>
      <c r="BK1521" s="574"/>
      <c r="BL1521" s="574"/>
      <c r="BM1521" s="574"/>
      <c r="BN1521" s="574"/>
      <c r="BO1521" s="574"/>
      <c r="BP1521" s="574"/>
      <c r="BQ1521" s="574"/>
      <c r="BR1521" s="574"/>
      <c r="BS1521" s="574"/>
      <c r="BT1521" s="574"/>
      <c r="BU1521" s="574"/>
      <c r="BV1521" s="574"/>
      <c r="BW1521" s="574"/>
      <c r="BX1521" s="574"/>
      <c r="BY1521" s="574"/>
      <c r="BZ1521" s="574"/>
      <c r="CA1521" s="574"/>
      <c r="CB1521" s="574"/>
      <c r="CC1521" s="574"/>
      <c r="CD1521" s="574"/>
      <c r="CE1521" s="574"/>
      <c r="CF1521" s="589"/>
    </row>
    <row r="1522" spans="1:84" s="583" customFormat="1" ht="23.1" customHeight="1">
      <c r="A1522" s="584"/>
      <c r="B1522" s="585"/>
      <c r="C1522" s="585"/>
      <c r="D1522" s="585"/>
      <c r="E1522" s="585"/>
      <c r="F1522" s="585"/>
      <c r="G1522" s="585"/>
      <c r="H1522" s="585"/>
      <c r="I1522" s="585"/>
      <c r="J1522" s="585"/>
      <c r="K1522" s="585"/>
      <c r="L1522" s="585"/>
      <c r="M1522" s="585"/>
      <c r="N1522" s="585"/>
      <c r="O1522" s="585"/>
      <c r="P1522" s="585"/>
      <c r="Q1522" s="585"/>
      <c r="R1522" s="585"/>
      <c r="S1522" s="585"/>
      <c r="T1522" s="585"/>
      <c r="U1522" s="585"/>
      <c r="V1522" s="590"/>
      <c r="W1522" s="590"/>
      <c r="X1522" s="590"/>
      <c r="Y1522" s="590"/>
      <c r="Z1522" s="590"/>
      <c r="AA1522" s="590"/>
      <c r="AB1522" s="590"/>
      <c r="AC1522" s="590"/>
      <c r="AD1522" s="574"/>
      <c r="AE1522" s="1440">
        <v>1938000</v>
      </c>
      <c r="AF1522" s="1440"/>
      <c r="AG1522" s="1440"/>
      <c r="AH1522" s="1440"/>
      <c r="AI1522" s="1440"/>
      <c r="AJ1522" s="1440"/>
      <c r="AK1522" s="1440"/>
      <c r="AL1522" s="1440"/>
      <c r="AM1522" s="1440"/>
      <c r="AN1522" s="1440"/>
      <c r="AO1522" s="1440"/>
      <c r="AP1522" s="1440"/>
      <c r="AQ1522" s="1440"/>
      <c r="AR1522" s="1440"/>
      <c r="AS1522" s="1440"/>
      <c r="AT1522" s="1431" t="s">
        <v>446</v>
      </c>
      <c r="AU1522" s="1431"/>
      <c r="AV1522" s="1441" t="s">
        <v>1103</v>
      </c>
      <c r="AW1522" s="1441"/>
      <c r="AX1522" s="1442">
        <v>3756</v>
      </c>
      <c r="AY1522" s="1442"/>
      <c r="AZ1522" s="1442"/>
      <c r="BA1522" s="1442"/>
      <c r="BB1522" s="1442"/>
      <c r="BC1522" s="1442"/>
      <c r="BD1522" s="585"/>
      <c r="BE1522" s="1431" t="s">
        <v>446</v>
      </c>
      <c r="BF1522" s="1431"/>
      <c r="BG1522" s="585"/>
      <c r="BH1522" s="591" t="s">
        <v>1104</v>
      </c>
      <c r="BI1522" s="585"/>
      <c r="BJ1522" s="585"/>
      <c r="BK1522" s="585"/>
      <c r="BL1522" s="1431" t="s">
        <v>1105</v>
      </c>
      <c r="BM1522" s="1431"/>
      <c r="BN1522" s="1431"/>
      <c r="BO1522" s="585"/>
      <c r="BP1522" s="1431" t="s">
        <v>41</v>
      </c>
      <c r="BQ1522" s="1431"/>
      <c r="BR1522" s="585"/>
      <c r="BS1522" s="585"/>
      <c r="BT1522" s="1437">
        <f>INT(AE1522*AX1522*10^-7)</f>
        <v>727</v>
      </c>
      <c r="BU1522" s="1437"/>
      <c r="BV1522" s="1437"/>
      <c r="BW1522" s="1437"/>
      <c r="BX1522" s="1437"/>
      <c r="BY1522" s="1437"/>
      <c r="BZ1522" s="1437"/>
      <c r="CA1522" s="1437"/>
      <c r="CB1522" s="1437"/>
      <c r="CC1522" s="1437"/>
      <c r="CD1522" s="585"/>
      <c r="CE1522" s="585"/>
      <c r="CF1522" s="586"/>
    </row>
    <row r="1523" spans="1:84" s="583" customFormat="1" ht="23.1" customHeight="1">
      <c r="A1523" s="592"/>
      <c r="B1523" s="593" t="s">
        <v>1106</v>
      </c>
      <c r="C1523" s="593"/>
      <c r="D1523" s="593"/>
      <c r="E1523" s="593"/>
      <c r="F1523" s="593"/>
      <c r="G1523" s="593"/>
      <c r="H1523" s="593"/>
      <c r="I1523" s="593"/>
      <c r="J1523" s="593"/>
      <c r="K1523" s="593"/>
      <c r="L1523" s="593"/>
      <c r="M1523" s="593"/>
      <c r="N1523" s="593"/>
      <c r="O1523" s="593"/>
      <c r="P1523" s="593"/>
      <c r="Q1523" s="593"/>
      <c r="R1523" s="593"/>
      <c r="S1523" s="593"/>
      <c r="T1523" s="593"/>
      <c r="U1523" s="593"/>
      <c r="V1523" s="593"/>
      <c r="W1523" s="593"/>
      <c r="X1523" s="593"/>
      <c r="Y1523" s="593"/>
      <c r="Z1523" s="593"/>
      <c r="AA1523" s="593"/>
      <c r="AB1523" s="593"/>
      <c r="AC1523" s="593"/>
      <c r="AD1523" s="593"/>
      <c r="AE1523" s="593"/>
      <c r="AF1523" s="593"/>
      <c r="AG1523" s="593"/>
      <c r="AH1523" s="593"/>
      <c r="AI1523" s="593"/>
      <c r="AJ1523" s="593"/>
      <c r="AK1523" s="593"/>
      <c r="AL1523" s="593"/>
      <c r="AM1523" s="593"/>
      <c r="AN1523" s="593"/>
      <c r="AO1523" s="593"/>
      <c r="AP1523" s="593"/>
      <c r="AQ1523" s="593"/>
      <c r="AR1523" s="593"/>
      <c r="AS1523" s="593"/>
      <c r="AT1523" s="593"/>
      <c r="AU1523" s="593"/>
      <c r="AV1523" s="593"/>
      <c r="AW1523" s="593"/>
      <c r="AX1523" s="593"/>
      <c r="AY1523" s="593"/>
      <c r="AZ1523" s="593"/>
      <c r="BA1523" s="593"/>
      <c r="BB1523" s="593"/>
      <c r="BC1523" s="593"/>
      <c r="BD1523" s="593"/>
      <c r="BE1523" s="593"/>
      <c r="BF1523" s="593"/>
      <c r="BG1523" s="593"/>
      <c r="BH1523" s="593"/>
      <c r="BI1523" s="593"/>
      <c r="BJ1523" s="593"/>
      <c r="BK1523" s="593"/>
      <c r="BL1523" s="593"/>
      <c r="BM1523" s="593"/>
      <c r="BN1523" s="593"/>
      <c r="BO1523" s="593"/>
      <c r="BP1523" s="593"/>
      <c r="BQ1523" s="593"/>
      <c r="BR1523" s="593"/>
      <c r="BS1523" s="593"/>
      <c r="BT1523" s="594"/>
      <c r="BU1523" s="594"/>
      <c r="BV1523" s="594"/>
      <c r="BW1523" s="594"/>
      <c r="BX1523" s="594"/>
      <c r="BY1523" s="594"/>
      <c r="BZ1523" s="594"/>
      <c r="CA1523" s="594"/>
      <c r="CB1523" s="594"/>
      <c r="CC1523" s="594"/>
      <c r="CD1523" s="593"/>
      <c r="CE1523" s="593"/>
      <c r="CF1523" s="595"/>
    </row>
    <row r="1524" spans="1:84" s="583" customFormat="1" ht="23.1" customHeight="1">
      <c r="A1524" s="584"/>
      <c r="B1524" s="585"/>
      <c r="C1524" s="585"/>
      <c r="D1524" s="596"/>
      <c r="E1524" s="585"/>
      <c r="F1524" s="585"/>
      <c r="G1524" s="585"/>
      <c r="H1524" s="585"/>
      <c r="I1524" s="585"/>
      <c r="J1524" s="585"/>
      <c r="K1524" s="585"/>
      <c r="L1524" s="585"/>
      <c r="M1524" s="585"/>
      <c r="N1524" s="585"/>
      <c r="O1524" s="585"/>
      <c r="P1524" s="585"/>
      <c r="Q1524" s="585"/>
      <c r="R1524" s="585"/>
      <c r="S1524" s="585"/>
      <c r="T1524" s="574"/>
      <c r="U1524" s="574"/>
      <c r="V1524" s="1430"/>
      <c r="W1524" s="1430"/>
      <c r="X1524" s="1430"/>
      <c r="Y1524" s="1430"/>
      <c r="Z1524" s="1430"/>
      <c r="AA1524" s="1430"/>
      <c r="AB1524" s="1430"/>
      <c r="AC1524" s="1430"/>
      <c r="AD1524" s="1430"/>
      <c r="AE1524" s="1430"/>
      <c r="AF1524" s="1431"/>
      <c r="AG1524" s="1431"/>
      <c r="AH1524" s="574"/>
      <c r="AI1524" s="1436"/>
      <c r="AJ1524" s="1436"/>
      <c r="AK1524" s="1436"/>
      <c r="AL1524" s="1436"/>
      <c r="AM1524" s="585"/>
      <c r="AN1524" s="1431"/>
      <c r="AO1524" s="1431"/>
      <c r="AP1524" s="585"/>
      <c r="AQ1524" s="1436"/>
      <c r="AR1524" s="1436"/>
      <c r="AS1524" s="1436"/>
      <c r="AT1524" s="1436"/>
      <c r="AU1524" s="1436"/>
      <c r="AV1524" s="422"/>
      <c r="AW1524" s="1431"/>
      <c r="AX1524" s="1431"/>
      <c r="AY1524" s="440"/>
      <c r="AZ1524" s="1436"/>
      <c r="BA1524" s="1436"/>
      <c r="BB1524" s="1436"/>
      <c r="BC1524" s="1436"/>
      <c r="BD1524" s="1436"/>
      <c r="BE1524" s="585"/>
      <c r="BF1524" s="1431"/>
      <c r="BG1524" s="1431"/>
      <c r="BH1524" s="1431"/>
      <c r="BI1524" s="1431"/>
      <c r="BJ1524" s="1431"/>
      <c r="BK1524" s="585"/>
      <c r="BL1524" s="585"/>
      <c r="BM1524" s="585"/>
      <c r="BN1524" s="585"/>
      <c r="BO1524" s="585"/>
      <c r="BP1524" s="1431"/>
      <c r="BQ1524" s="1431"/>
      <c r="BR1524" s="585"/>
      <c r="BS1524" s="585"/>
      <c r="BT1524" s="1432"/>
      <c r="BU1524" s="1432"/>
      <c r="BV1524" s="1432"/>
      <c r="BW1524" s="1432"/>
      <c r="BX1524" s="1432"/>
      <c r="BY1524" s="1432"/>
      <c r="BZ1524" s="1432"/>
      <c r="CA1524" s="1432"/>
      <c r="CB1524" s="1432"/>
      <c r="CC1524" s="1432"/>
      <c r="CD1524" s="585"/>
      <c r="CE1524" s="585"/>
      <c r="CF1524" s="586"/>
    </row>
    <row r="1525" spans="1:84" s="583" customFormat="1" ht="23.1" customHeight="1">
      <c r="A1525" s="584"/>
      <c r="B1525" s="585"/>
      <c r="C1525" s="585"/>
      <c r="D1525" s="585"/>
      <c r="E1525" s="585"/>
      <c r="F1525" s="585"/>
      <c r="G1525" s="585"/>
      <c r="H1525" s="585"/>
      <c r="I1525" s="585"/>
      <c r="J1525" s="585"/>
      <c r="K1525" s="585"/>
      <c r="L1525" s="585"/>
      <c r="M1525" s="585"/>
      <c r="N1525" s="585"/>
      <c r="O1525" s="585"/>
      <c r="P1525" s="574"/>
      <c r="Q1525" s="574"/>
      <c r="R1525" s="574"/>
      <c r="S1525" s="574"/>
      <c r="T1525" s="574"/>
      <c r="U1525" s="574"/>
      <c r="V1525" s="574"/>
      <c r="W1525" s="574"/>
      <c r="X1525" s="574"/>
      <c r="Y1525" s="574"/>
      <c r="Z1525" s="574"/>
      <c r="AA1525" s="574"/>
      <c r="AB1525" s="574"/>
      <c r="AC1525" s="574"/>
      <c r="AD1525" s="574"/>
      <c r="AE1525" s="574"/>
      <c r="AF1525" s="574"/>
      <c r="AG1525" s="574"/>
      <c r="AH1525" s="574"/>
      <c r="AI1525" s="574"/>
      <c r="AJ1525" s="574"/>
      <c r="AK1525" s="574"/>
      <c r="AL1525" s="574"/>
      <c r="AM1525" s="574"/>
      <c r="AN1525" s="574"/>
      <c r="AO1525" s="574"/>
      <c r="AP1525" s="574"/>
      <c r="AQ1525" s="574"/>
      <c r="AR1525" s="574"/>
      <c r="AS1525" s="574"/>
      <c r="AT1525" s="574"/>
      <c r="AU1525" s="574"/>
      <c r="AV1525" s="574"/>
      <c r="AW1525" s="574"/>
      <c r="AX1525" s="574"/>
      <c r="AY1525" s="574"/>
      <c r="AZ1525" s="574"/>
      <c r="BA1525" s="574"/>
      <c r="BB1525" s="574"/>
      <c r="BC1525" s="574"/>
      <c r="BD1525" s="574"/>
      <c r="BE1525" s="574"/>
      <c r="BF1525" s="574"/>
      <c r="BG1525" s="585"/>
      <c r="BH1525" s="585"/>
      <c r="BI1525" s="585"/>
      <c r="BJ1525" s="585"/>
      <c r="BK1525" s="585"/>
      <c r="BL1525" s="585"/>
      <c r="BM1525" s="585"/>
      <c r="BN1525" s="585"/>
      <c r="BO1525" s="585"/>
      <c r="BP1525" s="1431"/>
      <c r="BQ1525" s="1431"/>
      <c r="BR1525" s="585"/>
      <c r="BS1525" s="585"/>
      <c r="BT1525" s="1432"/>
      <c r="BU1525" s="1432"/>
      <c r="BV1525" s="1432"/>
      <c r="BW1525" s="1432"/>
      <c r="BX1525" s="1432"/>
      <c r="BY1525" s="1432"/>
      <c r="BZ1525" s="1432"/>
      <c r="CA1525" s="1432"/>
      <c r="CB1525" s="1432"/>
      <c r="CC1525" s="1432"/>
      <c r="CD1525" s="585"/>
      <c r="CE1525" s="585"/>
      <c r="CF1525" s="586"/>
    </row>
    <row r="1526" spans="1:84" s="583" customFormat="1" ht="23.1" customHeight="1">
      <c r="A1526" s="584"/>
      <c r="B1526" s="585"/>
      <c r="C1526" s="585"/>
      <c r="D1526" s="585"/>
      <c r="E1526" s="585"/>
      <c r="F1526" s="585"/>
      <c r="G1526" s="585"/>
      <c r="H1526" s="585"/>
      <c r="I1526" s="585"/>
      <c r="J1526" s="585"/>
      <c r="K1526" s="585"/>
      <c r="L1526" s="585"/>
      <c r="M1526" s="585"/>
      <c r="N1526" s="585"/>
      <c r="O1526" s="585"/>
      <c r="P1526" s="585"/>
      <c r="Q1526" s="585"/>
      <c r="R1526" s="585"/>
      <c r="S1526" s="585"/>
      <c r="T1526" s="585"/>
      <c r="U1526" s="585"/>
      <c r="V1526" s="585"/>
      <c r="W1526" s="585"/>
      <c r="X1526" s="585"/>
      <c r="Y1526" s="585"/>
      <c r="Z1526" s="585"/>
      <c r="AA1526" s="585"/>
      <c r="AB1526" s="585"/>
      <c r="AC1526" s="585"/>
      <c r="AD1526" s="574"/>
      <c r="AE1526" s="574"/>
      <c r="AF1526" s="574"/>
      <c r="AG1526" s="574"/>
      <c r="AH1526" s="574"/>
      <c r="AI1526" s="574"/>
      <c r="AJ1526" s="574"/>
      <c r="AK1526" s="574"/>
      <c r="AL1526" s="574"/>
      <c r="AM1526" s="574"/>
      <c r="AN1526" s="574"/>
      <c r="AO1526" s="574"/>
      <c r="AP1526" s="574"/>
      <c r="AQ1526" s="574"/>
      <c r="AR1526" s="574"/>
      <c r="AS1526" s="585"/>
      <c r="AT1526" s="590"/>
      <c r="AU1526" s="590"/>
      <c r="AV1526" s="585"/>
      <c r="AW1526" s="585"/>
      <c r="AX1526" s="585"/>
      <c r="AY1526" s="585"/>
      <c r="AZ1526" s="585"/>
      <c r="BA1526" s="585"/>
      <c r="BB1526" s="585"/>
      <c r="BC1526" s="585"/>
      <c r="BD1526" s="585"/>
      <c r="BE1526" s="585"/>
      <c r="BF1526" s="585"/>
      <c r="BG1526" s="585"/>
      <c r="BH1526" s="585"/>
      <c r="BI1526" s="585"/>
      <c r="BJ1526" s="585"/>
      <c r="BK1526" s="585"/>
      <c r="BL1526" s="585"/>
      <c r="BM1526" s="585"/>
      <c r="BN1526" s="585"/>
      <c r="BO1526" s="585"/>
      <c r="BP1526" s="1431" t="s">
        <v>41</v>
      </c>
      <c r="BQ1526" s="1431"/>
      <c r="BR1526" s="585"/>
      <c r="BS1526" s="585"/>
      <c r="BT1526" s="1434">
        <f>BT1524+BT1525</f>
        <v>0</v>
      </c>
      <c r="BU1526" s="1434"/>
      <c r="BV1526" s="1434"/>
      <c r="BW1526" s="1434"/>
      <c r="BX1526" s="1434"/>
      <c r="BY1526" s="1434"/>
      <c r="BZ1526" s="1434"/>
      <c r="CA1526" s="1434"/>
      <c r="CB1526" s="1434"/>
      <c r="CC1526" s="1434"/>
      <c r="CD1526" s="585"/>
      <c r="CE1526" s="585"/>
      <c r="CF1526" s="586"/>
    </row>
    <row r="1527" spans="1:84" s="583" customFormat="1" ht="23.1" customHeight="1">
      <c r="A1527" s="592"/>
      <c r="B1527" s="593" t="s">
        <v>1110</v>
      </c>
      <c r="C1527" s="593"/>
      <c r="D1527" s="593"/>
      <c r="E1527" s="593"/>
      <c r="F1527" s="593"/>
      <c r="G1527" s="593"/>
      <c r="H1527" s="593"/>
      <c r="I1527" s="593"/>
      <c r="J1527" s="593"/>
      <c r="K1527" s="593"/>
      <c r="L1527" s="593"/>
      <c r="M1527" s="593"/>
      <c r="N1527" s="593"/>
      <c r="O1527" s="593"/>
      <c r="P1527" s="593"/>
      <c r="Q1527" s="593"/>
      <c r="R1527" s="593"/>
      <c r="S1527" s="593"/>
      <c r="T1527" s="593"/>
      <c r="U1527" s="593"/>
      <c r="V1527" s="593"/>
      <c r="W1527" s="593"/>
      <c r="X1527" s="593"/>
      <c r="Y1527" s="593"/>
      <c r="Z1527" s="593"/>
      <c r="AA1527" s="593"/>
      <c r="AB1527" s="593"/>
      <c r="AC1527" s="593"/>
      <c r="AD1527" s="593"/>
      <c r="AE1527" s="593"/>
      <c r="AF1527" s="593"/>
      <c r="AG1527" s="593"/>
      <c r="AH1527" s="593"/>
      <c r="AI1527" s="593"/>
      <c r="AJ1527" s="593"/>
      <c r="AK1527" s="593"/>
      <c r="AL1527" s="593"/>
      <c r="AM1527" s="593"/>
      <c r="AN1527" s="593"/>
      <c r="AO1527" s="593"/>
      <c r="AP1527" s="593"/>
      <c r="AQ1527" s="593"/>
      <c r="AR1527" s="593"/>
      <c r="AS1527" s="593"/>
      <c r="AT1527" s="593"/>
      <c r="AU1527" s="593"/>
      <c r="AV1527" s="593"/>
      <c r="AW1527" s="593"/>
      <c r="AX1527" s="593"/>
      <c r="AY1527" s="593"/>
      <c r="AZ1527" s="593"/>
      <c r="BA1527" s="593"/>
      <c r="BB1527" s="593"/>
      <c r="BC1527" s="593"/>
      <c r="BD1527" s="593"/>
      <c r="BE1527" s="593"/>
      <c r="BF1527" s="593"/>
      <c r="BG1527" s="593"/>
      <c r="BH1527" s="593"/>
      <c r="BI1527" s="593"/>
      <c r="BJ1527" s="593"/>
      <c r="BK1527" s="593"/>
      <c r="BL1527" s="593"/>
      <c r="BM1527" s="593"/>
      <c r="BN1527" s="593"/>
      <c r="BO1527" s="593"/>
      <c r="BP1527" s="593"/>
      <c r="BQ1527" s="593"/>
      <c r="BR1527" s="593"/>
      <c r="BS1527" s="593"/>
      <c r="BT1527" s="593"/>
      <c r="BU1527" s="593"/>
      <c r="BV1527" s="593"/>
      <c r="BW1527" s="593"/>
      <c r="BX1527" s="593"/>
      <c r="BY1527" s="593"/>
      <c r="BZ1527" s="593"/>
      <c r="CA1527" s="593"/>
      <c r="CB1527" s="593"/>
      <c r="CC1527" s="593"/>
      <c r="CD1527" s="593"/>
      <c r="CE1527" s="593"/>
      <c r="CF1527" s="595"/>
    </row>
    <row r="1528" spans="1:84" s="583" customFormat="1" ht="23.1" customHeight="1">
      <c r="A1528" s="584"/>
      <c r="B1528" s="585"/>
      <c r="C1528" s="585"/>
      <c r="D1528" s="596"/>
      <c r="E1528" s="585"/>
      <c r="F1528" s="585"/>
      <c r="G1528" s="585"/>
      <c r="H1528" s="585"/>
      <c r="I1528" s="585"/>
      <c r="J1528" s="585"/>
      <c r="K1528" s="585"/>
      <c r="L1528" s="585"/>
      <c r="M1528" s="585"/>
      <c r="N1528" s="585"/>
      <c r="O1528" s="585"/>
      <c r="P1528" s="585"/>
      <c r="Q1528" s="585"/>
      <c r="R1528" s="585"/>
      <c r="S1528" s="585"/>
      <c r="T1528" s="585"/>
      <c r="U1528" s="585"/>
      <c r="V1528" s="585"/>
      <c r="W1528" s="585"/>
      <c r="X1528" s="585"/>
      <c r="Y1528" s="585"/>
      <c r="Z1528" s="585"/>
      <c r="AA1528" s="585"/>
      <c r="AB1528" s="585"/>
      <c r="AC1528" s="585"/>
      <c r="AD1528" s="585"/>
      <c r="AE1528" s="585"/>
      <c r="AF1528" s="585"/>
      <c r="AG1528" s="585"/>
      <c r="AH1528" s="585"/>
      <c r="AI1528" s="585"/>
      <c r="AJ1528" s="585"/>
      <c r="AK1528" s="585"/>
      <c r="AL1528" s="585"/>
      <c r="AM1528" s="585"/>
      <c r="AN1528" s="585"/>
      <c r="AO1528" s="585"/>
      <c r="AP1528" s="585"/>
      <c r="AQ1528" s="585"/>
      <c r="AR1528" s="422"/>
      <c r="AS1528" s="1430"/>
      <c r="AT1528" s="1430"/>
      <c r="AU1528" s="1430"/>
      <c r="AV1528" s="1430"/>
      <c r="AW1528" s="1430"/>
      <c r="AX1528" s="1430"/>
      <c r="AY1528" s="1430"/>
      <c r="AZ1528" s="1430"/>
      <c r="BA1528" s="1430"/>
      <c r="BB1528" s="1430"/>
      <c r="BC1528" s="585"/>
      <c r="BD1528" s="1431"/>
      <c r="BE1528" s="1431"/>
      <c r="BF1528" s="585"/>
      <c r="BG1528" s="1431"/>
      <c r="BH1528" s="1431"/>
      <c r="BI1528" s="1431"/>
      <c r="BJ1528" s="1431"/>
      <c r="BK1528" s="1431"/>
      <c r="BL1528" s="585"/>
      <c r="BM1528" s="585"/>
      <c r="BN1528" s="585"/>
      <c r="BO1528" s="585"/>
      <c r="BP1528" s="1431"/>
      <c r="BQ1528" s="1431"/>
      <c r="BR1528" s="585"/>
      <c r="BS1528" s="585"/>
      <c r="BT1528" s="1432"/>
      <c r="BU1528" s="1432"/>
      <c r="BV1528" s="1432"/>
      <c r="BW1528" s="1432"/>
      <c r="BX1528" s="1432"/>
      <c r="BY1528" s="1432"/>
      <c r="BZ1528" s="1432"/>
      <c r="CA1528" s="1432"/>
      <c r="CB1528" s="1432"/>
      <c r="CC1528" s="1432"/>
      <c r="CD1528" s="585"/>
      <c r="CE1528" s="585"/>
      <c r="CF1528" s="586"/>
    </row>
    <row r="1529" spans="1:84" s="583" customFormat="1" ht="23.1" customHeight="1">
      <c r="A1529" s="584"/>
      <c r="B1529" s="585"/>
      <c r="C1529" s="585"/>
      <c r="D1529" s="591"/>
      <c r="E1529" s="585"/>
      <c r="F1529" s="585"/>
      <c r="G1529" s="585"/>
      <c r="H1529" s="585"/>
      <c r="I1529" s="585"/>
      <c r="J1529" s="585"/>
      <c r="K1529" s="585"/>
      <c r="L1529" s="585"/>
      <c r="M1529" s="585"/>
      <c r="N1529" s="585"/>
      <c r="O1529" s="585"/>
      <c r="P1529" s="585"/>
      <c r="Q1529" s="585"/>
      <c r="R1529" s="585"/>
      <c r="S1529" s="585"/>
      <c r="T1529" s="585"/>
      <c r="U1529" s="585"/>
      <c r="V1529" s="585"/>
      <c r="W1529" s="585"/>
      <c r="X1529" s="585"/>
      <c r="Y1529" s="585"/>
      <c r="Z1529" s="585"/>
      <c r="AA1529" s="585"/>
      <c r="AB1529" s="585"/>
      <c r="AC1529" s="585"/>
      <c r="AD1529" s="585"/>
      <c r="AE1529" s="585"/>
      <c r="AF1529" s="585"/>
      <c r="AG1529" s="585"/>
      <c r="AH1529" s="585"/>
      <c r="AI1529" s="585"/>
      <c r="AJ1529" s="585"/>
      <c r="AK1529" s="585"/>
      <c r="AL1529" s="585"/>
      <c r="AM1529" s="585"/>
      <c r="AN1529" s="585"/>
      <c r="AO1529" s="585"/>
      <c r="AP1529" s="585"/>
      <c r="AQ1529" s="585"/>
      <c r="AR1529" s="422"/>
      <c r="AS1529" s="1430"/>
      <c r="AT1529" s="1430"/>
      <c r="AU1529" s="1430"/>
      <c r="AV1529" s="1430"/>
      <c r="AW1529" s="1430"/>
      <c r="AX1529" s="1430"/>
      <c r="AY1529" s="1430"/>
      <c r="AZ1529" s="1430"/>
      <c r="BA1529" s="1430"/>
      <c r="BB1529" s="1430"/>
      <c r="BC1529" s="585"/>
      <c r="BD1529" s="1431"/>
      <c r="BE1529" s="1431"/>
      <c r="BF1529" s="585"/>
      <c r="BG1529" s="1431"/>
      <c r="BH1529" s="1431"/>
      <c r="BI1529" s="1431"/>
      <c r="BJ1529" s="1431"/>
      <c r="BK1529" s="1431"/>
      <c r="BL1529" s="585"/>
      <c r="BM1529" s="585"/>
      <c r="BN1529" s="585"/>
      <c r="BO1529" s="585"/>
      <c r="BP1529" s="1431"/>
      <c r="BQ1529" s="1431"/>
      <c r="BR1529" s="585"/>
      <c r="BS1529" s="585"/>
      <c r="BT1529" s="1432"/>
      <c r="BU1529" s="1432"/>
      <c r="BV1529" s="1432"/>
      <c r="BW1529" s="1432"/>
      <c r="BX1529" s="1432"/>
      <c r="BY1529" s="1432"/>
      <c r="BZ1529" s="1432"/>
      <c r="CA1529" s="1432"/>
      <c r="CB1529" s="1432"/>
      <c r="CC1529" s="1432"/>
      <c r="CD1529" s="585"/>
      <c r="CE1529" s="585"/>
      <c r="CF1529" s="586"/>
    </row>
    <row r="1530" spans="1:84" s="583" customFormat="1" ht="23.1" customHeight="1" thickBot="1">
      <c r="A1530" s="584"/>
      <c r="B1530" s="585"/>
      <c r="C1530" s="585"/>
      <c r="D1530" s="585"/>
      <c r="E1530" s="585"/>
      <c r="F1530" s="585"/>
      <c r="G1530" s="585"/>
      <c r="H1530" s="585"/>
      <c r="I1530" s="585"/>
      <c r="J1530" s="585"/>
      <c r="K1530" s="585"/>
      <c r="L1530" s="585"/>
      <c r="M1530" s="585"/>
      <c r="N1530" s="585"/>
      <c r="O1530" s="585"/>
      <c r="P1530" s="585"/>
      <c r="Q1530" s="585"/>
      <c r="R1530" s="585"/>
      <c r="S1530" s="585"/>
      <c r="T1530" s="585"/>
      <c r="U1530" s="585"/>
      <c r="V1530" s="585"/>
      <c r="W1530" s="585"/>
      <c r="X1530" s="585"/>
      <c r="Y1530" s="585"/>
      <c r="Z1530" s="585"/>
      <c r="AA1530" s="585"/>
      <c r="AB1530" s="585"/>
      <c r="AC1530" s="585"/>
      <c r="AD1530" s="585"/>
      <c r="AE1530" s="585"/>
      <c r="AF1530" s="585"/>
      <c r="AG1530" s="585"/>
      <c r="AH1530" s="585"/>
      <c r="AI1530" s="585"/>
      <c r="AJ1530" s="585"/>
      <c r="AK1530" s="585"/>
      <c r="AL1530" s="585"/>
      <c r="AM1530" s="585"/>
      <c r="AN1530" s="585"/>
      <c r="AO1530" s="585"/>
      <c r="AP1530" s="585"/>
      <c r="AQ1530" s="585"/>
      <c r="AR1530" s="585"/>
      <c r="AS1530" s="585"/>
      <c r="AT1530" s="585"/>
      <c r="AU1530" s="585"/>
      <c r="AV1530" s="585"/>
      <c r="AW1530" s="585"/>
      <c r="AX1530" s="585"/>
      <c r="AY1530" s="585"/>
      <c r="AZ1530" s="585"/>
      <c r="BA1530" s="585"/>
      <c r="BB1530" s="585"/>
      <c r="BC1530" s="585"/>
      <c r="BD1530" s="585"/>
      <c r="BE1530" s="585"/>
      <c r="BF1530" s="585"/>
      <c r="BG1530" s="585"/>
      <c r="BH1530" s="585"/>
      <c r="BI1530" s="585"/>
      <c r="BJ1530" s="585"/>
      <c r="BK1530" s="585"/>
      <c r="BL1530" s="585"/>
      <c r="BM1530" s="585"/>
      <c r="BN1530" s="585"/>
      <c r="BO1530" s="585"/>
      <c r="BP1530" s="1431" t="s">
        <v>41</v>
      </c>
      <c r="BQ1530" s="1431"/>
      <c r="BR1530" s="585"/>
      <c r="BS1530" s="585"/>
      <c r="BT1530" s="1433">
        <f>BT1528+BT1529</f>
        <v>0</v>
      </c>
      <c r="BU1530" s="1433"/>
      <c r="BV1530" s="1433"/>
      <c r="BW1530" s="1433"/>
      <c r="BX1530" s="1433"/>
      <c r="BY1530" s="1433"/>
      <c r="BZ1530" s="1433"/>
      <c r="CA1530" s="1433"/>
      <c r="CB1530" s="1433"/>
      <c r="CC1530" s="1433"/>
      <c r="CD1530" s="585"/>
      <c r="CE1530" s="585"/>
      <c r="CF1530" s="586"/>
    </row>
    <row r="1531" spans="1:84" s="583" customFormat="1" ht="23.1" customHeight="1" thickBot="1">
      <c r="A1531" s="597"/>
      <c r="B1531" s="598" t="s">
        <v>1113</v>
      </c>
      <c r="C1531" s="598"/>
      <c r="D1531" s="598"/>
      <c r="E1531" s="598"/>
      <c r="F1531" s="598"/>
      <c r="G1531" s="598"/>
      <c r="H1531" s="598"/>
      <c r="I1531" s="598"/>
      <c r="J1531" s="598"/>
      <c r="K1531" s="598"/>
      <c r="L1531" s="598"/>
      <c r="M1531" s="598"/>
      <c r="N1531" s="598"/>
      <c r="O1531" s="598"/>
      <c r="P1531" s="598"/>
      <c r="Q1531" s="598"/>
      <c r="R1531" s="598"/>
      <c r="S1531" s="598"/>
      <c r="T1531" s="598"/>
      <c r="U1531" s="598"/>
      <c r="V1531" s="598"/>
      <c r="W1531" s="598"/>
      <c r="X1531" s="598"/>
      <c r="Y1531" s="598"/>
      <c r="Z1531" s="598"/>
      <c r="AA1531" s="598"/>
      <c r="AB1531" s="598"/>
      <c r="AC1531" s="598"/>
      <c r="AD1531" s="598"/>
      <c r="AE1531" s="598"/>
      <c r="AF1531" s="598"/>
      <c r="AG1531" s="598"/>
      <c r="AH1531" s="598"/>
      <c r="AI1531" s="598"/>
      <c r="AJ1531" s="598"/>
      <c r="AK1531" s="598"/>
      <c r="AL1531" s="598"/>
      <c r="AM1531" s="598"/>
      <c r="AN1531" s="598"/>
      <c r="AO1531" s="598"/>
      <c r="AP1531" s="598"/>
      <c r="AQ1531" s="598"/>
      <c r="AR1531" s="598"/>
      <c r="AS1531" s="598"/>
      <c r="AT1531" s="598"/>
      <c r="AU1531" s="598"/>
      <c r="AV1531" s="598"/>
      <c r="AW1531" s="598"/>
      <c r="AX1531" s="598"/>
      <c r="AY1531" s="598"/>
      <c r="AZ1531" s="598"/>
      <c r="BA1531" s="598"/>
      <c r="BB1531" s="598"/>
      <c r="BC1531" s="598"/>
      <c r="BD1531" s="598"/>
      <c r="BE1531" s="598"/>
      <c r="BF1531" s="598"/>
      <c r="BG1531" s="598"/>
      <c r="BH1531" s="598"/>
      <c r="BI1531" s="598"/>
      <c r="BJ1531" s="598"/>
      <c r="BK1531" s="598"/>
      <c r="BL1531" s="598"/>
      <c r="BM1531" s="598"/>
      <c r="BN1531" s="598"/>
      <c r="BO1531" s="598"/>
      <c r="BP1531" s="598"/>
      <c r="BQ1531" s="598"/>
      <c r="BR1531" s="598"/>
      <c r="BS1531" s="598"/>
      <c r="BT1531" s="1429">
        <f>BT1522+BT1526+BT1530</f>
        <v>727</v>
      </c>
      <c r="BU1531" s="1429"/>
      <c r="BV1531" s="1429"/>
      <c r="BW1531" s="1429"/>
      <c r="BX1531" s="1429"/>
      <c r="BY1531" s="1429"/>
      <c r="BZ1531" s="1429"/>
      <c r="CA1531" s="1429"/>
      <c r="CB1531" s="1429"/>
      <c r="CC1531" s="1429"/>
      <c r="CD1531" s="598"/>
      <c r="CE1531" s="598"/>
      <c r="CF1531" s="599"/>
    </row>
    <row r="1532" spans="1:84" s="583" customFormat="1" ht="9.9499999999999993" customHeight="1">
      <c r="A1532" s="574"/>
      <c r="B1532" s="574"/>
      <c r="C1532" s="574"/>
      <c r="D1532" s="574"/>
      <c r="E1532" s="574"/>
      <c r="F1532" s="574"/>
      <c r="G1532" s="574"/>
      <c r="H1532" s="574"/>
      <c r="I1532" s="574"/>
      <c r="J1532" s="574"/>
      <c r="K1532" s="574"/>
      <c r="L1532" s="574"/>
      <c r="M1532" s="574"/>
      <c r="N1532" s="574"/>
      <c r="O1532" s="574"/>
      <c r="P1532" s="574"/>
      <c r="Q1532" s="574"/>
      <c r="R1532" s="574"/>
      <c r="S1532" s="574"/>
      <c r="T1532" s="574"/>
      <c r="U1532" s="574"/>
      <c r="V1532" s="574"/>
      <c r="W1532" s="574"/>
      <c r="X1532" s="574"/>
      <c r="Y1532" s="574"/>
      <c r="Z1532" s="574"/>
      <c r="AA1532" s="574"/>
      <c r="AB1532" s="574"/>
      <c r="AC1532" s="574"/>
      <c r="AD1532" s="574"/>
      <c r="AE1532" s="574"/>
      <c r="AF1532" s="574"/>
      <c r="AG1532" s="574"/>
      <c r="AH1532" s="574"/>
      <c r="AI1532" s="574"/>
      <c r="AJ1532" s="574"/>
      <c r="AK1532" s="574"/>
      <c r="AL1532" s="574"/>
      <c r="AM1532" s="574"/>
      <c r="AN1532" s="574"/>
      <c r="AO1532" s="574"/>
      <c r="AP1532" s="574"/>
      <c r="AQ1532" s="574"/>
      <c r="AR1532" s="574"/>
      <c r="AS1532" s="574"/>
      <c r="AT1532" s="574"/>
      <c r="AU1532" s="574"/>
      <c r="AV1532" s="574"/>
      <c r="AW1532" s="574"/>
      <c r="AX1532" s="574"/>
      <c r="AY1532" s="574"/>
      <c r="AZ1532" s="574"/>
      <c r="BA1532" s="574"/>
      <c r="BB1532" s="574"/>
      <c r="BC1532" s="574"/>
      <c r="BD1532" s="574"/>
      <c r="BE1532" s="574"/>
      <c r="BF1532" s="574"/>
      <c r="BG1532" s="574"/>
      <c r="BH1532" s="574"/>
      <c r="BI1532" s="574"/>
      <c r="BJ1532" s="574"/>
      <c r="BK1532" s="574"/>
      <c r="BL1532" s="574"/>
      <c r="BM1532" s="574"/>
      <c r="BN1532" s="574"/>
      <c r="BO1532" s="574"/>
      <c r="BP1532" s="574"/>
      <c r="BQ1532" s="574"/>
      <c r="BR1532" s="574"/>
      <c r="BS1532" s="574"/>
      <c r="BT1532" s="574"/>
      <c r="BU1532" s="574"/>
      <c r="BV1532" s="574"/>
      <c r="BW1532" s="574"/>
      <c r="BX1532" s="574"/>
      <c r="BY1532" s="574"/>
      <c r="BZ1532" s="574"/>
      <c r="CA1532" s="574"/>
      <c r="CB1532" s="574"/>
      <c r="CC1532" s="574"/>
      <c r="CD1532" s="574"/>
      <c r="CE1532" s="574"/>
      <c r="CF1532" s="574"/>
    </row>
    <row r="1533" spans="1:84" s="583" customFormat="1" ht="23.1" customHeight="1" thickBot="1">
      <c r="A1533" s="1446" t="s">
        <v>1095</v>
      </c>
      <c r="B1533" s="1446"/>
      <c r="C1533" s="1446"/>
      <c r="D1533" s="1446"/>
      <c r="E1533" s="1446"/>
      <c r="F1533" s="1446"/>
      <c r="G1533" s="1447">
        <f>G1518+1</f>
        <v>103</v>
      </c>
      <c r="H1533" s="1447"/>
      <c r="I1533" s="1447"/>
      <c r="J1533" s="1447"/>
      <c r="K1533" s="1448" t="s">
        <v>1096</v>
      </c>
      <c r="L1533" s="1448"/>
      <c r="M1533" s="574"/>
      <c r="N1533" s="574"/>
      <c r="Q1533" s="574"/>
      <c r="R1533" s="574"/>
      <c r="S1533" s="574"/>
      <c r="T1533" s="574"/>
      <c r="U1533" s="574"/>
      <c r="V1533" s="574"/>
      <c r="W1533" s="574"/>
      <c r="X1533" s="574"/>
      <c r="Y1533" s="574"/>
      <c r="Z1533" s="574"/>
      <c r="AA1533" s="574"/>
      <c r="AB1533" s="574"/>
      <c r="AC1533" s="574"/>
      <c r="AD1533" s="574"/>
      <c r="AE1533" s="574"/>
      <c r="AF1533" s="574"/>
      <c r="AG1533" s="574"/>
      <c r="AH1533" s="574"/>
      <c r="AI1533" s="574"/>
      <c r="AJ1533" s="574"/>
      <c r="AK1533" s="574"/>
      <c r="AL1533" s="574"/>
      <c r="AM1533" s="574"/>
      <c r="AN1533" s="574"/>
      <c r="AO1533" s="574"/>
      <c r="AP1533" s="574"/>
      <c r="AQ1533" s="574"/>
      <c r="AR1533" s="574"/>
      <c r="AS1533" s="574"/>
      <c r="AT1533" s="574"/>
      <c r="AU1533" s="574"/>
      <c r="AV1533" s="574"/>
      <c r="AW1533" s="574"/>
      <c r="AX1533" s="574"/>
      <c r="AY1533" s="574"/>
      <c r="AZ1533" s="574"/>
      <c r="BA1533" s="574"/>
      <c r="BB1533" s="574"/>
      <c r="BC1533" s="574"/>
      <c r="BD1533" s="574"/>
      <c r="BE1533" s="574"/>
      <c r="BF1533" s="574"/>
      <c r="BG1533" s="574"/>
      <c r="BH1533" s="574"/>
      <c r="BI1533" s="574"/>
      <c r="BJ1533" s="574"/>
      <c r="BK1533" s="574"/>
      <c r="BL1533" s="574"/>
      <c r="BM1533" s="574"/>
      <c r="BN1533" s="574"/>
      <c r="BO1533" s="574"/>
      <c r="BP1533" s="574"/>
      <c r="BQ1533" s="574"/>
      <c r="BR1533" s="574"/>
      <c r="BS1533" s="574"/>
      <c r="BT1533" s="574"/>
      <c r="BU1533" s="574"/>
      <c r="BV1533" s="574"/>
      <c r="BW1533" s="574"/>
      <c r="BX1533" s="574"/>
      <c r="BY1533" s="574"/>
      <c r="BZ1533" s="574"/>
      <c r="CA1533" s="574"/>
      <c r="CB1533" s="574"/>
      <c r="CC1533" s="574"/>
      <c r="CD1533" s="574"/>
      <c r="CE1533" s="574"/>
      <c r="CF1533" s="574"/>
    </row>
    <row r="1534" spans="1:84" s="603" customFormat="1" ht="23.1" customHeight="1" thickBot="1">
      <c r="A1534" s="1438" t="s">
        <v>1097</v>
      </c>
      <c r="B1534" s="1439"/>
      <c r="C1534" s="1439"/>
      <c r="D1534" s="1439"/>
      <c r="E1534" s="1439"/>
      <c r="F1534" s="1439"/>
      <c r="G1534" s="1439"/>
      <c r="H1534" s="1439"/>
      <c r="I1534" s="601" t="s">
        <v>1291</v>
      </c>
      <c r="J1534" s="601"/>
      <c r="K1534" s="601"/>
      <c r="L1534" s="601"/>
      <c r="M1534" s="601"/>
      <c r="N1534" s="601"/>
      <c r="O1534" s="601"/>
      <c r="P1534" s="601"/>
      <c r="Q1534" s="601"/>
      <c r="R1534" s="601"/>
      <c r="S1534" s="601"/>
      <c r="T1534" s="601"/>
      <c r="U1534" s="601"/>
      <c r="V1534" s="601"/>
      <c r="W1534" s="601"/>
      <c r="X1534" s="601"/>
      <c r="Y1534" s="601"/>
      <c r="Z1534" s="601"/>
      <c r="AA1534" s="601"/>
      <c r="AB1534" s="601"/>
      <c r="AC1534" s="601"/>
      <c r="AD1534" s="601"/>
      <c r="AE1534" s="601"/>
      <c r="AF1534" s="601"/>
      <c r="AG1534" s="601"/>
      <c r="AH1534" s="601"/>
      <c r="AI1534" s="601"/>
      <c r="AJ1534" s="1439" t="s">
        <v>1099</v>
      </c>
      <c r="AK1534" s="1439"/>
      <c r="AL1534" s="1439"/>
      <c r="AM1534" s="1439"/>
      <c r="AN1534" s="1439"/>
      <c r="AO1534" s="1439"/>
      <c r="AP1534" s="1439"/>
      <c r="AQ1534" s="630" t="s">
        <v>1292</v>
      </c>
      <c r="AR1534" s="601"/>
      <c r="AS1534" s="601"/>
      <c r="AT1534" s="601"/>
      <c r="AU1534" s="601"/>
      <c r="AV1534" s="601"/>
      <c r="AW1534" s="601"/>
      <c r="AX1534" s="601"/>
      <c r="AY1534" s="601"/>
      <c r="AZ1534" s="601"/>
      <c r="BA1534" s="601"/>
      <c r="BB1534" s="601"/>
      <c r="BC1534" s="601"/>
      <c r="BD1534" s="601"/>
      <c r="BE1534" s="601"/>
      <c r="BF1534" s="601"/>
      <c r="BG1534" s="601"/>
      <c r="BH1534" s="601"/>
      <c r="BI1534" s="601"/>
      <c r="BJ1534" s="601"/>
      <c r="BK1534" s="601"/>
      <c r="BL1534" s="601"/>
      <c r="BM1534" s="601"/>
      <c r="BN1534" s="601"/>
      <c r="BO1534" s="601"/>
      <c r="BP1534" s="601"/>
      <c r="BQ1534" s="601"/>
      <c r="BR1534" s="601"/>
      <c r="BS1534" s="601"/>
      <c r="BT1534" s="630" t="s">
        <v>1293</v>
      </c>
      <c r="BU1534" s="601"/>
      <c r="BV1534" s="601"/>
      <c r="BW1534" s="601"/>
      <c r="BX1534" s="601"/>
      <c r="BY1534" s="601"/>
      <c r="BZ1534" s="601"/>
      <c r="CA1534" s="601"/>
      <c r="CB1534" s="601"/>
      <c r="CC1534" s="601"/>
      <c r="CD1534" s="601"/>
      <c r="CE1534" s="601"/>
      <c r="CF1534" s="602"/>
    </row>
    <row r="1535" spans="1:84" s="583" customFormat="1" ht="23.1" customHeight="1">
      <c r="A1535" s="584"/>
      <c r="B1535" s="585" t="s">
        <v>1102</v>
      </c>
      <c r="C1535" s="585"/>
      <c r="D1535" s="585"/>
      <c r="E1535" s="585"/>
      <c r="F1535" s="585"/>
      <c r="G1535" s="585"/>
      <c r="H1535" s="585"/>
      <c r="I1535" s="585"/>
      <c r="J1535" s="585"/>
      <c r="K1535" s="585"/>
      <c r="L1535" s="585"/>
      <c r="M1535" s="585"/>
      <c r="N1535" s="585"/>
      <c r="O1535" s="585"/>
      <c r="P1535" s="585"/>
      <c r="Q1535" s="585"/>
      <c r="R1535" s="585"/>
      <c r="S1535" s="585"/>
      <c r="T1535" s="585"/>
      <c r="U1535" s="585"/>
      <c r="V1535" s="585"/>
      <c r="W1535" s="585"/>
      <c r="X1535" s="585"/>
      <c r="Y1535" s="585"/>
      <c r="Z1535" s="585"/>
      <c r="AA1535" s="585"/>
      <c r="AB1535" s="585"/>
      <c r="AC1535" s="585"/>
      <c r="AD1535" s="585"/>
      <c r="AE1535" s="585"/>
      <c r="AF1535" s="585"/>
      <c r="AG1535" s="585"/>
      <c r="AH1535" s="585"/>
      <c r="AI1535" s="585"/>
      <c r="AJ1535" s="585"/>
      <c r="AK1535" s="585"/>
      <c r="AL1535" s="585"/>
      <c r="AM1535" s="585"/>
      <c r="AN1535" s="585"/>
      <c r="AO1535" s="585"/>
      <c r="AP1535" s="585"/>
      <c r="AQ1535" s="585"/>
      <c r="AR1535" s="585"/>
      <c r="AS1535" s="585"/>
      <c r="AT1535" s="585"/>
      <c r="AU1535" s="585"/>
      <c r="AV1535" s="585"/>
      <c r="AW1535" s="585"/>
      <c r="AX1535" s="585"/>
      <c r="AY1535" s="585"/>
      <c r="AZ1535" s="585"/>
      <c r="BA1535" s="585"/>
      <c r="BB1535" s="585"/>
      <c r="BC1535" s="585"/>
      <c r="BD1535" s="585"/>
      <c r="BE1535" s="585"/>
      <c r="BF1535" s="585"/>
      <c r="BG1535" s="585"/>
      <c r="BH1535" s="585"/>
      <c r="BI1535" s="585"/>
      <c r="BJ1535" s="585"/>
      <c r="BK1535" s="585"/>
      <c r="BL1535" s="585"/>
      <c r="BM1535" s="585"/>
      <c r="BN1535" s="585"/>
      <c r="BO1535" s="585"/>
      <c r="BP1535" s="585"/>
      <c r="BQ1535" s="585"/>
      <c r="BR1535" s="585"/>
      <c r="BS1535" s="585"/>
      <c r="BT1535" s="585"/>
      <c r="BU1535" s="585"/>
      <c r="BV1535" s="585"/>
      <c r="BW1535" s="585"/>
      <c r="BX1535" s="585"/>
      <c r="BY1535" s="585"/>
      <c r="BZ1535" s="585"/>
      <c r="CA1535" s="585"/>
      <c r="CB1535" s="585"/>
      <c r="CC1535" s="585"/>
      <c r="CD1535" s="585"/>
      <c r="CE1535" s="585"/>
      <c r="CF1535" s="586"/>
    </row>
    <row r="1536" spans="1:84" s="583" customFormat="1" ht="23.1" customHeight="1">
      <c r="A1536" s="587"/>
      <c r="B1536" s="574"/>
      <c r="C1536" s="574"/>
      <c r="D1536" s="405"/>
      <c r="E1536" s="574"/>
      <c r="F1536" s="422"/>
      <c r="G1536" s="422"/>
      <c r="H1536" s="422"/>
      <c r="I1536" s="422"/>
      <c r="J1536" s="422"/>
      <c r="K1536" s="422"/>
      <c r="L1536" s="422"/>
      <c r="M1536" s="422"/>
      <c r="N1536" s="574"/>
      <c r="O1536" s="574"/>
      <c r="P1536" s="574"/>
      <c r="Q1536" s="574"/>
      <c r="R1536" s="574"/>
      <c r="S1536" s="588"/>
      <c r="T1536" s="588"/>
      <c r="U1536" s="588"/>
      <c r="V1536" s="588"/>
      <c r="W1536" s="588"/>
      <c r="X1536" s="588"/>
      <c r="Y1536" s="588"/>
      <c r="Z1536" s="588"/>
      <c r="AA1536" s="574"/>
      <c r="AB1536" s="588"/>
      <c r="AC1536" s="585"/>
      <c r="AD1536" s="585"/>
      <c r="AE1536" s="600"/>
      <c r="AF1536" s="600"/>
      <c r="AG1536" s="600"/>
      <c r="AH1536" s="600"/>
      <c r="AI1536" s="600"/>
      <c r="AJ1536" s="600"/>
      <c r="AK1536" s="600"/>
      <c r="AL1536" s="600"/>
      <c r="AM1536" s="585"/>
      <c r="AN1536" s="585"/>
      <c r="AO1536" s="574"/>
      <c r="AP1536" s="430"/>
      <c r="AQ1536" s="430"/>
      <c r="AR1536" s="430"/>
      <c r="AS1536" s="430"/>
      <c r="AT1536" s="430"/>
      <c r="AU1536" s="430"/>
      <c r="AV1536" s="430"/>
      <c r="AW1536" s="430"/>
      <c r="AX1536" s="430"/>
      <c r="AY1536" s="430"/>
      <c r="AZ1536" s="430"/>
      <c r="BA1536" s="430"/>
      <c r="BB1536" s="430"/>
      <c r="BC1536" s="430"/>
      <c r="BD1536" s="574"/>
      <c r="BE1536" s="574"/>
      <c r="BF1536" s="574"/>
      <c r="BG1536" s="574"/>
      <c r="BH1536" s="574"/>
      <c r="BI1536" s="574"/>
      <c r="BJ1536" s="574"/>
      <c r="BK1536" s="574"/>
      <c r="BL1536" s="574"/>
      <c r="BM1536" s="574"/>
      <c r="BN1536" s="574"/>
      <c r="BO1536" s="574"/>
      <c r="BP1536" s="574"/>
      <c r="BQ1536" s="574"/>
      <c r="BR1536" s="574"/>
      <c r="BS1536" s="574"/>
      <c r="BT1536" s="574"/>
      <c r="BU1536" s="574"/>
      <c r="BV1536" s="574"/>
      <c r="BW1536" s="574"/>
      <c r="BX1536" s="574"/>
      <c r="BY1536" s="574"/>
      <c r="BZ1536" s="574"/>
      <c r="CA1536" s="574"/>
      <c r="CB1536" s="574"/>
      <c r="CC1536" s="574"/>
      <c r="CD1536" s="574"/>
      <c r="CE1536" s="574"/>
      <c r="CF1536" s="589"/>
    </row>
    <row r="1537" spans="1:256" s="583" customFormat="1" ht="23.1" customHeight="1">
      <c r="A1537" s="584"/>
      <c r="B1537" s="585"/>
      <c r="C1537" s="585"/>
      <c r="D1537" s="585"/>
      <c r="E1537" s="585"/>
      <c r="F1537" s="585"/>
      <c r="G1537" s="585"/>
      <c r="H1537" s="585"/>
      <c r="I1537" s="585"/>
      <c r="J1537" s="585"/>
      <c r="K1537" s="585"/>
      <c r="L1537" s="585"/>
      <c r="M1537" s="585"/>
      <c r="N1537" s="585"/>
      <c r="O1537" s="585"/>
      <c r="P1537" s="585"/>
      <c r="Q1537" s="585"/>
      <c r="R1537" s="585"/>
      <c r="S1537" s="585"/>
      <c r="T1537" s="585"/>
      <c r="U1537" s="585"/>
      <c r="V1537" s="590"/>
      <c r="W1537" s="590"/>
      <c r="X1537" s="590"/>
      <c r="Y1537" s="590"/>
      <c r="Z1537" s="590"/>
      <c r="AA1537" s="590"/>
      <c r="AB1537" s="590"/>
      <c r="AC1537" s="590"/>
      <c r="AD1537" s="574"/>
      <c r="AE1537" s="1440">
        <v>3227000</v>
      </c>
      <c r="AF1537" s="1440"/>
      <c r="AG1537" s="1440"/>
      <c r="AH1537" s="1440"/>
      <c r="AI1537" s="1440"/>
      <c r="AJ1537" s="1440"/>
      <c r="AK1537" s="1440"/>
      <c r="AL1537" s="1440"/>
      <c r="AM1537" s="1440"/>
      <c r="AN1537" s="1440"/>
      <c r="AO1537" s="1440"/>
      <c r="AP1537" s="1440"/>
      <c r="AQ1537" s="1440"/>
      <c r="AR1537" s="1440"/>
      <c r="AS1537" s="1440"/>
      <c r="AT1537" s="1431" t="s">
        <v>446</v>
      </c>
      <c r="AU1537" s="1431"/>
      <c r="AV1537" s="1441" t="s">
        <v>1103</v>
      </c>
      <c r="AW1537" s="1441"/>
      <c r="AX1537" s="1442">
        <v>2799</v>
      </c>
      <c r="AY1537" s="1442"/>
      <c r="AZ1537" s="1442"/>
      <c r="BA1537" s="1442"/>
      <c r="BB1537" s="1442"/>
      <c r="BC1537" s="1442"/>
      <c r="BD1537" s="585"/>
      <c r="BE1537" s="1431" t="s">
        <v>446</v>
      </c>
      <c r="BF1537" s="1431"/>
      <c r="BG1537" s="585"/>
      <c r="BH1537" s="591" t="s">
        <v>1104</v>
      </c>
      <c r="BI1537" s="585"/>
      <c r="BJ1537" s="585"/>
      <c r="BK1537" s="585"/>
      <c r="BL1537" s="1431" t="s">
        <v>1105</v>
      </c>
      <c r="BM1537" s="1431"/>
      <c r="BN1537" s="1431"/>
      <c r="BO1537" s="585"/>
      <c r="BP1537" s="1431" t="s">
        <v>41</v>
      </c>
      <c r="BQ1537" s="1431"/>
      <c r="BR1537" s="585"/>
      <c r="BS1537" s="585"/>
      <c r="BT1537" s="1437">
        <f>INT(AE1537*AX1537*10^-7)</f>
        <v>903</v>
      </c>
      <c r="BU1537" s="1437"/>
      <c r="BV1537" s="1437"/>
      <c r="BW1537" s="1437"/>
      <c r="BX1537" s="1437"/>
      <c r="BY1537" s="1437"/>
      <c r="BZ1537" s="1437"/>
      <c r="CA1537" s="1437"/>
      <c r="CB1537" s="1437"/>
      <c r="CC1537" s="1437"/>
      <c r="CD1537" s="585"/>
      <c r="CE1537" s="585"/>
      <c r="CF1537" s="586"/>
    </row>
    <row r="1538" spans="1:256" s="583" customFormat="1" ht="23.1" customHeight="1">
      <c r="A1538" s="592"/>
      <c r="B1538" s="593" t="s">
        <v>1106</v>
      </c>
      <c r="C1538" s="593"/>
      <c r="D1538" s="593"/>
      <c r="E1538" s="593"/>
      <c r="F1538" s="593"/>
      <c r="G1538" s="593"/>
      <c r="H1538" s="593"/>
      <c r="I1538" s="593"/>
      <c r="J1538" s="593"/>
      <c r="K1538" s="593"/>
      <c r="L1538" s="593"/>
      <c r="M1538" s="593"/>
      <c r="N1538" s="593"/>
      <c r="O1538" s="593"/>
      <c r="P1538" s="593"/>
      <c r="Q1538" s="593"/>
      <c r="R1538" s="593"/>
      <c r="S1538" s="593"/>
      <c r="T1538" s="593"/>
      <c r="U1538" s="593"/>
      <c r="V1538" s="593"/>
      <c r="W1538" s="593"/>
      <c r="X1538" s="593"/>
      <c r="Y1538" s="593"/>
      <c r="Z1538" s="593"/>
      <c r="AA1538" s="593"/>
      <c r="AB1538" s="593"/>
      <c r="AC1538" s="593"/>
      <c r="AD1538" s="593"/>
      <c r="AE1538" s="593"/>
      <c r="AF1538" s="593"/>
      <c r="AG1538" s="593"/>
      <c r="AH1538" s="593"/>
      <c r="AI1538" s="593"/>
      <c r="AJ1538" s="593"/>
      <c r="AK1538" s="593"/>
      <c r="AL1538" s="593"/>
      <c r="AM1538" s="593"/>
      <c r="AN1538" s="593"/>
      <c r="AO1538" s="593"/>
      <c r="AP1538" s="593"/>
      <c r="AQ1538" s="593"/>
      <c r="AR1538" s="593"/>
      <c r="AS1538" s="593"/>
      <c r="AT1538" s="593"/>
      <c r="AU1538" s="593"/>
      <c r="AV1538" s="593"/>
      <c r="AW1538" s="593"/>
      <c r="AX1538" s="593"/>
      <c r="AY1538" s="593"/>
      <c r="AZ1538" s="593"/>
      <c r="BA1538" s="593"/>
      <c r="BB1538" s="593"/>
      <c r="BC1538" s="593"/>
      <c r="BD1538" s="593"/>
      <c r="BE1538" s="593"/>
      <c r="BF1538" s="593"/>
      <c r="BG1538" s="593"/>
      <c r="BH1538" s="593"/>
      <c r="BI1538" s="593"/>
      <c r="BJ1538" s="593"/>
      <c r="BK1538" s="593"/>
      <c r="BL1538" s="593"/>
      <c r="BM1538" s="593"/>
      <c r="BN1538" s="593"/>
      <c r="BO1538" s="593"/>
      <c r="BP1538" s="593"/>
      <c r="BQ1538" s="593"/>
      <c r="BR1538" s="593"/>
      <c r="BS1538" s="593"/>
      <c r="BT1538" s="594"/>
      <c r="BU1538" s="594"/>
      <c r="BV1538" s="594"/>
      <c r="BW1538" s="594"/>
      <c r="BX1538" s="594"/>
      <c r="BY1538" s="594"/>
      <c r="BZ1538" s="594"/>
      <c r="CA1538" s="594"/>
      <c r="CB1538" s="594"/>
      <c r="CC1538" s="594"/>
      <c r="CD1538" s="593"/>
      <c r="CE1538" s="593"/>
      <c r="CF1538" s="595"/>
    </row>
    <row r="1539" spans="1:256" s="583" customFormat="1" ht="23.1" customHeight="1">
      <c r="A1539" s="584"/>
      <c r="B1539" s="585"/>
      <c r="C1539" s="585"/>
      <c r="D1539" s="596"/>
      <c r="E1539" s="585"/>
      <c r="F1539" s="585"/>
      <c r="G1539" s="585"/>
      <c r="H1539" s="585"/>
      <c r="I1539" s="585"/>
      <c r="J1539" s="585"/>
      <c r="K1539" s="585"/>
      <c r="L1539" s="585"/>
      <c r="M1539" s="585"/>
      <c r="N1539" s="585"/>
      <c r="O1539" s="585"/>
      <c r="P1539" s="585"/>
      <c r="Q1539" s="585"/>
      <c r="R1539" s="585"/>
      <c r="S1539" s="585"/>
      <c r="T1539" s="574"/>
      <c r="U1539" s="574"/>
      <c r="V1539" s="1430"/>
      <c r="W1539" s="1430"/>
      <c r="X1539" s="1430"/>
      <c r="Y1539" s="1430"/>
      <c r="Z1539" s="1430"/>
      <c r="AA1539" s="1430"/>
      <c r="AB1539" s="1430"/>
      <c r="AC1539" s="1430"/>
      <c r="AD1539" s="1430"/>
      <c r="AE1539" s="1430"/>
      <c r="AF1539" s="1431"/>
      <c r="AG1539" s="1431"/>
      <c r="AH1539" s="574"/>
      <c r="AI1539" s="1436"/>
      <c r="AJ1539" s="1436"/>
      <c r="AK1539" s="1436"/>
      <c r="AL1539" s="1436"/>
      <c r="AM1539" s="585"/>
      <c r="AN1539" s="1431"/>
      <c r="AO1539" s="1431"/>
      <c r="AP1539" s="585"/>
      <c r="AQ1539" s="1436"/>
      <c r="AR1539" s="1436"/>
      <c r="AS1539" s="1436"/>
      <c r="AT1539" s="1436"/>
      <c r="AU1539" s="1436"/>
      <c r="AV1539" s="422"/>
      <c r="AW1539" s="1431"/>
      <c r="AX1539" s="1431"/>
      <c r="AY1539" s="440"/>
      <c r="AZ1539" s="1436"/>
      <c r="BA1539" s="1436"/>
      <c r="BB1539" s="1436"/>
      <c r="BC1539" s="1436"/>
      <c r="BD1539" s="1436"/>
      <c r="BE1539" s="585"/>
      <c r="BF1539" s="1431"/>
      <c r="BG1539" s="1431"/>
      <c r="BH1539" s="1431"/>
      <c r="BI1539" s="1431"/>
      <c r="BJ1539" s="1431"/>
      <c r="BK1539" s="585"/>
      <c r="BL1539" s="585"/>
      <c r="BM1539" s="585"/>
      <c r="BN1539" s="585"/>
      <c r="BO1539" s="585"/>
      <c r="BP1539" s="1431"/>
      <c r="BQ1539" s="1431"/>
      <c r="BR1539" s="585"/>
      <c r="BS1539" s="585"/>
      <c r="BT1539" s="1432"/>
      <c r="BU1539" s="1432"/>
      <c r="BV1539" s="1432"/>
      <c r="BW1539" s="1432"/>
      <c r="BX1539" s="1432"/>
      <c r="BY1539" s="1432"/>
      <c r="BZ1539" s="1432"/>
      <c r="CA1539" s="1432"/>
      <c r="CB1539" s="1432"/>
      <c r="CC1539" s="1432"/>
      <c r="CD1539" s="585"/>
      <c r="CE1539" s="585"/>
      <c r="CF1539" s="586"/>
    </row>
    <row r="1540" spans="1:256" s="583" customFormat="1" ht="23.1" customHeight="1">
      <c r="A1540" s="584"/>
      <c r="B1540" s="585"/>
      <c r="C1540" s="585"/>
      <c r="D1540" s="585"/>
      <c r="E1540" s="585"/>
      <c r="F1540" s="585"/>
      <c r="G1540" s="585"/>
      <c r="H1540" s="585"/>
      <c r="I1540" s="585"/>
      <c r="J1540" s="585"/>
      <c r="K1540" s="585"/>
      <c r="L1540" s="585"/>
      <c r="M1540" s="585"/>
      <c r="N1540" s="585"/>
      <c r="O1540" s="585"/>
      <c r="P1540" s="574"/>
      <c r="Q1540" s="574"/>
      <c r="R1540" s="574"/>
      <c r="S1540" s="574"/>
      <c r="T1540" s="574"/>
      <c r="U1540" s="574"/>
      <c r="V1540" s="574"/>
      <c r="W1540" s="574"/>
      <c r="X1540" s="574"/>
      <c r="Y1540" s="574"/>
      <c r="Z1540" s="574"/>
      <c r="AA1540" s="574"/>
      <c r="AB1540" s="574"/>
      <c r="AC1540" s="574"/>
      <c r="AD1540" s="574"/>
      <c r="AE1540" s="574"/>
      <c r="AF1540" s="574"/>
      <c r="AG1540" s="574"/>
      <c r="AH1540" s="574"/>
      <c r="AI1540" s="574"/>
      <c r="AJ1540" s="574"/>
      <c r="AK1540" s="574"/>
      <c r="AL1540" s="574"/>
      <c r="AM1540" s="574"/>
      <c r="AN1540" s="574"/>
      <c r="AO1540" s="574"/>
      <c r="AP1540" s="574"/>
      <c r="AQ1540" s="574"/>
      <c r="AR1540" s="574"/>
      <c r="AS1540" s="574"/>
      <c r="AT1540" s="574"/>
      <c r="AU1540" s="574"/>
      <c r="AV1540" s="574"/>
      <c r="AW1540" s="574"/>
      <c r="AX1540" s="574"/>
      <c r="AY1540" s="574"/>
      <c r="AZ1540" s="574"/>
      <c r="BA1540" s="574"/>
      <c r="BB1540" s="574"/>
      <c r="BC1540" s="574"/>
      <c r="BD1540" s="574"/>
      <c r="BE1540" s="574"/>
      <c r="BF1540" s="574"/>
      <c r="BG1540" s="585"/>
      <c r="BH1540" s="585"/>
      <c r="BI1540" s="585"/>
      <c r="BJ1540" s="585"/>
      <c r="BK1540" s="585"/>
      <c r="BL1540" s="585"/>
      <c r="BM1540" s="585"/>
      <c r="BN1540" s="585"/>
      <c r="BO1540" s="585"/>
      <c r="BP1540" s="1431"/>
      <c r="BQ1540" s="1431"/>
      <c r="BR1540" s="585"/>
      <c r="BS1540" s="585"/>
      <c r="BT1540" s="1432"/>
      <c r="BU1540" s="1432"/>
      <c r="BV1540" s="1432"/>
      <c r="BW1540" s="1432"/>
      <c r="BX1540" s="1432"/>
      <c r="BY1540" s="1432"/>
      <c r="BZ1540" s="1432"/>
      <c r="CA1540" s="1432"/>
      <c r="CB1540" s="1432"/>
      <c r="CC1540" s="1432"/>
      <c r="CD1540" s="585"/>
      <c r="CE1540" s="585"/>
      <c r="CF1540" s="586"/>
    </row>
    <row r="1541" spans="1:256" s="583" customFormat="1" ht="23.1" customHeight="1">
      <c r="A1541" s="584"/>
      <c r="B1541" s="585"/>
      <c r="C1541" s="585"/>
      <c r="D1541" s="585"/>
      <c r="E1541" s="585"/>
      <c r="F1541" s="585"/>
      <c r="G1541" s="585"/>
      <c r="H1541" s="585"/>
      <c r="I1541" s="585"/>
      <c r="J1541" s="585"/>
      <c r="K1541" s="585"/>
      <c r="L1541" s="585"/>
      <c r="M1541" s="585"/>
      <c r="N1541" s="585"/>
      <c r="O1541" s="585"/>
      <c r="P1541" s="585"/>
      <c r="Q1541" s="585"/>
      <c r="R1541" s="585"/>
      <c r="S1541" s="585"/>
      <c r="T1541" s="585"/>
      <c r="U1541" s="585"/>
      <c r="V1541" s="585"/>
      <c r="W1541" s="585"/>
      <c r="X1541" s="585"/>
      <c r="Y1541" s="585"/>
      <c r="Z1541" s="585"/>
      <c r="AA1541" s="585"/>
      <c r="AB1541" s="585"/>
      <c r="AC1541" s="585"/>
      <c r="AD1541" s="574"/>
      <c r="AE1541" s="574"/>
      <c r="AF1541" s="574"/>
      <c r="AG1541" s="574"/>
      <c r="AH1541" s="574"/>
      <c r="AI1541" s="574"/>
      <c r="AJ1541" s="574"/>
      <c r="AK1541" s="574"/>
      <c r="AL1541" s="574"/>
      <c r="AM1541" s="574"/>
      <c r="AN1541" s="574"/>
      <c r="AO1541" s="574"/>
      <c r="AP1541" s="574"/>
      <c r="AQ1541" s="574"/>
      <c r="AR1541" s="574"/>
      <c r="AS1541" s="585"/>
      <c r="AT1541" s="590"/>
      <c r="AU1541" s="590"/>
      <c r="AV1541" s="585"/>
      <c r="AW1541" s="585"/>
      <c r="AX1541" s="585"/>
      <c r="AY1541" s="585"/>
      <c r="AZ1541" s="585"/>
      <c r="BA1541" s="585"/>
      <c r="BB1541" s="585"/>
      <c r="BC1541" s="585"/>
      <c r="BD1541" s="585"/>
      <c r="BE1541" s="585"/>
      <c r="BF1541" s="585"/>
      <c r="BG1541" s="585"/>
      <c r="BH1541" s="585"/>
      <c r="BI1541" s="585"/>
      <c r="BJ1541" s="585"/>
      <c r="BK1541" s="585"/>
      <c r="BL1541" s="585"/>
      <c r="BM1541" s="585"/>
      <c r="BN1541" s="585"/>
      <c r="BO1541" s="585"/>
      <c r="BP1541" s="1431" t="s">
        <v>41</v>
      </c>
      <c r="BQ1541" s="1431"/>
      <c r="BR1541" s="585"/>
      <c r="BS1541" s="585"/>
      <c r="BT1541" s="1434">
        <f>BT1539+BT1540</f>
        <v>0</v>
      </c>
      <c r="BU1541" s="1434"/>
      <c r="BV1541" s="1434"/>
      <c r="BW1541" s="1434"/>
      <c r="BX1541" s="1434"/>
      <c r="BY1541" s="1434"/>
      <c r="BZ1541" s="1434"/>
      <c r="CA1541" s="1434"/>
      <c r="CB1541" s="1434"/>
      <c r="CC1541" s="1434"/>
      <c r="CD1541" s="585"/>
      <c r="CE1541" s="585"/>
      <c r="CF1541" s="586"/>
    </row>
    <row r="1542" spans="1:256" s="583" customFormat="1" ht="23.1" customHeight="1">
      <c r="A1542" s="592"/>
      <c r="B1542" s="593" t="s">
        <v>1110</v>
      </c>
      <c r="C1542" s="593"/>
      <c r="D1542" s="593"/>
      <c r="E1542" s="593"/>
      <c r="F1542" s="593"/>
      <c r="G1542" s="593"/>
      <c r="H1542" s="593"/>
      <c r="I1542" s="593"/>
      <c r="J1542" s="593"/>
      <c r="K1542" s="593"/>
      <c r="L1542" s="593"/>
      <c r="M1542" s="593"/>
      <c r="N1542" s="593"/>
      <c r="O1542" s="593"/>
      <c r="P1542" s="593"/>
      <c r="Q1542" s="593"/>
      <c r="R1542" s="593"/>
      <c r="S1542" s="593"/>
      <c r="T1542" s="593"/>
      <c r="U1542" s="593"/>
      <c r="V1542" s="593"/>
      <c r="W1542" s="593"/>
      <c r="X1542" s="593"/>
      <c r="Y1542" s="593"/>
      <c r="Z1542" s="593"/>
      <c r="AA1542" s="593"/>
      <c r="AB1542" s="593"/>
      <c r="AC1542" s="593"/>
      <c r="AD1542" s="593"/>
      <c r="AE1542" s="593"/>
      <c r="AF1542" s="593"/>
      <c r="AG1542" s="593"/>
      <c r="AH1542" s="593"/>
      <c r="AI1542" s="593"/>
      <c r="AJ1542" s="593"/>
      <c r="AK1542" s="593"/>
      <c r="AL1542" s="593"/>
      <c r="AM1542" s="593"/>
      <c r="AN1542" s="593"/>
      <c r="AO1542" s="593"/>
      <c r="AP1542" s="593"/>
      <c r="AQ1542" s="593"/>
      <c r="AR1542" s="593"/>
      <c r="AS1542" s="593"/>
      <c r="AT1542" s="593"/>
      <c r="AU1542" s="593"/>
      <c r="AV1542" s="593"/>
      <c r="AW1542" s="593"/>
      <c r="AX1542" s="593"/>
      <c r="AY1542" s="593"/>
      <c r="AZ1542" s="593"/>
      <c r="BA1542" s="593"/>
      <c r="BB1542" s="593"/>
      <c r="BC1542" s="593"/>
      <c r="BD1542" s="593"/>
      <c r="BE1542" s="593"/>
      <c r="BF1542" s="593"/>
      <c r="BG1542" s="593"/>
      <c r="BH1542" s="593"/>
      <c r="BI1542" s="593"/>
      <c r="BJ1542" s="593"/>
      <c r="BK1542" s="593"/>
      <c r="BL1542" s="593"/>
      <c r="BM1542" s="593"/>
      <c r="BN1542" s="593"/>
      <c r="BO1542" s="593"/>
      <c r="BP1542" s="593"/>
      <c r="BQ1542" s="593"/>
      <c r="BR1542" s="593"/>
      <c r="BS1542" s="593"/>
      <c r="BT1542" s="593"/>
      <c r="BU1542" s="593"/>
      <c r="BV1542" s="593"/>
      <c r="BW1542" s="593"/>
      <c r="BX1542" s="593"/>
      <c r="BY1542" s="593"/>
      <c r="BZ1542" s="593"/>
      <c r="CA1542" s="593"/>
      <c r="CB1542" s="593"/>
      <c r="CC1542" s="593"/>
      <c r="CD1542" s="593"/>
      <c r="CE1542" s="593"/>
      <c r="CF1542" s="595"/>
    </row>
    <row r="1543" spans="1:256" s="583" customFormat="1" ht="23.1" customHeight="1">
      <c r="A1543" s="584"/>
      <c r="B1543" s="585"/>
      <c r="C1543" s="585"/>
      <c r="D1543" s="596" t="s">
        <v>1094</v>
      </c>
      <c r="E1543" s="585"/>
      <c r="F1543" s="585"/>
      <c r="G1543" s="585"/>
      <c r="H1543" s="585"/>
      <c r="I1543" s="585"/>
      <c r="J1543" s="585"/>
      <c r="K1543" s="585"/>
      <c r="L1543" s="585"/>
      <c r="M1543" s="585"/>
      <c r="N1543" s="585"/>
      <c r="O1543" s="585"/>
      <c r="P1543" s="585"/>
      <c r="Q1543" s="585"/>
      <c r="R1543" s="585"/>
      <c r="S1543" s="585"/>
      <c r="T1543" s="585"/>
      <c r="U1543" s="585"/>
      <c r="V1543" s="585"/>
      <c r="W1543" s="585"/>
      <c r="X1543" s="585"/>
      <c r="Y1543" s="585"/>
      <c r="Z1543" s="585"/>
      <c r="AA1543" s="585"/>
      <c r="AB1543" s="585"/>
      <c r="AC1543" s="585"/>
      <c r="AD1543" s="585"/>
      <c r="AE1543" s="585"/>
      <c r="AF1543" s="585"/>
      <c r="AG1543" s="585"/>
      <c r="AH1543" s="585"/>
      <c r="AI1543" s="585"/>
      <c r="AJ1543" s="585"/>
      <c r="AK1543" s="585"/>
      <c r="AL1543" s="585"/>
      <c r="AM1543" s="585"/>
      <c r="AN1543" s="585"/>
      <c r="AO1543" s="585"/>
      <c r="AP1543" s="585"/>
      <c r="AQ1543" s="585"/>
      <c r="AR1543" s="422"/>
      <c r="AS1543" s="1430" t="e">
        <f>HLOOKUP(D1543,$CN$1:$CO$3,3,0)</f>
        <v>#REF!</v>
      </c>
      <c r="AT1543" s="1430"/>
      <c r="AU1543" s="1430"/>
      <c r="AV1543" s="1430"/>
      <c r="AW1543" s="1430"/>
      <c r="AX1543" s="1430"/>
      <c r="AY1543" s="1430"/>
      <c r="AZ1543" s="1430"/>
      <c r="BA1543" s="1430"/>
      <c r="BB1543" s="1430"/>
      <c r="BC1543" s="585"/>
      <c r="BD1543" s="1431" t="s">
        <v>446</v>
      </c>
      <c r="BE1543" s="1431"/>
      <c r="BF1543" s="585"/>
      <c r="BG1543" s="1431">
        <v>2.2000000000000002</v>
      </c>
      <c r="BH1543" s="1431"/>
      <c r="BI1543" s="1431"/>
      <c r="BJ1543" s="1431"/>
      <c r="BK1543" s="1431"/>
      <c r="BL1543" s="585" t="s">
        <v>1111</v>
      </c>
      <c r="BM1543" s="585"/>
      <c r="BN1543" s="585"/>
      <c r="BO1543" s="585"/>
      <c r="BP1543" s="1431" t="s">
        <v>41</v>
      </c>
      <c r="BQ1543" s="1431"/>
      <c r="BR1543" s="585"/>
      <c r="BS1543" s="585"/>
      <c r="BT1543" s="1432" t="e">
        <f>INT(AS1543*BG1543)</f>
        <v>#REF!</v>
      </c>
      <c r="BU1543" s="1432"/>
      <c r="BV1543" s="1432"/>
      <c r="BW1543" s="1432"/>
      <c r="BX1543" s="1432"/>
      <c r="BY1543" s="1432"/>
      <c r="BZ1543" s="1432"/>
      <c r="CA1543" s="1432"/>
      <c r="CB1543" s="1432"/>
      <c r="CC1543" s="1432"/>
      <c r="CD1543" s="585"/>
      <c r="CE1543" s="585"/>
      <c r="CF1543" s="586"/>
    </row>
    <row r="1544" spans="1:256" s="583" customFormat="1" ht="23.1" customHeight="1">
      <c r="A1544" s="584"/>
      <c r="B1544" s="585"/>
      <c r="C1544" s="585"/>
      <c r="D1544" s="591" t="str">
        <f>"잡재료 (주연료의 "&amp;BG1544&amp;"%) :"</f>
        <v>잡재료 (주연료의 16%) :</v>
      </c>
      <c r="E1544" s="585"/>
      <c r="F1544" s="585"/>
      <c r="G1544" s="585"/>
      <c r="H1544" s="585"/>
      <c r="I1544" s="585"/>
      <c r="J1544" s="585"/>
      <c r="K1544" s="585"/>
      <c r="L1544" s="585"/>
      <c r="M1544" s="585"/>
      <c r="N1544" s="585"/>
      <c r="O1544" s="585"/>
      <c r="P1544" s="585"/>
      <c r="Q1544" s="585"/>
      <c r="R1544" s="585"/>
      <c r="S1544" s="585"/>
      <c r="T1544" s="585"/>
      <c r="U1544" s="585"/>
      <c r="V1544" s="585"/>
      <c r="W1544" s="585"/>
      <c r="X1544" s="585"/>
      <c r="Y1544" s="585"/>
      <c r="Z1544" s="585"/>
      <c r="AA1544" s="585"/>
      <c r="AB1544" s="585"/>
      <c r="AC1544" s="585"/>
      <c r="AD1544" s="585"/>
      <c r="AE1544" s="585"/>
      <c r="AF1544" s="585"/>
      <c r="AG1544" s="585"/>
      <c r="AH1544" s="585"/>
      <c r="AI1544" s="585"/>
      <c r="AJ1544" s="585"/>
      <c r="AK1544" s="585"/>
      <c r="AL1544" s="585"/>
      <c r="AM1544" s="585"/>
      <c r="AN1544" s="585"/>
      <c r="AO1544" s="585"/>
      <c r="AP1544" s="585"/>
      <c r="AQ1544" s="585"/>
      <c r="AR1544" s="422" t="e">
        <f>BT1543</f>
        <v>#REF!</v>
      </c>
      <c r="AS1544" s="1430" t="e">
        <f>BT1543</f>
        <v>#REF!</v>
      </c>
      <c r="AT1544" s="1430"/>
      <c r="AU1544" s="1430"/>
      <c r="AV1544" s="1430"/>
      <c r="AW1544" s="1430"/>
      <c r="AX1544" s="1430"/>
      <c r="AY1544" s="1430"/>
      <c r="AZ1544" s="1430"/>
      <c r="BA1544" s="1430"/>
      <c r="BB1544" s="1430"/>
      <c r="BC1544" s="585"/>
      <c r="BD1544" s="1431" t="s">
        <v>446</v>
      </c>
      <c r="BE1544" s="1431"/>
      <c r="BF1544" s="585"/>
      <c r="BG1544" s="1431">
        <v>16</v>
      </c>
      <c r="BH1544" s="1431"/>
      <c r="BI1544" s="1431"/>
      <c r="BJ1544" s="1431"/>
      <c r="BK1544" s="1431"/>
      <c r="BL1544" s="585" t="s">
        <v>1112</v>
      </c>
      <c r="BM1544" s="585"/>
      <c r="BN1544" s="585"/>
      <c r="BO1544" s="585"/>
      <c r="BP1544" s="1431" t="s">
        <v>41</v>
      </c>
      <c r="BQ1544" s="1431"/>
      <c r="BR1544" s="585"/>
      <c r="BS1544" s="585"/>
      <c r="BT1544" s="1432" t="e">
        <f>INT(AS1544*BG1544/100)</f>
        <v>#REF!</v>
      </c>
      <c r="BU1544" s="1432"/>
      <c r="BV1544" s="1432"/>
      <c r="BW1544" s="1432"/>
      <c r="BX1544" s="1432"/>
      <c r="BY1544" s="1432"/>
      <c r="BZ1544" s="1432"/>
      <c r="CA1544" s="1432"/>
      <c r="CB1544" s="1432"/>
      <c r="CC1544" s="1432"/>
      <c r="CD1544" s="585"/>
      <c r="CE1544" s="585"/>
      <c r="CF1544" s="586"/>
    </row>
    <row r="1545" spans="1:256" s="583" customFormat="1" ht="23.1" customHeight="1" thickBot="1">
      <c r="A1545" s="584"/>
      <c r="B1545" s="585"/>
      <c r="C1545" s="585"/>
      <c r="D1545" s="585"/>
      <c r="E1545" s="585"/>
      <c r="F1545" s="585"/>
      <c r="G1545" s="585"/>
      <c r="H1545" s="585"/>
      <c r="I1545" s="585"/>
      <c r="J1545" s="585"/>
      <c r="K1545" s="585"/>
      <c r="L1545" s="585"/>
      <c r="M1545" s="585"/>
      <c r="N1545" s="585"/>
      <c r="O1545" s="585"/>
      <c r="P1545" s="585"/>
      <c r="Q1545" s="585"/>
      <c r="R1545" s="585"/>
      <c r="S1545" s="585"/>
      <c r="T1545" s="585"/>
      <c r="U1545" s="585"/>
      <c r="V1545" s="585"/>
      <c r="W1545" s="585"/>
      <c r="X1545" s="585"/>
      <c r="Y1545" s="585"/>
      <c r="Z1545" s="585"/>
      <c r="AA1545" s="585"/>
      <c r="AB1545" s="585"/>
      <c r="AC1545" s="585"/>
      <c r="AD1545" s="585"/>
      <c r="AE1545" s="585"/>
      <c r="AF1545" s="585"/>
      <c r="AG1545" s="585"/>
      <c r="AH1545" s="585"/>
      <c r="AI1545" s="585"/>
      <c r="AJ1545" s="585"/>
      <c r="AK1545" s="585"/>
      <c r="AL1545" s="585"/>
      <c r="AM1545" s="585"/>
      <c r="AN1545" s="585"/>
      <c r="AO1545" s="585"/>
      <c r="AP1545" s="585"/>
      <c r="AQ1545" s="585"/>
      <c r="AR1545" s="585"/>
      <c r="AS1545" s="585"/>
      <c r="AT1545" s="585"/>
      <c r="AU1545" s="585"/>
      <c r="AV1545" s="585"/>
      <c r="AW1545" s="585"/>
      <c r="AX1545" s="585"/>
      <c r="AY1545" s="585"/>
      <c r="AZ1545" s="585"/>
      <c r="BA1545" s="585"/>
      <c r="BB1545" s="585"/>
      <c r="BC1545" s="585"/>
      <c r="BD1545" s="585"/>
      <c r="BE1545" s="585"/>
      <c r="BF1545" s="585"/>
      <c r="BG1545" s="585"/>
      <c r="BH1545" s="585"/>
      <c r="BI1545" s="585"/>
      <c r="BJ1545" s="585"/>
      <c r="BK1545" s="585"/>
      <c r="BL1545" s="585"/>
      <c r="BM1545" s="585"/>
      <c r="BN1545" s="585"/>
      <c r="BO1545" s="585"/>
      <c r="BP1545" s="1431" t="s">
        <v>41</v>
      </c>
      <c r="BQ1545" s="1431"/>
      <c r="BR1545" s="585"/>
      <c r="BS1545" s="585"/>
      <c r="BT1545" s="1433" t="e">
        <f>BT1543+BT1544</f>
        <v>#REF!</v>
      </c>
      <c r="BU1545" s="1433"/>
      <c r="BV1545" s="1433"/>
      <c r="BW1545" s="1433"/>
      <c r="BX1545" s="1433"/>
      <c r="BY1545" s="1433"/>
      <c r="BZ1545" s="1433"/>
      <c r="CA1545" s="1433"/>
      <c r="CB1545" s="1433"/>
      <c r="CC1545" s="1433"/>
      <c r="CD1545" s="585"/>
      <c r="CE1545" s="585"/>
      <c r="CF1545" s="586"/>
    </row>
    <row r="1546" spans="1:256" s="583" customFormat="1" ht="23.1" customHeight="1" thickBot="1">
      <c r="A1546" s="597"/>
      <c r="B1546" s="598" t="s">
        <v>1113</v>
      </c>
      <c r="C1546" s="598"/>
      <c r="D1546" s="598"/>
      <c r="E1546" s="598"/>
      <c r="F1546" s="598"/>
      <c r="G1546" s="598"/>
      <c r="H1546" s="598"/>
      <c r="I1546" s="598"/>
      <c r="J1546" s="598"/>
      <c r="K1546" s="598"/>
      <c r="L1546" s="598"/>
      <c r="M1546" s="598"/>
      <c r="N1546" s="598"/>
      <c r="O1546" s="598"/>
      <c r="P1546" s="598"/>
      <c r="Q1546" s="598"/>
      <c r="R1546" s="598"/>
      <c r="S1546" s="598"/>
      <c r="T1546" s="598"/>
      <c r="U1546" s="598"/>
      <c r="V1546" s="598"/>
      <c r="W1546" s="598"/>
      <c r="X1546" s="598"/>
      <c r="Y1546" s="598"/>
      <c r="Z1546" s="598"/>
      <c r="AA1546" s="598"/>
      <c r="AB1546" s="598"/>
      <c r="AC1546" s="598"/>
      <c r="AD1546" s="598"/>
      <c r="AE1546" s="598"/>
      <c r="AF1546" s="598"/>
      <c r="AG1546" s="598"/>
      <c r="AH1546" s="598"/>
      <c r="AI1546" s="598"/>
      <c r="AJ1546" s="598"/>
      <c r="AK1546" s="598"/>
      <c r="AL1546" s="598"/>
      <c r="AM1546" s="598"/>
      <c r="AN1546" s="598"/>
      <c r="AO1546" s="598"/>
      <c r="AP1546" s="598"/>
      <c r="AQ1546" s="598"/>
      <c r="AR1546" s="598"/>
      <c r="AS1546" s="598"/>
      <c r="AT1546" s="598"/>
      <c r="AU1546" s="598"/>
      <c r="AV1546" s="598"/>
      <c r="AW1546" s="598"/>
      <c r="AX1546" s="598"/>
      <c r="AY1546" s="598"/>
      <c r="AZ1546" s="598"/>
      <c r="BA1546" s="598"/>
      <c r="BB1546" s="598"/>
      <c r="BC1546" s="598"/>
      <c r="BD1546" s="598"/>
      <c r="BE1546" s="598"/>
      <c r="BF1546" s="598"/>
      <c r="BG1546" s="598"/>
      <c r="BH1546" s="598"/>
      <c r="BI1546" s="598"/>
      <c r="BJ1546" s="598"/>
      <c r="BK1546" s="598"/>
      <c r="BL1546" s="598"/>
      <c r="BM1546" s="598"/>
      <c r="BN1546" s="598"/>
      <c r="BO1546" s="598"/>
      <c r="BP1546" s="598"/>
      <c r="BQ1546" s="598"/>
      <c r="BR1546" s="598"/>
      <c r="BS1546" s="598"/>
      <c r="BT1546" s="1429" t="e">
        <f>BT1537+BT1541+BT1545</f>
        <v>#REF!</v>
      </c>
      <c r="BU1546" s="1429"/>
      <c r="BV1546" s="1429"/>
      <c r="BW1546" s="1429"/>
      <c r="BX1546" s="1429"/>
      <c r="BY1546" s="1429"/>
      <c r="BZ1546" s="1429"/>
      <c r="CA1546" s="1429"/>
      <c r="CB1546" s="1429"/>
      <c r="CC1546" s="1429"/>
      <c r="CD1546" s="598"/>
      <c r="CE1546" s="598"/>
      <c r="CF1546" s="599"/>
    </row>
    <row r="1547" spans="1:256" s="583" customFormat="1" ht="9.9499999999999993" customHeight="1">
      <c r="A1547" s="574"/>
      <c r="B1547" s="574"/>
      <c r="C1547" s="574"/>
      <c r="D1547" s="574"/>
      <c r="E1547" s="574"/>
      <c r="F1547" s="574"/>
      <c r="G1547" s="574"/>
      <c r="H1547" s="574"/>
      <c r="I1547" s="574"/>
      <c r="J1547" s="574"/>
      <c r="K1547" s="574"/>
      <c r="L1547" s="574"/>
      <c r="M1547" s="574"/>
      <c r="N1547" s="574"/>
      <c r="O1547" s="574"/>
      <c r="P1547" s="574"/>
      <c r="Q1547" s="574"/>
      <c r="R1547" s="574"/>
      <c r="S1547" s="574"/>
      <c r="T1547" s="574"/>
      <c r="U1547" s="574"/>
      <c r="V1547" s="574"/>
      <c r="W1547" s="574"/>
      <c r="X1547" s="574"/>
      <c r="Y1547" s="574"/>
      <c r="Z1547" s="574"/>
      <c r="AA1547" s="574"/>
      <c r="AB1547" s="574"/>
      <c r="AC1547" s="574"/>
      <c r="AD1547" s="574"/>
      <c r="AE1547" s="574"/>
      <c r="AF1547" s="574"/>
      <c r="AG1547" s="574"/>
      <c r="AH1547" s="574"/>
      <c r="AI1547" s="574"/>
      <c r="AJ1547" s="574"/>
      <c r="AK1547" s="574"/>
      <c r="AL1547" s="574"/>
      <c r="AM1547" s="574"/>
      <c r="AN1547" s="574"/>
      <c r="AO1547" s="574"/>
      <c r="AP1547" s="574"/>
      <c r="AQ1547" s="574"/>
      <c r="AR1547" s="574"/>
      <c r="AS1547" s="574"/>
      <c r="AT1547" s="574"/>
      <c r="AU1547" s="574"/>
      <c r="AV1547" s="574"/>
      <c r="AW1547" s="574"/>
      <c r="AX1547" s="574"/>
      <c r="AY1547" s="574"/>
      <c r="AZ1547" s="574"/>
      <c r="BA1547" s="574"/>
      <c r="BB1547" s="574"/>
      <c r="BC1547" s="574"/>
      <c r="BD1547" s="574"/>
      <c r="BE1547" s="574"/>
      <c r="BF1547" s="574"/>
      <c r="BG1547" s="574"/>
      <c r="BH1547" s="574"/>
      <c r="BI1547" s="574"/>
      <c r="BJ1547" s="574"/>
      <c r="BK1547" s="574"/>
      <c r="BL1547" s="574"/>
      <c r="BM1547" s="574"/>
      <c r="BN1547" s="574"/>
      <c r="BO1547" s="574"/>
      <c r="BP1547" s="574"/>
      <c r="BQ1547" s="574"/>
      <c r="BR1547" s="574"/>
      <c r="BS1547" s="574"/>
      <c r="BT1547" s="574"/>
      <c r="BU1547" s="574"/>
      <c r="BV1547" s="574"/>
      <c r="BW1547" s="574"/>
      <c r="BX1547" s="574"/>
      <c r="BY1547" s="574"/>
      <c r="BZ1547" s="574"/>
      <c r="CA1547" s="574"/>
      <c r="CB1547" s="574"/>
      <c r="CC1547" s="574"/>
      <c r="CD1547" s="574"/>
      <c r="CE1547" s="574"/>
      <c r="CF1547" s="574"/>
    </row>
    <row r="1548" spans="1:256" s="583" customFormat="1" ht="23.1" customHeight="1" thickBot="1">
      <c r="A1548" s="1446" t="s">
        <v>1095</v>
      </c>
      <c r="B1548" s="1446"/>
      <c r="C1548" s="1446"/>
      <c r="D1548" s="1446"/>
      <c r="E1548" s="1446"/>
      <c r="F1548" s="1446"/>
      <c r="G1548" s="1447">
        <f>G1533+1</f>
        <v>104</v>
      </c>
      <c r="H1548" s="1447"/>
      <c r="I1548" s="1447"/>
      <c r="J1548" s="1447"/>
      <c r="K1548" s="1448" t="s">
        <v>1096</v>
      </c>
      <c r="L1548" s="1448"/>
      <c r="O1548" s="574"/>
      <c r="P1548" s="574"/>
      <c r="Q1548" s="574"/>
      <c r="R1548" s="574"/>
      <c r="S1548" s="574"/>
      <c r="T1548" s="574"/>
      <c r="U1548" s="574"/>
      <c r="V1548" s="574"/>
      <c r="W1548" s="574"/>
      <c r="X1548" s="574"/>
      <c r="Y1548" s="574"/>
      <c r="Z1548" s="574"/>
      <c r="AA1548" s="574"/>
      <c r="AB1548" s="574"/>
      <c r="AC1548" s="574"/>
      <c r="AD1548" s="574"/>
      <c r="AE1548" s="574"/>
      <c r="AF1548" s="574"/>
      <c r="AG1548" s="574"/>
      <c r="AH1548" s="574"/>
      <c r="AI1548" s="574"/>
      <c r="AJ1548" s="574"/>
      <c r="AK1548" s="574"/>
      <c r="AL1548" s="574"/>
      <c r="AM1548" s="574"/>
      <c r="AN1548" s="574"/>
      <c r="AO1548" s="574"/>
      <c r="AP1548" s="574"/>
      <c r="AQ1548" s="574"/>
      <c r="AR1548" s="574"/>
      <c r="AS1548" s="574"/>
      <c r="AT1548" s="574"/>
      <c r="AU1548" s="574"/>
      <c r="AV1548" s="574"/>
      <c r="AW1548" s="574"/>
      <c r="AX1548" s="574"/>
      <c r="AY1548" s="574"/>
      <c r="AZ1548" s="574"/>
      <c r="BA1548" s="574"/>
      <c r="BB1548" s="574"/>
      <c r="BC1548" s="574"/>
      <c r="BD1548" s="574"/>
      <c r="BE1548" s="574"/>
      <c r="BF1548" s="574"/>
      <c r="BG1548" s="574"/>
      <c r="BH1548" s="574"/>
      <c r="BI1548" s="574"/>
      <c r="BJ1548" s="574"/>
      <c r="BK1548" s="574"/>
      <c r="BL1548" s="574"/>
      <c r="BM1548" s="574"/>
      <c r="BN1548" s="574"/>
      <c r="BO1548" s="574"/>
      <c r="BP1548" s="574"/>
      <c r="BQ1548" s="574"/>
      <c r="BR1548" s="574"/>
      <c r="BS1548" s="574"/>
      <c r="BT1548" s="574"/>
      <c r="BU1548" s="574"/>
      <c r="BV1548" s="574"/>
      <c r="BW1548" s="574"/>
      <c r="BX1548" s="574"/>
      <c r="BY1548" s="574"/>
      <c r="BZ1548" s="574"/>
      <c r="CA1548" s="574"/>
      <c r="CB1548" s="574"/>
      <c r="CC1548" s="574"/>
      <c r="CD1548" s="574"/>
      <c r="CE1548" s="574"/>
      <c r="CF1548" s="574"/>
    </row>
    <row r="1549" spans="1:256" s="603" customFormat="1" ht="23.1" customHeight="1" thickBot="1">
      <c r="A1549" s="1457" t="s">
        <v>1097</v>
      </c>
      <c r="B1549" s="1458"/>
      <c r="C1549" s="1458"/>
      <c r="D1549" s="1458"/>
      <c r="E1549" s="1458"/>
      <c r="F1549" s="1458"/>
      <c r="G1549" s="1458"/>
      <c r="H1549" s="1458"/>
      <c r="I1549" s="630" t="s">
        <v>1294</v>
      </c>
      <c r="J1549" s="630"/>
      <c r="K1549" s="630"/>
      <c r="L1549" s="630"/>
      <c r="M1549" s="630"/>
      <c r="N1549" s="630"/>
      <c r="O1549" s="630"/>
      <c r="P1549" s="630"/>
      <c r="Q1549" s="630"/>
      <c r="R1549" s="630"/>
      <c r="S1549" s="630"/>
      <c r="T1549" s="630"/>
      <c r="U1549" s="630"/>
      <c r="V1549" s="630"/>
      <c r="W1549" s="630"/>
      <c r="X1549" s="630"/>
      <c r="Y1549" s="630"/>
      <c r="Z1549" s="630"/>
      <c r="AA1549" s="630"/>
      <c r="AB1549" s="630"/>
      <c r="AC1549" s="630"/>
      <c r="AD1549" s="630"/>
      <c r="AE1549" s="630"/>
      <c r="AF1549" s="630"/>
      <c r="AG1549" s="630"/>
      <c r="AH1549" s="630"/>
      <c r="AI1549" s="630"/>
      <c r="AJ1549" s="1458" t="s">
        <v>1099</v>
      </c>
      <c r="AK1549" s="1458"/>
      <c r="AL1549" s="1458"/>
      <c r="AM1549" s="1458"/>
      <c r="AN1549" s="1458"/>
      <c r="AO1549" s="1458"/>
      <c r="AP1549" s="1458"/>
      <c r="AQ1549" s="630" t="s">
        <v>1295</v>
      </c>
      <c r="AR1549" s="630"/>
      <c r="AS1549" s="630"/>
      <c r="AT1549" s="630"/>
      <c r="AU1549" s="630"/>
      <c r="AV1549" s="630"/>
      <c r="AW1549" s="630"/>
      <c r="AX1549" s="630"/>
      <c r="AY1549" s="630"/>
      <c r="AZ1549" s="630"/>
      <c r="BA1549" s="630"/>
      <c r="BB1549" s="630"/>
      <c r="BC1549" s="630"/>
      <c r="BD1549" s="630"/>
      <c r="BE1549" s="630"/>
      <c r="BF1549" s="630"/>
      <c r="BG1549" s="630"/>
      <c r="BH1549" s="630"/>
      <c r="BI1549" s="630"/>
      <c r="BJ1549" s="630"/>
      <c r="BK1549" s="630"/>
      <c r="BL1549" s="630"/>
      <c r="BM1549" s="630"/>
      <c r="BN1549" s="630"/>
      <c r="BO1549" s="630"/>
      <c r="BP1549" s="630"/>
      <c r="BQ1549" s="630"/>
      <c r="BR1549" s="630"/>
      <c r="BS1549" s="630"/>
      <c r="BT1549" s="630" t="s">
        <v>1296</v>
      </c>
      <c r="BU1549" s="630"/>
      <c r="BV1549" s="630"/>
      <c r="BW1549" s="630"/>
      <c r="BX1549" s="630"/>
      <c r="BY1549" s="630"/>
      <c r="BZ1549" s="630"/>
      <c r="CA1549" s="630"/>
      <c r="CB1549" s="630"/>
      <c r="CC1549" s="630"/>
      <c r="CD1549" s="630"/>
      <c r="CE1549" s="630"/>
      <c r="CF1549" s="631"/>
      <c r="CG1549" s="632"/>
      <c r="CH1549" s="632"/>
      <c r="CI1549" s="632"/>
      <c r="CJ1549" s="632"/>
      <c r="CK1549" s="632"/>
      <c r="CL1549" s="632"/>
      <c r="CM1549" s="632"/>
      <c r="CN1549" s="632"/>
      <c r="CO1549" s="632"/>
      <c r="CP1549" s="632"/>
      <c r="CQ1549" s="632"/>
      <c r="CR1549" s="632"/>
      <c r="CS1549" s="632"/>
      <c r="CT1549" s="632"/>
      <c r="CU1549" s="632"/>
      <c r="CV1549" s="632"/>
      <c r="CW1549" s="632"/>
      <c r="CX1549" s="632"/>
      <c r="CY1549" s="632"/>
      <c r="CZ1549" s="632"/>
      <c r="DA1549" s="632"/>
      <c r="DB1549" s="632"/>
      <c r="DC1549" s="632"/>
      <c r="DD1549" s="632"/>
      <c r="DE1549" s="632"/>
      <c r="DF1549" s="632"/>
      <c r="DG1549" s="632"/>
      <c r="DH1549" s="632"/>
      <c r="DI1549" s="632"/>
      <c r="DJ1549" s="632"/>
      <c r="DK1549" s="632"/>
      <c r="DL1549" s="632"/>
      <c r="DM1549" s="632"/>
      <c r="DN1549" s="632"/>
      <c r="DO1549" s="632"/>
      <c r="DP1549" s="632"/>
      <c r="DQ1549" s="632"/>
      <c r="DR1549" s="632"/>
      <c r="DS1549" s="632"/>
      <c r="DT1549" s="632"/>
      <c r="DU1549" s="632"/>
      <c r="DV1549" s="632"/>
      <c r="DW1549" s="632"/>
      <c r="DX1549" s="632"/>
      <c r="DY1549" s="632"/>
      <c r="DZ1549" s="632"/>
      <c r="EA1549" s="632"/>
      <c r="EB1549" s="632"/>
      <c r="EC1549" s="632"/>
      <c r="ED1549" s="632"/>
      <c r="EE1549" s="632"/>
      <c r="EF1549" s="632"/>
      <c r="EG1549" s="632"/>
      <c r="EH1549" s="632"/>
      <c r="EI1549" s="632"/>
      <c r="EJ1549" s="632"/>
      <c r="EK1549" s="632"/>
      <c r="EL1549" s="632"/>
      <c r="EM1549" s="632"/>
      <c r="EN1549" s="632"/>
      <c r="EO1549" s="632"/>
      <c r="EP1549" s="632"/>
      <c r="EQ1549" s="632"/>
      <c r="ER1549" s="632"/>
      <c r="ES1549" s="632"/>
      <c r="ET1549" s="632"/>
      <c r="EU1549" s="632"/>
      <c r="EV1549" s="632"/>
      <c r="EW1549" s="632"/>
      <c r="EX1549" s="632"/>
      <c r="EY1549" s="632"/>
      <c r="EZ1549" s="632"/>
      <c r="FA1549" s="632"/>
      <c r="FB1549" s="632"/>
      <c r="FC1549" s="632"/>
      <c r="FD1549" s="632"/>
      <c r="FE1549" s="632"/>
      <c r="FF1549" s="632"/>
      <c r="FG1549" s="632"/>
      <c r="FH1549" s="632"/>
      <c r="FI1549" s="632"/>
      <c r="FJ1549" s="632"/>
      <c r="FK1549" s="632"/>
      <c r="FL1549" s="632"/>
      <c r="FM1549" s="632"/>
      <c r="FN1549" s="632"/>
      <c r="FO1549" s="632"/>
      <c r="FP1549" s="632"/>
      <c r="FQ1549" s="632"/>
      <c r="FR1549" s="632"/>
      <c r="FS1549" s="632"/>
      <c r="FT1549" s="632"/>
      <c r="FU1549" s="632"/>
      <c r="FV1549" s="632"/>
      <c r="FW1549" s="632"/>
      <c r="FX1549" s="632"/>
      <c r="FY1549" s="632"/>
      <c r="FZ1549" s="632"/>
      <c r="GA1549" s="632"/>
      <c r="GB1549" s="632"/>
      <c r="GC1549" s="632"/>
      <c r="GD1549" s="632"/>
      <c r="GE1549" s="632"/>
      <c r="GF1549" s="632"/>
      <c r="GG1549" s="632"/>
      <c r="GH1549" s="632"/>
      <c r="GI1549" s="632"/>
      <c r="GJ1549" s="632"/>
      <c r="GK1549" s="632"/>
      <c r="GL1549" s="632"/>
      <c r="GM1549" s="632"/>
      <c r="GN1549" s="632"/>
      <c r="GO1549" s="632"/>
      <c r="GP1549" s="632"/>
      <c r="GQ1549" s="632"/>
      <c r="GR1549" s="632"/>
      <c r="GS1549" s="632"/>
      <c r="GT1549" s="632"/>
      <c r="GU1549" s="632"/>
      <c r="GV1549" s="632"/>
      <c r="GW1549" s="632"/>
      <c r="GX1549" s="632"/>
      <c r="GY1549" s="632"/>
      <c r="GZ1549" s="632"/>
      <c r="HA1549" s="632"/>
      <c r="HB1549" s="632"/>
      <c r="HC1549" s="632"/>
      <c r="HD1549" s="632"/>
      <c r="HE1549" s="632"/>
      <c r="HF1549" s="632"/>
      <c r="HG1549" s="632"/>
      <c r="HH1549" s="632"/>
      <c r="HI1549" s="632"/>
      <c r="HJ1549" s="632"/>
      <c r="HK1549" s="632"/>
      <c r="HL1549" s="632"/>
      <c r="HM1549" s="632"/>
      <c r="HN1549" s="632"/>
      <c r="HO1549" s="632"/>
      <c r="HP1549" s="632"/>
      <c r="HQ1549" s="632"/>
      <c r="HR1549" s="632"/>
      <c r="HS1549" s="632"/>
      <c r="HT1549" s="632"/>
      <c r="HU1549" s="632"/>
      <c r="HV1549" s="632"/>
      <c r="HW1549" s="632"/>
      <c r="HX1549" s="632"/>
      <c r="HY1549" s="632"/>
      <c r="HZ1549" s="632"/>
      <c r="IA1549" s="632"/>
      <c r="IB1549" s="632"/>
      <c r="IC1549" s="632"/>
      <c r="ID1549" s="632"/>
      <c r="IE1549" s="632"/>
      <c r="IF1549" s="632"/>
      <c r="IG1549" s="632"/>
      <c r="IH1549" s="632"/>
      <c r="II1549" s="632"/>
      <c r="IJ1549" s="632"/>
      <c r="IK1549" s="632"/>
      <c r="IL1549" s="632"/>
      <c r="IM1549" s="632"/>
      <c r="IN1549" s="632"/>
      <c r="IO1549" s="632"/>
      <c r="IP1549" s="632"/>
      <c r="IQ1549" s="632"/>
      <c r="IR1549" s="632"/>
      <c r="IS1549" s="632"/>
      <c r="IT1549" s="632"/>
      <c r="IU1549" s="632"/>
      <c r="IV1549" s="632"/>
    </row>
    <row r="1550" spans="1:256" s="583" customFormat="1" ht="23.1" customHeight="1">
      <c r="A1550" s="609"/>
      <c r="B1550" s="610" t="s">
        <v>1102</v>
      </c>
      <c r="C1550" s="610"/>
      <c r="D1550" s="610"/>
      <c r="E1550" s="610"/>
      <c r="F1550" s="610"/>
      <c r="G1550" s="610"/>
      <c r="H1550" s="610"/>
      <c r="I1550" s="610"/>
      <c r="J1550" s="610"/>
      <c r="K1550" s="610"/>
      <c r="L1550" s="610"/>
      <c r="M1550" s="610"/>
      <c r="N1550" s="610"/>
      <c r="O1550" s="610"/>
      <c r="P1550" s="610"/>
      <c r="Q1550" s="610"/>
      <c r="R1550" s="610"/>
      <c r="S1550" s="610"/>
      <c r="T1550" s="610"/>
      <c r="U1550" s="610"/>
      <c r="V1550" s="610"/>
      <c r="W1550" s="610"/>
      <c r="X1550" s="610"/>
      <c r="Y1550" s="610"/>
      <c r="Z1550" s="610"/>
      <c r="AA1550" s="610"/>
      <c r="AB1550" s="610"/>
      <c r="AC1550" s="610"/>
      <c r="AD1550" s="610"/>
      <c r="AE1550" s="610"/>
      <c r="AF1550" s="610"/>
      <c r="AG1550" s="610"/>
      <c r="AH1550" s="610"/>
      <c r="AI1550" s="610"/>
      <c r="AJ1550" s="610"/>
      <c r="AK1550" s="610"/>
      <c r="AL1550" s="610"/>
      <c r="AM1550" s="610"/>
      <c r="AN1550" s="610"/>
      <c r="AO1550" s="610"/>
      <c r="AP1550" s="610"/>
      <c r="AQ1550" s="610"/>
      <c r="AR1550" s="610"/>
      <c r="AS1550" s="610"/>
      <c r="AT1550" s="610"/>
      <c r="AU1550" s="610"/>
      <c r="AV1550" s="610"/>
      <c r="AW1550" s="610"/>
      <c r="AX1550" s="610"/>
      <c r="AY1550" s="610"/>
      <c r="AZ1550" s="610"/>
      <c r="BA1550" s="610"/>
      <c r="BB1550" s="610"/>
      <c r="BC1550" s="610"/>
      <c r="BD1550" s="610"/>
      <c r="BE1550" s="610"/>
      <c r="BF1550" s="610"/>
      <c r="BG1550" s="610"/>
      <c r="BH1550" s="610"/>
      <c r="BI1550" s="610"/>
      <c r="BJ1550" s="610"/>
      <c r="BK1550" s="610"/>
      <c r="BL1550" s="610"/>
      <c r="BM1550" s="610"/>
      <c r="BN1550" s="610"/>
      <c r="BO1550" s="610"/>
      <c r="BP1550" s="610"/>
      <c r="BQ1550" s="610"/>
      <c r="BR1550" s="610"/>
      <c r="BS1550" s="610"/>
      <c r="BT1550" s="610"/>
      <c r="BU1550" s="610"/>
      <c r="BV1550" s="610"/>
      <c r="BW1550" s="610"/>
      <c r="BX1550" s="610"/>
      <c r="BY1550" s="610"/>
      <c r="BZ1550" s="610"/>
      <c r="CA1550" s="610"/>
      <c r="CB1550" s="610"/>
      <c r="CC1550" s="610"/>
      <c r="CD1550" s="610"/>
      <c r="CE1550" s="610"/>
      <c r="CF1550" s="615"/>
      <c r="CG1550" s="616"/>
      <c r="CH1550" s="616"/>
      <c r="CI1550" s="616"/>
      <c r="CJ1550" s="616"/>
      <c r="CK1550" s="616"/>
      <c r="CL1550" s="616"/>
      <c r="CM1550" s="616"/>
      <c r="CN1550" s="616"/>
      <c r="CO1550" s="616"/>
      <c r="CP1550" s="616"/>
      <c r="CQ1550" s="616"/>
      <c r="CR1550" s="616"/>
      <c r="CS1550" s="616"/>
      <c r="CT1550" s="616"/>
      <c r="CU1550" s="616"/>
      <c r="CV1550" s="616"/>
      <c r="CW1550" s="616"/>
      <c r="CX1550" s="616"/>
      <c r="CY1550" s="616"/>
      <c r="CZ1550" s="616"/>
      <c r="DA1550" s="616"/>
      <c r="DB1550" s="616"/>
      <c r="DC1550" s="616"/>
      <c r="DD1550" s="616"/>
      <c r="DE1550" s="616"/>
      <c r="DF1550" s="616"/>
      <c r="DG1550" s="616"/>
      <c r="DH1550" s="616"/>
      <c r="DI1550" s="616"/>
      <c r="DJ1550" s="616"/>
      <c r="DK1550" s="616"/>
      <c r="DL1550" s="616"/>
      <c r="DM1550" s="616"/>
      <c r="DN1550" s="616"/>
      <c r="DO1550" s="616"/>
      <c r="DP1550" s="616"/>
      <c r="DQ1550" s="616"/>
      <c r="DR1550" s="616"/>
      <c r="DS1550" s="616"/>
      <c r="DT1550" s="616"/>
      <c r="DU1550" s="616"/>
      <c r="DV1550" s="616"/>
      <c r="DW1550" s="616"/>
      <c r="DX1550" s="616"/>
      <c r="DY1550" s="616"/>
      <c r="DZ1550" s="616"/>
      <c r="EA1550" s="616"/>
      <c r="EB1550" s="616"/>
      <c r="EC1550" s="616"/>
      <c r="ED1550" s="616"/>
      <c r="EE1550" s="616"/>
      <c r="EF1550" s="616"/>
      <c r="EG1550" s="616"/>
      <c r="EH1550" s="616"/>
      <c r="EI1550" s="616"/>
      <c r="EJ1550" s="616"/>
      <c r="EK1550" s="616"/>
      <c r="EL1550" s="616"/>
      <c r="EM1550" s="616"/>
      <c r="EN1550" s="616"/>
      <c r="EO1550" s="616"/>
      <c r="EP1550" s="616"/>
      <c r="EQ1550" s="616"/>
      <c r="ER1550" s="616"/>
      <c r="ES1550" s="616"/>
      <c r="ET1550" s="616"/>
      <c r="EU1550" s="616"/>
      <c r="EV1550" s="616"/>
      <c r="EW1550" s="616"/>
      <c r="EX1550" s="616"/>
      <c r="EY1550" s="616"/>
      <c r="EZ1550" s="616"/>
      <c r="FA1550" s="616"/>
      <c r="FB1550" s="616"/>
      <c r="FC1550" s="616"/>
      <c r="FD1550" s="616"/>
      <c r="FE1550" s="616"/>
      <c r="FF1550" s="616"/>
      <c r="FG1550" s="616"/>
      <c r="FH1550" s="616"/>
      <c r="FI1550" s="616"/>
      <c r="FJ1550" s="616"/>
      <c r="FK1550" s="616"/>
      <c r="FL1550" s="616"/>
      <c r="FM1550" s="616"/>
      <c r="FN1550" s="616"/>
      <c r="FO1550" s="616"/>
      <c r="FP1550" s="616"/>
      <c r="FQ1550" s="616"/>
      <c r="FR1550" s="616"/>
      <c r="FS1550" s="616"/>
      <c r="FT1550" s="616"/>
      <c r="FU1550" s="616"/>
      <c r="FV1550" s="616"/>
      <c r="FW1550" s="616"/>
      <c r="FX1550" s="616"/>
      <c r="FY1550" s="616"/>
      <c r="FZ1550" s="616"/>
      <c r="GA1550" s="616"/>
      <c r="GB1550" s="616"/>
      <c r="GC1550" s="616"/>
      <c r="GD1550" s="616"/>
      <c r="GE1550" s="616"/>
      <c r="GF1550" s="616"/>
      <c r="GG1550" s="616"/>
      <c r="GH1550" s="616"/>
      <c r="GI1550" s="616"/>
      <c r="GJ1550" s="616"/>
      <c r="GK1550" s="616"/>
      <c r="GL1550" s="616"/>
      <c r="GM1550" s="616"/>
      <c r="GN1550" s="616"/>
      <c r="GO1550" s="616"/>
      <c r="GP1550" s="616"/>
      <c r="GQ1550" s="616"/>
      <c r="GR1550" s="616"/>
      <c r="GS1550" s="616"/>
      <c r="GT1550" s="616"/>
      <c r="GU1550" s="616"/>
      <c r="GV1550" s="616"/>
      <c r="GW1550" s="616"/>
      <c r="GX1550" s="616"/>
      <c r="GY1550" s="616"/>
      <c r="GZ1550" s="616"/>
      <c r="HA1550" s="616"/>
      <c r="HB1550" s="616"/>
      <c r="HC1550" s="616"/>
      <c r="HD1550" s="616"/>
      <c r="HE1550" s="616"/>
      <c r="HF1550" s="616"/>
      <c r="HG1550" s="616"/>
      <c r="HH1550" s="616"/>
      <c r="HI1550" s="616"/>
      <c r="HJ1550" s="616"/>
      <c r="HK1550" s="616"/>
      <c r="HL1550" s="616"/>
      <c r="HM1550" s="616"/>
      <c r="HN1550" s="616"/>
      <c r="HO1550" s="616"/>
      <c r="HP1550" s="616"/>
      <c r="HQ1550" s="616"/>
      <c r="HR1550" s="616"/>
      <c r="HS1550" s="616"/>
      <c r="HT1550" s="616"/>
      <c r="HU1550" s="616"/>
      <c r="HV1550" s="616"/>
      <c r="HW1550" s="616"/>
      <c r="HX1550" s="616"/>
      <c r="HY1550" s="616"/>
      <c r="HZ1550" s="616"/>
      <c r="IA1550" s="616"/>
      <c r="IB1550" s="616"/>
      <c r="IC1550" s="616"/>
      <c r="ID1550" s="616"/>
      <c r="IE1550" s="616"/>
      <c r="IF1550" s="616"/>
      <c r="IG1550" s="616"/>
      <c r="IH1550" s="616"/>
      <c r="II1550" s="616"/>
      <c r="IJ1550" s="616"/>
      <c r="IK1550" s="616"/>
      <c r="IL1550" s="616"/>
      <c r="IM1550" s="616"/>
      <c r="IN1550" s="616"/>
      <c r="IO1550" s="616"/>
      <c r="IP1550" s="616"/>
      <c r="IQ1550" s="616"/>
      <c r="IR1550" s="616"/>
      <c r="IS1550" s="616"/>
      <c r="IT1550" s="616"/>
      <c r="IU1550" s="616"/>
      <c r="IV1550" s="616"/>
    </row>
    <row r="1551" spans="1:256" s="583" customFormat="1" ht="23.1" customHeight="1">
      <c r="A1551" s="633"/>
      <c r="B1551" s="612"/>
      <c r="C1551" s="612"/>
      <c r="D1551" s="634"/>
      <c r="E1551" s="612"/>
      <c r="F1551" s="613"/>
      <c r="G1551" s="613"/>
      <c r="H1551" s="613"/>
      <c r="I1551" s="613"/>
      <c r="J1551" s="613"/>
      <c r="K1551" s="613"/>
      <c r="L1551" s="613"/>
      <c r="M1551" s="613"/>
      <c r="N1551" s="612"/>
      <c r="O1551" s="612"/>
      <c r="P1551" s="612"/>
      <c r="Q1551" s="612"/>
      <c r="R1551" s="612"/>
      <c r="S1551" s="635"/>
      <c r="T1551" s="635"/>
      <c r="U1551" s="635"/>
      <c r="V1551" s="635"/>
      <c r="W1551" s="635"/>
      <c r="X1551" s="635"/>
      <c r="Y1551" s="635"/>
      <c r="Z1551" s="635"/>
      <c r="AA1551" s="612"/>
      <c r="AB1551" s="635"/>
      <c r="AC1551" s="610"/>
      <c r="AD1551" s="610"/>
      <c r="AE1551" s="636"/>
      <c r="AF1551" s="636"/>
      <c r="AG1551" s="636"/>
      <c r="AH1551" s="636"/>
      <c r="AI1551" s="636"/>
      <c r="AJ1551" s="636"/>
      <c r="AK1551" s="636"/>
      <c r="AL1551" s="636"/>
      <c r="AM1551" s="610"/>
      <c r="AN1551" s="610"/>
      <c r="AO1551" s="612"/>
      <c r="AP1551" s="637"/>
      <c r="AQ1551" s="637"/>
      <c r="AR1551" s="637"/>
      <c r="AS1551" s="637"/>
      <c r="AT1551" s="637"/>
      <c r="AU1551" s="637"/>
      <c r="AV1551" s="637"/>
      <c r="AW1551" s="637"/>
      <c r="AX1551" s="637"/>
      <c r="AY1551" s="637"/>
      <c r="AZ1551" s="637"/>
      <c r="BA1551" s="637"/>
      <c r="BB1551" s="637"/>
      <c r="BC1551" s="637"/>
      <c r="BD1551" s="612"/>
      <c r="BE1551" s="612"/>
      <c r="BF1551" s="612"/>
      <c r="BG1551" s="612"/>
      <c r="BH1551" s="612"/>
      <c r="BI1551" s="612"/>
      <c r="BJ1551" s="612"/>
      <c r="BK1551" s="612"/>
      <c r="BL1551" s="612"/>
      <c r="BM1551" s="612"/>
      <c r="BN1551" s="612"/>
      <c r="BO1551" s="612"/>
      <c r="BP1551" s="612"/>
      <c r="BQ1551" s="612"/>
      <c r="BR1551" s="612"/>
      <c r="BS1551" s="612"/>
      <c r="BT1551" s="612"/>
      <c r="BU1551" s="612"/>
      <c r="BV1551" s="612"/>
      <c r="BW1551" s="612"/>
      <c r="BX1551" s="612"/>
      <c r="BY1551" s="612"/>
      <c r="BZ1551" s="612"/>
      <c r="CA1551" s="612"/>
      <c r="CB1551" s="612"/>
      <c r="CC1551" s="612"/>
      <c r="CD1551" s="612"/>
      <c r="CE1551" s="612"/>
      <c r="CF1551" s="638"/>
      <c r="CG1551" s="616"/>
      <c r="CH1551" s="616"/>
      <c r="CI1551" s="616"/>
      <c r="CJ1551" s="616"/>
      <c r="CK1551" s="616"/>
      <c r="CL1551" s="616"/>
      <c r="CM1551" s="616"/>
      <c r="CN1551" s="616"/>
      <c r="CO1551" s="616"/>
      <c r="CP1551" s="616"/>
      <c r="CQ1551" s="616"/>
      <c r="CR1551" s="616"/>
      <c r="CS1551" s="616"/>
      <c r="CT1551" s="616"/>
      <c r="CU1551" s="616"/>
      <c r="CV1551" s="616"/>
      <c r="CW1551" s="616"/>
      <c r="CX1551" s="616"/>
      <c r="CY1551" s="616"/>
      <c r="CZ1551" s="616"/>
      <c r="DA1551" s="616"/>
      <c r="DB1551" s="616"/>
      <c r="DC1551" s="616"/>
      <c r="DD1551" s="616"/>
      <c r="DE1551" s="616"/>
      <c r="DF1551" s="616"/>
      <c r="DG1551" s="616"/>
      <c r="DH1551" s="616"/>
      <c r="DI1551" s="616"/>
      <c r="DJ1551" s="616"/>
      <c r="DK1551" s="616"/>
      <c r="DL1551" s="616"/>
      <c r="DM1551" s="616"/>
      <c r="DN1551" s="616"/>
      <c r="DO1551" s="616"/>
      <c r="DP1551" s="616"/>
      <c r="DQ1551" s="616"/>
      <c r="DR1551" s="616"/>
      <c r="DS1551" s="616"/>
      <c r="DT1551" s="616"/>
      <c r="DU1551" s="616"/>
      <c r="DV1551" s="616"/>
      <c r="DW1551" s="616"/>
      <c r="DX1551" s="616"/>
      <c r="DY1551" s="616"/>
      <c r="DZ1551" s="616"/>
      <c r="EA1551" s="616"/>
      <c r="EB1551" s="616"/>
      <c r="EC1551" s="616"/>
      <c r="ED1551" s="616"/>
      <c r="EE1551" s="616"/>
      <c r="EF1551" s="616"/>
      <c r="EG1551" s="616"/>
      <c r="EH1551" s="616"/>
      <c r="EI1551" s="616"/>
      <c r="EJ1551" s="616"/>
      <c r="EK1551" s="616"/>
      <c r="EL1551" s="616"/>
      <c r="EM1551" s="616"/>
      <c r="EN1551" s="616"/>
      <c r="EO1551" s="616"/>
      <c r="EP1551" s="616"/>
      <c r="EQ1551" s="616"/>
      <c r="ER1551" s="616"/>
      <c r="ES1551" s="616"/>
      <c r="ET1551" s="616"/>
      <c r="EU1551" s="616"/>
      <c r="EV1551" s="616"/>
      <c r="EW1551" s="616"/>
      <c r="EX1551" s="616"/>
      <c r="EY1551" s="616"/>
      <c r="EZ1551" s="616"/>
      <c r="FA1551" s="616"/>
      <c r="FB1551" s="616"/>
      <c r="FC1551" s="616"/>
      <c r="FD1551" s="616"/>
      <c r="FE1551" s="616"/>
      <c r="FF1551" s="616"/>
      <c r="FG1551" s="616"/>
      <c r="FH1551" s="616"/>
      <c r="FI1551" s="616"/>
      <c r="FJ1551" s="616"/>
      <c r="FK1551" s="616"/>
      <c r="FL1551" s="616"/>
      <c r="FM1551" s="616"/>
      <c r="FN1551" s="616"/>
      <c r="FO1551" s="616"/>
      <c r="FP1551" s="616"/>
      <c r="FQ1551" s="616"/>
      <c r="FR1551" s="616"/>
      <c r="FS1551" s="616"/>
      <c r="FT1551" s="616"/>
      <c r="FU1551" s="616"/>
      <c r="FV1551" s="616"/>
      <c r="FW1551" s="616"/>
      <c r="FX1551" s="616"/>
      <c r="FY1551" s="616"/>
      <c r="FZ1551" s="616"/>
      <c r="GA1551" s="616"/>
      <c r="GB1551" s="616"/>
      <c r="GC1551" s="616"/>
      <c r="GD1551" s="616"/>
      <c r="GE1551" s="616"/>
      <c r="GF1551" s="616"/>
      <c r="GG1551" s="616"/>
      <c r="GH1551" s="616"/>
      <c r="GI1551" s="616"/>
      <c r="GJ1551" s="616"/>
      <c r="GK1551" s="616"/>
      <c r="GL1551" s="616"/>
      <c r="GM1551" s="616"/>
      <c r="GN1551" s="616"/>
      <c r="GO1551" s="616"/>
      <c r="GP1551" s="616"/>
      <c r="GQ1551" s="616"/>
      <c r="GR1551" s="616"/>
      <c r="GS1551" s="616"/>
      <c r="GT1551" s="616"/>
      <c r="GU1551" s="616"/>
      <c r="GV1551" s="616"/>
      <c r="GW1551" s="616"/>
      <c r="GX1551" s="616"/>
      <c r="GY1551" s="616"/>
      <c r="GZ1551" s="616"/>
      <c r="HA1551" s="616"/>
      <c r="HB1551" s="616"/>
      <c r="HC1551" s="616"/>
      <c r="HD1551" s="616"/>
      <c r="HE1551" s="616"/>
      <c r="HF1551" s="616"/>
      <c r="HG1551" s="616"/>
      <c r="HH1551" s="616"/>
      <c r="HI1551" s="616"/>
      <c r="HJ1551" s="616"/>
      <c r="HK1551" s="616"/>
      <c r="HL1551" s="616"/>
      <c r="HM1551" s="616"/>
      <c r="HN1551" s="616"/>
      <c r="HO1551" s="616"/>
      <c r="HP1551" s="616"/>
      <c r="HQ1551" s="616"/>
      <c r="HR1551" s="616"/>
      <c r="HS1551" s="616"/>
      <c r="HT1551" s="616"/>
      <c r="HU1551" s="616"/>
      <c r="HV1551" s="616"/>
      <c r="HW1551" s="616"/>
      <c r="HX1551" s="616"/>
      <c r="HY1551" s="616"/>
      <c r="HZ1551" s="616"/>
      <c r="IA1551" s="616"/>
      <c r="IB1551" s="616"/>
      <c r="IC1551" s="616"/>
      <c r="ID1551" s="616"/>
      <c r="IE1551" s="616"/>
      <c r="IF1551" s="616"/>
      <c r="IG1551" s="616"/>
      <c r="IH1551" s="616"/>
      <c r="II1551" s="616"/>
      <c r="IJ1551" s="616"/>
      <c r="IK1551" s="616"/>
      <c r="IL1551" s="616"/>
      <c r="IM1551" s="616"/>
      <c r="IN1551" s="616"/>
      <c r="IO1551" s="616"/>
      <c r="IP1551" s="616"/>
      <c r="IQ1551" s="616"/>
      <c r="IR1551" s="616"/>
      <c r="IS1551" s="616"/>
      <c r="IT1551" s="616"/>
      <c r="IU1551" s="616"/>
      <c r="IV1551" s="616"/>
    </row>
    <row r="1552" spans="1:256" s="583" customFormat="1" ht="23.1" customHeight="1">
      <c r="A1552" s="609"/>
      <c r="B1552" s="610"/>
      <c r="C1552" s="610"/>
      <c r="D1552" s="610"/>
      <c r="E1552" s="610"/>
      <c r="F1552" s="610"/>
      <c r="G1552" s="610"/>
      <c r="H1552" s="610"/>
      <c r="I1552" s="610"/>
      <c r="J1552" s="610"/>
      <c r="K1552" s="610"/>
      <c r="L1552" s="610"/>
      <c r="M1552" s="610"/>
      <c r="N1552" s="610"/>
      <c r="O1552" s="610"/>
      <c r="P1552" s="610"/>
      <c r="Q1552" s="610"/>
      <c r="R1552" s="610"/>
      <c r="S1552" s="610"/>
      <c r="T1552" s="610"/>
      <c r="U1552" s="610"/>
      <c r="V1552" s="639"/>
      <c r="W1552" s="639"/>
      <c r="X1552" s="639"/>
      <c r="Y1552" s="639"/>
      <c r="Z1552" s="639"/>
      <c r="AA1552" s="639"/>
      <c r="AB1552" s="639"/>
      <c r="AC1552" s="639"/>
      <c r="AD1552" s="612"/>
      <c r="AE1552" s="1465">
        <v>12000000</v>
      </c>
      <c r="AF1552" s="1465"/>
      <c r="AG1552" s="1465"/>
      <c r="AH1552" s="1465"/>
      <c r="AI1552" s="1465"/>
      <c r="AJ1552" s="1465"/>
      <c r="AK1552" s="1465"/>
      <c r="AL1552" s="1465"/>
      <c r="AM1552" s="1465"/>
      <c r="AN1552" s="1465"/>
      <c r="AO1552" s="1465"/>
      <c r="AP1552" s="1465"/>
      <c r="AQ1552" s="1465"/>
      <c r="AR1552" s="1465"/>
      <c r="AS1552" s="1465"/>
      <c r="AT1552" s="1443" t="s">
        <v>446</v>
      </c>
      <c r="AU1552" s="1443"/>
      <c r="AV1552" s="1472" t="s">
        <v>1103</v>
      </c>
      <c r="AW1552" s="1472"/>
      <c r="AX1552" s="1473">
        <v>627</v>
      </c>
      <c r="AY1552" s="1473"/>
      <c r="AZ1552" s="1473"/>
      <c r="BA1552" s="1473"/>
      <c r="BB1552" s="1473"/>
      <c r="BC1552" s="1473"/>
      <c r="BD1552" s="610"/>
      <c r="BE1552" s="1443" t="s">
        <v>446</v>
      </c>
      <c r="BF1552" s="1443"/>
      <c r="BG1552" s="610"/>
      <c r="BH1552" s="640" t="s">
        <v>1104</v>
      </c>
      <c r="BI1552" s="610"/>
      <c r="BJ1552" s="610"/>
      <c r="BK1552" s="610"/>
      <c r="BL1552" s="1443" t="s">
        <v>1105</v>
      </c>
      <c r="BM1552" s="1443"/>
      <c r="BN1552" s="1443"/>
      <c r="BO1552" s="610"/>
      <c r="BP1552" s="1443" t="s">
        <v>41</v>
      </c>
      <c r="BQ1552" s="1443"/>
      <c r="BR1552" s="610"/>
      <c r="BS1552" s="610"/>
      <c r="BT1552" s="1469">
        <f>INT(AE1552*AX1552*10^-7)</f>
        <v>752</v>
      </c>
      <c r="BU1552" s="1469"/>
      <c r="BV1552" s="1469"/>
      <c r="BW1552" s="1469"/>
      <c r="BX1552" s="1469"/>
      <c r="BY1552" s="1469"/>
      <c r="BZ1552" s="1469"/>
      <c r="CA1552" s="1469"/>
      <c r="CB1552" s="1469"/>
      <c r="CC1552" s="1469"/>
      <c r="CD1552" s="610"/>
      <c r="CE1552" s="610"/>
      <c r="CF1552" s="615"/>
      <c r="CG1552" s="616"/>
      <c r="CH1552" s="616"/>
      <c r="CI1552" s="616"/>
      <c r="CJ1552" s="616"/>
      <c r="CK1552" s="616"/>
      <c r="CL1552" s="616"/>
      <c r="CM1552" s="616"/>
      <c r="CN1552" s="616"/>
      <c r="CO1552" s="616"/>
      <c r="CP1552" s="616"/>
      <c r="CQ1552" s="616"/>
      <c r="CR1552" s="616"/>
      <c r="CS1552" s="616"/>
      <c r="CT1552" s="616"/>
      <c r="CU1552" s="616"/>
      <c r="CV1552" s="616"/>
      <c r="CW1552" s="616"/>
      <c r="CX1552" s="616"/>
      <c r="CY1552" s="616"/>
      <c r="CZ1552" s="616"/>
      <c r="DA1552" s="616"/>
      <c r="DB1552" s="616"/>
      <c r="DC1552" s="616"/>
      <c r="DD1552" s="616"/>
      <c r="DE1552" s="616"/>
      <c r="DF1552" s="616"/>
      <c r="DG1552" s="616"/>
      <c r="DH1552" s="616"/>
      <c r="DI1552" s="616"/>
      <c r="DJ1552" s="616"/>
      <c r="DK1552" s="616"/>
      <c r="DL1552" s="616"/>
      <c r="DM1552" s="616"/>
      <c r="DN1552" s="616"/>
      <c r="DO1552" s="616"/>
      <c r="DP1552" s="616"/>
      <c r="DQ1552" s="616"/>
      <c r="DR1552" s="616"/>
      <c r="DS1552" s="616"/>
      <c r="DT1552" s="616"/>
      <c r="DU1552" s="616"/>
      <c r="DV1552" s="616"/>
      <c r="DW1552" s="616"/>
      <c r="DX1552" s="616"/>
      <c r="DY1552" s="616"/>
      <c r="DZ1552" s="616"/>
      <c r="EA1552" s="616"/>
      <c r="EB1552" s="616"/>
      <c r="EC1552" s="616"/>
      <c r="ED1552" s="616"/>
      <c r="EE1552" s="616"/>
      <c r="EF1552" s="616"/>
      <c r="EG1552" s="616"/>
      <c r="EH1552" s="616"/>
      <c r="EI1552" s="616"/>
      <c r="EJ1552" s="616"/>
      <c r="EK1552" s="616"/>
      <c r="EL1552" s="616"/>
      <c r="EM1552" s="616"/>
      <c r="EN1552" s="616"/>
      <c r="EO1552" s="616"/>
      <c r="EP1552" s="616"/>
      <c r="EQ1552" s="616"/>
      <c r="ER1552" s="616"/>
      <c r="ES1552" s="616"/>
      <c r="ET1552" s="616"/>
      <c r="EU1552" s="616"/>
      <c r="EV1552" s="616"/>
      <c r="EW1552" s="616"/>
      <c r="EX1552" s="616"/>
      <c r="EY1552" s="616"/>
      <c r="EZ1552" s="616"/>
      <c r="FA1552" s="616"/>
      <c r="FB1552" s="616"/>
      <c r="FC1552" s="616"/>
      <c r="FD1552" s="616"/>
      <c r="FE1552" s="616"/>
      <c r="FF1552" s="616"/>
      <c r="FG1552" s="616"/>
      <c r="FH1552" s="616"/>
      <c r="FI1552" s="616"/>
      <c r="FJ1552" s="616"/>
      <c r="FK1552" s="616"/>
      <c r="FL1552" s="616"/>
      <c r="FM1552" s="616"/>
      <c r="FN1552" s="616"/>
      <c r="FO1552" s="616"/>
      <c r="FP1552" s="616"/>
      <c r="FQ1552" s="616"/>
      <c r="FR1552" s="616"/>
      <c r="FS1552" s="616"/>
      <c r="FT1552" s="616"/>
      <c r="FU1552" s="616"/>
      <c r="FV1552" s="616"/>
      <c r="FW1552" s="616"/>
      <c r="FX1552" s="616"/>
      <c r="FY1552" s="616"/>
      <c r="FZ1552" s="616"/>
      <c r="GA1552" s="616"/>
      <c r="GB1552" s="616"/>
      <c r="GC1552" s="616"/>
      <c r="GD1552" s="616"/>
      <c r="GE1552" s="616"/>
      <c r="GF1552" s="616"/>
      <c r="GG1552" s="616"/>
      <c r="GH1552" s="616"/>
      <c r="GI1552" s="616"/>
      <c r="GJ1552" s="616"/>
      <c r="GK1552" s="616"/>
      <c r="GL1552" s="616"/>
      <c r="GM1552" s="616"/>
      <c r="GN1552" s="616"/>
      <c r="GO1552" s="616"/>
      <c r="GP1552" s="616"/>
      <c r="GQ1552" s="616"/>
      <c r="GR1552" s="616"/>
      <c r="GS1552" s="616"/>
      <c r="GT1552" s="616"/>
      <c r="GU1552" s="616"/>
      <c r="GV1552" s="616"/>
      <c r="GW1552" s="616"/>
      <c r="GX1552" s="616"/>
      <c r="GY1552" s="616"/>
      <c r="GZ1552" s="616"/>
      <c r="HA1552" s="616"/>
      <c r="HB1552" s="616"/>
      <c r="HC1552" s="616"/>
      <c r="HD1552" s="616"/>
      <c r="HE1552" s="616"/>
      <c r="HF1552" s="616"/>
      <c r="HG1552" s="616"/>
      <c r="HH1552" s="616"/>
      <c r="HI1552" s="616"/>
      <c r="HJ1552" s="616"/>
      <c r="HK1552" s="616"/>
      <c r="HL1552" s="616"/>
      <c r="HM1552" s="616"/>
      <c r="HN1552" s="616"/>
      <c r="HO1552" s="616"/>
      <c r="HP1552" s="616"/>
      <c r="HQ1552" s="616"/>
      <c r="HR1552" s="616"/>
      <c r="HS1552" s="616"/>
      <c r="HT1552" s="616"/>
      <c r="HU1552" s="616"/>
      <c r="HV1552" s="616"/>
      <c r="HW1552" s="616"/>
      <c r="HX1552" s="616"/>
      <c r="HY1552" s="616"/>
      <c r="HZ1552" s="616"/>
      <c r="IA1552" s="616"/>
      <c r="IB1552" s="616"/>
      <c r="IC1552" s="616"/>
      <c r="ID1552" s="616"/>
      <c r="IE1552" s="616"/>
      <c r="IF1552" s="616"/>
      <c r="IG1552" s="616"/>
      <c r="IH1552" s="616"/>
      <c r="II1552" s="616"/>
      <c r="IJ1552" s="616"/>
      <c r="IK1552" s="616"/>
      <c r="IL1552" s="616"/>
      <c r="IM1552" s="616"/>
      <c r="IN1552" s="616"/>
      <c r="IO1552" s="616"/>
      <c r="IP1552" s="616"/>
      <c r="IQ1552" s="616"/>
      <c r="IR1552" s="616"/>
      <c r="IS1552" s="616"/>
      <c r="IT1552" s="616"/>
      <c r="IU1552" s="616"/>
      <c r="IV1552" s="616"/>
    </row>
    <row r="1553" spans="1:256" s="583" customFormat="1" ht="23.1" customHeight="1">
      <c r="A1553" s="641"/>
      <c r="B1553" s="642" t="s">
        <v>1106</v>
      </c>
      <c r="C1553" s="642"/>
      <c r="D1553" s="642"/>
      <c r="E1553" s="642"/>
      <c r="F1553" s="642"/>
      <c r="G1553" s="642"/>
      <c r="H1553" s="642"/>
      <c r="I1553" s="642"/>
      <c r="J1553" s="642"/>
      <c r="K1553" s="642"/>
      <c r="L1553" s="642"/>
      <c r="M1553" s="642"/>
      <c r="N1553" s="642"/>
      <c r="O1553" s="642"/>
      <c r="P1553" s="642"/>
      <c r="Q1553" s="642"/>
      <c r="R1553" s="642"/>
      <c r="S1553" s="642"/>
      <c r="T1553" s="642"/>
      <c r="U1553" s="642"/>
      <c r="V1553" s="642"/>
      <c r="W1553" s="642"/>
      <c r="X1553" s="642"/>
      <c r="Y1553" s="642"/>
      <c r="Z1553" s="642"/>
      <c r="AA1553" s="642"/>
      <c r="AB1553" s="642"/>
      <c r="AC1553" s="642"/>
      <c r="AD1553" s="642"/>
      <c r="AE1553" s="642"/>
      <c r="AF1553" s="642"/>
      <c r="AG1553" s="642"/>
      <c r="AH1553" s="642"/>
      <c r="AI1553" s="642"/>
      <c r="AJ1553" s="642"/>
      <c r="AK1553" s="642"/>
      <c r="AL1553" s="642"/>
      <c r="AM1553" s="642"/>
      <c r="AN1553" s="642"/>
      <c r="AO1553" s="642"/>
      <c r="AP1553" s="642"/>
      <c r="AQ1553" s="642"/>
      <c r="AR1553" s="642"/>
      <c r="AS1553" s="642"/>
      <c r="AT1553" s="642"/>
      <c r="AU1553" s="642"/>
      <c r="AV1553" s="642"/>
      <c r="AW1553" s="642"/>
      <c r="AX1553" s="642"/>
      <c r="AY1553" s="642"/>
      <c r="AZ1553" s="642"/>
      <c r="BA1553" s="642"/>
      <c r="BB1553" s="642"/>
      <c r="BC1553" s="642"/>
      <c r="BD1553" s="642"/>
      <c r="BE1553" s="642"/>
      <c r="BF1553" s="642"/>
      <c r="BG1553" s="642"/>
      <c r="BH1553" s="642"/>
      <c r="BI1553" s="642"/>
      <c r="BJ1553" s="642"/>
      <c r="BK1553" s="642"/>
      <c r="BL1553" s="642"/>
      <c r="BM1553" s="642"/>
      <c r="BN1553" s="642"/>
      <c r="BO1553" s="642"/>
      <c r="BP1553" s="642"/>
      <c r="BQ1553" s="642"/>
      <c r="BR1553" s="642"/>
      <c r="BS1553" s="642"/>
      <c r="BT1553" s="643"/>
      <c r="BU1553" s="643"/>
      <c r="BV1553" s="643"/>
      <c r="BW1553" s="643"/>
      <c r="BX1553" s="643"/>
      <c r="BY1553" s="643"/>
      <c r="BZ1553" s="643"/>
      <c r="CA1553" s="643"/>
      <c r="CB1553" s="643"/>
      <c r="CC1553" s="643"/>
      <c r="CD1553" s="642"/>
      <c r="CE1553" s="642"/>
      <c r="CF1553" s="644"/>
      <c r="CG1553" s="616"/>
      <c r="CH1553" s="616"/>
      <c r="CI1553" s="616"/>
      <c r="CJ1553" s="616"/>
      <c r="CK1553" s="616"/>
      <c r="CL1553" s="616"/>
      <c r="CM1553" s="616"/>
      <c r="CN1553" s="616"/>
      <c r="CO1553" s="616"/>
      <c r="CP1553" s="616"/>
      <c r="CQ1553" s="616"/>
      <c r="CR1553" s="616"/>
      <c r="CS1553" s="616"/>
      <c r="CT1553" s="616"/>
      <c r="CU1553" s="616"/>
      <c r="CV1553" s="616"/>
      <c r="CW1553" s="616"/>
      <c r="CX1553" s="616"/>
      <c r="CY1553" s="616"/>
      <c r="CZ1553" s="616"/>
      <c r="DA1553" s="616"/>
      <c r="DB1553" s="616"/>
      <c r="DC1553" s="616"/>
      <c r="DD1553" s="616"/>
      <c r="DE1553" s="616"/>
      <c r="DF1553" s="616"/>
      <c r="DG1553" s="616"/>
      <c r="DH1553" s="616"/>
      <c r="DI1553" s="616"/>
      <c r="DJ1553" s="616"/>
      <c r="DK1553" s="616"/>
      <c r="DL1553" s="616"/>
      <c r="DM1553" s="616"/>
      <c r="DN1553" s="616"/>
      <c r="DO1553" s="616"/>
      <c r="DP1553" s="616"/>
      <c r="DQ1553" s="616"/>
      <c r="DR1553" s="616"/>
      <c r="DS1553" s="616"/>
      <c r="DT1553" s="616"/>
      <c r="DU1553" s="616"/>
      <c r="DV1553" s="616"/>
      <c r="DW1553" s="616"/>
      <c r="DX1553" s="616"/>
      <c r="DY1553" s="616"/>
      <c r="DZ1553" s="616"/>
      <c r="EA1553" s="616"/>
      <c r="EB1553" s="616"/>
      <c r="EC1553" s="616"/>
      <c r="ED1553" s="616"/>
      <c r="EE1553" s="616"/>
      <c r="EF1553" s="616"/>
      <c r="EG1553" s="616"/>
      <c r="EH1553" s="616"/>
      <c r="EI1553" s="616"/>
      <c r="EJ1553" s="616"/>
      <c r="EK1553" s="616"/>
      <c r="EL1553" s="616"/>
      <c r="EM1553" s="616"/>
      <c r="EN1553" s="616"/>
      <c r="EO1553" s="616"/>
      <c r="EP1553" s="616"/>
      <c r="EQ1553" s="616"/>
      <c r="ER1553" s="616"/>
      <c r="ES1553" s="616"/>
      <c r="ET1553" s="616"/>
      <c r="EU1553" s="616"/>
      <c r="EV1553" s="616"/>
      <c r="EW1553" s="616"/>
      <c r="EX1553" s="616"/>
      <c r="EY1553" s="616"/>
      <c r="EZ1553" s="616"/>
      <c r="FA1553" s="616"/>
      <c r="FB1553" s="616"/>
      <c r="FC1553" s="616"/>
      <c r="FD1553" s="616"/>
      <c r="FE1553" s="616"/>
      <c r="FF1553" s="616"/>
      <c r="FG1553" s="616"/>
      <c r="FH1553" s="616"/>
      <c r="FI1553" s="616"/>
      <c r="FJ1553" s="616"/>
      <c r="FK1553" s="616"/>
      <c r="FL1553" s="616"/>
      <c r="FM1553" s="616"/>
      <c r="FN1553" s="616"/>
      <c r="FO1553" s="616"/>
      <c r="FP1553" s="616"/>
      <c r="FQ1553" s="616"/>
      <c r="FR1553" s="616"/>
      <c r="FS1553" s="616"/>
      <c r="FT1553" s="616"/>
      <c r="FU1553" s="616"/>
      <c r="FV1553" s="616"/>
      <c r="FW1553" s="616"/>
      <c r="FX1553" s="616"/>
      <c r="FY1553" s="616"/>
      <c r="FZ1553" s="616"/>
      <c r="GA1553" s="616"/>
      <c r="GB1553" s="616"/>
      <c r="GC1553" s="616"/>
      <c r="GD1553" s="616"/>
      <c r="GE1553" s="616"/>
      <c r="GF1553" s="616"/>
      <c r="GG1553" s="616"/>
      <c r="GH1553" s="616"/>
      <c r="GI1553" s="616"/>
      <c r="GJ1553" s="616"/>
      <c r="GK1553" s="616"/>
      <c r="GL1553" s="616"/>
      <c r="GM1553" s="616"/>
      <c r="GN1553" s="616"/>
      <c r="GO1553" s="616"/>
      <c r="GP1553" s="616"/>
      <c r="GQ1553" s="616"/>
      <c r="GR1553" s="616"/>
      <c r="GS1553" s="616"/>
      <c r="GT1553" s="616"/>
      <c r="GU1553" s="616"/>
      <c r="GV1553" s="616"/>
      <c r="GW1553" s="616"/>
      <c r="GX1553" s="616"/>
      <c r="GY1553" s="616"/>
      <c r="GZ1553" s="616"/>
      <c r="HA1553" s="616"/>
      <c r="HB1553" s="616"/>
      <c r="HC1553" s="616"/>
      <c r="HD1553" s="616"/>
      <c r="HE1553" s="616"/>
      <c r="HF1553" s="616"/>
      <c r="HG1553" s="616"/>
      <c r="HH1553" s="616"/>
      <c r="HI1553" s="616"/>
      <c r="HJ1553" s="616"/>
      <c r="HK1553" s="616"/>
      <c r="HL1553" s="616"/>
      <c r="HM1553" s="616"/>
      <c r="HN1553" s="616"/>
      <c r="HO1553" s="616"/>
      <c r="HP1553" s="616"/>
      <c r="HQ1553" s="616"/>
      <c r="HR1553" s="616"/>
      <c r="HS1553" s="616"/>
      <c r="HT1553" s="616"/>
      <c r="HU1553" s="616"/>
      <c r="HV1553" s="616"/>
      <c r="HW1553" s="616"/>
      <c r="HX1553" s="616"/>
      <c r="HY1553" s="616"/>
      <c r="HZ1553" s="616"/>
      <c r="IA1553" s="616"/>
      <c r="IB1553" s="616"/>
      <c r="IC1553" s="616"/>
      <c r="ID1553" s="616"/>
      <c r="IE1553" s="616"/>
      <c r="IF1553" s="616"/>
      <c r="IG1553" s="616"/>
      <c r="IH1553" s="616"/>
      <c r="II1553" s="616"/>
      <c r="IJ1553" s="616"/>
      <c r="IK1553" s="616"/>
      <c r="IL1553" s="616"/>
      <c r="IM1553" s="616"/>
      <c r="IN1553" s="616"/>
      <c r="IO1553" s="616"/>
      <c r="IP1553" s="616"/>
      <c r="IQ1553" s="616"/>
      <c r="IR1553" s="616"/>
      <c r="IS1553" s="616"/>
      <c r="IT1553" s="616"/>
      <c r="IU1553" s="616"/>
      <c r="IV1553" s="616"/>
    </row>
    <row r="1554" spans="1:256" s="583" customFormat="1" ht="23.1" customHeight="1">
      <c r="A1554" s="609"/>
      <c r="B1554" s="610"/>
      <c r="C1554" s="610"/>
      <c r="D1554" s="611" t="s">
        <v>1093</v>
      </c>
      <c r="E1554" s="610"/>
      <c r="F1554" s="610"/>
      <c r="G1554" s="610"/>
      <c r="H1554" s="610"/>
      <c r="I1554" s="610"/>
      <c r="J1554" s="610"/>
      <c r="K1554" s="610"/>
      <c r="L1554" s="610"/>
      <c r="M1554" s="610"/>
      <c r="N1554" s="610"/>
      <c r="O1554" s="610"/>
      <c r="P1554" s="610"/>
      <c r="Q1554" s="610"/>
      <c r="R1554" s="610"/>
      <c r="S1554" s="610"/>
      <c r="T1554" s="612"/>
      <c r="U1554" s="612"/>
      <c r="V1554" s="1449">
        <f>HLOOKUP(D1554,$CJ$1:$CM$3,3,0)</f>
        <v>173995</v>
      </c>
      <c r="W1554" s="1449"/>
      <c r="X1554" s="1449"/>
      <c r="Y1554" s="1449"/>
      <c r="Z1554" s="1449"/>
      <c r="AA1554" s="1449"/>
      <c r="AB1554" s="1449"/>
      <c r="AC1554" s="1449"/>
      <c r="AD1554" s="1449"/>
      <c r="AE1554" s="1449"/>
      <c r="AF1554" s="1443" t="s">
        <v>446</v>
      </c>
      <c r="AG1554" s="1443"/>
      <c r="AH1554" s="612"/>
      <c r="AI1554" s="1451" t="s">
        <v>1107</v>
      </c>
      <c r="AJ1554" s="1451"/>
      <c r="AK1554" s="1451"/>
      <c r="AL1554" s="1451"/>
      <c r="AM1554" s="610"/>
      <c r="AN1554" s="1443" t="s">
        <v>446</v>
      </c>
      <c r="AO1554" s="1443"/>
      <c r="AP1554" s="610"/>
      <c r="AQ1554" s="1451" t="s">
        <v>1108</v>
      </c>
      <c r="AR1554" s="1451"/>
      <c r="AS1554" s="1451"/>
      <c r="AT1554" s="1451"/>
      <c r="AU1554" s="1451"/>
      <c r="AV1554" s="613"/>
      <c r="AW1554" s="1443" t="s">
        <v>446</v>
      </c>
      <c r="AX1554" s="1443"/>
      <c r="AY1554" s="614"/>
      <c r="AZ1554" s="1451" t="s">
        <v>1109</v>
      </c>
      <c r="BA1554" s="1451"/>
      <c r="BB1554" s="1451"/>
      <c r="BC1554" s="1451"/>
      <c r="BD1554" s="1451"/>
      <c r="BE1554" s="610"/>
      <c r="BF1554" s="1443" t="s">
        <v>446</v>
      </c>
      <c r="BG1554" s="1443"/>
      <c r="BH1554" s="1443">
        <v>1</v>
      </c>
      <c r="BI1554" s="1443"/>
      <c r="BJ1554" s="1443"/>
      <c r="BK1554" s="610"/>
      <c r="BL1554" s="610" t="s">
        <v>366</v>
      </c>
      <c r="BM1554" s="610"/>
      <c r="BN1554" s="610"/>
      <c r="BO1554" s="610"/>
      <c r="BP1554" s="1443" t="s">
        <v>41</v>
      </c>
      <c r="BQ1554" s="1443"/>
      <c r="BR1554" s="610"/>
      <c r="BS1554" s="610"/>
      <c r="BT1554" s="1450">
        <f>INT(V1554/8*16/12*25/20*BH1554)</f>
        <v>36248</v>
      </c>
      <c r="BU1554" s="1450"/>
      <c r="BV1554" s="1450"/>
      <c r="BW1554" s="1450"/>
      <c r="BX1554" s="1450"/>
      <c r="BY1554" s="1450"/>
      <c r="BZ1554" s="1450"/>
      <c r="CA1554" s="1450"/>
      <c r="CB1554" s="1450"/>
      <c r="CC1554" s="1450"/>
      <c r="CD1554" s="610"/>
      <c r="CE1554" s="610"/>
      <c r="CF1554" s="615"/>
      <c r="CG1554" s="616"/>
      <c r="CH1554" s="616"/>
      <c r="CI1554" s="616"/>
      <c r="CJ1554" s="616"/>
      <c r="CK1554" s="616"/>
      <c r="CL1554" s="616"/>
      <c r="CM1554" s="616"/>
      <c r="CN1554" s="616"/>
      <c r="CO1554" s="616"/>
      <c r="CP1554" s="616"/>
      <c r="CQ1554" s="616"/>
      <c r="CR1554" s="616"/>
      <c r="CS1554" s="616"/>
      <c r="CT1554" s="616"/>
      <c r="CU1554" s="616"/>
      <c r="CV1554" s="616"/>
      <c r="CW1554" s="616"/>
      <c r="CX1554" s="616"/>
      <c r="CY1554" s="616"/>
      <c r="CZ1554" s="616"/>
      <c r="DA1554" s="616"/>
      <c r="DB1554" s="616"/>
      <c r="DC1554" s="616"/>
      <c r="DD1554" s="616"/>
      <c r="DE1554" s="616"/>
      <c r="DF1554" s="616"/>
      <c r="DG1554" s="616"/>
      <c r="DH1554" s="616"/>
      <c r="DI1554" s="616"/>
      <c r="DJ1554" s="616"/>
      <c r="DK1554" s="616"/>
      <c r="DL1554" s="616"/>
      <c r="DM1554" s="616"/>
      <c r="DN1554" s="616"/>
      <c r="DO1554" s="616"/>
      <c r="DP1554" s="616"/>
      <c r="DQ1554" s="616"/>
      <c r="DR1554" s="616"/>
      <c r="DS1554" s="616"/>
      <c r="DT1554" s="616"/>
      <c r="DU1554" s="616"/>
      <c r="DV1554" s="616"/>
      <c r="DW1554" s="616"/>
      <c r="DX1554" s="616"/>
      <c r="DY1554" s="616"/>
      <c r="DZ1554" s="616"/>
      <c r="EA1554" s="616"/>
      <c r="EB1554" s="616"/>
      <c r="EC1554" s="616"/>
      <c r="ED1554" s="616"/>
      <c r="EE1554" s="616"/>
      <c r="EF1554" s="616"/>
      <c r="EG1554" s="616"/>
      <c r="EH1554" s="616"/>
      <c r="EI1554" s="616"/>
      <c r="EJ1554" s="616"/>
      <c r="EK1554" s="616"/>
      <c r="EL1554" s="616"/>
      <c r="EM1554" s="616"/>
      <c r="EN1554" s="616"/>
      <c r="EO1554" s="616"/>
      <c r="EP1554" s="616"/>
      <c r="EQ1554" s="616"/>
      <c r="ER1554" s="616"/>
      <c r="ES1554" s="616"/>
      <c r="ET1554" s="616"/>
      <c r="EU1554" s="616"/>
      <c r="EV1554" s="616"/>
      <c r="EW1554" s="616"/>
      <c r="EX1554" s="616"/>
      <c r="EY1554" s="616"/>
      <c r="EZ1554" s="616"/>
      <c r="FA1554" s="616"/>
      <c r="FB1554" s="616"/>
      <c r="FC1554" s="616"/>
      <c r="FD1554" s="616"/>
      <c r="FE1554" s="616"/>
      <c r="FF1554" s="616"/>
      <c r="FG1554" s="616"/>
      <c r="FH1554" s="616"/>
      <c r="FI1554" s="616"/>
      <c r="FJ1554" s="616"/>
      <c r="FK1554" s="616"/>
      <c r="FL1554" s="616"/>
      <c r="FM1554" s="616"/>
      <c r="FN1554" s="616"/>
      <c r="FO1554" s="616"/>
      <c r="FP1554" s="616"/>
      <c r="FQ1554" s="616"/>
      <c r="FR1554" s="616"/>
      <c r="FS1554" s="616"/>
      <c r="FT1554" s="616"/>
      <c r="FU1554" s="616"/>
      <c r="FV1554" s="616"/>
      <c r="FW1554" s="616"/>
      <c r="FX1554" s="616"/>
      <c r="FY1554" s="616"/>
      <c r="FZ1554" s="616"/>
      <c r="GA1554" s="616"/>
      <c r="GB1554" s="616"/>
      <c r="GC1554" s="616"/>
      <c r="GD1554" s="616"/>
      <c r="GE1554" s="616"/>
      <c r="GF1554" s="616"/>
      <c r="GG1554" s="616"/>
      <c r="GH1554" s="616"/>
      <c r="GI1554" s="616"/>
      <c r="GJ1554" s="616"/>
      <c r="GK1554" s="616"/>
      <c r="GL1554" s="616"/>
      <c r="GM1554" s="616"/>
      <c r="GN1554" s="616"/>
      <c r="GO1554" s="616"/>
      <c r="GP1554" s="616"/>
      <c r="GQ1554" s="616"/>
      <c r="GR1554" s="616"/>
      <c r="GS1554" s="616"/>
      <c r="GT1554" s="616"/>
      <c r="GU1554" s="616"/>
      <c r="GV1554" s="616"/>
      <c r="GW1554" s="616"/>
      <c r="GX1554" s="616"/>
      <c r="GY1554" s="616"/>
      <c r="GZ1554" s="616"/>
      <c r="HA1554" s="616"/>
      <c r="HB1554" s="616"/>
      <c r="HC1554" s="616"/>
      <c r="HD1554" s="616"/>
      <c r="HE1554" s="616"/>
      <c r="HF1554" s="616"/>
      <c r="HG1554" s="616"/>
      <c r="HH1554" s="616"/>
      <c r="HI1554" s="616"/>
      <c r="HJ1554" s="616"/>
      <c r="HK1554" s="616"/>
      <c r="HL1554" s="616"/>
      <c r="HM1554" s="616"/>
      <c r="HN1554" s="616"/>
      <c r="HO1554" s="616"/>
      <c r="HP1554" s="616"/>
      <c r="HQ1554" s="616"/>
      <c r="HR1554" s="616"/>
      <c r="HS1554" s="616"/>
      <c r="HT1554" s="616"/>
      <c r="HU1554" s="616"/>
      <c r="HV1554" s="616"/>
      <c r="HW1554" s="616"/>
      <c r="HX1554" s="616"/>
      <c r="HY1554" s="616"/>
      <c r="HZ1554" s="616"/>
      <c r="IA1554" s="616"/>
      <c r="IB1554" s="616"/>
      <c r="IC1554" s="616"/>
      <c r="ID1554" s="616"/>
      <c r="IE1554" s="616"/>
      <c r="IF1554" s="616"/>
      <c r="IG1554" s="616"/>
      <c r="IH1554" s="616"/>
      <c r="II1554" s="616"/>
      <c r="IJ1554" s="616"/>
      <c r="IK1554" s="616"/>
      <c r="IL1554" s="616"/>
      <c r="IM1554" s="616"/>
      <c r="IN1554" s="616"/>
      <c r="IO1554" s="616"/>
      <c r="IP1554" s="616"/>
      <c r="IQ1554" s="616"/>
      <c r="IR1554" s="616"/>
      <c r="IS1554" s="616"/>
      <c r="IT1554" s="616"/>
      <c r="IU1554" s="616"/>
      <c r="IV1554" s="616"/>
    </row>
    <row r="1555" spans="1:256" s="583" customFormat="1" ht="23.1" customHeight="1">
      <c r="A1555" s="609"/>
      <c r="B1555" s="610"/>
      <c r="C1555" s="610"/>
      <c r="D1555" s="610"/>
      <c r="E1555" s="610"/>
      <c r="F1555" s="610"/>
      <c r="G1555" s="610"/>
      <c r="H1555" s="610"/>
      <c r="I1555" s="610"/>
      <c r="J1555" s="610"/>
      <c r="K1555" s="610"/>
      <c r="L1555" s="610"/>
      <c r="M1555" s="610"/>
      <c r="N1555" s="610"/>
      <c r="O1555" s="610"/>
      <c r="P1555" s="612"/>
      <c r="Q1555" s="612"/>
      <c r="R1555" s="612"/>
      <c r="S1555" s="612"/>
      <c r="T1555" s="612"/>
      <c r="U1555" s="612"/>
      <c r="V1555" s="612"/>
      <c r="W1555" s="612"/>
      <c r="X1555" s="612"/>
      <c r="Y1555" s="612"/>
      <c r="Z1555" s="612"/>
      <c r="AA1555" s="612"/>
      <c r="AB1555" s="612"/>
      <c r="AC1555" s="612"/>
      <c r="AD1555" s="612"/>
      <c r="AE1555" s="612"/>
      <c r="AF1555" s="612"/>
      <c r="AG1555" s="612"/>
      <c r="AH1555" s="612"/>
      <c r="AI1555" s="612"/>
      <c r="AJ1555" s="612"/>
      <c r="AK1555" s="612"/>
      <c r="AL1555" s="612"/>
      <c r="AM1555" s="612"/>
      <c r="AN1555" s="612"/>
      <c r="AO1555" s="612"/>
      <c r="AP1555" s="612"/>
      <c r="AQ1555" s="612"/>
      <c r="AR1555" s="612"/>
      <c r="AS1555" s="612"/>
      <c r="AT1555" s="612"/>
      <c r="AU1555" s="612"/>
      <c r="AV1555" s="612"/>
      <c r="AW1555" s="612"/>
      <c r="AX1555" s="612"/>
      <c r="AY1555" s="612"/>
      <c r="AZ1555" s="612"/>
      <c r="BA1555" s="612"/>
      <c r="BB1555" s="612"/>
      <c r="BC1555" s="612"/>
      <c r="BD1555" s="612"/>
      <c r="BE1555" s="612"/>
      <c r="BF1555" s="612"/>
      <c r="BG1555" s="610"/>
      <c r="BH1555" s="610"/>
      <c r="BI1555" s="610"/>
      <c r="BJ1555" s="610"/>
      <c r="BK1555" s="610"/>
      <c r="BL1555" s="610"/>
      <c r="BM1555" s="610"/>
      <c r="BN1555" s="610"/>
      <c r="BO1555" s="610"/>
      <c r="BP1555" s="1443"/>
      <c r="BQ1555" s="1443"/>
      <c r="BR1555" s="610"/>
      <c r="BS1555" s="610"/>
      <c r="BT1555" s="1450"/>
      <c r="BU1555" s="1450"/>
      <c r="BV1555" s="1450"/>
      <c r="BW1555" s="1450"/>
      <c r="BX1555" s="1450"/>
      <c r="BY1555" s="1450"/>
      <c r="BZ1555" s="1450"/>
      <c r="CA1555" s="1450"/>
      <c r="CB1555" s="1450"/>
      <c r="CC1555" s="1450"/>
      <c r="CD1555" s="610"/>
      <c r="CE1555" s="610"/>
      <c r="CF1555" s="615"/>
      <c r="CG1555" s="616"/>
      <c r="CH1555" s="616"/>
      <c r="CI1555" s="616"/>
      <c r="CJ1555" s="616"/>
      <c r="CK1555" s="616"/>
      <c r="CL1555" s="616"/>
      <c r="CM1555" s="616"/>
      <c r="CN1555" s="616"/>
      <c r="CO1555" s="616"/>
      <c r="CP1555" s="616"/>
      <c r="CQ1555" s="616"/>
      <c r="CR1555" s="616"/>
      <c r="CS1555" s="616"/>
      <c r="CT1555" s="616"/>
      <c r="CU1555" s="616"/>
      <c r="CV1555" s="616"/>
      <c r="CW1555" s="616"/>
      <c r="CX1555" s="616"/>
      <c r="CY1555" s="616"/>
      <c r="CZ1555" s="616"/>
      <c r="DA1555" s="616"/>
      <c r="DB1555" s="616"/>
      <c r="DC1555" s="616"/>
      <c r="DD1555" s="616"/>
      <c r="DE1555" s="616"/>
      <c r="DF1555" s="616"/>
      <c r="DG1555" s="616"/>
      <c r="DH1555" s="616"/>
      <c r="DI1555" s="616"/>
      <c r="DJ1555" s="616"/>
      <c r="DK1555" s="616"/>
      <c r="DL1555" s="616"/>
      <c r="DM1555" s="616"/>
      <c r="DN1555" s="616"/>
      <c r="DO1555" s="616"/>
      <c r="DP1555" s="616"/>
      <c r="DQ1555" s="616"/>
      <c r="DR1555" s="616"/>
      <c r="DS1555" s="616"/>
      <c r="DT1555" s="616"/>
      <c r="DU1555" s="616"/>
      <c r="DV1555" s="616"/>
      <c r="DW1555" s="616"/>
      <c r="DX1555" s="616"/>
      <c r="DY1555" s="616"/>
      <c r="DZ1555" s="616"/>
      <c r="EA1555" s="616"/>
      <c r="EB1555" s="616"/>
      <c r="EC1555" s="616"/>
      <c r="ED1555" s="616"/>
      <c r="EE1555" s="616"/>
      <c r="EF1555" s="616"/>
      <c r="EG1555" s="616"/>
      <c r="EH1555" s="616"/>
      <c r="EI1555" s="616"/>
      <c r="EJ1555" s="616"/>
      <c r="EK1555" s="616"/>
      <c r="EL1555" s="616"/>
      <c r="EM1555" s="616"/>
      <c r="EN1555" s="616"/>
      <c r="EO1555" s="616"/>
      <c r="EP1555" s="616"/>
      <c r="EQ1555" s="616"/>
      <c r="ER1555" s="616"/>
      <c r="ES1555" s="616"/>
      <c r="ET1555" s="616"/>
      <c r="EU1555" s="616"/>
      <c r="EV1555" s="616"/>
      <c r="EW1555" s="616"/>
      <c r="EX1555" s="616"/>
      <c r="EY1555" s="616"/>
      <c r="EZ1555" s="616"/>
      <c r="FA1555" s="616"/>
      <c r="FB1555" s="616"/>
      <c r="FC1555" s="616"/>
      <c r="FD1555" s="616"/>
      <c r="FE1555" s="616"/>
      <c r="FF1555" s="616"/>
      <c r="FG1555" s="616"/>
      <c r="FH1555" s="616"/>
      <c r="FI1555" s="616"/>
      <c r="FJ1555" s="616"/>
      <c r="FK1555" s="616"/>
      <c r="FL1555" s="616"/>
      <c r="FM1555" s="616"/>
      <c r="FN1555" s="616"/>
      <c r="FO1555" s="616"/>
      <c r="FP1555" s="616"/>
      <c r="FQ1555" s="616"/>
      <c r="FR1555" s="616"/>
      <c r="FS1555" s="616"/>
      <c r="FT1555" s="616"/>
      <c r="FU1555" s="616"/>
      <c r="FV1555" s="616"/>
      <c r="FW1555" s="616"/>
      <c r="FX1555" s="616"/>
      <c r="FY1555" s="616"/>
      <c r="FZ1555" s="616"/>
      <c r="GA1555" s="616"/>
      <c r="GB1555" s="616"/>
      <c r="GC1555" s="616"/>
      <c r="GD1555" s="616"/>
      <c r="GE1555" s="616"/>
      <c r="GF1555" s="616"/>
      <c r="GG1555" s="616"/>
      <c r="GH1555" s="616"/>
      <c r="GI1555" s="616"/>
      <c r="GJ1555" s="616"/>
      <c r="GK1555" s="616"/>
      <c r="GL1555" s="616"/>
      <c r="GM1555" s="616"/>
      <c r="GN1555" s="616"/>
      <c r="GO1555" s="616"/>
      <c r="GP1555" s="616"/>
      <c r="GQ1555" s="616"/>
      <c r="GR1555" s="616"/>
      <c r="GS1555" s="616"/>
      <c r="GT1555" s="616"/>
      <c r="GU1555" s="616"/>
      <c r="GV1555" s="616"/>
      <c r="GW1555" s="616"/>
      <c r="GX1555" s="616"/>
      <c r="GY1555" s="616"/>
      <c r="GZ1555" s="616"/>
      <c r="HA1555" s="616"/>
      <c r="HB1555" s="616"/>
      <c r="HC1555" s="616"/>
      <c r="HD1555" s="616"/>
      <c r="HE1555" s="616"/>
      <c r="HF1555" s="616"/>
      <c r="HG1555" s="616"/>
      <c r="HH1555" s="616"/>
      <c r="HI1555" s="616"/>
      <c r="HJ1555" s="616"/>
      <c r="HK1555" s="616"/>
      <c r="HL1555" s="616"/>
      <c r="HM1555" s="616"/>
      <c r="HN1555" s="616"/>
      <c r="HO1555" s="616"/>
      <c r="HP1555" s="616"/>
      <c r="HQ1555" s="616"/>
      <c r="HR1555" s="616"/>
      <c r="HS1555" s="616"/>
      <c r="HT1555" s="616"/>
      <c r="HU1555" s="616"/>
      <c r="HV1555" s="616"/>
      <c r="HW1555" s="616"/>
      <c r="HX1555" s="616"/>
      <c r="HY1555" s="616"/>
      <c r="HZ1555" s="616"/>
      <c r="IA1555" s="616"/>
      <c r="IB1555" s="616"/>
      <c r="IC1555" s="616"/>
      <c r="ID1555" s="616"/>
      <c r="IE1555" s="616"/>
      <c r="IF1555" s="616"/>
      <c r="IG1555" s="616"/>
      <c r="IH1555" s="616"/>
      <c r="II1555" s="616"/>
      <c r="IJ1555" s="616"/>
      <c r="IK1555" s="616"/>
      <c r="IL1555" s="616"/>
      <c r="IM1555" s="616"/>
      <c r="IN1555" s="616"/>
      <c r="IO1555" s="616"/>
      <c r="IP1555" s="616"/>
      <c r="IQ1555" s="616"/>
      <c r="IR1555" s="616"/>
      <c r="IS1555" s="616"/>
      <c r="IT1555" s="616"/>
      <c r="IU1555" s="616"/>
      <c r="IV1555" s="616"/>
    </row>
    <row r="1556" spans="1:256" s="583" customFormat="1" ht="23.1" customHeight="1">
      <c r="A1556" s="609"/>
      <c r="B1556" s="610"/>
      <c r="C1556" s="610"/>
      <c r="D1556" s="610"/>
      <c r="E1556" s="610"/>
      <c r="F1556" s="610"/>
      <c r="G1556" s="610"/>
      <c r="H1556" s="610"/>
      <c r="I1556" s="610"/>
      <c r="J1556" s="610"/>
      <c r="K1556" s="610"/>
      <c r="L1556" s="610"/>
      <c r="M1556" s="610"/>
      <c r="N1556" s="610"/>
      <c r="O1556" s="610"/>
      <c r="P1556" s="610"/>
      <c r="Q1556" s="610"/>
      <c r="R1556" s="610"/>
      <c r="S1556" s="610"/>
      <c r="T1556" s="610"/>
      <c r="U1556" s="610"/>
      <c r="V1556" s="610"/>
      <c r="W1556" s="610"/>
      <c r="X1556" s="610"/>
      <c r="Y1556" s="610"/>
      <c r="Z1556" s="610"/>
      <c r="AA1556" s="610"/>
      <c r="AB1556" s="610"/>
      <c r="AC1556" s="610"/>
      <c r="AD1556" s="612"/>
      <c r="AE1556" s="612"/>
      <c r="AF1556" s="612"/>
      <c r="AG1556" s="612"/>
      <c r="AH1556" s="612"/>
      <c r="AI1556" s="612"/>
      <c r="AJ1556" s="612"/>
      <c r="AK1556" s="612"/>
      <c r="AL1556" s="612"/>
      <c r="AM1556" s="612"/>
      <c r="AN1556" s="612"/>
      <c r="AO1556" s="612"/>
      <c r="AP1556" s="612"/>
      <c r="AQ1556" s="612"/>
      <c r="AR1556" s="612"/>
      <c r="AS1556" s="610"/>
      <c r="AT1556" s="639"/>
      <c r="AU1556" s="639"/>
      <c r="AV1556" s="610"/>
      <c r="AW1556" s="610"/>
      <c r="AX1556" s="610"/>
      <c r="AY1556" s="610"/>
      <c r="AZ1556" s="610"/>
      <c r="BA1556" s="610"/>
      <c r="BB1556" s="610"/>
      <c r="BC1556" s="610"/>
      <c r="BD1556" s="610"/>
      <c r="BE1556" s="610"/>
      <c r="BF1556" s="610"/>
      <c r="BG1556" s="610"/>
      <c r="BH1556" s="610"/>
      <c r="BI1556" s="610"/>
      <c r="BJ1556" s="610"/>
      <c r="BK1556" s="610"/>
      <c r="BL1556" s="610"/>
      <c r="BM1556" s="610"/>
      <c r="BN1556" s="610"/>
      <c r="BO1556" s="610"/>
      <c r="BP1556" s="1443" t="s">
        <v>41</v>
      </c>
      <c r="BQ1556" s="1443"/>
      <c r="BR1556" s="610"/>
      <c r="BS1556" s="610"/>
      <c r="BT1556" s="1444">
        <f>BT1554+BT1555</f>
        <v>36248</v>
      </c>
      <c r="BU1556" s="1444"/>
      <c r="BV1556" s="1444"/>
      <c r="BW1556" s="1444"/>
      <c r="BX1556" s="1444"/>
      <c r="BY1556" s="1444"/>
      <c r="BZ1556" s="1444"/>
      <c r="CA1556" s="1444"/>
      <c r="CB1556" s="1444"/>
      <c r="CC1556" s="1444"/>
      <c r="CD1556" s="610"/>
      <c r="CE1556" s="610"/>
      <c r="CF1556" s="615"/>
      <c r="CG1556" s="616"/>
      <c r="CH1556" s="616"/>
      <c r="CI1556" s="616"/>
      <c r="CJ1556" s="616"/>
      <c r="CK1556" s="616"/>
      <c r="CL1556" s="616"/>
      <c r="CM1556" s="616"/>
      <c r="CN1556" s="616"/>
      <c r="CO1556" s="616"/>
      <c r="CP1556" s="616"/>
      <c r="CQ1556" s="616"/>
      <c r="CR1556" s="616"/>
      <c r="CS1556" s="616"/>
      <c r="CT1556" s="616"/>
      <c r="CU1556" s="616"/>
      <c r="CV1556" s="616"/>
      <c r="CW1556" s="616"/>
      <c r="CX1556" s="616"/>
      <c r="CY1556" s="616"/>
      <c r="CZ1556" s="616"/>
      <c r="DA1556" s="616"/>
      <c r="DB1556" s="616"/>
      <c r="DC1556" s="616"/>
      <c r="DD1556" s="616"/>
      <c r="DE1556" s="616"/>
      <c r="DF1556" s="616"/>
      <c r="DG1556" s="616"/>
      <c r="DH1556" s="616"/>
      <c r="DI1556" s="616"/>
      <c r="DJ1556" s="616"/>
      <c r="DK1556" s="616"/>
      <c r="DL1556" s="616"/>
      <c r="DM1556" s="616"/>
      <c r="DN1556" s="616"/>
      <c r="DO1556" s="616"/>
      <c r="DP1556" s="616"/>
      <c r="DQ1556" s="616"/>
      <c r="DR1556" s="616"/>
      <c r="DS1556" s="616"/>
      <c r="DT1556" s="616"/>
      <c r="DU1556" s="616"/>
      <c r="DV1556" s="616"/>
      <c r="DW1556" s="616"/>
      <c r="DX1556" s="616"/>
      <c r="DY1556" s="616"/>
      <c r="DZ1556" s="616"/>
      <c r="EA1556" s="616"/>
      <c r="EB1556" s="616"/>
      <c r="EC1556" s="616"/>
      <c r="ED1556" s="616"/>
      <c r="EE1556" s="616"/>
      <c r="EF1556" s="616"/>
      <c r="EG1556" s="616"/>
      <c r="EH1556" s="616"/>
      <c r="EI1556" s="616"/>
      <c r="EJ1556" s="616"/>
      <c r="EK1556" s="616"/>
      <c r="EL1556" s="616"/>
      <c r="EM1556" s="616"/>
      <c r="EN1556" s="616"/>
      <c r="EO1556" s="616"/>
      <c r="EP1556" s="616"/>
      <c r="EQ1556" s="616"/>
      <c r="ER1556" s="616"/>
      <c r="ES1556" s="616"/>
      <c r="ET1556" s="616"/>
      <c r="EU1556" s="616"/>
      <c r="EV1556" s="616"/>
      <c r="EW1556" s="616"/>
      <c r="EX1556" s="616"/>
      <c r="EY1556" s="616"/>
      <c r="EZ1556" s="616"/>
      <c r="FA1556" s="616"/>
      <c r="FB1556" s="616"/>
      <c r="FC1556" s="616"/>
      <c r="FD1556" s="616"/>
      <c r="FE1556" s="616"/>
      <c r="FF1556" s="616"/>
      <c r="FG1556" s="616"/>
      <c r="FH1556" s="616"/>
      <c r="FI1556" s="616"/>
      <c r="FJ1556" s="616"/>
      <c r="FK1556" s="616"/>
      <c r="FL1556" s="616"/>
      <c r="FM1556" s="616"/>
      <c r="FN1556" s="616"/>
      <c r="FO1556" s="616"/>
      <c r="FP1556" s="616"/>
      <c r="FQ1556" s="616"/>
      <c r="FR1556" s="616"/>
      <c r="FS1556" s="616"/>
      <c r="FT1556" s="616"/>
      <c r="FU1556" s="616"/>
      <c r="FV1556" s="616"/>
      <c r="FW1556" s="616"/>
      <c r="FX1556" s="616"/>
      <c r="FY1556" s="616"/>
      <c r="FZ1556" s="616"/>
      <c r="GA1556" s="616"/>
      <c r="GB1556" s="616"/>
      <c r="GC1556" s="616"/>
      <c r="GD1556" s="616"/>
      <c r="GE1556" s="616"/>
      <c r="GF1556" s="616"/>
      <c r="GG1556" s="616"/>
      <c r="GH1556" s="616"/>
      <c r="GI1556" s="616"/>
      <c r="GJ1556" s="616"/>
      <c r="GK1556" s="616"/>
      <c r="GL1556" s="616"/>
      <c r="GM1556" s="616"/>
      <c r="GN1556" s="616"/>
      <c r="GO1556" s="616"/>
      <c r="GP1556" s="616"/>
      <c r="GQ1556" s="616"/>
      <c r="GR1556" s="616"/>
      <c r="GS1556" s="616"/>
      <c r="GT1556" s="616"/>
      <c r="GU1556" s="616"/>
      <c r="GV1556" s="616"/>
      <c r="GW1556" s="616"/>
      <c r="GX1556" s="616"/>
      <c r="GY1556" s="616"/>
      <c r="GZ1556" s="616"/>
      <c r="HA1556" s="616"/>
      <c r="HB1556" s="616"/>
      <c r="HC1556" s="616"/>
      <c r="HD1556" s="616"/>
      <c r="HE1556" s="616"/>
      <c r="HF1556" s="616"/>
      <c r="HG1556" s="616"/>
      <c r="HH1556" s="616"/>
      <c r="HI1556" s="616"/>
      <c r="HJ1556" s="616"/>
      <c r="HK1556" s="616"/>
      <c r="HL1556" s="616"/>
      <c r="HM1556" s="616"/>
      <c r="HN1556" s="616"/>
      <c r="HO1556" s="616"/>
      <c r="HP1556" s="616"/>
      <c r="HQ1556" s="616"/>
      <c r="HR1556" s="616"/>
      <c r="HS1556" s="616"/>
      <c r="HT1556" s="616"/>
      <c r="HU1556" s="616"/>
      <c r="HV1556" s="616"/>
      <c r="HW1556" s="616"/>
      <c r="HX1556" s="616"/>
      <c r="HY1556" s="616"/>
      <c r="HZ1556" s="616"/>
      <c r="IA1556" s="616"/>
      <c r="IB1556" s="616"/>
      <c r="IC1556" s="616"/>
      <c r="ID1556" s="616"/>
      <c r="IE1556" s="616"/>
      <c r="IF1556" s="616"/>
      <c r="IG1556" s="616"/>
      <c r="IH1556" s="616"/>
      <c r="II1556" s="616"/>
      <c r="IJ1556" s="616"/>
      <c r="IK1556" s="616"/>
      <c r="IL1556" s="616"/>
      <c r="IM1556" s="616"/>
      <c r="IN1556" s="616"/>
      <c r="IO1556" s="616"/>
      <c r="IP1556" s="616"/>
      <c r="IQ1556" s="616"/>
      <c r="IR1556" s="616"/>
      <c r="IS1556" s="616"/>
      <c r="IT1556" s="616"/>
      <c r="IU1556" s="616"/>
      <c r="IV1556" s="616"/>
    </row>
    <row r="1557" spans="1:256" s="583" customFormat="1" ht="23.1" customHeight="1">
      <c r="A1557" s="641"/>
      <c r="B1557" s="642" t="s">
        <v>1110</v>
      </c>
      <c r="C1557" s="642"/>
      <c r="D1557" s="642"/>
      <c r="E1557" s="642"/>
      <c r="F1557" s="642"/>
      <c r="G1557" s="642"/>
      <c r="H1557" s="642"/>
      <c r="I1557" s="642"/>
      <c r="J1557" s="642"/>
      <c r="K1557" s="642"/>
      <c r="L1557" s="642"/>
      <c r="M1557" s="642"/>
      <c r="N1557" s="642"/>
      <c r="O1557" s="642"/>
      <c r="P1557" s="642"/>
      <c r="Q1557" s="642"/>
      <c r="R1557" s="642"/>
      <c r="S1557" s="642"/>
      <c r="T1557" s="642"/>
      <c r="U1557" s="642"/>
      <c r="V1557" s="642"/>
      <c r="W1557" s="642"/>
      <c r="X1557" s="642"/>
      <c r="Y1557" s="642"/>
      <c r="Z1557" s="642"/>
      <c r="AA1557" s="642"/>
      <c r="AB1557" s="642"/>
      <c r="AC1557" s="642"/>
      <c r="AD1557" s="642"/>
      <c r="AE1557" s="642"/>
      <c r="AF1557" s="642"/>
      <c r="AG1557" s="642"/>
      <c r="AH1557" s="642"/>
      <c r="AI1557" s="642"/>
      <c r="AJ1557" s="642"/>
      <c r="AK1557" s="642"/>
      <c r="AL1557" s="642"/>
      <c r="AM1557" s="642"/>
      <c r="AN1557" s="642"/>
      <c r="AO1557" s="642"/>
      <c r="AP1557" s="642"/>
      <c r="AQ1557" s="642"/>
      <c r="AR1557" s="642"/>
      <c r="AS1557" s="642"/>
      <c r="AT1557" s="642"/>
      <c r="AU1557" s="642"/>
      <c r="AV1557" s="642"/>
      <c r="AW1557" s="642"/>
      <c r="AX1557" s="642"/>
      <c r="AY1557" s="642"/>
      <c r="AZ1557" s="642"/>
      <c r="BA1557" s="642"/>
      <c r="BB1557" s="642"/>
      <c r="BC1557" s="642"/>
      <c r="BD1557" s="642"/>
      <c r="BE1557" s="642"/>
      <c r="BF1557" s="642"/>
      <c r="BG1557" s="642"/>
      <c r="BH1557" s="642"/>
      <c r="BI1557" s="642"/>
      <c r="BJ1557" s="642"/>
      <c r="BK1557" s="642"/>
      <c r="BL1557" s="642"/>
      <c r="BM1557" s="642"/>
      <c r="BN1557" s="642"/>
      <c r="BO1557" s="642"/>
      <c r="BP1557" s="642"/>
      <c r="BQ1557" s="642"/>
      <c r="BR1557" s="642"/>
      <c r="BS1557" s="642"/>
      <c r="BT1557" s="642"/>
      <c r="BU1557" s="642"/>
      <c r="BV1557" s="642"/>
      <c r="BW1557" s="642"/>
      <c r="BX1557" s="642"/>
      <c r="BY1557" s="642"/>
      <c r="BZ1557" s="642"/>
      <c r="CA1557" s="642"/>
      <c r="CB1557" s="642"/>
      <c r="CC1557" s="642"/>
      <c r="CD1557" s="642"/>
      <c r="CE1557" s="642"/>
      <c r="CF1557" s="644"/>
      <c r="CG1557" s="616"/>
      <c r="CH1557" s="616"/>
      <c r="CI1557" s="616"/>
      <c r="CJ1557" s="616"/>
      <c r="CK1557" s="616"/>
      <c r="CL1557" s="616"/>
      <c r="CM1557" s="616"/>
      <c r="CN1557" s="616"/>
      <c r="CO1557" s="616"/>
      <c r="CP1557" s="616"/>
      <c r="CQ1557" s="616"/>
      <c r="CR1557" s="616"/>
      <c r="CS1557" s="616"/>
      <c r="CT1557" s="616"/>
      <c r="CU1557" s="616"/>
      <c r="CV1557" s="616"/>
      <c r="CW1557" s="616"/>
      <c r="CX1557" s="616"/>
      <c r="CY1557" s="616"/>
      <c r="CZ1557" s="616"/>
      <c r="DA1557" s="616"/>
      <c r="DB1557" s="616"/>
      <c r="DC1557" s="616"/>
      <c r="DD1557" s="616"/>
      <c r="DE1557" s="616"/>
      <c r="DF1557" s="616"/>
      <c r="DG1557" s="616"/>
      <c r="DH1557" s="616"/>
      <c r="DI1557" s="616"/>
      <c r="DJ1557" s="616"/>
      <c r="DK1557" s="616"/>
      <c r="DL1557" s="616"/>
      <c r="DM1557" s="616"/>
      <c r="DN1557" s="616"/>
      <c r="DO1557" s="616"/>
      <c r="DP1557" s="616"/>
      <c r="DQ1557" s="616"/>
      <c r="DR1557" s="616"/>
      <c r="DS1557" s="616"/>
      <c r="DT1557" s="616"/>
      <c r="DU1557" s="616"/>
      <c r="DV1557" s="616"/>
      <c r="DW1557" s="616"/>
      <c r="DX1557" s="616"/>
      <c r="DY1557" s="616"/>
      <c r="DZ1557" s="616"/>
      <c r="EA1557" s="616"/>
      <c r="EB1557" s="616"/>
      <c r="EC1557" s="616"/>
      <c r="ED1557" s="616"/>
      <c r="EE1557" s="616"/>
      <c r="EF1557" s="616"/>
      <c r="EG1557" s="616"/>
      <c r="EH1557" s="616"/>
      <c r="EI1557" s="616"/>
      <c r="EJ1557" s="616"/>
      <c r="EK1557" s="616"/>
      <c r="EL1557" s="616"/>
      <c r="EM1557" s="616"/>
      <c r="EN1557" s="616"/>
      <c r="EO1557" s="616"/>
      <c r="EP1557" s="616"/>
      <c r="EQ1557" s="616"/>
      <c r="ER1557" s="616"/>
      <c r="ES1557" s="616"/>
      <c r="ET1557" s="616"/>
      <c r="EU1557" s="616"/>
      <c r="EV1557" s="616"/>
      <c r="EW1557" s="616"/>
      <c r="EX1557" s="616"/>
      <c r="EY1557" s="616"/>
      <c r="EZ1557" s="616"/>
      <c r="FA1557" s="616"/>
      <c r="FB1557" s="616"/>
      <c r="FC1557" s="616"/>
      <c r="FD1557" s="616"/>
      <c r="FE1557" s="616"/>
      <c r="FF1557" s="616"/>
      <c r="FG1557" s="616"/>
      <c r="FH1557" s="616"/>
      <c r="FI1557" s="616"/>
      <c r="FJ1557" s="616"/>
      <c r="FK1557" s="616"/>
      <c r="FL1557" s="616"/>
      <c r="FM1557" s="616"/>
      <c r="FN1557" s="616"/>
      <c r="FO1557" s="616"/>
      <c r="FP1557" s="616"/>
      <c r="FQ1557" s="616"/>
      <c r="FR1557" s="616"/>
      <c r="FS1557" s="616"/>
      <c r="FT1557" s="616"/>
      <c r="FU1557" s="616"/>
      <c r="FV1557" s="616"/>
      <c r="FW1557" s="616"/>
      <c r="FX1557" s="616"/>
      <c r="FY1557" s="616"/>
      <c r="FZ1557" s="616"/>
      <c r="GA1557" s="616"/>
      <c r="GB1557" s="616"/>
      <c r="GC1557" s="616"/>
      <c r="GD1557" s="616"/>
      <c r="GE1557" s="616"/>
      <c r="GF1557" s="616"/>
      <c r="GG1557" s="616"/>
      <c r="GH1557" s="616"/>
      <c r="GI1557" s="616"/>
      <c r="GJ1557" s="616"/>
      <c r="GK1557" s="616"/>
      <c r="GL1557" s="616"/>
      <c r="GM1557" s="616"/>
      <c r="GN1557" s="616"/>
      <c r="GO1557" s="616"/>
      <c r="GP1557" s="616"/>
      <c r="GQ1557" s="616"/>
      <c r="GR1557" s="616"/>
      <c r="GS1557" s="616"/>
      <c r="GT1557" s="616"/>
      <c r="GU1557" s="616"/>
      <c r="GV1557" s="616"/>
      <c r="GW1557" s="616"/>
      <c r="GX1557" s="616"/>
      <c r="GY1557" s="616"/>
      <c r="GZ1557" s="616"/>
      <c r="HA1557" s="616"/>
      <c r="HB1557" s="616"/>
      <c r="HC1557" s="616"/>
      <c r="HD1557" s="616"/>
      <c r="HE1557" s="616"/>
      <c r="HF1557" s="616"/>
      <c r="HG1557" s="616"/>
      <c r="HH1557" s="616"/>
      <c r="HI1557" s="616"/>
      <c r="HJ1557" s="616"/>
      <c r="HK1557" s="616"/>
      <c r="HL1557" s="616"/>
      <c r="HM1557" s="616"/>
      <c r="HN1557" s="616"/>
      <c r="HO1557" s="616"/>
      <c r="HP1557" s="616"/>
      <c r="HQ1557" s="616"/>
      <c r="HR1557" s="616"/>
      <c r="HS1557" s="616"/>
      <c r="HT1557" s="616"/>
      <c r="HU1557" s="616"/>
      <c r="HV1557" s="616"/>
      <c r="HW1557" s="616"/>
      <c r="HX1557" s="616"/>
      <c r="HY1557" s="616"/>
      <c r="HZ1557" s="616"/>
      <c r="IA1557" s="616"/>
      <c r="IB1557" s="616"/>
      <c r="IC1557" s="616"/>
      <c r="ID1557" s="616"/>
      <c r="IE1557" s="616"/>
      <c r="IF1557" s="616"/>
      <c r="IG1557" s="616"/>
      <c r="IH1557" s="616"/>
      <c r="II1557" s="616"/>
      <c r="IJ1557" s="616"/>
      <c r="IK1557" s="616"/>
      <c r="IL1557" s="616"/>
      <c r="IM1557" s="616"/>
      <c r="IN1557" s="616"/>
      <c r="IO1557" s="616"/>
      <c r="IP1557" s="616"/>
      <c r="IQ1557" s="616"/>
      <c r="IR1557" s="616"/>
      <c r="IS1557" s="616"/>
      <c r="IT1557" s="616"/>
      <c r="IU1557" s="616"/>
      <c r="IV1557" s="616"/>
    </row>
    <row r="1558" spans="1:256" s="583" customFormat="1" ht="23.1" customHeight="1">
      <c r="A1558" s="609"/>
      <c r="B1558" s="610"/>
      <c r="C1558" s="610"/>
      <c r="D1558" s="611" t="s">
        <v>42</v>
      </c>
      <c r="E1558" s="610"/>
      <c r="F1558" s="610"/>
      <c r="G1558" s="610"/>
      <c r="H1558" s="610"/>
      <c r="I1558" s="610"/>
      <c r="J1558" s="610"/>
      <c r="K1558" s="610"/>
      <c r="L1558" s="610"/>
      <c r="M1558" s="610"/>
      <c r="N1558" s="610"/>
      <c r="O1558" s="610"/>
      <c r="P1558" s="610"/>
      <c r="Q1558" s="610"/>
      <c r="R1558" s="610"/>
      <c r="S1558" s="610"/>
      <c r="T1558" s="610"/>
      <c r="U1558" s="610"/>
      <c r="V1558" s="610"/>
      <c r="W1558" s="610"/>
      <c r="X1558" s="610"/>
      <c r="Y1558" s="610"/>
      <c r="Z1558" s="610"/>
      <c r="AA1558" s="610"/>
      <c r="AB1558" s="610"/>
      <c r="AC1558" s="610"/>
      <c r="AD1558" s="610"/>
      <c r="AE1558" s="610"/>
      <c r="AF1558" s="610"/>
      <c r="AG1558" s="610"/>
      <c r="AH1558" s="610"/>
      <c r="AI1558" s="610"/>
      <c r="AJ1558" s="610"/>
      <c r="AK1558" s="610"/>
      <c r="AL1558" s="610"/>
      <c r="AM1558" s="610"/>
      <c r="AN1558" s="610"/>
      <c r="AO1558" s="610"/>
      <c r="AP1558" s="610"/>
      <c r="AQ1558" s="610"/>
      <c r="AR1558" s="613"/>
      <c r="AS1558" s="1449" t="e">
        <f>HLOOKUP(D1558,$CN$1:$CO$3,3,0)</f>
        <v>#REF!</v>
      </c>
      <c r="AT1558" s="1449"/>
      <c r="AU1558" s="1449"/>
      <c r="AV1558" s="1449"/>
      <c r="AW1558" s="1449"/>
      <c r="AX1558" s="1449"/>
      <c r="AY1558" s="1449"/>
      <c r="AZ1558" s="1449"/>
      <c r="BA1558" s="1449"/>
      <c r="BB1558" s="1449"/>
      <c r="BC1558" s="610"/>
      <c r="BD1558" s="1443" t="s">
        <v>446</v>
      </c>
      <c r="BE1558" s="1443"/>
      <c r="BF1558" s="610"/>
      <c r="BG1558" s="1443">
        <v>5.6</v>
      </c>
      <c r="BH1558" s="1443"/>
      <c r="BI1558" s="1443"/>
      <c r="BJ1558" s="1443"/>
      <c r="BK1558" s="1443"/>
      <c r="BL1558" s="610" t="s">
        <v>1111</v>
      </c>
      <c r="BM1558" s="610"/>
      <c r="BN1558" s="610"/>
      <c r="BO1558" s="610"/>
      <c r="BP1558" s="1443" t="s">
        <v>41</v>
      </c>
      <c r="BQ1558" s="1443"/>
      <c r="BR1558" s="610"/>
      <c r="BS1558" s="610"/>
      <c r="BT1558" s="1450" t="e">
        <f>INT(AS1558*BG1558)</f>
        <v>#REF!</v>
      </c>
      <c r="BU1558" s="1450"/>
      <c r="BV1558" s="1450"/>
      <c r="BW1558" s="1450"/>
      <c r="BX1558" s="1450"/>
      <c r="BY1558" s="1450"/>
      <c r="BZ1558" s="1450"/>
      <c r="CA1558" s="1450"/>
      <c r="CB1558" s="1450"/>
      <c r="CC1558" s="1450"/>
      <c r="CD1558" s="610"/>
      <c r="CE1558" s="610"/>
      <c r="CF1558" s="615"/>
      <c r="CG1558" s="616"/>
      <c r="CH1558" s="616"/>
      <c r="CI1558" s="616"/>
      <c r="CJ1558" s="616"/>
      <c r="CK1558" s="616"/>
      <c r="CL1558" s="616"/>
      <c r="CM1558" s="616"/>
      <c r="CN1558" s="616"/>
      <c r="CO1558" s="616"/>
      <c r="CP1558" s="616"/>
      <c r="CQ1558" s="616"/>
      <c r="CR1558" s="616"/>
      <c r="CS1558" s="616"/>
      <c r="CT1558" s="616"/>
      <c r="CU1558" s="616"/>
      <c r="CV1558" s="616"/>
      <c r="CW1558" s="616"/>
      <c r="CX1558" s="616"/>
      <c r="CY1558" s="616"/>
      <c r="CZ1558" s="616"/>
      <c r="DA1558" s="616"/>
      <c r="DB1558" s="616"/>
      <c r="DC1558" s="616"/>
      <c r="DD1558" s="616"/>
      <c r="DE1558" s="616"/>
      <c r="DF1558" s="616"/>
      <c r="DG1558" s="616"/>
      <c r="DH1558" s="616"/>
      <c r="DI1558" s="616"/>
      <c r="DJ1558" s="616"/>
      <c r="DK1558" s="616"/>
      <c r="DL1558" s="616"/>
      <c r="DM1558" s="616"/>
      <c r="DN1558" s="616"/>
      <c r="DO1558" s="616"/>
      <c r="DP1558" s="616"/>
      <c r="DQ1558" s="616"/>
      <c r="DR1558" s="616"/>
      <c r="DS1558" s="616"/>
      <c r="DT1558" s="616"/>
      <c r="DU1558" s="616"/>
      <c r="DV1558" s="616"/>
      <c r="DW1558" s="616"/>
      <c r="DX1558" s="616"/>
      <c r="DY1558" s="616"/>
      <c r="DZ1558" s="616"/>
      <c r="EA1558" s="616"/>
      <c r="EB1558" s="616"/>
      <c r="EC1558" s="616"/>
      <c r="ED1558" s="616"/>
      <c r="EE1558" s="616"/>
      <c r="EF1558" s="616"/>
      <c r="EG1558" s="616"/>
      <c r="EH1558" s="616"/>
      <c r="EI1558" s="616"/>
      <c r="EJ1558" s="616"/>
      <c r="EK1558" s="616"/>
      <c r="EL1558" s="616"/>
      <c r="EM1558" s="616"/>
      <c r="EN1558" s="616"/>
      <c r="EO1558" s="616"/>
      <c r="EP1558" s="616"/>
      <c r="EQ1558" s="616"/>
      <c r="ER1558" s="616"/>
      <c r="ES1558" s="616"/>
      <c r="ET1558" s="616"/>
      <c r="EU1558" s="616"/>
      <c r="EV1558" s="616"/>
      <c r="EW1558" s="616"/>
      <c r="EX1558" s="616"/>
      <c r="EY1558" s="616"/>
      <c r="EZ1558" s="616"/>
      <c r="FA1558" s="616"/>
      <c r="FB1558" s="616"/>
      <c r="FC1558" s="616"/>
      <c r="FD1558" s="616"/>
      <c r="FE1558" s="616"/>
      <c r="FF1558" s="616"/>
      <c r="FG1558" s="616"/>
      <c r="FH1558" s="616"/>
      <c r="FI1558" s="616"/>
      <c r="FJ1558" s="616"/>
      <c r="FK1558" s="616"/>
      <c r="FL1558" s="616"/>
      <c r="FM1558" s="616"/>
      <c r="FN1558" s="616"/>
      <c r="FO1558" s="616"/>
      <c r="FP1558" s="616"/>
      <c r="FQ1558" s="616"/>
      <c r="FR1558" s="616"/>
      <c r="FS1558" s="616"/>
      <c r="FT1558" s="616"/>
      <c r="FU1558" s="616"/>
      <c r="FV1558" s="616"/>
      <c r="FW1558" s="616"/>
      <c r="FX1558" s="616"/>
      <c r="FY1558" s="616"/>
      <c r="FZ1558" s="616"/>
      <c r="GA1558" s="616"/>
      <c r="GB1558" s="616"/>
      <c r="GC1558" s="616"/>
      <c r="GD1558" s="616"/>
      <c r="GE1558" s="616"/>
      <c r="GF1558" s="616"/>
      <c r="GG1558" s="616"/>
      <c r="GH1558" s="616"/>
      <c r="GI1558" s="616"/>
      <c r="GJ1558" s="616"/>
      <c r="GK1558" s="616"/>
      <c r="GL1558" s="616"/>
      <c r="GM1558" s="616"/>
      <c r="GN1558" s="616"/>
      <c r="GO1558" s="616"/>
      <c r="GP1558" s="616"/>
      <c r="GQ1558" s="616"/>
      <c r="GR1558" s="616"/>
      <c r="GS1558" s="616"/>
      <c r="GT1558" s="616"/>
      <c r="GU1558" s="616"/>
      <c r="GV1558" s="616"/>
      <c r="GW1558" s="616"/>
      <c r="GX1558" s="616"/>
      <c r="GY1558" s="616"/>
      <c r="GZ1558" s="616"/>
      <c r="HA1558" s="616"/>
      <c r="HB1558" s="616"/>
      <c r="HC1558" s="616"/>
      <c r="HD1558" s="616"/>
      <c r="HE1558" s="616"/>
      <c r="HF1558" s="616"/>
      <c r="HG1558" s="616"/>
      <c r="HH1558" s="616"/>
      <c r="HI1558" s="616"/>
      <c r="HJ1558" s="616"/>
      <c r="HK1558" s="616"/>
      <c r="HL1558" s="616"/>
      <c r="HM1558" s="616"/>
      <c r="HN1558" s="616"/>
      <c r="HO1558" s="616"/>
      <c r="HP1558" s="616"/>
      <c r="HQ1558" s="616"/>
      <c r="HR1558" s="616"/>
      <c r="HS1558" s="616"/>
      <c r="HT1558" s="616"/>
      <c r="HU1558" s="616"/>
      <c r="HV1558" s="616"/>
      <c r="HW1558" s="616"/>
      <c r="HX1558" s="616"/>
      <c r="HY1558" s="616"/>
      <c r="HZ1558" s="616"/>
      <c r="IA1558" s="616"/>
      <c r="IB1558" s="616"/>
      <c r="IC1558" s="616"/>
      <c r="ID1558" s="616"/>
      <c r="IE1558" s="616"/>
      <c r="IF1558" s="616"/>
      <c r="IG1558" s="616"/>
      <c r="IH1558" s="616"/>
      <c r="II1558" s="616"/>
      <c r="IJ1558" s="616"/>
      <c r="IK1558" s="616"/>
      <c r="IL1558" s="616"/>
      <c r="IM1558" s="616"/>
      <c r="IN1558" s="616"/>
      <c r="IO1558" s="616"/>
      <c r="IP1558" s="616"/>
      <c r="IQ1558" s="616"/>
      <c r="IR1558" s="616"/>
      <c r="IS1558" s="616"/>
      <c r="IT1558" s="616"/>
      <c r="IU1558" s="616"/>
      <c r="IV1558" s="616"/>
    </row>
    <row r="1559" spans="1:256" s="583" customFormat="1" ht="23.1" customHeight="1">
      <c r="A1559" s="609"/>
      <c r="B1559" s="610"/>
      <c r="C1559" s="610"/>
      <c r="D1559" s="640" t="str">
        <f>"잡재료 (주연료의 "&amp;BG1559&amp;"%) :"</f>
        <v>잡재료 (주연료의 20%) :</v>
      </c>
      <c r="E1559" s="610"/>
      <c r="F1559" s="610"/>
      <c r="G1559" s="610"/>
      <c r="H1559" s="610"/>
      <c r="I1559" s="610"/>
      <c r="J1559" s="610"/>
      <c r="K1559" s="610"/>
      <c r="L1559" s="610"/>
      <c r="M1559" s="610"/>
      <c r="N1559" s="610"/>
      <c r="O1559" s="610"/>
      <c r="P1559" s="610"/>
      <c r="Q1559" s="610"/>
      <c r="R1559" s="610"/>
      <c r="S1559" s="610"/>
      <c r="T1559" s="610"/>
      <c r="U1559" s="610"/>
      <c r="V1559" s="610"/>
      <c r="W1559" s="610"/>
      <c r="X1559" s="610"/>
      <c r="Y1559" s="610"/>
      <c r="Z1559" s="610"/>
      <c r="AA1559" s="610"/>
      <c r="AB1559" s="610"/>
      <c r="AC1559" s="610"/>
      <c r="AD1559" s="610"/>
      <c r="AE1559" s="610"/>
      <c r="AF1559" s="610"/>
      <c r="AG1559" s="610"/>
      <c r="AH1559" s="610"/>
      <c r="AI1559" s="610"/>
      <c r="AJ1559" s="610"/>
      <c r="AK1559" s="610"/>
      <c r="AL1559" s="610"/>
      <c r="AM1559" s="610"/>
      <c r="AN1559" s="610"/>
      <c r="AO1559" s="610"/>
      <c r="AP1559" s="610"/>
      <c r="AQ1559" s="610"/>
      <c r="AR1559" s="613" t="e">
        <f>BT1558</f>
        <v>#REF!</v>
      </c>
      <c r="AS1559" s="1449" t="e">
        <f>BT1558</f>
        <v>#REF!</v>
      </c>
      <c r="AT1559" s="1449"/>
      <c r="AU1559" s="1449"/>
      <c r="AV1559" s="1449"/>
      <c r="AW1559" s="1449"/>
      <c r="AX1559" s="1449"/>
      <c r="AY1559" s="1449"/>
      <c r="AZ1559" s="1449"/>
      <c r="BA1559" s="1449"/>
      <c r="BB1559" s="1449"/>
      <c r="BC1559" s="610"/>
      <c r="BD1559" s="1443" t="s">
        <v>446</v>
      </c>
      <c r="BE1559" s="1443"/>
      <c r="BF1559" s="610"/>
      <c r="BG1559" s="1443">
        <v>20</v>
      </c>
      <c r="BH1559" s="1443"/>
      <c r="BI1559" s="1443"/>
      <c r="BJ1559" s="1443"/>
      <c r="BK1559" s="1443"/>
      <c r="BL1559" s="610" t="s">
        <v>1112</v>
      </c>
      <c r="BM1559" s="610"/>
      <c r="BN1559" s="610"/>
      <c r="BO1559" s="610"/>
      <c r="BP1559" s="1443" t="s">
        <v>41</v>
      </c>
      <c r="BQ1559" s="1443"/>
      <c r="BR1559" s="610"/>
      <c r="BS1559" s="610"/>
      <c r="BT1559" s="1450" t="e">
        <f>INT(AS1559*BG1559/100)</f>
        <v>#REF!</v>
      </c>
      <c r="BU1559" s="1450"/>
      <c r="BV1559" s="1450"/>
      <c r="BW1559" s="1450"/>
      <c r="BX1559" s="1450"/>
      <c r="BY1559" s="1450"/>
      <c r="BZ1559" s="1450"/>
      <c r="CA1559" s="1450"/>
      <c r="CB1559" s="1450"/>
      <c r="CC1559" s="1450"/>
      <c r="CD1559" s="610"/>
      <c r="CE1559" s="610"/>
      <c r="CF1559" s="615"/>
      <c r="CG1559" s="616"/>
      <c r="CH1559" s="616"/>
      <c r="CI1559" s="616"/>
      <c r="CJ1559" s="616"/>
      <c r="CK1559" s="616"/>
      <c r="CL1559" s="616"/>
      <c r="CM1559" s="616"/>
      <c r="CN1559" s="616"/>
      <c r="CO1559" s="616"/>
      <c r="CP1559" s="616"/>
      <c r="CQ1559" s="616"/>
      <c r="CR1559" s="616"/>
      <c r="CS1559" s="616"/>
      <c r="CT1559" s="616"/>
      <c r="CU1559" s="616"/>
      <c r="CV1559" s="616"/>
      <c r="CW1559" s="616"/>
      <c r="CX1559" s="616"/>
      <c r="CY1559" s="616"/>
      <c r="CZ1559" s="616"/>
      <c r="DA1559" s="616"/>
      <c r="DB1559" s="616"/>
      <c r="DC1559" s="616"/>
      <c r="DD1559" s="616"/>
      <c r="DE1559" s="616"/>
      <c r="DF1559" s="616"/>
      <c r="DG1559" s="616"/>
      <c r="DH1559" s="616"/>
      <c r="DI1559" s="616"/>
      <c r="DJ1559" s="616"/>
      <c r="DK1559" s="616"/>
      <c r="DL1559" s="616"/>
      <c r="DM1559" s="616"/>
      <c r="DN1559" s="616"/>
      <c r="DO1559" s="616"/>
      <c r="DP1559" s="616"/>
      <c r="DQ1559" s="616"/>
      <c r="DR1559" s="616"/>
      <c r="DS1559" s="616"/>
      <c r="DT1559" s="616"/>
      <c r="DU1559" s="616"/>
      <c r="DV1559" s="616"/>
      <c r="DW1559" s="616"/>
      <c r="DX1559" s="616"/>
      <c r="DY1559" s="616"/>
      <c r="DZ1559" s="616"/>
      <c r="EA1559" s="616"/>
      <c r="EB1559" s="616"/>
      <c r="EC1559" s="616"/>
      <c r="ED1559" s="616"/>
      <c r="EE1559" s="616"/>
      <c r="EF1559" s="616"/>
      <c r="EG1559" s="616"/>
      <c r="EH1559" s="616"/>
      <c r="EI1559" s="616"/>
      <c r="EJ1559" s="616"/>
      <c r="EK1559" s="616"/>
      <c r="EL1559" s="616"/>
      <c r="EM1559" s="616"/>
      <c r="EN1559" s="616"/>
      <c r="EO1559" s="616"/>
      <c r="EP1559" s="616"/>
      <c r="EQ1559" s="616"/>
      <c r="ER1559" s="616"/>
      <c r="ES1559" s="616"/>
      <c r="ET1559" s="616"/>
      <c r="EU1559" s="616"/>
      <c r="EV1559" s="616"/>
      <c r="EW1559" s="616"/>
      <c r="EX1559" s="616"/>
      <c r="EY1559" s="616"/>
      <c r="EZ1559" s="616"/>
      <c r="FA1559" s="616"/>
      <c r="FB1559" s="616"/>
      <c r="FC1559" s="616"/>
      <c r="FD1559" s="616"/>
      <c r="FE1559" s="616"/>
      <c r="FF1559" s="616"/>
      <c r="FG1559" s="616"/>
      <c r="FH1559" s="616"/>
      <c r="FI1559" s="616"/>
      <c r="FJ1559" s="616"/>
      <c r="FK1559" s="616"/>
      <c r="FL1559" s="616"/>
      <c r="FM1559" s="616"/>
      <c r="FN1559" s="616"/>
      <c r="FO1559" s="616"/>
      <c r="FP1559" s="616"/>
      <c r="FQ1559" s="616"/>
      <c r="FR1559" s="616"/>
      <c r="FS1559" s="616"/>
      <c r="FT1559" s="616"/>
      <c r="FU1559" s="616"/>
      <c r="FV1559" s="616"/>
      <c r="FW1559" s="616"/>
      <c r="FX1559" s="616"/>
      <c r="FY1559" s="616"/>
      <c r="FZ1559" s="616"/>
      <c r="GA1559" s="616"/>
      <c r="GB1559" s="616"/>
      <c r="GC1559" s="616"/>
      <c r="GD1559" s="616"/>
      <c r="GE1559" s="616"/>
      <c r="GF1559" s="616"/>
      <c r="GG1559" s="616"/>
      <c r="GH1559" s="616"/>
      <c r="GI1559" s="616"/>
      <c r="GJ1559" s="616"/>
      <c r="GK1559" s="616"/>
      <c r="GL1559" s="616"/>
      <c r="GM1559" s="616"/>
      <c r="GN1559" s="616"/>
      <c r="GO1559" s="616"/>
      <c r="GP1559" s="616"/>
      <c r="GQ1559" s="616"/>
      <c r="GR1559" s="616"/>
      <c r="GS1559" s="616"/>
      <c r="GT1559" s="616"/>
      <c r="GU1559" s="616"/>
      <c r="GV1559" s="616"/>
      <c r="GW1559" s="616"/>
      <c r="GX1559" s="616"/>
      <c r="GY1559" s="616"/>
      <c r="GZ1559" s="616"/>
      <c r="HA1559" s="616"/>
      <c r="HB1559" s="616"/>
      <c r="HC1559" s="616"/>
      <c r="HD1559" s="616"/>
      <c r="HE1559" s="616"/>
      <c r="HF1559" s="616"/>
      <c r="HG1559" s="616"/>
      <c r="HH1559" s="616"/>
      <c r="HI1559" s="616"/>
      <c r="HJ1559" s="616"/>
      <c r="HK1559" s="616"/>
      <c r="HL1559" s="616"/>
      <c r="HM1559" s="616"/>
      <c r="HN1559" s="616"/>
      <c r="HO1559" s="616"/>
      <c r="HP1559" s="616"/>
      <c r="HQ1559" s="616"/>
      <c r="HR1559" s="616"/>
      <c r="HS1559" s="616"/>
      <c r="HT1559" s="616"/>
      <c r="HU1559" s="616"/>
      <c r="HV1559" s="616"/>
      <c r="HW1559" s="616"/>
      <c r="HX1559" s="616"/>
      <c r="HY1559" s="616"/>
      <c r="HZ1559" s="616"/>
      <c r="IA1559" s="616"/>
      <c r="IB1559" s="616"/>
      <c r="IC1559" s="616"/>
      <c r="ID1559" s="616"/>
      <c r="IE1559" s="616"/>
      <c r="IF1559" s="616"/>
      <c r="IG1559" s="616"/>
      <c r="IH1559" s="616"/>
      <c r="II1559" s="616"/>
      <c r="IJ1559" s="616"/>
      <c r="IK1559" s="616"/>
      <c r="IL1559" s="616"/>
      <c r="IM1559" s="616"/>
      <c r="IN1559" s="616"/>
      <c r="IO1559" s="616"/>
      <c r="IP1559" s="616"/>
      <c r="IQ1559" s="616"/>
      <c r="IR1559" s="616"/>
      <c r="IS1559" s="616"/>
      <c r="IT1559" s="616"/>
      <c r="IU1559" s="616"/>
      <c r="IV1559" s="616"/>
    </row>
    <row r="1560" spans="1:256" s="583" customFormat="1" ht="23.1" customHeight="1" thickBot="1">
      <c r="A1560" s="609"/>
      <c r="B1560" s="610"/>
      <c r="C1560" s="610"/>
      <c r="D1560" s="610"/>
      <c r="E1560" s="610"/>
      <c r="F1560" s="610"/>
      <c r="G1560" s="610"/>
      <c r="H1560" s="610"/>
      <c r="I1560" s="610"/>
      <c r="J1560" s="610"/>
      <c r="K1560" s="610"/>
      <c r="L1560" s="610"/>
      <c r="M1560" s="610"/>
      <c r="N1560" s="610"/>
      <c r="O1560" s="610"/>
      <c r="P1560" s="610"/>
      <c r="Q1560" s="610"/>
      <c r="R1560" s="610"/>
      <c r="S1560" s="610"/>
      <c r="T1560" s="610"/>
      <c r="U1560" s="610"/>
      <c r="V1560" s="610"/>
      <c r="W1560" s="610"/>
      <c r="X1560" s="610"/>
      <c r="Y1560" s="610"/>
      <c r="Z1560" s="610"/>
      <c r="AA1560" s="610"/>
      <c r="AB1560" s="610"/>
      <c r="AC1560" s="610"/>
      <c r="AD1560" s="610"/>
      <c r="AE1560" s="610"/>
      <c r="AF1560" s="610"/>
      <c r="AG1560" s="610"/>
      <c r="AH1560" s="610"/>
      <c r="AI1560" s="610"/>
      <c r="AJ1560" s="610"/>
      <c r="AK1560" s="610"/>
      <c r="AL1560" s="610"/>
      <c r="AM1560" s="610"/>
      <c r="AN1560" s="610"/>
      <c r="AO1560" s="610"/>
      <c r="AP1560" s="610"/>
      <c r="AQ1560" s="610"/>
      <c r="AR1560" s="610"/>
      <c r="AS1560" s="610"/>
      <c r="AT1560" s="610"/>
      <c r="AU1560" s="610"/>
      <c r="AV1560" s="610"/>
      <c r="AW1560" s="610"/>
      <c r="AX1560" s="610"/>
      <c r="AY1560" s="610"/>
      <c r="AZ1560" s="610"/>
      <c r="BA1560" s="610"/>
      <c r="BB1560" s="610"/>
      <c r="BC1560" s="610"/>
      <c r="BD1560" s="610"/>
      <c r="BE1560" s="610"/>
      <c r="BF1560" s="610"/>
      <c r="BG1560" s="610"/>
      <c r="BH1560" s="610"/>
      <c r="BI1560" s="610"/>
      <c r="BJ1560" s="610"/>
      <c r="BK1560" s="610"/>
      <c r="BL1560" s="610"/>
      <c r="BM1560" s="610"/>
      <c r="BN1560" s="610"/>
      <c r="BO1560" s="610"/>
      <c r="BP1560" s="1443" t="s">
        <v>41</v>
      </c>
      <c r="BQ1560" s="1443"/>
      <c r="BR1560" s="610"/>
      <c r="BS1560" s="610"/>
      <c r="BT1560" s="1459" t="e">
        <f>BT1558+BT1559</f>
        <v>#REF!</v>
      </c>
      <c r="BU1560" s="1459"/>
      <c r="BV1560" s="1459"/>
      <c r="BW1560" s="1459"/>
      <c r="BX1560" s="1459"/>
      <c r="BY1560" s="1459"/>
      <c r="BZ1560" s="1459"/>
      <c r="CA1560" s="1459"/>
      <c r="CB1560" s="1459"/>
      <c r="CC1560" s="1459"/>
      <c r="CD1560" s="610"/>
      <c r="CE1560" s="610"/>
      <c r="CF1560" s="615"/>
      <c r="CG1560" s="616"/>
      <c r="CH1560" s="616"/>
      <c r="CI1560" s="616"/>
      <c r="CJ1560" s="616"/>
      <c r="CK1560" s="616"/>
      <c r="CL1560" s="616"/>
      <c r="CM1560" s="616"/>
      <c r="CN1560" s="616"/>
      <c r="CO1560" s="616"/>
      <c r="CP1560" s="616"/>
      <c r="CQ1560" s="616"/>
      <c r="CR1560" s="616"/>
      <c r="CS1560" s="616"/>
      <c r="CT1560" s="616"/>
      <c r="CU1560" s="616"/>
      <c r="CV1560" s="616"/>
      <c r="CW1560" s="616"/>
      <c r="CX1560" s="616"/>
      <c r="CY1560" s="616"/>
      <c r="CZ1560" s="616"/>
      <c r="DA1560" s="616"/>
      <c r="DB1560" s="616"/>
      <c r="DC1560" s="616"/>
      <c r="DD1560" s="616"/>
      <c r="DE1560" s="616"/>
      <c r="DF1560" s="616"/>
      <c r="DG1560" s="616"/>
      <c r="DH1560" s="616"/>
      <c r="DI1560" s="616"/>
      <c r="DJ1560" s="616"/>
      <c r="DK1560" s="616"/>
      <c r="DL1560" s="616"/>
      <c r="DM1560" s="616"/>
      <c r="DN1560" s="616"/>
      <c r="DO1560" s="616"/>
      <c r="DP1560" s="616"/>
      <c r="DQ1560" s="616"/>
      <c r="DR1560" s="616"/>
      <c r="DS1560" s="616"/>
      <c r="DT1560" s="616"/>
      <c r="DU1560" s="616"/>
      <c r="DV1560" s="616"/>
      <c r="DW1560" s="616"/>
      <c r="DX1560" s="616"/>
      <c r="DY1560" s="616"/>
      <c r="DZ1560" s="616"/>
      <c r="EA1560" s="616"/>
      <c r="EB1560" s="616"/>
      <c r="EC1560" s="616"/>
      <c r="ED1560" s="616"/>
      <c r="EE1560" s="616"/>
      <c r="EF1560" s="616"/>
      <c r="EG1560" s="616"/>
      <c r="EH1560" s="616"/>
      <c r="EI1560" s="616"/>
      <c r="EJ1560" s="616"/>
      <c r="EK1560" s="616"/>
      <c r="EL1560" s="616"/>
      <c r="EM1560" s="616"/>
      <c r="EN1560" s="616"/>
      <c r="EO1560" s="616"/>
      <c r="EP1560" s="616"/>
      <c r="EQ1560" s="616"/>
      <c r="ER1560" s="616"/>
      <c r="ES1560" s="616"/>
      <c r="ET1560" s="616"/>
      <c r="EU1560" s="616"/>
      <c r="EV1560" s="616"/>
      <c r="EW1560" s="616"/>
      <c r="EX1560" s="616"/>
      <c r="EY1560" s="616"/>
      <c r="EZ1560" s="616"/>
      <c r="FA1560" s="616"/>
      <c r="FB1560" s="616"/>
      <c r="FC1560" s="616"/>
      <c r="FD1560" s="616"/>
      <c r="FE1560" s="616"/>
      <c r="FF1560" s="616"/>
      <c r="FG1560" s="616"/>
      <c r="FH1560" s="616"/>
      <c r="FI1560" s="616"/>
      <c r="FJ1560" s="616"/>
      <c r="FK1560" s="616"/>
      <c r="FL1560" s="616"/>
      <c r="FM1560" s="616"/>
      <c r="FN1560" s="616"/>
      <c r="FO1560" s="616"/>
      <c r="FP1560" s="616"/>
      <c r="FQ1560" s="616"/>
      <c r="FR1560" s="616"/>
      <c r="FS1560" s="616"/>
      <c r="FT1560" s="616"/>
      <c r="FU1560" s="616"/>
      <c r="FV1560" s="616"/>
      <c r="FW1560" s="616"/>
      <c r="FX1560" s="616"/>
      <c r="FY1560" s="616"/>
      <c r="FZ1560" s="616"/>
      <c r="GA1560" s="616"/>
      <c r="GB1560" s="616"/>
      <c r="GC1560" s="616"/>
      <c r="GD1560" s="616"/>
      <c r="GE1560" s="616"/>
      <c r="GF1560" s="616"/>
      <c r="GG1560" s="616"/>
      <c r="GH1560" s="616"/>
      <c r="GI1560" s="616"/>
      <c r="GJ1560" s="616"/>
      <c r="GK1560" s="616"/>
      <c r="GL1560" s="616"/>
      <c r="GM1560" s="616"/>
      <c r="GN1560" s="616"/>
      <c r="GO1560" s="616"/>
      <c r="GP1560" s="616"/>
      <c r="GQ1560" s="616"/>
      <c r="GR1560" s="616"/>
      <c r="GS1560" s="616"/>
      <c r="GT1560" s="616"/>
      <c r="GU1560" s="616"/>
      <c r="GV1560" s="616"/>
      <c r="GW1560" s="616"/>
      <c r="GX1560" s="616"/>
      <c r="GY1560" s="616"/>
      <c r="GZ1560" s="616"/>
      <c r="HA1560" s="616"/>
      <c r="HB1560" s="616"/>
      <c r="HC1560" s="616"/>
      <c r="HD1560" s="616"/>
      <c r="HE1560" s="616"/>
      <c r="HF1560" s="616"/>
      <c r="HG1560" s="616"/>
      <c r="HH1560" s="616"/>
      <c r="HI1560" s="616"/>
      <c r="HJ1560" s="616"/>
      <c r="HK1560" s="616"/>
      <c r="HL1560" s="616"/>
      <c r="HM1560" s="616"/>
      <c r="HN1560" s="616"/>
      <c r="HO1560" s="616"/>
      <c r="HP1560" s="616"/>
      <c r="HQ1560" s="616"/>
      <c r="HR1560" s="616"/>
      <c r="HS1560" s="616"/>
      <c r="HT1560" s="616"/>
      <c r="HU1560" s="616"/>
      <c r="HV1560" s="616"/>
      <c r="HW1560" s="616"/>
      <c r="HX1560" s="616"/>
      <c r="HY1560" s="616"/>
      <c r="HZ1560" s="616"/>
      <c r="IA1560" s="616"/>
      <c r="IB1560" s="616"/>
      <c r="IC1560" s="616"/>
      <c r="ID1560" s="616"/>
      <c r="IE1560" s="616"/>
      <c r="IF1560" s="616"/>
      <c r="IG1560" s="616"/>
      <c r="IH1560" s="616"/>
      <c r="II1560" s="616"/>
      <c r="IJ1560" s="616"/>
      <c r="IK1560" s="616"/>
      <c r="IL1560" s="616"/>
      <c r="IM1560" s="616"/>
      <c r="IN1560" s="616"/>
      <c r="IO1560" s="616"/>
      <c r="IP1560" s="616"/>
      <c r="IQ1560" s="616"/>
      <c r="IR1560" s="616"/>
      <c r="IS1560" s="616"/>
      <c r="IT1560" s="616"/>
      <c r="IU1560" s="616"/>
      <c r="IV1560" s="616"/>
    </row>
    <row r="1561" spans="1:256" s="583" customFormat="1" ht="23.1" customHeight="1" thickBot="1">
      <c r="A1561" s="645"/>
      <c r="B1561" s="646" t="s">
        <v>1113</v>
      </c>
      <c r="C1561" s="646"/>
      <c r="D1561" s="646"/>
      <c r="E1561" s="646"/>
      <c r="F1561" s="646"/>
      <c r="G1561" s="646"/>
      <c r="H1561" s="646"/>
      <c r="I1561" s="646"/>
      <c r="J1561" s="646"/>
      <c r="K1561" s="646"/>
      <c r="L1561" s="646"/>
      <c r="M1561" s="646"/>
      <c r="N1561" s="646"/>
      <c r="O1561" s="646"/>
      <c r="P1561" s="646"/>
      <c r="Q1561" s="646"/>
      <c r="R1561" s="646"/>
      <c r="S1561" s="646"/>
      <c r="T1561" s="646"/>
      <c r="U1561" s="646"/>
      <c r="V1561" s="646"/>
      <c r="W1561" s="646"/>
      <c r="X1561" s="646"/>
      <c r="Y1561" s="646"/>
      <c r="Z1561" s="646"/>
      <c r="AA1561" s="646"/>
      <c r="AB1561" s="646"/>
      <c r="AC1561" s="646"/>
      <c r="AD1561" s="646"/>
      <c r="AE1561" s="646"/>
      <c r="AF1561" s="646"/>
      <c r="AG1561" s="646"/>
      <c r="AH1561" s="646"/>
      <c r="AI1561" s="646"/>
      <c r="AJ1561" s="646"/>
      <c r="AK1561" s="646"/>
      <c r="AL1561" s="646"/>
      <c r="AM1561" s="646"/>
      <c r="AN1561" s="646"/>
      <c r="AO1561" s="646"/>
      <c r="AP1561" s="646"/>
      <c r="AQ1561" s="646"/>
      <c r="AR1561" s="646"/>
      <c r="AS1561" s="646"/>
      <c r="AT1561" s="646"/>
      <c r="AU1561" s="646"/>
      <c r="AV1561" s="646"/>
      <c r="AW1561" s="646"/>
      <c r="AX1561" s="646"/>
      <c r="AY1561" s="646"/>
      <c r="AZ1561" s="646"/>
      <c r="BA1561" s="646"/>
      <c r="BB1561" s="646"/>
      <c r="BC1561" s="646"/>
      <c r="BD1561" s="646"/>
      <c r="BE1561" s="646"/>
      <c r="BF1561" s="646"/>
      <c r="BG1561" s="646"/>
      <c r="BH1561" s="646"/>
      <c r="BI1561" s="646"/>
      <c r="BJ1561" s="646"/>
      <c r="BK1561" s="646"/>
      <c r="BL1561" s="646"/>
      <c r="BM1561" s="646"/>
      <c r="BN1561" s="646"/>
      <c r="BO1561" s="646"/>
      <c r="BP1561" s="646"/>
      <c r="BQ1561" s="646"/>
      <c r="BR1561" s="646"/>
      <c r="BS1561" s="646"/>
      <c r="BT1561" s="1445" t="e">
        <f>BT1552+BT1556+BT1560</f>
        <v>#REF!</v>
      </c>
      <c r="BU1561" s="1445"/>
      <c r="BV1561" s="1445"/>
      <c r="BW1561" s="1445"/>
      <c r="BX1561" s="1445"/>
      <c r="BY1561" s="1445"/>
      <c r="BZ1561" s="1445"/>
      <c r="CA1561" s="1445"/>
      <c r="CB1561" s="1445"/>
      <c r="CC1561" s="1445"/>
      <c r="CD1561" s="646"/>
      <c r="CE1561" s="646"/>
      <c r="CF1561" s="647"/>
      <c r="CG1561" s="616"/>
      <c r="CH1561" s="616"/>
      <c r="CI1561" s="616"/>
      <c r="CJ1561" s="616"/>
      <c r="CK1561" s="616"/>
      <c r="CL1561" s="616"/>
      <c r="CM1561" s="616"/>
      <c r="CN1561" s="616"/>
      <c r="CO1561" s="616"/>
      <c r="CP1561" s="616"/>
      <c r="CQ1561" s="616"/>
      <c r="CR1561" s="616"/>
      <c r="CS1561" s="616"/>
      <c r="CT1561" s="616"/>
      <c r="CU1561" s="616"/>
      <c r="CV1561" s="616"/>
      <c r="CW1561" s="616"/>
      <c r="CX1561" s="616"/>
      <c r="CY1561" s="616"/>
      <c r="CZ1561" s="616"/>
      <c r="DA1561" s="616"/>
      <c r="DB1561" s="616"/>
      <c r="DC1561" s="616"/>
      <c r="DD1561" s="616"/>
      <c r="DE1561" s="616"/>
      <c r="DF1561" s="616"/>
      <c r="DG1561" s="616"/>
      <c r="DH1561" s="616"/>
      <c r="DI1561" s="616"/>
      <c r="DJ1561" s="616"/>
      <c r="DK1561" s="616"/>
      <c r="DL1561" s="616"/>
      <c r="DM1561" s="616"/>
      <c r="DN1561" s="616"/>
      <c r="DO1561" s="616"/>
      <c r="DP1561" s="616"/>
      <c r="DQ1561" s="616"/>
      <c r="DR1561" s="616"/>
      <c r="DS1561" s="616"/>
      <c r="DT1561" s="616"/>
      <c r="DU1561" s="616"/>
      <c r="DV1561" s="616"/>
      <c r="DW1561" s="616"/>
      <c r="DX1561" s="616"/>
      <c r="DY1561" s="616"/>
      <c r="DZ1561" s="616"/>
      <c r="EA1561" s="616"/>
      <c r="EB1561" s="616"/>
      <c r="EC1561" s="616"/>
      <c r="ED1561" s="616"/>
      <c r="EE1561" s="616"/>
      <c r="EF1561" s="616"/>
      <c r="EG1561" s="616"/>
      <c r="EH1561" s="616"/>
      <c r="EI1561" s="616"/>
      <c r="EJ1561" s="616"/>
      <c r="EK1561" s="616"/>
      <c r="EL1561" s="616"/>
      <c r="EM1561" s="616"/>
      <c r="EN1561" s="616"/>
      <c r="EO1561" s="616"/>
      <c r="EP1561" s="616"/>
      <c r="EQ1561" s="616"/>
      <c r="ER1561" s="616"/>
      <c r="ES1561" s="616"/>
      <c r="ET1561" s="616"/>
      <c r="EU1561" s="616"/>
      <c r="EV1561" s="616"/>
      <c r="EW1561" s="616"/>
      <c r="EX1561" s="616"/>
      <c r="EY1561" s="616"/>
      <c r="EZ1561" s="616"/>
      <c r="FA1561" s="616"/>
      <c r="FB1561" s="616"/>
      <c r="FC1561" s="616"/>
      <c r="FD1561" s="616"/>
      <c r="FE1561" s="616"/>
      <c r="FF1561" s="616"/>
      <c r="FG1561" s="616"/>
      <c r="FH1561" s="616"/>
      <c r="FI1561" s="616"/>
      <c r="FJ1561" s="616"/>
      <c r="FK1561" s="616"/>
      <c r="FL1561" s="616"/>
      <c r="FM1561" s="616"/>
      <c r="FN1561" s="616"/>
      <c r="FO1561" s="616"/>
      <c r="FP1561" s="616"/>
      <c r="FQ1561" s="616"/>
      <c r="FR1561" s="616"/>
      <c r="FS1561" s="616"/>
      <c r="FT1561" s="616"/>
      <c r="FU1561" s="616"/>
      <c r="FV1561" s="616"/>
      <c r="FW1561" s="616"/>
      <c r="FX1561" s="616"/>
      <c r="FY1561" s="616"/>
      <c r="FZ1561" s="616"/>
      <c r="GA1561" s="616"/>
      <c r="GB1561" s="616"/>
      <c r="GC1561" s="616"/>
      <c r="GD1561" s="616"/>
      <c r="GE1561" s="616"/>
      <c r="GF1561" s="616"/>
      <c r="GG1561" s="616"/>
      <c r="GH1561" s="616"/>
      <c r="GI1561" s="616"/>
      <c r="GJ1561" s="616"/>
      <c r="GK1561" s="616"/>
      <c r="GL1561" s="616"/>
      <c r="GM1561" s="616"/>
      <c r="GN1561" s="616"/>
      <c r="GO1561" s="616"/>
      <c r="GP1561" s="616"/>
      <c r="GQ1561" s="616"/>
      <c r="GR1561" s="616"/>
      <c r="GS1561" s="616"/>
      <c r="GT1561" s="616"/>
      <c r="GU1561" s="616"/>
      <c r="GV1561" s="616"/>
      <c r="GW1561" s="616"/>
      <c r="GX1561" s="616"/>
      <c r="GY1561" s="616"/>
      <c r="GZ1561" s="616"/>
      <c r="HA1561" s="616"/>
      <c r="HB1561" s="616"/>
      <c r="HC1561" s="616"/>
      <c r="HD1561" s="616"/>
      <c r="HE1561" s="616"/>
      <c r="HF1561" s="616"/>
      <c r="HG1561" s="616"/>
      <c r="HH1561" s="616"/>
      <c r="HI1561" s="616"/>
      <c r="HJ1561" s="616"/>
      <c r="HK1561" s="616"/>
      <c r="HL1561" s="616"/>
      <c r="HM1561" s="616"/>
      <c r="HN1561" s="616"/>
      <c r="HO1561" s="616"/>
      <c r="HP1561" s="616"/>
      <c r="HQ1561" s="616"/>
      <c r="HR1561" s="616"/>
      <c r="HS1561" s="616"/>
      <c r="HT1561" s="616"/>
      <c r="HU1561" s="616"/>
      <c r="HV1561" s="616"/>
      <c r="HW1561" s="616"/>
      <c r="HX1561" s="616"/>
      <c r="HY1561" s="616"/>
      <c r="HZ1561" s="616"/>
      <c r="IA1561" s="616"/>
      <c r="IB1561" s="616"/>
      <c r="IC1561" s="616"/>
      <c r="ID1561" s="616"/>
      <c r="IE1561" s="616"/>
      <c r="IF1561" s="616"/>
      <c r="IG1561" s="616"/>
      <c r="IH1561" s="616"/>
      <c r="II1561" s="616"/>
      <c r="IJ1561" s="616"/>
      <c r="IK1561" s="616"/>
      <c r="IL1561" s="616"/>
      <c r="IM1561" s="616"/>
      <c r="IN1561" s="616"/>
      <c r="IO1561" s="616"/>
      <c r="IP1561" s="616"/>
      <c r="IQ1561" s="616"/>
      <c r="IR1561" s="616"/>
      <c r="IS1561" s="616"/>
      <c r="IT1561" s="616"/>
      <c r="IU1561" s="616"/>
      <c r="IV1561" s="616"/>
    </row>
    <row r="1562" spans="1:256" s="583" customFormat="1" ht="9.9499999999999993" customHeight="1">
      <c r="A1562" s="574"/>
      <c r="B1562" s="574"/>
      <c r="C1562" s="574"/>
      <c r="D1562" s="574"/>
      <c r="E1562" s="574"/>
      <c r="F1562" s="574"/>
      <c r="G1562" s="574"/>
      <c r="H1562" s="574"/>
      <c r="I1562" s="574"/>
      <c r="J1562" s="574"/>
      <c r="K1562" s="574"/>
      <c r="L1562" s="574"/>
      <c r="M1562" s="574"/>
      <c r="N1562" s="574"/>
      <c r="O1562" s="574"/>
      <c r="P1562" s="574"/>
      <c r="Q1562" s="574"/>
      <c r="R1562" s="574"/>
      <c r="S1562" s="574"/>
      <c r="T1562" s="574"/>
      <c r="U1562" s="574"/>
      <c r="V1562" s="574"/>
      <c r="W1562" s="574"/>
      <c r="X1562" s="574"/>
      <c r="Y1562" s="574"/>
      <c r="Z1562" s="574"/>
      <c r="AA1562" s="574"/>
      <c r="AB1562" s="574"/>
      <c r="AC1562" s="574"/>
      <c r="AD1562" s="574"/>
      <c r="AE1562" s="574"/>
      <c r="AF1562" s="574"/>
      <c r="AG1562" s="574"/>
      <c r="AH1562" s="574"/>
      <c r="AI1562" s="574"/>
      <c r="AJ1562" s="574"/>
      <c r="AK1562" s="574"/>
      <c r="AL1562" s="574"/>
      <c r="AM1562" s="574"/>
      <c r="AN1562" s="574"/>
      <c r="AO1562" s="574"/>
      <c r="AP1562" s="574"/>
      <c r="AQ1562" s="574"/>
      <c r="AR1562" s="574"/>
      <c r="AS1562" s="574"/>
      <c r="AT1562" s="574"/>
      <c r="AU1562" s="574"/>
      <c r="AV1562" s="574"/>
      <c r="AW1562" s="574"/>
      <c r="AX1562" s="574"/>
      <c r="AY1562" s="574"/>
      <c r="AZ1562" s="574"/>
      <c r="BA1562" s="574"/>
      <c r="BB1562" s="574"/>
      <c r="BC1562" s="574"/>
      <c r="BD1562" s="574"/>
      <c r="BE1562" s="574"/>
      <c r="BF1562" s="574"/>
      <c r="BG1562" s="574"/>
      <c r="BH1562" s="574"/>
      <c r="BI1562" s="574"/>
      <c r="BJ1562" s="574"/>
      <c r="BK1562" s="574"/>
      <c r="BL1562" s="574"/>
      <c r="BM1562" s="574"/>
      <c r="BN1562" s="574"/>
      <c r="BO1562" s="574"/>
      <c r="BP1562" s="574"/>
      <c r="BQ1562" s="574"/>
      <c r="BR1562" s="574"/>
      <c r="BS1562" s="574"/>
      <c r="BT1562" s="574"/>
      <c r="BU1562" s="574"/>
      <c r="BV1562" s="574"/>
      <c r="BW1562" s="574"/>
      <c r="BX1562" s="574"/>
      <c r="BY1562" s="574"/>
      <c r="BZ1562" s="574"/>
      <c r="CA1562" s="574"/>
      <c r="CB1562" s="574"/>
      <c r="CC1562" s="574"/>
      <c r="CD1562" s="574"/>
      <c r="CE1562" s="574"/>
      <c r="CF1562" s="574"/>
    </row>
    <row r="1563" spans="1:256" s="583" customFormat="1" ht="23.1" customHeight="1" thickBot="1">
      <c r="A1563" s="1446" t="s">
        <v>1095</v>
      </c>
      <c r="B1563" s="1446"/>
      <c r="C1563" s="1446"/>
      <c r="D1563" s="1446"/>
      <c r="E1563" s="1446"/>
      <c r="F1563" s="1446"/>
      <c r="G1563" s="1447">
        <f>G1548+1</f>
        <v>105</v>
      </c>
      <c r="H1563" s="1447"/>
      <c r="I1563" s="1447"/>
      <c r="J1563" s="1447"/>
      <c r="K1563" s="1448" t="s">
        <v>1096</v>
      </c>
      <c r="L1563" s="1448"/>
      <c r="O1563" s="574"/>
      <c r="P1563" s="574"/>
      <c r="Q1563" s="574"/>
      <c r="R1563" s="574"/>
      <c r="S1563" s="574"/>
      <c r="T1563" s="574"/>
      <c r="U1563" s="574"/>
      <c r="V1563" s="574"/>
      <c r="W1563" s="574"/>
      <c r="X1563" s="574"/>
      <c r="Y1563" s="574"/>
      <c r="Z1563" s="574"/>
      <c r="AA1563" s="574"/>
      <c r="AB1563" s="574"/>
      <c r="AC1563" s="574"/>
      <c r="AD1563" s="574"/>
      <c r="AE1563" s="574"/>
      <c r="AF1563" s="574"/>
      <c r="AG1563" s="574"/>
      <c r="AH1563" s="574"/>
      <c r="AI1563" s="574"/>
      <c r="AJ1563" s="574"/>
      <c r="AK1563" s="574"/>
      <c r="AL1563" s="574"/>
      <c r="AM1563" s="574"/>
      <c r="AN1563" s="574"/>
      <c r="AO1563" s="574"/>
      <c r="AP1563" s="574"/>
      <c r="AQ1563" s="574"/>
      <c r="AR1563" s="574"/>
      <c r="AS1563" s="574"/>
      <c r="AT1563" s="574"/>
      <c r="AU1563" s="574"/>
      <c r="AV1563" s="574"/>
      <c r="AW1563" s="574"/>
      <c r="AX1563" s="574"/>
      <c r="AY1563" s="574"/>
      <c r="AZ1563" s="574"/>
      <c r="BA1563" s="574"/>
      <c r="BB1563" s="574"/>
      <c r="BC1563" s="574"/>
      <c r="BD1563" s="574"/>
      <c r="BE1563" s="574"/>
      <c r="BF1563" s="574"/>
      <c r="BG1563" s="574"/>
      <c r="BH1563" s="574"/>
      <c r="BI1563" s="574"/>
      <c r="BJ1563" s="574"/>
      <c r="BK1563" s="574"/>
      <c r="BL1563" s="574"/>
      <c r="BM1563" s="574"/>
      <c r="BN1563" s="574"/>
      <c r="BO1563" s="574"/>
      <c r="BP1563" s="574"/>
      <c r="BQ1563" s="574"/>
      <c r="BR1563" s="574"/>
      <c r="BS1563" s="574"/>
      <c r="BT1563" s="574"/>
      <c r="BU1563" s="574"/>
      <c r="BV1563" s="574"/>
      <c r="BW1563" s="574"/>
      <c r="BX1563" s="574"/>
      <c r="BY1563" s="574"/>
      <c r="BZ1563" s="574"/>
      <c r="CA1563" s="574"/>
      <c r="CB1563" s="574"/>
      <c r="CC1563" s="574"/>
      <c r="CD1563" s="574"/>
      <c r="CE1563" s="574"/>
      <c r="CF1563" s="574"/>
    </row>
    <row r="1564" spans="1:256" s="603" customFormat="1" ht="23.1" customHeight="1" thickBot="1">
      <c r="A1564" s="1457" t="s">
        <v>1097</v>
      </c>
      <c r="B1564" s="1458"/>
      <c r="C1564" s="1458"/>
      <c r="D1564" s="1458"/>
      <c r="E1564" s="1458"/>
      <c r="F1564" s="1458"/>
      <c r="G1564" s="1458"/>
      <c r="H1564" s="1458"/>
      <c r="I1564" s="630" t="s">
        <v>1297</v>
      </c>
      <c r="J1564" s="630"/>
      <c r="K1564" s="630"/>
      <c r="L1564" s="630"/>
      <c r="M1564" s="630"/>
      <c r="N1564" s="630"/>
      <c r="O1564" s="630"/>
      <c r="P1564" s="630"/>
      <c r="Q1564" s="630"/>
      <c r="R1564" s="630"/>
      <c r="S1564" s="630"/>
      <c r="T1564" s="630"/>
      <c r="U1564" s="630"/>
      <c r="V1564" s="630"/>
      <c r="W1564" s="630"/>
      <c r="X1564" s="630"/>
      <c r="Y1564" s="630"/>
      <c r="Z1564" s="630"/>
      <c r="AA1564" s="630"/>
      <c r="AB1564" s="630"/>
      <c r="AC1564" s="630"/>
      <c r="AD1564" s="630"/>
      <c r="AE1564" s="630"/>
      <c r="AF1564" s="630"/>
      <c r="AG1564" s="630"/>
      <c r="AH1564" s="630"/>
      <c r="AI1564" s="630"/>
      <c r="AJ1564" s="1458" t="s">
        <v>1099</v>
      </c>
      <c r="AK1564" s="1458"/>
      <c r="AL1564" s="1458"/>
      <c r="AM1564" s="1458"/>
      <c r="AN1564" s="1458"/>
      <c r="AO1564" s="1458"/>
      <c r="AP1564" s="1458"/>
      <c r="AQ1564" s="630"/>
      <c r="AR1564" s="630"/>
      <c r="AS1564" s="630"/>
      <c r="AT1564" s="630"/>
      <c r="AU1564" s="630"/>
      <c r="AV1564" s="630"/>
      <c r="AW1564" s="630"/>
      <c r="AX1564" s="630"/>
      <c r="AY1564" s="630"/>
      <c r="AZ1564" s="630"/>
      <c r="BA1564" s="630"/>
      <c r="BB1564" s="630"/>
      <c r="BC1564" s="630"/>
      <c r="BD1564" s="630"/>
      <c r="BE1564" s="630"/>
      <c r="BF1564" s="630"/>
      <c r="BG1564" s="630"/>
      <c r="BH1564" s="630"/>
      <c r="BI1564" s="630"/>
      <c r="BJ1564" s="630"/>
      <c r="BK1564" s="630"/>
      <c r="BL1564" s="630"/>
      <c r="BM1564" s="630"/>
      <c r="BN1564" s="630"/>
      <c r="BO1564" s="630"/>
      <c r="BP1564" s="630"/>
      <c r="BQ1564" s="630"/>
      <c r="BR1564" s="630"/>
      <c r="BS1564" s="630"/>
      <c r="BT1564" s="630" t="s">
        <v>1296</v>
      </c>
      <c r="BU1564" s="630"/>
      <c r="BV1564" s="630"/>
      <c r="BW1564" s="630"/>
      <c r="BX1564" s="630"/>
      <c r="BY1564" s="630"/>
      <c r="BZ1564" s="630"/>
      <c r="CA1564" s="630"/>
      <c r="CB1564" s="630"/>
      <c r="CC1564" s="630"/>
      <c r="CD1564" s="630"/>
      <c r="CE1564" s="630"/>
      <c r="CF1564" s="631"/>
      <c r="CG1564" s="632"/>
      <c r="CH1564" s="632"/>
      <c r="CI1564" s="632"/>
      <c r="CJ1564" s="632"/>
      <c r="CK1564" s="632"/>
      <c r="CL1564" s="632"/>
      <c r="CM1564" s="632"/>
      <c r="CN1564" s="632"/>
      <c r="CO1564" s="632"/>
      <c r="CP1564" s="632"/>
      <c r="CQ1564" s="632"/>
      <c r="CR1564" s="632"/>
      <c r="CS1564" s="632"/>
      <c r="CT1564" s="632"/>
      <c r="CU1564" s="632"/>
      <c r="CV1564" s="632"/>
      <c r="CW1564" s="632"/>
      <c r="CX1564" s="632"/>
      <c r="CY1564" s="632"/>
      <c r="CZ1564" s="632"/>
      <c r="DA1564" s="632"/>
      <c r="DB1564" s="632"/>
      <c r="DC1564" s="632"/>
      <c r="DD1564" s="632"/>
      <c r="DE1564" s="632"/>
      <c r="DF1564" s="632"/>
      <c r="DG1564" s="632"/>
      <c r="DH1564" s="632"/>
      <c r="DI1564" s="632"/>
      <c r="DJ1564" s="632"/>
      <c r="DK1564" s="632"/>
      <c r="DL1564" s="632"/>
      <c r="DM1564" s="632"/>
      <c r="DN1564" s="632"/>
      <c r="DO1564" s="632"/>
      <c r="DP1564" s="632"/>
      <c r="DQ1564" s="632"/>
      <c r="DR1564" s="632"/>
      <c r="DS1564" s="632"/>
      <c r="DT1564" s="632"/>
      <c r="DU1564" s="632"/>
      <c r="DV1564" s="632"/>
      <c r="DW1564" s="632"/>
      <c r="DX1564" s="632"/>
      <c r="DY1564" s="632"/>
      <c r="DZ1564" s="632"/>
      <c r="EA1564" s="632"/>
      <c r="EB1564" s="632"/>
      <c r="EC1564" s="632"/>
      <c r="ED1564" s="632"/>
      <c r="EE1564" s="632"/>
      <c r="EF1564" s="632"/>
      <c r="EG1564" s="632"/>
      <c r="EH1564" s="632"/>
      <c r="EI1564" s="632"/>
      <c r="EJ1564" s="632"/>
      <c r="EK1564" s="632"/>
      <c r="EL1564" s="632"/>
      <c r="EM1564" s="632"/>
      <c r="EN1564" s="632"/>
      <c r="EO1564" s="632"/>
      <c r="EP1564" s="632"/>
      <c r="EQ1564" s="632"/>
      <c r="ER1564" s="632"/>
      <c r="ES1564" s="632"/>
      <c r="ET1564" s="632"/>
      <c r="EU1564" s="632"/>
      <c r="EV1564" s="632"/>
      <c r="EW1564" s="632"/>
      <c r="EX1564" s="632"/>
      <c r="EY1564" s="632"/>
      <c r="EZ1564" s="632"/>
      <c r="FA1564" s="632"/>
      <c r="FB1564" s="632"/>
      <c r="FC1564" s="632"/>
      <c r="FD1564" s="632"/>
      <c r="FE1564" s="632"/>
      <c r="FF1564" s="632"/>
      <c r="FG1564" s="632"/>
      <c r="FH1564" s="632"/>
      <c r="FI1564" s="632"/>
      <c r="FJ1564" s="632"/>
      <c r="FK1564" s="632"/>
      <c r="FL1564" s="632"/>
      <c r="FM1564" s="632"/>
      <c r="FN1564" s="632"/>
      <c r="FO1564" s="632"/>
      <c r="FP1564" s="632"/>
      <c r="FQ1564" s="632"/>
      <c r="FR1564" s="632"/>
      <c r="FS1564" s="632"/>
      <c r="FT1564" s="632"/>
      <c r="FU1564" s="632"/>
      <c r="FV1564" s="632"/>
      <c r="FW1564" s="632"/>
      <c r="FX1564" s="632"/>
      <c r="FY1564" s="632"/>
      <c r="FZ1564" s="632"/>
      <c r="GA1564" s="632"/>
      <c r="GB1564" s="632"/>
      <c r="GC1564" s="632"/>
      <c r="GD1564" s="632"/>
      <c r="GE1564" s="632"/>
      <c r="GF1564" s="632"/>
      <c r="GG1564" s="632"/>
      <c r="GH1564" s="632"/>
      <c r="GI1564" s="632"/>
      <c r="GJ1564" s="632"/>
      <c r="GK1564" s="632"/>
      <c r="GL1564" s="632"/>
      <c r="GM1564" s="632"/>
      <c r="GN1564" s="632"/>
      <c r="GO1564" s="632"/>
      <c r="GP1564" s="632"/>
      <c r="GQ1564" s="632"/>
      <c r="GR1564" s="632"/>
      <c r="GS1564" s="632"/>
      <c r="GT1564" s="632"/>
      <c r="GU1564" s="632"/>
      <c r="GV1564" s="632"/>
      <c r="GW1564" s="632"/>
      <c r="GX1564" s="632"/>
      <c r="GY1564" s="632"/>
      <c r="GZ1564" s="632"/>
      <c r="HA1564" s="632"/>
      <c r="HB1564" s="632"/>
      <c r="HC1564" s="632"/>
      <c r="HD1564" s="632"/>
      <c r="HE1564" s="632"/>
      <c r="HF1564" s="632"/>
      <c r="HG1564" s="632"/>
      <c r="HH1564" s="632"/>
      <c r="HI1564" s="632"/>
      <c r="HJ1564" s="632"/>
      <c r="HK1564" s="632"/>
      <c r="HL1564" s="632"/>
      <c r="HM1564" s="632"/>
      <c r="HN1564" s="632"/>
      <c r="HO1564" s="632"/>
      <c r="HP1564" s="632"/>
      <c r="HQ1564" s="632"/>
      <c r="HR1564" s="632"/>
      <c r="HS1564" s="632"/>
      <c r="HT1564" s="632"/>
      <c r="HU1564" s="632"/>
      <c r="HV1564" s="632"/>
      <c r="HW1564" s="632"/>
      <c r="HX1564" s="632"/>
      <c r="HY1564" s="632"/>
      <c r="HZ1564" s="632"/>
      <c r="IA1564" s="632"/>
      <c r="IB1564" s="632"/>
      <c r="IC1564" s="632"/>
      <c r="ID1564" s="632"/>
      <c r="IE1564" s="632"/>
      <c r="IF1564" s="632"/>
      <c r="IG1564" s="632"/>
      <c r="IH1564" s="632"/>
      <c r="II1564" s="632"/>
      <c r="IJ1564" s="632"/>
      <c r="IK1564" s="632"/>
      <c r="IL1564" s="632"/>
      <c r="IM1564" s="632"/>
      <c r="IN1564" s="632"/>
      <c r="IO1564" s="632"/>
      <c r="IP1564" s="632"/>
      <c r="IQ1564" s="632"/>
      <c r="IR1564" s="632"/>
      <c r="IS1564" s="632"/>
      <c r="IT1564" s="632"/>
      <c r="IU1564" s="632"/>
      <c r="IV1564" s="632"/>
    </row>
    <row r="1565" spans="1:256" s="583" customFormat="1" ht="23.1" customHeight="1">
      <c r="A1565" s="609"/>
      <c r="B1565" s="610" t="s">
        <v>1298</v>
      </c>
      <c r="C1565" s="610"/>
      <c r="D1565" s="610"/>
      <c r="E1565" s="610"/>
      <c r="F1565" s="610"/>
      <c r="G1565" s="610"/>
      <c r="H1565" s="610"/>
      <c r="I1565" s="610"/>
      <c r="J1565" s="610"/>
      <c r="K1565" s="610"/>
      <c r="L1565" s="610"/>
      <c r="M1565" s="610"/>
      <c r="N1565" s="610"/>
      <c r="O1565" s="610"/>
      <c r="P1565" s="610"/>
      <c r="Q1565" s="610"/>
      <c r="R1565" s="610"/>
      <c r="S1565" s="610"/>
      <c r="T1565" s="610"/>
      <c r="U1565" s="610"/>
      <c r="V1565" s="610"/>
      <c r="W1565" s="610"/>
      <c r="X1565" s="610"/>
      <c r="Y1565" s="610"/>
      <c r="Z1565" s="610"/>
      <c r="AA1565" s="610"/>
      <c r="AB1565" s="610"/>
      <c r="AC1565" s="610"/>
      <c r="AD1565" s="610"/>
      <c r="AE1565" s="610"/>
      <c r="AF1565" s="610"/>
      <c r="AG1565" s="610"/>
      <c r="AH1565" s="610"/>
      <c r="AI1565" s="610"/>
      <c r="AJ1565" s="610"/>
      <c r="AK1565" s="610"/>
      <c r="AL1565" s="610"/>
      <c r="AM1565" s="610"/>
      <c r="AN1565" s="610"/>
      <c r="AO1565" s="610"/>
      <c r="AP1565" s="610"/>
      <c r="AQ1565" s="610"/>
      <c r="AR1565" s="610"/>
      <c r="AS1565" s="610"/>
      <c r="AT1565" s="610"/>
      <c r="AU1565" s="610"/>
      <c r="AV1565" s="610"/>
      <c r="AW1565" s="610"/>
      <c r="AX1565" s="610"/>
      <c r="AY1565" s="610"/>
      <c r="AZ1565" s="610"/>
      <c r="BA1565" s="610"/>
      <c r="BB1565" s="610"/>
      <c r="BC1565" s="610"/>
      <c r="BD1565" s="610"/>
      <c r="BE1565" s="610"/>
      <c r="BF1565" s="610"/>
      <c r="BG1565" s="610"/>
      <c r="BH1565" s="610"/>
      <c r="BI1565" s="610"/>
      <c r="BJ1565" s="610"/>
      <c r="BK1565" s="610"/>
      <c r="BL1565" s="610"/>
      <c r="BM1565" s="610"/>
      <c r="BN1565" s="610"/>
      <c r="BO1565" s="610"/>
      <c r="BP1565" s="610"/>
      <c r="BQ1565" s="610"/>
      <c r="BR1565" s="610"/>
      <c r="BS1565" s="610"/>
      <c r="BT1565" s="610"/>
      <c r="BU1565" s="610"/>
      <c r="BV1565" s="610"/>
      <c r="BW1565" s="610"/>
      <c r="BX1565" s="610"/>
      <c r="BY1565" s="610"/>
      <c r="BZ1565" s="610"/>
      <c r="CA1565" s="610"/>
      <c r="CB1565" s="610"/>
      <c r="CC1565" s="610"/>
      <c r="CD1565" s="610"/>
      <c r="CE1565" s="610"/>
      <c r="CF1565" s="615"/>
      <c r="CG1565" s="616"/>
      <c r="CH1565" s="616"/>
      <c r="CI1565" s="616"/>
      <c r="CJ1565" s="616"/>
      <c r="CK1565" s="616"/>
      <c r="CL1565" s="616"/>
      <c r="CM1565" s="616"/>
      <c r="CN1565" s="616"/>
      <c r="CO1565" s="616"/>
      <c r="CP1565" s="616"/>
      <c r="CQ1565" s="616"/>
      <c r="CR1565" s="616"/>
      <c r="CS1565" s="616"/>
      <c r="CT1565" s="616"/>
      <c r="CU1565" s="616"/>
      <c r="CV1565" s="616"/>
      <c r="CW1565" s="616"/>
      <c r="CX1565" s="616"/>
      <c r="CY1565" s="616"/>
      <c r="CZ1565" s="616"/>
      <c r="DA1565" s="616"/>
      <c r="DB1565" s="616"/>
      <c r="DC1565" s="616"/>
      <c r="DD1565" s="616"/>
      <c r="DE1565" s="616"/>
      <c r="DF1565" s="616"/>
      <c r="DG1565" s="616"/>
      <c r="DH1565" s="616"/>
      <c r="DI1565" s="616"/>
      <c r="DJ1565" s="616"/>
      <c r="DK1565" s="616"/>
      <c r="DL1565" s="616"/>
      <c r="DM1565" s="616"/>
      <c r="DN1565" s="616"/>
      <c r="DO1565" s="616"/>
      <c r="DP1565" s="616"/>
      <c r="DQ1565" s="616"/>
      <c r="DR1565" s="616"/>
      <c r="DS1565" s="616"/>
      <c r="DT1565" s="616"/>
      <c r="DU1565" s="616"/>
      <c r="DV1565" s="616"/>
      <c r="DW1565" s="616"/>
      <c r="DX1565" s="616"/>
      <c r="DY1565" s="616"/>
      <c r="DZ1565" s="616"/>
      <c r="EA1565" s="616"/>
      <c r="EB1565" s="616"/>
      <c r="EC1565" s="616"/>
      <c r="ED1565" s="616"/>
      <c r="EE1565" s="616"/>
      <c r="EF1565" s="616"/>
      <c r="EG1565" s="616"/>
      <c r="EH1565" s="616"/>
      <c r="EI1565" s="616"/>
      <c r="EJ1565" s="616"/>
      <c r="EK1565" s="616"/>
      <c r="EL1565" s="616"/>
      <c r="EM1565" s="616"/>
      <c r="EN1565" s="616"/>
      <c r="EO1565" s="616"/>
      <c r="EP1565" s="616"/>
      <c r="EQ1565" s="616"/>
      <c r="ER1565" s="616"/>
      <c r="ES1565" s="616"/>
      <c r="ET1565" s="616"/>
      <c r="EU1565" s="616"/>
      <c r="EV1565" s="616"/>
      <c r="EW1565" s="616"/>
      <c r="EX1565" s="616"/>
      <c r="EY1565" s="616"/>
      <c r="EZ1565" s="616"/>
      <c r="FA1565" s="616"/>
      <c r="FB1565" s="616"/>
      <c r="FC1565" s="616"/>
      <c r="FD1565" s="616"/>
      <c r="FE1565" s="616"/>
      <c r="FF1565" s="616"/>
      <c r="FG1565" s="616"/>
      <c r="FH1565" s="616"/>
      <c r="FI1565" s="616"/>
      <c r="FJ1565" s="616"/>
      <c r="FK1565" s="616"/>
      <c r="FL1565" s="616"/>
      <c r="FM1565" s="616"/>
      <c r="FN1565" s="616"/>
      <c r="FO1565" s="616"/>
      <c r="FP1565" s="616"/>
      <c r="FQ1565" s="616"/>
      <c r="FR1565" s="616"/>
      <c r="FS1565" s="616"/>
      <c r="FT1565" s="616"/>
      <c r="FU1565" s="616"/>
      <c r="FV1565" s="616"/>
      <c r="FW1565" s="616"/>
      <c r="FX1565" s="616"/>
      <c r="FY1565" s="616"/>
      <c r="FZ1565" s="616"/>
      <c r="GA1565" s="616"/>
      <c r="GB1565" s="616"/>
      <c r="GC1565" s="616"/>
      <c r="GD1565" s="616"/>
      <c r="GE1565" s="616"/>
      <c r="GF1565" s="616"/>
      <c r="GG1565" s="616"/>
      <c r="GH1565" s="616"/>
      <c r="GI1565" s="616"/>
      <c r="GJ1565" s="616"/>
      <c r="GK1565" s="616"/>
      <c r="GL1565" s="616"/>
      <c r="GM1565" s="616"/>
      <c r="GN1565" s="616"/>
      <c r="GO1565" s="616"/>
      <c r="GP1565" s="616"/>
      <c r="GQ1565" s="616"/>
      <c r="GR1565" s="616"/>
      <c r="GS1565" s="616"/>
      <c r="GT1565" s="616"/>
      <c r="GU1565" s="616"/>
      <c r="GV1565" s="616"/>
      <c r="GW1565" s="616"/>
      <c r="GX1565" s="616"/>
      <c r="GY1565" s="616"/>
      <c r="GZ1565" s="616"/>
      <c r="HA1565" s="616"/>
      <c r="HB1565" s="616"/>
      <c r="HC1565" s="616"/>
      <c r="HD1565" s="616"/>
      <c r="HE1565" s="616"/>
      <c r="HF1565" s="616"/>
      <c r="HG1565" s="616"/>
      <c r="HH1565" s="616"/>
      <c r="HI1565" s="616"/>
      <c r="HJ1565" s="616"/>
      <c r="HK1565" s="616"/>
      <c r="HL1565" s="616"/>
      <c r="HM1565" s="616"/>
      <c r="HN1565" s="616"/>
      <c r="HO1565" s="616"/>
      <c r="HP1565" s="616"/>
      <c r="HQ1565" s="616"/>
      <c r="HR1565" s="616"/>
      <c r="HS1565" s="616"/>
      <c r="HT1565" s="616"/>
      <c r="HU1565" s="616"/>
      <c r="HV1565" s="616"/>
      <c r="HW1565" s="616"/>
      <c r="HX1565" s="616"/>
      <c r="HY1565" s="616"/>
      <c r="HZ1565" s="616"/>
      <c r="IA1565" s="616"/>
      <c r="IB1565" s="616"/>
      <c r="IC1565" s="616"/>
      <c r="ID1565" s="616"/>
      <c r="IE1565" s="616"/>
      <c r="IF1565" s="616"/>
      <c r="IG1565" s="616"/>
      <c r="IH1565" s="616"/>
      <c r="II1565" s="616"/>
      <c r="IJ1565" s="616"/>
      <c r="IK1565" s="616"/>
      <c r="IL1565" s="616"/>
      <c r="IM1565" s="616"/>
      <c r="IN1565" s="616"/>
      <c r="IO1565" s="616"/>
      <c r="IP1565" s="616"/>
      <c r="IQ1565" s="616"/>
      <c r="IR1565" s="616"/>
      <c r="IS1565" s="616"/>
      <c r="IT1565" s="616"/>
      <c r="IU1565" s="616"/>
      <c r="IV1565" s="616"/>
    </row>
    <row r="1566" spans="1:256" s="583" customFormat="1" ht="23.1" customHeight="1">
      <c r="A1566" s="633"/>
      <c r="B1566" s="612"/>
      <c r="C1566" s="612"/>
      <c r="D1566" s="634"/>
      <c r="E1566" s="612"/>
      <c r="F1566" s="613"/>
      <c r="G1566" s="613"/>
      <c r="H1566" s="613"/>
      <c r="I1566" s="613"/>
      <c r="J1566" s="613"/>
      <c r="K1566" s="613"/>
      <c r="L1566" s="613"/>
      <c r="M1566" s="613"/>
      <c r="N1566" s="612"/>
      <c r="O1566" s="612"/>
      <c r="P1566" s="612"/>
      <c r="Q1566" s="612"/>
      <c r="R1566" s="612"/>
      <c r="S1566" s="635"/>
      <c r="T1566" s="635"/>
      <c r="U1566" s="635"/>
      <c r="V1566" s="635"/>
      <c r="W1566" s="635"/>
      <c r="X1566" s="635"/>
      <c r="Y1566" s="635"/>
      <c r="Z1566" s="635"/>
      <c r="AA1566" s="612"/>
      <c r="AB1566" s="635"/>
      <c r="AC1566" s="610"/>
      <c r="AD1566" s="610"/>
      <c r="AE1566" s="636"/>
      <c r="AF1566" s="636"/>
      <c r="AG1566" s="636"/>
      <c r="AH1566" s="636"/>
      <c r="AI1566" s="636"/>
      <c r="AJ1566" s="636"/>
      <c r="AK1566" s="636"/>
      <c r="AL1566" s="636"/>
      <c r="AM1566" s="610"/>
      <c r="AN1566" s="610"/>
      <c r="AO1566" s="612"/>
      <c r="AP1566" s="637"/>
      <c r="AQ1566" s="637"/>
      <c r="AR1566" s="637"/>
      <c r="AS1566" s="637"/>
      <c r="AT1566" s="637"/>
      <c r="AU1566" s="637"/>
      <c r="AV1566" s="637"/>
      <c r="AW1566" s="637"/>
      <c r="AX1566" s="637"/>
      <c r="AY1566" s="637"/>
      <c r="AZ1566" s="637"/>
      <c r="BA1566" s="637"/>
      <c r="BB1566" s="637"/>
      <c r="BC1566" s="637"/>
      <c r="BD1566" s="612"/>
      <c r="BE1566" s="612"/>
      <c r="BF1566" s="612"/>
      <c r="BG1566" s="612"/>
      <c r="BH1566" s="612"/>
      <c r="BI1566" s="612"/>
      <c r="BJ1566" s="612"/>
      <c r="BK1566" s="612"/>
      <c r="BL1566" s="612"/>
      <c r="BM1566" s="612"/>
      <c r="BN1566" s="612"/>
      <c r="BO1566" s="612"/>
      <c r="BP1566" s="612"/>
      <c r="BQ1566" s="612"/>
      <c r="BR1566" s="612"/>
      <c r="BS1566" s="612"/>
      <c r="BT1566" s="612"/>
      <c r="BU1566" s="612"/>
      <c r="BV1566" s="612"/>
      <c r="BW1566" s="612"/>
      <c r="BX1566" s="612"/>
      <c r="BY1566" s="612"/>
      <c r="BZ1566" s="612"/>
      <c r="CA1566" s="612"/>
      <c r="CB1566" s="612"/>
      <c r="CC1566" s="612"/>
      <c r="CD1566" s="612"/>
      <c r="CE1566" s="612"/>
      <c r="CF1566" s="638"/>
      <c r="CG1566" s="616"/>
      <c r="CH1566" s="616"/>
      <c r="CI1566" s="616"/>
      <c r="CJ1566" s="616"/>
      <c r="CK1566" s="616"/>
      <c r="CL1566" s="616"/>
      <c r="CM1566" s="616"/>
      <c r="CN1566" s="616"/>
      <c r="CO1566" s="616"/>
      <c r="CP1566" s="616"/>
      <c r="CQ1566" s="616"/>
      <c r="CR1566" s="616"/>
      <c r="CS1566" s="616"/>
      <c r="CT1566" s="616"/>
      <c r="CU1566" s="616"/>
      <c r="CV1566" s="616"/>
      <c r="CW1566" s="616"/>
      <c r="CX1566" s="616"/>
      <c r="CY1566" s="616"/>
      <c r="CZ1566" s="616"/>
      <c r="DA1566" s="616"/>
      <c r="DB1566" s="616"/>
      <c r="DC1566" s="616"/>
      <c r="DD1566" s="616"/>
      <c r="DE1566" s="616"/>
      <c r="DF1566" s="616"/>
      <c r="DG1566" s="616"/>
      <c r="DH1566" s="616"/>
      <c r="DI1566" s="616"/>
      <c r="DJ1566" s="616"/>
      <c r="DK1566" s="616"/>
      <c r="DL1566" s="616"/>
      <c r="DM1566" s="616"/>
      <c r="DN1566" s="616"/>
      <c r="DO1566" s="616"/>
      <c r="DP1566" s="616"/>
      <c r="DQ1566" s="616"/>
      <c r="DR1566" s="616"/>
      <c r="DS1566" s="616"/>
      <c r="DT1566" s="616"/>
      <c r="DU1566" s="616"/>
      <c r="DV1566" s="616"/>
      <c r="DW1566" s="616"/>
      <c r="DX1566" s="616"/>
      <c r="DY1566" s="616"/>
      <c r="DZ1566" s="616"/>
      <c r="EA1566" s="616"/>
      <c r="EB1566" s="616"/>
      <c r="EC1566" s="616"/>
      <c r="ED1566" s="616"/>
      <c r="EE1566" s="616"/>
      <c r="EF1566" s="616"/>
      <c r="EG1566" s="616"/>
      <c r="EH1566" s="616"/>
      <c r="EI1566" s="616"/>
      <c r="EJ1566" s="616"/>
      <c r="EK1566" s="616"/>
      <c r="EL1566" s="616"/>
      <c r="EM1566" s="616"/>
      <c r="EN1566" s="616"/>
      <c r="EO1566" s="616"/>
      <c r="EP1566" s="616"/>
      <c r="EQ1566" s="616"/>
      <c r="ER1566" s="616"/>
      <c r="ES1566" s="616"/>
      <c r="ET1566" s="616"/>
      <c r="EU1566" s="616"/>
      <c r="EV1566" s="616"/>
      <c r="EW1566" s="616"/>
      <c r="EX1566" s="616"/>
      <c r="EY1566" s="616"/>
      <c r="EZ1566" s="616"/>
      <c r="FA1566" s="616"/>
      <c r="FB1566" s="616"/>
      <c r="FC1566" s="616"/>
      <c r="FD1566" s="616"/>
      <c r="FE1566" s="616"/>
      <c r="FF1566" s="616"/>
      <c r="FG1566" s="616"/>
      <c r="FH1566" s="616"/>
      <c r="FI1566" s="616"/>
      <c r="FJ1566" s="616"/>
      <c r="FK1566" s="616"/>
      <c r="FL1566" s="616"/>
      <c r="FM1566" s="616"/>
      <c r="FN1566" s="616"/>
      <c r="FO1566" s="616"/>
      <c r="FP1566" s="616"/>
      <c r="FQ1566" s="616"/>
      <c r="FR1566" s="616"/>
      <c r="FS1566" s="616"/>
      <c r="FT1566" s="616"/>
      <c r="FU1566" s="616"/>
      <c r="FV1566" s="616"/>
      <c r="FW1566" s="616"/>
      <c r="FX1566" s="616"/>
      <c r="FY1566" s="616"/>
      <c r="FZ1566" s="616"/>
      <c r="GA1566" s="616"/>
      <c r="GB1566" s="616"/>
      <c r="GC1566" s="616"/>
      <c r="GD1566" s="616"/>
      <c r="GE1566" s="616"/>
      <c r="GF1566" s="616"/>
      <c r="GG1566" s="616"/>
      <c r="GH1566" s="616"/>
      <c r="GI1566" s="616"/>
      <c r="GJ1566" s="616"/>
      <c r="GK1566" s="616"/>
      <c r="GL1566" s="616"/>
      <c r="GM1566" s="616"/>
      <c r="GN1566" s="616"/>
      <c r="GO1566" s="616"/>
      <c r="GP1566" s="616"/>
      <c r="GQ1566" s="616"/>
      <c r="GR1566" s="616"/>
      <c r="GS1566" s="616"/>
      <c r="GT1566" s="616"/>
      <c r="GU1566" s="616"/>
      <c r="GV1566" s="616"/>
      <c r="GW1566" s="616"/>
      <c r="GX1566" s="616"/>
      <c r="GY1566" s="616"/>
      <c r="GZ1566" s="616"/>
      <c r="HA1566" s="616"/>
      <c r="HB1566" s="616"/>
      <c r="HC1566" s="616"/>
      <c r="HD1566" s="616"/>
      <c r="HE1566" s="616"/>
      <c r="HF1566" s="616"/>
      <c r="HG1566" s="616"/>
      <c r="HH1566" s="616"/>
      <c r="HI1566" s="616"/>
      <c r="HJ1566" s="616"/>
      <c r="HK1566" s="616"/>
      <c r="HL1566" s="616"/>
      <c r="HM1566" s="616"/>
      <c r="HN1566" s="616"/>
      <c r="HO1566" s="616"/>
      <c r="HP1566" s="616"/>
      <c r="HQ1566" s="616"/>
      <c r="HR1566" s="616"/>
      <c r="HS1566" s="616"/>
      <c r="HT1566" s="616"/>
      <c r="HU1566" s="616"/>
      <c r="HV1566" s="616"/>
      <c r="HW1566" s="616"/>
      <c r="HX1566" s="616"/>
      <c r="HY1566" s="616"/>
      <c r="HZ1566" s="616"/>
      <c r="IA1566" s="616"/>
      <c r="IB1566" s="616"/>
      <c r="IC1566" s="616"/>
      <c r="ID1566" s="616"/>
      <c r="IE1566" s="616"/>
      <c r="IF1566" s="616"/>
      <c r="IG1566" s="616"/>
      <c r="IH1566" s="616"/>
      <c r="II1566" s="616"/>
      <c r="IJ1566" s="616"/>
      <c r="IK1566" s="616"/>
      <c r="IL1566" s="616"/>
      <c r="IM1566" s="616"/>
      <c r="IN1566" s="616"/>
      <c r="IO1566" s="616"/>
      <c r="IP1566" s="616"/>
      <c r="IQ1566" s="616"/>
      <c r="IR1566" s="616"/>
      <c r="IS1566" s="616"/>
      <c r="IT1566" s="616"/>
      <c r="IU1566" s="616"/>
      <c r="IV1566" s="616"/>
    </row>
    <row r="1567" spans="1:256" s="583" customFormat="1" ht="23.1" customHeight="1">
      <c r="A1567" s="609"/>
      <c r="B1567" s="610"/>
      <c r="C1567" s="610"/>
      <c r="D1567" s="610"/>
      <c r="E1567" s="610"/>
      <c r="F1567" s="610"/>
      <c r="G1567" s="610"/>
      <c r="H1567" s="610"/>
      <c r="I1567" s="610"/>
      <c r="J1567" s="610"/>
      <c r="K1567" s="610"/>
      <c r="L1567" s="610"/>
      <c r="M1567" s="610"/>
      <c r="N1567" s="610"/>
      <c r="O1567" s="610"/>
      <c r="P1567" s="610"/>
      <c r="Q1567" s="610"/>
      <c r="R1567" s="610"/>
      <c r="S1567" s="610"/>
      <c r="T1567" s="610"/>
      <c r="U1567" s="610"/>
      <c r="V1567" s="639"/>
      <c r="W1567" s="639"/>
      <c r="X1567" s="639"/>
      <c r="Y1567" s="639"/>
      <c r="Z1567" s="639"/>
      <c r="AA1567" s="639"/>
      <c r="AB1567" s="639"/>
      <c r="AC1567" s="639"/>
      <c r="AD1567" s="612"/>
      <c r="AE1567" s="1470"/>
      <c r="AF1567" s="1470"/>
      <c r="AG1567" s="1470"/>
      <c r="AH1567" s="1470"/>
      <c r="AI1567" s="1470"/>
      <c r="AJ1567" s="1470"/>
      <c r="AK1567" s="1470"/>
      <c r="AL1567" s="1470"/>
      <c r="AM1567" s="1470"/>
      <c r="AN1567" s="1470"/>
      <c r="AO1567" s="1470"/>
      <c r="AP1567" s="1470"/>
      <c r="AQ1567" s="1470"/>
      <c r="AR1567" s="1470"/>
      <c r="AS1567" s="1470"/>
      <c r="AU1567" s="1471"/>
      <c r="AV1567" s="1468"/>
      <c r="AW1567" s="1468"/>
      <c r="AX1567" s="1468"/>
      <c r="AY1567" s="1468"/>
      <c r="AZ1567" s="1468"/>
      <c r="BA1567" s="1468"/>
      <c r="BB1567" s="1468"/>
      <c r="BC1567" s="648"/>
      <c r="BD1567" s="1443"/>
      <c r="BE1567" s="1443"/>
      <c r="BF1567" s="649"/>
      <c r="BG1567" s="1467"/>
      <c r="BH1567" s="1468"/>
      <c r="BI1567" s="1468"/>
      <c r="BJ1567" s="1468"/>
      <c r="BK1567" s="1468"/>
      <c r="BL1567" s="1443"/>
      <c r="BM1567" s="1443"/>
      <c r="BN1567" s="1443"/>
      <c r="BO1567" s="610"/>
      <c r="BP1567" s="1443" t="s">
        <v>41</v>
      </c>
      <c r="BQ1567" s="1443"/>
      <c r="BR1567" s="610"/>
      <c r="BS1567" s="610"/>
      <c r="BT1567" s="1469">
        <f>INT(AE1567*AU1567)</f>
        <v>0</v>
      </c>
      <c r="BU1567" s="1469"/>
      <c r="BV1567" s="1469"/>
      <c r="BW1567" s="1469"/>
      <c r="BX1567" s="1469"/>
      <c r="BY1567" s="1469"/>
      <c r="BZ1567" s="1469"/>
      <c r="CA1567" s="1469"/>
      <c r="CB1567" s="1469"/>
      <c r="CC1567" s="1469"/>
      <c r="CD1567" s="610"/>
      <c r="CE1567" s="610"/>
      <c r="CF1567" s="615"/>
      <c r="CG1567" s="616"/>
      <c r="CH1567" s="616"/>
      <c r="CI1567" s="616"/>
      <c r="CJ1567" s="616"/>
      <c r="CK1567" s="616"/>
      <c r="CL1567" s="616"/>
      <c r="CM1567" s="616"/>
      <c r="CN1567" s="616"/>
      <c r="CO1567" s="616"/>
      <c r="CP1567" s="616"/>
      <c r="CQ1567" s="616"/>
      <c r="CR1567" s="616"/>
      <c r="CS1567" s="616"/>
      <c r="CT1567" s="616"/>
      <c r="CU1567" s="616"/>
      <c r="CV1567" s="616"/>
      <c r="CW1567" s="616"/>
      <c r="CX1567" s="616"/>
      <c r="CY1567" s="616"/>
      <c r="CZ1567" s="616"/>
      <c r="DA1567" s="616"/>
      <c r="DB1567" s="616"/>
      <c r="DC1567" s="616"/>
      <c r="DD1567" s="616"/>
      <c r="DE1567" s="616"/>
      <c r="DF1567" s="616"/>
      <c r="DG1567" s="616"/>
      <c r="DH1567" s="616"/>
      <c r="DI1567" s="616"/>
      <c r="DJ1567" s="616"/>
      <c r="DK1567" s="616"/>
      <c r="DL1567" s="616"/>
      <c r="DM1567" s="616"/>
      <c r="DN1567" s="616"/>
      <c r="DO1567" s="616"/>
      <c r="DP1567" s="616"/>
      <c r="DQ1567" s="616"/>
      <c r="DR1567" s="616"/>
      <c r="DS1567" s="616"/>
      <c r="DT1567" s="616"/>
      <c r="DU1567" s="616"/>
      <c r="DV1567" s="616"/>
      <c r="DW1567" s="616"/>
      <c r="DX1567" s="616"/>
      <c r="DY1567" s="616"/>
      <c r="DZ1567" s="616"/>
      <c r="EA1567" s="616"/>
      <c r="EB1567" s="616"/>
      <c r="EC1567" s="616"/>
      <c r="ED1567" s="616"/>
      <c r="EE1567" s="616"/>
      <c r="EF1567" s="616"/>
      <c r="EG1567" s="616"/>
      <c r="EH1567" s="616"/>
      <c r="EI1567" s="616"/>
      <c r="EJ1567" s="616"/>
      <c r="EK1567" s="616"/>
      <c r="EL1567" s="616"/>
      <c r="EM1567" s="616"/>
      <c r="EN1567" s="616"/>
      <c r="EO1567" s="616"/>
      <c r="EP1567" s="616"/>
      <c r="EQ1567" s="616"/>
      <c r="ER1567" s="616"/>
      <c r="ES1567" s="616"/>
      <c r="ET1567" s="616"/>
      <c r="EU1567" s="616"/>
      <c r="EV1567" s="616"/>
      <c r="EW1567" s="616"/>
      <c r="EX1567" s="616"/>
      <c r="EY1567" s="616"/>
      <c r="EZ1567" s="616"/>
      <c r="FA1567" s="616"/>
      <c r="FB1567" s="616"/>
      <c r="FC1567" s="616"/>
      <c r="FD1567" s="616"/>
      <c r="FE1567" s="616"/>
      <c r="FF1567" s="616"/>
      <c r="FG1567" s="616"/>
      <c r="FH1567" s="616"/>
      <c r="FI1567" s="616"/>
      <c r="FJ1567" s="616"/>
      <c r="FK1567" s="616"/>
      <c r="FL1567" s="616"/>
      <c r="FM1567" s="616"/>
      <c r="FN1567" s="616"/>
      <c r="FO1567" s="616"/>
      <c r="FP1567" s="616"/>
      <c r="FQ1567" s="616"/>
      <c r="FR1567" s="616"/>
      <c r="FS1567" s="616"/>
      <c r="FT1567" s="616"/>
      <c r="FU1567" s="616"/>
      <c r="FV1567" s="616"/>
      <c r="FW1567" s="616"/>
      <c r="FX1567" s="616"/>
      <c r="FY1567" s="616"/>
      <c r="FZ1567" s="616"/>
      <c r="GA1567" s="616"/>
      <c r="GB1567" s="616"/>
      <c r="GC1567" s="616"/>
      <c r="GD1567" s="616"/>
      <c r="GE1567" s="616"/>
      <c r="GF1567" s="616"/>
      <c r="GG1567" s="616"/>
      <c r="GH1567" s="616"/>
      <c r="GI1567" s="616"/>
      <c r="GJ1567" s="616"/>
      <c r="GK1567" s="616"/>
      <c r="GL1567" s="616"/>
      <c r="GM1567" s="616"/>
      <c r="GN1567" s="616"/>
      <c r="GO1567" s="616"/>
      <c r="GP1567" s="616"/>
      <c r="GQ1567" s="616"/>
      <c r="GR1567" s="616"/>
      <c r="GS1567" s="616"/>
      <c r="GT1567" s="616"/>
      <c r="GU1567" s="616"/>
      <c r="GV1567" s="616"/>
      <c r="GW1567" s="616"/>
      <c r="GX1567" s="616"/>
      <c r="GY1567" s="616"/>
      <c r="GZ1567" s="616"/>
      <c r="HA1567" s="616"/>
      <c r="HB1567" s="616"/>
      <c r="HC1567" s="616"/>
      <c r="HD1567" s="616"/>
      <c r="HE1567" s="616"/>
      <c r="HF1567" s="616"/>
      <c r="HG1567" s="616"/>
      <c r="HH1567" s="616"/>
      <c r="HI1567" s="616"/>
      <c r="HJ1567" s="616"/>
      <c r="HK1567" s="616"/>
      <c r="HL1567" s="616"/>
      <c r="HM1567" s="616"/>
      <c r="HN1567" s="616"/>
      <c r="HO1567" s="616"/>
      <c r="HP1567" s="616"/>
      <c r="HQ1567" s="616"/>
      <c r="HR1567" s="616"/>
      <c r="HS1567" s="616"/>
      <c r="HT1567" s="616"/>
      <c r="HU1567" s="616"/>
      <c r="HV1567" s="616"/>
      <c r="HW1567" s="616"/>
      <c r="HX1567" s="616"/>
      <c r="HY1567" s="616"/>
      <c r="HZ1567" s="616"/>
      <c r="IA1567" s="616"/>
      <c r="IB1567" s="616"/>
      <c r="IC1567" s="616"/>
      <c r="ID1567" s="616"/>
      <c r="IE1567" s="616"/>
      <c r="IF1567" s="616"/>
      <c r="IG1567" s="616"/>
      <c r="IH1567" s="616"/>
      <c r="II1567" s="616"/>
      <c r="IJ1567" s="616"/>
      <c r="IK1567" s="616"/>
      <c r="IL1567" s="616"/>
      <c r="IM1567" s="616"/>
      <c r="IN1567" s="616"/>
      <c r="IO1567" s="616"/>
      <c r="IP1567" s="616"/>
      <c r="IQ1567" s="616"/>
      <c r="IR1567" s="616"/>
      <c r="IS1567" s="616"/>
      <c r="IT1567" s="616"/>
      <c r="IU1567" s="616"/>
      <c r="IV1567" s="616"/>
    </row>
    <row r="1568" spans="1:256" s="583" customFormat="1" ht="23.1" customHeight="1">
      <c r="A1568" s="641"/>
      <c r="B1568" s="642" t="s">
        <v>1299</v>
      </c>
      <c r="C1568" s="642"/>
      <c r="D1568" s="642"/>
      <c r="E1568" s="642"/>
      <c r="F1568" s="642"/>
      <c r="G1568" s="642"/>
      <c r="H1568" s="642"/>
      <c r="I1568" s="642"/>
      <c r="J1568" s="642"/>
      <c r="K1568" s="642"/>
      <c r="L1568" s="642"/>
      <c r="M1568" s="642"/>
      <c r="N1568" s="642"/>
      <c r="O1568" s="642"/>
      <c r="P1568" s="642"/>
      <c r="Q1568" s="642"/>
      <c r="R1568" s="642"/>
      <c r="S1568" s="642"/>
      <c r="T1568" s="642"/>
      <c r="U1568" s="642"/>
      <c r="V1568" s="642"/>
      <c r="W1568" s="642"/>
      <c r="X1568" s="642"/>
      <c r="Y1568" s="642"/>
      <c r="Z1568" s="642"/>
      <c r="AA1568" s="642"/>
      <c r="AB1568" s="642"/>
      <c r="AC1568" s="642"/>
      <c r="AD1568" s="642"/>
      <c r="AE1568" s="642"/>
      <c r="AF1568" s="642"/>
      <c r="AG1568" s="642"/>
      <c r="AH1568" s="642"/>
      <c r="AI1568" s="642"/>
      <c r="AJ1568" s="642"/>
      <c r="AK1568" s="642"/>
      <c r="AL1568" s="642"/>
      <c r="AM1568" s="642"/>
      <c r="AN1568" s="642"/>
      <c r="AO1568" s="642"/>
      <c r="AP1568" s="642"/>
      <c r="AQ1568" s="642"/>
      <c r="AR1568" s="642"/>
      <c r="AS1568" s="642"/>
      <c r="AT1568" s="642"/>
      <c r="AU1568" s="642"/>
      <c r="AV1568" s="642"/>
      <c r="AW1568" s="642"/>
      <c r="AX1568" s="642"/>
      <c r="AY1568" s="642"/>
      <c r="AZ1568" s="642"/>
      <c r="BA1568" s="642"/>
      <c r="BB1568" s="642"/>
      <c r="BC1568" s="642"/>
      <c r="BD1568" s="642"/>
      <c r="BE1568" s="642"/>
      <c r="BF1568" s="642"/>
      <c r="BG1568" s="642"/>
      <c r="BH1568" s="642"/>
      <c r="BI1568" s="642"/>
      <c r="BJ1568" s="642"/>
      <c r="BK1568" s="642"/>
      <c r="BL1568" s="642"/>
      <c r="BM1568" s="642"/>
      <c r="BN1568" s="642"/>
      <c r="BO1568" s="642"/>
      <c r="BP1568" s="642"/>
      <c r="BQ1568" s="642"/>
      <c r="BR1568" s="642"/>
      <c r="BS1568" s="642"/>
      <c r="BT1568" s="643"/>
      <c r="BU1568" s="643"/>
      <c r="BV1568" s="643"/>
      <c r="BW1568" s="643"/>
      <c r="BX1568" s="643"/>
      <c r="BY1568" s="643"/>
      <c r="BZ1568" s="643"/>
      <c r="CA1568" s="643"/>
      <c r="CB1568" s="643"/>
      <c r="CC1568" s="643"/>
      <c r="CD1568" s="642"/>
      <c r="CE1568" s="642"/>
      <c r="CF1568" s="644"/>
      <c r="CG1568" s="616"/>
      <c r="CH1568" s="616"/>
      <c r="CI1568" s="616"/>
      <c r="CJ1568" s="616"/>
      <c r="CK1568" s="616"/>
      <c r="CL1568" s="616"/>
      <c r="CM1568" s="616"/>
      <c r="CN1568" s="616"/>
      <c r="CO1568" s="616"/>
      <c r="CP1568" s="616"/>
      <c r="CQ1568" s="616"/>
      <c r="CR1568" s="616"/>
      <c r="CS1568" s="616"/>
      <c r="CT1568" s="616"/>
      <c r="CU1568" s="616"/>
      <c r="CV1568" s="616"/>
      <c r="CW1568" s="616"/>
      <c r="CX1568" s="616"/>
      <c r="CY1568" s="616"/>
      <c r="CZ1568" s="616"/>
      <c r="DA1568" s="616"/>
      <c r="DB1568" s="616"/>
      <c r="DC1568" s="616"/>
      <c r="DD1568" s="616"/>
      <c r="DE1568" s="616"/>
      <c r="DF1568" s="616"/>
      <c r="DG1568" s="616"/>
      <c r="DH1568" s="616"/>
      <c r="DI1568" s="616"/>
      <c r="DJ1568" s="616"/>
      <c r="DK1568" s="616"/>
      <c r="DL1568" s="616"/>
      <c r="DM1568" s="616"/>
      <c r="DN1568" s="616"/>
      <c r="DO1568" s="616"/>
      <c r="DP1568" s="616"/>
      <c r="DQ1568" s="616"/>
      <c r="DR1568" s="616"/>
      <c r="DS1568" s="616"/>
      <c r="DT1568" s="616"/>
      <c r="DU1568" s="616"/>
      <c r="DV1568" s="616"/>
      <c r="DW1568" s="616"/>
      <c r="DX1568" s="616"/>
      <c r="DY1568" s="616"/>
      <c r="DZ1568" s="616"/>
      <c r="EA1568" s="616"/>
      <c r="EB1568" s="616"/>
      <c r="EC1568" s="616"/>
      <c r="ED1568" s="616"/>
      <c r="EE1568" s="616"/>
      <c r="EF1568" s="616"/>
      <c r="EG1568" s="616"/>
      <c r="EH1568" s="616"/>
      <c r="EI1568" s="616"/>
      <c r="EJ1568" s="616"/>
      <c r="EK1568" s="616"/>
      <c r="EL1568" s="616"/>
      <c r="EM1568" s="616"/>
      <c r="EN1568" s="616"/>
      <c r="EO1568" s="616"/>
      <c r="EP1568" s="616"/>
      <c r="EQ1568" s="616"/>
      <c r="ER1568" s="616"/>
      <c r="ES1568" s="616"/>
      <c r="ET1568" s="616"/>
      <c r="EU1568" s="616"/>
      <c r="EV1568" s="616"/>
      <c r="EW1568" s="616"/>
      <c r="EX1568" s="616"/>
      <c r="EY1568" s="616"/>
      <c r="EZ1568" s="616"/>
      <c r="FA1568" s="616"/>
      <c r="FB1568" s="616"/>
      <c r="FC1568" s="616"/>
      <c r="FD1568" s="616"/>
      <c r="FE1568" s="616"/>
      <c r="FF1568" s="616"/>
      <c r="FG1568" s="616"/>
      <c r="FH1568" s="616"/>
      <c r="FI1568" s="616"/>
      <c r="FJ1568" s="616"/>
      <c r="FK1568" s="616"/>
      <c r="FL1568" s="616"/>
      <c r="FM1568" s="616"/>
      <c r="FN1568" s="616"/>
      <c r="FO1568" s="616"/>
      <c r="FP1568" s="616"/>
      <c r="FQ1568" s="616"/>
      <c r="FR1568" s="616"/>
      <c r="FS1568" s="616"/>
      <c r="FT1568" s="616"/>
      <c r="FU1568" s="616"/>
      <c r="FV1568" s="616"/>
      <c r="FW1568" s="616"/>
      <c r="FX1568" s="616"/>
      <c r="FY1568" s="616"/>
      <c r="FZ1568" s="616"/>
      <c r="GA1568" s="616"/>
      <c r="GB1568" s="616"/>
      <c r="GC1568" s="616"/>
      <c r="GD1568" s="616"/>
      <c r="GE1568" s="616"/>
      <c r="GF1568" s="616"/>
      <c r="GG1568" s="616"/>
      <c r="GH1568" s="616"/>
      <c r="GI1568" s="616"/>
      <c r="GJ1568" s="616"/>
      <c r="GK1568" s="616"/>
      <c r="GL1568" s="616"/>
      <c r="GM1568" s="616"/>
      <c r="GN1568" s="616"/>
      <c r="GO1568" s="616"/>
      <c r="GP1568" s="616"/>
      <c r="GQ1568" s="616"/>
      <c r="GR1568" s="616"/>
      <c r="GS1568" s="616"/>
      <c r="GT1568" s="616"/>
      <c r="GU1568" s="616"/>
      <c r="GV1568" s="616"/>
      <c r="GW1568" s="616"/>
      <c r="GX1568" s="616"/>
      <c r="GY1568" s="616"/>
      <c r="GZ1568" s="616"/>
      <c r="HA1568" s="616"/>
      <c r="HB1568" s="616"/>
      <c r="HC1568" s="616"/>
      <c r="HD1568" s="616"/>
      <c r="HE1568" s="616"/>
      <c r="HF1568" s="616"/>
      <c r="HG1568" s="616"/>
      <c r="HH1568" s="616"/>
      <c r="HI1568" s="616"/>
      <c r="HJ1568" s="616"/>
      <c r="HK1568" s="616"/>
      <c r="HL1568" s="616"/>
      <c r="HM1568" s="616"/>
      <c r="HN1568" s="616"/>
      <c r="HO1568" s="616"/>
      <c r="HP1568" s="616"/>
      <c r="HQ1568" s="616"/>
      <c r="HR1568" s="616"/>
      <c r="HS1568" s="616"/>
      <c r="HT1568" s="616"/>
      <c r="HU1568" s="616"/>
      <c r="HV1568" s="616"/>
      <c r="HW1568" s="616"/>
      <c r="HX1568" s="616"/>
      <c r="HY1568" s="616"/>
      <c r="HZ1568" s="616"/>
      <c r="IA1568" s="616"/>
      <c r="IB1568" s="616"/>
      <c r="IC1568" s="616"/>
      <c r="ID1568" s="616"/>
      <c r="IE1568" s="616"/>
      <c r="IF1568" s="616"/>
      <c r="IG1568" s="616"/>
      <c r="IH1568" s="616"/>
      <c r="II1568" s="616"/>
      <c r="IJ1568" s="616"/>
      <c r="IK1568" s="616"/>
      <c r="IL1568" s="616"/>
      <c r="IM1568" s="616"/>
      <c r="IN1568" s="616"/>
      <c r="IO1568" s="616"/>
      <c r="IP1568" s="616"/>
      <c r="IQ1568" s="616"/>
      <c r="IR1568" s="616"/>
      <c r="IS1568" s="616"/>
      <c r="IT1568" s="616"/>
      <c r="IU1568" s="616"/>
      <c r="IV1568" s="616"/>
    </row>
    <row r="1569" spans="1:256" s="583" customFormat="1" ht="23.1" customHeight="1">
      <c r="A1569" s="609"/>
      <c r="B1569" s="610"/>
      <c r="C1569" s="610"/>
      <c r="D1569" s="611"/>
      <c r="E1569" s="610"/>
      <c r="F1569" s="610"/>
      <c r="G1569" s="610"/>
      <c r="H1569" s="610"/>
      <c r="I1569" s="610"/>
      <c r="J1569" s="610"/>
      <c r="K1569" s="610"/>
      <c r="L1569" s="610"/>
      <c r="M1569" s="610"/>
      <c r="N1569" s="610"/>
      <c r="O1569" s="610"/>
      <c r="P1569" s="610"/>
      <c r="Q1569" s="610"/>
      <c r="R1569" s="610"/>
      <c r="S1569" s="610"/>
      <c r="T1569" s="612"/>
      <c r="U1569" s="612"/>
      <c r="V1569" s="1449"/>
      <c r="W1569" s="1449"/>
      <c r="X1569" s="1449"/>
      <c r="Y1569" s="1449"/>
      <c r="Z1569" s="1449"/>
      <c r="AA1569" s="1449"/>
      <c r="AB1569" s="1449"/>
      <c r="AC1569" s="1449"/>
      <c r="AD1569" s="1449"/>
      <c r="AE1569" s="1449"/>
      <c r="AF1569" s="1443"/>
      <c r="AG1569" s="1443"/>
      <c r="AH1569" s="612"/>
      <c r="AI1569" s="1451"/>
      <c r="AJ1569" s="1451"/>
      <c r="AK1569" s="1451"/>
      <c r="AL1569" s="1451"/>
      <c r="AM1569" s="610"/>
      <c r="AN1569" s="1443"/>
      <c r="AO1569" s="1443"/>
      <c r="AP1569" s="610"/>
      <c r="AQ1569" s="650"/>
      <c r="AR1569" s="650"/>
      <c r="AS1569" s="1461"/>
      <c r="AT1569" s="1462"/>
      <c r="AU1569" s="1462"/>
      <c r="AV1569" s="1462"/>
      <c r="AW1569" s="1462"/>
      <c r="AX1569" s="1462"/>
      <c r="AY1569" s="1462"/>
      <c r="AZ1569" s="1462"/>
      <c r="BA1569" s="1462"/>
      <c r="BB1569" s="1462"/>
      <c r="BC1569" s="651"/>
      <c r="BD1569" s="1443"/>
      <c r="BE1569" s="1443"/>
      <c r="BG1569" s="1463"/>
      <c r="BH1569" s="1464"/>
      <c r="BI1569" s="1464"/>
      <c r="BJ1569" s="1464"/>
      <c r="BK1569" s="1464"/>
      <c r="BL1569" s="610"/>
      <c r="BM1569" s="610"/>
      <c r="BN1569" s="610"/>
      <c r="BO1569" s="610"/>
      <c r="BP1569" s="1443"/>
      <c r="BQ1569" s="1443"/>
      <c r="BR1569" s="610"/>
      <c r="BS1569" s="610"/>
      <c r="BT1569" s="1450"/>
      <c r="BU1569" s="1450"/>
      <c r="BV1569" s="1450"/>
      <c r="BW1569" s="1450"/>
      <c r="BX1569" s="1450"/>
      <c r="BY1569" s="1450"/>
      <c r="BZ1569" s="1450"/>
      <c r="CA1569" s="1450"/>
      <c r="CB1569" s="1450"/>
      <c r="CC1569" s="1450"/>
      <c r="CD1569" s="610"/>
      <c r="CE1569" s="610"/>
      <c r="CF1569" s="615"/>
      <c r="CG1569" s="616"/>
      <c r="CH1569" s="616"/>
      <c r="CI1569" s="616"/>
      <c r="CJ1569" s="616"/>
      <c r="CK1569" s="616"/>
      <c r="CL1569" s="616"/>
      <c r="CM1569" s="616"/>
      <c r="CN1569" s="616"/>
      <c r="CO1569" s="616"/>
      <c r="CP1569" s="616"/>
      <c r="CQ1569" s="616"/>
      <c r="CR1569" s="616"/>
      <c r="CS1569" s="616"/>
      <c r="CT1569" s="616"/>
      <c r="CU1569" s="616"/>
      <c r="CV1569" s="616"/>
      <c r="CW1569" s="616"/>
      <c r="CX1569" s="616"/>
      <c r="CY1569" s="616"/>
      <c r="CZ1569" s="616"/>
      <c r="DA1569" s="616"/>
      <c r="DB1569" s="616"/>
      <c r="DC1569" s="616"/>
      <c r="DD1569" s="616"/>
      <c r="DE1569" s="616"/>
      <c r="DF1569" s="616"/>
      <c r="DG1569" s="616"/>
      <c r="DH1569" s="616"/>
      <c r="DI1569" s="616"/>
      <c r="DJ1569" s="616"/>
      <c r="DK1569" s="616"/>
      <c r="DL1569" s="616"/>
      <c r="DM1569" s="616"/>
      <c r="DN1569" s="616"/>
      <c r="DO1569" s="616"/>
      <c r="DP1569" s="616"/>
      <c r="DQ1569" s="616"/>
      <c r="DR1569" s="616"/>
      <c r="DS1569" s="616"/>
      <c r="DT1569" s="616"/>
      <c r="DU1569" s="616"/>
      <c r="DV1569" s="616"/>
      <c r="DW1569" s="616"/>
      <c r="DX1569" s="616"/>
      <c r="DY1569" s="616"/>
      <c r="DZ1569" s="616"/>
      <c r="EA1569" s="616"/>
      <c r="EB1569" s="616"/>
      <c r="EC1569" s="616"/>
      <c r="ED1569" s="616"/>
      <c r="EE1569" s="616"/>
      <c r="EF1569" s="616"/>
      <c r="EG1569" s="616"/>
      <c r="EH1569" s="616"/>
      <c r="EI1569" s="616"/>
      <c r="EJ1569" s="616"/>
      <c r="EK1569" s="616"/>
      <c r="EL1569" s="616"/>
      <c r="EM1569" s="616"/>
      <c r="EN1569" s="616"/>
      <c r="EO1569" s="616"/>
      <c r="EP1569" s="616"/>
      <c r="EQ1569" s="616"/>
      <c r="ER1569" s="616"/>
      <c r="ES1569" s="616"/>
      <c r="ET1569" s="616"/>
      <c r="EU1569" s="616"/>
      <c r="EV1569" s="616"/>
      <c r="EW1569" s="616"/>
      <c r="EX1569" s="616"/>
      <c r="EY1569" s="616"/>
      <c r="EZ1569" s="616"/>
      <c r="FA1569" s="616"/>
      <c r="FB1569" s="616"/>
      <c r="FC1569" s="616"/>
      <c r="FD1569" s="616"/>
      <c r="FE1569" s="616"/>
      <c r="FF1569" s="616"/>
      <c r="FG1569" s="616"/>
      <c r="FH1569" s="616"/>
      <c r="FI1569" s="616"/>
      <c r="FJ1569" s="616"/>
      <c r="FK1569" s="616"/>
      <c r="FL1569" s="616"/>
      <c r="FM1569" s="616"/>
      <c r="FN1569" s="616"/>
      <c r="FO1569" s="616"/>
      <c r="FP1569" s="616"/>
      <c r="FQ1569" s="616"/>
      <c r="FR1569" s="616"/>
      <c r="FS1569" s="616"/>
      <c r="FT1569" s="616"/>
      <c r="FU1569" s="616"/>
      <c r="FV1569" s="616"/>
      <c r="FW1569" s="616"/>
      <c r="FX1569" s="616"/>
      <c r="FY1569" s="616"/>
      <c r="FZ1569" s="616"/>
      <c r="GA1569" s="616"/>
      <c r="GB1569" s="616"/>
      <c r="GC1569" s="616"/>
      <c r="GD1569" s="616"/>
      <c r="GE1569" s="616"/>
      <c r="GF1569" s="616"/>
      <c r="GG1569" s="616"/>
      <c r="GH1569" s="616"/>
      <c r="GI1569" s="616"/>
      <c r="GJ1569" s="616"/>
      <c r="GK1569" s="616"/>
      <c r="GL1569" s="616"/>
      <c r="GM1569" s="616"/>
      <c r="GN1569" s="616"/>
      <c r="GO1569" s="616"/>
      <c r="GP1569" s="616"/>
      <c r="GQ1569" s="616"/>
      <c r="GR1569" s="616"/>
      <c r="GS1569" s="616"/>
      <c r="GT1569" s="616"/>
      <c r="GU1569" s="616"/>
      <c r="GV1569" s="616"/>
      <c r="GW1569" s="616"/>
      <c r="GX1569" s="616"/>
      <c r="GY1569" s="616"/>
      <c r="GZ1569" s="616"/>
      <c r="HA1569" s="616"/>
      <c r="HB1569" s="616"/>
      <c r="HC1569" s="616"/>
      <c r="HD1569" s="616"/>
      <c r="HE1569" s="616"/>
      <c r="HF1569" s="616"/>
      <c r="HG1569" s="616"/>
      <c r="HH1569" s="616"/>
      <c r="HI1569" s="616"/>
      <c r="HJ1569" s="616"/>
      <c r="HK1569" s="616"/>
      <c r="HL1569" s="616"/>
      <c r="HM1569" s="616"/>
      <c r="HN1569" s="616"/>
      <c r="HO1569" s="616"/>
      <c r="HP1569" s="616"/>
      <c r="HQ1569" s="616"/>
      <c r="HR1569" s="616"/>
      <c r="HS1569" s="616"/>
      <c r="HT1569" s="616"/>
      <c r="HU1569" s="616"/>
      <c r="HV1569" s="616"/>
      <c r="HW1569" s="616"/>
      <c r="HX1569" s="616"/>
      <c r="HY1569" s="616"/>
      <c r="HZ1569" s="616"/>
      <c r="IA1569" s="616"/>
      <c r="IB1569" s="616"/>
      <c r="IC1569" s="616"/>
      <c r="ID1569" s="616"/>
      <c r="IE1569" s="616"/>
      <c r="IF1569" s="616"/>
      <c r="IG1569" s="616"/>
      <c r="IH1569" s="616"/>
      <c r="II1569" s="616"/>
      <c r="IJ1569" s="616"/>
      <c r="IK1569" s="616"/>
      <c r="IL1569" s="616"/>
      <c r="IM1569" s="616"/>
      <c r="IN1569" s="616"/>
      <c r="IO1569" s="616"/>
      <c r="IP1569" s="616"/>
      <c r="IQ1569" s="616"/>
      <c r="IR1569" s="616"/>
      <c r="IS1569" s="616"/>
      <c r="IT1569" s="616"/>
      <c r="IU1569" s="616"/>
      <c r="IV1569" s="616"/>
    </row>
    <row r="1570" spans="1:256" s="583" customFormat="1" ht="23.1" customHeight="1">
      <c r="A1570" s="609"/>
      <c r="B1570" s="610"/>
      <c r="C1570" s="610"/>
      <c r="D1570" s="610"/>
      <c r="E1570" s="610"/>
      <c r="F1570" s="610"/>
      <c r="G1570" s="610"/>
      <c r="H1570" s="610"/>
      <c r="I1570" s="610"/>
      <c r="J1570" s="610"/>
      <c r="K1570" s="610"/>
      <c r="L1570" s="610"/>
      <c r="M1570" s="610"/>
      <c r="N1570" s="610"/>
      <c r="O1570" s="610"/>
      <c r="P1570" s="612"/>
      <c r="Q1570" s="612"/>
      <c r="R1570" s="612"/>
      <c r="S1570" s="612"/>
      <c r="T1570" s="612"/>
      <c r="U1570" s="612"/>
      <c r="V1570" s="612"/>
      <c r="W1570" s="612"/>
      <c r="X1570" s="612"/>
      <c r="Y1570" s="612"/>
      <c r="Z1570" s="612"/>
      <c r="AA1570" s="612"/>
      <c r="AB1570" s="612"/>
      <c r="AC1570" s="612"/>
      <c r="AD1570" s="612"/>
      <c r="AE1570" s="612"/>
      <c r="AF1570" s="612"/>
      <c r="AG1570" s="612"/>
      <c r="AH1570" s="612"/>
      <c r="AI1570" s="612"/>
      <c r="AJ1570" s="612"/>
      <c r="AK1570" s="612"/>
      <c r="AL1570" s="612"/>
      <c r="AM1570" s="612"/>
      <c r="AN1570" s="612"/>
      <c r="AO1570" s="612"/>
      <c r="AP1570" s="612"/>
      <c r="AQ1570" s="612"/>
      <c r="AR1570" s="612"/>
      <c r="AS1570" s="612"/>
      <c r="AT1570" s="612"/>
      <c r="AU1570" s="612"/>
      <c r="AV1570" s="612"/>
      <c r="AW1570" s="612"/>
      <c r="AX1570" s="612"/>
      <c r="AY1570" s="612"/>
      <c r="AZ1570" s="612"/>
      <c r="BA1570" s="612"/>
      <c r="BB1570" s="612"/>
      <c r="BC1570" s="612"/>
      <c r="BD1570" s="612"/>
      <c r="BE1570" s="612"/>
      <c r="BF1570" s="612"/>
      <c r="BG1570" s="610"/>
      <c r="BH1570" s="610"/>
      <c r="BI1570" s="610"/>
      <c r="BJ1570" s="610"/>
      <c r="BK1570" s="610"/>
      <c r="BL1570" s="610"/>
      <c r="BM1570" s="610"/>
      <c r="BN1570" s="610"/>
      <c r="BO1570" s="610"/>
      <c r="BP1570" s="1443"/>
      <c r="BQ1570" s="1443"/>
      <c r="BR1570" s="610"/>
      <c r="BS1570" s="610"/>
      <c r="BT1570" s="1450"/>
      <c r="BU1570" s="1450"/>
      <c r="BV1570" s="1450"/>
      <c r="BW1570" s="1450"/>
      <c r="BX1570" s="1450"/>
      <c r="BY1570" s="1450"/>
      <c r="BZ1570" s="1450"/>
      <c r="CA1570" s="1450"/>
      <c r="CB1570" s="1450"/>
      <c r="CC1570" s="1450"/>
      <c r="CD1570" s="610"/>
      <c r="CE1570" s="610"/>
      <c r="CF1570" s="615"/>
      <c r="CG1570" s="616"/>
      <c r="CH1570" s="616"/>
      <c r="CI1570" s="616"/>
      <c r="CJ1570" s="616"/>
      <c r="CK1570" s="616"/>
      <c r="CL1570" s="616"/>
      <c r="CM1570" s="616"/>
      <c r="CN1570" s="616"/>
      <c r="CO1570" s="616"/>
      <c r="CP1570" s="616"/>
      <c r="CQ1570" s="616"/>
      <c r="CR1570" s="616"/>
      <c r="CS1570" s="616"/>
      <c r="CT1570" s="616"/>
      <c r="CU1570" s="616"/>
      <c r="CV1570" s="616"/>
      <c r="CW1570" s="616"/>
      <c r="CX1570" s="616"/>
      <c r="CY1570" s="616"/>
      <c r="CZ1570" s="616"/>
      <c r="DA1570" s="616"/>
      <c r="DB1570" s="616"/>
      <c r="DC1570" s="616"/>
      <c r="DD1570" s="616"/>
      <c r="DE1570" s="616"/>
      <c r="DF1570" s="616"/>
      <c r="DG1570" s="616"/>
      <c r="DH1570" s="616"/>
      <c r="DI1570" s="616"/>
      <c r="DJ1570" s="616"/>
      <c r="DK1570" s="616"/>
      <c r="DL1570" s="616"/>
      <c r="DM1570" s="616"/>
      <c r="DN1570" s="616"/>
      <c r="DO1570" s="616"/>
      <c r="DP1570" s="616"/>
      <c r="DQ1570" s="616"/>
      <c r="DR1570" s="616"/>
      <c r="DS1570" s="616"/>
      <c r="DT1570" s="616"/>
      <c r="DU1570" s="616"/>
      <c r="DV1570" s="616"/>
      <c r="DW1570" s="616"/>
      <c r="DX1570" s="616"/>
      <c r="DY1570" s="616"/>
      <c r="DZ1570" s="616"/>
      <c r="EA1570" s="616"/>
      <c r="EB1570" s="616"/>
      <c r="EC1570" s="616"/>
      <c r="ED1570" s="616"/>
      <c r="EE1570" s="616"/>
      <c r="EF1570" s="616"/>
      <c r="EG1570" s="616"/>
      <c r="EH1570" s="616"/>
      <c r="EI1570" s="616"/>
      <c r="EJ1570" s="616"/>
      <c r="EK1570" s="616"/>
      <c r="EL1570" s="616"/>
      <c r="EM1570" s="616"/>
      <c r="EN1570" s="616"/>
      <c r="EO1570" s="616"/>
      <c r="EP1570" s="616"/>
      <c r="EQ1570" s="616"/>
      <c r="ER1570" s="616"/>
      <c r="ES1570" s="616"/>
      <c r="ET1570" s="616"/>
      <c r="EU1570" s="616"/>
      <c r="EV1570" s="616"/>
      <c r="EW1570" s="616"/>
      <c r="EX1570" s="616"/>
      <c r="EY1570" s="616"/>
      <c r="EZ1570" s="616"/>
      <c r="FA1570" s="616"/>
      <c r="FB1570" s="616"/>
      <c r="FC1570" s="616"/>
      <c r="FD1570" s="616"/>
      <c r="FE1570" s="616"/>
      <c r="FF1570" s="616"/>
      <c r="FG1570" s="616"/>
      <c r="FH1570" s="616"/>
      <c r="FI1570" s="616"/>
      <c r="FJ1570" s="616"/>
      <c r="FK1570" s="616"/>
      <c r="FL1570" s="616"/>
      <c r="FM1570" s="616"/>
      <c r="FN1570" s="616"/>
      <c r="FO1570" s="616"/>
      <c r="FP1570" s="616"/>
      <c r="FQ1570" s="616"/>
      <c r="FR1570" s="616"/>
      <c r="FS1570" s="616"/>
      <c r="FT1570" s="616"/>
      <c r="FU1570" s="616"/>
      <c r="FV1570" s="616"/>
      <c r="FW1570" s="616"/>
      <c r="FX1570" s="616"/>
      <c r="FY1570" s="616"/>
      <c r="FZ1570" s="616"/>
      <c r="GA1570" s="616"/>
      <c r="GB1570" s="616"/>
      <c r="GC1570" s="616"/>
      <c r="GD1570" s="616"/>
      <c r="GE1570" s="616"/>
      <c r="GF1570" s="616"/>
      <c r="GG1570" s="616"/>
      <c r="GH1570" s="616"/>
      <c r="GI1570" s="616"/>
      <c r="GJ1570" s="616"/>
      <c r="GK1570" s="616"/>
      <c r="GL1570" s="616"/>
      <c r="GM1570" s="616"/>
      <c r="GN1570" s="616"/>
      <c r="GO1570" s="616"/>
      <c r="GP1570" s="616"/>
      <c r="GQ1570" s="616"/>
      <c r="GR1570" s="616"/>
      <c r="GS1570" s="616"/>
      <c r="GT1570" s="616"/>
      <c r="GU1570" s="616"/>
      <c r="GV1570" s="616"/>
      <c r="GW1570" s="616"/>
      <c r="GX1570" s="616"/>
      <c r="GY1570" s="616"/>
      <c r="GZ1570" s="616"/>
      <c r="HA1570" s="616"/>
      <c r="HB1570" s="616"/>
      <c r="HC1570" s="616"/>
      <c r="HD1570" s="616"/>
      <c r="HE1570" s="616"/>
      <c r="HF1570" s="616"/>
      <c r="HG1570" s="616"/>
      <c r="HH1570" s="616"/>
      <c r="HI1570" s="616"/>
      <c r="HJ1570" s="616"/>
      <c r="HK1570" s="616"/>
      <c r="HL1570" s="616"/>
      <c r="HM1570" s="616"/>
      <c r="HN1570" s="616"/>
      <c r="HO1570" s="616"/>
      <c r="HP1570" s="616"/>
      <c r="HQ1570" s="616"/>
      <c r="HR1570" s="616"/>
      <c r="HS1570" s="616"/>
      <c r="HT1570" s="616"/>
      <c r="HU1570" s="616"/>
      <c r="HV1570" s="616"/>
      <c r="HW1570" s="616"/>
      <c r="HX1570" s="616"/>
      <c r="HY1570" s="616"/>
      <c r="HZ1570" s="616"/>
      <c r="IA1570" s="616"/>
      <c r="IB1570" s="616"/>
      <c r="IC1570" s="616"/>
      <c r="ID1570" s="616"/>
      <c r="IE1570" s="616"/>
      <c r="IF1570" s="616"/>
      <c r="IG1570" s="616"/>
      <c r="IH1570" s="616"/>
      <c r="II1570" s="616"/>
      <c r="IJ1570" s="616"/>
      <c r="IK1570" s="616"/>
      <c r="IL1570" s="616"/>
      <c r="IM1570" s="616"/>
      <c r="IN1570" s="616"/>
      <c r="IO1570" s="616"/>
      <c r="IP1570" s="616"/>
      <c r="IQ1570" s="616"/>
      <c r="IR1570" s="616"/>
      <c r="IS1570" s="616"/>
      <c r="IT1570" s="616"/>
      <c r="IU1570" s="616"/>
      <c r="IV1570" s="616"/>
    </row>
    <row r="1571" spans="1:256" s="583" customFormat="1" ht="23.1" customHeight="1">
      <c r="A1571" s="609"/>
      <c r="B1571" s="610"/>
      <c r="C1571" s="610"/>
      <c r="D1571" s="610"/>
      <c r="E1571" s="610"/>
      <c r="F1571" s="610"/>
      <c r="G1571" s="610"/>
      <c r="H1571" s="610"/>
      <c r="I1571" s="610"/>
      <c r="J1571" s="610"/>
      <c r="K1571" s="610"/>
      <c r="L1571" s="610"/>
      <c r="M1571" s="610"/>
      <c r="N1571" s="610"/>
      <c r="O1571" s="610"/>
      <c r="P1571" s="610"/>
      <c r="Q1571" s="610"/>
      <c r="R1571" s="610"/>
      <c r="S1571" s="610"/>
      <c r="T1571" s="610"/>
      <c r="U1571" s="610"/>
      <c r="V1571" s="610"/>
      <c r="W1571" s="610"/>
      <c r="X1571" s="610"/>
      <c r="Y1571" s="610"/>
      <c r="Z1571" s="610"/>
      <c r="AA1571" s="610"/>
      <c r="AB1571" s="610"/>
      <c r="AC1571" s="610"/>
      <c r="AD1571" s="612"/>
      <c r="AE1571" s="612"/>
      <c r="AF1571" s="612"/>
      <c r="AG1571" s="612"/>
      <c r="AH1571" s="612"/>
      <c r="AI1571" s="612"/>
      <c r="AJ1571" s="612"/>
      <c r="AK1571" s="612"/>
      <c r="AL1571" s="612"/>
      <c r="AM1571" s="612"/>
      <c r="AN1571" s="612"/>
      <c r="AO1571" s="612"/>
      <c r="AP1571" s="612"/>
      <c r="AQ1571" s="612"/>
      <c r="AR1571" s="612"/>
      <c r="AS1571" s="610"/>
      <c r="AT1571" s="639"/>
      <c r="AU1571" s="639"/>
      <c r="AV1571" s="610"/>
      <c r="AW1571" s="610"/>
      <c r="AX1571" s="610"/>
      <c r="AY1571" s="610"/>
      <c r="AZ1571" s="610"/>
      <c r="BA1571" s="610"/>
      <c r="BB1571" s="610"/>
      <c r="BC1571" s="610"/>
      <c r="BD1571" s="610"/>
      <c r="BE1571" s="610"/>
      <c r="BF1571" s="610"/>
      <c r="BG1571" s="610"/>
      <c r="BH1571" s="610"/>
      <c r="BI1571" s="610"/>
      <c r="BJ1571" s="610"/>
      <c r="BK1571" s="610"/>
      <c r="BL1571" s="610"/>
      <c r="BM1571" s="610"/>
      <c r="BN1571" s="610"/>
      <c r="BO1571" s="610"/>
      <c r="BP1571" s="1443" t="s">
        <v>41</v>
      </c>
      <c r="BQ1571" s="1443"/>
      <c r="BR1571" s="610"/>
      <c r="BS1571" s="610"/>
      <c r="BT1571" s="1444">
        <f>BT1569+BT1570</f>
        <v>0</v>
      </c>
      <c r="BU1571" s="1444"/>
      <c r="BV1571" s="1444"/>
      <c r="BW1571" s="1444"/>
      <c r="BX1571" s="1444"/>
      <c r="BY1571" s="1444"/>
      <c r="BZ1571" s="1444"/>
      <c r="CA1571" s="1444"/>
      <c r="CB1571" s="1444"/>
      <c r="CC1571" s="1444"/>
      <c r="CD1571" s="610"/>
      <c r="CE1571" s="610"/>
      <c r="CF1571" s="615"/>
      <c r="CG1571" s="616"/>
      <c r="CH1571" s="616"/>
      <c r="CI1571" s="616"/>
      <c r="CJ1571" s="616"/>
      <c r="CK1571" s="616"/>
      <c r="CL1571" s="616"/>
      <c r="CM1571" s="616"/>
      <c r="CN1571" s="616"/>
      <c r="CO1571" s="616"/>
      <c r="CP1571" s="616"/>
      <c r="CQ1571" s="616"/>
      <c r="CR1571" s="616"/>
      <c r="CS1571" s="616"/>
      <c r="CT1571" s="616"/>
      <c r="CU1571" s="616"/>
      <c r="CV1571" s="616"/>
      <c r="CW1571" s="616"/>
      <c r="CX1571" s="616"/>
      <c r="CY1571" s="616"/>
      <c r="CZ1571" s="616"/>
      <c r="DA1571" s="616"/>
      <c r="DB1571" s="616"/>
      <c r="DC1571" s="616"/>
      <c r="DD1571" s="616"/>
      <c r="DE1571" s="616"/>
      <c r="DF1571" s="616"/>
      <c r="DG1571" s="616"/>
      <c r="DH1571" s="616"/>
      <c r="DI1571" s="616"/>
      <c r="DJ1571" s="616"/>
      <c r="DK1571" s="616"/>
      <c r="DL1571" s="616"/>
      <c r="DM1571" s="616"/>
      <c r="DN1571" s="616"/>
      <c r="DO1571" s="616"/>
      <c r="DP1571" s="616"/>
      <c r="DQ1571" s="616"/>
      <c r="DR1571" s="616"/>
      <c r="DS1571" s="616"/>
      <c r="DT1571" s="616"/>
      <c r="DU1571" s="616"/>
      <c r="DV1571" s="616"/>
      <c r="DW1571" s="616"/>
      <c r="DX1571" s="616"/>
      <c r="DY1571" s="616"/>
      <c r="DZ1571" s="616"/>
      <c r="EA1571" s="616"/>
      <c r="EB1571" s="616"/>
      <c r="EC1571" s="616"/>
      <c r="ED1571" s="616"/>
      <c r="EE1571" s="616"/>
      <c r="EF1571" s="616"/>
      <c r="EG1571" s="616"/>
      <c r="EH1571" s="616"/>
      <c r="EI1571" s="616"/>
      <c r="EJ1571" s="616"/>
      <c r="EK1571" s="616"/>
      <c r="EL1571" s="616"/>
      <c r="EM1571" s="616"/>
      <c r="EN1571" s="616"/>
      <c r="EO1571" s="616"/>
      <c r="EP1571" s="616"/>
      <c r="EQ1571" s="616"/>
      <c r="ER1571" s="616"/>
      <c r="ES1571" s="616"/>
      <c r="ET1571" s="616"/>
      <c r="EU1571" s="616"/>
      <c r="EV1571" s="616"/>
      <c r="EW1571" s="616"/>
      <c r="EX1571" s="616"/>
      <c r="EY1571" s="616"/>
      <c r="EZ1571" s="616"/>
      <c r="FA1571" s="616"/>
      <c r="FB1571" s="616"/>
      <c r="FC1571" s="616"/>
      <c r="FD1571" s="616"/>
      <c r="FE1571" s="616"/>
      <c r="FF1571" s="616"/>
      <c r="FG1571" s="616"/>
      <c r="FH1571" s="616"/>
      <c r="FI1571" s="616"/>
      <c r="FJ1571" s="616"/>
      <c r="FK1571" s="616"/>
      <c r="FL1571" s="616"/>
      <c r="FM1571" s="616"/>
      <c r="FN1571" s="616"/>
      <c r="FO1571" s="616"/>
      <c r="FP1571" s="616"/>
      <c r="FQ1571" s="616"/>
      <c r="FR1571" s="616"/>
      <c r="FS1571" s="616"/>
      <c r="FT1571" s="616"/>
      <c r="FU1571" s="616"/>
      <c r="FV1571" s="616"/>
      <c r="FW1571" s="616"/>
      <c r="FX1571" s="616"/>
      <c r="FY1571" s="616"/>
      <c r="FZ1571" s="616"/>
      <c r="GA1571" s="616"/>
      <c r="GB1571" s="616"/>
      <c r="GC1571" s="616"/>
      <c r="GD1571" s="616"/>
      <c r="GE1571" s="616"/>
      <c r="GF1571" s="616"/>
      <c r="GG1571" s="616"/>
      <c r="GH1571" s="616"/>
      <c r="GI1571" s="616"/>
      <c r="GJ1571" s="616"/>
      <c r="GK1571" s="616"/>
      <c r="GL1571" s="616"/>
      <c r="GM1571" s="616"/>
      <c r="GN1571" s="616"/>
      <c r="GO1571" s="616"/>
      <c r="GP1571" s="616"/>
      <c r="GQ1571" s="616"/>
      <c r="GR1571" s="616"/>
      <c r="GS1571" s="616"/>
      <c r="GT1571" s="616"/>
      <c r="GU1571" s="616"/>
      <c r="GV1571" s="616"/>
      <c r="GW1571" s="616"/>
      <c r="GX1571" s="616"/>
      <c r="GY1571" s="616"/>
      <c r="GZ1571" s="616"/>
      <c r="HA1571" s="616"/>
      <c r="HB1571" s="616"/>
      <c r="HC1571" s="616"/>
      <c r="HD1571" s="616"/>
      <c r="HE1571" s="616"/>
      <c r="HF1571" s="616"/>
      <c r="HG1571" s="616"/>
      <c r="HH1571" s="616"/>
      <c r="HI1571" s="616"/>
      <c r="HJ1571" s="616"/>
      <c r="HK1571" s="616"/>
      <c r="HL1571" s="616"/>
      <c r="HM1571" s="616"/>
      <c r="HN1571" s="616"/>
      <c r="HO1571" s="616"/>
      <c r="HP1571" s="616"/>
      <c r="HQ1571" s="616"/>
      <c r="HR1571" s="616"/>
      <c r="HS1571" s="616"/>
      <c r="HT1571" s="616"/>
      <c r="HU1571" s="616"/>
      <c r="HV1571" s="616"/>
      <c r="HW1571" s="616"/>
      <c r="HX1571" s="616"/>
      <c r="HY1571" s="616"/>
      <c r="HZ1571" s="616"/>
      <c r="IA1571" s="616"/>
      <c r="IB1571" s="616"/>
      <c r="IC1571" s="616"/>
      <c r="ID1571" s="616"/>
      <c r="IE1571" s="616"/>
      <c r="IF1571" s="616"/>
      <c r="IG1571" s="616"/>
      <c r="IH1571" s="616"/>
      <c r="II1571" s="616"/>
      <c r="IJ1571" s="616"/>
      <c r="IK1571" s="616"/>
      <c r="IL1571" s="616"/>
      <c r="IM1571" s="616"/>
      <c r="IN1571" s="616"/>
      <c r="IO1571" s="616"/>
      <c r="IP1571" s="616"/>
      <c r="IQ1571" s="616"/>
      <c r="IR1571" s="616"/>
      <c r="IS1571" s="616"/>
      <c r="IT1571" s="616"/>
      <c r="IU1571" s="616"/>
      <c r="IV1571" s="616"/>
    </row>
    <row r="1572" spans="1:256" s="583" customFormat="1" ht="23.1" customHeight="1">
      <c r="A1572" s="641"/>
      <c r="B1572" s="642" t="s">
        <v>1110</v>
      </c>
      <c r="C1572" s="642"/>
      <c r="D1572" s="642"/>
      <c r="E1572" s="642"/>
      <c r="F1572" s="642"/>
      <c r="G1572" s="642"/>
      <c r="H1572" s="642"/>
      <c r="I1572" s="642"/>
      <c r="J1572" s="642"/>
      <c r="K1572" s="642"/>
      <c r="L1572" s="642"/>
      <c r="M1572" s="642"/>
      <c r="N1572" s="642"/>
      <c r="O1572" s="642"/>
      <c r="P1572" s="642"/>
      <c r="Q1572" s="642"/>
      <c r="R1572" s="642"/>
      <c r="S1572" s="642"/>
      <c r="T1572" s="642"/>
      <c r="U1572" s="642"/>
      <c r="V1572" s="642"/>
      <c r="W1572" s="642"/>
      <c r="X1572" s="642"/>
      <c r="Y1572" s="642"/>
      <c r="Z1572" s="642"/>
      <c r="AA1572" s="642"/>
      <c r="AB1572" s="642"/>
      <c r="AC1572" s="642"/>
      <c r="AD1572" s="642"/>
      <c r="AE1572" s="642"/>
      <c r="AF1572" s="642"/>
      <c r="AG1572" s="642"/>
      <c r="AH1572" s="642"/>
      <c r="AI1572" s="642"/>
      <c r="AJ1572" s="642"/>
      <c r="AK1572" s="642"/>
      <c r="AL1572" s="642"/>
      <c r="AM1572" s="642"/>
      <c r="AN1572" s="642"/>
      <c r="AO1572" s="642"/>
      <c r="AP1572" s="642"/>
      <c r="AQ1572" s="642"/>
      <c r="AR1572" s="642"/>
      <c r="AS1572" s="642"/>
      <c r="AT1572" s="642"/>
      <c r="AU1572" s="642"/>
      <c r="AV1572" s="642"/>
      <c r="AW1572" s="642"/>
      <c r="AX1572" s="642"/>
      <c r="AY1572" s="642"/>
      <c r="AZ1572" s="642"/>
      <c r="BA1572" s="642"/>
      <c r="BB1572" s="642"/>
      <c r="BC1572" s="642"/>
      <c r="BD1572" s="642"/>
      <c r="BE1572" s="642"/>
      <c r="BF1572" s="642"/>
      <c r="BG1572" s="642"/>
      <c r="BH1572" s="642"/>
      <c r="BI1572" s="642"/>
      <c r="BJ1572" s="642"/>
      <c r="BK1572" s="642"/>
      <c r="BL1572" s="642"/>
      <c r="BM1572" s="642"/>
      <c r="BN1572" s="642"/>
      <c r="BO1572" s="642"/>
      <c r="BP1572" s="642"/>
      <c r="BQ1572" s="642"/>
      <c r="BR1572" s="642"/>
      <c r="BS1572" s="642"/>
      <c r="BT1572" s="642"/>
      <c r="BU1572" s="642"/>
      <c r="BV1572" s="642"/>
      <c r="BW1572" s="642"/>
      <c r="BX1572" s="642"/>
      <c r="BY1572" s="642"/>
      <c r="BZ1572" s="642"/>
      <c r="CA1572" s="642"/>
      <c r="CB1572" s="642"/>
      <c r="CC1572" s="642"/>
      <c r="CD1572" s="642"/>
      <c r="CE1572" s="642"/>
      <c r="CF1572" s="644"/>
      <c r="CG1572" s="616"/>
      <c r="CH1572" s="616"/>
      <c r="CI1572" s="616"/>
      <c r="CJ1572" s="616"/>
      <c r="CK1572" s="616"/>
      <c r="CL1572" s="616"/>
      <c r="CM1572" s="616"/>
      <c r="CN1572" s="616"/>
      <c r="CO1572" s="616"/>
      <c r="CP1572" s="616"/>
      <c r="CQ1572" s="616"/>
      <c r="CR1572" s="616"/>
      <c r="CS1572" s="616"/>
      <c r="CT1572" s="616"/>
      <c r="CU1572" s="616"/>
      <c r="CV1572" s="616"/>
      <c r="CW1572" s="616"/>
      <c r="CX1572" s="616"/>
      <c r="CY1572" s="616"/>
      <c r="CZ1572" s="616"/>
      <c r="DA1572" s="616"/>
      <c r="DB1572" s="616"/>
      <c r="DC1572" s="616"/>
      <c r="DD1572" s="616"/>
      <c r="DE1572" s="616"/>
      <c r="DF1572" s="616"/>
      <c r="DG1572" s="616"/>
      <c r="DH1572" s="616"/>
      <c r="DI1572" s="616"/>
      <c r="DJ1572" s="616"/>
      <c r="DK1572" s="616"/>
      <c r="DL1572" s="616"/>
      <c r="DM1572" s="616"/>
      <c r="DN1572" s="616"/>
      <c r="DO1572" s="616"/>
      <c r="DP1572" s="616"/>
      <c r="DQ1572" s="616"/>
      <c r="DR1572" s="616"/>
      <c r="DS1572" s="616"/>
      <c r="DT1572" s="616"/>
      <c r="DU1572" s="616"/>
      <c r="DV1572" s="616"/>
      <c r="DW1572" s="616"/>
      <c r="DX1572" s="616"/>
      <c r="DY1572" s="616"/>
      <c r="DZ1572" s="616"/>
      <c r="EA1572" s="616"/>
      <c r="EB1572" s="616"/>
      <c r="EC1572" s="616"/>
      <c r="ED1572" s="616"/>
      <c r="EE1572" s="616"/>
      <c r="EF1572" s="616"/>
      <c r="EG1572" s="616"/>
      <c r="EH1572" s="616"/>
      <c r="EI1572" s="616"/>
      <c r="EJ1572" s="616"/>
      <c r="EK1572" s="616"/>
      <c r="EL1572" s="616"/>
      <c r="EM1572" s="616"/>
      <c r="EN1572" s="616"/>
      <c r="EO1572" s="616"/>
      <c r="EP1572" s="616"/>
      <c r="EQ1572" s="616"/>
      <c r="ER1572" s="616"/>
      <c r="ES1572" s="616"/>
      <c r="ET1572" s="616"/>
      <c r="EU1572" s="616"/>
      <c r="EV1572" s="616"/>
      <c r="EW1572" s="616"/>
      <c r="EX1572" s="616"/>
      <c r="EY1572" s="616"/>
      <c r="EZ1572" s="616"/>
      <c r="FA1572" s="616"/>
      <c r="FB1572" s="616"/>
      <c r="FC1572" s="616"/>
      <c r="FD1572" s="616"/>
      <c r="FE1572" s="616"/>
      <c r="FF1572" s="616"/>
      <c r="FG1572" s="616"/>
      <c r="FH1572" s="616"/>
      <c r="FI1572" s="616"/>
      <c r="FJ1572" s="616"/>
      <c r="FK1572" s="616"/>
      <c r="FL1572" s="616"/>
      <c r="FM1572" s="616"/>
      <c r="FN1572" s="616"/>
      <c r="FO1572" s="616"/>
      <c r="FP1572" s="616"/>
      <c r="FQ1572" s="616"/>
      <c r="FR1572" s="616"/>
      <c r="FS1572" s="616"/>
      <c r="FT1572" s="616"/>
      <c r="FU1572" s="616"/>
      <c r="FV1572" s="616"/>
      <c r="FW1572" s="616"/>
      <c r="FX1572" s="616"/>
      <c r="FY1572" s="616"/>
      <c r="FZ1572" s="616"/>
      <c r="GA1572" s="616"/>
      <c r="GB1572" s="616"/>
      <c r="GC1572" s="616"/>
      <c r="GD1572" s="616"/>
      <c r="GE1572" s="616"/>
      <c r="GF1572" s="616"/>
      <c r="GG1572" s="616"/>
      <c r="GH1572" s="616"/>
      <c r="GI1572" s="616"/>
      <c r="GJ1572" s="616"/>
      <c r="GK1572" s="616"/>
      <c r="GL1572" s="616"/>
      <c r="GM1572" s="616"/>
      <c r="GN1572" s="616"/>
      <c r="GO1572" s="616"/>
      <c r="GP1572" s="616"/>
      <c r="GQ1572" s="616"/>
      <c r="GR1572" s="616"/>
      <c r="GS1572" s="616"/>
      <c r="GT1572" s="616"/>
      <c r="GU1572" s="616"/>
      <c r="GV1572" s="616"/>
      <c r="GW1572" s="616"/>
      <c r="GX1572" s="616"/>
      <c r="GY1572" s="616"/>
      <c r="GZ1572" s="616"/>
      <c r="HA1572" s="616"/>
      <c r="HB1572" s="616"/>
      <c r="HC1572" s="616"/>
      <c r="HD1572" s="616"/>
      <c r="HE1572" s="616"/>
      <c r="HF1572" s="616"/>
      <c r="HG1572" s="616"/>
      <c r="HH1572" s="616"/>
      <c r="HI1572" s="616"/>
      <c r="HJ1572" s="616"/>
      <c r="HK1572" s="616"/>
      <c r="HL1572" s="616"/>
      <c r="HM1572" s="616"/>
      <c r="HN1572" s="616"/>
      <c r="HO1572" s="616"/>
      <c r="HP1572" s="616"/>
      <c r="HQ1572" s="616"/>
      <c r="HR1572" s="616"/>
      <c r="HS1572" s="616"/>
      <c r="HT1572" s="616"/>
      <c r="HU1572" s="616"/>
      <c r="HV1572" s="616"/>
      <c r="HW1572" s="616"/>
      <c r="HX1572" s="616"/>
      <c r="HY1572" s="616"/>
      <c r="HZ1572" s="616"/>
      <c r="IA1572" s="616"/>
      <c r="IB1572" s="616"/>
      <c r="IC1572" s="616"/>
      <c r="ID1572" s="616"/>
      <c r="IE1572" s="616"/>
      <c r="IF1572" s="616"/>
      <c r="IG1572" s="616"/>
      <c r="IH1572" s="616"/>
      <c r="II1572" s="616"/>
      <c r="IJ1572" s="616"/>
      <c r="IK1572" s="616"/>
      <c r="IL1572" s="616"/>
      <c r="IM1572" s="616"/>
      <c r="IN1572" s="616"/>
      <c r="IO1572" s="616"/>
      <c r="IP1572" s="616"/>
      <c r="IQ1572" s="616"/>
      <c r="IR1572" s="616"/>
      <c r="IS1572" s="616"/>
      <c r="IT1572" s="616"/>
      <c r="IU1572" s="616"/>
      <c r="IV1572" s="616"/>
    </row>
    <row r="1573" spans="1:256" s="583" customFormat="1" ht="23.1" customHeight="1">
      <c r="A1573" s="609"/>
      <c r="B1573" s="610"/>
      <c r="C1573" s="610"/>
      <c r="D1573" s="611" t="s">
        <v>42</v>
      </c>
      <c r="E1573" s="610"/>
      <c r="F1573" s="610"/>
      <c r="G1573" s="610"/>
      <c r="H1573" s="610"/>
      <c r="I1573" s="610"/>
      <c r="J1573" s="610"/>
      <c r="K1573" s="610"/>
      <c r="L1573" s="610"/>
      <c r="M1573" s="610"/>
      <c r="N1573" s="610"/>
      <c r="O1573" s="610"/>
      <c r="P1573" s="610"/>
      <c r="Q1573" s="610"/>
      <c r="R1573" s="610"/>
      <c r="S1573" s="610"/>
      <c r="T1573" s="610"/>
      <c r="U1573" s="610"/>
      <c r="V1573" s="610"/>
      <c r="W1573" s="610"/>
      <c r="X1573" s="610"/>
      <c r="Y1573" s="610"/>
      <c r="Z1573" s="610"/>
      <c r="AA1573" s="610"/>
      <c r="AB1573" s="610"/>
      <c r="AC1573" s="610"/>
      <c r="AD1573" s="610"/>
      <c r="AE1573" s="610"/>
      <c r="AF1573" s="610"/>
      <c r="AG1573" s="610"/>
      <c r="AH1573" s="610"/>
      <c r="AI1573" s="610"/>
      <c r="AJ1573" s="610"/>
      <c r="AK1573" s="610"/>
      <c r="AL1573" s="610"/>
      <c r="AM1573" s="610"/>
      <c r="AN1573" s="610"/>
      <c r="AO1573" s="610"/>
      <c r="AP1573" s="610"/>
      <c r="AQ1573" s="610"/>
      <c r="AR1573" s="613"/>
      <c r="AS1573" s="1449" t="e">
        <f>HLOOKUP(D1573,$CN$1:$CO$3,3,0)</f>
        <v>#REF!</v>
      </c>
      <c r="AT1573" s="1449"/>
      <c r="AU1573" s="1449"/>
      <c r="AV1573" s="1449"/>
      <c r="AW1573" s="1449"/>
      <c r="AX1573" s="1449"/>
      <c r="AY1573" s="1449"/>
      <c r="AZ1573" s="1449"/>
      <c r="BA1573" s="1449"/>
      <c r="BB1573" s="1449"/>
      <c r="BC1573" s="610"/>
      <c r="BD1573" s="1443" t="s">
        <v>446</v>
      </c>
      <c r="BE1573" s="1443"/>
      <c r="BF1573" s="610"/>
      <c r="BG1573" s="1443">
        <v>5.6</v>
      </c>
      <c r="BH1573" s="1443"/>
      <c r="BI1573" s="1443"/>
      <c r="BJ1573" s="1443"/>
      <c r="BK1573" s="1443"/>
      <c r="BL1573" s="610" t="s">
        <v>1111</v>
      </c>
      <c r="BM1573" s="610"/>
      <c r="BN1573" s="610"/>
      <c r="BO1573" s="610"/>
      <c r="BP1573" s="1443" t="s">
        <v>41</v>
      </c>
      <c r="BQ1573" s="1443"/>
      <c r="BR1573" s="610"/>
      <c r="BS1573" s="610"/>
      <c r="BT1573" s="1450" t="e">
        <f>INT(AS1573*BG1573)</f>
        <v>#REF!</v>
      </c>
      <c r="BU1573" s="1450"/>
      <c r="BV1573" s="1450"/>
      <c r="BW1573" s="1450"/>
      <c r="BX1573" s="1450"/>
      <c r="BY1573" s="1450"/>
      <c r="BZ1573" s="1450"/>
      <c r="CA1573" s="1450"/>
      <c r="CB1573" s="1450"/>
      <c r="CC1573" s="1450"/>
      <c r="CD1573" s="610"/>
      <c r="CE1573" s="610"/>
      <c r="CF1573" s="615"/>
      <c r="CG1573" s="616"/>
      <c r="CH1573" s="616"/>
      <c r="CI1573" s="616"/>
      <c r="CJ1573" s="616"/>
      <c r="CK1573" s="616"/>
      <c r="CL1573" s="616"/>
      <c r="CM1573" s="616"/>
      <c r="CN1573" s="616"/>
      <c r="CO1573" s="616"/>
      <c r="CP1573" s="616"/>
      <c r="CQ1573" s="616"/>
      <c r="CR1573" s="616"/>
      <c r="CS1573" s="616"/>
      <c r="CT1573" s="616"/>
      <c r="CU1573" s="616"/>
      <c r="CV1573" s="616"/>
      <c r="CW1573" s="616"/>
      <c r="CX1573" s="616"/>
      <c r="CY1573" s="616"/>
      <c r="CZ1573" s="616"/>
      <c r="DA1573" s="616"/>
      <c r="DB1573" s="616"/>
      <c r="DC1573" s="616"/>
      <c r="DD1573" s="616"/>
      <c r="DE1573" s="616"/>
      <c r="DF1573" s="616"/>
      <c r="DG1573" s="616"/>
      <c r="DH1573" s="616"/>
      <c r="DI1573" s="616"/>
      <c r="DJ1573" s="616"/>
      <c r="DK1573" s="616"/>
      <c r="DL1573" s="616"/>
      <c r="DM1573" s="616"/>
      <c r="DN1573" s="616"/>
      <c r="DO1573" s="616"/>
      <c r="DP1573" s="616"/>
      <c r="DQ1573" s="616"/>
      <c r="DR1573" s="616"/>
      <c r="DS1573" s="616"/>
      <c r="DT1573" s="616"/>
      <c r="DU1573" s="616"/>
      <c r="DV1573" s="616"/>
      <c r="DW1573" s="616"/>
      <c r="DX1573" s="616"/>
      <c r="DY1573" s="616"/>
      <c r="DZ1573" s="616"/>
      <c r="EA1573" s="616"/>
      <c r="EB1573" s="616"/>
      <c r="EC1573" s="616"/>
      <c r="ED1573" s="616"/>
      <c r="EE1573" s="616"/>
      <c r="EF1573" s="616"/>
      <c r="EG1573" s="616"/>
      <c r="EH1573" s="616"/>
      <c r="EI1573" s="616"/>
      <c r="EJ1573" s="616"/>
      <c r="EK1573" s="616"/>
      <c r="EL1573" s="616"/>
      <c r="EM1573" s="616"/>
      <c r="EN1573" s="616"/>
      <c r="EO1573" s="616"/>
      <c r="EP1573" s="616"/>
      <c r="EQ1573" s="616"/>
      <c r="ER1573" s="616"/>
      <c r="ES1573" s="616"/>
      <c r="ET1573" s="616"/>
      <c r="EU1573" s="616"/>
      <c r="EV1573" s="616"/>
      <c r="EW1573" s="616"/>
      <c r="EX1573" s="616"/>
      <c r="EY1573" s="616"/>
      <c r="EZ1573" s="616"/>
      <c r="FA1573" s="616"/>
      <c r="FB1573" s="616"/>
      <c r="FC1573" s="616"/>
      <c r="FD1573" s="616"/>
      <c r="FE1573" s="616"/>
      <c r="FF1573" s="616"/>
      <c r="FG1573" s="616"/>
      <c r="FH1573" s="616"/>
      <c r="FI1573" s="616"/>
      <c r="FJ1573" s="616"/>
      <c r="FK1573" s="616"/>
      <c r="FL1573" s="616"/>
      <c r="FM1573" s="616"/>
      <c r="FN1573" s="616"/>
      <c r="FO1573" s="616"/>
      <c r="FP1573" s="616"/>
      <c r="FQ1573" s="616"/>
      <c r="FR1573" s="616"/>
      <c r="FS1573" s="616"/>
      <c r="FT1573" s="616"/>
      <c r="FU1573" s="616"/>
      <c r="FV1573" s="616"/>
      <c r="FW1573" s="616"/>
      <c r="FX1573" s="616"/>
      <c r="FY1573" s="616"/>
      <c r="FZ1573" s="616"/>
      <c r="GA1573" s="616"/>
      <c r="GB1573" s="616"/>
      <c r="GC1573" s="616"/>
      <c r="GD1573" s="616"/>
      <c r="GE1573" s="616"/>
      <c r="GF1573" s="616"/>
      <c r="GG1573" s="616"/>
      <c r="GH1573" s="616"/>
      <c r="GI1573" s="616"/>
      <c r="GJ1573" s="616"/>
      <c r="GK1573" s="616"/>
      <c r="GL1573" s="616"/>
      <c r="GM1573" s="616"/>
      <c r="GN1573" s="616"/>
      <c r="GO1573" s="616"/>
      <c r="GP1573" s="616"/>
      <c r="GQ1573" s="616"/>
      <c r="GR1573" s="616"/>
      <c r="GS1573" s="616"/>
      <c r="GT1573" s="616"/>
      <c r="GU1573" s="616"/>
      <c r="GV1573" s="616"/>
      <c r="GW1573" s="616"/>
      <c r="GX1573" s="616"/>
      <c r="GY1573" s="616"/>
      <c r="GZ1573" s="616"/>
      <c r="HA1573" s="616"/>
      <c r="HB1573" s="616"/>
      <c r="HC1573" s="616"/>
      <c r="HD1573" s="616"/>
      <c r="HE1573" s="616"/>
      <c r="HF1573" s="616"/>
      <c r="HG1573" s="616"/>
      <c r="HH1573" s="616"/>
      <c r="HI1573" s="616"/>
      <c r="HJ1573" s="616"/>
      <c r="HK1573" s="616"/>
      <c r="HL1573" s="616"/>
      <c r="HM1573" s="616"/>
      <c r="HN1573" s="616"/>
      <c r="HO1573" s="616"/>
      <c r="HP1573" s="616"/>
      <c r="HQ1573" s="616"/>
      <c r="HR1573" s="616"/>
      <c r="HS1573" s="616"/>
      <c r="HT1573" s="616"/>
      <c r="HU1573" s="616"/>
      <c r="HV1573" s="616"/>
      <c r="HW1573" s="616"/>
      <c r="HX1573" s="616"/>
      <c r="HY1573" s="616"/>
      <c r="HZ1573" s="616"/>
      <c r="IA1573" s="616"/>
      <c r="IB1573" s="616"/>
      <c r="IC1573" s="616"/>
      <c r="ID1573" s="616"/>
      <c r="IE1573" s="616"/>
      <c r="IF1573" s="616"/>
      <c r="IG1573" s="616"/>
      <c r="IH1573" s="616"/>
      <c r="II1573" s="616"/>
      <c r="IJ1573" s="616"/>
      <c r="IK1573" s="616"/>
      <c r="IL1573" s="616"/>
      <c r="IM1573" s="616"/>
      <c r="IN1573" s="616"/>
      <c r="IO1573" s="616"/>
      <c r="IP1573" s="616"/>
      <c r="IQ1573" s="616"/>
      <c r="IR1573" s="616"/>
      <c r="IS1573" s="616"/>
      <c r="IT1573" s="616"/>
      <c r="IU1573" s="616"/>
      <c r="IV1573" s="616"/>
    </row>
    <row r="1574" spans="1:256" s="583" customFormat="1" ht="23.1" customHeight="1">
      <c r="A1574" s="609"/>
      <c r="B1574" s="610"/>
      <c r="C1574" s="610"/>
      <c r="D1574" s="640" t="str">
        <f>"잡재료 (주연료의 "&amp;BG1574&amp;"%) :"</f>
        <v>잡재료 (주연료의 24%) :</v>
      </c>
      <c r="E1574" s="610"/>
      <c r="F1574" s="610"/>
      <c r="G1574" s="610"/>
      <c r="H1574" s="610"/>
      <c r="I1574" s="610"/>
      <c r="J1574" s="610"/>
      <c r="K1574" s="610"/>
      <c r="L1574" s="610"/>
      <c r="M1574" s="610"/>
      <c r="N1574" s="610"/>
      <c r="O1574" s="610"/>
      <c r="P1574" s="610"/>
      <c r="Q1574" s="610"/>
      <c r="R1574" s="610"/>
      <c r="S1574" s="610"/>
      <c r="T1574" s="610"/>
      <c r="U1574" s="610"/>
      <c r="V1574" s="610"/>
      <c r="W1574" s="610"/>
      <c r="X1574" s="610"/>
      <c r="Y1574" s="610"/>
      <c r="Z1574" s="610"/>
      <c r="AA1574" s="610"/>
      <c r="AB1574" s="610"/>
      <c r="AC1574" s="610"/>
      <c r="AD1574" s="610"/>
      <c r="AE1574" s="610"/>
      <c r="AF1574" s="610"/>
      <c r="AG1574" s="610"/>
      <c r="AH1574" s="610"/>
      <c r="AI1574" s="610"/>
      <c r="AJ1574" s="610"/>
      <c r="AK1574" s="610"/>
      <c r="AL1574" s="610"/>
      <c r="AM1574" s="610"/>
      <c r="AN1574" s="610"/>
      <c r="AO1574" s="610"/>
      <c r="AP1574" s="610"/>
      <c r="AQ1574" s="610"/>
      <c r="AR1574" s="613" t="e">
        <f>BT1573</f>
        <v>#REF!</v>
      </c>
      <c r="AS1574" s="1449" t="e">
        <f>BT1573</f>
        <v>#REF!</v>
      </c>
      <c r="AT1574" s="1449"/>
      <c r="AU1574" s="1449"/>
      <c r="AV1574" s="1449"/>
      <c r="AW1574" s="1449"/>
      <c r="AX1574" s="1449"/>
      <c r="AY1574" s="1449"/>
      <c r="AZ1574" s="1449"/>
      <c r="BA1574" s="1449"/>
      <c r="BB1574" s="1449"/>
      <c r="BC1574" s="610"/>
      <c r="BD1574" s="1443" t="s">
        <v>446</v>
      </c>
      <c r="BE1574" s="1443"/>
      <c r="BF1574" s="610"/>
      <c r="BG1574" s="1443">
        <v>24</v>
      </c>
      <c r="BH1574" s="1443"/>
      <c r="BI1574" s="1443"/>
      <c r="BJ1574" s="1443"/>
      <c r="BK1574" s="1443"/>
      <c r="BL1574" s="610" t="s">
        <v>1112</v>
      </c>
      <c r="BM1574" s="610"/>
      <c r="BN1574" s="610"/>
      <c r="BO1574" s="610"/>
      <c r="BP1574" s="1443" t="s">
        <v>41</v>
      </c>
      <c r="BQ1574" s="1443"/>
      <c r="BR1574" s="610"/>
      <c r="BS1574" s="610"/>
      <c r="BT1574" s="1450" t="e">
        <f>INT(AS1574*BG1574/100)</f>
        <v>#REF!</v>
      </c>
      <c r="BU1574" s="1450"/>
      <c r="BV1574" s="1450"/>
      <c r="BW1574" s="1450"/>
      <c r="BX1574" s="1450"/>
      <c r="BY1574" s="1450"/>
      <c r="BZ1574" s="1450"/>
      <c r="CA1574" s="1450"/>
      <c r="CB1574" s="1450"/>
      <c r="CC1574" s="1450"/>
      <c r="CD1574" s="610"/>
      <c r="CE1574" s="610"/>
      <c r="CF1574" s="615"/>
      <c r="CG1574" s="616"/>
      <c r="CH1574" s="616"/>
      <c r="CI1574" s="616"/>
      <c r="CJ1574" s="616"/>
      <c r="CK1574" s="616"/>
      <c r="CL1574" s="616"/>
      <c r="CM1574" s="616"/>
      <c r="CN1574" s="616"/>
      <c r="CO1574" s="616"/>
      <c r="CP1574" s="616"/>
      <c r="CQ1574" s="616"/>
      <c r="CR1574" s="616"/>
      <c r="CS1574" s="616"/>
      <c r="CT1574" s="616"/>
      <c r="CU1574" s="616"/>
      <c r="CV1574" s="616"/>
      <c r="CW1574" s="616"/>
      <c r="CX1574" s="616"/>
      <c r="CY1574" s="616"/>
      <c r="CZ1574" s="616"/>
      <c r="DA1574" s="616"/>
      <c r="DB1574" s="616"/>
      <c r="DC1574" s="616"/>
      <c r="DD1574" s="616"/>
      <c r="DE1574" s="616"/>
      <c r="DF1574" s="616"/>
      <c r="DG1574" s="616"/>
      <c r="DH1574" s="616"/>
      <c r="DI1574" s="616"/>
      <c r="DJ1574" s="616"/>
      <c r="DK1574" s="616"/>
      <c r="DL1574" s="616"/>
      <c r="DM1574" s="616"/>
      <c r="DN1574" s="616"/>
      <c r="DO1574" s="616"/>
      <c r="DP1574" s="616"/>
      <c r="DQ1574" s="616"/>
      <c r="DR1574" s="616"/>
      <c r="DS1574" s="616"/>
      <c r="DT1574" s="616"/>
      <c r="DU1574" s="616"/>
      <c r="DV1574" s="616"/>
      <c r="DW1574" s="616"/>
      <c r="DX1574" s="616"/>
      <c r="DY1574" s="616"/>
      <c r="DZ1574" s="616"/>
      <c r="EA1574" s="616"/>
      <c r="EB1574" s="616"/>
      <c r="EC1574" s="616"/>
      <c r="ED1574" s="616"/>
      <c r="EE1574" s="616"/>
      <c r="EF1574" s="616"/>
      <c r="EG1574" s="616"/>
      <c r="EH1574" s="616"/>
      <c r="EI1574" s="616"/>
      <c r="EJ1574" s="616"/>
      <c r="EK1574" s="616"/>
      <c r="EL1574" s="616"/>
      <c r="EM1574" s="616"/>
      <c r="EN1574" s="616"/>
      <c r="EO1574" s="616"/>
      <c r="EP1574" s="616"/>
      <c r="EQ1574" s="616"/>
      <c r="ER1574" s="616"/>
      <c r="ES1574" s="616"/>
      <c r="ET1574" s="616"/>
      <c r="EU1574" s="616"/>
      <c r="EV1574" s="616"/>
      <c r="EW1574" s="616"/>
      <c r="EX1574" s="616"/>
      <c r="EY1574" s="616"/>
      <c r="EZ1574" s="616"/>
      <c r="FA1574" s="616"/>
      <c r="FB1574" s="616"/>
      <c r="FC1574" s="616"/>
      <c r="FD1574" s="616"/>
      <c r="FE1574" s="616"/>
      <c r="FF1574" s="616"/>
      <c r="FG1574" s="616"/>
      <c r="FH1574" s="616"/>
      <c r="FI1574" s="616"/>
      <c r="FJ1574" s="616"/>
      <c r="FK1574" s="616"/>
      <c r="FL1574" s="616"/>
      <c r="FM1574" s="616"/>
      <c r="FN1574" s="616"/>
      <c r="FO1574" s="616"/>
      <c r="FP1574" s="616"/>
      <c r="FQ1574" s="616"/>
      <c r="FR1574" s="616"/>
      <c r="FS1574" s="616"/>
      <c r="FT1574" s="616"/>
      <c r="FU1574" s="616"/>
      <c r="FV1574" s="616"/>
      <c r="FW1574" s="616"/>
      <c r="FX1574" s="616"/>
      <c r="FY1574" s="616"/>
      <c r="FZ1574" s="616"/>
      <c r="GA1574" s="616"/>
      <c r="GB1574" s="616"/>
      <c r="GC1574" s="616"/>
      <c r="GD1574" s="616"/>
      <c r="GE1574" s="616"/>
      <c r="GF1574" s="616"/>
      <c r="GG1574" s="616"/>
      <c r="GH1574" s="616"/>
      <c r="GI1574" s="616"/>
      <c r="GJ1574" s="616"/>
      <c r="GK1574" s="616"/>
      <c r="GL1574" s="616"/>
      <c r="GM1574" s="616"/>
      <c r="GN1574" s="616"/>
      <c r="GO1574" s="616"/>
      <c r="GP1574" s="616"/>
      <c r="GQ1574" s="616"/>
      <c r="GR1574" s="616"/>
      <c r="GS1574" s="616"/>
      <c r="GT1574" s="616"/>
      <c r="GU1574" s="616"/>
      <c r="GV1574" s="616"/>
      <c r="GW1574" s="616"/>
      <c r="GX1574" s="616"/>
      <c r="GY1574" s="616"/>
      <c r="GZ1574" s="616"/>
      <c r="HA1574" s="616"/>
      <c r="HB1574" s="616"/>
      <c r="HC1574" s="616"/>
      <c r="HD1574" s="616"/>
      <c r="HE1574" s="616"/>
      <c r="HF1574" s="616"/>
      <c r="HG1574" s="616"/>
      <c r="HH1574" s="616"/>
      <c r="HI1574" s="616"/>
      <c r="HJ1574" s="616"/>
      <c r="HK1574" s="616"/>
      <c r="HL1574" s="616"/>
      <c r="HM1574" s="616"/>
      <c r="HN1574" s="616"/>
      <c r="HO1574" s="616"/>
      <c r="HP1574" s="616"/>
      <c r="HQ1574" s="616"/>
      <c r="HR1574" s="616"/>
      <c r="HS1574" s="616"/>
      <c r="HT1574" s="616"/>
      <c r="HU1574" s="616"/>
      <c r="HV1574" s="616"/>
      <c r="HW1574" s="616"/>
      <c r="HX1574" s="616"/>
      <c r="HY1574" s="616"/>
      <c r="HZ1574" s="616"/>
      <c r="IA1574" s="616"/>
      <c r="IB1574" s="616"/>
      <c r="IC1574" s="616"/>
      <c r="ID1574" s="616"/>
      <c r="IE1574" s="616"/>
      <c r="IF1574" s="616"/>
      <c r="IG1574" s="616"/>
      <c r="IH1574" s="616"/>
      <c r="II1574" s="616"/>
      <c r="IJ1574" s="616"/>
      <c r="IK1574" s="616"/>
      <c r="IL1574" s="616"/>
      <c r="IM1574" s="616"/>
      <c r="IN1574" s="616"/>
      <c r="IO1574" s="616"/>
      <c r="IP1574" s="616"/>
      <c r="IQ1574" s="616"/>
      <c r="IR1574" s="616"/>
      <c r="IS1574" s="616"/>
      <c r="IT1574" s="616"/>
      <c r="IU1574" s="616"/>
      <c r="IV1574" s="616"/>
    </row>
    <row r="1575" spans="1:256" s="583" customFormat="1" ht="23.1" customHeight="1" thickBot="1">
      <c r="A1575" s="609"/>
      <c r="B1575" s="610"/>
      <c r="C1575" s="610"/>
      <c r="D1575" s="610"/>
      <c r="E1575" s="610"/>
      <c r="F1575" s="610"/>
      <c r="G1575" s="610"/>
      <c r="H1575" s="610"/>
      <c r="I1575" s="610"/>
      <c r="J1575" s="610"/>
      <c r="K1575" s="610"/>
      <c r="L1575" s="610"/>
      <c r="M1575" s="610"/>
      <c r="N1575" s="610"/>
      <c r="O1575" s="610"/>
      <c r="P1575" s="610"/>
      <c r="Q1575" s="610"/>
      <c r="R1575" s="610"/>
      <c r="S1575" s="610"/>
      <c r="T1575" s="610"/>
      <c r="U1575" s="610"/>
      <c r="V1575" s="610"/>
      <c r="W1575" s="610"/>
      <c r="X1575" s="610"/>
      <c r="Y1575" s="610"/>
      <c r="Z1575" s="610"/>
      <c r="AA1575" s="610"/>
      <c r="AB1575" s="610"/>
      <c r="AC1575" s="610"/>
      <c r="AD1575" s="610"/>
      <c r="AE1575" s="610"/>
      <c r="AF1575" s="610"/>
      <c r="AG1575" s="610"/>
      <c r="AH1575" s="610"/>
      <c r="AI1575" s="610"/>
      <c r="AJ1575" s="610"/>
      <c r="AK1575" s="610"/>
      <c r="AL1575" s="610"/>
      <c r="AM1575" s="610"/>
      <c r="AN1575" s="610"/>
      <c r="AO1575" s="610"/>
      <c r="AP1575" s="610"/>
      <c r="AQ1575" s="610"/>
      <c r="AR1575" s="610"/>
      <c r="AS1575" s="610"/>
      <c r="AT1575" s="610"/>
      <c r="AU1575" s="610"/>
      <c r="AV1575" s="610"/>
      <c r="AW1575" s="610"/>
      <c r="AX1575" s="610"/>
      <c r="AY1575" s="610"/>
      <c r="AZ1575" s="610"/>
      <c r="BA1575" s="610"/>
      <c r="BB1575" s="610"/>
      <c r="BC1575" s="610"/>
      <c r="BD1575" s="610"/>
      <c r="BE1575" s="610"/>
      <c r="BF1575" s="610"/>
      <c r="BG1575" s="610"/>
      <c r="BH1575" s="610"/>
      <c r="BI1575" s="610"/>
      <c r="BJ1575" s="610"/>
      <c r="BK1575" s="610"/>
      <c r="BL1575" s="610"/>
      <c r="BM1575" s="610"/>
      <c r="BN1575" s="610"/>
      <c r="BO1575" s="610"/>
      <c r="BP1575" s="1443" t="s">
        <v>41</v>
      </c>
      <c r="BQ1575" s="1443"/>
      <c r="BR1575" s="610"/>
      <c r="BS1575" s="610"/>
      <c r="BT1575" s="1459" t="e">
        <f>BT1573+BT1574</f>
        <v>#REF!</v>
      </c>
      <c r="BU1575" s="1459"/>
      <c r="BV1575" s="1459"/>
      <c r="BW1575" s="1459"/>
      <c r="BX1575" s="1459"/>
      <c r="BY1575" s="1459"/>
      <c r="BZ1575" s="1459"/>
      <c r="CA1575" s="1459"/>
      <c r="CB1575" s="1459"/>
      <c r="CC1575" s="1459"/>
      <c r="CD1575" s="610"/>
      <c r="CE1575" s="610"/>
      <c r="CF1575" s="615"/>
      <c r="CG1575" s="616"/>
      <c r="CH1575" s="616"/>
      <c r="CI1575" s="616"/>
      <c r="CJ1575" s="616"/>
      <c r="CK1575" s="616"/>
      <c r="CL1575" s="616"/>
      <c r="CM1575" s="616"/>
      <c r="CN1575" s="616"/>
      <c r="CO1575" s="616"/>
      <c r="CP1575" s="616"/>
      <c r="CQ1575" s="616"/>
      <c r="CR1575" s="616"/>
      <c r="CS1575" s="616"/>
      <c r="CT1575" s="616"/>
      <c r="CU1575" s="616"/>
      <c r="CV1575" s="616"/>
      <c r="CW1575" s="616"/>
      <c r="CX1575" s="616"/>
      <c r="CY1575" s="616"/>
      <c r="CZ1575" s="616"/>
      <c r="DA1575" s="616"/>
      <c r="DB1575" s="616"/>
      <c r="DC1575" s="616"/>
      <c r="DD1575" s="616"/>
      <c r="DE1575" s="616"/>
      <c r="DF1575" s="616"/>
      <c r="DG1575" s="616"/>
      <c r="DH1575" s="616"/>
      <c r="DI1575" s="616"/>
      <c r="DJ1575" s="616"/>
      <c r="DK1575" s="616"/>
      <c r="DL1575" s="616"/>
      <c r="DM1575" s="616"/>
      <c r="DN1575" s="616"/>
      <c r="DO1575" s="616"/>
      <c r="DP1575" s="616"/>
      <c r="DQ1575" s="616"/>
      <c r="DR1575" s="616"/>
      <c r="DS1575" s="616"/>
      <c r="DT1575" s="616"/>
      <c r="DU1575" s="616"/>
      <c r="DV1575" s="616"/>
      <c r="DW1575" s="616"/>
      <c r="DX1575" s="616"/>
      <c r="DY1575" s="616"/>
      <c r="DZ1575" s="616"/>
      <c r="EA1575" s="616"/>
      <c r="EB1575" s="616"/>
      <c r="EC1575" s="616"/>
      <c r="ED1575" s="616"/>
      <c r="EE1575" s="616"/>
      <c r="EF1575" s="616"/>
      <c r="EG1575" s="616"/>
      <c r="EH1575" s="616"/>
      <c r="EI1575" s="616"/>
      <c r="EJ1575" s="616"/>
      <c r="EK1575" s="616"/>
      <c r="EL1575" s="616"/>
      <c r="EM1575" s="616"/>
      <c r="EN1575" s="616"/>
      <c r="EO1575" s="616"/>
      <c r="EP1575" s="616"/>
      <c r="EQ1575" s="616"/>
      <c r="ER1575" s="616"/>
      <c r="ES1575" s="616"/>
      <c r="ET1575" s="616"/>
      <c r="EU1575" s="616"/>
      <c r="EV1575" s="616"/>
      <c r="EW1575" s="616"/>
      <c r="EX1575" s="616"/>
      <c r="EY1575" s="616"/>
      <c r="EZ1575" s="616"/>
      <c r="FA1575" s="616"/>
      <c r="FB1575" s="616"/>
      <c r="FC1575" s="616"/>
      <c r="FD1575" s="616"/>
      <c r="FE1575" s="616"/>
      <c r="FF1575" s="616"/>
      <c r="FG1575" s="616"/>
      <c r="FH1575" s="616"/>
      <c r="FI1575" s="616"/>
      <c r="FJ1575" s="616"/>
      <c r="FK1575" s="616"/>
      <c r="FL1575" s="616"/>
      <c r="FM1575" s="616"/>
      <c r="FN1575" s="616"/>
      <c r="FO1575" s="616"/>
      <c r="FP1575" s="616"/>
      <c r="FQ1575" s="616"/>
      <c r="FR1575" s="616"/>
      <c r="FS1575" s="616"/>
      <c r="FT1575" s="616"/>
      <c r="FU1575" s="616"/>
      <c r="FV1575" s="616"/>
      <c r="FW1575" s="616"/>
      <c r="FX1575" s="616"/>
      <c r="FY1575" s="616"/>
      <c r="FZ1575" s="616"/>
      <c r="GA1575" s="616"/>
      <c r="GB1575" s="616"/>
      <c r="GC1575" s="616"/>
      <c r="GD1575" s="616"/>
      <c r="GE1575" s="616"/>
      <c r="GF1575" s="616"/>
      <c r="GG1575" s="616"/>
      <c r="GH1575" s="616"/>
      <c r="GI1575" s="616"/>
      <c r="GJ1575" s="616"/>
      <c r="GK1575" s="616"/>
      <c r="GL1575" s="616"/>
      <c r="GM1575" s="616"/>
      <c r="GN1575" s="616"/>
      <c r="GO1575" s="616"/>
      <c r="GP1575" s="616"/>
      <c r="GQ1575" s="616"/>
      <c r="GR1575" s="616"/>
      <c r="GS1575" s="616"/>
      <c r="GT1575" s="616"/>
      <c r="GU1575" s="616"/>
      <c r="GV1575" s="616"/>
      <c r="GW1575" s="616"/>
      <c r="GX1575" s="616"/>
      <c r="GY1575" s="616"/>
      <c r="GZ1575" s="616"/>
      <c r="HA1575" s="616"/>
      <c r="HB1575" s="616"/>
      <c r="HC1575" s="616"/>
      <c r="HD1575" s="616"/>
      <c r="HE1575" s="616"/>
      <c r="HF1575" s="616"/>
      <c r="HG1575" s="616"/>
      <c r="HH1575" s="616"/>
      <c r="HI1575" s="616"/>
      <c r="HJ1575" s="616"/>
      <c r="HK1575" s="616"/>
      <c r="HL1575" s="616"/>
      <c r="HM1575" s="616"/>
      <c r="HN1575" s="616"/>
      <c r="HO1575" s="616"/>
      <c r="HP1575" s="616"/>
      <c r="HQ1575" s="616"/>
      <c r="HR1575" s="616"/>
      <c r="HS1575" s="616"/>
      <c r="HT1575" s="616"/>
      <c r="HU1575" s="616"/>
      <c r="HV1575" s="616"/>
      <c r="HW1575" s="616"/>
      <c r="HX1575" s="616"/>
      <c r="HY1575" s="616"/>
      <c r="HZ1575" s="616"/>
      <c r="IA1575" s="616"/>
      <c r="IB1575" s="616"/>
      <c r="IC1575" s="616"/>
      <c r="ID1575" s="616"/>
      <c r="IE1575" s="616"/>
      <c r="IF1575" s="616"/>
      <c r="IG1575" s="616"/>
      <c r="IH1575" s="616"/>
      <c r="II1575" s="616"/>
      <c r="IJ1575" s="616"/>
      <c r="IK1575" s="616"/>
      <c r="IL1575" s="616"/>
      <c r="IM1575" s="616"/>
      <c r="IN1575" s="616"/>
      <c r="IO1575" s="616"/>
      <c r="IP1575" s="616"/>
      <c r="IQ1575" s="616"/>
      <c r="IR1575" s="616"/>
      <c r="IS1575" s="616"/>
      <c r="IT1575" s="616"/>
      <c r="IU1575" s="616"/>
      <c r="IV1575" s="616"/>
    </row>
    <row r="1576" spans="1:256" s="583" customFormat="1" ht="23.1" customHeight="1" thickBot="1">
      <c r="A1576" s="645"/>
      <c r="B1576" s="646" t="s">
        <v>1113</v>
      </c>
      <c r="C1576" s="646"/>
      <c r="D1576" s="646"/>
      <c r="E1576" s="646"/>
      <c r="F1576" s="646"/>
      <c r="G1576" s="646"/>
      <c r="H1576" s="646"/>
      <c r="I1576" s="646"/>
      <c r="J1576" s="646"/>
      <c r="K1576" s="646"/>
      <c r="L1576" s="646"/>
      <c r="M1576" s="646"/>
      <c r="N1576" s="646"/>
      <c r="O1576" s="646"/>
      <c r="P1576" s="646"/>
      <c r="Q1576" s="646"/>
      <c r="R1576" s="646"/>
      <c r="S1576" s="646"/>
      <c r="T1576" s="646"/>
      <c r="U1576" s="646"/>
      <c r="V1576" s="646"/>
      <c r="W1576" s="646"/>
      <c r="X1576" s="646"/>
      <c r="Y1576" s="646"/>
      <c r="Z1576" s="646"/>
      <c r="AA1576" s="646"/>
      <c r="AB1576" s="646"/>
      <c r="AC1576" s="646"/>
      <c r="AD1576" s="646"/>
      <c r="AE1576" s="646"/>
      <c r="AF1576" s="646"/>
      <c r="AG1576" s="646"/>
      <c r="AH1576" s="646"/>
      <c r="AI1576" s="646"/>
      <c r="AJ1576" s="646"/>
      <c r="AK1576" s="646"/>
      <c r="AL1576" s="646"/>
      <c r="AM1576" s="646"/>
      <c r="AN1576" s="646"/>
      <c r="AO1576" s="646"/>
      <c r="AP1576" s="646"/>
      <c r="AQ1576" s="646"/>
      <c r="AR1576" s="646"/>
      <c r="AS1576" s="646"/>
      <c r="AT1576" s="646"/>
      <c r="AU1576" s="646"/>
      <c r="AV1576" s="646"/>
      <c r="AW1576" s="646"/>
      <c r="AX1576" s="646"/>
      <c r="AY1576" s="646"/>
      <c r="AZ1576" s="646"/>
      <c r="BA1576" s="646"/>
      <c r="BB1576" s="646"/>
      <c r="BC1576" s="646"/>
      <c r="BD1576" s="646"/>
      <c r="BE1576" s="646"/>
      <c r="BF1576" s="646"/>
      <c r="BG1576" s="646"/>
      <c r="BH1576" s="646"/>
      <c r="BI1576" s="646"/>
      <c r="BJ1576" s="646"/>
      <c r="BK1576" s="646"/>
      <c r="BL1576" s="646"/>
      <c r="BM1576" s="646"/>
      <c r="BN1576" s="646"/>
      <c r="BO1576" s="646"/>
      <c r="BP1576" s="646"/>
      <c r="BQ1576" s="646"/>
      <c r="BR1576" s="646"/>
      <c r="BS1576" s="646"/>
      <c r="BT1576" s="1445" t="e">
        <f>BT1567+BT1571+BT1575</f>
        <v>#REF!</v>
      </c>
      <c r="BU1576" s="1445"/>
      <c r="BV1576" s="1445"/>
      <c r="BW1576" s="1445"/>
      <c r="BX1576" s="1445"/>
      <c r="BY1576" s="1445"/>
      <c r="BZ1576" s="1445"/>
      <c r="CA1576" s="1445"/>
      <c r="CB1576" s="1445"/>
      <c r="CC1576" s="1445"/>
      <c r="CD1576" s="646"/>
      <c r="CE1576" s="646"/>
      <c r="CF1576" s="647"/>
      <c r="CG1576" s="616"/>
      <c r="CH1576" s="616"/>
      <c r="CI1576" s="616"/>
      <c r="CJ1576" s="616"/>
      <c r="CK1576" s="616"/>
      <c r="CL1576" s="616"/>
      <c r="CM1576" s="616"/>
      <c r="CN1576" s="616"/>
      <c r="CO1576" s="616"/>
      <c r="CP1576" s="616"/>
      <c r="CQ1576" s="616"/>
      <c r="CR1576" s="616"/>
      <c r="CS1576" s="616"/>
      <c r="CT1576" s="616"/>
      <c r="CU1576" s="616"/>
      <c r="CV1576" s="616"/>
      <c r="CW1576" s="616"/>
      <c r="CX1576" s="616"/>
      <c r="CY1576" s="616"/>
      <c r="CZ1576" s="616"/>
      <c r="DA1576" s="616"/>
      <c r="DB1576" s="616"/>
      <c r="DC1576" s="616"/>
      <c r="DD1576" s="616"/>
      <c r="DE1576" s="616"/>
      <c r="DF1576" s="616"/>
      <c r="DG1576" s="616"/>
      <c r="DH1576" s="616"/>
      <c r="DI1576" s="616"/>
      <c r="DJ1576" s="616"/>
      <c r="DK1576" s="616"/>
      <c r="DL1576" s="616"/>
      <c r="DM1576" s="616"/>
      <c r="DN1576" s="616"/>
      <c r="DO1576" s="616"/>
      <c r="DP1576" s="616"/>
      <c r="DQ1576" s="616"/>
      <c r="DR1576" s="616"/>
      <c r="DS1576" s="616"/>
      <c r="DT1576" s="616"/>
      <c r="DU1576" s="616"/>
      <c r="DV1576" s="616"/>
      <c r="DW1576" s="616"/>
      <c r="DX1576" s="616"/>
      <c r="DY1576" s="616"/>
      <c r="DZ1576" s="616"/>
      <c r="EA1576" s="616"/>
      <c r="EB1576" s="616"/>
      <c r="EC1576" s="616"/>
      <c r="ED1576" s="616"/>
      <c r="EE1576" s="616"/>
      <c r="EF1576" s="616"/>
      <c r="EG1576" s="616"/>
      <c r="EH1576" s="616"/>
      <c r="EI1576" s="616"/>
      <c r="EJ1576" s="616"/>
      <c r="EK1576" s="616"/>
      <c r="EL1576" s="616"/>
      <c r="EM1576" s="616"/>
      <c r="EN1576" s="616"/>
      <c r="EO1576" s="616"/>
      <c r="EP1576" s="616"/>
      <c r="EQ1576" s="616"/>
      <c r="ER1576" s="616"/>
      <c r="ES1576" s="616"/>
      <c r="ET1576" s="616"/>
      <c r="EU1576" s="616"/>
      <c r="EV1576" s="616"/>
      <c r="EW1576" s="616"/>
      <c r="EX1576" s="616"/>
      <c r="EY1576" s="616"/>
      <c r="EZ1576" s="616"/>
      <c r="FA1576" s="616"/>
      <c r="FB1576" s="616"/>
      <c r="FC1576" s="616"/>
      <c r="FD1576" s="616"/>
      <c r="FE1576" s="616"/>
      <c r="FF1576" s="616"/>
      <c r="FG1576" s="616"/>
      <c r="FH1576" s="616"/>
      <c r="FI1576" s="616"/>
      <c r="FJ1576" s="616"/>
      <c r="FK1576" s="616"/>
      <c r="FL1576" s="616"/>
      <c r="FM1576" s="616"/>
      <c r="FN1576" s="616"/>
      <c r="FO1576" s="616"/>
      <c r="FP1576" s="616"/>
      <c r="FQ1576" s="616"/>
      <c r="FR1576" s="616"/>
      <c r="FS1576" s="616"/>
      <c r="FT1576" s="616"/>
      <c r="FU1576" s="616"/>
      <c r="FV1576" s="616"/>
      <c r="FW1576" s="616"/>
      <c r="FX1576" s="616"/>
      <c r="FY1576" s="616"/>
      <c r="FZ1576" s="616"/>
      <c r="GA1576" s="616"/>
      <c r="GB1576" s="616"/>
      <c r="GC1576" s="616"/>
      <c r="GD1576" s="616"/>
      <c r="GE1576" s="616"/>
      <c r="GF1576" s="616"/>
      <c r="GG1576" s="616"/>
      <c r="GH1576" s="616"/>
      <c r="GI1576" s="616"/>
      <c r="GJ1576" s="616"/>
      <c r="GK1576" s="616"/>
      <c r="GL1576" s="616"/>
      <c r="GM1576" s="616"/>
      <c r="GN1576" s="616"/>
      <c r="GO1576" s="616"/>
      <c r="GP1576" s="616"/>
      <c r="GQ1576" s="616"/>
      <c r="GR1576" s="616"/>
      <c r="GS1576" s="616"/>
      <c r="GT1576" s="616"/>
      <c r="GU1576" s="616"/>
      <c r="GV1576" s="616"/>
      <c r="GW1576" s="616"/>
      <c r="GX1576" s="616"/>
      <c r="GY1576" s="616"/>
      <c r="GZ1576" s="616"/>
      <c r="HA1576" s="616"/>
      <c r="HB1576" s="616"/>
      <c r="HC1576" s="616"/>
      <c r="HD1576" s="616"/>
      <c r="HE1576" s="616"/>
      <c r="HF1576" s="616"/>
      <c r="HG1576" s="616"/>
      <c r="HH1576" s="616"/>
      <c r="HI1576" s="616"/>
      <c r="HJ1576" s="616"/>
      <c r="HK1576" s="616"/>
      <c r="HL1576" s="616"/>
      <c r="HM1576" s="616"/>
      <c r="HN1576" s="616"/>
      <c r="HO1576" s="616"/>
      <c r="HP1576" s="616"/>
      <c r="HQ1576" s="616"/>
      <c r="HR1576" s="616"/>
      <c r="HS1576" s="616"/>
      <c r="HT1576" s="616"/>
      <c r="HU1576" s="616"/>
      <c r="HV1576" s="616"/>
      <c r="HW1576" s="616"/>
      <c r="HX1576" s="616"/>
      <c r="HY1576" s="616"/>
      <c r="HZ1576" s="616"/>
      <c r="IA1576" s="616"/>
      <c r="IB1576" s="616"/>
      <c r="IC1576" s="616"/>
      <c r="ID1576" s="616"/>
      <c r="IE1576" s="616"/>
      <c r="IF1576" s="616"/>
      <c r="IG1576" s="616"/>
      <c r="IH1576" s="616"/>
      <c r="II1576" s="616"/>
      <c r="IJ1576" s="616"/>
      <c r="IK1576" s="616"/>
      <c r="IL1576" s="616"/>
      <c r="IM1576" s="616"/>
      <c r="IN1576" s="616"/>
      <c r="IO1576" s="616"/>
      <c r="IP1576" s="616"/>
      <c r="IQ1576" s="616"/>
      <c r="IR1576" s="616"/>
      <c r="IS1576" s="616"/>
      <c r="IT1576" s="616"/>
      <c r="IU1576" s="616"/>
      <c r="IV1576" s="616"/>
    </row>
    <row r="1577" spans="1:256" s="583" customFormat="1" ht="9.9499999999999993" customHeight="1">
      <c r="A1577" s="574"/>
      <c r="B1577" s="574"/>
      <c r="C1577" s="574"/>
      <c r="D1577" s="574"/>
      <c r="E1577" s="574"/>
      <c r="F1577" s="574"/>
      <c r="G1577" s="574"/>
      <c r="H1577" s="574"/>
      <c r="I1577" s="574"/>
      <c r="J1577" s="574"/>
      <c r="K1577" s="574"/>
      <c r="L1577" s="574"/>
      <c r="M1577" s="574"/>
      <c r="N1577" s="574"/>
      <c r="O1577" s="574"/>
      <c r="P1577" s="574"/>
      <c r="Q1577" s="574"/>
      <c r="R1577" s="574"/>
      <c r="S1577" s="574"/>
      <c r="T1577" s="574"/>
      <c r="U1577" s="574"/>
      <c r="V1577" s="574"/>
      <c r="W1577" s="574"/>
      <c r="X1577" s="574"/>
      <c r="Y1577" s="574"/>
      <c r="Z1577" s="574"/>
      <c r="AA1577" s="574"/>
      <c r="AB1577" s="574"/>
      <c r="AC1577" s="574"/>
      <c r="AD1577" s="574"/>
      <c r="AE1577" s="574"/>
      <c r="AF1577" s="574"/>
      <c r="AG1577" s="574"/>
      <c r="AH1577" s="574"/>
      <c r="AI1577" s="574"/>
      <c r="AJ1577" s="574"/>
      <c r="AK1577" s="574"/>
      <c r="AL1577" s="574"/>
      <c r="AM1577" s="574"/>
      <c r="AN1577" s="574"/>
      <c r="AO1577" s="574"/>
      <c r="AP1577" s="574"/>
      <c r="AQ1577" s="574"/>
      <c r="AR1577" s="574"/>
      <c r="AS1577" s="574"/>
      <c r="AT1577" s="574"/>
      <c r="AU1577" s="574"/>
      <c r="AV1577" s="574"/>
      <c r="AW1577" s="574"/>
      <c r="AX1577" s="574"/>
      <c r="AY1577" s="574"/>
      <c r="AZ1577" s="574"/>
      <c r="BA1577" s="574"/>
      <c r="BB1577" s="574"/>
      <c r="BC1577" s="574"/>
      <c r="BD1577" s="574"/>
      <c r="BE1577" s="574"/>
      <c r="BF1577" s="574"/>
      <c r="BG1577" s="574"/>
      <c r="BH1577" s="574"/>
      <c r="BI1577" s="574"/>
      <c r="BJ1577" s="574"/>
      <c r="BK1577" s="574"/>
      <c r="BL1577" s="574"/>
      <c r="BM1577" s="574"/>
      <c r="BN1577" s="574"/>
      <c r="BO1577" s="574"/>
      <c r="BP1577" s="574"/>
      <c r="BQ1577" s="574"/>
      <c r="BR1577" s="574"/>
      <c r="BS1577" s="574"/>
      <c r="BT1577" s="574"/>
      <c r="BU1577" s="574"/>
      <c r="BV1577" s="574"/>
      <c r="BW1577" s="574"/>
      <c r="BX1577" s="574"/>
      <c r="BY1577" s="574"/>
      <c r="BZ1577" s="574"/>
      <c r="CA1577" s="574"/>
      <c r="CB1577" s="574"/>
      <c r="CC1577" s="574"/>
      <c r="CD1577" s="574"/>
      <c r="CE1577" s="574"/>
      <c r="CF1577" s="574"/>
    </row>
    <row r="1578" spans="1:256" s="583" customFormat="1" ht="23.1" customHeight="1" thickBot="1">
      <c r="A1578" s="1446" t="s">
        <v>1095</v>
      </c>
      <c r="B1578" s="1446"/>
      <c r="C1578" s="1446"/>
      <c r="D1578" s="1446"/>
      <c r="E1578" s="1446"/>
      <c r="F1578" s="1446"/>
      <c r="G1578" s="1447">
        <f>G1563+1</f>
        <v>106</v>
      </c>
      <c r="H1578" s="1447"/>
      <c r="I1578" s="1447"/>
      <c r="J1578" s="1447"/>
      <c r="K1578" s="1448" t="s">
        <v>1096</v>
      </c>
      <c r="L1578" s="1448"/>
      <c r="O1578" s="574"/>
      <c r="P1578" s="574"/>
      <c r="Q1578" s="574"/>
      <c r="R1578" s="574"/>
      <c r="S1578" s="574"/>
      <c r="T1578" s="574"/>
      <c r="U1578" s="574"/>
      <c r="V1578" s="574"/>
      <c r="W1578" s="574"/>
      <c r="X1578" s="574"/>
      <c r="Y1578" s="574"/>
      <c r="Z1578" s="574"/>
      <c r="AA1578" s="574"/>
      <c r="AB1578" s="574"/>
      <c r="AC1578" s="574"/>
      <c r="AD1578" s="574"/>
      <c r="AE1578" s="574"/>
      <c r="AF1578" s="574"/>
      <c r="AG1578" s="574"/>
      <c r="AH1578" s="574"/>
      <c r="AI1578" s="574"/>
      <c r="AJ1578" s="574"/>
      <c r="AK1578" s="574"/>
      <c r="AL1578" s="574"/>
      <c r="AM1578" s="574"/>
      <c r="AN1578" s="574"/>
      <c r="AO1578" s="574"/>
      <c r="AP1578" s="574"/>
      <c r="AQ1578" s="574"/>
      <c r="AR1578" s="574"/>
      <c r="AS1578" s="574"/>
      <c r="AT1578" s="574"/>
      <c r="AU1578" s="574"/>
      <c r="AV1578" s="574"/>
      <c r="AW1578" s="574"/>
      <c r="AX1578" s="574"/>
      <c r="AY1578" s="574"/>
      <c r="AZ1578" s="574"/>
      <c r="BA1578" s="574"/>
      <c r="BB1578" s="574"/>
      <c r="BC1578" s="574"/>
      <c r="BD1578" s="574"/>
      <c r="BE1578" s="574"/>
      <c r="BF1578" s="574"/>
      <c r="BG1578" s="574"/>
      <c r="BH1578" s="574"/>
      <c r="BI1578" s="574"/>
      <c r="BJ1578" s="574"/>
      <c r="BK1578" s="574"/>
      <c r="BL1578" s="574"/>
      <c r="BM1578" s="574"/>
      <c r="BN1578" s="574"/>
      <c r="BO1578" s="574"/>
      <c r="BP1578" s="574"/>
      <c r="BQ1578" s="574"/>
      <c r="BR1578" s="574"/>
      <c r="BS1578" s="574"/>
      <c r="BT1578" s="574"/>
      <c r="BU1578" s="574"/>
      <c r="BV1578" s="574"/>
      <c r="BW1578" s="574"/>
      <c r="BX1578" s="574"/>
      <c r="BY1578" s="574"/>
      <c r="BZ1578" s="574"/>
      <c r="CA1578" s="574"/>
      <c r="CB1578" s="574"/>
      <c r="CC1578" s="574"/>
      <c r="CD1578" s="574"/>
      <c r="CE1578" s="574"/>
      <c r="CF1578" s="574"/>
    </row>
    <row r="1579" spans="1:256" s="603" customFormat="1" ht="23.1" customHeight="1" thickBot="1">
      <c r="A1579" s="1457" t="s">
        <v>1097</v>
      </c>
      <c r="B1579" s="1458"/>
      <c r="C1579" s="1458"/>
      <c r="D1579" s="1458"/>
      <c r="E1579" s="1458"/>
      <c r="F1579" s="1458"/>
      <c r="G1579" s="1458"/>
      <c r="H1579" s="1458"/>
      <c r="I1579" s="630" t="s">
        <v>1062</v>
      </c>
      <c r="J1579" s="630"/>
      <c r="K1579" s="630"/>
      <c r="L1579" s="630"/>
      <c r="M1579" s="630"/>
      <c r="N1579" s="630"/>
      <c r="O1579" s="630"/>
      <c r="P1579" s="630"/>
      <c r="Q1579" s="630"/>
      <c r="R1579" s="630"/>
      <c r="S1579" s="630"/>
      <c r="T1579" s="630"/>
      <c r="U1579" s="630"/>
      <c r="V1579" s="630"/>
      <c r="W1579" s="630"/>
      <c r="X1579" s="630"/>
      <c r="Y1579" s="630"/>
      <c r="Z1579" s="630"/>
      <c r="AA1579" s="630"/>
      <c r="AB1579" s="630"/>
      <c r="AC1579" s="630"/>
      <c r="AD1579" s="630"/>
      <c r="AE1579" s="630"/>
      <c r="AF1579" s="630"/>
      <c r="AG1579" s="630"/>
      <c r="AH1579" s="630"/>
      <c r="AI1579" s="630"/>
      <c r="AJ1579" s="1458" t="s">
        <v>1099</v>
      </c>
      <c r="AK1579" s="1458"/>
      <c r="AL1579" s="1458"/>
      <c r="AM1579" s="1458"/>
      <c r="AN1579" s="1458"/>
      <c r="AO1579" s="1458"/>
      <c r="AP1579" s="1458"/>
      <c r="AQ1579" s="630"/>
      <c r="AR1579" s="630"/>
      <c r="AS1579" s="630"/>
      <c r="AT1579" s="630"/>
      <c r="AU1579" s="630"/>
      <c r="AV1579" s="630"/>
      <c r="AW1579" s="630"/>
      <c r="AX1579" s="630"/>
      <c r="AY1579" s="630"/>
      <c r="AZ1579" s="630"/>
      <c r="BA1579" s="630"/>
      <c r="BB1579" s="630"/>
      <c r="BC1579" s="630"/>
      <c r="BD1579" s="630"/>
      <c r="BE1579" s="630"/>
      <c r="BF1579" s="630"/>
      <c r="BG1579" s="630"/>
      <c r="BH1579" s="630"/>
      <c r="BI1579" s="630"/>
      <c r="BJ1579" s="630"/>
      <c r="BK1579" s="630"/>
      <c r="BL1579" s="630"/>
      <c r="BM1579" s="630"/>
      <c r="BN1579" s="630"/>
      <c r="BO1579" s="630"/>
      <c r="BP1579" s="630"/>
      <c r="BQ1579" s="630"/>
      <c r="BR1579" s="630"/>
      <c r="BS1579" s="630"/>
      <c r="BT1579" s="630" t="s">
        <v>1296</v>
      </c>
      <c r="BU1579" s="630"/>
      <c r="BV1579" s="630"/>
      <c r="BW1579" s="630"/>
      <c r="BX1579" s="630"/>
      <c r="BY1579" s="630"/>
      <c r="BZ1579" s="630"/>
      <c r="CA1579" s="630"/>
      <c r="CB1579" s="630"/>
      <c r="CC1579" s="630"/>
      <c r="CD1579" s="630"/>
      <c r="CE1579" s="630"/>
      <c r="CF1579" s="631"/>
      <c r="CG1579" s="632"/>
      <c r="CH1579" s="632"/>
      <c r="CI1579" s="632"/>
      <c r="CJ1579" s="632"/>
      <c r="CK1579" s="632"/>
      <c r="CL1579" s="632"/>
      <c r="CM1579" s="632"/>
      <c r="CN1579" s="632"/>
      <c r="CO1579" s="632"/>
      <c r="CP1579" s="632"/>
      <c r="CQ1579" s="632"/>
      <c r="CR1579" s="632"/>
      <c r="CS1579" s="632"/>
      <c r="CT1579" s="632"/>
      <c r="CU1579" s="632"/>
      <c r="CV1579" s="632"/>
      <c r="CW1579" s="632"/>
      <c r="CX1579" s="632"/>
      <c r="CY1579" s="632"/>
      <c r="CZ1579" s="632"/>
      <c r="DA1579" s="632"/>
      <c r="DB1579" s="632"/>
      <c r="DC1579" s="632"/>
      <c r="DD1579" s="632"/>
      <c r="DE1579" s="632"/>
      <c r="DF1579" s="632"/>
      <c r="DG1579" s="632"/>
      <c r="DH1579" s="632"/>
      <c r="DI1579" s="632"/>
      <c r="DJ1579" s="632"/>
      <c r="DK1579" s="632"/>
      <c r="DL1579" s="632"/>
      <c r="DM1579" s="632"/>
      <c r="DN1579" s="632"/>
      <c r="DO1579" s="632"/>
      <c r="DP1579" s="632"/>
      <c r="DQ1579" s="632"/>
      <c r="DR1579" s="632"/>
      <c r="DS1579" s="632"/>
      <c r="DT1579" s="632"/>
      <c r="DU1579" s="632"/>
      <c r="DV1579" s="632"/>
      <c r="DW1579" s="632"/>
      <c r="DX1579" s="632"/>
      <c r="DY1579" s="632"/>
      <c r="DZ1579" s="632"/>
      <c r="EA1579" s="632"/>
      <c r="EB1579" s="632"/>
      <c r="EC1579" s="632"/>
      <c r="ED1579" s="632"/>
      <c r="EE1579" s="632"/>
      <c r="EF1579" s="632"/>
      <c r="EG1579" s="632"/>
      <c r="EH1579" s="632"/>
      <c r="EI1579" s="632"/>
      <c r="EJ1579" s="632"/>
      <c r="EK1579" s="632"/>
      <c r="EL1579" s="632"/>
      <c r="EM1579" s="632"/>
      <c r="EN1579" s="632"/>
      <c r="EO1579" s="632"/>
      <c r="EP1579" s="632"/>
      <c r="EQ1579" s="632"/>
      <c r="ER1579" s="632"/>
      <c r="ES1579" s="632"/>
      <c r="ET1579" s="632"/>
      <c r="EU1579" s="632"/>
      <c r="EV1579" s="632"/>
      <c r="EW1579" s="632"/>
      <c r="EX1579" s="632"/>
      <c r="EY1579" s="632"/>
      <c r="EZ1579" s="632"/>
      <c r="FA1579" s="632"/>
      <c r="FB1579" s="632"/>
      <c r="FC1579" s="632"/>
      <c r="FD1579" s="632"/>
      <c r="FE1579" s="632"/>
      <c r="FF1579" s="632"/>
      <c r="FG1579" s="632"/>
      <c r="FH1579" s="632"/>
      <c r="FI1579" s="632"/>
      <c r="FJ1579" s="632"/>
      <c r="FK1579" s="632"/>
      <c r="FL1579" s="632"/>
      <c r="FM1579" s="632"/>
      <c r="FN1579" s="632"/>
      <c r="FO1579" s="632"/>
      <c r="FP1579" s="632"/>
      <c r="FQ1579" s="632"/>
      <c r="FR1579" s="632"/>
      <c r="FS1579" s="632"/>
      <c r="FT1579" s="632"/>
      <c r="FU1579" s="632"/>
      <c r="FV1579" s="632"/>
      <c r="FW1579" s="632"/>
      <c r="FX1579" s="632"/>
      <c r="FY1579" s="632"/>
      <c r="FZ1579" s="632"/>
      <c r="GA1579" s="632"/>
      <c r="GB1579" s="632"/>
      <c r="GC1579" s="632"/>
      <c r="GD1579" s="632"/>
      <c r="GE1579" s="632"/>
      <c r="GF1579" s="632"/>
      <c r="GG1579" s="632"/>
      <c r="GH1579" s="632"/>
      <c r="GI1579" s="632"/>
      <c r="GJ1579" s="632"/>
      <c r="GK1579" s="632"/>
      <c r="GL1579" s="632"/>
      <c r="GM1579" s="632"/>
      <c r="GN1579" s="632"/>
      <c r="GO1579" s="632"/>
      <c r="GP1579" s="632"/>
      <c r="GQ1579" s="632"/>
      <c r="GR1579" s="632"/>
      <c r="GS1579" s="632"/>
      <c r="GT1579" s="632"/>
      <c r="GU1579" s="632"/>
      <c r="GV1579" s="632"/>
      <c r="GW1579" s="632"/>
      <c r="GX1579" s="632"/>
      <c r="GY1579" s="632"/>
      <c r="GZ1579" s="632"/>
      <c r="HA1579" s="632"/>
      <c r="HB1579" s="632"/>
      <c r="HC1579" s="632"/>
      <c r="HD1579" s="632"/>
      <c r="HE1579" s="632"/>
      <c r="HF1579" s="632"/>
      <c r="HG1579" s="632"/>
      <c r="HH1579" s="632"/>
      <c r="HI1579" s="632"/>
      <c r="HJ1579" s="632"/>
      <c r="HK1579" s="632"/>
      <c r="HL1579" s="632"/>
      <c r="HM1579" s="632"/>
      <c r="HN1579" s="632"/>
      <c r="HO1579" s="632"/>
      <c r="HP1579" s="632"/>
      <c r="HQ1579" s="632"/>
      <c r="HR1579" s="632"/>
      <c r="HS1579" s="632"/>
      <c r="HT1579" s="632"/>
      <c r="HU1579" s="632"/>
      <c r="HV1579" s="632"/>
      <c r="HW1579" s="632"/>
      <c r="HX1579" s="632"/>
      <c r="HY1579" s="632"/>
      <c r="HZ1579" s="632"/>
      <c r="IA1579" s="632"/>
      <c r="IB1579" s="632"/>
      <c r="IC1579" s="632"/>
      <c r="ID1579" s="632"/>
      <c r="IE1579" s="632"/>
      <c r="IF1579" s="632"/>
      <c r="IG1579" s="632"/>
      <c r="IH1579" s="632"/>
      <c r="II1579" s="632"/>
      <c r="IJ1579" s="632"/>
      <c r="IK1579" s="632"/>
      <c r="IL1579" s="632"/>
      <c r="IM1579" s="632"/>
      <c r="IN1579" s="632"/>
      <c r="IO1579" s="632"/>
      <c r="IP1579" s="632"/>
      <c r="IQ1579" s="632"/>
      <c r="IR1579" s="632"/>
      <c r="IS1579" s="632"/>
      <c r="IT1579" s="632"/>
      <c r="IU1579" s="632"/>
      <c r="IV1579" s="632"/>
    </row>
    <row r="1580" spans="1:256" s="583" customFormat="1" ht="23.1" customHeight="1">
      <c r="A1580" s="609"/>
      <c r="B1580" s="610" t="s">
        <v>1298</v>
      </c>
      <c r="C1580" s="610"/>
      <c r="D1580" s="610"/>
      <c r="E1580" s="610"/>
      <c r="F1580" s="610"/>
      <c r="G1580" s="610"/>
      <c r="H1580" s="610"/>
      <c r="I1580" s="610"/>
      <c r="J1580" s="610"/>
      <c r="K1580" s="610"/>
      <c r="L1580" s="610"/>
      <c r="M1580" s="610"/>
      <c r="N1580" s="610"/>
      <c r="O1580" s="610"/>
      <c r="P1580" s="610"/>
      <c r="Q1580" s="610"/>
      <c r="R1580" s="610"/>
      <c r="S1580" s="610"/>
      <c r="T1580" s="610"/>
      <c r="U1580" s="610"/>
      <c r="V1580" s="610"/>
      <c r="W1580" s="610"/>
      <c r="X1580" s="610"/>
      <c r="Y1580" s="610"/>
      <c r="Z1580" s="610"/>
      <c r="AA1580" s="610"/>
      <c r="AB1580" s="610"/>
      <c r="AC1580" s="610"/>
      <c r="AD1580" s="610"/>
      <c r="AE1580" s="610"/>
      <c r="AF1580" s="610"/>
      <c r="AG1580" s="610"/>
      <c r="AH1580" s="610"/>
      <c r="AI1580" s="610"/>
      <c r="AJ1580" s="610"/>
      <c r="AK1580" s="610"/>
      <c r="AL1580" s="610"/>
      <c r="AM1580" s="610"/>
      <c r="AN1580" s="610"/>
      <c r="AO1580" s="610"/>
      <c r="AP1580" s="610"/>
      <c r="AQ1580" s="610"/>
      <c r="AR1580" s="610"/>
      <c r="AS1580" s="610"/>
      <c r="AT1580" s="610"/>
      <c r="AU1580" s="610"/>
      <c r="AV1580" s="610"/>
      <c r="AW1580" s="610"/>
      <c r="AX1580" s="610"/>
      <c r="AY1580" s="610"/>
      <c r="AZ1580" s="610"/>
      <c r="BA1580" s="610"/>
      <c r="BB1580" s="610"/>
      <c r="BC1580" s="610"/>
      <c r="BD1580" s="610"/>
      <c r="BE1580" s="610"/>
      <c r="BF1580" s="610"/>
      <c r="BG1580" s="610"/>
      <c r="BH1580" s="610"/>
      <c r="BI1580" s="610"/>
      <c r="BJ1580" s="610"/>
      <c r="BK1580" s="610"/>
      <c r="BL1580" s="610"/>
      <c r="BM1580" s="610"/>
      <c r="BN1580" s="610"/>
      <c r="BO1580" s="610"/>
      <c r="BP1580" s="610"/>
      <c r="BQ1580" s="610"/>
      <c r="BR1580" s="610"/>
      <c r="BS1580" s="610"/>
      <c r="BT1580" s="610"/>
      <c r="BU1580" s="610"/>
      <c r="BV1580" s="610"/>
      <c r="BW1580" s="610"/>
      <c r="BX1580" s="610"/>
      <c r="BY1580" s="610"/>
      <c r="BZ1580" s="610"/>
      <c r="CA1580" s="610"/>
      <c r="CB1580" s="610"/>
      <c r="CC1580" s="610"/>
      <c r="CD1580" s="610"/>
      <c r="CE1580" s="610"/>
      <c r="CF1580" s="615"/>
      <c r="CG1580" s="616"/>
      <c r="CH1580" s="616"/>
      <c r="CI1580" s="616"/>
      <c r="CJ1580" s="616"/>
      <c r="CK1580" s="616"/>
      <c r="CL1580" s="616"/>
      <c r="CM1580" s="616"/>
      <c r="CN1580" s="616"/>
      <c r="CO1580" s="616"/>
      <c r="CP1580" s="616"/>
      <c r="CQ1580" s="616"/>
      <c r="CR1580" s="616"/>
      <c r="CS1580" s="616"/>
      <c r="CT1580" s="616"/>
      <c r="CU1580" s="616"/>
      <c r="CV1580" s="616"/>
      <c r="CW1580" s="616"/>
      <c r="CX1580" s="616"/>
      <c r="CY1580" s="616"/>
      <c r="CZ1580" s="616"/>
      <c r="DA1580" s="616"/>
      <c r="DB1580" s="616"/>
      <c r="DC1580" s="616"/>
      <c r="DD1580" s="616"/>
      <c r="DE1580" s="616"/>
      <c r="DF1580" s="616"/>
      <c r="DG1580" s="616"/>
      <c r="DH1580" s="616"/>
      <c r="DI1580" s="616"/>
      <c r="DJ1580" s="616"/>
      <c r="DK1580" s="616"/>
      <c r="DL1580" s="616"/>
      <c r="DM1580" s="616"/>
      <c r="DN1580" s="616"/>
      <c r="DO1580" s="616"/>
      <c r="DP1580" s="616"/>
      <c r="DQ1580" s="616"/>
      <c r="DR1580" s="616"/>
      <c r="DS1580" s="616"/>
      <c r="DT1580" s="616"/>
      <c r="DU1580" s="616"/>
      <c r="DV1580" s="616"/>
      <c r="DW1580" s="616"/>
      <c r="DX1580" s="616"/>
      <c r="DY1580" s="616"/>
      <c r="DZ1580" s="616"/>
      <c r="EA1580" s="616"/>
      <c r="EB1580" s="616"/>
      <c r="EC1580" s="616"/>
      <c r="ED1580" s="616"/>
      <c r="EE1580" s="616"/>
      <c r="EF1580" s="616"/>
      <c r="EG1580" s="616"/>
      <c r="EH1580" s="616"/>
      <c r="EI1580" s="616"/>
      <c r="EJ1580" s="616"/>
      <c r="EK1580" s="616"/>
      <c r="EL1580" s="616"/>
      <c r="EM1580" s="616"/>
      <c r="EN1580" s="616"/>
      <c r="EO1580" s="616"/>
      <c r="EP1580" s="616"/>
      <c r="EQ1580" s="616"/>
      <c r="ER1580" s="616"/>
      <c r="ES1580" s="616"/>
      <c r="ET1580" s="616"/>
      <c r="EU1580" s="616"/>
      <c r="EV1580" s="616"/>
      <c r="EW1580" s="616"/>
      <c r="EX1580" s="616"/>
      <c r="EY1580" s="616"/>
      <c r="EZ1580" s="616"/>
      <c r="FA1580" s="616"/>
      <c r="FB1580" s="616"/>
      <c r="FC1580" s="616"/>
      <c r="FD1580" s="616"/>
      <c r="FE1580" s="616"/>
      <c r="FF1580" s="616"/>
      <c r="FG1580" s="616"/>
      <c r="FH1580" s="616"/>
      <c r="FI1580" s="616"/>
      <c r="FJ1580" s="616"/>
      <c r="FK1580" s="616"/>
      <c r="FL1580" s="616"/>
      <c r="FM1580" s="616"/>
      <c r="FN1580" s="616"/>
      <c r="FO1580" s="616"/>
      <c r="FP1580" s="616"/>
      <c r="FQ1580" s="616"/>
      <c r="FR1580" s="616"/>
      <c r="FS1580" s="616"/>
      <c r="FT1580" s="616"/>
      <c r="FU1580" s="616"/>
      <c r="FV1580" s="616"/>
      <c r="FW1580" s="616"/>
      <c r="FX1580" s="616"/>
      <c r="FY1580" s="616"/>
      <c r="FZ1580" s="616"/>
      <c r="GA1580" s="616"/>
      <c r="GB1580" s="616"/>
      <c r="GC1580" s="616"/>
      <c r="GD1580" s="616"/>
      <c r="GE1580" s="616"/>
      <c r="GF1580" s="616"/>
      <c r="GG1580" s="616"/>
      <c r="GH1580" s="616"/>
      <c r="GI1580" s="616"/>
      <c r="GJ1580" s="616"/>
      <c r="GK1580" s="616"/>
      <c r="GL1580" s="616"/>
      <c r="GM1580" s="616"/>
      <c r="GN1580" s="616"/>
      <c r="GO1580" s="616"/>
      <c r="GP1580" s="616"/>
      <c r="GQ1580" s="616"/>
      <c r="GR1580" s="616"/>
      <c r="GS1580" s="616"/>
      <c r="GT1580" s="616"/>
      <c r="GU1580" s="616"/>
      <c r="GV1580" s="616"/>
      <c r="GW1580" s="616"/>
      <c r="GX1580" s="616"/>
      <c r="GY1580" s="616"/>
      <c r="GZ1580" s="616"/>
      <c r="HA1580" s="616"/>
      <c r="HB1580" s="616"/>
      <c r="HC1580" s="616"/>
      <c r="HD1580" s="616"/>
      <c r="HE1580" s="616"/>
      <c r="HF1580" s="616"/>
      <c r="HG1580" s="616"/>
      <c r="HH1580" s="616"/>
      <c r="HI1580" s="616"/>
      <c r="HJ1580" s="616"/>
      <c r="HK1580" s="616"/>
      <c r="HL1580" s="616"/>
      <c r="HM1580" s="616"/>
      <c r="HN1580" s="616"/>
      <c r="HO1580" s="616"/>
      <c r="HP1580" s="616"/>
      <c r="HQ1580" s="616"/>
      <c r="HR1580" s="616"/>
      <c r="HS1580" s="616"/>
      <c r="HT1580" s="616"/>
      <c r="HU1580" s="616"/>
      <c r="HV1580" s="616"/>
      <c r="HW1580" s="616"/>
      <c r="HX1580" s="616"/>
      <c r="HY1580" s="616"/>
      <c r="HZ1580" s="616"/>
      <c r="IA1580" s="616"/>
      <c r="IB1580" s="616"/>
      <c r="IC1580" s="616"/>
      <c r="ID1580" s="616"/>
      <c r="IE1580" s="616"/>
      <c r="IF1580" s="616"/>
      <c r="IG1580" s="616"/>
      <c r="IH1580" s="616"/>
      <c r="II1580" s="616"/>
      <c r="IJ1580" s="616"/>
      <c r="IK1580" s="616"/>
      <c r="IL1580" s="616"/>
      <c r="IM1580" s="616"/>
      <c r="IN1580" s="616"/>
      <c r="IO1580" s="616"/>
      <c r="IP1580" s="616"/>
      <c r="IQ1580" s="616"/>
      <c r="IR1580" s="616"/>
      <c r="IS1580" s="616"/>
      <c r="IT1580" s="616"/>
      <c r="IU1580" s="616"/>
      <c r="IV1580" s="616"/>
    </row>
    <row r="1581" spans="1:256" s="583" customFormat="1" ht="22.5" customHeight="1">
      <c r="A1581" s="633"/>
      <c r="B1581" s="612"/>
      <c r="C1581" s="612"/>
      <c r="D1581" s="634"/>
      <c r="E1581" s="612"/>
      <c r="F1581" s="613"/>
      <c r="G1581" s="613"/>
      <c r="H1581" s="613"/>
      <c r="I1581" s="613"/>
      <c r="J1581" s="613"/>
      <c r="K1581" s="613"/>
      <c r="L1581" s="613"/>
      <c r="M1581" s="613"/>
      <c r="N1581" s="612"/>
      <c r="O1581" s="612"/>
      <c r="P1581" s="612"/>
      <c r="Q1581" s="612"/>
      <c r="R1581" s="612"/>
      <c r="S1581" s="635"/>
      <c r="T1581" s="635"/>
      <c r="U1581" s="635"/>
      <c r="V1581" s="635"/>
      <c r="W1581" s="635"/>
      <c r="X1581" s="635"/>
      <c r="Y1581" s="635"/>
      <c r="Z1581" s="635"/>
      <c r="AA1581" s="612"/>
      <c r="AB1581" s="635"/>
      <c r="AC1581" s="610"/>
      <c r="AD1581" s="610"/>
      <c r="AE1581" s="636"/>
      <c r="AF1581" s="636"/>
      <c r="AG1581" s="636"/>
      <c r="AH1581" s="636"/>
      <c r="AI1581" s="636"/>
      <c r="AJ1581" s="636"/>
      <c r="AK1581" s="636"/>
      <c r="AL1581" s="636"/>
      <c r="AM1581" s="610"/>
      <c r="AN1581" s="610"/>
      <c r="AO1581" s="612"/>
      <c r="AP1581" s="637"/>
      <c r="AQ1581" s="637"/>
      <c r="AR1581" s="637"/>
      <c r="AS1581" s="637"/>
      <c r="AT1581" s="637"/>
      <c r="AU1581" s="637"/>
      <c r="AV1581" s="637"/>
      <c r="AW1581" s="637"/>
      <c r="AX1581" s="637"/>
      <c r="AY1581" s="637"/>
      <c r="AZ1581" s="637"/>
      <c r="BA1581" s="637"/>
      <c r="BB1581" s="637"/>
      <c r="BC1581" s="1443"/>
      <c r="BD1581" s="1443"/>
      <c r="BE1581" s="612"/>
      <c r="BF1581" s="612"/>
      <c r="BG1581" s="612"/>
      <c r="BH1581" s="612"/>
      <c r="BI1581" s="612"/>
      <c r="BJ1581" s="612"/>
      <c r="BK1581" s="612"/>
      <c r="BL1581" s="652"/>
      <c r="BM1581" s="612"/>
      <c r="BN1581" s="612"/>
      <c r="BO1581" s="612"/>
      <c r="BP1581" s="612"/>
      <c r="BQ1581" s="612"/>
      <c r="BR1581" s="612"/>
      <c r="BS1581" s="612"/>
      <c r="BT1581" s="612"/>
      <c r="BU1581" s="612"/>
      <c r="BV1581" s="612"/>
      <c r="BW1581" s="612"/>
      <c r="BX1581" s="612"/>
      <c r="BY1581" s="612"/>
      <c r="BZ1581" s="612"/>
      <c r="CA1581" s="612"/>
      <c r="CB1581" s="612"/>
      <c r="CC1581" s="612"/>
      <c r="CD1581" s="612"/>
      <c r="CE1581" s="612"/>
      <c r="CF1581" s="638"/>
      <c r="CG1581" s="616"/>
      <c r="CH1581" s="616"/>
      <c r="CI1581" s="616"/>
      <c r="CJ1581" s="616"/>
      <c r="CK1581" s="616"/>
      <c r="CL1581" s="616"/>
      <c r="CM1581" s="616"/>
      <c r="CN1581" s="616"/>
      <c r="CO1581" s="616"/>
      <c r="CP1581" s="616"/>
      <c r="CQ1581" s="616"/>
      <c r="CR1581" s="616"/>
      <c r="CS1581" s="616"/>
      <c r="CT1581" s="616"/>
      <c r="CU1581" s="616"/>
      <c r="CV1581" s="616"/>
      <c r="CW1581" s="616"/>
      <c r="CX1581" s="616"/>
      <c r="CY1581" s="616"/>
      <c r="CZ1581" s="616"/>
      <c r="DA1581" s="616"/>
      <c r="DB1581" s="616"/>
      <c r="DC1581" s="616"/>
      <c r="DD1581" s="616"/>
      <c r="DE1581" s="616"/>
      <c r="DF1581" s="616"/>
      <c r="DG1581" s="616"/>
      <c r="DH1581" s="616"/>
      <c r="DI1581" s="616"/>
      <c r="DJ1581" s="616"/>
      <c r="DK1581" s="616"/>
      <c r="DL1581" s="616"/>
      <c r="DM1581" s="616"/>
      <c r="DN1581" s="616"/>
      <c r="DO1581" s="616"/>
      <c r="DP1581" s="616"/>
      <c r="DQ1581" s="616"/>
      <c r="DR1581" s="616"/>
      <c r="DS1581" s="616"/>
      <c r="DT1581" s="616"/>
      <c r="DU1581" s="616"/>
      <c r="DV1581" s="616"/>
      <c r="DW1581" s="616"/>
      <c r="DX1581" s="616"/>
      <c r="DY1581" s="616"/>
      <c r="DZ1581" s="616"/>
      <c r="EA1581" s="616"/>
      <c r="EB1581" s="616"/>
      <c r="EC1581" s="616"/>
      <c r="ED1581" s="616"/>
      <c r="EE1581" s="616"/>
      <c r="EF1581" s="616"/>
      <c r="EG1581" s="616"/>
      <c r="EH1581" s="616"/>
      <c r="EI1581" s="616"/>
      <c r="EJ1581" s="616"/>
      <c r="EK1581" s="616"/>
      <c r="EL1581" s="616"/>
      <c r="EM1581" s="616"/>
      <c r="EN1581" s="616"/>
      <c r="EO1581" s="616"/>
      <c r="EP1581" s="616"/>
      <c r="EQ1581" s="616"/>
      <c r="ER1581" s="616"/>
      <c r="ES1581" s="616"/>
      <c r="ET1581" s="616"/>
      <c r="EU1581" s="616"/>
      <c r="EV1581" s="616"/>
      <c r="EW1581" s="616"/>
      <c r="EX1581" s="616"/>
      <c r="EY1581" s="616"/>
      <c r="EZ1581" s="616"/>
      <c r="FA1581" s="616"/>
      <c r="FB1581" s="616"/>
      <c r="FC1581" s="616"/>
      <c r="FD1581" s="616"/>
      <c r="FE1581" s="616"/>
      <c r="FF1581" s="616"/>
      <c r="FG1581" s="616"/>
      <c r="FH1581" s="616"/>
      <c r="FI1581" s="616"/>
      <c r="FJ1581" s="616"/>
      <c r="FK1581" s="616"/>
      <c r="FL1581" s="616"/>
      <c r="FM1581" s="616"/>
      <c r="FN1581" s="616"/>
      <c r="FO1581" s="616"/>
      <c r="FP1581" s="616"/>
      <c r="FQ1581" s="616"/>
      <c r="FR1581" s="616"/>
      <c r="FS1581" s="616"/>
      <c r="FT1581" s="616"/>
      <c r="FU1581" s="616"/>
      <c r="FV1581" s="616"/>
      <c r="FW1581" s="616"/>
      <c r="FX1581" s="616"/>
      <c r="FY1581" s="616"/>
      <c r="FZ1581" s="616"/>
      <c r="GA1581" s="616"/>
      <c r="GB1581" s="616"/>
      <c r="GC1581" s="616"/>
      <c r="GD1581" s="616"/>
      <c r="GE1581" s="616"/>
      <c r="GF1581" s="616"/>
      <c r="GG1581" s="616"/>
      <c r="GH1581" s="616"/>
      <c r="GI1581" s="616"/>
      <c r="GJ1581" s="616"/>
      <c r="GK1581" s="616"/>
      <c r="GL1581" s="616"/>
      <c r="GM1581" s="616"/>
      <c r="GN1581" s="616"/>
      <c r="GO1581" s="616"/>
      <c r="GP1581" s="616"/>
      <c r="GQ1581" s="616"/>
      <c r="GR1581" s="616"/>
      <c r="GS1581" s="616"/>
      <c r="GT1581" s="616"/>
      <c r="GU1581" s="616"/>
      <c r="GV1581" s="616"/>
      <c r="GW1581" s="616"/>
      <c r="GX1581" s="616"/>
      <c r="GY1581" s="616"/>
      <c r="GZ1581" s="616"/>
      <c r="HA1581" s="616"/>
      <c r="HB1581" s="616"/>
      <c r="HC1581" s="616"/>
      <c r="HD1581" s="616"/>
      <c r="HE1581" s="616"/>
      <c r="HF1581" s="616"/>
      <c r="HG1581" s="616"/>
      <c r="HH1581" s="616"/>
      <c r="HI1581" s="616"/>
      <c r="HJ1581" s="616"/>
      <c r="HK1581" s="616"/>
      <c r="HL1581" s="616"/>
      <c r="HM1581" s="616"/>
      <c r="HN1581" s="616"/>
      <c r="HO1581" s="616"/>
      <c r="HP1581" s="616"/>
      <c r="HQ1581" s="616"/>
      <c r="HR1581" s="616"/>
      <c r="HS1581" s="616"/>
      <c r="HT1581" s="616"/>
      <c r="HU1581" s="616"/>
      <c r="HV1581" s="616"/>
      <c r="HW1581" s="616"/>
      <c r="HX1581" s="616"/>
      <c r="HY1581" s="616"/>
      <c r="HZ1581" s="616"/>
      <c r="IA1581" s="616"/>
      <c r="IB1581" s="616"/>
      <c r="IC1581" s="616"/>
      <c r="ID1581" s="616"/>
      <c r="IE1581" s="616"/>
      <c r="IF1581" s="616"/>
      <c r="IG1581" s="616"/>
      <c r="IH1581" s="616"/>
      <c r="II1581" s="616"/>
      <c r="IJ1581" s="616"/>
      <c r="IK1581" s="616"/>
      <c r="IL1581" s="616"/>
      <c r="IM1581" s="616"/>
      <c r="IN1581" s="616"/>
      <c r="IO1581" s="616"/>
      <c r="IP1581" s="616"/>
      <c r="IQ1581" s="616"/>
      <c r="IR1581" s="616"/>
      <c r="IS1581" s="616"/>
      <c r="IT1581" s="616"/>
      <c r="IU1581" s="616"/>
      <c r="IV1581" s="616"/>
    </row>
    <row r="1582" spans="1:256" s="583" customFormat="1" ht="23.1" customHeight="1">
      <c r="A1582" s="609"/>
      <c r="B1582" s="610"/>
      <c r="C1582" s="610"/>
      <c r="D1582" s="610"/>
      <c r="E1582" s="610"/>
      <c r="F1582" s="610"/>
      <c r="G1582" s="610"/>
      <c r="H1582" s="610"/>
      <c r="I1582" s="610"/>
      <c r="J1582" s="610"/>
      <c r="K1582" s="610"/>
      <c r="L1582" s="610"/>
      <c r="M1582" s="610"/>
      <c r="N1582" s="610"/>
      <c r="O1582" s="610"/>
      <c r="P1582" s="610"/>
      <c r="Q1582" s="610"/>
      <c r="R1582" s="610"/>
      <c r="S1582" s="610"/>
      <c r="T1582" s="610"/>
      <c r="U1582" s="610"/>
      <c r="V1582" s="639"/>
      <c r="W1582" s="639"/>
      <c r="X1582" s="639"/>
      <c r="Y1582" s="639"/>
      <c r="Z1582" s="639"/>
      <c r="AA1582" s="639"/>
      <c r="AB1582" s="639"/>
      <c r="AC1582" s="639"/>
      <c r="AD1582" s="612"/>
      <c r="AE1582" s="653"/>
      <c r="AF1582" s="653"/>
      <c r="AG1582" s="653"/>
      <c r="AH1582" s="653"/>
      <c r="AI1582" s="653"/>
      <c r="AJ1582" s="653"/>
      <c r="AK1582" s="653"/>
      <c r="AL1582" s="653"/>
      <c r="AM1582" s="653"/>
      <c r="AN1582" s="653"/>
      <c r="AO1582" s="1465" t="e">
        <f>#REF!</f>
        <v>#REF!</v>
      </c>
      <c r="AP1582" s="1466"/>
      <c r="AQ1582" s="1466"/>
      <c r="AR1582" s="1466"/>
      <c r="AS1582" s="1466"/>
      <c r="AT1582" s="1466"/>
      <c r="AU1582" s="1466"/>
      <c r="AV1582" s="1466"/>
      <c r="AW1582" s="1466"/>
      <c r="AX1582" s="1466"/>
      <c r="AY1582" s="1466"/>
      <c r="AZ1582" s="1466"/>
      <c r="BA1582" s="1443" t="s">
        <v>446</v>
      </c>
      <c r="BB1582" s="1443"/>
      <c r="BC1582" s="649" t="s">
        <v>1103</v>
      </c>
      <c r="BD1582" s="1467">
        <v>5000</v>
      </c>
      <c r="BE1582" s="1468"/>
      <c r="BF1582" s="1468"/>
      <c r="BG1582" s="1468"/>
      <c r="BH1582" s="1468"/>
      <c r="BI1582" s="1443" t="s">
        <v>446</v>
      </c>
      <c r="BJ1582" s="1443"/>
      <c r="BK1582" s="640" t="s">
        <v>1104</v>
      </c>
      <c r="BL1582" s="590"/>
      <c r="BM1582" s="590"/>
      <c r="BN1582" s="590"/>
      <c r="BO1582" s="654" t="s">
        <v>1105</v>
      </c>
      <c r="BP1582" s="1443" t="s">
        <v>41</v>
      </c>
      <c r="BQ1582" s="1443"/>
      <c r="BR1582" s="610"/>
      <c r="BS1582" s="610"/>
      <c r="BT1582" s="1460" t="e">
        <f>INT(AO1582*BD1582/10000000)</f>
        <v>#REF!</v>
      </c>
      <c r="BU1582" s="1460"/>
      <c r="BV1582" s="1460"/>
      <c r="BW1582" s="1460"/>
      <c r="BX1582" s="1460"/>
      <c r="BY1582" s="1460"/>
      <c r="BZ1582" s="1460"/>
      <c r="CA1582" s="1460"/>
      <c r="CB1582" s="1460"/>
      <c r="CC1582" s="1460"/>
      <c r="CD1582" s="610"/>
      <c r="CE1582" s="610"/>
      <c r="CF1582" s="615"/>
      <c r="CG1582" s="616"/>
      <c r="CH1582" s="616"/>
      <c r="CI1582" s="616"/>
      <c r="CJ1582" s="616"/>
      <c r="CK1582" s="616"/>
      <c r="CL1582" s="616"/>
      <c r="CM1582" s="616"/>
      <c r="CN1582" s="616"/>
      <c r="CO1582" s="616"/>
      <c r="CP1582" s="616"/>
      <c r="CQ1582" s="616"/>
      <c r="CR1582" s="616"/>
      <c r="CS1582" s="616"/>
      <c r="CT1582" s="616"/>
      <c r="CU1582" s="616"/>
      <c r="CV1582" s="616"/>
      <c r="CW1582" s="616"/>
      <c r="CX1582" s="616"/>
      <c r="CY1582" s="616"/>
      <c r="CZ1582" s="616"/>
      <c r="DA1582" s="616"/>
      <c r="DB1582" s="616"/>
      <c r="DC1582" s="616"/>
      <c r="DD1582" s="616"/>
      <c r="DE1582" s="616"/>
      <c r="DF1582" s="616"/>
      <c r="DG1582" s="616"/>
      <c r="DH1582" s="616"/>
      <c r="DI1582" s="616"/>
      <c r="DJ1582" s="616"/>
      <c r="DK1582" s="616"/>
      <c r="DL1582" s="616"/>
      <c r="DM1582" s="616"/>
      <c r="DN1582" s="616"/>
      <c r="DO1582" s="616"/>
      <c r="DP1582" s="616"/>
      <c r="DQ1582" s="616"/>
      <c r="DR1582" s="616"/>
      <c r="DS1582" s="616"/>
      <c r="DT1582" s="616"/>
      <c r="DU1582" s="616"/>
      <c r="DV1582" s="616"/>
      <c r="DW1582" s="616"/>
      <c r="DX1582" s="616"/>
      <c r="DY1582" s="616"/>
      <c r="DZ1582" s="616"/>
      <c r="EA1582" s="616"/>
      <c r="EB1582" s="616"/>
      <c r="EC1582" s="616"/>
      <c r="ED1582" s="616"/>
      <c r="EE1582" s="616"/>
      <c r="EF1582" s="616"/>
      <c r="EG1582" s="616"/>
      <c r="EH1582" s="616"/>
      <c r="EI1582" s="616"/>
      <c r="EJ1582" s="616"/>
      <c r="EK1582" s="616"/>
      <c r="EL1582" s="616"/>
      <c r="EM1582" s="616"/>
      <c r="EN1582" s="616"/>
      <c r="EO1582" s="616"/>
      <c r="EP1582" s="616"/>
      <c r="EQ1582" s="616"/>
      <c r="ER1582" s="616"/>
      <c r="ES1582" s="616"/>
      <c r="ET1582" s="616"/>
      <c r="EU1582" s="616"/>
      <c r="EV1582" s="616"/>
      <c r="EW1582" s="616"/>
      <c r="EX1582" s="616"/>
      <c r="EY1582" s="616"/>
      <c r="EZ1582" s="616"/>
      <c r="FA1582" s="616"/>
      <c r="FB1582" s="616"/>
      <c r="FC1582" s="616"/>
      <c r="FD1582" s="616"/>
      <c r="FE1582" s="616"/>
      <c r="FF1582" s="616"/>
      <c r="FG1582" s="616"/>
      <c r="FH1582" s="616"/>
      <c r="FI1582" s="616"/>
      <c r="FJ1582" s="616"/>
      <c r="FK1582" s="616"/>
      <c r="FL1582" s="616"/>
      <c r="FM1582" s="616"/>
      <c r="FN1582" s="616"/>
      <c r="FO1582" s="616"/>
      <c r="FP1582" s="616"/>
      <c r="FQ1582" s="616"/>
      <c r="FR1582" s="616"/>
      <c r="FS1582" s="616"/>
      <c r="FT1582" s="616"/>
      <c r="FU1582" s="616"/>
      <c r="FV1582" s="616"/>
      <c r="FW1582" s="616"/>
      <c r="FX1582" s="616"/>
      <c r="FY1582" s="616"/>
      <c r="FZ1582" s="616"/>
      <c r="GA1582" s="616"/>
      <c r="GB1582" s="616"/>
      <c r="GC1582" s="616"/>
      <c r="GD1582" s="616"/>
      <c r="GE1582" s="616"/>
      <c r="GF1582" s="616"/>
      <c r="GG1582" s="616"/>
      <c r="GH1582" s="616"/>
      <c r="GI1582" s="616"/>
      <c r="GJ1582" s="616"/>
      <c r="GK1582" s="616"/>
      <c r="GL1582" s="616"/>
      <c r="GM1582" s="616"/>
      <c r="GN1582" s="616"/>
      <c r="GO1582" s="616"/>
      <c r="GP1582" s="616"/>
      <c r="GQ1582" s="616"/>
      <c r="GR1582" s="616"/>
      <c r="GS1582" s="616"/>
      <c r="GT1582" s="616"/>
      <c r="GU1582" s="616"/>
      <c r="GV1582" s="616"/>
      <c r="GW1582" s="616"/>
      <c r="GX1582" s="616"/>
      <c r="GY1582" s="616"/>
      <c r="GZ1582" s="616"/>
      <c r="HA1582" s="616"/>
      <c r="HB1582" s="616"/>
      <c r="HC1582" s="616"/>
      <c r="HD1582" s="616"/>
      <c r="HE1582" s="616"/>
      <c r="HF1582" s="616"/>
      <c r="HG1582" s="616"/>
      <c r="HH1582" s="616"/>
      <c r="HI1582" s="616"/>
      <c r="HJ1582" s="616"/>
      <c r="HK1582" s="616"/>
      <c r="HL1582" s="616"/>
      <c r="HM1582" s="616"/>
      <c r="HN1582" s="616"/>
      <c r="HO1582" s="616"/>
      <c r="HP1582" s="616"/>
      <c r="HQ1582" s="616"/>
      <c r="HR1582" s="616"/>
      <c r="HS1582" s="616"/>
      <c r="HT1582" s="616"/>
      <c r="HU1582" s="616"/>
      <c r="HV1582" s="616"/>
      <c r="HW1582" s="616"/>
      <c r="HX1582" s="616"/>
      <c r="HY1582" s="616"/>
      <c r="HZ1582" s="616"/>
      <c r="IA1582" s="616"/>
      <c r="IB1582" s="616"/>
      <c r="IC1582" s="616"/>
      <c r="ID1582" s="616"/>
      <c r="IE1582" s="616"/>
      <c r="IF1582" s="616"/>
      <c r="IG1582" s="616"/>
      <c r="IH1582" s="616"/>
      <c r="II1582" s="616"/>
      <c r="IJ1582" s="616"/>
      <c r="IK1582" s="616"/>
      <c r="IL1582" s="616"/>
      <c r="IM1582" s="616"/>
      <c r="IN1582" s="616"/>
      <c r="IO1582" s="616"/>
      <c r="IP1582" s="616"/>
      <c r="IQ1582" s="616"/>
      <c r="IR1582" s="616"/>
      <c r="IS1582" s="616"/>
      <c r="IT1582" s="616"/>
      <c r="IU1582" s="616"/>
      <c r="IV1582" s="616"/>
    </row>
    <row r="1583" spans="1:256" s="583" customFormat="1" ht="23.1" customHeight="1">
      <c r="A1583" s="641"/>
      <c r="B1583" s="642" t="s">
        <v>1299</v>
      </c>
      <c r="C1583" s="642"/>
      <c r="D1583" s="642"/>
      <c r="E1583" s="642"/>
      <c r="F1583" s="642"/>
      <c r="G1583" s="642"/>
      <c r="H1583" s="642"/>
      <c r="I1583" s="642"/>
      <c r="J1583" s="642"/>
      <c r="K1583" s="642"/>
      <c r="L1583" s="642"/>
      <c r="M1583" s="642"/>
      <c r="N1583" s="642"/>
      <c r="O1583" s="642"/>
      <c r="P1583" s="642"/>
      <c r="Q1583" s="642"/>
      <c r="R1583" s="642"/>
      <c r="S1583" s="642"/>
      <c r="T1583" s="642"/>
      <c r="U1583" s="642"/>
      <c r="V1583" s="642"/>
      <c r="W1583" s="642"/>
      <c r="X1583" s="642"/>
      <c r="Y1583" s="642"/>
      <c r="Z1583" s="642"/>
      <c r="AA1583" s="642"/>
      <c r="AB1583" s="642"/>
      <c r="AC1583" s="642"/>
      <c r="AD1583" s="642"/>
      <c r="AE1583" s="642"/>
      <c r="AF1583" s="642"/>
      <c r="AG1583" s="642"/>
      <c r="AH1583" s="642"/>
      <c r="AI1583" s="642"/>
      <c r="AJ1583" s="642"/>
      <c r="AK1583" s="642"/>
      <c r="AL1583" s="642"/>
      <c r="AM1583" s="642"/>
      <c r="AN1583" s="642"/>
      <c r="AO1583" s="642"/>
      <c r="AP1583" s="642"/>
      <c r="AQ1583" s="642"/>
      <c r="AR1583" s="642"/>
      <c r="AS1583" s="642"/>
      <c r="AT1583" s="642"/>
      <c r="AU1583" s="642"/>
      <c r="AV1583" s="642"/>
      <c r="AW1583" s="642"/>
      <c r="AX1583" s="642"/>
      <c r="AY1583" s="642"/>
      <c r="AZ1583" s="642"/>
      <c r="BA1583" s="642"/>
      <c r="BB1583" s="642"/>
      <c r="BC1583" s="642"/>
      <c r="BD1583" s="642"/>
      <c r="BE1583" s="642"/>
      <c r="BF1583" s="642"/>
      <c r="BG1583" s="642"/>
      <c r="BH1583" s="642"/>
      <c r="BI1583" s="642"/>
      <c r="BJ1583" s="642"/>
      <c r="BK1583" s="642"/>
      <c r="BL1583" s="642"/>
      <c r="BM1583" s="642"/>
      <c r="BN1583" s="642"/>
      <c r="BO1583" s="642"/>
      <c r="BP1583" s="642"/>
      <c r="BQ1583" s="642"/>
      <c r="BR1583" s="642"/>
      <c r="BS1583" s="642"/>
      <c r="BT1583" s="643"/>
      <c r="BU1583" s="643"/>
      <c r="BV1583" s="643"/>
      <c r="BW1583" s="643"/>
      <c r="BX1583" s="643"/>
      <c r="BY1583" s="643"/>
      <c r="BZ1583" s="643"/>
      <c r="CA1583" s="643"/>
      <c r="CB1583" s="643"/>
      <c r="CC1583" s="643"/>
      <c r="CD1583" s="642"/>
      <c r="CE1583" s="642"/>
      <c r="CF1583" s="644"/>
      <c r="CG1583" s="616"/>
      <c r="CH1583" s="616"/>
      <c r="CI1583" s="616"/>
      <c r="CJ1583" s="616"/>
      <c r="CK1583" s="616"/>
      <c r="CL1583" s="616"/>
      <c r="CM1583" s="616"/>
      <c r="CN1583" s="616"/>
      <c r="CO1583" s="616"/>
      <c r="CP1583" s="616"/>
      <c r="CQ1583" s="616"/>
      <c r="CR1583" s="616"/>
      <c r="CS1583" s="616"/>
      <c r="CT1583" s="616"/>
      <c r="CU1583" s="616"/>
      <c r="CV1583" s="616"/>
      <c r="CW1583" s="616"/>
      <c r="CX1583" s="616"/>
      <c r="CY1583" s="616"/>
      <c r="CZ1583" s="616"/>
      <c r="DA1583" s="616"/>
      <c r="DB1583" s="616"/>
      <c r="DC1583" s="616"/>
      <c r="DD1583" s="616"/>
      <c r="DE1583" s="616"/>
      <c r="DF1583" s="616"/>
      <c r="DG1583" s="616"/>
      <c r="DH1583" s="616"/>
      <c r="DI1583" s="616"/>
      <c r="DJ1583" s="616"/>
      <c r="DK1583" s="616"/>
      <c r="DL1583" s="616"/>
      <c r="DM1583" s="616"/>
      <c r="DN1583" s="616"/>
      <c r="DO1583" s="616"/>
      <c r="DP1583" s="616"/>
      <c r="DQ1583" s="616"/>
      <c r="DR1583" s="616"/>
      <c r="DS1583" s="616"/>
      <c r="DT1583" s="616"/>
      <c r="DU1583" s="616"/>
      <c r="DV1583" s="616"/>
      <c r="DW1583" s="616"/>
      <c r="DX1583" s="616"/>
      <c r="DY1583" s="616"/>
      <c r="DZ1583" s="616"/>
      <c r="EA1583" s="616"/>
      <c r="EB1583" s="616"/>
      <c r="EC1583" s="616"/>
      <c r="ED1583" s="616"/>
      <c r="EE1583" s="616"/>
      <c r="EF1583" s="616"/>
      <c r="EG1583" s="616"/>
      <c r="EH1583" s="616"/>
      <c r="EI1583" s="616"/>
      <c r="EJ1583" s="616"/>
      <c r="EK1583" s="616"/>
      <c r="EL1583" s="616"/>
      <c r="EM1583" s="616"/>
      <c r="EN1583" s="616"/>
      <c r="EO1583" s="616"/>
      <c r="EP1583" s="616"/>
      <c r="EQ1583" s="616"/>
      <c r="ER1583" s="616"/>
      <c r="ES1583" s="616"/>
      <c r="ET1583" s="616"/>
      <c r="EU1583" s="616"/>
      <c r="EV1583" s="616"/>
      <c r="EW1583" s="616"/>
      <c r="EX1583" s="616"/>
      <c r="EY1583" s="616"/>
      <c r="EZ1583" s="616"/>
      <c r="FA1583" s="616"/>
      <c r="FB1583" s="616"/>
      <c r="FC1583" s="616"/>
      <c r="FD1583" s="616"/>
      <c r="FE1583" s="616"/>
      <c r="FF1583" s="616"/>
      <c r="FG1583" s="616"/>
      <c r="FH1583" s="616"/>
      <c r="FI1583" s="616"/>
      <c r="FJ1583" s="616"/>
      <c r="FK1583" s="616"/>
      <c r="FL1583" s="616"/>
      <c r="FM1583" s="616"/>
      <c r="FN1583" s="616"/>
      <c r="FO1583" s="616"/>
      <c r="FP1583" s="616"/>
      <c r="FQ1583" s="616"/>
      <c r="FR1583" s="616"/>
      <c r="FS1583" s="616"/>
      <c r="FT1583" s="616"/>
      <c r="FU1583" s="616"/>
      <c r="FV1583" s="616"/>
      <c r="FW1583" s="616"/>
      <c r="FX1583" s="616"/>
      <c r="FY1583" s="616"/>
      <c r="FZ1583" s="616"/>
      <c r="GA1583" s="616"/>
      <c r="GB1583" s="616"/>
      <c r="GC1583" s="616"/>
      <c r="GD1583" s="616"/>
      <c r="GE1583" s="616"/>
      <c r="GF1583" s="616"/>
      <c r="GG1583" s="616"/>
      <c r="GH1583" s="616"/>
      <c r="GI1583" s="616"/>
      <c r="GJ1583" s="616"/>
      <c r="GK1583" s="616"/>
      <c r="GL1583" s="616"/>
      <c r="GM1583" s="616"/>
      <c r="GN1583" s="616"/>
      <c r="GO1583" s="616"/>
      <c r="GP1583" s="616"/>
      <c r="GQ1583" s="616"/>
      <c r="GR1583" s="616"/>
      <c r="GS1583" s="616"/>
      <c r="GT1583" s="616"/>
      <c r="GU1583" s="616"/>
      <c r="GV1583" s="616"/>
      <c r="GW1583" s="616"/>
      <c r="GX1583" s="616"/>
      <c r="GY1583" s="616"/>
      <c r="GZ1583" s="616"/>
      <c r="HA1583" s="616"/>
      <c r="HB1583" s="616"/>
      <c r="HC1583" s="616"/>
      <c r="HD1583" s="616"/>
      <c r="HE1583" s="616"/>
      <c r="HF1583" s="616"/>
      <c r="HG1583" s="616"/>
      <c r="HH1583" s="616"/>
      <c r="HI1583" s="616"/>
      <c r="HJ1583" s="616"/>
      <c r="HK1583" s="616"/>
      <c r="HL1583" s="616"/>
      <c r="HM1583" s="616"/>
      <c r="HN1583" s="616"/>
      <c r="HO1583" s="616"/>
      <c r="HP1583" s="616"/>
      <c r="HQ1583" s="616"/>
      <c r="HR1583" s="616"/>
      <c r="HS1583" s="616"/>
      <c r="HT1583" s="616"/>
      <c r="HU1583" s="616"/>
      <c r="HV1583" s="616"/>
      <c r="HW1583" s="616"/>
      <c r="HX1583" s="616"/>
      <c r="HY1583" s="616"/>
      <c r="HZ1583" s="616"/>
      <c r="IA1583" s="616"/>
      <c r="IB1583" s="616"/>
      <c r="IC1583" s="616"/>
      <c r="ID1583" s="616"/>
      <c r="IE1583" s="616"/>
      <c r="IF1583" s="616"/>
      <c r="IG1583" s="616"/>
      <c r="IH1583" s="616"/>
      <c r="II1583" s="616"/>
      <c r="IJ1583" s="616"/>
      <c r="IK1583" s="616"/>
      <c r="IL1583" s="616"/>
      <c r="IM1583" s="616"/>
      <c r="IN1583" s="616"/>
      <c r="IO1583" s="616"/>
      <c r="IP1583" s="616"/>
      <c r="IQ1583" s="616"/>
      <c r="IR1583" s="616"/>
      <c r="IS1583" s="616"/>
      <c r="IT1583" s="616"/>
      <c r="IU1583" s="616"/>
      <c r="IV1583" s="616"/>
    </row>
    <row r="1584" spans="1:256" s="583" customFormat="1" ht="23.1" customHeight="1">
      <c r="A1584" s="609"/>
      <c r="B1584" s="610"/>
      <c r="C1584" s="610"/>
      <c r="D1584" s="611"/>
      <c r="E1584" s="610"/>
      <c r="F1584" s="610"/>
      <c r="G1584" s="610"/>
      <c r="H1584" s="610"/>
      <c r="I1584" s="610"/>
      <c r="J1584" s="610"/>
      <c r="K1584" s="610"/>
      <c r="L1584" s="610"/>
      <c r="M1584" s="610"/>
      <c r="N1584" s="610"/>
      <c r="O1584" s="610"/>
      <c r="P1584" s="610"/>
      <c r="Q1584" s="610"/>
      <c r="R1584" s="610"/>
      <c r="S1584" s="610"/>
      <c r="T1584" s="612"/>
      <c r="U1584" s="612"/>
      <c r="V1584" s="1449"/>
      <c r="W1584" s="1449"/>
      <c r="X1584" s="1449"/>
      <c r="Y1584" s="1449"/>
      <c r="Z1584" s="1449"/>
      <c r="AA1584" s="1449"/>
      <c r="AB1584" s="1449"/>
      <c r="AC1584" s="1449"/>
      <c r="AD1584" s="1449"/>
      <c r="AE1584" s="1449"/>
      <c r="AF1584" s="1443"/>
      <c r="AG1584" s="1443"/>
      <c r="AH1584" s="612"/>
      <c r="AI1584" s="1451"/>
      <c r="AJ1584" s="1451"/>
      <c r="AK1584" s="1451"/>
      <c r="AL1584" s="1451"/>
      <c r="AM1584" s="610"/>
      <c r="AN1584" s="1443"/>
      <c r="AO1584" s="1443"/>
      <c r="AP1584" s="610"/>
      <c r="AQ1584" s="650"/>
      <c r="AR1584" s="650"/>
      <c r="AS1584" s="1461"/>
      <c r="AT1584" s="1462"/>
      <c r="AU1584" s="1462"/>
      <c r="AV1584" s="1462"/>
      <c r="AW1584" s="1462"/>
      <c r="AX1584" s="1462"/>
      <c r="AY1584" s="1462"/>
      <c r="AZ1584" s="1462"/>
      <c r="BA1584" s="1462"/>
      <c r="BB1584" s="1462"/>
      <c r="BC1584" s="651"/>
      <c r="BD1584" s="1443"/>
      <c r="BE1584" s="1443"/>
      <c r="BG1584" s="1463"/>
      <c r="BH1584" s="1464"/>
      <c r="BI1584" s="1464"/>
      <c r="BJ1584" s="1464"/>
      <c r="BK1584" s="1464"/>
      <c r="BL1584" s="610"/>
      <c r="BM1584" s="610"/>
      <c r="BN1584" s="610"/>
      <c r="BO1584" s="610"/>
      <c r="BP1584" s="1443" t="s">
        <v>41</v>
      </c>
      <c r="BQ1584" s="1443"/>
      <c r="BR1584" s="610"/>
      <c r="BS1584" s="610"/>
      <c r="BT1584" s="1450">
        <f>INT(V1584*BG1584)</f>
        <v>0</v>
      </c>
      <c r="BU1584" s="1450"/>
      <c r="BV1584" s="1450"/>
      <c r="BW1584" s="1450"/>
      <c r="BX1584" s="1450"/>
      <c r="BY1584" s="1450"/>
      <c r="BZ1584" s="1450"/>
      <c r="CA1584" s="1450"/>
      <c r="CB1584" s="1450"/>
      <c r="CC1584" s="1450"/>
      <c r="CD1584" s="610"/>
      <c r="CE1584" s="610"/>
      <c r="CF1584" s="615"/>
      <c r="CG1584" s="616"/>
      <c r="CH1584" s="616"/>
      <c r="CI1584" s="616"/>
      <c r="CJ1584" s="616"/>
      <c r="CK1584" s="616"/>
      <c r="CL1584" s="616"/>
      <c r="CM1584" s="616"/>
      <c r="CN1584" s="616"/>
      <c r="CO1584" s="616"/>
      <c r="CP1584" s="616"/>
      <c r="CQ1584" s="616"/>
      <c r="CR1584" s="616"/>
      <c r="CS1584" s="616"/>
      <c r="CT1584" s="616"/>
      <c r="CU1584" s="616"/>
      <c r="CV1584" s="616"/>
      <c r="CW1584" s="616"/>
      <c r="CX1584" s="616"/>
      <c r="CY1584" s="616"/>
      <c r="CZ1584" s="616"/>
      <c r="DA1584" s="616"/>
      <c r="DB1584" s="616"/>
      <c r="DC1584" s="616"/>
      <c r="DD1584" s="616"/>
      <c r="DE1584" s="616"/>
      <c r="DF1584" s="616"/>
      <c r="DG1584" s="616"/>
      <c r="DH1584" s="616"/>
      <c r="DI1584" s="616"/>
      <c r="DJ1584" s="616"/>
      <c r="DK1584" s="616"/>
      <c r="DL1584" s="616"/>
      <c r="DM1584" s="616"/>
      <c r="DN1584" s="616"/>
      <c r="DO1584" s="616"/>
      <c r="DP1584" s="616"/>
      <c r="DQ1584" s="616"/>
      <c r="DR1584" s="616"/>
      <c r="DS1584" s="616"/>
      <c r="DT1584" s="616"/>
      <c r="DU1584" s="616"/>
      <c r="DV1584" s="616"/>
      <c r="DW1584" s="616"/>
      <c r="DX1584" s="616"/>
      <c r="DY1584" s="616"/>
      <c r="DZ1584" s="616"/>
      <c r="EA1584" s="616"/>
      <c r="EB1584" s="616"/>
      <c r="EC1584" s="616"/>
      <c r="ED1584" s="616"/>
      <c r="EE1584" s="616"/>
      <c r="EF1584" s="616"/>
      <c r="EG1584" s="616"/>
      <c r="EH1584" s="616"/>
      <c r="EI1584" s="616"/>
      <c r="EJ1584" s="616"/>
      <c r="EK1584" s="616"/>
      <c r="EL1584" s="616"/>
      <c r="EM1584" s="616"/>
      <c r="EN1584" s="616"/>
      <c r="EO1584" s="616"/>
      <c r="EP1584" s="616"/>
      <c r="EQ1584" s="616"/>
      <c r="ER1584" s="616"/>
      <c r="ES1584" s="616"/>
      <c r="ET1584" s="616"/>
      <c r="EU1584" s="616"/>
      <c r="EV1584" s="616"/>
      <c r="EW1584" s="616"/>
      <c r="EX1584" s="616"/>
      <c r="EY1584" s="616"/>
      <c r="EZ1584" s="616"/>
      <c r="FA1584" s="616"/>
      <c r="FB1584" s="616"/>
      <c r="FC1584" s="616"/>
      <c r="FD1584" s="616"/>
      <c r="FE1584" s="616"/>
      <c r="FF1584" s="616"/>
      <c r="FG1584" s="616"/>
      <c r="FH1584" s="616"/>
      <c r="FI1584" s="616"/>
      <c r="FJ1584" s="616"/>
      <c r="FK1584" s="616"/>
      <c r="FL1584" s="616"/>
      <c r="FM1584" s="616"/>
      <c r="FN1584" s="616"/>
      <c r="FO1584" s="616"/>
      <c r="FP1584" s="616"/>
      <c r="FQ1584" s="616"/>
      <c r="FR1584" s="616"/>
      <c r="FS1584" s="616"/>
      <c r="FT1584" s="616"/>
      <c r="FU1584" s="616"/>
      <c r="FV1584" s="616"/>
      <c r="FW1584" s="616"/>
      <c r="FX1584" s="616"/>
      <c r="FY1584" s="616"/>
      <c r="FZ1584" s="616"/>
      <c r="GA1584" s="616"/>
      <c r="GB1584" s="616"/>
      <c r="GC1584" s="616"/>
      <c r="GD1584" s="616"/>
      <c r="GE1584" s="616"/>
      <c r="GF1584" s="616"/>
      <c r="GG1584" s="616"/>
      <c r="GH1584" s="616"/>
      <c r="GI1584" s="616"/>
      <c r="GJ1584" s="616"/>
      <c r="GK1584" s="616"/>
      <c r="GL1584" s="616"/>
      <c r="GM1584" s="616"/>
      <c r="GN1584" s="616"/>
      <c r="GO1584" s="616"/>
      <c r="GP1584" s="616"/>
      <c r="GQ1584" s="616"/>
      <c r="GR1584" s="616"/>
      <c r="GS1584" s="616"/>
      <c r="GT1584" s="616"/>
      <c r="GU1584" s="616"/>
      <c r="GV1584" s="616"/>
      <c r="GW1584" s="616"/>
      <c r="GX1584" s="616"/>
      <c r="GY1584" s="616"/>
      <c r="GZ1584" s="616"/>
      <c r="HA1584" s="616"/>
      <c r="HB1584" s="616"/>
      <c r="HC1584" s="616"/>
      <c r="HD1584" s="616"/>
      <c r="HE1584" s="616"/>
      <c r="HF1584" s="616"/>
      <c r="HG1584" s="616"/>
      <c r="HH1584" s="616"/>
      <c r="HI1584" s="616"/>
      <c r="HJ1584" s="616"/>
      <c r="HK1584" s="616"/>
      <c r="HL1584" s="616"/>
      <c r="HM1584" s="616"/>
      <c r="HN1584" s="616"/>
      <c r="HO1584" s="616"/>
      <c r="HP1584" s="616"/>
      <c r="HQ1584" s="616"/>
      <c r="HR1584" s="616"/>
      <c r="HS1584" s="616"/>
      <c r="HT1584" s="616"/>
      <c r="HU1584" s="616"/>
      <c r="HV1584" s="616"/>
      <c r="HW1584" s="616"/>
      <c r="HX1584" s="616"/>
      <c r="HY1584" s="616"/>
      <c r="HZ1584" s="616"/>
      <c r="IA1584" s="616"/>
      <c r="IB1584" s="616"/>
      <c r="IC1584" s="616"/>
      <c r="ID1584" s="616"/>
      <c r="IE1584" s="616"/>
      <c r="IF1584" s="616"/>
      <c r="IG1584" s="616"/>
      <c r="IH1584" s="616"/>
      <c r="II1584" s="616"/>
      <c r="IJ1584" s="616"/>
      <c r="IK1584" s="616"/>
      <c r="IL1584" s="616"/>
      <c r="IM1584" s="616"/>
      <c r="IN1584" s="616"/>
      <c r="IO1584" s="616"/>
      <c r="IP1584" s="616"/>
      <c r="IQ1584" s="616"/>
      <c r="IR1584" s="616"/>
      <c r="IS1584" s="616"/>
      <c r="IT1584" s="616"/>
      <c r="IU1584" s="616"/>
      <c r="IV1584" s="616"/>
    </row>
    <row r="1585" spans="1:256" s="583" customFormat="1" ht="23.1" customHeight="1">
      <c r="A1585" s="609"/>
      <c r="B1585" s="610"/>
      <c r="C1585" s="610"/>
      <c r="D1585" s="610"/>
      <c r="E1585" s="610"/>
      <c r="F1585" s="610"/>
      <c r="G1585" s="610"/>
      <c r="H1585" s="610"/>
      <c r="I1585" s="610"/>
      <c r="J1585" s="610"/>
      <c r="K1585" s="610"/>
      <c r="L1585" s="610"/>
      <c r="M1585" s="610"/>
      <c r="N1585" s="610"/>
      <c r="O1585" s="610"/>
      <c r="P1585" s="612"/>
      <c r="Q1585" s="612"/>
      <c r="R1585" s="612"/>
      <c r="S1585" s="612"/>
      <c r="T1585" s="612"/>
      <c r="U1585" s="612"/>
      <c r="V1585" s="612"/>
      <c r="W1585" s="612"/>
      <c r="X1585" s="612"/>
      <c r="Y1585" s="612"/>
      <c r="Z1585" s="612"/>
      <c r="AA1585" s="612"/>
      <c r="AB1585" s="612"/>
      <c r="AC1585" s="612"/>
      <c r="AD1585" s="612"/>
      <c r="AE1585" s="612"/>
      <c r="AF1585" s="612"/>
      <c r="AG1585" s="612"/>
      <c r="AH1585" s="612"/>
      <c r="AI1585" s="612"/>
      <c r="AJ1585" s="612"/>
      <c r="AK1585" s="612"/>
      <c r="AL1585" s="612"/>
      <c r="AM1585" s="612"/>
      <c r="AN1585" s="612"/>
      <c r="AO1585" s="612"/>
      <c r="AP1585" s="612"/>
      <c r="AQ1585" s="612"/>
      <c r="AR1585" s="612"/>
      <c r="AS1585" s="612"/>
      <c r="AT1585" s="612"/>
      <c r="AU1585" s="612"/>
      <c r="AV1585" s="612"/>
      <c r="AW1585" s="612"/>
      <c r="AX1585" s="612"/>
      <c r="AY1585" s="612"/>
      <c r="AZ1585" s="612"/>
      <c r="BA1585" s="612"/>
      <c r="BB1585" s="612"/>
      <c r="BC1585" s="612"/>
      <c r="BD1585" s="612"/>
      <c r="BE1585" s="612"/>
      <c r="BF1585" s="612"/>
      <c r="BG1585" s="610"/>
      <c r="BH1585" s="610"/>
      <c r="BI1585" s="610"/>
      <c r="BJ1585" s="610"/>
      <c r="BK1585" s="610"/>
      <c r="BL1585" s="610"/>
      <c r="BM1585" s="610"/>
      <c r="BN1585" s="610"/>
      <c r="BO1585" s="610"/>
      <c r="BP1585" s="1443"/>
      <c r="BQ1585" s="1443"/>
      <c r="BR1585" s="610"/>
      <c r="BS1585" s="610"/>
      <c r="BT1585" s="1450"/>
      <c r="BU1585" s="1450"/>
      <c r="BV1585" s="1450"/>
      <c r="BW1585" s="1450"/>
      <c r="BX1585" s="1450"/>
      <c r="BY1585" s="1450"/>
      <c r="BZ1585" s="1450"/>
      <c r="CA1585" s="1450"/>
      <c r="CB1585" s="1450"/>
      <c r="CC1585" s="1450"/>
      <c r="CD1585" s="610"/>
      <c r="CE1585" s="610"/>
      <c r="CF1585" s="615"/>
      <c r="CG1585" s="616"/>
      <c r="CH1585" s="616"/>
      <c r="CI1585" s="616"/>
      <c r="CJ1585" s="616"/>
      <c r="CK1585" s="616"/>
      <c r="CL1585" s="616"/>
      <c r="CM1585" s="616"/>
      <c r="CN1585" s="616"/>
      <c r="CO1585" s="616"/>
      <c r="CP1585" s="616"/>
      <c r="CQ1585" s="616"/>
      <c r="CR1585" s="616"/>
      <c r="CS1585" s="616"/>
      <c r="CT1585" s="616"/>
      <c r="CU1585" s="616"/>
      <c r="CV1585" s="616"/>
      <c r="CW1585" s="616"/>
      <c r="CX1585" s="616"/>
      <c r="CY1585" s="616"/>
      <c r="CZ1585" s="616"/>
      <c r="DA1585" s="616"/>
      <c r="DB1585" s="616"/>
      <c r="DC1585" s="616"/>
      <c r="DD1585" s="616"/>
      <c r="DE1585" s="616"/>
      <c r="DF1585" s="616"/>
      <c r="DG1585" s="616"/>
      <c r="DH1585" s="616"/>
      <c r="DI1585" s="616"/>
      <c r="DJ1585" s="616"/>
      <c r="DK1585" s="616"/>
      <c r="DL1585" s="616"/>
      <c r="DM1585" s="616"/>
      <c r="DN1585" s="616"/>
      <c r="DO1585" s="616"/>
      <c r="DP1585" s="616"/>
      <c r="DQ1585" s="616"/>
      <c r="DR1585" s="616"/>
      <c r="DS1585" s="616"/>
      <c r="DT1585" s="616"/>
      <c r="DU1585" s="616"/>
      <c r="DV1585" s="616"/>
      <c r="DW1585" s="616"/>
      <c r="DX1585" s="616"/>
      <c r="DY1585" s="616"/>
      <c r="DZ1585" s="616"/>
      <c r="EA1585" s="616"/>
      <c r="EB1585" s="616"/>
      <c r="EC1585" s="616"/>
      <c r="ED1585" s="616"/>
      <c r="EE1585" s="616"/>
      <c r="EF1585" s="616"/>
      <c r="EG1585" s="616"/>
      <c r="EH1585" s="616"/>
      <c r="EI1585" s="616"/>
      <c r="EJ1585" s="616"/>
      <c r="EK1585" s="616"/>
      <c r="EL1585" s="616"/>
      <c r="EM1585" s="616"/>
      <c r="EN1585" s="616"/>
      <c r="EO1585" s="616"/>
      <c r="EP1585" s="616"/>
      <c r="EQ1585" s="616"/>
      <c r="ER1585" s="616"/>
      <c r="ES1585" s="616"/>
      <c r="ET1585" s="616"/>
      <c r="EU1585" s="616"/>
      <c r="EV1585" s="616"/>
      <c r="EW1585" s="616"/>
      <c r="EX1585" s="616"/>
      <c r="EY1585" s="616"/>
      <c r="EZ1585" s="616"/>
      <c r="FA1585" s="616"/>
      <c r="FB1585" s="616"/>
      <c r="FC1585" s="616"/>
      <c r="FD1585" s="616"/>
      <c r="FE1585" s="616"/>
      <c r="FF1585" s="616"/>
      <c r="FG1585" s="616"/>
      <c r="FH1585" s="616"/>
      <c r="FI1585" s="616"/>
      <c r="FJ1585" s="616"/>
      <c r="FK1585" s="616"/>
      <c r="FL1585" s="616"/>
      <c r="FM1585" s="616"/>
      <c r="FN1585" s="616"/>
      <c r="FO1585" s="616"/>
      <c r="FP1585" s="616"/>
      <c r="FQ1585" s="616"/>
      <c r="FR1585" s="616"/>
      <c r="FS1585" s="616"/>
      <c r="FT1585" s="616"/>
      <c r="FU1585" s="616"/>
      <c r="FV1585" s="616"/>
      <c r="FW1585" s="616"/>
      <c r="FX1585" s="616"/>
      <c r="FY1585" s="616"/>
      <c r="FZ1585" s="616"/>
      <c r="GA1585" s="616"/>
      <c r="GB1585" s="616"/>
      <c r="GC1585" s="616"/>
      <c r="GD1585" s="616"/>
      <c r="GE1585" s="616"/>
      <c r="GF1585" s="616"/>
      <c r="GG1585" s="616"/>
      <c r="GH1585" s="616"/>
      <c r="GI1585" s="616"/>
      <c r="GJ1585" s="616"/>
      <c r="GK1585" s="616"/>
      <c r="GL1585" s="616"/>
      <c r="GM1585" s="616"/>
      <c r="GN1585" s="616"/>
      <c r="GO1585" s="616"/>
      <c r="GP1585" s="616"/>
      <c r="GQ1585" s="616"/>
      <c r="GR1585" s="616"/>
      <c r="GS1585" s="616"/>
      <c r="GT1585" s="616"/>
      <c r="GU1585" s="616"/>
      <c r="GV1585" s="616"/>
      <c r="GW1585" s="616"/>
      <c r="GX1585" s="616"/>
      <c r="GY1585" s="616"/>
      <c r="GZ1585" s="616"/>
      <c r="HA1585" s="616"/>
      <c r="HB1585" s="616"/>
      <c r="HC1585" s="616"/>
      <c r="HD1585" s="616"/>
      <c r="HE1585" s="616"/>
      <c r="HF1585" s="616"/>
      <c r="HG1585" s="616"/>
      <c r="HH1585" s="616"/>
      <c r="HI1585" s="616"/>
      <c r="HJ1585" s="616"/>
      <c r="HK1585" s="616"/>
      <c r="HL1585" s="616"/>
      <c r="HM1585" s="616"/>
      <c r="HN1585" s="616"/>
      <c r="HO1585" s="616"/>
      <c r="HP1585" s="616"/>
      <c r="HQ1585" s="616"/>
      <c r="HR1585" s="616"/>
      <c r="HS1585" s="616"/>
      <c r="HT1585" s="616"/>
      <c r="HU1585" s="616"/>
      <c r="HV1585" s="616"/>
      <c r="HW1585" s="616"/>
      <c r="HX1585" s="616"/>
      <c r="HY1585" s="616"/>
      <c r="HZ1585" s="616"/>
      <c r="IA1585" s="616"/>
      <c r="IB1585" s="616"/>
      <c r="IC1585" s="616"/>
      <c r="ID1585" s="616"/>
      <c r="IE1585" s="616"/>
      <c r="IF1585" s="616"/>
      <c r="IG1585" s="616"/>
      <c r="IH1585" s="616"/>
      <c r="II1585" s="616"/>
      <c r="IJ1585" s="616"/>
      <c r="IK1585" s="616"/>
      <c r="IL1585" s="616"/>
      <c r="IM1585" s="616"/>
      <c r="IN1585" s="616"/>
      <c r="IO1585" s="616"/>
      <c r="IP1585" s="616"/>
      <c r="IQ1585" s="616"/>
      <c r="IR1585" s="616"/>
      <c r="IS1585" s="616"/>
      <c r="IT1585" s="616"/>
      <c r="IU1585" s="616"/>
      <c r="IV1585" s="616"/>
    </row>
    <row r="1586" spans="1:256" s="583" customFormat="1" ht="23.1" customHeight="1">
      <c r="A1586" s="609"/>
      <c r="B1586" s="610"/>
      <c r="C1586" s="610"/>
      <c r="D1586" s="610"/>
      <c r="E1586" s="610"/>
      <c r="F1586" s="610"/>
      <c r="G1586" s="610"/>
      <c r="H1586" s="610"/>
      <c r="I1586" s="610"/>
      <c r="J1586" s="610"/>
      <c r="K1586" s="610"/>
      <c r="L1586" s="610"/>
      <c r="M1586" s="610"/>
      <c r="N1586" s="610"/>
      <c r="O1586" s="610"/>
      <c r="P1586" s="610"/>
      <c r="Q1586" s="610"/>
      <c r="R1586" s="610"/>
      <c r="S1586" s="610"/>
      <c r="T1586" s="610"/>
      <c r="U1586" s="610"/>
      <c r="V1586" s="610"/>
      <c r="W1586" s="610"/>
      <c r="X1586" s="610"/>
      <c r="Y1586" s="610"/>
      <c r="Z1586" s="610"/>
      <c r="AA1586" s="610"/>
      <c r="AB1586" s="610"/>
      <c r="AC1586" s="610"/>
      <c r="AD1586" s="612"/>
      <c r="AE1586" s="612"/>
      <c r="AF1586" s="612"/>
      <c r="AG1586" s="612"/>
      <c r="AH1586" s="612"/>
      <c r="AI1586" s="612"/>
      <c r="AJ1586" s="612"/>
      <c r="AK1586" s="612"/>
      <c r="AL1586" s="612"/>
      <c r="AM1586" s="612"/>
      <c r="AN1586" s="612"/>
      <c r="AO1586" s="612"/>
      <c r="AP1586" s="612"/>
      <c r="AQ1586" s="612"/>
      <c r="AR1586" s="612"/>
      <c r="AS1586" s="610"/>
      <c r="AT1586" s="639"/>
      <c r="AU1586" s="639"/>
      <c r="AV1586" s="610"/>
      <c r="AW1586" s="610"/>
      <c r="AX1586" s="610"/>
      <c r="AY1586" s="610"/>
      <c r="AZ1586" s="610"/>
      <c r="BA1586" s="610"/>
      <c r="BB1586" s="610"/>
      <c r="BC1586" s="610"/>
      <c r="BD1586" s="610"/>
      <c r="BE1586" s="610"/>
      <c r="BF1586" s="610"/>
      <c r="BG1586" s="610"/>
      <c r="BH1586" s="610"/>
      <c r="BI1586" s="610"/>
      <c r="BJ1586" s="610"/>
      <c r="BK1586" s="610"/>
      <c r="BL1586" s="610"/>
      <c r="BM1586" s="610"/>
      <c r="BN1586" s="610"/>
      <c r="BO1586" s="610"/>
      <c r="BP1586" s="1443" t="s">
        <v>41</v>
      </c>
      <c r="BQ1586" s="1443"/>
      <c r="BR1586" s="610"/>
      <c r="BS1586" s="610"/>
      <c r="BT1586" s="1444">
        <f>BT1584+BT1585</f>
        <v>0</v>
      </c>
      <c r="BU1586" s="1444"/>
      <c r="BV1586" s="1444"/>
      <c r="BW1586" s="1444"/>
      <c r="BX1586" s="1444"/>
      <c r="BY1586" s="1444"/>
      <c r="BZ1586" s="1444"/>
      <c r="CA1586" s="1444"/>
      <c r="CB1586" s="1444"/>
      <c r="CC1586" s="1444"/>
      <c r="CD1586" s="610"/>
      <c r="CE1586" s="610"/>
      <c r="CF1586" s="615"/>
      <c r="CG1586" s="616"/>
      <c r="CH1586" s="616"/>
      <c r="CI1586" s="616"/>
      <c r="CJ1586" s="616"/>
      <c r="CK1586" s="616"/>
      <c r="CL1586" s="616"/>
      <c r="CM1586" s="616"/>
      <c r="CN1586" s="616"/>
      <c r="CO1586" s="616"/>
      <c r="CP1586" s="616"/>
      <c r="CQ1586" s="616"/>
      <c r="CR1586" s="616"/>
      <c r="CS1586" s="616"/>
      <c r="CT1586" s="616"/>
      <c r="CU1586" s="616"/>
      <c r="CV1586" s="616"/>
      <c r="CW1586" s="616"/>
      <c r="CX1586" s="616"/>
      <c r="CY1586" s="616"/>
      <c r="CZ1586" s="616"/>
      <c r="DA1586" s="616"/>
      <c r="DB1586" s="616"/>
      <c r="DC1586" s="616"/>
      <c r="DD1586" s="616"/>
      <c r="DE1586" s="616"/>
      <c r="DF1586" s="616"/>
      <c r="DG1586" s="616"/>
      <c r="DH1586" s="616"/>
      <c r="DI1586" s="616"/>
      <c r="DJ1586" s="616"/>
      <c r="DK1586" s="616"/>
      <c r="DL1586" s="616"/>
      <c r="DM1586" s="616"/>
      <c r="DN1586" s="616"/>
      <c r="DO1586" s="616"/>
      <c r="DP1586" s="616"/>
      <c r="DQ1586" s="616"/>
      <c r="DR1586" s="616"/>
      <c r="DS1586" s="616"/>
      <c r="DT1586" s="616"/>
      <c r="DU1586" s="616"/>
      <c r="DV1586" s="616"/>
      <c r="DW1586" s="616"/>
      <c r="DX1586" s="616"/>
      <c r="DY1586" s="616"/>
      <c r="DZ1586" s="616"/>
      <c r="EA1586" s="616"/>
      <c r="EB1586" s="616"/>
      <c r="EC1586" s="616"/>
      <c r="ED1586" s="616"/>
      <c r="EE1586" s="616"/>
      <c r="EF1586" s="616"/>
      <c r="EG1586" s="616"/>
      <c r="EH1586" s="616"/>
      <c r="EI1586" s="616"/>
      <c r="EJ1586" s="616"/>
      <c r="EK1586" s="616"/>
      <c r="EL1586" s="616"/>
      <c r="EM1586" s="616"/>
      <c r="EN1586" s="616"/>
      <c r="EO1586" s="616"/>
      <c r="EP1586" s="616"/>
      <c r="EQ1586" s="616"/>
      <c r="ER1586" s="616"/>
      <c r="ES1586" s="616"/>
      <c r="ET1586" s="616"/>
      <c r="EU1586" s="616"/>
      <c r="EV1586" s="616"/>
      <c r="EW1586" s="616"/>
      <c r="EX1586" s="616"/>
      <c r="EY1586" s="616"/>
      <c r="EZ1586" s="616"/>
      <c r="FA1586" s="616"/>
      <c r="FB1586" s="616"/>
      <c r="FC1586" s="616"/>
      <c r="FD1586" s="616"/>
      <c r="FE1586" s="616"/>
      <c r="FF1586" s="616"/>
      <c r="FG1586" s="616"/>
      <c r="FH1586" s="616"/>
      <c r="FI1586" s="616"/>
      <c r="FJ1586" s="616"/>
      <c r="FK1586" s="616"/>
      <c r="FL1586" s="616"/>
      <c r="FM1586" s="616"/>
      <c r="FN1586" s="616"/>
      <c r="FO1586" s="616"/>
      <c r="FP1586" s="616"/>
      <c r="FQ1586" s="616"/>
      <c r="FR1586" s="616"/>
      <c r="FS1586" s="616"/>
      <c r="FT1586" s="616"/>
      <c r="FU1586" s="616"/>
      <c r="FV1586" s="616"/>
      <c r="FW1586" s="616"/>
      <c r="FX1586" s="616"/>
      <c r="FY1586" s="616"/>
      <c r="FZ1586" s="616"/>
      <c r="GA1586" s="616"/>
      <c r="GB1586" s="616"/>
      <c r="GC1586" s="616"/>
      <c r="GD1586" s="616"/>
      <c r="GE1586" s="616"/>
      <c r="GF1586" s="616"/>
      <c r="GG1586" s="616"/>
      <c r="GH1586" s="616"/>
      <c r="GI1586" s="616"/>
      <c r="GJ1586" s="616"/>
      <c r="GK1586" s="616"/>
      <c r="GL1586" s="616"/>
      <c r="GM1586" s="616"/>
      <c r="GN1586" s="616"/>
      <c r="GO1586" s="616"/>
      <c r="GP1586" s="616"/>
      <c r="GQ1586" s="616"/>
      <c r="GR1586" s="616"/>
      <c r="GS1586" s="616"/>
      <c r="GT1586" s="616"/>
      <c r="GU1586" s="616"/>
      <c r="GV1586" s="616"/>
      <c r="GW1586" s="616"/>
      <c r="GX1586" s="616"/>
      <c r="GY1586" s="616"/>
      <c r="GZ1586" s="616"/>
      <c r="HA1586" s="616"/>
      <c r="HB1586" s="616"/>
      <c r="HC1586" s="616"/>
      <c r="HD1586" s="616"/>
      <c r="HE1586" s="616"/>
      <c r="HF1586" s="616"/>
      <c r="HG1586" s="616"/>
      <c r="HH1586" s="616"/>
      <c r="HI1586" s="616"/>
      <c r="HJ1586" s="616"/>
      <c r="HK1586" s="616"/>
      <c r="HL1586" s="616"/>
      <c r="HM1586" s="616"/>
      <c r="HN1586" s="616"/>
      <c r="HO1586" s="616"/>
      <c r="HP1586" s="616"/>
      <c r="HQ1586" s="616"/>
      <c r="HR1586" s="616"/>
      <c r="HS1586" s="616"/>
      <c r="HT1586" s="616"/>
      <c r="HU1586" s="616"/>
      <c r="HV1586" s="616"/>
      <c r="HW1586" s="616"/>
      <c r="HX1586" s="616"/>
      <c r="HY1586" s="616"/>
      <c r="HZ1586" s="616"/>
      <c r="IA1586" s="616"/>
      <c r="IB1586" s="616"/>
      <c r="IC1586" s="616"/>
      <c r="ID1586" s="616"/>
      <c r="IE1586" s="616"/>
      <c r="IF1586" s="616"/>
      <c r="IG1586" s="616"/>
      <c r="IH1586" s="616"/>
      <c r="II1586" s="616"/>
      <c r="IJ1586" s="616"/>
      <c r="IK1586" s="616"/>
      <c r="IL1586" s="616"/>
      <c r="IM1586" s="616"/>
      <c r="IN1586" s="616"/>
      <c r="IO1586" s="616"/>
      <c r="IP1586" s="616"/>
      <c r="IQ1586" s="616"/>
      <c r="IR1586" s="616"/>
      <c r="IS1586" s="616"/>
      <c r="IT1586" s="616"/>
      <c r="IU1586" s="616"/>
      <c r="IV1586" s="616"/>
    </row>
    <row r="1587" spans="1:256" s="583" customFormat="1" ht="23.1" customHeight="1">
      <c r="A1587" s="641"/>
      <c r="B1587" s="642" t="s">
        <v>1110</v>
      </c>
      <c r="C1587" s="642"/>
      <c r="D1587" s="642"/>
      <c r="E1587" s="642"/>
      <c r="F1587" s="642"/>
      <c r="G1587" s="642"/>
      <c r="H1587" s="642"/>
      <c r="I1587" s="642"/>
      <c r="J1587" s="642"/>
      <c r="K1587" s="642"/>
      <c r="L1587" s="642"/>
      <c r="M1587" s="642"/>
      <c r="N1587" s="642"/>
      <c r="O1587" s="642"/>
      <c r="P1587" s="642"/>
      <c r="Q1587" s="642"/>
      <c r="R1587" s="642"/>
      <c r="S1587" s="642"/>
      <c r="T1587" s="642"/>
      <c r="U1587" s="642"/>
      <c r="V1587" s="642"/>
      <c r="W1587" s="642"/>
      <c r="X1587" s="642"/>
      <c r="Y1587" s="642"/>
      <c r="Z1587" s="642"/>
      <c r="AA1587" s="642"/>
      <c r="AB1587" s="642"/>
      <c r="AC1587" s="642"/>
      <c r="AD1587" s="642"/>
      <c r="AE1587" s="642"/>
      <c r="AF1587" s="642"/>
      <c r="AG1587" s="642"/>
      <c r="AH1587" s="642"/>
      <c r="AI1587" s="642"/>
      <c r="AJ1587" s="642"/>
      <c r="AK1587" s="642"/>
      <c r="AL1587" s="642"/>
      <c r="AM1587" s="642"/>
      <c r="AN1587" s="642"/>
      <c r="AO1587" s="642"/>
      <c r="AP1587" s="642"/>
      <c r="AQ1587" s="642"/>
      <c r="AR1587" s="642"/>
      <c r="AS1587" s="642"/>
      <c r="AT1587" s="642"/>
      <c r="AU1587" s="642"/>
      <c r="AV1587" s="642"/>
      <c r="AW1587" s="642"/>
      <c r="AX1587" s="642"/>
      <c r="AY1587" s="642"/>
      <c r="AZ1587" s="642"/>
      <c r="BA1587" s="642"/>
      <c r="BB1587" s="642"/>
      <c r="BC1587" s="642"/>
      <c r="BD1587" s="642"/>
      <c r="BE1587" s="642"/>
      <c r="BF1587" s="642"/>
      <c r="BG1587" s="642"/>
      <c r="BH1587" s="642"/>
      <c r="BI1587" s="642"/>
      <c r="BJ1587" s="642"/>
      <c r="BK1587" s="642"/>
      <c r="BL1587" s="642"/>
      <c r="BM1587" s="642"/>
      <c r="BN1587" s="642"/>
      <c r="BO1587" s="642"/>
      <c r="BP1587" s="642"/>
      <c r="BQ1587" s="642"/>
      <c r="BR1587" s="642"/>
      <c r="BS1587" s="642"/>
      <c r="BT1587" s="642"/>
      <c r="BU1587" s="642"/>
      <c r="BV1587" s="642"/>
      <c r="BW1587" s="642"/>
      <c r="BX1587" s="642"/>
      <c r="BY1587" s="642"/>
      <c r="BZ1587" s="642"/>
      <c r="CA1587" s="642"/>
      <c r="CB1587" s="642"/>
      <c r="CC1587" s="642"/>
      <c r="CD1587" s="642"/>
      <c r="CE1587" s="642"/>
      <c r="CF1587" s="644"/>
      <c r="CG1587" s="616"/>
      <c r="CH1587" s="616"/>
      <c r="CI1587" s="616"/>
      <c r="CJ1587" s="616"/>
      <c r="CK1587" s="616"/>
      <c r="CL1587" s="616"/>
      <c r="CM1587" s="616"/>
      <c r="CN1587" s="616"/>
      <c r="CO1587" s="616"/>
      <c r="CP1587" s="616"/>
      <c r="CQ1587" s="616"/>
      <c r="CR1587" s="616"/>
      <c r="CS1587" s="616"/>
      <c r="CT1587" s="616"/>
      <c r="CU1587" s="616"/>
      <c r="CV1587" s="616"/>
      <c r="CW1587" s="616"/>
      <c r="CX1587" s="616"/>
      <c r="CY1587" s="616"/>
      <c r="CZ1587" s="616"/>
      <c r="DA1587" s="616"/>
      <c r="DB1587" s="616"/>
      <c r="DC1587" s="616"/>
      <c r="DD1587" s="616"/>
      <c r="DE1587" s="616"/>
      <c r="DF1587" s="616"/>
      <c r="DG1587" s="616"/>
      <c r="DH1587" s="616"/>
      <c r="DI1587" s="616"/>
      <c r="DJ1587" s="616"/>
      <c r="DK1587" s="616"/>
      <c r="DL1587" s="616"/>
      <c r="DM1587" s="616"/>
      <c r="DN1587" s="616"/>
      <c r="DO1587" s="616"/>
      <c r="DP1587" s="616"/>
      <c r="DQ1587" s="616"/>
      <c r="DR1587" s="616"/>
      <c r="DS1587" s="616"/>
      <c r="DT1587" s="616"/>
      <c r="DU1587" s="616"/>
      <c r="DV1587" s="616"/>
      <c r="DW1587" s="616"/>
      <c r="DX1587" s="616"/>
      <c r="DY1587" s="616"/>
      <c r="DZ1587" s="616"/>
      <c r="EA1587" s="616"/>
      <c r="EB1587" s="616"/>
      <c r="EC1587" s="616"/>
      <c r="ED1587" s="616"/>
      <c r="EE1587" s="616"/>
      <c r="EF1587" s="616"/>
      <c r="EG1587" s="616"/>
      <c r="EH1587" s="616"/>
      <c r="EI1587" s="616"/>
      <c r="EJ1587" s="616"/>
      <c r="EK1587" s="616"/>
      <c r="EL1587" s="616"/>
      <c r="EM1587" s="616"/>
      <c r="EN1587" s="616"/>
      <c r="EO1587" s="616"/>
      <c r="EP1587" s="616"/>
      <c r="EQ1587" s="616"/>
      <c r="ER1587" s="616"/>
      <c r="ES1587" s="616"/>
      <c r="ET1587" s="616"/>
      <c r="EU1587" s="616"/>
      <c r="EV1587" s="616"/>
      <c r="EW1587" s="616"/>
      <c r="EX1587" s="616"/>
      <c r="EY1587" s="616"/>
      <c r="EZ1587" s="616"/>
      <c r="FA1587" s="616"/>
      <c r="FB1587" s="616"/>
      <c r="FC1587" s="616"/>
      <c r="FD1587" s="616"/>
      <c r="FE1587" s="616"/>
      <c r="FF1587" s="616"/>
      <c r="FG1587" s="616"/>
      <c r="FH1587" s="616"/>
      <c r="FI1587" s="616"/>
      <c r="FJ1587" s="616"/>
      <c r="FK1587" s="616"/>
      <c r="FL1587" s="616"/>
      <c r="FM1587" s="616"/>
      <c r="FN1587" s="616"/>
      <c r="FO1587" s="616"/>
      <c r="FP1587" s="616"/>
      <c r="FQ1587" s="616"/>
      <c r="FR1587" s="616"/>
      <c r="FS1587" s="616"/>
      <c r="FT1587" s="616"/>
      <c r="FU1587" s="616"/>
      <c r="FV1587" s="616"/>
      <c r="FW1587" s="616"/>
      <c r="FX1587" s="616"/>
      <c r="FY1587" s="616"/>
      <c r="FZ1587" s="616"/>
      <c r="GA1587" s="616"/>
      <c r="GB1587" s="616"/>
      <c r="GC1587" s="616"/>
      <c r="GD1587" s="616"/>
      <c r="GE1587" s="616"/>
      <c r="GF1587" s="616"/>
      <c r="GG1587" s="616"/>
      <c r="GH1587" s="616"/>
      <c r="GI1587" s="616"/>
      <c r="GJ1587" s="616"/>
      <c r="GK1587" s="616"/>
      <c r="GL1587" s="616"/>
      <c r="GM1587" s="616"/>
      <c r="GN1587" s="616"/>
      <c r="GO1587" s="616"/>
      <c r="GP1587" s="616"/>
      <c r="GQ1587" s="616"/>
      <c r="GR1587" s="616"/>
      <c r="GS1587" s="616"/>
      <c r="GT1587" s="616"/>
      <c r="GU1587" s="616"/>
      <c r="GV1587" s="616"/>
      <c r="GW1587" s="616"/>
      <c r="GX1587" s="616"/>
      <c r="GY1587" s="616"/>
      <c r="GZ1587" s="616"/>
      <c r="HA1587" s="616"/>
      <c r="HB1587" s="616"/>
      <c r="HC1587" s="616"/>
      <c r="HD1587" s="616"/>
      <c r="HE1587" s="616"/>
      <c r="HF1587" s="616"/>
      <c r="HG1587" s="616"/>
      <c r="HH1587" s="616"/>
      <c r="HI1587" s="616"/>
      <c r="HJ1587" s="616"/>
      <c r="HK1587" s="616"/>
      <c r="HL1587" s="616"/>
      <c r="HM1587" s="616"/>
      <c r="HN1587" s="616"/>
      <c r="HO1587" s="616"/>
      <c r="HP1587" s="616"/>
      <c r="HQ1587" s="616"/>
      <c r="HR1587" s="616"/>
      <c r="HS1587" s="616"/>
      <c r="HT1587" s="616"/>
      <c r="HU1587" s="616"/>
      <c r="HV1587" s="616"/>
      <c r="HW1587" s="616"/>
      <c r="HX1587" s="616"/>
      <c r="HY1587" s="616"/>
      <c r="HZ1587" s="616"/>
      <c r="IA1587" s="616"/>
      <c r="IB1587" s="616"/>
      <c r="IC1587" s="616"/>
      <c r="ID1587" s="616"/>
      <c r="IE1587" s="616"/>
      <c r="IF1587" s="616"/>
      <c r="IG1587" s="616"/>
      <c r="IH1587" s="616"/>
      <c r="II1587" s="616"/>
      <c r="IJ1587" s="616"/>
      <c r="IK1587" s="616"/>
      <c r="IL1587" s="616"/>
      <c r="IM1587" s="616"/>
      <c r="IN1587" s="616"/>
      <c r="IO1587" s="616"/>
      <c r="IP1587" s="616"/>
      <c r="IQ1587" s="616"/>
      <c r="IR1587" s="616"/>
      <c r="IS1587" s="616"/>
      <c r="IT1587" s="616"/>
      <c r="IU1587" s="616"/>
      <c r="IV1587" s="616"/>
    </row>
    <row r="1588" spans="1:256" s="583" customFormat="1" ht="23.25" customHeight="1">
      <c r="A1588" s="609"/>
      <c r="B1588" s="610"/>
      <c r="C1588" s="610"/>
      <c r="D1588" s="611"/>
      <c r="E1588" s="610"/>
      <c r="F1588" s="610"/>
      <c r="G1588" s="610"/>
      <c r="H1588" s="610"/>
      <c r="I1588" s="610"/>
      <c r="J1588" s="610"/>
      <c r="K1588" s="610"/>
      <c r="L1588" s="610"/>
      <c r="M1588" s="610"/>
      <c r="N1588" s="610"/>
      <c r="O1588" s="610"/>
      <c r="P1588" s="610"/>
      <c r="Q1588" s="610"/>
      <c r="R1588" s="610"/>
      <c r="S1588" s="610"/>
      <c r="T1588" s="610"/>
      <c r="U1588" s="610"/>
      <c r="V1588" s="610"/>
      <c r="W1588" s="610"/>
      <c r="X1588" s="610"/>
      <c r="Y1588" s="610"/>
      <c r="Z1588" s="610"/>
      <c r="AA1588" s="610"/>
      <c r="AB1588" s="610"/>
      <c r="AC1588" s="610"/>
      <c r="AD1588" s="610"/>
      <c r="AE1588" s="610"/>
      <c r="AF1588" s="610"/>
      <c r="AG1588" s="610"/>
      <c r="AH1588" s="610"/>
      <c r="AI1588" s="610"/>
      <c r="AJ1588" s="610"/>
      <c r="AK1588" s="610"/>
      <c r="AL1588" s="610"/>
      <c r="AM1588" s="610"/>
      <c r="AN1588" s="610"/>
      <c r="AO1588" s="610"/>
      <c r="AP1588" s="610"/>
      <c r="AQ1588" s="610"/>
      <c r="AR1588" s="613"/>
      <c r="AS1588" s="1449"/>
      <c r="AT1588" s="1449"/>
      <c r="AU1588" s="1449"/>
      <c r="AV1588" s="1449"/>
      <c r="AW1588" s="1449"/>
      <c r="AX1588" s="1449"/>
      <c r="AY1588" s="1449"/>
      <c r="AZ1588" s="1449"/>
      <c r="BA1588" s="1449"/>
      <c r="BB1588" s="1449"/>
      <c r="BC1588" s="610"/>
      <c r="BD1588" s="1443"/>
      <c r="BE1588" s="1443"/>
      <c r="BF1588" s="610"/>
      <c r="BG1588" s="1443"/>
      <c r="BH1588" s="1443"/>
      <c r="BI1588" s="1443"/>
      <c r="BJ1588" s="1443"/>
      <c r="BK1588" s="1443"/>
      <c r="BL1588" s="610"/>
      <c r="BM1588" s="610"/>
      <c r="BN1588" s="610"/>
      <c r="BO1588" s="610"/>
      <c r="BP1588" s="1443"/>
      <c r="BQ1588" s="1443"/>
      <c r="BR1588" s="610"/>
      <c r="BS1588" s="610"/>
      <c r="BT1588" s="1450"/>
      <c r="BU1588" s="1450"/>
      <c r="BV1588" s="1450"/>
      <c r="BW1588" s="1450"/>
      <c r="BX1588" s="1450"/>
      <c r="BY1588" s="1450"/>
      <c r="BZ1588" s="1450"/>
      <c r="CA1588" s="1450"/>
      <c r="CB1588" s="1450"/>
      <c r="CC1588" s="1450"/>
      <c r="CD1588" s="610"/>
      <c r="CE1588" s="610"/>
      <c r="CF1588" s="615"/>
      <c r="CG1588" s="616"/>
      <c r="CH1588" s="616"/>
      <c r="CI1588" s="616"/>
      <c r="CJ1588" s="616"/>
      <c r="CK1588" s="616"/>
      <c r="CL1588" s="616"/>
      <c r="CM1588" s="616"/>
      <c r="CN1588" s="616"/>
      <c r="CO1588" s="616"/>
      <c r="CP1588" s="616"/>
      <c r="CQ1588" s="616"/>
      <c r="CR1588" s="616"/>
      <c r="CS1588" s="616"/>
      <c r="CT1588" s="616"/>
      <c r="CU1588" s="616"/>
      <c r="CV1588" s="616"/>
      <c r="CW1588" s="616"/>
      <c r="CX1588" s="616"/>
      <c r="CY1588" s="616"/>
      <c r="CZ1588" s="616"/>
      <c r="DA1588" s="616"/>
      <c r="DB1588" s="616"/>
      <c r="DC1588" s="616"/>
      <c r="DD1588" s="616"/>
      <c r="DE1588" s="616"/>
      <c r="DF1588" s="616"/>
      <c r="DG1588" s="616"/>
      <c r="DH1588" s="616"/>
      <c r="DI1588" s="616"/>
      <c r="DJ1588" s="616"/>
      <c r="DK1588" s="616"/>
      <c r="DL1588" s="616"/>
      <c r="DM1588" s="616"/>
      <c r="DN1588" s="616"/>
      <c r="DO1588" s="616"/>
      <c r="DP1588" s="616"/>
      <c r="DQ1588" s="616"/>
      <c r="DR1588" s="616"/>
      <c r="DS1588" s="616"/>
      <c r="DT1588" s="616"/>
      <c r="DU1588" s="616"/>
      <c r="DV1588" s="616"/>
      <c r="DW1588" s="616"/>
      <c r="DX1588" s="616"/>
      <c r="DY1588" s="616"/>
      <c r="DZ1588" s="616"/>
      <c r="EA1588" s="616"/>
      <c r="EB1588" s="616"/>
      <c r="EC1588" s="616"/>
      <c r="ED1588" s="616"/>
      <c r="EE1588" s="616"/>
      <c r="EF1588" s="616"/>
      <c r="EG1588" s="616"/>
      <c r="EH1588" s="616"/>
      <c r="EI1588" s="616"/>
      <c r="EJ1588" s="616"/>
      <c r="EK1588" s="616"/>
      <c r="EL1588" s="616"/>
      <c r="EM1588" s="616"/>
      <c r="EN1588" s="616"/>
      <c r="EO1588" s="616"/>
      <c r="EP1588" s="616"/>
      <c r="EQ1588" s="616"/>
      <c r="ER1588" s="616"/>
      <c r="ES1588" s="616"/>
      <c r="ET1588" s="616"/>
      <c r="EU1588" s="616"/>
      <c r="EV1588" s="616"/>
      <c r="EW1588" s="616"/>
      <c r="EX1588" s="616"/>
      <c r="EY1588" s="616"/>
      <c r="EZ1588" s="616"/>
      <c r="FA1588" s="616"/>
      <c r="FB1588" s="616"/>
      <c r="FC1588" s="616"/>
      <c r="FD1588" s="616"/>
      <c r="FE1588" s="616"/>
      <c r="FF1588" s="616"/>
      <c r="FG1588" s="616"/>
      <c r="FH1588" s="616"/>
      <c r="FI1588" s="616"/>
      <c r="FJ1588" s="616"/>
      <c r="FK1588" s="616"/>
      <c r="FL1588" s="616"/>
      <c r="FM1588" s="616"/>
      <c r="FN1588" s="616"/>
      <c r="FO1588" s="616"/>
      <c r="FP1588" s="616"/>
      <c r="FQ1588" s="616"/>
      <c r="FR1588" s="616"/>
      <c r="FS1588" s="616"/>
      <c r="FT1588" s="616"/>
      <c r="FU1588" s="616"/>
      <c r="FV1588" s="616"/>
      <c r="FW1588" s="616"/>
      <c r="FX1588" s="616"/>
      <c r="FY1588" s="616"/>
      <c r="FZ1588" s="616"/>
      <c r="GA1588" s="616"/>
      <c r="GB1588" s="616"/>
      <c r="GC1588" s="616"/>
      <c r="GD1588" s="616"/>
      <c r="GE1588" s="616"/>
      <c r="GF1588" s="616"/>
      <c r="GG1588" s="616"/>
      <c r="GH1588" s="616"/>
      <c r="GI1588" s="616"/>
      <c r="GJ1588" s="616"/>
      <c r="GK1588" s="616"/>
      <c r="GL1588" s="616"/>
      <c r="GM1588" s="616"/>
      <c r="GN1588" s="616"/>
      <c r="GO1588" s="616"/>
      <c r="GP1588" s="616"/>
      <c r="GQ1588" s="616"/>
      <c r="GR1588" s="616"/>
      <c r="GS1588" s="616"/>
      <c r="GT1588" s="616"/>
      <c r="GU1588" s="616"/>
      <c r="GV1588" s="616"/>
      <c r="GW1588" s="616"/>
      <c r="GX1588" s="616"/>
      <c r="GY1588" s="616"/>
      <c r="GZ1588" s="616"/>
      <c r="HA1588" s="616"/>
      <c r="HB1588" s="616"/>
      <c r="HC1588" s="616"/>
      <c r="HD1588" s="616"/>
      <c r="HE1588" s="616"/>
      <c r="HF1588" s="616"/>
      <c r="HG1588" s="616"/>
      <c r="HH1588" s="616"/>
      <c r="HI1588" s="616"/>
      <c r="HJ1588" s="616"/>
      <c r="HK1588" s="616"/>
      <c r="HL1588" s="616"/>
      <c r="HM1588" s="616"/>
      <c r="HN1588" s="616"/>
      <c r="HO1588" s="616"/>
      <c r="HP1588" s="616"/>
      <c r="HQ1588" s="616"/>
      <c r="HR1588" s="616"/>
      <c r="HS1588" s="616"/>
      <c r="HT1588" s="616"/>
      <c r="HU1588" s="616"/>
      <c r="HV1588" s="616"/>
      <c r="HW1588" s="616"/>
      <c r="HX1588" s="616"/>
      <c r="HY1588" s="616"/>
      <c r="HZ1588" s="616"/>
      <c r="IA1588" s="616"/>
      <c r="IB1588" s="616"/>
      <c r="IC1588" s="616"/>
      <c r="ID1588" s="616"/>
      <c r="IE1588" s="616"/>
      <c r="IF1588" s="616"/>
      <c r="IG1588" s="616"/>
      <c r="IH1588" s="616"/>
      <c r="II1588" s="616"/>
      <c r="IJ1588" s="616"/>
      <c r="IK1588" s="616"/>
      <c r="IL1588" s="616"/>
      <c r="IM1588" s="616"/>
      <c r="IN1588" s="616"/>
      <c r="IO1588" s="616"/>
      <c r="IP1588" s="616"/>
      <c r="IQ1588" s="616"/>
      <c r="IR1588" s="616"/>
      <c r="IS1588" s="616"/>
      <c r="IT1588" s="616"/>
      <c r="IU1588" s="616"/>
      <c r="IV1588" s="616"/>
    </row>
    <row r="1589" spans="1:256" s="583" customFormat="1" ht="23.25" customHeight="1">
      <c r="A1589" s="609"/>
      <c r="B1589" s="610"/>
      <c r="C1589" s="610"/>
      <c r="D1589" s="640"/>
      <c r="E1589" s="610"/>
      <c r="F1589" s="610"/>
      <c r="G1589" s="610"/>
      <c r="H1589" s="610"/>
      <c r="I1589" s="610"/>
      <c r="J1589" s="610"/>
      <c r="K1589" s="610"/>
      <c r="L1589" s="610"/>
      <c r="M1589" s="610"/>
      <c r="N1589" s="610"/>
      <c r="O1589" s="610"/>
      <c r="P1589" s="610"/>
      <c r="Q1589" s="610"/>
      <c r="R1589" s="610"/>
      <c r="S1589" s="610"/>
      <c r="T1589" s="610"/>
      <c r="U1589" s="610"/>
      <c r="V1589" s="610"/>
      <c r="W1589" s="610"/>
      <c r="X1589" s="610"/>
      <c r="Y1589" s="610"/>
      <c r="Z1589" s="610"/>
      <c r="AA1589" s="610"/>
      <c r="AB1589" s="610"/>
      <c r="AC1589" s="610"/>
      <c r="AD1589" s="610"/>
      <c r="AE1589" s="610"/>
      <c r="AF1589" s="610"/>
      <c r="AG1589" s="610"/>
      <c r="AH1589" s="610"/>
      <c r="AI1589" s="610"/>
      <c r="AJ1589" s="610"/>
      <c r="AK1589" s="610"/>
      <c r="AL1589" s="610"/>
      <c r="AM1589" s="610"/>
      <c r="AN1589" s="610"/>
      <c r="AO1589" s="610"/>
      <c r="AP1589" s="610"/>
      <c r="AQ1589" s="610"/>
      <c r="AR1589" s="613"/>
      <c r="AS1589" s="1449"/>
      <c r="AT1589" s="1449"/>
      <c r="AU1589" s="1449"/>
      <c r="AV1589" s="1449"/>
      <c r="AW1589" s="1449"/>
      <c r="AX1589" s="1449"/>
      <c r="AY1589" s="1449"/>
      <c r="AZ1589" s="1449"/>
      <c r="BA1589" s="1449"/>
      <c r="BB1589" s="1449"/>
      <c r="BC1589" s="610"/>
      <c r="BD1589" s="1443"/>
      <c r="BE1589" s="1443"/>
      <c r="BF1589" s="610"/>
      <c r="BG1589" s="1443"/>
      <c r="BH1589" s="1443"/>
      <c r="BI1589" s="1443"/>
      <c r="BJ1589" s="1443"/>
      <c r="BK1589" s="1443"/>
      <c r="BL1589" s="610"/>
      <c r="BM1589" s="610"/>
      <c r="BN1589" s="610"/>
      <c r="BO1589" s="610"/>
      <c r="BP1589" s="1443"/>
      <c r="BQ1589" s="1443"/>
      <c r="BR1589" s="610"/>
      <c r="BS1589" s="610"/>
      <c r="BT1589" s="1450"/>
      <c r="BU1589" s="1450"/>
      <c r="BV1589" s="1450"/>
      <c r="BW1589" s="1450"/>
      <c r="BX1589" s="1450"/>
      <c r="BY1589" s="1450"/>
      <c r="BZ1589" s="1450"/>
      <c r="CA1589" s="1450"/>
      <c r="CB1589" s="1450"/>
      <c r="CC1589" s="1450"/>
      <c r="CD1589" s="610"/>
      <c r="CE1589" s="610"/>
      <c r="CF1589" s="615"/>
      <c r="CG1589" s="616"/>
      <c r="CH1589" s="616"/>
      <c r="CI1589" s="616"/>
      <c r="CJ1589" s="616"/>
      <c r="CK1589" s="616"/>
      <c r="CL1589" s="616"/>
      <c r="CM1589" s="616"/>
      <c r="CN1589" s="616"/>
      <c r="CO1589" s="616"/>
      <c r="CP1589" s="616"/>
      <c r="CQ1589" s="616"/>
      <c r="CR1589" s="616"/>
      <c r="CS1589" s="616"/>
      <c r="CT1589" s="616"/>
      <c r="CU1589" s="616"/>
      <c r="CV1589" s="616"/>
      <c r="CW1589" s="616"/>
      <c r="CX1589" s="616"/>
      <c r="CY1589" s="616"/>
      <c r="CZ1589" s="616"/>
      <c r="DA1589" s="616"/>
      <c r="DB1589" s="616"/>
      <c r="DC1589" s="616"/>
      <c r="DD1589" s="616"/>
      <c r="DE1589" s="616"/>
      <c r="DF1589" s="616"/>
      <c r="DG1589" s="616"/>
      <c r="DH1589" s="616"/>
      <c r="DI1589" s="616"/>
      <c r="DJ1589" s="616"/>
      <c r="DK1589" s="616"/>
      <c r="DL1589" s="616"/>
      <c r="DM1589" s="616"/>
      <c r="DN1589" s="616"/>
      <c r="DO1589" s="616"/>
      <c r="DP1589" s="616"/>
      <c r="DQ1589" s="616"/>
      <c r="DR1589" s="616"/>
      <c r="DS1589" s="616"/>
      <c r="DT1589" s="616"/>
      <c r="DU1589" s="616"/>
      <c r="DV1589" s="616"/>
      <c r="DW1589" s="616"/>
      <c r="DX1589" s="616"/>
      <c r="DY1589" s="616"/>
      <c r="DZ1589" s="616"/>
      <c r="EA1589" s="616"/>
      <c r="EB1589" s="616"/>
      <c r="EC1589" s="616"/>
      <c r="ED1589" s="616"/>
      <c r="EE1589" s="616"/>
      <c r="EF1589" s="616"/>
      <c r="EG1589" s="616"/>
      <c r="EH1589" s="616"/>
      <c r="EI1589" s="616"/>
      <c r="EJ1589" s="616"/>
      <c r="EK1589" s="616"/>
      <c r="EL1589" s="616"/>
      <c r="EM1589" s="616"/>
      <c r="EN1589" s="616"/>
      <c r="EO1589" s="616"/>
      <c r="EP1589" s="616"/>
      <c r="EQ1589" s="616"/>
      <c r="ER1589" s="616"/>
      <c r="ES1589" s="616"/>
      <c r="ET1589" s="616"/>
      <c r="EU1589" s="616"/>
      <c r="EV1589" s="616"/>
      <c r="EW1589" s="616"/>
      <c r="EX1589" s="616"/>
      <c r="EY1589" s="616"/>
      <c r="EZ1589" s="616"/>
      <c r="FA1589" s="616"/>
      <c r="FB1589" s="616"/>
      <c r="FC1589" s="616"/>
      <c r="FD1589" s="616"/>
      <c r="FE1589" s="616"/>
      <c r="FF1589" s="616"/>
      <c r="FG1589" s="616"/>
      <c r="FH1589" s="616"/>
      <c r="FI1589" s="616"/>
      <c r="FJ1589" s="616"/>
      <c r="FK1589" s="616"/>
      <c r="FL1589" s="616"/>
      <c r="FM1589" s="616"/>
      <c r="FN1589" s="616"/>
      <c r="FO1589" s="616"/>
      <c r="FP1589" s="616"/>
      <c r="FQ1589" s="616"/>
      <c r="FR1589" s="616"/>
      <c r="FS1589" s="616"/>
      <c r="FT1589" s="616"/>
      <c r="FU1589" s="616"/>
      <c r="FV1589" s="616"/>
      <c r="FW1589" s="616"/>
      <c r="FX1589" s="616"/>
      <c r="FY1589" s="616"/>
      <c r="FZ1589" s="616"/>
      <c r="GA1589" s="616"/>
      <c r="GB1589" s="616"/>
      <c r="GC1589" s="616"/>
      <c r="GD1589" s="616"/>
      <c r="GE1589" s="616"/>
      <c r="GF1589" s="616"/>
      <c r="GG1589" s="616"/>
      <c r="GH1589" s="616"/>
      <c r="GI1589" s="616"/>
      <c r="GJ1589" s="616"/>
      <c r="GK1589" s="616"/>
      <c r="GL1589" s="616"/>
      <c r="GM1589" s="616"/>
      <c r="GN1589" s="616"/>
      <c r="GO1589" s="616"/>
      <c r="GP1589" s="616"/>
      <c r="GQ1589" s="616"/>
      <c r="GR1589" s="616"/>
      <c r="GS1589" s="616"/>
      <c r="GT1589" s="616"/>
      <c r="GU1589" s="616"/>
      <c r="GV1589" s="616"/>
      <c r="GW1589" s="616"/>
      <c r="GX1589" s="616"/>
      <c r="GY1589" s="616"/>
      <c r="GZ1589" s="616"/>
      <c r="HA1589" s="616"/>
      <c r="HB1589" s="616"/>
      <c r="HC1589" s="616"/>
      <c r="HD1589" s="616"/>
      <c r="HE1589" s="616"/>
      <c r="HF1589" s="616"/>
      <c r="HG1589" s="616"/>
      <c r="HH1589" s="616"/>
      <c r="HI1589" s="616"/>
      <c r="HJ1589" s="616"/>
      <c r="HK1589" s="616"/>
      <c r="HL1589" s="616"/>
      <c r="HM1589" s="616"/>
      <c r="HN1589" s="616"/>
      <c r="HO1589" s="616"/>
      <c r="HP1589" s="616"/>
      <c r="HQ1589" s="616"/>
      <c r="HR1589" s="616"/>
      <c r="HS1589" s="616"/>
      <c r="HT1589" s="616"/>
      <c r="HU1589" s="616"/>
      <c r="HV1589" s="616"/>
      <c r="HW1589" s="616"/>
      <c r="HX1589" s="616"/>
      <c r="HY1589" s="616"/>
      <c r="HZ1589" s="616"/>
      <c r="IA1589" s="616"/>
      <c r="IB1589" s="616"/>
      <c r="IC1589" s="616"/>
      <c r="ID1589" s="616"/>
      <c r="IE1589" s="616"/>
      <c r="IF1589" s="616"/>
      <c r="IG1589" s="616"/>
      <c r="IH1589" s="616"/>
      <c r="II1589" s="616"/>
      <c r="IJ1589" s="616"/>
      <c r="IK1589" s="616"/>
      <c r="IL1589" s="616"/>
      <c r="IM1589" s="616"/>
      <c r="IN1589" s="616"/>
      <c r="IO1589" s="616"/>
      <c r="IP1589" s="616"/>
      <c r="IQ1589" s="616"/>
      <c r="IR1589" s="616"/>
      <c r="IS1589" s="616"/>
      <c r="IT1589" s="616"/>
      <c r="IU1589" s="616"/>
      <c r="IV1589" s="616"/>
    </row>
    <row r="1590" spans="1:256" s="583" customFormat="1" ht="23.25" customHeight="1" thickBot="1">
      <c r="A1590" s="609"/>
      <c r="B1590" s="610"/>
      <c r="C1590" s="610"/>
      <c r="D1590" s="610"/>
      <c r="E1590" s="610"/>
      <c r="F1590" s="610"/>
      <c r="G1590" s="610"/>
      <c r="H1590" s="610"/>
      <c r="I1590" s="610"/>
      <c r="J1590" s="610"/>
      <c r="K1590" s="610"/>
      <c r="L1590" s="610"/>
      <c r="M1590" s="610"/>
      <c r="N1590" s="610"/>
      <c r="O1590" s="610"/>
      <c r="P1590" s="610"/>
      <c r="Q1590" s="610"/>
      <c r="R1590" s="610"/>
      <c r="S1590" s="610"/>
      <c r="T1590" s="610"/>
      <c r="U1590" s="610"/>
      <c r="V1590" s="610"/>
      <c r="W1590" s="610"/>
      <c r="X1590" s="610"/>
      <c r="Y1590" s="610"/>
      <c r="Z1590" s="610"/>
      <c r="AA1590" s="610"/>
      <c r="AB1590" s="610"/>
      <c r="AC1590" s="610"/>
      <c r="AD1590" s="610"/>
      <c r="AE1590" s="610"/>
      <c r="AF1590" s="610"/>
      <c r="AG1590" s="610"/>
      <c r="AH1590" s="610"/>
      <c r="AI1590" s="610"/>
      <c r="AJ1590" s="610"/>
      <c r="AK1590" s="610"/>
      <c r="AL1590" s="610"/>
      <c r="AM1590" s="610"/>
      <c r="AN1590" s="610"/>
      <c r="AO1590" s="610"/>
      <c r="AP1590" s="610"/>
      <c r="AQ1590" s="610"/>
      <c r="AR1590" s="610"/>
      <c r="AS1590" s="610"/>
      <c r="AT1590" s="610"/>
      <c r="AU1590" s="610"/>
      <c r="AV1590" s="610"/>
      <c r="AW1590" s="610"/>
      <c r="AX1590" s="610"/>
      <c r="AY1590" s="610"/>
      <c r="AZ1590" s="610"/>
      <c r="BA1590" s="610"/>
      <c r="BB1590" s="610"/>
      <c r="BC1590" s="610"/>
      <c r="BD1590" s="610"/>
      <c r="BE1590" s="610"/>
      <c r="BF1590" s="610"/>
      <c r="BG1590" s="610"/>
      <c r="BH1590" s="610"/>
      <c r="BI1590" s="610"/>
      <c r="BJ1590" s="610"/>
      <c r="BK1590" s="610"/>
      <c r="BL1590" s="610"/>
      <c r="BM1590" s="610"/>
      <c r="BN1590" s="610"/>
      <c r="BO1590" s="610"/>
      <c r="BP1590" s="1443"/>
      <c r="BQ1590" s="1443"/>
      <c r="BR1590" s="610"/>
      <c r="BS1590" s="610"/>
      <c r="BT1590" s="1459"/>
      <c r="BU1590" s="1459"/>
      <c r="BV1590" s="1459"/>
      <c r="BW1590" s="1459"/>
      <c r="BX1590" s="1459"/>
      <c r="BY1590" s="1459"/>
      <c r="BZ1590" s="1459"/>
      <c r="CA1590" s="1459"/>
      <c r="CB1590" s="1459"/>
      <c r="CC1590" s="1459"/>
      <c r="CD1590" s="610"/>
      <c r="CE1590" s="610"/>
      <c r="CF1590" s="615"/>
      <c r="CG1590" s="616"/>
      <c r="CH1590" s="616"/>
      <c r="CI1590" s="616"/>
      <c r="CJ1590" s="616"/>
      <c r="CK1590" s="616"/>
      <c r="CL1590" s="616"/>
      <c r="CM1590" s="616"/>
      <c r="CN1590" s="616"/>
      <c r="CO1590" s="616"/>
      <c r="CP1590" s="616"/>
      <c r="CQ1590" s="616"/>
      <c r="CR1590" s="616"/>
      <c r="CS1590" s="616"/>
      <c r="CT1590" s="616"/>
      <c r="CU1590" s="616"/>
      <c r="CV1590" s="616"/>
      <c r="CW1590" s="616"/>
      <c r="CX1590" s="616"/>
      <c r="CY1590" s="616"/>
      <c r="CZ1590" s="616"/>
      <c r="DA1590" s="616"/>
      <c r="DB1590" s="616"/>
      <c r="DC1590" s="616"/>
      <c r="DD1590" s="616"/>
      <c r="DE1590" s="616"/>
      <c r="DF1590" s="616"/>
      <c r="DG1590" s="616"/>
      <c r="DH1590" s="616"/>
      <c r="DI1590" s="616"/>
      <c r="DJ1590" s="616"/>
      <c r="DK1590" s="616"/>
      <c r="DL1590" s="616"/>
      <c r="DM1590" s="616"/>
      <c r="DN1590" s="616"/>
      <c r="DO1590" s="616"/>
      <c r="DP1590" s="616"/>
      <c r="DQ1590" s="616"/>
      <c r="DR1590" s="616"/>
      <c r="DS1590" s="616"/>
      <c r="DT1590" s="616"/>
      <c r="DU1590" s="616"/>
      <c r="DV1590" s="616"/>
      <c r="DW1590" s="616"/>
      <c r="DX1590" s="616"/>
      <c r="DY1590" s="616"/>
      <c r="DZ1590" s="616"/>
      <c r="EA1590" s="616"/>
      <c r="EB1590" s="616"/>
      <c r="EC1590" s="616"/>
      <c r="ED1590" s="616"/>
      <c r="EE1590" s="616"/>
      <c r="EF1590" s="616"/>
      <c r="EG1590" s="616"/>
      <c r="EH1590" s="616"/>
      <c r="EI1590" s="616"/>
      <c r="EJ1590" s="616"/>
      <c r="EK1590" s="616"/>
      <c r="EL1590" s="616"/>
      <c r="EM1590" s="616"/>
      <c r="EN1590" s="616"/>
      <c r="EO1590" s="616"/>
      <c r="EP1590" s="616"/>
      <c r="EQ1590" s="616"/>
      <c r="ER1590" s="616"/>
      <c r="ES1590" s="616"/>
      <c r="ET1590" s="616"/>
      <c r="EU1590" s="616"/>
      <c r="EV1590" s="616"/>
      <c r="EW1590" s="616"/>
      <c r="EX1590" s="616"/>
      <c r="EY1590" s="616"/>
      <c r="EZ1590" s="616"/>
      <c r="FA1590" s="616"/>
      <c r="FB1590" s="616"/>
      <c r="FC1590" s="616"/>
      <c r="FD1590" s="616"/>
      <c r="FE1590" s="616"/>
      <c r="FF1590" s="616"/>
      <c r="FG1590" s="616"/>
      <c r="FH1590" s="616"/>
      <c r="FI1590" s="616"/>
      <c r="FJ1590" s="616"/>
      <c r="FK1590" s="616"/>
      <c r="FL1590" s="616"/>
      <c r="FM1590" s="616"/>
      <c r="FN1590" s="616"/>
      <c r="FO1590" s="616"/>
      <c r="FP1590" s="616"/>
      <c r="FQ1590" s="616"/>
      <c r="FR1590" s="616"/>
      <c r="FS1590" s="616"/>
      <c r="FT1590" s="616"/>
      <c r="FU1590" s="616"/>
      <c r="FV1590" s="616"/>
      <c r="FW1590" s="616"/>
      <c r="FX1590" s="616"/>
      <c r="FY1590" s="616"/>
      <c r="FZ1590" s="616"/>
      <c r="GA1590" s="616"/>
      <c r="GB1590" s="616"/>
      <c r="GC1590" s="616"/>
      <c r="GD1590" s="616"/>
      <c r="GE1590" s="616"/>
      <c r="GF1590" s="616"/>
      <c r="GG1590" s="616"/>
      <c r="GH1590" s="616"/>
      <c r="GI1590" s="616"/>
      <c r="GJ1590" s="616"/>
      <c r="GK1590" s="616"/>
      <c r="GL1590" s="616"/>
      <c r="GM1590" s="616"/>
      <c r="GN1590" s="616"/>
      <c r="GO1590" s="616"/>
      <c r="GP1590" s="616"/>
      <c r="GQ1590" s="616"/>
      <c r="GR1590" s="616"/>
      <c r="GS1590" s="616"/>
      <c r="GT1590" s="616"/>
      <c r="GU1590" s="616"/>
      <c r="GV1590" s="616"/>
      <c r="GW1590" s="616"/>
      <c r="GX1590" s="616"/>
      <c r="GY1590" s="616"/>
      <c r="GZ1590" s="616"/>
      <c r="HA1590" s="616"/>
      <c r="HB1590" s="616"/>
      <c r="HC1590" s="616"/>
      <c r="HD1590" s="616"/>
      <c r="HE1590" s="616"/>
      <c r="HF1590" s="616"/>
      <c r="HG1590" s="616"/>
      <c r="HH1590" s="616"/>
      <c r="HI1590" s="616"/>
      <c r="HJ1590" s="616"/>
      <c r="HK1590" s="616"/>
      <c r="HL1590" s="616"/>
      <c r="HM1590" s="616"/>
      <c r="HN1590" s="616"/>
      <c r="HO1590" s="616"/>
      <c r="HP1590" s="616"/>
      <c r="HQ1590" s="616"/>
      <c r="HR1590" s="616"/>
      <c r="HS1590" s="616"/>
      <c r="HT1590" s="616"/>
      <c r="HU1590" s="616"/>
      <c r="HV1590" s="616"/>
      <c r="HW1590" s="616"/>
      <c r="HX1590" s="616"/>
      <c r="HY1590" s="616"/>
      <c r="HZ1590" s="616"/>
      <c r="IA1590" s="616"/>
      <c r="IB1590" s="616"/>
      <c r="IC1590" s="616"/>
      <c r="ID1590" s="616"/>
      <c r="IE1590" s="616"/>
      <c r="IF1590" s="616"/>
      <c r="IG1590" s="616"/>
      <c r="IH1590" s="616"/>
      <c r="II1590" s="616"/>
      <c r="IJ1590" s="616"/>
      <c r="IK1590" s="616"/>
      <c r="IL1590" s="616"/>
      <c r="IM1590" s="616"/>
      <c r="IN1590" s="616"/>
      <c r="IO1590" s="616"/>
      <c r="IP1590" s="616"/>
      <c r="IQ1590" s="616"/>
      <c r="IR1590" s="616"/>
      <c r="IS1590" s="616"/>
      <c r="IT1590" s="616"/>
      <c r="IU1590" s="616"/>
      <c r="IV1590" s="616"/>
    </row>
    <row r="1591" spans="1:256" s="583" customFormat="1" ht="23.25" customHeight="1" thickBot="1">
      <c r="A1591" s="645"/>
      <c r="B1591" s="646" t="s">
        <v>1113</v>
      </c>
      <c r="C1591" s="646"/>
      <c r="D1591" s="646"/>
      <c r="E1591" s="646"/>
      <c r="F1591" s="646"/>
      <c r="G1591" s="646"/>
      <c r="H1591" s="646"/>
      <c r="I1591" s="646"/>
      <c r="J1591" s="646"/>
      <c r="K1591" s="646"/>
      <c r="L1591" s="646"/>
      <c r="M1591" s="646"/>
      <c r="N1591" s="646"/>
      <c r="O1591" s="646"/>
      <c r="P1591" s="646"/>
      <c r="Q1591" s="646"/>
      <c r="R1591" s="646"/>
      <c r="S1591" s="646"/>
      <c r="T1591" s="646"/>
      <c r="U1591" s="646"/>
      <c r="V1591" s="646"/>
      <c r="W1591" s="646"/>
      <c r="X1591" s="646"/>
      <c r="Y1591" s="646"/>
      <c r="Z1591" s="646"/>
      <c r="AA1591" s="646"/>
      <c r="AB1591" s="646"/>
      <c r="AC1591" s="646"/>
      <c r="AD1591" s="646"/>
      <c r="AE1591" s="646"/>
      <c r="AF1591" s="646"/>
      <c r="AG1591" s="646"/>
      <c r="AH1591" s="646"/>
      <c r="AI1591" s="646"/>
      <c r="AJ1591" s="646"/>
      <c r="AK1591" s="646"/>
      <c r="AL1591" s="646"/>
      <c r="AM1591" s="646"/>
      <c r="AN1591" s="646"/>
      <c r="AO1591" s="646"/>
      <c r="AP1591" s="646"/>
      <c r="AQ1591" s="646"/>
      <c r="AR1591" s="646"/>
      <c r="AS1591" s="646"/>
      <c r="AT1591" s="646"/>
      <c r="AU1591" s="646"/>
      <c r="AV1591" s="646"/>
      <c r="AW1591" s="646"/>
      <c r="AX1591" s="646"/>
      <c r="AY1591" s="646"/>
      <c r="AZ1591" s="646"/>
      <c r="BA1591" s="646"/>
      <c r="BB1591" s="646"/>
      <c r="BC1591" s="646"/>
      <c r="BD1591" s="646"/>
      <c r="BE1591" s="646"/>
      <c r="BF1591" s="646"/>
      <c r="BG1591" s="646"/>
      <c r="BH1591" s="646"/>
      <c r="BI1591" s="646"/>
      <c r="BJ1591" s="646"/>
      <c r="BK1591" s="646"/>
      <c r="BL1591" s="646"/>
      <c r="BM1591" s="646"/>
      <c r="BN1591" s="646"/>
      <c r="BO1591" s="646"/>
      <c r="BP1591" s="646"/>
      <c r="BQ1591" s="646"/>
      <c r="BR1591" s="646"/>
      <c r="BS1591" s="646"/>
      <c r="BT1591" s="1445" t="e">
        <f>BT1582+BT1586+BT1590</f>
        <v>#REF!</v>
      </c>
      <c r="BU1591" s="1445"/>
      <c r="BV1591" s="1445"/>
      <c r="BW1591" s="1445"/>
      <c r="BX1591" s="1445"/>
      <c r="BY1591" s="1445"/>
      <c r="BZ1591" s="1445"/>
      <c r="CA1591" s="1445"/>
      <c r="CB1591" s="1445"/>
      <c r="CC1591" s="1445"/>
      <c r="CD1591" s="646"/>
      <c r="CE1591" s="646"/>
      <c r="CF1591" s="647"/>
      <c r="CG1591" s="616"/>
      <c r="CH1591" s="616"/>
      <c r="CI1591" s="616"/>
      <c r="CJ1591" s="616"/>
      <c r="CK1591" s="616"/>
      <c r="CL1591" s="616"/>
      <c r="CM1591" s="616"/>
      <c r="CN1591" s="616"/>
      <c r="CO1591" s="616"/>
      <c r="CP1591" s="616"/>
      <c r="CQ1591" s="616"/>
      <c r="CR1591" s="616"/>
      <c r="CS1591" s="616"/>
      <c r="CT1591" s="616"/>
      <c r="CU1591" s="616"/>
      <c r="CV1591" s="616"/>
      <c r="CW1591" s="616"/>
      <c r="CX1591" s="616"/>
      <c r="CY1591" s="616"/>
      <c r="CZ1591" s="616"/>
      <c r="DA1591" s="616"/>
      <c r="DB1591" s="616"/>
      <c r="DC1591" s="616"/>
      <c r="DD1591" s="616"/>
      <c r="DE1591" s="616"/>
      <c r="DF1591" s="616"/>
      <c r="DG1591" s="616"/>
      <c r="DH1591" s="616"/>
      <c r="DI1591" s="616"/>
      <c r="DJ1591" s="616"/>
      <c r="DK1591" s="616"/>
      <c r="DL1591" s="616"/>
      <c r="DM1591" s="616"/>
      <c r="DN1591" s="616"/>
      <c r="DO1591" s="616"/>
      <c r="DP1591" s="616"/>
      <c r="DQ1591" s="616"/>
      <c r="DR1591" s="616"/>
      <c r="DS1591" s="616"/>
      <c r="DT1591" s="616"/>
      <c r="DU1591" s="616"/>
      <c r="DV1591" s="616"/>
      <c r="DW1591" s="616"/>
      <c r="DX1591" s="616"/>
      <c r="DY1591" s="616"/>
      <c r="DZ1591" s="616"/>
      <c r="EA1591" s="616"/>
      <c r="EB1591" s="616"/>
      <c r="EC1591" s="616"/>
      <c r="ED1591" s="616"/>
      <c r="EE1591" s="616"/>
      <c r="EF1591" s="616"/>
      <c r="EG1591" s="616"/>
      <c r="EH1591" s="616"/>
      <c r="EI1591" s="616"/>
      <c r="EJ1591" s="616"/>
      <c r="EK1591" s="616"/>
      <c r="EL1591" s="616"/>
      <c r="EM1591" s="616"/>
      <c r="EN1591" s="616"/>
      <c r="EO1591" s="616"/>
      <c r="EP1591" s="616"/>
      <c r="EQ1591" s="616"/>
      <c r="ER1591" s="616"/>
      <c r="ES1591" s="616"/>
      <c r="ET1591" s="616"/>
      <c r="EU1591" s="616"/>
      <c r="EV1591" s="616"/>
      <c r="EW1591" s="616"/>
      <c r="EX1591" s="616"/>
      <c r="EY1591" s="616"/>
      <c r="EZ1591" s="616"/>
      <c r="FA1591" s="616"/>
      <c r="FB1591" s="616"/>
      <c r="FC1591" s="616"/>
      <c r="FD1591" s="616"/>
      <c r="FE1591" s="616"/>
      <c r="FF1591" s="616"/>
      <c r="FG1591" s="616"/>
      <c r="FH1591" s="616"/>
      <c r="FI1591" s="616"/>
      <c r="FJ1591" s="616"/>
      <c r="FK1591" s="616"/>
      <c r="FL1591" s="616"/>
      <c r="FM1591" s="616"/>
      <c r="FN1591" s="616"/>
      <c r="FO1591" s="616"/>
      <c r="FP1591" s="616"/>
      <c r="FQ1591" s="616"/>
      <c r="FR1591" s="616"/>
      <c r="FS1591" s="616"/>
      <c r="FT1591" s="616"/>
      <c r="FU1591" s="616"/>
      <c r="FV1591" s="616"/>
      <c r="FW1591" s="616"/>
      <c r="FX1591" s="616"/>
      <c r="FY1591" s="616"/>
      <c r="FZ1591" s="616"/>
      <c r="GA1591" s="616"/>
      <c r="GB1591" s="616"/>
      <c r="GC1591" s="616"/>
      <c r="GD1591" s="616"/>
      <c r="GE1591" s="616"/>
      <c r="GF1591" s="616"/>
      <c r="GG1591" s="616"/>
      <c r="GH1591" s="616"/>
      <c r="GI1591" s="616"/>
      <c r="GJ1591" s="616"/>
      <c r="GK1591" s="616"/>
      <c r="GL1591" s="616"/>
      <c r="GM1591" s="616"/>
      <c r="GN1591" s="616"/>
      <c r="GO1591" s="616"/>
      <c r="GP1591" s="616"/>
      <c r="GQ1591" s="616"/>
      <c r="GR1591" s="616"/>
      <c r="GS1591" s="616"/>
      <c r="GT1591" s="616"/>
      <c r="GU1591" s="616"/>
      <c r="GV1591" s="616"/>
      <c r="GW1591" s="616"/>
      <c r="GX1591" s="616"/>
      <c r="GY1591" s="616"/>
      <c r="GZ1591" s="616"/>
      <c r="HA1591" s="616"/>
      <c r="HB1591" s="616"/>
      <c r="HC1591" s="616"/>
      <c r="HD1591" s="616"/>
      <c r="HE1591" s="616"/>
      <c r="HF1591" s="616"/>
      <c r="HG1591" s="616"/>
      <c r="HH1591" s="616"/>
      <c r="HI1591" s="616"/>
      <c r="HJ1591" s="616"/>
      <c r="HK1591" s="616"/>
      <c r="HL1591" s="616"/>
      <c r="HM1591" s="616"/>
      <c r="HN1591" s="616"/>
      <c r="HO1591" s="616"/>
      <c r="HP1591" s="616"/>
      <c r="HQ1591" s="616"/>
      <c r="HR1591" s="616"/>
      <c r="HS1591" s="616"/>
      <c r="HT1591" s="616"/>
      <c r="HU1591" s="616"/>
      <c r="HV1591" s="616"/>
      <c r="HW1591" s="616"/>
      <c r="HX1591" s="616"/>
      <c r="HY1591" s="616"/>
      <c r="HZ1591" s="616"/>
      <c r="IA1591" s="616"/>
      <c r="IB1591" s="616"/>
      <c r="IC1591" s="616"/>
      <c r="ID1591" s="616"/>
      <c r="IE1591" s="616"/>
      <c r="IF1591" s="616"/>
      <c r="IG1591" s="616"/>
      <c r="IH1591" s="616"/>
      <c r="II1591" s="616"/>
      <c r="IJ1591" s="616"/>
      <c r="IK1591" s="616"/>
      <c r="IL1591" s="616"/>
      <c r="IM1591" s="616"/>
      <c r="IN1591" s="616"/>
      <c r="IO1591" s="616"/>
      <c r="IP1591" s="616"/>
      <c r="IQ1591" s="616"/>
      <c r="IR1591" s="616"/>
      <c r="IS1591" s="616"/>
      <c r="IT1591" s="616"/>
      <c r="IU1591" s="616"/>
      <c r="IV1591" s="616"/>
    </row>
    <row r="1592" spans="1:256" s="651" customFormat="1" ht="23.25" customHeight="1">
      <c r="A1592" s="574"/>
      <c r="B1592" s="574"/>
      <c r="C1592" s="574"/>
      <c r="D1592" s="574"/>
      <c r="E1592" s="574"/>
      <c r="F1592" s="574"/>
      <c r="G1592" s="574"/>
      <c r="H1592" s="574"/>
      <c r="I1592" s="574"/>
      <c r="J1592" s="574"/>
      <c r="K1592" s="574"/>
      <c r="L1592" s="574"/>
      <c r="M1592" s="574"/>
      <c r="N1592" s="574"/>
      <c r="O1592" s="574"/>
      <c r="P1592" s="574"/>
      <c r="Q1592" s="574"/>
      <c r="R1592" s="574"/>
      <c r="S1592" s="574"/>
      <c r="T1592" s="574"/>
      <c r="U1592" s="574"/>
      <c r="V1592" s="574"/>
      <c r="W1592" s="574"/>
      <c r="X1592" s="574"/>
      <c r="Y1592" s="574"/>
      <c r="Z1592" s="574"/>
      <c r="AA1592" s="574"/>
      <c r="AB1592" s="574"/>
      <c r="AC1592" s="574"/>
      <c r="AD1592" s="574"/>
      <c r="AE1592" s="574"/>
      <c r="AF1592" s="574"/>
      <c r="AG1592" s="574"/>
      <c r="AH1592" s="574"/>
      <c r="AI1592" s="574"/>
      <c r="AJ1592" s="574"/>
      <c r="AK1592" s="574"/>
      <c r="AL1592" s="574"/>
      <c r="AM1592" s="574"/>
      <c r="AN1592" s="574"/>
      <c r="AO1592" s="574"/>
      <c r="AP1592" s="574"/>
      <c r="AQ1592" s="574"/>
      <c r="AR1592" s="574"/>
      <c r="AS1592" s="574"/>
      <c r="AT1592" s="574"/>
      <c r="AU1592" s="574"/>
      <c r="AV1592" s="574"/>
      <c r="AW1592" s="574"/>
      <c r="AX1592" s="574"/>
      <c r="AY1592" s="574"/>
      <c r="AZ1592" s="574"/>
      <c r="BA1592" s="574"/>
      <c r="BB1592" s="574"/>
      <c r="BC1592" s="574"/>
      <c r="BD1592" s="574"/>
      <c r="BE1592" s="574"/>
      <c r="BF1592" s="574"/>
      <c r="BG1592" s="574"/>
      <c r="BH1592" s="574"/>
      <c r="BI1592" s="574"/>
      <c r="BJ1592" s="574"/>
      <c r="BK1592" s="574"/>
      <c r="BL1592" s="574"/>
      <c r="BM1592" s="574"/>
      <c r="BN1592" s="574"/>
      <c r="BO1592" s="574"/>
      <c r="BP1592" s="574"/>
      <c r="BQ1592" s="574"/>
      <c r="BR1592" s="574"/>
      <c r="BS1592" s="574"/>
      <c r="BT1592" s="574"/>
      <c r="BU1592" s="574"/>
      <c r="BV1592" s="574"/>
      <c r="BW1592" s="574"/>
      <c r="BX1592" s="574"/>
      <c r="BY1592" s="574"/>
      <c r="BZ1592" s="574"/>
      <c r="CA1592" s="574"/>
      <c r="CB1592" s="574"/>
      <c r="CC1592" s="574"/>
      <c r="CD1592" s="574"/>
      <c r="CE1592" s="574"/>
      <c r="CF1592" s="574"/>
    </row>
    <row r="1593" spans="1:256" s="651" customFormat="1" ht="23.25" customHeight="1" thickBot="1">
      <c r="A1593" s="1446" t="s">
        <v>1095</v>
      </c>
      <c r="B1593" s="1446"/>
      <c r="C1593" s="1446"/>
      <c r="D1593" s="1446"/>
      <c r="E1593" s="1446"/>
      <c r="F1593" s="1446"/>
      <c r="G1593" s="1447">
        <f>G1578+1</f>
        <v>107</v>
      </c>
      <c r="H1593" s="1447"/>
      <c r="I1593" s="1447"/>
      <c r="J1593" s="1447"/>
      <c r="K1593" s="1448" t="s">
        <v>1096</v>
      </c>
      <c r="L1593" s="1448"/>
      <c r="M1593" s="583"/>
      <c r="N1593" s="583"/>
      <c r="O1593" s="574"/>
      <c r="P1593" s="574"/>
      <c r="Q1593" s="574"/>
      <c r="R1593" s="574"/>
      <c r="S1593" s="574"/>
      <c r="T1593" s="574"/>
      <c r="U1593" s="574"/>
      <c r="V1593" s="574"/>
      <c r="W1593" s="574"/>
      <c r="X1593" s="574"/>
      <c r="Y1593" s="574"/>
      <c r="Z1593" s="574"/>
      <c r="AA1593" s="574"/>
      <c r="AB1593" s="574"/>
      <c r="AC1593" s="574"/>
      <c r="AD1593" s="574"/>
      <c r="AE1593" s="574"/>
      <c r="AF1593" s="574"/>
      <c r="AG1593" s="574"/>
      <c r="AH1593" s="574"/>
      <c r="AI1593" s="574"/>
      <c r="AJ1593" s="574"/>
      <c r="AK1593" s="574"/>
      <c r="AL1593" s="574"/>
      <c r="AM1593" s="574"/>
      <c r="AN1593" s="574"/>
      <c r="AO1593" s="574"/>
      <c r="AP1593" s="574"/>
      <c r="AQ1593" s="574"/>
      <c r="AR1593" s="574"/>
      <c r="AS1593" s="574"/>
      <c r="AT1593" s="574"/>
      <c r="AU1593" s="574"/>
      <c r="AV1593" s="574"/>
      <c r="AW1593" s="574"/>
      <c r="AX1593" s="574"/>
      <c r="AY1593" s="574"/>
      <c r="AZ1593" s="574"/>
      <c r="BA1593" s="574"/>
      <c r="BB1593" s="574"/>
      <c r="BC1593" s="574"/>
      <c r="BD1593" s="574"/>
      <c r="BE1593" s="574"/>
      <c r="BF1593" s="574"/>
      <c r="BG1593" s="574"/>
      <c r="BH1593" s="574"/>
      <c r="BI1593" s="574"/>
      <c r="BJ1593" s="574"/>
      <c r="BK1593" s="574"/>
      <c r="BL1593" s="574"/>
      <c r="BM1593" s="574"/>
      <c r="BN1593" s="574"/>
      <c r="BO1593" s="574"/>
      <c r="BP1593" s="574"/>
      <c r="BQ1593" s="574"/>
      <c r="BR1593" s="574"/>
      <c r="BS1593" s="574"/>
      <c r="BT1593" s="574"/>
      <c r="BU1593" s="574"/>
      <c r="BV1593" s="574"/>
      <c r="BW1593" s="574"/>
      <c r="BX1593" s="574"/>
      <c r="BY1593" s="574"/>
      <c r="BZ1593" s="574"/>
      <c r="CA1593" s="574"/>
      <c r="CB1593" s="574"/>
      <c r="CC1593" s="574"/>
      <c r="CD1593" s="574"/>
      <c r="CE1593" s="574"/>
      <c r="CF1593" s="574"/>
    </row>
    <row r="1594" spans="1:256" s="655" customFormat="1" ht="23.25" customHeight="1" thickBot="1">
      <c r="A1594" s="1457" t="s">
        <v>1097</v>
      </c>
      <c r="B1594" s="1458"/>
      <c r="C1594" s="1458"/>
      <c r="D1594" s="1458"/>
      <c r="E1594" s="1458"/>
      <c r="F1594" s="1458"/>
      <c r="G1594" s="1458"/>
      <c r="H1594" s="1458"/>
      <c r="I1594" s="630" t="s">
        <v>1063</v>
      </c>
      <c r="J1594" s="630"/>
      <c r="K1594" s="630"/>
      <c r="L1594" s="630"/>
      <c r="M1594" s="630"/>
      <c r="N1594" s="630"/>
      <c r="O1594" s="630"/>
      <c r="P1594" s="630"/>
      <c r="Q1594" s="630"/>
      <c r="R1594" s="630"/>
      <c r="S1594" s="630"/>
      <c r="T1594" s="630"/>
      <c r="U1594" s="630"/>
      <c r="V1594" s="630"/>
      <c r="W1594" s="630"/>
      <c r="X1594" s="630"/>
      <c r="Y1594" s="630"/>
      <c r="Z1594" s="630"/>
      <c r="AA1594" s="630"/>
      <c r="AB1594" s="630"/>
      <c r="AC1594" s="630"/>
      <c r="AD1594" s="630"/>
      <c r="AE1594" s="630"/>
      <c r="AF1594" s="630"/>
      <c r="AG1594" s="630"/>
      <c r="AH1594" s="630"/>
      <c r="AI1594" s="630"/>
      <c r="AJ1594" s="1458" t="s">
        <v>1099</v>
      </c>
      <c r="AK1594" s="1458"/>
      <c r="AL1594" s="1458"/>
      <c r="AM1594" s="1458"/>
      <c r="AN1594" s="1458"/>
      <c r="AO1594" s="1458"/>
      <c r="AP1594" s="1458"/>
      <c r="AQ1594" s="630"/>
      <c r="AR1594" s="630"/>
      <c r="AS1594" s="630"/>
      <c r="AT1594" s="630"/>
      <c r="AU1594" s="630"/>
      <c r="AV1594" s="630"/>
      <c r="AW1594" s="630"/>
      <c r="AX1594" s="630"/>
      <c r="AY1594" s="630"/>
      <c r="AZ1594" s="630"/>
      <c r="BA1594" s="630"/>
      <c r="BB1594" s="630"/>
      <c r="BC1594" s="630"/>
      <c r="BD1594" s="630"/>
      <c r="BE1594" s="630"/>
      <c r="BF1594" s="630"/>
      <c r="BG1594" s="630"/>
      <c r="BH1594" s="630"/>
      <c r="BI1594" s="630"/>
      <c r="BJ1594" s="630"/>
      <c r="BK1594" s="630"/>
      <c r="BL1594" s="630"/>
      <c r="BM1594" s="630"/>
      <c r="BN1594" s="630"/>
      <c r="BO1594" s="630"/>
      <c r="BP1594" s="630"/>
      <c r="BQ1594" s="630"/>
      <c r="BR1594" s="630"/>
      <c r="BS1594" s="630"/>
      <c r="BT1594" s="630" t="s">
        <v>1296</v>
      </c>
      <c r="BU1594" s="630"/>
      <c r="BV1594" s="630"/>
      <c r="BW1594" s="630"/>
      <c r="BX1594" s="630"/>
      <c r="BY1594" s="630"/>
      <c r="BZ1594" s="630"/>
      <c r="CA1594" s="630"/>
      <c r="CB1594" s="630"/>
      <c r="CC1594" s="630"/>
      <c r="CD1594" s="630"/>
      <c r="CE1594" s="630"/>
      <c r="CF1594" s="631"/>
    </row>
    <row r="1595" spans="1:256" s="651" customFormat="1" ht="23.25" customHeight="1">
      <c r="A1595" s="609"/>
      <c r="B1595" s="610" t="s">
        <v>1298</v>
      </c>
      <c r="C1595" s="610"/>
      <c r="D1595" s="610"/>
      <c r="E1595" s="610"/>
      <c r="F1595" s="610"/>
      <c r="G1595" s="610"/>
      <c r="H1595" s="610"/>
      <c r="I1595" s="610"/>
      <c r="J1595" s="610"/>
      <c r="K1595" s="610"/>
      <c r="L1595" s="610"/>
      <c r="M1595" s="610"/>
      <c r="N1595" s="610"/>
      <c r="O1595" s="610"/>
      <c r="P1595" s="610"/>
      <c r="Q1595" s="610"/>
      <c r="R1595" s="610"/>
      <c r="S1595" s="610"/>
      <c r="T1595" s="610"/>
      <c r="U1595" s="610"/>
      <c r="V1595" s="610"/>
      <c r="W1595" s="610"/>
      <c r="X1595" s="610"/>
      <c r="Y1595" s="610"/>
      <c r="Z1595" s="610"/>
      <c r="AA1595" s="610"/>
      <c r="AB1595" s="610"/>
      <c r="AC1595" s="610"/>
      <c r="AD1595" s="610"/>
      <c r="AE1595" s="610"/>
      <c r="AF1595" s="610"/>
      <c r="AG1595" s="610"/>
      <c r="AH1595" s="610"/>
      <c r="AI1595" s="610"/>
      <c r="AJ1595" s="610"/>
      <c r="AK1595" s="610"/>
      <c r="AL1595" s="610"/>
      <c r="AM1595" s="610"/>
      <c r="AN1595" s="610"/>
      <c r="AO1595" s="610"/>
      <c r="AP1595" s="610"/>
      <c r="AQ1595" s="610"/>
      <c r="AR1595" s="610"/>
      <c r="AS1595" s="610"/>
      <c r="AT1595" s="610"/>
      <c r="AU1595" s="610"/>
      <c r="AV1595" s="610"/>
      <c r="AW1595" s="610"/>
      <c r="AX1595" s="610"/>
      <c r="AY1595" s="610"/>
      <c r="AZ1595" s="610"/>
      <c r="BA1595" s="610"/>
      <c r="BB1595" s="610"/>
      <c r="BC1595" s="610"/>
      <c r="BD1595" s="610"/>
      <c r="BE1595" s="610"/>
      <c r="BF1595" s="610"/>
      <c r="BG1595" s="610"/>
      <c r="BH1595" s="610"/>
      <c r="BI1595" s="610"/>
      <c r="BJ1595" s="610"/>
      <c r="BK1595" s="610"/>
      <c r="BL1595" s="610"/>
      <c r="BM1595" s="610"/>
      <c r="BN1595" s="610"/>
      <c r="BO1595" s="610"/>
      <c r="BP1595" s="610"/>
      <c r="BQ1595" s="610"/>
      <c r="BR1595" s="610"/>
      <c r="BS1595" s="610"/>
      <c r="BT1595" s="610"/>
      <c r="BU1595" s="610"/>
      <c r="BV1595" s="610"/>
      <c r="BW1595" s="610"/>
      <c r="BX1595" s="610"/>
      <c r="BY1595" s="610"/>
      <c r="BZ1595" s="610"/>
      <c r="CA1595" s="610"/>
      <c r="CB1595" s="610"/>
      <c r="CC1595" s="610"/>
      <c r="CD1595" s="610"/>
      <c r="CE1595" s="610"/>
      <c r="CF1595" s="615"/>
    </row>
    <row r="1596" spans="1:256" s="651" customFormat="1" ht="23.25" customHeight="1">
      <c r="A1596" s="609"/>
      <c r="B1596" s="610"/>
      <c r="C1596" s="610"/>
      <c r="D1596" s="610"/>
      <c r="E1596" s="610"/>
      <c r="F1596" s="610"/>
      <c r="G1596" s="610"/>
      <c r="H1596" s="610"/>
      <c r="I1596" s="610"/>
      <c r="J1596" s="610"/>
      <c r="K1596" s="610"/>
      <c r="L1596" s="610"/>
      <c r="M1596" s="610"/>
      <c r="N1596" s="610"/>
      <c r="O1596" s="610"/>
      <c r="P1596" s="610"/>
      <c r="Q1596" s="610"/>
      <c r="R1596" s="610"/>
      <c r="S1596" s="610"/>
      <c r="T1596" s="610"/>
      <c r="U1596" s="610"/>
      <c r="V1596" s="610"/>
      <c r="W1596" s="610"/>
      <c r="X1596" s="610"/>
      <c r="Y1596" s="610"/>
      <c r="Z1596" s="610"/>
      <c r="AA1596" s="610"/>
      <c r="AB1596" s="610"/>
      <c r="AC1596" s="610"/>
      <c r="AD1596" s="612"/>
      <c r="AE1596" s="656"/>
      <c r="AF1596" s="656"/>
      <c r="AG1596" s="656"/>
      <c r="AH1596" s="656"/>
      <c r="AI1596" s="656"/>
      <c r="AJ1596" s="656"/>
      <c r="AK1596" s="656"/>
      <c r="AL1596" s="656"/>
      <c r="AM1596" s="656"/>
      <c r="AN1596" s="656"/>
      <c r="AO1596" s="1452" t="e">
        <f>#REF!</f>
        <v>#REF!</v>
      </c>
      <c r="AP1596" s="1453"/>
      <c r="AQ1596" s="1453"/>
      <c r="AR1596" s="1453"/>
      <c r="AS1596" s="1453"/>
      <c r="AT1596" s="1453"/>
      <c r="AU1596" s="1453"/>
      <c r="AV1596" s="1453"/>
      <c r="AW1596" s="1453"/>
      <c r="AX1596" s="1453"/>
      <c r="AY1596" s="1453"/>
      <c r="AZ1596" s="1453"/>
      <c r="BA1596" s="1443" t="s">
        <v>446</v>
      </c>
      <c r="BB1596" s="1443"/>
      <c r="BC1596" s="649" t="s">
        <v>1103</v>
      </c>
      <c r="BD1596" s="1454">
        <v>1319</v>
      </c>
      <c r="BE1596" s="1455"/>
      <c r="BF1596" s="1455"/>
      <c r="BG1596" s="1455"/>
      <c r="BH1596" s="1455"/>
      <c r="BI1596" s="1443" t="s">
        <v>446</v>
      </c>
      <c r="BJ1596" s="1443"/>
      <c r="BK1596" s="640" t="s">
        <v>1104</v>
      </c>
      <c r="BL1596" s="585"/>
      <c r="BM1596" s="585"/>
      <c r="BN1596" s="585"/>
      <c r="BO1596" s="654" t="s">
        <v>1105</v>
      </c>
      <c r="BP1596" s="1443" t="s">
        <v>41</v>
      </c>
      <c r="BQ1596" s="1443"/>
      <c r="BR1596" s="610"/>
      <c r="BS1596" s="610"/>
      <c r="BT1596" s="1456" t="e">
        <f>INT(AO1596*BD1596/10000000)</f>
        <v>#REF!</v>
      </c>
      <c r="BU1596" s="1456"/>
      <c r="BV1596" s="1456"/>
      <c r="BW1596" s="1456"/>
      <c r="BX1596" s="1456"/>
      <c r="BY1596" s="1456"/>
      <c r="BZ1596" s="1456"/>
      <c r="CA1596" s="1456"/>
      <c r="CB1596" s="1456"/>
      <c r="CC1596" s="1456"/>
      <c r="CD1596" s="610"/>
      <c r="CE1596" s="610"/>
      <c r="CF1596" s="615"/>
    </row>
    <row r="1597" spans="1:256" s="651" customFormat="1" ht="23.25" customHeight="1">
      <c r="A1597" s="609"/>
      <c r="B1597" s="610"/>
      <c r="C1597" s="610"/>
      <c r="D1597" s="610"/>
      <c r="E1597" s="610"/>
      <c r="F1597" s="610"/>
      <c r="G1597" s="610"/>
      <c r="H1597" s="610"/>
      <c r="I1597" s="610"/>
      <c r="J1597" s="610"/>
      <c r="K1597" s="610"/>
      <c r="L1597" s="610"/>
      <c r="M1597" s="610"/>
      <c r="N1597" s="610"/>
      <c r="O1597" s="610"/>
      <c r="P1597" s="610"/>
      <c r="Q1597" s="610"/>
      <c r="R1597" s="610"/>
      <c r="S1597" s="610"/>
      <c r="T1597" s="610"/>
      <c r="U1597" s="610"/>
      <c r="V1597" s="610"/>
      <c r="W1597" s="610"/>
      <c r="X1597" s="610"/>
      <c r="Y1597" s="610"/>
      <c r="Z1597" s="610"/>
      <c r="AA1597" s="610"/>
      <c r="AB1597" s="610"/>
      <c r="AC1597" s="610"/>
      <c r="AD1597" s="612"/>
      <c r="AE1597" s="612"/>
      <c r="AF1597" s="612"/>
      <c r="AG1597" s="612"/>
      <c r="AH1597" s="612"/>
      <c r="AI1597" s="612"/>
      <c r="AJ1597" s="612"/>
      <c r="AK1597" s="612"/>
      <c r="AL1597" s="612"/>
      <c r="AM1597" s="612"/>
      <c r="AN1597" s="612"/>
      <c r="AO1597" s="612"/>
      <c r="AP1597" s="612"/>
      <c r="AQ1597" s="612"/>
      <c r="AR1597" s="612"/>
      <c r="AS1597" s="610"/>
      <c r="AT1597" s="639"/>
      <c r="AU1597" s="639"/>
      <c r="AV1597" s="610"/>
      <c r="AW1597" s="610"/>
      <c r="AX1597" s="610"/>
      <c r="AY1597" s="610"/>
      <c r="AZ1597" s="610"/>
      <c r="BA1597" s="610"/>
      <c r="BB1597" s="610"/>
      <c r="BC1597" s="610"/>
      <c r="BD1597" s="610"/>
      <c r="BE1597" s="610"/>
      <c r="BF1597" s="610"/>
      <c r="BG1597" s="610"/>
      <c r="BH1597" s="610"/>
      <c r="BI1597" s="610"/>
      <c r="BJ1597" s="610"/>
      <c r="BK1597" s="610"/>
      <c r="BL1597" s="610"/>
      <c r="BM1597" s="610"/>
      <c r="BN1597" s="610"/>
      <c r="BO1597" s="610"/>
      <c r="BP1597" s="1443" t="s">
        <v>41</v>
      </c>
      <c r="BQ1597" s="1443"/>
      <c r="BR1597" s="610"/>
      <c r="BS1597" s="610"/>
      <c r="BT1597" s="1444" t="e">
        <f>BT1595+BT1596</f>
        <v>#REF!</v>
      </c>
      <c r="BU1597" s="1444"/>
      <c r="BV1597" s="1444"/>
      <c r="BW1597" s="1444"/>
      <c r="BX1597" s="1444"/>
      <c r="BY1597" s="1444"/>
      <c r="BZ1597" s="1444"/>
      <c r="CA1597" s="1444"/>
      <c r="CB1597" s="1444"/>
      <c r="CC1597" s="1444"/>
      <c r="CD1597" s="610"/>
      <c r="CE1597" s="610"/>
      <c r="CF1597" s="615"/>
    </row>
    <row r="1598" spans="1:256" s="651" customFormat="1" ht="23.25" customHeight="1">
      <c r="A1598" s="641"/>
      <c r="B1598" s="642" t="s">
        <v>1106</v>
      </c>
      <c r="C1598" s="642"/>
      <c r="D1598" s="642"/>
      <c r="E1598" s="642"/>
      <c r="F1598" s="642"/>
      <c r="G1598" s="642"/>
      <c r="H1598" s="642"/>
      <c r="I1598" s="642"/>
      <c r="J1598" s="642"/>
      <c r="K1598" s="642"/>
      <c r="L1598" s="642"/>
      <c r="M1598" s="642"/>
      <c r="N1598" s="642"/>
      <c r="O1598" s="642"/>
      <c r="P1598" s="642"/>
      <c r="Q1598" s="642"/>
      <c r="R1598" s="642"/>
      <c r="S1598" s="642"/>
      <c r="T1598" s="642"/>
      <c r="U1598" s="642"/>
      <c r="V1598" s="642"/>
      <c r="W1598" s="642"/>
      <c r="X1598" s="642"/>
      <c r="Y1598" s="642"/>
      <c r="Z1598" s="642"/>
      <c r="AA1598" s="642"/>
      <c r="AB1598" s="642"/>
      <c r="AC1598" s="642"/>
      <c r="AD1598" s="642"/>
      <c r="AE1598" s="642"/>
      <c r="AF1598" s="642"/>
      <c r="AG1598" s="642"/>
      <c r="AH1598" s="642"/>
      <c r="AI1598" s="642"/>
      <c r="AJ1598" s="642"/>
      <c r="AK1598" s="642"/>
      <c r="AL1598" s="642"/>
      <c r="AM1598" s="642"/>
      <c r="AN1598" s="642"/>
      <c r="AO1598" s="642"/>
      <c r="AP1598" s="642"/>
      <c r="AQ1598" s="642"/>
      <c r="AR1598" s="642"/>
      <c r="AS1598" s="642"/>
      <c r="AT1598" s="642"/>
      <c r="AU1598" s="642"/>
      <c r="AV1598" s="642"/>
      <c r="AW1598" s="642"/>
      <c r="AX1598" s="642"/>
      <c r="AY1598" s="642"/>
      <c r="AZ1598" s="642"/>
      <c r="BA1598" s="642"/>
      <c r="BB1598" s="642"/>
      <c r="BC1598" s="642"/>
      <c r="BD1598" s="642"/>
      <c r="BE1598" s="642"/>
      <c r="BF1598" s="642"/>
      <c r="BG1598" s="642"/>
      <c r="BH1598" s="642"/>
      <c r="BI1598" s="642"/>
      <c r="BJ1598" s="642"/>
      <c r="BK1598" s="642"/>
      <c r="BL1598" s="642"/>
      <c r="BM1598" s="642"/>
      <c r="BN1598" s="642"/>
      <c r="BO1598" s="642"/>
      <c r="BP1598" s="642"/>
      <c r="BQ1598" s="642"/>
      <c r="BR1598" s="642"/>
      <c r="BS1598" s="642"/>
      <c r="BT1598" s="643"/>
      <c r="BU1598" s="643"/>
      <c r="BV1598" s="643"/>
      <c r="BW1598" s="643"/>
      <c r="BX1598" s="643"/>
      <c r="BY1598" s="643"/>
      <c r="BZ1598" s="643"/>
      <c r="CA1598" s="643"/>
      <c r="CB1598" s="643"/>
      <c r="CC1598" s="643"/>
      <c r="CD1598" s="642"/>
      <c r="CE1598" s="642"/>
      <c r="CF1598" s="644"/>
    </row>
    <row r="1599" spans="1:256" s="651" customFormat="1" ht="23.25" customHeight="1">
      <c r="A1599" s="609"/>
      <c r="B1599" s="610"/>
      <c r="C1599" s="610"/>
      <c r="D1599" s="611" t="s">
        <v>1092</v>
      </c>
      <c r="E1599" s="610"/>
      <c r="F1599" s="610"/>
      <c r="G1599" s="610"/>
      <c r="H1599" s="610"/>
      <c r="I1599" s="610"/>
      <c r="J1599" s="610"/>
      <c r="K1599" s="610"/>
      <c r="L1599" s="610"/>
      <c r="M1599" s="610"/>
      <c r="N1599" s="610"/>
      <c r="O1599" s="610"/>
      <c r="P1599" s="610"/>
      <c r="Q1599" s="610"/>
      <c r="R1599" s="610"/>
      <c r="S1599" s="610"/>
      <c r="T1599" s="612"/>
      <c r="U1599" s="612"/>
      <c r="V1599" s="1449">
        <f>HLOOKUP(D1599,$CJ$1:$CM$3,3,0)</f>
        <v>238936</v>
      </c>
      <c r="W1599" s="1449"/>
      <c r="X1599" s="1449"/>
      <c r="Y1599" s="1449"/>
      <c r="Z1599" s="1449"/>
      <c r="AA1599" s="1449"/>
      <c r="AB1599" s="1449"/>
      <c r="AC1599" s="1449"/>
      <c r="AD1599" s="1449"/>
      <c r="AE1599" s="1449"/>
      <c r="AF1599" s="1443" t="s">
        <v>446</v>
      </c>
      <c r="AG1599" s="1443"/>
      <c r="AH1599" s="612"/>
      <c r="AI1599" s="1451" t="s">
        <v>1107</v>
      </c>
      <c r="AJ1599" s="1451"/>
      <c r="AK1599" s="1451"/>
      <c r="AL1599" s="1451"/>
      <c r="AM1599" s="610"/>
      <c r="AN1599" s="1443" t="s">
        <v>446</v>
      </c>
      <c r="AO1599" s="1443"/>
      <c r="AP1599" s="610"/>
      <c r="AQ1599" s="1451" t="s">
        <v>1108</v>
      </c>
      <c r="AR1599" s="1451"/>
      <c r="AS1599" s="1451"/>
      <c r="AT1599" s="1451"/>
      <c r="AU1599" s="1451"/>
      <c r="AV1599" s="613"/>
      <c r="AW1599" s="1443" t="s">
        <v>446</v>
      </c>
      <c r="AX1599" s="1443"/>
      <c r="AY1599" s="614"/>
      <c r="AZ1599" s="1451" t="s">
        <v>1109</v>
      </c>
      <c r="BA1599" s="1451"/>
      <c r="BB1599" s="1451"/>
      <c r="BC1599" s="1451"/>
      <c r="BD1599" s="1451"/>
      <c r="BE1599" s="610"/>
      <c r="BF1599" s="1443" t="s">
        <v>446</v>
      </c>
      <c r="BG1599" s="1443"/>
      <c r="BH1599" s="1443">
        <v>1</v>
      </c>
      <c r="BI1599" s="1443"/>
      <c r="BJ1599" s="1443"/>
      <c r="BK1599" s="610"/>
      <c r="BL1599" s="610" t="s">
        <v>366</v>
      </c>
      <c r="BM1599" s="610"/>
      <c r="BN1599" s="610"/>
      <c r="BO1599" s="610"/>
      <c r="BP1599" s="1443" t="s">
        <v>41</v>
      </c>
      <c r="BQ1599" s="1443"/>
      <c r="BR1599" s="610"/>
      <c r="BS1599" s="610"/>
      <c r="BT1599" s="1450">
        <f>INT(V1599/8*16/12*25/20*BH1599)</f>
        <v>49778</v>
      </c>
      <c r="BU1599" s="1450"/>
      <c r="BV1599" s="1450"/>
      <c r="BW1599" s="1450"/>
      <c r="BX1599" s="1450"/>
      <c r="BY1599" s="1450"/>
      <c r="BZ1599" s="1450"/>
      <c r="CA1599" s="1450"/>
      <c r="CB1599" s="1450"/>
      <c r="CC1599" s="1450"/>
      <c r="CD1599" s="610"/>
      <c r="CE1599" s="610"/>
      <c r="CF1599" s="615"/>
    </row>
    <row r="1600" spans="1:256" s="651" customFormat="1" ht="23.25" customHeight="1">
      <c r="A1600" s="609"/>
      <c r="B1600" s="610"/>
      <c r="C1600" s="610"/>
      <c r="D1600" s="610"/>
      <c r="E1600" s="610"/>
      <c r="F1600" s="610"/>
      <c r="G1600" s="610"/>
      <c r="H1600" s="610"/>
      <c r="I1600" s="610"/>
      <c r="J1600" s="610"/>
      <c r="K1600" s="610"/>
      <c r="L1600" s="610"/>
      <c r="M1600" s="610"/>
      <c r="N1600" s="610"/>
      <c r="O1600" s="610"/>
      <c r="P1600" s="612"/>
      <c r="Q1600" s="612"/>
      <c r="R1600" s="612"/>
      <c r="S1600" s="612"/>
      <c r="T1600" s="612"/>
      <c r="U1600" s="612"/>
      <c r="V1600" s="612"/>
      <c r="W1600" s="612"/>
      <c r="X1600" s="612"/>
      <c r="Y1600" s="612"/>
      <c r="Z1600" s="612"/>
      <c r="AA1600" s="612"/>
      <c r="AB1600" s="612"/>
      <c r="AC1600" s="612"/>
      <c r="AD1600" s="612"/>
      <c r="AE1600" s="612"/>
      <c r="AF1600" s="612"/>
      <c r="AG1600" s="612"/>
      <c r="AH1600" s="612"/>
      <c r="AI1600" s="612"/>
      <c r="AJ1600" s="612"/>
      <c r="AK1600" s="612"/>
      <c r="AL1600" s="612"/>
      <c r="AM1600" s="612"/>
      <c r="AN1600" s="612"/>
      <c r="AO1600" s="612"/>
      <c r="AP1600" s="612"/>
      <c r="AQ1600" s="612"/>
      <c r="AR1600" s="612"/>
      <c r="AS1600" s="612"/>
      <c r="AT1600" s="612"/>
      <c r="AU1600" s="612"/>
      <c r="AV1600" s="612"/>
      <c r="AW1600" s="612"/>
      <c r="AX1600" s="612"/>
      <c r="AY1600" s="612"/>
      <c r="AZ1600" s="612"/>
      <c r="BA1600" s="612"/>
      <c r="BB1600" s="612"/>
      <c r="BC1600" s="612"/>
      <c r="BD1600" s="612"/>
      <c r="BE1600" s="612"/>
      <c r="BF1600" s="612"/>
      <c r="BG1600" s="610"/>
      <c r="BH1600" s="610"/>
      <c r="BI1600" s="610"/>
      <c r="BJ1600" s="610"/>
      <c r="BK1600" s="610"/>
      <c r="BL1600" s="610"/>
      <c r="BM1600" s="610"/>
      <c r="BN1600" s="610"/>
      <c r="BO1600" s="610"/>
      <c r="BP1600" s="1443"/>
      <c r="BQ1600" s="1443"/>
      <c r="BR1600" s="610"/>
      <c r="BS1600" s="610"/>
      <c r="BT1600" s="1450"/>
      <c r="BU1600" s="1450"/>
      <c r="BV1600" s="1450"/>
      <c r="BW1600" s="1450"/>
      <c r="BX1600" s="1450"/>
      <c r="BY1600" s="1450"/>
      <c r="BZ1600" s="1450"/>
      <c r="CA1600" s="1450"/>
      <c r="CB1600" s="1450"/>
      <c r="CC1600" s="1450"/>
      <c r="CD1600" s="610"/>
      <c r="CE1600" s="610"/>
      <c r="CF1600" s="615"/>
    </row>
    <row r="1601" spans="1:85" s="651" customFormat="1" ht="23.25" customHeight="1">
      <c r="A1601" s="609"/>
      <c r="B1601" s="610"/>
      <c r="C1601" s="610"/>
      <c r="D1601" s="610"/>
      <c r="E1601" s="610"/>
      <c r="F1601" s="610"/>
      <c r="G1601" s="610"/>
      <c r="H1601" s="610"/>
      <c r="I1601" s="610"/>
      <c r="J1601" s="610"/>
      <c r="K1601" s="610"/>
      <c r="L1601" s="610"/>
      <c r="M1601" s="610"/>
      <c r="N1601" s="610"/>
      <c r="O1601" s="610"/>
      <c r="P1601" s="610"/>
      <c r="Q1601" s="610"/>
      <c r="R1601" s="610"/>
      <c r="S1601" s="610"/>
      <c r="T1601" s="610"/>
      <c r="U1601" s="610"/>
      <c r="V1601" s="610"/>
      <c r="W1601" s="610"/>
      <c r="X1601" s="610"/>
      <c r="Y1601" s="610"/>
      <c r="Z1601" s="610"/>
      <c r="AA1601" s="610"/>
      <c r="AB1601" s="610"/>
      <c r="AC1601" s="610"/>
      <c r="AD1601" s="612"/>
      <c r="AE1601" s="612"/>
      <c r="AF1601" s="612"/>
      <c r="AG1601" s="612"/>
      <c r="AH1601" s="612"/>
      <c r="AI1601" s="612"/>
      <c r="AJ1601" s="612"/>
      <c r="AK1601" s="612"/>
      <c r="AL1601" s="612"/>
      <c r="AM1601" s="612"/>
      <c r="AN1601" s="612"/>
      <c r="AO1601" s="612"/>
      <c r="AP1601" s="612"/>
      <c r="AQ1601" s="612"/>
      <c r="AR1601" s="612"/>
      <c r="AS1601" s="610"/>
      <c r="AT1601" s="639"/>
      <c r="AU1601" s="639"/>
      <c r="AV1601" s="610"/>
      <c r="AW1601" s="610"/>
      <c r="AX1601" s="610"/>
      <c r="AY1601" s="610"/>
      <c r="AZ1601" s="610"/>
      <c r="BA1601" s="610"/>
      <c r="BB1601" s="610"/>
      <c r="BC1601" s="610"/>
      <c r="BD1601" s="610"/>
      <c r="BE1601" s="610"/>
      <c r="BF1601" s="610"/>
      <c r="BG1601" s="610"/>
      <c r="BH1601" s="610"/>
      <c r="BI1601" s="610"/>
      <c r="BJ1601" s="610"/>
      <c r="BK1601" s="610"/>
      <c r="BL1601" s="610"/>
      <c r="BM1601" s="610"/>
      <c r="BN1601" s="610"/>
      <c r="BO1601" s="610"/>
      <c r="BP1601" s="1443" t="s">
        <v>41</v>
      </c>
      <c r="BQ1601" s="1443"/>
      <c r="BR1601" s="610"/>
      <c r="BS1601" s="610"/>
      <c r="BT1601" s="1444">
        <f>BT1599+BT1600</f>
        <v>49778</v>
      </c>
      <c r="BU1601" s="1444"/>
      <c r="BV1601" s="1444"/>
      <c r="BW1601" s="1444"/>
      <c r="BX1601" s="1444"/>
      <c r="BY1601" s="1444"/>
      <c r="BZ1601" s="1444"/>
      <c r="CA1601" s="1444"/>
      <c r="CB1601" s="1444"/>
      <c r="CC1601" s="1444"/>
      <c r="CD1601" s="610"/>
      <c r="CE1601" s="610"/>
      <c r="CF1601" s="615"/>
    </row>
    <row r="1602" spans="1:85" s="651" customFormat="1" ht="23.25" customHeight="1">
      <c r="A1602" s="641"/>
      <c r="B1602" s="642" t="s">
        <v>1110</v>
      </c>
      <c r="C1602" s="642"/>
      <c r="D1602" s="642"/>
      <c r="E1602" s="642"/>
      <c r="F1602" s="642"/>
      <c r="G1602" s="642"/>
      <c r="H1602" s="642"/>
      <c r="I1602" s="642"/>
      <c r="J1602" s="642"/>
      <c r="K1602" s="642"/>
      <c r="L1602" s="642"/>
      <c r="M1602" s="642"/>
      <c r="N1602" s="642"/>
      <c r="O1602" s="642"/>
      <c r="P1602" s="642"/>
      <c r="Q1602" s="642"/>
      <c r="R1602" s="642"/>
      <c r="S1602" s="642"/>
      <c r="T1602" s="642"/>
      <c r="U1602" s="642"/>
      <c r="V1602" s="642"/>
      <c r="W1602" s="642"/>
      <c r="X1602" s="642"/>
      <c r="Y1602" s="642"/>
      <c r="Z1602" s="642"/>
      <c r="AA1602" s="642"/>
      <c r="AB1602" s="642"/>
      <c r="AC1602" s="642"/>
      <c r="AD1602" s="642"/>
      <c r="AE1602" s="642"/>
      <c r="AF1602" s="642"/>
      <c r="AG1602" s="642"/>
      <c r="AH1602" s="642"/>
      <c r="AI1602" s="642"/>
      <c r="AJ1602" s="642"/>
      <c r="AK1602" s="642"/>
      <c r="AL1602" s="642"/>
      <c r="AM1602" s="642"/>
      <c r="AN1602" s="642"/>
      <c r="AO1602" s="642"/>
      <c r="AP1602" s="642"/>
      <c r="AQ1602" s="642"/>
      <c r="AR1602" s="642"/>
      <c r="AS1602" s="642"/>
      <c r="AT1602" s="642"/>
      <c r="AU1602" s="642"/>
      <c r="AV1602" s="642"/>
      <c r="AW1602" s="642"/>
      <c r="AX1602" s="642"/>
      <c r="AY1602" s="642"/>
      <c r="AZ1602" s="642"/>
      <c r="BA1602" s="642"/>
      <c r="BB1602" s="642"/>
      <c r="BC1602" s="642"/>
      <c r="BD1602" s="642"/>
      <c r="BE1602" s="642"/>
      <c r="BF1602" s="642"/>
      <c r="BG1602" s="642"/>
      <c r="BH1602" s="642"/>
      <c r="BI1602" s="642"/>
      <c r="BJ1602" s="642"/>
      <c r="BK1602" s="642"/>
      <c r="BL1602" s="642"/>
      <c r="BM1602" s="642"/>
      <c r="BN1602" s="642"/>
      <c r="BO1602" s="642"/>
      <c r="BP1602" s="642"/>
      <c r="BQ1602" s="642"/>
      <c r="BR1602" s="642"/>
      <c r="BS1602" s="642"/>
      <c r="BT1602" s="642"/>
      <c r="BU1602" s="642"/>
      <c r="BV1602" s="642"/>
      <c r="BW1602" s="642"/>
      <c r="BX1602" s="642"/>
      <c r="BY1602" s="642"/>
      <c r="BZ1602" s="642"/>
      <c r="CA1602" s="642"/>
      <c r="CB1602" s="642"/>
      <c r="CC1602" s="642"/>
      <c r="CD1602" s="642"/>
      <c r="CE1602" s="642"/>
      <c r="CF1602" s="644"/>
    </row>
    <row r="1603" spans="1:85" s="651" customFormat="1" ht="23.25" customHeight="1">
      <c r="A1603" s="609"/>
      <c r="B1603" s="610"/>
      <c r="C1603" s="610"/>
      <c r="D1603" s="611"/>
      <c r="E1603" s="610"/>
      <c r="F1603" s="610"/>
      <c r="G1603" s="610"/>
      <c r="H1603" s="610"/>
      <c r="I1603" s="610"/>
      <c r="J1603" s="610"/>
      <c r="K1603" s="610"/>
      <c r="L1603" s="610"/>
      <c r="M1603" s="610"/>
      <c r="N1603" s="610"/>
      <c r="O1603" s="610"/>
      <c r="P1603" s="610"/>
      <c r="Q1603" s="610"/>
      <c r="R1603" s="610"/>
      <c r="S1603" s="610"/>
      <c r="T1603" s="610"/>
      <c r="U1603" s="610"/>
      <c r="V1603" s="610"/>
      <c r="W1603" s="610"/>
      <c r="X1603" s="610"/>
      <c r="Y1603" s="610"/>
      <c r="Z1603" s="610"/>
      <c r="AA1603" s="610"/>
      <c r="AB1603" s="610"/>
      <c r="AC1603" s="610"/>
      <c r="AD1603" s="610"/>
      <c r="AE1603" s="610"/>
      <c r="AF1603" s="610"/>
      <c r="AG1603" s="610"/>
      <c r="AH1603" s="610"/>
      <c r="AI1603" s="610"/>
      <c r="AJ1603" s="610"/>
      <c r="AK1603" s="610"/>
      <c r="AL1603" s="610"/>
      <c r="AM1603" s="610"/>
      <c r="AN1603" s="610"/>
      <c r="AO1603" s="610"/>
      <c r="AP1603" s="610"/>
      <c r="AQ1603" s="610"/>
      <c r="AR1603" s="613"/>
      <c r="AS1603" s="1449"/>
      <c r="AT1603" s="1449"/>
      <c r="AU1603" s="1449"/>
      <c r="AV1603" s="1449"/>
      <c r="AW1603" s="1449"/>
      <c r="AX1603" s="1449"/>
      <c r="AY1603" s="1449"/>
      <c r="AZ1603" s="1449"/>
      <c r="BA1603" s="1449"/>
      <c r="BB1603" s="1449"/>
      <c r="BC1603" s="610"/>
      <c r="BD1603" s="1443"/>
      <c r="BE1603" s="1443"/>
      <c r="BF1603" s="610"/>
      <c r="BG1603" s="1443"/>
      <c r="BH1603" s="1443"/>
      <c r="BI1603" s="1443"/>
      <c r="BJ1603" s="1443"/>
      <c r="BK1603" s="1443"/>
      <c r="BL1603" s="610"/>
      <c r="BM1603" s="610"/>
      <c r="BN1603" s="610"/>
      <c r="BO1603" s="610"/>
      <c r="BP1603" s="1443"/>
      <c r="BQ1603" s="1443"/>
      <c r="BR1603" s="610"/>
      <c r="BS1603" s="610"/>
      <c r="BT1603" s="1450"/>
      <c r="BU1603" s="1450"/>
      <c r="BV1603" s="1450"/>
      <c r="BW1603" s="1450"/>
      <c r="BX1603" s="1450"/>
      <c r="BY1603" s="1450"/>
      <c r="BZ1603" s="1450"/>
      <c r="CA1603" s="1450"/>
      <c r="CB1603" s="1450"/>
      <c r="CC1603" s="1450"/>
      <c r="CD1603" s="610"/>
      <c r="CE1603" s="610"/>
      <c r="CF1603" s="615"/>
    </row>
    <row r="1604" spans="1:85" s="651" customFormat="1" ht="23.25" customHeight="1">
      <c r="A1604" s="609"/>
      <c r="B1604" s="610"/>
      <c r="C1604" s="610"/>
      <c r="D1604" s="611" t="s">
        <v>1094</v>
      </c>
      <c r="E1604" s="610"/>
      <c r="F1604" s="610"/>
      <c r="G1604" s="610"/>
      <c r="H1604" s="610"/>
      <c r="I1604" s="610"/>
      <c r="J1604" s="610"/>
      <c r="K1604" s="610"/>
      <c r="L1604" s="610"/>
      <c r="M1604" s="610"/>
      <c r="N1604" s="610"/>
      <c r="O1604" s="610"/>
      <c r="P1604" s="610"/>
      <c r="Q1604" s="610"/>
      <c r="R1604" s="610"/>
      <c r="S1604" s="610"/>
      <c r="T1604" s="610"/>
      <c r="U1604" s="610"/>
      <c r="V1604" s="610"/>
      <c r="W1604" s="610"/>
      <c r="X1604" s="610"/>
      <c r="Y1604" s="610"/>
      <c r="Z1604" s="610"/>
      <c r="AA1604" s="610"/>
      <c r="AB1604" s="610"/>
      <c r="AC1604" s="610"/>
      <c r="AD1604" s="610"/>
      <c r="AE1604" s="610"/>
      <c r="AF1604" s="610"/>
      <c r="AG1604" s="610"/>
      <c r="AH1604" s="610"/>
      <c r="AI1604" s="610"/>
      <c r="AJ1604" s="610"/>
      <c r="AK1604" s="610"/>
      <c r="AL1604" s="610"/>
      <c r="AM1604" s="610"/>
      <c r="AN1604" s="610"/>
      <c r="AO1604" s="610"/>
      <c r="AP1604" s="610"/>
      <c r="AQ1604" s="610"/>
      <c r="AR1604" s="613"/>
      <c r="AS1604" s="1449" t="e">
        <f>HLOOKUP(D1604,$CN$1:$CO$3,3,0)</f>
        <v>#REF!</v>
      </c>
      <c r="AT1604" s="1449"/>
      <c r="AU1604" s="1449"/>
      <c r="AV1604" s="1449"/>
      <c r="AW1604" s="1449"/>
      <c r="AX1604" s="1449"/>
      <c r="AY1604" s="1449"/>
      <c r="AZ1604" s="1449"/>
      <c r="BA1604" s="1449"/>
      <c r="BB1604" s="1449"/>
      <c r="BC1604" s="610"/>
      <c r="BD1604" s="1443" t="s">
        <v>446</v>
      </c>
      <c r="BE1604" s="1443"/>
      <c r="BF1604" s="610"/>
      <c r="BG1604" s="1443">
        <v>1.25</v>
      </c>
      <c r="BH1604" s="1443"/>
      <c r="BI1604" s="1443"/>
      <c r="BJ1604" s="1443"/>
      <c r="BK1604" s="1443"/>
      <c r="BL1604" s="610" t="s">
        <v>1111</v>
      </c>
      <c r="BM1604" s="610"/>
      <c r="BN1604" s="610"/>
      <c r="BO1604" s="610"/>
      <c r="BP1604" s="1443" t="s">
        <v>41</v>
      </c>
      <c r="BQ1604" s="1443"/>
      <c r="BR1604" s="610"/>
      <c r="BS1604" s="610"/>
      <c r="BT1604" s="1450" t="e">
        <f>INT(AS1604*BG1604)</f>
        <v>#REF!</v>
      </c>
      <c r="BU1604" s="1450"/>
      <c r="BV1604" s="1450"/>
      <c r="BW1604" s="1450"/>
      <c r="BX1604" s="1450"/>
      <c r="BY1604" s="1450"/>
      <c r="BZ1604" s="1450"/>
      <c r="CA1604" s="1450"/>
      <c r="CB1604" s="1450"/>
      <c r="CC1604" s="1450"/>
      <c r="CD1604" s="610"/>
      <c r="CE1604" s="610"/>
      <c r="CF1604" s="615"/>
    </row>
    <row r="1605" spans="1:85" s="651" customFormat="1" ht="23.25" customHeight="1" thickBot="1">
      <c r="A1605" s="609"/>
      <c r="B1605" s="610"/>
      <c r="C1605" s="610"/>
      <c r="D1605" s="610"/>
      <c r="E1605" s="610"/>
      <c r="F1605" s="610"/>
      <c r="G1605" s="610"/>
      <c r="H1605" s="610"/>
      <c r="I1605" s="610"/>
      <c r="J1605" s="610"/>
      <c r="K1605" s="610"/>
      <c r="L1605" s="610"/>
      <c r="M1605" s="610"/>
      <c r="N1605" s="610"/>
      <c r="O1605" s="610"/>
      <c r="P1605" s="610"/>
      <c r="Q1605" s="610"/>
      <c r="R1605" s="610"/>
      <c r="S1605" s="610"/>
      <c r="T1605" s="610"/>
      <c r="U1605" s="610"/>
      <c r="V1605" s="610"/>
      <c r="W1605" s="610"/>
      <c r="X1605" s="610"/>
      <c r="Y1605" s="610"/>
      <c r="Z1605" s="610"/>
      <c r="AA1605" s="610"/>
      <c r="AB1605" s="610"/>
      <c r="AC1605" s="610"/>
      <c r="AD1605" s="612"/>
      <c r="AE1605" s="612"/>
      <c r="AF1605" s="612"/>
      <c r="AG1605" s="612"/>
      <c r="AH1605" s="612"/>
      <c r="AI1605" s="612"/>
      <c r="AJ1605" s="612"/>
      <c r="AK1605" s="612"/>
      <c r="AL1605" s="612"/>
      <c r="AM1605" s="612"/>
      <c r="AN1605" s="612"/>
      <c r="AO1605" s="612"/>
      <c r="AP1605" s="612"/>
      <c r="AQ1605" s="612"/>
      <c r="AR1605" s="612"/>
      <c r="AS1605" s="610"/>
      <c r="AT1605" s="639"/>
      <c r="AU1605" s="639"/>
      <c r="AV1605" s="610"/>
      <c r="AW1605" s="610"/>
      <c r="AX1605" s="610"/>
      <c r="AY1605" s="610"/>
      <c r="AZ1605" s="610"/>
      <c r="BA1605" s="610"/>
      <c r="BB1605" s="610"/>
      <c r="BC1605" s="610"/>
      <c r="BD1605" s="610"/>
      <c r="BE1605" s="610"/>
      <c r="BF1605" s="610"/>
      <c r="BG1605" s="610"/>
      <c r="BH1605" s="610"/>
      <c r="BI1605" s="610"/>
      <c r="BJ1605" s="610"/>
      <c r="BK1605" s="610"/>
      <c r="BL1605" s="610"/>
      <c r="BM1605" s="610"/>
      <c r="BN1605" s="610"/>
      <c r="BO1605" s="610"/>
      <c r="BP1605" s="1443" t="s">
        <v>41</v>
      </c>
      <c r="BQ1605" s="1443"/>
      <c r="BR1605" s="610"/>
      <c r="BS1605" s="610"/>
      <c r="BT1605" s="1444" t="e">
        <f>BT1603+BT1604</f>
        <v>#REF!</v>
      </c>
      <c r="BU1605" s="1444"/>
      <c r="BV1605" s="1444"/>
      <c r="BW1605" s="1444"/>
      <c r="BX1605" s="1444"/>
      <c r="BY1605" s="1444"/>
      <c r="BZ1605" s="1444"/>
      <c r="CA1605" s="1444"/>
      <c r="CB1605" s="1444"/>
      <c r="CC1605" s="1444"/>
      <c r="CD1605" s="610"/>
      <c r="CE1605" s="610"/>
      <c r="CF1605" s="615"/>
    </row>
    <row r="1606" spans="1:85" s="651" customFormat="1" ht="23.25" customHeight="1" thickBot="1">
      <c r="A1606" s="645"/>
      <c r="B1606" s="646" t="s">
        <v>1113</v>
      </c>
      <c r="C1606" s="646"/>
      <c r="D1606" s="646"/>
      <c r="E1606" s="646"/>
      <c r="F1606" s="646"/>
      <c r="G1606" s="646"/>
      <c r="H1606" s="646"/>
      <c r="I1606" s="646"/>
      <c r="J1606" s="646"/>
      <c r="K1606" s="646"/>
      <c r="L1606" s="646"/>
      <c r="M1606" s="646"/>
      <c r="N1606" s="646"/>
      <c r="O1606" s="646"/>
      <c r="P1606" s="646"/>
      <c r="Q1606" s="646"/>
      <c r="R1606" s="646"/>
      <c r="S1606" s="646"/>
      <c r="T1606" s="646"/>
      <c r="U1606" s="646"/>
      <c r="V1606" s="646"/>
      <c r="W1606" s="646"/>
      <c r="X1606" s="646"/>
      <c r="Y1606" s="646"/>
      <c r="Z1606" s="646"/>
      <c r="AA1606" s="646"/>
      <c r="AB1606" s="646"/>
      <c r="AC1606" s="646"/>
      <c r="AD1606" s="646"/>
      <c r="AE1606" s="646"/>
      <c r="AF1606" s="646"/>
      <c r="AG1606" s="646"/>
      <c r="AH1606" s="646"/>
      <c r="AI1606" s="646"/>
      <c r="AJ1606" s="646"/>
      <c r="AK1606" s="646"/>
      <c r="AL1606" s="646"/>
      <c r="AM1606" s="646"/>
      <c r="AN1606" s="646"/>
      <c r="AO1606" s="646"/>
      <c r="AP1606" s="646"/>
      <c r="AQ1606" s="646"/>
      <c r="AR1606" s="646"/>
      <c r="AS1606" s="646"/>
      <c r="AT1606" s="646"/>
      <c r="AU1606" s="646"/>
      <c r="AV1606" s="646"/>
      <c r="AW1606" s="646"/>
      <c r="AX1606" s="646"/>
      <c r="AY1606" s="646"/>
      <c r="AZ1606" s="646"/>
      <c r="BA1606" s="646"/>
      <c r="BB1606" s="646"/>
      <c r="BC1606" s="646"/>
      <c r="BD1606" s="646"/>
      <c r="BE1606" s="646"/>
      <c r="BF1606" s="646"/>
      <c r="BG1606" s="646"/>
      <c r="BH1606" s="646"/>
      <c r="BI1606" s="646"/>
      <c r="BJ1606" s="646"/>
      <c r="BK1606" s="646"/>
      <c r="BL1606" s="646"/>
      <c r="BM1606" s="646"/>
      <c r="BN1606" s="646"/>
      <c r="BO1606" s="646"/>
      <c r="BP1606" s="646"/>
      <c r="BQ1606" s="646"/>
      <c r="BR1606" s="646"/>
      <c r="BS1606" s="646"/>
      <c r="BT1606" s="1445" t="e">
        <f>BT1597+BT1601+BT1605</f>
        <v>#REF!</v>
      </c>
      <c r="BU1606" s="1445"/>
      <c r="BV1606" s="1445"/>
      <c r="BW1606" s="1445"/>
      <c r="BX1606" s="1445"/>
      <c r="BY1606" s="1445"/>
      <c r="BZ1606" s="1445"/>
      <c r="CA1606" s="1445"/>
      <c r="CB1606" s="1445"/>
      <c r="CC1606" s="1445"/>
      <c r="CD1606" s="646"/>
      <c r="CE1606" s="646"/>
      <c r="CF1606" s="647"/>
    </row>
    <row r="1607" spans="1:85" ht="15">
      <c r="A1607" s="574"/>
      <c r="B1607" s="574"/>
      <c r="C1607" s="574"/>
      <c r="D1607" s="574"/>
      <c r="E1607" s="574"/>
      <c r="F1607" s="574"/>
      <c r="G1607" s="574"/>
      <c r="H1607" s="574"/>
      <c r="I1607" s="574"/>
      <c r="J1607" s="574"/>
      <c r="K1607" s="574"/>
      <c r="L1607" s="574"/>
      <c r="M1607" s="574"/>
      <c r="N1607" s="574"/>
      <c r="O1607" s="574"/>
      <c r="P1607" s="574"/>
      <c r="Q1607" s="574"/>
      <c r="R1607" s="574"/>
      <c r="S1607" s="574"/>
      <c r="T1607" s="574"/>
      <c r="U1607" s="574"/>
      <c r="V1607" s="574"/>
      <c r="W1607" s="574"/>
      <c r="X1607" s="574"/>
      <c r="Y1607" s="574"/>
      <c r="Z1607" s="574"/>
      <c r="AA1607" s="574"/>
      <c r="AB1607" s="574"/>
      <c r="AC1607" s="574"/>
      <c r="AD1607" s="574"/>
      <c r="AE1607" s="574"/>
      <c r="AF1607" s="574"/>
      <c r="AG1607" s="574"/>
      <c r="AH1607" s="574"/>
      <c r="AI1607" s="574"/>
      <c r="AJ1607" s="574"/>
      <c r="AK1607" s="574"/>
      <c r="AL1607" s="574"/>
      <c r="AM1607" s="574"/>
      <c r="AN1607" s="574"/>
      <c r="AO1607" s="574"/>
      <c r="AP1607" s="574"/>
      <c r="AQ1607" s="574"/>
      <c r="AR1607" s="574"/>
      <c r="AS1607" s="574"/>
      <c r="AT1607" s="574"/>
      <c r="AU1607" s="574"/>
      <c r="AV1607" s="574"/>
      <c r="AW1607" s="574"/>
      <c r="AX1607" s="574"/>
      <c r="AY1607" s="574"/>
      <c r="AZ1607" s="574"/>
      <c r="BA1607" s="574"/>
      <c r="BB1607" s="574"/>
      <c r="BC1607" s="574"/>
      <c r="BD1607" s="574"/>
      <c r="BE1607" s="574"/>
      <c r="BF1607" s="574"/>
      <c r="BG1607" s="574"/>
      <c r="BH1607" s="574"/>
      <c r="BI1607" s="574"/>
      <c r="BJ1607" s="574"/>
      <c r="BK1607" s="574"/>
      <c r="BL1607" s="574"/>
      <c r="BM1607" s="574"/>
      <c r="BN1607" s="574"/>
      <c r="BO1607" s="574"/>
      <c r="BP1607" s="574"/>
      <c r="BQ1607" s="574"/>
      <c r="BR1607" s="574"/>
      <c r="BS1607" s="574"/>
      <c r="BT1607" s="574"/>
      <c r="BU1607" s="574"/>
      <c r="BV1607" s="574"/>
      <c r="BW1607" s="574"/>
      <c r="BX1607" s="574"/>
      <c r="BY1607" s="574"/>
      <c r="BZ1607" s="574"/>
      <c r="CA1607" s="574"/>
      <c r="CB1607" s="574"/>
      <c r="CC1607" s="574"/>
      <c r="CD1607" s="574"/>
      <c r="CE1607" s="574"/>
      <c r="CF1607" s="574"/>
      <c r="CG1607" s="583"/>
    </row>
    <row r="1608" spans="1:85" ht="15.75" thickBot="1">
      <c r="A1608" s="1446" t="s">
        <v>1095</v>
      </c>
      <c r="B1608" s="1446"/>
      <c r="C1608" s="1446"/>
      <c r="D1608" s="1446"/>
      <c r="E1608" s="1446"/>
      <c r="F1608" s="1446"/>
      <c r="G1608" s="1447">
        <f>G1593+1</f>
        <v>108</v>
      </c>
      <c r="H1608" s="1447"/>
      <c r="I1608" s="1447"/>
      <c r="J1608" s="1448" t="s">
        <v>1096</v>
      </c>
      <c r="K1608" s="1448"/>
      <c r="L1608" s="574"/>
      <c r="M1608" s="574"/>
      <c r="N1608" s="574"/>
      <c r="O1608" s="574"/>
      <c r="P1608" s="574"/>
      <c r="Q1608" s="574"/>
      <c r="R1608" s="574"/>
      <c r="S1608" s="574"/>
      <c r="T1608" s="574"/>
      <c r="U1608" s="574"/>
      <c r="V1608" s="574"/>
      <c r="W1608" s="574"/>
      <c r="X1608" s="574"/>
      <c r="Y1608" s="574"/>
      <c r="Z1608" s="574"/>
      <c r="AA1608" s="574"/>
      <c r="AB1608" s="574"/>
      <c r="AC1608" s="574"/>
      <c r="AD1608" s="574"/>
      <c r="AE1608" s="574"/>
      <c r="AF1608" s="574"/>
      <c r="AG1608" s="574"/>
      <c r="AH1608" s="574"/>
      <c r="AI1608" s="574"/>
      <c r="AJ1608" s="574"/>
      <c r="AK1608" s="574"/>
      <c r="AL1608" s="574"/>
      <c r="AM1608" s="574"/>
      <c r="AN1608" s="574"/>
      <c r="AO1608" s="574"/>
      <c r="AP1608" s="574"/>
      <c r="AQ1608" s="574"/>
      <c r="AR1608" s="574"/>
      <c r="AS1608" s="574"/>
      <c r="AT1608" s="574"/>
      <c r="AU1608" s="574"/>
      <c r="AV1608" s="574"/>
      <c r="AW1608" s="574"/>
      <c r="AX1608" s="574"/>
      <c r="AY1608" s="574"/>
      <c r="AZ1608" s="574"/>
      <c r="BA1608" s="574"/>
      <c r="BB1608" s="574"/>
      <c r="BC1608" s="574"/>
      <c r="BD1608" s="574"/>
      <c r="BE1608" s="574"/>
      <c r="BF1608" s="574"/>
      <c r="BG1608" s="574"/>
      <c r="BH1608" s="574"/>
      <c r="BI1608" s="574"/>
      <c r="BJ1608" s="574"/>
      <c r="BK1608" s="574"/>
      <c r="BL1608" s="574"/>
      <c r="BM1608" s="574"/>
      <c r="BN1608" s="574"/>
      <c r="BO1608" s="574"/>
      <c r="BP1608" s="574"/>
      <c r="BQ1608" s="574"/>
      <c r="BR1608" s="574"/>
      <c r="BS1608" s="574"/>
      <c r="BT1608" s="574"/>
      <c r="BU1608" s="574"/>
      <c r="BV1608" s="574"/>
      <c r="BW1608" s="574"/>
      <c r="BX1608" s="574"/>
      <c r="BY1608" s="574"/>
      <c r="BZ1608" s="574"/>
      <c r="CA1608" s="574"/>
      <c r="CB1608" s="574"/>
      <c r="CC1608" s="574"/>
      <c r="CD1608" s="574"/>
      <c r="CE1608" s="574"/>
      <c r="CF1608" s="574"/>
      <c r="CG1608" s="583"/>
    </row>
    <row r="1609" spans="1:85" ht="15.75" thickBot="1">
      <c r="A1609" s="1438" t="s">
        <v>1097</v>
      </c>
      <c r="B1609" s="1439"/>
      <c r="C1609" s="1439"/>
      <c r="D1609" s="1439"/>
      <c r="E1609" s="1439"/>
      <c r="F1609" s="1439"/>
      <c r="G1609" s="1439"/>
      <c r="H1609" s="1439"/>
      <c r="I1609" s="601" t="s">
        <v>1300</v>
      </c>
      <c r="J1609" s="601"/>
      <c r="K1609" s="601"/>
      <c r="L1609" s="601"/>
      <c r="M1609" s="601"/>
      <c r="N1609" s="601"/>
      <c r="O1609" s="601"/>
      <c r="P1609" s="601"/>
      <c r="Q1609" s="601"/>
      <c r="R1609" s="601"/>
      <c r="S1609" s="601"/>
      <c r="T1609" s="601"/>
      <c r="U1609" s="601"/>
      <c r="V1609" s="601"/>
      <c r="W1609" s="601"/>
      <c r="X1609" s="601"/>
      <c r="Y1609" s="601"/>
      <c r="Z1609" s="601"/>
      <c r="AA1609" s="601"/>
      <c r="AB1609" s="601"/>
      <c r="AC1609" s="601"/>
      <c r="AD1609" s="601"/>
      <c r="AE1609" s="601"/>
      <c r="AF1609" s="601"/>
      <c r="AG1609" s="601"/>
      <c r="AH1609" s="601"/>
      <c r="AI1609" s="601"/>
      <c r="AJ1609" s="1439" t="s">
        <v>1099</v>
      </c>
      <c r="AK1609" s="1439"/>
      <c r="AL1609" s="1439"/>
      <c r="AM1609" s="1439"/>
      <c r="AN1609" s="1439"/>
      <c r="AO1609" s="1439"/>
      <c r="AP1609" s="1439"/>
      <c r="AQ1609" s="601" t="s">
        <v>1301</v>
      </c>
      <c r="AR1609" s="601"/>
      <c r="AS1609" s="601"/>
      <c r="AT1609" s="601"/>
      <c r="AU1609" s="601"/>
      <c r="AV1609" s="601"/>
      <c r="AW1609" s="601"/>
      <c r="AX1609" s="601"/>
      <c r="AY1609" s="601"/>
      <c r="AZ1609" s="601"/>
      <c r="BA1609" s="601"/>
      <c r="BB1609" s="601"/>
      <c r="BC1609" s="601"/>
      <c r="BD1609" s="601"/>
      <c r="BE1609" s="601"/>
      <c r="BF1609" s="601"/>
      <c r="BG1609" s="601"/>
      <c r="BH1609" s="601"/>
      <c r="BI1609" s="601"/>
      <c r="BJ1609" s="601"/>
      <c r="BK1609" s="601"/>
      <c r="BL1609" s="601"/>
      <c r="BM1609" s="601"/>
      <c r="BN1609" s="601"/>
      <c r="BO1609" s="601"/>
      <c r="BP1609" s="601"/>
      <c r="BQ1609" s="601"/>
      <c r="BR1609" s="601"/>
      <c r="BS1609" s="601"/>
      <c r="BT1609" s="601" t="s">
        <v>1302</v>
      </c>
      <c r="BU1609" s="601"/>
      <c r="BV1609" s="601"/>
      <c r="BW1609" s="601"/>
      <c r="BX1609" s="601"/>
      <c r="BY1609" s="601"/>
      <c r="BZ1609" s="601"/>
      <c r="CA1609" s="601"/>
      <c r="CB1609" s="601"/>
      <c r="CC1609" s="601"/>
      <c r="CD1609" s="601"/>
      <c r="CE1609" s="601"/>
      <c r="CF1609" s="602"/>
      <c r="CG1609" s="603"/>
    </row>
    <row r="1610" spans="1:85" ht="15">
      <c r="A1610" s="584"/>
      <c r="B1610" s="585" t="s">
        <v>1102</v>
      </c>
      <c r="C1610" s="585"/>
      <c r="D1610" s="585"/>
      <c r="E1610" s="585"/>
      <c r="F1610" s="585"/>
      <c r="G1610" s="585"/>
      <c r="H1610" s="585"/>
      <c r="I1610" s="585"/>
      <c r="J1610" s="585"/>
      <c r="K1610" s="585"/>
      <c r="L1610" s="585"/>
      <c r="M1610" s="585"/>
      <c r="N1610" s="585"/>
      <c r="O1610" s="585"/>
      <c r="P1610" s="585"/>
      <c r="Q1610" s="585"/>
      <c r="R1610" s="585"/>
      <c r="S1610" s="585"/>
      <c r="T1610" s="585"/>
      <c r="U1610" s="585"/>
      <c r="V1610" s="585"/>
      <c r="W1610" s="585"/>
      <c r="X1610" s="585"/>
      <c r="Y1610" s="585"/>
      <c r="Z1610" s="585"/>
      <c r="AA1610" s="585"/>
      <c r="AB1610" s="585"/>
      <c r="AC1610" s="585"/>
      <c r="AD1610" s="585"/>
      <c r="AE1610" s="585"/>
      <c r="AF1610" s="585"/>
      <c r="AG1610" s="585"/>
      <c r="AH1610" s="585"/>
      <c r="AI1610" s="585"/>
      <c r="AJ1610" s="585"/>
      <c r="AK1610" s="585"/>
      <c r="AL1610" s="585"/>
      <c r="AM1610" s="585"/>
      <c r="AN1610" s="585"/>
      <c r="AO1610" s="585"/>
      <c r="AP1610" s="585"/>
      <c r="AQ1610" s="585"/>
      <c r="AR1610" s="585"/>
      <c r="AS1610" s="585"/>
      <c r="AT1610" s="585"/>
      <c r="AU1610" s="585"/>
      <c r="AV1610" s="585"/>
      <c r="AW1610" s="585"/>
      <c r="AX1610" s="585"/>
      <c r="AY1610" s="585"/>
      <c r="AZ1610" s="585"/>
      <c r="BA1610" s="585"/>
      <c r="BB1610" s="585"/>
      <c r="BC1610" s="585"/>
      <c r="BD1610" s="585"/>
      <c r="BE1610" s="585"/>
      <c r="BF1610" s="585"/>
      <c r="BG1610" s="585"/>
      <c r="BH1610" s="585"/>
      <c r="BI1610" s="585"/>
      <c r="BJ1610" s="585"/>
      <c r="BK1610" s="585"/>
      <c r="BL1610" s="585"/>
      <c r="BM1610" s="585"/>
      <c r="BN1610" s="585"/>
      <c r="BO1610" s="585"/>
      <c r="BP1610" s="585"/>
      <c r="BQ1610" s="585"/>
      <c r="BR1610" s="585"/>
      <c r="BS1610" s="585"/>
      <c r="BT1610" s="585"/>
      <c r="BU1610" s="585"/>
      <c r="BV1610" s="585"/>
      <c r="BW1610" s="585"/>
      <c r="BX1610" s="585"/>
      <c r="BY1610" s="585"/>
      <c r="BZ1610" s="585"/>
      <c r="CA1610" s="585"/>
      <c r="CB1610" s="585"/>
      <c r="CC1610" s="585"/>
      <c r="CD1610" s="585"/>
      <c r="CE1610" s="585"/>
      <c r="CF1610" s="586"/>
      <c r="CG1610" s="583"/>
    </row>
    <row r="1611" spans="1:85" ht="15">
      <c r="A1611" s="587"/>
      <c r="B1611" s="574"/>
      <c r="C1611" s="574"/>
      <c r="D1611" s="405"/>
      <c r="E1611" s="574"/>
      <c r="F1611" s="422"/>
      <c r="G1611" s="422"/>
      <c r="H1611" s="422"/>
      <c r="I1611" s="422"/>
      <c r="J1611" s="422"/>
      <c r="K1611" s="422"/>
      <c r="L1611" s="422"/>
      <c r="M1611" s="422"/>
      <c r="N1611" s="574"/>
      <c r="O1611" s="574"/>
      <c r="P1611" s="574"/>
      <c r="Q1611" s="574"/>
      <c r="R1611" s="574"/>
      <c r="S1611" s="588"/>
      <c r="T1611" s="588"/>
      <c r="U1611" s="588"/>
      <c r="V1611" s="588"/>
      <c r="W1611" s="588"/>
      <c r="X1611" s="588"/>
      <c r="Y1611" s="588"/>
      <c r="Z1611" s="588"/>
      <c r="AA1611" s="574"/>
      <c r="AB1611" s="588"/>
      <c r="AC1611" s="585"/>
      <c r="AD1611" s="585"/>
      <c r="AE1611" s="600"/>
      <c r="AF1611" s="600"/>
      <c r="AG1611" s="600"/>
      <c r="AH1611" s="600"/>
      <c r="AI1611" s="600"/>
      <c r="AJ1611" s="600"/>
      <c r="AK1611" s="600"/>
      <c r="AL1611" s="600"/>
      <c r="AM1611" s="585"/>
      <c r="AN1611" s="585"/>
      <c r="AO1611" s="574"/>
      <c r="AP1611" s="430"/>
      <c r="AQ1611" s="430"/>
      <c r="AR1611" s="430"/>
      <c r="AS1611" s="430"/>
      <c r="AT1611" s="430"/>
      <c r="AU1611" s="430"/>
      <c r="AV1611" s="430"/>
      <c r="AW1611" s="430"/>
      <c r="AX1611" s="430"/>
      <c r="AY1611" s="430"/>
      <c r="AZ1611" s="430"/>
      <c r="BA1611" s="430"/>
      <c r="BB1611" s="430"/>
      <c r="BC1611" s="430"/>
      <c r="BD1611" s="574"/>
      <c r="BE1611" s="574"/>
      <c r="BF1611" s="574"/>
      <c r="BG1611" s="574"/>
      <c r="BH1611" s="574"/>
      <c r="BI1611" s="574"/>
      <c r="BJ1611" s="574"/>
      <c r="BK1611" s="574"/>
      <c r="BL1611" s="574"/>
      <c r="BM1611" s="574"/>
      <c r="BN1611" s="574"/>
      <c r="BO1611" s="574"/>
      <c r="BP1611" s="574"/>
      <c r="BQ1611" s="574"/>
      <c r="BR1611" s="574"/>
      <c r="BS1611" s="574"/>
      <c r="BT1611" s="574"/>
      <c r="BU1611" s="574"/>
      <c r="BV1611" s="574"/>
      <c r="BW1611" s="574"/>
      <c r="BX1611" s="574"/>
      <c r="BY1611" s="574"/>
      <c r="BZ1611" s="574"/>
      <c r="CA1611" s="574"/>
      <c r="CB1611" s="574"/>
      <c r="CC1611" s="574"/>
      <c r="CD1611" s="574"/>
      <c r="CE1611" s="574"/>
      <c r="CF1611" s="589"/>
      <c r="CG1611" s="583"/>
    </row>
    <row r="1612" spans="1:85" ht="16.5">
      <c r="A1612" s="584"/>
      <c r="B1612" s="585"/>
      <c r="C1612" s="585"/>
      <c r="D1612" s="585"/>
      <c r="E1612" s="585"/>
      <c r="F1612" s="585"/>
      <c r="G1612" s="585"/>
      <c r="H1612" s="585"/>
      <c r="I1612" s="585"/>
      <c r="J1612" s="585"/>
      <c r="K1612" s="585"/>
      <c r="L1612" s="585"/>
      <c r="M1612" s="585"/>
      <c r="N1612" s="585"/>
      <c r="O1612" s="585"/>
      <c r="P1612" s="585"/>
      <c r="Q1612" s="585"/>
      <c r="R1612" s="585"/>
      <c r="S1612" s="585"/>
      <c r="T1612" s="585"/>
      <c r="U1612" s="585"/>
      <c r="V1612" s="590"/>
      <c r="W1612" s="590"/>
      <c r="X1612" s="590"/>
      <c r="Y1612" s="590"/>
      <c r="Z1612" s="590"/>
      <c r="AA1612" s="590"/>
      <c r="AB1612" s="590"/>
      <c r="AC1612" s="590"/>
      <c r="AD1612" s="574"/>
      <c r="AE1612" s="1440">
        <v>196754000</v>
      </c>
      <c r="AF1612" s="1440"/>
      <c r="AG1612" s="1440"/>
      <c r="AH1612" s="1440"/>
      <c r="AI1612" s="1440"/>
      <c r="AJ1612" s="1440"/>
      <c r="AK1612" s="1440"/>
      <c r="AL1612" s="1440"/>
      <c r="AM1612" s="1440"/>
      <c r="AN1612" s="1440"/>
      <c r="AO1612" s="1440"/>
      <c r="AP1612" s="1440"/>
      <c r="AQ1612" s="1440"/>
      <c r="AR1612" s="1440"/>
      <c r="AS1612" s="1440"/>
      <c r="AT1612" s="1431" t="s">
        <v>446</v>
      </c>
      <c r="AU1612" s="1431"/>
      <c r="AV1612" s="1441" t="s">
        <v>1103</v>
      </c>
      <c r="AW1612" s="1441"/>
      <c r="AX1612" s="1442">
        <v>2413</v>
      </c>
      <c r="AY1612" s="1442"/>
      <c r="AZ1612" s="1442"/>
      <c r="BA1612" s="1442"/>
      <c r="BB1612" s="1442"/>
      <c r="BC1612" s="1442"/>
      <c r="BD1612" s="585"/>
      <c r="BE1612" s="1431" t="s">
        <v>446</v>
      </c>
      <c r="BF1612" s="1431"/>
      <c r="BG1612" s="585"/>
      <c r="BH1612" s="591" t="s">
        <v>1104</v>
      </c>
      <c r="BI1612" s="585"/>
      <c r="BJ1612" s="585"/>
      <c r="BK1612" s="585"/>
      <c r="BL1612" s="1431" t="s">
        <v>1105</v>
      </c>
      <c r="BM1612" s="1431"/>
      <c r="BN1612" s="1431"/>
      <c r="BO1612" s="585"/>
      <c r="BP1612" s="1431" t="s">
        <v>41</v>
      </c>
      <c r="BQ1612" s="1431"/>
      <c r="BR1612" s="585"/>
      <c r="BS1612" s="585"/>
      <c r="BT1612" s="1437">
        <f>INT(AE1612*AX1612*10^-7)</f>
        <v>47476</v>
      </c>
      <c r="BU1612" s="1437"/>
      <c r="BV1612" s="1437"/>
      <c r="BW1612" s="1437"/>
      <c r="BX1612" s="1437"/>
      <c r="BY1612" s="1437"/>
      <c r="BZ1612" s="1437"/>
      <c r="CA1612" s="1437"/>
      <c r="CB1612" s="1437"/>
      <c r="CC1612" s="1437"/>
      <c r="CD1612" s="585"/>
      <c r="CE1612" s="585"/>
      <c r="CF1612" s="586"/>
      <c r="CG1612" s="583"/>
    </row>
    <row r="1613" spans="1:85" ht="15">
      <c r="A1613" s="592"/>
      <c r="B1613" s="593" t="s">
        <v>1106</v>
      </c>
      <c r="C1613" s="593"/>
      <c r="D1613" s="593"/>
      <c r="E1613" s="593"/>
      <c r="F1613" s="593"/>
      <c r="G1613" s="593"/>
      <c r="H1613" s="593"/>
      <c r="I1613" s="593"/>
      <c r="J1613" s="593"/>
      <c r="K1613" s="593"/>
      <c r="L1613" s="593"/>
      <c r="M1613" s="593"/>
      <c r="N1613" s="593"/>
      <c r="O1613" s="593"/>
      <c r="P1613" s="593"/>
      <c r="Q1613" s="593"/>
      <c r="R1613" s="593"/>
      <c r="S1613" s="593"/>
      <c r="T1613" s="593"/>
      <c r="U1613" s="593"/>
      <c r="V1613" s="593"/>
      <c r="W1613" s="593"/>
      <c r="X1613" s="593"/>
      <c r="Y1613" s="593"/>
      <c r="Z1613" s="593"/>
      <c r="AA1613" s="593"/>
      <c r="AB1613" s="593"/>
      <c r="AC1613" s="593"/>
      <c r="AD1613" s="593"/>
      <c r="AE1613" s="593"/>
      <c r="AF1613" s="593"/>
      <c r="AG1613" s="593"/>
      <c r="AH1613" s="593"/>
      <c r="AI1613" s="593"/>
      <c r="AJ1613" s="593"/>
      <c r="AK1613" s="593"/>
      <c r="AL1613" s="593"/>
      <c r="AM1613" s="593"/>
      <c r="AN1613" s="593"/>
      <c r="AO1613" s="593"/>
      <c r="AP1613" s="593"/>
      <c r="AQ1613" s="593"/>
      <c r="AR1613" s="593"/>
      <c r="AS1613" s="593"/>
      <c r="AT1613" s="593"/>
      <c r="AU1613" s="593"/>
      <c r="AV1613" s="593"/>
      <c r="AW1613" s="593"/>
      <c r="AX1613" s="593"/>
      <c r="AY1613" s="593"/>
      <c r="AZ1613" s="593"/>
      <c r="BA1613" s="593"/>
      <c r="BB1613" s="593"/>
      <c r="BC1613" s="593"/>
      <c r="BD1613" s="593"/>
      <c r="BE1613" s="593"/>
      <c r="BF1613" s="593"/>
      <c r="BG1613" s="593"/>
      <c r="BH1613" s="593"/>
      <c r="BI1613" s="593"/>
      <c r="BJ1613" s="593"/>
      <c r="BK1613" s="593"/>
      <c r="BL1613" s="593"/>
      <c r="BM1613" s="593"/>
      <c r="BN1613" s="593"/>
      <c r="BO1613" s="593"/>
      <c r="BP1613" s="593"/>
      <c r="BQ1613" s="593"/>
      <c r="BR1613" s="593"/>
      <c r="BS1613" s="593"/>
      <c r="BT1613" s="594"/>
      <c r="BU1613" s="594"/>
      <c r="BV1613" s="594"/>
      <c r="BW1613" s="594"/>
      <c r="BX1613" s="594"/>
      <c r="BY1613" s="594"/>
      <c r="BZ1613" s="594"/>
      <c r="CA1613" s="594"/>
      <c r="CB1613" s="594"/>
      <c r="CC1613" s="594"/>
      <c r="CD1613" s="593"/>
      <c r="CE1613" s="593"/>
      <c r="CF1613" s="595"/>
      <c r="CG1613" s="583"/>
    </row>
    <row r="1614" spans="1:85" ht="15">
      <c r="A1614" s="584"/>
      <c r="B1614" s="585"/>
      <c r="C1614" s="585"/>
      <c r="D1614" s="596" t="s">
        <v>1093</v>
      </c>
      <c r="E1614" s="585"/>
      <c r="F1614" s="585"/>
      <c r="G1614" s="585"/>
      <c r="H1614" s="585"/>
      <c r="I1614" s="585"/>
      <c r="J1614" s="585"/>
      <c r="K1614" s="585"/>
      <c r="L1614" s="585"/>
      <c r="M1614" s="585"/>
      <c r="N1614" s="585"/>
      <c r="O1614" s="585"/>
      <c r="P1614" s="585"/>
      <c r="Q1614" s="585"/>
      <c r="R1614" s="585"/>
      <c r="S1614" s="585"/>
      <c r="T1614" s="574"/>
      <c r="U1614" s="574"/>
      <c r="V1614" s="1435">
        <f>CM3</f>
        <v>173995</v>
      </c>
      <c r="W1614" s="1435"/>
      <c r="X1614" s="1435"/>
      <c r="Y1614" s="1435"/>
      <c r="Z1614" s="1435"/>
      <c r="AA1614" s="1435"/>
      <c r="AB1614" s="1435"/>
      <c r="AC1614" s="1435"/>
      <c r="AD1614" s="1435"/>
      <c r="AE1614" s="1435"/>
      <c r="AF1614" s="1431" t="s">
        <v>446</v>
      </c>
      <c r="AG1614" s="1431"/>
      <c r="AH1614" s="574"/>
      <c r="AI1614" s="1436" t="s">
        <v>1107</v>
      </c>
      <c r="AJ1614" s="1436"/>
      <c r="AK1614" s="1436"/>
      <c r="AL1614" s="1436"/>
      <c r="AM1614" s="585"/>
      <c r="AN1614" s="1431" t="s">
        <v>446</v>
      </c>
      <c r="AO1614" s="1431"/>
      <c r="AP1614" s="585"/>
      <c r="AQ1614" s="1436" t="s">
        <v>1108</v>
      </c>
      <c r="AR1614" s="1436"/>
      <c r="AS1614" s="1436"/>
      <c r="AT1614" s="1436"/>
      <c r="AU1614" s="1436"/>
      <c r="AV1614" s="422"/>
      <c r="AW1614" s="1431" t="s">
        <v>446</v>
      </c>
      <c r="AX1614" s="1431"/>
      <c r="AY1614" s="440"/>
      <c r="AZ1614" s="1436" t="s">
        <v>1109</v>
      </c>
      <c r="BA1614" s="1436"/>
      <c r="BB1614" s="1436"/>
      <c r="BC1614" s="1436"/>
      <c r="BD1614" s="1436"/>
      <c r="BE1614" s="585"/>
      <c r="BF1614" s="1431" t="s">
        <v>446</v>
      </c>
      <c r="BG1614" s="1431"/>
      <c r="BH1614" s="1431">
        <v>1</v>
      </c>
      <c r="BI1614" s="1431"/>
      <c r="BJ1614" s="1431"/>
      <c r="BK1614" s="585"/>
      <c r="BL1614" s="585" t="s">
        <v>366</v>
      </c>
      <c r="BM1614" s="585"/>
      <c r="BN1614" s="585"/>
      <c r="BO1614" s="585"/>
      <c r="BP1614" s="1431" t="s">
        <v>41</v>
      </c>
      <c r="BQ1614" s="1431"/>
      <c r="BR1614" s="585"/>
      <c r="BS1614" s="585"/>
      <c r="BT1614" s="1432">
        <f>INT(V1614/8*16/12*25/20*BH1614)</f>
        <v>36248</v>
      </c>
      <c r="BU1614" s="1432"/>
      <c r="BV1614" s="1432"/>
      <c r="BW1614" s="1432"/>
      <c r="BX1614" s="1432"/>
      <c r="BY1614" s="1432"/>
      <c r="BZ1614" s="1432"/>
      <c r="CA1614" s="1432"/>
      <c r="CB1614" s="1432"/>
      <c r="CC1614" s="1432"/>
      <c r="CD1614" s="585"/>
      <c r="CE1614" s="585"/>
      <c r="CF1614" s="586"/>
      <c r="CG1614" s="583"/>
    </row>
    <row r="1615" spans="1:85" ht="15">
      <c r="A1615" s="584"/>
      <c r="B1615" s="585"/>
      <c r="C1615" s="585"/>
      <c r="D1615" s="585"/>
      <c r="E1615" s="585"/>
      <c r="F1615" s="585"/>
      <c r="G1615" s="585"/>
      <c r="H1615" s="585"/>
      <c r="I1615" s="585"/>
      <c r="J1615" s="585"/>
      <c r="K1615" s="585"/>
      <c r="L1615" s="585"/>
      <c r="M1615" s="585"/>
      <c r="N1615" s="585"/>
      <c r="O1615" s="585"/>
      <c r="P1615" s="574"/>
      <c r="Q1615" s="574"/>
      <c r="R1615" s="574"/>
      <c r="S1615" s="574"/>
      <c r="T1615" s="574"/>
      <c r="U1615" s="574"/>
      <c r="V1615" s="574"/>
      <c r="W1615" s="574"/>
      <c r="X1615" s="574"/>
      <c r="Y1615" s="574"/>
      <c r="Z1615" s="574"/>
      <c r="AA1615" s="574"/>
      <c r="AB1615" s="574"/>
      <c r="AC1615" s="574"/>
      <c r="AD1615" s="574"/>
      <c r="AE1615" s="574"/>
      <c r="AF1615" s="574"/>
      <c r="AG1615" s="574"/>
      <c r="AH1615" s="574"/>
      <c r="AI1615" s="574"/>
      <c r="AJ1615" s="574"/>
      <c r="AK1615" s="574"/>
      <c r="AL1615" s="574"/>
      <c r="AM1615" s="574"/>
      <c r="AN1615" s="574"/>
      <c r="AO1615" s="574"/>
      <c r="AP1615" s="574"/>
      <c r="AQ1615" s="574"/>
      <c r="AR1615" s="574"/>
      <c r="AS1615" s="574"/>
      <c r="AT1615" s="574"/>
      <c r="AU1615" s="574"/>
      <c r="AV1615" s="574"/>
      <c r="AW1615" s="574"/>
      <c r="AX1615" s="574"/>
      <c r="AY1615" s="574"/>
      <c r="AZ1615" s="574"/>
      <c r="BA1615" s="574"/>
      <c r="BB1615" s="574"/>
      <c r="BC1615" s="574"/>
      <c r="BD1615" s="574"/>
      <c r="BE1615" s="574"/>
      <c r="BF1615" s="574"/>
      <c r="BG1615" s="585"/>
      <c r="BH1615" s="585"/>
      <c r="BI1615" s="585"/>
      <c r="BJ1615" s="585"/>
      <c r="BK1615" s="585"/>
      <c r="BL1615" s="585"/>
      <c r="BM1615" s="585"/>
      <c r="BN1615" s="585"/>
      <c r="BO1615" s="585"/>
      <c r="BP1615" s="1431"/>
      <c r="BQ1615" s="1431"/>
      <c r="BR1615" s="585"/>
      <c r="BS1615" s="585"/>
      <c r="BT1615" s="1432"/>
      <c r="BU1615" s="1432"/>
      <c r="BV1615" s="1432"/>
      <c r="BW1615" s="1432"/>
      <c r="BX1615" s="1432"/>
      <c r="BY1615" s="1432"/>
      <c r="BZ1615" s="1432"/>
      <c r="CA1615" s="1432"/>
      <c r="CB1615" s="1432"/>
      <c r="CC1615" s="1432"/>
      <c r="CD1615" s="585"/>
      <c r="CE1615" s="585"/>
      <c r="CF1615" s="586"/>
      <c r="CG1615" s="583"/>
    </row>
    <row r="1616" spans="1:85" ht="15">
      <c r="A1616" s="584"/>
      <c r="B1616" s="585"/>
      <c r="C1616" s="585"/>
      <c r="D1616" s="585"/>
      <c r="E1616" s="585"/>
      <c r="F1616" s="585"/>
      <c r="G1616" s="585"/>
      <c r="H1616" s="585"/>
      <c r="I1616" s="585"/>
      <c r="J1616" s="585"/>
      <c r="K1616" s="585"/>
      <c r="L1616" s="585"/>
      <c r="M1616" s="585"/>
      <c r="N1616" s="585"/>
      <c r="O1616" s="585"/>
      <c r="P1616" s="585"/>
      <c r="Q1616" s="585"/>
      <c r="R1616" s="585"/>
      <c r="S1616" s="585"/>
      <c r="T1616" s="585"/>
      <c r="U1616" s="585"/>
      <c r="V1616" s="585"/>
      <c r="W1616" s="585"/>
      <c r="X1616" s="585"/>
      <c r="Y1616" s="585"/>
      <c r="Z1616" s="585"/>
      <c r="AA1616" s="585"/>
      <c r="AB1616" s="585"/>
      <c r="AC1616" s="585"/>
      <c r="AD1616" s="574"/>
      <c r="AE1616" s="574"/>
      <c r="AF1616" s="574"/>
      <c r="AG1616" s="574"/>
      <c r="AH1616" s="574"/>
      <c r="AI1616" s="574"/>
      <c r="AJ1616" s="574"/>
      <c r="AK1616" s="574"/>
      <c r="AL1616" s="574"/>
      <c r="AM1616" s="574"/>
      <c r="AN1616" s="574"/>
      <c r="AO1616" s="574"/>
      <c r="AP1616" s="574"/>
      <c r="AQ1616" s="574"/>
      <c r="AR1616" s="574"/>
      <c r="AS1616" s="585"/>
      <c r="AT1616" s="590"/>
      <c r="AU1616" s="590"/>
      <c r="AV1616" s="585"/>
      <c r="AW1616" s="585"/>
      <c r="AX1616" s="585"/>
      <c r="AY1616" s="585"/>
      <c r="AZ1616" s="585"/>
      <c r="BA1616" s="585"/>
      <c r="BB1616" s="585"/>
      <c r="BC1616" s="585"/>
      <c r="BD1616" s="585"/>
      <c r="BE1616" s="585"/>
      <c r="BF1616" s="585"/>
      <c r="BG1616" s="585"/>
      <c r="BH1616" s="585"/>
      <c r="BI1616" s="585"/>
      <c r="BJ1616" s="585"/>
      <c r="BK1616" s="585"/>
      <c r="BL1616" s="585"/>
      <c r="BM1616" s="585"/>
      <c r="BN1616" s="585"/>
      <c r="BO1616" s="585"/>
      <c r="BP1616" s="1431" t="s">
        <v>41</v>
      </c>
      <c r="BQ1616" s="1431"/>
      <c r="BR1616" s="585"/>
      <c r="BS1616" s="585"/>
      <c r="BT1616" s="1434">
        <f>BT1614+BT1615</f>
        <v>36248</v>
      </c>
      <c r="BU1616" s="1434"/>
      <c r="BV1616" s="1434"/>
      <c r="BW1616" s="1434"/>
      <c r="BX1616" s="1434"/>
      <c r="BY1616" s="1434"/>
      <c r="BZ1616" s="1434"/>
      <c r="CA1616" s="1434"/>
      <c r="CB1616" s="1434"/>
      <c r="CC1616" s="1434"/>
      <c r="CD1616" s="585"/>
      <c r="CE1616" s="585"/>
      <c r="CF1616" s="586"/>
      <c r="CG1616" s="583"/>
    </row>
    <row r="1617" spans="1:85" ht="15">
      <c r="A1617" s="592"/>
      <c r="B1617" s="593" t="s">
        <v>1110</v>
      </c>
      <c r="C1617" s="593"/>
      <c r="D1617" s="593"/>
      <c r="E1617" s="593"/>
      <c r="F1617" s="593"/>
      <c r="G1617" s="593"/>
      <c r="H1617" s="593"/>
      <c r="I1617" s="593"/>
      <c r="J1617" s="593"/>
      <c r="K1617" s="593"/>
      <c r="L1617" s="593"/>
      <c r="M1617" s="593"/>
      <c r="N1617" s="593"/>
      <c r="O1617" s="593"/>
      <c r="P1617" s="593"/>
      <c r="Q1617" s="593"/>
      <c r="R1617" s="593"/>
      <c r="S1617" s="593"/>
      <c r="T1617" s="593"/>
      <c r="U1617" s="593"/>
      <c r="V1617" s="593"/>
      <c r="W1617" s="593"/>
      <c r="X1617" s="593"/>
      <c r="Y1617" s="593"/>
      <c r="Z1617" s="593"/>
      <c r="AA1617" s="593"/>
      <c r="AB1617" s="593"/>
      <c r="AC1617" s="593"/>
      <c r="AD1617" s="593"/>
      <c r="AE1617" s="593"/>
      <c r="AF1617" s="593"/>
      <c r="AG1617" s="593"/>
      <c r="AH1617" s="593"/>
      <c r="AI1617" s="593"/>
      <c r="AJ1617" s="593"/>
      <c r="AK1617" s="593"/>
      <c r="AL1617" s="593"/>
      <c r="AM1617" s="593"/>
      <c r="AN1617" s="593"/>
      <c r="AO1617" s="593"/>
      <c r="AP1617" s="593"/>
      <c r="AQ1617" s="593"/>
      <c r="AR1617" s="593"/>
      <c r="AS1617" s="593"/>
      <c r="AT1617" s="593"/>
      <c r="AU1617" s="593"/>
      <c r="AV1617" s="593"/>
      <c r="AW1617" s="593"/>
      <c r="AX1617" s="593"/>
      <c r="AY1617" s="593"/>
      <c r="AZ1617" s="593"/>
      <c r="BA1617" s="593"/>
      <c r="BB1617" s="593"/>
      <c r="BC1617" s="593"/>
      <c r="BD1617" s="593"/>
      <c r="BE1617" s="593"/>
      <c r="BF1617" s="593"/>
      <c r="BG1617" s="593"/>
      <c r="BH1617" s="593"/>
      <c r="BI1617" s="593"/>
      <c r="BJ1617" s="593"/>
      <c r="BK1617" s="593"/>
      <c r="BL1617" s="593"/>
      <c r="BM1617" s="593"/>
      <c r="BN1617" s="593"/>
      <c r="BO1617" s="593"/>
      <c r="BP1617" s="593"/>
      <c r="BQ1617" s="593"/>
      <c r="BR1617" s="593"/>
      <c r="BS1617" s="593"/>
      <c r="BT1617" s="593"/>
      <c r="BU1617" s="593"/>
      <c r="BV1617" s="593"/>
      <c r="BW1617" s="593"/>
      <c r="BX1617" s="593"/>
      <c r="BY1617" s="593"/>
      <c r="BZ1617" s="593"/>
      <c r="CA1617" s="593"/>
      <c r="CB1617" s="593"/>
      <c r="CC1617" s="593"/>
      <c r="CD1617" s="593"/>
      <c r="CE1617" s="593"/>
      <c r="CF1617" s="595"/>
      <c r="CG1617" s="583"/>
    </row>
    <row r="1618" spans="1:85" ht="15">
      <c r="A1618" s="584"/>
      <c r="B1618" s="585"/>
      <c r="C1618" s="585"/>
      <c r="D1618" s="596" t="s">
        <v>1094</v>
      </c>
      <c r="E1618" s="585"/>
      <c r="F1618" s="585"/>
      <c r="G1618" s="585"/>
      <c r="H1618" s="585"/>
      <c r="I1618" s="585"/>
      <c r="J1618" s="585"/>
      <c r="K1618" s="585"/>
      <c r="L1618" s="585"/>
      <c r="M1618" s="585"/>
      <c r="N1618" s="585"/>
      <c r="O1618" s="585"/>
      <c r="P1618" s="585"/>
      <c r="Q1618" s="585"/>
      <c r="R1618" s="585"/>
      <c r="S1618" s="585"/>
      <c r="T1618" s="585"/>
      <c r="U1618" s="585"/>
      <c r="V1618" s="585"/>
      <c r="W1618" s="585"/>
      <c r="X1618" s="585"/>
      <c r="Y1618" s="585"/>
      <c r="Z1618" s="585"/>
      <c r="AA1618" s="585"/>
      <c r="AB1618" s="585"/>
      <c r="AC1618" s="585"/>
      <c r="AD1618" s="585"/>
      <c r="AE1618" s="585"/>
      <c r="AF1618" s="585"/>
      <c r="AG1618" s="585"/>
      <c r="AH1618" s="585"/>
      <c r="AI1618" s="585"/>
      <c r="AJ1618" s="585"/>
      <c r="AK1618" s="585"/>
      <c r="AL1618" s="585"/>
      <c r="AM1618" s="585"/>
      <c r="AN1618" s="585"/>
      <c r="AO1618" s="585"/>
      <c r="AP1618" s="585"/>
      <c r="AQ1618" s="585"/>
      <c r="AR1618" s="422"/>
      <c r="AS1618" s="1435" t="e">
        <f>HLOOKUP(D1618,$CN$1:$CO$3,3,0)</f>
        <v>#REF!</v>
      </c>
      <c r="AT1618" s="1435"/>
      <c r="AU1618" s="1435"/>
      <c r="AV1618" s="1435"/>
      <c r="AW1618" s="1435"/>
      <c r="AX1618" s="1435"/>
      <c r="AY1618" s="1435"/>
      <c r="AZ1618" s="1435"/>
      <c r="BA1618" s="1435"/>
      <c r="BB1618" s="1435"/>
      <c r="BC1618" s="585"/>
      <c r="BD1618" s="1431" t="s">
        <v>446</v>
      </c>
      <c r="BE1618" s="1431"/>
      <c r="BF1618" s="585"/>
      <c r="BG1618" s="1431">
        <v>15.2</v>
      </c>
      <c r="BH1618" s="1431"/>
      <c r="BI1618" s="1431"/>
      <c r="BJ1618" s="1431"/>
      <c r="BK1618" s="1431"/>
      <c r="BL1618" s="585" t="s">
        <v>1111</v>
      </c>
      <c r="BM1618" s="585"/>
      <c r="BN1618" s="585"/>
      <c r="BO1618" s="585"/>
      <c r="BP1618" s="1431" t="s">
        <v>41</v>
      </c>
      <c r="BQ1618" s="1431"/>
      <c r="BR1618" s="585"/>
      <c r="BS1618" s="585"/>
      <c r="BT1618" s="1432" t="e">
        <f>INT(AS1618*BG1618)</f>
        <v>#REF!</v>
      </c>
      <c r="BU1618" s="1432"/>
      <c r="BV1618" s="1432"/>
      <c r="BW1618" s="1432"/>
      <c r="BX1618" s="1432"/>
      <c r="BY1618" s="1432"/>
      <c r="BZ1618" s="1432"/>
      <c r="CA1618" s="1432"/>
      <c r="CB1618" s="1432"/>
      <c r="CC1618" s="1432"/>
      <c r="CD1618" s="585"/>
      <c r="CE1618" s="585"/>
      <c r="CF1618" s="586"/>
      <c r="CG1618" s="583"/>
    </row>
    <row r="1619" spans="1:85" ht="15">
      <c r="A1619" s="584"/>
      <c r="B1619" s="585"/>
      <c r="C1619" s="585"/>
      <c r="D1619" s="591" t="str">
        <f>"잡재료 (주연료의 "&amp;BG1619&amp;"%) :"</f>
        <v>잡재료 (주연료의 40%) :</v>
      </c>
      <c r="E1619" s="585"/>
      <c r="F1619" s="585"/>
      <c r="G1619" s="585"/>
      <c r="H1619" s="585"/>
      <c r="I1619" s="585"/>
      <c r="J1619" s="585"/>
      <c r="K1619" s="585"/>
      <c r="L1619" s="585"/>
      <c r="M1619" s="585"/>
      <c r="N1619" s="585"/>
      <c r="O1619" s="585"/>
      <c r="P1619" s="585"/>
      <c r="Q1619" s="585"/>
      <c r="R1619" s="585"/>
      <c r="S1619" s="585"/>
      <c r="T1619" s="585"/>
      <c r="U1619" s="585"/>
      <c r="V1619" s="585"/>
      <c r="W1619" s="585"/>
      <c r="X1619" s="585"/>
      <c r="Y1619" s="585"/>
      <c r="Z1619" s="585"/>
      <c r="AA1619" s="585"/>
      <c r="AB1619" s="585"/>
      <c r="AC1619" s="585"/>
      <c r="AD1619" s="585"/>
      <c r="AE1619" s="585"/>
      <c r="AF1619" s="585"/>
      <c r="AG1619" s="585"/>
      <c r="AH1619" s="585"/>
      <c r="AI1619" s="585"/>
      <c r="AJ1619" s="585"/>
      <c r="AK1619" s="585"/>
      <c r="AL1619" s="585"/>
      <c r="AM1619" s="585"/>
      <c r="AN1619" s="585"/>
      <c r="AO1619" s="585"/>
      <c r="AP1619" s="585"/>
      <c r="AQ1619" s="585"/>
      <c r="AR1619" s="422" t="e">
        <f>BT1618</f>
        <v>#REF!</v>
      </c>
      <c r="AS1619" s="1430" t="e">
        <f>BT1618</f>
        <v>#REF!</v>
      </c>
      <c r="AT1619" s="1430"/>
      <c r="AU1619" s="1430"/>
      <c r="AV1619" s="1430"/>
      <c r="AW1619" s="1430"/>
      <c r="AX1619" s="1430"/>
      <c r="AY1619" s="1430"/>
      <c r="AZ1619" s="1430"/>
      <c r="BA1619" s="1430"/>
      <c r="BB1619" s="1430"/>
      <c r="BC1619" s="585"/>
      <c r="BD1619" s="1431" t="s">
        <v>446</v>
      </c>
      <c r="BE1619" s="1431"/>
      <c r="BF1619" s="585"/>
      <c r="BG1619" s="1431">
        <v>40</v>
      </c>
      <c r="BH1619" s="1431"/>
      <c r="BI1619" s="1431"/>
      <c r="BJ1619" s="1431"/>
      <c r="BK1619" s="1431"/>
      <c r="BL1619" s="585" t="s">
        <v>1112</v>
      </c>
      <c r="BM1619" s="585"/>
      <c r="BN1619" s="585"/>
      <c r="BO1619" s="585"/>
      <c r="BP1619" s="1431" t="s">
        <v>41</v>
      </c>
      <c r="BQ1619" s="1431"/>
      <c r="BR1619" s="585"/>
      <c r="BS1619" s="585"/>
      <c r="BT1619" s="1432" t="e">
        <f>INT(AS1619*BG1619/100)</f>
        <v>#REF!</v>
      </c>
      <c r="BU1619" s="1432"/>
      <c r="BV1619" s="1432"/>
      <c r="BW1619" s="1432"/>
      <c r="BX1619" s="1432"/>
      <c r="BY1619" s="1432"/>
      <c r="BZ1619" s="1432"/>
      <c r="CA1619" s="1432"/>
      <c r="CB1619" s="1432"/>
      <c r="CC1619" s="1432"/>
      <c r="CD1619" s="585"/>
      <c r="CE1619" s="585"/>
      <c r="CF1619" s="586"/>
      <c r="CG1619" s="583"/>
    </row>
    <row r="1620" spans="1:85" ht="15.75" thickBot="1">
      <c r="A1620" s="584"/>
      <c r="B1620" s="585"/>
      <c r="C1620" s="585"/>
      <c r="D1620" s="585"/>
      <c r="E1620" s="585"/>
      <c r="F1620" s="585"/>
      <c r="G1620" s="585"/>
      <c r="H1620" s="585"/>
      <c r="I1620" s="585"/>
      <c r="J1620" s="585"/>
      <c r="K1620" s="585"/>
      <c r="L1620" s="585"/>
      <c r="M1620" s="585"/>
      <c r="N1620" s="585"/>
      <c r="O1620" s="585"/>
      <c r="P1620" s="585"/>
      <c r="Q1620" s="585"/>
      <c r="R1620" s="585"/>
      <c r="S1620" s="585"/>
      <c r="T1620" s="585"/>
      <c r="U1620" s="585"/>
      <c r="V1620" s="585"/>
      <c r="W1620" s="585"/>
      <c r="X1620" s="585"/>
      <c r="Y1620" s="585"/>
      <c r="Z1620" s="585"/>
      <c r="AA1620" s="585"/>
      <c r="AB1620" s="585"/>
      <c r="AC1620" s="585"/>
      <c r="AD1620" s="585"/>
      <c r="AE1620" s="585"/>
      <c r="AF1620" s="585"/>
      <c r="AG1620" s="585"/>
      <c r="AH1620" s="585"/>
      <c r="AI1620" s="585"/>
      <c r="AJ1620" s="585"/>
      <c r="AK1620" s="585"/>
      <c r="AL1620" s="585"/>
      <c r="AM1620" s="585"/>
      <c r="AN1620" s="585"/>
      <c r="AO1620" s="585"/>
      <c r="AP1620" s="585"/>
      <c r="AQ1620" s="585"/>
      <c r="AR1620" s="585"/>
      <c r="AS1620" s="585"/>
      <c r="AT1620" s="585"/>
      <c r="AU1620" s="585"/>
      <c r="AV1620" s="585"/>
      <c r="AW1620" s="585"/>
      <c r="AX1620" s="585"/>
      <c r="AY1620" s="585"/>
      <c r="AZ1620" s="585"/>
      <c r="BA1620" s="585"/>
      <c r="BB1620" s="585"/>
      <c r="BC1620" s="585"/>
      <c r="BD1620" s="585"/>
      <c r="BE1620" s="585"/>
      <c r="BF1620" s="585"/>
      <c r="BG1620" s="585"/>
      <c r="BH1620" s="585"/>
      <c r="BI1620" s="585"/>
      <c r="BJ1620" s="585"/>
      <c r="BK1620" s="585"/>
      <c r="BL1620" s="585"/>
      <c r="BM1620" s="585"/>
      <c r="BN1620" s="585"/>
      <c r="BO1620" s="585"/>
      <c r="BP1620" s="1431" t="s">
        <v>41</v>
      </c>
      <c r="BQ1620" s="1431"/>
      <c r="BR1620" s="585"/>
      <c r="BS1620" s="585"/>
      <c r="BT1620" s="1433" t="e">
        <f>BT1618+BT1619</f>
        <v>#REF!</v>
      </c>
      <c r="BU1620" s="1433"/>
      <c r="BV1620" s="1433"/>
      <c r="BW1620" s="1433"/>
      <c r="BX1620" s="1433"/>
      <c r="BY1620" s="1433"/>
      <c r="BZ1620" s="1433"/>
      <c r="CA1620" s="1433"/>
      <c r="CB1620" s="1433"/>
      <c r="CC1620" s="1433"/>
      <c r="CD1620" s="585"/>
      <c r="CE1620" s="585"/>
      <c r="CF1620" s="586"/>
      <c r="CG1620" s="583"/>
    </row>
    <row r="1621" spans="1:85" ht="15.75" thickBot="1">
      <c r="A1621" s="597"/>
      <c r="B1621" s="598" t="s">
        <v>1113</v>
      </c>
      <c r="C1621" s="598"/>
      <c r="D1621" s="598"/>
      <c r="E1621" s="598"/>
      <c r="F1621" s="598"/>
      <c r="G1621" s="598"/>
      <c r="H1621" s="598"/>
      <c r="I1621" s="598"/>
      <c r="J1621" s="598"/>
      <c r="K1621" s="598"/>
      <c r="L1621" s="598"/>
      <c r="M1621" s="598"/>
      <c r="N1621" s="598"/>
      <c r="O1621" s="598"/>
      <c r="P1621" s="598"/>
      <c r="Q1621" s="598"/>
      <c r="R1621" s="598"/>
      <c r="S1621" s="598"/>
      <c r="T1621" s="598"/>
      <c r="U1621" s="598"/>
      <c r="V1621" s="598"/>
      <c r="W1621" s="598"/>
      <c r="X1621" s="598"/>
      <c r="Y1621" s="598"/>
      <c r="Z1621" s="598"/>
      <c r="AA1621" s="598"/>
      <c r="AB1621" s="598"/>
      <c r="AC1621" s="598"/>
      <c r="AD1621" s="598"/>
      <c r="AE1621" s="598"/>
      <c r="AF1621" s="598"/>
      <c r="AG1621" s="598"/>
      <c r="AH1621" s="598"/>
      <c r="AI1621" s="598"/>
      <c r="AJ1621" s="598"/>
      <c r="AK1621" s="598"/>
      <c r="AL1621" s="598"/>
      <c r="AM1621" s="598"/>
      <c r="AN1621" s="598"/>
      <c r="AO1621" s="598"/>
      <c r="AP1621" s="598"/>
      <c r="AQ1621" s="598"/>
      <c r="AR1621" s="598"/>
      <c r="AS1621" s="598"/>
      <c r="AT1621" s="598"/>
      <c r="AU1621" s="598"/>
      <c r="AV1621" s="598"/>
      <c r="AW1621" s="598"/>
      <c r="AX1621" s="598"/>
      <c r="AY1621" s="598"/>
      <c r="AZ1621" s="598"/>
      <c r="BA1621" s="598"/>
      <c r="BB1621" s="598"/>
      <c r="BC1621" s="598"/>
      <c r="BD1621" s="598"/>
      <c r="BE1621" s="598"/>
      <c r="BF1621" s="598"/>
      <c r="BG1621" s="598"/>
      <c r="BH1621" s="598"/>
      <c r="BI1621" s="598"/>
      <c r="BJ1621" s="598"/>
      <c r="BK1621" s="598"/>
      <c r="BL1621" s="598"/>
      <c r="BM1621" s="598"/>
      <c r="BN1621" s="598"/>
      <c r="BO1621" s="598"/>
      <c r="BP1621" s="598"/>
      <c r="BQ1621" s="598"/>
      <c r="BR1621" s="598"/>
      <c r="BS1621" s="598"/>
      <c r="BT1621" s="1429" t="e">
        <f>BT1612+BT1616+BT1620</f>
        <v>#REF!</v>
      </c>
      <c r="BU1621" s="1429"/>
      <c r="BV1621" s="1429"/>
      <c r="BW1621" s="1429"/>
      <c r="BX1621" s="1429"/>
      <c r="BY1621" s="1429"/>
      <c r="BZ1621" s="1429"/>
      <c r="CA1621" s="1429"/>
      <c r="CB1621" s="1429"/>
      <c r="CC1621" s="1429"/>
      <c r="CD1621" s="598"/>
      <c r="CE1621" s="598"/>
      <c r="CF1621" s="599"/>
      <c r="CG1621" s="583"/>
    </row>
    <row r="1622" spans="1:85" ht="15">
      <c r="A1622" s="574"/>
      <c r="B1622" s="574"/>
      <c r="C1622" s="574"/>
      <c r="D1622" s="574"/>
      <c r="E1622" s="574"/>
      <c r="F1622" s="574"/>
      <c r="G1622" s="574"/>
      <c r="H1622" s="574"/>
      <c r="I1622" s="574"/>
      <c r="J1622" s="574"/>
      <c r="K1622" s="574"/>
      <c r="L1622" s="574"/>
      <c r="M1622" s="574"/>
      <c r="N1622" s="574"/>
      <c r="O1622" s="574"/>
      <c r="P1622" s="574"/>
      <c r="Q1622" s="574"/>
      <c r="R1622" s="574"/>
      <c r="S1622" s="574"/>
      <c r="T1622" s="574"/>
      <c r="U1622" s="574"/>
      <c r="V1622" s="574"/>
      <c r="W1622" s="574"/>
      <c r="X1622" s="574"/>
      <c r="Y1622" s="574"/>
      <c r="Z1622" s="574"/>
      <c r="AA1622" s="574"/>
      <c r="AB1622" s="574"/>
      <c r="AC1622" s="574"/>
      <c r="AD1622" s="574"/>
      <c r="AE1622" s="574"/>
      <c r="AF1622" s="574"/>
      <c r="AG1622" s="574"/>
      <c r="AH1622" s="574"/>
      <c r="AI1622" s="574"/>
      <c r="AJ1622" s="574"/>
      <c r="AK1622" s="574"/>
      <c r="AL1622" s="574"/>
      <c r="AM1622" s="574"/>
      <c r="AN1622" s="574"/>
      <c r="AO1622" s="574"/>
      <c r="AP1622" s="574"/>
      <c r="AQ1622" s="574"/>
      <c r="AR1622" s="574"/>
      <c r="AS1622" s="574"/>
      <c r="AT1622" s="574"/>
      <c r="AU1622" s="574"/>
      <c r="AV1622" s="574"/>
      <c r="AW1622" s="574"/>
      <c r="AX1622" s="574"/>
      <c r="AY1622" s="574"/>
      <c r="AZ1622" s="574"/>
      <c r="BA1622" s="574"/>
      <c r="BB1622" s="574"/>
      <c r="BC1622" s="574"/>
      <c r="BD1622" s="574"/>
      <c r="BE1622" s="574"/>
      <c r="BF1622" s="574"/>
      <c r="BG1622" s="574"/>
      <c r="BH1622" s="574"/>
      <c r="BI1622" s="574"/>
      <c r="BJ1622" s="574"/>
      <c r="BK1622" s="574"/>
      <c r="BL1622" s="574"/>
      <c r="BM1622" s="574"/>
      <c r="BN1622" s="574"/>
      <c r="BO1622" s="574"/>
      <c r="BP1622" s="574"/>
      <c r="BQ1622" s="574"/>
      <c r="BR1622" s="574"/>
      <c r="BS1622" s="574"/>
      <c r="BT1622" s="574"/>
      <c r="BU1622" s="574"/>
      <c r="BV1622" s="574"/>
      <c r="BW1622" s="574"/>
      <c r="BX1622" s="574"/>
      <c r="BY1622" s="574"/>
      <c r="BZ1622" s="574"/>
      <c r="CA1622" s="574"/>
      <c r="CB1622" s="574"/>
      <c r="CC1622" s="574"/>
      <c r="CD1622" s="574"/>
      <c r="CE1622" s="574"/>
      <c r="CF1622" s="574"/>
      <c r="CG1622" s="583"/>
    </row>
  </sheetData>
  <mergeCells count="4565">
    <mergeCell ref="S6:Z6"/>
    <mergeCell ref="AC6:AD6"/>
    <mergeCell ref="AE6:AL6"/>
    <mergeCell ref="AM6:AN6"/>
    <mergeCell ref="AP6:BC6"/>
    <mergeCell ref="AE7:AS7"/>
    <mergeCell ref="AT7:AU7"/>
    <mergeCell ref="AV7:AW7"/>
    <mergeCell ref="AX7:BC7"/>
    <mergeCell ref="A1:CF1"/>
    <mergeCell ref="A3:F3"/>
    <mergeCell ref="G3:I3"/>
    <mergeCell ref="J3:K3"/>
    <mergeCell ref="A4:H4"/>
    <mergeCell ref="AJ4:AP4"/>
    <mergeCell ref="AZ9:BD9"/>
    <mergeCell ref="BF9:BG9"/>
    <mergeCell ref="BH9:BJ9"/>
    <mergeCell ref="BP9:BQ9"/>
    <mergeCell ref="BT9:CC9"/>
    <mergeCell ref="BP10:BQ10"/>
    <mergeCell ref="BT10:CC10"/>
    <mergeCell ref="BE7:BF7"/>
    <mergeCell ref="BL7:BN7"/>
    <mergeCell ref="BP7:BQ7"/>
    <mergeCell ref="BT7:CC7"/>
    <mergeCell ref="V9:AE9"/>
    <mergeCell ref="AF9:AG9"/>
    <mergeCell ref="AI9:AL9"/>
    <mergeCell ref="AN9:AO9"/>
    <mergeCell ref="AQ9:AU9"/>
    <mergeCell ref="AW9:AX9"/>
    <mergeCell ref="BT16:CC16"/>
    <mergeCell ref="A18:F18"/>
    <mergeCell ref="G18:I18"/>
    <mergeCell ref="J18:K18"/>
    <mergeCell ref="A19:H19"/>
    <mergeCell ref="AJ19:AP19"/>
    <mergeCell ref="AS14:BB14"/>
    <mergeCell ref="BD14:BE14"/>
    <mergeCell ref="BG14:BK14"/>
    <mergeCell ref="BP14:BQ14"/>
    <mergeCell ref="BT14:CC14"/>
    <mergeCell ref="BP15:BQ15"/>
    <mergeCell ref="BT15:CC15"/>
    <mergeCell ref="BP11:BQ11"/>
    <mergeCell ref="BT11:CC11"/>
    <mergeCell ref="AS13:BB13"/>
    <mergeCell ref="BD13:BE13"/>
    <mergeCell ref="BG13:BK13"/>
    <mergeCell ref="BP13:BQ13"/>
    <mergeCell ref="BT13:CC13"/>
    <mergeCell ref="BH24:BJ24"/>
    <mergeCell ref="BP24:BQ24"/>
    <mergeCell ref="BT24:CC24"/>
    <mergeCell ref="BP25:BQ25"/>
    <mergeCell ref="BT25:CC25"/>
    <mergeCell ref="BP26:BQ26"/>
    <mergeCell ref="BT26:CC26"/>
    <mergeCell ref="BP22:BQ22"/>
    <mergeCell ref="BT22:CC22"/>
    <mergeCell ref="V24:AE24"/>
    <mergeCell ref="AF24:AG24"/>
    <mergeCell ref="AI24:AL24"/>
    <mergeCell ref="AN24:AO24"/>
    <mergeCell ref="AQ24:AU24"/>
    <mergeCell ref="AW24:AX24"/>
    <mergeCell ref="AZ24:BD24"/>
    <mergeCell ref="BF24:BG24"/>
    <mergeCell ref="AE22:AS22"/>
    <mergeCell ref="AT22:AU22"/>
    <mergeCell ref="AV22:AW22"/>
    <mergeCell ref="AX22:BC22"/>
    <mergeCell ref="BE22:BF22"/>
    <mergeCell ref="BL22:BN22"/>
    <mergeCell ref="A34:H34"/>
    <mergeCell ref="AJ34:AP34"/>
    <mergeCell ref="S36:Z36"/>
    <mergeCell ref="AC36:AD36"/>
    <mergeCell ref="AE36:AL36"/>
    <mergeCell ref="AM36:AN36"/>
    <mergeCell ref="AP36:BC36"/>
    <mergeCell ref="BP30:BQ30"/>
    <mergeCell ref="BT30:CC30"/>
    <mergeCell ref="BT31:CC31"/>
    <mergeCell ref="A33:F33"/>
    <mergeCell ref="G33:I33"/>
    <mergeCell ref="J33:K33"/>
    <mergeCell ref="AS28:BB28"/>
    <mergeCell ref="BD28:BE28"/>
    <mergeCell ref="BG28:BK28"/>
    <mergeCell ref="BP28:BQ28"/>
    <mergeCell ref="BT28:CC28"/>
    <mergeCell ref="AS29:BB29"/>
    <mergeCell ref="BD29:BE29"/>
    <mergeCell ref="BG29:BK29"/>
    <mergeCell ref="BP29:BQ29"/>
    <mergeCell ref="BT29:CC29"/>
    <mergeCell ref="BH39:BJ39"/>
    <mergeCell ref="BP39:BQ39"/>
    <mergeCell ref="BT39:CC39"/>
    <mergeCell ref="BP40:BQ40"/>
    <mergeCell ref="BT40:CC40"/>
    <mergeCell ref="BP41:BQ41"/>
    <mergeCell ref="BT41:CC41"/>
    <mergeCell ref="BP37:BQ37"/>
    <mergeCell ref="BT37:CC37"/>
    <mergeCell ref="V39:AE39"/>
    <mergeCell ref="AF39:AG39"/>
    <mergeCell ref="AI39:AL39"/>
    <mergeCell ref="AN39:AO39"/>
    <mergeCell ref="AQ39:AU39"/>
    <mergeCell ref="AW39:AX39"/>
    <mergeCell ref="AZ39:BD39"/>
    <mergeCell ref="BF39:BG39"/>
    <mergeCell ref="AE37:AS37"/>
    <mergeCell ref="AT37:AU37"/>
    <mergeCell ref="AV37:AW37"/>
    <mergeCell ref="AX37:BC37"/>
    <mergeCell ref="BE37:BF37"/>
    <mergeCell ref="BL37:BN37"/>
    <mergeCell ref="A49:H49"/>
    <mergeCell ref="AJ49:AP49"/>
    <mergeCell ref="AE52:AS52"/>
    <mergeCell ref="AT52:AU52"/>
    <mergeCell ref="AV52:AW52"/>
    <mergeCell ref="AX52:BC52"/>
    <mergeCell ref="BP45:BQ45"/>
    <mergeCell ref="BT45:CC45"/>
    <mergeCell ref="BT46:CC46"/>
    <mergeCell ref="A48:F48"/>
    <mergeCell ref="G48:I48"/>
    <mergeCell ref="J48:K48"/>
    <mergeCell ref="AS43:BB43"/>
    <mergeCell ref="BD43:BE43"/>
    <mergeCell ref="BG43:BK43"/>
    <mergeCell ref="BP43:BQ43"/>
    <mergeCell ref="BT43:CC43"/>
    <mergeCell ref="AS44:BB44"/>
    <mergeCell ref="BD44:BE44"/>
    <mergeCell ref="BG44:BK44"/>
    <mergeCell ref="BP44:BQ44"/>
    <mergeCell ref="BT44:CC44"/>
    <mergeCell ref="AZ54:BD54"/>
    <mergeCell ref="BF54:BG54"/>
    <mergeCell ref="BH54:BJ54"/>
    <mergeCell ref="BP54:BQ54"/>
    <mergeCell ref="BT54:CC54"/>
    <mergeCell ref="BP55:BQ55"/>
    <mergeCell ref="BT55:CC55"/>
    <mergeCell ref="BE52:BF52"/>
    <mergeCell ref="BL52:BN52"/>
    <mergeCell ref="BP52:BQ52"/>
    <mergeCell ref="BT52:CC52"/>
    <mergeCell ref="V54:AE54"/>
    <mergeCell ref="AF54:AG54"/>
    <mergeCell ref="AI54:AL54"/>
    <mergeCell ref="AN54:AO54"/>
    <mergeCell ref="AQ54:AU54"/>
    <mergeCell ref="AW54:AX54"/>
    <mergeCell ref="BT61:CC61"/>
    <mergeCell ref="A63:F63"/>
    <mergeCell ref="G63:I63"/>
    <mergeCell ref="J63:K63"/>
    <mergeCell ref="A64:H64"/>
    <mergeCell ref="AJ64:AP64"/>
    <mergeCell ref="AS59:BB59"/>
    <mergeCell ref="BD59:BE59"/>
    <mergeCell ref="BG59:BK59"/>
    <mergeCell ref="BP59:BQ59"/>
    <mergeCell ref="BT59:CC59"/>
    <mergeCell ref="BP60:BQ60"/>
    <mergeCell ref="BT60:CC60"/>
    <mergeCell ref="BP56:BQ56"/>
    <mergeCell ref="BT56:CC56"/>
    <mergeCell ref="AS58:BB58"/>
    <mergeCell ref="BD58:BE58"/>
    <mergeCell ref="BG58:BK58"/>
    <mergeCell ref="BP58:BQ58"/>
    <mergeCell ref="BT58:CC58"/>
    <mergeCell ref="BH69:BJ69"/>
    <mergeCell ref="BP69:BQ69"/>
    <mergeCell ref="BT69:CC69"/>
    <mergeCell ref="BP70:BQ70"/>
    <mergeCell ref="BT70:CC70"/>
    <mergeCell ref="BP71:BQ71"/>
    <mergeCell ref="BT71:CC71"/>
    <mergeCell ref="BP67:BQ67"/>
    <mergeCell ref="BT67:CC67"/>
    <mergeCell ref="V69:AE69"/>
    <mergeCell ref="AF69:AG69"/>
    <mergeCell ref="AI69:AL69"/>
    <mergeCell ref="AN69:AO69"/>
    <mergeCell ref="AQ69:AU69"/>
    <mergeCell ref="AW69:AX69"/>
    <mergeCell ref="AZ69:BD69"/>
    <mergeCell ref="BF69:BG69"/>
    <mergeCell ref="AE67:AS67"/>
    <mergeCell ref="AT67:AU67"/>
    <mergeCell ref="AV67:AW67"/>
    <mergeCell ref="AX67:BC67"/>
    <mergeCell ref="BE67:BF67"/>
    <mergeCell ref="BL67:BN67"/>
    <mergeCell ref="A79:H79"/>
    <mergeCell ref="AJ79:AP79"/>
    <mergeCell ref="AE82:AS82"/>
    <mergeCell ref="AT82:AU82"/>
    <mergeCell ref="AV82:AW82"/>
    <mergeCell ref="AX82:BC82"/>
    <mergeCell ref="BP75:BQ75"/>
    <mergeCell ref="BT75:CC75"/>
    <mergeCell ref="BT76:CC76"/>
    <mergeCell ref="A78:F78"/>
    <mergeCell ref="G78:I78"/>
    <mergeCell ref="J78:K78"/>
    <mergeCell ref="AS73:BB73"/>
    <mergeCell ref="BD73:BE73"/>
    <mergeCell ref="BG73:BK73"/>
    <mergeCell ref="BP73:BQ73"/>
    <mergeCell ref="BT73:CC73"/>
    <mergeCell ref="AS74:BB74"/>
    <mergeCell ref="BD74:BE74"/>
    <mergeCell ref="BG74:BK74"/>
    <mergeCell ref="BP74:BQ74"/>
    <mergeCell ref="BT74:CC74"/>
    <mergeCell ref="AZ84:BD84"/>
    <mergeCell ref="BF84:BG84"/>
    <mergeCell ref="BH84:BJ84"/>
    <mergeCell ref="BP84:BQ84"/>
    <mergeCell ref="BT84:CC84"/>
    <mergeCell ref="BP85:BQ85"/>
    <mergeCell ref="BT85:CC85"/>
    <mergeCell ref="BE82:BF82"/>
    <mergeCell ref="BL82:BN82"/>
    <mergeCell ref="BP82:BQ82"/>
    <mergeCell ref="BT82:CC82"/>
    <mergeCell ref="V84:AE84"/>
    <mergeCell ref="AF84:AG84"/>
    <mergeCell ref="AI84:AL84"/>
    <mergeCell ref="AN84:AO84"/>
    <mergeCell ref="AQ84:AU84"/>
    <mergeCell ref="AW84:AX84"/>
    <mergeCell ref="BT91:CC91"/>
    <mergeCell ref="A93:F93"/>
    <mergeCell ref="G93:I93"/>
    <mergeCell ref="J93:K93"/>
    <mergeCell ref="A94:H94"/>
    <mergeCell ref="AJ94:AP94"/>
    <mergeCell ref="AS89:BB89"/>
    <mergeCell ref="BD89:BE89"/>
    <mergeCell ref="BG89:BK89"/>
    <mergeCell ref="BP89:BQ89"/>
    <mergeCell ref="BT89:CC89"/>
    <mergeCell ref="BP90:BQ90"/>
    <mergeCell ref="BT90:CC90"/>
    <mergeCell ref="BP86:BQ86"/>
    <mergeCell ref="BT86:CC86"/>
    <mergeCell ref="AS88:BB88"/>
    <mergeCell ref="BD88:BE88"/>
    <mergeCell ref="BG88:BK88"/>
    <mergeCell ref="BP88:BQ88"/>
    <mergeCell ref="BT88:CC88"/>
    <mergeCell ref="BH99:BJ99"/>
    <mergeCell ref="BP99:BQ99"/>
    <mergeCell ref="BT99:CC99"/>
    <mergeCell ref="BP100:BQ100"/>
    <mergeCell ref="BT100:CC100"/>
    <mergeCell ref="BP101:BQ101"/>
    <mergeCell ref="BT101:CC101"/>
    <mergeCell ref="BP97:BQ97"/>
    <mergeCell ref="BT97:CC97"/>
    <mergeCell ref="V99:AE99"/>
    <mergeCell ref="AF99:AG99"/>
    <mergeCell ref="AI99:AL99"/>
    <mergeCell ref="AN99:AO99"/>
    <mergeCell ref="AQ99:AU99"/>
    <mergeCell ref="AW99:AX99"/>
    <mergeCell ref="AZ99:BD99"/>
    <mergeCell ref="BF99:BG99"/>
    <mergeCell ref="AE97:AS97"/>
    <mergeCell ref="AT97:AU97"/>
    <mergeCell ref="AV97:AW97"/>
    <mergeCell ref="AX97:BC97"/>
    <mergeCell ref="BE97:BF97"/>
    <mergeCell ref="BL97:BN97"/>
    <mergeCell ref="A109:H109"/>
    <mergeCell ref="AJ109:AP109"/>
    <mergeCell ref="AE112:AS112"/>
    <mergeCell ref="AT112:AU112"/>
    <mergeCell ref="AV112:AW112"/>
    <mergeCell ref="AX112:BC112"/>
    <mergeCell ref="BP105:BQ105"/>
    <mergeCell ref="BT105:CC105"/>
    <mergeCell ref="BT106:CC106"/>
    <mergeCell ref="A108:F108"/>
    <mergeCell ref="G108:I108"/>
    <mergeCell ref="J108:K108"/>
    <mergeCell ref="AS103:BB103"/>
    <mergeCell ref="BD103:BE103"/>
    <mergeCell ref="BG103:BK103"/>
    <mergeCell ref="BP103:BQ103"/>
    <mergeCell ref="BT103:CC103"/>
    <mergeCell ref="AS104:BB104"/>
    <mergeCell ref="BD104:BE104"/>
    <mergeCell ref="BG104:BK104"/>
    <mergeCell ref="BP104:BQ104"/>
    <mergeCell ref="BT104:CC104"/>
    <mergeCell ref="AZ114:BD114"/>
    <mergeCell ref="BF114:BG114"/>
    <mergeCell ref="BH114:BJ114"/>
    <mergeCell ref="BP114:BQ114"/>
    <mergeCell ref="BT114:CC114"/>
    <mergeCell ref="BP115:BQ115"/>
    <mergeCell ref="BT115:CC115"/>
    <mergeCell ref="BE112:BF112"/>
    <mergeCell ref="BL112:BN112"/>
    <mergeCell ref="BP112:BQ112"/>
    <mergeCell ref="BT112:CC112"/>
    <mergeCell ref="V114:AE114"/>
    <mergeCell ref="AF114:AG114"/>
    <mergeCell ref="AI114:AL114"/>
    <mergeCell ref="AN114:AO114"/>
    <mergeCell ref="AQ114:AU114"/>
    <mergeCell ref="AW114:AX114"/>
    <mergeCell ref="BT121:CC121"/>
    <mergeCell ref="A123:F123"/>
    <mergeCell ref="G123:I123"/>
    <mergeCell ref="J123:K123"/>
    <mergeCell ref="A124:H124"/>
    <mergeCell ref="AJ124:AP124"/>
    <mergeCell ref="AS119:BB119"/>
    <mergeCell ref="BD119:BE119"/>
    <mergeCell ref="BG119:BK119"/>
    <mergeCell ref="BP119:BQ119"/>
    <mergeCell ref="BT119:CC119"/>
    <mergeCell ref="BP120:BQ120"/>
    <mergeCell ref="BT120:CC120"/>
    <mergeCell ref="BP116:BQ116"/>
    <mergeCell ref="BT116:CC116"/>
    <mergeCell ref="AS118:BB118"/>
    <mergeCell ref="BD118:BE118"/>
    <mergeCell ref="BG118:BK118"/>
    <mergeCell ref="BP118:BQ118"/>
    <mergeCell ref="BT118:CC118"/>
    <mergeCell ref="BH129:BJ129"/>
    <mergeCell ref="BP129:BQ129"/>
    <mergeCell ref="BT129:CC129"/>
    <mergeCell ref="BP130:BQ130"/>
    <mergeCell ref="BT130:CC130"/>
    <mergeCell ref="BP131:BQ131"/>
    <mergeCell ref="BT131:CC131"/>
    <mergeCell ref="BP127:BQ127"/>
    <mergeCell ref="BT127:CC127"/>
    <mergeCell ref="V129:AE129"/>
    <mergeCell ref="AF129:AG129"/>
    <mergeCell ref="AI129:AL129"/>
    <mergeCell ref="AN129:AO129"/>
    <mergeCell ref="AQ129:AU129"/>
    <mergeCell ref="AW129:AX129"/>
    <mergeCell ref="AZ129:BD129"/>
    <mergeCell ref="BF129:BG129"/>
    <mergeCell ref="AE127:AS127"/>
    <mergeCell ref="AT127:AU127"/>
    <mergeCell ref="AV127:AW127"/>
    <mergeCell ref="AX127:BC127"/>
    <mergeCell ref="BE127:BF127"/>
    <mergeCell ref="BL127:BN127"/>
    <mergeCell ref="A139:H139"/>
    <mergeCell ref="AJ139:AP139"/>
    <mergeCell ref="AE142:AS142"/>
    <mergeCell ref="AT142:AU142"/>
    <mergeCell ref="AV142:AW142"/>
    <mergeCell ref="AX142:BC142"/>
    <mergeCell ref="BP135:BQ135"/>
    <mergeCell ref="BT135:CC135"/>
    <mergeCell ref="BT136:CC136"/>
    <mergeCell ref="A138:F138"/>
    <mergeCell ref="G138:I138"/>
    <mergeCell ref="J138:K138"/>
    <mergeCell ref="AS133:BB133"/>
    <mergeCell ref="BD133:BE133"/>
    <mergeCell ref="BG133:BK133"/>
    <mergeCell ref="BP133:BQ133"/>
    <mergeCell ref="BT133:CC133"/>
    <mergeCell ref="AS134:BB134"/>
    <mergeCell ref="BD134:BE134"/>
    <mergeCell ref="BG134:BK134"/>
    <mergeCell ref="BP134:BQ134"/>
    <mergeCell ref="BT134:CC134"/>
    <mergeCell ref="AZ144:BD144"/>
    <mergeCell ref="BF144:BG144"/>
    <mergeCell ref="BH144:BJ144"/>
    <mergeCell ref="BP144:BQ144"/>
    <mergeCell ref="BT144:CC144"/>
    <mergeCell ref="BP145:BQ145"/>
    <mergeCell ref="BT145:CC145"/>
    <mergeCell ref="BE142:BF142"/>
    <mergeCell ref="BL142:BN142"/>
    <mergeCell ref="BP142:BQ142"/>
    <mergeCell ref="BT142:CC142"/>
    <mergeCell ref="V144:AE144"/>
    <mergeCell ref="AF144:AG144"/>
    <mergeCell ref="AI144:AL144"/>
    <mergeCell ref="AN144:AO144"/>
    <mergeCell ref="AQ144:AU144"/>
    <mergeCell ref="AW144:AX144"/>
    <mergeCell ref="BT151:CC151"/>
    <mergeCell ref="A153:F153"/>
    <mergeCell ref="G153:I153"/>
    <mergeCell ref="J153:K153"/>
    <mergeCell ref="A154:H154"/>
    <mergeCell ref="AJ154:AP154"/>
    <mergeCell ref="AS149:BB149"/>
    <mergeCell ref="BD149:BE149"/>
    <mergeCell ref="BG149:BK149"/>
    <mergeCell ref="BP149:BQ149"/>
    <mergeCell ref="BT149:CC149"/>
    <mergeCell ref="BP150:BQ150"/>
    <mergeCell ref="BT150:CC150"/>
    <mergeCell ref="BP146:BQ146"/>
    <mergeCell ref="BT146:CC146"/>
    <mergeCell ref="AS148:BB148"/>
    <mergeCell ref="BD148:BE148"/>
    <mergeCell ref="BG148:BK148"/>
    <mergeCell ref="BP148:BQ148"/>
    <mergeCell ref="BT148:CC148"/>
    <mergeCell ref="AZ159:BD159"/>
    <mergeCell ref="BF159:BG159"/>
    <mergeCell ref="BH159:BJ159"/>
    <mergeCell ref="BP159:BQ159"/>
    <mergeCell ref="BT159:CC159"/>
    <mergeCell ref="BP160:BQ160"/>
    <mergeCell ref="BT160:CC160"/>
    <mergeCell ref="BG157:BH157"/>
    <mergeCell ref="BI157:BJ157"/>
    <mergeCell ref="BP157:BQ157"/>
    <mergeCell ref="BT157:CC157"/>
    <mergeCell ref="V159:AE159"/>
    <mergeCell ref="AF159:AG159"/>
    <mergeCell ref="AI159:AL159"/>
    <mergeCell ref="AN159:AO159"/>
    <mergeCell ref="AQ159:AU159"/>
    <mergeCell ref="AW159:AX159"/>
    <mergeCell ref="AK157:AP157"/>
    <mergeCell ref="AQ157:AR157"/>
    <mergeCell ref="AS157:AT157"/>
    <mergeCell ref="AU157:AY157"/>
    <mergeCell ref="AZ157:BA157"/>
    <mergeCell ref="BB157:BF157"/>
    <mergeCell ref="H157:V157"/>
    <mergeCell ref="W157:X157"/>
    <mergeCell ref="Y157:Z157"/>
    <mergeCell ref="AA157:AB157"/>
    <mergeCell ref="AC157:AH157"/>
    <mergeCell ref="AI157:AJ157"/>
    <mergeCell ref="BT166:CC166"/>
    <mergeCell ref="A168:F168"/>
    <mergeCell ref="G168:I168"/>
    <mergeCell ref="J168:K168"/>
    <mergeCell ref="A169:H169"/>
    <mergeCell ref="AJ169:AP169"/>
    <mergeCell ref="AS164:BB164"/>
    <mergeCell ref="BD164:BE164"/>
    <mergeCell ref="BG164:BK164"/>
    <mergeCell ref="BP164:BQ164"/>
    <mergeCell ref="BT164:CC164"/>
    <mergeCell ref="BP165:BQ165"/>
    <mergeCell ref="BT165:CC165"/>
    <mergeCell ref="BP161:BQ161"/>
    <mergeCell ref="BT161:CC161"/>
    <mergeCell ref="AS163:BB163"/>
    <mergeCell ref="BD163:BE163"/>
    <mergeCell ref="BG163:BK163"/>
    <mergeCell ref="BP163:BQ163"/>
    <mergeCell ref="BT163:CC163"/>
    <mergeCell ref="AZ174:BD174"/>
    <mergeCell ref="BF174:BG174"/>
    <mergeCell ref="BH174:BJ174"/>
    <mergeCell ref="BP174:BQ174"/>
    <mergeCell ref="BT174:CC174"/>
    <mergeCell ref="BP175:BQ175"/>
    <mergeCell ref="BT175:CC175"/>
    <mergeCell ref="BG172:BH172"/>
    <mergeCell ref="BI172:BJ172"/>
    <mergeCell ref="BP172:BQ172"/>
    <mergeCell ref="BT172:CC172"/>
    <mergeCell ref="V174:AE174"/>
    <mergeCell ref="AF174:AG174"/>
    <mergeCell ref="AI174:AL174"/>
    <mergeCell ref="AN174:AO174"/>
    <mergeCell ref="AQ174:AU174"/>
    <mergeCell ref="AW174:AX174"/>
    <mergeCell ref="AK172:AP172"/>
    <mergeCell ref="AQ172:AR172"/>
    <mergeCell ref="AS172:AT172"/>
    <mergeCell ref="AU172:AY172"/>
    <mergeCell ref="AZ172:BA172"/>
    <mergeCell ref="BB172:BF172"/>
    <mergeCell ref="H172:V172"/>
    <mergeCell ref="W172:X172"/>
    <mergeCell ref="Y172:Z172"/>
    <mergeCell ref="AA172:AB172"/>
    <mergeCell ref="AC172:AH172"/>
    <mergeCell ref="AI172:AJ172"/>
    <mergeCell ref="BT181:CC181"/>
    <mergeCell ref="A183:F183"/>
    <mergeCell ref="G183:I183"/>
    <mergeCell ref="J183:K183"/>
    <mergeCell ref="A184:H184"/>
    <mergeCell ref="AJ184:AP184"/>
    <mergeCell ref="AS179:BB179"/>
    <mergeCell ref="BD179:BE179"/>
    <mergeCell ref="BG179:BK179"/>
    <mergeCell ref="BP179:BQ179"/>
    <mergeCell ref="BT179:CC179"/>
    <mergeCell ref="BP180:BQ180"/>
    <mergeCell ref="BT180:CC180"/>
    <mergeCell ref="BP176:BQ176"/>
    <mergeCell ref="BT176:CC176"/>
    <mergeCell ref="AS178:BB178"/>
    <mergeCell ref="BD178:BE178"/>
    <mergeCell ref="BG178:BK178"/>
    <mergeCell ref="BP178:BQ178"/>
    <mergeCell ref="BT178:CC178"/>
    <mergeCell ref="AZ189:BD189"/>
    <mergeCell ref="BF189:BG189"/>
    <mergeCell ref="BH189:BJ189"/>
    <mergeCell ref="BP189:BQ189"/>
    <mergeCell ref="BT189:CC189"/>
    <mergeCell ref="BP190:BQ190"/>
    <mergeCell ref="BT190:CC190"/>
    <mergeCell ref="BG187:BH187"/>
    <mergeCell ref="BI187:BJ187"/>
    <mergeCell ref="BP187:BQ187"/>
    <mergeCell ref="BT187:CC187"/>
    <mergeCell ref="V189:AE189"/>
    <mergeCell ref="AF189:AG189"/>
    <mergeCell ref="AI189:AL189"/>
    <mergeCell ref="AN189:AO189"/>
    <mergeCell ref="AQ189:AU189"/>
    <mergeCell ref="AW189:AX189"/>
    <mergeCell ref="AK187:AP187"/>
    <mergeCell ref="AQ187:AR187"/>
    <mergeCell ref="AS187:AT187"/>
    <mergeCell ref="AU187:AY187"/>
    <mergeCell ref="AZ187:BA187"/>
    <mergeCell ref="BB187:BF187"/>
    <mergeCell ref="H187:V187"/>
    <mergeCell ref="W187:X187"/>
    <mergeCell ref="Y187:Z187"/>
    <mergeCell ref="AA187:AB187"/>
    <mergeCell ref="AC187:AH187"/>
    <mergeCell ref="AI187:AJ187"/>
    <mergeCell ref="BT196:CC196"/>
    <mergeCell ref="A198:F198"/>
    <mergeCell ref="G198:I198"/>
    <mergeCell ref="J198:K198"/>
    <mergeCell ref="A199:H199"/>
    <mergeCell ref="AJ199:AP199"/>
    <mergeCell ref="AS194:BB194"/>
    <mergeCell ref="BD194:BE194"/>
    <mergeCell ref="BG194:BK194"/>
    <mergeCell ref="BP194:BQ194"/>
    <mergeCell ref="BT194:CC194"/>
    <mergeCell ref="BP195:BQ195"/>
    <mergeCell ref="BT195:CC195"/>
    <mergeCell ref="BP191:BQ191"/>
    <mergeCell ref="BT191:CC191"/>
    <mergeCell ref="AS193:BB193"/>
    <mergeCell ref="BD193:BE193"/>
    <mergeCell ref="BG193:BK193"/>
    <mergeCell ref="BP193:BQ193"/>
    <mergeCell ref="BT193:CC193"/>
    <mergeCell ref="AZ204:BD204"/>
    <mergeCell ref="BF204:BG204"/>
    <mergeCell ref="BH204:BJ204"/>
    <mergeCell ref="BP204:BQ204"/>
    <mergeCell ref="BT204:CC204"/>
    <mergeCell ref="BP205:BQ205"/>
    <mergeCell ref="BT205:CC205"/>
    <mergeCell ref="BG202:BH202"/>
    <mergeCell ref="BI202:BJ202"/>
    <mergeCell ref="BP202:BQ202"/>
    <mergeCell ref="BT202:CC202"/>
    <mergeCell ref="V204:AE204"/>
    <mergeCell ref="AF204:AG204"/>
    <mergeCell ref="AI204:AL204"/>
    <mergeCell ref="AN204:AO204"/>
    <mergeCell ref="AQ204:AU204"/>
    <mergeCell ref="AW204:AX204"/>
    <mergeCell ref="AK202:AP202"/>
    <mergeCell ref="AQ202:AR202"/>
    <mergeCell ref="AS202:AT202"/>
    <mergeCell ref="AU202:AY202"/>
    <mergeCell ref="AZ202:BA202"/>
    <mergeCell ref="BB202:BF202"/>
    <mergeCell ref="H202:V202"/>
    <mergeCell ref="W202:X202"/>
    <mergeCell ref="Y202:Z202"/>
    <mergeCell ref="AA202:AB202"/>
    <mergeCell ref="AC202:AH202"/>
    <mergeCell ref="AI202:AJ202"/>
    <mergeCell ref="BT211:CC211"/>
    <mergeCell ref="A213:F213"/>
    <mergeCell ref="G213:I213"/>
    <mergeCell ref="J213:K213"/>
    <mergeCell ref="A214:H214"/>
    <mergeCell ref="AJ214:AP214"/>
    <mergeCell ref="AS209:BB209"/>
    <mergeCell ref="BD209:BE209"/>
    <mergeCell ref="BG209:BK209"/>
    <mergeCell ref="BP209:BQ209"/>
    <mergeCell ref="BT209:CC209"/>
    <mergeCell ref="BP210:BQ210"/>
    <mergeCell ref="BT210:CC210"/>
    <mergeCell ref="BP206:BQ206"/>
    <mergeCell ref="BT206:CC206"/>
    <mergeCell ref="AS208:BB208"/>
    <mergeCell ref="BD208:BE208"/>
    <mergeCell ref="BG208:BK208"/>
    <mergeCell ref="BP208:BQ208"/>
    <mergeCell ref="BT208:CC208"/>
    <mergeCell ref="AZ219:BD219"/>
    <mergeCell ref="BF219:BG219"/>
    <mergeCell ref="BH219:BJ219"/>
    <mergeCell ref="BP219:BQ219"/>
    <mergeCell ref="BT219:CC219"/>
    <mergeCell ref="BP220:BQ220"/>
    <mergeCell ref="BT220:CC220"/>
    <mergeCell ref="BG217:BH217"/>
    <mergeCell ref="BI217:BJ217"/>
    <mergeCell ref="BP217:BQ217"/>
    <mergeCell ref="BT217:CC217"/>
    <mergeCell ref="V219:AE219"/>
    <mergeCell ref="AF219:AG219"/>
    <mergeCell ref="AI219:AL219"/>
    <mergeCell ref="AN219:AO219"/>
    <mergeCell ref="AQ219:AU219"/>
    <mergeCell ref="AW219:AX219"/>
    <mergeCell ref="AK217:AP217"/>
    <mergeCell ref="AQ217:AR217"/>
    <mergeCell ref="AS217:AT217"/>
    <mergeCell ref="AU217:AY217"/>
    <mergeCell ref="AZ217:BA217"/>
    <mergeCell ref="BB217:BF217"/>
    <mergeCell ref="H217:V217"/>
    <mergeCell ref="W217:X217"/>
    <mergeCell ref="Y217:Z217"/>
    <mergeCell ref="AA217:AB217"/>
    <mergeCell ref="AC217:AH217"/>
    <mergeCell ref="AI217:AJ217"/>
    <mergeCell ref="BT226:CC226"/>
    <mergeCell ref="A228:F228"/>
    <mergeCell ref="G228:I228"/>
    <mergeCell ref="J228:K228"/>
    <mergeCell ref="A229:H229"/>
    <mergeCell ref="AJ229:AP229"/>
    <mergeCell ref="AS224:BB224"/>
    <mergeCell ref="BD224:BE224"/>
    <mergeCell ref="BG224:BK224"/>
    <mergeCell ref="BP224:BQ224"/>
    <mergeCell ref="BT224:CC224"/>
    <mergeCell ref="BP225:BQ225"/>
    <mergeCell ref="BT225:CC225"/>
    <mergeCell ref="BP221:BQ221"/>
    <mergeCell ref="BT221:CC221"/>
    <mergeCell ref="AS223:BB223"/>
    <mergeCell ref="BD223:BE223"/>
    <mergeCell ref="BG223:BK223"/>
    <mergeCell ref="BP223:BQ223"/>
    <mergeCell ref="BT223:CC223"/>
    <mergeCell ref="AZ234:BD234"/>
    <mergeCell ref="BF234:BG234"/>
    <mergeCell ref="BH234:BJ234"/>
    <mergeCell ref="BP234:BQ234"/>
    <mergeCell ref="BT234:CC234"/>
    <mergeCell ref="BP235:BQ235"/>
    <mergeCell ref="BT235:CC235"/>
    <mergeCell ref="BG232:BH232"/>
    <mergeCell ref="BI232:BJ232"/>
    <mergeCell ref="BP232:BQ232"/>
    <mergeCell ref="BT232:CC232"/>
    <mergeCell ref="V234:AE234"/>
    <mergeCell ref="AF234:AG234"/>
    <mergeCell ref="AI234:AL234"/>
    <mergeCell ref="AN234:AO234"/>
    <mergeCell ref="AQ234:AU234"/>
    <mergeCell ref="AW234:AX234"/>
    <mergeCell ref="AK232:AP232"/>
    <mergeCell ref="AQ232:AR232"/>
    <mergeCell ref="AS232:AT232"/>
    <mergeCell ref="AU232:AY232"/>
    <mergeCell ref="AZ232:BA232"/>
    <mergeCell ref="BB232:BF232"/>
    <mergeCell ref="H232:V232"/>
    <mergeCell ref="W232:X232"/>
    <mergeCell ref="Y232:Z232"/>
    <mergeCell ref="AA232:AB232"/>
    <mergeCell ref="AC232:AH232"/>
    <mergeCell ref="AI232:AJ232"/>
    <mergeCell ref="BT241:CC241"/>
    <mergeCell ref="A243:F243"/>
    <mergeCell ref="G243:I243"/>
    <mergeCell ref="J243:K243"/>
    <mergeCell ref="A244:H244"/>
    <mergeCell ref="AJ244:AP244"/>
    <mergeCell ref="AS239:BB239"/>
    <mergeCell ref="BD239:BE239"/>
    <mergeCell ref="BG239:BK239"/>
    <mergeCell ref="BP239:BQ239"/>
    <mergeCell ref="BT239:CC239"/>
    <mergeCell ref="BP240:BQ240"/>
    <mergeCell ref="BT240:CC240"/>
    <mergeCell ref="BP236:BQ236"/>
    <mergeCell ref="BT236:CC236"/>
    <mergeCell ref="AS238:BB238"/>
    <mergeCell ref="BD238:BE238"/>
    <mergeCell ref="BG238:BK238"/>
    <mergeCell ref="BP238:BQ238"/>
    <mergeCell ref="BT238:CC238"/>
    <mergeCell ref="AZ249:BD249"/>
    <mergeCell ref="BF249:BG249"/>
    <mergeCell ref="BH249:BJ249"/>
    <mergeCell ref="BP249:BQ249"/>
    <mergeCell ref="BT249:CC249"/>
    <mergeCell ref="BP250:BQ250"/>
    <mergeCell ref="BT250:CC250"/>
    <mergeCell ref="BG247:BH247"/>
    <mergeCell ref="BI247:BJ247"/>
    <mergeCell ref="BP247:BQ247"/>
    <mergeCell ref="BT247:CC247"/>
    <mergeCell ref="V249:AE249"/>
    <mergeCell ref="AF249:AG249"/>
    <mergeCell ref="AI249:AL249"/>
    <mergeCell ref="AN249:AO249"/>
    <mergeCell ref="AQ249:AU249"/>
    <mergeCell ref="AW249:AX249"/>
    <mergeCell ref="AK247:AP247"/>
    <mergeCell ref="AQ247:AR247"/>
    <mergeCell ref="AS247:AT247"/>
    <mergeCell ref="AU247:AY247"/>
    <mergeCell ref="AZ247:BA247"/>
    <mergeCell ref="BB247:BF247"/>
    <mergeCell ref="H247:V247"/>
    <mergeCell ref="W247:X247"/>
    <mergeCell ref="Y247:Z247"/>
    <mergeCell ref="AA247:AB247"/>
    <mergeCell ref="AC247:AH247"/>
    <mergeCell ref="AI247:AJ247"/>
    <mergeCell ref="BT256:CC256"/>
    <mergeCell ref="A258:F258"/>
    <mergeCell ref="G258:I258"/>
    <mergeCell ref="J258:K258"/>
    <mergeCell ref="A259:H259"/>
    <mergeCell ref="AJ259:AP259"/>
    <mergeCell ref="AS254:BB254"/>
    <mergeCell ref="BD254:BE254"/>
    <mergeCell ref="BG254:BK254"/>
    <mergeCell ref="BP254:BQ254"/>
    <mergeCell ref="BT254:CC254"/>
    <mergeCell ref="BP255:BQ255"/>
    <mergeCell ref="BT255:CC255"/>
    <mergeCell ref="BP251:BQ251"/>
    <mergeCell ref="BT251:CC251"/>
    <mergeCell ref="AS253:BB253"/>
    <mergeCell ref="BD253:BE253"/>
    <mergeCell ref="BG253:BK253"/>
    <mergeCell ref="BP253:BQ253"/>
    <mergeCell ref="BT253:CC253"/>
    <mergeCell ref="AZ264:BD264"/>
    <mergeCell ref="BF264:BG264"/>
    <mergeCell ref="BH264:BJ264"/>
    <mergeCell ref="BP264:BQ264"/>
    <mergeCell ref="BT264:CC264"/>
    <mergeCell ref="BP265:BQ265"/>
    <mergeCell ref="BT265:CC265"/>
    <mergeCell ref="BG262:BH262"/>
    <mergeCell ref="BI262:BJ262"/>
    <mergeCell ref="BP262:BQ262"/>
    <mergeCell ref="BT262:CC262"/>
    <mergeCell ref="V264:AE264"/>
    <mergeCell ref="AF264:AG264"/>
    <mergeCell ref="AI264:AL264"/>
    <mergeCell ref="AN264:AO264"/>
    <mergeCell ref="AQ264:AU264"/>
    <mergeCell ref="AW264:AX264"/>
    <mergeCell ref="AK262:AP262"/>
    <mergeCell ref="AQ262:AR262"/>
    <mergeCell ref="AS262:AT262"/>
    <mergeCell ref="AU262:AY262"/>
    <mergeCell ref="AZ262:BA262"/>
    <mergeCell ref="BB262:BF262"/>
    <mergeCell ref="H262:V262"/>
    <mergeCell ref="W262:X262"/>
    <mergeCell ref="Y262:Z262"/>
    <mergeCell ref="AA262:AB262"/>
    <mergeCell ref="AC262:AH262"/>
    <mergeCell ref="AI262:AJ262"/>
    <mergeCell ref="BT271:CC271"/>
    <mergeCell ref="A273:F273"/>
    <mergeCell ref="G273:I273"/>
    <mergeCell ref="J273:K273"/>
    <mergeCell ref="A274:H274"/>
    <mergeCell ref="AJ274:AP274"/>
    <mergeCell ref="AS269:BB269"/>
    <mergeCell ref="BD269:BE269"/>
    <mergeCell ref="BG269:BK269"/>
    <mergeCell ref="BP269:BQ269"/>
    <mergeCell ref="BT269:CC269"/>
    <mergeCell ref="BP270:BQ270"/>
    <mergeCell ref="BT270:CC270"/>
    <mergeCell ref="BP266:BQ266"/>
    <mergeCell ref="BT266:CC266"/>
    <mergeCell ref="AS268:BB268"/>
    <mergeCell ref="BD268:BE268"/>
    <mergeCell ref="BG268:BK268"/>
    <mergeCell ref="BP268:BQ268"/>
    <mergeCell ref="BT268:CC268"/>
    <mergeCell ref="BH279:BJ279"/>
    <mergeCell ref="BP279:BQ279"/>
    <mergeCell ref="BT279:CC279"/>
    <mergeCell ref="BP280:BQ280"/>
    <mergeCell ref="BT280:CC280"/>
    <mergeCell ref="BP281:BQ281"/>
    <mergeCell ref="BT281:CC281"/>
    <mergeCell ref="BP277:BQ277"/>
    <mergeCell ref="BT277:CC277"/>
    <mergeCell ref="V279:AE279"/>
    <mergeCell ref="AF279:AG279"/>
    <mergeCell ref="AI279:AL279"/>
    <mergeCell ref="AN279:AO279"/>
    <mergeCell ref="AQ279:AU279"/>
    <mergeCell ref="AW279:AX279"/>
    <mergeCell ref="AZ279:BD279"/>
    <mergeCell ref="BF279:BG279"/>
    <mergeCell ref="AE277:AS277"/>
    <mergeCell ref="AT277:AU277"/>
    <mergeCell ref="AV277:AW277"/>
    <mergeCell ref="AX277:BC277"/>
    <mergeCell ref="BE277:BF277"/>
    <mergeCell ref="BL277:BN277"/>
    <mergeCell ref="A289:H289"/>
    <mergeCell ref="AJ289:AP289"/>
    <mergeCell ref="AE292:AS292"/>
    <mergeCell ref="AT292:AU292"/>
    <mergeCell ref="AV292:AW292"/>
    <mergeCell ref="AX292:BC292"/>
    <mergeCell ref="BP285:BQ285"/>
    <mergeCell ref="BT285:CC285"/>
    <mergeCell ref="BT286:CC286"/>
    <mergeCell ref="A288:F288"/>
    <mergeCell ref="G288:I288"/>
    <mergeCell ref="J288:K288"/>
    <mergeCell ref="AS283:BB283"/>
    <mergeCell ref="BD283:BE283"/>
    <mergeCell ref="BG283:BK283"/>
    <mergeCell ref="BP283:BQ283"/>
    <mergeCell ref="BT283:CC283"/>
    <mergeCell ref="AS284:BB284"/>
    <mergeCell ref="BD284:BE284"/>
    <mergeCell ref="BG284:BK284"/>
    <mergeCell ref="BP284:BQ284"/>
    <mergeCell ref="BT284:CC284"/>
    <mergeCell ref="AZ294:BD294"/>
    <mergeCell ref="BF294:BG294"/>
    <mergeCell ref="BH294:BJ294"/>
    <mergeCell ref="BP294:BQ294"/>
    <mergeCell ref="BT294:CC294"/>
    <mergeCell ref="BP295:BQ295"/>
    <mergeCell ref="BT295:CC295"/>
    <mergeCell ref="BE292:BF292"/>
    <mergeCell ref="BL292:BN292"/>
    <mergeCell ref="BP292:BQ292"/>
    <mergeCell ref="BT292:CC292"/>
    <mergeCell ref="V294:AE294"/>
    <mergeCell ref="AF294:AG294"/>
    <mergeCell ref="AI294:AL294"/>
    <mergeCell ref="AN294:AO294"/>
    <mergeCell ref="AQ294:AU294"/>
    <mergeCell ref="AW294:AX294"/>
    <mergeCell ref="BT301:CC301"/>
    <mergeCell ref="A303:F303"/>
    <mergeCell ref="G303:I303"/>
    <mergeCell ref="J303:K303"/>
    <mergeCell ref="A304:H304"/>
    <mergeCell ref="AJ304:AP304"/>
    <mergeCell ref="AS299:BB299"/>
    <mergeCell ref="BD299:BE299"/>
    <mergeCell ref="BG299:BK299"/>
    <mergeCell ref="BP299:BQ299"/>
    <mergeCell ref="BT299:CC299"/>
    <mergeCell ref="BP300:BQ300"/>
    <mergeCell ref="BT300:CC300"/>
    <mergeCell ref="BP296:BQ296"/>
    <mergeCell ref="BT296:CC296"/>
    <mergeCell ref="AS298:BB298"/>
    <mergeCell ref="BD298:BE298"/>
    <mergeCell ref="BG298:BK298"/>
    <mergeCell ref="BP298:BQ298"/>
    <mergeCell ref="BT298:CC298"/>
    <mergeCell ref="BH309:BJ309"/>
    <mergeCell ref="BP309:BQ309"/>
    <mergeCell ref="BT309:CC309"/>
    <mergeCell ref="BP310:BQ310"/>
    <mergeCell ref="BT310:CC310"/>
    <mergeCell ref="BP311:BQ311"/>
    <mergeCell ref="BT311:CC311"/>
    <mergeCell ref="BP307:BQ307"/>
    <mergeCell ref="BT307:CC307"/>
    <mergeCell ref="V309:AE309"/>
    <mergeCell ref="AF309:AG309"/>
    <mergeCell ref="AI309:AL309"/>
    <mergeCell ref="AN309:AO309"/>
    <mergeCell ref="AQ309:AU309"/>
    <mergeCell ref="AW309:AX309"/>
    <mergeCell ref="AZ309:BD309"/>
    <mergeCell ref="BF309:BG309"/>
    <mergeCell ref="AE307:AS307"/>
    <mergeCell ref="AT307:AU307"/>
    <mergeCell ref="AV307:AW307"/>
    <mergeCell ref="AX307:BC307"/>
    <mergeCell ref="BE307:BF307"/>
    <mergeCell ref="BL307:BN307"/>
    <mergeCell ref="A319:H319"/>
    <mergeCell ref="AJ319:AP319"/>
    <mergeCell ref="AE322:AS322"/>
    <mergeCell ref="AT322:AU322"/>
    <mergeCell ref="AV322:AW322"/>
    <mergeCell ref="AX322:BC322"/>
    <mergeCell ref="BP315:BQ315"/>
    <mergeCell ref="BT315:CC315"/>
    <mergeCell ref="BT316:CC316"/>
    <mergeCell ref="A318:F318"/>
    <mergeCell ref="G318:I318"/>
    <mergeCell ref="J318:K318"/>
    <mergeCell ref="AS313:BB313"/>
    <mergeCell ref="BD313:BE313"/>
    <mergeCell ref="BG313:BK313"/>
    <mergeCell ref="BP313:BQ313"/>
    <mergeCell ref="BT313:CC313"/>
    <mergeCell ref="AS314:BB314"/>
    <mergeCell ref="BD314:BE314"/>
    <mergeCell ref="BG314:BK314"/>
    <mergeCell ref="BP314:BQ314"/>
    <mergeCell ref="BT314:CC314"/>
    <mergeCell ref="AZ324:BD324"/>
    <mergeCell ref="BF324:BG324"/>
    <mergeCell ref="BH324:BJ324"/>
    <mergeCell ref="BP324:BQ324"/>
    <mergeCell ref="BT324:CC324"/>
    <mergeCell ref="BP325:BQ325"/>
    <mergeCell ref="BT325:CC325"/>
    <mergeCell ref="BE322:BF322"/>
    <mergeCell ref="BL322:BN322"/>
    <mergeCell ref="BP322:BQ322"/>
    <mergeCell ref="BT322:CC322"/>
    <mergeCell ref="V324:AE324"/>
    <mergeCell ref="AF324:AG324"/>
    <mergeCell ref="AI324:AL324"/>
    <mergeCell ref="AN324:AO324"/>
    <mergeCell ref="AQ324:AU324"/>
    <mergeCell ref="AW324:AX324"/>
    <mergeCell ref="BT331:CC331"/>
    <mergeCell ref="A333:F333"/>
    <mergeCell ref="G333:I333"/>
    <mergeCell ref="J333:K333"/>
    <mergeCell ref="A334:H334"/>
    <mergeCell ref="AJ334:AP334"/>
    <mergeCell ref="AS329:BB329"/>
    <mergeCell ref="BD329:BE329"/>
    <mergeCell ref="BG329:BK329"/>
    <mergeCell ref="BP329:BQ329"/>
    <mergeCell ref="BT329:CC329"/>
    <mergeCell ref="BP330:BQ330"/>
    <mergeCell ref="BT330:CC330"/>
    <mergeCell ref="BP326:BQ326"/>
    <mergeCell ref="BT326:CC326"/>
    <mergeCell ref="AS328:BB328"/>
    <mergeCell ref="BD328:BE328"/>
    <mergeCell ref="BG328:BK328"/>
    <mergeCell ref="BP328:BQ328"/>
    <mergeCell ref="BT328:CC328"/>
    <mergeCell ref="BH339:BJ339"/>
    <mergeCell ref="BP339:BQ339"/>
    <mergeCell ref="BT339:CC339"/>
    <mergeCell ref="BP340:BQ340"/>
    <mergeCell ref="BT340:CC340"/>
    <mergeCell ref="BP341:BQ341"/>
    <mergeCell ref="BT341:CC341"/>
    <mergeCell ref="BP337:BQ337"/>
    <mergeCell ref="BT337:CC337"/>
    <mergeCell ref="V339:AE339"/>
    <mergeCell ref="AF339:AG339"/>
    <mergeCell ref="AI339:AL339"/>
    <mergeCell ref="AN339:AO339"/>
    <mergeCell ref="AQ339:AU339"/>
    <mergeCell ref="AW339:AX339"/>
    <mergeCell ref="AZ339:BD339"/>
    <mergeCell ref="BF339:BG339"/>
    <mergeCell ref="AE337:AS337"/>
    <mergeCell ref="AT337:AU337"/>
    <mergeCell ref="AV337:AW337"/>
    <mergeCell ref="AX337:BC337"/>
    <mergeCell ref="BE337:BF337"/>
    <mergeCell ref="BL337:BN337"/>
    <mergeCell ref="A349:H349"/>
    <mergeCell ref="AJ349:AP349"/>
    <mergeCell ref="AE352:AS352"/>
    <mergeCell ref="AT352:AU352"/>
    <mergeCell ref="AV352:AW352"/>
    <mergeCell ref="AX352:BC352"/>
    <mergeCell ref="BP345:BQ345"/>
    <mergeCell ref="BT345:CC345"/>
    <mergeCell ref="BT346:CC346"/>
    <mergeCell ref="A348:F348"/>
    <mergeCell ref="G348:I348"/>
    <mergeCell ref="J348:K348"/>
    <mergeCell ref="AS343:BB343"/>
    <mergeCell ref="BD343:BE343"/>
    <mergeCell ref="BG343:BK343"/>
    <mergeCell ref="BP343:BQ343"/>
    <mergeCell ref="BT343:CC343"/>
    <mergeCell ref="AS344:BB344"/>
    <mergeCell ref="BD344:BE344"/>
    <mergeCell ref="BG344:BK344"/>
    <mergeCell ref="BP344:BQ344"/>
    <mergeCell ref="BT344:CC344"/>
    <mergeCell ref="AZ354:BD354"/>
    <mergeCell ref="BF354:BG354"/>
    <mergeCell ref="BH354:BJ354"/>
    <mergeCell ref="BP354:BQ354"/>
    <mergeCell ref="BT354:CC354"/>
    <mergeCell ref="BP355:BQ355"/>
    <mergeCell ref="BT355:CC355"/>
    <mergeCell ref="BE352:BF352"/>
    <mergeCell ref="BL352:BN352"/>
    <mergeCell ref="BP352:BQ352"/>
    <mergeCell ref="BT352:CC352"/>
    <mergeCell ref="V354:AE354"/>
    <mergeCell ref="AF354:AG354"/>
    <mergeCell ref="AI354:AL354"/>
    <mergeCell ref="AN354:AO354"/>
    <mergeCell ref="AQ354:AU354"/>
    <mergeCell ref="AW354:AX354"/>
    <mergeCell ref="A363:F363"/>
    <mergeCell ref="G363:I363"/>
    <mergeCell ref="J363:K363"/>
    <mergeCell ref="A364:H364"/>
    <mergeCell ref="AJ364:AP364"/>
    <mergeCell ref="AS359:BB359"/>
    <mergeCell ref="BD359:BE359"/>
    <mergeCell ref="BG359:BK359"/>
    <mergeCell ref="BP359:BQ359"/>
    <mergeCell ref="BT359:CC359"/>
    <mergeCell ref="BP360:BQ360"/>
    <mergeCell ref="BT360:CC360"/>
    <mergeCell ref="BP356:BQ356"/>
    <mergeCell ref="BT356:CC356"/>
    <mergeCell ref="AS358:BB358"/>
    <mergeCell ref="BD358:BE358"/>
    <mergeCell ref="BG358:BK358"/>
    <mergeCell ref="BP358:BQ358"/>
    <mergeCell ref="BT358:CC358"/>
    <mergeCell ref="BP367:BQ367"/>
    <mergeCell ref="BT367:CC367"/>
    <mergeCell ref="V369:AE369"/>
    <mergeCell ref="AF369:AG369"/>
    <mergeCell ref="AI369:AL369"/>
    <mergeCell ref="AN369:AO369"/>
    <mergeCell ref="AQ369:AU369"/>
    <mergeCell ref="AW369:AX369"/>
    <mergeCell ref="AZ369:BD369"/>
    <mergeCell ref="BF369:BG369"/>
    <mergeCell ref="AE367:AS367"/>
    <mergeCell ref="AT367:AU367"/>
    <mergeCell ref="AV367:AW367"/>
    <mergeCell ref="AX367:BC367"/>
    <mergeCell ref="BE367:BF367"/>
    <mergeCell ref="BL367:BN367"/>
    <mergeCell ref="BT361:CC361"/>
    <mergeCell ref="AS373:BB373"/>
    <mergeCell ref="BD373:BE373"/>
    <mergeCell ref="BG373:BK373"/>
    <mergeCell ref="BP373:BQ373"/>
    <mergeCell ref="BT373:CC373"/>
    <mergeCell ref="AS374:BB374"/>
    <mergeCell ref="BD374:BE374"/>
    <mergeCell ref="BG374:BK374"/>
    <mergeCell ref="BP374:BQ374"/>
    <mergeCell ref="BT374:CC374"/>
    <mergeCell ref="BH369:BJ369"/>
    <mergeCell ref="BP369:BQ369"/>
    <mergeCell ref="BT369:CC369"/>
    <mergeCell ref="BP370:BQ370"/>
    <mergeCell ref="BT370:CC370"/>
    <mergeCell ref="BP371:BQ371"/>
    <mergeCell ref="BT371:CC371"/>
    <mergeCell ref="BE382:BF382"/>
    <mergeCell ref="BL382:BN382"/>
    <mergeCell ref="BP382:BQ382"/>
    <mergeCell ref="BT382:CC382"/>
    <mergeCell ref="BP384:BQ384"/>
    <mergeCell ref="BT384:CC384"/>
    <mergeCell ref="A379:H379"/>
    <mergeCell ref="AJ379:AP379"/>
    <mergeCell ref="AE382:AS382"/>
    <mergeCell ref="AT382:AU382"/>
    <mergeCell ref="AV382:AW382"/>
    <mergeCell ref="AX382:BC382"/>
    <mergeCell ref="BP375:BQ375"/>
    <mergeCell ref="BT375:CC375"/>
    <mergeCell ref="BT376:CC376"/>
    <mergeCell ref="A378:F378"/>
    <mergeCell ref="G378:I378"/>
    <mergeCell ref="J378:K378"/>
    <mergeCell ref="A394:H394"/>
    <mergeCell ref="AJ394:AP394"/>
    <mergeCell ref="AE397:AS397"/>
    <mergeCell ref="AT397:AU397"/>
    <mergeCell ref="AV397:AW397"/>
    <mergeCell ref="AX397:BC397"/>
    <mergeCell ref="BP389:BQ389"/>
    <mergeCell ref="BT389:CC389"/>
    <mergeCell ref="BP390:BQ390"/>
    <mergeCell ref="BT390:CC390"/>
    <mergeCell ref="BT391:CC391"/>
    <mergeCell ref="A393:F393"/>
    <mergeCell ref="G393:I393"/>
    <mergeCell ref="J393:K393"/>
    <mergeCell ref="BP385:BQ385"/>
    <mergeCell ref="BT385:CC385"/>
    <mergeCell ref="BP386:BQ386"/>
    <mergeCell ref="BT386:CC386"/>
    <mergeCell ref="BP388:BQ388"/>
    <mergeCell ref="BT388:CC388"/>
    <mergeCell ref="BP404:BQ404"/>
    <mergeCell ref="BT404:CC404"/>
    <mergeCell ref="BP405:BQ405"/>
    <mergeCell ref="BT405:CC405"/>
    <mergeCell ref="BT406:CC406"/>
    <mergeCell ref="A408:F408"/>
    <mergeCell ref="G408:I408"/>
    <mergeCell ref="J408:K408"/>
    <mergeCell ref="BP400:BQ400"/>
    <mergeCell ref="BT400:CC400"/>
    <mergeCell ref="BP401:BQ401"/>
    <mergeCell ref="BT401:CC401"/>
    <mergeCell ref="BP403:BQ403"/>
    <mergeCell ref="BT403:CC403"/>
    <mergeCell ref="BE397:BF397"/>
    <mergeCell ref="BL397:BN397"/>
    <mergeCell ref="BP397:BQ397"/>
    <mergeCell ref="BT397:CC397"/>
    <mergeCell ref="BP399:BQ399"/>
    <mergeCell ref="BT399:CC399"/>
    <mergeCell ref="BP415:BQ415"/>
    <mergeCell ref="BT415:CC415"/>
    <mergeCell ref="BP416:BQ416"/>
    <mergeCell ref="BT416:CC416"/>
    <mergeCell ref="BP418:BQ418"/>
    <mergeCell ref="BT418:CC418"/>
    <mergeCell ref="BE412:BF412"/>
    <mergeCell ref="BL412:BN412"/>
    <mergeCell ref="BP412:BQ412"/>
    <mergeCell ref="BT412:CC412"/>
    <mergeCell ref="BP414:BQ414"/>
    <mergeCell ref="BT414:CC414"/>
    <mergeCell ref="A409:H409"/>
    <mergeCell ref="AJ409:AP409"/>
    <mergeCell ref="AE412:AS412"/>
    <mergeCell ref="AT412:AU412"/>
    <mergeCell ref="AV412:AW412"/>
    <mergeCell ref="AX412:BC412"/>
    <mergeCell ref="BE427:BF427"/>
    <mergeCell ref="BL427:BN427"/>
    <mergeCell ref="BP427:BQ427"/>
    <mergeCell ref="BT427:CC427"/>
    <mergeCell ref="V429:AE429"/>
    <mergeCell ref="AF429:AG429"/>
    <mergeCell ref="AI429:AL429"/>
    <mergeCell ref="AN429:AO429"/>
    <mergeCell ref="AQ429:AU429"/>
    <mergeCell ref="AW429:AX429"/>
    <mergeCell ref="A424:H424"/>
    <mergeCell ref="AJ424:AP424"/>
    <mergeCell ref="AE427:AS427"/>
    <mergeCell ref="AT427:AU427"/>
    <mergeCell ref="AV427:AW427"/>
    <mergeCell ref="AX427:BC427"/>
    <mergeCell ref="BP419:BQ419"/>
    <mergeCell ref="BT419:CC419"/>
    <mergeCell ref="BP420:BQ420"/>
    <mergeCell ref="BT420:CC420"/>
    <mergeCell ref="BT421:CC421"/>
    <mergeCell ref="A423:F423"/>
    <mergeCell ref="G423:I423"/>
    <mergeCell ref="J423:K423"/>
    <mergeCell ref="BP435:BQ435"/>
    <mergeCell ref="BT435:CC435"/>
    <mergeCell ref="BT436:CC436"/>
    <mergeCell ref="A438:F438"/>
    <mergeCell ref="G438:I438"/>
    <mergeCell ref="A439:H439"/>
    <mergeCell ref="AJ439:AP439"/>
    <mergeCell ref="BP431:BQ431"/>
    <mergeCell ref="BT431:CC431"/>
    <mergeCell ref="BP433:BQ433"/>
    <mergeCell ref="BT433:CC433"/>
    <mergeCell ref="BP434:BQ434"/>
    <mergeCell ref="BT434:CC434"/>
    <mergeCell ref="AZ429:BD429"/>
    <mergeCell ref="BF429:BG429"/>
    <mergeCell ref="BH429:BJ429"/>
    <mergeCell ref="BP429:BQ429"/>
    <mergeCell ref="BT429:CC429"/>
    <mergeCell ref="BP430:BQ430"/>
    <mergeCell ref="BT430:CC430"/>
    <mergeCell ref="BH444:BJ444"/>
    <mergeCell ref="BP444:BQ444"/>
    <mergeCell ref="BT444:CC444"/>
    <mergeCell ref="BP445:BQ445"/>
    <mergeCell ref="BT445:CC445"/>
    <mergeCell ref="BP446:BQ446"/>
    <mergeCell ref="BT446:CC446"/>
    <mergeCell ref="BP442:BQ442"/>
    <mergeCell ref="BT442:CC442"/>
    <mergeCell ref="V444:AE444"/>
    <mergeCell ref="AF444:AG444"/>
    <mergeCell ref="AI444:AL444"/>
    <mergeCell ref="AN444:AO444"/>
    <mergeCell ref="AQ444:AU444"/>
    <mergeCell ref="AW444:AX444"/>
    <mergeCell ref="AZ444:BD444"/>
    <mergeCell ref="BF444:BG444"/>
    <mergeCell ref="AE442:AS442"/>
    <mergeCell ref="AT442:AU442"/>
    <mergeCell ref="AV442:AW442"/>
    <mergeCell ref="AX442:BC442"/>
    <mergeCell ref="BE442:BF442"/>
    <mergeCell ref="BL442:BN442"/>
    <mergeCell ref="A454:H454"/>
    <mergeCell ref="AJ454:AP454"/>
    <mergeCell ref="AE457:AS457"/>
    <mergeCell ref="AT457:AU457"/>
    <mergeCell ref="AV457:AW457"/>
    <mergeCell ref="AX457:BC457"/>
    <mergeCell ref="BP450:BQ450"/>
    <mergeCell ref="BT450:CC450"/>
    <mergeCell ref="BT451:CC451"/>
    <mergeCell ref="A453:F453"/>
    <mergeCell ref="G453:I453"/>
    <mergeCell ref="J453:K453"/>
    <mergeCell ref="AS448:BB448"/>
    <mergeCell ref="BD448:BE448"/>
    <mergeCell ref="BG448:BK448"/>
    <mergeCell ref="BP448:BQ448"/>
    <mergeCell ref="BT448:CC448"/>
    <mergeCell ref="AS449:BB449"/>
    <mergeCell ref="BD449:BE449"/>
    <mergeCell ref="BG449:BK449"/>
    <mergeCell ref="BP449:BQ449"/>
    <mergeCell ref="BT449:CC449"/>
    <mergeCell ref="AZ459:BD459"/>
    <mergeCell ref="BF459:BG459"/>
    <mergeCell ref="BH459:BJ459"/>
    <mergeCell ref="BP459:BQ459"/>
    <mergeCell ref="BT459:CC459"/>
    <mergeCell ref="BP460:BQ460"/>
    <mergeCell ref="BT460:CC460"/>
    <mergeCell ref="BE457:BF457"/>
    <mergeCell ref="BL457:BN457"/>
    <mergeCell ref="BP457:BQ457"/>
    <mergeCell ref="BT457:CC457"/>
    <mergeCell ref="V459:AE459"/>
    <mergeCell ref="AF459:AG459"/>
    <mergeCell ref="AI459:AL459"/>
    <mergeCell ref="AN459:AO459"/>
    <mergeCell ref="AQ459:AU459"/>
    <mergeCell ref="AW459:AX459"/>
    <mergeCell ref="BT466:CC466"/>
    <mergeCell ref="A468:F468"/>
    <mergeCell ref="G468:I468"/>
    <mergeCell ref="J468:K468"/>
    <mergeCell ref="A469:H469"/>
    <mergeCell ref="AJ469:AP469"/>
    <mergeCell ref="AS464:BB464"/>
    <mergeCell ref="BD464:BE464"/>
    <mergeCell ref="BG464:BK464"/>
    <mergeCell ref="BP464:BQ464"/>
    <mergeCell ref="BT464:CC464"/>
    <mergeCell ref="BP465:BQ465"/>
    <mergeCell ref="BT465:CC465"/>
    <mergeCell ref="BP461:BQ461"/>
    <mergeCell ref="BT461:CC461"/>
    <mergeCell ref="AS463:BB463"/>
    <mergeCell ref="BD463:BE463"/>
    <mergeCell ref="BG463:BK463"/>
    <mergeCell ref="BP463:BQ463"/>
    <mergeCell ref="BT463:CC463"/>
    <mergeCell ref="BH474:BJ474"/>
    <mergeCell ref="BP474:BQ474"/>
    <mergeCell ref="BT474:CC474"/>
    <mergeCell ref="BP475:BQ475"/>
    <mergeCell ref="BT475:CC475"/>
    <mergeCell ref="BP476:BQ476"/>
    <mergeCell ref="BT476:CC476"/>
    <mergeCell ref="BP472:BQ472"/>
    <mergeCell ref="BT472:CC472"/>
    <mergeCell ref="V474:AE474"/>
    <mergeCell ref="AF474:AG474"/>
    <mergeCell ref="AI474:AL474"/>
    <mergeCell ref="AN474:AO474"/>
    <mergeCell ref="AQ474:AU474"/>
    <mergeCell ref="AW474:AX474"/>
    <mergeCell ref="AZ474:BD474"/>
    <mergeCell ref="BF474:BG474"/>
    <mergeCell ref="AE472:AS472"/>
    <mergeCell ref="AT472:AU472"/>
    <mergeCell ref="AV472:AW472"/>
    <mergeCell ref="AX472:BC472"/>
    <mergeCell ref="BE472:BF472"/>
    <mergeCell ref="BL472:BN472"/>
    <mergeCell ref="A484:H484"/>
    <mergeCell ref="AJ484:AP484"/>
    <mergeCell ref="AE487:AS487"/>
    <mergeCell ref="AT487:AU487"/>
    <mergeCell ref="AV487:AW487"/>
    <mergeCell ref="AX487:BC487"/>
    <mergeCell ref="BP480:BQ480"/>
    <mergeCell ref="BT480:CC480"/>
    <mergeCell ref="BT481:CC481"/>
    <mergeCell ref="A483:F483"/>
    <mergeCell ref="G483:I483"/>
    <mergeCell ref="J483:K483"/>
    <mergeCell ref="AS478:BB478"/>
    <mergeCell ref="BD478:BE478"/>
    <mergeCell ref="BG478:BK478"/>
    <mergeCell ref="BP478:BQ478"/>
    <mergeCell ref="BT478:CC478"/>
    <mergeCell ref="AS479:BB479"/>
    <mergeCell ref="BD479:BE479"/>
    <mergeCell ref="BG479:BK479"/>
    <mergeCell ref="BP479:BQ479"/>
    <mergeCell ref="BT479:CC479"/>
    <mergeCell ref="AZ489:BD489"/>
    <mergeCell ref="BF489:BG489"/>
    <mergeCell ref="BH489:BJ489"/>
    <mergeCell ref="BP489:BQ489"/>
    <mergeCell ref="BT489:CC489"/>
    <mergeCell ref="BP490:BQ490"/>
    <mergeCell ref="BT490:CC490"/>
    <mergeCell ref="BE487:BF487"/>
    <mergeCell ref="BL487:BN487"/>
    <mergeCell ref="BP487:BQ487"/>
    <mergeCell ref="BT487:CC487"/>
    <mergeCell ref="V489:AE489"/>
    <mergeCell ref="AF489:AG489"/>
    <mergeCell ref="AI489:AL489"/>
    <mergeCell ref="AN489:AO489"/>
    <mergeCell ref="AQ489:AU489"/>
    <mergeCell ref="AW489:AX489"/>
    <mergeCell ref="BT496:CC496"/>
    <mergeCell ref="A498:F498"/>
    <mergeCell ref="G498:I498"/>
    <mergeCell ref="J498:K498"/>
    <mergeCell ref="A499:H499"/>
    <mergeCell ref="AJ499:AP499"/>
    <mergeCell ref="AS494:BB494"/>
    <mergeCell ref="BD494:BE494"/>
    <mergeCell ref="BG494:BK494"/>
    <mergeCell ref="BP494:BQ494"/>
    <mergeCell ref="BT494:CC494"/>
    <mergeCell ref="BP495:BQ495"/>
    <mergeCell ref="BT495:CC495"/>
    <mergeCell ref="BP491:BQ491"/>
    <mergeCell ref="BT491:CC491"/>
    <mergeCell ref="AS493:BB493"/>
    <mergeCell ref="BD493:BE493"/>
    <mergeCell ref="BG493:BK493"/>
    <mergeCell ref="BP493:BQ493"/>
    <mergeCell ref="BT493:CC493"/>
    <mergeCell ref="BH504:BJ504"/>
    <mergeCell ref="BP504:BQ504"/>
    <mergeCell ref="BT504:CC504"/>
    <mergeCell ref="BP505:BQ505"/>
    <mergeCell ref="BT505:CC505"/>
    <mergeCell ref="BP506:BQ506"/>
    <mergeCell ref="BT506:CC506"/>
    <mergeCell ref="BP502:BQ502"/>
    <mergeCell ref="BT502:CC502"/>
    <mergeCell ref="V504:AE504"/>
    <mergeCell ref="AF504:AG504"/>
    <mergeCell ref="AI504:AL504"/>
    <mergeCell ref="AN504:AO504"/>
    <mergeCell ref="AQ504:AU504"/>
    <mergeCell ref="AW504:AX504"/>
    <mergeCell ref="AZ504:BD504"/>
    <mergeCell ref="BF504:BG504"/>
    <mergeCell ref="AE502:AS502"/>
    <mergeCell ref="AT502:AU502"/>
    <mergeCell ref="AV502:AW502"/>
    <mergeCell ref="AX502:BC502"/>
    <mergeCell ref="BE502:BF502"/>
    <mergeCell ref="BL502:BN502"/>
    <mergeCell ref="A514:H514"/>
    <mergeCell ref="AJ514:AP514"/>
    <mergeCell ref="AE517:AS517"/>
    <mergeCell ref="AT517:AU517"/>
    <mergeCell ref="AV517:AW517"/>
    <mergeCell ref="AX517:BC517"/>
    <mergeCell ref="BP510:BQ510"/>
    <mergeCell ref="BT510:CC510"/>
    <mergeCell ref="BT511:CC511"/>
    <mergeCell ref="A513:F513"/>
    <mergeCell ref="G513:I513"/>
    <mergeCell ref="J513:K513"/>
    <mergeCell ref="AS508:BB508"/>
    <mergeCell ref="BD508:BE508"/>
    <mergeCell ref="BG508:BK508"/>
    <mergeCell ref="BP508:BQ508"/>
    <mergeCell ref="BT508:CC508"/>
    <mergeCell ref="AS509:BB509"/>
    <mergeCell ref="BD509:BE509"/>
    <mergeCell ref="BG509:BK509"/>
    <mergeCell ref="BP509:BQ509"/>
    <mergeCell ref="BT509:CC509"/>
    <mergeCell ref="AZ519:BD519"/>
    <mergeCell ref="BF519:BG519"/>
    <mergeCell ref="BH519:BJ519"/>
    <mergeCell ref="BP519:BQ519"/>
    <mergeCell ref="BT519:CC519"/>
    <mergeCell ref="BP520:BQ520"/>
    <mergeCell ref="BT520:CC520"/>
    <mergeCell ref="BE517:BF517"/>
    <mergeCell ref="BL517:BN517"/>
    <mergeCell ref="BP517:BQ517"/>
    <mergeCell ref="BT517:CC517"/>
    <mergeCell ref="V519:AE519"/>
    <mergeCell ref="AF519:AG519"/>
    <mergeCell ref="AI519:AL519"/>
    <mergeCell ref="AN519:AO519"/>
    <mergeCell ref="AQ519:AU519"/>
    <mergeCell ref="AW519:AX519"/>
    <mergeCell ref="BT526:CC526"/>
    <mergeCell ref="A528:F528"/>
    <mergeCell ref="G528:I528"/>
    <mergeCell ref="J528:K528"/>
    <mergeCell ref="A529:H529"/>
    <mergeCell ref="AJ529:AP529"/>
    <mergeCell ref="AS524:BB524"/>
    <mergeCell ref="BD524:BE524"/>
    <mergeCell ref="BG524:BK524"/>
    <mergeCell ref="BP524:BQ524"/>
    <mergeCell ref="BT524:CC524"/>
    <mergeCell ref="BP525:BQ525"/>
    <mergeCell ref="BT525:CC525"/>
    <mergeCell ref="BP521:BQ521"/>
    <mergeCell ref="BT521:CC521"/>
    <mergeCell ref="AS523:BB523"/>
    <mergeCell ref="BD523:BE523"/>
    <mergeCell ref="BG523:BK523"/>
    <mergeCell ref="BP523:BQ523"/>
    <mergeCell ref="BT523:CC523"/>
    <mergeCell ref="BH534:BJ534"/>
    <mergeCell ref="BP534:BQ534"/>
    <mergeCell ref="BT534:CC534"/>
    <mergeCell ref="BP535:BQ535"/>
    <mergeCell ref="BT535:CC535"/>
    <mergeCell ref="BP536:BQ536"/>
    <mergeCell ref="BT536:CC536"/>
    <mergeCell ref="BP532:BQ532"/>
    <mergeCell ref="BT532:CC532"/>
    <mergeCell ref="V534:AE534"/>
    <mergeCell ref="AF534:AG534"/>
    <mergeCell ref="AI534:AL534"/>
    <mergeCell ref="AN534:AO534"/>
    <mergeCell ref="AQ534:AU534"/>
    <mergeCell ref="AW534:AX534"/>
    <mergeCell ref="AZ534:BD534"/>
    <mergeCell ref="BF534:BG534"/>
    <mergeCell ref="AE532:AS532"/>
    <mergeCell ref="AT532:AU532"/>
    <mergeCell ref="AV532:AW532"/>
    <mergeCell ref="AX532:BC532"/>
    <mergeCell ref="BE532:BF532"/>
    <mergeCell ref="BL532:BN532"/>
    <mergeCell ref="A544:H544"/>
    <mergeCell ref="AJ544:AP544"/>
    <mergeCell ref="AE547:AS547"/>
    <mergeCell ref="AT547:AU547"/>
    <mergeCell ref="AV547:AW547"/>
    <mergeCell ref="AX547:BC547"/>
    <mergeCell ref="BP540:BQ540"/>
    <mergeCell ref="BT540:CC540"/>
    <mergeCell ref="BT541:CC541"/>
    <mergeCell ref="A543:F543"/>
    <mergeCell ref="G543:I543"/>
    <mergeCell ref="J543:K543"/>
    <mergeCell ref="AS538:BB538"/>
    <mergeCell ref="BD538:BE538"/>
    <mergeCell ref="BG538:BK538"/>
    <mergeCell ref="BP538:BQ538"/>
    <mergeCell ref="BT538:CC538"/>
    <mergeCell ref="AS539:BB539"/>
    <mergeCell ref="BD539:BE539"/>
    <mergeCell ref="BG539:BK539"/>
    <mergeCell ref="BP539:BQ539"/>
    <mergeCell ref="BT539:CC539"/>
    <mergeCell ref="AZ549:BD549"/>
    <mergeCell ref="BF549:BG549"/>
    <mergeCell ref="BH549:BJ549"/>
    <mergeCell ref="BP549:BQ549"/>
    <mergeCell ref="BT549:CC549"/>
    <mergeCell ref="BP550:BQ550"/>
    <mergeCell ref="BT550:CC550"/>
    <mergeCell ref="BE547:BF547"/>
    <mergeCell ref="BL547:BN547"/>
    <mergeCell ref="BP547:BQ547"/>
    <mergeCell ref="BT547:CC547"/>
    <mergeCell ref="V549:AE549"/>
    <mergeCell ref="AF549:AG549"/>
    <mergeCell ref="AI549:AL549"/>
    <mergeCell ref="AN549:AO549"/>
    <mergeCell ref="AQ549:AU549"/>
    <mergeCell ref="AW549:AX549"/>
    <mergeCell ref="BT556:CC556"/>
    <mergeCell ref="A558:F558"/>
    <mergeCell ref="G558:I558"/>
    <mergeCell ref="J558:K558"/>
    <mergeCell ref="A559:H559"/>
    <mergeCell ref="AJ559:AP559"/>
    <mergeCell ref="AS554:BB554"/>
    <mergeCell ref="BD554:BE554"/>
    <mergeCell ref="BG554:BK554"/>
    <mergeCell ref="BP554:BQ554"/>
    <mergeCell ref="BT554:CC554"/>
    <mergeCell ref="BP555:BQ555"/>
    <mergeCell ref="BT555:CC555"/>
    <mergeCell ref="BP551:BQ551"/>
    <mergeCell ref="BT551:CC551"/>
    <mergeCell ref="AS553:BB553"/>
    <mergeCell ref="BD553:BE553"/>
    <mergeCell ref="BG553:BK553"/>
    <mergeCell ref="BP553:BQ553"/>
    <mergeCell ref="BT553:CC553"/>
    <mergeCell ref="BH564:BJ564"/>
    <mergeCell ref="BP564:BQ564"/>
    <mergeCell ref="BT564:CC564"/>
    <mergeCell ref="BP565:BQ565"/>
    <mergeCell ref="BT565:CC565"/>
    <mergeCell ref="BP566:BQ566"/>
    <mergeCell ref="BT566:CC566"/>
    <mergeCell ref="BP562:BQ562"/>
    <mergeCell ref="BT562:CC562"/>
    <mergeCell ref="V564:AE564"/>
    <mergeCell ref="AF564:AG564"/>
    <mergeCell ref="AI564:AL564"/>
    <mergeCell ref="AN564:AO564"/>
    <mergeCell ref="AQ564:AU564"/>
    <mergeCell ref="AW564:AX564"/>
    <mergeCell ref="AZ564:BD564"/>
    <mergeCell ref="BF564:BG564"/>
    <mergeCell ref="AE562:AS562"/>
    <mergeCell ref="AT562:AU562"/>
    <mergeCell ref="AV562:AW562"/>
    <mergeCell ref="AX562:BC562"/>
    <mergeCell ref="BE562:BF562"/>
    <mergeCell ref="BL562:BN562"/>
    <mergeCell ref="A574:H574"/>
    <mergeCell ref="AJ574:AP574"/>
    <mergeCell ref="AE577:AS577"/>
    <mergeCell ref="AT577:AU577"/>
    <mergeCell ref="AV577:AW577"/>
    <mergeCell ref="AX577:BC577"/>
    <mergeCell ref="BP570:BQ570"/>
    <mergeCell ref="BT570:CC570"/>
    <mergeCell ref="BT571:CC571"/>
    <mergeCell ref="A573:F573"/>
    <mergeCell ref="G573:I573"/>
    <mergeCell ref="J573:K573"/>
    <mergeCell ref="AS568:BB568"/>
    <mergeCell ref="BD568:BE568"/>
    <mergeCell ref="BG568:BK568"/>
    <mergeCell ref="BP568:BQ568"/>
    <mergeCell ref="BT568:CC568"/>
    <mergeCell ref="AS569:BB569"/>
    <mergeCell ref="BD569:BE569"/>
    <mergeCell ref="BG569:BK569"/>
    <mergeCell ref="BP569:BQ569"/>
    <mergeCell ref="BT569:CC569"/>
    <mergeCell ref="AZ579:BD579"/>
    <mergeCell ref="BF579:BG579"/>
    <mergeCell ref="BH579:BJ579"/>
    <mergeCell ref="BP579:BQ579"/>
    <mergeCell ref="BT579:CC579"/>
    <mergeCell ref="BP580:BQ580"/>
    <mergeCell ref="BT580:CC580"/>
    <mergeCell ref="BE577:BF577"/>
    <mergeCell ref="BL577:BN577"/>
    <mergeCell ref="BP577:BQ577"/>
    <mergeCell ref="BT577:CC577"/>
    <mergeCell ref="V579:AE579"/>
    <mergeCell ref="AF579:AG579"/>
    <mergeCell ref="AI579:AL579"/>
    <mergeCell ref="AN579:AO579"/>
    <mergeCell ref="AQ579:AU579"/>
    <mergeCell ref="AW579:AX579"/>
    <mergeCell ref="BT586:CC586"/>
    <mergeCell ref="A588:F588"/>
    <mergeCell ref="G588:I588"/>
    <mergeCell ref="J588:K588"/>
    <mergeCell ref="A589:H589"/>
    <mergeCell ref="AJ589:AP589"/>
    <mergeCell ref="AS584:BB584"/>
    <mergeCell ref="BD584:BE584"/>
    <mergeCell ref="BG584:BK584"/>
    <mergeCell ref="BP584:BQ584"/>
    <mergeCell ref="BT584:CC584"/>
    <mergeCell ref="BP585:BQ585"/>
    <mergeCell ref="BT585:CC585"/>
    <mergeCell ref="BP581:BQ581"/>
    <mergeCell ref="BT581:CC581"/>
    <mergeCell ref="AS583:BB583"/>
    <mergeCell ref="BD583:BE583"/>
    <mergeCell ref="BG583:BK583"/>
    <mergeCell ref="BP583:BQ583"/>
    <mergeCell ref="BT583:CC583"/>
    <mergeCell ref="BH594:BJ594"/>
    <mergeCell ref="BP594:BQ594"/>
    <mergeCell ref="BT594:CC594"/>
    <mergeCell ref="BP595:BQ595"/>
    <mergeCell ref="BT595:CC595"/>
    <mergeCell ref="BP596:BQ596"/>
    <mergeCell ref="BT596:CC596"/>
    <mergeCell ref="BP592:BQ592"/>
    <mergeCell ref="BT592:CC592"/>
    <mergeCell ref="V594:AE594"/>
    <mergeCell ref="AF594:AG594"/>
    <mergeCell ref="AI594:AL594"/>
    <mergeCell ref="AN594:AO594"/>
    <mergeCell ref="AQ594:AU594"/>
    <mergeCell ref="AW594:AX594"/>
    <mergeCell ref="AZ594:BD594"/>
    <mergeCell ref="BF594:BG594"/>
    <mergeCell ref="AE592:AS592"/>
    <mergeCell ref="AT592:AU592"/>
    <mergeCell ref="AV592:AW592"/>
    <mergeCell ref="AX592:BC592"/>
    <mergeCell ref="BE592:BF592"/>
    <mergeCell ref="BL592:BN592"/>
    <mergeCell ref="A604:H604"/>
    <mergeCell ref="AJ604:AP604"/>
    <mergeCell ref="H607:V607"/>
    <mergeCell ref="W607:X607"/>
    <mergeCell ref="Y607:Z607"/>
    <mergeCell ref="AA607:AB607"/>
    <mergeCell ref="AC607:AH607"/>
    <mergeCell ref="AI607:AJ607"/>
    <mergeCell ref="AK607:AP607"/>
    <mergeCell ref="BP600:BQ600"/>
    <mergeCell ref="BT600:CC600"/>
    <mergeCell ref="BT601:CC601"/>
    <mergeCell ref="A603:F603"/>
    <mergeCell ref="G603:I603"/>
    <mergeCell ref="J603:K603"/>
    <mergeCell ref="AS598:BB598"/>
    <mergeCell ref="BD598:BE598"/>
    <mergeCell ref="BG598:BK598"/>
    <mergeCell ref="BP598:BQ598"/>
    <mergeCell ref="BT598:CC598"/>
    <mergeCell ref="AS599:BB599"/>
    <mergeCell ref="BD599:BE599"/>
    <mergeCell ref="BG599:BK599"/>
    <mergeCell ref="BP599:BQ599"/>
    <mergeCell ref="BT599:CC599"/>
    <mergeCell ref="BF609:BG609"/>
    <mergeCell ref="BH609:BJ609"/>
    <mergeCell ref="BP609:BQ609"/>
    <mergeCell ref="BT609:CC609"/>
    <mergeCell ref="BP610:BQ610"/>
    <mergeCell ref="BT610:CC610"/>
    <mergeCell ref="BI607:BJ607"/>
    <mergeCell ref="BP607:BQ607"/>
    <mergeCell ref="BT607:CC607"/>
    <mergeCell ref="V609:AE609"/>
    <mergeCell ref="AF609:AG609"/>
    <mergeCell ref="AI609:AL609"/>
    <mergeCell ref="AN609:AO609"/>
    <mergeCell ref="AQ609:AU609"/>
    <mergeCell ref="AW609:AX609"/>
    <mergeCell ref="AZ609:BD609"/>
    <mergeCell ref="AQ607:AR607"/>
    <mergeCell ref="AS607:AT607"/>
    <mergeCell ref="AU607:AY607"/>
    <mergeCell ref="AZ607:BA607"/>
    <mergeCell ref="BB607:BF607"/>
    <mergeCell ref="BG607:BH607"/>
    <mergeCell ref="BT616:CC616"/>
    <mergeCell ref="A618:F618"/>
    <mergeCell ref="G618:I618"/>
    <mergeCell ref="J618:K618"/>
    <mergeCell ref="A619:H619"/>
    <mergeCell ref="AJ619:AP619"/>
    <mergeCell ref="AS614:BB614"/>
    <mergeCell ref="BD614:BE614"/>
    <mergeCell ref="BG614:BK614"/>
    <mergeCell ref="BP614:BQ614"/>
    <mergeCell ref="BT614:CC614"/>
    <mergeCell ref="BP615:BQ615"/>
    <mergeCell ref="BT615:CC615"/>
    <mergeCell ref="BP611:BQ611"/>
    <mergeCell ref="BT611:CC611"/>
    <mergeCell ref="AS613:BB613"/>
    <mergeCell ref="BD613:BE613"/>
    <mergeCell ref="BG613:BK613"/>
    <mergeCell ref="BP613:BQ613"/>
    <mergeCell ref="BT613:CC613"/>
    <mergeCell ref="AZ624:BD624"/>
    <mergeCell ref="BF624:BG624"/>
    <mergeCell ref="BH624:BJ624"/>
    <mergeCell ref="BP624:BQ624"/>
    <mergeCell ref="BT624:CC624"/>
    <mergeCell ref="BP625:BQ625"/>
    <mergeCell ref="BT625:CC625"/>
    <mergeCell ref="BG622:BH622"/>
    <mergeCell ref="BI622:BJ622"/>
    <mergeCell ref="BP622:BQ622"/>
    <mergeCell ref="BT622:CC622"/>
    <mergeCell ref="V624:AE624"/>
    <mergeCell ref="AF624:AG624"/>
    <mergeCell ref="AI624:AL624"/>
    <mergeCell ref="AN624:AO624"/>
    <mergeCell ref="AQ624:AU624"/>
    <mergeCell ref="AW624:AX624"/>
    <mergeCell ref="AK622:AP622"/>
    <mergeCell ref="AQ622:AR622"/>
    <mergeCell ref="AS622:AT622"/>
    <mergeCell ref="AU622:AY622"/>
    <mergeCell ref="AZ622:BA622"/>
    <mergeCell ref="BB622:BF622"/>
    <mergeCell ref="H622:V622"/>
    <mergeCell ref="W622:X622"/>
    <mergeCell ref="Y622:Z622"/>
    <mergeCell ref="AA622:AB622"/>
    <mergeCell ref="AC622:AH622"/>
    <mergeCell ref="AI622:AJ622"/>
    <mergeCell ref="BT631:CC631"/>
    <mergeCell ref="A633:F633"/>
    <mergeCell ref="G633:I633"/>
    <mergeCell ref="J633:K633"/>
    <mergeCell ref="A634:H634"/>
    <mergeCell ref="AJ634:AP634"/>
    <mergeCell ref="AS629:BB629"/>
    <mergeCell ref="BD629:BE629"/>
    <mergeCell ref="BG629:BK629"/>
    <mergeCell ref="BP629:BQ629"/>
    <mergeCell ref="BT629:CC629"/>
    <mergeCell ref="BP630:BQ630"/>
    <mergeCell ref="BT630:CC630"/>
    <mergeCell ref="BP626:BQ626"/>
    <mergeCell ref="BT626:CC626"/>
    <mergeCell ref="AS628:BB628"/>
    <mergeCell ref="BD628:BE628"/>
    <mergeCell ref="BG628:BK628"/>
    <mergeCell ref="BP628:BQ628"/>
    <mergeCell ref="BT628:CC628"/>
    <mergeCell ref="AZ639:BD639"/>
    <mergeCell ref="BF639:BG639"/>
    <mergeCell ref="BH639:BJ639"/>
    <mergeCell ref="BP639:BQ639"/>
    <mergeCell ref="BT639:CC639"/>
    <mergeCell ref="BP640:BQ640"/>
    <mergeCell ref="BT640:CC640"/>
    <mergeCell ref="BG637:BH637"/>
    <mergeCell ref="BI637:BJ637"/>
    <mergeCell ref="BP637:BQ637"/>
    <mergeCell ref="BT637:CC637"/>
    <mergeCell ref="V639:AE639"/>
    <mergeCell ref="AF639:AG639"/>
    <mergeCell ref="AI639:AL639"/>
    <mergeCell ref="AN639:AO639"/>
    <mergeCell ref="AQ639:AU639"/>
    <mergeCell ref="AW639:AX639"/>
    <mergeCell ref="AK637:AP637"/>
    <mergeCell ref="AQ637:AR637"/>
    <mergeCell ref="AS637:AT637"/>
    <mergeCell ref="AU637:AY637"/>
    <mergeCell ref="AZ637:BA637"/>
    <mergeCell ref="BB637:BF637"/>
    <mergeCell ref="H637:V637"/>
    <mergeCell ref="W637:X637"/>
    <mergeCell ref="Y637:Z637"/>
    <mergeCell ref="AA637:AB637"/>
    <mergeCell ref="AC637:AH637"/>
    <mergeCell ref="AI637:AJ637"/>
    <mergeCell ref="BT646:CC646"/>
    <mergeCell ref="A648:F648"/>
    <mergeCell ref="G648:I648"/>
    <mergeCell ref="J648:K648"/>
    <mergeCell ref="A649:H649"/>
    <mergeCell ref="AJ649:AP649"/>
    <mergeCell ref="AS644:BB644"/>
    <mergeCell ref="BD644:BE644"/>
    <mergeCell ref="BG644:BK644"/>
    <mergeCell ref="BP644:BQ644"/>
    <mergeCell ref="BT644:CC644"/>
    <mergeCell ref="BP645:BQ645"/>
    <mergeCell ref="BT645:CC645"/>
    <mergeCell ref="BP641:BQ641"/>
    <mergeCell ref="BT641:CC641"/>
    <mergeCell ref="AS643:BB643"/>
    <mergeCell ref="BD643:BE643"/>
    <mergeCell ref="BG643:BK643"/>
    <mergeCell ref="BP643:BQ643"/>
    <mergeCell ref="BT643:CC643"/>
    <mergeCell ref="AZ654:BD654"/>
    <mergeCell ref="BF654:BG654"/>
    <mergeCell ref="BH654:BJ654"/>
    <mergeCell ref="BP654:BQ654"/>
    <mergeCell ref="BT654:CC654"/>
    <mergeCell ref="BP655:BQ655"/>
    <mergeCell ref="BT655:CC655"/>
    <mergeCell ref="BG652:BH652"/>
    <mergeCell ref="BI652:BJ652"/>
    <mergeCell ref="BP652:BQ652"/>
    <mergeCell ref="BT652:CC652"/>
    <mergeCell ref="V654:AE654"/>
    <mergeCell ref="AF654:AG654"/>
    <mergeCell ref="AI654:AL654"/>
    <mergeCell ref="AN654:AO654"/>
    <mergeCell ref="AQ654:AU654"/>
    <mergeCell ref="AW654:AX654"/>
    <mergeCell ref="AK652:AP652"/>
    <mergeCell ref="AQ652:AR652"/>
    <mergeCell ref="AS652:AT652"/>
    <mergeCell ref="AU652:AY652"/>
    <mergeCell ref="AZ652:BA652"/>
    <mergeCell ref="BB652:BF652"/>
    <mergeCell ref="H652:V652"/>
    <mergeCell ref="W652:X652"/>
    <mergeCell ref="Y652:Z652"/>
    <mergeCell ref="AA652:AB652"/>
    <mergeCell ref="AC652:AH652"/>
    <mergeCell ref="AI652:AJ652"/>
    <mergeCell ref="BT661:CC661"/>
    <mergeCell ref="A663:F663"/>
    <mergeCell ref="G663:I663"/>
    <mergeCell ref="J663:K663"/>
    <mergeCell ref="A664:H664"/>
    <mergeCell ref="AJ664:AP664"/>
    <mergeCell ref="AS659:BB659"/>
    <mergeCell ref="BD659:BE659"/>
    <mergeCell ref="BG659:BK659"/>
    <mergeCell ref="BP659:BQ659"/>
    <mergeCell ref="BT659:CC659"/>
    <mergeCell ref="BP660:BQ660"/>
    <mergeCell ref="BT660:CC660"/>
    <mergeCell ref="BP656:BQ656"/>
    <mergeCell ref="BT656:CC656"/>
    <mergeCell ref="AS658:BB658"/>
    <mergeCell ref="BD658:BE658"/>
    <mergeCell ref="BG658:BK658"/>
    <mergeCell ref="BP658:BQ658"/>
    <mergeCell ref="BT658:CC658"/>
    <mergeCell ref="AZ669:BD669"/>
    <mergeCell ref="BF669:BG669"/>
    <mergeCell ref="BH669:BJ669"/>
    <mergeCell ref="BP669:BQ669"/>
    <mergeCell ref="BT669:CC669"/>
    <mergeCell ref="BP670:BQ670"/>
    <mergeCell ref="BT670:CC670"/>
    <mergeCell ref="BG667:BH667"/>
    <mergeCell ref="BI667:BJ667"/>
    <mergeCell ref="BP667:BQ667"/>
    <mergeCell ref="BT667:CC667"/>
    <mergeCell ref="V669:AE669"/>
    <mergeCell ref="AF669:AG669"/>
    <mergeCell ref="AI669:AL669"/>
    <mergeCell ref="AN669:AO669"/>
    <mergeCell ref="AQ669:AU669"/>
    <mergeCell ref="AW669:AX669"/>
    <mergeCell ref="AK667:AP667"/>
    <mergeCell ref="AQ667:AR667"/>
    <mergeCell ref="AS667:AT667"/>
    <mergeCell ref="AU667:AY667"/>
    <mergeCell ref="AZ667:BA667"/>
    <mergeCell ref="BB667:BF667"/>
    <mergeCell ref="H667:V667"/>
    <mergeCell ref="W667:X667"/>
    <mergeCell ref="Y667:Z667"/>
    <mergeCell ref="AA667:AB667"/>
    <mergeCell ref="AC667:AH667"/>
    <mergeCell ref="AI667:AJ667"/>
    <mergeCell ref="A678:F678"/>
    <mergeCell ref="G678:I678"/>
    <mergeCell ref="J678:K678"/>
    <mergeCell ref="A679:H679"/>
    <mergeCell ref="AJ679:AP679"/>
    <mergeCell ref="AS674:BB674"/>
    <mergeCell ref="BD674:BE674"/>
    <mergeCell ref="BG674:BK674"/>
    <mergeCell ref="BP674:BQ674"/>
    <mergeCell ref="BT674:CC674"/>
    <mergeCell ref="BP675:BQ675"/>
    <mergeCell ref="BT675:CC675"/>
    <mergeCell ref="BP671:BQ671"/>
    <mergeCell ref="BT671:CC671"/>
    <mergeCell ref="AS673:BB673"/>
    <mergeCell ref="BD673:BE673"/>
    <mergeCell ref="BG673:BK673"/>
    <mergeCell ref="BP673:BQ673"/>
    <mergeCell ref="BT673:CC673"/>
    <mergeCell ref="BP682:BQ682"/>
    <mergeCell ref="BT682:CC682"/>
    <mergeCell ref="V684:AE684"/>
    <mergeCell ref="AF684:AG684"/>
    <mergeCell ref="AI684:AL684"/>
    <mergeCell ref="AN684:AO684"/>
    <mergeCell ref="AQ684:AU684"/>
    <mergeCell ref="AW684:AX684"/>
    <mergeCell ref="AZ684:BD684"/>
    <mergeCell ref="BF684:BG684"/>
    <mergeCell ref="AE682:AS682"/>
    <mergeCell ref="AT682:AU682"/>
    <mergeCell ref="AV682:AW682"/>
    <mergeCell ref="AX682:BC682"/>
    <mergeCell ref="BE682:BF682"/>
    <mergeCell ref="BL682:BN682"/>
    <mergeCell ref="BT676:CC676"/>
    <mergeCell ref="A693:F693"/>
    <mergeCell ref="G693:I693"/>
    <mergeCell ref="J693:K693"/>
    <mergeCell ref="A694:H694"/>
    <mergeCell ref="AJ694:AP694"/>
    <mergeCell ref="BP688:BQ688"/>
    <mergeCell ref="BT688:CC688"/>
    <mergeCell ref="BP689:BQ689"/>
    <mergeCell ref="BT689:CC689"/>
    <mergeCell ref="BP690:BQ690"/>
    <mergeCell ref="BT690:CC690"/>
    <mergeCell ref="BH684:BJ684"/>
    <mergeCell ref="BP684:BQ684"/>
    <mergeCell ref="BT684:CC684"/>
    <mergeCell ref="BP685:BQ685"/>
    <mergeCell ref="BT685:CC685"/>
    <mergeCell ref="BP686:BQ686"/>
    <mergeCell ref="BT686:CC686"/>
    <mergeCell ref="BP697:BQ697"/>
    <mergeCell ref="BT697:CC697"/>
    <mergeCell ref="V699:AE699"/>
    <mergeCell ref="AF699:AG699"/>
    <mergeCell ref="AI699:AL699"/>
    <mergeCell ref="AN699:AO699"/>
    <mergeCell ref="AQ699:AU699"/>
    <mergeCell ref="AW699:AX699"/>
    <mergeCell ref="AZ699:BD699"/>
    <mergeCell ref="BF699:BG699"/>
    <mergeCell ref="AE697:AS697"/>
    <mergeCell ref="AT697:AU697"/>
    <mergeCell ref="AV697:AW697"/>
    <mergeCell ref="AX697:BC697"/>
    <mergeCell ref="BE697:BF697"/>
    <mergeCell ref="BL697:BN697"/>
    <mergeCell ref="BT691:CC691"/>
    <mergeCell ref="BT706:CC706"/>
    <mergeCell ref="A708:F708"/>
    <mergeCell ref="G708:I708"/>
    <mergeCell ref="J708:K708"/>
    <mergeCell ref="A709:H709"/>
    <mergeCell ref="AJ709:AP709"/>
    <mergeCell ref="BP703:BQ703"/>
    <mergeCell ref="BT703:CC703"/>
    <mergeCell ref="BP704:BQ704"/>
    <mergeCell ref="BT704:CC704"/>
    <mergeCell ref="BP705:BQ705"/>
    <mergeCell ref="BT705:CC705"/>
    <mergeCell ref="BH699:BJ699"/>
    <mergeCell ref="BP699:BQ699"/>
    <mergeCell ref="BT699:CC699"/>
    <mergeCell ref="BP700:BQ700"/>
    <mergeCell ref="BT700:CC700"/>
    <mergeCell ref="BP701:BQ701"/>
    <mergeCell ref="BT701:CC701"/>
    <mergeCell ref="BH714:BJ714"/>
    <mergeCell ref="BP714:BQ714"/>
    <mergeCell ref="BT714:CC714"/>
    <mergeCell ref="BP715:BQ715"/>
    <mergeCell ref="BT715:CC715"/>
    <mergeCell ref="BP716:BQ716"/>
    <mergeCell ref="BT716:CC716"/>
    <mergeCell ref="BP712:BQ712"/>
    <mergeCell ref="BT712:CC712"/>
    <mergeCell ref="V714:AE714"/>
    <mergeCell ref="AF714:AG714"/>
    <mergeCell ref="AI714:AL714"/>
    <mergeCell ref="AN714:AO714"/>
    <mergeCell ref="AQ714:AU714"/>
    <mergeCell ref="AW714:AX714"/>
    <mergeCell ref="AZ714:BD714"/>
    <mergeCell ref="BF714:BG714"/>
    <mergeCell ref="AE712:AS712"/>
    <mergeCell ref="AT712:AU712"/>
    <mergeCell ref="AV712:AW712"/>
    <mergeCell ref="AX712:BC712"/>
    <mergeCell ref="BE712:BF712"/>
    <mergeCell ref="BL712:BN712"/>
    <mergeCell ref="A724:H724"/>
    <mergeCell ref="AJ724:AP724"/>
    <mergeCell ref="S726:Z726"/>
    <mergeCell ref="AC726:AD726"/>
    <mergeCell ref="AE726:AL726"/>
    <mergeCell ref="AM726:AN726"/>
    <mergeCell ref="AP726:BC726"/>
    <mergeCell ref="BP720:BQ720"/>
    <mergeCell ref="BT720:CC720"/>
    <mergeCell ref="BT721:CC721"/>
    <mergeCell ref="A723:F723"/>
    <mergeCell ref="G723:I723"/>
    <mergeCell ref="J723:K723"/>
    <mergeCell ref="AS718:BB718"/>
    <mergeCell ref="BD718:BE718"/>
    <mergeCell ref="BG718:BK718"/>
    <mergeCell ref="BP718:BQ718"/>
    <mergeCell ref="BT718:CC718"/>
    <mergeCell ref="AS719:BB719"/>
    <mergeCell ref="BD719:BE719"/>
    <mergeCell ref="BG719:BK719"/>
    <mergeCell ref="BP719:BQ719"/>
    <mergeCell ref="BT719:CC719"/>
    <mergeCell ref="BH729:BJ729"/>
    <mergeCell ref="BP729:BQ729"/>
    <mergeCell ref="BT729:CC729"/>
    <mergeCell ref="BP730:BQ730"/>
    <mergeCell ref="BT730:CC730"/>
    <mergeCell ref="BP731:BQ731"/>
    <mergeCell ref="BT731:CC731"/>
    <mergeCell ref="BP727:BQ727"/>
    <mergeCell ref="BT727:CC727"/>
    <mergeCell ref="V729:AE729"/>
    <mergeCell ref="AF729:AG729"/>
    <mergeCell ref="AI729:AL729"/>
    <mergeCell ref="AN729:AO729"/>
    <mergeCell ref="AQ729:AU729"/>
    <mergeCell ref="AW729:AX729"/>
    <mergeCell ref="AZ729:BD729"/>
    <mergeCell ref="BF729:BG729"/>
    <mergeCell ref="AE727:AS727"/>
    <mergeCell ref="AT727:AU727"/>
    <mergeCell ref="AV727:AW727"/>
    <mergeCell ref="AX727:BC727"/>
    <mergeCell ref="BE727:BF727"/>
    <mergeCell ref="BL727:BN727"/>
    <mergeCell ref="A739:H739"/>
    <mergeCell ref="AJ739:AP739"/>
    <mergeCell ref="S741:Z741"/>
    <mergeCell ref="AC741:AD741"/>
    <mergeCell ref="AE741:AL741"/>
    <mergeCell ref="AM741:AN741"/>
    <mergeCell ref="AP741:BC741"/>
    <mergeCell ref="BP735:BQ735"/>
    <mergeCell ref="BT735:CC735"/>
    <mergeCell ref="BT736:CC736"/>
    <mergeCell ref="A738:F738"/>
    <mergeCell ref="G738:I738"/>
    <mergeCell ref="J738:K738"/>
    <mergeCell ref="AS733:BB733"/>
    <mergeCell ref="BD733:BE733"/>
    <mergeCell ref="BG733:BK733"/>
    <mergeCell ref="BP733:BQ733"/>
    <mergeCell ref="BT733:CC733"/>
    <mergeCell ref="AS734:BB734"/>
    <mergeCell ref="BD734:BE734"/>
    <mergeCell ref="BG734:BK734"/>
    <mergeCell ref="BP734:BQ734"/>
    <mergeCell ref="BT734:CC734"/>
    <mergeCell ref="BH744:BJ744"/>
    <mergeCell ref="BP744:BQ744"/>
    <mergeCell ref="BT744:CC744"/>
    <mergeCell ref="BP745:BQ745"/>
    <mergeCell ref="BT745:CC745"/>
    <mergeCell ref="BP746:BQ746"/>
    <mergeCell ref="BT746:CC746"/>
    <mergeCell ref="BP742:BQ742"/>
    <mergeCell ref="BT742:CC742"/>
    <mergeCell ref="V744:AE744"/>
    <mergeCell ref="AF744:AG744"/>
    <mergeCell ref="AI744:AL744"/>
    <mergeCell ref="AN744:AO744"/>
    <mergeCell ref="AQ744:AU744"/>
    <mergeCell ref="AW744:AX744"/>
    <mergeCell ref="AZ744:BD744"/>
    <mergeCell ref="BF744:BG744"/>
    <mergeCell ref="AE742:AS742"/>
    <mergeCell ref="AT742:AU742"/>
    <mergeCell ref="AV742:AW742"/>
    <mergeCell ref="AX742:BC742"/>
    <mergeCell ref="BE742:BF742"/>
    <mergeCell ref="BL742:BN742"/>
    <mergeCell ref="A754:H754"/>
    <mergeCell ref="AJ754:AP754"/>
    <mergeCell ref="S756:Z756"/>
    <mergeCell ref="AC756:AD756"/>
    <mergeCell ref="AE756:AL756"/>
    <mergeCell ref="AM756:AN756"/>
    <mergeCell ref="AP756:BC756"/>
    <mergeCell ref="BP750:BQ750"/>
    <mergeCell ref="BT750:CC750"/>
    <mergeCell ref="BT751:CC751"/>
    <mergeCell ref="A753:F753"/>
    <mergeCell ref="G753:I753"/>
    <mergeCell ref="J753:K753"/>
    <mergeCell ref="AS748:BB748"/>
    <mergeCell ref="BD748:BE748"/>
    <mergeCell ref="BG748:BK748"/>
    <mergeCell ref="BP748:BQ748"/>
    <mergeCell ref="BT748:CC748"/>
    <mergeCell ref="AS749:BB749"/>
    <mergeCell ref="BD749:BE749"/>
    <mergeCell ref="BG749:BK749"/>
    <mergeCell ref="BP749:BQ749"/>
    <mergeCell ref="BT749:CC749"/>
    <mergeCell ref="BH759:BJ759"/>
    <mergeCell ref="BP759:BQ759"/>
    <mergeCell ref="BT759:CC759"/>
    <mergeCell ref="BP760:BQ760"/>
    <mergeCell ref="BT760:CC760"/>
    <mergeCell ref="BP761:BQ761"/>
    <mergeCell ref="BT761:CC761"/>
    <mergeCell ref="BP757:BQ757"/>
    <mergeCell ref="BT757:CC757"/>
    <mergeCell ref="V759:AE759"/>
    <mergeCell ref="AF759:AG759"/>
    <mergeCell ref="AI759:AL759"/>
    <mergeCell ref="AN759:AO759"/>
    <mergeCell ref="AQ759:AU759"/>
    <mergeCell ref="AW759:AX759"/>
    <mergeCell ref="AZ759:BD759"/>
    <mergeCell ref="BF759:BG759"/>
    <mergeCell ref="AE757:AS757"/>
    <mergeCell ref="AT757:AU757"/>
    <mergeCell ref="AV757:AW757"/>
    <mergeCell ref="AX757:BC757"/>
    <mergeCell ref="BE757:BF757"/>
    <mergeCell ref="BL757:BN757"/>
    <mergeCell ref="A769:H769"/>
    <mergeCell ref="AJ769:AP769"/>
    <mergeCell ref="S771:Z771"/>
    <mergeCell ref="AC771:AD771"/>
    <mergeCell ref="AE771:AL771"/>
    <mergeCell ref="AM771:AN771"/>
    <mergeCell ref="AP771:BC771"/>
    <mergeCell ref="BP765:BQ765"/>
    <mergeCell ref="BT765:CC765"/>
    <mergeCell ref="BT766:CC766"/>
    <mergeCell ref="A768:F768"/>
    <mergeCell ref="G768:I768"/>
    <mergeCell ref="J768:K768"/>
    <mergeCell ref="AS763:BB763"/>
    <mergeCell ref="BD763:BE763"/>
    <mergeCell ref="BG763:BK763"/>
    <mergeCell ref="BP763:BQ763"/>
    <mergeCell ref="BT763:CC763"/>
    <mergeCell ref="AS764:BB764"/>
    <mergeCell ref="BD764:BE764"/>
    <mergeCell ref="BG764:BK764"/>
    <mergeCell ref="BP764:BQ764"/>
    <mergeCell ref="BT764:CC764"/>
    <mergeCell ref="BH774:BJ774"/>
    <mergeCell ref="BP774:BQ774"/>
    <mergeCell ref="BT774:CC774"/>
    <mergeCell ref="BP775:BQ775"/>
    <mergeCell ref="BT775:CC775"/>
    <mergeCell ref="BP776:BQ776"/>
    <mergeCell ref="BT776:CC776"/>
    <mergeCell ref="BP772:BQ772"/>
    <mergeCell ref="BT772:CC772"/>
    <mergeCell ref="V774:AE774"/>
    <mergeCell ref="AF774:AG774"/>
    <mergeCell ref="AI774:AL774"/>
    <mergeCell ref="AN774:AO774"/>
    <mergeCell ref="AQ774:AU774"/>
    <mergeCell ref="AW774:AX774"/>
    <mergeCell ref="AZ774:BD774"/>
    <mergeCell ref="BF774:BG774"/>
    <mergeCell ref="AE772:AS772"/>
    <mergeCell ref="AT772:AU772"/>
    <mergeCell ref="AV772:AW772"/>
    <mergeCell ref="AX772:BC772"/>
    <mergeCell ref="BE772:BF772"/>
    <mergeCell ref="BL772:BN772"/>
    <mergeCell ref="A784:H784"/>
    <mergeCell ref="AJ784:AP784"/>
    <mergeCell ref="AE787:AS787"/>
    <mergeCell ref="AT787:AU787"/>
    <mergeCell ref="AV787:AW787"/>
    <mergeCell ref="AX787:BC787"/>
    <mergeCell ref="BP780:BQ780"/>
    <mergeCell ref="BT780:CC780"/>
    <mergeCell ref="BT781:CC781"/>
    <mergeCell ref="A783:F783"/>
    <mergeCell ref="G783:I783"/>
    <mergeCell ref="J783:K783"/>
    <mergeCell ref="AS778:BB778"/>
    <mergeCell ref="BD778:BE778"/>
    <mergeCell ref="BG778:BK778"/>
    <mergeCell ref="BP778:BQ778"/>
    <mergeCell ref="BT778:CC778"/>
    <mergeCell ref="AS779:BB779"/>
    <mergeCell ref="BD779:BE779"/>
    <mergeCell ref="BG779:BK779"/>
    <mergeCell ref="BP779:BQ779"/>
    <mergeCell ref="BT779:CC779"/>
    <mergeCell ref="AZ789:BD789"/>
    <mergeCell ref="BF789:BG789"/>
    <mergeCell ref="BH789:BJ789"/>
    <mergeCell ref="BP789:BQ789"/>
    <mergeCell ref="BT789:CC789"/>
    <mergeCell ref="BP790:BQ790"/>
    <mergeCell ref="BT790:CC790"/>
    <mergeCell ref="BE787:BF787"/>
    <mergeCell ref="BL787:BN787"/>
    <mergeCell ref="BP787:BQ787"/>
    <mergeCell ref="BT787:CC787"/>
    <mergeCell ref="V789:AE789"/>
    <mergeCell ref="AF789:AG789"/>
    <mergeCell ref="AI789:AL789"/>
    <mergeCell ref="AN789:AO789"/>
    <mergeCell ref="AQ789:AU789"/>
    <mergeCell ref="AW789:AX789"/>
    <mergeCell ref="A798:F798"/>
    <mergeCell ref="G798:I798"/>
    <mergeCell ref="J798:K798"/>
    <mergeCell ref="A799:H799"/>
    <mergeCell ref="AJ799:AP799"/>
    <mergeCell ref="AS794:BB794"/>
    <mergeCell ref="BD794:BE794"/>
    <mergeCell ref="BG794:BK794"/>
    <mergeCell ref="BP794:BQ794"/>
    <mergeCell ref="BT794:CC794"/>
    <mergeCell ref="BP795:BQ795"/>
    <mergeCell ref="BT795:CC795"/>
    <mergeCell ref="BP791:BQ791"/>
    <mergeCell ref="BT791:CC791"/>
    <mergeCell ref="AS793:BB793"/>
    <mergeCell ref="BD793:BE793"/>
    <mergeCell ref="BG793:BK793"/>
    <mergeCell ref="BP793:BQ793"/>
    <mergeCell ref="BT793:CC793"/>
    <mergeCell ref="BP802:BQ802"/>
    <mergeCell ref="BT802:CC802"/>
    <mergeCell ref="V804:AE804"/>
    <mergeCell ref="AF804:AG804"/>
    <mergeCell ref="AI804:AL804"/>
    <mergeCell ref="AN804:AO804"/>
    <mergeCell ref="AQ804:AU804"/>
    <mergeCell ref="AW804:AX804"/>
    <mergeCell ref="AZ804:BD804"/>
    <mergeCell ref="BF804:BG804"/>
    <mergeCell ref="AE802:AS802"/>
    <mergeCell ref="AT802:AU802"/>
    <mergeCell ref="AV802:AW802"/>
    <mergeCell ref="AX802:BC802"/>
    <mergeCell ref="BE802:BF802"/>
    <mergeCell ref="BL802:BN802"/>
    <mergeCell ref="BT796:CC796"/>
    <mergeCell ref="BP810:BQ810"/>
    <mergeCell ref="BT810:CC810"/>
    <mergeCell ref="BT811:CC811"/>
    <mergeCell ref="A813:F813"/>
    <mergeCell ref="G813:I813"/>
    <mergeCell ref="J813:K813"/>
    <mergeCell ref="AS808:BB808"/>
    <mergeCell ref="BD808:BE808"/>
    <mergeCell ref="BG808:BK808"/>
    <mergeCell ref="BP808:BQ808"/>
    <mergeCell ref="BT808:CC808"/>
    <mergeCell ref="AS809:BB809"/>
    <mergeCell ref="BD809:BE809"/>
    <mergeCell ref="BG809:BK809"/>
    <mergeCell ref="BP809:BQ809"/>
    <mergeCell ref="BT809:CC809"/>
    <mergeCell ref="BH804:BJ804"/>
    <mergeCell ref="BP804:BQ804"/>
    <mergeCell ref="BT804:CC804"/>
    <mergeCell ref="BP805:BQ805"/>
    <mergeCell ref="BT805:CC805"/>
    <mergeCell ref="BP806:BQ806"/>
    <mergeCell ref="BT806:CC806"/>
    <mergeCell ref="BP817:BQ817"/>
    <mergeCell ref="BT817:CC817"/>
    <mergeCell ref="V819:AE819"/>
    <mergeCell ref="AF819:AG819"/>
    <mergeCell ref="AI819:AL819"/>
    <mergeCell ref="AN819:AO819"/>
    <mergeCell ref="AQ819:AU819"/>
    <mergeCell ref="AW819:AX819"/>
    <mergeCell ref="AZ819:BD819"/>
    <mergeCell ref="BF819:BG819"/>
    <mergeCell ref="AE817:AS817"/>
    <mergeCell ref="AT817:AU817"/>
    <mergeCell ref="AV817:AW817"/>
    <mergeCell ref="AX817:BC817"/>
    <mergeCell ref="BE817:BF817"/>
    <mergeCell ref="BL817:BN817"/>
    <mergeCell ref="A814:H814"/>
    <mergeCell ref="AJ814:AP814"/>
    <mergeCell ref="S816:Z816"/>
    <mergeCell ref="AC816:AD816"/>
    <mergeCell ref="AE816:AL816"/>
    <mergeCell ref="AM816:AN816"/>
    <mergeCell ref="AP816:BC816"/>
    <mergeCell ref="BP825:BQ825"/>
    <mergeCell ref="BT825:CC825"/>
    <mergeCell ref="BT826:CC826"/>
    <mergeCell ref="A828:F828"/>
    <mergeCell ref="G828:I828"/>
    <mergeCell ref="J828:K828"/>
    <mergeCell ref="AS823:BB823"/>
    <mergeCell ref="BD823:BE823"/>
    <mergeCell ref="BG823:BK823"/>
    <mergeCell ref="BP823:BQ823"/>
    <mergeCell ref="BT823:CC823"/>
    <mergeCell ref="AS824:BB824"/>
    <mergeCell ref="BD824:BE824"/>
    <mergeCell ref="BG824:BK824"/>
    <mergeCell ref="BP824:BQ824"/>
    <mergeCell ref="BT824:CC824"/>
    <mergeCell ref="BH819:BJ819"/>
    <mergeCell ref="BP819:BQ819"/>
    <mergeCell ref="BT819:CC819"/>
    <mergeCell ref="BP820:BQ820"/>
    <mergeCell ref="BT820:CC820"/>
    <mergeCell ref="BP821:BQ821"/>
    <mergeCell ref="BT821:CC821"/>
    <mergeCell ref="BP832:BQ832"/>
    <mergeCell ref="BT832:CC832"/>
    <mergeCell ref="V834:AE834"/>
    <mergeCell ref="AF834:AG834"/>
    <mergeCell ref="AI834:AL834"/>
    <mergeCell ref="AN834:AO834"/>
    <mergeCell ref="AQ834:AU834"/>
    <mergeCell ref="AW834:AX834"/>
    <mergeCell ref="AZ834:BD834"/>
    <mergeCell ref="BF834:BG834"/>
    <mergeCell ref="AE832:AS832"/>
    <mergeCell ref="AT832:AU832"/>
    <mergeCell ref="AV832:AW832"/>
    <mergeCell ref="AX832:BC832"/>
    <mergeCell ref="BE832:BF832"/>
    <mergeCell ref="BL832:BN832"/>
    <mergeCell ref="A829:H829"/>
    <mergeCell ref="AJ829:AP829"/>
    <mergeCell ref="S831:Z831"/>
    <mergeCell ref="AC831:AD831"/>
    <mergeCell ref="AE831:AL831"/>
    <mergeCell ref="AM831:AN831"/>
    <mergeCell ref="AP831:BC831"/>
    <mergeCell ref="BP840:BQ840"/>
    <mergeCell ref="BT840:CC840"/>
    <mergeCell ref="BT841:CC841"/>
    <mergeCell ref="A843:F843"/>
    <mergeCell ref="G843:I843"/>
    <mergeCell ref="J843:K843"/>
    <mergeCell ref="AS838:BB838"/>
    <mergeCell ref="BD838:BE838"/>
    <mergeCell ref="BG838:BK838"/>
    <mergeCell ref="BP838:BQ838"/>
    <mergeCell ref="BT838:CC838"/>
    <mergeCell ref="AS839:BB839"/>
    <mergeCell ref="BD839:BE839"/>
    <mergeCell ref="BG839:BK839"/>
    <mergeCell ref="BP839:BQ839"/>
    <mergeCell ref="BT839:CC839"/>
    <mergeCell ref="BH834:BJ834"/>
    <mergeCell ref="BP834:BQ834"/>
    <mergeCell ref="BT834:CC834"/>
    <mergeCell ref="BP835:BQ835"/>
    <mergeCell ref="BT835:CC835"/>
    <mergeCell ref="BP836:BQ836"/>
    <mergeCell ref="BT836:CC836"/>
    <mergeCell ref="BP847:BQ847"/>
    <mergeCell ref="BT847:CC847"/>
    <mergeCell ref="V849:AE849"/>
    <mergeCell ref="AF849:AG849"/>
    <mergeCell ref="AI849:AL849"/>
    <mergeCell ref="AN849:AO849"/>
    <mergeCell ref="AQ849:AU849"/>
    <mergeCell ref="AW849:AX849"/>
    <mergeCell ref="AZ849:BD849"/>
    <mergeCell ref="BF849:BG849"/>
    <mergeCell ref="AE847:AS847"/>
    <mergeCell ref="AT847:AU847"/>
    <mergeCell ref="AV847:AW847"/>
    <mergeCell ref="AX847:BC847"/>
    <mergeCell ref="BE847:BF847"/>
    <mergeCell ref="BL847:BN847"/>
    <mergeCell ref="A844:H844"/>
    <mergeCell ref="AJ844:AP844"/>
    <mergeCell ref="S846:Z846"/>
    <mergeCell ref="AC846:AD846"/>
    <mergeCell ref="AE846:AL846"/>
    <mergeCell ref="AM846:AN846"/>
    <mergeCell ref="AP846:BC846"/>
    <mergeCell ref="BP855:BQ855"/>
    <mergeCell ref="BT855:CC855"/>
    <mergeCell ref="BT856:CC856"/>
    <mergeCell ref="A858:F858"/>
    <mergeCell ref="G858:I858"/>
    <mergeCell ref="J858:K858"/>
    <mergeCell ref="AS853:BB853"/>
    <mergeCell ref="BD853:BE853"/>
    <mergeCell ref="BG853:BK853"/>
    <mergeCell ref="BP853:BQ853"/>
    <mergeCell ref="BT853:CC853"/>
    <mergeCell ref="AS854:BB854"/>
    <mergeCell ref="BD854:BE854"/>
    <mergeCell ref="BG854:BK854"/>
    <mergeCell ref="BP854:BQ854"/>
    <mergeCell ref="BT854:CC854"/>
    <mergeCell ref="BH849:BJ849"/>
    <mergeCell ref="BP849:BQ849"/>
    <mergeCell ref="BT849:CC849"/>
    <mergeCell ref="BP850:BQ850"/>
    <mergeCell ref="BT850:CC850"/>
    <mergeCell ref="BP851:BQ851"/>
    <mergeCell ref="BT851:CC851"/>
    <mergeCell ref="BP862:BQ862"/>
    <mergeCell ref="BT862:CC862"/>
    <mergeCell ref="V864:AE864"/>
    <mergeCell ref="AF864:AG864"/>
    <mergeCell ref="AI864:AL864"/>
    <mergeCell ref="AN864:AO864"/>
    <mergeCell ref="AQ864:AU864"/>
    <mergeCell ref="AW864:AX864"/>
    <mergeCell ref="AZ864:BD864"/>
    <mergeCell ref="BF864:BG864"/>
    <mergeCell ref="AE862:AS862"/>
    <mergeCell ref="AT862:AU862"/>
    <mergeCell ref="AV862:AW862"/>
    <mergeCell ref="AX862:BC862"/>
    <mergeCell ref="BE862:BF862"/>
    <mergeCell ref="BL862:BN862"/>
    <mergeCell ref="A859:H859"/>
    <mergeCell ref="AJ859:AP859"/>
    <mergeCell ref="S861:Z861"/>
    <mergeCell ref="AC861:AD861"/>
    <mergeCell ref="AE861:AL861"/>
    <mergeCell ref="AM861:AN861"/>
    <mergeCell ref="AP861:BC861"/>
    <mergeCell ref="AS868:BB868"/>
    <mergeCell ref="BD868:BE868"/>
    <mergeCell ref="BG868:BK868"/>
    <mergeCell ref="BP868:BQ868"/>
    <mergeCell ref="BT868:CC868"/>
    <mergeCell ref="AS869:BB869"/>
    <mergeCell ref="BD869:BE869"/>
    <mergeCell ref="BG869:BK869"/>
    <mergeCell ref="BP869:BQ869"/>
    <mergeCell ref="BT869:CC869"/>
    <mergeCell ref="BH864:BJ864"/>
    <mergeCell ref="BP864:BQ864"/>
    <mergeCell ref="BT864:CC864"/>
    <mergeCell ref="BP865:BQ865"/>
    <mergeCell ref="BT865:CC865"/>
    <mergeCell ref="BP866:BQ866"/>
    <mergeCell ref="BT866:CC866"/>
    <mergeCell ref="V879:AE879"/>
    <mergeCell ref="AF879:AG879"/>
    <mergeCell ref="AI879:AL879"/>
    <mergeCell ref="AN879:AO879"/>
    <mergeCell ref="AQ879:AU879"/>
    <mergeCell ref="AW879:AX879"/>
    <mergeCell ref="A874:H874"/>
    <mergeCell ref="AJ874:AP874"/>
    <mergeCell ref="AE877:AS877"/>
    <mergeCell ref="AT877:AU877"/>
    <mergeCell ref="AV877:AW877"/>
    <mergeCell ref="AX877:BC877"/>
    <mergeCell ref="BP870:BQ870"/>
    <mergeCell ref="BT870:CC870"/>
    <mergeCell ref="BT871:CC871"/>
    <mergeCell ref="A873:F873"/>
    <mergeCell ref="G873:I873"/>
    <mergeCell ref="J873:K873"/>
    <mergeCell ref="BP881:BQ881"/>
    <mergeCell ref="BT881:CC881"/>
    <mergeCell ref="AS883:BB883"/>
    <mergeCell ref="BD883:BE883"/>
    <mergeCell ref="BG883:BK883"/>
    <mergeCell ref="BP883:BQ883"/>
    <mergeCell ref="BT883:CC883"/>
    <mergeCell ref="AZ879:BD879"/>
    <mergeCell ref="BF879:BG879"/>
    <mergeCell ref="BH879:BJ879"/>
    <mergeCell ref="BP879:BQ879"/>
    <mergeCell ref="BT879:CC879"/>
    <mergeCell ref="BP880:BQ880"/>
    <mergeCell ref="BT880:CC880"/>
    <mergeCell ref="BE877:BF877"/>
    <mergeCell ref="BL877:BN877"/>
    <mergeCell ref="BP877:BQ877"/>
    <mergeCell ref="BT877:CC877"/>
    <mergeCell ref="S891:Z891"/>
    <mergeCell ref="AC891:AD891"/>
    <mergeCell ref="AE891:AL891"/>
    <mergeCell ref="AM891:AN891"/>
    <mergeCell ref="AP891:BC891"/>
    <mergeCell ref="AE892:AS892"/>
    <mergeCell ref="AT892:AU892"/>
    <mergeCell ref="AV892:AW892"/>
    <mergeCell ref="AX892:BC892"/>
    <mergeCell ref="BT886:CC886"/>
    <mergeCell ref="A888:F888"/>
    <mergeCell ref="G888:I888"/>
    <mergeCell ref="J888:K888"/>
    <mergeCell ref="A889:H889"/>
    <mergeCell ref="AJ889:AP889"/>
    <mergeCell ref="AS884:BB884"/>
    <mergeCell ref="BD884:BE884"/>
    <mergeCell ref="BG884:BK884"/>
    <mergeCell ref="BP884:BQ884"/>
    <mergeCell ref="BT884:CC884"/>
    <mergeCell ref="BP885:BQ885"/>
    <mergeCell ref="BT885:CC885"/>
    <mergeCell ref="AZ894:BD894"/>
    <mergeCell ref="BF894:BG894"/>
    <mergeCell ref="BH894:BJ894"/>
    <mergeCell ref="BP894:BQ894"/>
    <mergeCell ref="BT894:CC894"/>
    <mergeCell ref="BP895:BQ895"/>
    <mergeCell ref="BT895:CC895"/>
    <mergeCell ref="BE892:BF892"/>
    <mergeCell ref="BL892:BN892"/>
    <mergeCell ref="BP892:BQ892"/>
    <mergeCell ref="BT892:CC892"/>
    <mergeCell ref="V894:AE894"/>
    <mergeCell ref="AF894:AG894"/>
    <mergeCell ref="AI894:AL894"/>
    <mergeCell ref="AN894:AO894"/>
    <mergeCell ref="AQ894:AU894"/>
    <mergeCell ref="AW894:AX894"/>
    <mergeCell ref="BT901:CC901"/>
    <mergeCell ref="A903:F903"/>
    <mergeCell ref="G903:I903"/>
    <mergeCell ref="J903:K903"/>
    <mergeCell ref="A904:H904"/>
    <mergeCell ref="AJ904:AP904"/>
    <mergeCell ref="AS899:BB899"/>
    <mergeCell ref="BD899:BE899"/>
    <mergeCell ref="BG899:BK899"/>
    <mergeCell ref="BP899:BQ899"/>
    <mergeCell ref="BT899:CC899"/>
    <mergeCell ref="BP900:BQ900"/>
    <mergeCell ref="BT900:CC900"/>
    <mergeCell ref="BP896:BQ896"/>
    <mergeCell ref="BT896:CC896"/>
    <mergeCell ref="AS898:BB898"/>
    <mergeCell ref="BD898:BE898"/>
    <mergeCell ref="BG898:BK898"/>
    <mergeCell ref="BP898:BQ898"/>
    <mergeCell ref="BT898:CC898"/>
    <mergeCell ref="BH909:BJ909"/>
    <mergeCell ref="BP909:BQ909"/>
    <mergeCell ref="BT909:CC909"/>
    <mergeCell ref="BP910:BQ910"/>
    <mergeCell ref="BT910:CC910"/>
    <mergeCell ref="BP911:BQ911"/>
    <mergeCell ref="BT911:CC911"/>
    <mergeCell ref="BP907:BQ907"/>
    <mergeCell ref="BT907:CC907"/>
    <mergeCell ref="V909:AE909"/>
    <mergeCell ref="AF909:AG909"/>
    <mergeCell ref="AI909:AL909"/>
    <mergeCell ref="AN909:AO909"/>
    <mergeCell ref="AQ909:AU909"/>
    <mergeCell ref="AW909:AX909"/>
    <mergeCell ref="AZ909:BD909"/>
    <mergeCell ref="BF909:BG909"/>
    <mergeCell ref="AE907:AS907"/>
    <mergeCell ref="AT907:AU907"/>
    <mergeCell ref="AV907:AW907"/>
    <mergeCell ref="AX907:BC907"/>
    <mergeCell ref="BE907:BF907"/>
    <mergeCell ref="BL907:BN907"/>
    <mergeCell ref="A919:H919"/>
    <mergeCell ref="AJ919:AP919"/>
    <mergeCell ref="AE922:AS922"/>
    <mergeCell ref="AT922:AU922"/>
    <mergeCell ref="AV922:AW922"/>
    <mergeCell ref="AX922:BC922"/>
    <mergeCell ref="BP915:BQ915"/>
    <mergeCell ref="BT915:CC915"/>
    <mergeCell ref="BT916:CC916"/>
    <mergeCell ref="A918:F918"/>
    <mergeCell ref="G918:I918"/>
    <mergeCell ref="J918:K918"/>
    <mergeCell ref="AS913:BB913"/>
    <mergeCell ref="BD913:BE913"/>
    <mergeCell ref="BG913:BK913"/>
    <mergeCell ref="BP913:BQ913"/>
    <mergeCell ref="BT913:CC913"/>
    <mergeCell ref="AS914:BB914"/>
    <mergeCell ref="BD914:BE914"/>
    <mergeCell ref="BG914:BK914"/>
    <mergeCell ref="BP914:BQ914"/>
    <mergeCell ref="BT914:CC914"/>
    <mergeCell ref="AZ924:BD924"/>
    <mergeCell ref="BF924:BG924"/>
    <mergeCell ref="BH924:BJ924"/>
    <mergeCell ref="BP924:BQ924"/>
    <mergeCell ref="BT924:CC924"/>
    <mergeCell ref="BP925:BQ925"/>
    <mergeCell ref="BT925:CC925"/>
    <mergeCell ref="BE922:BF922"/>
    <mergeCell ref="BL922:BN922"/>
    <mergeCell ref="BP922:BQ922"/>
    <mergeCell ref="BT922:CC922"/>
    <mergeCell ref="V924:AE924"/>
    <mergeCell ref="AF924:AG924"/>
    <mergeCell ref="AI924:AL924"/>
    <mergeCell ref="AN924:AO924"/>
    <mergeCell ref="AQ924:AU924"/>
    <mergeCell ref="AW924:AX924"/>
    <mergeCell ref="BT931:CC931"/>
    <mergeCell ref="A933:F933"/>
    <mergeCell ref="G933:I933"/>
    <mergeCell ref="J933:K933"/>
    <mergeCell ref="A934:H934"/>
    <mergeCell ref="AJ934:AP934"/>
    <mergeCell ref="AS929:BB929"/>
    <mergeCell ref="BD929:BE929"/>
    <mergeCell ref="BG929:BK929"/>
    <mergeCell ref="BP929:BQ929"/>
    <mergeCell ref="BT929:CC929"/>
    <mergeCell ref="BP930:BQ930"/>
    <mergeCell ref="BT930:CC930"/>
    <mergeCell ref="BP926:BQ926"/>
    <mergeCell ref="BT926:CC926"/>
    <mergeCell ref="AS928:BB928"/>
    <mergeCell ref="BD928:BE928"/>
    <mergeCell ref="BG928:BK928"/>
    <mergeCell ref="BP928:BQ928"/>
    <mergeCell ref="BT928:CC928"/>
    <mergeCell ref="BH939:BJ939"/>
    <mergeCell ref="BP939:BQ939"/>
    <mergeCell ref="BT939:CC939"/>
    <mergeCell ref="BP940:BQ940"/>
    <mergeCell ref="BT940:CC940"/>
    <mergeCell ref="BP941:BQ941"/>
    <mergeCell ref="BT941:CC941"/>
    <mergeCell ref="BP937:BQ937"/>
    <mergeCell ref="BT937:CC937"/>
    <mergeCell ref="V939:AE939"/>
    <mergeCell ref="AF939:AG939"/>
    <mergeCell ref="AI939:AL939"/>
    <mergeCell ref="AN939:AO939"/>
    <mergeCell ref="AQ939:AU939"/>
    <mergeCell ref="AW939:AX939"/>
    <mergeCell ref="AZ939:BD939"/>
    <mergeCell ref="BF939:BG939"/>
    <mergeCell ref="AE937:AS937"/>
    <mergeCell ref="AT937:AU937"/>
    <mergeCell ref="AV937:AW937"/>
    <mergeCell ref="AX937:BC937"/>
    <mergeCell ref="BE937:BF937"/>
    <mergeCell ref="BL937:BN937"/>
    <mergeCell ref="A949:H949"/>
    <mergeCell ref="AJ949:AP949"/>
    <mergeCell ref="AE952:AS952"/>
    <mergeCell ref="AT952:AU952"/>
    <mergeCell ref="AV952:AW952"/>
    <mergeCell ref="AX952:BC952"/>
    <mergeCell ref="BP945:BQ945"/>
    <mergeCell ref="BT945:CC945"/>
    <mergeCell ref="BT946:CC946"/>
    <mergeCell ref="A948:F948"/>
    <mergeCell ref="G948:I948"/>
    <mergeCell ref="J948:K948"/>
    <mergeCell ref="AS943:BB943"/>
    <mergeCell ref="BD943:BE943"/>
    <mergeCell ref="BG943:BK943"/>
    <mergeCell ref="BP943:BQ943"/>
    <mergeCell ref="BT943:CC943"/>
    <mergeCell ref="AS944:BB944"/>
    <mergeCell ref="BD944:BE944"/>
    <mergeCell ref="BG944:BK944"/>
    <mergeCell ref="BP944:BQ944"/>
    <mergeCell ref="BT944:CC944"/>
    <mergeCell ref="AZ954:BD954"/>
    <mergeCell ref="BF954:BG954"/>
    <mergeCell ref="BH954:BJ954"/>
    <mergeCell ref="BP954:BQ954"/>
    <mergeCell ref="BT954:CC954"/>
    <mergeCell ref="BP955:BQ955"/>
    <mergeCell ref="BT955:CC955"/>
    <mergeCell ref="BE952:BF952"/>
    <mergeCell ref="BL952:BN952"/>
    <mergeCell ref="BP952:BQ952"/>
    <mergeCell ref="BT952:CC952"/>
    <mergeCell ref="V954:AE954"/>
    <mergeCell ref="AF954:AG954"/>
    <mergeCell ref="AI954:AL954"/>
    <mergeCell ref="AN954:AO954"/>
    <mergeCell ref="AQ954:AU954"/>
    <mergeCell ref="AW954:AX954"/>
    <mergeCell ref="BT961:CC961"/>
    <mergeCell ref="A963:F963"/>
    <mergeCell ref="G963:I963"/>
    <mergeCell ref="J963:K963"/>
    <mergeCell ref="A964:H964"/>
    <mergeCell ref="AJ964:AP964"/>
    <mergeCell ref="AS959:BB959"/>
    <mergeCell ref="BD959:BE959"/>
    <mergeCell ref="BG959:BK959"/>
    <mergeCell ref="BP959:BQ959"/>
    <mergeCell ref="BT959:CC959"/>
    <mergeCell ref="BP960:BQ960"/>
    <mergeCell ref="BT960:CC960"/>
    <mergeCell ref="BP956:BQ956"/>
    <mergeCell ref="BT956:CC956"/>
    <mergeCell ref="AS958:BB958"/>
    <mergeCell ref="BD958:BE958"/>
    <mergeCell ref="BG958:BK958"/>
    <mergeCell ref="BP958:BQ958"/>
    <mergeCell ref="BT958:CC958"/>
    <mergeCell ref="BH969:BJ969"/>
    <mergeCell ref="BP969:BQ969"/>
    <mergeCell ref="BT969:CC969"/>
    <mergeCell ref="BP970:BQ970"/>
    <mergeCell ref="BT970:CC970"/>
    <mergeCell ref="BP971:BQ971"/>
    <mergeCell ref="BT971:CC971"/>
    <mergeCell ref="BP967:BQ967"/>
    <mergeCell ref="BT967:CC967"/>
    <mergeCell ref="V969:AE969"/>
    <mergeCell ref="AF969:AG969"/>
    <mergeCell ref="AI969:AL969"/>
    <mergeCell ref="AN969:AO969"/>
    <mergeCell ref="AQ969:AU969"/>
    <mergeCell ref="AW969:AX969"/>
    <mergeCell ref="AZ969:BD969"/>
    <mergeCell ref="BF969:BG969"/>
    <mergeCell ref="AE967:AS967"/>
    <mergeCell ref="AT967:AU967"/>
    <mergeCell ref="AV967:AW967"/>
    <mergeCell ref="AX967:BC967"/>
    <mergeCell ref="BE967:BF967"/>
    <mergeCell ref="BL967:BN967"/>
    <mergeCell ref="A979:H979"/>
    <mergeCell ref="AJ979:AP979"/>
    <mergeCell ref="AE982:AS982"/>
    <mergeCell ref="AT982:AU982"/>
    <mergeCell ref="AV982:AW982"/>
    <mergeCell ref="AX982:BC982"/>
    <mergeCell ref="BP975:BQ975"/>
    <mergeCell ref="BT975:CC975"/>
    <mergeCell ref="BT976:CC976"/>
    <mergeCell ref="A978:F978"/>
    <mergeCell ref="G978:I978"/>
    <mergeCell ref="J978:K978"/>
    <mergeCell ref="AS973:BB973"/>
    <mergeCell ref="BD973:BE973"/>
    <mergeCell ref="BG973:BK973"/>
    <mergeCell ref="BP973:BQ973"/>
    <mergeCell ref="BT973:CC973"/>
    <mergeCell ref="AS974:BB974"/>
    <mergeCell ref="BD974:BE974"/>
    <mergeCell ref="BG974:BK974"/>
    <mergeCell ref="BP974:BQ974"/>
    <mergeCell ref="BT974:CC974"/>
    <mergeCell ref="AZ984:BD984"/>
    <mergeCell ref="BF984:BG984"/>
    <mergeCell ref="BH984:BJ984"/>
    <mergeCell ref="BP984:BQ984"/>
    <mergeCell ref="BT984:CC984"/>
    <mergeCell ref="BP985:BQ985"/>
    <mergeCell ref="BT985:CC985"/>
    <mergeCell ref="BE982:BF982"/>
    <mergeCell ref="BL982:BN982"/>
    <mergeCell ref="BP982:BQ982"/>
    <mergeCell ref="BT982:CC982"/>
    <mergeCell ref="V984:AE984"/>
    <mergeCell ref="AF984:AG984"/>
    <mergeCell ref="AI984:AL984"/>
    <mergeCell ref="AN984:AO984"/>
    <mergeCell ref="AQ984:AU984"/>
    <mergeCell ref="AW984:AX984"/>
    <mergeCell ref="BT991:CC991"/>
    <mergeCell ref="A993:F993"/>
    <mergeCell ref="G993:I993"/>
    <mergeCell ref="J993:K993"/>
    <mergeCell ref="A994:H994"/>
    <mergeCell ref="AJ994:AP994"/>
    <mergeCell ref="AS989:BB989"/>
    <mergeCell ref="BD989:BE989"/>
    <mergeCell ref="BG989:BK989"/>
    <mergeCell ref="BP989:BQ989"/>
    <mergeCell ref="BT989:CC989"/>
    <mergeCell ref="BP990:BQ990"/>
    <mergeCell ref="BT990:CC990"/>
    <mergeCell ref="BP986:BQ986"/>
    <mergeCell ref="BT986:CC986"/>
    <mergeCell ref="AS988:BB988"/>
    <mergeCell ref="BD988:BE988"/>
    <mergeCell ref="BG988:BK988"/>
    <mergeCell ref="BP988:BQ988"/>
    <mergeCell ref="BT988:CC988"/>
    <mergeCell ref="BH999:BJ999"/>
    <mergeCell ref="BP999:BQ999"/>
    <mergeCell ref="BT999:CC999"/>
    <mergeCell ref="BP1000:BQ1000"/>
    <mergeCell ref="BT1000:CC1000"/>
    <mergeCell ref="BP1001:BQ1001"/>
    <mergeCell ref="BT1001:CC1001"/>
    <mergeCell ref="BP997:BQ997"/>
    <mergeCell ref="BT997:CC997"/>
    <mergeCell ref="V999:AE999"/>
    <mergeCell ref="AF999:AG999"/>
    <mergeCell ref="AI999:AL999"/>
    <mergeCell ref="AN999:AO999"/>
    <mergeCell ref="AQ999:AU999"/>
    <mergeCell ref="AW999:AX999"/>
    <mergeCell ref="AZ999:BD999"/>
    <mergeCell ref="BF999:BG999"/>
    <mergeCell ref="AE997:AS997"/>
    <mergeCell ref="AT997:AU997"/>
    <mergeCell ref="AV997:AW997"/>
    <mergeCell ref="AX997:BC997"/>
    <mergeCell ref="BE997:BF997"/>
    <mergeCell ref="BL997:BN997"/>
    <mergeCell ref="A1009:H1009"/>
    <mergeCell ref="AJ1009:AP1009"/>
    <mergeCell ref="S1011:Z1011"/>
    <mergeCell ref="AC1011:AD1011"/>
    <mergeCell ref="AE1011:AL1011"/>
    <mergeCell ref="AM1011:AN1011"/>
    <mergeCell ref="AP1011:BC1011"/>
    <mergeCell ref="BP1005:BQ1005"/>
    <mergeCell ref="BT1005:CC1005"/>
    <mergeCell ref="BT1006:CC1006"/>
    <mergeCell ref="A1008:F1008"/>
    <mergeCell ref="G1008:I1008"/>
    <mergeCell ref="J1008:K1008"/>
    <mergeCell ref="AS1003:BB1003"/>
    <mergeCell ref="BD1003:BE1003"/>
    <mergeCell ref="BG1003:BK1003"/>
    <mergeCell ref="BP1003:BQ1003"/>
    <mergeCell ref="BT1003:CC1003"/>
    <mergeCell ref="AS1004:BB1004"/>
    <mergeCell ref="BD1004:BE1004"/>
    <mergeCell ref="BG1004:BK1004"/>
    <mergeCell ref="BP1004:BQ1004"/>
    <mergeCell ref="BT1004:CC1004"/>
    <mergeCell ref="BH1014:BJ1014"/>
    <mergeCell ref="BP1014:BQ1014"/>
    <mergeCell ref="BT1014:CC1014"/>
    <mergeCell ref="BP1015:BQ1015"/>
    <mergeCell ref="BT1015:CC1015"/>
    <mergeCell ref="BP1016:BQ1016"/>
    <mergeCell ref="BT1016:CC1016"/>
    <mergeCell ref="BP1012:BQ1012"/>
    <mergeCell ref="BT1012:CC1012"/>
    <mergeCell ref="V1014:AE1014"/>
    <mergeCell ref="AF1014:AG1014"/>
    <mergeCell ref="AI1014:AL1014"/>
    <mergeCell ref="AN1014:AO1014"/>
    <mergeCell ref="AQ1014:AU1014"/>
    <mergeCell ref="AW1014:AX1014"/>
    <mergeCell ref="AZ1014:BD1014"/>
    <mergeCell ref="BF1014:BG1014"/>
    <mergeCell ref="AE1012:AS1012"/>
    <mergeCell ref="AT1012:AU1012"/>
    <mergeCell ref="AV1012:AW1012"/>
    <mergeCell ref="AX1012:BC1012"/>
    <mergeCell ref="BE1012:BF1012"/>
    <mergeCell ref="BL1012:BN1012"/>
    <mergeCell ref="A1024:H1024"/>
    <mergeCell ref="AJ1024:AP1024"/>
    <mergeCell ref="S1026:Z1026"/>
    <mergeCell ref="AC1026:AD1026"/>
    <mergeCell ref="AE1026:AL1026"/>
    <mergeCell ref="AM1026:AN1026"/>
    <mergeCell ref="AP1026:BC1026"/>
    <mergeCell ref="BP1020:BQ1020"/>
    <mergeCell ref="BT1020:CC1020"/>
    <mergeCell ref="BT1021:CC1021"/>
    <mergeCell ref="A1023:F1023"/>
    <mergeCell ref="G1023:I1023"/>
    <mergeCell ref="J1023:K1023"/>
    <mergeCell ref="AS1018:BB1018"/>
    <mergeCell ref="BD1018:BE1018"/>
    <mergeCell ref="BG1018:BK1018"/>
    <mergeCell ref="BP1018:BQ1018"/>
    <mergeCell ref="BT1018:CC1018"/>
    <mergeCell ref="AS1019:BB1019"/>
    <mergeCell ref="BD1019:BE1019"/>
    <mergeCell ref="BG1019:BK1019"/>
    <mergeCell ref="BP1019:BQ1019"/>
    <mergeCell ref="BT1019:CC1019"/>
    <mergeCell ref="BH1029:BJ1029"/>
    <mergeCell ref="BP1029:BQ1029"/>
    <mergeCell ref="BT1029:CC1029"/>
    <mergeCell ref="BP1030:BQ1030"/>
    <mergeCell ref="BT1030:CC1030"/>
    <mergeCell ref="BP1031:BQ1031"/>
    <mergeCell ref="BT1031:CC1031"/>
    <mergeCell ref="BP1027:BQ1027"/>
    <mergeCell ref="BT1027:CC1027"/>
    <mergeCell ref="V1029:AE1029"/>
    <mergeCell ref="AF1029:AG1029"/>
    <mergeCell ref="AI1029:AL1029"/>
    <mergeCell ref="AN1029:AO1029"/>
    <mergeCell ref="AQ1029:AU1029"/>
    <mergeCell ref="AW1029:AX1029"/>
    <mergeCell ref="AZ1029:BD1029"/>
    <mergeCell ref="BF1029:BG1029"/>
    <mergeCell ref="AE1027:AS1027"/>
    <mergeCell ref="AT1027:AU1027"/>
    <mergeCell ref="AV1027:AW1027"/>
    <mergeCell ref="AX1027:BC1027"/>
    <mergeCell ref="BE1027:BF1027"/>
    <mergeCell ref="BL1027:BN1027"/>
    <mergeCell ref="A1039:H1039"/>
    <mergeCell ref="AJ1039:AP1039"/>
    <mergeCell ref="S1041:Z1041"/>
    <mergeCell ref="AC1041:AD1041"/>
    <mergeCell ref="AE1041:AL1041"/>
    <mergeCell ref="AM1041:AN1041"/>
    <mergeCell ref="AP1041:BC1041"/>
    <mergeCell ref="BP1035:BQ1035"/>
    <mergeCell ref="BT1035:CC1035"/>
    <mergeCell ref="BT1036:CC1036"/>
    <mergeCell ref="A1038:F1038"/>
    <mergeCell ref="G1038:I1038"/>
    <mergeCell ref="J1038:K1038"/>
    <mergeCell ref="AS1033:BB1033"/>
    <mergeCell ref="BD1033:BE1033"/>
    <mergeCell ref="BG1033:BK1033"/>
    <mergeCell ref="BP1033:BQ1033"/>
    <mergeCell ref="BT1033:CC1033"/>
    <mergeCell ref="AS1034:BB1034"/>
    <mergeCell ref="BD1034:BE1034"/>
    <mergeCell ref="BG1034:BK1034"/>
    <mergeCell ref="BP1034:BQ1034"/>
    <mergeCell ref="BT1034:CC1034"/>
    <mergeCell ref="BH1044:BJ1044"/>
    <mergeCell ref="BP1044:BQ1044"/>
    <mergeCell ref="BT1044:CC1044"/>
    <mergeCell ref="BP1045:BQ1045"/>
    <mergeCell ref="BT1045:CC1045"/>
    <mergeCell ref="BP1046:BQ1046"/>
    <mergeCell ref="BT1046:CC1046"/>
    <mergeCell ref="BP1042:BQ1042"/>
    <mergeCell ref="BT1042:CC1042"/>
    <mergeCell ref="V1044:AE1044"/>
    <mergeCell ref="AF1044:AG1044"/>
    <mergeCell ref="AI1044:AL1044"/>
    <mergeCell ref="AN1044:AO1044"/>
    <mergeCell ref="AQ1044:AU1044"/>
    <mergeCell ref="AW1044:AX1044"/>
    <mergeCell ref="AZ1044:BD1044"/>
    <mergeCell ref="BF1044:BG1044"/>
    <mergeCell ref="AE1042:AS1042"/>
    <mergeCell ref="AT1042:AU1042"/>
    <mergeCell ref="AV1042:AW1042"/>
    <mergeCell ref="AX1042:BC1042"/>
    <mergeCell ref="BE1042:BF1042"/>
    <mergeCell ref="BL1042:BN1042"/>
    <mergeCell ref="A1054:H1054"/>
    <mergeCell ref="AJ1054:AP1054"/>
    <mergeCell ref="S1056:Z1056"/>
    <mergeCell ref="AC1056:AD1056"/>
    <mergeCell ref="AE1056:AL1056"/>
    <mergeCell ref="AM1056:AN1056"/>
    <mergeCell ref="AP1056:BC1056"/>
    <mergeCell ref="BP1050:BQ1050"/>
    <mergeCell ref="BT1050:CC1050"/>
    <mergeCell ref="BT1051:CC1051"/>
    <mergeCell ref="A1053:F1053"/>
    <mergeCell ref="G1053:I1053"/>
    <mergeCell ref="J1053:K1053"/>
    <mergeCell ref="AS1048:BB1048"/>
    <mergeCell ref="BD1048:BE1048"/>
    <mergeCell ref="BG1048:BK1048"/>
    <mergeCell ref="BP1048:BQ1048"/>
    <mergeCell ref="BT1048:CC1048"/>
    <mergeCell ref="AS1049:BB1049"/>
    <mergeCell ref="BD1049:BE1049"/>
    <mergeCell ref="BG1049:BK1049"/>
    <mergeCell ref="BP1049:BQ1049"/>
    <mergeCell ref="BT1049:CC1049"/>
    <mergeCell ref="BH1059:BJ1059"/>
    <mergeCell ref="BP1059:BQ1059"/>
    <mergeCell ref="BT1059:CC1059"/>
    <mergeCell ref="BP1060:BQ1060"/>
    <mergeCell ref="BT1060:CC1060"/>
    <mergeCell ref="BP1061:BQ1061"/>
    <mergeCell ref="BT1061:CC1061"/>
    <mergeCell ref="BP1057:BQ1057"/>
    <mergeCell ref="BT1057:CC1057"/>
    <mergeCell ref="V1059:AE1059"/>
    <mergeCell ref="AF1059:AG1059"/>
    <mergeCell ref="AI1059:AL1059"/>
    <mergeCell ref="AN1059:AO1059"/>
    <mergeCell ref="AQ1059:AU1059"/>
    <mergeCell ref="AW1059:AX1059"/>
    <mergeCell ref="AZ1059:BD1059"/>
    <mergeCell ref="BF1059:BG1059"/>
    <mergeCell ref="AE1057:AS1057"/>
    <mergeCell ref="AT1057:AU1057"/>
    <mergeCell ref="AV1057:AW1057"/>
    <mergeCell ref="AX1057:BC1057"/>
    <mergeCell ref="BE1057:BF1057"/>
    <mergeCell ref="BL1057:BN1057"/>
    <mergeCell ref="A1069:H1069"/>
    <mergeCell ref="AJ1069:AP1069"/>
    <mergeCell ref="S1071:Z1071"/>
    <mergeCell ref="AC1071:AD1071"/>
    <mergeCell ref="AE1071:AL1071"/>
    <mergeCell ref="AM1071:AN1071"/>
    <mergeCell ref="AP1071:BC1071"/>
    <mergeCell ref="BP1065:BQ1065"/>
    <mergeCell ref="BT1065:CC1065"/>
    <mergeCell ref="BT1066:CC1066"/>
    <mergeCell ref="A1068:F1068"/>
    <mergeCell ref="G1068:I1068"/>
    <mergeCell ref="J1068:K1068"/>
    <mergeCell ref="AS1063:BB1063"/>
    <mergeCell ref="BD1063:BE1063"/>
    <mergeCell ref="BG1063:BK1063"/>
    <mergeCell ref="BP1063:BQ1063"/>
    <mergeCell ref="BT1063:CC1063"/>
    <mergeCell ref="AS1064:BB1064"/>
    <mergeCell ref="BD1064:BE1064"/>
    <mergeCell ref="BG1064:BK1064"/>
    <mergeCell ref="BP1064:BQ1064"/>
    <mergeCell ref="BT1064:CC1064"/>
    <mergeCell ref="BH1074:BJ1074"/>
    <mergeCell ref="BP1074:BQ1074"/>
    <mergeCell ref="BT1074:CC1074"/>
    <mergeCell ref="BP1075:BQ1075"/>
    <mergeCell ref="BT1075:CC1075"/>
    <mergeCell ref="BP1076:BQ1076"/>
    <mergeCell ref="BT1076:CC1076"/>
    <mergeCell ref="BP1072:BQ1072"/>
    <mergeCell ref="BT1072:CC1072"/>
    <mergeCell ref="V1074:AE1074"/>
    <mergeCell ref="AF1074:AG1074"/>
    <mergeCell ref="AI1074:AL1074"/>
    <mergeCell ref="AN1074:AO1074"/>
    <mergeCell ref="AQ1074:AU1074"/>
    <mergeCell ref="AW1074:AX1074"/>
    <mergeCell ref="AZ1074:BD1074"/>
    <mergeCell ref="BF1074:BG1074"/>
    <mergeCell ref="AE1072:AS1072"/>
    <mergeCell ref="AT1072:AU1072"/>
    <mergeCell ref="AV1072:AW1072"/>
    <mergeCell ref="AX1072:BC1072"/>
    <mergeCell ref="BE1072:BF1072"/>
    <mergeCell ref="BL1072:BN1072"/>
    <mergeCell ref="A1084:H1084"/>
    <mergeCell ref="AJ1084:AP1084"/>
    <mergeCell ref="AE1087:AS1087"/>
    <mergeCell ref="AT1087:AU1087"/>
    <mergeCell ref="AV1087:AW1087"/>
    <mergeCell ref="AX1087:BC1087"/>
    <mergeCell ref="BP1080:BQ1080"/>
    <mergeCell ref="BT1080:CC1080"/>
    <mergeCell ref="BT1081:CC1081"/>
    <mergeCell ref="A1083:F1083"/>
    <mergeCell ref="G1083:I1083"/>
    <mergeCell ref="J1083:K1083"/>
    <mergeCell ref="AS1078:BB1078"/>
    <mergeCell ref="BD1078:BE1078"/>
    <mergeCell ref="BG1078:BK1078"/>
    <mergeCell ref="BP1078:BQ1078"/>
    <mergeCell ref="BT1078:CC1078"/>
    <mergeCell ref="AS1079:BB1079"/>
    <mergeCell ref="BD1079:BE1079"/>
    <mergeCell ref="BG1079:BK1079"/>
    <mergeCell ref="BP1079:BQ1079"/>
    <mergeCell ref="BT1079:CC1079"/>
    <mergeCell ref="AZ1089:BD1089"/>
    <mergeCell ref="BF1089:BG1089"/>
    <mergeCell ref="BH1089:BJ1089"/>
    <mergeCell ref="BP1089:BQ1089"/>
    <mergeCell ref="BT1089:CC1089"/>
    <mergeCell ref="BP1090:BQ1090"/>
    <mergeCell ref="BT1090:CC1090"/>
    <mergeCell ref="BE1087:BF1087"/>
    <mergeCell ref="BL1087:BN1087"/>
    <mergeCell ref="BP1087:BQ1087"/>
    <mergeCell ref="BT1087:CC1087"/>
    <mergeCell ref="V1089:AE1089"/>
    <mergeCell ref="AF1089:AG1089"/>
    <mergeCell ref="AI1089:AL1089"/>
    <mergeCell ref="AN1089:AO1089"/>
    <mergeCell ref="AQ1089:AU1089"/>
    <mergeCell ref="AW1089:AX1089"/>
    <mergeCell ref="BT1096:CC1096"/>
    <mergeCell ref="A1098:F1098"/>
    <mergeCell ref="G1098:I1098"/>
    <mergeCell ref="J1098:K1098"/>
    <mergeCell ref="A1099:H1099"/>
    <mergeCell ref="AJ1099:AP1099"/>
    <mergeCell ref="AS1094:BB1094"/>
    <mergeCell ref="BD1094:BE1094"/>
    <mergeCell ref="BG1094:BK1094"/>
    <mergeCell ref="BP1094:BQ1094"/>
    <mergeCell ref="BT1094:CC1094"/>
    <mergeCell ref="BP1095:BQ1095"/>
    <mergeCell ref="BT1095:CC1095"/>
    <mergeCell ref="BP1091:BQ1091"/>
    <mergeCell ref="BT1091:CC1091"/>
    <mergeCell ref="AS1093:BB1093"/>
    <mergeCell ref="BD1093:BE1093"/>
    <mergeCell ref="BG1093:BK1093"/>
    <mergeCell ref="BP1093:BQ1093"/>
    <mergeCell ref="BT1093:CC1093"/>
    <mergeCell ref="BH1104:BJ1104"/>
    <mergeCell ref="BP1104:BQ1104"/>
    <mergeCell ref="BT1104:CC1104"/>
    <mergeCell ref="BP1105:BQ1105"/>
    <mergeCell ref="BT1105:CC1105"/>
    <mergeCell ref="BP1106:BQ1106"/>
    <mergeCell ref="BT1106:CC1106"/>
    <mergeCell ref="BP1102:BQ1102"/>
    <mergeCell ref="BT1102:CC1102"/>
    <mergeCell ref="V1104:AE1104"/>
    <mergeCell ref="AF1104:AG1104"/>
    <mergeCell ref="AI1104:AL1104"/>
    <mergeCell ref="AN1104:AO1104"/>
    <mergeCell ref="AQ1104:AU1104"/>
    <mergeCell ref="AW1104:AX1104"/>
    <mergeCell ref="AZ1104:BD1104"/>
    <mergeCell ref="BF1104:BG1104"/>
    <mergeCell ref="AE1102:AS1102"/>
    <mergeCell ref="AT1102:AU1102"/>
    <mergeCell ref="AV1102:AW1102"/>
    <mergeCell ref="AX1102:BC1102"/>
    <mergeCell ref="BE1102:BF1102"/>
    <mergeCell ref="BL1102:BN1102"/>
    <mergeCell ref="A1114:H1114"/>
    <mergeCell ref="AJ1114:AP1114"/>
    <mergeCell ref="AE1117:AS1117"/>
    <mergeCell ref="AT1117:AU1117"/>
    <mergeCell ref="AV1117:AW1117"/>
    <mergeCell ref="AX1117:BC1117"/>
    <mergeCell ref="BP1110:BQ1110"/>
    <mergeCell ref="BT1110:CC1110"/>
    <mergeCell ref="BT1111:CC1111"/>
    <mergeCell ref="A1113:F1113"/>
    <mergeCell ref="G1113:I1113"/>
    <mergeCell ref="J1113:K1113"/>
    <mergeCell ref="AS1108:BB1108"/>
    <mergeCell ref="BD1108:BE1108"/>
    <mergeCell ref="BG1108:BK1108"/>
    <mergeCell ref="BP1108:BQ1108"/>
    <mergeCell ref="BT1108:CC1108"/>
    <mergeCell ref="AS1109:BB1109"/>
    <mergeCell ref="BD1109:BE1109"/>
    <mergeCell ref="BG1109:BK1109"/>
    <mergeCell ref="BP1109:BQ1109"/>
    <mergeCell ref="BT1109:CC1109"/>
    <mergeCell ref="AZ1119:BD1119"/>
    <mergeCell ref="BF1119:BG1119"/>
    <mergeCell ref="BH1119:BJ1119"/>
    <mergeCell ref="BP1119:BQ1119"/>
    <mergeCell ref="BT1119:CC1119"/>
    <mergeCell ref="BP1120:BQ1120"/>
    <mergeCell ref="BT1120:CC1120"/>
    <mergeCell ref="BE1117:BF1117"/>
    <mergeCell ref="BL1117:BN1117"/>
    <mergeCell ref="BP1117:BQ1117"/>
    <mergeCell ref="BT1117:CC1117"/>
    <mergeCell ref="V1119:AE1119"/>
    <mergeCell ref="AF1119:AG1119"/>
    <mergeCell ref="AI1119:AL1119"/>
    <mergeCell ref="AN1119:AO1119"/>
    <mergeCell ref="AQ1119:AU1119"/>
    <mergeCell ref="AW1119:AX1119"/>
    <mergeCell ref="BT1126:CC1126"/>
    <mergeCell ref="A1128:F1128"/>
    <mergeCell ref="G1128:I1128"/>
    <mergeCell ref="J1128:K1128"/>
    <mergeCell ref="A1129:H1129"/>
    <mergeCell ref="AJ1129:AP1129"/>
    <mergeCell ref="AS1124:BB1124"/>
    <mergeCell ref="BD1124:BE1124"/>
    <mergeCell ref="BG1124:BK1124"/>
    <mergeCell ref="BP1124:BQ1124"/>
    <mergeCell ref="BT1124:CC1124"/>
    <mergeCell ref="BP1125:BQ1125"/>
    <mergeCell ref="BT1125:CC1125"/>
    <mergeCell ref="BP1121:BQ1121"/>
    <mergeCell ref="BT1121:CC1121"/>
    <mergeCell ref="AS1123:BB1123"/>
    <mergeCell ref="BD1123:BE1123"/>
    <mergeCell ref="BG1123:BK1123"/>
    <mergeCell ref="BP1123:BQ1123"/>
    <mergeCell ref="BT1123:CC1123"/>
    <mergeCell ref="BH1134:BJ1134"/>
    <mergeCell ref="BP1134:BQ1134"/>
    <mergeCell ref="BT1134:CC1134"/>
    <mergeCell ref="BP1135:BQ1135"/>
    <mergeCell ref="BT1135:CC1135"/>
    <mergeCell ref="BP1136:BQ1136"/>
    <mergeCell ref="BT1136:CC1136"/>
    <mergeCell ref="BP1132:BQ1132"/>
    <mergeCell ref="BT1132:CC1132"/>
    <mergeCell ref="V1134:AE1134"/>
    <mergeCell ref="AF1134:AG1134"/>
    <mergeCell ref="AI1134:AL1134"/>
    <mergeCell ref="AN1134:AO1134"/>
    <mergeCell ref="AQ1134:AU1134"/>
    <mergeCell ref="AW1134:AX1134"/>
    <mergeCell ref="AZ1134:BD1134"/>
    <mergeCell ref="BF1134:BG1134"/>
    <mergeCell ref="AE1132:AS1132"/>
    <mergeCell ref="AT1132:AU1132"/>
    <mergeCell ref="AV1132:AW1132"/>
    <mergeCell ref="AX1132:BC1132"/>
    <mergeCell ref="BE1132:BF1132"/>
    <mergeCell ref="BL1132:BN1132"/>
    <mergeCell ref="A1144:H1144"/>
    <mergeCell ref="AJ1144:AP1144"/>
    <mergeCell ref="AE1147:AS1147"/>
    <mergeCell ref="AT1147:AU1147"/>
    <mergeCell ref="AV1147:AW1147"/>
    <mergeCell ref="AX1147:BC1147"/>
    <mergeCell ref="BP1140:BQ1140"/>
    <mergeCell ref="BT1140:CC1140"/>
    <mergeCell ref="BT1141:CC1141"/>
    <mergeCell ref="A1143:F1143"/>
    <mergeCell ref="G1143:I1143"/>
    <mergeCell ref="J1143:K1143"/>
    <mergeCell ref="AS1138:BB1138"/>
    <mergeCell ref="BD1138:BE1138"/>
    <mergeCell ref="BG1138:BK1138"/>
    <mergeCell ref="BP1138:BQ1138"/>
    <mergeCell ref="BT1138:CC1138"/>
    <mergeCell ref="AS1139:BB1139"/>
    <mergeCell ref="BD1139:BE1139"/>
    <mergeCell ref="BG1139:BK1139"/>
    <mergeCell ref="BP1139:BQ1139"/>
    <mergeCell ref="BT1139:CC1139"/>
    <mergeCell ref="AZ1149:BD1149"/>
    <mergeCell ref="BF1149:BG1149"/>
    <mergeCell ref="BH1149:BJ1149"/>
    <mergeCell ref="BP1149:BQ1149"/>
    <mergeCell ref="BT1149:CC1149"/>
    <mergeCell ref="BP1150:BQ1150"/>
    <mergeCell ref="BT1150:CC1150"/>
    <mergeCell ref="BE1147:BF1147"/>
    <mergeCell ref="BL1147:BN1147"/>
    <mergeCell ref="BP1147:BQ1147"/>
    <mergeCell ref="BT1147:CC1147"/>
    <mergeCell ref="V1149:AE1149"/>
    <mergeCell ref="AF1149:AG1149"/>
    <mergeCell ref="AI1149:AL1149"/>
    <mergeCell ref="AN1149:AO1149"/>
    <mergeCell ref="AQ1149:AU1149"/>
    <mergeCell ref="AW1149:AX1149"/>
    <mergeCell ref="A1158:F1158"/>
    <mergeCell ref="G1158:I1158"/>
    <mergeCell ref="J1158:K1158"/>
    <mergeCell ref="A1159:H1159"/>
    <mergeCell ref="AJ1159:AP1159"/>
    <mergeCell ref="AS1154:BB1154"/>
    <mergeCell ref="BD1154:BE1154"/>
    <mergeCell ref="BG1154:BK1154"/>
    <mergeCell ref="BP1154:BQ1154"/>
    <mergeCell ref="BT1154:CC1154"/>
    <mergeCell ref="BP1155:BQ1155"/>
    <mergeCell ref="BT1155:CC1155"/>
    <mergeCell ref="BP1151:BQ1151"/>
    <mergeCell ref="BT1151:CC1151"/>
    <mergeCell ref="AS1153:BB1153"/>
    <mergeCell ref="BD1153:BE1153"/>
    <mergeCell ref="BG1153:BK1153"/>
    <mergeCell ref="BP1153:BQ1153"/>
    <mergeCell ref="BT1153:CC1153"/>
    <mergeCell ref="BP1162:BQ1162"/>
    <mergeCell ref="BT1162:CC1162"/>
    <mergeCell ref="V1164:AE1164"/>
    <mergeCell ref="AF1164:AG1164"/>
    <mergeCell ref="AI1164:AL1164"/>
    <mergeCell ref="AN1164:AO1164"/>
    <mergeCell ref="AQ1164:AU1164"/>
    <mergeCell ref="AW1164:AX1164"/>
    <mergeCell ref="AZ1164:BD1164"/>
    <mergeCell ref="BF1164:BG1164"/>
    <mergeCell ref="AE1162:AS1162"/>
    <mergeCell ref="AT1162:AU1162"/>
    <mergeCell ref="AV1162:AW1162"/>
    <mergeCell ref="AX1162:BC1162"/>
    <mergeCell ref="BE1162:BF1162"/>
    <mergeCell ref="BL1162:BN1162"/>
    <mergeCell ref="BT1156:CC1156"/>
    <mergeCell ref="BP1170:BQ1170"/>
    <mergeCell ref="BT1170:CC1170"/>
    <mergeCell ref="BT1171:CC1171"/>
    <mergeCell ref="A1173:F1173"/>
    <mergeCell ref="G1173:I1173"/>
    <mergeCell ref="J1173:K1173"/>
    <mergeCell ref="AS1168:BB1168"/>
    <mergeCell ref="BD1168:BE1168"/>
    <mergeCell ref="BG1168:BK1168"/>
    <mergeCell ref="BP1168:BQ1168"/>
    <mergeCell ref="BT1168:CC1168"/>
    <mergeCell ref="AS1169:BB1169"/>
    <mergeCell ref="BD1169:BE1169"/>
    <mergeCell ref="BG1169:BK1169"/>
    <mergeCell ref="BP1169:BQ1169"/>
    <mergeCell ref="BT1169:CC1169"/>
    <mergeCell ref="BH1164:BJ1164"/>
    <mergeCell ref="BP1164:BQ1164"/>
    <mergeCell ref="BT1164:CC1164"/>
    <mergeCell ref="BP1165:BQ1165"/>
    <mergeCell ref="BT1165:CC1165"/>
    <mergeCell ref="BP1166:BQ1166"/>
    <mergeCell ref="BT1166:CC1166"/>
    <mergeCell ref="BP1177:BQ1177"/>
    <mergeCell ref="BT1177:CC1177"/>
    <mergeCell ref="V1179:AE1179"/>
    <mergeCell ref="AF1179:AG1179"/>
    <mergeCell ref="AI1179:AL1179"/>
    <mergeCell ref="AN1179:AO1179"/>
    <mergeCell ref="AQ1179:AU1179"/>
    <mergeCell ref="AW1179:AX1179"/>
    <mergeCell ref="AZ1179:BD1179"/>
    <mergeCell ref="BF1179:BG1179"/>
    <mergeCell ref="AE1177:AS1177"/>
    <mergeCell ref="AT1177:AU1177"/>
    <mergeCell ref="AV1177:AW1177"/>
    <mergeCell ref="AX1177:BC1177"/>
    <mergeCell ref="BE1177:BF1177"/>
    <mergeCell ref="BL1177:BN1177"/>
    <mergeCell ref="A1174:H1174"/>
    <mergeCell ref="AJ1174:AP1174"/>
    <mergeCell ref="AQ1174:BI1174"/>
    <mergeCell ref="S1176:Z1176"/>
    <mergeCell ref="AC1176:AD1176"/>
    <mergeCell ref="AE1176:AL1176"/>
    <mergeCell ref="AM1176:AN1176"/>
    <mergeCell ref="AP1176:BC1176"/>
    <mergeCell ref="BP1185:BQ1185"/>
    <mergeCell ref="BT1185:CC1185"/>
    <mergeCell ref="BT1186:CC1186"/>
    <mergeCell ref="A1188:F1188"/>
    <mergeCell ref="G1188:I1188"/>
    <mergeCell ref="J1188:K1188"/>
    <mergeCell ref="AS1183:BB1183"/>
    <mergeCell ref="BD1183:BE1183"/>
    <mergeCell ref="BG1183:BK1183"/>
    <mergeCell ref="BP1183:BQ1183"/>
    <mergeCell ref="BT1183:CC1183"/>
    <mergeCell ref="AS1184:BB1184"/>
    <mergeCell ref="BD1184:BE1184"/>
    <mergeCell ref="BG1184:BK1184"/>
    <mergeCell ref="BP1184:BQ1184"/>
    <mergeCell ref="BT1184:CC1184"/>
    <mergeCell ref="BH1179:BJ1179"/>
    <mergeCell ref="BP1179:BQ1179"/>
    <mergeCell ref="BT1179:CC1179"/>
    <mergeCell ref="BP1180:BQ1180"/>
    <mergeCell ref="BT1180:CC1180"/>
    <mergeCell ref="BP1181:BQ1181"/>
    <mergeCell ref="BT1181:CC1181"/>
    <mergeCell ref="BP1192:BQ1192"/>
    <mergeCell ref="BT1192:CC1192"/>
    <mergeCell ref="V1194:AE1194"/>
    <mergeCell ref="AF1194:AG1194"/>
    <mergeCell ref="AI1194:AL1194"/>
    <mergeCell ref="AN1194:AO1194"/>
    <mergeCell ref="AQ1194:AU1194"/>
    <mergeCell ref="AW1194:AX1194"/>
    <mergeCell ref="AZ1194:BD1194"/>
    <mergeCell ref="BF1194:BG1194"/>
    <mergeCell ref="AE1192:AS1192"/>
    <mergeCell ref="AT1192:AU1192"/>
    <mergeCell ref="AV1192:AW1192"/>
    <mergeCell ref="AX1192:BC1192"/>
    <mergeCell ref="BE1192:BF1192"/>
    <mergeCell ref="BL1192:BN1192"/>
    <mergeCell ref="A1189:H1189"/>
    <mergeCell ref="AJ1189:AP1189"/>
    <mergeCell ref="S1191:Z1191"/>
    <mergeCell ref="AC1191:AD1191"/>
    <mergeCell ref="AE1191:AL1191"/>
    <mergeCell ref="AM1191:AN1191"/>
    <mergeCell ref="AP1191:BC1191"/>
    <mergeCell ref="BP1200:BQ1200"/>
    <mergeCell ref="BT1200:CC1200"/>
    <mergeCell ref="BT1201:CC1201"/>
    <mergeCell ref="A1203:F1203"/>
    <mergeCell ref="G1203:I1203"/>
    <mergeCell ref="J1203:K1203"/>
    <mergeCell ref="AS1198:BB1198"/>
    <mergeCell ref="BD1198:BE1198"/>
    <mergeCell ref="BG1198:BK1198"/>
    <mergeCell ref="BP1198:BQ1198"/>
    <mergeCell ref="BT1198:CC1198"/>
    <mergeCell ref="AS1199:BB1199"/>
    <mergeCell ref="BD1199:BE1199"/>
    <mergeCell ref="BG1199:BK1199"/>
    <mergeCell ref="BP1199:BQ1199"/>
    <mergeCell ref="BT1199:CC1199"/>
    <mergeCell ref="BH1194:BJ1194"/>
    <mergeCell ref="BP1194:BQ1194"/>
    <mergeCell ref="BT1194:CC1194"/>
    <mergeCell ref="BP1195:BQ1195"/>
    <mergeCell ref="BT1195:CC1195"/>
    <mergeCell ref="BP1196:BQ1196"/>
    <mergeCell ref="BT1196:CC1196"/>
    <mergeCell ref="AW1209:AX1209"/>
    <mergeCell ref="AZ1209:BD1209"/>
    <mergeCell ref="BF1209:BG1209"/>
    <mergeCell ref="BH1209:BJ1209"/>
    <mergeCell ref="BP1209:BQ1209"/>
    <mergeCell ref="BT1209:CC1209"/>
    <mergeCell ref="AS1207:BB1207"/>
    <mergeCell ref="BD1207:BE1207"/>
    <mergeCell ref="BG1207:BK1207"/>
    <mergeCell ref="BP1207:BQ1207"/>
    <mergeCell ref="BT1207:CC1207"/>
    <mergeCell ref="V1209:AE1209"/>
    <mergeCell ref="AF1209:AG1209"/>
    <mergeCell ref="AI1209:AL1209"/>
    <mergeCell ref="AN1209:AO1209"/>
    <mergeCell ref="AQ1209:AU1209"/>
    <mergeCell ref="A1204:H1204"/>
    <mergeCell ref="AJ1204:AP1204"/>
    <mergeCell ref="S1206:Z1206"/>
    <mergeCell ref="AC1206:AD1206"/>
    <mergeCell ref="AE1206:AL1206"/>
    <mergeCell ref="AM1206:AN1206"/>
    <mergeCell ref="AP1206:BC1206"/>
    <mergeCell ref="BT1216:CC1216"/>
    <mergeCell ref="A1218:F1218"/>
    <mergeCell ref="G1218:I1218"/>
    <mergeCell ref="J1218:K1218"/>
    <mergeCell ref="A1219:H1219"/>
    <mergeCell ref="AJ1219:AP1219"/>
    <mergeCell ref="AS1214:BB1214"/>
    <mergeCell ref="BD1214:BE1214"/>
    <mergeCell ref="BG1214:BK1214"/>
    <mergeCell ref="BP1214:BQ1214"/>
    <mergeCell ref="BT1214:CC1214"/>
    <mergeCell ref="BP1215:BQ1215"/>
    <mergeCell ref="BT1215:CC1215"/>
    <mergeCell ref="BP1210:BQ1210"/>
    <mergeCell ref="BT1210:CC1210"/>
    <mergeCell ref="BP1211:BQ1211"/>
    <mergeCell ref="BT1211:CC1211"/>
    <mergeCell ref="AS1213:BB1213"/>
    <mergeCell ref="BD1213:BE1213"/>
    <mergeCell ref="BG1213:BK1213"/>
    <mergeCell ref="BP1213:BQ1213"/>
    <mergeCell ref="BT1213:CC1213"/>
    <mergeCell ref="BE1222:BF1222"/>
    <mergeCell ref="BL1222:BN1222"/>
    <mergeCell ref="BP1222:BQ1222"/>
    <mergeCell ref="BT1222:CC1222"/>
    <mergeCell ref="V1224:AE1224"/>
    <mergeCell ref="AF1224:AG1224"/>
    <mergeCell ref="AI1224:AL1224"/>
    <mergeCell ref="AN1224:AO1224"/>
    <mergeCell ref="AQ1224:AU1224"/>
    <mergeCell ref="AW1224:AX1224"/>
    <mergeCell ref="S1221:AL1221"/>
    <mergeCell ref="AM1221:AN1221"/>
    <mergeCell ref="AP1221:BC1221"/>
    <mergeCell ref="AE1222:AS1222"/>
    <mergeCell ref="AT1222:AU1222"/>
    <mergeCell ref="AV1222:AW1222"/>
    <mergeCell ref="AX1222:BC1222"/>
    <mergeCell ref="AS1229:BB1229"/>
    <mergeCell ref="BD1229:BE1229"/>
    <mergeCell ref="BG1229:BK1229"/>
    <mergeCell ref="BP1229:BQ1229"/>
    <mergeCell ref="BT1229:CC1229"/>
    <mergeCell ref="BP1230:BQ1230"/>
    <mergeCell ref="BT1230:CC1230"/>
    <mergeCell ref="BP1226:BQ1226"/>
    <mergeCell ref="BT1226:CC1226"/>
    <mergeCell ref="AS1228:BB1228"/>
    <mergeCell ref="BD1228:BE1228"/>
    <mergeCell ref="BG1228:BK1228"/>
    <mergeCell ref="BP1228:BQ1228"/>
    <mergeCell ref="BT1228:CC1228"/>
    <mergeCell ref="AZ1224:BD1224"/>
    <mergeCell ref="BF1224:BG1224"/>
    <mergeCell ref="BH1224:BJ1224"/>
    <mergeCell ref="BP1224:BQ1224"/>
    <mergeCell ref="BT1224:CC1224"/>
    <mergeCell ref="BP1225:BQ1225"/>
    <mergeCell ref="BT1225:CC1225"/>
    <mergeCell ref="V1239:AE1239"/>
    <mergeCell ref="AF1239:AG1239"/>
    <mergeCell ref="AI1239:AL1239"/>
    <mergeCell ref="AN1239:AO1239"/>
    <mergeCell ref="AQ1239:AU1239"/>
    <mergeCell ref="AW1239:AX1239"/>
    <mergeCell ref="S1236:AL1236"/>
    <mergeCell ref="AM1236:AN1236"/>
    <mergeCell ref="AP1236:BC1236"/>
    <mergeCell ref="AE1237:AS1237"/>
    <mergeCell ref="AT1237:AU1237"/>
    <mergeCell ref="AV1237:AW1237"/>
    <mergeCell ref="AX1237:BC1237"/>
    <mergeCell ref="BT1231:CC1231"/>
    <mergeCell ref="A1233:F1233"/>
    <mergeCell ref="G1233:I1233"/>
    <mergeCell ref="J1233:K1233"/>
    <mergeCell ref="A1234:H1234"/>
    <mergeCell ref="AJ1234:AP1234"/>
    <mergeCell ref="BP1241:BQ1241"/>
    <mergeCell ref="BT1241:CC1241"/>
    <mergeCell ref="AS1243:BB1243"/>
    <mergeCell ref="BD1243:BE1243"/>
    <mergeCell ref="BG1243:BK1243"/>
    <mergeCell ref="BP1243:BQ1243"/>
    <mergeCell ref="BT1243:CC1243"/>
    <mergeCell ref="AZ1239:BD1239"/>
    <mergeCell ref="BF1239:BG1239"/>
    <mergeCell ref="BH1239:BJ1239"/>
    <mergeCell ref="BP1239:BQ1239"/>
    <mergeCell ref="BT1239:CC1239"/>
    <mergeCell ref="BP1240:BQ1240"/>
    <mergeCell ref="BT1240:CC1240"/>
    <mergeCell ref="BE1237:BF1237"/>
    <mergeCell ref="BL1237:BN1237"/>
    <mergeCell ref="BP1237:BQ1237"/>
    <mergeCell ref="BT1237:CC1237"/>
    <mergeCell ref="S1251:AL1251"/>
    <mergeCell ref="AM1251:AN1251"/>
    <mergeCell ref="AP1251:BC1251"/>
    <mergeCell ref="AE1252:AS1252"/>
    <mergeCell ref="AT1252:AU1252"/>
    <mergeCell ref="AV1252:AW1252"/>
    <mergeCell ref="AX1252:BC1252"/>
    <mergeCell ref="BT1246:CC1246"/>
    <mergeCell ref="A1248:F1248"/>
    <mergeCell ref="G1248:I1248"/>
    <mergeCell ref="J1248:K1248"/>
    <mergeCell ref="A1249:H1249"/>
    <mergeCell ref="AJ1249:AP1249"/>
    <mergeCell ref="AS1244:BB1244"/>
    <mergeCell ref="BD1244:BE1244"/>
    <mergeCell ref="BG1244:BK1244"/>
    <mergeCell ref="BP1244:BQ1244"/>
    <mergeCell ref="BT1244:CC1244"/>
    <mergeCell ref="BP1245:BQ1245"/>
    <mergeCell ref="BT1245:CC1245"/>
    <mergeCell ref="AZ1254:BD1254"/>
    <mergeCell ref="BF1254:BG1254"/>
    <mergeCell ref="BH1254:BJ1254"/>
    <mergeCell ref="BP1254:BQ1254"/>
    <mergeCell ref="BT1254:CC1254"/>
    <mergeCell ref="BP1255:BQ1255"/>
    <mergeCell ref="BT1255:CC1255"/>
    <mergeCell ref="BE1252:BF1252"/>
    <mergeCell ref="BL1252:BN1252"/>
    <mergeCell ref="BP1252:BQ1252"/>
    <mergeCell ref="BT1252:CC1252"/>
    <mergeCell ref="V1254:AE1254"/>
    <mergeCell ref="AF1254:AG1254"/>
    <mergeCell ref="AI1254:AL1254"/>
    <mergeCell ref="AN1254:AO1254"/>
    <mergeCell ref="AQ1254:AU1254"/>
    <mergeCell ref="AW1254:AX1254"/>
    <mergeCell ref="BT1261:CC1261"/>
    <mergeCell ref="A1263:F1263"/>
    <mergeCell ref="G1263:I1263"/>
    <mergeCell ref="J1263:K1263"/>
    <mergeCell ref="A1264:H1264"/>
    <mergeCell ref="AJ1264:AP1264"/>
    <mergeCell ref="AS1259:BB1259"/>
    <mergeCell ref="BD1259:BE1259"/>
    <mergeCell ref="BG1259:BK1259"/>
    <mergeCell ref="BP1259:BQ1259"/>
    <mergeCell ref="BT1259:CC1259"/>
    <mergeCell ref="BP1260:BQ1260"/>
    <mergeCell ref="BT1260:CC1260"/>
    <mergeCell ref="BP1256:BQ1256"/>
    <mergeCell ref="BT1256:CC1256"/>
    <mergeCell ref="AS1258:BB1258"/>
    <mergeCell ref="BD1258:BE1258"/>
    <mergeCell ref="BG1258:BK1258"/>
    <mergeCell ref="BP1258:BQ1258"/>
    <mergeCell ref="BT1258:CC1258"/>
    <mergeCell ref="BH1269:BJ1269"/>
    <mergeCell ref="BP1269:BQ1269"/>
    <mergeCell ref="BT1269:CC1269"/>
    <mergeCell ref="BP1270:BQ1270"/>
    <mergeCell ref="BT1270:CC1270"/>
    <mergeCell ref="BP1271:BQ1271"/>
    <mergeCell ref="BT1271:CC1271"/>
    <mergeCell ref="BP1267:BQ1267"/>
    <mergeCell ref="BT1267:CC1267"/>
    <mergeCell ref="V1269:AE1269"/>
    <mergeCell ref="AF1269:AG1269"/>
    <mergeCell ref="AI1269:AL1269"/>
    <mergeCell ref="AN1269:AO1269"/>
    <mergeCell ref="AQ1269:AU1269"/>
    <mergeCell ref="AW1269:AX1269"/>
    <mergeCell ref="AZ1269:BD1269"/>
    <mergeCell ref="BF1269:BG1269"/>
    <mergeCell ref="AE1267:AS1267"/>
    <mergeCell ref="AT1267:AU1267"/>
    <mergeCell ref="AV1267:AW1267"/>
    <mergeCell ref="AX1267:BC1267"/>
    <mergeCell ref="BE1267:BF1267"/>
    <mergeCell ref="BL1267:BN1267"/>
    <mergeCell ref="A1279:H1279"/>
    <mergeCell ref="AJ1279:AP1279"/>
    <mergeCell ref="AE1282:AS1282"/>
    <mergeCell ref="AT1282:AU1282"/>
    <mergeCell ref="AV1282:AW1282"/>
    <mergeCell ref="AX1282:BC1282"/>
    <mergeCell ref="BP1275:BQ1275"/>
    <mergeCell ref="BT1275:CC1275"/>
    <mergeCell ref="BT1276:CC1276"/>
    <mergeCell ref="A1278:F1278"/>
    <mergeCell ref="G1278:I1278"/>
    <mergeCell ref="J1278:K1278"/>
    <mergeCell ref="AS1273:BB1273"/>
    <mergeCell ref="BD1273:BE1273"/>
    <mergeCell ref="BG1273:BK1273"/>
    <mergeCell ref="BP1273:BQ1273"/>
    <mergeCell ref="BT1273:CC1273"/>
    <mergeCell ref="AS1274:BB1274"/>
    <mergeCell ref="BD1274:BE1274"/>
    <mergeCell ref="BG1274:BK1274"/>
    <mergeCell ref="BP1274:BQ1274"/>
    <mergeCell ref="BT1274:CC1274"/>
    <mergeCell ref="AZ1284:BD1284"/>
    <mergeCell ref="BF1284:BG1284"/>
    <mergeCell ref="BH1284:BJ1284"/>
    <mergeCell ref="BP1284:BQ1284"/>
    <mergeCell ref="BT1284:CC1284"/>
    <mergeCell ref="BP1285:BQ1285"/>
    <mergeCell ref="BT1285:CC1285"/>
    <mergeCell ref="BE1282:BF1282"/>
    <mergeCell ref="BL1282:BN1282"/>
    <mergeCell ref="BP1282:BQ1282"/>
    <mergeCell ref="BT1282:CC1282"/>
    <mergeCell ref="V1284:AE1284"/>
    <mergeCell ref="AF1284:AG1284"/>
    <mergeCell ref="AI1284:AL1284"/>
    <mergeCell ref="AN1284:AO1284"/>
    <mergeCell ref="AQ1284:AU1284"/>
    <mergeCell ref="AW1284:AX1284"/>
    <mergeCell ref="BT1291:CC1291"/>
    <mergeCell ref="A1293:F1293"/>
    <mergeCell ref="G1293:I1293"/>
    <mergeCell ref="J1293:K1293"/>
    <mergeCell ref="A1294:H1294"/>
    <mergeCell ref="AJ1294:AP1294"/>
    <mergeCell ref="AS1289:BB1289"/>
    <mergeCell ref="BD1289:BE1289"/>
    <mergeCell ref="BG1289:BK1289"/>
    <mergeCell ref="BP1289:BQ1289"/>
    <mergeCell ref="BT1289:CC1289"/>
    <mergeCell ref="BP1290:BQ1290"/>
    <mergeCell ref="BT1290:CC1290"/>
    <mergeCell ref="BP1286:BQ1286"/>
    <mergeCell ref="BT1286:CC1286"/>
    <mergeCell ref="AS1288:BB1288"/>
    <mergeCell ref="BD1288:BE1288"/>
    <mergeCell ref="BG1288:BK1288"/>
    <mergeCell ref="BP1288:BQ1288"/>
    <mergeCell ref="BT1288:CC1288"/>
    <mergeCell ref="BH1299:BJ1299"/>
    <mergeCell ref="BP1299:BQ1299"/>
    <mergeCell ref="BT1299:CC1299"/>
    <mergeCell ref="BP1300:BQ1300"/>
    <mergeCell ref="BT1300:CC1300"/>
    <mergeCell ref="BP1301:BQ1301"/>
    <mergeCell ref="BT1301:CC1301"/>
    <mergeCell ref="BP1297:BQ1297"/>
    <mergeCell ref="BT1297:CC1297"/>
    <mergeCell ref="V1299:AE1299"/>
    <mergeCell ref="AF1299:AG1299"/>
    <mergeCell ref="AI1299:AL1299"/>
    <mergeCell ref="AN1299:AO1299"/>
    <mergeCell ref="AQ1299:AU1299"/>
    <mergeCell ref="AW1299:AX1299"/>
    <mergeCell ref="AZ1299:BD1299"/>
    <mergeCell ref="BF1299:BG1299"/>
    <mergeCell ref="AE1297:AS1297"/>
    <mergeCell ref="AT1297:AU1297"/>
    <mergeCell ref="AV1297:AW1297"/>
    <mergeCell ref="AX1297:BC1297"/>
    <mergeCell ref="BE1297:BF1297"/>
    <mergeCell ref="BL1297:BN1297"/>
    <mergeCell ref="A1309:H1309"/>
    <mergeCell ref="AJ1309:AP1309"/>
    <mergeCell ref="AE1312:AS1312"/>
    <mergeCell ref="AT1312:AU1312"/>
    <mergeCell ref="AV1312:AW1312"/>
    <mergeCell ref="AX1312:BC1312"/>
    <mergeCell ref="BP1305:BQ1305"/>
    <mergeCell ref="BT1305:CC1305"/>
    <mergeCell ref="BT1306:CC1306"/>
    <mergeCell ref="A1308:F1308"/>
    <mergeCell ref="G1308:I1308"/>
    <mergeCell ref="J1308:K1308"/>
    <mergeCell ref="AS1303:BB1303"/>
    <mergeCell ref="BD1303:BE1303"/>
    <mergeCell ref="BG1303:BK1303"/>
    <mergeCell ref="BP1303:BQ1303"/>
    <mergeCell ref="BT1303:CC1303"/>
    <mergeCell ref="AS1304:BB1304"/>
    <mergeCell ref="BD1304:BE1304"/>
    <mergeCell ref="BG1304:BK1304"/>
    <mergeCell ref="BP1304:BQ1304"/>
    <mergeCell ref="BT1304:CC1304"/>
    <mergeCell ref="AZ1314:BD1314"/>
    <mergeCell ref="BF1314:BG1314"/>
    <mergeCell ref="BH1314:BJ1314"/>
    <mergeCell ref="BP1314:BQ1314"/>
    <mergeCell ref="BT1314:CC1314"/>
    <mergeCell ref="BP1315:BQ1315"/>
    <mergeCell ref="BT1315:CC1315"/>
    <mergeCell ref="BE1312:BF1312"/>
    <mergeCell ref="BL1312:BN1312"/>
    <mergeCell ref="BP1312:BQ1312"/>
    <mergeCell ref="BT1312:CC1312"/>
    <mergeCell ref="V1314:AE1314"/>
    <mergeCell ref="AF1314:AG1314"/>
    <mergeCell ref="AI1314:AL1314"/>
    <mergeCell ref="AN1314:AO1314"/>
    <mergeCell ref="AQ1314:AU1314"/>
    <mergeCell ref="AW1314:AX1314"/>
    <mergeCell ref="BT1321:CC1321"/>
    <mergeCell ref="A1323:F1323"/>
    <mergeCell ref="G1323:I1323"/>
    <mergeCell ref="J1323:K1323"/>
    <mergeCell ref="A1324:H1324"/>
    <mergeCell ref="AJ1324:AP1324"/>
    <mergeCell ref="AS1319:BB1319"/>
    <mergeCell ref="BD1319:BE1319"/>
    <mergeCell ref="BG1319:BK1319"/>
    <mergeCell ref="BP1319:BQ1319"/>
    <mergeCell ref="BT1319:CC1319"/>
    <mergeCell ref="BP1320:BQ1320"/>
    <mergeCell ref="BT1320:CC1320"/>
    <mergeCell ref="BP1316:BQ1316"/>
    <mergeCell ref="BT1316:CC1316"/>
    <mergeCell ref="AS1318:BB1318"/>
    <mergeCell ref="BD1318:BE1318"/>
    <mergeCell ref="BG1318:BK1318"/>
    <mergeCell ref="BP1318:BQ1318"/>
    <mergeCell ref="BT1318:CC1318"/>
    <mergeCell ref="BH1329:BJ1329"/>
    <mergeCell ref="BP1329:BQ1329"/>
    <mergeCell ref="BT1329:CC1329"/>
    <mergeCell ref="BP1330:BQ1330"/>
    <mergeCell ref="BT1330:CC1330"/>
    <mergeCell ref="BP1331:BQ1331"/>
    <mergeCell ref="BT1331:CC1331"/>
    <mergeCell ref="BP1327:BQ1327"/>
    <mergeCell ref="BT1327:CC1327"/>
    <mergeCell ref="V1329:AE1329"/>
    <mergeCell ref="AF1329:AG1329"/>
    <mergeCell ref="AI1329:AL1329"/>
    <mergeCell ref="AN1329:AO1329"/>
    <mergeCell ref="AQ1329:AU1329"/>
    <mergeCell ref="AW1329:AX1329"/>
    <mergeCell ref="AZ1329:BD1329"/>
    <mergeCell ref="BF1329:BG1329"/>
    <mergeCell ref="AE1327:AS1327"/>
    <mergeCell ref="AT1327:AU1327"/>
    <mergeCell ref="AV1327:AW1327"/>
    <mergeCell ref="AX1327:BC1327"/>
    <mergeCell ref="BE1327:BF1327"/>
    <mergeCell ref="BL1327:BN1327"/>
    <mergeCell ref="A1339:H1339"/>
    <mergeCell ref="AJ1339:AP1339"/>
    <mergeCell ref="AE1342:AS1342"/>
    <mergeCell ref="AT1342:AU1342"/>
    <mergeCell ref="AV1342:AW1342"/>
    <mergeCell ref="AX1342:BC1342"/>
    <mergeCell ref="BP1335:BQ1335"/>
    <mergeCell ref="BT1335:CC1335"/>
    <mergeCell ref="BT1336:CC1336"/>
    <mergeCell ref="A1338:F1338"/>
    <mergeCell ref="G1338:I1338"/>
    <mergeCell ref="J1338:K1338"/>
    <mergeCell ref="AS1333:BB1333"/>
    <mergeCell ref="BD1333:BE1333"/>
    <mergeCell ref="BG1333:BK1333"/>
    <mergeCell ref="BP1333:BQ1333"/>
    <mergeCell ref="BT1333:CC1333"/>
    <mergeCell ref="AS1334:BB1334"/>
    <mergeCell ref="BD1334:BE1334"/>
    <mergeCell ref="BG1334:BK1334"/>
    <mergeCell ref="BP1334:BQ1334"/>
    <mergeCell ref="BT1334:CC1334"/>
    <mergeCell ref="AZ1344:BD1344"/>
    <mergeCell ref="BF1344:BG1344"/>
    <mergeCell ref="BH1344:BJ1344"/>
    <mergeCell ref="BP1344:BQ1344"/>
    <mergeCell ref="BT1344:CC1344"/>
    <mergeCell ref="BP1345:BQ1345"/>
    <mergeCell ref="BT1345:CC1345"/>
    <mergeCell ref="BE1342:BF1342"/>
    <mergeCell ref="BL1342:BN1342"/>
    <mergeCell ref="BP1342:BQ1342"/>
    <mergeCell ref="BT1342:CC1342"/>
    <mergeCell ref="V1344:AE1344"/>
    <mergeCell ref="AF1344:AG1344"/>
    <mergeCell ref="AI1344:AL1344"/>
    <mergeCell ref="AN1344:AO1344"/>
    <mergeCell ref="AQ1344:AU1344"/>
    <mergeCell ref="AW1344:AX1344"/>
    <mergeCell ref="BT1351:CC1351"/>
    <mergeCell ref="A1353:F1353"/>
    <mergeCell ref="G1353:I1353"/>
    <mergeCell ref="J1353:K1353"/>
    <mergeCell ref="A1354:H1354"/>
    <mergeCell ref="AJ1354:AP1354"/>
    <mergeCell ref="AS1349:BB1349"/>
    <mergeCell ref="BD1349:BE1349"/>
    <mergeCell ref="BG1349:BK1349"/>
    <mergeCell ref="BP1349:BQ1349"/>
    <mergeCell ref="BT1349:CC1349"/>
    <mergeCell ref="BP1350:BQ1350"/>
    <mergeCell ref="BT1350:CC1350"/>
    <mergeCell ref="BP1346:BQ1346"/>
    <mergeCell ref="BT1346:CC1346"/>
    <mergeCell ref="AS1348:BB1348"/>
    <mergeCell ref="BD1348:BE1348"/>
    <mergeCell ref="BG1348:BK1348"/>
    <mergeCell ref="BP1348:BQ1348"/>
    <mergeCell ref="BT1348:CC1348"/>
    <mergeCell ref="BH1359:BJ1359"/>
    <mergeCell ref="BP1359:BQ1359"/>
    <mergeCell ref="BT1359:CC1359"/>
    <mergeCell ref="BP1360:BQ1360"/>
    <mergeCell ref="BT1360:CC1360"/>
    <mergeCell ref="BP1361:BQ1361"/>
    <mergeCell ref="BT1361:CC1361"/>
    <mergeCell ref="BP1357:BQ1357"/>
    <mergeCell ref="BT1357:CC1357"/>
    <mergeCell ref="V1359:AE1359"/>
    <mergeCell ref="AF1359:AG1359"/>
    <mergeCell ref="AI1359:AL1359"/>
    <mergeCell ref="AN1359:AO1359"/>
    <mergeCell ref="AQ1359:AU1359"/>
    <mergeCell ref="AW1359:AX1359"/>
    <mergeCell ref="AZ1359:BD1359"/>
    <mergeCell ref="BF1359:BG1359"/>
    <mergeCell ref="AE1357:AS1357"/>
    <mergeCell ref="AT1357:AU1357"/>
    <mergeCell ref="AV1357:AW1357"/>
    <mergeCell ref="AX1357:BC1357"/>
    <mergeCell ref="BE1357:BF1357"/>
    <mergeCell ref="BL1357:BN1357"/>
    <mergeCell ref="A1369:H1369"/>
    <mergeCell ref="AJ1369:AP1369"/>
    <mergeCell ref="AE1372:AS1372"/>
    <mergeCell ref="AT1372:AU1372"/>
    <mergeCell ref="AV1372:AW1372"/>
    <mergeCell ref="AX1372:BC1372"/>
    <mergeCell ref="BP1365:BQ1365"/>
    <mergeCell ref="BT1365:CC1365"/>
    <mergeCell ref="BT1366:CC1366"/>
    <mergeCell ref="A1368:F1368"/>
    <mergeCell ref="G1368:I1368"/>
    <mergeCell ref="J1368:K1368"/>
    <mergeCell ref="AS1363:BB1363"/>
    <mergeCell ref="BD1363:BE1363"/>
    <mergeCell ref="BG1363:BK1363"/>
    <mergeCell ref="BP1363:BQ1363"/>
    <mergeCell ref="BT1363:CC1363"/>
    <mergeCell ref="AS1364:BB1364"/>
    <mergeCell ref="BD1364:BE1364"/>
    <mergeCell ref="BG1364:BK1364"/>
    <mergeCell ref="BP1364:BQ1364"/>
    <mergeCell ref="BT1364:CC1364"/>
    <mergeCell ref="AZ1374:BD1374"/>
    <mergeCell ref="BF1374:BG1374"/>
    <mergeCell ref="BH1374:BJ1374"/>
    <mergeCell ref="BP1374:BQ1374"/>
    <mergeCell ref="BT1374:CC1374"/>
    <mergeCell ref="BP1375:BQ1375"/>
    <mergeCell ref="BT1375:CC1375"/>
    <mergeCell ref="BE1372:BF1372"/>
    <mergeCell ref="BL1372:BN1372"/>
    <mergeCell ref="BP1372:BQ1372"/>
    <mergeCell ref="BT1372:CC1372"/>
    <mergeCell ref="V1374:AE1374"/>
    <mergeCell ref="AF1374:AG1374"/>
    <mergeCell ref="AI1374:AL1374"/>
    <mergeCell ref="AN1374:AO1374"/>
    <mergeCell ref="AQ1374:AU1374"/>
    <mergeCell ref="AW1374:AX1374"/>
    <mergeCell ref="BT1381:CC1381"/>
    <mergeCell ref="A1383:F1383"/>
    <mergeCell ref="G1383:I1383"/>
    <mergeCell ref="J1383:K1383"/>
    <mergeCell ref="A1384:H1384"/>
    <mergeCell ref="AJ1384:AP1384"/>
    <mergeCell ref="AS1379:BB1379"/>
    <mergeCell ref="BD1379:BE1379"/>
    <mergeCell ref="BG1379:BK1379"/>
    <mergeCell ref="BP1379:BQ1379"/>
    <mergeCell ref="BT1379:CC1379"/>
    <mergeCell ref="BP1380:BQ1380"/>
    <mergeCell ref="BT1380:CC1380"/>
    <mergeCell ref="BP1376:BQ1376"/>
    <mergeCell ref="BT1376:CC1376"/>
    <mergeCell ref="AS1378:BB1378"/>
    <mergeCell ref="BD1378:BE1378"/>
    <mergeCell ref="BG1378:BK1378"/>
    <mergeCell ref="BP1378:BQ1378"/>
    <mergeCell ref="BT1378:CC1378"/>
    <mergeCell ref="BH1389:BJ1389"/>
    <mergeCell ref="BP1389:BQ1389"/>
    <mergeCell ref="BT1389:CC1389"/>
    <mergeCell ref="BP1390:BQ1390"/>
    <mergeCell ref="BT1390:CC1390"/>
    <mergeCell ref="BP1391:BQ1391"/>
    <mergeCell ref="BT1391:CC1391"/>
    <mergeCell ref="BP1387:BQ1387"/>
    <mergeCell ref="BT1387:CC1387"/>
    <mergeCell ref="V1389:AE1389"/>
    <mergeCell ref="AF1389:AG1389"/>
    <mergeCell ref="AI1389:AL1389"/>
    <mergeCell ref="AN1389:AO1389"/>
    <mergeCell ref="AQ1389:AU1389"/>
    <mergeCell ref="AW1389:AX1389"/>
    <mergeCell ref="AZ1389:BD1389"/>
    <mergeCell ref="BF1389:BG1389"/>
    <mergeCell ref="AE1387:AS1387"/>
    <mergeCell ref="AT1387:AU1387"/>
    <mergeCell ref="AV1387:AW1387"/>
    <mergeCell ref="AX1387:BC1387"/>
    <mergeCell ref="BE1387:BF1387"/>
    <mergeCell ref="BL1387:BN1387"/>
    <mergeCell ref="A1399:H1399"/>
    <mergeCell ref="AJ1399:AP1399"/>
    <mergeCell ref="AE1402:AS1402"/>
    <mergeCell ref="AT1402:AU1402"/>
    <mergeCell ref="AV1402:AW1402"/>
    <mergeCell ref="AX1402:BC1402"/>
    <mergeCell ref="BP1395:BQ1395"/>
    <mergeCell ref="BT1395:CC1395"/>
    <mergeCell ref="BT1396:CC1396"/>
    <mergeCell ref="A1398:F1398"/>
    <mergeCell ref="G1398:I1398"/>
    <mergeCell ref="J1398:K1398"/>
    <mergeCell ref="AS1393:BB1393"/>
    <mergeCell ref="BD1393:BE1393"/>
    <mergeCell ref="BG1393:BK1393"/>
    <mergeCell ref="BP1393:BQ1393"/>
    <mergeCell ref="BT1393:CC1393"/>
    <mergeCell ref="AS1394:BB1394"/>
    <mergeCell ref="BD1394:BE1394"/>
    <mergeCell ref="BG1394:BK1394"/>
    <mergeCell ref="BP1394:BQ1394"/>
    <mergeCell ref="BT1394:CC1394"/>
    <mergeCell ref="AZ1404:BD1404"/>
    <mergeCell ref="BF1404:BG1404"/>
    <mergeCell ref="BH1404:BJ1404"/>
    <mergeCell ref="BP1404:BQ1404"/>
    <mergeCell ref="BT1404:CC1404"/>
    <mergeCell ref="BP1405:BQ1405"/>
    <mergeCell ref="BT1405:CC1405"/>
    <mergeCell ref="BE1402:BF1402"/>
    <mergeCell ref="BL1402:BN1402"/>
    <mergeCell ref="BP1402:BQ1402"/>
    <mergeCell ref="BT1402:CC1402"/>
    <mergeCell ref="V1404:AE1404"/>
    <mergeCell ref="AF1404:AG1404"/>
    <mergeCell ref="AI1404:AL1404"/>
    <mergeCell ref="AN1404:AO1404"/>
    <mergeCell ref="AQ1404:AU1404"/>
    <mergeCell ref="AW1404:AX1404"/>
    <mergeCell ref="BT1411:CC1411"/>
    <mergeCell ref="A1413:F1413"/>
    <mergeCell ref="G1413:I1413"/>
    <mergeCell ref="J1413:K1413"/>
    <mergeCell ref="A1414:H1414"/>
    <mergeCell ref="AJ1414:AP1414"/>
    <mergeCell ref="AS1409:BB1409"/>
    <mergeCell ref="BD1409:BE1409"/>
    <mergeCell ref="BG1409:BK1409"/>
    <mergeCell ref="BP1409:BQ1409"/>
    <mergeCell ref="BT1409:CC1409"/>
    <mergeCell ref="BP1410:BQ1410"/>
    <mergeCell ref="BT1410:CC1410"/>
    <mergeCell ref="BP1406:BQ1406"/>
    <mergeCell ref="BT1406:CC1406"/>
    <mergeCell ref="AS1408:BB1408"/>
    <mergeCell ref="BD1408:BE1408"/>
    <mergeCell ref="BG1408:BK1408"/>
    <mergeCell ref="BP1408:BQ1408"/>
    <mergeCell ref="BT1408:CC1408"/>
    <mergeCell ref="BH1419:BJ1419"/>
    <mergeCell ref="BP1419:BQ1419"/>
    <mergeCell ref="BT1419:CC1419"/>
    <mergeCell ref="BP1420:BQ1420"/>
    <mergeCell ref="BT1420:CC1420"/>
    <mergeCell ref="BP1421:BQ1421"/>
    <mergeCell ref="BT1421:CC1421"/>
    <mergeCell ref="BP1417:BQ1417"/>
    <mergeCell ref="BT1417:CC1417"/>
    <mergeCell ref="V1419:AE1419"/>
    <mergeCell ref="AF1419:AG1419"/>
    <mergeCell ref="AI1419:AL1419"/>
    <mergeCell ref="AN1419:AO1419"/>
    <mergeCell ref="AQ1419:AU1419"/>
    <mergeCell ref="AW1419:AX1419"/>
    <mergeCell ref="AZ1419:BD1419"/>
    <mergeCell ref="BF1419:BG1419"/>
    <mergeCell ref="AE1417:AS1417"/>
    <mergeCell ref="AT1417:AU1417"/>
    <mergeCell ref="AV1417:AW1417"/>
    <mergeCell ref="AX1417:BC1417"/>
    <mergeCell ref="BE1417:BF1417"/>
    <mergeCell ref="BL1417:BN1417"/>
    <mergeCell ref="A1429:H1429"/>
    <mergeCell ref="AJ1429:AP1429"/>
    <mergeCell ref="AE1432:AS1432"/>
    <mergeCell ref="AT1432:AU1432"/>
    <mergeCell ref="AV1432:AW1432"/>
    <mergeCell ref="AX1432:BC1432"/>
    <mergeCell ref="BP1425:BQ1425"/>
    <mergeCell ref="BT1425:CC1425"/>
    <mergeCell ref="BT1426:CC1426"/>
    <mergeCell ref="A1428:F1428"/>
    <mergeCell ref="G1428:I1428"/>
    <mergeCell ref="J1428:K1428"/>
    <mergeCell ref="AS1423:BB1423"/>
    <mergeCell ref="BD1423:BE1423"/>
    <mergeCell ref="BG1423:BK1423"/>
    <mergeCell ref="BP1423:BQ1423"/>
    <mergeCell ref="BT1423:CC1423"/>
    <mergeCell ref="AS1424:BB1424"/>
    <mergeCell ref="BD1424:BE1424"/>
    <mergeCell ref="BG1424:BK1424"/>
    <mergeCell ref="BP1424:BQ1424"/>
    <mergeCell ref="BT1424:CC1424"/>
    <mergeCell ref="AZ1434:BD1434"/>
    <mergeCell ref="BF1434:BG1434"/>
    <mergeCell ref="BH1434:BJ1434"/>
    <mergeCell ref="BP1434:BQ1434"/>
    <mergeCell ref="BT1434:CC1434"/>
    <mergeCell ref="BP1435:BQ1435"/>
    <mergeCell ref="BT1435:CC1435"/>
    <mergeCell ref="BE1432:BF1432"/>
    <mergeCell ref="BL1432:BN1432"/>
    <mergeCell ref="BP1432:BQ1432"/>
    <mergeCell ref="BT1432:CC1432"/>
    <mergeCell ref="V1434:AE1434"/>
    <mergeCell ref="AF1434:AG1434"/>
    <mergeCell ref="AI1434:AL1434"/>
    <mergeCell ref="AN1434:AO1434"/>
    <mergeCell ref="AQ1434:AU1434"/>
    <mergeCell ref="AW1434:AX1434"/>
    <mergeCell ref="BT1441:CC1441"/>
    <mergeCell ref="A1443:F1443"/>
    <mergeCell ref="G1443:I1443"/>
    <mergeCell ref="J1443:K1443"/>
    <mergeCell ref="A1444:H1444"/>
    <mergeCell ref="AJ1444:AP1444"/>
    <mergeCell ref="AS1439:BB1439"/>
    <mergeCell ref="BD1439:BE1439"/>
    <mergeCell ref="BG1439:BK1439"/>
    <mergeCell ref="BP1439:BQ1439"/>
    <mergeCell ref="BT1439:CC1439"/>
    <mergeCell ref="BP1440:BQ1440"/>
    <mergeCell ref="BT1440:CC1440"/>
    <mergeCell ref="BP1436:BQ1436"/>
    <mergeCell ref="BT1436:CC1436"/>
    <mergeCell ref="AS1438:BB1438"/>
    <mergeCell ref="BD1438:BE1438"/>
    <mergeCell ref="BG1438:BK1438"/>
    <mergeCell ref="BP1438:BQ1438"/>
    <mergeCell ref="BT1438:CC1438"/>
    <mergeCell ref="BH1449:BJ1449"/>
    <mergeCell ref="BP1449:BQ1449"/>
    <mergeCell ref="BT1449:CC1449"/>
    <mergeCell ref="BP1450:BQ1450"/>
    <mergeCell ref="BT1450:CC1450"/>
    <mergeCell ref="BP1451:BQ1451"/>
    <mergeCell ref="BT1451:CC1451"/>
    <mergeCell ref="BP1447:BQ1447"/>
    <mergeCell ref="BT1447:CC1447"/>
    <mergeCell ref="V1449:AE1449"/>
    <mergeCell ref="AF1449:AG1449"/>
    <mergeCell ref="AI1449:AL1449"/>
    <mergeCell ref="AN1449:AO1449"/>
    <mergeCell ref="AQ1449:AU1449"/>
    <mergeCell ref="AW1449:AX1449"/>
    <mergeCell ref="AZ1449:BD1449"/>
    <mergeCell ref="BF1449:BG1449"/>
    <mergeCell ref="AE1447:AS1447"/>
    <mergeCell ref="AT1447:AU1447"/>
    <mergeCell ref="AV1447:AW1447"/>
    <mergeCell ref="AX1447:BC1447"/>
    <mergeCell ref="BE1447:BF1447"/>
    <mergeCell ref="BL1447:BN1447"/>
    <mergeCell ref="A1459:H1459"/>
    <mergeCell ref="AJ1459:AP1459"/>
    <mergeCell ref="AE1462:AS1462"/>
    <mergeCell ref="AT1462:AU1462"/>
    <mergeCell ref="AV1462:AW1462"/>
    <mergeCell ref="AX1462:BC1462"/>
    <mergeCell ref="BP1455:BQ1455"/>
    <mergeCell ref="BT1455:CC1455"/>
    <mergeCell ref="BT1456:CC1456"/>
    <mergeCell ref="A1458:F1458"/>
    <mergeCell ref="G1458:I1458"/>
    <mergeCell ref="J1458:K1458"/>
    <mergeCell ref="AS1453:BB1453"/>
    <mergeCell ref="BD1453:BE1453"/>
    <mergeCell ref="BG1453:BK1453"/>
    <mergeCell ref="BP1453:BQ1453"/>
    <mergeCell ref="BT1453:CC1453"/>
    <mergeCell ref="AS1454:BB1454"/>
    <mergeCell ref="BD1454:BE1454"/>
    <mergeCell ref="BG1454:BK1454"/>
    <mergeCell ref="BP1454:BQ1454"/>
    <mergeCell ref="BT1454:CC1454"/>
    <mergeCell ref="AZ1464:BD1464"/>
    <mergeCell ref="BF1464:BG1464"/>
    <mergeCell ref="BH1464:BJ1464"/>
    <mergeCell ref="BP1464:BQ1464"/>
    <mergeCell ref="BT1464:CC1464"/>
    <mergeCell ref="BP1465:BQ1465"/>
    <mergeCell ref="BT1465:CC1465"/>
    <mergeCell ref="BE1462:BF1462"/>
    <mergeCell ref="BL1462:BN1462"/>
    <mergeCell ref="BP1462:BQ1462"/>
    <mergeCell ref="BT1462:CC1462"/>
    <mergeCell ref="V1464:AE1464"/>
    <mergeCell ref="AF1464:AG1464"/>
    <mergeCell ref="AI1464:AL1464"/>
    <mergeCell ref="AN1464:AO1464"/>
    <mergeCell ref="AQ1464:AU1464"/>
    <mergeCell ref="AW1464:AX1464"/>
    <mergeCell ref="BT1471:CC1471"/>
    <mergeCell ref="A1473:F1473"/>
    <mergeCell ref="G1473:I1473"/>
    <mergeCell ref="J1473:K1473"/>
    <mergeCell ref="A1474:H1474"/>
    <mergeCell ref="AJ1474:AP1474"/>
    <mergeCell ref="AS1469:BB1469"/>
    <mergeCell ref="BD1469:BE1469"/>
    <mergeCell ref="BG1469:BK1469"/>
    <mergeCell ref="BP1469:BQ1469"/>
    <mergeCell ref="BT1469:CC1469"/>
    <mergeCell ref="BP1470:BQ1470"/>
    <mergeCell ref="BT1470:CC1470"/>
    <mergeCell ref="BP1466:BQ1466"/>
    <mergeCell ref="BT1466:CC1466"/>
    <mergeCell ref="AS1468:BB1468"/>
    <mergeCell ref="BD1468:BE1468"/>
    <mergeCell ref="BG1468:BK1468"/>
    <mergeCell ref="BP1468:BQ1468"/>
    <mergeCell ref="BT1468:CC1468"/>
    <mergeCell ref="BH1479:BJ1479"/>
    <mergeCell ref="BP1479:BQ1479"/>
    <mergeCell ref="BT1479:CC1479"/>
    <mergeCell ref="BP1480:BQ1480"/>
    <mergeCell ref="BT1480:CC1480"/>
    <mergeCell ref="BP1481:BQ1481"/>
    <mergeCell ref="BT1481:CC1481"/>
    <mergeCell ref="BP1477:BQ1477"/>
    <mergeCell ref="BT1477:CC1477"/>
    <mergeCell ref="V1479:AE1479"/>
    <mergeCell ref="AF1479:AG1479"/>
    <mergeCell ref="AI1479:AL1479"/>
    <mergeCell ref="AN1479:AO1479"/>
    <mergeCell ref="AQ1479:AU1479"/>
    <mergeCell ref="AW1479:AX1479"/>
    <mergeCell ref="AZ1479:BD1479"/>
    <mergeCell ref="BF1479:BG1479"/>
    <mergeCell ref="AE1477:AS1477"/>
    <mergeCell ref="AT1477:AU1477"/>
    <mergeCell ref="AV1477:AW1477"/>
    <mergeCell ref="AX1477:BC1477"/>
    <mergeCell ref="BE1477:BF1477"/>
    <mergeCell ref="BL1477:BN1477"/>
    <mergeCell ref="A1489:H1489"/>
    <mergeCell ref="AJ1489:AP1489"/>
    <mergeCell ref="AE1492:AS1492"/>
    <mergeCell ref="AT1492:AU1492"/>
    <mergeCell ref="AV1492:AW1492"/>
    <mergeCell ref="AX1492:BC1492"/>
    <mergeCell ref="BP1485:BQ1485"/>
    <mergeCell ref="BT1485:CC1485"/>
    <mergeCell ref="BT1486:CC1486"/>
    <mergeCell ref="A1488:F1488"/>
    <mergeCell ref="G1488:I1488"/>
    <mergeCell ref="J1488:K1488"/>
    <mergeCell ref="AS1483:BB1483"/>
    <mergeCell ref="BD1483:BE1483"/>
    <mergeCell ref="BG1483:BK1483"/>
    <mergeCell ref="BP1483:BQ1483"/>
    <mergeCell ref="BT1483:CC1483"/>
    <mergeCell ref="AS1484:BB1484"/>
    <mergeCell ref="BD1484:BE1484"/>
    <mergeCell ref="BG1484:BK1484"/>
    <mergeCell ref="BP1484:BQ1484"/>
    <mergeCell ref="BT1484:CC1484"/>
    <mergeCell ref="AZ1494:BD1494"/>
    <mergeCell ref="BF1494:BG1494"/>
    <mergeCell ref="BH1494:BJ1494"/>
    <mergeCell ref="BP1494:BQ1494"/>
    <mergeCell ref="BT1494:CC1494"/>
    <mergeCell ref="BP1495:BQ1495"/>
    <mergeCell ref="BT1495:CC1495"/>
    <mergeCell ref="BE1492:BF1492"/>
    <mergeCell ref="BL1492:BN1492"/>
    <mergeCell ref="BP1492:BQ1492"/>
    <mergeCell ref="BT1492:CC1492"/>
    <mergeCell ref="V1494:AE1494"/>
    <mergeCell ref="AF1494:AG1494"/>
    <mergeCell ref="AI1494:AL1494"/>
    <mergeCell ref="AN1494:AO1494"/>
    <mergeCell ref="AQ1494:AU1494"/>
    <mergeCell ref="AW1494:AX1494"/>
    <mergeCell ref="BT1501:CC1501"/>
    <mergeCell ref="A1503:F1503"/>
    <mergeCell ref="G1503:I1503"/>
    <mergeCell ref="J1503:K1503"/>
    <mergeCell ref="A1504:H1504"/>
    <mergeCell ref="AJ1504:AP1504"/>
    <mergeCell ref="AS1499:BB1499"/>
    <mergeCell ref="BD1499:BE1499"/>
    <mergeCell ref="BG1499:BK1499"/>
    <mergeCell ref="BP1499:BQ1499"/>
    <mergeCell ref="BT1499:CC1499"/>
    <mergeCell ref="BP1500:BQ1500"/>
    <mergeCell ref="BT1500:CC1500"/>
    <mergeCell ref="BP1496:BQ1496"/>
    <mergeCell ref="BT1496:CC1496"/>
    <mergeCell ref="AS1498:BB1498"/>
    <mergeCell ref="BD1498:BE1498"/>
    <mergeCell ref="BG1498:BK1498"/>
    <mergeCell ref="BP1498:BQ1498"/>
    <mergeCell ref="BT1498:CC1498"/>
    <mergeCell ref="BH1509:BJ1509"/>
    <mergeCell ref="BP1509:BQ1509"/>
    <mergeCell ref="BT1509:CC1509"/>
    <mergeCell ref="BP1510:BQ1510"/>
    <mergeCell ref="BT1510:CC1510"/>
    <mergeCell ref="BP1511:BQ1511"/>
    <mergeCell ref="BT1511:CC1511"/>
    <mergeCell ref="BP1507:BQ1507"/>
    <mergeCell ref="BT1507:CC1507"/>
    <mergeCell ref="V1509:AE1509"/>
    <mergeCell ref="AF1509:AG1509"/>
    <mergeCell ref="AI1509:AL1509"/>
    <mergeCell ref="AN1509:AO1509"/>
    <mergeCell ref="AQ1509:AU1509"/>
    <mergeCell ref="AW1509:AX1509"/>
    <mergeCell ref="AZ1509:BD1509"/>
    <mergeCell ref="BF1509:BG1509"/>
    <mergeCell ref="AE1507:AS1507"/>
    <mergeCell ref="AT1507:AU1507"/>
    <mergeCell ref="AV1507:AW1507"/>
    <mergeCell ref="AX1507:BC1507"/>
    <mergeCell ref="BE1507:BF1507"/>
    <mergeCell ref="BL1507:BN1507"/>
    <mergeCell ref="A1519:H1519"/>
    <mergeCell ref="AJ1519:AP1519"/>
    <mergeCell ref="AE1522:AS1522"/>
    <mergeCell ref="AT1522:AU1522"/>
    <mergeCell ref="AV1522:AW1522"/>
    <mergeCell ref="AX1522:BC1522"/>
    <mergeCell ref="BP1515:BQ1515"/>
    <mergeCell ref="BT1515:CC1515"/>
    <mergeCell ref="BT1516:CC1516"/>
    <mergeCell ref="A1518:F1518"/>
    <mergeCell ref="G1518:J1518"/>
    <mergeCell ref="K1518:L1518"/>
    <mergeCell ref="AS1513:BB1513"/>
    <mergeCell ref="BD1513:BE1513"/>
    <mergeCell ref="BG1513:BK1513"/>
    <mergeCell ref="BP1513:BQ1513"/>
    <mergeCell ref="BT1513:CC1513"/>
    <mergeCell ref="AS1514:BB1514"/>
    <mergeCell ref="BD1514:BE1514"/>
    <mergeCell ref="BG1514:BK1514"/>
    <mergeCell ref="BP1514:BQ1514"/>
    <mergeCell ref="BT1514:CC1514"/>
    <mergeCell ref="AZ1524:BD1524"/>
    <mergeCell ref="BF1524:BG1524"/>
    <mergeCell ref="BH1524:BJ1524"/>
    <mergeCell ref="BP1524:BQ1524"/>
    <mergeCell ref="BT1524:CC1524"/>
    <mergeCell ref="BP1525:BQ1525"/>
    <mergeCell ref="BT1525:CC1525"/>
    <mergeCell ref="BE1522:BF1522"/>
    <mergeCell ref="BL1522:BN1522"/>
    <mergeCell ref="BP1522:BQ1522"/>
    <mergeCell ref="BT1522:CC1522"/>
    <mergeCell ref="V1524:AE1524"/>
    <mergeCell ref="AF1524:AG1524"/>
    <mergeCell ref="AI1524:AL1524"/>
    <mergeCell ref="AN1524:AO1524"/>
    <mergeCell ref="AQ1524:AU1524"/>
    <mergeCell ref="AW1524:AX1524"/>
    <mergeCell ref="BT1531:CC1531"/>
    <mergeCell ref="A1533:F1533"/>
    <mergeCell ref="G1533:J1533"/>
    <mergeCell ref="K1533:L1533"/>
    <mergeCell ref="A1534:H1534"/>
    <mergeCell ref="AJ1534:AP1534"/>
    <mergeCell ref="AS1529:BB1529"/>
    <mergeCell ref="BD1529:BE1529"/>
    <mergeCell ref="BG1529:BK1529"/>
    <mergeCell ref="BP1529:BQ1529"/>
    <mergeCell ref="BT1529:CC1529"/>
    <mergeCell ref="BP1530:BQ1530"/>
    <mergeCell ref="BT1530:CC1530"/>
    <mergeCell ref="BP1526:BQ1526"/>
    <mergeCell ref="BT1526:CC1526"/>
    <mergeCell ref="AS1528:BB1528"/>
    <mergeCell ref="BD1528:BE1528"/>
    <mergeCell ref="BG1528:BK1528"/>
    <mergeCell ref="BP1528:BQ1528"/>
    <mergeCell ref="BT1528:CC1528"/>
    <mergeCell ref="BH1539:BJ1539"/>
    <mergeCell ref="BP1539:BQ1539"/>
    <mergeCell ref="BT1539:CC1539"/>
    <mergeCell ref="BP1540:BQ1540"/>
    <mergeCell ref="BT1540:CC1540"/>
    <mergeCell ref="BP1541:BQ1541"/>
    <mergeCell ref="BT1541:CC1541"/>
    <mergeCell ref="BP1537:BQ1537"/>
    <mergeCell ref="BT1537:CC1537"/>
    <mergeCell ref="V1539:AE1539"/>
    <mergeCell ref="AF1539:AG1539"/>
    <mergeCell ref="AI1539:AL1539"/>
    <mergeCell ref="AN1539:AO1539"/>
    <mergeCell ref="AQ1539:AU1539"/>
    <mergeCell ref="AW1539:AX1539"/>
    <mergeCell ref="AZ1539:BD1539"/>
    <mergeCell ref="BF1539:BG1539"/>
    <mergeCell ref="AE1537:AS1537"/>
    <mergeCell ref="AT1537:AU1537"/>
    <mergeCell ref="AV1537:AW1537"/>
    <mergeCell ref="AX1537:BC1537"/>
    <mergeCell ref="BE1537:BF1537"/>
    <mergeCell ref="BL1537:BN1537"/>
    <mergeCell ref="A1549:H1549"/>
    <mergeCell ref="AJ1549:AP1549"/>
    <mergeCell ref="AE1552:AS1552"/>
    <mergeCell ref="AT1552:AU1552"/>
    <mergeCell ref="AV1552:AW1552"/>
    <mergeCell ref="AX1552:BC1552"/>
    <mergeCell ref="BP1545:BQ1545"/>
    <mergeCell ref="BT1545:CC1545"/>
    <mergeCell ref="BT1546:CC1546"/>
    <mergeCell ref="A1548:F1548"/>
    <mergeCell ref="G1548:J1548"/>
    <mergeCell ref="K1548:L1548"/>
    <mergeCell ref="AS1543:BB1543"/>
    <mergeCell ref="BD1543:BE1543"/>
    <mergeCell ref="BG1543:BK1543"/>
    <mergeCell ref="BP1543:BQ1543"/>
    <mergeCell ref="BT1543:CC1543"/>
    <mergeCell ref="AS1544:BB1544"/>
    <mergeCell ref="BD1544:BE1544"/>
    <mergeCell ref="BG1544:BK1544"/>
    <mergeCell ref="BP1544:BQ1544"/>
    <mergeCell ref="BT1544:CC1544"/>
    <mergeCell ref="AZ1554:BD1554"/>
    <mergeCell ref="BF1554:BG1554"/>
    <mergeCell ref="BH1554:BJ1554"/>
    <mergeCell ref="BP1554:BQ1554"/>
    <mergeCell ref="BT1554:CC1554"/>
    <mergeCell ref="BP1555:BQ1555"/>
    <mergeCell ref="BT1555:CC1555"/>
    <mergeCell ref="BE1552:BF1552"/>
    <mergeCell ref="BL1552:BN1552"/>
    <mergeCell ref="BP1552:BQ1552"/>
    <mergeCell ref="BT1552:CC1552"/>
    <mergeCell ref="V1554:AE1554"/>
    <mergeCell ref="AF1554:AG1554"/>
    <mergeCell ref="AI1554:AL1554"/>
    <mergeCell ref="AN1554:AO1554"/>
    <mergeCell ref="AQ1554:AU1554"/>
    <mergeCell ref="AW1554:AX1554"/>
    <mergeCell ref="A1563:F1563"/>
    <mergeCell ref="G1563:J1563"/>
    <mergeCell ref="K1563:L1563"/>
    <mergeCell ref="A1564:H1564"/>
    <mergeCell ref="AJ1564:AP1564"/>
    <mergeCell ref="AS1559:BB1559"/>
    <mergeCell ref="BD1559:BE1559"/>
    <mergeCell ref="BG1559:BK1559"/>
    <mergeCell ref="BP1559:BQ1559"/>
    <mergeCell ref="BT1559:CC1559"/>
    <mergeCell ref="BP1560:BQ1560"/>
    <mergeCell ref="BT1560:CC1560"/>
    <mergeCell ref="BP1556:BQ1556"/>
    <mergeCell ref="BT1556:CC1556"/>
    <mergeCell ref="AS1558:BB1558"/>
    <mergeCell ref="BD1558:BE1558"/>
    <mergeCell ref="BG1558:BK1558"/>
    <mergeCell ref="BP1558:BQ1558"/>
    <mergeCell ref="BT1558:CC1558"/>
    <mergeCell ref="BT1567:CC1567"/>
    <mergeCell ref="V1569:AE1569"/>
    <mergeCell ref="AF1569:AG1569"/>
    <mergeCell ref="AI1569:AL1569"/>
    <mergeCell ref="AN1569:AO1569"/>
    <mergeCell ref="AS1569:BB1569"/>
    <mergeCell ref="BD1569:BE1569"/>
    <mergeCell ref="BG1569:BK1569"/>
    <mergeCell ref="BP1569:BQ1569"/>
    <mergeCell ref="BT1569:CC1569"/>
    <mergeCell ref="AE1567:AS1567"/>
    <mergeCell ref="AU1567:BB1567"/>
    <mergeCell ref="BD1567:BE1567"/>
    <mergeCell ref="BG1567:BK1567"/>
    <mergeCell ref="BL1567:BN1567"/>
    <mergeCell ref="BP1567:BQ1567"/>
    <mergeCell ref="BT1561:CC1561"/>
    <mergeCell ref="A1578:F1578"/>
    <mergeCell ref="G1578:J1578"/>
    <mergeCell ref="K1578:L1578"/>
    <mergeCell ref="A1579:H1579"/>
    <mergeCell ref="AJ1579:AP1579"/>
    <mergeCell ref="AS1574:BB1574"/>
    <mergeCell ref="BD1574:BE1574"/>
    <mergeCell ref="BG1574:BK1574"/>
    <mergeCell ref="BP1574:BQ1574"/>
    <mergeCell ref="BT1574:CC1574"/>
    <mergeCell ref="BP1575:BQ1575"/>
    <mergeCell ref="BT1575:CC1575"/>
    <mergeCell ref="BP1570:BQ1570"/>
    <mergeCell ref="BT1570:CC1570"/>
    <mergeCell ref="BP1571:BQ1571"/>
    <mergeCell ref="BT1571:CC1571"/>
    <mergeCell ref="AS1573:BB1573"/>
    <mergeCell ref="BD1573:BE1573"/>
    <mergeCell ref="BG1573:BK1573"/>
    <mergeCell ref="BP1573:BQ1573"/>
    <mergeCell ref="BT1573:CC1573"/>
    <mergeCell ref="BT1582:CC1582"/>
    <mergeCell ref="V1584:AE1584"/>
    <mergeCell ref="AF1584:AG1584"/>
    <mergeCell ref="AI1584:AL1584"/>
    <mergeCell ref="AN1584:AO1584"/>
    <mergeCell ref="AS1584:BB1584"/>
    <mergeCell ref="BD1584:BE1584"/>
    <mergeCell ref="BG1584:BK1584"/>
    <mergeCell ref="BP1584:BQ1584"/>
    <mergeCell ref="BT1584:CC1584"/>
    <mergeCell ref="BC1581:BD1581"/>
    <mergeCell ref="AO1582:AZ1582"/>
    <mergeCell ref="BA1582:BB1582"/>
    <mergeCell ref="BD1582:BH1582"/>
    <mergeCell ref="BI1582:BJ1582"/>
    <mergeCell ref="BP1582:BQ1582"/>
    <mergeCell ref="BT1576:CC1576"/>
    <mergeCell ref="A1593:F1593"/>
    <mergeCell ref="G1593:J1593"/>
    <mergeCell ref="K1593:L1593"/>
    <mergeCell ref="A1594:H1594"/>
    <mergeCell ref="AJ1594:AP1594"/>
    <mergeCell ref="AS1589:BB1589"/>
    <mergeCell ref="BD1589:BE1589"/>
    <mergeCell ref="BG1589:BK1589"/>
    <mergeCell ref="BP1589:BQ1589"/>
    <mergeCell ref="BT1589:CC1589"/>
    <mergeCell ref="BP1590:BQ1590"/>
    <mergeCell ref="BT1590:CC1590"/>
    <mergeCell ref="BP1585:BQ1585"/>
    <mergeCell ref="BT1585:CC1585"/>
    <mergeCell ref="BP1586:BQ1586"/>
    <mergeCell ref="BT1586:CC1586"/>
    <mergeCell ref="AS1588:BB1588"/>
    <mergeCell ref="BD1588:BE1588"/>
    <mergeCell ref="BG1588:BK1588"/>
    <mergeCell ref="BP1588:BQ1588"/>
    <mergeCell ref="BT1588:CC1588"/>
    <mergeCell ref="BP1597:BQ1597"/>
    <mergeCell ref="BT1597:CC1597"/>
    <mergeCell ref="V1599:AE1599"/>
    <mergeCell ref="AF1599:AG1599"/>
    <mergeCell ref="AI1599:AL1599"/>
    <mergeCell ref="AN1599:AO1599"/>
    <mergeCell ref="AQ1599:AU1599"/>
    <mergeCell ref="AW1599:AX1599"/>
    <mergeCell ref="AZ1599:BD1599"/>
    <mergeCell ref="BF1599:BG1599"/>
    <mergeCell ref="AO1596:AZ1596"/>
    <mergeCell ref="BA1596:BB1596"/>
    <mergeCell ref="BD1596:BH1596"/>
    <mergeCell ref="BI1596:BJ1596"/>
    <mergeCell ref="BP1596:BQ1596"/>
    <mergeCell ref="BT1596:CC1596"/>
    <mergeCell ref="BT1591:CC1591"/>
    <mergeCell ref="AS1603:BB1603"/>
    <mergeCell ref="BD1603:BE1603"/>
    <mergeCell ref="BG1603:BK1603"/>
    <mergeCell ref="BP1603:BQ1603"/>
    <mergeCell ref="BT1603:CC1603"/>
    <mergeCell ref="AS1604:BB1604"/>
    <mergeCell ref="BD1604:BE1604"/>
    <mergeCell ref="BG1604:BK1604"/>
    <mergeCell ref="BP1604:BQ1604"/>
    <mergeCell ref="BT1604:CC1604"/>
    <mergeCell ref="BH1599:BJ1599"/>
    <mergeCell ref="BP1599:BQ1599"/>
    <mergeCell ref="BT1599:CC1599"/>
    <mergeCell ref="BP1600:BQ1600"/>
    <mergeCell ref="BT1600:CC1600"/>
    <mergeCell ref="BP1601:BQ1601"/>
    <mergeCell ref="BT1601:CC1601"/>
    <mergeCell ref="BE1612:BF1612"/>
    <mergeCell ref="BL1612:BN1612"/>
    <mergeCell ref="BP1612:BQ1612"/>
    <mergeCell ref="BT1612:CC1612"/>
    <mergeCell ref="V1614:AE1614"/>
    <mergeCell ref="AF1614:AG1614"/>
    <mergeCell ref="AI1614:AL1614"/>
    <mergeCell ref="AN1614:AO1614"/>
    <mergeCell ref="AQ1614:AU1614"/>
    <mergeCell ref="AW1614:AX1614"/>
    <mergeCell ref="A1609:H1609"/>
    <mergeCell ref="AJ1609:AP1609"/>
    <mergeCell ref="AE1612:AS1612"/>
    <mergeCell ref="AT1612:AU1612"/>
    <mergeCell ref="AV1612:AW1612"/>
    <mergeCell ref="AX1612:BC1612"/>
    <mergeCell ref="BP1605:BQ1605"/>
    <mergeCell ref="BT1605:CC1605"/>
    <mergeCell ref="BT1606:CC1606"/>
    <mergeCell ref="A1608:F1608"/>
    <mergeCell ref="G1608:I1608"/>
    <mergeCell ref="J1608:K1608"/>
    <mergeCell ref="BT1621:CC1621"/>
    <mergeCell ref="AS1619:BB1619"/>
    <mergeCell ref="BD1619:BE1619"/>
    <mergeCell ref="BG1619:BK1619"/>
    <mergeCell ref="BP1619:BQ1619"/>
    <mergeCell ref="BT1619:CC1619"/>
    <mergeCell ref="BP1620:BQ1620"/>
    <mergeCell ref="BT1620:CC1620"/>
    <mergeCell ref="BP1616:BQ1616"/>
    <mergeCell ref="BT1616:CC1616"/>
    <mergeCell ref="AS1618:BB1618"/>
    <mergeCell ref="BD1618:BE1618"/>
    <mergeCell ref="BG1618:BK1618"/>
    <mergeCell ref="BP1618:BQ1618"/>
    <mergeCell ref="BT1618:CC1618"/>
    <mergeCell ref="AZ1614:BD1614"/>
    <mergeCell ref="BF1614:BG1614"/>
    <mergeCell ref="BH1614:BJ1614"/>
    <mergeCell ref="BP1614:BQ1614"/>
    <mergeCell ref="BT1614:CC1614"/>
    <mergeCell ref="BP1615:BQ1615"/>
    <mergeCell ref="BT1615:CC1615"/>
  </mergeCells>
  <phoneticPr fontId="3" type="noConversion"/>
  <printOptions horizontalCentered="1"/>
  <pageMargins left="0.74803149606299213" right="0.74803149606299213" top="0.98425196850393704" bottom="0.98425196850393704" header="0" footer="0.59055118110236227"/>
  <pageSetup paperSize="9" scale="92" orientation="portrait" r:id="rId1"/>
  <headerFooter alignWithMargins="0"/>
  <rowBreaks count="53" manualBreakCount="53">
    <brk id="32" max="84" man="1"/>
    <brk id="62" max="84" man="1"/>
    <brk id="92" max="84" man="1"/>
    <brk id="122" max="84" man="1"/>
    <brk id="152" max="84" man="1"/>
    <brk id="182" max="84" man="1"/>
    <brk id="212" max="84" man="1"/>
    <brk id="242" max="84" man="1"/>
    <brk id="272" max="84" man="1"/>
    <brk id="302" max="84" man="1"/>
    <brk id="332" max="84" man="1"/>
    <brk id="362" max="84" man="1"/>
    <brk id="392" max="84" man="1"/>
    <brk id="422" max="84" man="1"/>
    <brk id="452" max="84" man="1"/>
    <brk id="482" max="84" man="1"/>
    <brk id="512" max="84" man="1"/>
    <brk id="542" max="84" man="1"/>
    <brk id="572" max="84" man="1"/>
    <brk id="602" max="84" man="1"/>
    <brk id="632" max="84" man="1"/>
    <brk id="662" max="84" man="1"/>
    <brk id="692" max="84" man="1"/>
    <brk id="722" max="84" man="1"/>
    <brk id="752" max="84" man="1"/>
    <brk id="782" max="84" man="1"/>
    <brk id="812" max="84" man="1"/>
    <brk id="842" max="84" man="1"/>
    <brk id="872" max="84" man="1"/>
    <brk id="902" max="84" man="1"/>
    <brk id="932" max="84" man="1"/>
    <brk id="962" max="84" man="1"/>
    <brk id="992" max="84" man="1"/>
    <brk id="1022" max="84" man="1"/>
    <brk id="1052" max="84" man="1"/>
    <brk id="1082" max="84" man="1"/>
    <brk id="1112" max="84" man="1"/>
    <brk id="1142" max="84" man="1"/>
    <brk id="1172" max="84" man="1"/>
    <brk id="1202" max="84" man="1"/>
    <brk id="1232" max="84" man="1"/>
    <brk id="1262" max="84" man="1"/>
    <brk id="1292" max="84" man="1"/>
    <brk id="1322" max="84" man="1"/>
    <brk id="1352" max="84" man="1"/>
    <brk id="1382" max="84" man="1"/>
    <brk id="1412" max="84" man="1"/>
    <brk id="1442" max="84" man="1"/>
    <brk id="1472" max="84" man="1"/>
    <brk id="1502" max="84" man="1"/>
    <brk id="1532" max="84" man="1"/>
    <brk id="1562" max="84" man="1"/>
    <brk id="1592" max="8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Q895"/>
  <sheetViews>
    <sheetView view="pageBreakPreview" topLeftCell="A90" zoomScale="85" zoomScaleNormal="100" zoomScaleSheetLayoutView="85" workbookViewId="0">
      <selection activeCell="CO242" sqref="CO242"/>
    </sheetView>
  </sheetViews>
  <sheetFormatPr defaultColWidth="8.88671875" defaultRowHeight="15"/>
  <cols>
    <col min="1" max="24" width="0.88671875" style="568" customWidth="1"/>
    <col min="25" max="25" width="3.6640625" style="568" bestFit="1" customWidth="1"/>
    <col min="26" max="38" width="0.88671875" style="568" customWidth="1"/>
    <col min="39" max="39" width="1.21875" style="568" customWidth="1"/>
    <col min="40" max="87" width="0.88671875" style="568" customWidth="1"/>
    <col min="88" max="88" width="11.21875" style="567" hidden="1" customWidth="1"/>
    <col min="89" max="89" width="2" style="568" hidden="1" customWidth="1"/>
    <col min="90" max="16384" width="8.88671875" style="568"/>
  </cols>
  <sheetData>
    <row r="1" spans="1:95" s="534" customFormat="1" ht="28.35" customHeight="1">
      <c r="A1" s="1579" t="s">
        <v>784</v>
      </c>
      <c r="B1" s="1579"/>
      <c r="C1" s="1579"/>
      <c r="D1" s="1579"/>
      <c r="E1" s="1579"/>
      <c r="F1" s="1579"/>
      <c r="G1" s="1579"/>
      <c r="H1" s="1579"/>
      <c r="I1" s="1579"/>
      <c r="J1" s="1579"/>
      <c r="K1" s="1579"/>
      <c r="L1" s="1579"/>
      <c r="M1" s="1579"/>
      <c r="N1" s="1579"/>
      <c r="O1" s="1579"/>
      <c r="P1" s="1579"/>
      <c r="Q1" s="1579"/>
      <c r="R1" s="1579"/>
      <c r="S1" s="1579"/>
      <c r="T1" s="1579"/>
      <c r="U1" s="1579"/>
      <c r="V1" s="1579"/>
      <c r="W1" s="1579"/>
      <c r="X1" s="1579"/>
      <c r="Y1" s="1579"/>
      <c r="Z1" s="1579"/>
      <c r="AA1" s="1579"/>
      <c r="AB1" s="1579"/>
      <c r="AC1" s="1579"/>
      <c r="AD1" s="1579"/>
      <c r="AE1" s="1579"/>
      <c r="AF1" s="1579"/>
      <c r="AG1" s="1579"/>
      <c r="AH1" s="1579"/>
      <c r="AI1" s="1579"/>
      <c r="AJ1" s="1579"/>
      <c r="AK1" s="1579"/>
      <c r="AL1" s="1579"/>
      <c r="AM1" s="1579"/>
      <c r="AN1" s="1579"/>
      <c r="AO1" s="1579"/>
      <c r="AP1" s="1579"/>
      <c r="AQ1" s="1579"/>
      <c r="AR1" s="1579"/>
      <c r="AS1" s="1579"/>
      <c r="AT1" s="1579"/>
      <c r="AU1" s="1579"/>
      <c r="AV1" s="1579"/>
      <c r="AW1" s="1579"/>
      <c r="AX1" s="1579"/>
      <c r="AY1" s="1579"/>
      <c r="AZ1" s="1579"/>
      <c r="BA1" s="1579"/>
      <c r="BB1" s="1579"/>
      <c r="BC1" s="1579"/>
      <c r="BD1" s="1579"/>
      <c r="BE1" s="1579"/>
      <c r="BF1" s="1579"/>
      <c r="BG1" s="1579"/>
      <c r="BH1" s="1579"/>
      <c r="BI1" s="1579"/>
      <c r="BJ1" s="1579"/>
      <c r="BK1" s="1579"/>
      <c r="BL1" s="1579"/>
      <c r="BM1" s="1579"/>
      <c r="BN1" s="1579"/>
      <c r="BO1" s="1579"/>
      <c r="BP1" s="1579"/>
      <c r="BQ1" s="1579"/>
      <c r="BR1" s="1579"/>
      <c r="BS1" s="1579"/>
      <c r="BT1" s="1579"/>
      <c r="BU1" s="1579"/>
      <c r="BV1" s="1579"/>
      <c r="BW1" s="1579"/>
      <c r="BX1" s="1579"/>
      <c r="BY1" s="1579"/>
      <c r="BZ1" s="1579"/>
      <c r="CA1" s="1579"/>
      <c r="CB1" s="1579"/>
      <c r="CC1" s="1579"/>
      <c r="CD1" s="1579"/>
      <c r="CE1" s="1579"/>
      <c r="CF1" s="1579"/>
      <c r="CJ1" s="535"/>
    </row>
    <row r="2" spans="1:95" s="534" customFormat="1" ht="9.9499999999999993" customHeight="1">
      <c r="A2" s="536"/>
      <c r="B2" s="536"/>
      <c r="C2" s="536"/>
      <c r="D2" s="536"/>
      <c r="E2" s="536"/>
      <c r="F2" s="536"/>
      <c r="G2" s="536"/>
      <c r="H2" s="536"/>
      <c r="I2" s="536"/>
      <c r="J2" s="536"/>
      <c r="K2" s="536"/>
      <c r="L2" s="536"/>
      <c r="M2" s="536"/>
      <c r="N2" s="536"/>
      <c r="O2" s="536"/>
      <c r="P2" s="536"/>
      <c r="Q2" s="536"/>
      <c r="R2" s="536"/>
      <c r="S2" s="536"/>
      <c r="T2" s="536"/>
      <c r="U2" s="536"/>
      <c r="V2" s="536"/>
      <c r="W2" s="536"/>
      <c r="X2" s="536"/>
      <c r="Y2" s="536"/>
      <c r="Z2" s="536"/>
      <c r="AA2" s="536"/>
      <c r="AB2" s="536"/>
      <c r="AC2" s="536"/>
      <c r="AD2" s="536"/>
      <c r="AE2" s="536"/>
      <c r="AF2" s="536"/>
      <c r="AG2" s="536"/>
      <c r="AH2" s="536"/>
      <c r="AI2" s="536"/>
      <c r="AJ2" s="536"/>
      <c r="AK2" s="536"/>
      <c r="AL2" s="536"/>
      <c r="AM2" s="536"/>
      <c r="AN2" s="536"/>
      <c r="AO2" s="536"/>
      <c r="AP2" s="536"/>
      <c r="AQ2" s="536"/>
      <c r="AR2" s="536"/>
      <c r="AS2" s="536"/>
      <c r="AT2" s="536"/>
      <c r="AU2" s="536"/>
      <c r="AV2" s="536"/>
      <c r="AW2" s="536"/>
      <c r="AX2" s="536"/>
      <c r="AY2" s="536"/>
      <c r="AZ2" s="536"/>
      <c r="BA2" s="536"/>
      <c r="BB2" s="536"/>
      <c r="BC2" s="536"/>
      <c r="BD2" s="536"/>
      <c r="BE2" s="536"/>
      <c r="BF2" s="536"/>
      <c r="BG2" s="536"/>
      <c r="BH2" s="536"/>
      <c r="BI2" s="536"/>
      <c r="BJ2" s="536"/>
      <c r="BK2" s="536"/>
      <c r="BL2" s="536"/>
      <c r="BM2" s="536"/>
      <c r="BN2" s="536"/>
      <c r="BO2" s="536"/>
      <c r="BP2" s="536"/>
      <c r="BQ2" s="536"/>
      <c r="BR2" s="536"/>
      <c r="BS2" s="536"/>
      <c r="BT2" s="536"/>
      <c r="BU2" s="536"/>
      <c r="BV2" s="536"/>
      <c r="BW2" s="536"/>
      <c r="BX2" s="536"/>
      <c r="BY2" s="536"/>
      <c r="BZ2" s="536"/>
      <c r="CA2" s="536"/>
      <c r="CB2" s="536"/>
      <c r="CC2" s="536"/>
      <c r="CD2" s="536"/>
      <c r="CE2" s="536"/>
      <c r="CF2" s="536"/>
      <c r="CJ2" s="535"/>
    </row>
    <row r="3" spans="1:95" s="539" customFormat="1" ht="23.1" customHeight="1">
      <c r="A3" s="537"/>
      <c r="B3" s="538" t="s">
        <v>713</v>
      </c>
      <c r="C3" s="537"/>
      <c r="D3" s="537"/>
      <c r="E3" s="537"/>
      <c r="F3" s="537"/>
      <c r="G3" s="537"/>
      <c r="H3" s="537"/>
      <c r="I3" s="537"/>
      <c r="J3" s="537"/>
      <c r="K3" s="537"/>
      <c r="L3" s="537"/>
      <c r="M3" s="537"/>
      <c r="N3" s="537"/>
      <c r="O3" s="537"/>
      <c r="P3" s="537"/>
      <c r="Q3" s="537"/>
      <c r="R3" s="537"/>
      <c r="S3" s="537"/>
      <c r="T3" s="537"/>
      <c r="U3" s="537"/>
      <c r="V3" s="537"/>
      <c r="W3" s="537"/>
      <c r="X3" s="537"/>
      <c r="Y3" s="537"/>
      <c r="Z3" s="537"/>
      <c r="AA3" s="537"/>
      <c r="AB3" s="537"/>
      <c r="AC3" s="537"/>
      <c r="AD3" s="537"/>
      <c r="AE3" s="537"/>
      <c r="AF3" s="537"/>
      <c r="AG3" s="537"/>
      <c r="AH3" s="537"/>
      <c r="AI3" s="537"/>
      <c r="AJ3" s="537"/>
      <c r="AK3" s="537"/>
      <c r="AL3" s="537"/>
      <c r="AM3" s="537"/>
      <c r="AN3" s="537"/>
      <c r="AO3" s="537"/>
      <c r="AP3" s="537"/>
      <c r="AQ3" s="537"/>
      <c r="AR3" s="537"/>
      <c r="AS3" s="537"/>
      <c r="AT3" s="537"/>
      <c r="AU3" s="537"/>
      <c r="BM3" s="537"/>
      <c r="BN3" s="537"/>
      <c r="BO3" s="537"/>
      <c r="BP3" s="537"/>
      <c r="BQ3" s="537"/>
      <c r="BR3" s="537"/>
      <c r="BS3" s="537"/>
      <c r="BT3" s="537"/>
      <c r="BU3" s="537"/>
      <c r="BV3" s="537"/>
      <c r="BW3" s="537"/>
      <c r="BX3" s="537"/>
      <c r="BY3" s="537"/>
      <c r="BZ3" s="537"/>
      <c r="CA3" s="537"/>
      <c r="CB3" s="537"/>
      <c r="CC3" s="537"/>
      <c r="CD3" s="537"/>
      <c r="CE3" s="537"/>
      <c r="CF3" s="537"/>
      <c r="CJ3" s="535" t="s">
        <v>783</v>
      </c>
    </row>
    <row r="4" spans="1:95" s="535" customFormat="1" ht="9.9499999999999993" customHeight="1">
      <c r="BT4" s="414"/>
      <c r="BU4" s="414"/>
      <c r="BV4" s="414"/>
      <c r="BW4" s="414"/>
      <c r="BX4" s="414"/>
      <c r="BY4" s="414"/>
      <c r="BZ4" s="414"/>
      <c r="CA4" s="414"/>
      <c r="CB4" s="414"/>
      <c r="CC4" s="414"/>
    </row>
    <row r="5" spans="1:95" s="535" customFormat="1" ht="23.1" customHeight="1">
      <c r="E5" s="535" t="s">
        <v>782</v>
      </c>
      <c r="BT5" s="414"/>
      <c r="BU5" s="414"/>
      <c r="BV5" s="414"/>
      <c r="BW5" s="414"/>
      <c r="BX5" s="414"/>
      <c r="BY5" s="414"/>
      <c r="BZ5" s="414"/>
      <c r="CA5" s="414"/>
      <c r="CB5" s="414"/>
      <c r="CC5" s="414"/>
      <c r="CM5" s="535" t="s">
        <v>781</v>
      </c>
      <c r="CN5" s="535" t="s">
        <v>780</v>
      </c>
      <c r="CO5" s="535" t="s">
        <v>779</v>
      </c>
      <c r="CP5" s="535" t="s">
        <v>778</v>
      </c>
    </row>
    <row r="6" spans="1:95" s="535" customFormat="1" ht="23.1" customHeight="1" thickBot="1">
      <c r="A6" s="540"/>
      <c r="B6" s="540"/>
      <c r="C6" s="540"/>
      <c r="D6" s="540"/>
      <c r="BT6" s="410"/>
      <c r="BU6" s="1645" t="s">
        <v>360</v>
      </c>
      <c r="BV6" s="1645"/>
      <c r="BW6" s="1645"/>
      <c r="BX6" s="1645"/>
      <c r="BY6" s="1645"/>
      <c r="BZ6" s="1645"/>
      <c r="CA6" s="1645"/>
      <c r="CB6" s="1645"/>
      <c r="CC6" s="1645"/>
      <c r="CD6" s="1645"/>
      <c r="CE6" s="1645"/>
      <c r="CF6" s="1645"/>
      <c r="CL6" s="535" t="s">
        <v>628</v>
      </c>
      <c r="CM6" s="535">
        <v>3.6</v>
      </c>
      <c r="CN6" s="535">
        <v>2.7</v>
      </c>
      <c r="CO6" s="535">
        <v>2.2000000000000002</v>
      </c>
      <c r="CP6" s="535">
        <v>1.2</v>
      </c>
      <c r="CQ6" s="535">
        <v>1</v>
      </c>
    </row>
    <row r="7" spans="1:95" s="535" customFormat="1" ht="23.1" customHeight="1" thickBot="1">
      <c r="B7" s="535">
        <v>39448</v>
      </c>
      <c r="E7" s="1581" t="s">
        <v>361</v>
      </c>
      <c r="F7" s="1582"/>
      <c r="G7" s="1582"/>
      <c r="H7" s="1582"/>
      <c r="I7" s="1582"/>
      <c r="J7" s="1582"/>
      <c r="K7" s="1582"/>
      <c r="L7" s="1582"/>
      <c r="M7" s="1582"/>
      <c r="N7" s="1582"/>
      <c r="O7" s="1582"/>
      <c r="P7" s="1582"/>
      <c r="Q7" s="1582"/>
      <c r="R7" s="1582"/>
      <c r="S7" s="1582"/>
      <c r="T7" s="1582"/>
      <c r="U7" s="1582"/>
      <c r="V7" s="1582"/>
      <c r="W7" s="1582"/>
      <c r="X7" s="1582"/>
      <c r="Y7" s="1582"/>
      <c r="Z7" s="1582"/>
      <c r="AA7" s="1582"/>
      <c r="AB7" s="1582"/>
      <c r="AC7" s="1582"/>
      <c r="AD7" s="1582"/>
      <c r="AE7" s="1582"/>
      <c r="AF7" s="1582"/>
      <c r="AG7" s="1582"/>
      <c r="AH7" s="1582"/>
      <c r="AI7" s="1582"/>
      <c r="AJ7" s="1582"/>
      <c r="AK7" s="1582"/>
      <c r="AL7" s="1582"/>
      <c r="AM7" s="1582" t="s">
        <v>362</v>
      </c>
      <c r="AN7" s="1582"/>
      <c r="AO7" s="1582"/>
      <c r="AP7" s="1582"/>
      <c r="AQ7" s="1582"/>
      <c r="AR7" s="1582"/>
      <c r="AS7" s="1582"/>
      <c r="AT7" s="1582"/>
      <c r="AU7" s="1582"/>
      <c r="AV7" s="1582" t="s">
        <v>363</v>
      </c>
      <c r="AW7" s="1582"/>
      <c r="AX7" s="1582"/>
      <c r="AY7" s="1582"/>
      <c r="AZ7" s="1582"/>
      <c r="BA7" s="1582"/>
      <c r="BB7" s="1582"/>
      <c r="BC7" s="1582"/>
      <c r="BD7" s="1582"/>
      <c r="BE7" s="1582" t="s">
        <v>468</v>
      </c>
      <c r="BF7" s="1582"/>
      <c r="BG7" s="1582"/>
      <c r="BH7" s="1582"/>
      <c r="BI7" s="1582"/>
      <c r="BJ7" s="1582"/>
      <c r="BK7" s="1582"/>
      <c r="BL7" s="1582"/>
      <c r="BM7" s="1582"/>
      <c r="BN7" s="1582"/>
      <c r="BO7" s="1582"/>
      <c r="BP7" s="1582"/>
      <c r="BQ7" s="1582"/>
      <c r="BR7" s="1582"/>
      <c r="BS7" s="1582" t="s">
        <v>364</v>
      </c>
      <c r="BT7" s="1582"/>
      <c r="BU7" s="1582"/>
      <c r="BV7" s="1582"/>
      <c r="BW7" s="1582"/>
      <c r="BX7" s="1582"/>
      <c r="BY7" s="1582"/>
      <c r="BZ7" s="1582"/>
      <c r="CA7" s="1582"/>
      <c r="CB7" s="1582"/>
      <c r="CC7" s="1582"/>
      <c r="CD7" s="1582"/>
      <c r="CE7" s="1582"/>
      <c r="CF7" s="1664"/>
      <c r="CM7" s="535">
        <f>ROUND(1/CM6,2)</f>
        <v>0.28000000000000003</v>
      </c>
      <c r="CN7" s="535">
        <f>ROUND(1/CN6,2)</f>
        <v>0.37</v>
      </c>
      <c r="CO7" s="535">
        <f>ROUND(1/CO6,2)</f>
        <v>0.45</v>
      </c>
      <c r="CP7" s="535">
        <f>ROUND(1/CP6,2)</f>
        <v>0.83</v>
      </c>
    </row>
    <row r="8" spans="1:95" s="535" customFormat="1" ht="23.1" customHeight="1" thickTop="1">
      <c r="A8" s="540"/>
      <c r="B8" s="540"/>
      <c r="C8" s="540"/>
      <c r="D8" s="540"/>
      <c r="E8" s="1756" t="s">
        <v>365</v>
      </c>
      <c r="F8" s="1757"/>
      <c r="G8" s="1757"/>
      <c r="H8" s="1757"/>
      <c r="I8" s="1757"/>
      <c r="J8" s="1757"/>
      <c r="K8" s="1757"/>
      <c r="L8" s="1757"/>
      <c r="M8" s="1757"/>
      <c r="N8" s="1757"/>
      <c r="O8" s="1757"/>
      <c r="P8" s="1757"/>
      <c r="Q8" s="1757"/>
      <c r="R8" s="1757"/>
      <c r="S8" s="1757"/>
      <c r="T8" s="1757"/>
      <c r="U8" s="1757"/>
      <c r="V8" s="1757"/>
      <c r="W8" s="1757"/>
      <c r="X8" s="1757"/>
      <c r="Y8" s="1757"/>
      <c r="Z8" s="1757"/>
      <c r="AA8" s="1757"/>
      <c r="AB8" s="1757"/>
      <c r="AC8" s="1757"/>
      <c r="AD8" s="1757"/>
      <c r="AE8" s="1757"/>
      <c r="AF8" s="1757"/>
      <c r="AG8" s="1757"/>
      <c r="AH8" s="1757"/>
      <c r="AI8" s="1757"/>
      <c r="AJ8" s="1757"/>
      <c r="AK8" s="1757"/>
      <c r="AL8" s="1757"/>
      <c r="AM8" s="1573" t="s">
        <v>366</v>
      </c>
      <c r="AN8" s="1573"/>
      <c r="AO8" s="1573"/>
      <c r="AP8" s="1573"/>
      <c r="AQ8" s="1573"/>
      <c r="AR8" s="1573"/>
      <c r="AS8" s="1573"/>
      <c r="AT8" s="1573"/>
      <c r="AU8" s="1573"/>
      <c r="AV8" s="1575">
        <f>CM7</f>
        <v>0.28000000000000003</v>
      </c>
      <c r="AW8" s="1575"/>
      <c r="AX8" s="1575"/>
      <c r="AY8" s="1575"/>
      <c r="AZ8" s="1575"/>
      <c r="BA8" s="1575"/>
      <c r="BB8" s="1575"/>
      <c r="BC8" s="1575"/>
      <c r="BD8" s="1575"/>
      <c r="BE8" s="1657">
        <f>[53]노임단가!T6</f>
        <v>226122</v>
      </c>
      <c r="BF8" s="1657"/>
      <c r="BG8" s="1657"/>
      <c r="BH8" s="1657"/>
      <c r="BI8" s="1657"/>
      <c r="BJ8" s="1657"/>
      <c r="BK8" s="1657"/>
      <c r="BL8" s="1657"/>
      <c r="BM8" s="1657"/>
      <c r="BN8" s="1657"/>
      <c r="BO8" s="1657"/>
      <c r="BP8" s="1657"/>
      <c r="BQ8" s="1657"/>
      <c r="BR8" s="1657"/>
      <c r="BS8" s="1657">
        <f>INT(AV8*BE8)</f>
        <v>63314</v>
      </c>
      <c r="BT8" s="1657"/>
      <c r="BU8" s="1657"/>
      <c r="BV8" s="1657"/>
      <c r="BW8" s="1657"/>
      <c r="BX8" s="1657"/>
      <c r="BY8" s="1657"/>
      <c r="BZ8" s="1657"/>
      <c r="CA8" s="1657"/>
      <c r="CB8" s="1657"/>
      <c r="CC8" s="1657"/>
      <c r="CD8" s="1657"/>
      <c r="CE8" s="1657"/>
      <c r="CF8" s="1658"/>
    </row>
    <row r="9" spans="1:95" s="535" customFormat="1" ht="23.1" customHeight="1">
      <c r="D9" s="405"/>
      <c r="E9" s="1756" t="s">
        <v>777</v>
      </c>
      <c r="F9" s="1757"/>
      <c r="G9" s="1757"/>
      <c r="H9" s="1757"/>
      <c r="I9" s="1757"/>
      <c r="J9" s="1757"/>
      <c r="K9" s="1757"/>
      <c r="L9" s="1757"/>
      <c r="M9" s="1757"/>
      <c r="N9" s="1757"/>
      <c r="O9" s="1757"/>
      <c r="P9" s="1757"/>
      <c r="Q9" s="1757"/>
      <c r="R9" s="1757"/>
      <c r="S9" s="1757"/>
      <c r="T9" s="1757"/>
      <c r="U9" s="1757"/>
      <c r="V9" s="1757"/>
      <c r="W9" s="1757"/>
      <c r="X9" s="1757"/>
      <c r="Y9" s="1757"/>
      <c r="Z9" s="1757"/>
      <c r="AA9" s="1757"/>
      <c r="AB9" s="1757"/>
      <c r="AC9" s="1757"/>
      <c r="AD9" s="1757"/>
      <c r="AE9" s="1757"/>
      <c r="AF9" s="1757"/>
      <c r="AG9" s="1757"/>
      <c r="AH9" s="1757"/>
      <c r="AI9" s="1757"/>
      <c r="AJ9" s="1757"/>
      <c r="AK9" s="1757"/>
      <c r="AL9" s="1757"/>
      <c r="AM9" s="1566" t="s">
        <v>366</v>
      </c>
      <c r="AN9" s="1566"/>
      <c r="AO9" s="1566"/>
      <c r="AP9" s="1566"/>
      <c r="AQ9" s="1566"/>
      <c r="AR9" s="1566"/>
      <c r="AS9" s="1566"/>
      <c r="AT9" s="1566"/>
      <c r="AU9" s="1566"/>
      <c r="AV9" s="1569">
        <f>CN7</f>
        <v>0.37</v>
      </c>
      <c r="AW9" s="1569"/>
      <c r="AX9" s="1569"/>
      <c r="AY9" s="1569"/>
      <c r="AZ9" s="1569"/>
      <c r="BA9" s="1569"/>
      <c r="BB9" s="1569"/>
      <c r="BC9" s="1569"/>
      <c r="BD9" s="1569"/>
      <c r="BE9" s="1623">
        <f>[53]노임단가!T6</f>
        <v>226122</v>
      </c>
      <c r="BF9" s="1623"/>
      <c r="BG9" s="1623"/>
      <c r="BH9" s="1623"/>
      <c r="BI9" s="1623"/>
      <c r="BJ9" s="1623"/>
      <c r="BK9" s="1623"/>
      <c r="BL9" s="1623"/>
      <c r="BM9" s="1623"/>
      <c r="BN9" s="1623"/>
      <c r="BO9" s="1623"/>
      <c r="BP9" s="1623"/>
      <c r="BQ9" s="1623"/>
      <c r="BR9" s="1623"/>
      <c r="BS9" s="1623">
        <f>INT(AV9*BE9)</f>
        <v>83665</v>
      </c>
      <c r="BT9" s="1623"/>
      <c r="BU9" s="1623"/>
      <c r="BV9" s="1623"/>
      <c r="BW9" s="1623"/>
      <c r="BX9" s="1623"/>
      <c r="BY9" s="1623"/>
      <c r="BZ9" s="1623"/>
      <c r="CA9" s="1623"/>
      <c r="CB9" s="1623"/>
      <c r="CC9" s="1623"/>
      <c r="CD9" s="1623"/>
      <c r="CE9" s="1623"/>
      <c r="CF9" s="1624"/>
    </row>
    <row r="10" spans="1:95" s="535" customFormat="1" ht="23.1" customHeight="1">
      <c r="D10" s="405"/>
      <c r="E10" s="1595" t="s">
        <v>367</v>
      </c>
      <c r="F10" s="1552"/>
      <c r="G10" s="1552"/>
      <c r="H10" s="1552"/>
      <c r="I10" s="1552"/>
      <c r="J10" s="1552"/>
      <c r="K10" s="1552"/>
      <c r="L10" s="1552"/>
      <c r="M10" s="1552"/>
      <c r="N10" s="1552"/>
      <c r="O10" s="1552"/>
      <c r="P10" s="1552"/>
      <c r="Q10" s="1552"/>
      <c r="R10" s="1552"/>
      <c r="S10" s="1552"/>
      <c r="T10" s="1552"/>
      <c r="U10" s="1552"/>
      <c r="V10" s="1552"/>
      <c r="W10" s="1552"/>
      <c r="X10" s="1552"/>
      <c r="Y10" s="1552"/>
      <c r="Z10" s="1552"/>
      <c r="AA10" s="1552"/>
      <c r="AB10" s="1552"/>
      <c r="AC10" s="1552"/>
      <c r="AD10" s="1552"/>
      <c r="AE10" s="1552"/>
      <c r="AF10" s="1552"/>
      <c r="AG10" s="1552"/>
      <c r="AH10" s="1552"/>
      <c r="AI10" s="1552"/>
      <c r="AJ10" s="1552"/>
      <c r="AK10" s="1552"/>
      <c r="AL10" s="1553"/>
      <c r="AM10" s="1566" t="s">
        <v>366</v>
      </c>
      <c r="AN10" s="1566"/>
      <c r="AO10" s="1566"/>
      <c r="AP10" s="1566"/>
      <c r="AQ10" s="1566"/>
      <c r="AR10" s="1566"/>
      <c r="AS10" s="1566"/>
      <c r="AT10" s="1566"/>
      <c r="AU10" s="1566"/>
      <c r="AV10" s="1569">
        <f>CO7</f>
        <v>0.45</v>
      </c>
      <c r="AW10" s="1569"/>
      <c r="AX10" s="1569"/>
      <c r="AY10" s="1569"/>
      <c r="AZ10" s="1569"/>
      <c r="BA10" s="1569"/>
      <c r="BB10" s="1569"/>
      <c r="BC10" s="1569"/>
      <c r="BD10" s="1569"/>
      <c r="BE10" s="1623">
        <f>[53]노임단가!T6</f>
        <v>226122</v>
      </c>
      <c r="BF10" s="1623"/>
      <c r="BG10" s="1623"/>
      <c r="BH10" s="1623"/>
      <c r="BI10" s="1623"/>
      <c r="BJ10" s="1623"/>
      <c r="BK10" s="1623"/>
      <c r="BL10" s="1623"/>
      <c r="BM10" s="1623"/>
      <c r="BN10" s="1623"/>
      <c r="BO10" s="1623"/>
      <c r="BP10" s="1623"/>
      <c r="BQ10" s="1623"/>
      <c r="BR10" s="1623"/>
      <c r="BS10" s="1623">
        <f>INT(AV10*BE10)</f>
        <v>101754</v>
      </c>
      <c r="BT10" s="1623"/>
      <c r="BU10" s="1623"/>
      <c r="BV10" s="1623"/>
      <c r="BW10" s="1623"/>
      <c r="BX10" s="1623"/>
      <c r="BY10" s="1623"/>
      <c r="BZ10" s="1623"/>
      <c r="CA10" s="1623"/>
      <c r="CB10" s="1623"/>
      <c r="CC10" s="1623"/>
      <c r="CD10" s="1623"/>
      <c r="CE10" s="1623"/>
      <c r="CF10" s="1624"/>
    </row>
    <row r="11" spans="1:95" s="535" customFormat="1" ht="23.1" customHeight="1" thickBot="1">
      <c r="A11" s="540"/>
      <c r="B11" s="540"/>
      <c r="C11" s="540"/>
      <c r="D11" s="540"/>
      <c r="E11" s="1755" t="s">
        <v>776</v>
      </c>
      <c r="F11" s="1599"/>
      <c r="G11" s="1599"/>
      <c r="H11" s="1599"/>
      <c r="I11" s="1599"/>
      <c r="J11" s="1599"/>
      <c r="K11" s="1599"/>
      <c r="L11" s="1599"/>
      <c r="M11" s="1599"/>
      <c r="N11" s="1599"/>
      <c r="O11" s="1599"/>
      <c r="P11" s="1599"/>
      <c r="Q11" s="1599"/>
      <c r="R11" s="1599"/>
      <c r="S11" s="1599"/>
      <c r="T11" s="1599"/>
      <c r="U11" s="1599"/>
      <c r="V11" s="1599"/>
      <c r="W11" s="1599"/>
      <c r="X11" s="1599"/>
      <c r="Y11" s="1599"/>
      <c r="Z11" s="1599"/>
      <c r="AA11" s="1599"/>
      <c r="AB11" s="1599"/>
      <c r="AC11" s="1599"/>
      <c r="AD11" s="1599"/>
      <c r="AE11" s="1599"/>
      <c r="AF11" s="1599"/>
      <c r="AG11" s="1599"/>
      <c r="AH11" s="1599"/>
      <c r="AI11" s="1599"/>
      <c r="AJ11" s="1599"/>
      <c r="AK11" s="1599"/>
      <c r="AL11" s="1599"/>
      <c r="AM11" s="1546" t="s">
        <v>366</v>
      </c>
      <c r="AN11" s="1546"/>
      <c r="AO11" s="1546"/>
      <c r="AP11" s="1546"/>
      <c r="AQ11" s="1546"/>
      <c r="AR11" s="1546"/>
      <c r="AS11" s="1546"/>
      <c r="AT11" s="1546"/>
      <c r="AU11" s="1546"/>
      <c r="AV11" s="1545">
        <f>CP7</f>
        <v>0.83</v>
      </c>
      <c r="AW11" s="1545"/>
      <c r="AX11" s="1545"/>
      <c r="AY11" s="1545"/>
      <c r="AZ11" s="1545"/>
      <c r="BA11" s="1545"/>
      <c r="BB11" s="1545"/>
      <c r="BC11" s="1545"/>
      <c r="BD11" s="1545"/>
      <c r="BE11" s="1631">
        <f xml:space="preserve"> [53]노임단가!T6</f>
        <v>226122</v>
      </c>
      <c r="BF11" s="1631"/>
      <c r="BG11" s="1631"/>
      <c r="BH11" s="1631"/>
      <c r="BI11" s="1631"/>
      <c r="BJ11" s="1631"/>
      <c r="BK11" s="1631"/>
      <c r="BL11" s="1631"/>
      <c r="BM11" s="1631"/>
      <c r="BN11" s="1631"/>
      <c r="BO11" s="1631"/>
      <c r="BP11" s="1631"/>
      <c r="BQ11" s="1631"/>
      <c r="BR11" s="1631"/>
      <c r="BS11" s="1631">
        <f>INT(AV11*BE11)</f>
        <v>187681</v>
      </c>
      <c r="BT11" s="1631"/>
      <c r="BU11" s="1631"/>
      <c r="BV11" s="1631"/>
      <c r="BW11" s="1631"/>
      <c r="BX11" s="1631"/>
      <c r="BY11" s="1631"/>
      <c r="BZ11" s="1631"/>
      <c r="CA11" s="1631"/>
      <c r="CB11" s="1631"/>
      <c r="CC11" s="1631"/>
      <c r="CD11" s="1631"/>
      <c r="CE11" s="1631"/>
      <c r="CF11" s="1632"/>
    </row>
    <row r="12" spans="1:95" s="535" customFormat="1" ht="23.1" customHeight="1">
      <c r="A12" s="540"/>
      <c r="B12" s="540"/>
      <c r="C12" s="540"/>
      <c r="D12" s="540"/>
      <c r="E12" s="540"/>
      <c r="F12" s="540"/>
      <c r="G12" s="540" t="s">
        <v>775</v>
      </c>
      <c r="I12" s="540"/>
      <c r="J12" s="540"/>
      <c r="K12" s="540"/>
      <c r="L12" s="540"/>
      <c r="M12" s="540"/>
      <c r="N12" s="540"/>
      <c r="O12" s="540"/>
      <c r="P12" s="540"/>
      <c r="Q12" s="540"/>
      <c r="R12" s="540"/>
      <c r="S12" s="540"/>
      <c r="T12" s="540"/>
      <c r="U12" s="540"/>
      <c r="V12" s="540"/>
      <c r="W12" s="540"/>
      <c r="X12" s="540"/>
      <c r="Y12" s="540"/>
      <c r="Z12" s="540"/>
      <c r="AA12" s="540"/>
      <c r="AB12" s="540"/>
      <c r="AC12" s="540"/>
      <c r="AD12" s="540"/>
      <c r="AE12" s="540"/>
      <c r="AF12" s="540"/>
      <c r="AG12" s="540"/>
      <c r="AH12" s="540"/>
      <c r="AI12" s="540"/>
      <c r="AJ12" s="540"/>
      <c r="AK12" s="540"/>
      <c r="AL12" s="540"/>
      <c r="AM12" s="540"/>
      <c r="AN12" s="540"/>
      <c r="AO12" s="540"/>
      <c r="AP12" s="540"/>
      <c r="AQ12" s="540"/>
      <c r="AR12" s="540"/>
      <c r="AS12" s="540"/>
      <c r="AT12" s="540"/>
      <c r="AU12" s="540"/>
      <c r="AV12" s="540"/>
      <c r="AW12" s="540"/>
      <c r="AX12" s="540"/>
      <c r="AY12" s="540"/>
      <c r="AZ12" s="540"/>
      <c r="BA12" s="540"/>
      <c r="BB12" s="540"/>
      <c r="BC12" s="540"/>
      <c r="BD12" s="540"/>
      <c r="BE12" s="540"/>
      <c r="BF12" s="540"/>
      <c r="BG12" s="540"/>
      <c r="BH12" s="540"/>
      <c r="BI12" s="540"/>
      <c r="BJ12" s="540"/>
      <c r="BK12" s="540"/>
      <c r="BL12" s="540"/>
      <c r="BM12" s="540"/>
      <c r="BN12" s="540"/>
      <c r="BO12" s="540"/>
      <c r="BP12" s="540"/>
      <c r="BQ12" s="540"/>
      <c r="BR12" s="540"/>
      <c r="BS12" s="540"/>
      <c r="BT12" s="541"/>
      <c r="BU12" s="541"/>
      <c r="BV12" s="541"/>
      <c r="BW12" s="541"/>
      <c r="BX12" s="541"/>
      <c r="BY12" s="541"/>
      <c r="BZ12" s="541"/>
      <c r="CA12" s="541"/>
      <c r="CB12" s="541"/>
      <c r="CC12" s="541"/>
      <c r="CD12" s="540"/>
      <c r="CE12" s="540"/>
      <c r="CF12" s="540"/>
    </row>
    <row r="13" spans="1:95" s="535" customFormat="1" ht="23.1" customHeight="1">
      <c r="A13" s="537"/>
      <c r="B13" s="538"/>
      <c r="C13" s="537"/>
      <c r="D13" s="537"/>
      <c r="E13" s="540"/>
      <c r="F13" s="540"/>
      <c r="G13" s="540" t="s">
        <v>774</v>
      </c>
      <c r="H13" s="540"/>
      <c r="I13" s="540"/>
      <c r="J13" s="540"/>
      <c r="K13" s="540"/>
      <c r="L13" s="540"/>
      <c r="M13" s="540"/>
      <c r="N13" s="540"/>
      <c r="O13" s="540"/>
      <c r="P13" s="540"/>
      <c r="Q13" s="540"/>
      <c r="R13" s="540"/>
      <c r="S13" s="540"/>
      <c r="V13" s="422"/>
      <c r="W13" s="422"/>
      <c r="X13" s="422"/>
      <c r="Y13" s="422"/>
      <c r="Z13" s="422"/>
      <c r="AA13" s="422"/>
      <c r="AB13" s="422"/>
      <c r="AC13" s="422"/>
      <c r="AD13" s="422"/>
      <c r="AE13" s="422"/>
      <c r="AF13" s="540"/>
      <c r="AG13" s="540"/>
      <c r="AI13" s="440"/>
      <c r="AJ13" s="440"/>
      <c r="AK13" s="440"/>
      <c r="AL13" s="440"/>
      <c r="AM13" s="540"/>
      <c r="AN13" s="540"/>
      <c r="AO13" s="540"/>
      <c r="AP13" s="540"/>
      <c r="AQ13" s="440"/>
      <c r="AR13" s="440"/>
      <c r="AS13" s="440"/>
      <c r="AT13" s="440"/>
      <c r="AU13" s="440"/>
      <c r="AV13" s="422"/>
      <c r="AW13" s="540"/>
      <c r="AX13" s="540"/>
      <c r="AY13" s="440"/>
      <c r="AZ13" s="440"/>
      <c r="BA13" s="440"/>
      <c r="BB13" s="440"/>
      <c r="BC13" s="440"/>
      <c r="BD13" s="440"/>
      <c r="BE13" s="540"/>
      <c r="BF13" s="540"/>
      <c r="BG13" s="540"/>
      <c r="BH13" s="540"/>
      <c r="BI13" s="540"/>
      <c r="BJ13" s="540"/>
      <c r="BK13" s="540"/>
      <c r="BL13" s="540"/>
      <c r="BM13" s="540"/>
      <c r="BN13" s="540"/>
      <c r="BO13" s="540"/>
      <c r="BP13" s="540"/>
      <c r="BQ13" s="540"/>
      <c r="BR13" s="540"/>
      <c r="BS13" s="540"/>
      <c r="BT13" s="422"/>
      <c r="BU13" s="422"/>
      <c r="BV13" s="422"/>
      <c r="BW13" s="422"/>
      <c r="BX13" s="422"/>
      <c r="BY13" s="422"/>
      <c r="BZ13" s="422"/>
      <c r="CA13" s="422"/>
      <c r="CB13" s="422"/>
      <c r="CC13" s="422"/>
      <c r="CD13" s="540"/>
      <c r="CE13" s="540"/>
      <c r="CF13" s="540"/>
    </row>
    <row r="14" spans="1:95" s="535" customFormat="1" ht="23.1" customHeight="1">
      <c r="G14" s="540" t="s">
        <v>539</v>
      </c>
      <c r="H14" s="540"/>
      <c r="BT14" s="410"/>
      <c r="BU14" s="410"/>
      <c r="BV14" s="410"/>
      <c r="BW14" s="410"/>
      <c r="BX14" s="410"/>
      <c r="BY14" s="410"/>
      <c r="BZ14" s="410"/>
      <c r="CA14" s="410"/>
      <c r="CB14" s="410"/>
      <c r="CC14" s="410"/>
    </row>
    <row r="15" spans="1:95" s="535" customFormat="1" ht="23.1" customHeight="1">
      <c r="G15" s="540" t="s">
        <v>773</v>
      </c>
      <c r="BT15" s="410"/>
      <c r="BU15" s="410"/>
      <c r="BV15" s="410"/>
      <c r="BW15" s="410"/>
      <c r="BX15" s="410"/>
      <c r="BY15" s="410"/>
      <c r="BZ15" s="410"/>
      <c r="CA15" s="410"/>
      <c r="CB15" s="410"/>
      <c r="CC15" s="410"/>
    </row>
    <row r="16" spans="1:95" s="534" customFormat="1" ht="9.9499999999999993" customHeight="1">
      <c r="A16" s="536"/>
      <c r="B16" s="536"/>
      <c r="C16" s="536"/>
      <c r="D16" s="536"/>
      <c r="E16" s="536"/>
      <c r="F16" s="536"/>
      <c r="G16" s="536"/>
      <c r="H16" s="536"/>
      <c r="I16" s="536"/>
      <c r="J16" s="536"/>
      <c r="K16" s="536"/>
      <c r="L16" s="536"/>
      <c r="M16" s="536"/>
      <c r="N16" s="536"/>
      <c r="O16" s="536"/>
      <c r="P16" s="536"/>
      <c r="Q16" s="536"/>
      <c r="R16" s="536"/>
      <c r="S16" s="536"/>
      <c r="T16" s="536"/>
      <c r="U16" s="536"/>
      <c r="V16" s="536"/>
      <c r="W16" s="536"/>
      <c r="X16" s="536"/>
      <c r="Y16" s="536"/>
      <c r="Z16" s="536"/>
      <c r="AA16" s="536"/>
      <c r="AB16" s="536"/>
      <c r="AC16" s="536"/>
      <c r="AD16" s="536"/>
      <c r="AE16" s="536"/>
      <c r="AF16" s="536"/>
      <c r="AG16" s="536"/>
      <c r="AH16" s="536"/>
      <c r="AI16" s="536"/>
      <c r="AJ16" s="536"/>
      <c r="AK16" s="536"/>
      <c r="AL16" s="536"/>
      <c r="AM16" s="536"/>
      <c r="AN16" s="536"/>
      <c r="AO16" s="536"/>
      <c r="AP16" s="536"/>
      <c r="AQ16" s="536"/>
      <c r="AR16" s="536"/>
      <c r="AS16" s="536"/>
      <c r="AT16" s="536"/>
      <c r="AU16" s="536"/>
      <c r="AV16" s="536"/>
      <c r="AW16" s="536"/>
      <c r="AX16" s="536"/>
      <c r="AY16" s="536"/>
      <c r="AZ16" s="536"/>
      <c r="BA16" s="536"/>
      <c r="BB16" s="536"/>
      <c r="BC16" s="536"/>
      <c r="BD16" s="536"/>
      <c r="BE16" s="536"/>
      <c r="BF16" s="536"/>
      <c r="BG16" s="536"/>
      <c r="BH16" s="536"/>
      <c r="BI16" s="536"/>
      <c r="BJ16" s="536"/>
      <c r="BK16" s="536"/>
      <c r="BL16" s="536"/>
      <c r="BM16" s="536"/>
      <c r="BN16" s="536"/>
      <c r="BO16" s="536"/>
      <c r="BP16" s="536"/>
      <c r="BQ16" s="536"/>
      <c r="BR16" s="536"/>
      <c r="BS16" s="536"/>
      <c r="BT16" s="536"/>
      <c r="BU16" s="536"/>
      <c r="BV16" s="536"/>
      <c r="BW16" s="536"/>
      <c r="BX16" s="536"/>
      <c r="BY16" s="536"/>
      <c r="BZ16" s="536"/>
      <c r="CA16" s="536"/>
      <c r="CB16" s="536"/>
      <c r="CC16" s="536"/>
      <c r="CD16" s="536"/>
      <c r="CE16" s="536"/>
      <c r="CF16" s="536"/>
      <c r="CJ16" s="535"/>
    </row>
    <row r="17" spans="1:88" s="535" customFormat="1" ht="23.1" customHeight="1">
      <c r="A17" s="537"/>
      <c r="B17" s="538" t="s">
        <v>772</v>
      </c>
      <c r="C17" s="537"/>
      <c r="D17" s="537"/>
      <c r="CJ17" s="535" t="s">
        <v>771</v>
      </c>
    </row>
    <row r="18" spans="1:88" s="535" customFormat="1" ht="9.9499999999999993" customHeight="1">
      <c r="BT18" s="414"/>
      <c r="BU18" s="414"/>
      <c r="BV18" s="414"/>
      <c r="BW18" s="414"/>
      <c r="BX18" s="414"/>
      <c r="BY18" s="414"/>
      <c r="BZ18" s="414"/>
      <c r="CA18" s="414"/>
      <c r="CB18" s="414"/>
      <c r="CC18" s="414"/>
    </row>
    <row r="19" spans="1:88" s="535" customFormat="1" ht="23.1" customHeight="1">
      <c r="E19" s="535" t="s">
        <v>770</v>
      </c>
      <c r="BT19" s="414"/>
      <c r="BU19" s="414"/>
      <c r="BV19" s="414"/>
      <c r="BW19" s="414"/>
      <c r="BX19" s="414"/>
      <c r="BY19" s="414"/>
      <c r="BZ19" s="414"/>
      <c r="CA19" s="414"/>
      <c r="CB19" s="414"/>
      <c r="CC19" s="414"/>
    </row>
    <row r="20" spans="1:88" s="535" customFormat="1" ht="23.1" customHeight="1">
      <c r="P20" s="535" t="s">
        <v>412</v>
      </c>
      <c r="BT20" s="410"/>
      <c r="BU20" s="410"/>
      <c r="BV20" s="410"/>
      <c r="BW20" s="410"/>
      <c r="BX20" s="410"/>
      <c r="BY20" s="410"/>
      <c r="BZ20" s="410"/>
      <c r="CA20" s="410"/>
      <c r="CB20" s="410"/>
      <c r="CC20" s="410"/>
    </row>
    <row r="21" spans="1:88" s="535" customFormat="1" ht="23.1" customHeight="1">
      <c r="E21" s="535" t="s">
        <v>744</v>
      </c>
    </row>
    <row r="22" spans="1:88" s="535" customFormat="1" ht="9.9499999999999993" customHeight="1">
      <c r="AR22" s="414"/>
      <c r="AS22" s="414"/>
      <c r="AT22" s="414"/>
      <c r="AU22" s="414"/>
      <c r="AV22" s="414"/>
      <c r="AW22" s="414"/>
      <c r="AX22" s="414"/>
      <c r="AY22" s="414"/>
      <c r="AZ22" s="414"/>
      <c r="BA22" s="414"/>
      <c r="BB22" s="414"/>
      <c r="BT22" s="414"/>
      <c r="BU22" s="414"/>
      <c r="BV22" s="414"/>
      <c r="BW22" s="414"/>
      <c r="BX22" s="414"/>
      <c r="BY22" s="414"/>
      <c r="BZ22" s="414"/>
      <c r="CA22" s="414"/>
      <c r="CB22" s="414"/>
      <c r="CC22" s="414"/>
    </row>
    <row r="23" spans="1:88" s="535" customFormat="1" ht="23.1" customHeight="1" thickBot="1">
      <c r="BT23" s="410"/>
      <c r="BU23" s="1645" t="s">
        <v>360</v>
      </c>
      <c r="BV23" s="1645"/>
      <c r="BW23" s="1645"/>
      <c r="BX23" s="1645"/>
      <c r="BY23" s="1645"/>
      <c r="BZ23" s="1645"/>
      <c r="CA23" s="1645"/>
      <c r="CB23" s="1645"/>
      <c r="CC23" s="1645"/>
      <c r="CD23" s="1645"/>
      <c r="CE23" s="1645"/>
      <c r="CF23" s="1645"/>
    </row>
    <row r="24" spans="1:88" s="535" customFormat="1" ht="23.1" customHeight="1">
      <c r="E24" s="1534" t="s">
        <v>368</v>
      </c>
      <c r="F24" s="1535"/>
      <c r="G24" s="1535"/>
      <c r="H24" s="1535"/>
      <c r="I24" s="1535"/>
      <c r="J24" s="1535"/>
      <c r="K24" s="1535"/>
      <c r="L24" s="1535"/>
      <c r="M24" s="1535"/>
      <c r="N24" s="1535"/>
      <c r="O24" s="1535"/>
      <c r="P24" s="1535"/>
      <c r="Q24" s="1535"/>
      <c r="R24" s="1535"/>
      <c r="S24" s="1535"/>
      <c r="T24" s="1535" t="s">
        <v>370</v>
      </c>
      <c r="U24" s="1535"/>
      <c r="V24" s="1535"/>
      <c r="W24" s="1535"/>
      <c r="X24" s="1535"/>
      <c r="Y24" s="1535" t="s">
        <v>413</v>
      </c>
      <c r="Z24" s="1535"/>
      <c r="AA24" s="1535"/>
      <c r="AB24" s="1535"/>
      <c r="AC24" s="1535"/>
      <c r="AD24" s="1535"/>
      <c r="AE24" s="1535"/>
      <c r="AF24" s="1535"/>
      <c r="AG24" s="1753" t="s">
        <v>414</v>
      </c>
      <c r="AH24" s="1753"/>
      <c r="AI24" s="1753"/>
      <c r="AJ24" s="1753"/>
      <c r="AK24" s="1753"/>
      <c r="AL24" s="1753"/>
      <c r="AM24" s="1753"/>
      <c r="AN24" s="1753"/>
      <c r="AO24" s="1753"/>
      <c r="AP24" s="1753"/>
      <c r="AQ24" s="1753"/>
      <c r="AR24" s="1753"/>
      <c r="AS24" s="1753"/>
      <c r="AT24" s="1753" t="s">
        <v>415</v>
      </c>
      <c r="AU24" s="1753"/>
      <c r="AV24" s="1753"/>
      <c r="AW24" s="1753"/>
      <c r="AX24" s="1753"/>
      <c r="AY24" s="1753"/>
      <c r="AZ24" s="1753"/>
      <c r="BA24" s="1753"/>
      <c r="BB24" s="1753"/>
      <c r="BC24" s="1753"/>
      <c r="BD24" s="1753"/>
      <c r="BE24" s="1753"/>
      <c r="BF24" s="1753"/>
      <c r="BG24" s="1753" t="s">
        <v>374</v>
      </c>
      <c r="BH24" s="1753"/>
      <c r="BI24" s="1753"/>
      <c r="BJ24" s="1753"/>
      <c r="BK24" s="1753"/>
      <c r="BL24" s="1753"/>
      <c r="BM24" s="1753"/>
      <c r="BN24" s="1753"/>
      <c r="BO24" s="1753"/>
      <c r="BP24" s="1753"/>
      <c r="BQ24" s="1753"/>
      <c r="BR24" s="1753"/>
      <c r="BS24" s="1753"/>
      <c r="BT24" s="1753" t="s">
        <v>373</v>
      </c>
      <c r="BU24" s="1753"/>
      <c r="BV24" s="1753"/>
      <c r="BW24" s="1753"/>
      <c r="BX24" s="1753"/>
      <c r="BY24" s="1753"/>
      <c r="BZ24" s="1753"/>
      <c r="CA24" s="1753"/>
      <c r="CB24" s="1753"/>
      <c r="CC24" s="1753"/>
      <c r="CD24" s="1753"/>
      <c r="CE24" s="1753"/>
      <c r="CF24" s="1754"/>
    </row>
    <row r="25" spans="1:88" s="535" customFormat="1" ht="23.1" customHeight="1" thickBot="1">
      <c r="D25" s="542"/>
      <c r="E25" s="1536"/>
      <c r="F25" s="1527"/>
      <c r="G25" s="1527"/>
      <c r="H25" s="1527"/>
      <c r="I25" s="1527"/>
      <c r="J25" s="1527"/>
      <c r="K25" s="1527"/>
      <c r="L25" s="1527"/>
      <c r="M25" s="1527"/>
      <c r="N25" s="1527"/>
      <c r="O25" s="1527"/>
      <c r="P25" s="1527"/>
      <c r="Q25" s="1527"/>
      <c r="R25" s="1527"/>
      <c r="S25" s="1527"/>
      <c r="T25" s="1527"/>
      <c r="U25" s="1527"/>
      <c r="V25" s="1527"/>
      <c r="W25" s="1527"/>
      <c r="X25" s="1527"/>
      <c r="Y25" s="1527"/>
      <c r="Z25" s="1527"/>
      <c r="AA25" s="1527"/>
      <c r="AB25" s="1527"/>
      <c r="AC25" s="1527"/>
      <c r="AD25" s="1527"/>
      <c r="AE25" s="1527"/>
      <c r="AF25" s="1527"/>
      <c r="AG25" s="1527" t="s">
        <v>371</v>
      </c>
      <c r="AH25" s="1527"/>
      <c r="AI25" s="1527"/>
      <c r="AJ25" s="1527"/>
      <c r="AK25" s="1527"/>
      <c r="AL25" s="1527" t="s">
        <v>372</v>
      </c>
      <c r="AM25" s="1527"/>
      <c r="AN25" s="1527"/>
      <c r="AO25" s="1527"/>
      <c r="AP25" s="1527"/>
      <c r="AQ25" s="1527"/>
      <c r="AR25" s="1527"/>
      <c r="AS25" s="1527"/>
      <c r="AT25" s="1527" t="s">
        <v>371</v>
      </c>
      <c r="AU25" s="1527"/>
      <c r="AV25" s="1527"/>
      <c r="AW25" s="1527"/>
      <c r="AX25" s="1527"/>
      <c r="AY25" s="1527" t="s">
        <v>372</v>
      </c>
      <c r="AZ25" s="1527"/>
      <c r="BA25" s="1527"/>
      <c r="BB25" s="1527"/>
      <c r="BC25" s="1527"/>
      <c r="BD25" s="1527"/>
      <c r="BE25" s="1527"/>
      <c r="BF25" s="1527"/>
      <c r="BG25" s="1527" t="s">
        <v>371</v>
      </c>
      <c r="BH25" s="1527"/>
      <c r="BI25" s="1527"/>
      <c r="BJ25" s="1527"/>
      <c r="BK25" s="1527"/>
      <c r="BL25" s="1527" t="s">
        <v>372</v>
      </c>
      <c r="BM25" s="1527"/>
      <c r="BN25" s="1527"/>
      <c r="BO25" s="1527"/>
      <c r="BP25" s="1527"/>
      <c r="BQ25" s="1527"/>
      <c r="BR25" s="1527"/>
      <c r="BS25" s="1527"/>
      <c r="BT25" s="1527" t="s">
        <v>371</v>
      </c>
      <c r="BU25" s="1527"/>
      <c r="BV25" s="1527"/>
      <c r="BW25" s="1527"/>
      <c r="BX25" s="1527"/>
      <c r="BY25" s="1527" t="s">
        <v>372</v>
      </c>
      <c r="BZ25" s="1527"/>
      <c r="CA25" s="1527"/>
      <c r="CB25" s="1527"/>
      <c r="CC25" s="1527"/>
      <c r="CD25" s="1527"/>
      <c r="CE25" s="1527"/>
      <c r="CF25" s="1528"/>
    </row>
    <row r="26" spans="1:88" s="535" customFormat="1" ht="23.1" customHeight="1" thickTop="1">
      <c r="E26" s="1640" t="s">
        <v>416</v>
      </c>
      <c r="F26" s="1641"/>
      <c r="G26" s="1641"/>
      <c r="H26" s="1641"/>
      <c r="I26" s="1573" t="s">
        <v>417</v>
      </c>
      <c r="J26" s="1573"/>
      <c r="K26" s="1573"/>
      <c r="L26" s="1573"/>
      <c r="M26" s="1573"/>
      <c r="N26" s="1573"/>
      <c r="O26" s="1573"/>
      <c r="P26" s="1573"/>
      <c r="Q26" s="1573"/>
      <c r="R26" s="1573"/>
      <c r="S26" s="1573"/>
      <c r="T26" s="1643" t="s">
        <v>418</v>
      </c>
      <c r="U26" s="1643"/>
      <c r="V26" s="1643"/>
      <c r="W26" s="1643"/>
      <c r="X26" s="1643"/>
      <c r="Y26" s="1644" t="e">
        <f>#REF!</f>
        <v>#REF!</v>
      </c>
      <c r="Z26" s="1643"/>
      <c r="AA26" s="1643"/>
      <c r="AB26" s="1643"/>
      <c r="AC26" s="1643"/>
      <c r="AD26" s="1643"/>
      <c r="AE26" s="1643"/>
      <c r="AF26" s="1643"/>
      <c r="AG26" s="1742">
        <v>0.3</v>
      </c>
      <c r="AH26" s="1742"/>
      <c r="AI26" s="1742"/>
      <c r="AJ26" s="1742"/>
      <c r="AK26" s="1742"/>
      <c r="AL26" s="1747" t="e">
        <f>INT($Y26*AG26)</f>
        <v>#REF!</v>
      </c>
      <c r="AM26" s="1748"/>
      <c r="AN26" s="1748"/>
      <c r="AO26" s="1748"/>
      <c r="AP26" s="1748"/>
      <c r="AQ26" s="1748"/>
      <c r="AR26" s="1748"/>
      <c r="AS26" s="1749"/>
      <c r="AT26" s="1741">
        <v>0.48</v>
      </c>
      <c r="AU26" s="1741"/>
      <c r="AV26" s="1741"/>
      <c r="AW26" s="1741"/>
      <c r="AX26" s="1741"/>
      <c r="AY26" s="1747" t="e">
        <f>INT($Y26*AT26)</f>
        <v>#REF!</v>
      </c>
      <c r="AZ26" s="1748"/>
      <c r="BA26" s="1748"/>
      <c r="BB26" s="1748"/>
      <c r="BC26" s="1748"/>
      <c r="BD26" s="1748"/>
      <c r="BE26" s="1748"/>
      <c r="BF26" s="1749"/>
      <c r="BG26" s="1741">
        <v>0.6</v>
      </c>
      <c r="BH26" s="1741"/>
      <c r="BI26" s="1741"/>
      <c r="BJ26" s="1741"/>
      <c r="BK26" s="1741"/>
      <c r="BL26" s="1747" t="e">
        <f>INT($Y26*BG26)</f>
        <v>#REF!</v>
      </c>
      <c r="BM26" s="1748"/>
      <c r="BN26" s="1748"/>
      <c r="BO26" s="1748"/>
      <c r="BP26" s="1748"/>
      <c r="BQ26" s="1748"/>
      <c r="BR26" s="1748"/>
      <c r="BS26" s="1749"/>
      <c r="BT26" s="1741">
        <v>0.96</v>
      </c>
      <c r="BU26" s="1741"/>
      <c r="BV26" s="1741"/>
      <c r="BW26" s="1741"/>
      <c r="BX26" s="1741"/>
      <c r="BY26" s="1747" t="e">
        <f>INT($Y26*BT26)</f>
        <v>#REF!</v>
      </c>
      <c r="BZ26" s="1748"/>
      <c r="CA26" s="1748"/>
      <c r="CB26" s="1748"/>
      <c r="CC26" s="1748"/>
      <c r="CD26" s="1748"/>
      <c r="CE26" s="1748"/>
      <c r="CF26" s="1750"/>
    </row>
    <row r="27" spans="1:88" s="535" customFormat="1" ht="23.1" customHeight="1">
      <c r="E27" s="1636"/>
      <c r="F27" s="1642"/>
      <c r="G27" s="1642"/>
      <c r="H27" s="1642"/>
      <c r="I27" s="1566" t="s">
        <v>419</v>
      </c>
      <c r="J27" s="1566"/>
      <c r="K27" s="1566"/>
      <c r="L27" s="1566"/>
      <c r="M27" s="1566"/>
      <c r="N27" s="1566"/>
      <c r="O27" s="1566"/>
      <c r="P27" s="1566"/>
      <c r="Q27" s="1566"/>
      <c r="R27" s="1566"/>
      <c r="S27" s="1566"/>
      <c r="T27" s="1616"/>
      <c r="U27" s="1616"/>
      <c r="V27" s="1616"/>
      <c r="W27" s="1616"/>
      <c r="X27" s="1616"/>
      <c r="Y27" s="1526"/>
      <c r="Z27" s="1526"/>
      <c r="AA27" s="1526"/>
      <c r="AB27" s="1526"/>
      <c r="AC27" s="1526"/>
      <c r="AD27" s="1526"/>
      <c r="AE27" s="1526"/>
      <c r="AF27" s="1526"/>
      <c r="AG27" s="1751"/>
      <c r="AH27" s="1752"/>
      <c r="AI27" s="1752"/>
      <c r="AJ27" s="1752"/>
      <c r="AK27" s="1752"/>
      <c r="AL27" s="1522" t="e">
        <f>SUM(AL26)</f>
        <v>#REF!</v>
      </c>
      <c r="AM27" s="1743"/>
      <c r="AN27" s="1743"/>
      <c r="AO27" s="1743"/>
      <c r="AP27" s="1743"/>
      <c r="AQ27" s="1743"/>
      <c r="AR27" s="1743"/>
      <c r="AS27" s="1746"/>
      <c r="AT27" s="1522"/>
      <c r="AU27" s="1523"/>
      <c r="AV27" s="1523"/>
      <c r="AW27" s="1523"/>
      <c r="AX27" s="1524"/>
      <c r="AY27" s="1522" t="e">
        <f>SUM(AY26)</f>
        <v>#REF!</v>
      </c>
      <c r="AZ27" s="1743"/>
      <c r="BA27" s="1743"/>
      <c r="BB27" s="1743"/>
      <c r="BC27" s="1743"/>
      <c r="BD27" s="1743"/>
      <c r="BE27" s="1743"/>
      <c r="BF27" s="1746"/>
      <c r="BG27" s="1522"/>
      <c r="BH27" s="1523"/>
      <c r="BI27" s="1523"/>
      <c r="BJ27" s="1523"/>
      <c r="BK27" s="1524"/>
      <c r="BL27" s="1522" t="e">
        <f>SUM(BL26)</f>
        <v>#REF!</v>
      </c>
      <c r="BM27" s="1743"/>
      <c r="BN27" s="1743"/>
      <c r="BO27" s="1743"/>
      <c r="BP27" s="1743"/>
      <c r="BQ27" s="1743"/>
      <c r="BR27" s="1743"/>
      <c r="BS27" s="1746"/>
      <c r="BT27" s="1522"/>
      <c r="BU27" s="1523"/>
      <c r="BV27" s="1523"/>
      <c r="BW27" s="1523"/>
      <c r="BX27" s="1524"/>
      <c r="BY27" s="1522" t="e">
        <f>SUM(BY26)</f>
        <v>#REF!</v>
      </c>
      <c r="BZ27" s="1743"/>
      <c r="CA27" s="1743"/>
      <c r="CB27" s="1743"/>
      <c r="CC27" s="1743"/>
      <c r="CD27" s="1743"/>
      <c r="CE27" s="1743"/>
      <c r="CF27" s="1744"/>
    </row>
    <row r="28" spans="1:88" s="535" customFormat="1" ht="23.1" customHeight="1">
      <c r="E28" s="1636" t="s">
        <v>420</v>
      </c>
      <c r="F28" s="1642"/>
      <c r="G28" s="1642"/>
      <c r="H28" s="1642"/>
      <c r="I28" s="1566" t="s">
        <v>421</v>
      </c>
      <c r="J28" s="1566"/>
      <c r="K28" s="1566"/>
      <c r="L28" s="1566"/>
      <c r="M28" s="1566"/>
      <c r="N28" s="1566"/>
      <c r="O28" s="1566"/>
      <c r="P28" s="1566"/>
      <c r="Q28" s="1566"/>
      <c r="R28" s="1566"/>
      <c r="S28" s="1566"/>
      <c r="T28" s="1616" t="s">
        <v>366</v>
      </c>
      <c r="U28" s="1616"/>
      <c r="V28" s="1616"/>
      <c r="W28" s="1616"/>
      <c r="X28" s="1616"/>
      <c r="Y28" s="1615">
        <f>[53]노임단가!$T$18</f>
        <v>222306</v>
      </c>
      <c r="Z28" s="1616"/>
      <c r="AA28" s="1616"/>
      <c r="AB28" s="1616"/>
      <c r="AC28" s="1616"/>
      <c r="AD28" s="1616"/>
      <c r="AE28" s="1616"/>
      <c r="AF28" s="1616"/>
      <c r="AG28" s="1742">
        <v>0.33</v>
      </c>
      <c r="AH28" s="1742"/>
      <c r="AI28" s="1742"/>
      <c r="AJ28" s="1742"/>
      <c r="AK28" s="1742"/>
      <c r="AL28" s="1738">
        <f>INT($Y28*AG28)</f>
        <v>73360</v>
      </c>
      <c r="AM28" s="1739"/>
      <c r="AN28" s="1739"/>
      <c r="AO28" s="1739"/>
      <c r="AP28" s="1739"/>
      <c r="AQ28" s="1739"/>
      <c r="AR28" s="1739"/>
      <c r="AS28" s="1740"/>
      <c r="AT28" s="1741">
        <v>0.41</v>
      </c>
      <c r="AU28" s="1741"/>
      <c r="AV28" s="1741"/>
      <c r="AW28" s="1741"/>
      <c r="AX28" s="1741"/>
      <c r="AY28" s="1738">
        <f>INT($Y28*AT28)</f>
        <v>91145</v>
      </c>
      <c r="AZ28" s="1739"/>
      <c r="BA28" s="1739"/>
      <c r="BB28" s="1739"/>
      <c r="BC28" s="1739"/>
      <c r="BD28" s="1739"/>
      <c r="BE28" s="1739"/>
      <c r="BF28" s="1740"/>
      <c r="BG28" s="1741">
        <v>0.57999999999999996</v>
      </c>
      <c r="BH28" s="1741"/>
      <c r="BI28" s="1741"/>
      <c r="BJ28" s="1741"/>
      <c r="BK28" s="1741"/>
      <c r="BL28" s="1738">
        <f>INT($Y28*BG28)</f>
        <v>128937</v>
      </c>
      <c r="BM28" s="1739"/>
      <c r="BN28" s="1739"/>
      <c r="BO28" s="1739"/>
      <c r="BP28" s="1739"/>
      <c r="BQ28" s="1739"/>
      <c r="BR28" s="1739"/>
      <c r="BS28" s="1740"/>
      <c r="BT28" s="1741">
        <v>0.94</v>
      </c>
      <c r="BU28" s="1741"/>
      <c r="BV28" s="1741"/>
      <c r="BW28" s="1741"/>
      <c r="BX28" s="1741"/>
      <c r="BY28" s="1738">
        <f>INT($Y28*BT28)</f>
        <v>208967</v>
      </c>
      <c r="BZ28" s="1739"/>
      <c r="CA28" s="1739"/>
      <c r="CB28" s="1739"/>
      <c r="CC28" s="1739"/>
      <c r="CD28" s="1739"/>
      <c r="CE28" s="1739"/>
      <c r="CF28" s="1745"/>
    </row>
    <row r="29" spans="1:88" s="535" customFormat="1" ht="23.1" customHeight="1">
      <c r="E29" s="1636"/>
      <c r="F29" s="1642"/>
      <c r="G29" s="1642"/>
      <c r="H29" s="1642"/>
      <c r="I29" s="1566" t="s">
        <v>248</v>
      </c>
      <c r="J29" s="1566"/>
      <c r="K29" s="1566"/>
      <c r="L29" s="1566"/>
      <c r="M29" s="1566"/>
      <c r="N29" s="1566"/>
      <c r="O29" s="1566"/>
      <c r="P29" s="1566"/>
      <c r="Q29" s="1566"/>
      <c r="R29" s="1566"/>
      <c r="S29" s="1566"/>
      <c r="T29" s="1616" t="s">
        <v>366</v>
      </c>
      <c r="U29" s="1616"/>
      <c r="V29" s="1616"/>
      <c r="W29" s="1616"/>
      <c r="X29" s="1616"/>
      <c r="Y29" s="1615">
        <f>[53]노임단가!$T$5</f>
        <v>172068</v>
      </c>
      <c r="Z29" s="1616"/>
      <c r="AA29" s="1616"/>
      <c r="AB29" s="1616"/>
      <c r="AC29" s="1616"/>
      <c r="AD29" s="1616"/>
      <c r="AE29" s="1616"/>
      <c r="AF29" s="1616"/>
      <c r="AG29" s="1742">
        <v>0.16</v>
      </c>
      <c r="AH29" s="1742"/>
      <c r="AI29" s="1742"/>
      <c r="AJ29" s="1742"/>
      <c r="AK29" s="1742"/>
      <c r="AL29" s="1738">
        <f>INT($Y29*AG29)</f>
        <v>27530</v>
      </c>
      <c r="AM29" s="1739"/>
      <c r="AN29" s="1739"/>
      <c r="AO29" s="1739"/>
      <c r="AP29" s="1739"/>
      <c r="AQ29" s="1739"/>
      <c r="AR29" s="1739"/>
      <c r="AS29" s="1740"/>
      <c r="AT29" s="1741">
        <v>0.21</v>
      </c>
      <c r="AU29" s="1741"/>
      <c r="AV29" s="1741"/>
      <c r="AW29" s="1741"/>
      <c r="AX29" s="1741"/>
      <c r="AY29" s="1738">
        <f>INT($Y29*AT29)</f>
        <v>36134</v>
      </c>
      <c r="AZ29" s="1739"/>
      <c r="BA29" s="1739"/>
      <c r="BB29" s="1739"/>
      <c r="BC29" s="1739"/>
      <c r="BD29" s="1739"/>
      <c r="BE29" s="1739"/>
      <c r="BF29" s="1740"/>
      <c r="BG29" s="1741">
        <v>0.28999999999999998</v>
      </c>
      <c r="BH29" s="1741"/>
      <c r="BI29" s="1741"/>
      <c r="BJ29" s="1741"/>
      <c r="BK29" s="1741"/>
      <c r="BL29" s="1738">
        <f>INT($Y29*BG29)</f>
        <v>49899</v>
      </c>
      <c r="BM29" s="1739"/>
      <c r="BN29" s="1739"/>
      <c r="BO29" s="1739"/>
      <c r="BP29" s="1739"/>
      <c r="BQ29" s="1739"/>
      <c r="BR29" s="1739"/>
      <c r="BS29" s="1740"/>
      <c r="BT29" s="1741">
        <v>0.48</v>
      </c>
      <c r="BU29" s="1741"/>
      <c r="BV29" s="1741"/>
      <c r="BW29" s="1741"/>
      <c r="BX29" s="1741"/>
      <c r="BY29" s="1738">
        <f>INT($Y29*BT29)</f>
        <v>82592</v>
      </c>
      <c r="BZ29" s="1739"/>
      <c r="CA29" s="1739"/>
      <c r="CB29" s="1739"/>
      <c r="CC29" s="1739"/>
      <c r="CD29" s="1739"/>
      <c r="CE29" s="1739"/>
      <c r="CF29" s="1745"/>
    </row>
    <row r="30" spans="1:88" s="535" customFormat="1" ht="23.1" customHeight="1">
      <c r="E30" s="1636"/>
      <c r="F30" s="1642"/>
      <c r="G30" s="1642"/>
      <c r="H30" s="1642"/>
      <c r="I30" s="1566" t="s">
        <v>417</v>
      </c>
      <c r="J30" s="1566"/>
      <c r="K30" s="1566"/>
      <c r="L30" s="1566"/>
      <c r="M30" s="1566"/>
      <c r="N30" s="1566"/>
      <c r="O30" s="1566"/>
      <c r="P30" s="1566"/>
      <c r="Q30" s="1566"/>
      <c r="R30" s="1566"/>
      <c r="S30" s="1566"/>
      <c r="T30" s="1616" t="s">
        <v>418</v>
      </c>
      <c r="U30" s="1616"/>
      <c r="V30" s="1616"/>
      <c r="W30" s="1616"/>
      <c r="X30" s="1616"/>
      <c r="Y30" s="1615" t="e">
        <f>#REF!</f>
        <v>#REF!</v>
      </c>
      <c r="Z30" s="1615"/>
      <c r="AA30" s="1615"/>
      <c r="AB30" s="1615"/>
      <c r="AC30" s="1615"/>
      <c r="AD30" s="1615"/>
      <c r="AE30" s="1615"/>
      <c r="AF30" s="1615"/>
      <c r="AG30" s="1742">
        <v>0.3</v>
      </c>
      <c r="AH30" s="1742"/>
      <c r="AI30" s="1742"/>
      <c r="AJ30" s="1742"/>
      <c r="AK30" s="1742"/>
      <c r="AL30" s="1738" t="e">
        <f>INT($Y30*AG30)</f>
        <v>#REF!</v>
      </c>
      <c r="AM30" s="1739"/>
      <c r="AN30" s="1739"/>
      <c r="AO30" s="1739"/>
      <c r="AP30" s="1739"/>
      <c r="AQ30" s="1739"/>
      <c r="AR30" s="1739"/>
      <c r="AS30" s="1740"/>
      <c r="AT30" s="1741">
        <v>0.48</v>
      </c>
      <c r="AU30" s="1741"/>
      <c r="AV30" s="1741"/>
      <c r="AW30" s="1741"/>
      <c r="AX30" s="1741"/>
      <c r="AY30" s="1738" t="e">
        <f>INT($Y30*AT30)</f>
        <v>#REF!</v>
      </c>
      <c r="AZ30" s="1739"/>
      <c r="BA30" s="1739"/>
      <c r="BB30" s="1739"/>
      <c r="BC30" s="1739"/>
      <c r="BD30" s="1739"/>
      <c r="BE30" s="1739"/>
      <c r="BF30" s="1740"/>
      <c r="BG30" s="1741">
        <v>0.6</v>
      </c>
      <c r="BH30" s="1741"/>
      <c r="BI30" s="1741"/>
      <c r="BJ30" s="1741"/>
      <c r="BK30" s="1741"/>
      <c r="BL30" s="1738" t="e">
        <f>INT($Y30*BG30)</f>
        <v>#REF!</v>
      </c>
      <c r="BM30" s="1739"/>
      <c r="BN30" s="1739"/>
      <c r="BO30" s="1739"/>
      <c r="BP30" s="1739"/>
      <c r="BQ30" s="1739"/>
      <c r="BR30" s="1739"/>
      <c r="BS30" s="1740"/>
      <c r="BT30" s="1741">
        <v>0.96</v>
      </c>
      <c r="BU30" s="1741"/>
      <c r="BV30" s="1741"/>
      <c r="BW30" s="1741"/>
      <c r="BX30" s="1741"/>
      <c r="BY30" s="1738" t="e">
        <f>INT($Y30*BT30)</f>
        <v>#REF!</v>
      </c>
      <c r="BZ30" s="1739"/>
      <c r="CA30" s="1739"/>
      <c r="CB30" s="1739"/>
      <c r="CC30" s="1739"/>
      <c r="CD30" s="1739"/>
      <c r="CE30" s="1739"/>
      <c r="CF30" s="1745"/>
    </row>
    <row r="31" spans="1:88" s="535" customFormat="1" ht="23.1" customHeight="1">
      <c r="E31" s="1636"/>
      <c r="F31" s="1642"/>
      <c r="G31" s="1642"/>
      <c r="H31" s="1642"/>
      <c r="I31" s="1566" t="s">
        <v>419</v>
      </c>
      <c r="J31" s="1566"/>
      <c r="K31" s="1566"/>
      <c r="L31" s="1566"/>
      <c r="M31" s="1566"/>
      <c r="N31" s="1566"/>
      <c r="O31" s="1566"/>
      <c r="P31" s="1566"/>
      <c r="Q31" s="1566"/>
      <c r="R31" s="1566"/>
      <c r="S31" s="1566"/>
      <c r="T31" s="1616"/>
      <c r="U31" s="1616"/>
      <c r="V31" s="1616"/>
      <c r="W31" s="1616"/>
      <c r="X31" s="1616"/>
      <c r="Y31" s="1526"/>
      <c r="Z31" s="1526"/>
      <c r="AA31" s="1526"/>
      <c r="AB31" s="1526"/>
      <c r="AC31" s="1526"/>
      <c r="AD31" s="1526"/>
      <c r="AE31" s="1526"/>
      <c r="AF31" s="1526"/>
      <c r="AG31" s="1522"/>
      <c r="AH31" s="1523"/>
      <c r="AI31" s="1523"/>
      <c r="AJ31" s="1523"/>
      <c r="AK31" s="1524"/>
      <c r="AL31" s="1522" t="e">
        <f>SUM(AL28:AS30)</f>
        <v>#REF!</v>
      </c>
      <c r="AM31" s="1523"/>
      <c r="AN31" s="1523"/>
      <c r="AO31" s="1523"/>
      <c r="AP31" s="1523"/>
      <c r="AQ31" s="1523"/>
      <c r="AR31" s="1523"/>
      <c r="AS31" s="1524"/>
      <c r="AT31" s="1522"/>
      <c r="AU31" s="1523"/>
      <c r="AV31" s="1523"/>
      <c r="AW31" s="1523"/>
      <c r="AX31" s="1524"/>
      <c r="AY31" s="1522" t="e">
        <f>SUM(AY28:BF30)</f>
        <v>#REF!</v>
      </c>
      <c r="AZ31" s="1523"/>
      <c r="BA31" s="1523"/>
      <c r="BB31" s="1523"/>
      <c r="BC31" s="1523"/>
      <c r="BD31" s="1523"/>
      <c r="BE31" s="1523"/>
      <c r="BF31" s="1524"/>
      <c r="BG31" s="1522"/>
      <c r="BH31" s="1523"/>
      <c r="BI31" s="1523"/>
      <c r="BJ31" s="1523"/>
      <c r="BK31" s="1524"/>
      <c r="BL31" s="1522" t="e">
        <f>SUM(BL28:BS30)</f>
        <v>#REF!</v>
      </c>
      <c r="BM31" s="1523"/>
      <c r="BN31" s="1523"/>
      <c r="BO31" s="1523"/>
      <c r="BP31" s="1523"/>
      <c r="BQ31" s="1523"/>
      <c r="BR31" s="1523"/>
      <c r="BS31" s="1524"/>
      <c r="BT31" s="1522"/>
      <c r="BU31" s="1523"/>
      <c r="BV31" s="1523"/>
      <c r="BW31" s="1523"/>
      <c r="BX31" s="1524"/>
      <c r="BY31" s="1522" t="e">
        <f>SUM(BY28:CF30)</f>
        <v>#REF!</v>
      </c>
      <c r="BZ31" s="1743"/>
      <c r="CA31" s="1743"/>
      <c r="CB31" s="1743"/>
      <c r="CC31" s="1743"/>
      <c r="CD31" s="1743"/>
      <c r="CE31" s="1743"/>
      <c r="CF31" s="1744"/>
    </row>
    <row r="32" spans="1:88" s="535" customFormat="1" ht="23.1" customHeight="1">
      <c r="E32" s="1636" t="s">
        <v>422</v>
      </c>
      <c r="F32" s="1566"/>
      <c r="G32" s="1566"/>
      <c r="H32" s="1566"/>
      <c r="I32" s="1566" t="s">
        <v>417</v>
      </c>
      <c r="J32" s="1566"/>
      <c r="K32" s="1566"/>
      <c r="L32" s="1566"/>
      <c r="M32" s="1566"/>
      <c r="N32" s="1566"/>
      <c r="O32" s="1566"/>
      <c r="P32" s="1566"/>
      <c r="Q32" s="1566"/>
      <c r="R32" s="1566"/>
      <c r="S32" s="1566"/>
      <c r="T32" s="1616" t="s">
        <v>418</v>
      </c>
      <c r="U32" s="1616"/>
      <c r="V32" s="1616"/>
      <c r="W32" s="1616"/>
      <c r="X32" s="1616"/>
      <c r="Y32" s="1615" t="e">
        <f>#REF!</f>
        <v>#REF!</v>
      </c>
      <c r="Z32" s="1616"/>
      <c r="AA32" s="1616"/>
      <c r="AB32" s="1616"/>
      <c r="AC32" s="1616"/>
      <c r="AD32" s="1616"/>
      <c r="AE32" s="1616"/>
      <c r="AF32" s="1616"/>
      <c r="AG32" s="1742">
        <v>0.3</v>
      </c>
      <c r="AH32" s="1742"/>
      <c r="AI32" s="1742"/>
      <c r="AJ32" s="1742"/>
      <c r="AK32" s="1742"/>
      <c r="AL32" s="1738" t="e">
        <f>INT($Y32*AG32)</f>
        <v>#REF!</v>
      </c>
      <c r="AM32" s="1739"/>
      <c r="AN32" s="1739"/>
      <c r="AO32" s="1739"/>
      <c r="AP32" s="1739"/>
      <c r="AQ32" s="1739"/>
      <c r="AR32" s="1739"/>
      <c r="AS32" s="1740"/>
      <c r="AT32" s="1741">
        <v>0.48</v>
      </c>
      <c r="AU32" s="1741"/>
      <c r="AV32" s="1741"/>
      <c r="AW32" s="1741"/>
      <c r="AX32" s="1741"/>
      <c r="AY32" s="1738" t="e">
        <f>INT($Y32*AT32)</f>
        <v>#REF!</v>
      </c>
      <c r="AZ32" s="1739"/>
      <c r="BA32" s="1739"/>
      <c r="BB32" s="1739"/>
      <c r="BC32" s="1739"/>
      <c r="BD32" s="1739"/>
      <c r="BE32" s="1739"/>
      <c r="BF32" s="1740"/>
      <c r="BG32" s="1741">
        <v>0.6</v>
      </c>
      <c r="BH32" s="1741"/>
      <c r="BI32" s="1741"/>
      <c r="BJ32" s="1741"/>
      <c r="BK32" s="1741"/>
      <c r="BL32" s="1738" t="e">
        <f>INT($Y32*BG32)</f>
        <v>#REF!</v>
      </c>
      <c r="BM32" s="1739"/>
      <c r="BN32" s="1739"/>
      <c r="BO32" s="1739"/>
      <c r="BP32" s="1739"/>
      <c r="BQ32" s="1739"/>
      <c r="BR32" s="1739"/>
      <c r="BS32" s="1740"/>
      <c r="BT32" s="1741">
        <v>0.96</v>
      </c>
      <c r="BU32" s="1741"/>
      <c r="BV32" s="1741"/>
      <c r="BW32" s="1741"/>
      <c r="BX32" s="1741"/>
      <c r="BY32" s="1738" t="e">
        <f>INT($Y32*BT32)</f>
        <v>#REF!</v>
      </c>
      <c r="BZ32" s="1739"/>
      <c r="CA32" s="1739"/>
      <c r="CB32" s="1739"/>
      <c r="CC32" s="1739"/>
      <c r="CD32" s="1739"/>
      <c r="CE32" s="1739"/>
      <c r="CF32" s="1745"/>
    </row>
    <row r="33" spans="1:88" s="535" customFormat="1" ht="23.1" customHeight="1">
      <c r="E33" s="1565"/>
      <c r="F33" s="1566"/>
      <c r="G33" s="1566"/>
      <c r="H33" s="1566"/>
      <c r="I33" s="1633" t="e">
        <f>#REF!</f>
        <v>#REF!</v>
      </c>
      <c r="J33" s="1634"/>
      <c r="K33" s="1634"/>
      <c r="L33" s="1634"/>
      <c r="M33" s="1634"/>
      <c r="N33" s="1634"/>
      <c r="O33" s="1634"/>
      <c r="P33" s="1634"/>
      <c r="Q33" s="1634"/>
      <c r="R33" s="1634"/>
      <c r="S33" s="1635"/>
      <c r="T33" s="1616" t="s">
        <v>418</v>
      </c>
      <c r="U33" s="1616"/>
      <c r="V33" s="1616"/>
      <c r="W33" s="1616"/>
      <c r="X33" s="1616"/>
      <c r="Y33" s="1615" t="e">
        <f>#REF!</f>
        <v>#REF!</v>
      </c>
      <c r="Z33" s="1616"/>
      <c r="AA33" s="1616"/>
      <c r="AB33" s="1616"/>
      <c r="AC33" s="1616"/>
      <c r="AD33" s="1616"/>
      <c r="AE33" s="1616"/>
      <c r="AF33" s="1616"/>
      <c r="AG33" s="1742">
        <v>1.26</v>
      </c>
      <c r="AH33" s="1742"/>
      <c r="AI33" s="1742"/>
      <c r="AJ33" s="1742"/>
      <c r="AK33" s="1742"/>
      <c r="AL33" s="1738" t="e">
        <f>INT($Y33*AG33)</f>
        <v>#REF!</v>
      </c>
      <c r="AM33" s="1739"/>
      <c r="AN33" s="1739"/>
      <c r="AO33" s="1739"/>
      <c r="AP33" s="1739"/>
      <c r="AQ33" s="1739"/>
      <c r="AR33" s="1739"/>
      <c r="AS33" s="1740"/>
      <c r="AT33" s="1741">
        <v>1.68</v>
      </c>
      <c r="AU33" s="1741"/>
      <c r="AV33" s="1741"/>
      <c r="AW33" s="1741"/>
      <c r="AX33" s="1741"/>
      <c r="AY33" s="1738" t="e">
        <f>INT($Y33*AT33)</f>
        <v>#REF!</v>
      </c>
      <c r="AZ33" s="1739"/>
      <c r="BA33" s="1739"/>
      <c r="BB33" s="1739"/>
      <c r="BC33" s="1739"/>
      <c r="BD33" s="1739"/>
      <c r="BE33" s="1739"/>
      <c r="BF33" s="1740"/>
      <c r="BG33" s="1741">
        <v>2.4</v>
      </c>
      <c r="BH33" s="1741"/>
      <c r="BI33" s="1741"/>
      <c r="BJ33" s="1741"/>
      <c r="BK33" s="1741"/>
      <c r="BL33" s="1738" t="e">
        <f>INT($Y33*BG33)</f>
        <v>#REF!</v>
      </c>
      <c r="BM33" s="1739"/>
      <c r="BN33" s="1739"/>
      <c r="BO33" s="1739"/>
      <c r="BP33" s="1739"/>
      <c r="BQ33" s="1739"/>
      <c r="BR33" s="1739"/>
      <c r="BS33" s="1740"/>
      <c r="BT33" s="1741">
        <v>3.9</v>
      </c>
      <c r="BU33" s="1741"/>
      <c r="BV33" s="1741"/>
      <c r="BW33" s="1741"/>
      <c r="BX33" s="1741"/>
      <c r="BY33" s="1738" t="e">
        <f>INT($Y33*BT33)</f>
        <v>#REF!</v>
      </c>
      <c r="BZ33" s="1739"/>
      <c r="CA33" s="1739"/>
      <c r="CB33" s="1739"/>
      <c r="CC33" s="1739"/>
      <c r="CD33" s="1739"/>
      <c r="CE33" s="1739"/>
      <c r="CF33" s="1745"/>
    </row>
    <row r="34" spans="1:88" s="535" customFormat="1" ht="23.1" customHeight="1">
      <c r="E34" s="1565"/>
      <c r="F34" s="1566"/>
      <c r="G34" s="1566"/>
      <c r="H34" s="1566"/>
      <c r="I34" s="1566" t="s">
        <v>419</v>
      </c>
      <c r="J34" s="1566"/>
      <c r="K34" s="1566"/>
      <c r="L34" s="1566"/>
      <c r="M34" s="1566"/>
      <c r="N34" s="1566"/>
      <c r="O34" s="1566"/>
      <c r="P34" s="1566"/>
      <c r="Q34" s="1566"/>
      <c r="R34" s="1566"/>
      <c r="S34" s="1566"/>
      <c r="T34" s="1616"/>
      <c r="U34" s="1616"/>
      <c r="V34" s="1616"/>
      <c r="W34" s="1616"/>
      <c r="X34" s="1616"/>
      <c r="Y34" s="1526"/>
      <c r="Z34" s="1526"/>
      <c r="AA34" s="1526"/>
      <c r="AB34" s="1526"/>
      <c r="AC34" s="1526"/>
      <c r="AD34" s="1526"/>
      <c r="AE34" s="1526"/>
      <c r="AF34" s="1526"/>
      <c r="AG34" s="1526"/>
      <c r="AH34" s="1526"/>
      <c r="AI34" s="1526"/>
      <c r="AJ34" s="1526"/>
      <c r="AK34" s="1526"/>
      <c r="AL34" s="1526" t="e">
        <f>SUM(AL32:AS33)</f>
        <v>#REF!</v>
      </c>
      <c r="AM34" s="1526"/>
      <c r="AN34" s="1526"/>
      <c r="AO34" s="1526"/>
      <c r="AP34" s="1526"/>
      <c r="AQ34" s="1526"/>
      <c r="AR34" s="1526"/>
      <c r="AS34" s="1526"/>
      <c r="AT34" s="1526"/>
      <c r="AU34" s="1526"/>
      <c r="AV34" s="1526"/>
      <c r="AW34" s="1526"/>
      <c r="AX34" s="1526"/>
      <c r="AY34" s="1526" t="e">
        <f>SUM(AY32:BF33)</f>
        <v>#REF!</v>
      </c>
      <c r="AZ34" s="1526"/>
      <c r="BA34" s="1526"/>
      <c r="BB34" s="1526"/>
      <c r="BC34" s="1526"/>
      <c r="BD34" s="1526"/>
      <c r="BE34" s="1526"/>
      <c r="BF34" s="1526"/>
      <c r="BG34" s="1526"/>
      <c r="BH34" s="1526"/>
      <c r="BI34" s="1526"/>
      <c r="BJ34" s="1526"/>
      <c r="BK34" s="1526"/>
      <c r="BL34" s="1526" t="e">
        <f>SUM(BL32:BS33)</f>
        <v>#REF!</v>
      </c>
      <c r="BM34" s="1526"/>
      <c r="BN34" s="1526"/>
      <c r="BO34" s="1526"/>
      <c r="BP34" s="1526"/>
      <c r="BQ34" s="1526"/>
      <c r="BR34" s="1526"/>
      <c r="BS34" s="1526"/>
      <c r="BT34" s="1526"/>
      <c r="BU34" s="1526"/>
      <c r="BV34" s="1526"/>
      <c r="BW34" s="1526"/>
      <c r="BX34" s="1526"/>
      <c r="BY34" s="1526" t="e">
        <f>SUM(BY32:CF33)</f>
        <v>#REF!</v>
      </c>
      <c r="BZ34" s="1526"/>
      <c r="CA34" s="1526"/>
      <c r="CB34" s="1526"/>
      <c r="CC34" s="1526"/>
      <c r="CD34" s="1526"/>
      <c r="CE34" s="1526"/>
      <c r="CF34" s="1586"/>
    </row>
    <row r="35" spans="1:88" s="535" customFormat="1" ht="23.1" customHeight="1" thickBot="1">
      <c r="E35" s="1625" t="s">
        <v>419</v>
      </c>
      <c r="F35" s="1546"/>
      <c r="G35" s="1546"/>
      <c r="H35" s="1546"/>
      <c r="I35" s="1546"/>
      <c r="J35" s="1546"/>
      <c r="K35" s="1546"/>
      <c r="L35" s="1546"/>
      <c r="M35" s="1546"/>
      <c r="N35" s="1546"/>
      <c r="O35" s="1546"/>
      <c r="P35" s="1546"/>
      <c r="Q35" s="1546"/>
      <c r="R35" s="1546"/>
      <c r="S35" s="1546"/>
      <c r="T35" s="1629"/>
      <c r="U35" s="1629"/>
      <c r="V35" s="1629"/>
      <c r="W35" s="1629"/>
      <c r="X35" s="1629"/>
      <c r="Y35" s="1630"/>
      <c r="Z35" s="1629"/>
      <c r="AA35" s="1629"/>
      <c r="AB35" s="1629"/>
      <c r="AC35" s="1629"/>
      <c r="AD35" s="1629"/>
      <c r="AE35" s="1629"/>
      <c r="AF35" s="1629"/>
      <c r="AG35" s="1629"/>
      <c r="AH35" s="1629"/>
      <c r="AI35" s="1629"/>
      <c r="AJ35" s="1629"/>
      <c r="AK35" s="1629"/>
      <c r="AL35" s="1507" t="e">
        <f>AL27+AL31+AL34</f>
        <v>#REF!</v>
      </c>
      <c r="AM35" s="1507"/>
      <c r="AN35" s="1507"/>
      <c r="AO35" s="1507"/>
      <c r="AP35" s="1507"/>
      <c r="AQ35" s="1507"/>
      <c r="AR35" s="1507"/>
      <c r="AS35" s="1507"/>
      <c r="AT35" s="1507"/>
      <c r="AU35" s="1507"/>
      <c r="AV35" s="1507"/>
      <c r="AW35" s="1507"/>
      <c r="AX35" s="1507"/>
      <c r="AY35" s="1507" t="e">
        <f>AY27+AY31+AY34</f>
        <v>#REF!</v>
      </c>
      <c r="AZ35" s="1507"/>
      <c r="BA35" s="1507"/>
      <c r="BB35" s="1507"/>
      <c r="BC35" s="1507"/>
      <c r="BD35" s="1507"/>
      <c r="BE35" s="1507"/>
      <c r="BF35" s="1507"/>
      <c r="BG35" s="1507"/>
      <c r="BH35" s="1507"/>
      <c r="BI35" s="1507"/>
      <c r="BJ35" s="1507"/>
      <c r="BK35" s="1507"/>
      <c r="BL35" s="1507" t="e">
        <f>BL27+BL31+BL34</f>
        <v>#REF!</v>
      </c>
      <c r="BM35" s="1507"/>
      <c r="BN35" s="1507"/>
      <c r="BO35" s="1507"/>
      <c r="BP35" s="1507"/>
      <c r="BQ35" s="1507"/>
      <c r="BR35" s="1507"/>
      <c r="BS35" s="1507"/>
      <c r="BT35" s="1507"/>
      <c r="BU35" s="1507"/>
      <c r="BV35" s="1507"/>
      <c r="BW35" s="1507"/>
      <c r="BX35" s="1507"/>
      <c r="BY35" s="1507" t="e">
        <f>BY27+BY31+BY34</f>
        <v>#REF!</v>
      </c>
      <c r="BZ35" s="1507"/>
      <c r="CA35" s="1507"/>
      <c r="CB35" s="1507"/>
      <c r="CC35" s="1507"/>
      <c r="CD35" s="1507"/>
      <c r="CE35" s="1507"/>
      <c r="CF35" s="1508"/>
    </row>
    <row r="36" spans="1:88" s="535" customFormat="1" ht="23.1" customHeight="1">
      <c r="A36" s="540"/>
      <c r="B36" s="540"/>
      <c r="C36" s="540"/>
      <c r="D36" s="540"/>
      <c r="E36" s="540"/>
      <c r="F36" s="540"/>
      <c r="G36" s="540" t="s">
        <v>743</v>
      </c>
      <c r="I36" s="540"/>
      <c r="J36" s="540"/>
      <c r="BT36" s="410"/>
      <c r="BU36" s="410"/>
      <c r="BV36" s="410"/>
      <c r="BW36" s="410"/>
      <c r="BX36" s="410"/>
      <c r="BY36" s="410"/>
      <c r="BZ36" s="410"/>
      <c r="CA36" s="410"/>
      <c r="CB36" s="410"/>
      <c r="CC36" s="410"/>
    </row>
    <row r="37" spans="1:88" s="535" customFormat="1" ht="23.1" customHeight="1">
      <c r="A37" s="537"/>
      <c r="B37" s="538"/>
      <c r="C37" s="537"/>
      <c r="D37" s="537"/>
      <c r="E37" s="540"/>
      <c r="F37" s="540"/>
      <c r="G37" s="540" t="s">
        <v>742</v>
      </c>
      <c r="H37" s="540"/>
      <c r="I37" s="540"/>
      <c r="J37" s="540"/>
    </row>
    <row r="38" spans="1:88" s="534" customFormat="1" ht="28.35" customHeight="1">
      <c r="A38" s="1579" t="s">
        <v>375</v>
      </c>
      <c r="B38" s="1579"/>
      <c r="C38" s="1579"/>
      <c r="D38" s="1579"/>
      <c r="E38" s="1579"/>
      <c r="F38" s="1579"/>
      <c r="G38" s="1579"/>
      <c r="H38" s="1579"/>
      <c r="I38" s="1579"/>
      <c r="J38" s="1579"/>
      <c r="K38" s="1579"/>
      <c r="L38" s="1579"/>
      <c r="M38" s="1579"/>
      <c r="N38" s="1579"/>
      <c r="O38" s="1579"/>
      <c r="P38" s="1579"/>
      <c r="Q38" s="1579"/>
      <c r="R38" s="1579"/>
      <c r="S38" s="1579"/>
      <c r="T38" s="1579"/>
      <c r="U38" s="1579"/>
      <c r="V38" s="1579"/>
      <c r="W38" s="1579"/>
      <c r="X38" s="1579"/>
      <c r="Y38" s="1579"/>
      <c r="Z38" s="1579"/>
      <c r="AA38" s="1579"/>
      <c r="AB38" s="1579"/>
      <c r="AC38" s="1579"/>
      <c r="AD38" s="1579"/>
      <c r="AE38" s="1579"/>
      <c r="AF38" s="1579"/>
      <c r="AG38" s="1579"/>
      <c r="AH38" s="1579"/>
      <c r="AI38" s="1579"/>
      <c r="AJ38" s="1579"/>
      <c r="AK38" s="1579"/>
      <c r="AL38" s="1579"/>
      <c r="AM38" s="1579"/>
      <c r="AN38" s="1579"/>
      <c r="AO38" s="1579"/>
      <c r="AP38" s="1579"/>
      <c r="AQ38" s="1579"/>
      <c r="AR38" s="1579"/>
      <c r="AS38" s="1579"/>
      <c r="AT38" s="1579"/>
      <c r="AU38" s="1579"/>
      <c r="AV38" s="1579"/>
      <c r="AW38" s="1579"/>
      <c r="AX38" s="1579"/>
      <c r="AY38" s="1579"/>
      <c r="AZ38" s="1579"/>
      <c r="BA38" s="1579"/>
      <c r="BB38" s="1579"/>
      <c r="BC38" s="1579"/>
      <c r="BD38" s="1579"/>
      <c r="BE38" s="1579"/>
      <c r="BF38" s="1579"/>
      <c r="BG38" s="1579"/>
      <c r="BH38" s="1579"/>
      <c r="BI38" s="1579"/>
      <c r="BJ38" s="1579"/>
      <c r="BK38" s="1579"/>
      <c r="BL38" s="1579"/>
      <c r="BM38" s="1579"/>
      <c r="BN38" s="1579"/>
      <c r="BO38" s="1579"/>
      <c r="BP38" s="1579"/>
      <c r="BQ38" s="1579"/>
      <c r="BR38" s="1579"/>
      <c r="BS38" s="1579"/>
      <c r="BT38" s="1579"/>
      <c r="BU38" s="1579"/>
      <c r="BV38" s="1579"/>
      <c r="BW38" s="1579"/>
      <c r="BX38" s="1579"/>
      <c r="BY38" s="1579"/>
      <c r="BZ38" s="1579"/>
      <c r="CA38" s="1579"/>
      <c r="CB38" s="1579"/>
      <c r="CC38" s="1579"/>
      <c r="CD38" s="1579"/>
      <c r="CE38" s="1579"/>
      <c r="CF38" s="1579"/>
      <c r="CJ38" s="535" t="s">
        <v>721</v>
      </c>
    </row>
    <row r="39" spans="1:88" s="534" customFormat="1" ht="9.9499999999999993" customHeight="1">
      <c r="A39" s="536"/>
      <c r="B39" s="536"/>
      <c r="C39" s="536"/>
      <c r="D39" s="536"/>
      <c r="E39" s="536"/>
      <c r="F39" s="536"/>
      <c r="G39" s="536"/>
      <c r="H39" s="536"/>
      <c r="I39" s="536"/>
      <c r="J39" s="536"/>
      <c r="K39" s="536"/>
      <c r="L39" s="536"/>
      <c r="M39" s="536"/>
      <c r="N39" s="536"/>
      <c r="O39" s="536"/>
      <c r="P39" s="536"/>
      <c r="Q39" s="536"/>
      <c r="R39" s="536"/>
      <c r="S39" s="536"/>
      <c r="T39" s="536"/>
      <c r="U39" s="536"/>
      <c r="V39" s="536"/>
      <c r="W39" s="536"/>
      <c r="X39" s="536"/>
      <c r="Y39" s="536"/>
      <c r="Z39" s="536"/>
      <c r="AA39" s="536"/>
      <c r="AB39" s="536"/>
      <c r="AC39" s="536"/>
      <c r="AD39" s="536"/>
      <c r="AE39" s="536"/>
      <c r="AF39" s="536"/>
      <c r="AG39" s="536"/>
      <c r="AH39" s="536"/>
      <c r="AI39" s="536"/>
      <c r="AJ39" s="536"/>
      <c r="AK39" s="536"/>
      <c r="AL39" s="536"/>
      <c r="AM39" s="536"/>
      <c r="AN39" s="536"/>
      <c r="AO39" s="536"/>
      <c r="AP39" s="536"/>
      <c r="AQ39" s="536"/>
      <c r="AR39" s="536"/>
      <c r="AS39" s="536"/>
      <c r="AT39" s="536"/>
      <c r="AU39" s="536"/>
      <c r="AV39" s="536"/>
      <c r="AW39" s="536"/>
      <c r="AX39" s="536"/>
      <c r="AY39" s="536"/>
      <c r="AZ39" s="536"/>
      <c r="BA39" s="536"/>
      <c r="BB39" s="536"/>
      <c r="BC39" s="536"/>
      <c r="BD39" s="536"/>
      <c r="BE39" s="536"/>
      <c r="BF39" s="536"/>
      <c r="BG39" s="536"/>
      <c r="BH39" s="536"/>
      <c r="BI39" s="536"/>
      <c r="BJ39" s="536"/>
      <c r="BK39" s="536"/>
      <c r="BL39" s="536"/>
      <c r="BM39" s="536"/>
      <c r="BN39" s="536"/>
      <c r="BO39" s="536"/>
      <c r="BP39" s="536"/>
      <c r="BQ39" s="536"/>
      <c r="BR39" s="536"/>
      <c r="BS39" s="536"/>
      <c r="BT39" s="536"/>
      <c r="BU39" s="536"/>
      <c r="BV39" s="536"/>
      <c r="BW39" s="536"/>
      <c r="BX39" s="536"/>
      <c r="BY39" s="536"/>
      <c r="BZ39" s="536"/>
      <c r="CA39" s="536"/>
      <c r="CB39" s="536"/>
      <c r="CC39" s="536"/>
      <c r="CD39" s="536"/>
      <c r="CE39" s="536"/>
      <c r="CF39" s="536"/>
      <c r="CJ39" s="535"/>
    </row>
    <row r="40" spans="1:88" s="535" customFormat="1" ht="23.1" customHeight="1">
      <c r="E40" s="535" t="s">
        <v>376</v>
      </c>
      <c r="CJ40" s="535" t="s">
        <v>769</v>
      </c>
    </row>
    <row r="41" spans="1:88" s="535" customFormat="1" ht="23.1" customHeight="1">
      <c r="A41" s="540"/>
      <c r="B41" s="540"/>
      <c r="C41" s="540"/>
      <c r="D41" s="540"/>
      <c r="G41" s="1580" t="s">
        <v>377</v>
      </c>
      <c r="H41" s="1580"/>
      <c r="I41" s="1580"/>
      <c r="J41" s="1580"/>
      <c r="L41" s="543" t="s">
        <v>378</v>
      </c>
      <c r="M41" s="543"/>
      <c r="N41" s="543"/>
      <c r="O41" s="543"/>
      <c r="P41" s="543"/>
      <c r="Q41" s="543"/>
      <c r="R41" s="543"/>
      <c r="S41" s="543"/>
      <c r="T41" s="543"/>
      <c r="U41" s="543"/>
      <c r="V41" s="543"/>
      <c r="W41" s="543"/>
      <c r="X41" s="543"/>
      <c r="Y41" s="543"/>
      <c r="Z41" s="543"/>
      <c r="AA41" s="543"/>
      <c r="AB41" s="543"/>
      <c r="AC41" s="543"/>
      <c r="AD41" s="543"/>
      <c r="AE41" s="543"/>
      <c r="AM41" s="535" t="s">
        <v>379</v>
      </c>
      <c r="AV41" s="544"/>
      <c r="AW41" s="544"/>
      <c r="AX41" s="544"/>
      <c r="AY41" s="544"/>
      <c r="AZ41" s="544"/>
      <c r="BA41" s="544"/>
      <c r="BC41" s="544"/>
      <c r="BD41" s="544"/>
      <c r="BE41" s="545"/>
      <c r="BF41" s="545"/>
      <c r="BG41" s="545"/>
      <c r="BH41" s="545"/>
      <c r="BI41" s="535" t="s">
        <v>380</v>
      </c>
      <c r="BJ41" s="545"/>
      <c r="BK41" s="545"/>
      <c r="BL41" s="545"/>
      <c r="BM41" s="545"/>
      <c r="BN41" s="545"/>
      <c r="BO41" s="545"/>
      <c r="BP41" s="545"/>
      <c r="BQ41" s="545"/>
      <c r="BR41" s="545"/>
      <c r="BS41" s="545"/>
      <c r="BT41" s="545"/>
      <c r="BU41" s="545"/>
      <c r="BV41" s="545"/>
      <c r="BW41" s="545"/>
      <c r="BX41" s="545"/>
      <c r="BY41" s="545"/>
      <c r="BZ41" s="545"/>
      <c r="CA41" s="545"/>
      <c r="CB41" s="545"/>
      <c r="CC41" s="545"/>
      <c r="CD41" s="545"/>
      <c r="CE41" s="545"/>
      <c r="CF41" s="545"/>
      <c r="CJ41" s="535" t="s">
        <v>761</v>
      </c>
    </row>
    <row r="42" spans="1:88" s="535" customFormat="1" ht="23.1" customHeight="1">
      <c r="D42" s="405"/>
      <c r="G42" s="1580"/>
      <c r="H42" s="1580"/>
      <c r="I42" s="1580"/>
      <c r="J42" s="1580"/>
      <c r="L42" s="1557" t="s">
        <v>381</v>
      </c>
      <c r="M42" s="1557"/>
      <c r="N42" s="1557"/>
      <c r="O42" s="1557"/>
      <c r="P42" s="1557"/>
      <c r="Q42" s="1557"/>
      <c r="R42" s="1557"/>
      <c r="S42" s="1557"/>
      <c r="T42" s="1557"/>
      <c r="U42" s="1557"/>
      <c r="V42" s="1557"/>
      <c r="W42" s="1557"/>
      <c r="X42" s="1557"/>
      <c r="Y42" s="1557"/>
      <c r="Z42" s="1557"/>
      <c r="AA42" s="1557"/>
      <c r="AB42" s="1557"/>
      <c r="AC42" s="1557"/>
      <c r="AD42" s="1557"/>
      <c r="AE42" s="1557"/>
      <c r="AM42" s="544" t="s">
        <v>382</v>
      </c>
      <c r="AV42" s="544"/>
      <c r="AW42" s="544"/>
      <c r="AX42" s="544"/>
      <c r="AY42" s="544"/>
      <c r="AZ42" s="544"/>
      <c r="BA42" s="544"/>
      <c r="BC42" s="544"/>
      <c r="BD42" s="544"/>
      <c r="BE42" s="545"/>
      <c r="BF42" s="545"/>
      <c r="BG42" s="545"/>
      <c r="BH42" s="545"/>
      <c r="BI42" s="545"/>
      <c r="BJ42" s="545"/>
      <c r="BK42" s="545"/>
      <c r="BL42" s="545"/>
      <c r="BM42" s="545"/>
      <c r="BN42" s="545"/>
      <c r="BO42" s="545"/>
      <c r="BP42" s="545"/>
      <c r="BQ42" s="545"/>
      <c r="BR42" s="545"/>
      <c r="BS42" s="545"/>
      <c r="BT42" s="545"/>
      <c r="BU42" s="545"/>
      <c r="BV42" s="545"/>
      <c r="BW42" s="545"/>
      <c r="BX42" s="545"/>
      <c r="BY42" s="545"/>
      <c r="BZ42" s="545"/>
      <c r="CA42" s="545"/>
      <c r="CB42" s="545"/>
      <c r="CC42" s="545"/>
      <c r="CD42" s="545"/>
      <c r="CE42" s="545"/>
      <c r="CF42" s="545"/>
      <c r="CJ42" s="535" t="s">
        <v>717</v>
      </c>
    </row>
    <row r="43" spans="1:88" s="535" customFormat="1" ht="23.1" customHeight="1">
      <c r="G43" s="540"/>
      <c r="AM43" s="544" t="s">
        <v>383</v>
      </c>
      <c r="BI43" s="535" t="s">
        <v>384</v>
      </c>
      <c r="BT43" s="410"/>
      <c r="BU43" s="410"/>
      <c r="BV43" s="410"/>
      <c r="BW43" s="410"/>
      <c r="BX43" s="410"/>
      <c r="BY43" s="410"/>
      <c r="BZ43" s="410"/>
      <c r="CA43" s="410"/>
      <c r="CB43" s="410"/>
      <c r="CC43" s="410"/>
      <c r="CJ43" s="535" t="s">
        <v>716</v>
      </c>
    </row>
    <row r="44" spans="1:88" s="535" customFormat="1" ht="9.9499999999999993" customHeight="1" thickBot="1">
      <c r="D44" s="405"/>
      <c r="Q44" s="546"/>
      <c r="R44" s="546"/>
      <c r="S44" s="546"/>
      <c r="T44" s="546"/>
      <c r="U44" s="546"/>
      <c r="V44" s="546"/>
      <c r="W44" s="546"/>
      <c r="X44" s="546"/>
      <c r="Y44" s="546"/>
      <c r="Z44" s="546"/>
      <c r="AA44" s="546"/>
      <c r="AB44" s="546"/>
      <c r="AV44" s="544"/>
      <c r="AW44" s="544"/>
      <c r="AX44" s="544"/>
      <c r="AY44" s="544"/>
      <c r="AZ44" s="544"/>
      <c r="BA44" s="544"/>
      <c r="BB44" s="544"/>
      <c r="BC44" s="544"/>
      <c r="BD44" s="544"/>
      <c r="BE44" s="545"/>
      <c r="BF44" s="545"/>
      <c r="BG44" s="545"/>
      <c r="BH44" s="545"/>
      <c r="BI44" s="545"/>
      <c r="BJ44" s="545"/>
      <c r="BK44" s="545"/>
      <c r="BL44" s="545"/>
      <c r="BM44" s="545"/>
      <c r="BN44" s="545"/>
      <c r="BO44" s="545"/>
      <c r="BP44" s="545"/>
      <c r="BQ44" s="545"/>
      <c r="BR44" s="545"/>
      <c r="BS44" s="545"/>
      <c r="BT44" s="545"/>
      <c r="BU44" s="545"/>
      <c r="BV44" s="545"/>
      <c r="BW44" s="545"/>
      <c r="BX44" s="545"/>
      <c r="BY44" s="545"/>
      <c r="BZ44" s="545"/>
      <c r="CA44" s="545"/>
      <c r="CB44" s="545"/>
      <c r="CC44" s="545"/>
      <c r="CD44" s="545"/>
      <c r="CE44" s="545"/>
      <c r="CF44" s="545"/>
    </row>
    <row r="45" spans="1:88" s="535" customFormat="1" ht="23.1" customHeight="1" thickBot="1">
      <c r="A45" s="540"/>
      <c r="B45" s="540"/>
      <c r="C45" s="540"/>
      <c r="D45" s="540"/>
      <c r="E45" s="1581" t="s">
        <v>385</v>
      </c>
      <c r="F45" s="1582"/>
      <c r="G45" s="1582"/>
      <c r="H45" s="1582"/>
      <c r="I45" s="1582"/>
      <c r="J45" s="1582"/>
      <c r="K45" s="1582"/>
      <c r="L45" s="1582"/>
      <c r="M45" s="1582"/>
      <c r="N45" s="1582"/>
      <c r="O45" s="1582"/>
      <c r="P45" s="1582"/>
      <c r="Q45" s="1582" t="s">
        <v>212</v>
      </c>
      <c r="R45" s="1582"/>
      <c r="S45" s="1582"/>
      <c r="T45" s="1582"/>
      <c r="U45" s="1582"/>
      <c r="V45" s="1582"/>
      <c r="W45" s="1582"/>
      <c r="X45" s="1582"/>
      <c r="Y45" s="1582"/>
      <c r="Z45" s="1582"/>
      <c r="AA45" s="1582"/>
      <c r="AB45" s="1582"/>
      <c r="AC45" s="1582" t="s">
        <v>386</v>
      </c>
      <c r="AD45" s="1582"/>
      <c r="AE45" s="1582"/>
      <c r="AF45" s="1582"/>
      <c r="AG45" s="1582"/>
      <c r="AH45" s="1582"/>
      <c r="AI45" s="1582"/>
      <c r="AJ45" s="1582"/>
      <c r="AK45" s="1582" t="s">
        <v>387</v>
      </c>
      <c r="AL45" s="1582"/>
      <c r="AM45" s="1582"/>
      <c r="AN45" s="1582"/>
      <c r="AO45" s="1582"/>
      <c r="AP45" s="1582"/>
      <c r="AQ45" s="1582"/>
      <c r="AR45" s="1582"/>
      <c r="AS45" s="1582" t="s">
        <v>388</v>
      </c>
      <c r="AT45" s="1582"/>
      <c r="AU45" s="1582"/>
      <c r="AV45" s="1582"/>
      <c r="AW45" s="1582"/>
      <c r="AX45" s="1582"/>
      <c r="AY45" s="1582"/>
      <c r="AZ45" s="1582"/>
      <c r="BA45" s="1582" t="s">
        <v>389</v>
      </c>
      <c r="BB45" s="1582"/>
      <c r="BC45" s="1582"/>
      <c r="BD45" s="1582"/>
      <c r="BE45" s="1582"/>
      <c r="BF45" s="1582"/>
      <c r="BG45" s="1582"/>
      <c r="BH45" s="1582"/>
      <c r="BI45" s="1582" t="s">
        <v>381</v>
      </c>
      <c r="BJ45" s="1582"/>
      <c r="BK45" s="1582"/>
      <c r="BL45" s="1582"/>
      <c r="BM45" s="1582"/>
      <c r="BN45" s="1582"/>
      <c r="BO45" s="1582"/>
      <c r="BP45" s="1582"/>
      <c r="BQ45" s="1582"/>
      <c r="BR45" s="1582"/>
      <c r="BS45" s="1582"/>
      <c r="BT45" s="1582"/>
      <c r="BU45" s="1570" t="s">
        <v>390</v>
      </c>
      <c r="BV45" s="1570"/>
      <c r="BW45" s="1570"/>
      <c r="BX45" s="1570"/>
      <c r="BY45" s="1570"/>
      <c r="BZ45" s="1570"/>
      <c r="CA45" s="1570"/>
      <c r="CB45" s="1570"/>
      <c r="CC45" s="1570"/>
      <c r="CD45" s="1570"/>
      <c r="CE45" s="1570"/>
      <c r="CF45" s="1571"/>
      <c r="CJ45" s="535" t="s">
        <v>389</v>
      </c>
    </row>
    <row r="46" spans="1:88" s="535" customFormat="1" ht="23.1" customHeight="1" thickTop="1">
      <c r="D46" s="405"/>
      <c r="E46" s="1572" t="s">
        <v>391</v>
      </c>
      <c r="F46" s="1573"/>
      <c r="G46" s="1573"/>
      <c r="H46" s="1573"/>
      <c r="I46" s="1573"/>
      <c r="J46" s="1573"/>
      <c r="K46" s="1573"/>
      <c r="L46" s="1573"/>
      <c r="M46" s="1573"/>
      <c r="N46" s="1573"/>
      <c r="O46" s="1573"/>
      <c r="P46" s="1573"/>
      <c r="Q46" s="1574" t="s">
        <v>392</v>
      </c>
      <c r="R46" s="1574"/>
      <c r="S46" s="1574"/>
      <c r="T46" s="1574"/>
      <c r="U46" s="1574"/>
      <c r="V46" s="1574"/>
      <c r="W46" s="1574"/>
      <c r="X46" s="1574"/>
      <c r="Y46" s="1574"/>
      <c r="Z46" s="1574"/>
      <c r="AA46" s="1574"/>
      <c r="AB46" s="1574"/>
      <c r="AC46" s="1573">
        <v>0.12</v>
      </c>
      <c r="AD46" s="1573"/>
      <c r="AE46" s="1573"/>
      <c r="AF46" s="1573"/>
      <c r="AG46" s="1573"/>
      <c r="AH46" s="1573"/>
      <c r="AI46" s="1573"/>
      <c r="AJ46" s="1573"/>
      <c r="AK46" s="1573">
        <v>0.9</v>
      </c>
      <c r="AL46" s="1573"/>
      <c r="AM46" s="1573"/>
      <c r="AN46" s="1573"/>
      <c r="AO46" s="1573"/>
      <c r="AP46" s="1573"/>
      <c r="AQ46" s="1573"/>
      <c r="AR46" s="1573"/>
      <c r="AS46" s="1573">
        <v>0.8</v>
      </c>
      <c r="AT46" s="1573"/>
      <c r="AU46" s="1573"/>
      <c r="AV46" s="1573"/>
      <c r="AW46" s="1573"/>
      <c r="AX46" s="1573"/>
      <c r="AY46" s="1573"/>
      <c r="AZ46" s="1573"/>
      <c r="BA46" s="1573">
        <v>0.6</v>
      </c>
      <c r="BB46" s="1573"/>
      <c r="BC46" s="1573"/>
      <c r="BD46" s="1573"/>
      <c r="BE46" s="1573"/>
      <c r="BF46" s="1573"/>
      <c r="BG46" s="1573"/>
      <c r="BH46" s="1573"/>
      <c r="BI46" s="1736" t="s">
        <v>393</v>
      </c>
      <c r="BJ46" s="1577"/>
      <c r="BK46" s="1577"/>
      <c r="BL46" s="1577"/>
      <c r="BM46" s="1577"/>
      <c r="BN46" s="1737"/>
      <c r="BO46" s="1576">
        <v>20</v>
      </c>
      <c r="BP46" s="1577"/>
      <c r="BQ46" s="1577"/>
      <c r="BR46" s="1577"/>
      <c r="BS46" s="1577"/>
      <c r="BT46" s="1578"/>
      <c r="BU46" s="1554">
        <f t="shared" ref="BU46:BU53" si="0">ROUND(3600*AC46*AK46*AS46*BA46/BO46,2)</f>
        <v>9.33</v>
      </c>
      <c r="BV46" s="1554"/>
      <c r="BW46" s="1554"/>
      <c r="BX46" s="1554"/>
      <c r="BY46" s="1554"/>
      <c r="BZ46" s="1554"/>
      <c r="CA46" s="1554"/>
      <c r="CB46" s="1554"/>
      <c r="CC46" s="1554"/>
      <c r="CD46" s="1554"/>
      <c r="CE46" s="1554"/>
      <c r="CF46" s="1555"/>
      <c r="CJ46" s="535" t="s">
        <v>760</v>
      </c>
    </row>
    <row r="47" spans="1:88" s="535" customFormat="1" ht="23.1" customHeight="1">
      <c r="D47" s="405"/>
      <c r="E47" s="1565" t="s">
        <v>391</v>
      </c>
      <c r="F47" s="1566"/>
      <c r="G47" s="1566"/>
      <c r="H47" s="1566"/>
      <c r="I47" s="1566"/>
      <c r="J47" s="1566"/>
      <c r="K47" s="1566"/>
      <c r="L47" s="1566"/>
      <c r="M47" s="1566"/>
      <c r="N47" s="1566"/>
      <c r="O47" s="1566"/>
      <c r="P47" s="1566"/>
      <c r="Q47" s="1567" t="s">
        <v>394</v>
      </c>
      <c r="R47" s="1567"/>
      <c r="S47" s="1567"/>
      <c r="T47" s="1567"/>
      <c r="U47" s="1567"/>
      <c r="V47" s="1567"/>
      <c r="W47" s="1567"/>
      <c r="X47" s="1567"/>
      <c r="Y47" s="1567"/>
      <c r="Z47" s="1567"/>
      <c r="AA47" s="1567"/>
      <c r="AB47" s="1567"/>
      <c r="AC47" s="1573">
        <v>0.18</v>
      </c>
      <c r="AD47" s="1573"/>
      <c r="AE47" s="1573"/>
      <c r="AF47" s="1573"/>
      <c r="AG47" s="1573"/>
      <c r="AH47" s="1573"/>
      <c r="AI47" s="1573"/>
      <c r="AJ47" s="1573"/>
      <c r="AK47" s="1573">
        <v>0.9</v>
      </c>
      <c r="AL47" s="1573"/>
      <c r="AM47" s="1573"/>
      <c r="AN47" s="1573"/>
      <c r="AO47" s="1573"/>
      <c r="AP47" s="1573"/>
      <c r="AQ47" s="1573"/>
      <c r="AR47" s="1573"/>
      <c r="AS47" s="1573">
        <v>0.8</v>
      </c>
      <c r="AT47" s="1573"/>
      <c r="AU47" s="1573"/>
      <c r="AV47" s="1573"/>
      <c r="AW47" s="1573"/>
      <c r="AX47" s="1573"/>
      <c r="AY47" s="1573"/>
      <c r="AZ47" s="1573"/>
      <c r="BA47" s="1573">
        <v>0.6</v>
      </c>
      <c r="BB47" s="1573"/>
      <c r="BC47" s="1573"/>
      <c r="BD47" s="1573"/>
      <c r="BE47" s="1573"/>
      <c r="BF47" s="1573"/>
      <c r="BG47" s="1573"/>
      <c r="BH47" s="1573"/>
      <c r="BI47" s="1564" t="s">
        <v>393</v>
      </c>
      <c r="BJ47" s="1552"/>
      <c r="BK47" s="1552"/>
      <c r="BL47" s="1552"/>
      <c r="BM47" s="1552"/>
      <c r="BN47" s="1733"/>
      <c r="BO47" s="1551">
        <v>20</v>
      </c>
      <c r="BP47" s="1552"/>
      <c r="BQ47" s="1552"/>
      <c r="BR47" s="1552"/>
      <c r="BS47" s="1552"/>
      <c r="BT47" s="1553"/>
      <c r="BU47" s="1554">
        <f t="shared" si="0"/>
        <v>14</v>
      </c>
      <c r="BV47" s="1554"/>
      <c r="BW47" s="1554"/>
      <c r="BX47" s="1554"/>
      <c r="BY47" s="1554"/>
      <c r="BZ47" s="1554"/>
      <c r="CA47" s="1554"/>
      <c r="CB47" s="1554"/>
      <c r="CC47" s="1554"/>
      <c r="CD47" s="1554"/>
      <c r="CE47" s="1554"/>
      <c r="CF47" s="1555"/>
      <c r="CJ47" s="535" t="s">
        <v>760</v>
      </c>
    </row>
    <row r="48" spans="1:88" s="535" customFormat="1" ht="23.1" customHeight="1">
      <c r="A48" s="540"/>
      <c r="B48" s="540"/>
      <c r="C48" s="540"/>
      <c r="D48" s="540"/>
      <c r="E48" s="1565" t="s">
        <v>391</v>
      </c>
      <c r="F48" s="1566"/>
      <c r="G48" s="1566"/>
      <c r="H48" s="1566"/>
      <c r="I48" s="1566"/>
      <c r="J48" s="1566"/>
      <c r="K48" s="1566"/>
      <c r="L48" s="1566"/>
      <c r="M48" s="1566"/>
      <c r="N48" s="1566"/>
      <c r="O48" s="1566"/>
      <c r="P48" s="1566"/>
      <c r="Q48" s="1567" t="s">
        <v>395</v>
      </c>
      <c r="R48" s="1567"/>
      <c r="S48" s="1567"/>
      <c r="T48" s="1567"/>
      <c r="U48" s="1567"/>
      <c r="V48" s="1567"/>
      <c r="W48" s="1567"/>
      <c r="X48" s="1567"/>
      <c r="Y48" s="1567"/>
      <c r="Z48" s="1567"/>
      <c r="AA48" s="1567"/>
      <c r="AB48" s="1567"/>
      <c r="AC48" s="1573">
        <v>0.2</v>
      </c>
      <c r="AD48" s="1573"/>
      <c r="AE48" s="1573"/>
      <c r="AF48" s="1573"/>
      <c r="AG48" s="1573"/>
      <c r="AH48" s="1573"/>
      <c r="AI48" s="1573"/>
      <c r="AJ48" s="1573"/>
      <c r="AK48" s="1573">
        <v>0.9</v>
      </c>
      <c r="AL48" s="1573"/>
      <c r="AM48" s="1573"/>
      <c r="AN48" s="1573"/>
      <c r="AO48" s="1573"/>
      <c r="AP48" s="1573"/>
      <c r="AQ48" s="1573"/>
      <c r="AR48" s="1573"/>
      <c r="AS48" s="1573">
        <v>0.8</v>
      </c>
      <c r="AT48" s="1573"/>
      <c r="AU48" s="1573"/>
      <c r="AV48" s="1573"/>
      <c r="AW48" s="1573"/>
      <c r="AX48" s="1573"/>
      <c r="AY48" s="1573"/>
      <c r="AZ48" s="1573"/>
      <c r="BA48" s="1573">
        <v>0.6</v>
      </c>
      <c r="BB48" s="1573"/>
      <c r="BC48" s="1573"/>
      <c r="BD48" s="1573"/>
      <c r="BE48" s="1573"/>
      <c r="BF48" s="1573"/>
      <c r="BG48" s="1573"/>
      <c r="BH48" s="1573"/>
      <c r="BI48" s="1564" t="s">
        <v>393</v>
      </c>
      <c r="BJ48" s="1552"/>
      <c r="BK48" s="1552"/>
      <c r="BL48" s="1552"/>
      <c r="BM48" s="1552"/>
      <c r="BN48" s="1733"/>
      <c r="BO48" s="1551">
        <v>20</v>
      </c>
      <c r="BP48" s="1552"/>
      <c r="BQ48" s="1552"/>
      <c r="BR48" s="1552"/>
      <c r="BS48" s="1552"/>
      <c r="BT48" s="1553"/>
      <c r="BU48" s="1554">
        <f t="shared" si="0"/>
        <v>15.55</v>
      </c>
      <c r="BV48" s="1554"/>
      <c r="BW48" s="1554"/>
      <c r="BX48" s="1554"/>
      <c r="BY48" s="1554"/>
      <c r="BZ48" s="1554"/>
      <c r="CA48" s="1554"/>
      <c r="CB48" s="1554"/>
      <c r="CC48" s="1554"/>
      <c r="CD48" s="1554"/>
      <c r="CE48" s="1554"/>
      <c r="CF48" s="1555"/>
      <c r="CJ48" s="535" t="s">
        <v>760</v>
      </c>
    </row>
    <row r="49" spans="1:88" s="535" customFormat="1" ht="23.1" customHeight="1">
      <c r="E49" s="1565" t="s">
        <v>391</v>
      </c>
      <c r="F49" s="1566"/>
      <c r="G49" s="1566"/>
      <c r="H49" s="1566"/>
      <c r="I49" s="1566"/>
      <c r="J49" s="1566"/>
      <c r="K49" s="1566"/>
      <c r="L49" s="1566"/>
      <c r="M49" s="1566"/>
      <c r="N49" s="1566"/>
      <c r="O49" s="1566"/>
      <c r="P49" s="1566"/>
      <c r="Q49" s="1567" t="s">
        <v>359</v>
      </c>
      <c r="R49" s="1567"/>
      <c r="S49" s="1567"/>
      <c r="T49" s="1567"/>
      <c r="U49" s="1567"/>
      <c r="V49" s="1567"/>
      <c r="W49" s="1567"/>
      <c r="X49" s="1567"/>
      <c r="Y49" s="1567"/>
      <c r="Z49" s="1567"/>
      <c r="AA49" s="1567"/>
      <c r="AB49" s="1567"/>
      <c r="AC49" s="1573">
        <v>0.4</v>
      </c>
      <c r="AD49" s="1573"/>
      <c r="AE49" s="1573"/>
      <c r="AF49" s="1573"/>
      <c r="AG49" s="1573"/>
      <c r="AH49" s="1573"/>
      <c r="AI49" s="1573"/>
      <c r="AJ49" s="1573"/>
      <c r="AK49" s="1573">
        <v>0.9</v>
      </c>
      <c r="AL49" s="1573"/>
      <c r="AM49" s="1573"/>
      <c r="AN49" s="1573"/>
      <c r="AO49" s="1573"/>
      <c r="AP49" s="1573"/>
      <c r="AQ49" s="1573"/>
      <c r="AR49" s="1573"/>
      <c r="AS49" s="1573">
        <v>0.8</v>
      </c>
      <c r="AT49" s="1573"/>
      <c r="AU49" s="1573"/>
      <c r="AV49" s="1573"/>
      <c r="AW49" s="1573"/>
      <c r="AX49" s="1573"/>
      <c r="AY49" s="1573"/>
      <c r="AZ49" s="1573"/>
      <c r="BA49" s="1573">
        <v>0.6</v>
      </c>
      <c r="BB49" s="1573"/>
      <c r="BC49" s="1573"/>
      <c r="BD49" s="1573"/>
      <c r="BE49" s="1573"/>
      <c r="BF49" s="1573"/>
      <c r="BG49" s="1573"/>
      <c r="BH49" s="1573"/>
      <c r="BI49" s="1564" t="s">
        <v>396</v>
      </c>
      <c r="BJ49" s="1552"/>
      <c r="BK49" s="1552"/>
      <c r="BL49" s="1552"/>
      <c r="BM49" s="1552"/>
      <c r="BN49" s="1733"/>
      <c r="BO49" s="1551">
        <v>18</v>
      </c>
      <c r="BP49" s="1552"/>
      <c r="BQ49" s="1552"/>
      <c r="BR49" s="1552"/>
      <c r="BS49" s="1552"/>
      <c r="BT49" s="1553"/>
      <c r="BU49" s="1554">
        <f t="shared" si="0"/>
        <v>34.56</v>
      </c>
      <c r="BV49" s="1554"/>
      <c r="BW49" s="1554"/>
      <c r="BX49" s="1554"/>
      <c r="BY49" s="1554"/>
      <c r="BZ49" s="1554"/>
      <c r="CA49" s="1554"/>
      <c r="CB49" s="1554"/>
      <c r="CC49" s="1554"/>
      <c r="CD49" s="1554"/>
      <c r="CE49" s="1554"/>
      <c r="CF49" s="1555"/>
      <c r="CJ49" s="535" t="s">
        <v>760</v>
      </c>
    </row>
    <row r="50" spans="1:88" s="535" customFormat="1" ht="23.1" customHeight="1">
      <c r="A50" s="540"/>
      <c r="B50" s="540"/>
      <c r="C50" s="540"/>
      <c r="D50" s="540"/>
      <c r="E50" s="1565" t="s">
        <v>391</v>
      </c>
      <c r="F50" s="1566"/>
      <c r="G50" s="1566"/>
      <c r="H50" s="1566"/>
      <c r="I50" s="1566"/>
      <c r="J50" s="1566"/>
      <c r="K50" s="1566"/>
      <c r="L50" s="1566"/>
      <c r="M50" s="1566"/>
      <c r="N50" s="1566"/>
      <c r="O50" s="1566"/>
      <c r="P50" s="1566"/>
      <c r="Q50" s="1728" t="s">
        <v>397</v>
      </c>
      <c r="R50" s="1729"/>
      <c r="S50" s="1729"/>
      <c r="T50" s="1729"/>
      <c r="U50" s="1729"/>
      <c r="V50" s="1729"/>
      <c r="W50" s="1729"/>
      <c r="X50" s="1729"/>
      <c r="Y50" s="1729"/>
      <c r="Z50" s="1729"/>
      <c r="AA50" s="1729"/>
      <c r="AB50" s="1730"/>
      <c r="AC50" s="1573">
        <v>0.6</v>
      </c>
      <c r="AD50" s="1573"/>
      <c r="AE50" s="1573"/>
      <c r="AF50" s="1573"/>
      <c r="AG50" s="1573"/>
      <c r="AH50" s="1573"/>
      <c r="AI50" s="1573"/>
      <c r="AJ50" s="1573"/>
      <c r="AK50" s="1573">
        <v>0.9</v>
      </c>
      <c r="AL50" s="1573"/>
      <c r="AM50" s="1573"/>
      <c r="AN50" s="1573"/>
      <c r="AO50" s="1573"/>
      <c r="AP50" s="1573"/>
      <c r="AQ50" s="1573"/>
      <c r="AR50" s="1573"/>
      <c r="AS50" s="1573">
        <v>0.8</v>
      </c>
      <c r="AT50" s="1573"/>
      <c r="AU50" s="1573"/>
      <c r="AV50" s="1573"/>
      <c r="AW50" s="1573"/>
      <c r="AX50" s="1573"/>
      <c r="AY50" s="1573"/>
      <c r="AZ50" s="1573"/>
      <c r="BA50" s="1573">
        <v>0.6</v>
      </c>
      <c r="BB50" s="1573"/>
      <c r="BC50" s="1573"/>
      <c r="BD50" s="1573"/>
      <c r="BE50" s="1573"/>
      <c r="BF50" s="1573"/>
      <c r="BG50" s="1573"/>
      <c r="BH50" s="1573"/>
      <c r="BI50" s="1564" t="s">
        <v>398</v>
      </c>
      <c r="BJ50" s="1552"/>
      <c r="BK50" s="1552"/>
      <c r="BL50" s="1552"/>
      <c r="BM50" s="1552"/>
      <c r="BN50" s="1733"/>
      <c r="BO50" s="1551">
        <v>18</v>
      </c>
      <c r="BP50" s="1552"/>
      <c r="BQ50" s="1552"/>
      <c r="BR50" s="1552"/>
      <c r="BS50" s="1552"/>
      <c r="BT50" s="1553"/>
      <c r="BU50" s="1554">
        <f t="shared" si="0"/>
        <v>51.84</v>
      </c>
      <c r="BV50" s="1554"/>
      <c r="BW50" s="1554"/>
      <c r="BX50" s="1554"/>
      <c r="BY50" s="1554"/>
      <c r="BZ50" s="1554"/>
      <c r="CA50" s="1554"/>
      <c r="CB50" s="1554"/>
      <c r="CC50" s="1554"/>
      <c r="CD50" s="1554"/>
      <c r="CE50" s="1554"/>
      <c r="CF50" s="1555"/>
      <c r="CJ50" s="535" t="s">
        <v>760</v>
      </c>
    </row>
    <row r="51" spans="1:88" s="535" customFormat="1" ht="23.1" customHeight="1">
      <c r="E51" s="1565" t="s">
        <v>391</v>
      </c>
      <c r="F51" s="1566"/>
      <c r="G51" s="1566"/>
      <c r="H51" s="1566"/>
      <c r="I51" s="1566"/>
      <c r="J51" s="1566"/>
      <c r="K51" s="1566"/>
      <c r="L51" s="1566"/>
      <c r="M51" s="1566"/>
      <c r="N51" s="1566"/>
      <c r="O51" s="1566"/>
      <c r="P51" s="1566"/>
      <c r="Q51" s="1567" t="s">
        <v>399</v>
      </c>
      <c r="R51" s="1567"/>
      <c r="S51" s="1567"/>
      <c r="T51" s="1567"/>
      <c r="U51" s="1567"/>
      <c r="V51" s="1567"/>
      <c r="W51" s="1567"/>
      <c r="X51" s="1567"/>
      <c r="Y51" s="1567"/>
      <c r="Z51" s="1567"/>
      <c r="AA51" s="1567"/>
      <c r="AB51" s="1567"/>
      <c r="AC51" s="1573">
        <v>0.7</v>
      </c>
      <c r="AD51" s="1573"/>
      <c r="AE51" s="1573"/>
      <c r="AF51" s="1573"/>
      <c r="AG51" s="1573"/>
      <c r="AH51" s="1573"/>
      <c r="AI51" s="1573"/>
      <c r="AJ51" s="1573"/>
      <c r="AK51" s="1573">
        <v>0.9</v>
      </c>
      <c r="AL51" s="1573"/>
      <c r="AM51" s="1573"/>
      <c r="AN51" s="1573"/>
      <c r="AO51" s="1573"/>
      <c r="AP51" s="1573"/>
      <c r="AQ51" s="1573"/>
      <c r="AR51" s="1573"/>
      <c r="AS51" s="1573">
        <v>0.8</v>
      </c>
      <c r="AT51" s="1573"/>
      <c r="AU51" s="1573"/>
      <c r="AV51" s="1573"/>
      <c r="AW51" s="1573"/>
      <c r="AX51" s="1573"/>
      <c r="AY51" s="1573"/>
      <c r="AZ51" s="1573"/>
      <c r="BA51" s="1573">
        <v>0.6</v>
      </c>
      <c r="BB51" s="1573"/>
      <c r="BC51" s="1573"/>
      <c r="BD51" s="1573"/>
      <c r="BE51" s="1573"/>
      <c r="BF51" s="1573"/>
      <c r="BG51" s="1573"/>
      <c r="BH51" s="1573"/>
      <c r="BI51" s="1564" t="s">
        <v>398</v>
      </c>
      <c r="BJ51" s="1552"/>
      <c r="BK51" s="1552"/>
      <c r="BL51" s="1552"/>
      <c r="BM51" s="1552"/>
      <c r="BN51" s="1733"/>
      <c r="BO51" s="1551">
        <v>18</v>
      </c>
      <c r="BP51" s="1552"/>
      <c r="BQ51" s="1552"/>
      <c r="BR51" s="1552"/>
      <c r="BS51" s="1552"/>
      <c r="BT51" s="1553"/>
      <c r="BU51" s="1554">
        <f t="shared" si="0"/>
        <v>60.48</v>
      </c>
      <c r="BV51" s="1554"/>
      <c r="BW51" s="1554"/>
      <c r="BX51" s="1554"/>
      <c r="BY51" s="1554"/>
      <c r="BZ51" s="1554"/>
      <c r="CA51" s="1554"/>
      <c r="CB51" s="1554"/>
      <c r="CC51" s="1554"/>
      <c r="CD51" s="1554"/>
      <c r="CE51" s="1554"/>
      <c r="CF51" s="1555"/>
      <c r="CJ51" s="535" t="s">
        <v>760</v>
      </c>
    </row>
    <row r="52" spans="1:88" s="535" customFormat="1" ht="23.1" customHeight="1">
      <c r="E52" s="1565" t="s">
        <v>391</v>
      </c>
      <c r="F52" s="1566"/>
      <c r="G52" s="1566"/>
      <c r="H52" s="1566"/>
      <c r="I52" s="1566"/>
      <c r="J52" s="1566"/>
      <c r="K52" s="1566"/>
      <c r="L52" s="1566"/>
      <c r="M52" s="1566"/>
      <c r="N52" s="1566"/>
      <c r="O52" s="1566"/>
      <c r="P52" s="1566"/>
      <c r="Q52" s="1567" t="s">
        <v>400</v>
      </c>
      <c r="R52" s="1567"/>
      <c r="S52" s="1567"/>
      <c r="T52" s="1567"/>
      <c r="U52" s="1567"/>
      <c r="V52" s="1567"/>
      <c r="W52" s="1567"/>
      <c r="X52" s="1567"/>
      <c r="Y52" s="1567"/>
      <c r="Z52" s="1567"/>
      <c r="AA52" s="1567"/>
      <c r="AB52" s="1567"/>
      <c r="AC52" s="1573">
        <v>0.8</v>
      </c>
      <c r="AD52" s="1573"/>
      <c r="AE52" s="1573"/>
      <c r="AF52" s="1573"/>
      <c r="AG52" s="1573"/>
      <c r="AH52" s="1573"/>
      <c r="AI52" s="1573"/>
      <c r="AJ52" s="1573"/>
      <c r="AK52" s="1573">
        <v>0.9</v>
      </c>
      <c r="AL52" s="1573"/>
      <c r="AM52" s="1573"/>
      <c r="AN52" s="1573"/>
      <c r="AO52" s="1573"/>
      <c r="AP52" s="1573"/>
      <c r="AQ52" s="1573"/>
      <c r="AR52" s="1573"/>
      <c r="AS52" s="1573">
        <v>0.8</v>
      </c>
      <c r="AT52" s="1573"/>
      <c r="AU52" s="1573"/>
      <c r="AV52" s="1573"/>
      <c r="AW52" s="1573"/>
      <c r="AX52" s="1573"/>
      <c r="AY52" s="1573"/>
      <c r="AZ52" s="1573"/>
      <c r="BA52" s="1573">
        <v>0.6</v>
      </c>
      <c r="BB52" s="1573"/>
      <c r="BC52" s="1573"/>
      <c r="BD52" s="1573"/>
      <c r="BE52" s="1573"/>
      <c r="BF52" s="1573"/>
      <c r="BG52" s="1573"/>
      <c r="BH52" s="1573"/>
      <c r="BI52" s="1564" t="s">
        <v>398</v>
      </c>
      <c r="BJ52" s="1552"/>
      <c r="BK52" s="1552"/>
      <c r="BL52" s="1552"/>
      <c r="BM52" s="1552"/>
      <c r="BN52" s="1733"/>
      <c r="BO52" s="1551">
        <v>18</v>
      </c>
      <c r="BP52" s="1552"/>
      <c r="BQ52" s="1552"/>
      <c r="BR52" s="1552"/>
      <c r="BS52" s="1552"/>
      <c r="BT52" s="1553"/>
      <c r="BU52" s="1554">
        <f t="shared" si="0"/>
        <v>69.12</v>
      </c>
      <c r="BV52" s="1554"/>
      <c r="BW52" s="1554"/>
      <c r="BX52" s="1554"/>
      <c r="BY52" s="1554"/>
      <c r="BZ52" s="1554"/>
      <c r="CA52" s="1554"/>
      <c r="CB52" s="1554"/>
      <c r="CC52" s="1554"/>
      <c r="CD52" s="1554"/>
      <c r="CE52" s="1554"/>
      <c r="CF52" s="1555"/>
      <c r="CJ52" s="535" t="s">
        <v>760</v>
      </c>
    </row>
    <row r="53" spans="1:88" s="535" customFormat="1" ht="23.1" customHeight="1" thickBot="1">
      <c r="A53" s="540"/>
      <c r="B53" s="540"/>
      <c r="C53" s="540"/>
      <c r="D53" s="540"/>
      <c r="E53" s="1541" t="s">
        <v>391</v>
      </c>
      <c r="F53" s="1542"/>
      <c r="G53" s="1542"/>
      <c r="H53" s="1542"/>
      <c r="I53" s="1542"/>
      <c r="J53" s="1542"/>
      <c r="K53" s="1542"/>
      <c r="L53" s="1542"/>
      <c r="M53" s="1542"/>
      <c r="N53" s="1542"/>
      <c r="O53" s="1542"/>
      <c r="P53" s="1543"/>
      <c r="Q53" s="1544" t="s">
        <v>401</v>
      </c>
      <c r="R53" s="1544"/>
      <c r="S53" s="1544"/>
      <c r="T53" s="1544"/>
      <c r="U53" s="1544"/>
      <c r="V53" s="1544"/>
      <c r="W53" s="1544"/>
      <c r="X53" s="1544"/>
      <c r="Y53" s="1544"/>
      <c r="Z53" s="1544"/>
      <c r="AA53" s="1544"/>
      <c r="AB53" s="1544"/>
      <c r="AC53" s="1734">
        <v>1</v>
      </c>
      <c r="AD53" s="1734"/>
      <c r="AE53" s="1734"/>
      <c r="AF53" s="1734"/>
      <c r="AG53" s="1734"/>
      <c r="AH53" s="1734"/>
      <c r="AI53" s="1734"/>
      <c r="AJ53" s="1734"/>
      <c r="AK53" s="1734">
        <v>0.9</v>
      </c>
      <c r="AL53" s="1734"/>
      <c r="AM53" s="1734"/>
      <c r="AN53" s="1734"/>
      <c r="AO53" s="1734"/>
      <c r="AP53" s="1734"/>
      <c r="AQ53" s="1734"/>
      <c r="AR53" s="1734"/>
      <c r="AS53" s="1734">
        <v>0.8</v>
      </c>
      <c r="AT53" s="1734"/>
      <c r="AU53" s="1734"/>
      <c r="AV53" s="1734"/>
      <c r="AW53" s="1734"/>
      <c r="AX53" s="1734"/>
      <c r="AY53" s="1734"/>
      <c r="AZ53" s="1734"/>
      <c r="BA53" s="1734">
        <v>0.6</v>
      </c>
      <c r="BB53" s="1734"/>
      <c r="BC53" s="1734"/>
      <c r="BD53" s="1734"/>
      <c r="BE53" s="1734"/>
      <c r="BF53" s="1734"/>
      <c r="BG53" s="1734"/>
      <c r="BH53" s="1734"/>
      <c r="BI53" s="1547" t="s">
        <v>398</v>
      </c>
      <c r="BJ53" s="1542"/>
      <c r="BK53" s="1542"/>
      <c r="BL53" s="1542"/>
      <c r="BM53" s="1542"/>
      <c r="BN53" s="1735"/>
      <c r="BO53" s="1548">
        <v>19</v>
      </c>
      <c r="BP53" s="1542"/>
      <c r="BQ53" s="1542"/>
      <c r="BR53" s="1542"/>
      <c r="BS53" s="1542"/>
      <c r="BT53" s="1543"/>
      <c r="BU53" s="1549">
        <f t="shared" si="0"/>
        <v>81.849999999999994</v>
      </c>
      <c r="BV53" s="1549"/>
      <c r="BW53" s="1549"/>
      <c r="BX53" s="1549"/>
      <c r="BY53" s="1549"/>
      <c r="BZ53" s="1549"/>
      <c r="CA53" s="1549"/>
      <c r="CB53" s="1549"/>
      <c r="CC53" s="1549"/>
      <c r="CD53" s="1549"/>
      <c r="CE53" s="1549"/>
      <c r="CF53" s="1550"/>
      <c r="CJ53" s="535" t="s">
        <v>760</v>
      </c>
    </row>
    <row r="54" spans="1:88" s="535" customFormat="1" ht="23.1" customHeight="1">
      <c r="D54" s="405"/>
      <c r="BM54" s="545"/>
      <c r="BN54" s="545"/>
      <c r="BO54" s="545"/>
      <c r="BP54" s="545"/>
      <c r="BQ54" s="545"/>
      <c r="BR54" s="545"/>
      <c r="BS54" s="545"/>
      <c r="BT54" s="545"/>
      <c r="BU54" s="545"/>
      <c r="BV54" s="545"/>
      <c r="BW54" s="545"/>
      <c r="BX54" s="545"/>
      <c r="BY54" s="545"/>
      <c r="BZ54" s="545"/>
      <c r="CA54" s="545"/>
      <c r="CB54" s="545"/>
      <c r="CC54" s="545"/>
      <c r="CD54" s="545"/>
      <c r="CE54" s="545"/>
      <c r="CF54" s="545"/>
    </row>
    <row r="55" spans="1:88" s="535" customFormat="1" ht="23.1" customHeight="1">
      <c r="E55" s="535" t="s">
        <v>402</v>
      </c>
    </row>
    <row r="56" spans="1:88" s="535" customFormat="1" ht="9.9499999999999993" customHeight="1" thickBot="1"/>
    <row r="57" spans="1:88" s="535" customFormat="1" ht="23.1" customHeight="1">
      <c r="E57" s="1534" t="s">
        <v>385</v>
      </c>
      <c r="F57" s="1535"/>
      <c r="G57" s="1535"/>
      <c r="H57" s="1535"/>
      <c r="I57" s="1535"/>
      <c r="J57" s="1535"/>
      <c r="K57" s="1535"/>
      <c r="L57" s="1535"/>
      <c r="M57" s="1535"/>
      <c r="N57" s="1535"/>
      <c r="O57" s="1535"/>
      <c r="P57" s="1535"/>
      <c r="Q57" s="1535"/>
      <c r="R57" s="1535"/>
      <c r="S57" s="1535"/>
      <c r="T57" s="1535"/>
      <c r="U57" s="1535" t="s">
        <v>212</v>
      </c>
      <c r="V57" s="1535"/>
      <c r="W57" s="1535"/>
      <c r="X57" s="1535"/>
      <c r="Y57" s="1535"/>
      <c r="Z57" s="1535"/>
      <c r="AA57" s="1535"/>
      <c r="AB57" s="1535"/>
      <c r="AC57" s="1535" t="s">
        <v>403</v>
      </c>
      <c r="AD57" s="1535"/>
      <c r="AE57" s="1535"/>
      <c r="AF57" s="1535"/>
      <c r="AG57" s="1535"/>
      <c r="AH57" s="1535"/>
      <c r="AI57" s="1535"/>
      <c r="AJ57" s="1535"/>
      <c r="AK57" s="1535"/>
      <c r="AL57" s="1535"/>
      <c r="AM57" s="1535"/>
      <c r="AN57" s="1535"/>
      <c r="AO57" s="1535"/>
      <c r="AP57" s="1535"/>
      <c r="AQ57" s="1535"/>
      <c r="AR57" s="1535"/>
      <c r="AS57" s="1535"/>
      <c r="AT57" s="1535"/>
      <c r="AU57" s="1535"/>
      <c r="AV57" s="1535"/>
      <c r="AW57" s="1535"/>
      <c r="AX57" s="1535"/>
      <c r="AY57" s="1535"/>
      <c r="AZ57" s="1535"/>
      <c r="BA57" s="1537" t="s">
        <v>404</v>
      </c>
      <c r="BB57" s="1535"/>
      <c r="BC57" s="1535"/>
      <c r="BD57" s="1535"/>
      <c r="BE57" s="1535"/>
      <c r="BF57" s="1535"/>
      <c r="BG57" s="1535"/>
      <c r="BH57" s="1535"/>
      <c r="BI57" s="1535" t="s">
        <v>405</v>
      </c>
      <c r="BJ57" s="1535"/>
      <c r="BK57" s="1535"/>
      <c r="BL57" s="1535"/>
      <c r="BM57" s="1535"/>
      <c r="BN57" s="1535"/>
      <c r="BO57" s="1535"/>
      <c r="BP57" s="1535"/>
      <c r="BQ57" s="1535"/>
      <c r="BR57" s="1535"/>
      <c r="BS57" s="1535"/>
      <c r="BT57" s="1535"/>
      <c r="BU57" s="1535"/>
      <c r="BV57" s="1535"/>
      <c r="BW57" s="1535"/>
      <c r="BX57" s="1535"/>
      <c r="BY57" s="1535"/>
      <c r="BZ57" s="1535"/>
      <c r="CA57" s="1535"/>
      <c r="CB57" s="1535"/>
      <c r="CC57" s="1535"/>
      <c r="CD57" s="1535"/>
      <c r="CE57" s="1535"/>
      <c r="CF57" s="1538"/>
    </row>
    <row r="58" spans="1:88" s="535" customFormat="1" ht="23.1" customHeight="1" thickBot="1">
      <c r="A58" s="540"/>
      <c r="B58" s="540"/>
      <c r="C58" s="540"/>
      <c r="D58" s="540"/>
      <c r="E58" s="1536"/>
      <c r="F58" s="1527"/>
      <c r="G58" s="1527"/>
      <c r="H58" s="1527"/>
      <c r="I58" s="1527"/>
      <c r="J58" s="1527"/>
      <c r="K58" s="1527"/>
      <c r="L58" s="1527"/>
      <c r="M58" s="1527"/>
      <c r="N58" s="1527"/>
      <c r="O58" s="1527"/>
      <c r="P58" s="1527"/>
      <c r="Q58" s="1527"/>
      <c r="R58" s="1527"/>
      <c r="S58" s="1527"/>
      <c r="T58" s="1527"/>
      <c r="U58" s="1527"/>
      <c r="V58" s="1527"/>
      <c r="W58" s="1527"/>
      <c r="X58" s="1527"/>
      <c r="Y58" s="1527"/>
      <c r="Z58" s="1527"/>
      <c r="AA58" s="1527"/>
      <c r="AB58" s="1527"/>
      <c r="AC58" s="1527" t="s">
        <v>406</v>
      </c>
      <c r="AD58" s="1527"/>
      <c r="AE58" s="1527"/>
      <c r="AF58" s="1527"/>
      <c r="AG58" s="1527"/>
      <c r="AH58" s="1527"/>
      <c r="AI58" s="1527"/>
      <c r="AJ58" s="1527"/>
      <c r="AK58" s="1527" t="s">
        <v>407</v>
      </c>
      <c r="AL58" s="1527"/>
      <c r="AM58" s="1527"/>
      <c r="AN58" s="1527"/>
      <c r="AO58" s="1527"/>
      <c r="AP58" s="1527"/>
      <c r="AQ58" s="1527"/>
      <c r="AR58" s="1527"/>
      <c r="AS58" s="1527" t="s">
        <v>408</v>
      </c>
      <c r="AT58" s="1527"/>
      <c r="AU58" s="1527"/>
      <c r="AV58" s="1527"/>
      <c r="AW58" s="1527"/>
      <c r="AX58" s="1527"/>
      <c r="AY58" s="1527"/>
      <c r="AZ58" s="1527"/>
      <c r="BA58" s="1527"/>
      <c r="BB58" s="1527"/>
      <c r="BC58" s="1527"/>
      <c r="BD58" s="1527"/>
      <c r="BE58" s="1527"/>
      <c r="BF58" s="1527"/>
      <c r="BG58" s="1527"/>
      <c r="BH58" s="1527"/>
      <c r="BI58" s="1527" t="s">
        <v>406</v>
      </c>
      <c r="BJ58" s="1527"/>
      <c r="BK58" s="1527"/>
      <c r="BL58" s="1527"/>
      <c r="BM58" s="1527"/>
      <c r="BN58" s="1527"/>
      <c r="BO58" s="1527"/>
      <c r="BP58" s="1527"/>
      <c r="BQ58" s="1527" t="s">
        <v>407</v>
      </c>
      <c r="BR58" s="1527"/>
      <c r="BS58" s="1527"/>
      <c r="BT58" s="1527"/>
      <c r="BU58" s="1527"/>
      <c r="BV58" s="1527"/>
      <c r="BW58" s="1527"/>
      <c r="BX58" s="1527"/>
      <c r="BY58" s="1527" t="s">
        <v>408</v>
      </c>
      <c r="BZ58" s="1527"/>
      <c r="CA58" s="1527"/>
      <c r="CB58" s="1527"/>
      <c r="CC58" s="1527"/>
      <c r="CD58" s="1527"/>
      <c r="CE58" s="1527"/>
      <c r="CF58" s="1528"/>
    </row>
    <row r="59" spans="1:88" s="535" customFormat="1" ht="23.1" customHeight="1" thickTop="1">
      <c r="E59" s="1529" t="s">
        <v>277</v>
      </c>
      <c r="F59" s="1530"/>
      <c r="G59" s="1530"/>
      <c r="H59" s="1530"/>
      <c r="I59" s="1530"/>
      <c r="J59" s="1530"/>
      <c r="K59" s="1530"/>
      <c r="L59" s="1530"/>
      <c r="M59" s="1530"/>
      <c r="N59" s="1530"/>
      <c r="O59" s="1530"/>
      <c r="P59" s="1530"/>
      <c r="Q59" s="1530"/>
      <c r="R59" s="1530"/>
      <c r="S59" s="1530"/>
      <c r="T59" s="1530"/>
      <c r="U59" s="1530" t="s">
        <v>392</v>
      </c>
      <c r="V59" s="1530"/>
      <c r="W59" s="1530"/>
      <c r="X59" s="1530"/>
      <c r="Y59" s="1530"/>
      <c r="Z59" s="1530"/>
      <c r="AA59" s="1530"/>
      <c r="AB59" s="1530"/>
      <c r="AC59" s="1512" t="e">
        <f>#REF!</f>
        <v>#REF!</v>
      </c>
      <c r="AD59" s="1512"/>
      <c r="AE59" s="1512"/>
      <c r="AF59" s="1512"/>
      <c r="AG59" s="1512"/>
      <c r="AH59" s="1512"/>
      <c r="AI59" s="1512"/>
      <c r="AJ59" s="1512"/>
      <c r="AK59" s="1512" t="e">
        <f>#REF!</f>
        <v>#REF!</v>
      </c>
      <c r="AL59" s="1512"/>
      <c r="AM59" s="1512"/>
      <c r="AN59" s="1512"/>
      <c r="AO59" s="1512"/>
      <c r="AP59" s="1512"/>
      <c r="AQ59" s="1512"/>
      <c r="AR59" s="1512"/>
      <c r="AS59" s="1512" t="e">
        <f>#REF!</f>
        <v>#REF!</v>
      </c>
      <c r="AT59" s="1512"/>
      <c r="AU59" s="1512"/>
      <c r="AV59" s="1512"/>
      <c r="AW59" s="1512"/>
      <c r="AX59" s="1512"/>
      <c r="AY59" s="1512"/>
      <c r="AZ59" s="1512"/>
      <c r="BA59" s="1531">
        <f>BU46</f>
        <v>9.33</v>
      </c>
      <c r="BB59" s="1531"/>
      <c r="BC59" s="1531"/>
      <c r="BD59" s="1531"/>
      <c r="BE59" s="1531"/>
      <c r="BF59" s="1531"/>
      <c r="BG59" s="1531"/>
      <c r="BH59" s="1531"/>
      <c r="BI59" s="1532" t="e">
        <f t="shared" ref="BI59:BI67" si="1">INT(AC59/$BA59)</f>
        <v>#REF!</v>
      </c>
      <c r="BJ59" s="1532"/>
      <c r="BK59" s="1532"/>
      <c r="BL59" s="1532"/>
      <c r="BM59" s="1532"/>
      <c r="BN59" s="1532"/>
      <c r="BO59" s="1532"/>
      <c r="BP59" s="1532"/>
      <c r="BQ59" s="1532" t="e">
        <f t="shared" ref="BQ59:BQ67" si="2">INT(AK59/$BA59)</f>
        <v>#REF!</v>
      </c>
      <c r="BR59" s="1532"/>
      <c r="BS59" s="1532"/>
      <c r="BT59" s="1532"/>
      <c r="BU59" s="1532"/>
      <c r="BV59" s="1532"/>
      <c r="BW59" s="1532"/>
      <c r="BX59" s="1532"/>
      <c r="BY59" s="1532" t="e">
        <f t="shared" ref="BY59:BY67" si="3">INT(AS59/$BA59)</f>
        <v>#REF!</v>
      </c>
      <c r="BZ59" s="1532"/>
      <c r="CA59" s="1532"/>
      <c r="CB59" s="1532"/>
      <c r="CC59" s="1532"/>
      <c r="CD59" s="1532"/>
      <c r="CE59" s="1532"/>
      <c r="CF59" s="1533"/>
    </row>
    <row r="60" spans="1:88" s="535" customFormat="1" ht="23.1" customHeight="1">
      <c r="E60" s="1520" t="s">
        <v>277</v>
      </c>
      <c r="F60" s="1521"/>
      <c r="G60" s="1521"/>
      <c r="H60" s="1521"/>
      <c r="I60" s="1521"/>
      <c r="J60" s="1521"/>
      <c r="K60" s="1521"/>
      <c r="L60" s="1521"/>
      <c r="M60" s="1521"/>
      <c r="N60" s="1521"/>
      <c r="O60" s="1521"/>
      <c r="P60" s="1521"/>
      <c r="Q60" s="1521"/>
      <c r="R60" s="1521"/>
      <c r="S60" s="1521"/>
      <c r="T60" s="1521"/>
      <c r="U60" s="1521" t="s">
        <v>395</v>
      </c>
      <c r="V60" s="1521"/>
      <c r="W60" s="1521"/>
      <c r="X60" s="1521"/>
      <c r="Y60" s="1521"/>
      <c r="Z60" s="1521"/>
      <c r="AA60" s="1521"/>
      <c r="AB60" s="1521"/>
      <c r="AC60" s="1526" t="e">
        <f>#REF!</f>
        <v>#REF!</v>
      </c>
      <c r="AD60" s="1526"/>
      <c r="AE60" s="1526"/>
      <c r="AF60" s="1526"/>
      <c r="AG60" s="1526"/>
      <c r="AH60" s="1526"/>
      <c r="AI60" s="1526"/>
      <c r="AJ60" s="1526"/>
      <c r="AK60" s="1526" t="e">
        <f>#REF!</f>
        <v>#REF!</v>
      </c>
      <c r="AL60" s="1526"/>
      <c r="AM60" s="1526"/>
      <c r="AN60" s="1526"/>
      <c r="AO60" s="1526"/>
      <c r="AP60" s="1526"/>
      <c r="AQ60" s="1526"/>
      <c r="AR60" s="1526"/>
      <c r="AS60" s="1526" t="e">
        <f>#REF!</f>
        <v>#REF!</v>
      </c>
      <c r="AT60" s="1526"/>
      <c r="AU60" s="1526"/>
      <c r="AV60" s="1526"/>
      <c r="AW60" s="1526"/>
      <c r="AX60" s="1526"/>
      <c r="AY60" s="1526"/>
      <c r="AZ60" s="1526"/>
      <c r="BA60" s="1525">
        <f t="shared" ref="BA60:BA65" si="4">BU48</f>
        <v>15.55</v>
      </c>
      <c r="BB60" s="1525"/>
      <c r="BC60" s="1525"/>
      <c r="BD60" s="1525"/>
      <c r="BE60" s="1525"/>
      <c r="BF60" s="1525"/>
      <c r="BG60" s="1525"/>
      <c r="BH60" s="1525"/>
      <c r="BI60" s="1512" t="e">
        <f t="shared" si="1"/>
        <v>#REF!</v>
      </c>
      <c r="BJ60" s="1512"/>
      <c r="BK60" s="1512"/>
      <c r="BL60" s="1512"/>
      <c r="BM60" s="1512"/>
      <c r="BN60" s="1512"/>
      <c r="BO60" s="1512"/>
      <c r="BP60" s="1512"/>
      <c r="BQ60" s="1512" t="e">
        <f t="shared" si="2"/>
        <v>#REF!</v>
      </c>
      <c r="BR60" s="1512"/>
      <c r="BS60" s="1512"/>
      <c r="BT60" s="1512"/>
      <c r="BU60" s="1512"/>
      <c r="BV60" s="1512"/>
      <c r="BW60" s="1512"/>
      <c r="BX60" s="1512"/>
      <c r="BY60" s="1512" t="e">
        <f t="shared" si="3"/>
        <v>#REF!</v>
      </c>
      <c r="BZ60" s="1512"/>
      <c r="CA60" s="1512"/>
      <c r="CB60" s="1512"/>
      <c r="CC60" s="1512"/>
      <c r="CD60" s="1512"/>
      <c r="CE60" s="1512"/>
      <c r="CF60" s="1513"/>
    </row>
    <row r="61" spans="1:88" s="535" customFormat="1" ht="23.1" customHeight="1">
      <c r="E61" s="1520" t="s">
        <v>277</v>
      </c>
      <c r="F61" s="1521"/>
      <c r="G61" s="1521"/>
      <c r="H61" s="1521"/>
      <c r="I61" s="1521"/>
      <c r="J61" s="1521"/>
      <c r="K61" s="1521"/>
      <c r="L61" s="1521"/>
      <c r="M61" s="1521"/>
      <c r="N61" s="1521"/>
      <c r="O61" s="1521"/>
      <c r="P61" s="1521"/>
      <c r="Q61" s="1521"/>
      <c r="R61" s="1521"/>
      <c r="S61" s="1521"/>
      <c r="T61" s="1521"/>
      <c r="U61" s="1521" t="s">
        <v>359</v>
      </c>
      <c r="V61" s="1521"/>
      <c r="W61" s="1521"/>
      <c r="X61" s="1521"/>
      <c r="Y61" s="1521"/>
      <c r="Z61" s="1521"/>
      <c r="AA61" s="1521"/>
      <c r="AB61" s="1521"/>
      <c r="AC61" s="1522" t="e">
        <f>#REF!</f>
        <v>#REF!</v>
      </c>
      <c r="AD61" s="1523"/>
      <c r="AE61" s="1523"/>
      <c r="AF61" s="1523"/>
      <c r="AG61" s="1523"/>
      <c r="AH61" s="1523"/>
      <c r="AI61" s="1523"/>
      <c r="AJ61" s="1524"/>
      <c r="AK61" s="1522" t="e">
        <f>#REF!</f>
        <v>#REF!</v>
      </c>
      <c r="AL61" s="1523"/>
      <c r="AM61" s="1523"/>
      <c r="AN61" s="1523"/>
      <c r="AO61" s="1523"/>
      <c r="AP61" s="1523"/>
      <c r="AQ61" s="1523"/>
      <c r="AR61" s="1524"/>
      <c r="AS61" s="1522" t="e">
        <f>#REF!</f>
        <v>#REF!</v>
      </c>
      <c r="AT61" s="1523"/>
      <c r="AU61" s="1523"/>
      <c r="AV61" s="1523"/>
      <c r="AW61" s="1523"/>
      <c r="AX61" s="1523"/>
      <c r="AY61" s="1523"/>
      <c r="AZ61" s="1524"/>
      <c r="BA61" s="1525">
        <f t="shared" si="4"/>
        <v>34.56</v>
      </c>
      <c r="BB61" s="1525"/>
      <c r="BC61" s="1525"/>
      <c r="BD61" s="1525"/>
      <c r="BE61" s="1525"/>
      <c r="BF61" s="1525"/>
      <c r="BG61" s="1525"/>
      <c r="BH61" s="1525"/>
      <c r="BI61" s="1512" t="e">
        <f t="shared" si="1"/>
        <v>#REF!</v>
      </c>
      <c r="BJ61" s="1512"/>
      <c r="BK61" s="1512"/>
      <c r="BL61" s="1512"/>
      <c r="BM61" s="1512"/>
      <c r="BN61" s="1512"/>
      <c r="BO61" s="1512"/>
      <c r="BP61" s="1512"/>
      <c r="BQ61" s="1512" t="e">
        <f t="shared" si="2"/>
        <v>#REF!</v>
      </c>
      <c r="BR61" s="1512"/>
      <c r="BS61" s="1512"/>
      <c r="BT61" s="1512"/>
      <c r="BU61" s="1512"/>
      <c r="BV61" s="1512"/>
      <c r="BW61" s="1512"/>
      <c r="BX61" s="1512"/>
      <c r="BY61" s="1512" t="e">
        <f t="shared" si="3"/>
        <v>#REF!</v>
      </c>
      <c r="BZ61" s="1512"/>
      <c r="CA61" s="1512"/>
      <c r="CB61" s="1512"/>
      <c r="CC61" s="1512"/>
      <c r="CD61" s="1512"/>
      <c r="CE61" s="1512"/>
      <c r="CF61" s="1513"/>
    </row>
    <row r="62" spans="1:88" s="535" customFormat="1" ht="23.1" customHeight="1">
      <c r="E62" s="1520" t="s">
        <v>277</v>
      </c>
      <c r="F62" s="1521"/>
      <c r="G62" s="1521"/>
      <c r="H62" s="1521"/>
      <c r="I62" s="1521"/>
      <c r="J62" s="1521"/>
      <c r="K62" s="1521"/>
      <c r="L62" s="1521"/>
      <c r="M62" s="1521"/>
      <c r="N62" s="1521"/>
      <c r="O62" s="1521"/>
      <c r="P62" s="1521"/>
      <c r="Q62" s="1521"/>
      <c r="R62" s="1521"/>
      <c r="S62" s="1521"/>
      <c r="T62" s="1521"/>
      <c r="U62" s="1521" t="s">
        <v>397</v>
      </c>
      <c r="V62" s="1521"/>
      <c r="W62" s="1521"/>
      <c r="X62" s="1521"/>
      <c r="Y62" s="1521"/>
      <c r="Z62" s="1521"/>
      <c r="AA62" s="1521"/>
      <c r="AB62" s="1521"/>
      <c r="AC62" s="1522" t="e">
        <f>#REF!</f>
        <v>#REF!</v>
      </c>
      <c r="AD62" s="1523"/>
      <c r="AE62" s="1523"/>
      <c r="AF62" s="1523"/>
      <c r="AG62" s="1523"/>
      <c r="AH62" s="1523"/>
      <c r="AI62" s="1523"/>
      <c r="AJ62" s="1524"/>
      <c r="AK62" s="1522" t="e">
        <f>#REF!</f>
        <v>#REF!</v>
      </c>
      <c r="AL62" s="1523"/>
      <c r="AM62" s="1523"/>
      <c r="AN62" s="1523"/>
      <c r="AO62" s="1523"/>
      <c r="AP62" s="1523"/>
      <c r="AQ62" s="1523"/>
      <c r="AR62" s="1524"/>
      <c r="AS62" s="1522" t="e">
        <f>#REF!</f>
        <v>#REF!</v>
      </c>
      <c r="AT62" s="1523"/>
      <c r="AU62" s="1523"/>
      <c r="AV62" s="1523"/>
      <c r="AW62" s="1523"/>
      <c r="AX62" s="1523"/>
      <c r="AY62" s="1523"/>
      <c r="AZ62" s="1524"/>
      <c r="BA62" s="1525">
        <f t="shared" si="4"/>
        <v>51.84</v>
      </c>
      <c r="BB62" s="1525"/>
      <c r="BC62" s="1525"/>
      <c r="BD62" s="1525"/>
      <c r="BE62" s="1525"/>
      <c r="BF62" s="1525"/>
      <c r="BG62" s="1525"/>
      <c r="BH62" s="1525"/>
      <c r="BI62" s="1512" t="e">
        <f t="shared" si="1"/>
        <v>#REF!</v>
      </c>
      <c r="BJ62" s="1512"/>
      <c r="BK62" s="1512"/>
      <c r="BL62" s="1512"/>
      <c r="BM62" s="1512"/>
      <c r="BN62" s="1512"/>
      <c r="BO62" s="1512"/>
      <c r="BP62" s="1512"/>
      <c r="BQ62" s="1512" t="e">
        <f t="shared" si="2"/>
        <v>#REF!</v>
      </c>
      <c r="BR62" s="1512"/>
      <c r="BS62" s="1512"/>
      <c r="BT62" s="1512"/>
      <c r="BU62" s="1512"/>
      <c r="BV62" s="1512"/>
      <c r="BW62" s="1512"/>
      <c r="BX62" s="1512"/>
      <c r="BY62" s="1512" t="e">
        <f t="shared" si="3"/>
        <v>#REF!</v>
      </c>
      <c r="BZ62" s="1512"/>
      <c r="CA62" s="1512"/>
      <c r="CB62" s="1512"/>
      <c r="CC62" s="1512"/>
      <c r="CD62" s="1512"/>
      <c r="CE62" s="1512"/>
      <c r="CF62" s="1513"/>
    </row>
    <row r="63" spans="1:88" s="535" customFormat="1" ht="23.1" customHeight="1">
      <c r="D63" s="542"/>
      <c r="E63" s="1520" t="s">
        <v>277</v>
      </c>
      <c r="F63" s="1521"/>
      <c r="G63" s="1521"/>
      <c r="H63" s="1521"/>
      <c r="I63" s="1521"/>
      <c r="J63" s="1521"/>
      <c r="K63" s="1521"/>
      <c r="L63" s="1521"/>
      <c r="M63" s="1521"/>
      <c r="N63" s="1521"/>
      <c r="O63" s="1521"/>
      <c r="P63" s="1521"/>
      <c r="Q63" s="1521"/>
      <c r="R63" s="1521"/>
      <c r="S63" s="1521"/>
      <c r="T63" s="1521"/>
      <c r="U63" s="1521" t="s">
        <v>399</v>
      </c>
      <c r="V63" s="1521"/>
      <c r="W63" s="1521"/>
      <c r="X63" s="1521"/>
      <c r="Y63" s="1521"/>
      <c r="Z63" s="1521"/>
      <c r="AA63" s="1521"/>
      <c r="AB63" s="1521"/>
      <c r="AC63" s="1522" t="e">
        <f>#REF!</f>
        <v>#REF!</v>
      </c>
      <c r="AD63" s="1523"/>
      <c r="AE63" s="1523"/>
      <c r="AF63" s="1523"/>
      <c r="AG63" s="1523"/>
      <c r="AH63" s="1523"/>
      <c r="AI63" s="1523"/>
      <c r="AJ63" s="1524"/>
      <c r="AK63" s="1522" t="e">
        <f>#REF!</f>
        <v>#REF!</v>
      </c>
      <c r="AL63" s="1523"/>
      <c r="AM63" s="1523"/>
      <c r="AN63" s="1523"/>
      <c r="AO63" s="1523"/>
      <c r="AP63" s="1523"/>
      <c r="AQ63" s="1523"/>
      <c r="AR63" s="1524"/>
      <c r="AS63" s="1522" t="e">
        <f>#REF!</f>
        <v>#REF!</v>
      </c>
      <c r="AT63" s="1523"/>
      <c r="AU63" s="1523"/>
      <c r="AV63" s="1523"/>
      <c r="AW63" s="1523"/>
      <c r="AX63" s="1523"/>
      <c r="AY63" s="1523"/>
      <c r="AZ63" s="1524"/>
      <c r="BA63" s="1525">
        <f t="shared" si="4"/>
        <v>60.48</v>
      </c>
      <c r="BB63" s="1525"/>
      <c r="BC63" s="1525"/>
      <c r="BD63" s="1525"/>
      <c r="BE63" s="1525"/>
      <c r="BF63" s="1525"/>
      <c r="BG63" s="1525"/>
      <c r="BH63" s="1525"/>
      <c r="BI63" s="1512" t="e">
        <f t="shared" si="1"/>
        <v>#REF!</v>
      </c>
      <c r="BJ63" s="1512"/>
      <c r="BK63" s="1512"/>
      <c r="BL63" s="1512"/>
      <c r="BM63" s="1512"/>
      <c r="BN63" s="1512"/>
      <c r="BO63" s="1512"/>
      <c r="BP63" s="1512"/>
      <c r="BQ63" s="1512" t="e">
        <f t="shared" si="2"/>
        <v>#REF!</v>
      </c>
      <c r="BR63" s="1512"/>
      <c r="BS63" s="1512"/>
      <c r="BT63" s="1512"/>
      <c r="BU63" s="1512"/>
      <c r="BV63" s="1512"/>
      <c r="BW63" s="1512"/>
      <c r="BX63" s="1512"/>
      <c r="BY63" s="1512" t="e">
        <f t="shared" si="3"/>
        <v>#REF!</v>
      </c>
      <c r="BZ63" s="1512"/>
      <c r="CA63" s="1512"/>
      <c r="CB63" s="1512"/>
      <c r="CC63" s="1512"/>
      <c r="CD63" s="1512"/>
      <c r="CE63" s="1512"/>
      <c r="CF63" s="1513"/>
    </row>
    <row r="64" spans="1:88" s="535" customFormat="1" ht="23.1" customHeight="1">
      <c r="A64" s="540"/>
      <c r="B64" s="540"/>
      <c r="C64" s="540"/>
      <c r="D64" s="540"/>
      <c r="E64" s="1520" t="s">
        <v>277</v>
      </c>
      <c r="F64" s="1521"/>
      <c r="G64" s="1521"/>
      <c r="H64" s="1521"/>
      <c r="I64" s="1521"/>
      <c r="J64" s="1521"/>
      <c r="K64" s="1521"/>
      <c r="L64" s="1521"/>
      <c r="M64" s="1521"/>
      <c r="N64" s="1521"/>
      <c r="O64" s="1521"/>
      <c r="P64" s="1521"/>
      <c r="Q64" s="1521"/>
      <c r="R64" s="1521"/>
      <c r="S64" s="1521"/>
      <c r="T64" s="1521"/>
      <c r="U64" s="1521" t="s">
        <v>400</v>
      </c>
      <c r="V64" s="1521"/>
      <c r="W64" s="1521"/>
      <c r="X64" s="1521"/>
      <c r="Y64" s="1521"/>
      <c r="Z64" s="1521"/>
      <c r="AA64" s="1521"/>
      <c r="AB64" s="1521"/>
      <c r="AC64" s="1522" t="e">
        <f>#REF!</f>
        <v>#REF!</v>
      </c>
      <c r="AD64" s="1523"/>
      <c r="AE64" s="1523"/>
      <c r="AF64" s="1523"/>
      <c r="AG64" s="1523"/>
      <c r="AH64" s="1523"/>
      <c r="AI64" s="1523"/>
      <c r="AJ64" s="1524"/>
      <c r="AK64" s="1522" t="e">
        <f>#REF!</f>
        <v>#REF!</v>
      </c>
      <c r="AL64" s="1523"/>
      <c r="AM64" s="1523"/>
      <c r="AN64" s="1523"/>
      <c r="AO64" s="1523"/>
      <c r="AP64" s="1523"/>
      <c r="AQ64" s="1523"/>
      <c r="AR64" s="1524"/>
      <c r="AS64" s="1522" t="e">
        <f>#REF!</f>
        <v>#REF!</v>
      </c>
      <c r="AT64" s="1523"/>
      <c r="AU64" s="1523"/>
      <c r="AV64" s="1523"/>
      <c r="AW64" s="1523"/>
      <c r="AX64" s="1523"/>
      <c r="AY64" s="1523"/>
      <c r="AZ64" s="1524"/>
      <c r="BA64" s="1525">
        <f t="shared" si="4"/>
        <v>69.12</v>
      </c>
      <c r="BB64" s="1525"/>
      <c r="BC64" s="1525"/>
      <c r="BD64" s="1525"/>
      <c r="BE64" s="1525"/>
      <c r="BF64" s="1525"/>
      <c r="BG64" s="1525"/>
      <c r="BH64" s="1525"/>
      <c r="BI64" s="1512" t="e">
        <f t="shared" si="1"/>
        <v>#REF!</v>
      </c>
      <c r="BJ64" s="1512"/>
      <c r="BK64" s="1512"/>
      <c r="BL64" s="1512"/>
      <c r="BM64" s="1512"/>
      <c r="BN64" s="1512"/>
      <c r="BO64" s="1512"/>
      <c r="BP64" s="1512"/>
      <c r="BQ64" s="1512" t="e">
        <f t="shared" si="2"/>
        <v>#REF!</v>
      </c>
      <c r="BR64" s="1512"/>
      <c r="BS64" s="1512"/>
      <c r="BT64" s="1512"/>
      <c r="BU64" s="1512"/>
      <c r="BV64" s="1512"/>
      <c r="BW64" s="1512"/>
      <c r="BX64" s="1512"/>
      <c r="BY64" s="1512" t="e">
        <f t="shared" si="3"/>
        <v>#REF!</v>
      </c>
      <c r="BZ64" s="1512"/>
      <c r="CA64" s="1512"/>
      <c r="CB64" s="1512"/>
      <c r="CC64" s="1512"/>
      <c r="CD64" s="1512"/>
      <c r="CE64" s="1512"/>
      <c r="CF64" s="1513"/>
    </row>
    <row r="65" spans="1:89" s="535" customFormat="1" ht="23.1" customHeight="1">
      <c r="E65" s="1520" t="s">
        <v>277</v>
      </c>
      <c r="F65" s="1521"/>
      <c r="G65" s="1521"/>
      <c r="H65" s="1521"/>
      <c r="I65" s="1521"/>
      <c r="J65" s="1521"/>
      <c r="K65" s="1521"/>
      <c r="L65" s="1521"/>
      <c r="M65" s="1521"/>
      <c r="N65" s="1521"/>
      <c r="O65" s="1521"/>
      <c r="P65" s="1521"/>
      <c r="Q65" s="1521"/>
      <c r="R65" s="1521"/>
      <c r="S65" s="1521"/>
      <c r="T65" s="1521"/>
      <c r="U65" s="1521" t="s">
        <v>401</v>
      </c>
      <c r="V65" s="1521"/>
      <c r="W65" s="1521"/>
      <c r="X65" s="1521"/>
      <c r="Y65" s="1521"/>
      <c r="Z65" s="1521"/>
      <c r="AA65" s="1521"/>
      <c r="AB65" s="1521"/>
      <c r="AC65" s="1522" t="e">
        <f>#REF!</f>
        <v>#REF!</v>
      </c>
      <c r="AD65" s="1523"/>
      <c r="AE65" s="1523"/>
      <c r="AF65" s="1523"/>
      <c r="AG65" s="1523"/>
      <c r="AH65" s="1523"/>
      <c r="AI65" s="1523"/>
      <c r="AJ65" s="1524"/>
      <c r="AK65" s="1522" t="e">
        <f>#REF!</f>
        <v>#REF!</v>
      </c>
      <c r="AL65" s="1523"/>
      <c r="AM65" s="1523"/>
      <c r="AN65" s="1523"/>
      <c r="AO65" s="1523"/>
      <c r="AP65" s="1523"/>
      <c r="AQ65" s="1523"/>
      <c r="AR65" s="1524"/>
      <c r="AS65" s="1522" t="e">
        <f>#REF!</f>
        <v>#REF!</v>
      </c>
      <c r="AT65" s="1523"/>
      <c r="AU65" s="1523"/>
      <c r="AV65" s="1523"/>
      <c r="AW65" s="1523"/>
      <c r="AX65" s="1523"/>
      <c r="AY65" s="1523"/>
      <c r="AZ65" s="1524"/>
      <c r="BA65" s="1525">
        <f t="shared" si="4"/>
        <v>81.849999999999994</v>
      </c>
      <c r="BB65" s="1525"/>
      <c r="BC65" s="1525"/>
      <c r="BD65" s="1525"/>
      <c r="BE65" s="1525"/>
      <c r="BF65" s="1525"/>
      <c r="BG65" s="1525"/>
      <c r="BH65" s="1525"/>
      <c r="BI65" s="1512" t="e">
        <f t="shared" si="1"/>
        <v>#REF!</v>
      </c>
      <c r="BJ65" s="1512"/>
      <c r="BK65" s="1512"/>
      <c r="BL65" s="1512"/>
      <c r="BM65" s="1512"/>
      <c r="BN65" s="1512"/>
      <c r="BO65" s="1512"/>
      <c r="BP65" s="1512"/>
      <c r="BQ65" s="1512" t="e">
        <f t="shared" si="2"/>
        <v>#REF!</v>
      </c>
      <c r="BR65" s="1512"/>
      <c r="BS65" s="1512"/>
      <c r="BT65" s="1512"/>
      <c r="BU65" s="1512"/>
      <c r="BV65" s="1512"/>
      <c r="BW65" s="1512"/>
      <c r="BX65" s="1512"/>
      <c r="BY65" s="1512" t="e">
        <f t="shared" si="3"/>
        <v>#REF!</v>
      </c>
      <c r="BZ65" s="1512"/>
      <c r="CA65" s="1512"/>
      <c r="CB65" s="1512"/>
      <c r="CC65" s="1512"/>
      <c r="CD65" s="1512"/>
      <c r="CE65" s="1512"/>
      <c r="CF65" s="1513"/>
    </row>
    <row r="66" spans="1:89" s="535" customFormat="1" ht="23.1" customHeight="1">
      <c r="E66" s="1520" t="s">
        <v>409</v>
      </c>
      <c r="F66" s="1521"/>
      <c r="G66" s="1521"/>
      <c r="H66" s="1521"/>
      <c r="I66" s="1521"/>
      <c r="J66" s="1521"/>
      <c r="K66" s="1521"/>
      <c r="L66" s="1521"/>
      <c r="M66" s="1521"/>
      <c r="N66" s="1521"/>
      <c r="O66" s="1521"/>
      <c r="P66" s="1521"/>
      <c r="Q66" s="1521"/>
      <c r="R66" s="1521"/>
      <c r="S66" s="1521"/>
      <c r="T66" s="1521"/>
      <c r="U66" s="1521" t="s">
        <v>394</v>
      </c>
      <c r="V66" s="1521"/>
      <c r="W66" s="1521"/>
      <c r="X66" s="1521"/>
      <c r="Y66" s="1521"/>
      <c r="Z66" s="1521"/>
      <c r="AA66" s="1521"/>
      <c r="AB66" s="1521"/>
      <c r="AC66" s="1522" t="e">
        <f>#REF!</f>
        <v>#REF!</v>
      </c>
      <c r="AD66" s="1523"/>
      <c r="AE66" s="1523"/>
      <c r="AF66" s="1523"/>
      <c r="AG66" s="1523"/>
      <c r="AH66" s="1523"/>
      <c r="AI66" s="1523"/>
      <c r="AJ66" s="1524"/>
      <c r="AK66" s="1522" t="e">
        <f>#REF!</f>
        <v>#REF!</v>
      </c>
      <c r="AL66" s="1523"/>
      <c r="AM66" s="1523"/>
      <c r="AN66" s="1523"/>
      <c r="AO66" s="1523"/>
      <c r="AP66" s="1523"/>
      <c r="AQ66" s="1523"/>
      <c r="AR66" s="1524"/>
      <c r="AS66" s="1522" t="e">
        <f>#REF!</f>
        <v>#REF!</v>
      </c>
      <c r="AT66" s="1523"/>
      <c r="AU66" s="1523"/>
      <c r="AV66" s="1523"/>
      <c r="AW66" s="1523"/>
      <c r="AX66" s="1523"/>
      <c r="AY66" s="1523"/>
      <c r="AZ66" s="1524"/>
      <c r="BA66" s="1525">
        <f>BU47</f>
        <v>14</v>
      </c>
      <c r="BB66" s="1525"/>
      <c r="BC66" s="1525"/>
      <c r="BD66" s="1525"/>
      <c r="BE66" s="1525"/>
      <c r="BF66" s="1525"/>
      <c r="BG66" s="1525"/>
      <c r="BH66" s="1525"/>
      <c r="BI66" s="1512" t="e">
        <f t="shared" si="1"/>
        <v>#REF!</v>
      </c>
      <c r="BJ66" s="1512"/>
      <c r="BK66" s="1512"/>
      <c r="BL66" s="1512"/>
      <c r="BM66" s="1512"/>
      <c r="BN66" s="1512"/>
      <c r="BO66" s="1512"/>
      <c r="BP66" s="1512"/>
      <c r="BQ66" s="1512" t="e">
        <f t="shared" si="2"/>
        <v>#REF!</v>
      </c>
      <c r="BR66" s="1512"/>
      <c r="BS66" s="1512"/>
      <c r="BT66" s="1512"/>
      <c r="BU66" s="1512"/>
      <c r="BV66" s="1512"/>
      <c r="BW66" s="1512"/>
      <c r="BX66" s="1512"/>
      <c r="BY66" s="1512" t="e">
        <f t="shared" si="3"/>
        <v>#REF!</v>
      </c>
      <c r="BZ66" s="1512"/>
      <c r="CA66" s="1512"/>
      <c r="CB66" s="1512"/>
      <c r="CC66" s="1512"/>
      <c r="CD66" s="1512"/>
      <c r="CE66" s="1512"/>
      <c r="CF66" s="1513"/>
    </row>
    <row r="67" spans="1:89" s="535" customFormat="1" ht="23.1" customHeight="1" thickBot="1">
      <c r="E67" s="1509" t="s">
        <v>409</v>
      </c>
      <c r="F67" s="1510"/>
      <c r="G67" s="1510"/>
      <c r="H67" s="1510"/>
      <c r="I67" s="1510"/>
      <c r="J67" s="1510"/>
      <c r="K67" s="1510"/>
      <c r="L67" s="1510"/>
      <c r="M67" s="1510"/>
      <c r="N67" s="1510"/>
      <c r="O67" s="1510"/>
      <c r="P67" s="1510"/>
      <c r="Q67" s="1510"/>
      <c r="R67" s="1510"/>
      <c r="S67" s="1510"/>
      <c r="T67" s="1510"/>
      <c r="U67" s="1510" t="s">
        <v>397</v>
      </c>
      <c r="V67" s="1510"/>
      <c r="W67" s="1510"/>
      <c r="X67" s="1510"/>
      <c r="Y67" s="1510"/>
      <c r="Z67" s="1510"/>
      <c r="AA67" s="1510"/>
      <c r="AB67" s="1510"/>
      <c r="AC67" s="1507" t="e">
        <f>#REF!</f>
        <v>#REF!</v>
      </c>
      <c r="AD67" s="1507"/>
      <c r="AE67" s="1507"/>
      <c r="AF67" s="1507"/>
      <c r="AG67" s="1507"/>
      <c r="AH67" s="1507"/>
      <c r="AI67" s="1507"/>
      <c r="AJ67" s="1507"/>
      <c r="AK67" s="1507" t="e">
        <f>#REF!</f>
        <v>#REF!</v>
      </c>
      <c r="AL67" s="1507"/>
      <c r="AM67" s="1507"/>
      <c r="AN67" s="1507"/>
      <c r="AO67" s="1507"/>
      <c r="AP67" s="1507"/>
      <c r="AQ67" s="1507"/>
      <c r="AR67" s="1507"/>
      <c r="AS67" s="1507" t="e">
        <f>#REF!</f>
        <v>#REF!</v>
      </c>
      <c r="AT67" s="1507"/>
      <c r="AU67" s="1507"/>
      <c r="AV67" s="1507"/>
      <c r="AW67" s="1507"/>
      <c r="AX67" s="1507"/>
      <c r="AY67" s="1507"/>
      <c r="AZ67" s="1507"/>
      <c r="BA67" s="1511">
        <f>BU50</f>
        <v>51.84</v>
      </c>
      <c r="BB67" s="1511"/>
      <c r="BC67" s="1511"/>
      <c r="BD67" s="1511"/>
      <c r="BE67" s="1511"/>
      <c r="BF67" s="1511"/>
      <c r="BG67" s="1511"/>
      <c r="BH67" s="1511"/>
      <c r="BI67" s="1717" t="e">
        <f t="shared" si="1"/>
        <v>#REF!</v>
      </c>
      <c r="BJ67" s="1717"/>
      <c r="BK67" s="1717"/>
      <c r="BL67" s="1717"/>
      <c r="BM67" s="1717"/>
      <c r="BN67" s="1717"/>
      <c r="BO67" s="1717"/>
      <c r="BP67" s="1717"/>
      <c r="BQ67" s="1717" t="e">
        <f t="shared" si="2"/>
        <v>#REF!</v>
      </c>
      <c r="BR67" s="1717"/>
      <c r="BS67" s="1717"/>
      <c r="BT67" s="1717"/>
      <c r="BU67" s="1717"/>
      <c r="BV67" s="1717"/>
      <c r="BW67" s="1717"/>
      <c r="BX67" s="1717"/>
      <c r="BY67" s="1717" t="e">
        <f t="shared" si="3"/>
        <v>#REF!</v>
      </c>
      <c r="BZ67" s="1717"/>
      <c r="CA67" s="1717"/>
      <c r="CB67" s="1717"/>
      <c r="CC67" s="1717"/>
      <c r="CD67" s="1717"/>
      <c r="CE67" s="1717"/>
      <c r="CF67" s="1718"/>
    </row>
    <row r="68" spans="1:89" s="535" customFormat="1" ht="23.1" customHeight="1"/>
    <row r="69" spans="1:89" s="534" customFormat="1" ht="28.35" customHeight="1">
      <c r="A69" s="1579" t="s">
        <v>410</v>
      </c>
      <c r="B69" s="1579"/>
      <c r="C69" s="1579"/>
      <c r="D69" s="1579"/>
      <c r="E69" s="1579"/>
      <c r="F69" s="1579"/>
      <c r="G69" s="1579"/>
      <c r="H69" s="1579"/>
      <c r="I69" s="1579"/>
      <c r="J69" s="1579"/>
      <c r="K69" s="1579"/>
      <c r="L69" s="1579"/>
      <c r="M69" s="1579"/>
      <c r="N69" s="1579"/>
      <c r="O69" s="1579"/>
      <c r="P69" s="1579"/>
      <c r="Q69" s="1579"/>
      <c r="R69" s="1579"/>
      <c r="S69" s="1579"/>
      <c r="T69" s="1579"/>
      <c r="U69" s="1579"/>
      <c r="V69" s="1579"/>
      <c r="W69" s="1579"/>
      <c r="X69" s="1579"/>
      <c r="Y69" s="1579"/>
      <c r="Z69" s="1579"/>
      <c r="AA69" s="1579"/>
      <c r="AB69" s="1579"/>
      <c r="AC69" s="1579"/>
      <c r="AD69" s="1579"/>
      <c r="AE69" s="1579"/>
      <c r="AF69" s="1579"/>
      <c r="AG69" s="1579"/>
      <c r="AH69" s="1579"/>
      <c r="AI69" s="1579"/>
      <c r="AJ69" s="1579"/>
      <c r="AK69" s="1579"/>
      <c r="AL69" s="1579"/>
      <c r="AM69" s="1579"/>
      <c r="AN69" s="1579"/>
      <c r="AO69" s="1579"/>
      <c r="AP69" s="1579"/>
      <c r="AQ69" s="1579"/>
      <c r="AR69" s="1579"/>
      <c r="AS69" s="1579"/>
      <c r="AT69" s="1579"/>
      <c r="AU69" s="1579"/>
      <c r="AV69" s="1579"/>
      <c r="AW69" s="1579"/>
      <c r="AX69" s="1579"/>
      <c r="AY69" s="1579"/>
      <c r="AZ69" s="1579"/>
      <c r="BA69" s="1579"/>
      <c r="BB69" s="1579"/>
      <c r="BC69" s="1579"/>
      <c r="BD69" s="1579"/>
      <c r="BE69" s="1579"/>
      <c r="BF69" s="1579"/>
      <c r="BG69" s="1579"/>
      <c r="BH69" s="1579"/>
      <c r="BI69" s="1579"/>
      <c r="BJ69" s="1579"/>
      <c r="BK69" s="1579"/>
      <c r="BL69" s="1579"/>
      <c r="BM69" s="1579"/>
      <c r="BN69" s="1579"/>
      <c r="BO69" s="1579"/>
      <c r="BP69" s="1579"/>
      <c r="BQ69" s="1579"/>
      <c r="BR69" s="1579"/>
      <c r="BS69" s="1579"/>
      <c r="BT69" s="1579"/>
      <c r="BU69" s="1579"/>
      <c r="BV69" s="1579"/>
      <c r="BW69" s="1579"/>
      <c r="BX69" s="1579"/>
      <c r="BY69" s="1579"/>
      <c r="BZ69" s="1579"/>
      <c r="CA69" s="1579"/>
      <c r="CB69" s="1579"/>
      <c r="CC69" s="1579"/>
      <c r="CD69" s="1579"/>
      <c r="CE69" s="1579"/>
      <c r="CF69" s="1579"/>
      <c r="CJ69" s="535"/>
    </row>
    <row r="70" spans="1:89" s="534" customFormat="1" ht="9.9499999999999993" customHeight="1">
      <c r="A70" s="536"/>
      <c r="B70" s="536"/>
      <c r="C70" s="536"/>
      <c r="D70" s="536"/>
      <c r="E70" s="536"/>
      <c r="F70" s="536"/>
      <c r="G70" s="536"/>
      <c r="H70" s="536"/>
      <c r="I70" s="536"/>
      <c r="J70" s="536"/>
      <c r="K70" s="536"/>
      <c r="L70" s="536"/>
      <c r="M70" s="536"/>
      <c r="N70" s="536"/>
      <c r="O70" s="536"/>
      <c r="P70" s="536"/>
      <c r="Q70" s="536"/>
      <c r="R70" s="536"/>
      <c r="S70" s="536"/>
      <c r="T70" s="536"/>
      <c r="U70" s="536"/>
      <c r="V70" s="536"/>
      <c r="W70" s="536"/>
      <c r="X70" s="536"/>
      <c r="Y70" s="536"/>
      <c r="Z70" s="536"/>
      <c r="AA70" s="536"/>
      <c r="AB70" s="536"/>
      <c r="AC70" s="536"/>
      <c r="AD70" s="536"/>
      <c r="AE70" s="536"/>
      <c r="AF70" s="536"/>
      <c r="AG70" s="536"/>
      <c r="AH70" s="536"/>
      <c r="AI70" s="536"/>
      <c r="AJ70" s="536"/>
      <c r="AK70" s="536"/>
      <c r="AL70" s="536"/>
      <c r="AM70" s="536"/>
      <c r="AN70" s="536"/>
      <c r="AO70" s="536"/>
      <c r="AP70" s="536"/>
      <c r="AQ70" s="536"/>
      <c r="AR70" s="536"/>
      <c r="AS70" s="536"/>
      <c r="AT70" s="536"/>
      <c r="AU70" s="536"/>
      <c r="AV70" s="536"/>
      <c r="AW70" s="536"/>
      <c r="AX70" s="536"/>
      <c r="AY70" s="536"/>
      <c r="AZ70" s="536"/>
      <c r="BA70" s="536"/>
      <c r="BB70" s="536"/>
      <c r="BC70" s="536"/>
      <c r="BD70" s="536"/>
      <c r="BE70" s="536"/>
      <c r="BF70" s="536"/>
      <c r="BG70" s="536"/>
      <c r="BH70" s="536"/>
      <c r="BI70" s="536"/>
      <c r="BJ70" s="536"/>
      <c r="BK70" s="536"/>
      <c r="BL70" s="536"/>
      <c r="BM70" s="536"/>
      <c r="BN70" s="536"/>
      <c r="BO70" s="536"/>
      <c r="BP70" s="536"/>
      <c r="BQ70" s="536"/>
      <c r="BR70" s="536"/>
      <c r="BS70" s="536"/>
      <c r="BT70" s="536"/>
      <c r="BU70" s="536"/>
      <c r="BV70" s="536"/>
      <c r="BW70" s="536"/>
      <c r="BX70" s="536"/>
      <c r="BY70" s="536"/>
      <c r="BZ70" s="536"/>
      <c r="CA70" s="536"/>
      <c r="CB70" s="536"/>
      <c r="CC70" s="536"/>
      <c r="CD70" s="536"/>
      <c r="CE70" s="536"/>
      <c r="CF70" s="536"/>
      <c r="CJ70" s="535"/>
    </row>
    <row r="71" spans="1:89" s="539" customFormat="1" ht="23.1" customHeight="1">
      <c r="A71" s="537"/>
      <c r="B71" s="538" t="s">
        <v>768</v>
      </c>
      <c r="C71" s="537"/>
      <c r="D71" s="537"/>
      <c r="E71" s="537"/>
      <c r="F71" s="537"/>
      <c r="G71" s="537"/>
      <c r="H71" s="537"/>
      <c r="I71" s="537"/>
      <c r="J71" s="537"/>
      <c r="K71" s="537"/>
      <c r="L71" s="537"/>
      <c r="M71" s="537"/>
      <c r="N71" s="537"/>
      <c r="O71" s="537"/>
      <c r="P71" s="537"/>
      <c r="Q71" s="537"/>
      <c r="R71" s="537"/>
      <c r="S71" s="537"/>
      <c r="T71" s="537"/>
      <c r="U71" s="537"/>
      <c r="V71" s="537"/>
      <c r="W71" s="537"/>
      <c r="X71" s="537"/>
      <c r="Y71" s="537"/>
      <c r="Z71" s="537"/>
      <c r="AA71" s="537"/>
      <c r="AB71" s="537"/>
      <c r="AC71" s="537"/>
      <c r="AD71" s="537"/>
      <c r="AE71" s="537"/>
      <c r="AF71" s="537"/>
      <c r="AG71" s="537"/>
      <c r="AH71" s="537"/>
      <c r="AI71" s="537"/>
      <c r="AJ71" s="537"/>
      <c r="AK71" s="537"/>
      <c r="AL71" s="537"/>
      <c r="AM71" s="537"/>
      <c r="AN71" s="537"/>
      <c r="AO71" s="537"/>
      <c r="AP71" s="537"/>
      <c r="AQ71" s="537"/>
      <c r="AR71" s="537"/>
      <c r="AS71" s="537"/>
      <c r="AT71" s="537"/>
      <c r="AU71" s="537"/>
      <c r="BM71" s="537"/>
      <c r="BN71" s="537"/>
      <c r="BO71" s="537"/>
      <c r="BP71" s="537"/>
      <c r="BQ71" s="537"/>
      <c r="BR71" s="537"/>
      <c r="BS71" s="537"/>
      <c r="BT71" s="537"/>
      <c r="BU71" s="537"/>
      <c r="BV71" s="537"/>
      <c r="BW71" s="537"/>
      <c r="BX71" s="537"/>
      <c r="BY71" s="537"/>
      <c r="BZ71" s="537"/>
      <c r="CA71" s="537"/>
      <c r="CB71" s="537"/>
      <c r="CC71" s="537"/>
      <c r="CD71" s="537"/>
      <c r="CE71" s="537"/>
      <c r="CF71" s="537"/>
      <c r="CJ71" s="535" t="s">
        <v>767</v>
      </c>
    </row>
    <row r="72" spans="1:89" s="534" customFormat="1" ht="9.9499999999999993" customHeight="1">
      <c r="A72" s="536"/>
      <c r="B72" s="536"/>
      <c r="C72" s="536"/>
      <c r="D72" s="536"/>
      <c r="E72" s="536"/>
      <c r="F72" s="536"/>
      <c r="G72" s="536"/>
      <c r="H72" s="536"/>
      <c r="I72" s="536"/>
      <c r="J72" s="536"/>
      <c r="K72" s="536"/>
      <c r="L72" s="536"/>
      <c r="M72" s="536"/>
      <c r="N72" s="536"/>
      <c r="O72" s="536"/>
      <c r="P72" s="536"/>
      <c r="Q72" s="536"/>
      <c r="R72" s="536"/>
      <c r="S72" s="536"/>
      <c r="T72" s="536"/>
      <c r="U72" s="536"/>
      <c r="V72" s="536"/>
      <c r="W72" s="536"/>
      <c r="X72" s="536"/>
      <c r="Y72" s="536"/>
      <c r="Z72" s="536"/>
      <c r="AA72" s="536"/>
      <c r="AB72" s="536"/>
      <c r="AC72" s="536"/>
      <c r="AD72" s="536"/>
      <c r="AE72" s="536"/>
      <c r="AF72" s="536"/>
      <c r="AG72" s="536"/>
      <c r="AH72" s="536"/>
      <c r="AI72" s="536"/>
      <c r="AJ72" s="536"/>
      <c r="AK72" s="536"/>
      <c r="AL72" s="536"/>
      <c r="AM72" s="536"/>
      <c r="AN72" s="536"/>
      <c r="AO72" s="536"/>
      <c r="AP72" s="536"/>
      <c r="AQ72" s="536"/>
      <c r="AR72" s="536"/>
      <c r="AS72" s="536"/>
      <c r="AT72" s="536"/>
      <c r="AU72" s="536"/>
      <c r="AV72" s="536"/>
      <c r="AW72" s="536"/>
      <c r="AX72" s="536"/>
      <c r="AY72" s="536"/>
      <c r="AZ72" s="536"/>
      <c r="BA72" s="536"/>
      <c r="BB72" s="536"/>
      <c r="BC72" s="536"/>
      <c r="BD72" s="536"/>
      <c r="BE72" s="536"/>
      <c r="BF72" s="536"/>
      <c r="BG72" s="536"/>
      <c r="BH72" s="536"/>
      <c r="BI72" s="536"/>
      <c r="BJ72" s="536"/>
      <c r="BK72" s="536"/>
      <c r="BL72" s="536"/>
      <c r="BM72" s="536"/>
      <c r="BN72" s="536"/>
      <c r="BO72" s="536"/>
      <c r="BP72" s="536"/>
      <c r="BQ72" s="536"/>
      <c r="BR72" s="536"/>
      <c r="BS72" s="536"/>
      <c r="BT72" s="536"/>
      <c r="BU72" s="536"/>
      <c r="BV72" s="536"/>
      <c r="BW72" s="536"/>
      <c r="BX72" s="536"/>
      <c r="BY72" s="536"/>
      <c r="BZ72" s="536"/>
      <c r="CA72" s="536"/>
      <c r="CB72" s="536"/>
      <c r="CC72" s="536"/>
      <c r="CD72" s="536"/>
      <c r="CE72" s="536"/>
      <c r="CF72" s="536"/>
      <c r="CJ72" s="535"/>
    </row>
    <row r="73" spans="1:89" s="535" customFormat="1" ht="23.1" customHeight="1">
      <c r="E73" s="535" t="s">
        <v>376</v>
      </c>
      <c r="CJ73" s="535" t="s">
        <v>762</v>
      </c>
    </row>
    <row r="74" spans="1:89" s="535" customFormat="1" ht="23.1" customHeight="1">
      <c r="A74" s="540"/>
      <c r="B74" s="540"/>
      <c r="C74" s="540"/>
      <c r="D74" s="540"/>
      <c r="G74" s="1580" t="s">
        <v>377</v>
      </c>
      <c r="H74" s="1580"/>
      <c r="I74" s="1580"/>
      <c r="J74" s="1580"/>
      <c r="L74" s="543" t="s">
        <v>378</v>
      </c>
      <c r="M74" s="543"/>
      <c r="N74" s="543"/>
      <c r="O74" s="543"/>
      <c r="P74" s="543"/>
      <c r="Q74" s="543"/>
      <c r="R74" s="543"/>
      <c r="S74" s="543"/>
      <c r="T74" s="543"/>
      <c r="U74" s="543"/>
      <c r="V74" s="543"/>
      <c r="W74" s="543"/>
      <c r="X74" s="543"/>
      <c r="Y74" s="543"/>
      <c r="Z74" s="543"/>
      <c r="AA74" s="543"/>
      <c r="AB74" s="543"/>
      <c r="AC74" s="543"/>
      <c r="AD74" s="543"/>
      <c r="AE74" s="543"/>
      <c r="AM74" s="535" t="s">
        <v>379</v>
      </c>
      <c r="AV74" s="544"/>
      <c r="AW74" s="544"/>
      <c r="AX74" s="544"/>
      <c r="AY74" s="544"/>
      <c r="AZ74" s="544"/>
      <c r="BA74" s="544"/>
      <c r="BC74" s="544"/>
      <c r="BD74" s="544"/>
      <c r="BE74" s="545"/>
      <c r="BF74" s="545"/>
      <c r="BG74" s="545"/>
      <c r="BH74" s="545"/>
      <c r="BI74" s="535" t="s">
        <v>380</v>
      </c>
      <c r="BJ74" s="545"/>
      <c r="BK74" s="545"/>
      <c r="BL74" s="545"/>
      <c r="BM74" s="545"/>
      <c r="BN74" s="545"/>
      <c r="BO74" s="545"/>
      <c r="BP74" s="545"/>
      <c r="BQ74" s="545"/>
      <c r="BR74" s="545"/>
      <c r="BS74" s="545"/>
      <c r="BT74" s="545"/>
      <c r="BU74" s="545"/>
      <c r="BV74" s="545"/>
      <c r="BW74" s="545"/>
      <c r="BX74" s="545"/>
      <c r="BY74" s="545"/>
      <c r="BZ74" s="545"/>
      <c r="CA74" s="545"/>
      <c r="CB74" s="545"/>
      <c r="CC74" s="545"/>
      <c r="CD74" s="545"/>
      <c r="CE74" s="545"/>
      <c r="CF74" s="545"/>
      <c r="CJ74" s="535" t="s">
        <v>761</v>
      </c>
    </row>
    <row r="75" spans="1:89" s="535" customFormat="1" ht="23.1" customHeight="1">
      <c r="D75" s="405"/>
      <c r="G75" s="1580"/>
      <c r="H75" s="1580"/>
      <c r="I75" s="1580"/>
      <c r="J75" s="1580"/>
      <c r="L75" s="1557" t="s">
        <v>381</v>
      </c>
      <c r="M75" s="1557"/>
      <c r="N75" s="1557"/>
      <c r="O75" s="1557"/>
      <c r="P75" s="1557"/>
      <c r="Q75" s="1557"/>
      <c r="R75" s="1557"/>
      <c r="S75" s="1557"/>
      <c r="T75" s="1557"/>
      <c r="U75" s="1557"/>
      <c r="V75" s="1557"/>
      <c r="W75" s="1557"/>
      <c r="X75" s="1557"/>
      <c r="Y75" s="1557"/>
      <c r="Z75" s="1557"/>
      <c r="AA75" s="1557"/>
      <c r="AB75" s="1557"/>
      <c r="AC75" s="1557"/>
      <c r="AD75" s="1557"/>
      <c r="AE75" s="1557"/>
      <c r="AM75" s="544" t="s">
        <v>382</v>
      </c>
      <c r="AV75" s="544"/>
      <c r="AW75" s="544"/>
      <c r="AX75" s="544"/>
      <c r="AY75" s="544"/>
      <c r="AZ75" s="544"/>
      <c r="BA75" s="544"/>
      <c r="BC75" s="544"/>
      <c r="BD75" s="544"/>
      <c r="BE75" s="545"/>
      <c r="BF75" s="545"/>
      <c r="BG75" s="545"/>
      <c r="BH75" s="545"/>
      <c r="BI75" s="545"/>
      <c r="BJ75" s="545"/>
      <c r="BK75" s="545"/>
      <c r="BL75" s="545"/>
      <c r="BM75" s="545"/>
      <c r="BN75" s="545"/>
      <c r="BO75" s="545"/>
      <c r="BP75" s="545"/>
      <c r="BQ75" s="545"/>
      <c r="BR75" s="545"/>
      <c r="BS75" s="545"/>
      <c r="BT75" s="545"/>
      <c r="BU75" s="545"/>
      <c r="BV75" s="545"/>
      <c r="BW75" s="545"/>
      <c r="BX75" s="545"/>
      <c r="BY75" s="545"/>
      <c r="BZ75" s="545"/>
      <c r="CA75" s="545"/>
      <c r="CB75" s="545"/>
      <c r="CC75" s="545"/>
      <c r="CD75" s="545"/>
      <c r="CE75" s="545"/>
      <c r="CF75" s="545"/>
      <c r="CJ75" s="535" t="s">
        <v>717</v>
      </c>
    </row>
    <row r="76" spans="1:89" s="535" customFormat="1" ht="23.1" customHeight="1">
      <c r="G76" s="540"/>
      <c r="AM76" s="544" t="s">
        <v>383</v>
      </c>
      <c r="BI76" s="535" t="s">
        <v>384</v>
      </c>
      <c r="BT76" s="410"/>
      <c r="BU76" s="410"/>
      <c r="BV76" s="410"/>
      <c r="BW76" s="410"/>
      <c r="BX76" s="410"/>
      <c r="BY76" s="410"/>
      <c r="BZ76" s="410"/>
      <c r="CA76" s="410"/>
      <c r="CB76" s="410"/>
      <c r="CC76" s="410"/>
      <c r="CJ76" s="535" t="s">
        <v>716</v>
      </c>
    </row>
    <row r="77" spans="1:89" s="535" customFormat="1" ht="9.9499999999999993" customHeight="1" thickBot="1">
      <c r="D77" s="405"/>
      <c r="Q77" s="546"/>
      <c r="R77" s="546"/>
      <c r="S77" s="546"/>
      <c r="T77" s="546"/>
      <c r="U77" s="546"/>
      <c r="V77" s="546"/>
      <c r="W77" s="546"/>
      <c r="X77" s="546"/>
      <c r="Y77" s="546"/>
      <c r="Z77" s="546"/>
      <c r="AA77" s="546"/>
      <c r="AB77" s="546"/>
      <c r="AV77" s="544"/>
      <c r="AW77" s="544"/>
      <c r="AX77" s="544"/>
      <c r="AY77" s="544"/>
      <c r="AZ77" s="544"/>
      <c r="BA77" s="544"/>
      <c r="BB77" s="544"/>
      <c r="BC77" s="544"/>
      <c r="BD77" s="544"/>
      <c r="BE77" s="545"/>
      <c r="BF77" s="545"/>
      <c r="BG77" s="545"/>
      <c r="BH77" s="545"/>
      <c r="BI77" s="545"/>
      <c r="BJ77" s="545"/>
      <c r="BK77" s="545"/>
      <c r="BL77" s="545"/>
      <c r="BM77" s="545"/>
      <c r="BN77" s="545"/>
      <c r="BO77" s="545"/>
      <c r="BP77" s="545"/>
      <c r="BQ77" s="545"/>
      <c r="BR77" s="545"/>
      <c r="BS77" s="545"/>
      <c r="BT77" s="545"/>
      <c r="BU77" s="545"/>
      <c r="BV77" s="545"/>
      <c r="BW77" s="545"/>
      <c r="BX77" s="545"/>
      <c r="BY77" s="545"/>
      <c r="BZ77" s="545"/>
      <c r="CA77" s="545"/>
      <c r="CB77" s="545"/>
      <c r="CC77" s="545"/>
      <c r="CD77" s="545"/>
      <c r="CE77" s="545"/>
      <c r="CF77" s="545"/>
    </row>
    <row r="78" spans="1:89" s="535" customFormat="1" ht="23.1" customHeight="1" thickBot="1">
      <c r="A78" s="540"/>
      <c r="B78" s="540"/>
      <c r="C78" s="540"/>
      <c r="D78" s="540"/>
      <c r="E78" s="1581" t="s">
        <v>385</v>
      </c>
      <c r="F78" s="1582"/>
      <c r="G78" s="1582"/>
      <c r="H78" s="1582"/>
      <c r="I78" s="1582"/>
      <c r="J78" s="1582"/>
      <c r="K78" s="1582"/>
      <c r="L78" s="1582"/>
      <c r="M78" s="1582"/>
      <c r="N78" s="1582"/>
      <c r="O78" s="1582"/>
      <c r="P78" s="1582"/>
      <c r="Q78" s="1582" t="s">
        <v>212</v>
      </c>
      <c r="R78" s="1582"/>
      <c r="S78" s="1582"/>
      <c r="T78" s="1582"/>
      <c r="U78" s="1582"/>
      <c r="V78" s="1582"/>
      <c r="W78" s="1582"/>
      <c r="X78" s="1582"/>
      <c r="Y78" s="1582"/>
      <c r="Z78" s="1582"/>
      <c r="AA78" s="1582"/>
      <c r="AB78" s="1582"/>
      <c r="AC78" s="1582" t="s">
        <v>386</v>
      </c>
      <c r="AD78" s="1582"/>
      <c r="AE78" s="1582"/>
      <c r="AF78" s="1582"/>
      <c r="AG78" s="1582"/>
      <c r="AH78" s="1582"/>
      <c r="AI78" s="1582"/>
      <c r="AJ78" s="1582"/>
      <c r="AK78" s="1582" t="s">
        <v>387</v>
      </c>
      <c r="AL78" s="1582"/>
      <c r="AM78" s="1582"/>
      <c r="AN78" s="1582"/>
      <c r="AO78" s="1582"/>
      <c r="AP78" s="1582"/>
      <c r="AQ78" s="1582"/>
      <c r="AR78" s="1582"/>
      <c r="AS78" s="1582" t="s">
        <v>388</v>
      </c>
      <c r="AT78" s="1582"/>
      <c r="AU78" s="1582"/>
      <c r="AV78" s="1582"/>
      <c r="AW78" s="1582"/>
      <c r="AX78" s="1582"/>
      <c r="AY78" s="1582"/>
      <c r="AZ78" s="1582"/>
      <c r="BA78" s="1582" t="s">
        <v>389</v>
      </c>
      <c r="BB78" s="1582"/>
      <c r="BC78" s="1582"/>
      <c r="BD78" s="1582"/>
      <c r="BE78" s="1582"/>
      <c r="BF78" s="1582"/>
      <c r="BG78" s="1582"/>
      <c r="BH78" s="1582"/>
      <c r="BI78" s="1582" t="s">
        <v>381</v>
      </c>
      <c r="BJ78" s="1582"/>
      <c r="BK78" s="1582"/>
      <c r="BL78" s="1582"/>
      <c r="BM78" s="1582"/>
      <c r="BN78" s="1582"/>
      <c r="BO78" s="1582"/>
      <c r="BP78" s="1582"/>
      <c r="BQ78" s="1582"/>
      <c r="BR78" s="1582"/>
      <c r="BS78" s="1582"/>
      <c r="BT78" s="1582"/>
      <c r="BU78" s="1570" t="s">
        <v>390</v>
      </c>
      <c r="BV78" s="1570"/>
      <c r="BW78" s="1570"/>
      <c r="BX78" s="1570"/>
      <c r="BY78" s="1570"/>
      <c r="BZ78" s="1570"/>
      <c r="CA78" s="1570"/>
      <c r="CB78" s="1570"/>
      <c r="CC78" s="1570"/>
      <c r="CD78" s="1570"/>
      <c r="CE78" s="1570"/>
      <c r="CF78" s="1571"/>
      <c r="CJ78" s="535" t="s">
        <v>389</v>
      </c>
    </row>
    <row r="79" spans="1:89" s="535" customFormat="1" ht="23.1" customHeight="1" thickTop="1">
      <c r="D79" s="405"/>
      <c r="E79" s="1572" t="s">
        <v>391</v>
      </c>
      <c r="F79" s="1573"/>
      <c r="G79" s="1573"/>
      <c r="H79" s="1573"/>
      <c r="I79" s="1573"/>
      <c r="J79" s="1573"/>
      <c r="K79" s="1573"/>
      <c r="L79" s="1573"/>
      <c r="M79" s="1573"/>
      <c r="N79" s="1573"/>
      <c r="O79" s="1573"/>
      <c r="P79" s="1573"/>
      <c r="Q79" s="1574" t="s">
        <v>392</v>
      </c>
      <c r="R79" s="1574"/>
      <c r="S79" s="1574"/>
      <c r="T79" s="1574"/>
      <c r="U79" s="1574"/>
      <c r="V79" s="1574"/>
      <c r="W79" s="1574"/>
      <c r="X79" s="1574"/>
      <c r="Y79" s="1574"/>
      <c r="Z79" s="1574"/>
      <c r="AA79" s="1574"/>
      <c r="AB79" s="1574"/>
      <c r="AC79" s="1575">
        <v>0.12</v>
      </c>
      <c r="AD79" s="1575"/>
      <c r="AE79" s="1575"/>
      <c r="AF79" s="1575"/>
      <c r="AG79" s="1575"/>
      <c r="AH79" s="1575"/>
      <c r="AI79" s="1575"/>
      <c r="AJ79" s="1575"/>
      <c r="AK79" s="1573">
        <v>0.9</v>
      </c>
      <c r="AL79" s="1573"/>
      <c r="AM79" s="1573"/>
      <c r="AN79" s="1573"/>
      <c r="AO79" s="1573"/>
      <c r="AP79" s="1573"/>
      <c r="AQ79" s="1573"/>
      <c r="AR79" s="1573"/>
      <c r="AS79" s="1573">
        <v>0.8</v>
      </c>
      <c r="AT79" s="1573"/>
      <c r="AU79" s="1573"/>
      <c r="AV79" s="1573"/>
      <c r="AW79" s="1573"/>
      <c r="AX79" s="1573"/>
      <c r="AY79" s="1573"/>
      <c r="AZ79" s="1573"/>
      <c r="BA79" s="1573">
        <v>0.55000000000000004</v>
      </c>
      <c r="BB79" s="1573"/>
      <c r="BC79" s="1573"/>
      <c r="BD79" s="1573"/>
      <c r="BE79" s="1573"/>
      <c r="BF79" s="1573"/>
      <c r="BG79" s="1573"/>
      <c r="BH79" s="1573"/>
      <c r="BI79" s="1564" t="s">
        <v>393</v>
      </c>
      <c r="BJ79" s="1552"/>
      <c r="BK79" s="1552"/>
      <c r="BL79" s="1552"/>
      <c r="BM79" s="1552"/>
      <c r="BN79" s="1552"/>
      <c r="BO79" s="1576">
        <v>20</v>
      </c>
      <c r="BP79" s="1577"/>
      <c r="BQ79" s="1577"/>
      <c r="BR79" s="1577"/>
      <c r="BS79" s="1577"/>
      <c r="BT79" s="1578"/>
      <c r="BU79" s="1554">
        <f t="shared" ref="BU79:BU86" si="5">ROUND(3600*AC79*AK79*AS79*BA79/BO79,2)</f>
        <v>8.5500000000000007</v>
      </c>
      <c r="BV79" s="1554"/>
      <c r="BW79" s="1554"/>
      <c r="BX79" s="1554"/>
      <c r="BY79" s="1554"/>
      <c r="BZ79" s="1554"/>
      <c r="CA79" s="1554"/>
      <c r="CB79" s="1554"/>
      <c r="CC79" s="1554"/>
      <c r="CD79" s="1554"/>
      <c r="CE79" s="1554"/>
      <c r="CF79" s="1555"/>
      <c r="CJ79" s="535" t="s">
        <v>760</v>
      </c>
      <c r="CK79" s="535" t="s">
        <v>766</v>
      </c>
    </row>
    <row r="80" spans="1:89" s="535" customFormat="1" ht="23.1" customHeight="1">
      <c r="D80" s="405"/>
      <c r="E80" s="1565" t="s">
        <v>391</v>
      </c>
      <c r="F80" s="1566"/>
      <c r="G80" s="1566"/>
      <c r="H80" s="1566"/>
      <c r="I80" s="1566"/>
      <c r="J80" s="1566"/>
      <c r="K80" s="1566"/>
      <c r="L80" s="1566"/>
      <c r="M80" s="1566"/>
      <c r="N80" s="1566"/>
      <c r="O80" s="1566"/>
      <c r="P80" s="1566"/>
      <c r="Q80" s="1567" t="s">
        <v>394</v>
      </c>
      <c r="R80" s="1567"/>
      <c r="S80" s="1567"/>
      <c r="T80" s="1567"/>
      <c r="U80" s="1567"/>
      <c r="V80" s="1567"/>
      <c r="W80" s="1567"/>
      <c r="X80" s="1567"/>
      <c r="Y80" s="1567"/>
      <c r="Z80" s="1567"/>
      <c r="AA80" s="1567"/>
      <c r="AB80" s="1567"/>
      <c r="AC80" s="1566">
        <v>0.18</v>
      </c>
      <c r="AD80" s="1566"/>
      <c r="AE80" s="1566"/>
      <c r="AF80" s="1566"/>
      <c r="AG80" s="1566"/>
      <c r="AH80" s="1566"/>
      <c r="AI80" s="1566"/>
      <c r="AJ80" s="1566"/>
      <c r="AK80" s="1564">
        <v>0.9</v>
      </c>
      <c r="AL80" s="1552"/>
      <c r="AM80" s="1552"/>
      <c r="AN80" s="1552"/>
      <c r="AO80" s="1552"/>
      <c r="AP80" s="1552"/>
      <c r="AQ80" s="1552"/>
      <c r="AR80" s="1553"/>
      <c r="AS80" s="1564">
        <v>0.8</v>
      </c>
      <c r="AT80" s="1552"/>
      <c r="AU80" s="1552"/>
      <c r="AV80" s="1552"/>
      <c r="AW80" s="1552"/>
      <c r="AX80" s="1552"/>
      <c r="AY80" s="1552"/>
      <c r="AZ80" s="1553"/>
      <c r="BA80" s="1564">
        <v>0.55000000000000004</v>
      </c>
      <c r="BB80" s="1552"/>
      <c r="BC80" s="1552"/>
      <c r="BD80" s="1552"/>
      <c r="BE80" s="1552"/>
      <c r="BF80" s="1552"/>
      <c r="BG80" s="1552"/>
      <c r="BH80" s="1553"/>
      <c r="BI80" s="1564" t="s">
        <v>393</v>
      </c>
      <c r="BJ80" s="1552"/>
      <c r="BK80" s="1552"/>
      <c r="BL80" s="1552"/>
      <c r="BM80" s="1552"/>
      <c r="BN80" s="1552"/>
      <c r="BO80" s="1551">
        <v>20</v>
      </c>
      <c r="BP80" s="1552"/>
      <c r="BQ80" s="1552"/>
      <c r="BR80" s="1552"/>
      <c r="BS80" s="1552"/>
      <c r="BT80" s="1553"/>
      <c r="BU80" s="1554">
        <f t="shared" si="5"/>
        <v>12.83</v>
      </c>
      <c r="BV80" s="1554"/>
      <c r="BW80" s="1554"/>
      <c r="BX80" s="1554"/>
      <c r="BY80" s="1554"/>
      <c r="BZ80" s="1554"/>
      <c r="CA80" s="1554"/>
      <c r="CB80" s="1554"/>
      <c r="CC80" s="1554"/>
      <c r="CD80" s="1554"/>
      <c r="CE80" s="1554"/>
      <c r="CF80" s="1555"/>
      <c r="CJ80" s="535" t="s">
        <v>760</v>
      </c>
      <c r="CK80" s="535" t="s">
        <v>766</v>
      </c>
    </row>
    <row r="81" spans="1:89" s="535" customFormat="1" ht="23.1" customHeight="1">
      <c r="A81" s="540"/>
      <c r="B81" s="540"/>
      <c r="C81" s="540"/>
      <c r="D81" s="540"/>
      <c r="E81" s="1565" t="s">
        <v>391</v>
      </c>
      <c r="F81" s="1566"/>
      <c r="G81" s="1566"/>
      <c r="H81" s="1566"/>
      <c r="I81" s="1566"/>
      <c r="J81" s="1566"/>
      <c r="K81" s="1566"/>
      <c r="L81" s="1566"/>
      <c r="M81" s="1566"/>
      <c r="N81" s="1566"/>
      <c r="O81" s="1566"/>
      <c r="P81" s="1566"/>
      <c r="Q81" s="1567" t="s">
        <v>395</v>
      </c>
      <c r="R81" s="1567"/>
      <c r="S81" s="1567"/>
      <c r="T81" s="1567"/>
      <c r="U81" s="1567"/>
      <c r="V81" s="1567"/>
      <c r="W81" s="1567"/>
      <c r="X81" s="1567"/>
      <c r="Y81" s="1567"/>
      <c r="Z81" s="1567"/>
      <c r="AA81" s="1567"/>
      <c r="AB81" s="1567"/>
      <c r="AC81" s="1566">
        <v>0.2</v>
      </c>
      <c r="AD81" s="1566"/>
      <c r="AE81" s="1566"/>
      <c r="AF81" s="1566"/>
      <c r="AG81" s="1566"/>
      <c r="AH81" s="1566"/>
      <c r="AI81" s="1566"/>
      <c r="AJ81" s="1566"/>
      <c r="AK81" s="1564">
        <v>0.9</v>
      </c>
      <c r="AL81" s="1552"/>
      <c r="AM81" s="1552"/>
      <c r="AN81" s="1552"/>
      <c r="AO81" s="1552"/>
      <c r="AP81" s="1552"/>
      <c r="AQ81" s="1552"/>
      <c r="AR81" s="1553"/>
      <c r="AS81" s="1564">
        <v>0.8</v>
      </c>
      <c r="AT81" s="1552"/>
      <c r="AU81" s="1552"/>
      <c r="AV81" s="1552"/>
      <c r="AW81" s="1552"/>
      <c r="AX81" s="1552"/>
      <c r="AY81" s="1552"/>
      <c r="AZ81" s="1553"/>
      <c r="BA81" s="1564">
        <v>0.55000000000000004</v>
      </c>
      <c r="BB81" s="1552"/>
      <c r="BC81" s="1552"/>
      <c r="BD81" s="1552"/>
      <c r="BE81" s="1552"/>
      <c r="BF81" s="1552"/>
      <c r="BG81" s="1552"/>
      <c r="BH81" s="1553"/>
      <c r="BI81" s="1564" t="s">
        <v>393</v>
      </c>
      <c r="BJ81" s="1552"/>
      <c r="BK81" s="1552"/>
      <c r="BL81" s="1552"/>
      <c r="BM81" s="1552"/>
      <c r="BN81" s="1552"/>
      <c r="BO81" s="1551">
        <v>20</v>
      </c>
      <c r="BP81" s="1552"/>
      <c r="BQ81" s="1552"/>
      <c r="BR81" s="1552"/>
      <c r="BS81" s="1552"/>
      <c r="BT81" s="1553"/>
      <c r="BU81" s="1554">
        <f t="shared" si="5"/>
        <v>14.26</v>
      </c>
      <c r="BV81" s="1554"/>
      <c r="BW81" s="1554"/>
      <c r="BX81" s="1554"/>
      <c r="BY81" s="1554"/>
      <c r="BZ81" s="1554"/>
      <c r="CA81" s="1554"/>
      <c r="CB81" s="1554"/>
      <c r="CC81" s="1554"/>
      <c r="CD81" s="1554"/>
      <c r="CE81" s="1554"/>
      <c r="CF81" s="1555"/>
      <c r="CJ81" s="535" t="s">
        <v>760</v>
      </c>
      <c r="CK81" s="535" t="s">
        <v>766</v>
      </c>
    </row>
    <row r="82" spans="1:89" s="535" customFormat="1" ht="23.1" customHeight="1">
      <c r="E82" s="1565" t="s">
        <v>391</v>
      </c>
      <c r="F82" s="1566"/>
      <c r="G82" s="1566"/>
      <c r="H82" s="1566"/>
      <c r="I82" s="1566"/>
      <c r="J82" s="1566"/>
      <c r="K82" s="1566"/>
      <c r="L82" s="1566"/>
      <c r="M82" s="1566"/>
      <c r="N82" s="1566"/>
      <c r="O82" s="1566"/>
      <c r="P82" s="1566"/>
      <c r="Q82" s="1567" t="s">
        <v>359</v>
      </c>
      <c r="R82" s="1567"/>
      <c r="S82" s="1567"/>
      <c r="T82" s="1567"/>
      <c r="U82" s="1567"/>
      <c r="V82" s="1567"/>
      <c r="W82" s="1567"/>
      <c r="X82" s="1567"/>
      <c r="Y82" s="1567"/>
      <c r="Z82" s="1567"/>
      <c r="AA82" s="1567"/>
      <c r="AB82" s="1567"/>
      <c r="AC82" s="1566">
        <v>0.4</v>
      </c>
      <c r="AD82" s="1566"/>
      <c r="AE82" s="1566"/>
      <c r="AF82" s="1566"/>
      <c r="AG82" s="1566"/>
      <c r="AH82" s="1566"/>
      <c r="AI82" s="1566"/>
      <c r="AJ82" s="1566"/>
      <c r="AK82" s="1564">
        <v>0.9</v>
      </c>
      <c r="AL82" s="1552"/>
      <c r="AM82" s="1552"/>
      <c r="AN82" s="1552"/>
      <c r="AO82" s="1552"/>
      <c r="AP82" s="1552"/>
      <c r="AQ82" s="1552"/>
      <c r="AR82" s="1553"/>
      <c r="AS82" s="1564">
        <v>0.8</v>
      </c>
      <c r="AT82" s="1552"/>
      <c r="AU82" s="1552"/>
      <c r="AV82" s="1552"/>
      <c r="AW82" s="1552"/>
      <c r="AX82" s="1552"/>
      <c r="AY82" s="1552"/>
      <c r="AZ82" s="1553"/>
      <c r="BA82" s="1564">
        <v>0.55000000000000004</v>
      </c>
      <c r="BB82" s="1552"/>
      <c r="BC82" s="1552"/>
      <c r="BD82" s="1552"/>
      <c r="BE82" s="1552"/>
      <c r="BF82" s="1552"/>
      <c r="BG82" s="1552"/>
      <c r="BH82" s="1553"/>
      <c r="BI82" s="1564" t="s">
        <v>396</v>
      </c>
      <c r="BJ82" s="1552"/>
      <c r="BK82" s="1552"/>
      <c r="BL82" s="1552"/>
      <c r="BM82" s="1552"/>
      <c r="BN82" s="1552"/>
      <c r="BO82" s="1551">
        <v>18</v>
      </c>
      <c r="BP82" s="1552"/>
      <c r="BQ82" s="1552"/>
      <c r="BR82" s="1552"/>
      <c r="BS82" s="1552"/>
      <c r="BT82" s="1553"/>
      <c r="BU82" s="1554">
        <f t="shared" si="5"/>
        <v>31.68</v>
      </c>
      <c r="BV82" s="1554"/>
      <c r="BW82" s="1554"/>
      <c r="BX82" s="1554"/>
      <c r="BY82" s="1554"/>
      <c r="BZ82" s="1554"/>
      <c r="CA82" s="1554"/>
      <c r="CB82" s="1554"/>
      <c r="CC82" s="1554"/>
      <c r="CD82" s="1554"/>
      <c r="CE82" s="1554"/>
      <c r="CF82" s="1555"/>
      <c r="CJ82" s="535" t="s">
        <v>760</v>
      </c>
      <c r="CK82" s="535" t="s">
        <v>766</v>
      </c>
    </row>
    <row r="83" spans="1:89" s="535" customFormat="1" ht="23.1" customHeight="1">
      <c r="A83" s="540"/>
      <c r="B83" s="540"/>
      <c r="C83" s="540"/>
      <c r="D83" s="540"/>
      <c r="E83" s="1565" t="s">
        <v>391</v>
      </c>
      <c r="F83" s="1566"/>
      <c r="G83" s="1566"/>
      <c r="H83" s="1566"/>
      <c r="I83" s="1566"/>
      <c r="J83" s="1566"/>
      <c r="K83" s="1566"/>
      <c r="L83" s="1566"/>
      <c r="M83" s="1566"/>
      <c r="N83" s="1566"/>
      <c r="O83" s="1566"/>
      <c r="P83" s="1566"/>
      <c r="Q83" s="1728" t="s">
        <v>397</v>
      </c>
      <c r="R83" s="1729"/>
      <c r="S83" s="1729"/>
      <c r="T83" s="1729"/>
      <c r="U83" s="1729"/>
      <c r="V83" s="1729"/>
      <c r="W83" s="1729"/>
      <c r="X83" s="1729"/>
      <c r="Y83" s="1729"/>
      <c r="Z83" s="1729"/>
      <c r="AA83" s="1729"/>
      <c r="AB83" s="1730"/>
      <c r="AC83" s="1566">
        <v>0.6</v>
      </c>
      <c r="AD83" s="1566"/>
      <c r="AE83" s="1566"/>
      <c r="AF83" s="1566"/>
      <c r="AG83" s="1566"/>
      <c r="AH83" s="1566"/>
      <c r="AI83" s="1566"/>
      <c r="AJ83" s="1566"/>
      <c r="AK83" s="1564">
        <v>0.9</v>
      </c>
      <c r="AL83" s="1552"/>
      <c r="AM83" s="1552"/>
      <c r="AN83" s="1552"/>
      <c r="AO83" s="1552"/>
      <c r="AP83" s="1552"/>
      <c r="AQ83" s="1552"/>
      <c r="AR83" s="1553"/>
      <c r="AS83" s="1564">
        <v>0.8</v>
      </c>
      <c r="AT83" s="1552"/>
      <c r="AU83" s="1552"/>
      <c r="AV83" s="1552"/>
      <c r="AW83" s="1552"/>
      <c r="AX83" s="1552"/>
      <c r="AY83" s="1552"/>
      <c r="AZ83" s="1553"/>
      <c r="BA83" s="1564">
        <v>0.55000000000000004</v>
      </c>
      <c r="BB83" s="1552"/>
      <c r="BC83" s="1552"/>
      <c r="BD83" s="1552"/>
      <c r="BE83" s="1552"/>
      <c r="BF83" s="1552"/>
      <c r="BG83" s="1552"/>
      <c r="BH83" s="1553"/>
      <c r="BI83" s="1564" t="s">
        <v>398</v>
      </c>
      <c r="BJ83" s="1552"/>
      <c r="BK83" s="1552"/>
      <c r="BL83" s="1552"/>
      <c r="BM83" s="1552"/>
      <c r="BN83" s="1552"/>
      <c r="BO83" s="1551">
        <v>18</v>
      </c>
      <c r="BP83" s="1552"/>
      <c r="BQ83" s="1552"/>
      <c r="BR83" s="1552"/>
      <c r="BS83" s="1552"/>
      <c r="BT83" s="1553"/>
      <c r="BU83" s="1554">
        <f t="shared" si="5"/>
        <v>47.52</v>
      </c>
      <c r="BV83" s="1554"/>
      <c r="BW83" s="1554"/>
      <c r="BX83" s="1554"/>
      <c r="BY83" s="1554"/>
      <c r="BZ83" s="1554"/>
      <c r="CA83" s="1554"/>
      <c r="CB83" s="1554"/>
      <c r="CC83" s="1554"/>
      <c r="CD83" s="1554"/>
      <c r="CE83" s="1554"/>
      <c r="CF83" s="1555"/>
      <c r="CJ83" s="535" t="s">
        <v>760</v>
      </c>
      <c r="CK83" s="535" t="s">
        <v>766</v>
      </c>
    </row>
    <row r="84" spans="1:89" s="535" customFormat="1" ht="23.1" customHeight="1">
      <c r="E84" s="1565" t="s">
        <v>391</v>
      </c>
      <c r="F84" s="1566"/>
      <c r="G84" s="1566"/>
      <c r="H84" s="1566"/>
      <c r="I84" s="1566"/>
      <c r="J84" s="1566"/>
      <c r="K84" s="1566"/>
      <c r="L84" s="1566"/>
      <c r="M84" s="1566"/>
      <c r="N84" s="1566"/>
      <c r="O84" s="1566"/>
      <c r="P84" s="1566"/>
      <c r="Q84" s="1567" t="s">
        <v>399</v>
      </c>
      <c r="R84" s="1567"/>
      <c r="S84" s="1567"/>
      <c r="T84" s="1567"/>
      <c r="U84" s="1567"/>
      <c r="V84" s="1567"/>
      <c r="W84" s="1567"/>
      <c r="X84" s="1567"/>
      <c r="Y84" s="1567"/>
      <c r="Z84" s="1567"/>
      <c r="AA84" s="1567"/>
      <c r="AB84" s="1567"/>
      <c r="AC84" s="1566">
        <v>0.7</v>
      </c>
      <c r="AD84" s="1566"/>
      <c r="AE84" s="1566"/>
      <c r="AF84" s="1566"/>
      <c r="AG84" s="1566"/>
      <c r="AH84" s="1566"/>
      <c r="AI84" s="1566"/>
      <c r="AJ84" s="1566"/>
      <c r="AK84" s="1564">
        <v>0.9</v>
      </c>
      <c r="AL84" s="1552"/>
      <c r="AM84" s="1552"/>
      <c r="AN84" s="1552"/>
      <c r="AO84" s="1552"/>
      <c r="AP84" s="1552"/>
      <c r="AQ84" s="1552"/>
      <c r="AR84" s="1553"/>
      <c r="AS84" s="1564">
        <v>0.8</v>
      </c>
      <c r="AT84" s="1552"/>
      <c r="AU84" s="1552"/>
      <c r="AV84" s="1552"/>
      <c r="AW84" s="1552"/>
      <c r="AX84" s="1552"/>
      <c r="AY84" s="1552"/>
      <c r="AZ84" s="1553"/>
      <c r="BA84" s="1564">
        <v>0.55000000000000004</v>
      </c>
      <c r="BB84" s="1552"/>
      <c r="BC84" s="1552"/>
      <c r="BD84" s="1552"/>
      <c r="BE84" s="1552"/>
      <c r="BF84" s="1552"/>
      <c r="BG84" s="1552"/>
      <c r="BH84" s="1553"/>
      <c r="BI84" s="1564" t="s">
        <v>398</v>
      </c>
      <c r="BJ84" s="1552"/>
      <c r="BK84" s="1552"/>
      <c r="BL84" s="1552"/>
      <c r="BM84" s="1552"/>
      <c r="BN84" s="1552"/>
      <c r="BO84" s="1551">
        <v>18</v>
      </c>
      <c r="BP84" s="1552"/>
      <c r="BQ84" s="1552"/>
      <c r="BR84" s="1552"/>
      <c r="BS84" s="1552"/>
      <c r="BT84" s="1553"/>
      <c r="BU84" s="1554">
        <f t="shared" si="5"/>
        <v>55.44</v>
      </c>
      <c r="BV84" s="1554"/>
      <c r="BW84" s="1554"/>
      <c r="BX84" s="1554"/>
      <c r="BY84" s="1554"/>
      <c r="BZ84" s="1554"/>
      <c r="CA84" s="1554"/>
      <c r="CB84" s="1554"/>
      <c r="CC84" s="1554"/>
      <c r="CD84" s="1554"/>
      <c r="CE84" s="1554"/>
      <c r="CF84" s="1555"/>
      <c r="CJ84" s="535" t="s">
        <v>760</v>
      </c>
      <c r="CK84" s="535" t="s">
        <v>766</v>
      </c>
    </row>
    <row r="85" spans="1:89" s="535" customFormat="1" ht="23.1" customHeight="1">
      <c r="E85" s="1565" t="s">
        <v>391</v>
      </c>
      <c r="F85" s="1566"/>
      <c r="G85" s="1566"/>
      <c r="H85" s="1566"/>
      <c r="I85" s="1566"/>
      <c r="J85" s="1566"/>
      <c r="K85" s="1566"/>
      <c r="L85" s="1566"/>
      <c r="M85" s="1566"/>
      <c r="N85" s="1566"/>
      <c r="O85" s="1566"/>
      <c r="P85" s="1566"/>
      <c r="Q85" s="1567" t="s">
        <v>400</v>
      </c>
      <c r="R85" s="1567"/>
      <c r="S85" s="1567"/>
      <c r="T85" s="1567"/>
      <c r="U85" s="1567"/>
      <c r="V85" s="1567"/>
      <c r="W85" s="1567"/>
      <c r="X85" s="1567"/>
      <c r="Y85" s="1567"/>
      <c r="Z85" s="1567"/>
      <c r="AA85" s="1567"/>
      <c r="AB85" s="1567"/>
      <c r="AC85" s="1566">
        <v>0.8</v>
      </c>
      <c r="AD85" s="1566"/>
      <c r="AE85" s="1566"/>
      <c r="AF85" s="1566"/>
      <c r="AG85" s="1566"/>
      <c r="AH85" s="1566"/>
      <c r="AI85" s="1566"/>
      <c r="AJ85" s="1566"/>
      <c r="AK85" s="1564">
        <v>0.9</v>
      </c>
      <c r="AL85" s="1552"/>
      <c r="AM85" s="1552"/>
      <c r="AN85" s="1552"/>
      <c r="AO85" s="1552"/>
      <c r="AP85" s="1552"/>
      <c r="AQ85" s="1552"/>
      <c r="AR85" s="1553"/>
      <c r="AS85" s="1564">
        <v>0.8</v>
      </c>
      <c r="AT85" s="1552"/>
      <c r="AU85" s="1552"/>
      <c r="AV85" s="1552"/>
      <c r="AW85" s="1552"/>
      <c r="AX85" s="1552"/>
      <c r="AY85" s="1552"/>
      <c r="AZ85" s="1553"/>
      <c r="BA85" s="1564">
        <v>0.55000000000000004</v>
      </c>
      <c r="BB85" s="1552"/>
      <c r="BC85" s="1552"/>
      <c r="BD85" s="1552"/>
      <c r="BE85" s="1552"/>
      <c r="BF85" s="1552"/>
      <c r="BG85" s="1552"/>
      <c r="BH85" s="1553"/>
      <c r="BI85" s="1564" t="s">
        <v>398</v>
      </c>
      <c r="BJ85" s="1552"/>
      <c r="BK85" s="1552"/>
      <c r="BL85" s="1552"/>
      <c r="BM85" s="1552"/>
      <c r="BN85" s="1552"/>
      <c r="BO85" s="1551">
        <v>18</v>
      </c>
      <c r="BP85" s="1552"/>
      <c r="BQ85" s="1552"/>
      <c r="BR85" s="1552"/>
      <c r="BS85" s="1552"/>
      <c r="BT85" s="1553"/>
      <c r="BU85" s="1554">
        <f t="shared" si="5"/>
        <v>63.36</v>
      </c>
      <c r="BV85" s="1554"/>
      <c r="BW85" s="1554"/>
      <c r="BX85" s="1554"/>
      <c r="BY85" s="1554"/>
      <c r="BZ85" s="1554"/>
      <c r="CA85" s="1554"/>
      <c r="CB85" s="1554"/>
      <c r="CC85" s="1554"/>
      <c r="CD85" s="1554"/>
      <c r="CE85" s="1554"/>
      <c r="CF85" s="1555"/>
      <c r="CJ85" s="535" t="s">
        <v>760</v>
      </c>
      <c r="CK85" s="535" t="s">
        <v>766</v>
      </c>
    </row>
    <row r="86" spans="1:89" s="535" customFormat="1" ht="23.1" customHeight="1" thickBot="1">
      <c r="A86" s="540"/>
      <c r="B86" s="540"/>
      <c r="C86" s="540"/>
      <c r="D86" s="540"/>
      <c r="E86" s="1541" t="s">
        <v>391</v>
      </c>
      <c r="F86" s="1542"/>
      <c r="G86" s="1542"/>
      <c r="H86" s="1542"/>
      <c r="I86" s="1542"/>
      <c r="J86" s="1542"/>
      <c r="K86" s="1542"/>
      <c r="L86" s="1542"/>
      <c r="M86" s="1542"/>
      <c r="N86" s="1542"/>
      <c r="O86" s="1542"/>
      <c r="P86" s="1543"/>
      <c r="Q86" s="1544" t="s">
        <v>401</v>
      </c>
      <c r="R86" s="1544"/>
      <c r="S86" s="1544"/>
      <c r="T86" s="1544"/>
      <c r="U86" s="1544"/>
      <c r="V86" s="1544"/>
      <c r="W86" s="1544"/>
      <c r="X86" s="1544"/>
      <c r="Y86" s="1544"/>
      <c r="Z86" s="1544"/>
      <c r="AA86" s="1544"/>
      <c r="AB86" s="1544"/>
      <c r="AC86" s="1583">
        <v>1</v>
      </c>
      <c r="AD86" s="1583"/>
      <c r="AE86" s="1583"/>
      <c r="AF86" s="1583"/>
      <c r="AG86" s="1583"/>
      <c r="AH86" s="1583"/>
      <c r="AI86" s="1583"/>
      <c r="AJ86" s="1583"/>
      <c r="AK86" s="1546">
        <v>0.9</v>
      </c>
      <c r="AL86" s="1546"/>
      <c r="AM86" s="1546"/>
      <c r="AN86" s="1546"/>
      <c r="AO86" s="1546"/>
      <c r="AP86" s="1546"/>
      <c r="AQ86" s="1546"/>
      <c r="AR86" s="1546"/>
      <c r="AS86" s="1546">
        <v>0.8</v>
      </c>
      <c r="AT86" s="1546"/>
      <c r="AU86" s="1546"/>
      <c r="AV86" s="1546"/>
      <c r="AW86" s="1546"/>
      <c r="AX86" s="1546"/>
      <c r="AY86" s="1546"/>
      <c r="AZ86" s="1546"/>
      <c r="BA86" s="1546">
        <v>0.55000000000000004</v>
      </c>
      <c r="BB86" s="1546"/>
      <c r="BC86" s="1546"/>
      <c r="BD86" s="1546"/>
      <c r="BE86" s="1546"/>
      <c r="BF86" s="1546"/>
      <c r="BG86" s="1546"/>
      <c r="BH86" s="1546"/>
      <c r="BI86" s="1547" t="s">
        <v>398</v>
      </c>
      <c r="BJ86" s="1542"/>
      <c r="BK86" s="1542"/>
      <c r="BL86" s="1542"/>
      <c r="BM86" s="1542"/>
      <c r="BN86" s="1542"/>
      <c r="BO86" s="1548">
        <v>19</v>
      </c>
      <c r="BP86" s="1542"/>
      <c r="BQ86" s="1542"/>
      <c r="BR86" s="1542"/>
      <c r="BS86" s="1542"/>
      <c r="BT86" s="1543"/>
      <c r="BU86" s="1549">
        <f t="shared" si="5"/>
        <v>75.03</v>
      </c>
      <c r="BV86" s="1549"/>
      <c r="BW86" s="1549"/>
      <c r="BX86" s="1549"/>
      <c r="BY86" s="1549"/>
      <c r="BZ86" s="1549"/>
      <c r="CA86" s="1549"/>
      <c r="CB86" s="1549"/>
      <c r="CC86" s="1549"/>
      <c r="CD86" s="1549"/>
      <c r="CE86" s="1549"/>
      <c r="CF86" s="1550"/>
      <c r="CJ86" s="535" t="s">
        <v>760</v>
      </c>
      <c r="CK86" s="535" t="s">
        <v>766</v>
      </c>
    </row>
    <row r="87" spans="1:89" s="535" customFormat="1" ht="36" customHeight="1">
      <c r="D87" s="405"/>
      <c r="E87" s="1731" t="s">
        <v>765</v>
      </c>
      <c r="F87" s="1732"/>
      <c r="G87" s="1732"/>
      <c r="H87" s="1732"/>
      <c r="I87" s="1732"/>
      <c r="J87" s="1732"/>
      <c r="K87" s="1732"/>
      <c r="L87" s="1732"/>
      <c r="M87" s="1732"/>
      <c r="N87" s="1732"/>
      <c r="O87" s="1732"/>
      <c r="P87" s="1732"/>
      <c r="Q87" s="1732"/>
      <c r="R87" s="1732"/>
      <c r="S87" s="1732"/>
      <c r="T87" s="1732"/>
      <c r="U87" s="1732"/>
      <c r="V87" s="1732"/>
      <c r="W87" s="1732"/>
      <c r="X87" s="1732"/>
      <c r="Y87" s="1732"/>
      <c r="Z87" s="1732"/>
      <c r="AA87" s="1732"/>
      <c r="AB87" s="1732"/>
      <c r="AC87" s="1732"/>
      <c r="AD87" s="1732"/>
      <c r="AE87" s="1732"/>
      <c r="AF87" s="1732"/>
      <c r="AG87" s="1732"/>
      <c r="AH87" s="1732"/>
      <c r="AI87" s="1732"/>
      <c r="AJ87" s="1732"/>
      <c r="AK87" s="1732"/>
      <c r="AL87" s="1732"/>
      <c r="AM87" s="1732"/>
      <c r="AN87" s="1732"/>
      <c r="AO87" s="1732"/>
      <c r="AP87" s="1732"/>
      <c r="AQ87" s="1732"/>
      <c r="AR87" s="1732"/>
      <c r="AS87" s="1732"/>
      <c r="AT87" s="1732"/>
      <c r="AU87" s="1732"/>
      <c r="AV87" s="1732"/>
      <c r="AW87" s="1732"/>
      <c r="AX87" s="1732"/>
      <c r="AY87" s="1732"/>
      <c r="AZ87" s="1732"/>
      <c r="BA87" s="1732"/>
      <c r="BB87" s="1732"/>
      <c r="BC87" s="1732"/>
      <c r="BD87" s="1732"/>
      <c r="BE87" s="1732"/>
      <c r="BF87" s="1732"/>
      <c r="BG87" s="1732"/>
      <c r="BH87" s="1732"/>
      <c r="BI87" s="1732"/>
      <c r="BJ87" s="1732"/>
      <c r="BK87" s="1732"/>
      <c r="BL87" s="1732"/>
      <c r="BM87" s="1732"/>
      <c r="BN87" s="1732"/>
      <c r="BO87" s="1732"/>
      <c r="BP87" s="1732"/>
      <c r="BQ87" s="1732"/>
      <c r="BR87" s="1732"/>
      <c r="BS87" s="1732"/>
      <c r="BT87" s="1732"/>
      <c r="BU87" s="1732"/>
      <c r="BV87" s="1732"/>
      <c r="BW87" s="1732"/>
      <c r="BX87" s="1732"/>
      <c r="BY87" s="1732"/>
      <c r="BZ87" s="1732"/>
      <c r="CA87" s="1732"/>
      <c r="CB87" s="1732"/>
      <c r="CC87" s="1732"/>
      <c r="CD87" s="1732"/>
      <c r="CE87" s="1732"/>
      <c r="CF87" s="1732"/>
    </row>
    <row r="88" spans="1:89" s="535" customFormat="1" ht="23.1" customHeight="1">
      <c r="E88" s="535" t="s">
        <v>402</v>
      </c>
    </row>
    <row r="89" spans="1:89" s="535" customFormat="1" ht="9.9499999999999993" customHeight="1" thickBot="1"/>
    <row r="90" spans="1:89" s="535" customFormat="1" ht="23.1" customHeight="1">
      <c r="E90" s="1534" t="s">
        <v>385</v>
      </c>
      <c r="F90" s="1535"/>
      <c r="G90" s="1535"/>
      <c r="H90" s="1535"/>
      <c r="I90" s="1535"/>
      <c r="J90" s="1535"/>
      <c r="K90" s="1535"/>
      <c r="L90" s="1535"/>
      <c r="M90" s="1535"/>
      <c r="N90" s="1535"/>
      <c r="O90" s="1535"/>
      <c r="P90" s="1535"/>
      <c r="Q90" s="1535"/>
      <c r="R90" s="1535"/>
      <c r="S90" s="1535"/>
      <c r="T90" s="1535"/>
      <c r="U90" s="1535" t="s">
        <v>212</v>
      </c>
      <c r="V90" s="1535"/>
      <c r="W90" s="1535"/>
      <c r="X90" s="1535"/>
      <c r="Y90" s="1535"/>
      <c r="Z90" s="1535"/>
      <c r="AA90" s="1535"/>
      <c r="AB90" s="1535"/>
      <c r="AC90" s="1535" t="s">
        <v>403</v>
      </c>
      <c r="AD90" s="1535"/>
      <c r="AE90" s="1535"/>
      <c r="AF90" s="1535"/>
      <c r="AG90" s="1535"/>
      <c r="AH90" s="1535"/>
      <c r="AI90" s="1535"/>
      <c r="AJ90" s="1535"/>
      <c r="AK90" s="1535"/>
      <c r="AL90" s="1535"/>
      <c r="AM90" s="1535"/>
      <c r="AN90" s="1535"/>
      <c r="AO90" s="1535"/>
      <c r="AP90" s="1535"/>
      <c r="AQ90" s="1535"/>
      <c r="AR90" s="1535"/>
      <c r="AS90" s="1535"/>
      <c r="AT90" s="1535"/>
      <c r="AU90" s="1535"/>
      <c r="AV90" s="1535"/>
      <c r="AW90" s="1535"/>
      <c r="AX90" s="1535"/>
      <c r="AY90" s="1535"/>
      <c r="AZ90" s="1535"/>
      <c r="BA90" s="1537" t="s">
        <v>404</v>
      </c>
      <c r="BB90" s="1535"/>
      <c r="BC90" s="1535"/>
      <c r="BD90" s="1535"/>
      <c r="BE90" s="1535"/>
      <c r="BF90" s="1535"/>
      <c r="BG90" s="1535"/>
      <c r="BH90" s="1535"/>
      <c r="BI90" s="1535" t="s">
        <v>405</v>
      </c>
      <c r="BJ90" s="1535"/>
      <c r="BK90" s="1535"/>
      <c r="BL90" s="1535"/>
      <c r="BM90" s="1535"/>
      <c r="BN90" s="1535"/>
      <c r="BO90" s="1535"/>
      <c r="BP90" s="1535"/>
      <c r="BQ90" s="1535"/>
      <c r="BR90" s="1535"/>
      <c r="BS90" s="1535"/>
      <c r="BT90" s="1535"/>
      <c r="BU90" s="1535"/>
      <c r="BV90" s="1535"/>
      <c r="BW90" s="1535"/>
      <c r="BX90" s="1535"/>
      <c r="BY90" s="1535"/>
      <c r="BZ90" s="1535"/>
      <c r="CA90" s="1535"/>
      <c r="CB90" s="1535"/>
      <c r="CC90" s="1535"/>
      <c r="CD90" s="1535"/>
      <c r="CE90" s="1535"/>
      <c r="CF90" s="1538"/>
    </row>
    <row r="91" spans="1:89" s="535" customFormat="1" ht="23.1" customHeight="1" thickBot="1">
      <c r="A91" s="540"/>
      <c r="B91" s="540"/>
      <c r="C91" s="540"/>
      <c r="D91" s="540"/>
      <c r="E91" s="1536"/>
      <c r="F91" s="1527"/>
      <c r="G91" s="1527"/>
      <c r="H91" s="1527"/>
      <c r="I91" s="1527"/>
      <c r="J91" s="1527"/>
      <c r="K91" s="1527"/>
      <c r="L91" s="1527"/>
      <c r="M91" s="1527"/>
      <c r="N91" s="1527"/>
      <c r="O91" s="1527"/>
      <c r="P91" s="1527"/>
      <c r="Q91" s="1527"/>
      <c r="R91" s="1527"/>
      <c r="S91" s="1527"/>
      <c r="T91" s="1527"/>
      <c r="U91" s="1527"/>
      <c r="V91" s="1527"/>
      <c r="W91" s="1527"/>
      <c r="X91" s="1527"/>
      <c r="Y91" s="1527"/>
      <c r="Z91" s="1527"/>
      <c r="AA91" s="1527"/>
      <c r="AB91" s="1527"/>
      <c r="AC91" s="1527" t="s">
        <v>406</v>
      </c>
      <c r="AD91" s="1527"/>
      <c r="AE91" s="1527"/>
      <c r="AF91" s="1527"/>
      <c r="AG91" s="1527"/>
      <c r="AH91" s="1527"/>
      <c r="AI91" s="1527"/>
      <c r="AJ91" s="1527"/>
      <c r="AK91" s="1527" t="s">
        <v>407</v>
      </c>
      <c r="AL91" s="1527"/>
      <c r="AM91" s="1527"/>
      <c r="AN91" s="1527"/>
      <c r="AO91" s="1527"/>
      <c r="AP91" s="1527"/>
      <c r="AQ91" s="1527"/>
      <c r="AR91" s="1527"/>
      <c r="AS91" s="1527" t="s">
        <v>408</v>
      </c>
      <c r="AT91" s="1527"/>
      <c r="AU91" s="1527"/>
      <c r="AV91" s="1527"/>
      <c r="AW91" s="1527"/>
      <c r="AX91" s="1527"/>
      <c r="AY91" s="1527"/>
      <c r="AZ91" s="1527"/>
      <c r="BA91" s="1527"/>
      <c r="BB91" s="1527"/>
      <c r="BC91" s="1527"/>
      <c r="BD91" s="1527"/>
      <c r="BE91" s="1527"/>
      <c r="BF91" s="1527"/>
      <c r="BG91" s="1527"/>
      <c r="BH91" s="1527"/>
      <c r="BI91" s="1527" t="s">
        <v>406</v>
      </c>
      <c r="BJ91" s="1527"/>
      <c r="BK91" s="1527"/>
      <c r="BL91" s="1527"/>
      <c r="BM91" s="1527"/>
      <c r="BN91" s="1527"/>
      <c r="BO91" s="1527"/>
      <c r="BP91" s="1527"/>
      <c r="BQ91" s="1527" t="s">
        <v>407</v>
      </c>
      <c r="BR91" s="1527"/>
      <c r="BS91" s="1527"/>
      <c r="BT91" s="1527"/>
      <c r="BU91" s="1527"/>
      <c r="BV91" s="1527"/>
      <c r="BW91" s="1527"/>
      <c r="BX91" s="1527"/>
      <c r="BY91" s="1527" t="s">
        <v>408</v>
      </c>
      <c r="BZ91" s="1527"/>
      <c r="CA91" s="1527"/>
      <c r="CB91" s="1527"/>
      <c r="CC91" s="1527"/>
      <c r="CD91" s="1527"/>
      <c r="CE91" s="1527"/>
      <c r="CF91" s="1528"/>
    </row>
    <row r="92" spans="1:89" s="535" customFormat="1" ht="23.1" customHeight="1" thickTop="1">
      <c r="E92" s="1529" t="s">
        <v>277</v>
      </c>
      <c r="F92" s="1530"/>
      <c r="G92" s="1530"/>
      <c r="H92" s="1530"/>
      <c r="I92" s="1530"/>
      <c r="J92" s="1530"/>
      <c r="K92" s="1530"/>
      <c r="L92" s="1530"/>
      <c r="M92" s="1530"/>
      <c r="N92" s="1530"/>
      <c r="O92" s="1530"/>
      <c r="P92" s="1530"/>
      <c r="Q92" s="1530"/>
      <c r="R92" s="1530"/>
      <c r="S92" s="1530"/>
      <c r="T92" s="1530"/>
      <c r="U92" s="1530" t="s">
        <v>392</v>
      </c>
      <c r="V92" s="1530"/>
      <c r="W92" s="1530"/>
      <c r="X92" s="1530"/>
      <c r="Y92" s="1530"/>
      <c r="Z92" s="1530"/>
      <c r="AA92" s="1530"/>
      <c r="AB92" s="1530"/>
      <c r="AC92" s="1512" t="e">
        <f>#REF!</f>
        <v>#REF!</v>
      </c>
      <c r="AD92" s="1512"/>
      <c r="AE92" s="1512"/>
      <c r="AF92" s="1512"/>
      <c r="AG92" s="1512"/>
      <c r="AH92" s="1512"/>
      <c r="AI92" s="1512"/>
      <c r="AJ92" s="1512"/>
      <c r="AK92" s="1512" t="e">
        <f>#REF!</f>
        <v>#REF!</v>
      </c>
      <c r="AL92" s="1512"/>
      <c r="AM92" s="1512"/>
      <c r="AN92" s="1512"/>
      <c r="AO92" s="1512"/>
      <c r="AP92" s="1512"/>
      <c r="AQ92" s="1512"/>
      <c r="AR92" s="1512"/>
      <c r="AS92" s="1512" t="e">
        <f>#REF!</f>
        <v>#REF!</v>
      </c>
      <c r="AT92" s="1512"/>
      <c r="AU92" s="1512"/>
      <c r="AV92" s="1512"/>
      <c r="AW92" s="1512"/>
      <c r="AX92" s="1512"/>
      <c r="AY92" s="1512"/>
      <c r="AZ92" s="1512"/>
      <c r="BA92" s="1531">
        <f>BU79</f>
        <v>8.5500000000000007</v>
      </c>
      <c r="BB92" s="1531"/>
      <c r="BC92" s="1531"/>
      <c r="BD92" s="1531"/>
      <c r="BE92" s="1531"/>
      <c r="BF92" s="1531"/>
      <c r="BG92" s="1531"/>
      <c r="BH92" s="1531"/>
      <c r="BI92" s="1532" t="e">
        <f>INT(AC92/$BA92)</f>
        <v>#REF!</v>
      </c>
      <c r="BJ92" s="1532"/>
      <c r="BK92" s="1532"/>
      <c r="BL92" s="1532"/>
      <c r="BM92" s="1532"/>
      <c r="BN92" s="1532"/>
      <c r="BO92" s="1532"/>
      <c r="BP92" s="1532"/>
      <c r="BQ92" s="1532" t="e">
        <f>INT(AK92/$BA92)</f>
        <v>#REF!</v>
      </c>
      <c r="BR92" s="1532"/>
      <c r="BS92" s="1532"/>
      <c r="BT92" s="1532"/>
      <c r="BU92" s="1532"/>
      <c r="BV92" s="1532"/>
      <c r="BW92" s="1532"/>
      <c r="BX92" s="1532"/>
      <c r="BY92" s="1532" t="e">
        <f>INT(AS92/$BA92)</f>
        <v>#REF!</v>
      </c>
      <c r="BZ92" s="1532"/>
      <c r="CA92" s="1532"/>
      <c r="CB92" s="1532"/>
      <c r="CC92" s="1532"/>
      <c r="CD92" s="1532"/>
      <c r="CE92" s="1532"/>
      <c r="CF92" s="1533"/>
    </row>
    <row r="93" spans="1:89" s="535" customFormat="1" ht="23.1" customHeight="1">
      <c r="E93" s="1520" t="s">
        <v>277</v>
      </c>
      <c r="F93" s="1521"/>
      <c r="G93" s="1521"/>
      <c r="H93" s="1521"/>
      <c r="I93" s="1521"/>
      <c r="J93" s="1521"/>
      <c r="K93" s="1521"/>
      <c r="L93" s="1521"/>
      <c r="M93" s="1521"/>
      <c r="N93" s="1521"/>
      <c r="O93" s="1521"/>
      <c r="P93" s="1521"/>
      <c r="Q93" s="1521"/>
      <c r="R93" s="1521"/>
      <c r="S93" s="1521"/>
      <c r="T93" s="1521"/>
      <c r="U93" s="1521" t="s">
        <v>395</v>
      </c>
      <c r="V93" s="1521"/>
      <c r="W93" s="1521"/>
      <c r="X93" s="1521"/>
      <c r="Y93" s="1521"/>
      <c r="Z93" s="1521"/>
      <c r="AA93" s="1521"/>
      <c r="AB93" s="1521"/>
      <c r="AC93" s="1526" t="e">
        <f>#REF!</f>
        <v>#REF!</v>
      </c>
      <c r="AD93" s="1526"/>
      <c r="AE93" s="1526"/>
      <c r="AF93" s="1526"/>
      <c r="AG93" s="1526"/>
      <c r="AH93" s="1526"/>
      <c r="AI93" s="1526"/>
      <c r="AJ93" s="1526"/>
      <c r="AK93" s="1526" t="e">
        <f>#REF!</f>
        <v>#REF!</v>
      </c>
      <c r="AL93" s="1526"/>
      <c r="AM93" s="1526"/>
      <c r="AN93" s="1526"/>
      <c r="AO93" s="1526"/>
      <c r="AP93" s="1526"/>
      <c r="AQ93" s="1526"/>
      <c r="AR93" s="1526"/>
      <c r="AS93" s="1526" t="e">
        <f>#REF!</f>
        <v>#REF!</v>
      </c>
      <c r="AT93" s="1526"/>
      <c r="AU93" s="1526"/>
      <c r="AV93" s="1526"/>
      <c r="AW93" s="1526"/>
      <c r="AX93" s="1526"/>
      <c r="AY93" s="1526"/>
      <c r="AZ93" s="1526"/>
      <c r="BA93" s="1525">
        <f t="shared" ref="BA93:BA98" si="6">BU81</f>
        <v>14.26</v>
      </c>
      <c r="BB93" s="1525"/>
      <c r="BC93" s="1525"/>
      <c r="BD93" s="1525"/>
      <c r="BE93" s="1525"/>
      <c r="BF93" s="1525"/>
      <c r="BG93" s="1525"/>
      <c r="BH93" s="1525"/>
      <c r="BI93" s="1512" t="e">
        <f t="shared" ref="BI93:BI100" si="7">INT(AC93/$BA93)</f>
        <v>#REF!</v>
      </c>
      <c r="BJ93" s="1512"/>
      <c r="BK93" s="1512"/>
      <c r="BL93" s="1512"/>
      <c r="BM93" s="1512"/>
      <c r="BN93" s="1512"/>
      <c r="BO93" s="1512"/>
      <c r="BP93" s="1512"/>
      <c r="BQ93" s="1512" t="e">
        <f t="shared" ref="BQ93:BQ100" si="8">INT(AK93/$BA93)</f>
        <v>#REF!</v>
      </c>
      <c r="BR93" s="1512"/>
      <c r="BS93" s="1512"/>
      <c r="BT93" s="1512"/>
      <c r="BU93" s="1512"/>
      <c r="BV93" s="1512"/>
      <c r="BW93" s="1512"/>
      <c r="BX93" s="1512"/>
      <c r="BY93" s="1512" t="e">
        <f t="shared" ref="BY93:BY100" si="9">INT(AS93/$BA93)</f>
        <v>#REF!</v>
      </c>
      <c r="BZ93" s="1512"/>
      <c r="CA93" s="1512"/>
      <c r="CB93" s="1512"/>
      <c r="CC93" s="1512"/>
      <c r="CD93" s="1512"/>
      <c r="CE93" s="1512"/>
      <c r="CF93" s="1513"/>
    </row>
    <row r="94" spans="1:89" s="535" customFormat="1" ht="23.1" customHeight="1">
      <c r="E94" s="1520" t="s">
        <v>277</v>
      </c>
      <c r="F94" s="1521"/>
      <c r="G94" s="1521"/>
      <c r="H94" s="1521"/>
      <c r="I94" s="1521"/>
      <c r="J94" s="1521"/>
      <c r="K94" s="1521"/>
      <c r="L94" s="1521"/>
      <c r="M94" s="1521"/>
      <c r="N94" s="1521"/>
      <c r="O94" s="1521"/>
      <c r="P94" s="1521"/>
      <c r="Q94" s="1521"/>
      <c r="R94" s="1521"/>
      <c r="S94" s="1521"/>
      <c r="T94" s="1521"/>
      <c r="U94" s="1521" t="s">
        <v>359</v>
      </c>
      <c r="V94" s="1521"/>
      <c r="W94" s="1521"/>
      <c r="X94" s="1521"/>
      <c r="Y94" s="1521"/>
      <c r="Z94" s="1521"/>
      <c r="AA94" s="1521"/>
      <c r="AB94" s="1521"/>
      <c r="AC94" s="1522" t="e">
        <f>#REF!</f>
        <v>#REF!</v>
      </c>
      <c r="AD94" s="1523"/>
      <c r="AE94" s="1523"/>
      <c r="AF94" s="1523"/>
      <c r="AG94" s="1523"/>
      <c r="AH94" s="1523"/>
      <c r="AI94" s="1523"/>
      <c r="AJ94" s="1524"/>
      <c r="AK94" s="1522" t="e">
        <f>#REF!</f>
        <v>#REF!</v>
      </c>
      <c r="AL94" s="1523"/>
      <c r="AM94" s="1523"/>
      <c r="AN94" s="1523"/>
      <c r="AO94" s="1523"/>
      <c r="AP94" s="1523"/>
      <c r="AQ94" s="1523"/>
      <c r="AR94" s="1524"/>
      <c r="AS94" s="1522" t="e">
        <f>#REF!</f>
        <v>#REF!</v>
      </c>
      <c r="AT94" s="1523"/>
      <c r="AU94" s="1523"/>
      <c r="AV94" s="1523"/>
      <c r="AW94" s="1523"/>
      <c r="AX94" s="1523"/>
      <c r="AY94" s="1523"/>
      <c r="AZ94" s="1524"/>
      <c r="BA94" s="1525">
        <f t="shared" si="6"/>
        <v>31.68</v>
      </c>
      <c r="BB94" s="1525"/>
      <c r="BC94" s="1525"/>
      <c r="BD94" s="1525"/>
      <c r="BE94" s="1525"/>
      <c r="BF94" s="1525"/>
      <c r="BG94" s="1525"/>
      <c r="BH94" s="1525"/>
      <c r="BI94" s="1512" t="e">
        <f t="shared" si="7"/>
        <v>#REF!</v>
      </c>
      <c r="BJ94" s="1512"/>
      <c r="BK94" s="1512"/>
      <c r="BL94" s="1512"/>
      <c r="BM94" s="1512"/>
      <c r="BN94" s="1512"/>
      <c r="BO94" s="1512"/>
      <c r="BP94" s="1512"/>
      <c r="BQ94" s="1512" t="e">
        <f t="shared" si="8"/>
        <v>#REF!</v>
      </c>
      <c r="BR94" s="1512"/>
      <c r="BS94" s="1512"/>
      <c r="BT94" s="1512"/>
      <c r="BU94" s="1512"/>
      <c r="BV94" s="1512"/>
      <c r="BW94" s="1512"/>
      <c r="BX94" s="1512"/>
      <c r="BY94" s="1512" t="e">
        <f t="shared" si="9"/>
        <v>#REF!</v>
      </c>
      <c r="BZ94" s="1512"/>
      <c r="CA94" s="1512"/>
      <c r="CB94" s="1512"/>
      <c r="CC94" s="1512"/>
      <c r="CD94" s="1512"/>
      <c r="CE94" s="1512"/>
      <c r="CF94" s="1513"/>
    </row>
    <row r="95" spans="1:89" s="535" customFormat="1" ht="23.1" customHeight="1">
      <c r="E95" s="1520" t="s">
        <v>277</v>
      </c>
      <c r="F95" s="1521"/>
      <c r="G95" s="1521"/>
      <c r="H95" s="1521"/>
      <c r="I95" s="1521"/>
      <c r="J95" s="1521"/>
      <c r="K95" s="1521"/>
      <c r="L95" s="1521"/>
      <c r="M95" s="1521"/>
      <c r="N95" s="1521"/>
      <c r="O95" s="1521"/>
      <c r="P95" s="1521"/>
      <c r="Q95" s="1521"/>
      <c r="R95" s="1521"/>
      <c r="S95" s="1521"/>
      <c r="T95" s="1521"/>
      <c r="U95" s="1521" t="s">
        <v>397</v>
      </c>
      <c r="V95" s="1521"/>
      <c r="W95" s="1521"/>
      <c r="X95" s="1521"/>
      <c r="Y95" s="1521"/>
      <c r="Z95" s="1521"/>
      <c r="AA95" s="1521"/>
      <c r="AB95" s="1521"/>
      <c r="AC95" s="1522" t="e">
        <f>#REF!</f>
        <v>#REF!</v>
      </c>
      <c r="AD95" s="1523"/>
      <c r="AE95" s="1523"/>
      <c r="AF95" s="1523"/>
      <c r="AG95" s="1523"/>
      <c r="AH95" s="1523"/>
      <c r="AI95" s="1523"/>
      <c r="AJ95" s="1524"/>
      <c r="AK95" s="1522" t="e">
        <f>#REF!</f>
        <v>#REF!</v>
      </c>
      <c r="AL95" s="1523"/>
      <c r="AM95" s="1523"/>
      <c r="AN95" s="1523"/>
      <c r="AO95" s="1523"/>
      <c r="AP95" s="1523"/>
      <c r="AQ95" s="1523"/>
      <c r="AR95" s="1524"/>
      <c r="AS95" s="1522" t="e">
        <f>#REF!</f>
        <v>#REF!</v>
      </c>
      <c r="AT95" s="1523"/>
      <c r="AU95" s="1523"/>
      <c r="AV95" s="1523"/>
      <c r="AW95" s="1523"/>
      <c r="AX95" s="1523"/>
      <c r="AY95" s="1523"/>
      <c r="AZ95" s="1524"/>
      <c r="BA95" s="1525">
        <f t="shared" si="6"/>
        <v>47.52</v>
      </c>
      <c r="BB95" s="1525"/>
      <c r="BC95" s="1525"/>
      <c r="BD95" s="1525"/>
      <c r="BE95" s="1525"/>
      <c r="BF95" s="1525"/>
      <c r="BG95" s="1525"/>
      <c r="BH95" s="1525"/>
      <c r="BI95" s="1512" t="e">
        <f t="shared" si="7"/>
        <v>#REF!</v>
      </c>
      <c r="BJ95" s="1512"/>
      <c r="BK95" s="1512"/>
      <c r="BL95" s="1512"/>
      <c r="BM95" s="1512"/>
      <c r="BN95" s="1512"/>
      <c r="BO95" s="1512"/>
      <c r="BP95" s="1512"/>
      <c r="BQ95" s="1512" t="e">
        <f t="shared" si="8"/>
        <v>#REF!</v>
      </c>
      <c r="BR95" s="1512"/>
      <c r="BS95" s="1512"/>
      <c r="BT95" s="1512"/>
      <c r="BU95" s="1512"/>
      <c r="BV95" s="1512"/>
      <c r="BW95" s="1512"/>
      <c r="BX95" s="1512"/>
      <c r="BY95" s="1512" t="e">
        <f t="shared" si="9"/>
        <v>#REF!</v>
      </c>
      <c r="BZ95" s="1512"/>
      <c r="CA95" s="1512"/>
      <c r="CB95" s="1512"/>
      <c r="CC95" s="1512"/>
      <c r="CD95" s="1512"/>
      <c r="CE95" s="1512"/>
      <c r="CF95" s="1513"/>
    </row>
    <row r="96" spans="1:89" s="535" customFormat="1" ht="23.1" customHeight="1">
      <c r="D96" s="542"/>
      <c r="E96" s="1520" t="s">
        <v>277</v>
      </c>
      <c r="F96" s="1521"/>
      <c r="G96" s="1521"/>
      <c r="H96" s="1521"/>
      <c r="I96" s="1521"/>
      <c r="J96" s="1521"/>
      <c r="K96" s="1521"/>
      <c r="L96" s="1521"/>
      <c r="M96" s="1521"/>
      <c r="N96" s="1521"/>
      <c r="O96" s="1521"/>
      <c r="P96" s="1521"/>
      <c r="Q96" s="1521"/>
      <c r="R96" s="1521"/>
      <c r="S96" s="1521"/>
      <c r="T96" s="1521"/>
      <c r="U96" s="1521" t="s">
        <v>399</v>
      </c>
      <c r="V96" s="1521"/>
      <c r="W96" s="1521"/>
      <c r="X96" s="1521"/>
      <c r="Y96" s="1521"/>
      <c r="Z96" s="1521"/>
      <c r="AA96" s="1521"/>
      <c r="AB96" s="1521"/>
      <c r="AC96" s="1522" t="e">
        <f>#REF!</f>
        <v>#REF!</v>
      </c>
      <c r="AD96" s="1523"/>
      <c r="AE96" s="1523"/>
      <c r="AF96" s="1523"/>
      <c r="AG96" s="1523"/>
      <c r="AH96" s="1523"/>
      <c r="AI96" s="1523"/>
      <c r="AJ96" s="1524"/>
      <c r="AK96" s="1522" t="e">
        <f>#REF!</f>
        <v>#REF!</v>
      </c>
      <c r="AL96" s="1523"/>
      <c r="AM96" s="1523"/>
      <c r="AN96" s="1523"/>
      <c r="AO96" s="1523"/>
      <c r="AP96" s="1523"/>
      <c r="AQ96" s="1523"/>
      <c r="AR96" s="1524"/>
      <c r="AS96" s="1522" t="e">
        <f>#REF!</f>
        <v>#REF!</v>
      </c>
      <c r="AT96" s="1523"/>
      <c r="AU96" s="1523"/>
      <c r="AV96" s="1523"/>
      <c r="AW96" s="1523"/>
      <c r="AX96" s="1523"/>
      <c r="AY96" s="1523"/>
      <c r="AZ96" s="1524"/>
      <c r="BA96" s="1525">
        <f t="shared" si="6"/>
        <v>55.44</v>
      </c>
      <c r="BB96" s="1525"/>
      <c r="BC96" s="1525"/>
      <c r="BD96" s="1525"/>
      <c r="BE96" s="1525"/>
      <c r="BF96" s="1525"/>
      <c r="BG96" s="1525"/>
      <c r="BH96" s="1525"/>
      <c r="BI96" s="1512" t="e">
        <f t="shared" si="7"/>
        <v>#REF!</v>
      </c>
      <c r="BJ96" s="1512"/>
      <c r="BK96" s="1512"/>
      <c r="BL96" s="1512"/>
      <c r="BM96" s="1512"/>
      <c r="BN96" s="1512"/>
      <c r="BO96" s="1512"/>
      <c r="BP96" s="1512"/>
      <c r="BQ96" s="1512" t="e">
        <f t="shared" si="8"/>
        <v>#REF!</v>
      </c>
      <c r="BR96" s="1512"/>
      <c r="BS96" s="1512"/>
      <c r="BT96" s="1512"/>
      <c r="BU96" s="1512"/>
      <c r="BV96" s="1512"/>
      <c r="BW96" s="1512"/>
      <c r="BX96" s="1512"/>
      <c r="BY96" s="1512" t="e">
        <f t="shared" si="9"/>
        <v>#REF!</v>
      </c>
      <c r="BZ96" s="1512"/>
      <c r="CA96" s="1512"/>
      <c r="CB96" s="1512"/>
      <c r="CC96" s="1512"/>
      <c r="CD96" s="1512"/>
      <c r="CE96" s="1512"/>
      <c r="CF96" s="1513"/>
    </row>
    <row r="97" spans="1:88" s="535" customFormat="1" ht="23.1" customHeight="1">
      <c r="A97" s="540"/>
      <c r="B97" s="540"/>
      <c r="C97" s="540"/>
      <c r="D97" s="540"/>
      <c r="E97" s="1520" t="s">
        <v>277</v>
      </c>
      <c r="F97" s="1521"/>
      <c r="G97" s="1521"/>
      <c r="H97" s="1521"/>
      <c r="I97" s="1521"/>
      <c r="J97" s="1521"/>
      <c r="K97" s="1521"/>
      <c r="L97" s="1521"/>
      <c r="M97" s="1521"/>
      <c r="N97" s="1521"/>
      <c r="O97" s="1521"/>
      <c r="P97" s="1521"/>
      <c r="Q97" s="1521"/>
      <c r="R97" s="1521"/>
      <c r="S97" s="1521"/>
      <c r="T97" s="1521"/>
      <c r="U97" s="1521" t="s">
        <v>400</v>
      </c>
      <c r="V97" s="1521"/>
      <c r="W97" s="1521"/>
      <c r="X97" s="1521"/>
      <c r="Y97" s="1521"/>
      <c r="Z97" s="1521"/>
      <c r="AA97" s="1521"/>
      <c r="AB97" s="1521"/>
      <c r="AC97" s="1522" t="e">
        <f>#REF!</f>
        <v>#REF!</v>
      </c>
      <c r="AD97" s="1523"/>
      <c r="AE97" s="1523"/>
      <c r="AF97" s="1523"/>
      <c r="AG97" s="1523"/>
      <c r="AH97" s="1523"/>
      <c r="AI97" s="1523"/>
      <c r="AJ97" s="1524"/>
      <c r="AK97" s="1522" t="e">
        <f>#REF!</f>
        <v>#REF!</v>
      </c>
      <c r="AL97" s="1523"/>
      <c r="AM97" s="1523"/>
      <c r="AN97" s="1523"/>
      <c r="AO97" s="1523"/>
      <c r="AP97" s="1523"/>
      <c r="AQ97" s="1523"/>
      <c r="AR97" s="1524"/>
      <c r="AS97" s="1522" t="e">
        <f>#REF!</f>
        <v>#REF!</v>
      </c>
      <c r="AT97" s="1523"/>
      <c r="AU97" s="1523"/>
      <c r="AV97" s="1523"/>
      <c r="AW97" s="1523"/>
      <c r="AX97" s="1523"/>
      <c r="AY97" s="1523"/>
      <c r="AZ97" s="1524"/>
      <c r="BA97" s="1525">
        <f t="shared" si="6"/>
        <v>63.36</v>
      </c>
      <c r="BB97" s="1525"/>
      <c r="BC97" s="1525"/>
      <c r="BD97" s="1525"/>
      <c r="BE97" s="1525"/>
      <c r="BF97" s="1525"/>
      <c r="BG97" s="1525"/>
      <c r="BH97" s="1525"/>
      <c r="BI97" s="1512" t="e">
        <f t="shared" si="7"/>
        <v>#REF!</v>
      </c>
      <c r="BJ97" s="1512"/>
      <c r="BK97" s="1512"/>
      <c r="BL97" s="1512"/>
      <c r="BM97" s="1512"/>
      <c r="BN97" s="1512"/>
      <c r="BO97" s="1512"/>
      <c r="BP97" s="1512"/>
      <c r="BQ97" s="1512" t="e">
        <f t="shared" si="8"/>
        <v>#REF!</v>
      </c>
      <c r="BR97" s="1512"/>
      <c r="BS97" s="1512"/>
      <c r="BT97" s="1512"/>
      <c r="BU97" s="1512"/>
      <c r="BV97" s="1512"/>
      <c r="BW97" s="1512"/>
      <c r="BX97" s="1512"/>
      <c r="BY97" s="1512" t="e">
        <f t="shared" si="9"/>
        <v>#REF!</v>
      </c>
      <c r="BZ97" s="1512"/>
      <c r="CA97" s="1512"/>
      <c r="CB97" s="1512"/>
      <c r="CC97" s="1512"/>
      <c r="CD97" s="1512"/>
      <c r="CE97" s="1512"/>
      <c r="CF97" s="1513"/>
    </row>
    <row r="98" spans="1:88" s="535" customFormat="1" ht="23.1" customHeight="1">
      <c r="E98" s="1520" t="s">
        <v>277</v>
      </c>
      <c r="F98" s="1521"/>
      <c r="G98" s="1521"/>
      <c r="H98" s="1521"/>
      <c r="I98" s="1521"/>
      <c r="J98" s="1521"/>
      <c r="K98" s="1521"/>
      <c r="L98" s="1521"/>
      <c r="M98" s="1521"/>
      <c r="N98" s="1521"/>
      <c r="O98" s="1521"/>
      <c r="P98" s="1521"/>
      <c r="Q98" s="1521"/>
      <c r="R98" s="1521"/>
      <c r="S98" s="1521"/>
      <c r="T98" s="1521"/>
      <c r="U98" s="1521" t="s">
        <v>401</v>
      </c>
      <c r="V98" s="1521"/>
      <c r="W98" s="1521"/>
      <c r="X98" s="1521"/>
      <c r="Y98" s="1521"/>
      <c r="Z98" s="1521"/>
      <c r="AA98" s="1521"/>
      <c r="AB98" s="1521"/>
      <c r="AC98" s="1522" t="e">
        <f>#REF!</f>
        <v>#REF!</v>
      </c>
      <c r="AD98" s="1523"/>
      <c r="AE98" s="1523"/>
      <c r="AF98" s="1523"/>
      <c r="AG98" s="1523"/>
      <c r="AH98" s="1523"/>
      <c r="AI98" s="1523"/>
      <c r="AJ98" s="1524"/>
      <c r="AK98" s="1522" t="e">
        <f>#REF!</f>
        <v>#REF!</v>
      </c>
      <c r="AL98" s="1523"/>
      <c r="AM98" s="1523"/>
      <c r="AN98" s="1523"/>
      <c r="AO98" s="1523"/>
      <c r="AP98" s="1523"/>
      <c r="AQ98" s="1523"/>
      <c r="AR98" s="1524"/>
      <c r="AS98" s="1522" t="e">
        <f>#REF!</f>
        <v>#REF!</v>
      </c>
      <c r="AT98" s="1523"/>
      <c r="AU98" s="1523"/>
      <c r="AV98" s="1523"/>
      <c r="AW98" s="1523"/>
      <c r="AX98" s="1523"/>
      <c r="AY98" s="1523"/>
      <c r="AZ98" s="1524"/>
      <c r="BA98" s="1525">
        <f t="shared" si="6"/>
        <v>75.03</v>
      </c>
      <c r="BB98" s="1525"/>
      <c r="BC98" s="1525"/>
      <c r="BD98" s="1525"/>
      <c r="BE98" s="1525"/>
      <c r="BF98" s="1525"/>
      <c r="BG98" s="1525"/>
      <c r="BH98" s="1525"/>
      <c r="BI98" s="1512" t="e">
        <f t="shared" si="7"/>
        <v>#REF!</v>
      </c>
      <c r="BJ98" s="1512"/>
      <c r="BK98" s="1512"/>
      <c r="BL98" s="1512"/>
      <c r="BM98" s="1512"/>
      <c r="BN98" s="1512"/>
      <c r="BO98" s="1512"/>
      <c r="BP98" s="1512"/>
      <c r="BQ98" s="1512" t="e">
        <f t="shared" si="8"/>
        <v>#REF!</v>
      </c>
      <c r="BR98" s="1512"/>
      <c r="BS98" s="1512"/>
      <c r="BT98" s="1512"/>
      <c r="BU98" s="1512"/>
      <c r="BV98" s="1512"/>
      <c r="BW98" s="1512"/>
      <c r="BX98" s="1512"/>
      <c r="BY98" s="1512" t="e">
        <f t="shared" si="9"/>
        <v>#REF!</v>
      </c>
      <c r="BZ98" s="1512"/>
      <c r="CA98" s="1512"/>
      <c r="CB98" s="1512"/>
      <c r="CC98" s="1512"/>
      <c r="CD98" s="1512"/>
      <c r="CE98" s="1512"/>
      <c r="CF98" s="1513"/>
    </row>
    <row r="99" spans="1:88" s="535" customFormat="1" ht="23.1" customHeight="1">
      <c r="E99" s="1520" t="s">
        <v>409</v>
      </c>
      <c r="F99" s="1521"/>
      <c r="G99" s="1521"/>
      <c r="H99" s="1521"/>
      <c r="I99" s="1521"/>
      <c r="J99" s="1521"/>
      <c r="K99" s="1521"/>
      <c r="L99" s="1521"/>
      <c r="M99" s="1521"/>
      <c r="N99" s="1521"/>
      <c r="O99" s="1521"/>
      <c r="P99" s="1521"/>
      <c r="Q99" s="1521"/>
      <c r="R99" s="1521"/>
      <c r="S99" s="1521"/>
      <c r="T99" s="1521"/>
      <c r="U99" s="1521" t="s">
        <v>394</v>
      </c>
      <c r="V99" s="1521"/>
      <c r="W99" s="1521"/>
      <c r="X99" s="1521"/>
      <c r="Y99" s="1521"/>
      <c r="Z99" s="1521"/>
      <c r="AA99" s="1521"/>
      <c r="AB99" s="1521"/>
      <c r="AC99" s="1522" t="e">
        <f>#REF!</f>
        <v>#REF!</v>
      </c>
      <c r="AD99" s="1523"/>
      <c r="AE99" s="1523"/>
      <c r="AF99" s="1523"/>
      <c r="AG99" s="1523"/>
      <c r="AH99" s="1523"/>
      <c r="AI99" s="1523"/>
      <c r="AJ99" s="1524"/>
      <c r="AK99" s="1522" t="e">
        <f>#REF!</f>
        <v>#REF!</v>
      </c>
      <c r="AL99" s="1523"/>
      <c r="AM99" s="1523"/>
      <c r="AN99" s="1523"/>
      <c r="AO99" s="1523"/>
      <c r="AP99" s="1523"/>
      <c r="AQ99" s="1523"/>
      <c r="AR99" s="1524"/>
      <c r="AS99" s="1522" t="e">
        <f>#REF!</f>
        <v>#REF!</v>
      </c>
      <c r="AT99" s="1523"/>
      <c r="AU99" s="1523"/>
      <c r="AV99" s="1523"/>
      <c r="AW99" s="1523"/>
      <c r="AX99" s="1523"/>
      <c r="AY99" s="1523"/>
      <c r="AZ99" s="1524"/>
      <c r="BA99" s="1525">
        <f>BU80</f>
        <v>12.83</v>
      </c>
      <c r="BB99" s="1525"/>
      <c r="BC99" s="1525"/>
      <c r="BD99" s="1525"/>
      <c r="BE99" s="1525"/>
      <c r="BF99" s="1525"/>
      <c r="BG99" s="1525"/>
      <c r="BH99" s="1525"/>
      <c r="BI99" s="1512" t="e">
        <f t="shared" si="7"/>
        <v>#REF!</v>
      </c>
      <c r="BJ99" s="1512"/>
      <c r="BK99" s="1512"/>
      <c r="BL99" s="1512"/>
      <c r="BM99" s="1512"/>
      <c r="BN99" s="1512"/>
      <c r="BO99" s="1512"/>
      <c r="BP99" s="1512"/>
      <c r="BQ99" s="1512" t="e">
        <f t="shared" si="8"/>
        <v>#REF!</v>
      </c>
      <c r="BR99" s="1512"/>
      <c r="BS99" s="1512"/>
      <c r="BT99" s="1512"/>
      <c r="BU99" s="1512"/>
      <c r="BV99" s="1512"/>
      <c r="BW99" s="1512"/>
      <c r="BX99" s="1512"/>
      <c r="BY99" s="1512" t="e">
        <f t="shared" si="9"/>
        <v>#REF!</v>
      </c>
      <c r="BZ99" s="1512"/>
      <c r="CA99" s="1512"/>
      <c r="CB99" s="1512"/>
      <c r="CC99" s="1512"/>
      <c r="CD99" s="1512"/>
      <c r="CE99" s="1512"/>
      <c r="CF99" s="1513"/>
    </row>
    <row r="100" spans="1:88" s="535" customFormat="1" ht="23.1" customHeight="1" thickBot="1">
      <c r="E100" s="1509" t="s">
        <v>409</v>
      </c>
      <c r="F100" s="1510"/>
      <c r="G100" s="1510"/>
      <c r="H100" s="1510"/>
      <c r="I100" s="1510"/>
      <c r="J100" s="1510"/>
      <c r="K100" s="1510"/>
      <c r="L100" s="1510"/>
      <c r="M100" s="1510"/>
      <c r="N100" s="1510"/>
      <c r="O100" s="1510"/>
      <c r="P100" s="1510"/>
      <c r="Q100" s="1510"/>
      <c r="R100" s="1510"/>
      <c r="S100" s="1510"/>
      <c r="T100" s="1510"/>
      <c r="U100" s="1510" t="s">
        <v>397</v>
      </c>
      <c r="V100" s="1510"/>
      <c r="W100" s="1510"/>
      <c r="X100" s="1510"/>
      <c r="Y100" s="1510"/>
      <c r="Z100" s="1510"/>
      <c r="AA100" s="1510"/>
      <c r="AB100" s="1510"/>
      <c r="AC100" s="1507" t="e">
        <f>#REF!</f>
        <v>#REF!</v>
      </c>
      <c r="AD100" s="1507"/>
      <c r="AE100" s="1507"/>
      <c r="AF100" s="1507"/>
      <c r="AG100" s="1507"/>
      <c r="AH100" s="1507"/>
      <c r="AI100" s="1507"/>
      <c r="AJ100" s="1507"/>
      <c r="AK100" s="1507" t="e">
        <f>#REF!</f>
        <v>#REF!</v>
      </c>
      <c r="AL100" s="1507"/>
      <c r="AM100" s="1507"/>
      <c r="AN100" s="1507"/>
      <c r="AO100" s="1507"/>
      <c r="AP100" s="1507"/>
      <c r="AQ100" s="1507"/>
      <c r="AR100" s="1507"/>
      <c r="AS100" s="1507" t="e">
        <f>#REF!</f>
        <v>#REF!</v>
      </c>
      <c r="AT100" s="1507"/>
      <c r="AU100" s="1507"/>
      <c r="AV100" s="1507"/>
      <c r="AW100" s="1507"/>
      <c r="AX100" s="1507"/>
      <c r="AY100" s="1507"/>
      <c r="AZ100" s="1507"/>
      <c r="BA100" s="1511">
        <f>BU83</f>
        <v>47.52</v>
      </c>
      <c r="BB100" s="1511"/>
      <c r="BC100" s="1511"/>
      <c r="BD100" s="1511"/>
      <c r="BE100" s="1511"/>
      <c r="BF100" s="1511"/>
      <c r="BG100" s="1511"/>
      <c r="BH100" s="1511"/>
      <c r="BI100" s="1717" t="e">
        <f t="shared" si="7"/>
        <v>#REF!</v>
      </c>
      <c r="BJ100" s="1717"/>
      <c r="BK100" s="1717"/>
      <c r="BL100" s="1717"/>
      <c r="BM100" s="1717"/>
      <c r="BN100" s="1717"/>
      <c r="BO100" s="1717"/>
      <c r="BP100" s="1717"/>
      <c r="BQ100" s="1717" t="e">
        <f t="shared" si="8"/>
        <v>#REF!</v>
      </c>
      <c r="BR100" s="1717"/>
      <c r="BS100" s="1717"/>
      <c r="BT100" s="1717"/>
      <c r="BU100" s="1717"/>
      <c r="BV100" s="1717"/>
      <c r="BW100" s="1717"/>
      <c r="BX100" s="1717"/>
      <c r="BY100" s="1717" t="e">
        <f t="shared" si="9"/>
        <v>#REF!</v>
      </c>
      <c r="BZ100" s="1717"/>
      <c r="CA100" s="1717"/>
      <c r="CB100" s="1717"/>
      <c r="CC100" s="1717"/>
      <c r="CD100" s="1717"/>
      <c r="CE100" s="1717"/>
      <c r="CF100" s="1718"/>
    </row>
    <row r="101" spans="1:88" s="535" customFormat="1" ht="23.1" customHeight="1"/>
    <row r="102" spans="1:88" s="539" customFormat="1" ht="23.1" customHeight="1">
      <c r="A102" s="537"/>
      <c r="B102" s="538" t="s">
        <v>764</v>
      </c>
      <c r="C102" s="537"/>
      <c r="D102" s="537"/>
      <c r="E102" s="537"/>
      <c r="F102" s="537"/>
      <c r="G102" s="537"/>
      <c r="H102" s="537"/>
      <c r="I102" s="537"/>
      <c r="J102" s="537"/>
      <c r="K102" s="537"/>
      <c r="L102" s="537"/>
      <c r="M102" s="537"/>
      <c r="N102" s="537"/>
      <c r="O102" s="537"/>
      <c r="P102" s="537"/>
      <c r="Q102" s="537"/>
      <c r="R102" s="537"/>
      <c r="S102" s="537"/>
      <c r="T102" s="537"/>
      <c r="U102" s="537"/>
      <c r="V102" s="537"/>
      <c r="W102" s="537"/>
      <c r="X102" s="537"/>
      <c r="Y102" s="537"/>
      <c r="Z102" s="537"/>
      <c r="AA102" s="537"/>
      <c r="AB102" s="537"/>
      <c r="AC102" s="537"/>
      <c r="AD102" s="537"/>
      <c r="AE102" s="537"/>
      <c r="AF102" s="537"/>
      <c r="AG102" s="537"/>
      <c r="AH102" s="537"/>
      <c r="AI102" s="537"/>
      <c r="AJ102" s="537"/>
      <c r="AK102" s="537"/>
      <c r="AL102" s="537"/>
      <c r="AM102" s="537"/>
      <c r="AN102" s="537"/>
      <c r="AO102" s="537"/>
      <c r="AP102" s="537"/>
      <c r="AQ102" s="537"/>
      <c r="AR102" s="537"/>
      <c r="AS102" s="537"/>
      <c r="AT102" s="537"/>
      <c r="AU102" s="537"/>
      <c r="BM102" s="537"/>
      <c r="BN102" s="537"/>
      <c r="BO102" s="537"/>
      <c r="BP102" s="537"/>
      <c r="BQ102" s="537"/>
      <c r="BR102" s="537"/>
      <c r="BS102" s="537"/>
      <c r="BT102" s="537"/>
      <c r="BU102" s="537"/>
      <c r="BV102" s="537"/>
      <c r="BW102" s="537"/>
      <c r="BX102" s="537"/>
      <c r="BY102" s="537"/>
      <c r="BZ102" s="537"/>
      <c r="CA102" s="537"/>
      <c r="CB102" s="537"/>
      <c r="CC102" s="537"/>
      <c r="CD102" s="537"/>
      <c r="CE102" s="537"/>
      <c r="CF102" s="537"/>
      <c r="CJ102" s="535" t="s">
        <v>763</v>
      </c>
    </row>
    <row r="103" spans="1:88" s="534" customFormat="1" ht="9.9499999999999993" customHeight="1">
      <c r="A103" s="536"/>
      <c r="B103" s="536"/>
      <c r="C103" s="536"/>
      <c r="D103" s="536"/>
      <c r="E103" s="536"/>
      <c r="F103" s="536"/>
      <c r="G103" s="536"/>
      <c r="H103" s="536"/>
      <c r="I103" s="536"/>
      <c r="J103" s="536"/>
      <c r="K103" s="536"/>
      <c r="L103" s="536"/>
      <c r="M103" s="536"/>
      <c r="N103" s="536"/>
      <c r="O103" s="536"/>
      <c r="P103" s="536"/>
      <c r="Q103" s="536"/>
      <c r="R103" s="536"/>
      <c r="S103" s="536"/>
      <c r="T103" s="536"/>
      <c r="U103" s="536"/>
      <c r="V103" s="536"/>
      <c r="W103" s="536"/>
      <c r="X103" s="536"/>
      <c r="Y103" s="536"/>
      <c r="Z103" s="536"/>
      <c r="AA103" s="536"/>
      <c r="AB103" s="536"/>
      <c r="AC103" s="536"/>
      <c r="AD103" s="536"/>
      <c r="AE103" s="536"/>
      <c r="AF103" s="536"/>
      <c r="AG103" s="536"/>
      <c r="AH103" s="536"/>
      <c r="AI103" s="536"/>
      <c r="AJ103" s="536"/>
      <c r="AK103" s="536"/>
      <c r="AL103" s="536"/>
      <c r="AM103" s="536"/>
      <c r="AN103" s="536"/>
      <c r="AO103" s="536"/>
      <c r="AP103" s="536"/>
      <c r="AQ103" s="536"/>
      <c r="AR103" s="536"/>
      <c r="AS103" s="536"/>
      <c r="AT103" s="536"/>
      <c r="AU103" s="536"/>
      <c r="AV103" s="536"/>
      <c r="AW103" s="536"/>
      <c r="AX103" s="536"/>
      <c r="AY103" s="536"/>
      <c r="AZ103" s="536"/>
      <c r="BA103" s="536"/>
      <c r="BB103" s="536"/>
      <c r="BC103" s="536"/>
      <c r="BD103" s="536"/>
      <c r="BE103" s="536"/>
      <c r="BF103" s="536"/>
      <c r="BG103" s="536"/>
      <c r="BH103" s="536"/>
      <c r="BI103" s="536"/>
      <c r="BJ103" s="536"/>
      <c r="BK103" s="536"/>
      <c r="BL103" s="536"/>
      <c r="BM103" s="536"/>
      <c r="BN103" s="536"/>
      <c r="BO103" s="536"/>
      <c r="BP103" s="536"/>
      <c r="BQ103" s="536"/>
      <c r="BR103" s="536"/>
      <c r="BS103" s="536"/>
      <c r="BT103" s="536"/>
      <c r="BU103" s="536"/>
      <c r="BV103" s="536"/>
      <c r="BW103" s="536"/>
      <c r="BX103" s="536"/>
      <c r="BY103" s="536"/>
      <c r="BZ103" s="536"/>
      <c r="CA103" s="536"/>
      <c r="CB103" s="536"/>
      <c r="CC103" s="536"/>
      <c r="CD103" s="536"/>
      <c r="CE103" s="536"/>
      <c r="CF103" s="536"/>
      <c r="CJ103" s="535" t="s">
        <v>762</v>
      </c>
    </row>
    <row r="104" spans="1:88" s="535" customFormat="1" ht="23.1" customHeight="1">
      <c r="E104" s="535" t="s">
        <v>376</v>
      </c>
      <c r="CJ104" s="535" t="s">
        <v>761</v>
      </c>
    </row>
    <row r="105" spans="1:88" s="535" customFormat="1" ht="23.1" customHeight="1">
      <c r="A105" s="540"/>
      <c r="B105" s="540"/>
      <c r="C105" s="540"/>
      <c r="D105" s="540"/>
      <c r="G105" s="1580" t="s">
        <v>377</v>
      </c>
      <c r="H105" s="1580"/>
      <c r="I105" s="1580"/>
      <c r="J105" s="1580"/>
      <c r="L105" s="543" t="s">
        <v>378</v>
      </c>
      <c r="M105" s="543"/>
      <c r="N105" s="543"/>
      <c r="O105" s="543"/>
      <c r="P105" s="543"/>
      <c r="Q105" s="543"/>
      <c r="R105" s="543"/>
      <c r="S105" s="543"/>
      <c r="T105" s="543"/>
      <c r="U105" s="543"/>
      <c r="V105" s="543"/>
      <c r="W105" s="543"/>
      <c r="X105" s="543"/>
      <c r="Y105" s="543"/>
      <c r="Z105" s="543"/>
      <c r="AA105" s="543"/>
      <c r="AB105" s="543"/>
      <c r="AC105" s="543"/>
      <c r="AD105" s="543"/>
      <c r="AE105" s="543"/>
      <c r="AM105" s="535" t="s">
        <v>379</v>
      </c>
      <c r="AV105" s="544"/>
      <c r="AW105" s="544"/>
      <c r="AX105" s="544"/>
      <c r="AY105" s="544"/>
      <c r="AZ105" s="544"/>
      <c r="BA105" s="544"/>
      <c r="BC105" s="544"/>
      <c r="BD105" s="544"/>
      <c r="BE105" s="545"/>
      <c r="BF105" s="545"/>
      <c r="BG105" s="545"/>
      <c r="BH105" s="545"/>
      <c r="BI105" s="535" t="s">
        <v>380</v>
      </c>
      <c r="BJ105" s="545"/>
      <c r="BK105" s="545"/>
      <c r="BL105" s="545"/>
      <c r="BM105" s="545"/>
      <c r="BN105" s="545"/>
      <c r="BO105" s="545"/>
      <c r="BP105" s="545"/>
      <c r="BQ105" s="545"/>
      <c r="BR105" s="545"/>
      <c r="BS105" s="545"/>
      <c r="BT105" s="545"/>
      <c r="BU105" s="545"/>
      <c r="BV105" s="545"/>
      <c r="BW105" s="545"/>
      <c r="BX105" s="545"/>
      <c r="BY105" s="545"/>
      <c r="BZ105" s="545"/>
      <c r="CA105" s="545"/>
      <c r="CB105" s="545"/>
      <c r="CC105" s="545"/>
      <c r="CD105" s="545"/>
      <c r="CE105" s="545"/>
      <c r="CF105" s="545"/>
      <c r="CJ105" s="535" t="s">
        <v>717</v>
      </c>
    </row>
    <row r="106" spans="1:88" s="535" customFormat="1" ht="23.1" customHeight="1">
      <c r="D106" s="405"/>
      <c r="G106" s="1580"/>
      <c r="H106" s="1580"/>
      <c r="I106" s="1580"/>
      <c r="J106" s="1580"/>
      <c r="L106" s="1557" t="s">
        <v>381</v>
      </c>
      <c r="M106" s="1557"/>
      <c r="N106" s="1557"/>
      <c r="O106" s="1557"/>
      <c r="P106" s="1557"/>
      <c r="Q106" s="1557"/>
      <c r="R106" s="1557"/>
      <c r="S106" s="1557"/>
      <c r="T106" s="1557"/>
      <c r="U106" s="1557"/>
      <c r="V106" s="1557"/>
      <c r="W106" s="1557"/>
      <c r="X106" s="1557"/>
      <c r="Y106" s="1557"/>
      <c r="Z106" s="1557"/>
      <c r="AA106" s="1557"/>
      <c r="AB106" s="1557"/>
      <c r="AC106" s="1557"/>
      <c r="AD106" s="1557"/>
      <c r="AE106" s="1557"/>
      <c r="AM106" s="544" t="s">
        <v>382</v>
      </c>
      <c r="AV106" s="544"/>
      <c r="AW106" s="544"/>
      <c r="AX106" s="544"/>
      <c r="AY106" s="544"/>
      <c r="AZ106" s="544"/>
      <c r="BA106" s="544"/>
      <c r="BC106" s="544"/>
      <c r="BD106" s="544"/>
      <c r="BE106" s="545"/>
      <c r="BF106" s="545"/>
      <c r="BG106" s="545"/>
      <c r="BH106" s="545"/>
      <c r="BI106" s="545"/>
      <c r="BJ106" s="545"/>
      <c r="BK106" s="545"/>
      <c r="BL106" s="545"/>
      <c r="BM106" s="545"/>
      <c r="BN106" s="545"/>
      <c r="BO106" s="545"/>
      <c r="BP106" s="545"/>
      <c r="BQ106" s="545"/>
      <c r="BR106" s="545"/>
      <c r="BS106" s="545"/>
      <c r="BT106" s="545"/>
      <c r="BU106" s="545"/>
      <c r="BV106" s="545"/>
      <c r="BW106" s="545"/>
      <c r="BX106" s="545"/>
      <c r="BY106" s="545"/>
      <c r="BZ106" s="545"/>
      <c r="CA106" s="545"/>
      <c r="CB106" s="545"/>
      <c r="CC106" s="545"/>
      <c r="CD106" s="545"/>
      <c r="CE106" s="545"/>
      <c r="CF106" s="545"/>
      <c r="CJ106" s="535" t="s">
        <v>716</v>
      </c>
    </row>
    <row r="107" spans="1:88" s="535" customFormat="1" ht="23.1" customHeight="1">
      <c r="G107" s="540"/>
      <c r="AM107" s="544" t="s">
        <v>383</v>
      </c>
      <c r="BI107" s="535" t="s">
        <v>384</v>
      </c>
      <c r="BT107" s="410"/>
      <c r="BU107" s="410"/>
      <c r="BV107" s="410"/>
      <c r="BW107" s="410"/>
      <c r="BX107" s="410"/>
      <c r="BY107" s="410"/>
      <c r="BZ107" s="410"/>
      <c r="CA107" s="410"/>
      <c r="CB107" s="410"/>
      <c r="CC107" s="410"/>
    </row>
    <row r="108" spans="1:88" s="535" customFormat="1" ht="9.9499999999999993" customHeight="1" thickBot="1">
      <c r="D108" s="405"/>
      <c r="Q108" s="546"/>
      <c r="R108" s="546"/>
      <c r="S108" s="546"/>
      <c r="T108" s="546"/>
      <c r="U108" s="546"/>
      <c r="V108" s="546"/>
      <c r="W108" s="546"/>
      <c r="X108" s="546"/>
      <c r="Y108" s="546"/>
      <c r="Z108" s="546"/>
      <c r="AA108" s="546"/>
      <c r="AB108" s="546"/>
      <c r="AV108" s="544"/>
      <c r="AW108" s="544"/>
      <c r="AX108" s="544"/>
      <c r="AY108" s="544"/>
      <c r="AZ108" s="544"/>
      <c r="BA108" s="544"/>
      <c r="BB108" s="544"/>
      <c r="BC108" s="544"/>
      <c r="BD108" s="544"/>
      <c r="BE108" s="545"/>
      <c r="BF108" s="545"/>
      <c r="BG108" s="545"/>
      <c r="BH108" s="545"/>
      <c r="BI108" s="545"/>
      <c r="BJ108" s="545"/>
      <c r="BK108" s="545"/>
      <c r="BL108" s="545"/>
      <c r="BM108" s="545"/>
      <c r="BN108" s="545"/>
      <c r="BO108" s="545"/>
      <c r="BP108" s="545"/>
      <c r="BQ108" s="545"/>
      <c r="BR108" s="545"/>
      <c r="BS108" s="545"/>
      <c r="BT108" s="545"/>
      <c r="BU108" s="545"/>
      <c r="BV108" s="545"/>
      <c r="BW108" s="545"/>
      <c r="BX108" s="545"/>
      <c r="BY108" s="545"/>
      <c r="BZ108" s="545"/>
      <c r="CA108" s="545"/>
      <c r="CB108" s="545"/>
      <c r="CC108" s="545"/>
      <c r="CD108" s="545"/>
      <c r="CE108" s="545"/>
      <c r="CF108" s="545"/>
    </row>
    <row r="109" spans="1:88" s="535" customFormat="1" ht="23.1" customHeight="1" thickBot="1">
      <c r="A109" s="540"/>
      <c r="B109" s="540"/>
      <c r="C109" s="540"/>
      <c r="D109" s="540"/>
      <c r="E109" s="1581" t="s">
        <v>385</v>
      </c>
      <c r="F109" s="1582"/>
      <c r="G109" s="1582"/>
      <c r="H109" s="1582"/>
      <c r="I109" s="1582"/>
      <c r="J109" s="1582"/>
      <c r="K109" s="1582"/>
      <c r="L109" s="1582"/>
      <c r="M109" s="1582"/>
      <c r="N109" s="1582"/>
      <c r="O109" s="1582"/>
      <c r="P109" s="1582"/>
      <c r="Q109" s="1582" t="s">
        <v>212</v>
      </c>
      <c r="R109" s="1582"/>
      <c r="S109" s="1582"/>
      <c r="T109" s="1582"/>
      <c r="U109" s="1582"/>
      <c r="V109" s="1582"/>
      <c r="W109" s="1582"/>
      <c r="X109" s="1582"/>
      <c r="Y109" s="1582"/>
      <c r="Z109" s="1582"/>
      <c r="AA109" s="1582"/>
      <c r="AB109" s="1582"/>
      <c r="AC109" s="1582" t="s">
        <v>386</v>
      </c>
      <c r="AD109" s="1582"/>
      <c r="AE109" s="1582"/>
      <c r="AF109" s="1582"/>
      <c r="AG109" s="1582"/>
      <c r="AH109" s="1582"/>
      <c r="AI109" s="1582"/>
      <c r="AJ109" s="1582"/>
      <c r="AK109" s="1582" t="s">
        <v>387</v>
      </c>
      <c r="AL109" s="1582"/>
      <c r="AM109" s="1582"/>
      <c r="AN109" s="1582"/>
      <c r="AO109" s="1582"/>
      <c r="AP109" s="1582"/>
      <c r="AQ109" s="1582"/>
      <c r="AR109" s="1582"/>
      <c r="AS109" s="1582" t="s">
        <v>388</v>
      </c>
      <c r="AT109" s="1582"/>
      <c r="AU109" s="1582"/>
      <c r="AV109" s="1582"/>
      <c r="AW109" s="1582"/>
      <c r="AX109" s="1582"/>
      <c r="AY109" s="1582"/>
      <c r="AZ109" s="1582"/>
      <c r="BA109" s="1582" t="s">
        <v>389</v>
      </c>
      <c r="BB109" s="1582"/>
      <c r="BC109" s="1582"/>
      <c r="BD109" s="1582"/>
      <c r="BE109" s="1582"/>
      <c r="BF109" s="1582"/>
      <c r="BG109" s="1582"/>
      <c r="BH109" s="1582"/>
      <c r="BI109" s="1582" t="s">
        <v>381</v>
      </c>
      <c r="BJ109" s="1582"/>
      <c r="BK109" s="1582"/>
      <c r="BL109" s="1582"/>
      <c r="BM109" s="1582"/>
      <c r="BN109" s="1582"/>
      <c r="BO109" s="1582"/>
      <c r="BP109" s="1582"/>
      <c r="BQ109" s="1582"/>
      <c r="BR109" s="1582"/>
      <c r="BS109" s="1582"/>
      <c r="BT109" s="1582"/>
      <c r="BU109" s="1570" t="s">
        <v>390</v>
      </c>
      <c r="BV109" s="1570"/>
      <c r="BW109" s="1570"/>
      <c r="BX109" s="1570"/>
      <c r="BY109" s="1570"/>
      <c r="BZ109" s="1570"/>
      <c r="CA109" s="1570"/>
      <c r="CB109" s="1570"/>
      <c r="CC109" s="1570"/>
      <c r="CD109" s="1570"/>
      <c r="CE109" s="1570"/>
      <c r="CF109" s="1571"/>
      <c r="CJ109" s="535" t="s">
        <v>389</v>
      </c>
    </row>
    <row r="110" spans="1:88" s="535" customFormat="1" ht="23.1" customHeight="1" thickTop="1">
      <c r="D110" s="405"/>
      <c r="E110" s="1572" t="s">
        <v>391</v>
      </c>
      <c r="F110" s="1573"/>
      <c r="G110" s="1573"/>
      <c r="H110" s="1573"/>
      <c r="I110" s="1573"/>
      <c r="J110" s="1573"/>
      <c r="K110" s="1573"/>
      <c r="L110" s="1573"/>
      <c r="M110" s="1573"/>
      <c r="N110" s="1573"/>
      <c r="O110" s="1573"/>
      <c r="P110" s="1573"/>
      <c r="Q110" s="1574" t="s">
        <v>392</v>
      </c>
      <c r="R110" s="1574"/>
      <c r="S110" s="1574"/>
      <c r="T110" s="1574"/>
      <c r="U110" s="1574"/>
      <c r="V110" s="1574"/>
      <c r="W110" s="1574"/>
      <c r="X110" s="1574"/>
      <c r="Y110" s="1574"/>
      <c r="Z110" s="1574"/>
      <c r="AA110" s="1574"/>
      <c r="AB110" s="1574"/>
      <c r="AC110" s="1575">
        <v>0.12</v>
      </c>
      <c r="AD110" s="1575"/>
      <c r="AE110" s="1575"/>
      <c r="AF110" s="1575"/>
      <c r="AG110" s="1575"/>
      <c r="AH110" s="1575"/>
      <c r="AI110" s="1575"/>
      <c r="AJ110" s="1575"/>
      <c r="AK110" s="1573">
        <v>0.9</v>
      </c>
      <c r="AL110" s="1573"/>
      <c r="AM110" s="1573"/>
      <c r="AN110" s="1573"/>
      <c r="AO110" s="1573"/>
      <c r="AP110" s="1573"/>
      <c r="AQ110" s="1573"/>
      <c r="AR110" s="1573"/>
      <c r="AS110" s="1573">
        <v>0.8</v>
      </c>
      <c r="AT110" s="1573"/>
      <c r="AU110" s="1573"/>
      <c r="AV110" s="1573"/>
      <c r="AW110" s="1573"/>
      <c r="AX110" s="1573"/>
      <c r="AY110" s="1573"/>
      <c r="AZ110" s="1573"/>
      <c r="BA110" s="1573">
        <v>0.26</v>
      </c>
      <c r="BB110" s="1573"/>
      <c r="BC110" s="1573"/>
      <c r="BD110" s="1573"/>
      <c r="BE110" s="1573"/>
      <c r="BF110" s="1573"/>
      <c r="BG110" s="1573"/>
      <c r="BH110" s="1573"/>
      <c r="BI110" s="1564" t="s">
        <v>393</v>
      </c>
      <c r="BJ110" s="1552"/>
      <c r="BK110" s="1552"/>
      <c r="BL110" s="1552"/>
      <c r="BM110" s="1552"/>
      <c r="BN110" s="1552"/>
      <c r="BO110" s="1576">
        <v>20</v>
      </c>
      <c r="BP110" s="1577"/>
      <c r="BQ110" s="1577"/>
      <c r="BR110" s="1577"/>
      <c r="BS110" s="1577"/>
      <c r="BT110" s="1578"/>
      <c r="BU110" s="1554">
        <f t="shared" ref="BU110:BU117" si="10">ROUND(3600*AC110*AK110*AS110*BA110/BO110,2)</f>
        <v>4.04</v>
      </c>
      <c r="BV110" s="1554"/>
      <c r="BW110" s="1554"/>
      <c r="BX110" s="1554"/>
      <c r="BY110" s="1554"/>
      <c r="BZ110" s="1554"/>
      <c r="CA110" s="1554"/>
      <c r="CB110" s="1554"/>
      <c r="CC110" s="1554"/>
      <c r="CD110" s="1554"/>
      <c r="CE110" s="1554"/>
      <c r="CF110" s="1555"/>
      <c r="CJ110" s="535" t="s">
        <v>760</v>
      </c>
    </row>
    <row r="111" spans="1:88" s="535" customFormat="1" ht="23.1" customHeight="1">
      <c r="D111" s="405"/>
      <c r="E111" s="1565" t="s">
        <v>391</v>
      </c>
      <c r="F111" s="1566"/>
      <c r="G111" s="1566"/>
      <c r="H111" s="1566"/>
      <c r="I111" s="1566"/>
      <c r="J111" s="1566"/>
      <c r="K111" s="1566"/>
      <c r="L111" s="1566"/>
      <c r="M111" s="1566"/>
      <c r="N111" s="1566"/>
      <c r="O111" s="1566"/>
      <c r="P111" s="1566"/>
      <c r="Q111" s="1567" t="s">
        <v>394</v>
      </c>
      <c r="R111" s="1567"/>
      <c r="S111" s="1567"/>
      <c r="T111" s="1567"/>
      <c r="U111" s="1567"/>
      <c r="V111" s="1567"/>
      <c r="W111" s="1567"/>
      <c r="X111" s="1567"/>
      <c r="Y111" s="1567"/>
      <c r="Z111" s="1567"/>
      <c r="AA111" s="1567"/>
      <c r="AB111" s="1567"/>
      <c r="AC111" s="1566">
        <v>0.18</v>
      </c>
      <c r="AD111" s="1566"/>
      <c r="AE111" s="1566"/>
      <c r="AF111" s="1566"/>
      <c r="AG111" s="1566"/>
      <c r="AH111" s="1566"/>
      <c r="AI111" s="1566"/>
      <c r="AJ111" s="1566"/>
      <c r="AK111" s="1564">
        <v>0.9</v>
      </c>
      <c r="AL111" s="1552"/>
      <c r="AM111" s="1552"/>
      <c r="AN111" s="1552"/>
      <c r="AO111" s="1552"/>
      <c r="AP111" s="1552"/>
      <c r="AQ111" s="1552"/>
      <c r="AR111" s="1553"/>
      <c r="AS111" s="1564">
        <v>0.8</v>
      </c>
      <c r="AT111" s="1552"/>
      <c r="AU111" s="1552"/>
      <c r="AV111" s="1552"/>
      <c r="AW111" s="1552"/>
      <c r="AX111" s="1552"/>
      <c r="AY111" s="1552"/>
      <c r="AZ111" s="1553"/>
      <c r="BA111" s="1564">
        <v>0.26</v>
      </c>
      <c r="BB111" s="1552"/>
      <c r="BC111" s="1552"/>
      <c r="BD111" s="1552"/>
      <c r="BE111" s="1552"/>
      <c r="BF111" s="1552"/>
      <c r="BG111" s="1552"/>
      <c r="BH111" s="1553"/>
      <c r="BI111" s="1564" t="s">
        <v>393</v>
      </c>
      <c r="BJ111" s="1552"/>
      <c r="BK111" s="1552"/>
      <c r="BL111" s="1552"/>
      <c r="BM111" s="1552"/>
      <c r="BN111" s="1552"/>
      <c r="BO111" s="1551">
        <v>20</v>
      </c>
      <c r="BP111" s="1552"/>
      <c r="BQ111" s="1552"/>
      <c r="BR111" s="1552"/>
      <c r="BS111" s="1552"/>
      <c r="BT111" s="1553"/>
      <c r="BU111" s="1554">
        <f t="shared" si="10"/>
        <v>6.07</v>
      </c>
      <c r="BV111" s="1554"/>
      <c r="BW111" s="1554"/>
      <c r="BX111" s="1554"/>
      <c r="BY111" s="1554"/>
      <c r="BZ111" s="1554"/>
      <c r="CA111" s="1554"/>
      <c r="CB111" s="1554"/>
      <c r="CC111" s="1554"/>
      <c r="CD111" s="1554"/>
      <c r="CE111" s="1554"/>
      <c r="CF111" s="1555"/>
      <c r="CJ111" s="535" t="s">
        <v>760</v>
      </c>
    </row>
    <row r="112" spans="1:88" s="535" customFormat="1" ht="23.1" customHeight="1">
      <c r="A112" s="540"/>
      <c r="B112" s="540"/>
      <c r="C112" s="540"/>
      <c r="D112" s="540"/>
      <c r="E112" s="1565" t="s">
        <v>391</v>
      </c>
      <c r="F112" s="1566"/>
      <c r="G112" s="1566"/>
      <c r="H112" s="1566"/>
      <c r="I112" s="1566"/>
      <c r="J112" s="1566"/>
      <c r="K112" s="1566"/>
      <c r="L112" s="1566"/>
      <c r="M112" s="1566"/>
      <c r="N112" s="1566"/>
      <c r="O112" s="1566"/>
      <c r="P112" s="1566"/>
      <c r="Q112" s="1567" t="s">
        <v>395</v>
      </c>
      <c r="R112" s="1567"/>
      <c r="S112" s="1567"/>
      <c r="T112" s="1567"/>
      <c r="U112" s="1567"/>
      <c r="V112" s="1567"/>
      <c r="W112" s="1567"/>
      <c r="X112" s="1567"/>
      <c r="Y112" s="1567"/>
      <c r="Z112" s="1567"/>
      <c r="AA112" s="1567"/>
      <c r="AB112" s="1567"/>
      <c r="AC112" s="1566">
        <v>0.2</v>
      </c>
      <c r="AD112" s="1566"/>
      <c r="AE112" s="1566"/>
      <c r="AF112" s="1566"/>
      <c r="AG112" s="1566"/>
      <c r="AH112" s="1566"/>
      <c r="AI112" s="1566"/>
      <c r="AJ112" s="1566"/>
      <c r="AK112" s="1564">
        <v>0.9</v>
      </c>
      <c r="AL112" s="1552"/>
      <c r="AM112" s="1552"/>
      <c r="AN112" s="1552"/>
      <c r="AO112" s="1552"/>
      <c r="AP112" s="1552"/>
      <c r="AQ112" s="1552"/>
      <c r="AR112" s="1553"/>
      <c r="AS112" s="1564">
        <v>0.8</v>
      </c>
      <c r="AT112" s="1552"/>
      <c r="AU112" s="1552"/>
      <c r="AV112" s="1552"/>
      <c r="AW112" s="1552"/>
      <c r="AX112" s="1552"/>
      <c r="AY112" s="1552"/>
      <c r="AZ112" s="1553"/>
      <c r="BA112" s="1564">
        <v>0.26</v>
      </c>
      <c r="BB112" s="1552"/>
      <c r="BC112" s="1552"/>
      <c r="BD112" s="1552"/>
      <c r="BE112" s="1552"/>
      <c r="BF112" s="1552"/>
      <c r="BG112" s="1552"/>
      <c r="BH112" s="1553"/>
      <c r="BI112" s="1564" t="s">
        <v>393</v>
      </c>
      <c r="BJ112" s="1552"/>
      <c r="BK112" s="1552"/>
      <c r="BL112" s="1552"/>
      <c r="BM112" s="1552"/>
      <c r="BN112" s="1552"/>
      <c r="BO112" s="1551">
        <v>20</v>
      </c>
      <c r="BP112" s="1552"/>
      <c r="BQ112" s="1552"/>
      <c r="BR112" s="1552"/>
      <c r="BS112" s="1552"/>
      <c r="BT112" s="1553"/>
      <c r="BU112" s="1554">
        <f t="shared" si="10"/>
        <v>6.74</v>
      </c>
      <c r="BV112" s="1554"/>
      <c r="BW112" s="1554"/>
      <c r="BX112" s="1554"/>
      <c r="BY112" s="1554"/>
      <c r="BZ112" s="1554"/>
      <c r="CA112" s="1554"/>
      <c r="CB112" s="1554"/>
      <c r="CC112" s="1554"/>
      <c r="CD112" s="1554"/>
      <c r="CE112" s="1554"/>
      <c r="CF112" s="1555"/>
      <c r="CJ112" s="535" t="s">
        <v>760</v>
      </c>
    </row>
    <row r="113" spans="1:88" s="535" customFormat="1" ht="23.1" customHeight="1">
      <c r="E113" s="1565" t="s">
        <v>391</v>
      </c>
      <c r="F113" s="1566"/>
      <c r="G113" s="1566"/>
      <c r="H113" s="1566"/>
      <c r="I113" s="1566"/>
      <c r="J113" s="1566"/>
      <c r="K113" s="1566"/>
      <c r="L113" s="1566"/>
      <c r="M113" s="1566"/>
      <c r="N113" s="1566"/>
      <c r="O113" s="1566"/>
      <c r="P113" s="1566"/>
      <c r="Q113" s="1567" t="s">
        <v>359</v>
      </c>
      <c r="R113" s="1567"/>
      <c r="S113" s="1567"/>
      <c r="T113" s="1567"/>
      <c r="U113" s="1567"/>
      <c r="V113" s="1567"/>
      <c r="W113" s="1567"/>
      <c r="X113" s="1567"/>
      <c r="Y113" s="1567"/>
      <c r="Z113" s="1567"/>
      <c r="AA113" s="1567"/>
      <c r="AB113" s="1567"/>
      <c r="AC113" s="1566">
        <v>0.4</v>
      </c>
      <c r="AD113" s="1566"/>
      <c r="AE113" s="1566"/>
      <c r="AF113" s="1566"/>
      <c r="AG113" s="1566"/>
      <c r="AH113" s="1566"/>
      <c r="AI113" s="1566"/>
      <c r="AJ113" s="1566"/>
      <c r="AK113" s="1564">
        <v>0.9</v>
      </c>
      <c r="AL113" s="1552"/>
      <c r="AM113" s="1552"/>
      <c r="AN113" s="1552"/>
      <c r="AO113" s="1552"/>
      <c r="AP113" s="1552"/>
      <c r="AQ113" s="1552"/>
      <c r="AR113" s="1553"/>
      <c r="AS113" s="1564">
        <v>0.8</v>
      </c>
      <c r="AT113" s="1552"/>
      <c r="AU113" s="1552"/>
      <c r="AV113" s="1552"/>
      <c r="AW113" s="1552"/>
      <c r="AX113" s="1552"/>
      <c r="AY113" s="1552"/>
      <c r="AZ113" s="1553"/>
      <c r="BA113" s="1564">
        <v>0.26</v>
      </c>
      <c r="BB113" s="1552"/>
      <c r="BC113" s="1552"/>
      <c r="BD113" s="1552"/>
      <c r="BE113" s="1552"/>
      <c r="BF113" s="1552"/>
      <c r="BG113" s="1552"/>
      <c r="BH113" s="1553"/>
      <c r="BI113" s="1564" t="s">
        <v>396</v>
      </c>
      <c r="BJ113" s="1552"/>
      <c r="BK113" s="1552"/>
      <c r="BL113" s="1552"/>
      <c r="BM113" s="1552"/>
      <c r="BN113" s="1552"/>
      <c r="BO113" s="1551">
        <v>18</v>
      </c>
      <c r="BP113" s="1552"/>
      <c r="BQ113" s="1552"/>
      <c r="BR113" s="1552"/>
      <c r="BS113" s="1552"/>
      <c r="BT113" s="1553"/>
      <c r="BU113" s="1554">
        <f t="shared" si="10"/>
        <v>14.98</v>
      </c>
      <c r="BV113" s="1554"/>
      <c r="BW113" s="1554"/>
      <c r="BX113" s="1554"/>
      <c r="BY113" s="1554"/>
      <c r="BZ113" s="1554"/>
      <c r="CA113" s="1554"/>
      <c r="CB113" s="1554"/>
      <c r="CC113" s="1554"/>
      <c r="CD113" s="1554"/>
      <c r="CE113" s="1554"/>
      <c r="CF113" s="1555"/>
      <c r="CJ113" s="535" t="s">
        <v>760</v>
      </c>
    </row>
    <row r="114" spans="1:88" s="535" customFormat="1" ht="23.1" customHeight="1">
      <c r="A114" s="540"/>
      <c r="B114" s="540"/>
      <c r="C114" s="540"/>
      <c r="D114" s="540"/>
      <c r="E114" s="1565" t="s">
        <v>391</v>
      </c>
      <c r="F114" s="1566"/>
      <c r="G114" s="1566"/>
      <c r="H114" s="1566"/>
      <c r="I114" s="1566"/>
      <c r="J114" s="1566"/>
      <c r="K114" s="1566"/>
      <c r="L114" s="1566"/>
      <c r="M114" s="1566"/>
      <c r="N114" s="1566"/>
      <c r="O114" s="1566"/>
      <c r="P114" s="1566"/>
      <c r="Q114" s="1728" t="s">
        <v>397</v>
      </c>
      <c r="R114" s="1729"/>
      <c r="S114" s="1729"/>
      <c r="T114" s="1729"/>
      <c r="U114" s="1729"/>
      <c r="V114" s="1729"/>
      <c r="W114" s="1729"/>
      <c r="X114" s="1729"/>
      <c r="Y114" s="1729"/>
      <c r="Z114" s="1729"/>
      <c r="AA114" s="1729"/>
      <c r="AB114" s="1730"/>
      <c r="AC114" s="1566">
        <v>0.6</v>
      </c>
      <c r="AD114" s="1566"/>
      <c r="AE114" s="1566"/>
      <c r="AF114" s="1566"/>
      <c r="AG114" s="1566"/>
      <c r="AH114" s="1566"/>
      <c r="AI114" s="1566"/>
      <c r="AJ114" s="1566"/>
      <c r="AK114" s="1564">
        <v>0.9</v>
      </c>
      <c r="AL114" s="1552"/>
      <c r="AM114" s="1552"/>
      <c r="AN114" s="1552"/>
      <c r="AO114" s="1552"/>
      <c r="AP114" s="1552"/>
      <c r="AQ114" s="1552"/>
      <c r="AR114" s="1553"/>
      <c r="AS114" s="1564">
        <v>0.8</v>
      </c>
      <c r="AT114" s="1552"/>
      <c r="AU114" s="1552"/>
      <c r="AV114" s="1552"/>
      <c r="AW114" s="1552"/>
      <c r="AX114" s="1552"/>
      <c r="AY114" s="1552"/>
      <c r="AZ114" s="1553"/>
      <c r="BA114" s="1564">
        <v>0.26</v>
      </c>
      <c r="BB114" s="1552"/>
      <c r="BC114" s="1552"/>
      <c r="BD114" s="1552"/>
      <c r="BE114" s="1552"/>
      <c r="BF114" s="1552"/>
      <c r="BG114" s="1552"/>
      <c r="BH114" s="1553"/>
      <c r="BI114" s="1564" t="s">
        <v>398</v>
      </c>
      <c r="BJ114" s="1552"/>
      <c r="BK114" s="1552"/>
      <c r="BL114" s="1552"/>
      <c r="BM114" s="1552"/>
      <c r="BN114" s="1552"/>
      <c r="BO114" s="1551">
        <v>18</v>
      </c>
      <c r="BP114" s="1552"/>
      <c r="BQ114" s="1552"/>
      <c r="BR114" s="1552"/>
      <c r="BS114" s="1552"/>
      <c r="BT114" s="1553"/>
      <c r="BU114" s="1554">
        <f t="shared" si="10"/>
        <v>22.46</v>
      </c>
      <c r="BV114" s="1554"/>
      <c r="BW114" s="1554"/>
      <c r="BX114" s="1554"/>
      <c r="BY114" s="1554"/>
      <c r="BZ114" s="1554"/>
      <c r="CA114" s="1554"/>
      <c r="CB114" s="1554"/>
      <c r="CC114" s="1554"/>
      <c r="CD114" s="1554"/>
      <c r="CE114" s="1554"/>
      <c r="CF114" s="1555"/>
      <c r="CJ114" s="535" t="s">
        <v>760</v>
      </c>
    </row>
    <row r="115" spans="1:88" s="535" customFormat="1" ht="23.1" customHeight="1">
      <c r="E115" s="1565" t="s">
        <v>391</v>
      </c>
      <c r="F115" s="1566"/>
      <c r="G115" s="1566"/>
      <c r="H115" s="1566"/>
      <c r="I115" s="1566"/>
      <c r="J115" s="1566"/>
      <c r="K115" s="1566"/>
      <c r="L115" s="1566"/>
      <c r="M115" s="1566"/>
      <c r="N115" s="1566"/>
      <c r="O115" s="1566"/>
      <c r="P115" s="1566"/>
      <c r="Q115" s="1567" t="s">
        <v>399</v>
      </c>
      <c r="R115" s="1567"/>
      <c r="S115" s="1567"/>
      <c r="T115" s="1567"/>
      <c r="U115" s="1567"/>
      <c r="V115" s="1567"/>
      <c r="W115" s="1567"/>
      <c r="X115" s="1567"/>
      <c r="Y115" s="1567"/>
      <c r="Z115" s="1567"/>
      <c r="AA115" s="1567"/>
      <c r="AB115" s="1567"/>
      <c r="AC115" s="1566">
        <v>0.7</v>
      </c>
      <c r="AD115" s="1566"/>
      <c r="AE115" s="1566"/>
      <c r="AF115" s="1566"/>
      <c r="AG115" s="1566"/>
      <c r="AH115" s="1566"/>
      <c r="AI115" s="1566"/>
      <c r="AJ115" s="1566"/>
      <c r="AK115" s="1564">
        <v>0.9</v>
      </c>
      <c r="AL115" s="1552"/>
      <c r="AM115" s="1552"/>
      <c r="AN115" s="1552"/>
      <c r="AO115" s="1552"/>
      <c r="AP115" s="1552"/>
      <c r="AQ115" s="1552"/>
      <c r="AR115" s="1553"/>
      <c r="AS115" s="1564">
        <v>0.8</v>
      </c>
      <c r="AT115" s="1552"/>
      <c r="AU115" s="1552"/>
      <c r="AV115" s="1552"/>
      <c r="AW115" s="1552"/>
      <c r="AX115" s="1552"/>
      <c r="AY115" s="1552"/>
      <c r="AZ115" s="1553"/>
      <c r="BA115" s="1564">
        <v>0.26</v>
      </c>
      <c r="BB115" s="1552"/>
      <c r="BC115" s="1552"/>
      <c r="BD115" s="1552"/>
      <c r="BE115" s="1552"/>
      <c r="BF115" s="1552"/>
      <c r="BG115" s="1552"/>
      <c r="BH115" s="1553"/>
      <c r="BI115" s="1564" t="s">
        <v>398</v>
      </c>
      <c r="BJ115" s="1552"/>
      <c r="BK115" s="1552"/>
      <c r="BL115" s="1552"/>
      <c r="BM115" s="1552"/>
      <c r="BN115" s="1552"/>
      <c r="BO115" s="1551">
        <v>18</v>
      </c>
      <c r="BP115" s="1552"/>
      <c r="BQ115" s="1552"/>
      <c r="BR115" s="1552"/>
      <c r="BS115" s="1552"/>
      <c r="BT115" s="1553"/>
      <c r="BU115" s="1554">
        <f t="shared" si="10"/>
        <v>26.21</v>
      </c>
      <c r="BV115" s="1554"/>
      <c r="BW115" s="1554"/>
      <c r="BX115" s="1554"/>
      <c r="BY115" s="1554"/>
      <c r="BZ115" s="1554"/>
      <c r="CA115" s="1554"/>
      <c r="CB115" s="1554"/>
      <c r="CC115" s="1554"/>
      <c r="CD115" s="1554"/>
      <c r="CE115" s="1554"/>
      <c r="CF115" s="1555"/>
      <c r="CJ115" s="535" t="s">
        <v>760</v>
      </c>
    </row>
    <row r="116" spans="1:88" s="535" customFormat="1" ht="23.1" customHeight="1">
      <c r="E116" s="1565" t="s">
        <v>391</v>
      </c>
      <c r="F116" s="1566"/>
      <c r="G116" s="1566"/>
      <c r="H116" s="1566"/>
      <c r="I116" s="1566"/>
      <c r="J116" s="1566"/>
      <c r="K116" s="1566"/>
      <c r="L116" s="1566"/>
      <c r="M116" s="1566"/>
      <c r="N116" s="1566"/>
      <c r="O116" s="1566"/>
      <c r="P116" s="1566"/>
      <c r="Q116" s="1567" t="s">
        <v>400</v>
      </c>
      <c r="R116" s="1567"/>
      <c r="S116" s="1567"/>
      <c r="T116" s="1567"/>
      <c r="U116" s="1567"/>
      <c r="V116" s="1567"/>
      <c r="W116" s="1567"/>
      <c r="X116" s="1567"/>
      <c r="Y116" s="1567"/>
      <c r="Z116" s="1567"/>
      <c r="AA116" s="1567"/>
      <c r="AB116" s="1567"/>
      <c r="AC116" s="1566">
        <v>0.8</v>
      </c>
      <c r="AD116" s="1566"/>
      <c r="AE116" s="1566"/>
      <c r="AF116" s="1566"/>
      <c r="AG116" s="1566"/>
      <c r="AH116" s="1566"/>
      <c r="AI116" s="1566"/>
      <c r="AJ116" s="1566"/>
      <c r="AK116" s="1564">
        <v>0.9</v>
      </c>
      <c r="AL116" s="1552"/>
      <c r="AM116" s="1552"/>
      <c r="AN116" s="1552"/>
      <c r="AO116" s="1552"/>
      <c r="AP116" s="1552"/>
      <c r="AQ116" s="1552"/>
      <c r="AR116" s="1553"/>
      <c r="AS116" s="1564">
        <v>0.8</v>
      </c>
      <c r="AT116" s="1552"/>
      <c r="AU116" s="1552"/>
      <c r="AV116" s="1552"/>
      <c r="AW116" s="1552"/>
      <c r="AX116" s="1552"/>
      <c r="AY116" s="1552"/>
      <c r="AZ116" s="1553"/>
      <c r="BA116" s="1564">
        <v>0.26</v>
      </c>
      <c r="BB116" s="1552"/>
      <c r="BC116" s="1552"/>
      <c r="BD116" s="1552"/>
      <c r="BE116" s="1552"/>
      <c r="BF116" s="1552"/>
      <c r="BG116" s="1552"/>
      <c r="BH116" s="1553"/>
      <c r="BI116" s="1564" t="s">
        <v>398</v>
      </c>
      <c r="BJ116" s="1552"/>
      <c r="BK116" s="1552"/>
      <c r="BL116" s="1552"/>
      <c r="BM116" s="1552"/>
      <c r="BN116" s="1552"/>
      <c r="BO116" s="1551">
        <v>18</v>
      </c>
      <c r="BP116" s="1552"/>
      <c r="BQ116" s="1552"/>
      <c r="BR116" s="1552"/>
      <c r="BS116" s="1552"/>
      <c r="BT116" s="1553"/>
      <c r="BU116" s="1554">
        <f t="shared" si="10"/>
        <v>29.95</v>
      </c>
      <c r="BV116" s="1554"/>
      <c r="BW116" s="1554"/>
      <c r="BX116" s="1554"/>
      <c r="BY116" s="1554"/>
      <c r="BZ116" s="1554"/>
      <c r="CA116" s="1554"/>
      <c r="CB116" s="1554"/>
      <c r="CC116" s="1554"/>
      <c r="CD116" s="1554"/>
      <c r="CE116" s="1554"/>
      <c r="CF116" s="1555"/>
      <c r="CJ116" s="535" t="s">
        <v>760</v>
      </c>
    </row>
    <row r="117" spans="1:88" s="535" customFormat="1" ht="23.1" customHeight="1" thickBot="1">
      <c r="A117" s="540"/>
      <c r="B117" s="540"/>
      <c r="C117" s="540"/>
      <c r="D117" s="540"/>
      <c r="E117" s="1541" t="s">
        <v>391</v>
      </c>
      <c r="F117" s="1542"/>
      <c r="G117" s="1542"/>
      <c r="H117" s="1542"/>
      <c r="I117" s="1542"/>
      <c r="J117" s="1542"/>
      <c r="K117" s="1542"/>
      <c r="L117" s="1542"/>
      <c r="M117" s="1542"/>
      <c r="N117" s="1542"/>
      <c r="O117" s="1542"/>
      <c r="P117" s="1543"/>
      <c r="Q117" s="1544" t="s">
        <v>401</v>
      </c>
      <c r="R117" s="1544"/>
      <c r="S117" s="1544"/>
      <c r="T117" s="1544"/>
      <c r="U117" s="1544"/>
      <c r="V117" s="1544"/>
      <c r="W117" s="1544"/>
      <c r="X117" s="1544"/>
      <c r="Y117" s="1544"/>
      <c r="Z117" s="1544"/>
      <c r="AA117" s="1544"/>
      <c r="AB117" s="1544"/>
      <c r="AC117" s="1583">
        <v>1</v>
      </c>
      <c r="AD117" s="1583"/>
      <c r="AE117" s="1583"/>
      <c r="AF117" s="1583"/>
      <c r="AG117" s="1583"/>
      <c r="AH117" s="1583"/>
      <c r="AI117" s="1583"/>
      <c r="AJ117" s="1583"/>
      <c r="AK117" s="1546">
        <v>0.9</v>
      </c>
      <c r="AL117" s="1546"/>
      <c r="AM117" s="1546"/>
      <c r="AN117" s="1546"/>
      <c r="AO117" s="1546"/>
      <c r="AP117" s="1546"/>
      <c r="AQ117" s="1546"/>
      <c r="AR117" s="1546"/>
      <c r="AS117" s="1546">
        <v>0.8</v>
      </c>
      <c r="AT117" s="1546"/>
      <c r="AU117" s="1546"/>
      <c r="AV117" s="1546"/>
      <c r="AW117" s="1546"/>
      <c r="AX117" s="1546"/>
      <c r="AY117" s="1546"/>
      <c r="AZ117" s="1546"/>
      <c r="BA117" s="1546">
        <v>0.26</v>
      </c>
      <c r="BB117" s="1546"/>
      <c r="BC117" s="1546"/>
      <c r="BD117" s="1546"/>
      <c r="BE117" s="1546"/>
      <c r="BF117" s="1546"/>
      <c r="BG117" s="1546"/>
      <c r="BH117" s="1546"/>
      <c r="BI117" s="1547" t="s">
        <v>398</v>
      </c>
      <c r="BJ117" s="1542"/>
      <c r="BK117" s="1542"/>
      <c r="BL117" s="1542"/>
      <c r="BM117" s="1542"/>
      <c r="BN117" s="1542"/>
      <c r="BO117" s="1548">
        <v>19</v>
      </c>
      <c r="BP117" s="1542"/>
      <c r="BQ117" s="1542"/>
      <c r="BR117" s="1542"/>
      <c r="BS117" s="1542"/>
      <c r="BT117" s="1543"/>
      <c r="BU117" s="1549">
        <f t="shared" si="10"/>
        <v>35.47</v>
      </c>
      <c r="BV117" s="1549"/>
      <c r="BW117" s="1549"/>
      <c r="BX117" s="1549"/>
      <c r="BY117" s="1549"/>
      <c r="BZ117" s="1549"/>
      <c r="CA117" s="1549"/>
      <c r="CB117" s="1549"/>
      <c r="CC117" s="1549"/>
      <c r="CD117" s="1549"/>
      <c r="CE117" s="1549"/>
      <c r="CF117" s="1550"/>
      <c r="CJ117" s="535" t="s">
        <v>760</v>
      </c>
    </row>
    <row r="118" spans="1:88" s="534" customFormat="1" ht="9.9499999999999993" customHeight="1">
      <c r="A118" s="536"/>
      <c r="B118" s="536"/>
      <c r="C118" s="536"/>
      <c r="D118" s="536"/>
      <c r="E118" s="536"/>
      <c r="F118" s="536"/>
      <c r="G118" s="536"/>
      <c r="H118" s="536"/>
      <c r="I118" s="536"/>
      <c r="J118" s="536"/>
      <c r="K118" s="536"/>
      <c r="L118" s="536"/>
      <c r="M118" s="536"/>
      <c r="N118" s="536"/>
      <c r="O118" s="536"/>
      <c r="P118" s="536"/>
      <c r="Q118" s="536"/>
      <c r="R118" s="536"/>
      <c r="S118" s="536"/>
      <c r="T118" s="536"/>
      <c r="U118" s="536"/>
      <c r="V118" s="536"/>
      <c r="W118" s="536"/>
      <c r="X118" s="536"/>
      <c r="Y118" s="536"/>
      <c r="Z118" s="536"/>
      <c r="AA118" s="536"/>
      <c r="AB118" s="536"/>
      <c r="AC118" s="536"/>
      <c r="AD118" s="536"/>
      <c r="AE118" s="536"/>
      <c r="AF118" s="536"/>
      <c r="AG118" s="536"/>
      <c r="AH118" s="536"/>
      <c r="AI118" s="536"/>
      <c r="AJ118" s="536"/>
      <c r="AK118" s="536"/>
      <c r="AL118" s="536"/>
      <c r="AM118" s="536"/>
      <c r="AN118" s="536"/>
      <c r="AO118" s="536"/>
      <c r="AP118" s="536"/>
      <c r="AQ118" s="536"/>
      <c r="AR118" s="536"/>
      <c r="AS118" s="536"/>
      <c r="AT118" s="536"/>
      <c r="AU118" s="536"/>
      <c r="AV118" s="536"/>
      <c r="AW118" s="536"/>
      <c r="AX118" s="536"/>
      <c r="AY118" s="536"/>
      <c r="AZ118" s="536"/>
      <c r="BA118" s="536"/>
      <c r="BB118" s="536"/>
      <c r="BC118" s="536"/>
      <c r="BD118" s="536"/>
      <c r="BE118" s="536"/>
      <c r="BF118" s="536"/>
      <c r="BG118" s="536"/>
      <c r="BH118" s="536"/>
      <c r="BI118" s="536"/>
      <c r="BJ118" s="536"/>
      <c r="BK118" s="536"/>
      <c r="BL118" s="536"/>
      <c r="BM118" s="536"/>
      <c r="BN118" s="536"/>
      <c r="BO118" s="536"/>
      <c r="BP118" s="536"/>
      <c r="BQ118" s="536"/>
      <c r="BR118" s="536"/>
      <c r="BS118" s="536"/>
      <c r="BT118" s="536"/>
      <c r="BU118" s="536"/>
      <c r="BV118" s="536"/>
      <c r="BW118" s="536"/>
      <c r="BX118" s="536"/>
      <c r="BY118" s="536"/>
      <c r="BZ118" s="536"/>
      <c r="CA118" s="536"/>
      <c r="CB118" s="536"/>
      <c r="CC118" s="536"/>
      <c r="CD118" s="536"/>
      <c r="CE118" s="536"/>
      <c r="CF118" s="536"/>
      <c r="CJ118" s="535"/>
    </row>
    <row r="119" spans="1:88" s="535" customFormat="1" ht="23.1" customHeight="1">
      <c r="E119" s="535" t="s">
        <v>402</v>
      </c>
    </row>
    <row r="120" spans="1:88" s="535" customFormat="1" ht="9.9499999999999993" customHeight="1" thickBot="1"/>
    <row r="121" spans="1:88" s="535" customFormat="1" ht="23.1" customHeight="1">
      <c r="E121" s="1534" t="s">
        <v>385</v>
      </c>
      <c r="F121" s="1535"/>
      <c r="G121" s="1535"/>
      <c r="H121" s="1535"/>
      <c r="I121" s="1535"/>
      <c r="J121" s="1535"/>
      <c r="K121" s="1535"/>
      <c r="L121" s="1535"/>
      <c r="M121" s="1535"/>
      <c r="N121" s="1535"/>
      <c r="O121" s="1535"/>
      <c r="P121" s="1535"/>
      <c r="Q121" s="1535"/>
      <c r="R121" s="1535"/>
      <c r="S121" s="1535"/>
      <c r="T121" s="1535"/>
      <c r="U121" s="1535" t="s">
        <v>212</v>
      </c>
      <c r="V121" s="1535"/>
      <c r="W121" s="1535"/>
      <c r="X121" s="1535"/>
      <c r="Y121" s="1535"/>
      <c r="Z121" s="1535"/>
      <c r="AA121" s="1535"/>
      <c r="AB121" s="1535"/>
      <c r="AC121" s="1535" t="s">
        <v>403</v>
      </c>
      <c r="AD121" s="1535"/>
      <c r="AE121" s="1535"/>
      <c r="AF121" s="1535"/>
      <c r="AG121" s="1535"/>
      <c r="AH121" s="1535"/>
      <c r="AI121" s="1535"/>
      <c r="AJ121" s="1535"/>
      <c r="AK121" s="1535"/>
      <c r="AL121" s="1535"/>
      <c r="AM121" s="1535"/>
      <c r="AN121" s="1535"/>
      <c r="AO121" s="1535"/>
      <c r="AP121" s="1535"/>
      <c r="AQ121" s="1535"/>
      <c r="AR121" s="1535"/>
      <c r="AS121" s="1535"/>
      <c r="AT121" s="1535"/>
      <c r="AU121" s="1535"/>
      <c r="AV121" s="1535"/>
      <c r="AW121" s="1535"/>
      <c r="AX121" s="1535"/>
      <c r="AY121" s="1535"/>
      <c r="AZ121" s="1535"/>
      <c r="BA121" s="1537" t="s">
        <v>404</v>
      </c>
      <c r="BB121" s="1535"/>
      <c r="BC121" s="1535"/>
      <c r="BD121" s="1535"/>
      <c r="BE121" s="1535"/>
      <c r="BF121" s="1535"/>
      <c r="BG121" s="1535"/>
      <c r="BH121" s="1535"/>
      <c r="BI121" s="1535" t="s">
        <v>405</v>
      </c>
      <c r="BJ121" s="1535"/>
      <c r="BK121" s="1535"/>
      <c r="BL121" s="1535"/>
      <c r="BM121" s="1535"/>
      <c r="BN121" s="1535"/>
      <c r="BO121" s="1535"/>
      <c r="BP121" s="1535"/>
      <c r="BQ121" s="1535"/>
      <c r="BR121" s="1535"/>
      <c r="BS121" s="1535"/>
      <c r="BT121" s="1535"/>
      <c r="BU121" s="1535"/>
      <c r="BV121" s="1535"/>
      <c r="BW121" s="1535"/>
      <c r="BX121" s="1535"/>
      <c r="BY121" s="1535"/>
      <c r="BZ121" s="1535"/>
      <c r="CA121" s="1535"/>
      <c r="CB121" s="1535"/>
      <c r="CC121" s="1535"/>
      <c r="CD121" s="1535"/>
      <c r="CE121" s="1535"/>
      <c r="CF121" s="1538"/>
    </row>
    <row r="122" spans="1:88" s="535" customFormat="1" ht="23.1" customHeight="1" thickBot="1">
      <c r="A122" s="540"/>
      <c r="B122" s="540"/>
      <c r="C122" s="540"/>
      <c r="D122" s="540"/>
      <c r="E122" s="1536"/>
      <c r="F122" s="1527"/>
      <c r="G122" s="1527"/>
      <c r="H122" s="1527"/>
      <c r="I122" s="1527"/>
      <c r="J122" s="1527"/>
      <c r="K122" s="1527"/>
      <c r="L122" s="1527"/>
      <c r="M122" s="1527"/>
      <c r="N122" s="1527"/>
      <c r="O122" s="1527"/>
      <c r="P122" s="1527"/>
      <c r="Q122" s="1527"/>
      <c r="R122" s="1527"/>
      <c r="S122" s="1527"/>
      <c r="T122" s="1527"/>
      <c r="U122" s="1527"/>
      <c r="V122" s="1527"/>
      <c r="W122" s="1527"/>
      <c r="X122" s="1527"/>
      <c r="Y122" s="1527"/>
      <c r="Z122" s="1527"/>
      <c r="AA122" s="1527"/>
      <c r="AB122" s="1527"/>
      <c r="AC122" s="1527" t="s">
        <v>406</v>
      </c>
      <c r="AD122" s="1527"/>
      <c r="AE122" s="1527"/>
      <c r="AF122" s="1527"/>
      <c r="AG122" s="1527"/>
      <c r="AH122" s="1527"/>
      <c r="AI122" s="1527"/>
      <c r="AJ122" s="1527"/>
      <c r="AK122" s="1527" t="s">
        <v>407</v>
      </c>
      <c r="AL122" s="1527"/>
      <c r="AM122" s="1527"/>
      <c r="AN122" s="1527"/>
      <c r="AO122" s="1527"/>
      <c r="AP122" s="1527"/>
      <c r="AQ122" s="1527"/>
      <c r="AR122" s="1527"/>
      <c r="AS122" s="1527" t="s">
        <v>408</v>
      </c>
      <c r="AT122" s="1527"/>
      <c r="AU122" s="1527"/>
      <c r="AV122" s="1527"/>
      <c r="AW122" s="1527"/>
      <c r="AX122" s="1527"/>
      <c r="AY122" s="1527"/>
      <c r="AZ122" s="1527"/>
      <c r="BA122" s="1527"/>
      <c r="BB122" s="1527"/>
      <c r="BC122" s="1527"/>
      <c r="BD122" s="1527"/>
      <c r="BE122" s="1527"/>
      <c r="BF122" s="1527"/>
      <c r="BG122" s="1527"/>
      <c r="BH122" s="1527"/>
      <c r="BI122" s="1527" t="s">
        <v>406</v>
      </c>
      <c r="BJ122" s="1527"/>
      <c r="BK122" s="1527"/>
      <c r="BL122" s="1527"/>
      <c r="BM122" s="1527"/>
      <c r="BN122" s="1527"/>
      <c r="BO122" s="1527"/>
      <c r="BP122" s="1527"/>
      <c r="BQ122" s="1527" t="s">
        <v>407</v>
      </c>
      <c r="BR122" s="1527"/>
      <c r="BS122" s="1527"/>
      <c r="BT122" s="1527"/>
      <c r="BU122" s="1527"/>
      <c r="BV122" s="1527"/>
      <c r="BW122" s="1527"/>
      <c r="BX122" s="1527"/>
      <c r="BY122" s="1527" t="s">
        <v>408</v>
      </c>
      <c r="BZ122" s="1527"/>
      <c r="CA122" s="1527"/>
      <c r="CB122" s="1527"/>
      <c r="CC122" s="1527"/>
      <c r="CD122" s="1527"/>
      <c r="CE122" s="1527"/>
      <c r="CF122" s="1528"/>
    </row>
    <row r="123" spans="1:88" s="535" customFormat="1" ht="23.1" customHeight="1" thickTop="1">
      <c r="E123" s="1529" t="s">
        <v>277</v>
      </c>
      <c r="F123" s="1530"/>
      <c r="G123" s="1530"/>
      <c r="H123" s="1530"/>
      <c r="I123" s="1530"/>
      <c r="J123" s="1530"/>
      <c r="K123" s="1530"/>
      <c r="L123" s="1530"/>
      <c r="M123" s="1530"/>
      <c r="N123" s="1530"/>
      <c r="O123" s="1530"/>
      <c r="P123" s="1530"/>
      <c r="Q123" s="1530"/>
      <c r="R123" s="1530"/>
      <c r="S123" s="1530"/>
      <c r="T123" s="1530"/>
      <c r="U123" s="1530" t="s">
        <v>392</v>
      </c>
      <c r="V123" s="1530"/>
      <c r="W123" s="1530"/>
      <c r="X123" s="1530"/>
      <c r="Y123" s="1530"/>
      <c r="Z123" s="1530"/>
      <c r="AA123" s="1530"/>
      <c r="AB123" s="1530"/>
      <c r="AC123" s="1512" t="e">
        <f>#REF!</f>
        <v>#REF!</v>
      </c>
      <c r="AD123" s="1512"/>
      <c r="AE123" s="1512"/>
      <c r="AF123" s="1512"/>
      <c r="AG123" s="1512"/>
      <c r="AH123" s="1512"/>
      <c r="AI123" s="1512"/>
      <c r="AJ123" s="1512"/>
      <c r="AK123" s="1512" t="e">
        <f>#REF!</f>
        <v>#REF!</v>
      </c>
      <c r="AL123" s="1512"/>
      <c r="AM123" s="1512"/>
      <c r="AN123" s="1512"/>
      <c r="AO123" s="1512"/>
      <c r="AP123" s="1512"/>
      <c r="AQ123" s="1512"/>
      <c r="AR123" s="1512"/>
      <c r="AS123" s="1512" t="e">
        <f>#REF!</f>
        <v>#REF!</v>
      </c>
      <c r="AT123" s="1512"/>
      <c r="AU123" s="1512"/>
      <c r="AV123" s="1512"/>
      <c r="AW123" s="1512"/>
      <c r="AX123" s="1512"/>
      <c r="AY123" s="1512"/>
      <c r="AZ123" s="1512"/>
      <c r="BA123" s="1531">
        <f>BU110</f>
        <v>4.04</v>
      </c>
      <c r="BB123" s="1531"/>
      <c r="BC123" s="1531"/>
      <c r="BD123" s="1531"/>
      <c r="BE123" s="1531"/>
      <c r="BF123" s="1531"/>
      <c r="BG123" s="1531"/>
      <c r="BH123" s="1531"/>
      <c r="BI123" s="1532" t="e">
        <f>INT(AC123/$BA123)</f>
        <v>#REF!</v>
      </c>
      <c r="BJ123" s="1532"/>
      <c r="BK123" s="1532"/>
      <c r="BL123" s="1532"/>
      <c r="BM123" s="1532"/>
      <c r="BN123" s="1532"/>
      <c r="BO123" s="1532"/>
      <c r="BP123" s="1532"/>
      <c r="BQ123" s="1532" t="e">
        <f>INT(AK123/$BA123)</f>
        <v>#REF!</v>
      </c>
      <c r="BR123" s="1532"/>
      <c r="BS123" s="1532"/>
      <c r="BT123" s="1532"/>
      <c r="BU123" s="1532"/>
      <c r="BV123" s="1532"/>
      <c r="BW123" s="1532"/>
      <c r="BX123" s="1532"/>
      <c r="BY123" s="1532" t="e">
        <f>INT(AS123/$BA123)</f>
        <v>#REF!</v>
      </c>
      <c r="BZ123" s="1532"/>
      <c r="CA123" s="1532"/>
      <c r="CB123" s="1532"/>
      <c r="CC123" s="1532"/>
      <c r="CD123" s="1532"/>
      <c r="CE123" s="1532"/>
      <c r="CF123" s="1533"/>
    </row>
    <row r="124" spans="1:88" s="535" customFormat="1" ht="23.1" customHeight="1">
      <c r="E124" s="1520" t="s">
        <v>277</v>
      </c>
      <c r="F124" s="1521"/>
      <c r="G124" s="1521"/>
      <c r="H124" s="1521"/>
      <c r="I124" s="1521"/>
      <c r="J124" s="1521"/>
      <c r="K124" s="1521"/>
      <c r="L124" s="1521"/>
      <c r="M124" s="1521"/>
      <c r="N124" s="1521"/>
      <c r="O124" s="1521"/>
      <c r="P124" s="1521"/>
      <c r="Q124" s="1521"/>
      <c r="R124" s="1521"/>
      <c r="S124" s="1521"/>
      <c r="T124" s="1521"/>
      <c r="U124" s="1521" t="s">
        <v>395</v>
      </c>
      <c r="V124" s="1521"/>
      <c r="W124" s="1521"/>
      <c r="X124" s="1521"/>
      <c r="Y124" s="1521"/>
      <c r="Z124" s="1521"/>
      <c r="AA124" s="1521"/>
      <c r="AB124" s="1521"/>
      <c r="AC124" s="1526" t="e">
        <f>#REF!</f>
        <v>#REF!</v>
      </c>
      <c r="AD124" s="1526"/>
      <c r="AE124" s="1526"/>
      <c r="AF124" s="1526"/>
      <c r="AG124" s="1526"/>
      <c r="AH124" s="1526"/>
      <c r="AI124" s="1526"/>
      <c r="AJ124" s="1526"/>
      <c r="AK124" s="1526" t="e">
        <f>#REF!</f>
        <v>#REF!</v>
      </c>
      <c r="AL124" s="1526"/>
      <c r="AM124" s="1526"/>
      <c r="AN124" s="1526"/>
      <c r="AO124" s="1526"/>
      <c r="AP124" s="1526"/>
      <c r="AQ124" s="1526"/>
      <c r="AR124" s="1526"/>
      <c r="AS124" s="1526" t="e">
        <f>#REF!</f>
        <v>#REF!</v>
      </c>
      <c r="AT124" s="1526"/>
      <c r="AU124" s="1526"/>
      <c r="AV124" s="1526"/>
      <c r="AW124" s="1526"/>
      <c r="AX124" s="1526"/>
      <c r="AY124" s="1526"/>
      <c r="AZ124" s="1526"/>
      <c r="BA124" s="1525">
        <f t="shared" ref="BA124:BA129" si="11">BU112</f>
        <v>6.74</v>
      </c>
      <c r="BB124" s="1525"/>
      <c r="BC124" s="1525"/>
      <c r="BD124" s="1525"/>
      <c r="BE124" s="1525"/>
      <c r="BF124" s="1525"/>
      <c r="BG124" s="1525"/>
      <c r="BH124" s="1525"/>
      <c r="BI124" s="1512" t="e">
        <f t="shared" ref="BI124:BI131" si="12">INT(AC124/$BA124)</f>
        <v>#REF!</v>
      </c>
      <c r="BJ124" s="1512"/>
      <c r="BK124" s="1512"/>
      <c r="BL124" s="1512"/>
      <c r="BM124" s="1512"/>
      <c r="BN124" s="1512"/>
      <c r="BO124" s="1512"/>
      <c r="BP124" s="1512"/>
      <c r="BQ124" s="1512" t="e">
        <f t="shared" ref="BQ124:BQ131" si="13">INT(AK124/$BA124)</f>
        <v>#REF!</v>
      </c>
      <c r="BR124" s="1512"/>
      <c r="BS124" s="1512"/>
      <c r="BT124" s="1512"/>
      <c r="BU124" s="1512"/>
      <c r="BV124" s="1512"/>
      <c r="BW124" s="1512"/>
      <c r="BX124" s="1512"/>
      <c r="BY124" s="1512" t="e">
        <f t="shared" ref="BY124:BY131" si="14">INT(AS124/$BA124)</f>
        <v>#REF!</v>
      </c>
      <c r="BZ124" s="1512"/>
      <c r="CA124" s="1512"/>
      <c r="CB124" s="1512"/>
      <c r="CC124" s="1512"/>
      <c r="CD124" s="1512"/>
      <c r="CE124" s="1512"/>
      <c r="CF124" s="1513"/>
    </row>
    <row r="125" spans="1:88" s="535" customFormat="1" ht="23.1" customHeight="1">
      <c r="E125" s="1520" t="s">
        <v>277</v>
      </c>
      <c r="F125" s="1521"/>
      <c r="G125" s="1521"/>
      <c r="H125" s="1521"/>
      <c r="I125" s="1521"/>
      <c r="J125" s="1521"/>
      <c r="K125" s="1521"/>
      <c r="L125" s="1521"/>
      <c r="M125" s="1521"/>
      <c r="N125" s="1521"/>
      <c r="O125" s="1521"/>
      <c r="P125" s="1521"/>
      <c r="Q125" s="1521"/>
      <c r="R125" s="1521"/>
      <c r="S125" s="1521"/>
      <c r="T125" s="1521"/>
      <c r="U125" s="1521" t="s">
        <v>359</v>
      </c>
      <c r="V125" s="1521"/>
      <c r="W125" s="1521"/>
      <c r="X125" s="1521"/>
      <c r="Y125" s="1521"/>
      <c r="Z125" s="1521"/>
      <c r="AA125" s="1521"/>
      <c r="AB125" s="1521"/>
      <c r="AC125" s="1522" t="e">
        <f>#REF!</f>
        <v>#REF!</v>
      </c>
      <c r="AD125" s="1523"/>
      <c r="AE125" s="1523"/>
      <c r="AF125" s="1523"/>
      <c r="AG125" s="1523"/>
      <c r="AH125" s="1523"/>
      <c r="AI125" s="1523"/>
      <c r="AJ125" s="1524"/>
      <c r="AK125" s="1522" t="e">
        <f>#REF!</f>
        <v>#REF!</v>
      </c>
      <c r="AL125" s="1523"/>
      <c r="AM125" s="1523"/>
      <c r="AN125" s="1523"/>
      <c r="AO125" s="1523"/>
      <c r="AP125" s="1523"/>
      <c r="AQ125" s="1523"/>
      <c r="AR125" s="1524"/>
      <c r="AS125" s="1522" t="e">
        <f>#REF!</f>
        <v>#REF!</v>
      </c>
      <c r="AT125" s="1523"/>
      <c r="AU125" s="1523"/>
      <c r="AV125" s="1523"/>
      <c r="AW125" s="1523"/>
      <c r="AX125" s="1523"/>
      <c r="AY125" s="1523"/>
      <c r="AZ125" s="1524"/>
      <c r="BA125" s="1525">
        <f t="shared" si="11"/>
        <v>14.98</v>
      </c>
      <c r="BB125" s="1525"/>
      <c r="BC125" s="1525"/>
      <c r="BD125" s="1525"/>
      <c r="BE125" s="1525"/>
      <c r="BF125" s="1525"/>
      <c r="BG125" s="1525"/>
      <c r="BH125" s="1525"/>
      <c r="BI125" s="1512" t="e">
        <f t="shared" si="12"/>
        <v>#REF!</v>
      </c>
      <c r="BJ125" s="1512"/>
      <c r="BK125" s="1512"/>
      <c r="BL125" s="1512"/>
      <c r="BM125" s="1512"/>
      <c r="BN125" s="1512"/>
      <c r="BO125" s="1512"/>
      <c r="BP125" s="1512"/>
      <c r="BQ125" s="1512" t="e">
        <f t="shared" si="13"/>
        <v>#REF!</v>
      </c>
      <c r="BR125" s="1512"/>
      <c r="BS125" s="1512"/>
      <c r="BT125" s="1512"/>
      <c r="BU125" s="1512"/>
      <c r="BV125" s="1512"/>
      <c r="BW125" s="1512"/>
      <c r="BX125" s="1512"/>
      <c r="BY125" s="1512" t="e">
        <f t="shared" si="14"/>
        <v>#REF!</v>
      </c>
      <c r="BZ125" s="1512"/>
      <c r="CA125" s="1512"/>
      <c r="CB125" s="1512"/>
      <c r="CC125" s="1512"/>
      <c r="CD125" s="1512"/>
      <c r="CE125" s="1512"/>
      <c r="CF125" s="1513"/>
    </row>
    <row r="126" spans="1:88" s="535" customFormat="1" ht="23.1" customHeight="1">
      <c r="E126" s="1520" t="s">
        <v>277</v>
      </c>
      <c r="F126" s="1521"/>
      <c r="G126" s="1521"/>
      <c r="H126" s="1521"/>
      <c r="I126" s="1521"/>
      <c r="J126" s="1521"/>
      <c r="K126" s="1521"/>
      <c r="L126" s="1521"/>
      <c r="M126" s="1521"/>
      <c r="N126" s="1521"/>
      <c r="O126" s="1521"/>
      <c r="P126" s="1521"/>
      <c r="Q126" s="1521"/>
      <c r="R126" s="1521"/>
      <c r="S126" s="1521"/>
      <c r="T126" s="1521"/>
      <c r="U126" s="1521" t="s">
        <v>397</v>
      </c>
      <c r="V126" s="1521"/>
      <c r="W126" s="1521"/>
      <c r="X126" s="1521"/>
      <c r="Y126" s="1521"/>
      <c r="Z126" s="1521"/>
      <c r="AA126" s="1521"/>
      <c r="AB126" s="1521"/>
      <c r="AC126" s="1522" t="e">
        <f>#REF!</f>
        <v>#REF!</v>
      </c>
      <c r="AD126" s="1523"/>
      <c r="AE126" s="1523"/>
      <c r="AF126" s="1523"/>
      <c r="AG126" s="1523"/>
      <c r="AH126" s="1523"/>
      <c r="AI126" s="1523"/>
      <c r="AJ126" s="1524"/>
      <c r="AK126" s="1522" t="e">
        <f>#REF!</f>
        <v>#REF!</v>
      </c>
      <c r="AL126" s="1523"/>
      <c r="AM126" s="1523"/>
      <c r="AN126" s="1523"/>
      <c r="AO126" s="1523"/>
      <c r="AP126" s="1523"/>
      <c r="AQ126" s="1523"/>
      <c r="AR126" s="1524"/>
      <c r="AS126" s="1522" t="e">
        <f>#REF!</f>
        <v>#REF!</v>
      </c>
      <c r="AT126" s="1523"/>
      <c r="AU126" s="1523"/>
      <c r="AV126" s="1523"/>
      <c r="AW126" s="1523"/>
      <c r="AX126" s="1523"/>
      <c r="AY126" s="1523"/>
      <c r="AZ126" s="1524"/>
      <c r="BA126" s="1525">
        <f t="shared" si="11"/>
        <v>22.46</v>
      </c>
      <c r="BB126" s="1525"/>
      <c r="BC126" s="1525"/>
      <c r="BD126" s="1525"/>
      <c r="BE126" s="1525"/>
      <c r="BF126" s="1525"/>
      <c r="BG126" s="1525"/>
      <c r="BH126" s="1525"/>
      <c r="BI126" s="1512" t="e">
        <f t="shared" si="12"/>
        <v>#REF!</v>
      </c>
      <c r="BJ126" s="1512"/>
      <c r="BK126" s="1512"/>
      <c r="BL126" s="1512"/>
      <c r="BM126" s="1512"/>
      <c r="BN126" s="1512"/>
      <c r="BO126" s="1512"/>
      <c r="BP126" s="1512"/>
      <c r="BQ126" s="1512" t="e">
        <f t="shared" si="13"/>
        <v>#REF!</v>
      </c>
      <c r="BR126" s="1512"/>
      <c r="BS126" s="1512"/>
      <c r="BT126" s="1512"/>
      <c r="BU126" s="1512"/>
      <c r="BV126" s="1512"/>
      <c r="BW126" s="1512"/>
      <c r="BX126" s="1512"/>
      <c r="BY126" s="1512" t="e">
        <f t="shared" si="14"/>
        <v>#REF!</v>
      </c>
      <c r="BZ126" s="1512"/>
      <c r="CA126" s="1512"/>
      <c r="CB126" s="1512"/>
      <c r="CC126" s="1512"/>
      <c r="CD126" s="1512"/>
      <c r="CE126" s="1512"/>
      <c r="CF126" s="1513"/>
    </row>
    <row r="127" spans="1:88" s="535" customFormat="1" ht="23.1" customHeight="1">
      <c r="D127" s="542"/>
      <c r="E127" s="1520" t="s">
        <v>277</v>
      </c>
      <c r="F127" s="1521"/>
      <c r="G127" s="1521"/>
      <c r="H127" s="1521"/>
      <c r="I127" s="1521"/>
      <c r="J127" s="1521"/>
      <c r="K127" s="1521"/>
      <c r="L127" s="1521"/>
      <c r="M127" s="1521"/>
      <c r="N127" s="1521"/>
      <c r="O127" s="1521"/>
      <c r="P127" s="1521"/>
      <c r="Q127" s="1521"/>
      <c r="R127" s="1521"/>
      <c r="S127" s="1521"/>
      <c r="T127" s="1521"/>
      <c r="U127" s="1521" t="s">
        <v>399</v>
      </c>
      <c r="V127" s="1521"/>
      <c r="W127" s="1521"/>
      <c r="X127" s="1521"/>
      <c r="Y127" s="1521"/>
      <c r="Z127" s="1521"/>
      <c r="AA127" s="1521"/>
      <c r="AB127" s="1521"/>
      <c r="AC127" s="1522" t="e">
        <f>#REF!</f>
        <v>#REF!</v>
      </c>
      <c r="AD127" s="1523"/>
      <c r="AE127" s="1523"/>
      <c r="AF127" s="1523"/>
      <c r="AG127" s="1523"/>
      <c r="AH127" s="1523"/>
      <c r="AI127" s="1523"/>
      <c r="AJ127" s="1524"/>
      <c r="AK127" s="1522" t="e">
        <f>#REF!</f>
        <v>#REF!</v>
      </c>
      <c r="AL127" s="1523"/>
      <c r="AM127" s="1523"/>
      <c r="AN127" s="1523"/>
      <c r="AO127" s="1523"/>
      <c r="AP127" s="1523"/>
      <c r="AQ127" s="1523"/>
      <c r="AR127" s="1524"/>
      <c r="AS127" s="1522" t="e">
        <f>#REF!</f>
        <v>#REF!</v>
      </c>
      <c r="AT127" s="1523"/>
      <c r="AU127" s="1523"/>
      <c r="AV127" s="1523"/>
      <c r="AW127" s="1523"/>
      <c r="AX127" s="1523"/>
      <c r="AY127" s="1523"/>
      <c r="AZ127" s="1524"/>
      <c r="BA127" s="1525">
        <f t="shared" si="11"/>
        <v>26.21</v>
      </c>
      <c r="BB127" s="1525"/>
      <c r="BC127" s="1525"/>
      <c r="BD127" s="1525"/>
      <c r="BE127" s="1525"/>
      <c r="BF127" s="1525"/>
      <c r="BG127" s="1525"/>
      <c r="BH127" s="1525"/>
      <c r="BI127" s="1512" t="e">
        <f t="shared" si="12"/>
        <v>#REF!</v>
      </c>
      <c r="BJ127" s="1512"/>
      <c r="BK127" s="1512"/>
      <c r="BL127" s="1512"/>
      <c r="BM127" s="1512"/>
      <c r="BN127" s="1512"/>
      <c r="BO127" s="1512"/>
      <c r="BP127" s="1512"/>
      <c r="BQ127" s="1512" t="e">
        <f t="shared" si="13"/>
        <v>#REF!</v>
      </c>
      <c r="BR127" s="1512"/>
      <c r="BS127" s="1512"/>
      <c r="BT127" s="1512"/>
      <c r="BU127" s="1512"/>
      <c r="BV127" s="1512"/>
      <c r="BW127" s="1512"/>
      <c r="BX127" s="1512"/>
      <c r="BY127" s="1512" t="e">
        <f t="shared" si="14"/>
        <v>#REF!</v>
      </c>
      <c r="BZ127" s="1512"/>
      <c r="CA127" s="1512"/>
      <c r="CB127" s="1512"/>
      <c r="CC127" s="1512"/>
      <c r="CD127" s="1512"/>
      <c r="CE127" s="1512"/>
      <c r="CF127" s="1513"/>
    </row>
    <row r="128" spans="1:88" s="535" customFormat="1" ht="23.1" customHeight="1">
      <c r="A128" s="540"/>
      <c r="B128" s="540"/>
      <c r="C128" s="540"/>
      <c r="D128" s="540"/>
      <c r="E128" s="1520" t="s">
        <v>277</v>
      </c>
      <c r="F128" s="1521"/>
      <c r="G128" s="1521"/>
      <c r="H128" s="1521"/>
      <c r="I128" s="1521"/>
      <c r="J128" s="1521"/>
      <c r="K128" s="1521"/>
      <c r="L128" s="1521"/>
      <c r="M128" s="1521"/>
      <c r="N128" s="1521"/>
      <c r="O128" s="1521"/>
      <c r="P128" s="1521"/>
      <c r="Q128" s="1521"/>
      <c r="R128" s="1521"/>
      <c r="S128" s="1521"/>
      <c r="T128" s="1521"/>
      <c r="U128" s="1521" t="s">
        <v>400</v>
      </c>
      <c r="V128" s="1521"/>
      <c r="W128" s="1521"/>
      <c r="X128" s="1521"/>
      <c r="Y128" s="1521"/>
      <c r="Z128" s="1521"/>
      <c r="AA128" s="1521"/>
      <c r="AB128" s="1521"/>
      <c r="AC128" s="1522" t="e">
        <f>#REF!</f>
        <v>#REF!</v>
      </c>
      <c r="AD128" s="1523"/>
      <c r="AE128" s="1523"/>
      <c r="AF128" s="1523"/>
      <c r="AG128" s="1523"/>
      <c r="AH128" s="1523"/>
      <c r="AI128" s="1523"/>
      <c r="AJ128" s="1524"/>
      <c r="AK128" s="1522" t="e">
        <f>#REF!</f>
        <v>#REF!</v>
      </c>
      <c r="AL128" s="1523"/>
      <c r="AM128" s="1523"/>
      <c r="AN128" s="1523"/>
      <c r="AO128" s="1523"/>
      <c r="AP128" s="1523"/>
      <c r="AQ128" s="1523"/>
      <c r="AR128" s="1524"/>
      <c r="AS128" s="1522" t="e">
        <f>#REF!</f>
        <v>#REF!</v>
      </c>
      <c r="AT128" s="1523"/>
      <c r="AU128" s="1523"/>
      <c r="AV128" s="1523"/>
      <c r="AW128" s="1523"/>
      <c r="AX128" s="1523"/>
      <c r="AY128" s="1523"/>
      <c r="AZ128" s="1524"/>
      <c r="BA128" s="1525">
        <f t="shared" si="11"/>
        <v>29.95</v>
      </c>
      <c r="BB128" s="1525"/>
      <c r="BC128" s="1525"/>
      <c r="BD128" s="1525"/>
      <c r="BE128" s="1525"/>
      <c r="BF128" s="1525"/>
      <c r="BG128" s="1525"/>
      <c r="BH128" s="1525"/>
      <c r="BI128" s="1512" t="e">
        <f t="shared" si="12"/>
        <v>#REF!</v>
      </c>
      <c r="BJ128" s="1512"/>
      <c r="BK128" s="1512"/>
      <c r="BL128" s="1512"/>
      <c r="BM128" s="1512"/>
      <c r="BN128" s="1512"/>
      <c r="BO128" s="1512"/>
      <c r="BP128" s="1512"/>
      <c r="BQ128" s="1512" t="e">
        <f t="shared" si="13"/>
        <v>#REF!</v>
      </c>
      <c r="BR128" s="1512"/>
      <c r="BS128" s="1512"/>
      <c r="BT128" s="1512"/>
      <c r="BU128" s="1512"/>
      <c r="BV128" s="1512"/>
      <c r="BW128" s="1512"/>
      <c r="BX128" s="1512"/>
      <c r="BY128" s="1512" t="e">
        <f t="shared" si="14"/>
        <v>#REF!</v>
      </c>
      <c r="BZ128" s="1512"/>
      <c r="CA128" s="1512"/>
      <c r="CB128" s="1512"/>
      <c r="CC128" s="1512"/>
      <c r="CD128" s="1512"/>
      <c r="CE128" s="1512"/>
      <c r="CF128" s="1513"/>
    </row>
    <row r="129" spans="1:88" s="535" customFormat="1" ht="23.1" customHeight="1">
      <c r="E129" s="1520" t="s">
        <v>277</v>
      </c>
      <c r="F129" s="1521"/>
      <c r="G129" s="1521"/>
      <c r="H129" s="1521"/>
      <c r="I129" s="1521"/>
      <c r="J129" s="1521"/>
      <c r="K129" s="1521"/>
      <c r="L129" s="1521"/>
      <c r="M129" s="1521"/>
      <c r="N129" s="1521"/>
      <c r="O129" s="1521"/>
      <c r="P129" s="1521"/>
      <c r="Q129" s="1521"/>
      <c r="R129" s="1521"/>
      <c r="S129" s="1521"/>
      <c r="T129" s="1521"/>
      <c r="U129" s="1521" t="s">
        <v>401</v>
      </c>
      <c r="V129" s="1521"/>
      <c r="W129" s="1521"/>
      <c r="X129" s="1521"/>
      <c r="Y129" s="1521"/>
      <c r="Z129" s="1521"/>
      <c r="AA129" s="1521"/>
      <c r="AB129" s="1521"/>
      <c r="AC129" s="1522" t="e">
        <f>#REF!</f>
        <v>#REF!</v>
      </c>
      <c r="AD129" s="1523"/>
      <c r="AE129" s="1523"/>
      <c r="AF129" s="1523"/>
      <c r="AG129" s="1523"/>
      <c r="AH129" s="1523"/>
      <c r="AI129" s="1523"/>
      <c r="AJ129" s="1524"/>
      <c r="AK129" s="1522" t="e">
        <f>#REF!</f>
        <v>#REF!</v>
      </c>
      <c r="AL129" s="1523"/>
      <c r="AM129" s="1523"/>
      <c r="AN129" s="1523"/>
      <c r="AO129" s="1523"/>
      <c r="AP129" s="1523"/>
      <c r="AQ129" s="1523"/>
      <c r="AR129" s="1524"/>
      <c r="AS129" s="1522" t="e">
        <f>#REF!</f>
        <v>#REF!</v>
      </c>
      <c r="AT129" s="1523"/>
      <c r="AU129" s="1523"/>
      <c r="AV129" s="1523"/>
      <c r="AW129" s="1523"/>
      <c r="AX129" s="1523"/>
      <c r="AY129" s="1523"/>
      <c r="AZ129" s="1524"/>
      <c r="BA129" s="1525">
        <f t="shared" si="11"/>
        <v>35.47</v>
      </c>
      <c r="BB129" s="1525"/>
      <c r="BC129" s="1525"/>
      <c r="BD129" s="1525"/>
      <c r="BE129" s="1525"/>
      <c r="BF129" s="1525"/>
      <c r="BG129" s="1525"/>
      <c r="BH129" s="1525"/>
      <c r="BI129" s="1512" t="e">
        <f t="shared" si="12"/>
        <v>#REF!</v>
      </c>
      <c r="BJ129" s="1512"/>
      <c r="BK129" s="1512"/>
      <c r="BL129" s="1512"/>
      <c r="BM129" s="1512"/>
      <c r="BN129" s="1512"/>
      <c r="BO129" s="1512"/>
      <c r="BP129" s="1512"/>
      <c r="BQ129" s="1512" t="e">
        <f t="shared" si="13"/>
        <v>#REF!</v>
      </c>
      <c r="BR129" s="1512"/>
      <c r="BS129" s="1512"/>
      <c r="BT129" s="1512"/>
      <c r="BU129" s="1512"/>
      <c r="BV129" s="1512"/>
      <c r="BW129" s="1512"/>
      <c r="BX129" s="1512"/>
      <c r="BY129" s="1512" t="e">
        <f t="shared" si="14"/>
        <v>#REF!</v>
      </c>
      <c r="BZ129" s="1512"/>
      <c r="CA129" s="1512"/>
      <c r="CB129" s="1512"/>
      <c r="CC129" s="1512"/>
      <c r="CD129" s="1512"/>
      <c r="CE129" s="1512"/>
      <c r="CF129" s="1513"/>
    </row>
    <row r="130" spans="1:88" s="535" customFormat="1" ht="23.1" customHeight="1">
      <c r="E130" s="1520" t="s">
        <v>409</v>
      </c>
      <c r="F130" s="1521"/>
      <c r="G130" s="1521"/>
      <c r="H130" s="1521"/>
      <c r="I130" s="1521"/>
      <c r="J130" s="1521"/>
      <c r="K130" s="1521"/>
      <c r="L130" s="1521"/>
      <c r="M130" s="1521"/>
      <c r="N130" s="1521"/>
      <c r="O130" s="1521"/>
      <c r="P130" s="1521"/>
      <c r="Q130" s="1521"/>
      <c r="R130" s="1521"/>
      <c r="S130" s="1521"/>
      <c r="T130" s="1521"/>
      <c r="U130" s="1521" t="s">
        <v>394</v>
      </c>
      <c r="V130" s="1521"/>
      <c r="W130" s="1521"/>
      <c r="X130" s="1521"/>
      <c r="Y130" s="1521"/>
      <c r="Z130" s="1521"/>
      <c r="AA130" s="1521"/>
      <c r="AB130" s="1521"/>
      <c r="AC130" s="1522" t="e">
        <f>#REF!</f>
        <v>#REF!</v>
      </c>
      <c r="AD130" s="1523"/>
      <c r="AE130" s="1523"/>
      <c r="AF130" s="1523"/>
      <c r="AG130" s="1523"/>
      <c r="AH130" s="1523"/>
      <c r="AI130" s="1523"/>
      <c r="AJ130" s="1524"/>
      <c r="AK130" s="1522" t="e">
        <f>#REF!</f>
        <v>#REF!</v>
      </c>
      <c r="AL130" s="1523"/>
      <c r="AM130" s="1523"/>
      <c r="AN130" s="1523"/>
      <c r="AO130" s="1523"/>
      <c r="AP130" s="1523"/>
      <c r="AQ130" s="1523"/>
      <c r="AR130" s="1524"/>
      <c r="AS130" s="1522" t="e">
        <f>#REF!</f>
        <v>#REF!</v>
      </c>
      <c r="AT130" s="1523"/>
      <c r="AU130" s="1523"/>
      <c r="AV130" s="1523"/>
      <c r="AW130" s="1523"/>
      <c r="AX130" s="1523"/>
      <c r="AY130" s="1523"/>
      <c r="AZ130" s="1524"/>
      <c r="BA130" s="1525">
        <f>BU111</f>
        <v>6.07</v>
      </c>
      <c r="BB130" s="1525"/>
      <c r="BC130" s="1525"/>
      <c r="BD130" s="1525"/>
      <c r="BE130" s="1525"/>
      <c r="BF130" s="1525"/>
      <c r="BG130" s="1525"/>
      <c r="BH130" s="1525"/>
      <c r="BI130" s="1512" t="e">
        <f t="shared" si="12"/>
        <v>#REF!</v>
      </c>
      <c r="BJ130" s="1512"/>
      <c r="BK130" s="1512"/>
      <c r="BL130" s="1512"/>
      <c r="BM130" s="1512"/>
      <c r="BN130" s="1512"/>
      <c r="BO130" s="1512"/>
      <c r="BP130" s="1512"/>
      <c r="BQ130" s="1512" t="e">
        <f t="shared" si="13"/>
        <v>#REF!</v>
      </c>
      <c r="BR130" s="1512"/>
      <c r="BS130" s="1512"/>
      <c r="BT130" s="1512"/>
      <c r="BU130" s="1512"/>
      <c r="BV130" s="1512"/>
      <c r="BW130" s="1512"/>
      <c r="BX130" s="1512"/>
      <c r="BY130" s="1512" t="e">
        <f t="shared" si="14"/>
        <v>#REF!</v>
      </c>
      <c r="BZ130" s="1512"/>
      <c r="CA130" s="1512"/>
      <c r="CB130" s="1512"/>
      <c r="CC130" s="1512"/>
      <c r="CD130" s="1512"/>
      <c r="CE130" s="1512"/>
      <c r="CF130" s="1513"/>
    </row>
    <row r="131" spans="1:88" s="535" customFormat="1" ht="23.1" customHeight="1" thickBot="1">
      <c r="E131" s="1509" t="s">
        <v>409</v>
      </c>
      <c r="F131" s="1510"/>
      <c r="G131" s="1510"/>
      <c r="H131" s="1510"/>
      <c r="I131" s="1510"/>
      <c r="J131" s="1510"/>
      <c r="K131" s="1510"/>
      <c r="L131" s="1510"/>
      <c r="M131" s="1510"/>
      <c r="N131" s="1510"/>
      <c r="O131" s="1510"/>
      <c r="P131" s="1510"/>
      <c r="Q131" s="1510"/>
      <c r="R131" s="1510"/>
      <c r="S131" s="1510"/>
      <c r="T131" s="1510"/>
      <c r="U131" s="1510" t="s">
        <v>397</v>
      </c>
      <c r="V131" s="1510"/>
      <c r="W131" s="1510"/>
      <c r="X131" s="1510"/>
      <c r="Y131" s="1510"/>
      <c r="Z131" s="1510"/>
      <c r="AA131" s="1510"/>
      <c r="AB131" s="1510"/>
      <c r="AC131" s="1507" t="e">
        <f>#REF!</f>
        <v>#REF!</v>
      </c>
      <c r="AD131" s="1507"/>
      <c r="AE131" s="1507"/>
      <c r="AF131" s="1507"/>
      <c r="AG131" s="1507"/>
      <c r="AH131" s="1507"/>
      <c r="AI131" s="1507"/>
      <c r="AJ131" s="1507"/>
      <c r="AK131" s="1507" t="e">
        <f>#REF!</f>
        <v>#REF!</v>
      </c>
      <c r="AL131" s="1507"/>
      <c r="AM131" s="1507"/>
      <c r="AN131" s="1507"/>
      <c r="AO131" s="1507"/>
      <c r="AP131" s="1507"/>
      <c r="AQ131" s="1507"/>
      <c r="AR131" s="1507"/>
      <c r="AS131" s="1507" t="e">
        <f>#REF!</f>
        <v>#REF!</v>
      </c>
      <c r="AT131" s="1507"/>
      <c r="AU131" s="1507"/>
      <c r="AV131" s="1507"/>
      <c r="AW131" s="1507"/>
      <c r="AX131" s="1507"/>
      <c r="AY131" s="1507"/>
      <c r="AZ131" s="1507"/>
      <c r="BA131" s="1511">
        <f>BU114</f>
        <v>22.46</v>
      </c>
      <c r="BB131" s="1511"/>
      <c r="BC131" s="1511"/>
      <c r="BD131" s="1511"/>
      <c r="BE131" s="1511"/>
      <c r="BF131" s="1511"/>
      <c r="BG131" s="1511"/>
      <c r="BH131" s="1511"/>
      <c r="BI131" s="1717" t="e">
        <f t="shared" si="12"/>
        <v>#REF!</v>
      </c>
      <c r="BJ131" s="1717"/>
      <c r="BK131" s="1717"/>
      <c r="BL131" s="1717"/>
      <c r="BM131" s="1717"/>
      <c r="BN131" s="1717"/>
      <c r="BO131" s="1717"/>
      <c r="BP131" s="1717"/>
      <c r="BQ131" s="1717" t="e">
        <f t="shared" si="13"/>
        <v>#REF!</v>
      </c>
      <c r="BR131" s="1717"/>
      <c r="BS131" s="1717"/>
      <c r="BT131" s="1717"/>
      <c r="BU131" s="1717"/>
      <c r="BV131" s="1717"/>
      <c r="BW131" s="1717"/>
      <c r="BX131" s="1717"/>
      <c r="BY131" s="1717" t="e">
        <f t="shared" si="14"/>
        <v>#REF!</v>
      </c>
      <c r="BZ131" s="1717"/>
      <c r="CA131" s="1717"/>
      <c r="CB131" s="1717"/>
      <c r="CC131" s="1717"/>
      <c r="CD131" s="1717"/>
      <c r="CE131" s="1717"/>
      <c r="CF131" s="1718"/>
    </row>
    <row r="132" spans="1:88" s="535" customFormat="1" ht="23.1" customHeight="1"/>
    <row r="133" spans="1:88" s="535" customFormat="1" ht="23.1" customHeight="1">
      <c r="A133" s="1579" t="s">
        <v>411</v>
      </c>
      <c r="B133" s="1579"/>
      <c r="C133" s="1579"/>
      <c r="D133" s="1579"/>
      <c r="E133" s="1579"/>
      <c r="F133" s="1579"/>
      <c r="G133" s="1579"/>
      <c r="H133" s="1579"/>
      <c r="I133" s="1579"/>
      <c r="J133" s="1579"/>
      <c r="K133" s="1579"/>
      <c r="L133" s="1579"/>
      <c r="M133" s="1579"/>
      <c r="N133" s="1579"/>
      <c r="O133" s="1579"/>
      <c r="P133" s="1579"/>
      <c r="Q133" s="1579"/>
      <c r="R133" s="1579"/>
      <c r="S133" s="1579"/>
      <c r="T133" s="1579"/>
      <c r="U133" s="1579"/>
      <c r="V133" s="1579"/>
      <c r="W133" s="1579"/>
      <c r="X133" s="1579"/>
      <c r="Y133" s="1579"/>
      <c r="Z133" s="1579"/>
      <c r="AA133" s="1579"/>
      <c r="AB133" s="1579"/>
      <c r="AC133" s="1579"/>
      <c r="AD133" s="1579"/>
      <c r="AE133" s="1579"/>
      <c r="AF133" s="1579"/>
      <c r="AG133" s="1579"/>
      <c r="AH133" s="1579"/>
      <c r="AI133" s="1579"/>
      <c r="AJ133" s="1579"/>
      <c r="AK133" s="1579"/>
      <c r="AL133" s="1579"/>
      <c r="AM133" s="1579"/>
      <c r="AN133" s="1579"/>
      <c r="AO133" s="1579"/>
      <c r="AP133" s="1579"/>
      <c r="AQ133" s="1579"/>
      <c r="AR133" s="1579"/>
      <c r="AS133" s="1579"/>
      <c r="AT133" s="1579"/>
      <c r="AU133" s="1579"/>
      <c r="AV133" s="1579"/>
      <c r="AW133" s="1579"/>
      <c r="AX133" s="1579"/>
      <c r="AY133" s="1579"/>
      <c r="AZ133" s="1579"/>
      <c r="BA133" s="1579"/>
      <c r="BB133" s="1579"/>
      <c r="BC133" s="1579"/>
      <c r="BD133" s="1579"/>
      <c r="BE133" s="1579"/>
      <c r="BF133" s="1579"/>
      <c r="BG133" s="1579"/>
      <c r="BH133" s="1579"/>
      <c r="BI133" s="1579"/>
      <c r="BJ133" s="1579"/>
      <c r="BK133" s="1579"/>
      <c r="BL133" s="1579"/>
      <c r="BM133" s="1579"/>
      <c r="BN133" s="1579"/>
      <c r="BO133" s="1579"/>
      <c r="BP133" s="1579"/>
      <c r="BQ133" s="1579"/>
      <c r="BR133" s="1579"/>
      <c r="BS133" s="1579"/>
      <c r="BT133" s="1579"/>
      <c r="BU133" s="1579"/>
      <c r="BV133" s="1579"/>
      <c r="BW133" s="1579"/>
      <c r="BX133" s="1579"/>
      <c r="BY133" s="1579"/>
      <c r="BZ133" s="1579"/>
      <c r="CA133" s="1579"/>
      <c r="CB133" s="1579"/>
      <c r="CC133" s="1579"/>
      <c r="CD133" s="1579"/>
      <c r="CE133" s="1579"/>
      <c r="CF133" s="1579"/>
      <c r="CJ133" s="535" t="s">
        <v>759</v>
      </c>
    </row>
    <row r="134" spans="1:88" s="534" customFormat="1" ht="9.9499999999999993" customHeight="1">
      <c r="A134" s="536"/>
      <c r="B134" s="536"/>
      <c r="C134" s="536"/>
      <c r="D134" s="536"/>
      <c r="E134" s="536"/>
      <c r="F134" s="536"/>
      <c r="G134" s="536"/>
      <c r="H134" s="536"/>
      <c r="I134" s="536"/>
      <c r="J134" s="536"/>
      <c r="K134" s="536"/>
      <c r="L134" s="536"/>
      <c r="M134" s="536"/>
      <c r="N134" s="536"/>
      <c r="O134" s="536"/>
      <c r="P134" s="536"/>
      <c r="Q134" s="536"/>
      <c r="R134" s="536"/>
      <c r="S134" s="536"/>
      <c r="T134" s="536"/>
      <c r="U134" s="536"/>
      <c r="V134" s="536"/>
      <c r="W134" s="536"/>
      <c r="X134" s="536"/>
      <c r="Y134" s="536"/>
      <c r="Z134" s="536"/>
      <c r="AA134" s="536"/>
      <c r="AB134" s="536"/>
      <c r="AC134" s="536"/>
      <c r="AD134" s="536"/>
      <c r="AE134" s="536"/>
      <c r="AF134" s="536"/>
      <c r="AG134" s="536"/>
      <c r="AH134" s="536"/>
      <c r="AI134" s="536"/>
      <c r="AJ134" s="536"/>
      <c r="AK134" s="536"/>
      <c r="AL134" s="536"/>
      <c r="AM134" s="536"/>
      <c r="AN134" s="536"/>
      <c r="AO134" s="536"/>
      <c r="AP134" s="536"/>
      <c r="AQ134" s="536"/>
      <c r="AR134" s="536"/>
      <c r="AS134" s="536"/>
      <c r="AT134" s="536"/>
      <c r="AU134" s="536"/>
      <c r="AV134" s="536"/>
      <c r="AW134" s="536"/>
      <c r="AX134" s="536"/>
      <c r="AY134" s="536"/>
      <c r="AZ134" s="536"/>
      <c r="BA134" s="536"/>
      <c r="BB134" s="536"/>
      <c r="BC134" s="536"/>
      <c r="BD134" s="536"/>
      <c r="BE134" s="536"/>
      <c r="BF134" s="536"/>
      <c r="BG134" s="536"/>
      <c r="BH134" s="536"/>
      <c r="BI134" s="536"/>
      <c r="BJ134" s="536"/>
      <c r="BK134" s="536"/>
      <c r="BL134" s="536"/>
      <c r="BM134" s="536"/>
      <c r="BN134" s="536"/>
      <c r="BO134" s="536"/>
      <c r="BP134" s="536"/>
      <c r="BQ134" s="536"/>
      <c r="BR134" s="536"/>
      <c r="BS134" s="536"/>
      <c r="BT134" s="536"/>
      <c r="BU134" s="536"/>
      <c r="BV134" s="536"/>
      <c r="BW134" s="536"/>
      <c r="BX134" s="536"/>
      <c r="BY134" s="536"/>
      <c r="BZ134" s="536"/>
      <c r="CA134" s="536"/>
      <c r="CB134" s="536"/>
      <c r="CC134" s="536"/>
      <c r="CD134" s="536"/>
      <c r="CE134" s="536"/>
      <c r="CF134" s="536"/>
      <c r="CJ134" s="535"/>
    </row>
    <row r="135" spans="1:88" s="539" customFormat="1" ht="23.1" customHeight="1">
      <c r="A135" s="537"/>
      <c r="B135" s="538" t="s">
        <v>758</v>
      </c>
      <c r="C135" s="537"/>
      <c r="D135" s="537"/>
      <c r="E135" s="537"/>
      <c r="F135" s="537"/>
      <c r="G135" s="537"/>
      <c r="H135" s="537"/>
      <c r="I135" s="537"/>
      <c r="J135" s="537"/>
      <c r="K135" s="537"/>
      <c r="L135" s="537"/>
      <c r="M135" s="537"/>
      <c r="N135" s="537"/>
      <c r="O135" s="537"/>
      <c r="P135" s="537"/>
      <c r="Q135" s="537"/>
      <c r="R135" s="537"/>
      <c r="S135" s="537"/>
      <c r="T135" s="537"/>
      <c r="U135" s="537"/>
      <c r="V135" s="537"/>
      <c r="W135" s="537"/>
      <c r="X135" s="537"/>
      <c r="Y135" s="537"/>
      <c r="Z135" s="537"/>
      <c r="AA135" s="537"/>
      <c r="AB135" s="537"/>
      <c r="AC135" s="537"/>
      <c r="AD135" s="537"/>
      <c r="AE135" s="537"/>
      <c r="AF135" s="537"/>
      <c r="AG135" s="537"/>
      <c r="AH135" s="537"/>
      <c r="AI135" s="537"/>
      <c r="AJ135" s="537"/>
      <c r="AK135" s="537"/>
      <c r="AL135" s="537"/>
      <c r="AM135" s="537"/>
      <c r="AN135" s="537"/>
      <c r="AO135" s="537"/>
      <c r="AP135" s="537"/>
      <c r="AQ135" s="537"/>
      <c r="AR135" s="537"/>
      <c r="AS135" s="537"/>
      <c r="AT135" s="537"/>
      <c r="AU135" s="537"/>
      <c r="BM135" s="537"/>
      <c r="BN135" s="537"/>
      <c r="BO135" s="537"/>
      <c r="BP135" s="537"/>
      <c r="BQ135" s="537"/>
      <c r="BR135" s="537"/>
      <c r="BS135" s="537"/>
      <c r="BT135" s="537"/>
      <c r="BU135" s="537"/>
      <c r="BV135" s="537"/>
      <c r="BW135" s="537"/>
      <c r="BX135" s="537"/>
      <c r="BY135" s="537"/>
      <c r="BZ135" s="537"/>
      <c r="CA135" s="537"/>
      <c r="CB135" s="537"/>
      <c r="CC135" s="537"/>
      <c r="CD135" s="537"/>
      <c r="CE135" s="537"/>
      <c r="CF135" s="537"/>
      <c r="CJ135" s="535" t="s">
        <v>757</v>
      </c>
    </row>
    <row r="136" spans="1:88" s="535" customFormat="1" ht="9.9499999999999993" customHeight="1">
      <c r="A136" s="540"/>
      <c r="B136" s="540"/>
      <c r="C136" s="540"/>
      <c r="D136" s="540"/>
      <c r="E136" s="540"/>
      <c r="F136" s="540"/>
      <c r="G136" s="540"/>
      <c r="H136" s="540"/>
      <c r="I136" s="540"/>
      <c r="J136" s="540"/>
      <c r="K136" s="540"/>
      <c r="L136" s="540"/>
      <c r="M136" s="540"/>
      <c r="N136" s="540"/>
      <c r="O136" s="540"/>
      <c r="P136" s="540"/>
      <c r="Q136" s="540"/>
      <c r="R136" s="540"/>
      <c r="S136" s="540"/>
      <c r="T136" s="540"/>
      <c r="U136" s="540"/>
      <c r="V136" s="540"/>
      <c r="W136" s="540"/>
      <c r="X136" s="540"/>
      <c r="Y136" s="540"/>
      <c r="Z136" s="540"/>
      <c r="AA136" s="540"/>
      <c r="AB136" s="540"/>
      <c r="AC136" s="540"/>
      <c r="AD136" s="540"/>
      <c r="AE136" s="540"/>
      <c r="AF136" s="540"/>
      <c r="AG136" s="540"/>
      <c r="AH136" s="540"/>
      <c r="AI136" s="540"/>
      <c r="AJ136" s="540"/>
      <c r="AK136" s="540"/>
      <c r="AL136" s="540"/>
      <c r="AM136" s="540"/>
      <c r="AN136" s="540"/>
      <c r="AO136" s="540"/>
      <c r="AP136" s="540"/>
      <c r="AQ136" s="540"/>
      <c r="AR136" s="540"/>
      <c r="AS136" s="540"/>
      <c r="AT136" s="540"/>
      <c r="AU136" s="540"/>
      <c r="AV136" s="540"/>
      <c r="AW136" s="540"/>
      <c r="AX136" s="540"/>
      <c r="AY136" s="540"/>
      <c r="AZ136" s="540"/>
      <c r="BA136" s="540"/>
      <c r="BB136" s="540"/>
      <c r="BC136" s="540"/>
      <c r="BD136" s="540"/>
      <c r="BE136" s="540"/>
      <c r="BF136" s="540"/>
      <c r="BG136" s="540"/>
      <c r="BH136" s="540"/>
      <c r="BI136" s="540"/>
      <c r="BJ136" s="540"/>
      <c r="BK136" s="540"/>
      <c r="BL136" s="540"/>
      <c r="BM136" s="540"/>
      <c r="BN136" s="540"/>
      <c r="BO136" s="540"/>
      <c r="BP136" s="540"/>
      <c r="BQ136" s="540"/>
      <c r="BR136" s="540"/>
      <c r="BS136" s="540"/>
      <c r="BT136" s="541"/>
      <c r="BU136" s="541"/>
      <c r="BV136" s="541"/>
      <c r="BW136" s="541"/>
      <c r="BX136" s="541"/>
      <c r="BY136" s="541"/>
      <c r="BZ136" s="541"/>
      <c r="CA136" s="541"/>
      <c r="CB136" s="541"/>
      <c r="CC136" s="541"/>
      <c r="CD136" s="540"/>
      <c r="CE136" s="540"/>
      <c r="CF136" s="540"/>
    </row>
    <row r="137" spans="1:88" s="535" customFormat="1" ht="23.1" customHeight="1">
      <c r="E137" s="535" t="s">
        <v>756</v>
      </c>
      <c r="BT137" s="414"/>
      <c r="BU137" s="414"/>
      <c r="BV137" s="414"/>
      <c r="BW137" s="414"/>
      <c r="BX137" s="414"/>
      <c r="BY137" s="414"/>
      <c r="BZ137" s="414"/>
      <c r="CA137" s="414"/>
      <c r="CB137" s="414"/>
      <c r="CC137" s="414"/>
    </row>
    <row r="138" spans="1:88" s="535" customFormat="1" ht="9.9499999999999993" customHeight="1" thickBot="1">
      <c r="D138" s="405"/>
      <c r="Q138" s="546"/>
      <c r="R138" s="546"/>
      <c r="S138" s="546"/>
      <c r="T138" s="546"/>
      <c r="U138" s="546"/>
      <c r="V138" s="546"/>
      <c r="W138" s="546"/>
      <c r="X138" s="546"/>
      <c r="Y138" s="546"/>
      <c r="Z138" s="546"/>
      <c r="AA138" s="546"/>
      <c r="AB138" s="546"/>
      <c r="AV138" s="544"/>
      <c r="AW138" s="544"/>
      <c r="AX138" s="544"/>
      <c r="AY138" s="544"/>
      <c r="AZ138" s="544"/>
      <c r="BA138" s="544"/>
      <c r="BB138" s="544"/>
      <c r="BC138" s="544"/>
      <c r="BD138" s="544"/>
      <c r="BE138" s="545"/>
      <c r="BF138" s="545"/>
      <c r="BG138" s="545"/>
      <c r="BH138" s="545"/>
      <c r="BI138" s="545"/>
      <c r="BJ138" s="545"/>
      <c r="BK138" s="545"/>
      <c r="BL138" s="545"/>
      <c r="BM138" s="545"/>
      <c r="BN138" s="545"/>
      <c r="BO138" s="545"/>
      <c r="BP138" s="545"/>
      <c r="BQ138" s="545"/>
      <c r="BR138" s="545"/>
      <c r="BS138" s="545"/>
      <c r="BT138" s="545"/>
      <c r="BU138" s="545"/>
      <c r="BV138" s="545"/>
      <c r="BW138" s="545"/>
      <c r="BX138" s="545"/>
      <c r="BY138" s="545"/>
      <c r="BZ138" s="545"/>
      <c r="CA138" s="545"/>
      <c r="CB138" s="545"/>
      <c r="CC138" s="545"/>
      <c r="CD138" s="545"/>
      <c r="CE138" s="545"/>
      <c r="CF138" s="545"/>
    </row>
    <row r="139" spans="1:88" s="535" customFormat="1" ht="23.1" customHeight="1">
      <c r="A139" s="540"/>
      <c r="B139" s="540"/>
      <c r="C139" s="540"/>
      <c r="D139" s="540"/>
      <c r="E139" s="1534" t="s">
        <v>369</v>
      </c>
      <c r="F139" s="1535"/>
      <c r="G139" s="1535"/>
      <c r="H139" s="1535"/>
      <c r="I139" s="1535"/>
      <c r="J139" s="1535"/>
      <c r="K139" s="1535"/>
      <c r="L139" s="1535"/>
      <c r="M139" s="1535"/>
      <c r="N139" s="1535"/>
      <c r="O139" s="1535"/>
      <c r="P139" s="1535"/>
      <c r="Q139" s="1535"/>
      <c r="R139" s="1535"/>
      <c r="S139" s="1535"/>
      <c r="T139" s="1535"/>
      <c r="U139" s="1535" t="s">
        <v>403</v>
      </c>
      <c r="V139" s="1535"/>
      <c r="W139" s="1535"/>
      <c r="X139" s="1535"/>
      <c r="Y139" s="1535"/>
      <c r="Z139" s="1535"/>
      <c r="AA139" s="1535"/>
      <c r="AB139" s="1535"/>
      <c r="AC139" s="1535"/>
      <c r="AD139" s="1535"/>
      <c r="AE139" s="1535"/>
      <c r="AF139" s="1535"/>
      <c r="AG139" s="1535"/>
      <c r="AH139" s="1535"/>
      <c r="AI139" s="1535"/>
      <c r="AJ139" s="1535"/>
      <c r="AK139" s="1535"/>
      <c r="AL139" s="1535"/>
      <c r="AM139" s="1535"/>
      <c r="AN139" s="1535"/>
      <c r="AO139" s="1535"/>
      <c r="AP139" s="1535"/>
      <c r="AQ139" s="1535"/>
      <c r="AR139" s="1535"/>
      <c r="AS139" s="1537" t="s">
        <v>404</v>
      </c>
      <c r="AT139" s="1535"/>
      <c r="AU139" s="1535"/>
      <c r="AV139" s="1535"/>
      <c r="AW139" s="1535"/>
      <c r="AX139" s="1535"/>
      <c r="AY139" s="1535"/>
      <c r="AZ139" s="1535"/>
      <c r="BA139" s="1535" t="s">
        <v>405</v>
      </c>
      <c r="BB139" s="1535"/>
      <c r="BC139" s="1535"/>
      <c r="BD139" s="1535"/>
      <c r="BE139" s="1535"/>
      <c r="BF139" s="1535"/>
      <c r="BG139" s="1535"/>
      <c r="BH139" s="1535"/>
      <c r="BI139" s="1535"/>
      <c r="BJ139" s="1535"/>
      <c r="BK139" s="1535"/>
      <c r="BL139" s="1535"/>
      <c r="BM139" s="1535"/>
      <c r="BN139" s="1535"/>
      <c r="BO139" s="1535"/>
      <c r="BP139" s="1535"/>
      <c r="BQ139" s="1535"/>
      <c r="BR139" s="1535"/>
      <c r="BS139" s="1535"/>
      <c r="BT139" s="1535"/>
      <c r="BU139" s="1535"/>
      <c r="BV139" s="1535"/>
      <c r="BW139" s="1535"/>
      <c r="BX139" s="1535"/>
      <c r="BY139" s="1535"/>
      <c r="BZ139" s="1535"/>
      <c r="CA139" s="1535"/>
      <c r="CB139" s="1535"/>
      <c r="CC139" s="1535"/>
      <c r="CD139" s="1535"/>
      <c r="CE139" s="1535"/>
      <c r="CF139" s="1538"/>
    </row>
    <row r="140" spans="1:88" s="535" customFormat="1" ht="23.1" customHeight="1" thickBot="1">
      <c r="D140" s="405"/>
      <c r="E140" s="1536"/>
      <c r="F140" s="1527"/>
      <c r="G140" s="1527"/>
      <c r="H140" s="1527"/>
      <c r="I140" s="1527"/>
      <c r="J140" s="1527"/>
      <c r="K140" s="1527"/>
      <c r="L140" s="1527"/>
      <c r="M140" s="1527"/>
      <c r="N140" s="1527"/>
      <c r="O140" s="1527"/>
      <c r="P140" s="1527"/>
      <c r="Q140" s="1527"/>
      <c r="R140" s="1527"/>
      <c r="S140" s="1527"/>
      <c r="T140" s="1527"/>
      <c r="U140" s="1527" t="s">
        <v>406</v>
      </c>
      <c r="V140" s="1527"/>
      <c r="W140" s="1527"/>
      <c r="X140" s="1527"/>
      <c r="Y140" s="1527"/>
      <c r="Z140" s="1527"/>
      <c r="AA140" s="1527"/>
      <c r="AB140" s="1527"/>
      <c r="AC140" s="1527" t="s">
        <v>407</v>
      </c>
      <c r="AD140" s="1527"/>
      <c r="AE140" s="1527"/>
      <c r="AF140" s="1527"/>
      <c r="AG140" s="1527"/>
      <c r="AH140" s="1527"/>
      <c r="AI140" s="1527"/>
      <c r="AJ140" s="1527"/>
      <c r="AK140" s="1527" t="s">
        <v>408</v>
      </c>
      <c r="AL140" s="1527"/>
      <c r="AM140" s="1527"/>
      <c r="AN140" s="1527"/>
      <c r="AO140" s="1527"/>
      <c r="AP140" s="1527"/>
      <c r="AQ140" s="1527"/>
      <c r="AR140" s="1527"/>
      <c r="AS140" s="1527"/>
      <c r="AT140" s="1527"/>
      <c r="AU140" s="1527"/>
      <c r="AV140" s="1527"/>
      <c r="AW140" s="1527"/>
      <c r="AX140" s="1527"/>
      <c r="AY140" s="1527"/>
      <c r="AZ140" s="1527"/>
      <c r="BA140" s="1527" t="s">
        <v>406</v>
      </c>
      <c r="BB140" s="1527"/>
      <c r="BC140" s="1527"/>
      <c r="BD140" s="1527"/>
      <c r="BE140" s="1527"/>
      <c r="BF140" s="1527"/>
      <c r="BG140" s="1527"/>
      <c r="BH140" s="1527"/>
      <c r="BI140" s="1527" t="s">
        <v>407</v>
      </c>
      <c r="BJ140" s="1527"/>
      <c r="BK140" s="1527"/>
      <c r="BL140" s="1527"/>
      <c r="BM140" s="1527"/>
      <c r="BN140" s="1527"/>
      <c r="BO140" s="1527"/>
      <c r="BP140" s="1527"/>
      <c r="BQ140" s="1527" t="s">
        <v>423</v>
      </c>
      <c r="BR140" s="1527"/>
      <c r="BS140" s="1527"/>
      <c r="BT140" s="1527"/>
      <c r="BU140" s="1527"/>
      <c r="BV140" s="1527"/>
      <c r="BW140" s="1527"/>
      <c r="BX140" s="1527"/>
      <c r="BY140" s="1527" t="s">
        <v>424</v>
      </c>
      <c r="BZ140" s="1527"/>
      <c r="CA140" s="1527"/>
      <c r="CB140" s="1527"/>
      <c r="CC140" s="1527"/>
      <c r="CD140" s="1527"/>
      <c r="CE140" s="1527"/>
      <c r="CF140" s="1528"/>
    </row>
    <row r="141" spans="1:88" s="535" customFormat="1" ht="23.1" customHeight="1" thickTop="1">
      <c r="D141" s="405"/>
      <c r="E141" s="1681" t="s">
        <v>425</v>
      </c>
      <c r="F141" s="1706"/>
      <c r="G141" s="1706"/>
      <c r="H141" s="1706"/>
      <c r="I141" s="1706"/>
      <c r="J141" s="1620" t="s">
        <v>415</v>
      </c>
      <c r="K141" s="1620"/>
      <c r="L141" s="1620"/>
      <c r="M141" s="1620"/>
      <c r="N141" s="1620"/>
      <c r="O141" s="1620"/>
      <c r="P141" s="1620"/>
      <c r="Q141" s="1620"/>
      <c r="R141" s="1620"/>
      <c r="S141" s="1620"/>
      <c r="T141" s="1620"/>
      <c r="U141" s="1532" t="e">
        <f>$AG$156</f>
        <v>#REF!</v>
      </c>
      <c r="V141" s="1532"/>
      <c r="W141" s="1532"/>
      <c r="X141" s="1532"/>
      <c r="Y141" s="1532"/>
      <c r="Z141" s="1532"/>
      <c r="AA141" s="1532"/>
      <c r="AB141" s="1532"/>
      <c r="AC141" s="1532" t="e">
        <f>$AQ$156</f>
        <v>#REF!</v>
      </c>
      <c r="AD141" s="1532"/>
      <c r="AE141" s="1532"/>
      <c r="AF141" s="1532"/>
      <c r="AG141" s="1532"/>
      <c r="AH141" s="1532"/>
      <c r="AI141" s="1532"/>
      <c r="AJ141" s="1532"/>
      <c r="AK141" s="1532" t="e">
        <f>$BA$156</f>
        <v>#REF!</v>
      </c>
      <c r="AL141" s="1532"/>
      <c r="AM141" s="1532"/>
      <c r="AN141" s="1532"/>
      <c r="AO141" s="1532"/>
      <c r="AP141" s="1532"/>
      <c r="AQ141" s="1532"/>
      <c r="AR141" s="1532"/>
      <c r="AS141" s="1707">
        <v>5</v>
      </c>
      <c r="AT141" s="1707"/>
      <c r="AU141" s="1707"/>
      <c r="AV141" s="1707"/>
      <c r="AW141" s="1707"/>
      <c r="AX141" s="1707"/>
      <c r="AY141" s="1707"/>
      <c r="AZ141" s="1707"/>
      <c r="BA141" s="1622" t="e">
        <f t="shared" ref="BA141:BA146" si="15">INT(U141/$AS141)</f>
        <v>#REF!</v>
      </c>
      <c r="BB141" s="1622"/>
      <c r="BC141" s="1622"/>
      <c r="BD141" s="1622"/>
      <c r="BE141" s="1622"/>
      <c r="BF141" s="1622"/>
      <c r="BG141" s="1622"/>
      <c r="BH141" s="1622"/>
      <c r="BI141" s="1622" t="e">
        <f t="shared" ref="BI141:BI146" si="16">INT(AC141/$AS141)</f>
        <v>#REF!</v>
      </c>
      <c r="BJ141" s="1622"/>
      <c r="BK141" s="1622"/>
      <c r="BL141" s="1622"/>
      <c r="BM141" s="1622"/>
      <c r="BN141" s="1622"/>
      <c r="BO141" s="1622"/>
      <c r="BP141" s="1622"/>
      <c r="BQ141" s="1622" t="e">
        <f t="shared" ref="BQ141:BQ146" si="17">INT(AK141/$AS141)</f>
        <v>#REF!</v>
      </c>
      <c r="BR141" s="1622"/>
      <c r="BS141" s="1622"/>
      <c r="BT141" s="1622"/>
      <c r="BU141" s="1622"/>
      <c r="BV141" s="1622"/>
      <c r="BW141" s="1622"/>
      <c r="BX141" s="1622"/>
      <c r="BY141" s="1627" t="e">
        <f t="shared" ref="BY141:BY146" si="18">BA141+BI141+BQ141</f>
        <v>#REF!</v>
      </c>
      <c r="BZ141" s="1627"/>
      <c r="CA141" s="1627"/>
      <c r="CB141" s="1627"/>
      <c r="CC141" s="1627"/>
      <c r="CD141" s="1627"/>
      <c r="CE141" s="1627"/>
      <c r="CF141" s="1628"/>
    </row>
    <row r="142" spans="1:88" s="535" customFormat="1" ht="23.1" customHeight="1">
      <c r="A142" s="540"/>
      <c r="B142" s="540"/>
      <c r="C142" s="540"/>
      <c r="D142" s="540"/>
      <c r="E142" s="1565"/>
      <c r="F142" s="1566"/>
      <c r="G142" s="1566"/>
      <c r="H142" s="1566"/>
      <c r="I142" s="1566"/>
      <c r="J142" s="1606" t="s">
        <v>374</v>
      </c>
      <c r="K142" s="1606"/>
      <c r="L142" s="1606"/>
      <c r="M142" s="1606"/>
      <c r="N142" s="1606"/>
      <c r="O142" s="1606"/>
      <c r="P142" s="1606"/>
      <c r="Q142" s="1606"/>
      <c r="R142" s="1606"/>
      <c r="S142" s="1606"/>
      <c r="T142" s="1606"/>
      <c r="U142" s="1526" t="e">
        <f>$AG$157</f>
        <v>#REF!</v>
      </c>
      <c r="V142" s="1526"/>
      <c r="W142" s="1526"/>
      <c r="X142" s="1526"/>
      <c r="Y142" s="1526"/>
      <c r="Z142" s="1526"/>
      <c r="AA142" s="1526"/>
      <c r="AB142" s="1526"/>
      <c r="AC142" s="1526" t="e">
        <f>$AQ$157</f>
        <v>#REF!</v>
      </c>
      <c r="AD142" s="1526"/>
      <c r="AE142" s="1526"/>
      <c r="AF142" s="1526"/>
      <c r="AG142" s="1526"/>
      <c r="AH142" s="1526"/>
      <c r="AI142" s="1526"/>
      <c r="AJ142" s="1526"/>
      <c r="AK142" s="1526" t="e">
        <f>$BA$157</f>
        <v>#REF!</v>
      </c>
      <c r="AL142" s="1526"/>
      <c r="AM142" s="1526"/>
      <c r="AN142" s="1526"/>
      <c r="AO142" s="1526"/>
      <c r="AP142" s="1526"/>
      <c r="AQ142" s="1526"/>
      <c r="AR142" s="1526"/>
      <c r="AS142" s="1704">
        <v>3.4</v>
      </c>
      <c r="AT142" s="1704"/>
      <c r="AU142" s="1704"/>
      <c r="AV142" s="1704"/>
      <c r="AW142" s="1704"/>
      <c r="AX142" s="1704"/>
      <c r="AY142" s="1704"/>
      <c r="AZ142" s="1704"/>
      <c r="BA142" s="1596" t="e">
        <f t="shared" si="15"/>
        <v>#REF!</v>
      </c>
      <c r="BB142" s="1596"/>
      <c r="BC142" s="1596"/>
      <c r="BD142" s="1596"/>
      <c r="BE142" s="1596"/>
      <c r="BF142" s="1596"/>
      <c r="BG142" s="1596"/>
      <c r="BH142" s="1596"/>
      <c r="BI142" s="1596" t="e">
        <f t="shared" si="16"/>
        <v>#REF!</v>
      </c>
      <c r="BJ142" s="1596"/>
      <c r="BK142" s="1596"/>
      <c r="BL142" s="1596"/>
      <c r="BM142" s="1596"/>
      <c r="BN142" s="1596"/>
      <c r="BO142" s="1596"/>
      <c r="BP142" s="1596"/>
      <c r="BQ142" s="1596" t="e">
        <f t="shared" si="17"/>
        <v>#REF!</v>
      </c>
      <c r="BR142" s="1596"/>
      <c r="BS142" s="1596"/>
      <c r="BT142" s="1596"/>
      <c r="BU142" s="1596"/>
      <c r="BV142" s="1596"/>
      <c r="BW142" s="1596"/>
      <c r="BX142" s="1596"/>
      <c r="BY142" s="1597" t="e">
        <f t="shared" si="18"/>
        <v>#REF!</v>
      </c>
      <c r="BZ142" s="1597"/>
      <c r="CA142" s="1597"/>
      <c r="CB142" s="1597"/>
      <c r="CC142" s="1597"/>
      <c r="CD142" s="1597"/>
      <c r="CE142" s="1597"/>
      <c r="CF142" s="1598"/>
    </row>
    <row r="143" spans="1:88" s="535" customFormat="1" ht="23.1" customHeight="1">
      <c r="E143" s="1565"/>
      <c r="F143" s="1566"/>
      <c r="G143" s="1566"/>
      <c r="H143" s="1566"/>
      <c r="I143" s="1566"/>
      <c r="J143" s="1606" t="s">
        <v>373</v>
      </c>
      <c r="K143" s="1606"/>
      <c r="L143" s="1606"/>
      <c r="M143" s="1606"/>
      <c r="N143" s="1606"/>
      <c r="O143" s="1606"/>
      <c r="P143" s="1606"/>
      <c r="Q143" s="1606"/>
      <c r="R143" s="1606"/>
      <c r="S143" s="1606"/>
      <c r="T143" s="1606"/>
      <c r="U143" s="1516" t="e">
        <f>$AG$158</f>
        <v>#REF!</v>
      </c>
      <c r="V143" s="1516"/>
      <c r="W143" s="1516"/>
      <c r="X143" s="1516"/>
      <c r="Y143" s="1516"/>
      <c r="Z143" s="1516"/>
      <c r="AA143" s="1516"/>
      <c r="AB143" s="1516"/>
      <c r="AC143" s="1516" t="e">
        <f>$AQ$158</f>
        <v>#REF!</v>
      </c>
      <c r="AD143" s="1516"/>
      <c r="AE143" s="1516"/>
      <c r="AF143" s="1516"/>
      <c r="AG143" s="1516"/>
      <c r="AH143" s="1516"/>
      <c r="AI143" s="1516"/>
      <c r="AJ143" s="1516"/>
      <c r="AK143" s="1516" t="e">
        <f>$BA$158</f>
        <v>#REF!</v>
      </c>
      <c r="AL143" s="1516"/>
      <c r="AM143" s="1516"/>
      <c r="AN143" s="1516"/>
      <c r="AO143" s="1516"/>
      <c r="AP143" s="1516"/>
      <c r="AQ143" s="1516"/>
      <c r="AR143" s="1516"/>
      <c r="AS143" s="1704">
        <v>2.6</v>
      </c>
      <c r="AT143" s="1704"/>
      <c r="AU143" s="1704"/>
      <c r="AV143" s="1704"/>
      <c r="AW143" s="1704"/>
      <c r="AX143" s="1704"/>
      <c r="AY143" s="1704"/>
      <c r="AZ143" s="1704"/>
      <c r="BA143" s="1596" t="e">
        <f t="shared" si="15"/>
        <v>#REF!</v>
      </c>
      <c r="BB143" s="1596"/>
      <c r="BC143" s="1596"/>
      <c r="BD143" s="1596"/>
      <c r="BE143" s="1596"/>
      <c r="BF143" s="1596"/>
      <c r="BG143" s="1596"/>
      <c r="BH143" s="1596"/>
      <c r="BI143" s="1596" t="e">
        <f t="shared" si="16"/>
        <v>#REF!</v>
      </c>
      <c r="BJ143" s="1596"/>
      <c r="BK143" s="1596"/>
      <c r="BL143" s="1596"/>
      <c r="BM143" s="1596"/>
      <c r="BN143" s="1596"/>
      <c r="BO143" s="1596"/>
      <c r="BP143" s="1596"/>
      <c r="BQ143" s="1596" t="e">
        <f t="shared" si="17"/>
        <v>#REF!</v>
      </c>
      <c r="BR143" s="1596"/>
      <c r="BS143" s="1596"/>
      <c r="BT143" s="1596"/>
      <c r="BU143" s="1596"/>
      <c r="BV143" s="1596"/>
      <c r="BW143" s="1596"/>
      <c r="BX143" s="1596"/>
      <c r="BY143" s="1597" t="e">
        <f t="shared" si="18"/>
        <v>#REF!</v>
      </c>
      <c r="BZ143" s="1597"/>
      <c r="CA143" s="1597"/>
      <c r="CB143" s="1597"/>
      <c r="CC143" s="1597"/>
      <c r="CD143" s="1597"/>
      <c r="CE143" s="1597"/>
      <c r="CF143" s="1598"/>
    </row>
    <row r="144" spans="1:88" s="535" customFormat="1" ht="23.1" customHeight="1">
      <c r="A144" s="540"/>
      <c r="B144" s="540"/>
      <c r="C144" s="540"/>
      <c r="D144" s="540"/>
      <c r="E144" s="1636" t="s">
        <v>426</v>
      </c>
      <c r="F144" s="1566"/>
      <c r="G144" s="1566"/>
      <c r="H144" s="1566"/>
      <c r="I144" s="1566"/>
      <c r="J144" s="1606" t="s">
        <v>415</v>
      </c>
      <c r="K144" s="1606"/>
      <c r="L144" s="1606"/>
      <c r="M144" s="1606"/>
      <c r="N144" s="1606"/>
      <c r="O144" s="1606"/>
      <c r="P144" s="1606"/>
      <c r="Q144" s="1606"/>
      <c r="R144" s="1606"/>
      <c r="S144" s="1606"/>
      <c r="T144" s="1606"/>
      <c r="U144" s="1526" t="e">
        <f>$AG$156</f>
        <v>#REF!</v>
      </c>
      <c r="V144" s="1526"/>
      <c r="W144" s="1526"/>
      <c r="X144" s="1526"/>
      <c r="Y144" s="1526"/>
      <c r="Z144" s="1526"/>
      <c r="AA144" s="1526"/>
      <c r="AB144" s="1526"/>
      <c r="AC144" s="1526" t="e">
        <f>$AQ$156</f>
        <v>#REF!</v>
      </c>
      <c r="AD144" s="1526"/>
      <c r="AE144" s="1526"/>
      <c r="AF144" s="1526"/>
      <c r="AG144" s="1526"/>
      <c r="AH144" s="1526"/>
      <c r="AI144" s="1526"/>
      <c r="AJ144" s="1526"/>
      <c r="AK144" s="1526" t="e">
        <f>$BA$156</f>
        <v>#REF!</v>
      </c>
      <c r="AL144" s="1526"/>
      <c r="AM144" s="1526"/>
      <c r="AN144" s="1526"/>
      <c r="AO144" s="1526"/>
      <c r="AP144" s="1526"/>
      <c r="AQ144" s="1526"/>
      <c r="AR144" s="1526"/>
      <c r="AS144" s="1704">
        <v>3.5</v>
      </c>
      <c r="AT144" s="1704"/>
      <c r="AU144" s="1704"/>
      <c r="AV144" s="1704"/>
      <c r="AW144" s="1704"/>
      <c r="AX144" s="1704"/>
      <c r="AY144" s="1704"/>
      <c r="AZ144" s="1704"/>
      <c r="BA144" s="1596" t="e">
        <f t="shared" si="15"/>
        <v>#REF!</v>
      </c>
      <c r="BB144" s="1596"/>
      <c r="BC144" s="1596"/>
      <c r="BD144" s="1596"/>
      <c r="BE144" s="1596"/>
      <c r="BF144" s="1596"/>
      <c r="BG144" s="1596"/>
      <c r="BH144" s="1596"/>
      <c r="BI144" s="1596" t="e">
        <f t="shared" si="16"/>
        <v>#REF!</v>
      </c>
      <c r="BJ144" s="1596"/>
      <c r="BK144" s="1596"/>
      <c r="BL144" s="1596"/>
      <c r="BM144" s="1596"/>
      <c r="BN144" s="1596"/>
      <c r="BO144" s="1596"/>
      <c r="BP144" s="1596"/>
      <c r="BQ144" s="1596" t="e">
        <f t="shared" si="17"/>
        <v>#REF!</v>
      </c>
      <c r="BR144" s="1596"/>
      <c r="BS144" s="1596"/>
      <c r="BT144" s="1596"/>
      <c r="BU144" s="1596"/>
      <c r="BV144" s="1596"/>
      <c r="BW144" s="1596"/>
      <c r="BX144" s="1596"/>
      <c r="BY144" s="1597" t="e">
        <f t="shared" si="18"/>
        <v>#REF!</v>
      </c>
      <c r="BZ144" s="1597"/>
      <c r="CA144" s="1597"/>
      <c r="CB144" s="1597"/>
      <c r="CC144" s="1597"/>
      <c r="CD144" s="1597"/>
      <c r="CE144" s="1597"/>
      <c r="CF144" s="1598"/>
    </row>
    <row r="145" spans="1:84" s="535" customFormat="1" ht="23.1" customHeight="1">
      <c r="E145" s="1565"/>
      <c r="F145" s="1566"/>
      <c r="G145" s="1566"/>
      <c r="H145" s="1566"/>
      <c r="I145" s="1566"/>
      <c r="J145" s="1606" t="s">
        <v>374</v>
      </c>
      <c r="K145" s="1606"/>
      <c r="L145" s="1606"/>
      <c r="M145" s="1606"/>
      <c r="N145" s="1606"/>
      <c r="O145" s="1606"/>
      <c r="P145" s="1606"/>
      <c r="Q145" s="1606"/>
      <c r="R145" s="1606"/>
      <c r="S145" s="1606"/>
      <c r="T145" s="1606"/>
      <c r="U145" s="1526" t="e">
        <f>$AG$157</f>
        <v>#REF!</v>
      </c>
      <c r="V145" s="1526"/>
      <c r="W145" s="1526"/>
      <c r="X145" s="1526"/>
      <c r="Y145" s="1526"/>
      <c r="Z145" s="1526"/>
      <c r="AA145" s="1526"/>
      <c r="AB145" s="1526"/>
      <c r="AC145" s="1526" t="e">
        <f>$AQ$157</f>
        <v>#REF!</v>
      </c>
      <c r="AD145" s="1526"/>
      <c r="AE145" s="1526"/>
      <c r="AF145" s="1526"/>
      <c r="AG145" s="1526"/>
      <c r="AH145" s="1526"/>
      <c r="AI145" s="1526"/>
      <c r="AJ145" s="1526"/>
      <c r="AK145" s="1526" t="e">
        <f>$BA$157</f>
        <v>#REF!</v>
      </c>
      <c r="AL145" s="1526"/>
      <c r="AM145" s="1526"/>
      <c r="AN145" s="1526"/>
      <c r="AO145" s="1526"/>
      <c r="AP145" s="1526"/>
      <c r="AQ145" s="1526"/>
      <c r="AR145" s="1526"/>
      <c r="AS145" s="1704">
        <v>2.5</v>
      </c>
      <c r="AT145" s="1704"/>
      <c r="AU145" s="1704"/>
      <c r="AV145" s="1704"/>
      <c r="AW145" s="1704"/>
      <c r="AX145" s="1704"/>
      <c r="AY145" s="1704"/>
      <c r="AZ145" s="1704"/>
      <c r="BA145" s="1596" t="e">
        <f t="shared" si="15"/>
        <v>#REF!</v>
      </c>
      <c r="BB145" s="1596"/>
      <c r="BC145" s="1596"/>
      <c r="BD145" s="1596"/>
      <c r="BE145" s="1596"/>
      <c r="BF145" s="1596"/>
      <c r="BG145" s="1596"/>
      <c r="BH145" s="1596"/>
      <c r="BI145" s="1596" t="e">
        <f t="shared" si="16"/>
        <v>#REF!</v>
      </c>
      <c r="BJ145" s="1596"/>
      <c r="BK145" s="1596"/>
      <c r="BL145" s="1596"/>
      <c r="BM145" s="1596"/>
      <c r="BN145" s="1596"/>
      <c r="BO145" s="1596"/>
      <c r="BP145" s="1596"/>
      <c r="BQ145" s="1596" t="e">
        <f t="shared" si="17"/>
        <v>#REF!</v>
      </c>
      <c r="BR145" s="1596"/>
      <c r="BS145" s="1596"/>
      <c r="BT145" s="1596"/>
      <c r="BU145" s="1596"/>
      <c r="BV145" s="1596"/>
      <c r="BW145" s="1596"/>
      <c r="BX145" s="1596"/>
      <c r="BY145" s="1597" t="e">
        <f t="shared" si="18"/>
        <v>#REF!</v>
      </c>
      <c r="BZ145" s="1597"/>
      <c r="CA145" s="1597"/>
      <c r="CB145" s="1597"/>
      <c r="CC145" s="1597"/>
      <c r="CD145" s="1597"/>
      <c r="CE145" s="1597"/>
      <c r="CF145" s="1598"/>
    </row>
    <row r="146" spans="1:84" s="535" customFormat="1" ht="23.1" customHeight="1" thickBot="1">
      <c r="E146" s="1625"/>
      <c r="F146" s="1546"/>
      <c r="G146" s="1546"/>
      <c r="H146" s="1546"/>
      <c r="I146" s="1546"/>
      <c r="J146" s="1599" t="s">
        <v>373</v>
      </c>
      <c r="K146" s="1599"/>
      <c r="L146" s="1599"/>
      <c r="M146" s="1599"/>
      <c r="N146" s="1599"/>
      <c r="O146" s="1599"/>
      <c r="P146" s="1599"/>
      <c r="Q146" s="1599"/>
      <c r="R146" s="1599"/>
      <c r="S146" s="1599"/>
      <c r="T146" s="1599"/>
      <c r="U146" s="1526" t="e">
        <f>$AG$158</f>
        <v>#REF!</v>
      </c>
      <c r="V146" s="1526"/>
      <c r="W146" s="1526"/>
      <c r="X146" s="1526"/>
      <c r="Y146" s="1526"/>
      <c r="Z146" s="1526"/>
      <c r="AA146" s="1526"/>
      <c r="AB146" s="1526"/>
      <c r="AC146" s="1526" t="e">
        <f>$AQ$158</f>
        <v>#REF!</v>
      </c>
      <c r="AD146" s="1526"/>
      <c r="AE146" s="1526"/>
      <c r="AF146" s="1526"/>
      <c r="AG146" s="1526"/>
      <c r="AH146" s="1526"/>
      <c r="AI146" s="1526"/>
      <c r="AJ146" s="1526"/>
      <c r="AK146" s="1526" t="e">
        <f>$BA$158</f>
        <v>#REF!</v>
      </c>
      <c r="AL146" s="1526"/>
      <c r="AM146" s="1526"/>
      <c r="AN146" s="1526"/>
      <c r="AO146" s="1526"/>
      <c r="AP146" s="1526"/>
      <c r="AQ146" s="1526"/>
      <c r="AR146" s="1526"/>
      <c r="AS146" s="1727">
        <v>1.8</v>
      </c>
      <c r="AT146" s="1727"/>
      <c r="AU146" s="1727"/>
      <c r="AV146" s="1727"/>
      <c r="AW146" s="1727"/>
      <c r="AX146" s="1727"/>
      <c r="AY146" s="1727"/>
      <c r="AZ146" s="1727"/>
      <c r="BA146" s="1600" t="e">
        <f t="shared" si="15"/>
        <v>#REF!</v>
      </c>
      <c r="BB146" s="1600"/>
      <c r="BC146" s="1600"/>
      <c r="BD146" s="1600"/>
      <c r="BE146" s="1600"/>
      <c r="BF146" s="1600"/>
      <c r="BG146" s="1600"/>
      <c r="BH146" s="1600"/>
      <c r="BI146" s="1600" t="e">
        <f t="shared" si="16"/>
        <v>#REF!</v>
      </c>
      <c r="BJ146" s="1600"/>
      <c r="BK146" s="1600"/>
      <c r="BL146" s="1600"/>
      <c r="BM146" s="1600"/>
      <c r="BN146" s="1600"/>
      <c r="BO146" s="1600"/>
      <c r="BP146" s="1600"/>
      <c r="BQ146" s="1600" t="e">
        <f t="shared" si="17"/>
        <v>#REF!</v>
      </c>
      <c r="BR146" s="1600"/>
      <c r="BS146" s="1600"/>
      <c r="BT146" s="1600"/>
      <c r="BU146" s="1600"/>
      <c r="BV146" s="1600"/>
      <c r="BW146" s="1600"/>
      <c r="BX146" s="1600"/>
      <c r="BY146" s="1609" t="e">
        <f t="shared" si="18"/>
        <v>#REF!</v>
      </c>
      <c r="BZ146" s="1609"/>
      <c r="CA146" s="1609"/>
      <c r="CB146" s="1609"/>
      <c r="CC146" s="1609"/>
      <c r="CD146" s="1609"/>
      <c r="CE146" s="1609"/>
      <c r="CF146" s="1610"/>
    </row>
    <row r="147" spans="1:84" s="535" customFormat="1" ht="23.1" customHeight="1">
      <c r="A147" s="540"/>
      <c r="B147" s="540"/>
      <c r="C147" s="540"/>
      <c r="D147" s="540"/>
      <c r="E147" s="547"/>
      <c r="F147" s="547"/>
      <c r="G147" s="547"/>
      <c r="H147" s="547"/>
      <c r="I147" s="547"/>
      <c r="J147" s="547"/>
      <c r="K147" s="547"/>
      <c r="L147" s="547"/>
      <c r="M147" s="547"/>
      <c r="N147" s="547"/>
      <c r="O147" s="547"/>
      <c r="P147" s="547"/>
      <c r="Q147" s="547"/>
      <c r="R147" s="547"/>
      <c r="S147" s="547"/>
      <c r="T147" s="547"/>
      <c r="U147" s="548"/>
      <c r="V147" s="548"/>
      <c r="W147" s="548"/>
      <c r="X147" s="548"/>
      <c r="Y147" s="548"/>
      <c r="Z147" s="548"/>
      <c r="AA147" s="548"/>
      <c r="AB147" s="548"/>
      <c r="AC147" s="548"/>
      <c r="AD147" s="548"/>
      <c r="AE147" s="548"/>
      <c r="AF147" s="548"/>
      <c r="AG147" s="548"/>
      <c r="AH147" s="548"/>
      <c r="AI147" s="548"/>
      <c r="AJ147" s="548"/>
      <c r="AK147" s="548"/>
      <c r="AL147" s="548"/>
      <c r="AM147" s="548"/>
      <c r="AN147" s="548"/>
      <c r="AO147" s="548"/>
      <c r="AP147" s="548"/>
      <c r="AQ147" s="548"/>
      <c r="AR147" s="548"/>
      <c r="AS147" s="549"/>
      <c r="AT147" s="549"/>
      <c r="AU147" s="549"/>
      <c r="AV147" s="549"/>
      <c r="AW147" s="549"/>
      <c r="AX147" s="549"/>
      <c r="AY147" s="549"/>
      <c r="AZ147" s="549"/>
      <c r="BA147" s="548"/>
      <c r="BB147" s="548"/>
      <c r="BC147" s="548"/>
      <c r="BD147" s="548"/>
      <c r="BE147" s="548"/>
      <c r="BF147" s="548"/>
      <c r="BG147" s="548"/>
      <c r="BH147" s="548"/>
      <c r="BI147" s="548"/>
      <c r="BJ147" s="548"/>
      <c r="BK147" s="548"/>
      <c r="BL147" s="548"/>
      <c r="BM147" s="548"/>
      <c r="BN147" s="548"/>
      <c r="BO147" s="548"/>
      <c r="BP147" s="548"/>
      <c r="BQ147" s="548"/>
      <c r="BR147" s="548"/>
      <c r="BS147" s="548"/>
      <c r="BT147" s="548"/>
      <c r="BU147" s="548"/>
      <c r="BV147" s="548"/>
      <c r="BW147" s="548"/>
      <c r="BX147" s="548"/>
      <c r="BY147" s="550"/>
      <c r="BZ147" s="550"/>
      <c r="CA147" s="550"/>
      <c r="CB147" s="550"/>
      <c r="CC147" s="550"/>
      <c r="CD147" s="550"/>
      <c r="CE147" s="550"/>
      <c r="CF147" s="550"/>
    </row>
    <row r="148" spans="1:84" s="535" customFormat="1" ht="23.1" customHeight="1">
      <c r="E148" s="535" t="s">
        <v>427</v>
      </c>
      <c r="U148" s="551"/>
      <c r="V148" s="551"/>
      <c r="W148" s="551"/>
      <c r="X148" s="551"/>
      <c r="Y148" s="551"/>
      <c r="Z148" s="551"/>
      <c r="AA148" s="551"/>
      <c r="AB148" s="551"/>
      <c r="AC148" s="551"/>
      <c r="AD148" s="551"/>
      <c r="AE148" s="551"/>
      <c r="AF148" s="551"/>
      <c r="AG148" s="551"/>
      <c r="AH148" s="551"/>
      <c r="AI148" s="551"/>
      <c r="AJ148" s="551"/>
      <c r="AK148" s="551"/>
      <c r="AL148" s="551"/>
      <c r="AM148" s="551"/>
      <c r="AN148" s="551"/>
      <c r="AO148" s="551"/>
      <c r="AP148" s="551"/>
      <c r="AQ148" s="551"/>
      <c r="AR148" s="551"/>
      <c r="AS148" s="552"/>
      <c r="AT148" s="552"/>
      <c r="AU148" s="552"/>
      <c r="AV148" s="552"/>
      <c r="AW148" s="552"/>
      <c r="AX148" s="552"/>
      <c r="AY148" s="552"/>
      <c r="AZ148" s="552"/>
      <c r="BA148" s="551"/>
      <c r="BB148" s="551"/>
      <c r="BC148" s="551"/>
      <c r="BD148" s="551"/>
      <c r="BE148" s="551"/>
      <c r="BF148" s="551"/>
      <c r="BG148" s="551"/>
      <c r="BH148" s="551"/>
      <c r="BI148" s="551"/>
      <c r="BJ148" s="551"/>
      <c r="BK148" s="551"/>
      <c r="BL148" s="551"/>
      <c r="BM148" s="551"/>
      <c r="BN148" s="551"/>
      <c r="BO148" s="551"/>
      <c r="BP148" s="551"/>
      <c r="BQ148" s="551"/>
      <c r="BR148" s="551"/>
      <c r="BS148" s="551"/>
      <c r="BT148" s="551"/>
      <c r="BU148" s="551"/>
      <c r="BV148" s="551"/>
      <c r="BW148" s="551"/>
      <c r="BX148" s="551"/>
    </row>
    <row r="149" spans="1:84" s="535" customFormat="1" ht="9.9499999999999993" customHeight="1" thickBot="1"/>
    <row r="150" spans="1:84" s="535" customFormat="1" ht="23.1" customHeight="1" thickBot="1">
      <c r="E150" s="1581" t="s">
        <v>368</v>
      </c>
      <c r="F150" s="1582"/>
      <c r="G150" s="1582"/>
      <c r="H150" s="1582"/>
      <c r="I150" s="1582"/>
      <c r="J150" s="1582"/>
      <c r="K150" s="1582"/>
      <c r="L150" s="1582"/>
      <c r="M150" s="1582"/>
      <c r="N150" s="1582"/>
      <c r="O150" s="1582"/>
      <c r="P150" s="1582"/>
      <c r="Q150" s="1582"/>
      <c r="R150" s="1582"/>
      <c r="S150" s="1582"/>
      <c r="T150" s="1582" t="s">
        <v>428</v>
      </c>
      <c r="U150" s="1582"/>
      <c r="V150" s="1582"/>
      <c r="W150" s="1582"/>
      <c r="X150" s="1582"/>
      <c r="Y150" s="1582"/>
      <c r="Z150" s="1582"/>
      <c r="AA150" s="1582"/>
      <c r="AB150" s="1582" t="s">
        <v>370</v>
      </c>
      <c r="AC150" s="1582"/>
      <c r="AD150" s="1582"/>
      <c r="AE150" s="1582"/>
      <c r="AF150" s="1582"/>
      <c r="AG150" s="1696" t="s">
        <v>429</v>
      </c>
      <c r="AH150" s="1696"/>
      <c r="AI150" s="1696"/>
      <c r="AJ150" s="1696"/>
      <c r="AK150" s="1696"/>
      <c r="AL150" s="1696"/>
      <c r="AM150" s="1696"/>
      <c r="AN150" s="1696"/>
      <c r="AO150" s="1696"/>
      <c r="AP150" s="1696"/>
      <c r="AQ150" s="1696" t="s">
        <v>430</v>
      </c>
      <c r="AR150" s="1696"/>
      <c r="AS150" s="1696"/>
      <c r="AT150" s="1696"/>
      <c r="AU150" s="1696"/>
      <c r="AV150" s="1696"/>
      <c r="AW150" s="1696"/>
      <c r="AX150" s="1696"/>
      <c r="AY150" s="1696"/>
      <c r="AZ150" s="1696"/>
      <c r="BA150" s="1696" t="s">
        <v>431</v>
      </c>
      <c r="BB150" s="1696"/>
      <c r="BC150" s="1696"/>
      <c r="BD150" s="1696"/>
      <c r="BE150" s="1696"/>
      <c r="BF150" s="1696"/>
      <c r="BG150" s="1696"/>
      <c r="BH150" s="1696"/>
      <c r="BI150" s="1696"/>
      <c r="BJ150" s="1696"/>
      <c r="BK150" s="1696" t="s">
        <v>432</v>
      </c>
      <c r="BL150" s="1696"/>
      <c r="BM150" s="1696"/>
      <c r="BN150" s="1696"/>
      <c r="BO150" s="1696"/>
      <c r="BP150" s="1696"/>
      <c r="BQ150" s="1696"/>
      <c r="BR150" s="1696"/>
      <c r="BS150" s="1696"/>
      <c r="BT150" s="1696"/>
      <c r="BU150" s="1696" t="s">
        <v>433</v>
      </c>
      <c r="BV150" s="1696"/>
      <c r="BW150" s="1696"/>
      <c r="BX150" s="1696"/>
      <c r="BY150" s="1696"/>
      <c r="BZ150" s="1696"/>
      <c r="CA150" s="1696"/>
      <c r="CB150" s="1696"/>
      <c r="CC150" s="1696"/>
      <c r="CD150" s="1696"/>
      <c r="CE150" s="1696"/>
      <c r="CF150" s="1697"/>
    </row>
    <row r="151" spans="1:84" s="535" customFormat="1" ht="23.1" customHeight="1" thickTop="1">
      <c r="E151" s="1724" t="s">
        <v>434</v>
      </c>
      <c r="F151" s="1725"/>
      <c r="G151" s="1725"/>
      <c r="H151" s="1725"/>
      <c r="I151" s="1725"/>
      <c r="J151" s="1725"/>
      <c r="K151" s="1725"/>
      <c r="L151" s="1725"/>
      <c r="M151" s="1725"/>
      <c r="N151" s="1725"/>
      <c r="O151" s="1725"/>
      <c r="P151" s="1725"/>
      <c r="Q151" s="1725"/>
      <c r="R151" s="1725"/>
      <c r="S151" s="1725"/>
      <c r="T151" s="1725"/>
      <c r="U151" s="1725"/>
      <c r="V151" s="1725"/>
      <c r="W151" s="1725"/>
      <c r="X151" s="1725"/>
      <c r="Y151" s="1725"/>
      <c r="Z151" s="1725"/>
      <c r="AA151" s="1726"/>
      <c r="AB151" s="1643" t="s">
        <v>418</v>
      </c>
      <c r="AC151" s="1643"/>
      <c r="AD151" s="1643"/>
      <c r="AE151" s="1643"/>
      <c r="AF151" s="1643"/>
      <c r="AG151" s="1512"/>
      <c r="AH151" s="1512"/>
      <c r="AI151" s="1512"/>
      <c r="AJ151" s="1512"/>
      <c r="AK151" s="1512"/>
      <c r="AL151" s="1512"/>
      <c r="AM151" s="1512"/>
      <c r="AN151" s="1512"/>
      <c r="AO151" s="1512"/>
      <c r="AP151" s="1512"/>
      <c r="AQ151" s="1512"/>
      <c r="AR151" s="1512"/>
      <c r="AS151" s="1512"/>
      <c r="AT151" s="1512"/>
      <c r="AU151" s="1512"/>
      <c r="AV151" s="1512"/>
      <c r="AW151" s="1512"/>
      <c r="AX151" s="1512"/>
      <c r="AY151" s="1512"/>
      <c r="AZ151" s="1512"/>
      <c r="BA151" s="1512" t="e">
        <f>#REF!</f>
        <v>#REF!</v>
      </c>
      <c r="BB151" s="1512"/>
      <c r="BC151" s="1512"/>
      <c r="BD151" s="1512"/>
      <c r="BE151" s="1512"/>
      <c r="BF151" s="1512"/>
      <c r="BG151" s="1512"/>
      <c r="BH151" s="1512"/>
      <c r="BI151" s="1512"/>
      <c r="BJ151" s="1512"/>
      <c r="BK151" s="1512" t="e">
        <f t="shared" ref="BK151:BK158" si="19">AG151+AQ151+BA151</f>
        <v>#REF!</v>
      </c>
      <c r="BL151" s="1512"/>
      <c r="BM151" s="1512"/>
      <c r="BN151" s="1512"/>
      <c r="BO151" s="1512"/>
      <c r="BP151" s="1512"/>
      <c r="BQ151" s="1512"/>
      <c r="BR151" s="1512"/>
      <c r="BS151" s="1512"/>
      <c r="BT151" s="1512"/>
      <c r="BU151" s="1719"/>
      <c r="BV151" s="1719"/>
      <c r="BW151" s="1719"/>
      <c r="BX151" s="1719"/>
      <c r="BY151" s="1719"/>
      <c r="BZ151" s="1719"/>
      <c r="CA151" s="1719"/>
      <c r="CB151" s="1719"/>
      <c r="CC151" s="1719"/>
      <c r="CD151" s="1719"/>
      <c r="CE151" s="1719"/>
      <c r="CF151" s="1720"/>
    </row>
    <row r="152" spans="1:84" s="535" customFormat="1" ht="23.1" customHeight="1">
      <c r="E152" s="1721" t="s">
        <v>435</v>
      </c>
      <c r="F152" s="1722"/>
      <c r="G152" s="1722"/>
      <c r="H152" s="1722"/>
      <c r="I152" s="1722"/>
      <c r="J152" s="1722"/>
      <c r="K152" s="1722"/>
      <c r="L152" s="1722"/>
      <c r="M152" s="1722"/>
      <c r="N152" s="1722"/>
      <c r="O152" s="1722"/>
      <c r="P152" s="1722"/>
      <c r="Q152" s="1722"/>
      <c r="R152" s="1722"/>
      <c r="S152" s="1722"/>
      <c r="T152" s="1722"/>
      <c r="U152" s="1722"/>
      <c r="V152" s="1722"/>
      <c r="W152" s="1722"/>
      <c r="X152" s="1722"/>
      <c r="Y152" s="1722"/>
      <c r="Z152" s="1722"/>
      <c r="AA152" s="1723"/>
      <c r="AB152" s="1616" t="s">
        <v>418</v>
      </c>
      <c r="AC152" s="1616"/>
      <c r="AD152" s="1616"/>
      <c r="AE152" s="1616"/>
      <c r="AF152" s="1616"/>
      <c r="AG152" s="1526" t="e">
        <f>#REF!</f>
        <v>#REF!</v>
      </c>
      <c r="AH152" s="1526"/>
      <c r="AI152" s="1526"/>
      <c r="AJ152" s="1526"/>
      <c r="AK152" s="1526"/>
      <c r="AL152" s="1526"/>
      <c r="AM152" s="1526"/>
      <c r="AN152" s="1526"/>
      <c r="AO152" s="1526"/>
      <c r="AP152" s="1526"/>
      <c r="AQ152" s="1526" t="e">
        <f>#REF!</f>
        <v>#REF!</v>
      </c>
      <c r="AR152" s="1526"/>
      <c r="AS152" s="1526"/>
      <c r="AT152" s="1526"/>
      <c r="AU152" s="1526"/>
      <c r="AV152" s="1526"/>
      <c r="AW152" s="1526"/>
      <c r="AX152" s="1526"/>
      <c r="AY152" s="1526"/>
      <c r="AZ152" s="1526"/>
      <c r="BA152" s="1526" t="e">
        <f>#REF!</f>
        <v>#REF!</v>
      </c>
      <c r="BB152" s="1526"/>
      <c r="BC152" s="1526"/>
      <c r="BD152" s="1526"/>
      <c r="BE152" s="1526"/>
      <c r="BF152" s="1526"/>
      <c r="BG152" s="1526"/>
      <c r="BH152" s="1526"/>
      <c r="BI152" s="1526"/>
      <c r="BJ152" s="1526"/>
      <c r="BK152" s="1526" t="e">
        <f t="shared" si="19"/>
        <v>#REF!</v>
      </c>
      <c r="BL152" s="1526"/>
      <c r="BM152" s="1526"/>
      <c r="BN152" s="1526"/>
      <c r="BO152" s="1526"/>
      <c r="BP152" s="1526"/>
      <c r="BQ152" s="1526"/>
      <c r="BR152" s="1526"/>
      <c r="BS152" s="1526"/>
      <c r="BT152" s="1526"/>
      <c r="BU152" s="1675"/>
      <c r="BV152" s="1675"/>
      <c r="BW152" s="1675"/>
      <c r="BX152" s="1675"/>
      <c r="BY152" s="1675"/>
      <c r="BZ152" s="1675"/>
      <c r="CA152" s="1675"/>
      <c r="CB152" s="1675"/>
      <c r="CC152" s="1675"/>
      <c r="CD152" s="1675"/>
      <c r="CE152" s="1675"/>
      <c r="CF152" s="1676"/>
    </row>
    <row r="153" spans="1:84" s="535" customFormat="1" ht="23.1" customHeight="1">
      <c r="E153" s="1636" t="s">
        <v>436</v>
      </c>
      <c r="F153" s="1642"/>
      <c r="G153" s="1642"/>
      <c r="H153" s="1642"/>
      <c r="I153" s="1606" t="s">
        <v>415</v>
      </c>
      <c r="J153" s="1606"/>
      <c r="K153" s="1606"/>
      <c r="L153" s="1606"/>
      <c r="M153" s="1606"/>
      <c r="N153" s="1606"/>
      <c r="O153" s="1606"/>
      <c r="P153" s="1606"/>
      <c r="Q153" s="1606"/>
      <c r="R153" s="1606"/>
      <c r="S153" s="1606"/>
      <c r="T153" s="1616">
        <v>6.0000000000000001E-3</v>
      </c>
      <c r="U153" s="1616"/>
      <c r="V153" s="1616"/>
      <c r="W153" s="1616"/>
      <c r="X153" s="1616"/>
      <c r="Y153" s="1616"/>
      <c r="Z153" s="1616"/>
      <c r="AA153" s="1616"/>
      <c r="AB153" s="1616" t="s">
        <v>437</v>
      </c>
      <c r="AC153" s="1616"/>
      <c r="AD153" s="1616"/>
      <c r="AE153" s="1616"/>
      <c r="AF153" s="1616"/>
      <c r="AG153" s="1526" t="e">
        <f>$BU$153*T153</f>
        <v>#REF!</v>
      </c>
      <c r="AH153" s="1526"/>
      <c r="AI153" s="1526"/>
      <c r="AJ153" s="1526"/>
      <c r="AK153" s="1526"/>
      <c r="AL153" s="1526"/>
      <c r="AM153" s="1526"/>
      <c r="AN153" s="1526"/>
      <c r="AO153" s="1526"/>
      <c r="AP153" s="1526"/>
      <c r="AQ153" s="1526"/>
      <c r="AR153" s="1526"/>
      <c r="AS153" s="1526"/>
      <c r="AT153" s="1526"/>
      <c r="AU153" s="1526"/>
      <c r="AV153" s="1526"/>
      <c r="AW153" s="1526"/>
      <c r="AX153" s="1526"/>
      <c r="AY153" s="1526"/>
      <c r="AZ153" s="1526"/>
      <c r="BA153" s="1526"/>
      <c r="BB153" s="1526"/>
      <c r="BC153" s="1526"/>
      <c r="BD153" s="1526"/>
      <c r="BE153" s="1526"/>
      <c r="BF153" s="1526"/>
      <c r="BG153" s="1526"/>
      <c r="BH153" s="1526"/>
      <c r="BI153" s="1526"/>
      <c r="BJ153" s="1526"/>
      <c r="BK153" s="1526" t="e">
        <f t="shared" si="19"/>
        <v>#REF!</v>
      </c>
      <c r="BL153" s="1526"/>
      <c r="BM153" s="1526"/>
      <c r="BN153" s="1526"/>
      <c r="BO153" s="1526"/>
      <c r="BP153" s="1526"/>
      <c r="BQ153" s="1526"/>
      <c r="BR153" s="1526"/>
      <c r="BS153" s="1526"/>
      <c r="BT153" s="1526"/>
      <c r="BU153" s="1692" t="e">
        <f>#REF!</f>
        <v>#REF!</v>
      </c>
      <c r="BV153" s="1692"/>
      <c r="BW153" s="1692"/>
      <c r="BX153" s="1692"/>
      <c r="BY153" s="1692"/>
      <c r="BZ153" s="1692"/>
      <c r="CA153" s="1692"/>
      <c r="CB153" s="1692"/>
      <c r="CC153" s="1692"/>
      <c r="CD153" s="1692"/>
      <c r="CE153" s="1692"/>
      <c r="CF153" s="1693"/>
    </row>
    <row r="154" spans="1:84" s="535" customFormat="1" ht="23.1" customHeight="1">
      <c r="E154" s="1636"/>
      <c r="F154" s="1642"/>
      <c r="G154" s="1642"/>
      <c r="H154" s="1642"/>
      <c r="I154" s="1606" t="s">
        <v>374</v>
      </c>
      <c r="J154" s="1606"/>
      <c r="K154" s="1606"/>
      <c r="L154" s="1606"/>
      <c r="M154" s="1606"/>
      <c r="N154" s="1606"/>
      <c r="O154" s="1606"/>
      <c r="P154" s="1606"/>
      <c r="Q154" s="1606"/>
      <c r="R154" s="1606"/>
      <c r="S154" s="1606"/>
      <c r="T154" s="1616">
        <v>0.02</v>
      </c>
      <c r="U154" s="1616"/>
      <c r="V154" s="1616"/>
      <c r="W154" s="1616"/>
      <c r="X154" s="1616"/>
      <c r="Y154" s="1616"/>
      <c r="Z154" s="1616"/>
      <c r="AA154" s="1616"/>
      <c r="AB154" s="1616" t="s">
        <v>437</v>
      </c>
      <c r="AC154" s="1616"/>
      <c r="AD154" s="1616"/>
      <c r="AE154" s="1616"/>
      <c r="AF154" s="1616"/>
      <c r="AG154" s="1526" t="e">
        <f>$BU$153*T154</f>
        <v>#REF!</v>
      </c>
      <c r="AH154" s="1526"/>
      <c r="AI154" s="1526"/>
      <c r="AJ154" s="1526"/>
      <c r="AK154" s="1526"/>
      <c r="AL154" s="1526"/>
      <c r="AM154" s="1526"/>
      <c r="AN154" s="1526"/>
      <c r="AO154" s="1526"/>
      <c r="AP154" s="1526"/>
      <c r="AQ154" s="1526"/>
      <c r="AR154" s="1526"/>
      <c r="AS154" s="1526"/>
      <c r="AT154" s="1526"/>
      <c r="AU154" s="1526"/>
      <c r="AV154" s="1526"/>
      <c r="AW154" s="1526"/>
      <c r="AX154" s="1526"/>
      <c r="AY154" s="1526"/>
      <c r="AZ154" s="1526"/>
      <c r="BA154" s="1526"/>
      <c r="BB154" s="1526"/>
      <c r="BC154" s="1526"/>
      <c r="BD154" s="1526"/>
      <c r="BE154" s="1526"/>
      <c r="BF154" s="1526"/>
      <c r="BG154" s="1526"/>
      <c r="BH154" s="1526"/>
      <c r="BI154" s="1526"/>
      <c r="BJ154" s="1526"/>
      <c r="BK154" s="1526" t="e">
        <f t="shared" si="19"/>
        <v>#REF!</v>
      </c>
      <c r="BL154" s="1526"/>
      <c r="BM154" s="1526"/>
      <c r="BN154" s="1526"/>
      <c r="BO154" s="1526"/>
      <c r="BP154" s="1526"/>
      <c r="BQ154" s="1526"/>
      <c r="BR154" s="1526"/>
      <c r="BS154" s="1526"/>
      <c r="BT154" s="1526"/>
      <c r="BU154" s="1692"/>
      <c r="BV154" s="1692"/>
      <c r="BW154" s="1692"/>
      <c r="BX154" s="1692"/>
      <c r="BY154" s="1692"/>
      <c r="BZ154" s="1692"/>
      <c r="CA154" s="1692"/>
      <c r="CB154" s="1692"/>
      <c r="CC154" s="1692"/>
      <c r="CD154" s="1692"/>
      <c r="CE154" s="1692"/>
      <c r="CF154" s="1693"/>
    </row>
    <row r="155" spans="1:84" s="535" customFormat="1" ht="23.1" customHeight="1" thickBot="1">
      <c r="E155" s="1690"/>
      <c r="F155" s="1691"/>
      <c r="G155" s="1691"/>
      <c r="H155" s="1691"/>
      <c r="I155" s="1607" t="s">
        <v>373</v>
      </c>
      <c r="J155" s="1607"/>
      <c r="K155" s="1607"/>
      <c r="L155" s="1607"/>
      <c r="M155" s="1607"/>
      <c r="N155" s="1607"/>
      <c r="O155" s="1607"/>
      <c r="P155" s="1607"/>
      <c r="Q155" s="1607"/>
      <c r="R155" s="1607"/>
      <c r="S155" s="1607"/>
      <c r="T155" s="1689">
        <v>0.03</v>
      </c>
      <c r="U155" s="1689"/>
      <c r="V155" s="1689"/>
      <c r="W155" s="1689"/>
      <c r="X155" s="1689"/>
      <c r="Y155" s="1689"/>
      <c r="Z155" s="1689"/>
      <c r="AA155" s="1689"/>
      <c r="AB155" s="1689" t="s">
        <v>437</v>
      </c>
      <c r="AC155" s="1689"/>
      <c r="AD155" s="1689"/>
      <c r="AE155" s="1689"/>
      <c r="AF155" s="1689"/>
      <c r="AG155" s="1516" t="e">
        <f>$BU$153*T155</f>
        <v>#REF!</v>
      </c>
      <c r="AH155" s="1516"/>
      <c r="AI155" s="1516"/>
      <c r="AJ155" s="1516"/>
      <c r="AK155" s="1516"/>
      <c r="AL155" s="1516"/>
      <c r="AM155" s="1516"/>
      <c r="AN155" s="1516"/>
      <c r="AO155" s="1516"/>
      <c r="AP155" s="1516"/>
      <c r="AQ155" s="1516"/>
      <c r="AR155" s="1516"/>
      <c r="AS155" s="1516"/>
      <c r="AT155" s="1516"/>
      <c r="AU155" s="1516"/>
      <c r="AV155" s="1516"/>
      <c r="AW155" s="1516"/>
      <c r="AX155" s="1516"/>
      <c r="AY155" s="1516"/>
      <c r="AZ155" s="1516"/>
      <c r="BA155" s="1516"/>
      <c r="BB155" s="1516"/>
      <c r="BC155" s="1516"/>
      <c r="BD155" s="1516"/>
      <c r="BE155" s="1516"/>
      <c r="BF155" s="1516"/>
      <c r="BG155" s="1516"/>
      <c r="BH155" s="1516"/>
      <c r="BI155" s="1516"/>
      <c r="BJ155" s="1516"/>
      <c r="BK155" s="1516" t="e">
        <f t="shared" si="19"/>
        <v>#REF!</v>
      </c>
      <c r="BL155" s="1516"/>
      <c r="BM155" s="1516"/>
      <c r="BN155" s="1516"/>
      <c r="BO155" s="1516"/>
      <c r="BP155" s="1516"/>
      <c r="BQ155" s="1516"/>
      <c r="BR155" s="1516"/>
      <c r="BS155" s="1516"/>
      <c r="BT155" s="1516"/>
      <c r="BU155" s="1694"/>
      <c r="BV155" s="1694"/>
      <c r="BW155" s="1694"/>
      <c r="BX155" s="1694"/>
      <c r="BY155" s="1694"/>
      <c r="BZ155" s="1694"/>
      <c r="CA155" s="1694"/>
      <c r="CB155" s="1694"/>
      <c r="CC155" s="1694"/>
      <c r="CD155" s="1694"/>
      <c r="CE155" s="1694"/>
      <c r="CF155" s="1695"/>
    </row>
    <row r="156" spans="1:84" s="535" customFormat="1" ht="23.1" customHeight="1" thickTop="1">
      <c r="E156" s="1681" t="s">
        <v>438</v>
      </c>
      <c r="F156" s="1682"/>
      <c r="G156" s="1682"/>
      <c r="H156" s="1682"/>
      <c r="I156" s="1620" t="s">
        <v>415</v>
      </c>
      <c r="J156" s="1620"/>
      <c r="K156" s="1620"/>
      <c r="L156" s="1620"/>
      <c r="M156" s="1620"/>
      <c r="N156" s="1620"/>
      <c r="O156" s="1620"/>
      <c r="P156" s="1620"/>
      <c r="Q156" s="1620"/>
      <c r="R156" s="1620"/>
      <c r="S156" s="1620"/>
      <c r="T156" s="1685"/>
      <c r="U156" s="1685"/>
      <c r="V156" s="1685"/>
      <c r="W156" s="1685"/>
      <c r="X156" s="1685"/>
      <c r="Y156" s="1685"/>
      <c r="Z156" s="1685"/>
      <c r="AA156" s="1685"/>
      <c r="AB156" s="1685"/>
      <c r="AC156" s="1685"/>
      <c r="AD156" s="1685"/>
      <c r="AE156" s="1685"/>
      <c r="AF156" s="1685"/>
      <c r="AG156" s="1532" t="e">
        <f>AG151+AG152+AG153</f>
        <v>#REF!</v>
      </c>
      <c r="AH156" s="1532"/>
      <c r="AI156" s="1532"/>
      <c r="AJ156" s="1532"/>
      <c r="AK156" s="1532"/>
      <c r="AL156" s="1532"/>
      <c r="AM156" s="1532"/>
      <c r="AN156" s="1532"/>
      <c r="AO156" s="1532"/>
      <c r="AP156" s="1532"/>
      <c r="AQ156" s="1532" t="e">
        <f>AQ151+AQ152+AQ153</f>
        <v>#REF!</v>
      </c>
      <c r="AR156" s="1532"/>
      <c r="AS156" s="1532"/>
      <c r="AT156" s="1532"/>
      <c r="AU156" s="1532"/>
      <c r="AV156" s="1532"/>
      <c r="AW156" s="1532"/>
      <c r="AX156" s="1532"/>
      <c r="AY156" s="1532"/>
      <c r="AZ156" s="1532"/>
      <c r="BA156" s="1532" t="e">
        <f>BA151+BA152+BA153</f>
        <v>#REF!</v>
      </c>
      <c r="BB156" s="1532"/>
      <c r="BC156" s="1532"/>
      <c r="BD156" s="1532"/>
      <c r="BE156" s="1532"/>
      <c r="BF156" s="1532"/>
      <c r="BG156" s="1532"/>
      <c r="BH156" s="1532"/>
      <c r="BI156" s="1532"/>
      <c r="BJ156" s="1532"/>
      <c r="BK156" s="1532" t="e">
        <f t="shared" si="19"/>
        <v>#REF!</v>
      </c>
      <c r="BL156" s="1532"/>
      <c r="BM156" s="1532"/>
      <c r="BN156" s="1532"/>
      <c r="BO156" s="1532"/>
      <c r="BP156" s="1532"/>
      <c r="BQ156" s="1532"/>
      <c r="BR156" s="1532"/>
      <c r="BS156" s="1532"/>
      <c r="BT156" s="1532"/>
      <c r="BU156" s="1679"/>
      <c r="BV156" s="1679"/>
      <c r="BW156" s="1679"/>
      <c r="BX156" s="1679"/>
      <c r="BY156" s="1679"/>
      <c r="BZ156" s="1679"/>
      <c r="CA156" s="1679"/>
      <c r="CB156" s="1679"/>
      <c r="CC156" s="1679"/>
      <c r="CD156" s="1679"/>
      <c r="CE156" s="1679"/>
      <c r="CF156" s="1680"/>
    </row>
    <row r="157" spans="1:84" s="535" customFormat="1" ht="23.1" customHeight="1">
      <c r="E157" s="1636"/>
      <c r="F157" s="1642"/>
      <c r="G157" s="1642"/>
      <c r="H157" s="1642"/>
      <c r="I157" s="1606" t="s">
        <v>374</v>
      </c>
      <c r="J157" s="1606"/>
      <c r="K157" s="1606"/>
      <c r="L157" s="1606"/>
      <c r="M157" s="1606"/>
      <c r="N157" s="1606"/>
      <c r="O157" s="1606"/>
      <c r="P157" s="1606"/>
      <c r="Q157" s="1606"/>
      <c r="R157" s="1606"/>
      <c r="S157" s="1606"/>
      <c r="T157" s="1616"/>
      <c r="U157" s="1616"/>
      <c r="V157" s="1616"/>
      <c r="W157" s="1616"/>
      <c r="X157" s="1616"/>
      <c r="Y157" s="1616"/>
      <c r="Z157" s="1616"/>
      <c r="AA157" s="1616"/>
      <c r="AB157" s="1616"/>
      <c r="AC157" s="1616"/>
      <c r="AD157" s="1616"/>
      <c r="AE157" s="1616"/>
      <c r="AF157" s="1616"/>
      <c r="AG157" s="1526" t="e">
        <f>AG151+AG152+AG154</f>
        <v>#REF!</v>
      </c>
      <c r="AH157" s="1526"/>
      <c r="AI157" s="1526"/>
      <c r="AJ157" s="1526"/>
      <c r="AK157" s="1526"/>
      <c r="AL157" s="1526"/>
      <c r="AM157" s="1526"/>
      <c r="AN157" s="1526"/>
      <c r="AO157" s="1526"/>
      <c r="AP157" s="1526"/>
      <c r="AQ157" s="1526" t="e">
        <f>AQ151+AQ152+AQ154</f>
        <v>#REF!</v>
      </c>
      <c r="AR157" s="1526"/>
      <c r="AS157" s="1526"/>
      <c r="AT157" s="1526"/>
      <c r="AU157" s="1526"/>
      <c r="AV157" s="1526"/>
      <c r="AW157" s="1526"/>
      <c r="AX157" s="1526"/>
      <c r="AY157" s="1526"/>
      <c r="AZ157" s="1526"/>
      <c r="BA157" s="1526" t="e">
        <f>BA151+BA152+BA154</f>
        <v>#REF!</v>
      </c>
      <c r="BB157" s="1526"/>
      <c r="BC157" s="1526"/>
      <c r="BD157" s="1526"/>
      <c r="BE157" s="1526"/>
      <c r="BF157" s="1526"/>
      <c r="BG157" s="1526"/>
      <c r="BH157" s="1526"/>
      <c r="BI157" s="1526"/>
      <c r="BJ157" s="1526"/>
      <c r="BK157" s="1526" t="e">
        <f t="shared" si="19"/>
        <v>#REF!</v>
      </c>
      <c r="BL157" s="1526"/>
      <c r="BM157" s="1526"/>
      <c r="BN157" s="1526"/>
      <c r="BO157" s="1526"/>
      <c r="BP157" s="1526"/>
      <c r="BQ157" s="1526"/>
      <c r="BR157" s="1526"/>
      <c r="BS157" s="1526"/>
      <c r="BT157" s="1526"/>
      <c r="BU157" s="1675"/>
      <c r="BV157" s="1675"/>
      <c r="BW157" s="1675"/>
      <c r="BX157" s="1675"/>
      <c r="BY157" s="1675"/>
      <c r="BZ157" s="1675"/>
      <c r="CA157" s="1675"/>
      <c r="CB157" s="1675"/>
      <c r="CC157" s="1675"/>
      <c r="CD157" s="1675"/>
      <c r="CE157" s="1675"/>
      <c r="CF157" s="1676"/>
    </row>
    <row r="158" spans="1:84" s="535" customFormat="1" ht="23.1" customHeight="1" thickBot="1">
      <c r="E158" s="1683"/>
      <c r="F158" s="1684"/>
      <c r="G158" s="1684"/>
      <c r="H158" s="1684"/>
      <c r="I158" s="1599" t="s">
        <v>373</v>
      </c>
      <c r="J158" s="1599"/>
      <c r="K158" s="1599"/>
      <c r="L158" s="1599"/>
      <c r="M158" s="1599"/>
      <c r="N158" s="1599"/>
      <c r="O158" s="1599"/>
      <c r="P158" s="1599"/>
      <c r="Q158" s="1599"/>
      <c r="R158" s="1599"/>
      <c r="S158" s="1599"/>
      <c r="T158" s="1629"/>
      <c r="U158" s="1629"/>
      <c r="V158" s="1629"/>
      <c r="W158" s="1629"/>
      <c r="X158" s="1629"/>
      <c r="Y158" s="1629"/>
      <c r="Z158" s="1629"/>
      <c r="AA158" s="1629"/>
      <c r="AB158" s="1629"/>
      <c r="AC158" s="1629"/>
      <c r="AD158" s="1629"/>
      <c r="AE158" s="1629"/>
      <c r="AF158" s="1629"/>
      <c r="AG158" s="1507" t="e">
        <f>AG151+AG152+AG155</f>
        <v>#REF!</v>
      </c>
      <c r="AH158" s="1507"/>
      <c r="AI158" s="1507"/>
      <c r="AJ158" s="1507"/>
      <c r="AK158" s="1507"/>
      <c r="AL158" s="1507"/>
      <c r="AM158" s="1507"/>
      <c r="AN158" s="1507"/>
      <c r="AO158" s="1507"/>
      <c r="AP158" s="1507"/>
      <c r="AQ158" s="1507" t="e">
        <f>AQ151+AQ152+AQ155</f>
        <v>#REF!</v>
      </c>
      <c r="AR158" s="1507"/>
      <c r="AS158" s="1507"/>
      <c r="AT158" s="1507"/>
      <c r="AU158" s="1507"/>
      <c r="AV158" s="1507"/>
      <c r="AW158" s="1507"/>
      <c r="AX158" s="1507"/>
      <c r="AY158" s="1507"/>
      <c r="AZ158" s="1507"/>
      <c r="BA158" s="1507" t="e">
        <f>BA151+BA152+BA155</f>
        <v>#REF!</v>
      </c>
      <c r="BB158" s="1507"/>
      <c r="BC158" s="1507"/>
      <c r="BD158" s="1507"/>
      <c r="BE158" s="1507"/>
      <c r="BF158" s="1507"/>
      <c r="BG158" s="1507"/>
      <c r="BH158" s="1507"/>
      <c r="BI158" s="1507"/>
      <c r="BJ158" s="1507"/>
      <c r="BK158" s="1507" t="e">
        <f t="shared" si="19"/>
        <v>#REF!</v>
      </c>
      <c r="BL158" s="1507"/>
      <c r="BM158" s="1507"/>
      <c r="BN158" s="1507"/>
      <c r="BO158" s="1507"/>
      <c r="BP158" s="1507"/>
      <c r="BQ158" s="1507"/>
      <c r="BR158" s="1507"/>
      <c r="BS158" s="1507"/>
      <c r="BT158" s="1507"/>
      <c r="BU158" s="1677"/>
      <c r="BV158" s="1677"/>
      <c r="BW158" s="1677"/>
      <c r="BX158" s="1677"/>
      <c r="BY158" s="1677"/>
      <c r="BZ158" s="1677"/>
      <c r="CA158" s="1677"/>
      <c r="CB158" s="1677"/>
      <c r="CC158" s="1677"/>
      <c r="CD158" s="1677"/>
      <c r="CE158" s="1677"/>
      <c r="CF158" s="1678"/>
    </row>
    <row r="159" spans="1:84" s="535" customFormat="1" ht="23.1" customHeight="1"/>
    <row r="160" spans="1:84" s="535" customFormat="1" ht="23.1" customHeight="1">
      <c r="BT160" s="410"/>
      <c r="BU160" s="410"/>
      <c r="BV160" s="410"/>
      <c r="BW160" s="410"/>
      <c r="BX160" s="410"/>
      <c r="BY160" s="410"/>
      <c r="BZ160" s="410"/>
      <c r="CA160" s="410"/>
      <c r="CB160" s="410"/>
      <c r="CC160" s="410"/>
    </row>
    <row r="161" spans="1:88" s="535" customFormat="1" ht="23.1" customHeight="1">
      <c r="BT161" s="414"/>
      <c r="BU161" s="414"/>
      <c r="BV161" s="414"/>
      <c r="BW161" s="414"/>
      <c r="BX161" s="414"/>
      <c r="BY161" s="414"/>
      <c r="BZ161" s="414"/>
      <c r="CA161" s="414"/>
      <c r="CB161" s="414"/>
      <c r="CC161" s="414"/>
    </row>
    <row r="162" spans="1:88" s="535" customFormat="1" ht="23.1" customHeight="1">
      <c r="BT162" s="410"/>
      <c r="BU162" s="410"/>
      <c r="BV162" s="410"/>
      <c r="BW162" s="410"/>
      <c r="BX162" s="410"/>
      <c r="BY162" s="410"/>
      <c r="BZ162" s="410"/>
      <c r="CA162" s="410"/>
      <c r="CB162" s="410"/>
      <c r="CC162" s="410"/>
    </row>
    <row r="163" spans="1:88" s="535" customFormat="1" ht="23.1" customHeight="1">
      <c r="BT163" s="414"/>
      <c r="BU163" s="414"/>
      <c r="BV163" s="414"/>
      <c r="BW163" s="414"/>
      <c r="BX163" s="414"/>
      <c r="BY163" s="414"/>
      <c r="BZ163" s="414"/>
      <c r="CA163" s="414"/>
      <c r="CB163" s="414"/>
      <c r="CC163" s="414"/>
    </row>
    <row r="164" spans="1:88" s="535" customFormat="1" ht="23.1" customHeight="1">
      <c r="BT164" s="410"/>
      <c r="BU164" s="410"/>
      <c r="BV164" s="410"/>
      <c r="BW164" s="410"/>
      <c r="BX164" s="410"/>
      <c r="BY164" s="410"/>
      <c r="BZ164" s="410"/>
      <c r="CA164" s="410"/>
      <c r="CB164" s="410"/>
      <c r="CC164" s="410"/>
    </row>
    <row r="165" spans="1:88" s="534" customFormat="1" ht="28.35" customHeight="1">
      <c r="A165" s="1579" t="s">
        <v>439</v>
      </c>
      <c r="B165" s="1579"/>
      <c r="C165" s="1579"/>
      <c r="D165" s="1579"/>
      <c r="E165" s="1579"/>
      <c r="F165" s="1579"/>
      <c r="G165" s="1579"/>
      <c r="H165" s="1579"/>
      <c r="I165" s="1579"/>
      <c r="J165" s="1579"/>
      <c r="K165" s="1579"/>
      <c r="L165" s="1579"/>
      <c r="M165" s="1579"/>
      <c r="N165" s="1579"/>
      <c r="O165" s="1579"/>
      <c r="P165" s="1579"/>
      <c r="Q165" s="1579"/>
      <c r="R165" s="1579"/>
      <c r="S165" s="1579"/>
      <c r="T165" s="1579"/>
      <c r="U165" s="1579"/>
      <c r="V165" s="1579"/>
      <c r="W165" s="1579"/>
      <c r="X165" s="1579"/>
      <c r="Y165" s="1579"/>
      <c r="Z165" s="1579"/>
      <c r="AA165" s="1579"/>
      <c r="AB165" s="1579"/>
      <c r="AC165" s="1579"/>
      <c r="AD165" s="1579"/>
      <c r="AE165" s="1579"/>
      <c r="AF165" s="1579"/>
      <c r="AG165" s="1579"/>
      <c r="AH165" s="1579"/>
      <c r="AI165" s="1579"/>
      <c r="AJ165" s="1579"/>
      <c r="AK165" s="1579"/>
      <c r="AL165" s="1579"/>
      <c r="AM165" s="1579"/>
      <c r="AN165" s="1579"/>
      <c r="AO165" s="1579"/>
      <c r="AP165" s="1579"/>
      <c r="AQ165" s="1579"/>
      <c r="AR165" s="1579"/>
      <c r="AS165" s="1579"/>
      <c r="AT165" s="1579"/>
      <c r="AU165" s="1579"/>
      <c r="AV165" s="1579"/>
      <c r="AW165" s="1579"/>
      <c r="AX165" s="1579"/>
      <c r="AY165" s="1579"/>
      <c r="AZ165" s="1579"/>
      <c r="BA165" s="1579"/>
      <c r="BB165" s="1579"/>
      <c r="BC165" s="1579"/>
      <c r="BD165" s="1579"/>
      <c r="BE165" s="1579"/>
      <c r="BF165" s="1579"/>
      <c r="BG165" s="1579"/>
      <c r="BH165" s="1579"/>
      <c r="BI165" s="1579"/>
      <c r="BJ165" s="1579"/>
      <c r="BK165" s="1579"/>
      <c r="BL165" s="1579"/>
      <c r="BM165" s="1579"/>
      <c r="BN165" s="1579"/>
      <c r="BO165" s="1579"/>
      <c r="BP165" s="1579"/>
      <c r="BQ165" s="1579"/>
      <c r="BR165" s="1579"/>
      <c r="BS165" s="1579"/>
      <c r="BT165" s="1579"/>
      <c r="BU165" s="1579"/>
      <c r="BV165" s="1579"/>
      <c r="BW165" s="1579"/>
      <c r="BX165" s="1579"/>
      <c r="BY165" s="1579"/>
      <c r="BZ165" s="1579"/>
      <c r="CA165" s="1579"/>
      <c r="CB165" s="1579"/>
      <c r="CC165" s="1579"/>
      <c r="CD165" s="1579"/>
      <c r="CE165" s="1579"/>
      <c r="CF165" s="1579"/>
      <c r="CJ165" s="535" t="s">
        <v>755</v>
      </c>
    </row>
    <row r="166" spans="1:88" s="534" customFormat="1" ht="9.9499999999999993" customHeight="1">
      <c r="A166" s="536"/>
      <c r="B166" s="536"/>
      <c r="C166" s="536"/>
      <c r="D166" s="536"/>
      <c r="E166" s="536"/>
      <c r="F166" s="536"/>
      <c r="G166" s="536"/>
      <c r="H166" s="536"/>
      <c r="I166" s="536"/>
      <c r="J166" s="536"/>
      <c r="K166" s="536"/>
      <c r="L166" s="536"/>
      <c r="M166" s="536"/>
      <c r="N166" s="536"/>
      <c r="O166" s="536"/>
      <c r="P166" s="536"/>
      <c r="Q166" s="536"/>
      <c r="R166" s="536"/>
      <c r="S166" s="536"/>
      <c r="T166" s="536"/>
      <c r="U166" s="536"/>
      <c r="V166" s="536"/>
      <c r="W166" s="536"/>
      <c r="X166" s="536"/>
      <c r="Y166" s="536"/>
      <c r="Z166" s="536"/>
      <c r="AA166" s="536"/>
      <c r="AB166" s="536"/>
      <c r="AC166" s="536"/>
      <c r="AD166" s="536"/>
      <c r="AE166" s="536"/>
      <c r="AF166" s="536"/>
      <c r="AG166" s="536"/>
      <c r="AH166" s="536"/>
      <c r="AI166" s="536"/>
      <c r="AJ166" s="536"/>
      <c r="AK166" s="536"/>
      <c r="AL166" s="536"/>
      <c r="AM166" s="536"/>
      <c r="AN166" s="536"/>
      <c r="AO166" s="536"/>
      <c r="AP166" s="536"/>
      <c r="AQ166" s="536"/>
      <c r="AR166" s="536"/>
      <c r="AS166" s="536"/>
      <c r="AT166" s="536"/>
      <c r="AU166" s="536"/>
      <c r="AV166" s="536"/>
      <c r="AW166" s="536"/>
      <c r="AX166" s="536"/>
      <c r="AY166" s="536"/>
      <c r="AZ166" s="536"/>
      <c r="BA166" s="536"/>
      <c r="BB166" s="536"/>
      <c r="BC166" s="536"/>
      <c r="BD166" s="536"/>
      <c r="BE166" s="536"/>
      <c r="BF166" s="536"/>
      <c r="BG166" s="536"/>
      <c r="BH166" s="536"/>
      <c r="BI166" s="536"/>
      <c r="BJ166" s="536"/>
      <c r="BK166" s="536"/>
      <c r="BL166" s="536"/>
      <c r="BM166" s="536"/>
      <c r="BN166" s="536"/>
      <c r="BO166" s="536"/>
      <c r="BP166" s="536"/>
      <c r="BQ166" s="536"/>
      <c r="BR166" s="536"/>
      <c r="BS166" s="536"/>
      <c r="BT166" s="536"/>
      <c r="BU166" s="536"/>
      <c r="BV166" s="536"/>
      <c r="BW166" s="536"/>
      <c r="BX166" s="536"/>
      <c r="BY166" s="536"/>
      <c r="BZ166" s="536"/>
      <c r="CA166" s="536"/>
      <c r="CB166" s="536"/>
      <c r="CC166" s="536"/>
      <c r="CD166" s="536"/>
      <c r="CE166" s="536"/>
      <c r="CF166" s="536"/>
      <c r="CJ166" s="535"/>
    </row>
    <row r="167" spans="1:88" s="535" customFormat="1" ht="23.1" customHeight="1">
      <c r="E167" s="535" t="s">
        <v>376</v>
      </c>
      <c r="CJ167" s="535" t="s">
        <v>754</v>
      </c>
    </row>
    <row r="168" spans="1:88" s="535" customFormat="1" ht="23.1" customHeight="1">
      <c r="A168" s="540"/>
      <c r="B168" s="540"/>
      <c r="C168" s="540"/>
      <c r="D168" s="540"/>
      <c r="G168" s="1580" t="s">
        <v>377</v>
      </c>
      <c r="H168" s="1580"/>
      <c r="I168" s="1580"/>
      <c r="J168" s="1580"/>
      <c r="L168" s="543" t="s">
        <v>378</v>
      </c>
      <c r="M168" s="543"/>
      <c r="N168" s="543"/>
      <c r="O168" s="543"/>
      <c r="P168" s="543"/>
      <c r="Q168" s="543"/>
      <c r="R168" s="543"/>
      <c r="S168" s="543"/>
      <c r="T168" s="543"/>
      <c r="U168" s="543"/>
      <c r="V168" s="543"/>
      <c r="W168" s="543"/>
      <c r="X168" s="543"/>
      <c r="Y168" s="543"/>
      <c r="Z168" s="543"/>
      <c r="AA168" s="543"/>
      <c r="AB168" s="543"/>
      <c r="AC168" s="543"/>
      <c r="AD168" s="543"/>
      <c r="AE168" s="543"/>
      <c r="AM168" s="535" t="s">
        <v>379</v>
      </c>
      <c r="AV168" s="544"/>
      <c r="AW168" s="544"/>
      <c r="AX168" s="544"/>
      <c r="AY168" s="544"/>
      <c r="AZ168" s="544"/>
      <c r="BA168" s="544"/>
      <c r="BC168" s="544"/>
      <c r="BD168" s="544"/>
      <c r="BE168" s="545"/>
      <c r="BF168" s="545"/>
      <c r="BG168" s="545"/>
      <c r="BH168" s="545"/>
      <c r="BI168" s="535" t="s">
        <v>380</v>
      </c>
      <c r="BJ168" s="545"/>
      <c r="BK168" s="545"/>
      <c r="BL168" s="545"/>
      <c r="BM168" s="545"/>
      <c r="BN168" s="545"/>
      <c r="BO168" s="545"/>
      <c r="BP168" s="545"/>
      <c r="BQ168" s="545"/>
      <c r="BR168" s="545"/>
      <c r="BS168" s="545"/>
      <c r="BT168" s="545"/>
      <c r="BU168" s="545"/>
      <c r="BV168" s="545"/>
      <c r="BW168" s="545"/>
      <c r="BX168" s="545"/>
      <c r="BY168" s="545"/>
      <c r="BZ168" s="545"/>
      <c r="CA168" s="545"/>
      <c r="CB168" s="545"/>
      <c r="CC168" s="545"/>
      <c r="CD168" s="545"/>
      <c r="CE168" s="545"/>
      <c r="CF168" s="545"/>
      <c r="CJ168" s="535" t="s">
        <v>753</v>
      </c>
    </row>
    <row r="169" spans="1:88" s="535" customFormat="1" ht="23.1" customHeight="1">
      <c r="D169" s="405"/>
      <c r="G169" s="1580"/>
      <c r="H169" s="1580"/>
      <c r="I169" s="1580"/>
      <c r="J169" s="1580"/>
      <c r="L169" s="1557" t="s">
        <v>381</v>
      </c>
      <c r="M169" s="1557"/>
      <c r="N169" s="1557"/>
      <c r="O169" s="1557"/>
      <c r="P169" s="1557"/>
      <c r="Q169" s="1557"/>
      <c r="R169" s="1557"/>
      <c r="S169" s="1557"/>
      <c r="T169" s="1557"/>
      <c r="U169" s="1557"/>
      <c r="V169" s="1557"/>
      <c r="W169" s="1557"/>
      <c r="X169" s="1557"/>
      <c r="Y169" s="1557"/>
      <c r="Z169" s="1557"/>
      <c r="AA169" s="1557"/>
      <c r="AB169" s="1557"/>
      <c r="AC169" s="1557"/>
      <c r="AD169" s="1557"/>
      <c r="AE169" s="1557"/>
      <c r="AM169" s="544" t="s">
        <v>440</v>
      </c>
      <c r="AV169" s="544"/>
      <c r="AW169" s="544"/>
      <c r="AX169" s="544"/>
      <c r="AY169" s="544"/>
      <c r="AZ169" s="544"/>
      <c r="BA169" s="544"/>
      <c r="BC169" s="544"/>
      <c r="BD169" s="544"/>
      <c r="BE169" s="545"/>
      <c r="BF169" s="545"/>
      <c r="BG169" s="545"/>
      <c r="BH169" s="545"/>
      <c r="BI169" s="545"/>
      <c r="BJ169" s="545"/>
      <c r="BK169" s="545"/>
      <c r="BL169" s="545"/>
      <c r="BM169" s="545"/>
      <c r="BN169" s="545"/>
      <c r="BO169" s="545"/>
      <c r="BP169" s="545"/>
      <c r="BQ169" s="545"/>
      <c r="BR169" s="545"/>
      <c r="BS169" s="545"/>
      <c r="BT169" s="545"/>
      <c r="BU169" s="545"/>
      <c r="BV169" s="545"/>
      <c r="BW169" s="545"/>
      <c r="BX169" s="545"/>
      <c r="BY169" s="545"/>
      <c r="BZ169" s="545"/>
      <c r="CA169" s="545"/>
      <c r="CB169" s="545"/>
      <c r="CC169" s="545"/>
      <c r="CD169" s="545"/>
      <c r="CE169" s="545"/>
      <c r="CF169" s="545"/>
      <c r="CJ169" s="535" t="s">
        <v>752</v>
      </c>
    </row>
    <row r="170" spans="1:88" s="535" customFormat="1" ht="23.1" customHeight="1">
      <c r="G170" s="540"/>
      <c r="AM170" s="544" t="s">
        <v>383</v>
      </c>
      <c r="BI170" s="535" t="s">
        <v>384</v>
      </c>
      <c r="BT170" s="410"/>
      <c r="BU170" s="410"/>
      <c r="BV170" s="410"/>
      <c r="BW170" s="410"/>
      <c r="BX170" s="410"/>
      <c r="BY170" s="410"/>
      <c r="BZ170" s="410"/>
      <c r="CA170" s="410"/>
      <c r="CB170" s="410"/>
      <c r="CC170" s="410"/>
      <c r="CJ170" s="535" t="s">
        <v>751</v>
      </c>
    </row>
    <row r="171" spans="1:88" s="535" customFormat="1" ht="9.9499999999999993" customHeight="1" thickBot="1">
      <c r="D171" s="405"/>
      <c r="Q171" s="546"/>
      <c r="R171" s="546"/>
      <c r="S171" s="546"/>
      <c r="T171" s="546"/>
      <c r="U171" s="546"/>
      <c r="V171" s="546"/>
      <c r="W171" s="546"/>
      <c r="X171" s="546"/>
      <c r="Y171" s="546"/>
      <c r="Z171" s="546"/>
      <c r="AA171" s="546"/>
      <c r="AB171" s="546"/>
      <c r="AV171" s="544"/>
      <c r="AW171" s="544"/>
      <c r="AX171" s="544"/>
      <c r="AY171" s="544"/>
      <c r="AZ171" s="544"/>
      <c r="BA171" s="544"/>
      <c r="BB171" s="544"/>
      <c r="BC171" s="544"/>
      <c r="BD171" s="544"/>
      <c r="BE171" s="545"/>
      <c r="BF171" s="545"/>
      <c r="BG171" s="545"/>
      <c r="BH171" s="545"/>
      <c r="BI171" s="545"/>
      <c r="BJ171" s="545"/>
      <c r="BK171" s="545"/>
      <c r="BL171" s="545"/>
      <c r="BM171" s="545"/>
      <c r="BN171" s="545"/>
      <c r="BO171" s="545"/>
      <c r="BP171" s="545"/>
      <c r="BQ171" s="545"/>
      <c r="BR171" s="545"/>
      <c r="BS171" s="545"/>
      <c r="BT171" s="545"/>
      <c r="BU171" s="545"/>
      <c r="BV171" s="545"/>
      <c r="BW171" s="545"/>
      <c r="BX171" s="545"/>
      <c r="BY171" s="545"/>
      <c r="BZ171" s="545"/>
      <c r="CA171" s="545"/>
      <c r="CB171" s="545"/>
      <c r="CC171" s="545"/>
      <c r="CD171" s="545"/>
      <c r="CE171" s="545"/>
      <c r="CF171" s="545"/>
    </row>
    <row r="172" spans="1:88" s="535" customFormat="1" ht="23.1" customHeight="1" thickBot="1">
      <c r="A172" s="540"/>
      <c r="B172" s="540"/>
      <c r="C172" s="540"/>
      <c r="D172" s="540"/>
      <c r="E172" s="1581" t="s">
        <v>385</v>
      </c>
      <c r="F172" s="1582"/>
      <c r="G172" s="1582"/>
      <c r="H172" s="1582"/>
      <c r="I172" s="1582"/>
      <c r="J172" s="1582"/>
      <c r="K172" s="1582"/>
      <c r="L172" s="1582"/>
      <c r="M172" s="1582"/>
      <c r="N172" s="1582"/>
      <c r="O172" s="1582"/>
      <c r="P172" s="1582"/>
      <c r="Q172" s="1582" t="s">
        <v>212</v>
      </c>
      <c r="R172" s="1582"/>
      <c r="S172" s="1582"/>
      <c r="T172" s="1582"/>
      <c r="U172" s="1582"/>
      <c r="V172" s="1582"/>
      <c r="W172" s="1582"/>
      <c r="X172" s="1582"/>
      <c r="Y172" s="1582"/>
      <c r="Z172" s="1582"/>
      <c r="AA172" s="1582"/>
      <c r="AB172" s="1582"/>
      <c r="AC172" s="1582" t="s">
        <v>386</v>
      </c>
      <c r="AD172" s="1582"/>
      <c r="AE172" s="1582"/>
      <c r="AF172" s="1582"/>
      <c r="AG172" s="1582"/>
      <c r="AH172" s="1582"/>
      <c r="AI172" s="1582"/>
      <c r="AJ172" s="1582"/>
      <c r="AK172" s="1582" t="s">
        <v>387</v>
      </c>
      <c r="AL172" s="1582"/>
      <c r="AM172" s="1582"/>
      <c r="AN172" s="1582"/>
      <c r="AO172" s="1582"/>
      <c r="AP172" s="1582"/>
      <c r="AQ172" s="1582"/>
      <c r="AR172" s="1582"/>
      <c r="AS172" s="1582" t="s">
        <v>388</v>
      </c>
      <c r="AT172" s="1582"/>
      <c r="AU172" s="1582"/>
      <c r="AV172" s="1582"/>
      <c r="AW172" s="1582"/>
      <c r="AX172" s="1582"/>
      <c r="AY172" s="1582"/>
      <c r="AZ172" s="1582"/>
      <c r="BA172" s="1582" t="s">
        <v>389</v>
      </c>
      <c r="BB172" s="1582"/>
      <c r="BC172" s="1582"/>
      <c r="BD172" s="1582"/>
      <c r="BE172" s="1582"/>
      <c r="BF172" s="1582"/>
      <c r="BG172" s="1582"/>
      <c r="BH172" s="1582"/>
      <c r="BI172" s="1582" t="s">
        <v>381</v>
      </c>
      <c r="BJ172" s="1582"/>
      <c r="BK172" s="1582"/>
      <c r="BL172" s="1582"/>
      <c r="BM172" s="1582"/>
      <c r="BN172" s="1582"/>
      <c r="BO172" s="1582"/>
      <c r="BP172" s="1582"/>
      <c r="BQ172" s="1582"/>
      <c r="BR172" s="1582"/>
      <c r="BS172" s="1582"/>
      <c r="BT172" s="1582"/>
      <c r="BU172" s="1570" t="s">
        <v>390</v>
      </c>
      <c r="BV172" s="1570"/>
      <c r="BW172" s="1570"/>
      <c r="BX172" s="1570"/>
      <c r="BY172" s="1570"/>
      <c r="BZ172" s="1570"/>
      <c r="CA172" s="1570"/>
      <c r="CB172" s="1570"/>
      <c r="CC172" s="1570"/>
      <c r="CD172" s="1570"/>
      <c r="CE172" s="1570"/>
      <c r="CF172" s="1571"/>
    </row>
    <row r="173" spans="1:88" s="535" customFormat="1" ht="23.1" customHeight="1" thickTop="1">
      <c r="D173" s="405"/>
      <c r="E173" s="1572" t="s">
        <v>391</v>
      </c>
      <c r="F173" s="1573"/>
      <c r="G173" s="1573"/>
      <c r="H173" s="1573"/>
      <c r="I173" s="1573"/>
      <c r="J173" s="1573"/>
      <c r="K173" s="1573"/>
      <c r="L173" s="1573"/>
      <c r="M173" s="1573"/>
      <c r="N173" s="1573"/>
      <c r="O173" s="1573"/>
      <c r="P173" s="1573"/>
      <c r="Q173" s="1574" t="s">
        <v>392</v>
      </c>
      <c r="R173" s="1574"/>
      <c r="S173" s="1574"/>
      <c r="T173" s="1574"/>
      <c r="U173" s="1574"/>
      <c r="V173" s="1574"/>
      <c r="W173" s="1574"/>
      <c r="X173" s="1574"/>
      <c r="Y173" s="1574"/>
      <c r="Z173" s="1574"/>
      <c r="AA173" s="1574"/>
      <c r="AB173" s="1574"/>
      <c r="AC173" s="1575">
        <v>0.12</v>
      </c>
      <c r="AD173" s="1575"/>
      <c r="AE173" s="1575"/>
      <c r="AF173" s="1575"/>
      <c r="AG173" s="1575"/>
      <c r="AH173" s="1575"/>
      <c r="AI173" s="1575"/>
      <c r="AJ173" s="1575"/>
      <c r="AK173" s="1573">
        <v>0.9</v>
      </c>
      <c r="AL173" s="1573"/>
      <c r="AM173" s="1573"/>
      <c r="AN173" s="1573"/>
      <c r="AO173" s="1573"/>
      <c r="AP173" s="1573"/>
      <c r="AQ173" s="1573"/>
      <c r="AR173" s="1573"/>
      <c r="AS173" s="1573">
        <v>0.7</v>
      </c>
      <c r="AT173" s="1573"/>
      <c r="AU173" s="1573"/>
      <c r="AV173" s="1573"/>
      <c r="AW173" s="1573"/>
      <c r="AX173" s="1573"/>
      <c r="AY173" s="1573"/>
      <c r="AZ173" s="1573"/>
      <c r="BA173" s="1573">
        <v>0.6</v>
      </c>
      <c r="BB173" s="1573"/>
      <c r="BC173" s="1573"/>
      <c r="BD173" s="1573"/>
      <c r="BE173" s="1573"/>
      <c r="BF173" s="1573"/>
      <c r="BG173" s="1573"/>
      <c r="BH173" s="1573"/>
      <c r="BI173" s="1564" t="s">
        <v>393</v>
      </c>
      <c r="BJ173" s="1552"/>
      <c r="BK173" s="1552"/>
      <c r="BL173" s="1552"/>
      <c r="BM173" s="1552"/>
      <c r="BN173" s="1552"/>
      <c r="BO173" s="1576">
        <v>20</v>
      </c>
      <c r="BP173" s="1577"/>
      <c r="BQ173" s="1577"/>
      <c r="BR173" s="1577"/>
      <c r="BS173" s="1577"/>
      <c r="BT173" s="1578"/>
      <c r="BU173" s="1554">
        <f>ROUND(3600*AC173*AK173*AS173*BA173/BO173,2)</f>
        <v>8.16</v>
      </c>
      <c r="BV173" s="1554"/>
      <c r="BW173" s="1554"/>
      <c r="BX173" s="1554"/>
      <c r="BY173" s="1554"/>
      <c r="BZ173" s="1554"/>
      <c r="CA173" s="1554"/>
      <c r="CB173" s="1554"/>
      <c r="CC173" s="1554"/>
      <c r="CD173" s="1554"/>
      <c r="CE173" s="1554"/>
      <c r="CF173" s="1555"/>
      <c r="CJ173" s="535" t="s">
        <v>750</v>
      </c>
    </row>
    <row r="174" spans="1:88" s="535" customFormat="1" ht="23.1" customHeight="1">
      <c r="D174" s="405"/>
      <c r="E174" s="1565" t="s">
        <v>391</v>
      </c>
      <c r="F174" s="1566"/>
      <c r="G174" s="1566"/>
      <c r="H174" s="1566"/>
      <c r="I174" s="1566"/>
      <c r="J174" s="1566"/>
      <c r="K174" s="1566"/>
      <c r="L174" s="1566"/>
      <c r="M174" s="1566"/>
      <c r="N174" s="1566"/>
      <c r="O174" s="1566"/>
      <c r="P174" s="1566"/>
      <c r="Q174" s="1567" t="s">
        <v>394</v>
      </c>
      <c r="R174" s="1567"/>
      <c r="S174" s="1567"/>
      <c r="T174" s="1567"/>
      <c r="U174" s="1567"/>
      <c r="V174" s="1567"/>
      <c r="W174" s="1567"/>
      <c r="X174" s="1567"/>
      <c r="Y174" s="1567"/>
      <c r="Z174" s="1567"/>
      <c r="AA174" s="1567"/>
      <c r="AB174" s="1567"/>
      <c r="AC174" s="1569">
        <v>0.18</v>
      </c>
      <c r="AD174" s="1569"/>
      <c r="AE174" s="1569"/>
      <c r="AF174" s="1569"/>
      <c r="AG174" s="1569"/>
      <c r="AH174" s="1569"/>
      <c r="AI174" s="1569"/>
      <c r="AJ174" s="1569"/>
      <c r="AK174" s="1566">
        <v>0.9</v>
      </c>
      <c r="AL174" s="1566"/>
      <c r="AM174" s="1566"/>
      <c r="AN174" s="1566"/>
      <c r="AO174" s="1566"/>
      <c r="AP174" s="1566"/>
      <c r="AQ174" s="1566"/>
      <c r="AR174" s="1566"/>
      <c r="AS174" s="1566">
        <v>0.7</v>
      </c>
      <c r="AT174" s="1566"/>
      <c r="AU174" s="1566"/>
      <c r="AV174" s="1566"/>
      <c r="AW174" s="1566"/>
      <c r="AX174" s="1566"/>
      <c r="AY174" s="1566"/>
      <c r="AZ174" s="1566"/>
      <c r="BA174" s="1566">
        <v>0.6</v>
      </c>
      <c r="BB174" s="1566"/>
      <c r="BC174" s="1566"/>
      <c r="BD174" s="1566"/>
      <c r="BE174" s="1566"/>
      <c r="BF174" s="1566"/>
      <c r="BG174" s="1566"/>
      <c r="BH174" s="1566"/>
      <c r="BI174" s="1564" t="s">
        <v>393</v>
      </c>
      <c r="BJ174" s="1552"/>
      <c r="BK174" s="1552"/>
      <c r="BL174" s="1552"/>
      <c r="BM174" s="1552"/>
      <c r="BN174" s="1552"/>
      <c r="BO174" s="1551">
        <v>20</v>
      </c>
      <c r="BP174" s="1552"/>
      <c r="BQ174" s="1552"/>
      <c r="BR174" s="1552"/>
      <c r="BS174" s="1552"/>
      <c r="BT174" s="1553"/>
      <c r="BU174" s="1554">
        <f t="shared" ref="BU174:BU180" si="20">ROUND(3600*AC174*AK174*AS174*BA174/BO174,2)</f>
        <v>12.25</v>
      </c>
      <c r="BV174" s="1554"/>
      <c r="BW174" s="1554"/>
      <c r="BX174" s="1554"/>
      <c r="BY174" s="1554"/>
      <c r="BZ174" s="1554"/>
      <c r="CA174" s="1554"/>
      <c r="CB174" s="1554"/>
      <c r="CC174" s="1554"/>
      <c r="CD174" s="1554"/>
      <c r="CE174" s="1554"/>
      <c r="CF174" s="1555"/>
      <c r="CJ174" s="535" t="s">
        <v>750</v>
      </c>
    </row>
    <row r="175" spans="1:88" s="535" customFormat="1" ht="23.1" customHeight="1">
      <c r="A175" s="540"/>
      <c r="B175" s="540"/>
      <c r="C175" s="540"/>
      <c r="D175" s="540"/>
      <c r="E175" s="1565" t="s">
        <v>391</v>
      </c>
      <c r="F175" s="1566"/>
      <c r="G175" s="1566"/>
      <c r="H175" s="1566"/>
      <c r="I175" s="1566"/>
      <c r="J175" s="1566"/>
      <c r="K175" s="1566"/>
      <c r="L175" s="1566"/>
      <c r="M175" s="1566"/>
      <c r="N175" s="1566"/>
      <c r="O175" s="1566"/>
      <c r="P175" s="1566"/>
      <c r="Q175" s="1567" t="s">
        <v>395</v>
      </c>
      <c r="R175" s="1567"/>
      <c r="S175" s="1567"/>
      <c r="T175" s="1567"/>
      <c r="U175" s="1567"/>
      <c r="V175" s="1567"/>
      <c r="W175" s="1567"/>
      <c r="X175" s="1567"/>
      <c r="Y175" s="1567"/>
      <c r="Z175" s="1567"/>
      <c r="AA175" s="1567"/>
      <c r="AB175" s="1567"/>
      <c r="AC175" s="1568">
        <v>0.2</v>
      </c>
      <c r="AD175" s="1568"/>
      <c r="AE175" s="1568"/>
      <c r="AF175" s="1568"/>
      <c r="AG175" s="1568"/>
      <c r="AH175" s="1568"/>
      <c r="AI175" s="1568"/>
      <c r="AJ175" s="1568"/>
      <c r="AK175" s="1566">
        <v>0.9</v>
      </c>
      <c r="AL175" s="1566"/>
      <c r="AM175" s="1566"/>
      <c r="AN175" s="1566"/>
      <c r="AO175" s="1566"/>
      <c r="AP175" s="1566"/>
      <c r="AQ175" s="1566"/>
      <c r="AR175" s="1566"/>
      <c r="AS175" s="1566">
        <v>0.7</v>
      </c>
      <c r="AT175" s="1566"/>
      <c r="AU175" s="1566"/>
      <c r="AV175" s="1566"/>
      <c r="AW175" s="1566"/>
      <c r="AX175" s="1566"/>
      <c r="AY175" s="1566"/>
      <c r="AZ175" s="1566"/>
      <c r="BA175" s="1566">
        <v>0.6</v>
      </c>
      <c r="BB175" s="1566"/>
      <c r="BC175" s="1566"/>
      <c r="BD175" s="1566"/>
      <c r="BE175" s="1566"/>
      <c r="BF175" s="1566"/>
      <c r="BG175" s="1566"/>
      <c r="BH175" s="1566"/>
      <c r="BI175" s="1564" t="s">
        <v>393</v>
      </c>
      <c r="BJ175" s="1552"/>
      <c r="BK175" s="1552"/>
      <c r="BL175" s="1552"/>
      <c r="BM175" s="1552"/>
      <c r="BN175" s="1552"/>
      <c r="BO175" s="1551">
        <v>20</v>
      </c>
      <c r="BP175" s="1552"/>
      <c r="BQ175" s="1552"/>
      <c r="BR175" s="1552"/>
      <c r="BS175" s="1552"/>
      <c r="BT175" s="1553"/>
      <c r="BU175" s="1554">
        <f t="shared" si="20"/>
        <v>13.61</v>
      </c>
      <c r="BV175" s="1554"/>
      <c r="BW175" s="1554"/>
      <c r="BX175" s="1554"/>
      <c r="BY175" s="1554"/>
      <c r="BZ175" s="1554"/>
      <c r="CA175" s="1554"/>
      <c r="CB175" s="1554"/>
      <c r="CC175" s="1554"/>
      <c r="CD175" s="1554"/>
      <c r="CE175" s="1554"/>
      <c r="CF175" s="1555"/>
      <c r="CJ175" s="535" t="s">
        <v>750</v>
      </c>
    </row>
    <row r="176" spans="1:88" s="535" customFormat="1" ht="23.1" customHeight="1">
      <c r="E176" s="1565" t="s">
        <v>391</v>
      </c>
      <c r="F176" s="1566"/>
      <c r="G176" s="1566"/>
      <c r="H176" s="1566"/>
      <c r="I176" s="1566"/>
      <c r="J176" s="1566"/>
      <c r="K176" s="1566"/>
      <c r="L176" s="1566"/>
      <c r="M176" s="1566"/>
      <c r="N176" s="1566"/>
      <c r="O176" s="1566"/>
      <c r="P176" s="1566"/>
      <c r="Q176" s="1567" t="s">
        <v>359</v>
      </c>
      <c r="R176" s="1567"/>
      <c r="S176" s="1567"/>
      <c r="T176" s="1567"/>
      <c r="U176" s="1567"/>
      <c r="V176" s="1567"/>
      <c r="W176" s="1567"/>
      <c r="X176" s="1567"/>
      <c r="Y176" s="1567"/>
      <c r="Z176" s="1567"/>
      <c r="AA176" s="1567"/>
      <c r="AB176" s="1567"/>
      <c r="AC176" s="1568">
        <v>0.4</v>
      </c>
      <c r="AD176" s="1568"/>
      <c r="AE176" s="1568"/>
      <c r="AF176" s="1568"/>
      <c r="AG176" s="1568"/>
      <c r="AH176" s="1568"/>
      <c r="AI176" s="1568"/>
      <c r="AJ176" s="1568"/>
      <c r="AK176" s="1566">
        <v>0.9</v>
      </c>
      <c r="AL176" s="1566"/>
      <c r="AM176" s="1566"/>
      <c r="AN176" s="1566"/>
      <c r="AO176" s="1566"/>
      <c r="AP176" s="1566"/>
      <c r="AQ176" s="1566"/>
      <c r="AR176" s="1566"/>
      <c r="AS176" s="1566">
        <v>0.7</v>
      </c>
      <c r="AT176" s="1566"/>
      <c r="AU176" s="1566"/>
      <c r="AV176" s="1566"/>
      <c r="AW176" s="1566"/>
      <c r="AX176" s="1566"/>
      <c r="AY176" s="1566"/>
      <c r="AZ176" s="1566"/>
      <c r="BA176" s="1566">
        <v>0.75</v>
      </c>
      <c r="BB176" s="1566"/>
      <c r="BC176" s="1566"/>
      <c r="BD176" s="1566"/>
      <c r="BE176" s="1566"/>
      <c r="BF176" s="1566"/>
      <c r="BG176" s="1566"/>
      <c r="BH176" s="1566"/>
      <c r="BI176" s="1564" t="s">
        <v>396</v>
      </c>
      <c r="BJ176" s="1552"/>
      <c r="BK176" s="1552"/>
      <c r="BL176" s="1552"/>
      <c r="BM176" s="1552"/>
      <c r="BN176" s="1552"/>
      <c r="BO176" s="1551">
        <v>18</v>
      </c>
      <c r="BP176" s="1552"/>
      <c r="BQ176" s="1552"/>
      <c r="BR176" s="1552"/>
      <c r="BS176" s="1552"/>
      <c r="BT176" s="1553"/>
      <c r="BU176" s="1554">
        <f t="shared" si="20"/>
        <v>37.799999999999997</v>
      </c>
      <c r="BV176" s="1554"/>
      <c r="BW176" s="1554"/>
      <c r="BX176" s="1554"/>
      <c r="BY176" s="1554"/>
      <c r="BZ176" s="1554"/>
      <c r="CA176" s="1554"/>
      <c r="CB176" s="1554"/>
      <c r="CC176" s="1554"/>
      <c r="CD176" s="1554"/>
      <c r="CE176" s="1554"/>
      <c r="CF176" s="1555"/>
      <c r="CJ176" s="535" t="s">
        <v>749</v>
      </c>
    </row>
    <row r="177" spans="1:88" s="535" customFormat="1" ht="23.1" customHeight="1">
      <c r="A177" s="540"/>
      <c r="B177" s="540"/>
      <c r="C177" s="540"/>
      <c r="D177" s="540"/>
      <c r="E177" s="1565" t="s">
        <v>391</v>
      </c>
      <c r="F177" s="1566"/>
      <c r="G177" s="1566"/>
      <c r="H177" s="1566"/>
      <c r="I177" s="1566"/>
      <c r="J177" s="1566"/>
      <c r="K177" s="1566"/>
      <c r="L177" s="1566"/>
      <c r="M177" s="1566"/>
      <c r="N177" s="1566"/>
      <c r="O177" s="1566"/>
      <c r="P177" s="1566"/>
      <c r="Q177" s="1567" t="s">
        <v>397</v>
      </c>
      <c r="R177" s="1567"/>
      <c r="S177" s="1567"/>
      <c r="T177" s="1567"/>
      <c r="U177" s="1567"/>
      <c r="V177" s="1567"/>
      <c r="W177" s="1567"/>
      <c r="X177" s="1567"/>
      <c r="Y177" s="1567"/>
      <c r="Z177" s="1567"/>
      <c r="AA177" s="1567"/>
      <c r="AB177" s="1567"/>
      <c r="AC177" s="1568">
        <v>0.6</v>
      </c>
      <c r="AD177" s="1568"/>
      <c r="AE177" s="1568"/>
      <c r="AF177" s="1568"/>
      <c r="AG177" s="1568"/>
      <c r="AH177" s="1568"/>
      <c r="AI177" s="1568"/>
      <c r="AJ177" s="1568"/>
      <c r="AK177" s="1566">
        <v>0.9</v>
      </c>
      <c r="AL177" s="1566"/>
      <c r="AM177" s="1566"/>
      <c r="AN177" s="1566"/>
      <c r="AO177" s="1566"/>
      <c r="AP177" s="1566"/>
      <c r="AQ177" s="1566"/>
      <c r="AR177" s="1566"/>
      <c r="AS177" s="1566">
        <v>0.7</v>
      </c>
      <c r="AT177" s="1566"/>
      <c r="AU177" s="1566"/>
      <c r="AV177" s="1566"/>
      <c r="AW177" s="1566"/>
      <c r="AX177" s="1566"/>
      <c r="AY177" s="1566"/>
      <c r="AZ177" s="1566"/>
      <c r="BA177" s="1566">
        <v>0.75</v>
      </c>
      <c r="BB177" s="1566"/>
      <c r="BC177" s="1566"/>
      <c r="BD177" s="1566"/>
      <c r="BE177" s="1566"/>
      <c r="BF177" s="1566"/>
      <c r="BG177" s="1566"/>
      <c r="BH177" s="1566"/>
      <c r="BI177" s="1564" t="s">
        <v>398</v>
      </c>
      <c r="BJ177" s="1552"/>
      <c r="BK177" s="1552"/>
      <c r="BL177" s="1552"/>
      <c r="BM177" s="1552"/>
      <c r="BN177" s="1552"/>
      <c r="BO177" s="1551">
        <v>18</v>
      </c>
      <c r="BP177" s="1552"/>
      <c r="BQ177" s="1552"/>
      <c r="BR177" s="1552"/>
      <c r="BS177" s="1552"/>
      <c r="BT177" s="1553"/>
      <c r="BU177" s="1554">
        <f t="shared" si="20"/>
        <v>56.7</v>
      </c>
      <c r="BV177" s="1554"/>
      <c r="BW177" s="1554"/>
      <c r="BX177" s="1554"/>
      <c r="BY177" s="1554"/>
      <c r="BZ177" s="1554"/>
      <c r="CA177" s="1554"/>
      <c r="CB177" s="1554"/>
      <c r="CC177" s="1554"/>
      <c r="CD177" s="1554"/>
      <c r="CE177" s="1554"/>
      <c r="CF177" s="1555"/>
      <c r="CJ177" s="535" t="s">
        <v>749</v>
      </c>
    </row>
    <row r="178" spans="1:88" s="535" customFormat="1" ht="23.1" customHeight="1">
      <c r="E178" s="1565" t="s">
        <v>391</v>
      </c>
      <c r="F178" s="1566"/>
      <c r="G178" s="1566"/>
      <c r="H178" s="1566"/>
      <c r="I178" s="1566"/>
      <c r="J178" s="1566"/>
      <c r="K178" s="1566"/>
      <c r="L178" s="1566"/>
      <c r="M178" s="1566"/>
      <c r="N178" s="1566"/>
      <c r="O178" s="1566"/>
      <c r="P178" s="1566"/>
      <c r="Q178" s="1567" t="s">
        <v>399</v>
      </c>
      <c r="R178" s="1567"/>
      <c r="S178" s="1567"/>
      <c r="T178" s="1567"/>
      <c r="U178" s="1567"/>
      <c r="V178" s="1567"/>
      <c r="W178" s="1567"/>
      <c r="X178" s="1567"/>
      <c r="Y178" s="1567"/>
      <c r="Z178" s="1567"/>
      <c r="AA178" s="1567"/>
      <c r="AB178" s="1567"/>
      <c r="AC178" s="1568">
        <v>0.7</v>
      </c>
      <c r="AD178" s="1568"/>
      <c r="AE178" s="1568"/>
      <c r="AF178" s="1568"/>
      <c r="AG178" s="1568"/>
      <c r="AH178" s="1568"/>
      <c r="AI178" s="1568"/>
      <c r="AJ178" s="1568"/>
      <c r="AK178" s="1566">
        <v>0.9</v>
      </c>
      <c r="AL178" s="1566"/>
      <c r="AM178" s="1566"/>
      <c r="AN178" s="1566"/>
      <c r="AO178" s="1566"/>
      <c r="AP178" s="1566"/>
      <c r="AQ178" s="1566"/>
      <c r="AR178" s="1566"/>
      <c r="AS178" s="1566">
        <v>0.7</v>
      </c>
      <c r="AT178" s="1566"/>
      <c r="AU178" s="1566"/>
      <c r="AV178" s="1566"/>
      <c r="AW178" s="1566"/>
      <c r="AX178" s="1566"/>
      <c r="AY178" s="1566"/>
      <c r="AZ178" s="1566"/>
      <c r="BA178" s="1566">
        <v>0.75</v>
      </c>
      <c r="BB178" s="1566"/>
      <c r="BC178" s="1566"/>
      <c r="BD178" s="1566"/>
      <c r="BE178" s="1566"/>
      <c r="BF178" s="1566"/>
      <c r="BG178" s="1566"/>
      <c r="BH178" s="1566"/>
      <c r="BI178" s="1564" t="s">
        <v>398</v>
      </c>
      <c r="BJ178" s="1552"/>
      <c r="BK178" s="1552"/>
      <c r="BL178" s="1552"/>
      <c r="BM178" s="1552"/>
      <c r="BN178" s="1552"/>
      <c r="BO178" s="1551">
        <v>18</v>
      </c>
      <c r="BP178" s="1552"/>
      <c r="BQ178" s="1552"/>
      <c r="BR178" s="1552"/>
      <c r="BS178" s="1552"/>
      <c r="BT178" s="1553"/>
      <c r="BU178" s="1554">
        <f t="shared" si="20"/>
        <v>66.150000000000006</v>
      </c>
      <c r="BV178" s="1554"/>
      <c r="BW178" s="1554"/>
      <c r="BX178" s="1554"/>
      <c r="BY178" s="1554"/>
      <c r="BZ178" s="1554"/>
      <c r="CA178" s="1554"/>
      <c r="CB178" s="1554"/>
      <c r="CC178" s="1554"/>
      <c r="CD178" s="1554"/>
      <c r="CE178" s="1554"/>
      <c r="CF178" s="1555"/>
      <c r="CJ178" s="535" t="s">
        <v>749</v>
      </c>
    </row>
    <row r="179" spans="1:88" s="535" customFormat="1" ht="23.1" customHeight="1">
      <c r="E179" s="1565" t="s">
        <v>391</v>
      </c>
      <c r="F179" s="1566"/>
      <c r="G179" s="1566"/>
      <c r="H179" s="1566"/>
      <c r="I179" s="1566"/>
      <c r="J179" s="1566"/>
      <c r="K179" s="1566"/>
      <c r="L179" s="1566"/>
      <c r="M179" s="1566"/>
      <c r="N179" s="1566"/>
      <c r="O179" s="1566"/>
      <c r="P179" s="1566"/>
      <c r="Q179" s="1567" t="s">
        <v>400</v>
      </c>
      <c r="R179" s="1567"/>
      <c r="S179" s="1567"/>
      <c r="T179" s="1567"/>
      <c r="U179" s="1567"/>
      <c r="V179" s="1567"/>
      <c r="W179" s="1567"/>
      <c r="X179" s="1567"/>
      <c r="Y179" s="1567"/>
      <c r="Z179" s="1567"/>
      <c r="AA179" s="1567"/>
      <c r="AB179" s="1567"/>
      <c r="AC179" s="1568">
        <v>0.8</v>
      </c>
      <c r="AD179" s="1568"/>
      <c r="AE179" s="1568"/>
      <c r="AF179" s="1568"/>
      <c r="AG179" s="1568"/>
      <c r="AH179" s="1568"/>
      <c r="AI179" s="1568"/>
      <c r="AJ179" s="1568"/>
      <c r="AK179" s="1566">
        <v>0.9</v>
      </c>
      <c r="AL179" s="1566"/>
      <c r="AM179" s="1566"/>
      <c r="AN179" s="1566"/>
      <c r="AO179" s="1566"/>
      <c r="AP179" s="1566"/>
      <c r="AQ179" s="1566"/>
      <c r="AR179" s="1566"/>
      <c r="AS179" s="1566">
        <v>0.7</v>
      </c>
      <c r="AT179" s="1566"/>
      <c r="AU179" s="1566"/>
      <c r="AV179" s="1566"/>
      <c r="AW179" s="1566"/>
      <c r="AX179" s="1566"/>
      <c r="AY179" s="1566"/>
      <c r="AZ179" s="1566"/>
      <c r="BA179" s="1566">
        <v>0.75</v>
      </c>
      <c r="BB179" s="1566"/>
      <c r="BC179" s="1566"/>
      <c r="BD179" s="1566"/>
      <c r="BE179" s="1566"/>
      <c r="BF179" s="1566"/>
      <c r="BG179" s="1566"/>
      <c r="BH179" s="1566"/>
      <c r="BI179" s="1564" t="s">
        <v>398</v>
      </c>
      <c r="BJ179" s="1552"/>
      <c r="BK179" s="1552"/>
      <c r="BL179" s="1552"/>
      <c r="BM179" s="1552"/>
      <c r="BN179" s="1552"/>
      <c r="BO179" s="1551">
        <v>18</v>
      </c>
      <c r="BP179" s="1552"/>
      <c r="BQ179" s="1552"/>
      <c r="BR179" s="1552"/>
      <c r="BS179" s="1552"/>
      <c r="BT179" s="1553"/>
      <c r="BU179" s="1554">
        <f t="shared" si="20"/>
        <v>75.599999999999994</v>
      </c>
      <c r="BV179" s="1554"/>
      <c r="BW179" s="1554"/>
      <c r="BX179" s="1554"/>
      <c r="BY179" s="1554"/>
      <c r="BZ179" s="1554"/>
      <c r="CA179" s="1554"/>
      <c r="CB179" s="1554"/>
      <c r="CC179" s="1554"/>
      <c r="CD179" s="1554"/>
      <c r="CE179" s="1554"/>
      <c r="CF179" s="1555"/>
      <c r="CJ179" s="535" t="s">
        <v>749</v>
      </c>
    </row>
    <row r="180" spans="1:88" s="535" customFormat="1" ht="23.1" customHeight="1" thickBot="1">
      <c r="A180" s="540"/>
      <c r="B180" s="540"/>
      <c r="C180" s="540"/>
      <c r="D180" s="540"/>
      <c r="E180" s="1541" t="s">
        <v>391</v>
      </c>
      <c r="F180" s="1542"/>
      <c r="G180" s="1542"/>
      <c r="H180" s="1542"/>
      <c r="I180" s="1542"/>
      <c r="J180" s="1542"/>
      <c r="K180" s="1542"/>
      <c r="L180" s="1542"/>
      <c r="M180" s="1542"/>
      <c r="N180" s="1542"/>
      <c r="O180" s="1542"/>
      <c r="P180" s="1543"/>
      <c r="Q180" s="1544" t="s">
        <v>401</v>
      </c>
      <c r="R180" s="1544"/>
      <c r="S180" s="1544"/>
      <c r="T180" s="1544"/>
      <c r="U180" s="1544"/>
      <c r="V180" s="1544"/>
      <c r="W180" s="1544"/>
      <c r="X180" s="1544"/>
      <c r="Y180" s="1544"/>
      <c r="Z180" s="1544"/>
      <c r="AA180" s="1544"/>
      <c r="AB180" s="1544"/>
      <c r="AC180" s="1583">
        <v>1</v>
      </c>
      <c r="AD180" s="1583"/>
      <c r="AE180" s="1583"/>
      <c r="AF180" s="1583"/>
      <c r="AG180" s="1583"/>
      <c r="AH180" s="1583"/>
      <c r="AI180" s="1583"/>
      <c r="AJ180" s="1583"/>
      <c r="AK180" s="1546">
        <v>0.9</v>
      </c>
      <c r="AL180" s="1546"/>
      <c r="AM180" s="1546"/>
      <c r="AN180" s="1546"/>
      <c r="AO180" s="1546"/>
      <c r="AP180" s="1546"/>
      <c r="AQ180" s="1546"/>
      <c r="AR180" s="1546"/>
      <c r="AS180" s="1546">
        <v>0.7</v>
      </c>
      <c r="AT180" s="1546"/>
      <c r="AU180" s="1546"/>
      <c r="AV180" s="1546"/>
      <c r="AW180" s="1546"/>
      <c r="AX180" s="1546"/>
      <c r="AY180" s="1546"/>
      <c r="AZ180" s="1546"/>
      <c r="BA180" s="1546">
        <v>0.75</v>
      </c>
      <c r="BB180" s="1546"/>
      <c r="BC180" s="1546"/>
      <c r="BD180" s="1546"/>
      <c r="BE180" s="1546"/>
      <c r="BF180" s="1546"/>
      <c r="BG180" s="1546"/>
      <c r="BH180" s="1546"/>
      <c r="BI180" s="1547" t="s">
        <v>398</v>
      </c>
      <c r="BJ180" s="1542"/>
      <c r="BK180" s="1542"/>
      <c r="BL180" s="1542"/>
      <c r="BM180" s="1542"/>
      <c r="BN180" s="1542"/>
      <c r="BO180" s="1548">
        <v>19</v>
      </c>
      <c r="BP180" s="1542"/>
      <c r="BQ180" s="1542"/>
      <c r="BR180" s="1542"/>
      <c r="BS180" s="1542"/>
      <c r="BT180" s="1543"/>
      <c r="BU180" s="1549">
        <f t="shared" si="20"/>
        <v>89.53</v>
      </c>
      <c r="BV180" s="1549"/>
      <c r="BW180" s="1549"/>
      <c r="BX180" s="1549"/>
      <c r="BY180" s="1549"/>
      <c r="BZ180" s="1549"/>
      <c r="CA180" s="1549"/>
      <c r="CB180" s="1549"/>
      <c r="CC180" s="1549"/>
      <c r="CD180" s="1549"/>
      <c r="CE180" s="1549"/>
      <c r="CF180" s="1550"/>
      <c r="CJ180" s="535" t="s">
        <v>749</v>
      </c>
    </row>
    <row r="181" spans="1:88" s="535" customFormat="1" ht="23.1" customHeight="1">
      <c r="D181" s="405"/>
      <c r="BM181" s="545"/>
      <c r="BN181" s="545"/>
      <c r="BO181" s="545"/>
      <c r="BP181" s="545"/>
      <c r="BQ181" s="545"/>
      <c r="BR181" s="545"/>
      <c r="BS181" s="545"/>
      <c r="BT181" s="545"/>
      <c r="BU181" s="545"/>
      <c r="BV181" s="545"/>
      <c r="BW181" s="545"/>
      <c r="BX181" s="545"/>
      <c r="BY181" s="545"/>
      <c r="BZ181" s="545"/>
      <c r="CA181" s="545"/>
      <c r="CB181" s="545"/>
      <c r="CC181" s="545"/>
      <c r="CD181" s="545"/>
      <c r="CE181" s="545"/>
      <c r="CF181" s="545"/>
    </row>
    <row r="182" spans="1:88" s="535" customFormat="1" ht="23.1" customHeight="1">
      <c r="E182" s="535" t="s">
        <v>402</v>
      </c>
    </row>
    <row r="183" spans="1:88" s="535" customFormat="1" ht="9.9499999999999993" customHeight="1" thickBot="1"/>
    <row r="184" spans="1:88" s="535" customFormat="1" ht="23.1" customHeight="1">
      <c r="E184" s="1534" t="s">
        <v>385</v>
      </c>
      <c r="F184" s="1535"/>
      <c r="G184" s="1535"/>
      <c r="H184" s="1535"/>
      <c r="I184" s="1535"/>
      <c r="J184" s="1535"/>
      <c r="K184" s="1535"/>
      <c r="L184" s="1535"/>
      <c r="M184" s="1535"/>
      <c r="N184" s="1535"/>
      <c r="O184" s="1535"/>
      <c r="P184" s="1535"/>
      <c r="Q184" s="1535"/>
      <c r="R184" s="1535"/>
      <c r="S184" s="1535"/>
      <c r="T184" s="1535"/>
      <c r="U184" s="1535" t="s">
        <v>212</v>
      </c>
      <c r="V184" s="1535"/>
      <c r="W184" s="1535"/>
      <c r="X184" s="1535"/>
      <c r="Y184" s="1535"/>
      <c r="Z184" s="1535"/>
      <c r="AA184" s="1535"/>
      <c r="AB184" s="1535"/>
      <c r="AC184" s="1535" t="s">
        <v>403</v>
      </c>
      <c r="AD184" s="1535"/>
      <c r="AE184" s="1535"/>
      <c r="AF184" s="1535"/>
      <c r="AG184" s="1535"/>
      <c r="AH184" s="1535"/>
      <c r="AI184" s="1535"/>
      <c r="AJ184" s="1535"/>
      <c r="AK184" s="1535"/>
      <c r="AL184" s="1535"/>
      <c r="AM184" s="1535"/>
      <c r="AN184" s="1535"/>
      <c r="AO184" s="1535"/>
      <c r="AP184" s="1535"/>
      <c r="AQ184" s="1535"/>
      <c r="AR184" s="1535"/>
      <c r="AS184" s="1535"/>
      <c r="AT184" s="1535"/>
      <c r="AU184" s="1535"/>
      <c r="AV184" s="1535"/>
      <c r="AW184" s="1535"/>
      <c r="AX184" s="1535"/>
      <c r="AY184" s="1535"/>
      <c r="AZ184" s="1535"/>
      <c r="BA184" s="1537" t="s">
        <v>404</v>
      </c>
      <c r="BB184" s="1535"/>
      <c r="BC184" s="1535"/>
      <c r="BD184" s="1535"/>
      <c r="BE184" s="1535"/>
      <c r="BF184" s="1535"/>
      <c r="BG184" s="1535"/>
      <c r="BH184" s="1535"/>
      <c r="BI184" s="1535" t="s">
        <v>405</v>
      </c>
      <c r="BJ184" s="1535"/>
      <c r="BK184" s="1535"/>
      <c r="BL184" s="1535"/>
      <c r="BM184" s="1535"/>
      <c r="BN184" s="1535"/>
      <c r="BO184" s="1535"/>
      <c r="BP184" s="1535"/>
      <c r="BQ184" s="1535"/>
      <c r="BR184" s="1535"/>
      <c r="BS184" s="1535"/>
      <c r="BT184" s="1535"/>
      <c r="BU184" s="1535"/>
      <c r="BV184" s="1535"/>
      <c r="BW184" s="1535"/>
      <c r="BX184" s="1535"/>
      <c r="BY184" s="1535"/>
      <c r="BZ184" s="1535"/>
      <c r="CA184" s="1535"/>
      <c r="CB184" s="1535"/>
      <c r="CC184" s="1535"/>
      <c r="CD184" s="1535"/>
      <c r="CE184" s="1535"/>
      <c r="CF184" s="1538"/>
    </row>
    <row r="185" spans="1:88" s="535" customFormat="1" ht="23.1" customHeight="1" thickBot="1">
      <c r="A185" s="540"/>
      <c r="B185" s="540"/>
      <c r="C185" s="540"/>
      <c r="D185" s="540"/>
      <c r="E185" s="1536"/>
      <c r="F185" s="1527"/>
      <c r="G185" s="1527"/>
      <c r="H185" s="1527"/>
      <c r="I185" s="1527"/>
      <c r="J185" s="1527"/>
      <c r="K185" s="1527"/>
      <c r="L185" s="1527"/>
      <c r="M185" s="1527"/>
      <c r="N185" s="1527"/>
      <c r="O185" s="1527"/>
      <c r="P185" s="1527"/>
      <c r="Q185" s="1527"/>
      <c r="R185" s="1527"/>
      <c r="S185" s="1527"/>
      <c r="T185" s="1527"/>
      <c r="U185" s="1527"/>
      <c r="V185" s="1527"/>
      <c r="W185" s="1527"/>
      <c r="X185" s="1527"/>
      <c r="Y185" s="1527"/>
      <c r="Z185" s="1527"/>
      <c r="AA185" s="1527"/>
      <c r="AB185" s="1527"/>
      <c r="AC185" s="1527" t="s">
        <v>406</v>
      </c>
      <c r="AD185" s="1527"/>
      <c r="AE185" s="1527"/>
      <c r="AF185" s="1527"/>
      <c r="AG185" s="1527"/>
      <c r="AH185" s="1527"/>
      <c r="AI185" s="1527"/>
      <c r="AJ185" s="1527"/>
      <c r="AK185" s="1527" t="s">
        <v>407</v>
      </c>
      <c r="AL185" s="1527"/>
      <c r="AM185" s="1527"/>
      <c r="AN185" s="1527"/>
      <c r="AO185" s="1527"/>
      <c r="AP185" s="1527"/>
      <c r="AQ185" s="1527"/>
      <c r="AR185" s="1527"/>
      <c r="AS185" s="1527" t="s">
        <v>408</v>
      </c>
      <c r="AT185" s="1527"/>
      <c r="AU185" s="1527"/>
      <c r="AV185" s="1527"/>
      <c r="AW185" s="1527"/>
      <c r="AX185" s="1527"/>
      <c r="AY185" s="1527"/>
      <c r="AZ185" s="1527"/>
      <c r="BA185" s="1527"/>
      <c r="BB185" s="1527"/>
      <c r="BC185" s="1527"/>
      <c r="BD185" s="1527"/>
      <c r="BE185" s="1527"/>
      <c r="BF185" s="1527"/>
      <c r="BG185" s="1527"/>
      <c r="BH185" s="1527"/>
      <c r="BI185" s="1527" t="s">
        <v>406</v>
      </c>
      <c r="BJ185" s="1527"/>
      <c r="BK185" s="1527"/>
      <c r="BL185" s="1527"/>
      <c r="BM185" s="1527"/>
      <c r="BN185" s="1527"/>
      <c r="BO185" s="1527"/>
      <c r="BP185" s="1527"/>
      <c r="BQ185" s="1527" t="s">
        <v>407</v>
      </c>
      <c r="BR185" s="1527"/>
      <c r="BS185" s="1527"/>
      <c r="BT185" s="1527"/>
      <c r="BU185" s="1527"/>
      <c r="BV185" s="1527"/>
      <c r="BW185" s="1527"/>
      <c r="BX185" s="1527"/>
      <c r="BY185" s="1527" t="s">
        <v>408</v>
      </c>
      <c r="BZ185" s="1527"/>
      <c r="CA185" s="1527"/>
      <c r="CB185" s="1527"/>
      <c r="CC185" s="1527"/>
      <c r="CD185" s="1527"/>
      <c r="CE185" s="1527"/>
      <c r="CF185" s="1528"/>
    </row>
    <row r="186" spans="1:88" s="535" customFormat="1" ht="23.1" customHeight="1" thickTop="1">
      <c r="E186" s="1529" t="s">
        <v>277</v>
      </c>
      <c r="F186" s="1530"/>
      <c r="G186" s="1530"/>
      <c r="H186" s="1530"/>
      <c r="I186" s="1530"/>
      <c r="J186" s="1530"/>
      <c r="K186" s="1530"/>
      <c r="L186" s="1530"/>
      <c r="M186" s="1530"/>
      <c r="N186" s="1530"/>
      <c r="O186" s="1530"/>
      <c r="P186" s="1530"/>
      <c r="Q186" s="1530"/>
      <c r="R186" s="1530"/>
      <c r="S186" s="1530"/>
      <c r="T186" s="1530"/>
      <c r="U186" s="1530" t="s">
        <v>392</v>
      </c>
      <c r="V186" s="1530"/>
      <c r="W186" s="1530"/>
      <c r="X186" s="1530"/>
      <c r="Y186" s="1530"/>
      <c r="Z186" s="1530"/>
      <c r="AA186" s="1530"/>
      <c r="AB186" s="1530"/>
      <c r="AC186" s="1512" t="e">
        <f>#REF!</f>
        <v>#REF!</v>
      </c>
      <c r="AD186" s="1512"/>
      <c r="AE186" s="1512"/>
      <c r="AF186" s="1512"/>
      <c r="AG186" s="1512"/>
      <c r="AH186" s="1512"/>
      <c r="AI186" s="1512"/>
      <c r="AJ186" s="1512"/>
      <c r="AK186" s="1512" t="e">
        <f>#REF!</f>
        <v>#REF!</v>
      </c>
      <c r="AL186" s="1512"/>
      <c r="AM186" s="1512"/>
      <c r="AN186" s="1512"/>
      <c r="AO186" s="1512"/>
      <c r="AP186" s="1512"/>
      <c r="AQ186" s="1512"/>
      <c r="AR186" s="1512"/>
      <c r="AS186" s="1512" t="e">
        <f>#REF!</f>
        <v>#REF!</v>
      </c>
      <c r="AT186" s="1512"/>
      <c r="AU186" s="1512"/>
      <c r="AV186" s="1512"/>
      <c r="AW186" s="1512"/>
      <c r="AX186" s="1512"/>
      <c r="AY186" s="1512"/>
      <c r="AZ186" s="1512"/>
      <c r="BA186" s="1531">
        <f>BU173</f>
        <v>8.16</v>
      </c>
      <c r="BB186" s="1531"/>
      <c r="BC186" s="1531"/>
      <c r="BD186" s="1531"/>
      <c r="BE186" s="1531"/>
      <c r="BF186" s="1531"/>
      <c r="BG186" s="1531"/>
      <c r="BH186" s="1531"/>
      <c r="BI186" s="1532" t="e">
        <f>INT(AC186/$BA186)</f>
        <v>#REF!</v>
      </c>
      <c r="BJ186" s="1532"/>
      <c r="BK186" s="1532"/>
      <c r="BL186" s="1532"/>
      <c r="BM186" s="1532"/>
      <c r="BN186" s="1532"/>
      <c r="BO186" s="1532"/>
      <c r="BP186" s="1532"/>
      <c r="BQ186" s="1532" t="e">
        <f>INT(AK186/$BA186)</f>
        <v>#REF!</v>
      </c>
      <c r="BR186" s="1532"/>
      <c r="BS186" s="1532"/>
      <c r="BT186" s="1532"/>
      <c r="BU186" s="1532"/>
      <c r="BV186" s="1532"/>
      <c r="BW186" s="1532"/>
      <c r="BX186" s="1532"/>
      <c r="BY186" s="1532" t="e">
        <f>INT(AS186/$BA186)</f>
        <v>#REF!</v>
      </c>
      <c r="BZ186" s="1532"/>
      <c r="CA186" s="1532"/>
      <c r="CB186" s="1532"/>
      <c r="CC186" s="1532"/>
      <c r="CD186" s="1532"/>
      <c r="CE186" s="1532"/>
      <c r="CF186" s="1533"/>
    </row>
    <row r="187" spans="1:88" s="535" customFormat="1" ht="23.1" customHeight="1">
      <c r="E187" s="1520" t="s">
        <v>277</v>
      </c>
      <c r="F187" s="1521"/>
      <c r="G187" s="1521"/>
      <c r="H187" s="1521"/>
      <c r="I187" s="1521"/>
      <c r="J187" s="1521"/>
      <c r="K187" s="1521"/>
      <c r="L187" s="1521"/>
      <c r="M187" s="1521"/>
      <c r="N187" s="1521"/>
      <c r="O187" s="1521"/>
      <c r="P187" s="1521"/>
      <c r="Q187" s="1521"/>
      <c r="R187" s="1521"/>
      <c r="S187" s="1521"/>
      <c r="T187" s="1521"/>
      <c r="U187" s="1521" t="s">
        <v>395</v>
      </c>
      <c r="V187" s="1521"/>
      <c r="W187" s="1521"/>
      <c r="X187" s="1521"/>
      <c r="Y187" s="1521"/>
      <c r="Z187" s="1521"/>
      <c r="AA187" s="1521"/>
      <c r="AB187" s="1521"/>
      <c r="AC187" s="1526" t="e">
        <f>#REF!</f>
        <v>#REF!</v>
      </c>
      <c r="AD187" s="1526"/>
      <c r="AE187" s="1526"/>
      <c r="AF187" s="1526"/>
      <c r="AG187" s="1526"/>
      <c r="AH187" s="1526"/>
      <c r="AI187" s="1526"/>
      <c r="AJ187" s="1526"/>
      <c r="AK187" s="1526" t="e">
        <f>#REF!</f>
        <v>#REF!</v>
      </c>
      <c r="AL187" s="1526"/>
      <c r="AM187" s="1526"/>
      <c r="AN187" s="1526"/>
      <c r="AO187" s="1526"/>
      <c r="AP187" s="1526"/>
      <c r="AQ187" s="1526"/>
      <c r="AR187" s="1526"/>
      <c r="AS187" s="1526" t="e">
        <f>#REF!</f>
        <v>#REF!</v>
      </c>
      <c r="AT187" s="1526"/>
      <c r="AU187" s="1526"/>
      <c r="AV187" s="1526"/>
      <c r="AW187" s="1526"/>
      <c r="AX187" s="1526"/>
      <c r="AY187" s="1526"/>
      <c r="AZ187" s="1526"/>
      <c r="BA187" s="1525">
        <f t="shared" ref="BA187:BA192" si="21">BU175</f>
        <v>13.61</v>
      </c>
      <c r="BB187" s="1525"/>
      <c r="BC187" s="1525"/>
      <c r="BD187" s="1525"/>
      <c r="BE187" s="1525"/>
      <c r="BF187" s="1525"/>
      <c r="BG187" s="1525"/>
      <c r="BH187" s="1525"/>
      <c r="BI187" s="1512" t="e">
        <f t="shared" ref="BI187:BI194" si="22">INT(AC187/$BA187)</f>
        <v>#REF!</v>
      </c>
      <c r="BJ187" s="1512"/>
      <c r="BK187" s="1512"/>
      <c r="BL187" s="1512"/>
      <c r="BM187" s="1512"/>
      <c r="BN187" s="1512"/>
      <c r="BO187" s="1512"/>
      <c r="BP187" s="1512"/>
      <c r="BQ187" s="1512" t="e">
        <f t="shared" ref="BQ187:BQ194" si="23">INT(AK187/$BA187)</f>
        <v>#REF!</v>
      </c>
      <c r="BR187" s="1512"/>
      <c r="BS187" s="1512"/>
      <c r="BT187" s="1512"/>
      <c r="BU187" s="1512"/>
      <c r="BV187" s="1512"/>
      <c r="BW187" s="1512"/>
      <c r="BX187" s="1512"/>
      <c r="BY187" s="1512" t="e">
        <f t="shared" ref="BY187:BY194" si="24">INT(AS187/$BA187)</f>
        <v>#REF!</v>
      </c>
      <c r="BZ187" s="1512"/>
      <c r="CA187" s="1512"/>
      <c r="CB187" s="1512"/>
      <c r="CC187" s="1512"/>
      <c r="CD187" s="1512"/>
      <c r="CE187" s="1512"/>
      <c r="CF187" s="1513"/>
    </row>
    <row r="188" spans="1:88" s="535" customFormat="1" ht="23.1" customHeight="1">
      <c r="E188" s="1520" t="s">
        <v>277</v>
      </c>
      <c r="F188" s="1521"/>
      <c r="G188" s="1521"/>
      <c r="H188" s="1521"/>
      <c r="I188" s="1521"/>
      <c r="J188" s="1521"/>
      <c r="K188" s="1521"/>
      <c r="L188" s="1521"/>
      <c r="M188" s="1521"/>
      <c r="N188" s="1521"/>
      <c r="O188" s="1521"/>
      <c r="P188" s="1521"/>
      <c r="Q188" s="1521"/>
      <c r="R188" s="1521"/>
      <c r="S188" s="1521"/>
      <c r="T188" s="1521"/>
      <c r="U188" s="1521" t="s">
        <v>359</v>
      </c>
      <c r="V188" s="1521"/>
      <c r="W188" s="1521"/>
      <c r="X188" s="1521"/>
      <c r="Y188" s="1521"/>
      <c r="Z188" s="1521"/>
      <c r="AA188" s="1521"/>
      <c r="AB188" s="1521"/>
      <c r="AC188" s="1522" t="e">
        <f>#REF!</f>
        <v>#REF!</v>
      </c>
      <c r="AD188" s="1523"/>
      <c r="AE188" s="1523"/>
      <c r="AF188" s="1523"/>
      <c r="AG188" s="1523"/>
      <c r="AH188" s="1523"/>
      <c r="AI188" s="1523"/>
      <c r="AJ188" s="1524"/>
      <c r="AK188" s="1522" t="e">
        <f>#REF!</f>
        <v>#REF!</v>
      </c>
      <c r="AL188" s="1523"/>
      <c r="AM188" s="1523"/>
      <c r="AN188" s="1523"/>
      <c r="AO188" s="1523"/>
      <c r="AP188" s="1523"/>
      <c r="AQ188" s="1523"/>
      <c r="AR188" s="1524"/>
      <c r="AS188" s="1522" t="e">
        <f>#REF!</f>
        <v>#REF!</v>
      </c>
      <c r="AT188" s="1523"/>
      <c r="AU188" s="1523"/>
      <c r="AV188" s="1523"/>
      <c r="AW188" s="1523"/>
      <c r="AX188" s="1523"/>
      <c r="AY188" s="1523"/>
      <c r="AZ188" s="1524"/>
      <c r="BA188" s="1525">
        <f t="shared" si="21"/>
        <v>37.799999999999997</v>
      </c>
      <c r="BB188" s="1525"/>
      <c r="BC188" s="1525"/>
      <c r="BD188" s="1525"/>
      <c r="BE188" s="1525"/>
      <c r="BF188" s="1525"/>
      <c r="BG188" s="1525"/>
      <c r="BH188" s="1525"/>
      <c r="BI188" s="1512" t="e">
        <f t="shared" si="22"/>
        <v>#REF!</v>
      </c>
      <c r="BJ188" s="1512"/>
      <c r="BK188" s="1512"/>
      <c r="BL188" s="1512"/>
      <c r="BM188" s="1512"/>
      <c r="BN188" s="1512"/>
      <c r="BO188" s="1512"/>
      <c r="BP188" s="1512"/>
      <c r="BQ188" s="1512" t="e">
        <f t="shared" si="23"/>
        <v>#REF!</v>
      </c>
      <c r="BR188" s="1512"/>
      <c r="BS188" s="1512"/>
      <c r="BT188" s="1512"/>
      <c r="BU188" s="1512"/>
      <c r="BV188" s="1512"/>
      <c r="BW188" s="1512"/>
      <c r="BX188" s="1512"/>
      <c r="BY188" s="1512" t="e">
        <f t="shared" si="24"/>
        <v>#REF!</v>
      </c>
      <c r="BZ188" s="1512"/>
      <c r="CA188" s="1512"/>
      <c r="CB188" s="1512"/>
      <c r="CC188" s="1512"/>
      <c r="CD188" s="1512"/>
      <c r="CE188" s="1512"/>
      <c r="CF188" s="1513"/>
    </row>
    <row r="189" spans="1:88" s="535" customFormat="1" ht="23.1" customHeight="1">
      <c r="E189" s="1520" t="s">
        <v>277</v>
      </c>
      <c r="F189" s="1521"/>
      <c r="G189" s="1521"/>
      <c r="H189" s="1521"/>
      <c r="I189" s="1521"/>
      <c r="J189" s="1521"/>
      <c r="K189" s="1521"/>
      <c r="L189" s="1521"/>
      <c r="M189" s="1521"/>
      <c r="N189" s="1521"/>
      <c r="O189" s="1521"/>
      <c r="P189" s="1521"/>
      <c r="Q189" s="1521"/>
      <c r="R189" s="1521"/>
      <c r="S189" s="1521"/>
      <c r="T189" s="1521"/>
      <c r="U189" s="1521" t="s">
        <v>397</v>
      </c>
      <c r="V189" s="1521"/>
      <c r="W189" s="1521"/>
      <c r="X189" s="1521"/>
      <c r="Y189" s="1521"/>
      <c r="Z189" s="1521"/>
      <c r="AA189" s="1521"/>
      <c r="AB189" s="1521"/>
      <c r="AC189" s="1522" t="e">
        <f>#REF!</f>
        <v>#REF!</v>
      </c>
      <c r="AD189" s="1523"/>
      <c r="AE189" s="1523"/>
      <c r="AF189" s="1523"/>
      <c r="AG189" s="1523"/>
      <c r="AH189" s="1523"/>
      <c r="AI189" s="1523"/>
      <c r="AJ189" s="1524"/>
      <c r="AK189" s="1522" t="e">
        <f>#REF!</f>
        <v>#REF!</v>
      </c>
      <c r="AL189" s="1523"/>
      <c r="AM189" s="1523"/>
      <c r="AN189" s="1523"/>
      <c r="AO189" s="1523"/>
      <c r="AP189" s="1523"/>
      <c r="AQ189" s="1523"/>
      <c r="AR189" s="1524"/>
      <c r="AS189" s="1522" t="e">
        <f>#REF!</f>
        <v>#REF!</v>
      </c>
      <c r="AT189" s="1523"/>
      <c r="AU189" s="1523"/>
      <c r="AV189" s="1523"/>
      <c r="AW189" s="1523"/>
      <c r="AX189" s="1523"/>
      <c r="AY189" s="1523"/>
      <c r="AZ189" s="1524"/>
      <c r="BA189" s="1525">
        <f t="shared" si="21"/>
        <v>56.7</v>
      </c>
      <c r="BB189" s="1525"/>
      <c r="BC189" s="1525"/>
      <c r="BD189" s="1525"/>
      <c r="BE189" s="1525"/>
      <c r="BF189" s="1525"/>
      <c r="BG189" s="1525"/>
      <c r="BH189" s="1525"/>
      <c r="BI189" s="1512" t="e">
        <f t="shared" si="22"/>
        <v>#REF!</v>
      </c>
      <c r="BJ189" s="1512"/>
      <c r="BK189" s="1512"/>
      <c r="BL189" s="1512"/>
      <c r="BM189" s="1512"/>
      <c r="BN189" s="1512"/>
      <c r="BO189" s="1512"/>
      <c r="BP189" s="1512"/>
      <c r="BQ189" s="1512" t="e">
        <f t="shared" si="23"/>
        <v>#REF!</v>
      </c>
      <c r="BR189" s="1512"/>
      <c r="BS189" s="1512"/>
      <c r="BT189" s="1512"/>
      <c r="BU189" s="1512"/>
      <c r="BV189" s="1512"/>
      <c r="BW189" s="1512"/>
      <c r="BX189" s="1512"/>
      <c r="BY189" s="1512" t="e">
        <f t="shared" si="24"/>
        <v>#REF!</v>
      </c>
      <c r="BZ189" s="1512"/>
      <c r="CA189" s="1512"/>
      <c r="CB189" s="1512"/>
      <c r="CC189" s="1512"/>
      <c r="CD189" s="1512"/>
      <c r="CE189" s="1512"/>
      <c r="CF189" s="1513"/>
    </row>
    <row r="190" spans="1:88" s="535" customFormat="1" ht="23.1" customHeight="1">
      <c r="D190" s="542"/>
      <c r="E190" s="1520" t="s">
        <v>277</v>
      </c>
      <c r="F190" s="1521"/>
      <c r="G190" s="1521"/>
      <c r="H190" s="1521"/>
      <c r="I190" s="1521"/>
      <c r="J190" s="1521"/>
      <c r="K190" s="1521"/>
      <c r="L190" s="1521"/>
      <c r="M190" s="1521"/>
      <c r="N190" s="1521"/>
      <c r="O190" s="1521"/>
      <c r="P190" s="1521"/>
      <c r="Q190" s="1521"/>
      <c r="R190" s="1521"/>
      <c r="S190" s="1521"/>
      <c r="T190" s="1521"/>
      <c r="U190" s="1521" t="s">
        <v>399</v>
      </c>
      <c r="V190" s="1521"/>
      <c r="W190" s="1521"/>
      <c r="X190" s="1521"/>
      <c r="Y190" s="1521"/>
      <c r="Z190" s="1521"/>
      <c r="AA190" s="1521"/>
      <c r="AB190" s="1521"/>
      <c r="AC190" s="1522" t="e">
        <f>#REF!</f>
        <v>#REF!</v>
      </c>
      <c r="AD190" s="1523"/>
      <c r="AE190" s="1523"/>
      <c r="AF190" s="1523"/>
      <c r="AG190" s="1523"/>
      <c r="AH190" s="1523"/>
      <c r="AI190" s="1523"/>
      <c r="AJ190" s="1524"/>
      <c r="AK190" s="1522" t="e">
        <f>#REF!</f>
        <v>#REF!</v>
      </c>
      <c r="AL190" s="1523"/>
      <c r="AM190" s="1523"/>
      <c r="AN190" s="1523"/>
      <c r="AO190" s="1523"/>
      <c r="AP190" s="1523"/>
      <c r="AQ190" s="1523"/>
      <c r="AR190" s="1524"/>
      <c r="AS190" s="1522" t="e">
        <f>#REF!</f>
        <v>#REF!</v>
      </c>
      <c r="AT190" s="1523"/>
      <c r="AU190" s="1523"/>
      <c r="AV190" s="1523"/>
      <c r="AW190" s="1523"/>
      <c r="AX190" s="1523"/>
      <c r="AY190" s="1523"/>
      <c r="AZ190" s="1524"/>
      <c r="BA190" s="1525">
        <f t="shared" si="21"/>
        <v>66.150000000000006</v>
      </c>
      <c r="BB190" s="1525"/>
      <c r="BC190" s="1525"/>
      <c r="BD190" s="1525"/>
      <c r="BE190" s="1525"/>
      <c r="BF190" s="1525"/>
      <c r="BG190" s="1525"/>
      <c r="BH190" s="1525"/>
      <c r="BI190" s="1512" t="e">
        <f t="shared" si="22"/>
        <v>#REF!</v>
      </c>
      <c r="BJ190" s="1512"/>
      <c r="BK190" s="1512"/>
      <c r="BL190" s="1512"/>
      <c r="BM190" s="1512"/>
      <c r="BN190" s="1512"/>
      <c r="BO190" s="1512"/>
      <c r="BP190" s="1512"/>
      <c r="BQ190" s="1512" t="e">
        <f t="shared" si="23"/>
        <v>#REF!</v>
      </c>
      <c r="BR190" s="1512"/>
      <c r="BS190" s="1512"/>
      <c r="BT190" s="1512"/>
      <c r="BU190" s="1512"/>
      <c r="BV190" s="1512"/>
      <c r="BW190" s="1512"/>
      <c r="BX190" s="1512"/>
      <c r="BY190" s="1512" t="e">
        <f t="shared" si="24"/>
        <v>#REF!</v>
      </c>
      <c r="BZ190" s="1512"/>
      <c r="CA190" s="1512"/>
      <c r="CB190" s="1512"/>
      <c r="CC190" s="1512"/>
      <c r="CD190" s="1512"/>
      <c r="CE190" s="1512"/>
      <c r="CF190" s="1513"/>
    </row>
    <row r="191" spans="1:88" s="535" customFormat="1" ht="23.1" customHeight="1">
      <c r="A191" s="540"/>
      <c r="B191" s="540"/>
      <c r="C191" s="540"/>
      <c r="D191" s="540"/>
      <c r="E191" s="1520" t="s">
        <v>277</v>
      </c>
      <c r="F191" s="1521"/>
      <c r="G191" s="1521"/>
      <c r="H191" s="1521"/>
      <c r="I191" s="1521"/>
      <c r="J191" s="1521"/>
      <c r="K191" s="1521"/>
      <c r="L191" s="1521"/>
      <c r="M191" s="1521"/>
      <c r="N191" s="1521"/>
      <c r="O191" s="1521"/>
      <c r="P191" s="1521"/>
      <c r="Q191" s="1521"/>
      <c r="R191" s="1521"/>
      <c r="S191" s="1521"/>
      <c r="T191" s="1521"/>
      <c r="U191" s="1521" t="s">
        <v>400</v>
      </c>
      <c r="V191" s="1521"/>
      <c r="W191" s="1521"/>
      <c r="X191" s="1521"/>
      <c r="Y191" s="1521"/>
      <c r="Z191" s="1521"/>
      <c r="AA191" s="1521"/>
      <c r="AB191" s="1521"/>
      <c r="AC191" s="1522" t="e">
        <f>#REF!</f>
        <v>#REF!</v>
      </c>
      <c r="AD191" s="1523"/>
      <c r="AE191" s="1523"/>
      <c r="AF191" s="1523"/>
      <c r="AG191" s="1523"/>
      <c r="AH191" s="1523"/>
      <c r="AI191" s="1523"/>
      <c r="AJ191" s="1524"/>
      <c r="AK191" s="1522" t="e">
        <f>#REF!</f>
        <v>#REF!</v>
      </c>
      <c r="AL191" s="1523"/>
      <c r="AM191" s="1523"/>
      <c r="AN191" s="1523"/>
      <c r="AO191" s="1523"/>
      <c r="AP191" s="1523"/>
      <c r="AQ191" s="1523"/>
      <c r="AR191" s="1524"/>
      <c r="AS191" s="1522" t="e">
        <f>#REF!</f>
        <v>#REF!</v>
      </c>
      <c r="AT191" s="1523"/>
      <c r="AU191" s="1523"/>
      <c r="AV191" s="1523"/>
      <c r="AW191" s="1523"/>
      <c r="AX191" s="1523"/>
      <c r="AY191" s="1523"/>
      <c r="AZ191" s="1524"/>
      <c r="BA191" s="1525">
        <f t="shared" si="21"/>
        <v>75.599999999999994</v>
      </c>
      <c r="BB191" s="1525"/>
      <c r="BC191" s="1525"/>
      <c r="BD191" s="1525"/>
      <c r="BE191" s="1525"/>
      <c r="BF191" s="1525"/>
      <c r="BG191" s="1525"/>
      <c r="BH191" s="1525"/>
      <c r="BI191" s="1512" t="e">
        <f t="shared" si="22"/>
        <v>#REF!</v>
      </c>
      <c r="BJ191" s="1512"/>
      <c r="BK191" s="1512"/>
      <c r="BL191" s="1512"/>
      <c r="BM191" s="1512"/>
      <c r="BN191" s="1512"/>
      <c r="BO191" s="1512"/>
      <c r="BP191" s="1512"/>
      <c r="BQ191" s="1512" t="e">
        <f t="shared" si="23"/>
        <v>#REF!</v>
      </c>
      <c r="BR191" s="1512"/>
      <c r="BS191" s="1512"/>
      <c r="BT191" s="1512"/>
      <c r="BU191" s="1512"/>
      <c r="BV191" s="1512"/>
      <c r="BW191" s="1512"/>
      <c r="BX191" s="1512"/>
      <c r="BY191" s="1512" t="e">
        <f t="shared" si="24"/>
        <v>#REF!</v>
      </c>
      <c r="BZ191" s="1512"/>
      <c r="CA191" s="1512"/>
      <c r="CB191" s="1512"/>
      <c r="CC191" s="1512"/>
      <c r="CD191" s="1512"/>
      <c r="CE191" s="1512"/>
      <c r="CF191" s="1513"/>
    </row>
    <row r="192" spans="1:88" s="535" customFormat="1" ht="23.1" customHeight="1">
      <c r="E192" s="1520" t="s">
        <v>277</v>
      </c>
      <c r="F192" s="1521"/>
      <c r="G192" s="1521"/>
      <c r="H192" s="1521"/>
      <c r="I192" s="1521"/>
      <c r="J192" s="1521"/>
      <c r="K192" s="1521"/>
      <c r="L192" s="1521"/>
      <c r="M192" s="1521"/>
      <c r="N192" s="1521"/>
      <c r="O192" s="1521"/>
      <c r="P192" s="1521"/>
      <c r="Q192" s="1521"/>
      <c r="R192" s="1521"/>
      <c r="S192" s="1521"/>
      <c r="T192" s="1521"/>
      <c r="U192" s="1521" t="s">
        <v>401</v>
      </c>
      <c r="V192" s="1521"/>
      <c r="W192" s="1521"/>
      <c r="X192" s="1521"/>
      <c r="Y192" s="1521"/>
      <c r="Z192" s="1521"/>
      <c r="AA192" s="1521"/>
      <c r="AB192" s="1521"/>
      <c r="AC192" s="1522" t="e">
        <f>#REF!</f>
        <v>#REF!</v>
      </c>
      <c r="AD192" s="1523"/>
      <c r="AE192" s="1523"/>
      <c r="AF192" s="1523"/>
      <c r="AG192" s="1523"/>
      <c r="AH192" s="1523"/>
      <c r="AI192" s="1523"/>
      <c r="AJ192" s="1524"/>
      <c r="AK192" s="1522" t="e">
        <f>#REF!</f>
        <v>#REF!</v>
      </c>
      <c r="AL192" s="1523"/>
      <c r="AM192" s="1523"/>
      <c r="AN192" s="1523"/>
      <c r="AO192" s="1523"/>
      <c r="AP192" s="1523"/>
      <c r="AQ192" s="1523"/>
      <c r="AR192" s="1524"/>
      <c r="AS192" s="1522" t="e">
        <f>#REF!</f>
        <v>#REF!</v>
      </c>
      <c r="AT192" s="1523"/>
      <c r="AU192" s="1523"/>
      <c r="AV192" s="1523"/>
      <c r="AW192" s="1523"/>
      <c r="AX192" s="1523"/>
      <c r="AY192" s="1523"/>
      <c r="AZ192" s="1524"/>
      <c r="BA192" s="1525">
        <f t="shared" si="21"/>
        <v>89.53</v>
      </c>
      <c r="BB192" s="1525"/>
      <c r="BC192" s="1525"/>
      <c r="BD192" s="1525"/>
      <c r="BE192" s="1525"/>
      <c r="BF192" s="1525"/>
      <c r="BG192" s="1525"/>
      <c r="BH192" s="1525"/>
      <c r="BI192" s="1512" t="e">
        <f t="shared" si="22"/>
        <v>#REF!</v>
      </c>
      <c r="BJ192" s="1512"/>
      <c r="BK192" s="1512"/>
      <c r="BL192" s="1512"/>
      <c r="BM192" s="1512"/>
      <c r="BN192" s="1512"/>
      <c r="BO192" s="1512"/>
      <c r="BP192" s="1512"/>
      <c r="BQ192" s="1512" t="e">
        <f t="shared" si="23"/>
        <v>#REF!</v>
      </c>
      <c r="BR192" s="1512"/>
      <c r="BS192" s="1512"/>
      <c r="BT192" s="1512"/>
      <c r="BU192" s="1512"/>
      <c r="BV192" s="1512"/>
      <c r="BW192" s="1512"/>
      <c r="BX192" s="1512"/>
      <c r="BY192" s="1512" t="e">
        <f t="shared" si="24"/>
        <v>#REF!</v>
      </c>
      <c r="BZ192" s="1512"/>
      <c r="CA192" s="1512"/>
      <c r="CB192" s="1512"/>
      <c r="CC192" s="1512"/>
      <c r="CD192" s="1512"/>
      <c r="CE192" s="1512"/>
      <c r="CF192" s="1513"/>
    </row>
    <row r="193" spans="1:88" s="535" customFormat="1" ht="23.1" customHeight="1">
      <c r="E193" s="1520" t="s">
        <v>409</v>
      </c>
      <c r="F193" s="1521"/>
      <c r="G193" s="1521"/>
      <c r="H193" s="1521"/>
      <c r="I193" s="1521"/>
      <c r="J193" s="1521"/>
      <c r="K193" s="1521"/>
      <c r="L193" s="1521"/>
      <c r="M193" s="1521"/>
      <c r="N193" s="1521"/>
      <c r="O193" s="1521"/>
      <c r="P193" s="1521"/>
      <c r="Q193" s="1521"/>
      <c r="R193" s="1521"/>
      <c r="S193" s="1521"/>
      <c r="T193" s="1521"/>
      <c r="U193" s="1521" t="s">
        <v>394</v>
      </c>
      <c r="V193" s="1521"/>
      <c r="W193" s="1521"/>
      <c r="X193" s="1521"/>
      <c r="Y193" s="1521"/>
      <c r="Z193" s="1521"/>
      <c r="AA193" s="1521"/>
      <c r="AB193" s="1521"/>
      <c r="AC193" s="1522" t="e">
        <f>#REF!</f>
        <v>#REF!</v>
      </c>
      <c r="AD193" s="1523"/>
      <c r="AE193" s="1523"/>
      <c r="AF193" s="1523"/>
      <c r="AG193" s="1523"/>
      <c r="AH193" s="1523"/>
      <c r="AI193" s="1523"/>
      <c r="AJ193" s="1524"/>
      <c r="AK193" s="1522" t="e">
        <f>#REF!</f>
        <v>#REF!</v>
      </c>
      <c r="AL193" s="1523"/>
      <c r="AM193" s="1523"/>
      <c r="AN193" s="1523"/>
      <c r="AO193" s="1523"/>
      <c r="AP193" s="1523"/>
      <c r="AQ193" s="1523"/>
      <c r="AR193" s="1524"/>
      <c r="AS193" s="1522" t="e">
        <f>#REF!</f>
        <v>#REF!</v>
      </c>
      <c r="AT193" s="1523"/>
      <c r="AU193" s="1523"/>
      <c r="AV193" s="1523"/>
      <c r="AW193" s="1523"/>
      <c r="AX193" s="1523"/>
      <c r="AY193" s="1523"/>
      <c r="AZ193" s="1524"/>
      <c r="BA193" s="1525">
        <f>BU174</f>
        <v>12.25</v>
      </c>
      <c r="BB193" s="1525"/>
      <c r="BC193" s="1525"/>
      <c r="BD193" s="1525"/>
      <c r="BE193" s="1525"/>
      <c r="BF193" s="1525"/>
      <c r="BG193" s="1525"/>
      <c r="BH193" s="1525"/>
      <c r="BI193" s="1512" t="e">
        <f t="shared" si="22"/>
        <v>#REF!</v>
      </c>
      <c r="BJ193" s="1512"/>
      <c r="BK193" s="1512"/>
      <c r="BL193" s="1512"/>
      <c r="BM193" s="1512"/>
      <c r="BN193" s="1512"/>
      <c r="BO193" s="1512"/>
      <c r="BP193" s="1512"/>
      <c r="BQ193" s="1512" t="e">
        <f t="shared" si="23"/>
        <v>#REF!</v>
      </c>
      <c r="BR193" s="1512"/>
      <c r="BS193" s="1512"/>
      <c r="BT193" s="1512"/>
      <c r="BU193" s="1512"/>
      <c r="BV193" s="1512"/>
      <c r="BW193" s="1512"/>
      <c r="BX193" s="1512"/>
      <c r="BY193" s="1512" t="e">
        <f t="shared" si="24"/>
        <v>#REF!</v>
      </c>
      <c r="BZ193" s="1512"/>
      <c r="CA193" s="1512"/>
      <c r="CB193" s="1512"/>
      <c r="CC193" s="1512"/>
      <c r="CD193" s="1512"/>
      <c r="CE193" s="1512"/>
      <c r="CF193" s="1513"/>
    </row>
    <row r="194" spans="1:88" s="535" customFormat="1" ht="23.1" customHeight="1" thickBot="1">
      <c r="E194" s="1509" t="s">
        <v>409</v>
      </c>
      <c r="F194" s="1510"/>
      <c r="G194" s="1510"/>
      <c r="H194" s="1510"/>
      <c r="I194" s="1510"/>
      <c r="J194" s="1510"/>
      <c r="K194" s="1510"/>
      <c r="L194" s="1510"/>
      <c r="M194" s="1510"/>
      <c r="N194" s="1510"/>
      <c r="O194" s="1510"/>
      <c r="P194" s="1510"/>
      <c r="Q194" s="1510"/>
      <c r="R194" s="1510"/>
      <c r="S194" s="1510"/>
      <c r="T194" s="1510"/>
      <c r="U194" s="1510" t="s">
        <v>397</v>
      </c>
      <c r="V194" s="1510"/>
      <c r="W194" s="1510"/>
      <c r="X194" s="1510"/>
      <c r="Y194" s="1510"/>
      <c r="Z194" s="1510"/>
      <c r="AA194" s="1510"/>
      <c r="AB194" s="1510"/>
      <c r="AC194" s="1507" t="e">
        <f>#REF!</f>
        <v>#REF!</v>
      </c>
      <c r="AD194" s="1507"/>
      <c r="AE194" s="1507"/>
      <c r="AF194" s="1507"/>
      <c r="AG194" s="1507"/>
      <c r="AH194" s="1507"/>
      <c r="AI194" s="1507"/>
      <c r="AJ194" s="1507"/>
      <c r="AK194" s="1507" t="e">
        <f>#REF!</f>
        <v>#REF!</v>
      </c>
      <c r="AL194" s="1507"/>
      <c r="AM194" s="1507"/>
      <c r="AN194" s="1507"/>
      <c r="AO194" s="1507"/>
      <c r="AP194" s="1507"/>
      <c r="AQ194" s="1507"/>
      <c r="AR194" s="1507"/>
      <c r="AS194" s="1507" t="e">
        <f>#REF!</f>
        <v>#REF!</v>
      </c>
      <c r="AT194" s="1507"/>
      <c r="AU194" s="1507"/>
      <c r="AV194" s="1507"/>
      <c r="AW194" s="1507"/>
      <c r="AX194" s="1507"/>
      <c r="AY194" s="1507"/>
      <c r="AZ194" s="1507"/>
      <c r="BA194" s="1511">
        <f>BU177</f>
        <v>56.7</v>
      </c>
      <c r="BB194" s="1511"/>
      <c r="BC194" s="1511"/>
      <c r="BD194" s="1511"/>
      <c r="BE194" s="1511"/>
      <c r="BF194" s="1511"/>
      <c r="BG194" s="1511"/>
      <c r="BH194" s="1511"/>
      <c r="BI194" s="1717" t="e">
        <f t="shared" si="22"/>
        <v>#REF!</v>
      </c>
      <c r="BJ194" s="1717"/>
      <c r="BK194" s="1717"/>
      <c r="BL194" s="1717"/>
      <c r="BM194" s="1717"/>
      <c r="BN194" s="1717"/>
      <c r="BO194" s="1717"/>
      <c r="BP194" s="1717"/>
      <c r="BQ194" s="1717" t="e">
        <f t="shared" si="23"/>
        <v>#REF!</v>
      </c>
      <c r="BR194" s="1717"/>
      <c r="BS194" s="1717"/>
      <c r="BT194" s="1717"/>
      <c r="BU194" s="1717"/>
      <c r="BV194" s="1717"/>
      <c r="BW194" s="1717"/>
      <c r="BX194" s="1717"/>
      <c r="BY194" s="1717" t="e">
        <f t="shared" si="24"/>
        <v>#REF!</v>
      </c>
      <c r="BZ194" s="1717"/>
      <c r="CA194" s="1717"/>
      <c r="CB194" s="1717"/>
      <c r="CC194" s="1717"/>
      <c r="CD194" s="1717"/>
      <c r="CE194" s="1717"/>
      <c r="CF194" s="1718"/>
    </row>
    <row r="195" spans="1:88" s="535" customFormat="1" ht="23.1" customHeight="1"/>
    <row r="196" spans="1:88" s="534" customFormat="1" ht="28.35" customHeight="1">
      <c r="A196" s="1579" t="s">
        <v>441</v>
      </c>
      <c r="B196" s="1579"/>
      <c r="C196" s="1579"/>
      <c r="D196" s="1579"/>
      <c r="E196" s="1579"/>
      <c r="F196" s="1579"/>
      <c r="G196" s="1579"/>
      <c r="H196" s="1579"/>
      <c r="I196" s="1579"/>
      <c r="J196" s="1579"/>
      <c r="K196" s="1579"/>
      <c r="L196" s="1579"/>
      <c r="M196" s="1579"/>
      <c r="N196" s="1579"/>
      <c r="O196" s="1579"/>
      <c r="P196" s="1579"/>
      <c r="Q196" s="1579"/>
      <c r="R196" s="1579"/>
      <c r="S196" s="1579"/>
      <c r="T196" s="1579"/>
      <c r="U196" s="1579"/>
      <c r="V196" s="1579"/>
      <c r="W196" s="1579"/>
      <c r="X196" s="1579"/>
      <c r="Y196" s="1579"/>
      <c r="Z196" s="1579"/>
      <c r="AA196" s="1579"/>
      <c r="AB196" s="1579"/>
      <c r="AC196" s="1579"/>
      <c r="AD196" s="1579"/>
      <c r="AE196" s="1579"/>
      <c r="AF196" s="1579"/>
      <c r="AG196" s="1579"/>
      <c r="AH196" s="1579"/>
      <c r="AI196" s="1579"/>
      <c r="AJ196" s="1579"/>
      <c r="AK196" s="1579"/>
      <c r="AL196" s="1579"/>
      <c r="AM196" s="1579"/>
      <c r="AN196" s="1579"/>
      <c r="AO196" s="1579"/>
      <c r="AP196" s="1579"/>
      <c r="AQ196" s="1579"/>
      <c r="AR196" s="1579"/>
      <c r="AS196" s="1579"/>
      <c r="AT196" s="1579"/>
      <c r="AU196" s="1579"/>
      <c r="AV196" s="1579"/>
      <c r="AW196" s="1579"/>
      <c r="AX196" s="1579"/>
      <c r="AY196" s="1579"/>
      <c r="AZ196" s="1579"/>
      <c r="BA196" s="1579"/>
      <c r="BB196" s="1579"/>
      <c r="BC196" s="1579"/>
      <c r="BD196" s="1579"/>
      <c r="BE196" s="1579"/>
      <c r="BF196" s="1579"/>
      <c r="BG196" s="1579"/>
      <c r="BH196" s="1579"/>
      <c r="BI196" s="1579"/>
      <c r="BJ196" s="1579"/>
      <c r="BK196" s="1579"/>
      <c r="BL196" s="1579"/>
      <c r="BM196" s="1579"/>
      <c r="BN196" s="1579"/>
      <c r="BO196" s="1579"/>
      <c r="BP196" s="1579"/>
      <c r="BQ196" s="1579"/>
      <c r="BR196" s="1579"/>
      <c r="BS196" s="1579"/>
      <c r="BT196" s="1579"/>
      <c r="BU196" s="1579"/>
      <c r="BV196" s="1579"/>
      <c r="BW196" s="1579"/>
      <c r="BX196" s="1579"/>
      <c r="BY196" s="1579"/>
      <c r="BZ196" s="1579"/>
      <c r="CA196" s="1579"/>
      <c r="CB196" s="1579"/>
      <c r="CC196" s="1579"/>
      <c r="CD196" s="1579"/>
      <c r="CE196" s="1579"/>
      <c r="CF196" s="1579"/>
      <c r="CJ196" s="553" t="s">
        <v>748</v>
      </c>
    </row>
    <row r="197" spans="1:88" s="534" customFormat="1" ht="9.9499999999999993" customHeight="1">
      <c r="A197" s="536"/>
      <c r="B197" s="536"/>
      <c r="C197" s="536"/>
      <c r="D197" s="536"/>
      <c r="E197" s="536"/>
      <c r="F197" s="536"/>
      <c r="G197" s="536"/>
      <c r="H197" s="536"/>
      <c r="I197" s="536"/>
      <c r="J197" s="536"/>
      <c r="K197" s="536"/>
      <c r="L197" s="536"/>
      <c r="M197" s="536"/>
      <c r="N197" s="536"/>
      <c r="O197" s="536"/>
      <c r="P197" s="536"/>
      <c r="Q197" s="536"/>
      <c r="R197" s="536"/>
      <c r="S197" s="536"/>
      <c r="T197" s="536"/>
      <c r="U197" s="536"/>
      <c r="V197" s="536"/>
      <c r="W197" s="536"/>
      <c r="X197" s="536"/>
      <c r="Y197" s="536"/>
      <c r="Z197" s="536"/>
      <c r="AA197" s="536"/>
      <c r="AB197" s="536"/>
      <c r="AC197" s="536"/>
      <c r="AD197" s="536"/>
      <c r="AE197" s="536"/>
      <c r="AF197" s="536"/>
      <c r="AG197" s="536"/>
      <c r="AH197" s="536"/>
      <c r="AI197" s="536"/>
      <c r="AJ197" s="536"/>
      <c r="AK197" s="536"/>
      <c r="AL197" s="536"/>
      <c r="AM197" s="536"/>
      <c r="AN197" s="536"/>
      <c r="AO197" s="536"/>
      <c r="AP197" s="536"/>
      <c r="AQ197" s="536"/>
      <c r="AR197" s="536"/>
      <c r="AS197" s="536"/>
      <c r="AT197" s="536"/>
      <c r="AU197" s="536"/>
      <c r="AV197" s="536"/>
      <c r="AW197" s="536"/>
      <c r="AX197" s="536"/>
      <c r="AY197" s="536"/>
      <c r="AZ197" s="536"/>
      <c r="BA197" s="536"/>
      <c r="BB197" s="536"/>
      <c r="BC197" s="536"/>
      <c r="BD197" s="536"/>
      <c r="BE197" s="536"/>
      <c r="BF197" s="536"/>
      <c r="BG197" s="536"/>
      <c r="BH197" s="536"/>
      <c r="BI197" s="536"/>
      <c r="BJ197" s="536"/>
      <c r="BK197" s="536"/>
      <c r="BL197" s="536"/>
      <c r="BM197" s="536"/>
      <c r="BN197" s="536"/>
      <c r="BO197" s="536"/>
      <c r="BP197" s="536"/>
      <c r="BQ197" s="536"/>
      <c r="BR197" s="536"/>
      <c r="BS197" s="536"/>
      <c r="BT197" s="536"/>
      <c r="BU197" s="536"/>
      <c r="BV197" s="536"/>
      <c r="BW197" s="536"/>
      <c r="BX197" s="536"/>
      <c r="BY197" s="536"/>
      <c r="BZ197" s="536"/>
      <c r="CA197" s="536"/>
      <c r="CB197" s="536"/>
      <c r="CC197" s="536"/>
      <c r="CD197" s="536"/>
      <c r="CE197" s="536"/>
      <c r="CF197" s="536"/>
      <c r="CJ197" s="535"/>
    </row>
    <row r="198" spans="1:88" s="539" customFormat="1" ht="23.1" customHeight="1">
      <c r="A198" s="537"/>
      <c r="B198" s="538" t="s">
        <v>442</v>
      </c>
      <c r="C198" s="537"/>
      <c r="D198" s="537"/>
      <c r="E198" s="537"/>
      <c r="F198" s="537"/>
      <c r="G198" s="537"/>
      <c r="H198" s="537"/>
      <c r="I198" s="537"/>
      <c r="J198" s="537"/>
      <c r="K198" s="537"/>
      <c r="L198" s="537"/>
      <c r="M198" s="537"/>
      <c r="N198" s="537"/>
      <c r="O198" s="537"/>
      <c r="P198" s="537"/>
      <c r="Q198" s="537"/>
      <c r="R198" s="537"/>
      <c r="S198" s="537"/>
      <c r="T198" s="537"/>
      <c r="U198" s="537"/>
      <c r="V198" s="537"/>
      <c r="W198" s="537"/>
      <c r="X198" s="537"/>
      <c r="Y198" s="537"/>
      <c r="Z198" s="537"/>
      <c r="AA198" s="537"/>
      <c r="AB198" s="537"/>
      <c r="AC198" s="537"/>
      <c r="AD198" s="537"/>
      <c r="AE198" s="537"/>
      <c r="AF198" s="537"/>
      <c r="AG198" s="537"/>
      <c r="AH198" s="537"/>
      <c r="AI198" s="537"/>
      <c r="AJ198" s="537"/>
      <c r="AK198" s="537"/>
      <c r="AL198" s="537"/>
      <c r="AM198" s="537"/>
      <c r="AN198" s="537"/>
      <c r="AO198" s="537"/>
      <c r="AP198" s="537"/>
      <c r="AQ198" s="537"/>
      <c r="AR198" s="537"/>
      <c r="AS198" s="537"/>
      <c r="AT198" s="537"/>
      <c r="AU198" s="537"/>
      <c r="BM198" s="537"/>
      <c r="BN198" s="537"/>
      <c r="BO198" s="537"/>
      <c r="BP198" s="537"/>
      <c r="BQ198" s="537"/>
      <c r="BR198" s="537"/>
      <c r="BS198" s="537"/>
      <c r="BT198" s="537"/>
      <c r="BU198" s="537"/>
      <c r="BV198" s="537"/>
      <c r="BW198" s="537"/>
      <c r="BX198" s="537"/>
      <c r="BY198" s="537"/>
      <c r="BZ198" s="537"/>
      <c r="CA198" s="537"/>
      <c r="CB198" s="537"/>
      <c r="CC198" s="537"/>
      <c r="CD198" s="537"/>
      <c r="CE198" s="537"/>
      <c r="CF198" s="537"/>
      <c r="CJ198" s="535"/>
    </row>
    <row r="199" spans="1:88" s="535" customFormat="1" ht="9.9499999999999993" customHeight="1">
      <c r="D199" s="542"/>
      <c r="AR199" s="414"/>
      <c r="AS199" s="414"/>
      <c r="AT199" s="414"/>
      <c r="AU199" s="414"/>
      <c r="AV199" s="414"/>
      <c r="AW199" s="414"/>
      <c r="AX199" s="414"/>
      <c r="AY199" s="414"/>
      <c r="AZ199" s="414"/>
      <c r="BA199" s="414"/>
      <c r="BB199" s="414"/>
      <c r="BT199" s="414"/>
      <c r="BU199" s="414"/>
      <c r="BV199" s="414"/>
      <c r="BW199" s="414"/>
      <c r="BX199" s="414"/>
      <c r="BY199" s="414"/>
      <c r="BZ199" s="414"/>
      <c r="CA199" s="414"/>
      <c r="CB199" s="414"/>
      <c r="CC199" s="414"/>
    </row>
    <row r="200" spans="1:88" s="535" customFormat="1" ht="19.5" customHeight="1">
      <c r="E200" s="535" t="s">
        <v>376</v>
      </c>
    </row>
    <row r="201" spans="1:88" s="535" customFormat="1" ht="19.5" customHeight="1">
      <c r="A201" s="540"/>
      <c r="B201" s="540"/>
      <c r="C201" s="540"/>
      <c r="D201" s="540"/>
      <c r="G201" s="1580" t="s">
        <v>377</v>
      </c>
      <c r="H201" s="1580"/>
      <c r="I201" s="1580"/>
      <c r="J201" s="1580"/>
      <c r="L201" s="543" t="s">
        <v>443</v>
      </c>
      <c r="M201" s="543"/>
      <c r="N201" s="543"/>
      <c r="O201" s="543"/>
      <c r="P201" s="543"/>
      <c r="Q201" s="543"/>
      <c r="R201" s="543"/>
      <c r="S201" s="543"/>
      <c r="T201" s="543"/>
      <c r="U201" s="543"/>
      <c r="V201" s="543"/>
      <c r="W201" s="543"/>
      <c r="X201" s="543"/>
      <c r="Y201" s="543"/>
      <c r="Z201" s="543"/>
      <c r="AA201" s="543"/>
      <c r="AB201" s="543"/>
      <c r="AC201" s="543"/>
      <c r="AV201" s="544"/>
      <c r="AW201" s="544"/>
      <c r="AX201" s="544"/>
      <c r="AY201" s="544"/>
      <c r="AZ201" s="544"/>
      <c r="BA201" s="544"/>
      <c r="BC201" s="544"/>
      <c r="BD201" s="544"/>
      <c r="BE201" s="545"/>
      <c r="BF201" s="545"/>
      <c r="BG201" s="545"/>
      <c r="BH201" s="545"/>
      <c r="BJ201" s="545"/>
      <c r="BK201" s="545"/>
      <c r="BL201" s="545"/>
      <c r="BM201" s="545"/>
      <c r="BN201" s="545"/>
      <c r="BO201" s="545"/>
      <c r="BP201" s="545"/>
      <c r="BQ201" s="545"/>
      <c r="BR201" s="545"/>
      <c r="BS201" s="545"/>
      <c r="BT201" s="545"/>
      <c r="BU201" s="545"/>
      <c r="BV201" s="545"/>
      <c r="BW201" s="545"/>
      <c r="BX201" s="545"/>
      <c r="BY201" s="545"/>
      <c r="BZ201" s="545"/>
      <c r="CA201" s="545"/>
      <c r="CB201" s="545"/>
      <c r="CC201" s="545"/>
    </row>
    <row r="202" spans="1:88" s="535" customFormat="1" ht="19.5" customHeight="1">
      <c r="D202" s="405"/>
      <c r="G202" s="1580"/>
      <c r="H202" s="1580"/>
      <c r="I202" s="1580"/>
      <c r="J202" s="1580"/>
      <c r="L202" s="1557" t="s">
        <v>444</v>
      </c>
      <c r="M202" s="1557"/>
      <c r="N202" s="1557"/>
      <c r="O202" s="1557"/>
      <c r="P202" s="1557"/>
      <c r="Q202" s="1557"/>
      <c r="R202" s="1557"/>
      <c r="S202" s="1557"/>
      <c r="T202" s="1557"/>
      <c r="U202" s="1557"/>
      <c r="V202" s="1557"/>
      <c r="W202" s="1557"/>
      <c r="X202" s="1557"/>
      <c r="Y202" s="1557"/>
      <c r="Z202" s="1557"/>
      <c r="AA202" s="1557"/>
      <c r="AB202" s="1557"/>
      <c r="AV202" s="544"/>
      <c r="AW202" s="544"/>
      <c r="AX202" s="544"/>
      <c r="AY202" s="544"/>
      <c r="AZ202" s="544"/>
      <c r="BA202" s="544"/>
      <c r="BC202" s="544"/>
      <c r="BD202" s="544"/>
      <c r="BE202" s="545"/>
      <c r="BF202" s="545"/>
      <c r="BG202" s="545"/>
      <c r="BH202" s="545"/>
      <c r="BI202" s="545"/>
      <c r="BJ202" s="545"/>
      <c r="BK202" s="545"/>
      <c r="BL202" s="545"/>
      <c r="BM202" s="545"/>
      <c r="BN202" s="545"/>
      <c r="BO202" s="545"/>
      <c r="BP202" s="545"/>
      <c r="BQ202" s="545"/>
      <c r="BR202" s="545"/>
      <c r="BS202" s="545"/>
      <c r="BT202" s="545"/>
      <c r="BU202" s="545"/>
      <c r="BV202" s="545"/>
      <c r="BW202" s="545"/>
      <c r="BX202" s="545"/>
      <c r="BY202" s="545"/>
      <c r="BZ202" s="545"/>
      <c r="CA202" s="545"/>
      <c r="CB202" s="545"/>
      <c r="CC202" s="545"/>
    </row>
    <row r="203" spans="1:88" s="535" customFormat="1" ht="19.5" customHeight="1">
      <c r="G203" s="540"/>
      <c r="I203" s="535" t="s">
        <v>445</v>
      </c>
      <c r="AE203" s="1580">
        <v>0.28000000000000003</v>
      </c>
      <c r="AF203" s="1580"/>
      <c r="AG203" s="1580"/>
      <c r="AH203" s="1580"/>
      <c r="AI203" s="1580"/>
      <c r="AJ203" s="1580" t="s">
        <v>446</v>
      </c>
      <c r="AK203" s="1580"/>
      <c r="AL203" s="1580">
        <v>0.33</v>
      </c>
      <c r="AM203" s="1580"/>
      <c r="AN203" s="1580"/>
      <c r="AO203" s="1580"/>
      <c r="AP203" s="1580"/>
      <c r="AQ203" s="1580" t="s">
        <v>41</v>
      </c>
      <c r="AR203" s="1580"/>
      <c r="AS203" s="1580">
        <f>AE203*AL203</f>
        <v>9.240000000000001E-2</v>
      </c>
      <c r="AT203" s="1580"/>
      <c r="AU203" s="1580"/>
      <c r="AV203" s="1580"/>
      <c r="AW203" s="1580"/>
      <c r="AX203" s="1580"/>
      <c r="AY203" s="1580"/>
      <c r="AZ203" s="535" t="s">
        <v>447</v>
      </c>
      <c r="BT203" s="410"/>
      <c r="BU203" s="410"/>
      <c r="BV203" s="410"/>
      <c r="BW203" s="410"/>
      <c r="BX203" s="410"/>
      <c r="BY203" s="410"/>
      <c r="BZ203" s="410"/>
      <c r="CA203" s="410"/>
      <c r="CB203" s="410"/>
      <c r="CC203" s="410"/>
    </row>
    <row r="204" spans="1:88" s="535" customFormat="1" ht="19.5" customHeight="1">
      <c r="I204" s="535" t="s">
        <v>448</v>
      </c>
      <c r="AC204" s="1716">
        <v>36000</v>
      </c>
      <c r="AD204" s="1716"/>
      <c r="AE204" s="1716"/>
      <c r="AF204" s="1716"/>
      <c r="AG204" s="1716"/>
      <c r="AH204" s="1716"/>
      <c r="AI204" s="1716"/>
      <c r="AJ204" s="1716"/>
      <c r="AK204" s="535" t="s">
        <v>449</v>
      </c>
      <c r="AR204" s="414"/>
      <c r="AS204" s="414"/>
      <c r="AT204" s="414"/>
      <c r="AU204" s="414"/>
      <c r="AV204" s="414"/>
      <c r="AW204" s="414"/>
      <c r="AX204" s="414"/>
      <c r="AY204" s="414"/>
      <c r="AZ204" s="414"/>
      <c r="BA204" s="414"/>
      <c r="BB204" s="414"/>
      <c r="BT204" s="414"/>
      <c r="BU204" s="414"/>
      <c r="BV204" s="414"/>
      <c r="BW204" s="414"/>
      <c r="BX204" s="414"/>
      <c r="BY204" s="414"/>
      <c r="BZ204" s="414"/>
      <c r="CA204" s="414"/>
      <c r="CB204" s="414"/>
      <c r="CC204" s="414"/>
    </row>
    <row r="205" spans="1:88" s="535" customFormat="1" ht="19.5" customHeight="1">
      <c r="D205" s="542"/>
      <c r="I205" s="535" t="s">
        <v>450</v>
      </c>
      <c r="V205" s="1580">
        <v>0.15</v>
      </c>
      <c r="W205" s="1580"/>
      <c r="X205" s="1580"/>
      <c r="Y205" s="1580"/>
      <c r="Z205" s="1580"/>
      <c r="AA205" s="535" t="s">
        <v>272</v>
      </c>
      <c r="AB205" s="554"/>
      <c r="AM205" s="544" t="s">
        <v>451</v>
      </c>
      <c r="AR205" s="414"/>
      <c r="AS205" s="414"/>
      <c r="AT205" s="414"/>
      <c r="AU205" s="414"/>
      <c r="AV205" s="414"/>
      <c r="AW205" s="414"/>
      <c r="AX205" s="414"/>
      <c r="AY205" s="414"/>
      <c r="AZ205" s="414"/>
      <c r="BA205" s="414"/>
      <c r="BB205" s="414"/>
      <c r="BC205" s="1710">
        <v>1</v>
      </c>
      <c r="BD205" s="1710"/>
      <c r="BE205" s="1710"/>
      <c r="BF205" s="1710"/>
      <c r="BG205" s="1710"/>
      <c r="BT205" s="414"/>
      <c r="BU205" s="414"/>
      <c r="BV205" s="414"/>
      <c r="BW205" s="414"/>
      <c r="BX205" s="414"/>
      <c r="BY205" s="414"/>
      <c r="BZ205" s="414"/>
      <c r="CA205" s="414"/>
      <c r="CB205" s="414"/>
      <c r="CC205" s="414"/>
    </row>
    <row r="206" spans="1:88" s="535" customFormat="1" ht="19.5" customHeight="1">
      <c r="I206" s="544" t="s">
        <v>452</v>
      </c>
      <c r="AD206" s="1710">
        <v>0.5</v>
      </c>
      <c r="AE206" s="1710"/>
      <c r="AF206" s="1710"/>
      <c r="AG206" s="1710"/>
      <c r="AH206" s="1710"/>
      <c r="AM206" s="535" t="s">
        <v>453</v>
      </c>
      <c r="BD206" s="1672">
        <v>57</v>
      </c>
      <c r="BE206" s="1672"/>
      <c r="BF206" s="1672"/>
      <c r="BG206" s="1672"/>
      <c r="BH206" s="535" t="s">
        <v>454</v>
      </c>
      <c r="BT206" s="410"/>
      <c r="BU206" s="410"/>
      <c r="BV206" s="410"/>
      <c r="BW206" s="410"/>
      <c r="BX206" s="410"/>
      <c r="BY206" s="410"/>
      <c r="BZ206" s="410"/>
      <c r="CA206" s="410"/>
      <c r="CB206" s="410"/>
      <c r="CC206" s="410"/>
    </row>
    <row r="207" spans="1:88" s="535" customFormat="1" ht="9.9499999999999993" customHeight="1">
      <c r="I207" s="544"/>
      <c r="BT207" s="410"/>
      <c r="BU207" s="410"/>
      <c r="BV207" s="410"/>
      <c r="BW207" s="410"/>
      <c r="BX207" s="410"/>
      <c r="BY207" s="410"/>
      <c r="BZ207" s="410"/>
      <c r="CA207" s="410"/>
      <c r="CB207" s="410"/>
      <c r="CC207" s="410"/>
    </row>
    <row r="208" spans="1:88" s="535" customFormat="1" ht="19.5" customHeight="1">
      <c r="G208" s="1580" t="s">
        <v>377</v>
      </c>
      <c r="H208" s="1580"/>
      <c r="I208" s="1580"/>
      <c r="J208" s="1580"/>
      <c r="L208" s="542" t="str">
        <f>AS203&amp;" × "&amp;AC204&amp;" × "&amp;V205&amp;" × "&amp;BC205&amp;" × "&amp;AD206</f>
        <v>0.0924 × 36000 × 0.15 × 1 × 0.5</v>
      </c>
      <c r="AP208" s="1580" t="s">
        <v>41</v>
      </c>
      <c r="AQ208" s="1580"/>
      <c r="AR208" s="1580"/>
      <c r="AS208" s="1712">
        <f>ROUND(AS203*AC204*V205*BC205*AD206/BD206,2)</f>
        <v>4.38</v>
      </c>
      <c r="AT208" s="1712"/>
      <c r="AU208" s="1712"/>
      <c r="AV208" s="1712"/>
      <c r="AW208" s="1712"/>
      <c r="AX208" s="1712"/>
      <c r="AY208" s="1712"/>
      <c r="AZ208" s="1712"/>
      <c r="BA208" s="1712"/>
      <c r="BB208" s="1712"/>
      <c r="BC208" s="1712"/>
      <c r="BD208" s="1712"/>
      <c r="BE208" s="1712"/>
      <c r="BF208" s="1712"/>
      <c r="BG208" s="1712"/>
      <c r="BT208" s="414"/>
      <c r="BU208" s="414"/>
      <c r="BV208" s="414"/>
      <c r="BW208" s="414"/>
      <c r="BX208" s="414"/>
      <c r="BY208" s="414"/>
      <c r="BZ208" s="414"/>
      <c r="CA208" s="414"/>
      <c r="CB208" s="414"/>
      <c r="CC208" s="414"/>
    </row>
    <row r="209" spans="1:88" s="535" customFormat="1" ht="19.5" customHeight="1">
      <c r="G209" s="1580"/>
      <c r="H209" s="1580"/>
      <c r="I209" s="1580"/>
      <c r="J209" s="1580"/>
      <c r="L209" s="1709">
        <f>BD206</f>
        <v>57</v>
      </c>
      <c r="M209" s="1557"/>
      <c r="N209" s="1557"/>
      <c r="O209" s="1557"/>
      <c r="P209" s="1557"/>
      <c r="Q209" s="1557"/>
      <c r="R209" s="1557"/>
      <c r="S209" s="1557"/>
      <c r="T209" s="1557"/>
      <c r="U209" s="1557"/>
      <c r="V209" s="1557"/>
      <c r="W209" s="1557"/>
      <c r="X209" s="1557"/>
      <c r="Y209" s="1557"/>
      <c r="Z209" s="1557"/>
      <c r="AA209" s="1557"/>
      <c r="AB209" s="1557"/>
      <c r="AC209" s="1557"/>
      <c r="AD209" s="1557"/>
      <c r="AE209" s="1557"/>
      <c r="AF209" s="1557"/>
      <c r="AG209" s="1557"/>
      <c r="AH209" s="1557"/>
      <c r="AI209" s="1557"/>
      <c r="AJ209" s="1557"/>
      <c r="AK209" s="1557"/>
      <c r="AL209" s="1557"/>
      <c r="AM209" s="1557"/>
      <c r="AN209" s="1557"/>
      <c r="AO209" s="555"/>
      <c r="AP209" s="1580"/>
      <c r="AQ209" s="1580"/>
      <c r="AR209" s="1580"/>
      <c r="AS209" s="1712"/>
      <c r="AT209" s="1712"/>
      <c r="AU209" s="1712"/>
      <c r="AV209" s="1712"/>
      <c r="AW209" s="1712"/>
      <c r="AX209" s="1712"/>
      <c r="AY209" s="1712"/>
      <c r="AZ209" s="1712"/>
      <c r="BA209" s="1712"/>
      <c r="BB209" s="1712"/>
      <c r="BC209" s="1712"/>
      <c r="BD209" s="1712"/>
      <c r="BE209" s="1712"/>
      <c r="BF209" s="1712"/>
      <c r="BG209" s="1712"/>
      <c r="BT209" s="410"/>
      <c r="BU209" s="410"/>
      <c r="BV209" s="410"/>
      <c r="BW209" s="410"/>
      <c r="BX209" s="410"/>
      <c r="BY209" s="410"/>
      <c r="BZ209" s="410"/>
      <c r="CA209" s="410"/>
      <c r="CB209" s="410"/>
      <c r="CC209" s="410"/>
    </row>
    <row r="210" spans="1:88" s="535" customFormat="1" ht="19.5" customHeight="1"/>
    <row r="211" spans="1:88" s="535" customFormat="1" ht="19.5" customHeight="1">
      <c r="E211" s="535" t="s">
        <v>402</v>
      </c>
    </row>
    <row r="212" spans="1:88" s="535" customFormat="1" ht="9.9499999999999993" customHeight="1" thickBot="1"/>
    <row r="213" spans="1:88" s="535" customFormat="1" ht="19.5" customHeight="1">
      <c r="D213" s="542"/>
      <c r="E213" s="1534" t="s">
        <v>385</v>
      </c>
      <c r="F213" s="1535"/>
      <c r="G213" s="1535"/>
      <c r="H213" s="1535"/>
      <c r="I213" s="1535"/>
      <c r="J213" s="1535"/>
      <c r="K213" s="1535"/>
      <c r="L213" s="1535"/>
      <c r="M213" s="1535"/>
      <c r="N213" s="1535"/>
      <c r="O213" s="1535"/>
      <c r="P213" s="1535"/>
      <c r="Q213" s="1535"/>
      <c r="R213" s="1535"/>
      <c r="S213" s="1535"/>
      <c r="T213" s="1535"/>
      <c r="U213" s="1535" t="s">
        <v>212</v>
      </c>
      <c r="V213" s="1535"/>
      <c r="W213" s="1535"/>
      <c r="X213" s="1535"/>
      <c r="Y213" s="1535"/>
      <c r="Z213" s="1535"/>
      <c r="AA213" s="1535"/>
      <c r="AB213" s="1535"/>
      <c r="AC213" s="1535" t="s">
        <v>403</v>
      </c>
      <c r="AD213" s="1535"/>
      <c r="AE213" s="1535"/>
      <c r="AF213" s="1535"/>
      <c r="AG213" s="1535"/>
      <c r="AH213" s="1535"/>
      <c r="AI213" s="1535"/>
      <c r="AJ213" s="1535"/>
      <c r="AK213" s="1535"/>
      <c r="AL213" s="1535"/>
      <c r="AM213" s="1535"/>
      <c r="AN213" s="1535"/>
      <c r="AO213" s="1535"/>
      <c r="AP213" s="1535"/>
      <c r="AQ213" s="1535"/>
      <c r="AR213" s="1535"/>
      <c r="AS213" s="1535"/>
      <c r="AT213" s="1535"/>
      <c r="AU213" s="1535"/>
      <c r="AV213" s="1535"/>
      <c r="AW213" s="1535"/>
      <c r="AX213" s="1535"/>
      <c r="AY213" s="1535"/>
      <c r="AZ213" s="1535"/>
      <c r="BA213" s="1537" t="s">
        <v>404</v>
      </c>
      <c r="BB213" s="1535"/>
      <c r="BC213" s="1535"/>
      <c r="BD213" s="1535"/>
      <c r="BE213" s="1535"/>
      <c r="BF213" s="1535"/>
      <c r="BG213" s="1535"/>
      <c r="BH213" s="1535"/>
      <c r="BI213" s="1535" t="s">
        <v>405</v>
      </c>
      <c r="BJ213" s="1535"/>
      <c r="BK213" s="1535"/>
      <c r="BL213" s="1535"/>
      <c r="BM213" s="1535"/>
      <c r="BN213" s="1535"/>
      <c r="BO213" s="1535"/>
      <c r="BP213" s="1535"/>
      <c r="BQ213" s="1535"/>
      <c r="BR213" s="1535"/>
      <c r="BS213" s="1535"/>
      <c r="BT213" s="1535"/>
      <c r="BU213" s="1535"/>
      <c r="BV213" s="1535"/>
      <c r="BW213" s="1535"/>
      <c r="BX213" s="1535"/>
      <c r="BY213" s="1535"/>
      <c r="BZ213" s="1535"/>
      <c r="CA213" s="1535"/>
      <c r="CB213" s="1535"/>
      <c r="CC213" s="1535"/>
      <c r="CD213" s="1535"/>
      <c r="CE213" s="1535"/>
      <c r="CF213" s="1538"/>
    </row>
    <row r="214" spans="1:88" s="535" customFormat="1" ht="19.5" customHeight="1" thickBot="1">
      <c r="E214" s="1536"/>
      <c r="F214" s="1527"/>
      <c r="G214" s="1527"/>
      <c r="H214" s="1527"/>
      <c r="I214" s="1527"/>
      <c r="J214" s="1527"/>
      <c r="K214" s="1527"/>
      <c r="L214" s="1527"/>
      <c r="M214" s="1527"/>
      <c r="N214" s="1527"/>
      <c r="O214" s="1527"/>
      <c r="P214" s="1527"/>
      <c r="Q214" s="1527"/>
      <c r="R214" s="1527"/>
      <c r="S214" s="1527"/>
      <c r="T214" s="1527"/>
      <c r="U214" s="1527"/>
      <c r="V214" s="1527"/>
      <c r="W214" s="1527"/>
      <c r="X214" s="1527"/>
      <c r="Y214" s="1527"/>
      <c r="Z214" s="1527"/>
      <c r="AA214" s="1527"/>
      <c r="AB214" s="1527"/>
      <c r="AC214" s="1527" t="s">
        <v>406</v>
      </c>
      <c r="AD214" s="1527"/>
      <c r="AE214" s="1527"/>
      <c r="AF214" s="1527"/>
      <c r="AG214" s="1527"/>
      <c r="AH214" s="1527"/>
      <c r="AI214" s="1527"/>
      <c r="AJ214" s="1527"/>
      <c r="AK214" s="1527" t="s">
        <v>407</v>
      </c>
      <c r="AL214" s="1527"/>
      <c r="AM214" s="1527"/>
      <c r="AN214" s="1527"/>
      <c r="AO214" s="1527"/>
      <c r="AP214" s="1527"/>
      <c r="AQ214" s="1527"/>
      <c r="AR214" s="1527"/>
      <c r="AS214" s="1527" t="s">
        <v>408</v>
      </c>
      <c r="AT214" s="1527"/>
      <c r="AU214" s="1527"/>
      <c r="AV214" s="1527"/>
      <c r="AW214" s="1527"/>
      <c r="AX214" s="1527"/>
      <c r="AY214" s="1527"/>
      <c r="AZ214" s="1527"/>
      <c r="BA214" s="1527"/>
      <c r="BB214" s="1527"/>
      <c r="BC214" s="1527"/>
      <c r="BD214" s="1527"/>
      <c r="BE214" s="1527"/>
      <c r="BF214" s="1527"/>
      <c r="BG214" s="1527"/>
      <c r="BH214" s="1527"/>
      <c r="BI214" s="1527" t="s">
        <v>406</v>
      </c>
      <c r="BJ214" s="1527"/>
      <c r="BK214" s="1527"/>
      <c r="BL214" s="1527"/>
      <c r="BM214" s="1527"/>
      <c r="BN214" s="1527"/>
      <c r="BO214" s="1527"/>
      <c r="BP214" s="1527"/>
      <c r="BQ214" s="1527" t="s">
        <v>407</v>
      </c>
      <c r="BR214" s="1527"/>
      <c r="BS214" s="1527"/>
      <c r="BT214" s="1527"/>
      <c r="BU214" s="1527"/>
      <c r="BV214" s="1527"/>
      <c r="BW214" s="1527"/>
      <c r="BX214" s="1527"/>
      <c r="BY214" s="1527" t="s">
        <v>408</v>
      </c>
      <c r="BZ214" s="1527"/>
      <c r="CA214" s="1527"/>
      <c r="CB214" s="1527"/>
      <c r="CC214" s="1527"/>
      <c r="CD214" s="1527"/>
      <c r="CE214" s="1527"/>
      <c r="CF214" s="1528"/>
    </row>
    <row r="215" spans="1:88" s="535" customFormat="1" ht="19.5" customHeight="1" thickTop="1" thickBot="1">
      <c r="E215" s="1665" t="s">
        <v>455</v>
      </c>
      <c r="F215" s="1666"/>
      <c r="G215" s="1666"/>
      <c r="H215" s="1666"/>
      <c r="I215" s="1666"/>
      <c r="J215" s="1666"/>
      <c r="K215" s="1666"/>
      <c r="L215" s="1666"/>
      <c r="M215" s="1666"/>
      <c r="N215" s="1666"/>
      <c r="O215" s="1666"/>
      <c r="P215" s="1666"/>
      <c r="Q215" s="1666"/>
      <c r="R215" s="1666"/>
      <c r="S215" s="1666"/>
      <c r="T215" s="1667"/>
      <c r="U215" s="1668" t="s">
        <v>249</v>
      </c>
      <c r="V215" s="1668"/>
      <c r="W215" s="1668"/>
      <c r="X215" s="1668"/>
      <c r="Y215" s="1668"/>
      <c r="Z215" s="1668"/>
      <c r="AA215" s="1668"/>
      <c r="AB215" s="1668"/>
      <c r="AC215" s="1714" t="e">
        <f>#REF!</f>
        <v>#REF!</v>
      </c>
      <c r="AD215" s="1714"/>
      <c r="AE215" s="1714"/>
      <c r="AF215" s="1714"/>
      <c r="AG215" s="1714"/>
      <c r="AH215" s="1714"/>
      <c r="AI215" s="1714"/>
      <c r="AJ215" s="1714"/>
      <c r="AK215" s="1714" t="e">
        <f>#REF!</f>
        <v>#REF!</v>
      </c>
      <c r="AL215" s="1714"/>
      <c r="AM215" s="1714"/>
      <c r="AN215" s="1714"/>
      <c r="AO215" s="1714"/>
      <c r="AP215" s="1714"/>
      <c r="AQ215" s="1714"/>
      <c r="AR215" s="1714"/>
      <c r="AS215" s="1714" t="e">
        <f>#REF!</f>
        <v>#REF!</v>
      </c>
      <c r="AT215" s="1714"/>
      <c r="AU215" s="1714"/>
      <c r="AV215" s="1714"/>
      <c r="AW215" s="1714"/>
      <c r="AX215" s="1714"/>
      <c r="AY215" s="1714"/>
      <c r="AZ215" s="1714"/>
      <c r="BA215" s="1669">
        <f>AS208</f>
        <v>4.38</v>
      </c>
      <c r="BB215" s="1669"/>
      <c r="BC215" s="1669"/>
      <c r="BD215" s="1669"/>
      <c r="BE215" s="1669"/>
      <c r="BF215" s="1669"/>
      <c r="BG215" s="1669"/>
      <c r="BH215" s="1669"/>
      <c r="BI215" s="1714" t="e">
        <f>INT(AC215/$BA215)</f>
        <v>#REF!</v>
      </c>
      <c r="BJ215" s="1714"/>
      <c r="BK215" s="1714"/>
      <c r="BL215" s="1714"/>
      <c r="BM215" s="1714"/>
      <c r="BN215" s="1714"/>
      <c r="BO215" s="1714"/>
      <c r="BP215" s="1714"/>
      <c r="BQ215" s="1714" t="e">
        <f>INT(AK215/$BA215)</f>
        <v>#REF!</v>
      </c>
      <c r="BR215" s="1714"/>
      <c r="BS215" s="1714"/>
      <c r="BT215" s="1714"/>
      <c r="BU215" s="1714"/>
      <c r="BV215" s="1714"/>
      <c r="BW215" s="1714"/>
      <c r="BX215" s="1714"/>
      <c r="BY215" s="1714" t="e">
        <f>INT(AS215/$BA215)</f>
        <v>#REF!</v>
      </c>
      <c r="BZ215" s="1714"/>
      <c r="CA215" s="1714"/>
      <c r="CB215" s="1714"/>
      <c r="CC215" s="1714"/>
      <c r="CD215" s="1714"/>
      <c r="CE215" s="1714"/>
      <c r="CF215" s="1715"/>
    </row>
    <row r="216" spans="1:88" s="535" customFormat="1" ht="19.5" customHeight="1">
      <c r="BT216" s="410"/>
      <c r="BU216" s="410"/>
      <c r="BV216" s="410"/>
      <c r="BW216" s="410"/>
      <c r="BX216" s="410"/>
      <c r="BY216" s="410"/>
      <c r="BZ216" s="410"/>
      <c r="CA216" s="410"/>
      <c r="CB216" s="410"/>
      <c r="CC216" s="410"/>
    </row>
    <row r="217" spans="1:88" s="539" customFormat="1" ht="23.1" customHeight="1">
      <c r="A217" s="537"/>
      <c r="B217" s="538" t="s">
        <v>456</v>
      </c>
      <c r="C217" s="537"/>
      <c r="D217" s="537"/>
      <c r="E217" s="537"/>
      <c r="F217" s="537"/>
      <c r="G217" s="537"/>
      <c r="H217" s="537"/>
      <c r="I217" s="537"/>
      <c r="J217" s="537"/>
      <c r="K217" s="537"/>
      <c r="L217" s="537"/>
      <c r="M217" s="537"/>
      <c r="N217" s="537"/>
      <c r="O217" s="537"/>
      <c r="P217" s="537"/>
      <c r="Q217" s="537"/>
      <c r="R217" s="537"/>
      <c r="S217" s="537"/>
      <c r="T217" s="537"/>
      <c r="U217" s="537"/>
      <c r="V217" s="537"/>
      <c r="W217" s="537"/>
      <c r="X217" s="537"/>
      <c r="Y217" s="537"/>
      <c r="Z217" s="537"/>
      <c r="AA217" s="537"/>
      <c r="AB217" s="537"/>
      <c r="AC217" s="537"/>
      <c r="AD217" s="537"/>
      <c r="AE217" s="537"/>
      <c r="AF217" s="537"/>
      <c r="AG217" s="537"/>
      <c r="AH217" s="537"/>
      <c r="AI217" s="537"/>
      <c r="AJ217" s="537"/>
      <c r="AK217" s="537"/>
      <c r="AL217" s="537"/>
      <c r="AM217" s="537"/>
      <c r="AN217" s="537"/>
      <c r="AO217" s="537"/>
      <c r="AP217" s="537"/>
      <c r="AQ217" s="537"/>
      <c r="AR217" s="537"/>
      <c r="AS217" s="537"/>
      <c r="AT217" s="537"/>
      <c r="AU217" s="537"/>
      <c r="BM217" s="537"/>
      <c r="BN217" s="537"/>
      <c r="BO217" s="537"/>
      <c r="BP217" s="537"/>
      <c r="BQ217" s="537"/>
      <c r="BR217" s="537"/>
      <c r="BS217" s="537"/>
      <c r="BT217" s="537"/>
      <c r="BU217" s="537"/>
      <c r="BV217" s="537"/>
      <c r="BW217" s="537"/>
      <c r="BX217" s="537"/>
      <c r="BY217" s="537"/>
      <c r="BZ217" s="537"/>
      <c r="CA217" s="537"/>
      <c r="CB217" s="537"/>
      <c r="CC217" s="537"/>
      <c r="CD217" s="537"/>
      <c r="CE217" s="537"/>
      <c r="CF217" s="537"/>
      <c r="CJ217" s="535" t="s">
        <v>747</v>
      </c>
    </row>
    <row r="218" spans="1:88" s="535" customFormat="1" ht="9.9499999999999993" customHeight="1">
      <c r="D218" s="542"/>
      <c r="AR218" s="414"/>
      <c r="AS218" s="414"/>
      <c r="AT218" s="414"/>
      <c r="AU218" s="414"/>
      <c r="AV218" s="414"/>
      <c r="AW218" s="414"/>
      <c r="AX218" s="414"/>
      <c r="AY218" s="414"/>
      <c r="AZ218" s="414"/>
      <c r="BA218" s="414"/>
      <c r="BB218" s="414"/>
      <c r="BT218" s="414"/>
      <c r="BU218" s="414"/>
      <c r="BV218" s="414"/>
      <c r="BW218" s="414"/>
      <c r="BX218" s="414"/>
      <c r="BY218" s="414"/>
      <c r="BZ218" s="414"/>
      <c r="CA218" s="414"/>
      <c r="CB218" s="414"/>
      <c r="CC218" s="414"/>
    </row>
    <row r="219" spans="1:88" s="535" customFormat="1" ht="19.5" customHeight="1">
      <c r="E219" s="535" t="s">
        <v>376</v>
      </c>
    </row>
    <row r="220" spans="1:88" s="535" customFormat="1" ht="19.5" customHeight="1">
      <c r="A220" s="540"/>
      <c r="B220" s="540"/>
      <c r="C220" s="540"/>
      <c r="D220" s="540"/>
      <c r="G220" s="1580" t="s">
        <v>377</v>
      </c>
      <c r="H220" s="1580"/>
      <c r="I220" s="1580"/>
      <c r="J220" s="1580"/>
      <c r="L220" s="1713" t="s">
        <v>457</v>
      </c>
      <c r="M220" s="1713"/>
      <c r="N220" s="1713"/>
      <c r="O220" s="1713"/>
      <c r="P220" s="1713"/>
      <c r="Q220" s="1713"/>
      <c r="R220" s="1713"/>
      <c r="S220" s="1713"/>
      <c r="T220" s="1713"/>
      <c r="U220" s="1713"/>
      <c r="V220" s="1713"/>
      <c r="W220" s="1713"/>
      <c r="X220" s="1713"/>
      <c r="Y220" s="1713"/>
      <c r="Z220" s="1713"/>
      <c r="AA220" s="1713"/>
      <c r="AB220" s="1713"/>
      <c r="AC220" s="1713"/>
      <c r="AD220" s="1713"/>
      <c r="AE220" s="1713"/>
      <c r="AF220" s="1713"/>
      <c r="AG220" s="1713"/>
      <c r="AH220" s="1713"/>
      <c r="AI220" s="1713"/>
      <c r="AJ220" s="1580" t="s">
        <v>388</v>
      </c>
      <c r="AK220" s="1580"/>
      <c r="AV220" s="544"/>
      <c r="AY220" s="544"/>
      <c r="AZ220" s="544"/>
      <c r="BC220" s="544"/>
      <c r="BD220" s="544"/>
      <c r="BE220" s="545"/>
      <c r="BF220" s="545"/>
      <c r="BG220" s="545"/>
      <c r="BH220" s="545"/>
      <c r="BJ220" s="545"/>
      <c r="BK220" s="545"/>
      <c r="BL220" s="545"/>
      <c r="BM220" s="545"/>
      <c r="BN220" s="545"/>
      <c r="BQ220" s="545"/>
      <c r="BR220" s="545"/>
      <c r="BS220" s="545"/>
      <c r="BT220" s="545"/>
      <c r="BU220" s="545"/>
      <c r="BV220" s="545"/>
      <c r="BW220" s="545"/>
      <c r="BX220" s="545"/>
      <c r="BY220" s="545"/>
      <c r="BZ220" s="545"/>
      <c r="CA220" s="545"/>
      <c r="CB220" s="545"/>
      <c r="CC220" s="545"/>
    </row>
    <row r="221" spans="1:88" s="535" customFormat="1" ht="19.5" customHeight="1">
      <c r="D221" s="405"/>
      <c r="G221" s="1580"/>
      <c r="H221" s="1580"/>
      <c r="I221" s="1580"/>
      <c r="J221" s="1580"/>
      <c r="L221" s="1713"/>
      <c r="M221" s="1713"/>
      <c r="N221" s="1713"/>
      <c r="O221" s="1713"/>
      <c r="P221" s="1713"/>
      <c r="Q221" s="1713"/>
      <c r="R221" s="1713"/>
      <c r="S221" s="1713"/>
      <c r="T221" s="1713"/>
      <c r="U221" s="1713"/>
      <c r="V221" s="1713"/>
      <c r="W221" s="1713"/>
      <c r="X221" s="1713"/>
      <c r="Y221" s="1713"/>
      <c r="Z221" s="1713"/>
      <c r="AA221" s="1713"/>
      <c r="AB221" s="1713"/>
      <c r="AC221" s="1713"/>
      <c r="AD221" s="1713"/>
      <c r="AE221" s="1713"/>
      <c r="AF221" s="1713"/>
      <c r="AG221" s="1713"/>
      <c r="AH221" s="1713"/>
      <c r="AI221" s="1713"/>
      <c r="AJ221" s="1557" t="s">
        <v>458</v>
      </c>
      <c r="AK221" s="1557"/>
      <c r="AV221" s="544"/>
      <c r="AY221" s="544"/>
      <c r="AZ221" s="544"/>
      <c r="BC221" s="544"/>
      <c r="BD221" s="544"/>
      <c r="BE221" s="545"/>
      <c r="BF221" s="545"/>
      <c r="BG221" s="545"/>
      <c r="BH221" s="545"/>
      <c r="BI221" s="545"/>
      <c r="BJ221" s="545"/>
      <c r="BK221" s="545"/>
      <c r="BL221" s="545"/>
      <c r="BM221" s="545"/>
      <c r="BN221" s="545"/>
      <c r="BQ221" s="545"/>
      <c r="BR221" s="545"/>
      <c r="BS221" s="545"/>
      <c r="BT221" s="545"/>
      <c r="BU221" s="545"/>
      <c r="BV221" s="545"/>
      <c r="BW221" s="545"/>
      <c r="BX221" s="545"/>
      <c r="BY221" s="545"/>
      <c r="BZ221" s="545"/>
      <c r="CA221" s="545"/>
      <c r="CB221" s="545"/>
      <c r="CC221" s="545"/>
    </row>
    <row r="222" spans="1:88" s="535" customFormat="1" ht="19.5" customHeight="1">
      <c r="G222" s="540"/>
      <c r="I222" s="535" t="s">
        <v>459</v>
      </c>
      <c r="V222" s="1671">
        <v>1</v>
      </c>
      <c r="W222" s="1671"/>
      <c r="X222" s="1671"/>
      <c r="Y222" s="1671"/>
      <c r="Z222" s="1671"/>
      <c r="AA222" s="535" t="s">
        <v>460</v>
      </c>
      <c r="AM222" s="535" t="s">
        <v>461</v>
      </c>
      <c r="BG222" s="430"/>
      <c r="BH222" s="430"/>
      <c r="BI222" s="1580">
        <v>0.45</v>
      </c>
      <c r="BJ222" s="1580"/>
      <c r="BK222" s="1580"/>
      <c r="BL222" s="1580"/>
      <c r="BM222" s="1580"/>
      <c r="BN222" s="430" t="s">
        <v>272</v>
      </c>
      <c r="BT222" s="410"/>
      <c r="BU222" s="410"/>
      <c r="BV222" s="410"/>
      <c r="BW222" s="410"/>
      <c r="BX222" s="410"/>
      <c r="BY222" s="410"/>
      <c r="BZ222" s="410"/>
      <c r="CA222" s="410"/>
      <c r="CB222" s="410"/>
      <c r="CC222" s="410"/>
    </row>
    <row r="223" spans="1:88" s="535" customFormat="1" ht="19.5" customHeight="1">
      <c r="I223" s="535" t="s">
        <v>462</v>
      </c>
      <c r="AB223" s="1580">
        <v>0.1</v>
      </c>
      <c r="AC223" s="1580"/>
      <c r="AD223" s="1580"/>
      <c r="AE223" s="1580"/>
      <c r="AF223" s="1580"/>
      <c r="AG223" s="535" t="s">
        <v>272</v>
      </c>
      <c r="AM223" s="544" t="s">
        <v>463</v>
      </c>
      <c r="AZ223" s="1710">
        <v>0.6</v>
      </c>
      <c r="BA223" s="1710"/>
      <c r="BB223" s="1710"/>
      <c r="BC223" s="1710"/>
      <c r="BD223" s="1710"/>
      <c r="BT223" s="414"/>
      <c r="BU223" s="414"/>
      <c r="BV223" s="414"/>
      <c r="BW223" s="414"/>
      <c r="BX223" s="414"/>
      <c r="BY223" s="414"/>
      <c r="BZ223" s="414"/>
      <c r="CA223" s="414"/>
      <c r="CB223" s="414"/>
      <c r="CC223" s="414"/>
    </row>
    <row r="224" spans="1:88" s="535" customFormat="1" ht="19.5" customHeight="1">
      <c r="I224" s="544" t="s">
        <v>451</v>
      </c>
      <c r="N224" s="414"/>
      <c r="O224" s="414"/>
      <c r="P224" s="414"/>
      <c r="Q224" s="414"/>
      <c r="R224" s="414"/>
      <c r="S224" s="414"/>
      <c r="T224" s="414"/>
      <c r="U224" s="414"/>
      <c r="V224" s="414"/>
      <c r="W224" s="414"/>
      <c r="X224" s="414"/>
      <c r="Y224" s="1710">
        <v>1</v>
      </c>
      <c r="Z224" s="1710"/>
      <c r="AA224" s="1710"/>
      <c r="AB224" s="1710"/>
      <c r="AC224" s="1710"/>
      <c r="AM224" s="535" t="s">
        <v>464</v>
      </c>
      <c r="BD224" s="1672">
        <v>3</v>
      </c>
      <c r="BE224" s="1672"/>
      <c r="BF224" s="1672"/>
      <c r="BG224" s="1672"/>
      <c r="BH224" s="535" t="s">
        <v>454</v>
      </c>
      <c r="BT224" s="410"/>
      <c r="BU224" s="410"/>
      <c r="BV224" s="410"/>
      <c r="BW224" s="410"/>
      <c r="BX224" s="410"/>
      <c r="BY224" s="410"/>
      <c r="BZ224" s="410"/>
      <c r="CA224" s="410"/>
      <c r="CB224" s="410"/>
      <c r="CC224" s="410"/>
    </row>
    <row r="225" spans="1:88" s="535" customFormat="1" ht="9.9499999999999993" customHeight="1">
      <c r="I225" s="544"/>
      <c r="BT225" s="410"/>
      <c r="BU225" s="410"/>
      <c r="BV225" s="410"/>
      <c r="BW225" s="410"/>
      <c r="BX225" s="410"/>
      <c r="BY225" s="410"/>
      <c r="BZ225" s="410"/>
      <c r="CA225" s="410"/>
      <c r="CB225" s="410"/>
      <c r="CC225" s="410"/>
    </row>
    <row r="226" spans="1:88" s="535" customFormat="1" ht="19.5" customHeight="1">
      <c r="G226" s="1580" t="s">
        <v>377</v>
      </c>
      <c r="H226" s="1580"/>
      <c r="I226" s="1580"/>
      <c r="J226" s="1580"/>
      <c r="L226" s="1711" t="str">
        <f>"1,000 × "&amp;V222&amp;" × "&amp;BI222&amp;" × "&amp;AB223&amp;" × "&amp;AZ223</f>
        <v>1,000 × 1 × 0.45 × 0.1 × 0.6</v>
      </c>
      <c r="M226" s="1711"/>
      <c r="N226" s="1711"/>
      <c r="O226" s="1711"/>
      <c r="P226" s="1711"/>
      <c r="Q226" s="1711"/>
      <c r="R226" s="1711"/>
      <c r="S226" s="1711"/>
      <c r="T226" s="1711"/>
      <c r="U226" s="1711"/>
      <c r="V226" s="1711"/>
      <c r="W226" s="1711"/>
      <c r="X226" s="1711"/>
      <c r="Y226" s="1711"/>
      <c r="Z226" s="1711"/>
      <c r="AA226" s="1711"/>
      <c r="AB226" s="1711"/>
      <c r="AC226" s="1711"/>
      <c r="AD226" s="1711"/>
      <c r="AE226" s="1711"/>
      <c r="AF226" s="1711"/>
      <c r="AG226" s="1711"/>
      <c r="AH226" s="1711"/>
      <c r="AI226" s="1711"/>
      <c r="AJ226" s="1711"/>
      <c r="AK226" s="1711"/>
      <c r="AL226" s="1711"/>
      <c r="AM226" s="1580" t="s">
        <v>446</v>
      </c>
      <c r="AN226" s="1580"/>
      <c r="AO226" s="1672">
        <f>Y224</f>
        <v>1</v>
      </c>
      <c r="AP226" s="1672"/>
      <c r="AQ226" s="1672"/>
      <c r="AR226" s="1672"/>
      <c r="AS226" s="1580" t="s">
        <v>41</v>
      </c>
      <c r="AT226" s="1580"/>
      <c r="AU226" s="1580"/>
      <c r="AV226" s="1712">
        <f>ROUND(1000*V222*BI222*AB223*AZ223*Y224/BD224,2)</f>
        <v>9</v>
      </c>
      <c r="AW226" s="1712"/>
      <c r="AX226" s="1712"/>
      <c r="AY226" s="1712"/>
      <c r="AZ226" s="1712"/>
      <c r="BA226" s="1712"/>
      <c r="BB226" s="1712"/>
      <c r="BC226" s="1712"/>
      <c r="BD226" s="1712"/>
      <c r="BE226" s="1712"/>
      <c r="BF226" s="1712"/>
      <c r="BG226" s="1712"/>
      <c r="BH226" s="1712"/>
      <c r="BI226" s="1712"/>
      <c r="BJ226" s="1712"/>
      <c r="CC226" s="414"/>
    </row>
    <row r="227" spans="1:88" s="535" customFormat="1" ht="19.5" customHeight="1">
      <c r="G227" s="1580"/>
      <c r="H227" s="1580"/>
      <c r="I227" s="1580"/>
      <c r="J227" s="1580"/>
      <c r="L227" s="1711"/>
      <c r="M227" s="1711"/>
      <c r="N227" s="1711"/>
      <c r="O227" s="1711"/>
      <c r="P227" s="1711"/>
      <c r="Q227" s="1711"/>
      <c r="R227" s="1711"/>
      <c r="S227" s="1711"/>
      <c r="T227" s="1711"/>
      <c r="U227" s="1711"/>
      <c r="V227" s="1711"/>
      <c r="W227" s="1711"/>
      <c r="X227" s="1711"/>
      <c r="Y227" s="1711"/>
      <c r="Z227" s="1711"/>
      <c r="AA227" s="1711"/>
      <c r="AB227" s="1711"/>
      <c r="AC227" s="1711"/>
      <c r="AD227" s="1711"/>
      <c r="AE227" s="1711"/>
      <c r="AF227" s="1711"/>
      <c r="AG227" s="1711"/>
      <c r="AH227" s="1711"/>
      <c r="AI227" s="1711"/>
      <c r="AJ227" s="1711"/>
      <c r="AK227" s="1711"/>
      <c r="AL227" s="1711"/>
      <c r="AM227" s="1580"/>
      <c r="AN227" s="1580"/>
      <c r="AO227" s="1709">
        <f>BD224</f>
        <v>3</v>
      </c>
      <c r="AP227" s="1709"/>
      <c r="AQ227" s="1709"/>
      <c r="AR227" s="1709"/>
      <c r="AS227" s="1580"/>
      <c r="AT227" s="1580"/>
      <c r="AU227" s="1580"/>
      <c r="AV227" s="1712"/>
      <c r="AW227" s="1712"/>
      <c r="AX227" s="1712"/>
      <c r="AY227" s="1712"/>
      <c r="AZ227" s="1712"/>
      <c r="BA227" s="1712"/>
      <c r="BB227" s="1712"/>
      <c r="BC227" s="1712"/>
      <c r="BD227" s="1712"/>
      <c r="BE227" s="1712"/>
      <c r="BF227" s="1712"/>
      <c r="BG227" s="1712"/>
      <c r="BH227" s="1712"/>
      <c r="BI227" s="1712"/>
      <c r="BJ227" s="1712"/>
      <c r="CC227" s="410"/>
    </row>
    <row r="228" spans="1:88" s="535" customFormat="1" ht="19.5" customHeight="1"/>
    <row r="229" spans="1:88" s="535" customFormat="1" ht="19.5" customHeight="1">
      <c r="E229" s="535" t="s">
        <v>402</v>
      </c>
    </row>
    <row r="230" spans="1:88" s="535" customFormat="1" ht="9.9499999999999993" customHeight="1" thickBot="1"/>
    <row r="231" spans="1:88" s="535" customFormat="1" ht="19.5" customHeight="1">
      <c r="D231" s="542"/>
      <c r="E231" s="1534" t="s">
        <v>385</v>
      </c>
      <c r="F231" s="1535"/>
      <c r="G231" s="1535"/>
      <c r="H231" s="1535"/>
      <c r="I231" s="1535"/>
      <c r="J231" s="1535"/>
      <c r="K231" s="1535"/>
      <c r="L231" s="1535"/>
      <c r="M231" s="1535"/>
      <c r="N231" s="1535"/>
      <c r="O231" s="1535"/>
      <c r="P231" s="1535"/>
      <c r="Q231" s="1535"/>
      <c r="R231" s="1535"/>
      <c r="S231" s="1535"/>
      <c r="T231" s="1535"/>
      <c r="U231" s="1535" t="s">
        <v>212</v>
      </c>
      <c r="V231" s="1535"/>
      <c r="W231" s="1535"/>
      <c r="X231" s="1535"/>
      <c r="Y231" s="1535"/>
      <c r="Z231" s="1535"/>
      <c r="AA231" s="1535"/>
      <c r="AB231" s="1535"/>
      <c r="AC231" s="1535" t="s">
        <v>403</v>
      </c>
      <c r="AD231" s="1535"/>
      <c r="AE231" s="1535"/>
      <c r="AF231" s="1535"/>
      <c r="AG231" s="1535"/>
      <c r="AH231" s="1535"/>
      <c r="AI231" s="1535"/>
      <c r="AJ231" s="1535"/>
      <c r="AK231" s="1535"/>
      <c r="AL231" s="1535"/>
      <c r="AM231" s="1535"/>
      <c r="AN231" s="1535"/>
      <c r="AO231" s="1535"/>
      <c r="AP231" s="1535"/>
      <c r="AQ231" s="1535"/>
      <c r="AR231" s="1535"/>
      <c r="AS231" s="1535"/>
      <c r="AT231" s="1535"/>
      <c r="AU231" s="1535"/>
      <c r="AV231" s="1535"/>
      <c r="AW231" s="1535"/>
      <c r="AX231" s="1535"/>
      <c r="AY231" s="1535"/>
      <c r="AZ231" s="1535"/>
      <c r="BA231" s="1537" t="s">
        <v>404</v>
      </c>
      <c r="BB231" s="1535"/>
      <c r="BC231" s="1535"/>
      <c r="BD231" s="1535"/>
      <c r="BE231" s="1535"/>
      <c r="BF231" s="1535"/>
      <c r="BG231" s="1535"/>
      <c r="BH231" s="1535"/>
      <c r="BI231" s="1535" t="s">
        <v>405</v>
      </c>
      <c r="BJ231" s="1535"/>
      <c r="BK231" s="1535"/>
      <c r="BL231" s="1535"/>
      <c r="BM231" s="1535"/>
      <c r="BN231" s="1535"/>
      <c r="BO231" s="1535"/>
      <c r="BP231" s="1535"/>
      <c r="BQ231" s="1535"/>
      <c r="BR231" s="1535"/>
      <c r="BS231" s="1535"/>
      <c r="BT231" s="1535"/>
      <c r="BU231" s="1535"/>
      <c r="BV231" s="1535"/>
      <c r="BW231" s="1535"/>
      <c r="BX231" s="1535"/>
      <c r="BY231" s="1535"/>
      <c r="BZ231" s="1535"/>
      <c r="CA231" s="1535"/>
      <c r="CB231" s="1535"/>
      <c r="CC231" s="1535"/>
      <c r="CD231" s="1535"/>
      <c r="CE231" s="1535"/>
      <c r="CF231" s="1538"/>
    </row>
    <row r="232" spans="1:88" s="535" customFormat="1" ht="19.5" customHeight="1" thickBot="1">
      <c r="E232" s="1536"/>
      <c r="F232" s="1527"/>
      <c r="G232" s="1527"/>
      <c r="H232" s="1527"/>
      <c r="I232" s="1527"/>
      <c r="J232" s="1527"/>
      <c r="K232" s="1527"/>
      <c r="L232" s="1527"/>
      <c r="M232" s="1527"/>
      <c r="N232" s="1527"/>
      <c r="O232" s="1527"/>
      <c r="P232" s="1527"/>
      <c r="Q232" s="1527"/>
      <c r="R232" s="1527"/>
      <c r="S232" s="1527"/>
      <c r="T232" s="1527"/>
      <c r="U232" s="1527"/>
      <c r="V232" s="1527"/>
      <c r="W232" s="1527"/>
      <c r="X232" s="1527"/>
      <c r="Y232" s="1527"/>
      <c r="Z232" s="1527"/>
      <c r="AA232" s="1527"/>
      <c r="AB232" s="1527"/>
      <c r="AC232" s="1527" t="s">
        <v>406</v>
      </c>
      <c r="AD232" s="1527"/>
      <c r="AE232" s="1527"/>
      <c r="AF232" s="1527"/>
      <c r="AG232" s="1527"/>
      <c r="AH232" s="1527"/>
      <c r="AI232" s="1527"/>
      <c r="AJ232" s="1527"/>
      <c r="AK232" s="1527" t="s">
        <v>407</v>
      </c>
      <c r="AL232" s="1527"/>
      <c r="AM232" s="1527"/>
      <c r="AN232" s="1527"/>
      <c r="AO232" s="1527"/>
      <c r="AP232" s="1527"/>
      <c r="AQ232" s="1527"/>
      <c r="AR232" s="1527"/>
      <c r="AS232" s="1527" t="s">
        <v>408</v>
      </c>
      <c r="AT232" s="1527"/>
      <c r="AU232" s="1527"/>
      <c r="AV232" s="1527"/>
      <c r="AW232" s="1527"/>
      <c r="AX232" s="1527"/>
      <c r="AY232" s="1527"/>
      <c r="AZ232" s="1527"/>
      <c r="BA232" s="1527"/>
      <c r="BB232" s="1527"/>
      <c r="BC232" s="1527"/>
      <c r="BD232" s="1527"/>
      <c r="BE232" s="1527"/>
      <c r="BF232" s="1527"/>
      <c r="BG232" s="1527"/>
      <c r="BH232" s="1527"/>
      <c r="BI232" s="1527" t="s">
        <v>406</v>
      </c>
      <c r="BJ232" s="1527"/>
      <c r="BK232" s="1527"/>
      <c r="BL232" s="1527"/>
      <c r="BM232" s="1527"/>
      <c r="BN232" s="1527"/>
      <c r="BO232" s="1527"/>
      <c r="BP232" s="1527"/>
      <c r="BQ232" s="1527" t="s">
        <v>407</v>
      </c>
      <c r="BR232" s="1527"/>
      <c r="BS232" s="1527"/>
      <c r="BT232" s="1527"/>
      <c r="BU232" s="1527"/>
      <c r="BV232" s="1527"/>
      <c r="BW232" s="1527"/>
      <c r="BX232" s="1527"/>
      <c r="BY232" s="1527" t="s">
        <v>408</v>
      </c>
      <c r="BZ232" s="1527"/>
      <c r="CA232" s="1527"/>
      <c r="CB232" s="1527"/>
      <c r="CC232" s="1527"/>
      <c r="CD232" s="1527"/>
      <c r="CE232" s="1527"/>
      <c r="CF232" s="1528"/>
    </row>
    <row r="233" spans="1:88" s="535" customFormat="1" ht="19.5" customHeight="1" thickTop="1" thickBot="1">
      <c r="E233" s="1665" t="s">
        <v>465</v>
      </c>
      <c r="F233" s="1666"/>
      <c r="G233" s="1666"/>
      <c r="H233" s="1666"/>
      <c r="I233" s="1666"/>
      <c r="J233" s="1666"/>
      <c r="K233" s="1666"/>
      <c r="L233" s="1666"/>
      <c r="M233" s="1666"/>
      <c r="N233" s="1666"/>
      <c r="O233" s="1666"/>
      <c r="P233" s="1666"/>
      <c r="Q233" s="1666"/>
      <c r="R233" s="1666"/>
      <c r="S233" s="1666"/>
      <c r="T233" s="1667"/>
      <c r="U233" s="1708" t="s">
        <v>466</v>
      </c>
      <c r="V233" s="1708"/>
      <c r="W233" s="1708"/>
      <c r="X233" s="1708"/>
      <c r="Y233" s="1708"/>
      <c r="Z233" s="1708"/>
      <c r="AA233" s="1708"/>
      <c r="AB233" s="1708"/>
      <c r="AC233" s="1661" t="e">
        <f>#REF!</f>
        <v>#REF!</v>
      </c>
      <c r="AD233" s="1661"/>
      <c r="AE233" s="1661"/>
      <c r="AF233" s="1661"/>
      <c r="AG233" s="1661"/>
      <c r="AH233" s="1661"/>
      <c r="AI233" s="1661"/>
      <c r="AJ233" s="1661"/>
      <c r="AK233" s="1661" t="e">
        <f>#REF!</f>
        <v>#REF!</v>
      </c>
      <c r="AL233" s="1661"/>
      <c r="AM233" s="1661"/>
      <c r="AN233" s="1661"/>
      <c r="AO233" s="1661"/>
      <c r="AP233" s="1661"/>
      <c r="AQ233" s="1661"/>
      <c r="AR233" s="1661"/>
      <c r="AS233" s="1661" t="e">
        <f>#REF!</f>
        <v>#REF!</v>
      </c>
      <c r="AT233" s="1661"/>
      <c r="AU233" s="1661"/>
      <c r="AV233" s="1661"/>
      <c r="AW233" s="1661"/>
      <c r="AX233" s="1661"/>
      <c r="AY233" s="1661"/>
      <c r="AZ233" s="1661"/>
      <c r="BA233" s="1669">
        <f>AV226</f>
        <v>9</v>
      </c>
      <c r="BB233" s="1669"/>
      <c r="BC233" s="1669"/>
      <c r="BD233" s="1669"/>
      <c r="BE233" s="1669"/>
      <c r="BF233" s="1669"/>
      <c r="BG233" s="1669"/>
      <c r="BH233" s="1669"/>
      <c r="BI233" s="1661" t="e">
        <f>INT(AC233/$BA233)</f>
        <v>#REF!</v>
      </c>
      <c r="BJ233" s="1661"/>
      <c r="BK233" s="1661"/>
      <c r="BL233" s="1661"/>
      <c r="BM233" s="1661"/>
      <c r="BN233" s="1661"/>
      <c r="BO233" s="1661"/>
      <c r="BP233" s="1661"/>
      <c r="BQ233" s="1661" t="e">
        <f>INT(AK233/$BA233)</f>
        <v>#REF!</v>
      </c>
      <c r="BR233" s="1661"/>
      <c r="BS233" s="1661"/>
      <c r="BT233" s="1661"/>
      <c r="BU233" s="1661"/>
      <c r="BV233" s="1661"/>
      <c r="BW233" s="1661"/>
      <c r="BX233" s="1661"/>
      <c r="BY233" s="1661" t="e">
        <f>INT(AS233/$BA233)</f>
        <v>#REF!</v>
      </c>
      <c r="BZ233" s="1661"/>
      <c r="CA233" s="1661"/>
      <c r="CB233" s="1661"/>
      <c r="CC233" s="1661"/>
      <c r="CD233" s="1661"/>
      <c r="CE233" s="1661"/>
      <c r="CF233" s="1662"/>
    </row>
    <row r="234" spans="1:88" s="534" customFormat="1" ht="28.35" customHeight="1">
      <c r="A234" s="1663" t="s">
        <v>467</v>
      </c>
      <c r="B234" s="1663"/>
      <c r="C234" s="1663"/>
      <c r="D234" s="1663"/>
      <c r="E234" s="1663"/>
      <c r="F234" s="1663"/>
      <c r="G234" s="1663"/>
      <c r="H234" s="1663"/>
      <c r="I234" s="1663"/>
      <c r="J234" s="1663"/>
      <c r="K234" s="1663"/>
      <c r="L234" s="1663"/>
      <c r="M234" s="1663"/>
      <c r="N234" s="1663"/>
      <c r="O234" s="1663"/>
      <c r="P234" s="1663"/>
      <c r="Q234" s="1663"/>
      <c r="R234" s="1663"/>
      <c r="S234" s="1663"/>
      <c r="T234" s="1663"/>
      <c r="U234" s="1663"/>
      <c r="V234" s="1663"/>
      <c r="W234" s="1663"/>
      <c r="X234" s="1663"/>
      <c r="Y234" s="1663"/>
      <c r="Z234" s="1663"/>
      <c r="AA234" s="1663"/>
      <c r="AB234" s="1663"/>
      <c r="AC234" s="1663"/>
      <c r="AD234" s="1663"/>
      <c r="AE234" s="1663"/>
      <c r="AF234" s="1663"/>
      <c r="AG234" s="1663"/>
      <c r="AH234" s="1663"/>
      <c r="AI234" s="1663"/>
      <c r="AJ234" s="1663"/>
      <c r="AK234" s="1663"/>
      <c r="AL234" s="1663"/>
      <c r="AM234" s="1663"/>
      <c r="AN234" s="1663"/>
      <c r="AO234" s="1663"/>
      <c r="AP234" s="1663"/>
      <c r="AQ234" s="1663"/>
      <c r="AR234" s="1663"/>
      <c r="AS234" s="1663"/>
      <c r="AT234" s="1663"/>
      <c r="AU234" s="1663"/>
      <c r="AV234" s="1663"/>
      <c r="AW234" s="1663"/>
      <c r="AX234" s="1663"/>
      <c r="AY234" s="1663"/>
      <c r="AZ234" s="1663"/>
      <c r="BA234" s="1663"/>
      <c r="BB234" s="1663"/>
      <c r="BC234" s="1663"/>
      <c r="BD234" s="1663"/>
      <c r="BE234" s="1663"/>
      <c r="BF234" s="1663"/>
      <c r="BG234" s="1663"/>
      <c r="BH234" s="1663"/>
      <c r="BI234" s="1663"/>
      <c r="BJ234" s="1663"/>
      <c r="BK234" s="1663"/>
      <c r="BL234" s="1663"/>
      <c r="BM234" s="1663"/>
      <c r="BN234" s="1663"/>
      <c r="BO234" s="1663"/>
      <c r="BP234" s="1663"/>
      <c r="BQ234" s="1663"/>
      <c r="BR234" s="1663"/>
      <c r="BS234" s="1663"/>
      <c r="BT234" s="1663"/>
      <c r="BU234" s="1663"/>
      <c r="BV234" s="1663"/>
      <c r="BW234" s="1663"/>
      <c r="BX234" s="1663"/>
      <c r="BY234" s="1663"/>
      <c r="BZ234" s="1663"/>
      <c r="CA234" s="1663"/>
      <c r="CB234" s="1663"/>
      <c r="CC234" s="1663"/>
      <c r="CD234" s="1663"/>
      <c r="CE234" s="1663"/>
      <c r="CF234" s="1663"/>
      <c r="CJ234" s="535"/>
    </row>
    <row r="235" spans="1:88" s="534" customFormat="1" ht="9.9499999999999993" customHeight="1">
      <c r="A235" s="536"/>
      <c r="B235" s="536"/>
      <c r="C235" s="536"/>
      <c r="D235" s="536"/>
      <c r="E235" s="536"/>
      <c r="F235" s="536"/>
      <c r="G235" s="536"/>
      <c r="H235" s="536"/>
      <c r="I235" s="536"/>
      <c r="J235" s="536"/>
      <c r="K235" s="536"/>
      <c r="L235" s="536"/>
      <c r="M235" s="536"/>
      <c r="N235" s="536"/>
      <c r="O235" s="536"/>
      <c r="P235" s="536"/>
      <c r="Q235" s="536"/>
      <c r="R235" s="536"/>
      <c r="S235" s="536"/>
      <c r="T235" s="536"/>
      <c r="U235" s="536"/>
      <c r="V235" s="536"/>
      <c r="W235" s="536"/>
      <c r="X235" s="536"/>
      <c r="Y235" s="536"/>
      <c r="Z235" s="536"/>
      <c r="AA235" s="536"/>
      <c r="AB235" s="536"/>
      <c r="AC235" s="536"/>
      <c r="AD235" s="536"/>
      <c r="AE235" s="536"/>
      <c r="AF235" s="536"/>
      <c r="AG235" s="536"/>
      <c r="AH235" s="536"/>
      <c r="AI235" s="536"/>
      <c r="AJ235" s="536"/>
      <c r="AK235" s="536"/>
      <c r="AL235" s="536"/>
      <c r="AM235" s="536"/>
      <c r="AN235" s="536"/>
      <c r="AO235" s="536"/>
      <c r="AP235" s="536"/>
      <c r="AQ235" s="536"/>
      <c r="AR235" s="536"/>
      <c r="AS235" s="536"/>
      <c r="AT235" s="536"/>
      <c r="AU235" s="536"/>
      <c r="AV235" s="536"/>
      <c r="AW235" s="536"/>
      <c r="AX235" s="536"/>
      <c r="AY235" s="536"/>
      <c r="AZ235" s="536"/>
      <c r="BA235" s="536"/>
      <c r="BB235" s="536"/>
      <c r="BC235" s="536"/>
      <c r="BD235" s="536"/>
      <c r="BE235" s="536"/>
      <c r="BF235" s="536"/>
      <c r="BG235" s="536"/>
      <c r="BH235" s="536"/>
      <c r="BI235" s="536"/>
      <c r="BJ235" s="536"/>
      <c r="BK235" s="536"/>
      <c r="BL235" s="536"/>
      <c r="BM235" s="536"/>
      <c r="BN235" s="536"/>
      <c r="BO235" s="536"/>
      <c r="BP235" s="536"/>
      <c r="BQ235" s="536"/>
      <c r="BR235" s="536"/>
      <c r="BS235" s="536"/>
      <c r="BT235" s="536"/>
      <c r="BU235" s="536"/>
      <c r="BV235" s="536"/>
      <c r="BW235" s="536"/>
      <c r="BX235" s="536"/>
      <c r="BY235" s="536"/>
      <c r="BZ235" s="536"/>
      <c r="CA235" s="536"/>
      <c r="CB235" s="536"/>
      <c r="CC235" s="536"/>
      <c r="CD235" s="536"/>
      <c r="CE235" s="536"/>
      <c r="CF235" s="536"/>
      <c r="CJ235" s="535"/>
    </row>
    <row r="236" spans="1:88" s="539" customFormat="1" ht="23.1" customHeight="1">
      <c r="A236" s="537"/>
      <c r="B236" s="538" t="s">
        <v>746</v>
      </c>
      <c r="C236" s="537"/>
      <c r="D236" s="537"/>
      <c r="E236" s="537"/>
      <c r="F236" s="537"/>
      <c r="G236" s="537"/>
      <c r="H236" s="537"/>
      <c r="I236" s="537"/>
      <c r="J236" s="537"/>
      <c r="K236" s="537"/>
      <c r="L236" s="537"/>
      <c r="M236" s="537"/>
      <c r="N236" s="537"/>
      <c r="O236" s="537"/>
      <c r="P236" s="537"/>
      <c r="Q236" s="537"/>
      <c r="R236" s="537"/>
      <c r="S236" s="537"/>
      <c r="T236" s="537"/>
      <c r="U236" s="537"/>
      <c r="V236" s="537"/>
      <c r="W236" s="537"/>
      <c r="X236" s="537"/>
      <c r="Y236" s="537"/>
      <c r="Z236" s="537"/>
      <c r="AA236" s="537"/>
      <c r="AB236" s="537"/>
      <c r="AC236" s="537"/>
      <c r="AD236" s="537"/>
      <c r="AE236" s="537"/>
      <c r="AF236" s="537"/>
      <c r="AG236" s="537"/>
      <c r="AH236" s="537"/>
      <c r="AI236" s="537"/>
      <c r="AJ236" s="537"/>
      <c r="AK236" s="537"/>
      <c r="AL236" s="537"/>
      <c r="AM236" s="537"/>
      <c r="AN236" s="537"/>
      <c r="AO236" s="537"/>
      <c r="AP236" s="537"/>
      <c r="AQ236" s="537"/>
      <c r="AR236" s="537"/>
      <c r="AS236" s="537"/>
      <c r="AT236" s="537"/>
      <c r="AU236" s="537"/>
      <c r="BM236" s="537"/>
      <c r="BN236" s="537"/>
      <c r="BO236" s="537"/>
      <c r="BP236" s="537"/>
      <c r="BQ236" s="537"/>
      <c r="BR236" s="537"/>
      <c r="BS236" s="537"/>
      <c r="BT236" s="537"/>
      <c r="BU236" s="537"/>
      <c r="BV236" s="537"/>
      <c r="BW236" s="537"/>
      <c r="BX236" s="537"/>
      <c r="BY236" s="537"/>
      <c r="BZ236" s="537"/>
      <c r="CA236" s="537"/>
      <c r="CB236" s="537"/>
      <c r="CC236" s="537"/>
      <c r="CD236" s="537"/>
      <c r="CE236" s="537"/>
      <c r="CF236" s="537"/>
      <c r="CJ236" s="535" t="s">
        <v>745</v>
      </c>
    </row>
    <row r="237" spans="1:88" s="535" customFormat="1" ht="9.9499999999999993" customHeight="1">
      <c r="A237" s="540"/>
      <c r="B237" s="540"/>
      <c r="C237" s="540"/>
      <c r="D237" s="540"/>
      <c r="E237" s="540"/>
      <c r="F237" s="540"/>
      <c r="G237" s="540"/>
      <c r="H237" s="540"/>
      <c r="I237" s="540"/>
      <c r="J237" s="540"/>
      <c r="K237" s="540"/>
      <c r="L237" s="540"/>
      <c r="M237" s="540"/>
      <c r="N237" s="540"/>
      <c r="O237" s="540"/>
      <c r="P237" s="540"/>
      <c r="Q237" s="540"/>
      <c r="R237" s="540"/>
      <c r="S237" s="540"/>
      <c r="T237" s="540"/>
      <c r="U237" s="540"/>
      <c r="V237" s="540"/>
      <c r="W237" s="540"/>
      <c r="X237" s="540"/>
      <c r="Y237" s="540"/>
      <c r="Z237" s="540"/>
      <c r="AA237" s="540"/>
      <c r="AB237" s="540"/>
      <c r="AC237" s="540"/>
      <c r="AD237" s="540"/>
      <c r="AE237" s="540"/>
      <c r="AF237" s="540"/>
      <c r="AG237" s="540"/>
      <c r="AH237" s="540"/>
      <c r="AI237" s="540"/>
      <c r="AJ237" s="540"/>
      <c r="AK237" s="540"/>
      <c r="AL237" s="540"/>
      <c r="AM237" s="540"/>
      <c r="AN237" s="540"/>
      <c r="AO237" s="540"/>
      <c r="AP237" s="540"/>
      <c r="AQ237" s="540"/>
      <c r="AR237" s="540"/>
      <c r="AS237" s="540"/>
      <c r="AT237" s="540"/>
      <c r="AU237" s="540"/>
      <c r="AV237" s="540"/>
      <c r="AW237" s="540"/>
      <c r="AX237" s="540"/>
      <c r="AY237" s="540"/>
      <c r="AZ237" s="540"/>
      <c r="BA237" s="540"/>
      <c r="BB237" s="540"/>
      <c r="BC237" s="540"/>
      <c r="BD237" s="540"/>
      <c r="BE237" s="540"/>
      <c r="BF237" s="540"/>
      <c r="BG237" s="540"/>
      <c r="BH237" s="540"/>
      <c r="BI237" s="540"/>
      <c r="BJ237" s="540"/>
      <c r="BK237" s="540"/>
      <c r="BL237" s="540"/>
      <c r="BM237" s="540"/>
      <c r="BN237" s="540"/>
      <c r="BO237" s="540"/>
      <c r="BP237" s="540"/>
      <c r="BQ237" s="540"/>
      <c r="BR237" s="540"/>
      <c r="BS237" s="540"/>
      <c r="BT237" s="541"/>
      <c r="BU237" s="541"/>
      <c r="BV237" s="541"/>
      <c r="BW237" s="541"/>
      <c r="BX237" s="541"/>
      <c r="BY237" s="541"/>
      <c r="BZ237" s="541"/>
      <c r="CA237" s="541"/>
      <c r="CB237" s="541"/>
      <c r="CC237" s="541"/>
      <c r="CD237" s="540"/>
      <c r="CE237" s="540"/>
      <c r="CF237" s="540"/>
    </row>
    <row r="238" spans="1:88" s="535" customFormat="1" ht="23.1" customHeight="1">
      <c r="E238" s="535" t="s">
        <v>744</v>
      </c>
    </row>
    <row r="239" spans="1:88" s="535" customFormat="1" ht="9.9499999999999993" customHeight="1">
      <c r="AR239" s="414"/>
      <c r="AS239" s="414"/>
      <c r="AT239" s="414"/>
      <c r="AU239" s="414"/>
      <c r="AV239" s="414"/>
      <c r="AW239" s="414"/>
      <c r="AX239" s="414"/>
      <c r="AY239" s="414"/>
      <c r="AZ239" s="414"/>
      <c r="BA239" s="414"/>
      <c r="BB239" s="414"/>
      <c r="BT239" s="414"/>
      <c r="BU239" s="414"/>
      <c r="BV239" s="414"/>
      <c r="BW239" s="414"/>
      <c r="BX239" s="414"/>
      <c r="BY239" s="414"/>
      <c r="BZ239" s="414"/>
      <c r="CA239" s="414"/>
      <c r="CB239" s="414"/>
      <c r="CC239" s="414"/>
    </row>
    <row r="240" spans="1:88" s="535" customFormat="1" ht="23.1" customHeight="1" thickBot="1">
      <c r="BT240" s="410"/>
      <c r="BU240" s="1645" t="s">
        <v>360</v>
      </c>
      <c r="BV240" s="1645"/>
      <c r="BW240" s="1645"/>
      <c r="BX240" s="1645"/>
      <c r="BY240" s="1645"/>
      <c r="BZ240" s="1645"/>
      <c r="CA240" s="1645"/>
      <c r="CB240" s="1645"/>
      <c r="CC240" s="1645"/>
      <c r="CD240" s="1645"/>
      <c r="CE240" s="1645"/>
      <c r="CF240" s="1645"/>
    </row>
    <row r="241" spans="1:88" s="535" customFormat="1" ht="23.1" customHeight="1">
      <c r="E241" s="1534" t="s">
        <v>368</v>
      </c>
      <c r="F241" s="1535"/>
      <c r="G241" s="1535"/>
      <c r="H241" s="1535"/>
      <c r="I241" s="1535"/>
      <c r="J241" s="1535"/>
      <c r="K241" s="1535"/>
      <c r="L241" s="1535"/>
      <c r="M241" s="1535"/>
      <c r="N241" s="1535"/>
      <c r="O241" s="1535"/>
      <c r="P241" s="1535"/>
      <c r="Q241" s="1535"/>
      <c r="R241" s="1535"/>
      <c r="S241" s="1535"/>
      <c r="T241" s="1535" t="s">
        <v>370</v>
      </c>
      <c r="U241" s="1535"/>
      <c r="V241" s="1535"/>
      <c r="W241" s="1535"/>
      <c r="X241" s="1535"/>
      <c r="Y241" s="1535" t="s">
        <v>413</v>
      </c>
      <c r="Z241" s="1535"/>
      <c r="AA241" s="1535"/>
      <c r="AB241" s="1535"/>
      <c r="AC241" s="1535"/>
      <c r="AD241" s="1535"/>
      <c r="AE241" s="1535"/>
      <c r="AF241" s="1535"/>
      <c r="AG241" s="1646" t="s">
        <v>469</v>
      </c>
      <c r="AH241" s="1647"/>
      <c r="AI241" s="1647"/>
      <c r="AJ241" s="1647"/>
      <c r="AK241" s="1647"/>
      <c r="AL241" s="1647"/>
      <c r="AM241" s="1647"/>
      <c r="AN241" s="1647"/>
      <c r="AO241" s="1647"/>
      <c r="AP241" s="1647"/>
      <c r="AQ241" s="1647"/>
      <c r="AR241" s="1647"/>
      <c r="AS241" s="1647"/>
      <c r="AT241" s="1647"/>
      <c r="AU241" s="1647"/>
      <c r="AV241" s="1647"/>
      <c r="AW241" s="1647"/>
      <c r="AX241" s="1647"/>
      <c r="AY241" s="1647"/>
      <c r="AZ241" s="1647"/>
      <c r="BA241" s="1647"/>
      <c r="BB241" s="1647"/>
      <c r="BC241" s="1647"/>
      <c r="BD241" s="1647"/>
      <c r="BE241" s="1647"/>
      <c r="BF241" s="1648"/>
      <c r="BG241" s="1646" t="s">
        <v>470</v>
      </c>
      <c r="BH241" s="1647"/>
      <c r="BI241" s="1647"/>
      <c r="BJ241" s="1647"/>
      <c r="BK241" s="1647"/>
      <c r="BL241" s="1647"/>
      <c r="BM241" s="1647"/>
      <c r="BN241" s="1647"/>
      <c r="BO241" s="1647"/>
      <c r="BP241" s="1647"/>
      <c r="BQ241" s="1647"/>
      <c r="BR241" s="1647"/>
      <c r="BS241" s="1647"/>
      <c r="BT241" s="1647"/>
      <c r="BU241" s="1647"/>
      <c r="BV241" s="1647"/>
      <c r="BW241" s="1647"/>
      <c r="BX241" s="1647"/>
      <c r="BY241" s="1647"/>
      <c r="BZ241" s="1647"/>
      <c r="CA241" s="1647"/>
      <c r="CB241" s="1647"/>
      <c r="CC241" s="1647"/>
      <c r="CD241" s="1647"/>
      <c r="CE241" s="1647"/>
      <c r="CF241" s="1649"/>
    </row>
    <row r="242" spans="1:88" s="535" customFormat="1" ht="23.1" customHeight="1" thickBot="1">
      <c r="D242" s="542"/>
      <c r="E242" s="1536"/>
      <c r="F242" s="1527"/>
      <c r="G242" s="1527"/>
      <c r="H242" s="1527"/>
      <c r="I242" s="1527"/>
      <c r="J242" s="1527"/>
      <c r="K242" s="1527"/>
      <c r="L242" s="1527"/>
      <c r="M242" s="1527"/>
      <c r="N242" s="1527"/>
      <c r="O242" s="1527"/>
      <c r="P242" s="1527"/>
      <c r="Q242" s="1527"/>
      <c r="R242" s="1527"/>
      <c r="S242" s="1527"/>
      <c r="T242" s="1527"/>
      <c r="U242" s="1527"/>
      <c r="V242" s="1527"/>
      <c r="W242" s="1527"/>
      <c r="X242" s="1527"/>
      <c r="Y242" s="1527"/>
      <c r="Z242" s="1527"/>
      <c r="AA242" s="1527"/>
      <c r="AB242" s="1527"/>
      <c r="AC242" s="1527"/>
      <c r="AD242" s="1527"/>
      <c r="AE242" s="1527"/>
      <c r="AF242" s="1527"/>
      <c r="AG242" s="1650" t="s">
        <v>428</v>
      </c>
      <c r="AH242" s="1651"/>
      <c r="AI242" s="1651"/>
      <c r="AJ242" s="1651"/>
      <c r="AK242" s="1651"/>
      <c r="AL242" s="1651"/>
      <c r="AM242" s="1651"/>
      <c r="AN242" s="1651"/>
      <c r="AO242" s="1651"/>
      <c r="AP242" s="1652"/>
      <c r="AQ242" s="1650" t="s">
        <v>472</v>
      </c>
      <c r="AR242" s="1651"/>
      <c r="AS242" s="1651"/>
      <c r="AT242" s="1651"/>
      <c r="AU242" s="1651"/>
      <c r="AV242" s="1651"/>
      <c r="AW242" s="1651"/>
      <c r="AX242" s="1651"/>
      <c r="AY242" s="1651"/>
      <c r="AZ242" s="1651"/>
      <c r="BA242" s="1651"/>
      <c r="BB242" s="1651"/>
      <c r="BC242" s="1651"/>
      <c r="BD242" s="1651"/>
      <c r="BE242" s="1651"/>
      <c r="BF242" s="1652"/>
      <c r="BG242" s="1650" t="s">
        <v>428</v>
      </c>
      <c r="BH242" s="1651"/>
      <c r="BI242" s="1651"/>
      <c r="BJ242" s="1651"/>
      <c r="BK242" s="1651"/>
      <c r="BL242" s="1651"/>
      <c r="BM242" s="1651"/>
      <c r="BN242" s="1651"/>
      <c r="BO242" s="1651"/>
      <c r="BP242" s="1652"/>
      <c r="BQ242" s="1650" t="s">
        <v>472</v>
      </c>
      <c r="BR242" s="1651"/>
      <c r="BS242" s="1651"/>
      <c r="BT242" s="1651"/>
      <c r="BU242" s="1651"/>
      <c r="BV242" s="1651"/>
      <c r="BW242" s="1651"/>
      <c r="BX242" s="1651"/>
      <c r="BY242" s="1651"/>
      <c r="BZ242" s="1651"/>
      <c r="CA242" s="1651"/>
      <c r="CB242" s="1651"/>
      <c r="CC242" s="1651"/>
      <c r="CD242" s="1651"/>
      <c r="CE242" s="1651"/>
      <c r="CF242" s="1653"/>
    </row>
    <row r="243" spans="1:88" s="535" customFormat="1" ht="23.1" customHeight="1" thickTop="1">
      <c r="E243" s="1640" t="s">
        <v>416</v>
      </c>
      <c r="F243" s="1641"/>
      <c r="G243" s="1641"/>
      <c r="H243" s="1641"/>
      <c r="I243" s="1573" t="s">
        <v>417</v>
      </c>
      <c r="J243" s="1573"/>
      <c r="K243" s="1573"/>
      <c r="L243" s="1573"/>
      <c r="M243" s="1573"/>
      <c r="N243" s="1573"/>
      <c r="O243" s="1573"/>
      <c r="P243" s="1573"/>
      <c r="Q243" s="1573"/>
      <c r="R243" s="1573"/>
      <c r="S243" s="1573"/>
      <c r="T243" s="1643" t="s">
        <v>418</v>
      </c>
      <c r="U243" s="1643"/>
      <c r="V243" s="1643"/>
      <c r="W243" s="1643"/>
      <c r="X243" s="1643"/>
      <c r="Y243" s="1644" t="e">
        <f>#REF!</f>
        <v>#REF!</v>
      </c>
      <c r="Z243" s="1643"/>
      <c r="AA243" s="1643"/>
      <c r="AB243" s="1643"/>
      <c r="AC243" s="1643"/>
      <c r="AD243" s="1643"/>
      <c r="AE243" s="1643"/>
      <c r="AF243" s="1643"/>
      <c r="AG243" s="1637">
        <v>0.3</v>
      </c>
      <c r="AH243" s="1637"/>
      <c r="AI243" s="1637"/>
      <c r="AJ243" s="1637"/>
      <c r="AK243" s="1637"/>
      <c r="AL243" s="1637"/>
      <c r="AM243" s="1637"/>
      <c r="AN243" s="1637"/>
      <c r="AO243" s="1637"/>
      <c r="AP243" s="1637"/>
      <c r="AQ243" s="1638" t="e">
        <f>INT(Y243*AG243)</f>
        <v>#REF!</v>
      </c>
      <c r="AR243" s="1638"/>
      <c r="AS243" s="1638"/>
      <c r="AT243" s="1638"/>
      <c r="AU243" s="1638"/>
      <c r="AV243" s="1638"/>
      <c r="AW243" s="1638"/>
      <c r="AX243" s="1638"/>
      <c r="AY243" s="1638"/>
      <c r="AZ243" s="1638"/>
      <c r="BA243" s="1638"/>
      <c r="BB243" s="1638"/>
      <c r="BC243" s="1638"/>
      <c r="BD243" s="1638"/>
      <c r="BE243" s="1638"/>
      <c r="BF243" s="1638"/>
      <c r="BG243" s="1637">
        <v>0.48</v>
      </c>
      <c r="BH243" s="1637"/>
      <c r="BI243" s="1637"/>
      <c r="BJ243" s="1637"/>
      <c r="BK243" s="1637"/>
      <c r="BL243" s="1637"/>
      <c r="BM243" s="1637"/>
      <c r="BN243" s="1637"/>
      <c r="BO243" s="1637"/>
      <c r="BP243" s="1637"/>
      <c r="BQ243" s="1638" t="e">
        <f>INT(Y243*BG243)</f>
        <v>#REF!</v>
      </c>
      <c r="BR243" s="1638"/>
      <c r="BS243" s="1638"/>
      <c r="BT243" s="1638"/>
      <c r="BU243" s="1638"/>
      <c r="BV243" s="1638"/>
      <c r="BW243" s="1638"/>
      <c r="BX243" s="1638"/>
      <c r="BY243" s="1638"/>
      <c r="BZ243" s="1638"/>
      <c r="CA243" s="1638"/>
      <c r="CB243" s="1638"/>
      <c r="CC243" s="1638"/>
      <c r="CD243" s="1638"/>
      <c r="CE243" s="1638"/>
      <c r="CF243" s="1639"/>
    </row>
    <row r="244" spans="1:88" s="535" customFormat="1" ht="23.1" customHeight="1">
      <c r="E244" s="1636"/>
      <c r="F244" s="1642"/>
      <c r="G244" s="1642"/>
      <c r="H244" s="1642"/>
      <c r="I244" s="1566" t="s">
        <v>419</v>
      </c>
      <c r="J244" s="1566"/>
      <c r="K244" s="1566"/>
      <c r="L244" s="1566"/>
      <c r="M244" s="1566"/>
      <c r="N244" s="1566"/>
      <c r="O244" s="1566"/>
      <c r="P244" s="1566"/>
      <c r="Q244" s="1566"/>
      <c r="R244" s="1566"/>
      <c r="S244" s="1566"/>
      <c r="T244" s="1616"/>
      <c r="U244" s="1616"/>
      <c r="V244" s="1616"/>
      <c r="W244" s="1616"/>
      <c r="X244" s="1616"/>
      <c r="Y244" s="1526"/>
      <c r="Z244" s="1526"/>
      <c r="AA244" s="1526"/>
      <c r="AB244" s="1526"/>
      <c r="AC244" s="1526"/>
      <c r="AD244" s="1526"/>
      <c r="AE244" s="1526"/>
      <c r="AF244" s="1526"/>
      <c r="AG244" s="1525"/>
      <c r="AH244" s="1525"/>
      <c r="AI244" s="1525"/>
      <c r="AJ244" s="1525"/>
      <c r="AK244" s="1525"/>
      <c r="AL244" s="1525"/>
      <c r="AM244" s="1525"/>
      <c r="AN244" s="1525"/>
      <c r="AO244" s="1525"/>
      <c r="AP244" s="1525"/>
      <c r="AQ244" s="1623" t="e">
        <f>SUM(AQ243)</f>
        <v>#REF!</v>
      </c>
      <c r="AR244" s="1623"/>
      <c r="AS244" s="1623"/>
      <c r="AT244" s="1623"/>
      <c r="AU244" s="1623"/>
      <c r="AV244" s="1623"/>
      <c r="AW244" s="1623"/>
      <c r="AX244" s="1623"/>
      <c r="AY244" s="1623"/>
      <c r="AZ244" s="1623"/>
      <c r="BA244" s="1623"/>
      <c r="BB244" s="1623"/>
      <c r="BC244" s="1623"/>
      <c r="BD244" s="1623"/>
      <c r="BE244" s="1623"/>
      <c r="BF244" s="1623"/>
      <c r="BG244" s="1525"/>
      <c r="BH244" s="1525"/>
      <c r="BI244" s="1525"/>
      <c r="BJ244" s="1525"/>
      <c r="BK244" s="1525"/>
      <c r="BL244" s="1525"/>
      <c r="BM244" s="1525"/>
      <c r="BN244" s="1525"/>
      <c r="BO244" s="1525"/>
      <c r="BP244" s="1525"/>
      <c r="BQ244" s="1623" t="e">
        <f>SUM(BQ243)</f>
        <v>#REF!</v>
      </c>
      <c r="BR244" s="1623"/>
      <c r="BS244" s="1623"/>
      <c r="BT244" s="1623"/>
      <c r="BU244" s="1623"/>
      <c r="BV244" s="1623"/>
      <c r="BW244" s="1623"/>
      <c r="BX244" s="1623"/>
      <c r="BY244" s="1623"/>
      <c r="BZ244" s="1623"/>
      <c r="CA244" s="1623"/>
      <c r="CB244" s="1623"/>
      <c r="CC244" s="1623"/>
      <c r="CD244" s="1623"/>
      <c r="CE244" s="1623"/>
      <c r="CF244" s="1624"/>
    </row>
    <row r="245" spans="1:88" s="535" customFormat="1" ht="23.1" customHeight="1">
      <c r="E245" s="1636" t="s">
        <v>420</v>
      </c>
      <c r="F245" s="1642"/>
      <c r="G245" s="1642"/>
      <c r="H245" s="1642"/>
      <c r="I245" s="1566" t="s">
        <v>421</v>
      </c>
      <c r="J245" s="1566"/>
      <c r="K245" s="1566"/>
      <c r="L245" s="1566"/>
      <c r="M245" s="1566"/>
      <c r="N245" s="1566"/>
      <c r="O245" s="1566"/>
      <c r="P245" s="1566"/>
      <c r="Q245" s="1566"/>
      <c r="R245" s="1566"/>
      <c r="S245" s="1566"/>
      <c r="T245" s="1616" t="s">
        <v>366</v>
      </c>
      <c r="U245" s="1616"/>
      <c r="V245" s="1616"/>
      <c r="W245" s="1616"/>
      <c r="X245" s="1616"/>
      <c r="Y245" s="1615">
        <f>[53]노임단가!$T$18</f>
        <v>222306</v>
      </c>
      <c r="Z245" s="1616"/>
      <c r="AA245" s="1616"/>
      <c r="AB245" s="1616"/>
      <c r="AC245" s="1616"/>
      <c r="AD245" s="1616"/>
      <c r="AE245" s="1616"/>
      <c r="AF245" s="1616"/>
      <c r="AG245" s="1525">
        <v>0.33</v>
      </c>
      <c r="AH245" s="1525"/>
      <c r="AI245" s="1525"/>
      <c r="AJ245" s="1525"/>
      <c r="AK245" s="1525"/>
      <c r="AL245" s="1525"/>
      <c r="AM245" s="1525"/>
      <c r="AN245" s="1525"/>
      <c r="AO245" s="1525"/>
      <c r="AP245" s="1525"/>
      <c r="AQ245" s="1617">
        <f>INT(Y245*AG245)</f>
        <v>73360</v>
      </c>
      <c r="AR245" s="1617"/>
      <c r="AS245" s="1617"/>
      <c r="AT245" s="1617"/>
      <c r="AU245" s="1617"/>
      <c r="AV245" s="1617"/>
      <c r="AW245" s="1617"/>
      <c r="AX245" s="1617"/>
      <c r="AY245" s="1617"/>
      <c r="AZ245" s="1617"/>
      <c r="BA245" s="1617"/>
      <c r="BB245" s="1617"/>
      <c r="BC245" s="1617"/>
      <c r="BD245" s="1617"/>
      <c r="BE245" s="1617"/>
      <c r="BF245" s="1617"/>
      <c r="BG245" s="1525">
        <v>0.41</v>
      </c>
      <c r="BH245" s="1525"/>
      <c r="BI245" s="1525"/>
      <c r="BJ245" s="1525"/>
      <c r="BK245" s="1525"/>
      <c r="BL245" s="1525"/>
      <c r="BM245" s="1525"/>
      <c r="BN245" s="1525"/>
      <c r="BO245" s="1525"/>
      <c r="BP245" s="1525"/>
      <c r="BQ245" s="1617">
        <f>INT(Y245*BG245)</f>
        <v>91145</v>
      </c>
      <c r="BR245" s="1617"/>
      <c r="BS245" s="1617"/>
      <c r="BT245" s="1617"/>
      <c r="BU245" s="1617"/>
      <c r="BV245" s="1617"/>
      <c r="BW245" s="1617"/>
      <c r="BX245" s="1617"/>
      <c r="BY245" s="1617"/>
      <c r="BZ245" s="1617"/>
      <c r="CA245" s="1617"/>
      <c r="CB245" s="1617"/>
      <c r="CC245" s="1617"/>
      <c r="CD245" s="1617"/>
      <c r="CE245" s="1617"/>
      <c r="CF245" s="1626"/>
    </row>
    <row r="246" spans="1:88" s="535" customFormat="1" ht="23.1" customHeight="1">
      <c r="E246" s="1636"/>
      <c r="F246" s="1642"/>
      <c r="G246" s="1642"/>
      <c r="H246" s="1642"/>
      <c r="I246" s="1566" t="s">
        <v>248</v>
      </c>
      <c r="J246" s="1566"/>
      <c r="K246" s="1566"/>
      <c r="L246" s="1566"/>
      <c r="M246" s="1566"/>
      <c r="N246" s="1566"/>
      <c r="O246" s="1566"/>
      <c r="P246" s="1566"/>
      <c r="Q246" s="1566"/>
      <c r="R246" s="1566"/>
      <c r="S246" s="1566"/>
      <c r="T246" s="1616" t="s">
        <v>366</v>
      </c>
      <c r="U246" s="1616"/>
      <c r="V246" s="1616"/>
      <c r="W246" s="1616"/>
      <c r="X246" s="1616"/>
      <c r="Y246" s="1615">
        <f>[53]노임단가!$T$5</f>
        <v>172068</v>
      </c>
      <c r="Z246" s="1616"/>
      <c r="AA246" s="1616"/>
      <c r="AB246" s="1616"/>
      <c r="AC246" s="1616"/>
      <c r="AD246" s="1616"/>
      <c r="AE246" s="1616"/>
      <c r="AF246" s="1616"/>
      <c r="AG246" s="1525">
        <v>0.16</v>
      </c>
      <c r="AH246" s="1525"/>
      <c r="AI246" s="1525"/>
      <c r="AJ246" s="1525"/>
      <c r="AK246" s="1525"/>
      <c r="AL246" s="1525"/>
      <c r="AM246" s="1525"/>
      <c r="AN246" s="1525"/>
      <c r="AO246" s="1525"/>
      <c r="AP246" s="1525"/>
      <c r="AQ246" s="1617">
        <f>INT(Y246*AG246)</f>
        <v>27530</v>
      </c>
      <c r="AR246" s="1617"/>
      <c r="AS246" s="1617"/>
      <c r="AT246" s="1617"/>
      <c r="AU246" s="1617"/>
      <c r="AV246" s="1617"/>
      <c r="AW246" s="1617"/>
      <c r="AX246" s="1617"/>
      <c r="AY246" s="1617"/>
      <c r="AZ246" s="1617"/>
      <c r="BA246" s="1617"/>
      <c r="BB246" s="1617"/>
      <c r="BC246" s="1617"/>
      <c r="BD246" s="1617"/>
      <c r="BE246" s="1617"/>
      <c r="BF246" s="1617"/>
      <c r="BG246" s="1525">
        <v>0.21</v>
      </c>
      <c r="BH246" s="1525"/>
      <c r="BI246" s="1525"/>
      <c r="BJ246" s="1525"/>
      <c r="BK246" s="1525"/>
      <c r="BL246" s="1525"/>
      <c r="BM246" s="1525"/>
      <c r="BN246" s="1525"/>
      <c r="BO246" s="1525"/>
      <c r="BP246" s="1525"/>
      <c r="BQ246" s="1617">
        <f>INT(Y246*BG246)</f>
        <v>36134</v>
      </c>
      <c r="BR246" s="1617"/>
      <c r="BS246" s="1617"/>
      <c r="BT246" s="1617"/>
      <c r="BU246" s="1617"/>
      <c r="BV246" s="1617"/>
      <c r="BW246" s="1617"/>
      <c r="BX246" s="1617"/>
      <c r="BY246" s="1617"/>
      <c r="BZ246" s="1617"/>
      <c r="CA246" s="1617"/>
      <c r="CB246" s="1617"/>
      <c r="CC246" s="1617"/>
      <c r="CD246" s="1617"/>
      <c r="CE246" s="1617"/>
      <c r="CF246" s="1626"/>
    </row>
    <row r="247" spans="1:88" s="535" customFormat="1" ht="23.1" customHeight="1">
      <c r="E247" s="1636"/>
      <c r="F247" s="1642"/>
      <c r="G247" s="1642"/>
      <c r="H247" s="1642"/>
      <c r="I247" s="1566" t="s">
        <v>417</v>
      </c>
      <c r="J247" s="1566"/>
      <c r="K247" s="1566"/>
      <c r="L247" s="1566"/>
      <c r="M247" s="1566"/>
      <c r="N247" s="1566"/>
      <c r="O247" s="1566"/>
      <c r="P247" s="1566"/>
      <c r="Q247" s="1566"/>
      <c r="R247" s="1566"/>
      <c r="S247" s="1566"/>
      <c r="T247" s="1616" t="s">
        <v>418</v>
      </c>
      <c r="U247" s="1616"/>
      <c r="V247" s="1616"/>
      <c r="W247" s="1616"/>
      <c r="X247" s="1616"/>
      <c r="Y247" s="1615" t="e">
        <f>#REF!</f>
        <v>#REF!</v>
      </c>
      <c r="Z247" s="1615"/>
      <c r="AA247" s="1615"/>
      <c r="AB247" s="1615"/>
      <c r="AC247" s="1615"/>
      <c r="AD247" s="1615"/>
      <c r="AE247" s="1615"/>
      <c r="AF247" s="1615"/>
      <c r="AG247" s="1525">
        <v>0.3</v>
      </c>
      <c r="AH247" s="1525"/>
      <c r="AI247" s="1525"/>
      <c r="AJ247" s="1525"/>
      <c r="AK247" s="1525"/>
      <c r="AL247" s="1525"/>
      <c r="AM247" s="1525"/>
      <c r="AN247" s="1525"/>
      <c r="AO247" s="1525"/>
      <c r="AP247" s="1525"/>
      <c r="AQ247" s="1617" t="e">
        <f>INT(Y247*AG247)</f>
        <v>#REF!</v>
      </c>
      <c r="AR247" s="1617"/>
      <c r="AS247" s="1617"/>
      <c r="AT247" s="1617"/>
      <c r="AU247" s="1617"/>
      <c r="AV247" s="1617"/>
      <c r="AW247" s="1617"/>
      <c r="AX247" s="1617"/>
      <c r="AY247" s="1617"/>
      <c r="AZ247" s="1617"/>
      <c r="BA247" s="1617"/>
      <c r="BB247" s="1617"/>
      <c r="BC247" s="1617"/>
      <c r="BD247" s="1617"/>
      <c r="BE247" s="1617"/>
      <c r="BF247" s="1617"/>
      <c r="BG247" s="1525">
        <v>0.48</v>
      </c>
      <c r="BH247" s="1525"/>
      <c r="BI247" s="1525"/>
      <c r="BJ247" s="1525"/>
      <c r="BK247" s="1525"/>
      <c r="BL247" s="1525"/>
      <c r="BM247" s="1525"/>
      <c r="BN247" s="1525"/>
      <c r="BO247" s="1525"/>
      <c r="BP247" s="1525"/>
      <c r="BQ247" s="1617" t="e">
        <f>INT(Y247*BG247)</f>
        <v>#REF!</v>
      </c>
      <c r="BR247" s="1617"/>
      <c r="BS247" s="1617"/>
      <c r="BT247" s="1617"/>
      <c r="BU247" s="1617"/>
      <c r="BV247" s="1617"/>
      <c r="BW247" s="1617"/>
      <c r="BX247" s="1617"/>
      <c r="BY247" s="1617"/>
      <c r="BZ247" s="1617"/>
      <c r="CA247" s="1617"/>
      <c r="CB247" s="1617"/>
      <c r="CC247" s="1617"/>
      <c r="CD247" s="1617"/>
      <c r="CE247" s="1617"/>
      <c r="CF247" s="1626"/>
    </row>
    <row r="248" spans="1:88" s="535" customFormat="1" ht="23.1" customHeight="1">
      <c r="E248" s="1636"/>
      <c r="F248" s="1642"/>
      <c r="G248" s="1642"/>
      <c r="H248" s="1642"/>
      <c r="I248" s="1566" t="s">
        <v>419</v>
      </c>
      <c r="J248" s="1566"/>
      <c r="K248" s="1566"/>
      <c r="L248" s="1566"/>
      <c r="M248" s="1566"/>
      <c r="N248" s="1566"/>
      <c r="O248" s="1566"/>
      <c r="P248" s="1566"/>
      <c r="Q248" s="1566"/>
      <c r="R248" s="1566"/>
      <c r="S248" s="1566"/>
      <c r="T248" s="1616"/>
      <c r="U248" s="1616"/>
      <c r="V248" s="1616"/>
      <c r="W248" s="1616"/>
      <c r="X248" s="1616"/>
      <c r="Y248" s="1526"/>
      <c r="Z248" s="1526"/>
      <c r="AA248" s="1526"/>
      <c r="AB248" s="1526"/>
      <c r="AC248" s="1526"/>
      <c r="AD248" s="1526"/>
      <c r="AE248" s="1526"/>
      <c r="AF248" s="1526"/>
      <c r="AG248" s="1525"/>
      <c r="AH248" s="1525"/>
      <c r="AI248" s="1525"/>
      <c r="AJ248" s="1525"/>
      <c r="AK248" s="1525"/>
      <c r="AL248" s="1525"/>
      <c r="AM248" s="1525"/>
      <c r="AN248" s="1525"/>
      <c r="AO248" s="1525"/>
      <c r="AP248" s="1525"/>
      <c r="AQ248" s="1617" t="e">
        <f>SUM(AQ245:BF247)</f>
        <v>#REF!</v>
      </c>
      <c r="AR248" s="1617"/>
      <c r="AS248" s="1617"/>
      <c r="AT248" s="1617"/>
      <c r="AU248" s="1617"/>
      <c r="AV248" s="1617"/>
      <c r="AW248" s="1617"/>
      <c r="AX248" s="1617"/>
      <c r="AY248" s="1617"/>
      <c r="AZ248" s="1617"/>
      <c r="BA248" s="1617"/>
      <c r="BB248" s="1617"/>
      <c r="BC248" s="1617"/>
      <c r="BD248" s="1617"/>
      <c r="BE248" s="1617"/>
      <c r="BF248" s="1617"/>
      <c r="BG248" s="1525"/>
      <c r="BH248" s="1525"/>
      <c r="BI248" s="1525"/>
      <c r="BJ248" s="1525"/>
      <c r="BK248" s="1525"/>
      <c r="BL248" s="1525"/>
      <c r="BM248" s="1525"/>
      <c r="BN248" s="1525"/>
      <c r="BO248" s="1525"/>
      <c r="BP248" s="1525"/>
      <c r="BQ248" s="1617" t="e">
        <f>SUM(BQ245:CF247)</f>
        <v>#REF!</v>
      </c>
      <c r="BR248" s="1617"/>
      <c r="BS248" s="1617"/>
      <c r="BT248" s="1617"/>
      <c r="BU248" s="1617"/>
      <c r="BV248" s="1617"/>
      <c r="BW248" s="1617"/>
      <c r="BX248" s="1617"/>
      <c r="BY248" s="1617"/>
      <c r="BZ248" s="1617"/>
      <c r="CA248" s="1617"/>
      <c r="CB248" s="1617"/>
      <c r="CC248" s="1617"/>
      <c r="CD248" s="1617"/>
      <c r="CE248" s="1617"/>
      <c r="CF248" s="1626"/>
    </row>
    <row r="249" spans="1:88" s="535" customFormat="1" ht="23.1" customHeight="1">
      <c r="E249" s="1636" t="s">
        <v>422</v>
      </c>
      <c r="F249" s="1566"/>
      <c r="G249" s="1566"/>
      <c r="H249" s="1566"/>
      <c r="I249" s="1566" t="s">
        <v>417</v>
      </c>
      <c r="J249" s="1566"/>
      <c r="K249" s="1566"/>
      <c r="L249" s="1566"/>
      <c r="M249" s="1566"/>
      <c r="N249" s="1566"/>
      <c r="O249" s="1566"/>
      <c r="P249" s="1566"/>
      <c r="Q249" s="1566"/>
      <c r="R249" s="1566"/>
      <c r="S249" s="1566"/>
      <c r="T249" s="1616" t="s">
        <v>418</v>
      </c>
      <c r="U249" s="1616"/>
      <c r="V249" s="1616"/>
      <c r="W249" s="1616"/>
      <c r="X249" s="1616"/>
      <c r="Y249" s="1615" t="e">
        <f>#REF!</f>
        <v>#REF!</v>
      </c>
      <c r="Z249" s="1616"/>
      <c r="AA249" s="1616"/>
      <c r="AB249" s="1616"/>
      <c r="AC249" s="1616"/>
      <c r="AD249" s="1616"/>
      <c r="AE249" s="1616"/>
      <c r="AF249" s="1616"/>
      <c r="AG249" s="1525">
        <v>0.3</v>
      </c>
      <c r="AH249" s="1525"/>
      <c r="AI249" s="1525"/>
      <c r="AJ249" s="1525"/>
      <c r="AK249" s="1525"/>
      <c r="AL249" s="1525"/>
      <c r="AM249" s="1525"/>
      <c r="AN249" s="1525"/>
      <c r="AO249" s="1525"/>
      <c r="AP249" s="1525"/>
      <c r="AQ249" s="1617" t="e">
        <f>INT(Y249*AG249)</f>
        <v>#REF!</v>
      </c>
      <c r="AR249" s="1617"/>
      <c r="AS249" s="1617"/>
      <c r="AT249" s="1617"/>
      <c r="AU249" s="1617"/>
      <c r="AV249" s="1617"/>
      <c r="AW249" s="1617"/>
      <c r="AX249" s="1617"/>
      <c r="AY249" s="1617"/>
      <c r="AZ249" s="1617"/>
      <c r="BA249" s="1617"/>
      <c r="BB249" s="1617"/>
      <c r="BC249" s="1617"/>
      <c r="BD249" s="1617"/>
      <c r="BE249" s="1617"/>
      <c r="BF249" s="1617"/>
      <c r="BG249" s="1525">
        <v>0.48</v>
      </c>
      <c r="BH249" s="1525"/>
      <c r="BI249" s="1525"/>
      <c r="BJ249" s="1525"/>
      <c r="BK249" s="1525"/>
      <c r="BL249" s="1525"/>
      <c r="BM249" s="1525"/>
      <c r="BN249" s="1525"/>
      <c r="BO249" s="1525"/>
      <c r="BP249" s="1525"/>
      <c r="BQ249" s="1617" t="e">
        <f>INT(Y249*BG249)</f>
        <v>#REF!</v>
      </c>
      <c r="BR249" s="1617"/>
      <c r="BS249" s="1617"/>
      <c r="BT249" s="1617"/>
      <c r="BU249" s="1617"/>
      <c r="BV249" s="1617"/>
      <c r="BW249" s="1617"/>
      <c r="BX249" s="1617"/>
      <c r="BY249" s="1617"/>
      <c r="BZ249" s="1617"/>
      <c r="CA249" s="1617"/>
      <c r="CB249" s="1617"/>
      <c r="CC249" s="1617"/>
      <c r="CD249" s="1617"/>
      <c r="CE249" s="1617"/>
      <c r="CF249" s="1626"/>
    </row>
    <row r="250" spans="1:88" s="535" customFormat="1" ht="23.1" customHeight="1">
      <c r="E250" s="1565"/>
      <c r="F250" s="1566"/>
      <c r="G250" s="1566"/>
      <c r="H250" s="1566"/>
      <c r="I250" s="1633" t="s">
        <v>731</v>
      </c>
      <c r="J250" s="1634"/>
      <c r="K250" s="1634"/>
      <c r="L250" s="1634"/>
      <c r="M250" s="1634"/>
      <c r="N250" s="1634"/>
      <c r="O250" s="1634"/>
      <c r="P250" s="1634"/>
      <c r="Q250" s="1634"/>
      <c r="R250" s="1634"/>
      <c r="S250" s="1635"/>
      <c r="T250" s="1616" t="s">
        <v>418</v>
      </c>
      <c r="U250" s="1616"/>
      <c r="V250" s="1616"/>
      <c r="W250" s="1616"/>
      <c r="X250" s="1616"/>
      <c r="Y250" s="1615" t="e">
        <f>#REF!</f>
        <v>#REF!</v>
      </c>
      <c r="Z250" s="1616"/>
      <c r="AA250" s="1616"/>
      <c r="AB250" s="1616"/>
      <c r="AC250" s="1616"/>
      <c r="AD250" s="1616"/>
      <c r="AE250" s="1616"/>
      <c r="AF250" s="1616"/>
      <c r="AG250" s="1525">
        <v>1.26</v>
      </c>
      <c r="AH250" s="1525"/>
      <c r="AI250" s="1525"/>
      <c r="AJ250" s="1525"/>
      <c r="AK250" s="1525"/>
      <c r="AL250" s="1525"/>
      <c r="AM250" s="1525"/>
      <c r="AN250" s="1525"/>
      <c r="AO250" s="1525"/>
      <c r="AP250" s="1525"/>
      <c r="AQ250" s="1617" t="e">
        <f>INT(Y250*AG250)</f>
        <v>#REF!</v>
      </c>
      <c r="AR250" s="1617"/>
      <c r="AS250" s="1617"/>
      <c r="AT250" s="1617"/>
      <c r="AU250" s="1617"/>
      <c r="AV250" s="1617"/>
      <c r="AW250" s="1617"/>
      <c r="AX250" s="1617"/>
      <c r="AY250" s="1617"/>
      <c r="AZ250" s="1617"/>
      <c r="BA250" s="1617"/>
      <c r="BB250" s="1617"/>
      <c r="BC250" s="1617"/>
      <c r="BD250" s="1617"/>
      <c r="BE250" s="1617"/>
      <c r="BF250" s="1617"/>
      <c r="BG250" s="1525">
        <v>1.68</v>
      </c>
      <c r="BH250" s="1525"/>
      <c r="BI250" s="1525"/>
      <c r="BJ250" s="1525"/>
      <c r="BK250" s="1525"/>
      <c r="BL250" s="1525"/>
      <c r="BM250" s="1525"/>
      <c r="BN250" s="1525"/>
      <c r="BO250" s="1525"/>
      <c r="BP250" s="1525"/>
      <c r="BQ250" s="1617" t="e">
        <f>INT(Y250*BG250)</f>
        <v>#REF!</v>
      </c>
      <c r="BR250" s="1617"/>
      <c r="BS250" s="1617"/>
      <c r="BT250" s="1617"/>
      <c r="BU250" s="1617"/>
      <c r="BV250" s="1617"/>
      <c r="BW250" s="1617"/>
      <c r="BX250" s="1617"/>
      <c r="BY250" s="1617"/>
      <c r="BZ250" s="1617"/>
      <c r="CA250" s="1617"/>
      <c r="CB250" s="1617"/>
      <c r="CC250" s="1617"/>
      <c r="CD250" s="1617"/>
      <c r="CE250" s="1617"/>
      <c r="CF250" s="1626"/>
    </row>
    <row r="251" spans="1:88" s="535" customFormat="1" ht="23.1" customHeight="1">
      <c r="E251" s="1565"/>
      <c r="F251" s="1566"/>
      <c r="G251" s="1566"/>
      <c r="H251" s="1566"/>
      <c r="I251" s="1566" t="s">
        <v>419</v>
      </c>
      <c r="J251" s="1566"/>
      <c r="K251" s="1566"/>
      <c r="L251" s="1566"/>
      <c r="M251" s="1566"/>
      <c r="N251" s="1566"/>
      <c r="O251" s="1566"/>
      <c r="P251" s="1566"/>
      <c r="Q251" s="1566"/>
      <c r="R251" s="1566"/>
      <c r="S251" s="1566"/>
      <c r="T251" s="1616"/>
      <c r="U251" s="1616"/>
      <c r="V251" s="1616"/>
      <c r="W251" s="1616"/>
      <c r="X251" s="1616"/>
      <c r="Y251" s="1526"/>
      <c r="Z251" s="1526"/>
      <c r="AA251" s="1526"/>
      <c r="AB251" s="1526"/>
      <c r="AC251" s="1526"/>
      <c r="AD251" s="1526"/>
      <c r="AE251" s="1526"/>
      <c r="AF251" s="1526"/>
      <c r="AG251" s="1525"/>
      <c r="AH251" s="1525"/>
      <c r="AI251" s="1525"/>
      <c r="AJ251" s="1525"/>
      <c r="AK251" s="1525"/>
      <c r="AL251" s="1525"/>
      <c r="AM251" s="1525"/>
      <c r="AN251" s="1525"/>
      <c r="AO251" s="1525"/>
      <c r="AP251" s="1525"/>
      <c r="AQ251" s="1623" t="e">
        <f>SUM(AQ249:BF250)</f>
        <v>#REF!</v>
      </c>
      <c r="AR251" s="1623"/>
      <c r="AS251" s="1623"/>
      <c r="AT251" s="1623"/>
      <c r="AU251" s="1623"/>
      <c r="AV251" s="1623"/>
      <c r="AW251" s="1623"/>
      <c r="AX251" s="1623"/>
      <c r="AY251" s="1623"/>
      <c r="AZ251" s="1623"/>
      <c r="BA251" s="1623"/>
      <c r="BB251" s="1623"/>
      <c r="BC251" s="1623"/>
      <c r="BD251" s="1623"/>
      <c r="BE251" s="1623"/>
      <c r="BF251" s="1623"/>
      <c r="BG251" s="1525"/>
      <c r="BH251" s="1525"/>
      <c r="BI251" s="1525"/>
      <c r="BJ251" s="1525"/>
      <c r="BK251" s="1525"/>
      <c r="BL251" s="1525"/>
      <c r="BM251" s="1525"/>
      <c r="BN251" s="1525"/>
      <c r="BO251" s="1525"/>
      <c r="BP251" s="1525"/>
      <c r="BQ251" s="1623" t="e">
        <f>SUM(BQ249:CF250)</f>
        <v>#REF!</v>
      </c>
      <c r="BR251" s="1623"/>
      <c r="BS251" s="1623"/>
      <c r="BT251" s="1623"/>
      <c r="BU251" s="1623"/>
      <c r="BV251" s="1623"/>
      <c r="BW251" s="1623"/>
      <c r="BX251" s="1623"/>
      <c r="BY251" s="1623"/>
      <c r="BZ251" s="1623"/>
      <c r="CA251" s="1623"/>
      <c r="CB251" s="1623"/>
      <c r="CC251" s="1623"/>
      <c r="CD251" s="1623"/>
      <c r="CE251" s="1623"/>
      <c r="CF251" s="1624"/>
    </row>
    <row r="252" spans="1:88" s="535" customFormat="1" ht="23.1" customHeight="1" thickBot="1">
      <c r="E252" s="1625" t="s">
        <v>419</v>
      </c>
      <c r="F252" s="1546"/>
      <c r="G252" s="1546"/>
      <c r="H252" s="1546"/>
      <c r="I252" s="1546"/>
      <c r="J252" s="1546"/>
      <c r="K252" s="1546"/>
      <c r="L252" s="1546"/>
      <c r="M252" s="1546"/>
      <c r="N252" s="1546"/>
      <c r="O252" s="1546"/>
      <c r="P252" s="1546"/>
      <c r="Q252" s="1546"/>
      <c r="R252" s="1546"/>
      <c r="S252" s="1546"/>
      <c r="T252" s="1629"/>
      <c r="U252" s="1629"/>
      <c r="V252" s="1629"/>
      <c r="W252" s="1629"/>
      <c r="X252" s="1629"/>
      <c r="Y252" s="1630"/>
      <c r="Z252" s="1629"/>
      <c r="AA252" s="1629"/>
      <c r="AB252" s="1629"/>
      <c r="AC252" s="1629"/>
      <c r="AD252" s="1629"/>
      <c r="AE252" s="1629"/>
      <c r="AF252" s="1629"/>
      <c r="AG252" s="1511"/>
      <c r="AH252" s="1511"/>
      <c r="AI252" s="1511"/>
      <c r="AJ252" s="1511"/>
      <c r="AK252" s="1511"/>
      <c r="AL252" s="1511"/>
      <c r="AM252" s="1511"/>
      <c r="AN252" s="1511"/>
      <c r="AO252" s="1511"/>
      <c r="AP252" s="1511"/>
      <c r="AQ252" s="1631" t="e">
        <f>AQ244+AQ248+AQ251</f>
        <v>#REF!</v>
      </c>
      <c r="AR252" s="1631"/>
      <c r="AS252" s="1631"/>
      <c r="AT252" s="1631"/>
      <c r="AU252" s="1631"/>
      <c r="AV252" s="1631"/>
      <c r="AW252" s="1631"/>
      <c r="AX252" s="1631"/>
      <c r="AY252" s="1631"/>
      <c r="AZ252" s="1631"/>
      <c r="BA252" s="1631"/>
      <c r="BB252" s="1631"/>
      <c r="BC252" s="1631"/>
      <c r="BD252" s="1631"/>
      <c r="BE252" s="1631"/>
      <c r="BF252" s="1631"/>
      <c r="BG252" s="1511"/>
      <c r="BH252" s="1511"/>
      <c r="BI252" s="1511"/>
      <c r="BJ252" s="1511"/>
      <c r="BK252" s="1511"/>
      <c r="BL252" s="1511"/>
      <c r="BM252" s="1511"/>
      <c r="BN252" s="1511"/>
      <c r="BO252" s="1511"/>
      <c r="BP252" s="1511"/>
      <c r="BQ252" s="1631" t="e">
        <f>BQ244+BQ248+BQ251</f>
        <v>#REF!</v>
      </c>
      <c r="BR252" s="1631"/>
      <c r="BS252" s="1631"/>
      <c r="BT252" s="1631"/>
      <c r="BU252" s="1631"/>
      <c r="BV252" s="1631"/>
      <c r="BW252" s="1631"/>
      <c r="BX252" s="1631"/>
      <c r="BY252" s="1631"/>
      <c r="BZ252" s="1631"/>
      <c r="CA252" s="1631"/>
      <c r="CB252" s="1631"/>
      <c r="CC252" s="1631"/>
      <c r="CD252" s="1631"/>
      <c r="CE252" s="1631"/>
      <c r="CF252" s="1632"/>
    </row>
    <row r="253" spans="1:88" s="535" customFormat="1" ht="23.1" customHeight="1">
      <c r="D253" s="542"/>
      <c r="G253" s="540" t="s">
        <v>743</v>
      </c>
      <c r="AR253" s="414"/>
      <c r="AS253" s="414"/>
      <c r="AT253" s="414"/>
      <c r="AU253" s="414"/>
      <c r="AV253" s="414"/>
      <c r="AW253" s="414"/>
      <c r="AX253" s="414"/>
      <c r="AY253" s="414"/>
      <c r="AZ253" s="414"/>
      <c r="BA253" s="414"/>
      <c r="BB253" s="414"/>
      <c r="BT253" s="414"/>
      <c r="BU253" s="414"/>
      <c r="BV253" s="414"/>
      <c r="BW253" s="414"/>
      <c r="BX253" s="414"/>
      <c r="BY253" s="414"/>
      <c r="BZ253" s="414"/>
      <c r="CA253" s="414"/>
      <c r="CB253" s="414"/>
      <c r="CC253" s="414"/>
    </row>
    <row r="254" spans="1:88" s="535" customFormat="1" ht="23.1" customHeight="1">
      <c r="G254" s="540" t="s">
        <v>742</v>
      </c>
    </row>
    <row r="255" spans="1:88" s="535" customFormat="1" ht="9.9499999999999993" customHeight="1">
      <c r="A255" s="540"/>
      <c r="B255" s="540"/>
      <c r="C255" s="540"/>
      <c r="D255" s="540"/>
      <c r="E255" s="540"/>
      <c r="F255" s="540"/>
      <c r="G255" s="540"/>
      <c r="H255" s="540"/>
      <c r="I255" s="540"/>
      <c r="J255" s="540"/>
      <c r="K255" s="540"/>
      <c r="L255" s="540"/>
      <c r="M255" s="540"/>
      <c r="N255" s="540"/>
      <c r="O255" s="540"/>
      <c r="P255" s="540"/>
      <c r="Q255" s="540"/>
      <c r="R255" s="540"/>
      <c r="S255" s="540"/>
      <c r="T255" s="540"/>
      <c r="U255" s="540"/>
      <c r="V255" s="540"/>
      <c r="W255" s="540"/>
      <c r="X255" s="540"/>
      <c r="Y255" s="540"/>
      <c r="Z255" s="540"/>
      <c r="AA255" s="540"/>
      <c r="AB255" s="540"/>
      <c r="AC255" s="540"/>
      <c r="AD255" s="540"/>
      <c r="AE255" s="540"/>
      <c r="AF255" s="540"/>
      <c r="AG255" s="540"/>
      <c r="AH255" s="540"/>
      <c r="AI255" s="540"/>
      <c r="AJ255" s="540"/>
      <c r="AK255" s="540"/>
      <c r="AL255" s="540"/>
      <c r="AM255" s="540"/>
      <c r="AN255" s="540"/>
      <c r="AO255" s="540"/>
      <c r="AP255" s="540"/>
      <c r="AQ255" s="540"/>
      <c r="AR255" s="540"/>
      <c r="AS255" s="540"/>
      <c r="AT255" s="540"/>
      <c r="AU255" s="540"/>
      <c r="AV255" s="540"/>
      <c r="AW255" s="540"/>
      <c r="AX255" s="540"/>
      <c r="AY255" s="540"/>
      <c r="AZ255" s="540"/>
      <c r="BA255" s="540"/>
      <c r="BB255" s="540"/>
      <c r="BC255" s="540"/>
      <c r="BD255" s="540"/>
      <c r="BE255" s="540"/>
      <c r="BF255" s="540"/>
      <c r="BG255" s="540"/>
      <c r="BH255" s="540"/>
      <c r="BI255" s="540"/>
      <c r="BJ255" s="540"/>
      <c r="BK255" s="540"/>
      <c r="BL255" s="540"/>
      <c r="BM255" s="540"/>
      <c r="BN255" s="540"/>
      <c r="BO255" s="540"/>
      <c r="BP255" s="540"/>
      <c r="BQ255" s="540"/>
      <c r="BR255" s="540"/>
      <c r="BS255" s="540"/>
      <c r="BT255" s="541"/>
      <c r="BU255" s="541"/>
      <c r="BV255" s="541"/>
      <c r="BW255" s="541"/>
      <c r="BX255" s="541"/>
      <c r="BY255" s="541"/>
      <c r="BZ255" s="541"/>
      <c r="CA255" s="541"/>
      <c r="CB255" s="541"/>
      <c r="CC255" s="541"/>
      <c r="CD255" s="540"/>
      <c r="CE255" s="540"/>
      <c r="CF255" s="540"/>
    </row>
    <row r="256" spans="1:88" s="558" customFormat="1" ht="23.1" customHeight="1">
      <c r="A256" s="556"/>
      <c r="B256" s="557" t="s">
        <v>741</v>
      </c>
      <c r="C256" s="556"/>
      <c r="D256" s="556"/>
      <c r="E256" s="556"/>
      <c r="F256" s="556"/>
      <c r="G256" s="556"/>
      <c r="H256" s="556"/>
      <c r="I256" s="556"/>
      <c r="J256" s="556"/>
      <c r="K256" s="556"/>
      <c r="L256" s="556"/>
      <c r="M256" s="556"/>
      <c r="N256" s="556"/>
      <c r="O256" s="556"/>
      <c r="P256" s="556"/>
      <c r="Q256" s="556"/>
      <c r="R256" s="556"/>
      <c r="S256" s="556"/>
      <c r="T256" s="556"/>
      <c r="U256" s="556"/>
      <c r="V256" s="556"/>
      <c r="W256" s="556"/>
      <c r="X256" s="556"/>
      <c r="Y256" s="556"/>
      <c r="Z256" s="556"/>
      <c r="AA256" s="556"/>
      <c r="AB256" s="556"/>
      <c r="AC256" s="556"/>
      <c r="AD256" s="556"/>
      <c r="AE256" s="556"/>
      <c r="AF256" s="556"/>
      <c r="AG256" s="556"/>
      <c r="AH256" s="556"/>
      <c r="AI256" s="556"/>
      <c r="AJ256" s="556"/>
      <c r="AK256" s="556"/>
      <c r="AL256" s="556"/>
      <c r="AM256" s="556"/>
      <c r="AN256" s="556"/>
      <c r="AO256" s="556"/>
      <c r="AP256" s="556"/>
      <c r="AQ256" s="556"/>
      <c r="AR256" s="556"/>
      <c r="AS256" s="556"/>
      <c r="AT256" s="556"/>
      <c r="AU256" s="556"/>
      <c r="BM256" s="556"/>
      <c r="BN256" s="556"/>
      <c r="BO256" s="556"/>
      <c r="BP256" s="556"/>
      <c r="BQ256" s="556"/>
      <c r="BR256" s="556"/>
      <c r="BS256" s="556"/>
      <c r="BT256" s="556"/>
      <c r="BU256" s="556"/>
      <c r="BV256" s="556"/>
      <c r="BW256" s="556"/>
      <c r="BX256" s="556"/>
      <c r="BY256" s="556"/>
      <c r="BZ256" s="556"/>
      <c r="CA256" s="556"/>
      <c r="CB256" s="556"/>
      <c r="CC256" s="556"/>
      <c r="CD256" s="556"/>
      <c r="CE256" s="556"/>
      <c r="CF256" s="556"/>
      <c r="CJ256" s="559" t="s">
        <v>740</v>
      </c>
    </row>
    <row r="257" spans="1:88" s="535" customFormat="1" ht="9.9499999999999993" customHeight="1">
      <c r="A257" s="540"/>
      <c r="B257" s="540"/>
      <c r="C257" s="540"/>
      <c r="D257" s="540"/>
      <c r="E257" s="540"/>
      <c r="F257" s="540"/>
      <c r="G257" s="540"/>
      <c r="H257" s="540"/>
      <c r="I257" s="540"/>
      <c r="J257" s="540"/>
      <c r="K257" s="540"/>
      <c r="L257" s="540"/>
      <c r="M257" s="540"/>
      <c r="N257" s="540"/>
      <c r="O257" s="540"/>
      <c r="P257" s="540"/>
      <c r="Q257" s="540"/>
      <c r="R257" s="540"/>
      <c r="S257" s="540"/>
      <c r="T257" s="540"/>
      <c r="U257" s="540"/>
      <c r="V257" s="540"/>
      <c r="W257" s="540"/>
      <c r="X257" s="540"/>
      <c r="Y257" s="540"/>
      <c r="Z257" s="540"/>
      <c r="AA257" s="540"/>
      <c r="AB257" s="540"/>
      <c r="AC257" s="540"/>
      <c r="AD257" s="540"/>
      <c r="AE257" s="540"/>
      <c r="AF257" s="540"/>
      <c r="AG257" s="540"/>
      <c r="AH257" s="540"/>
      <c r="AI257" s="540"/>
      <c r="AJ257" s="540"/>
      <c r="AK257" s="540"/>
      <c r="AL257" s="540"/>
      <c r="AM257" s="540"/>
      <c r="AN257" s="540"/>
      <c r="AO257" s="540"/>
      <c r="AP257" s="540"/>
      <c r="AQ257" s="540"/>
      <c r="AR257" s="540"/>
      <c r="AS257" s="540"/>
      <c r="AT257" s="540"/>
      <c r="AU257" s="540"/>
      <c r="AV257" s="540"/>
      <c r="AW257" s="540"/>
      <c r="AX257" s="540"/>
      <c r="AY257" s="540"/>
      <c r="AZ257" s="540"/>
      <c r="BA257" s="540"/>
      <c r="BB257" s="540"/>
      <c r="BC257" s="540"/>
      <c r="BD257" s="540"/>
      <c r="BE257" s="540"/>
      <c r="BF257" s="540"/>
      <c r="BG257" s="540"/>
      <c r="BH257" s="540"/>
      <c r="BI257" s="540"/>
      <c r="BJ257" s="540"/>
      <c r="BK257" s="540"/>
      <c r="BL257" s="540"/>
      <c r="BM257" s="540"/>
      <c r="BN257" s="540"/>
      <c r="BO257" s="540"/>
      <c r="BP257" s="540"/>
      <c r="BQ257" s="540"/>
      <c r="BR257" s="540"/>
      <c r="BS257" s="540"/>
      <c r="BT257" s="541"/>
      <c r="BU257" s="541"/>
      <c r="BV257" s="541"/>
      <c r="BW257" s="541"/>
      <c r="BX257" s="541"/>
      <c r="BY257" s="541"/>
      <c r="BZ257" s="541"/>
      <c r="CA257" s="541"/>
      <c r="CB257" s="541"/>
      <c r="CC257" s="541"/>
      <c r="CD257" s="540"/>
      <c r="CE257" s="540"/>
      <c r="CF257" s="540"/>
    </row>
    <row r="258" spans="1:88" s="535" customFormat="1" ht="23.1" customHeight="1">
      <c r="E258" s="535" t="s">
        <v>473</v>
      </c>
      <c r="BT258" s="414"/>
      <c r="BU258" s="414"/>
      <c r="BV258" s="414"/>
      <c r="BW258" s="414"/>
      <c r="BX258" s="414"/>
      <c r="BY258" s="414"/>
      <c r="BZ258" s="414"/>
      <c r="CA258" s="414"/>
      <c r="CB258" s="414"/>
      <c r="CC258" s="414"/>
    </row>
    <row r="259" spans="1:88" s="535" customFormat="1" ht="9.9499999999999993" customHeight="1" thickBot="1">
      <c r="D259" s="405"/>
      <c r="Q259" s="546"/>
      <c r="R259" s="546"/>
      <c r="S259" s="546"/>
      <c r="T259" s="546"/>
      <c r="U259" s="546"/>
      <c r="V259" s="546"/>
      <c r="W259" s="546"/>
      <c r="X259" s="546"/>
      <c r="Y259" s="546"/>
      <c r="Z259" s="546"/>
      <c r="AA259" s="546"/>
      <c r="AB259" s="546"/>
      <c r="AV259" s="544"/>
      <c r="AW259" s="544"/>
      <c r="AX259" s="544"/>
      <c r="AY259" s="544"/>
      <c r="AZ259" s="544"/>
      <c r="BA259" s="544"/>
      <c r="BB259" s="544"/>
      <c r="BC259" s="544"/>
      <c r="BD259" s="544"/>
      <c r="BE259" s="545"/>
      <c r="BF259" s="545"/>
      <c r="BG259" s="545"/>
      <c r="BH259" s="545"/>
      <c r="BI259" s="545"/>
      <c r="BJ259" s="545"/>
      <c r="BK259" s="545"/>
      <c r="BL259" s="545"/>
      <c r="BM259" s="545"/>
      <c r="BN259" s="545"/>
      <c r="BO259" s="545"/>
      <c r="BP259" s="545"/>
      <c r="BQ259" s="545"/>
      <c r="BR259" s="545"/>
      <c r="BS259" s="545"/>
      <c r="BT259" s="545"/>
      <c r="BU259" s="545"/>
      <c r="BV259" s="545"/>
      <c r="BW259" s="545"/>
      <c r="BX259" s="545"/>
      <c r="BY259" s="545"/>
      <c r="BZ259" s="545"/>
      <c r="CA259" s="545"/>
      <c r="CB259" s="545"/>
      <c r="CC259" s="545"/>
      <c r="CD259" s="545"/>
      <c r="CE259" s="545"/>
      <c r="CF259" s="545"/>
    </row>
    <row r="260" spans="1:88" s="535" customFormat="1" ht="23.1" customHeight="1">
      <c r="A260" s="540"/>
      <c r="B260" s="540"/>
      <c r="C260" s="540"/>
      <c r="D260" s="540"/>
      <c r="E260" s="1534" t="s">
        <v>369</v>
      </c>
      <c r="F260" s="1535"/>
      <c r="G260" s="1535"/>
      <c r="H260" s="1535"/>
      <c r="I260" s="1535"/>
      <c r="J260" s="1535"/>
      <c r="K260" s="1535"/>
      <c r="L260" s="1535"/>
      <c r="M260" s="1535"/>
      <c r="N260" s="1535"/>
      <c r="O260" s="1535"/>
      <c r="P260" s="1535"/>
      <c r="Q260" s="1535"/>
      <c r="R260" s="1535"/>
      <c r="S260" s="1535"/>
      <c r="T260" s="1535"/>
      <c r="U260" s="1535" t="s">
        <v>403</v>
      </c>
      <c r="V260" s="1535"/>
      <c r="W260" s="1535"/>
      <c r="X260" s="1535"/>
      <c r="Y260" s="1535"/>
      <c r="Z260" s="1535"/>
      <c r="AA260" s="1535"/>
      <c r="AB260" s="1535"/>
      <c r="AC260" s="1535"/>
      <c r="AD260" s="1535"/>
      <c r="AE260" s="1535"/>
      <c r="AF260" s="1535"/>
      <c r="AG260" s="1535"/>
      <c r="AH260" s="1535"/>
      <c r="AI260" s="1535"/>
      <c r="AJ260" s="1535"/>
      <c r="AK260" s="1535"/>
      <c r="AL260" s="1535"/>
      <c r="AM260" s="1535"/>
      <c r="AN260" s="1535"/>
      <c r="AO260" s="1535"/>
      <c r="AP260" s="1535"/>
      <c r="AQ260" s="1535"/>
      <c r="AR260" s="1535"/>
      <c r="AS260" s="1537" t="s">
        <v>404</v>
      </c>
      <c r="AT260" s="1535"/>
      <c r="AU260" s="1535"/>
      <c r="AV260" s="1535"/>
      <c r="AW260" s="1535"/>
      <c r="AX260" s="1535"/>
      <c r="AY260" s="1535"/>
      <c r="AZ260" s="1535"/>
      <c r="BA260" s="1535" t="s">
        <v>405</v>
      </c>
      <c r="BB260" s="1535"/>
      <c r="BC260" s="1535"/>
      <c r="BD260" s="1535"/>
      <c r="BE260" s="1535"/>
      <c r="BF260" s="1535"/>
      <c r="BG260" s="1535"/>
      <c r="BH260" s="1535"/>
      <c r="BI260" s="1535"/>
      <c r="BJ260" s="1535"/>
      <c r="BK260" s="1535"/>
      <c r="BL260" s="1535"/>
      <c r="BM260" s="1535"/>
      <c r="BN260" s="1535"/>
      <c r="BO260" s="1535"/>
      <c r="BP260" s="1535"/>
      <c r="BQ260" s="1535"/>
      <c r="BR260" s="1535"/>
      <c r="BS260" s="1535"/>
      <c r="BT260" s="1535"/>
      <c r="BU260" s="1535"/>
      <c r="BV260" s="1535"/>
      <c r="BW260" s="1535"/>
      <c r="BX260" s="1535"/>
      <c r="BY260" s="1535"/>
      <c r="BZ260" s="1535"/>
      <c r="CA260" s="1535"/>
      <c r="CB260" s="1535"/>
      <c r="CC260" s="1535"/>
      <c r="CD260" s="1535"/>
      <c r="CE260" s="1535"/>
      <c r="CF260" s="1538"/>
    </row>
    <row r="261" spans="1:88" s="535" customFormat="1" ht="23.1" customHeight="1" thickBot="1">
      <c r="D261" s="405"/>
      <c r="E261" s="1536"/>
      <c r="F261" s="1527"/>
      <c r="G261" s="1527"/>
      <c r="H261" s="1527"/>
      <c r="I261" s="1527"/>
      <c r="J261" s="1527"/>
      <c r="K261" s="1527"/>
      <c r="L261" s="1527"/>
      <c r="M261" s="1527"/>
      <c r="N261" s="1527"/>
      <c r="O261" s="1527"/>
      <c r="P261" s="1527"/>
      <c r="Q261" s="1527"/>
      <c r="R261" s="1527"/>
      <c r="S261" s="1527"/>
      <c r="T261" s="1527"/>
      <c r="U261" s="1527" t="s">
        <v>406</v>
      </c>
      <c r="V261" s="1527"/>
      <c r="W261" s="1527"/>
      <c r="X261" s="1527"/>
      <c r="Y261" s="1527"/>
      <c r="Z261" s="1527"/>
      <c r="AA261" s="1527"/>
      <c r="AB261" s="1527"/>
      <c r="AC261" s="1527" t="s">
        <v>407</v>
      </c>
      <c r="AD261" s="1527"/>
      <c r="AE261" s="1527"/>
      <c r="AF261" s="1527"/>
      <c r="AG261" s="1527"/>
      <c r="AH261" s="1527"/>
      <c r="AI261" s="1527"/>
      <c r="AJ261" s="1527"/>
      <c r="AK261" s="1527" t="s">
        <v>408</v>
      </c>
      <c r="AL261" s="1527"/>
      <c r="AM261" s="1527"/>
      <c r="AN261" s="1527"/>
      <c r="AO261" s="1527"/>
      <c r="AP261" s="1527"/>
      <c r="AQ261" s="1527"/>
      <c r="AR261" s="1527"/>
      <c r="AS261" s="1527"/>
      <c r="AT261" s="1527"/>
      <c r="AU261" s="1527"/>
      <c r="AV261" s="1527"/>
      <c r="AW261" s="1527"/>
      <c r="AX261" s="1527"/>
      <c r="AY261" s="1527"/>
      <c r="AZ261" s="1527"/>
      <c r="BA261" s="1527" t="s">
        <v>406</v>
      </c>
      <c r="BB261" s="1527"/>
      <c r="BC261" s="1527"/>
      <c r="BD261" s="1527"/>
      <c r="BE261" s="1527"/>
      <c r="BF261" s="1527"/>
      <c r="BG261" s="1527"/>
      <c r="BH261" s="1527"/>
      <c r="BI261" s="1527" t="s">
        <v>407</v>
      </c>
      <c r="BJ261" s="1527"/>
      <c r="BK261" s="1527"/>
      <c r="BL261" s="1527"/>
      <c r="BM261" s="1527"/>
      <c r="BN261" s="1527"/>
      <c r="BO261" s="1527"/>
      <c r="BP261" s="1527"/>
      <c r="BQ261" s="1527" t="s">
        <v>423</v>
      </c>
      <c r="BR261" s="1527"/>
      <c r="BS261" s="1527"/>
      <c r="BT261" s="1527"/>
      <c r="BU261" s="1527"/>
      <c r="BV261" s="1527"/>
      <c r="BW261" s="1527"/>
      <c r="BX261" s="1527"/>
      <c r="BY261" s="1527" t="s">
        <v>424</v>
      </c>
      <c r="BZ261" s="1527"/>
      <c r="CA261" s="1527"/>
      <c r="CB261" s="1527"/>
      <c r="CC261" s="1527"/>
      <c r="CD261" s="1527"/>
      <c r="CE261" s="1527"/>
      <c r="CF261" s="1528"/>
    </row>
    <row r="262" spans="1:88" s="535" customFormat="1" ht="23.1" customHeight="1" thickTop="1">
      <c r="D262" s="405"/>
      <c r="E262" s="1681" t="s">
        <v>474</v>
      </c>
      <c r="F262" s="1706"/>
      <c r="G262" s="1706"/>
      <c r="H262" s="1706"/>
      <c r="I262" s="1706"/>
      <c r="J262" s="1620" t="s">
        <v>395</v>
      </c>
      <c r="K262" s="1620"/>
      <c r="L262" s="1620"/>
      <c r="M262" s="1620"/>
      <c r="N262" s="1620"/>
      <c r="O262" s="1620"/>
      <c r="P262" s="1620"/>
      <c r="Q262" s="1620"/>
      <c r="R262" s="1620"/>
      <c r="S262" s="1620"/>
      <c r="T262" s="1620"/>
      <c r="U262" s="1532" t="e">
        <f>$AG$283</f>
        <v>#REF!</v>
      </c>
      <c r="V262" s="1532"/>
      <c r="W262" s="1532"/>
      <c r="X262" s="1532"/>
      <c r="Y262" s="1532"/>
      <c r="Z262" s="1532"/>
      <c r="AA262" s="1532"/>
      <c r="AB262" s="1532"/>
      <c r="AC262" s="1532" t="e">
        <f>$AQ$283+$AF$269</f>
        <v>#REF!</v>
      </c>
      <c r="AD262" s="1532"/>
      <c r="AE262" s="1532"/>
      <c r="AF262" s="1532"/>
      <c r="AG262" s="1532"/>
      <c r="AH262" s="1532"/>
      <c r="AI262" s="1532"/>
      <c r="AJ262" s="1532"/>
      <c r="AK262" s="1532" t="e">
        <f>$BA$283</f>
        <v>#REF!</v>
      </c>
      <c r="AL262" s="1532"/>
      <c r="AM262" s="1532"/>
      <c r="AN262" s="1532"/>
      <c r="AO262" s="1532"/>
      <c r="AP262" s="1532"/>
      <c r="AQ262" s="1532"/>
      <c r="AR262" s="1532"/>
      <c r="AS262" s="1707">
        <v>4.0999999999999996</v>
      </c>
      <c r="AT262" s="1707"/>
      <c r="AU262" s="1707"/>
      <c r="AV262" s="1707"/>
      <c r="AW262" s="1707"/>
      <c r="AX262" s="1707"/>
      <c r="AY262" s="1707"/>
      <c r="AZ262" s="1707"/>
      <c r="BA262" s="1622" t="e">
        <f t="shared" ref="BA262:BA267" si="25">INT(U262/$AS262)</f>
        <v>#REF!</v>
      </c>
      <c r="BB262" s="1622"/>
      <c r="BC262" s="1622"/>
      <c r="BD262" s="1622"/>
      <c r="BE262" s="1622"/>
      <c r="BF262" s="1622"/>
      <c r="BG262" s="1622"/>
      <c r="BH262" s="1622"/>
      <c r="BI262" s="1622" t="e">
        <f t="shared" ref="BI262:BI267" si="26">INT(AC262/$AS262)</f>
        <v>#REF!</v>
      </c>
      <c r="BJ262" s="1622"/>
      <c r="BK262" s="1622"/>
      <c r="BL262" s="1622"/>
      <c r="BM262" s="1622"/>
      <c r="BN262" s="1622"/>
      <c r="BO262" s="1622"/>
      <c r="BP262" s="1622"/>
      <c r="BQ262" s="1622" t="e">
        <f t="shared" ref="BQ262:BQ267" si="27">INT(AK262/$AS262)</f>
        <v>#REF!</v>
      </c>
      <c r="BR262" s="1622"/>
      <c r="BS262" s="1622"/>
      <c r="BT262" s="1622"/>
      <c r="BU262" s="1622"/>
      <c r="BV262" s="1622"/>
      <c r="BW262" s="1622"/>
      <c r="BX262" s="1622"/>
      <c r="BY262" s="1627" t="e">
        <f t="shared" ref="BY262:BY267" si="28">BA262+BI262+BQ262</f>
        <v>#REF!</v>
      </c>
      <c r="BZ262" s="1627"/>
      <c r="CA262" s="1627"/>
      <c r="CB262" s="1627"/>
      <c r="CC262" s="1627"/>
      <c r="CD262" s="1627"/>
      <c r="CE262" s="1627"/>
      <c r="CF262" s="1628"/>
    </row>
    <row r="263" spans="1:88" s="535" customFormat="1" ht="23.1" customHeight="1">
      <c r="A263" s="540"/>
      <c r="B263" s="540"/>
      <c r="C263" s="540"/>
      <c r="D263" s="540"/>
      <c r="E263" s="1565"/>
      <c r="F263" s="1566"/>
      <c r="G263" s="1566"/>
      <c r="H263" s="1566"/>
      <c r="I263" s="1566"/>
      <c r="J263" s="1606" t="s">
        <v>359</v>
      </c>
      <c r="K263" s="1606"/>
      <c r="L263" s="1606"/>
      <c r="M263" s="1606"/>
      <c r="N263" s="1606"/>
      <c r="O263" s="1606"/>
      <c r="P263" s="1606"/>
      <c r="Q263" s="1606"/>
      <c r="R263" s="1606"/>
      <c r="S263" s="1606"/>
      <c r="T263" s="1606"/>
      <c r="U263" s="1526" t="e">
        <f>$AG$284</f>
        <v>#REF!</v>
      </c>
      <c r="V263" s="1526"/>
      <c r="W263" s="1526"/>
      <c r="X263" s="1526"/>
      <c r="Y263" s="1526"/>
      <c r="Z263" s="1526"/>
      <c r="AA263" s="1526"/>
      <c r="AB263" s="1526"/>
      <c r="AC263" s="1526" t="e">
        <f>$AQ$284+$AF$269</f>
        <v>#REF!</v>
      </c>
      <c r="AD263" s="1526"/>
      <c r="AE263" s="1526"/>
      <c r="AF263" s="1526"/>
      <c r="AG263" s="1526"/>
      <c r="AH263" s="1526"/>
      <c r="AI263" s="1526"/>
      <c r="AJ263" s="1526"/>
      <c r="AK263" s="1526" t="e">
        <f>$BA$284</f>
        <v>#REF!</v>
      </c>
      <c r="AL263" s="1526"/>
      <c r="AM263" s="1526"/>
      <c r="AN263" s="1526"/>
      <c r="AO263" s="1526"/>
      <c r="AP263" s="1526"/>
      <c r="AQ263" s="1526"/>
      <c r="AR263" s="1526"/>
      <c r="AS263" s="1704">
        <v>6.9</v>
      </c>
      <c r="AT263" s="1704"/>
      <c r="AU263" s="1704"/>
      <c r="AV263" s="1704"/>
      <c r="AW263" s="1704"/>
      <c r="AX263" s="1704"/>
      <c r="AY263" s="1704"/>
      <c r="AZ263" s="1704"/>
      <c r="BA263" s="1596" t="e">
        <f t="shared" si="25"/>
        <v>#REF!</v>
      </c>
      <c r="BB263" s="1596"/>
      <c r="BC263" s="1596"/>
      <c r="BD263" s="1596"/>
      <c r="BE263" s="1596"/>
      <c r="BF263" s="1596"/>
      <c r="BG263" s="1596"/>
      <c r="BH263" s="1596"/>
      <c r="BI263" s="1596" t="e">
        <f t="shared" si="26"/>
        <v>#REF!</v>
      </c>
      <c r="BJ263" s="1596"/>
      <c r="BK263" s="1596"/>
      <c r="BL263" s="1596"/>
      <c r="BM263" s="1596"/>
      <c r="BN263" s="1596"/>
      <c r="BO263" s="1596"/>
      <c r="BP263" s="1596"/>
      <c r="BQ263" s="1596" t="e">
        <f t="shared" si="27"/>
        <v>#REF!</v>
      </c>
      <c r="BR263" s="1596"/>
      <c r="BS263" s="1596"/>
      <c r="BT263" s="1596"/>
      <c r="BU263" s="1596"/>
      <c r="BV263" s="1596"/>
      <c r="BW263" s="1596"/>
      <c r="BX263" s="1596"/>
      <c r="BY263" s="1597" t="e">
        <f t="shared" si="28"/>
        <v>#REF!</v>
      </c>
      <c r="BZ263" s="1597"/>
      <c r="CA263" s="1597"/>
      <c r="CB263" s="1597"/>
      <c r="CC263" s="1597"/>
      <c r="CD263" s="1597"/>
      <c r="CE263" s="1597"/>
      <c r="CF263" s="1598"/>
    </row>
    <row r="264" spans="1:88" s="535" customFormat="1" ht="23.1" customHeight="1">
      <c r="E264" s="1565"/>
      <c r="F264" s="1566"/>
      <c r="G264" s="1566"/>
      <c r="H264" s="1566"/>
      <c r="I264" s="1566"/>
      <c r="J264" s="1606" t="s">
        <v>399</v>
      </c>
      <c r="K264" s="1606"/>
      <c r="L264" s="1606"/>
      <c r="M264" s="1606"/>
      <c r="N264" s="1606"/>
      <c r="O264" s="1606"/>
      <c r="P264" s="1606"/>
      <c r="Q264" s="1606"/>
      <c r="R264" s="1606"/>
      <c r="S264" s="1606"/>
      <c r="T264" s="1606"/>
      <c r="U264" s="1516" t="e">
        <f>$AG$285</f>
        <v>#REF!</v>
      </c>
      <c r="V264" s="1516"/>
      <c r="W264" s="1516"/>
      <c r="X264" s="1516"/>
      <c r="Y264" s="1516"/>
      <c r="Z264" s="1516"/>
      <c r="AA264" s="1516"/>
      <c r="AB264" s="1516"/>
      <c r="AC264" s="1516" t="e">
        <f>$AQ$285+$AF$269</f>
        <v>#REF!</v>
      </c>
      <c r="AD264" s="1516"/>
      <c r="AE264" s="1516"/>
      <c r="AF264" s="1516"/>
      <c r="AG264" s="1516"/>
      <c r="AH264" s="1516"/>
      <c r="AI264" s="1516"/>
      <c r="AJ264" s="1516"/>
      <c r="AK264" s="1516" t="e">
        <f>$BA$285</f>
        <v>#REF!</v>
      </c>
      <c r="AL264" s="1516"/>
      <c r="AM264" s="1516"/>
      <c r="AN264" s="1516"/>
      <c r="AO264" s="1516"/>
      <c r="AP264" s="1516"/>
      <c r="AQ264" s="1516"/>
      <c r="AR264" s="1516"/>
      <c r="AS264" s="1703">
        <v>16</v>
      </c>
      <c r="AT264" s="1703"/>
      <c r="AU264" s="1703"/>
      <c r="AV264" s="1703"/>
      <c r="AW264" s="1703"/>
      <c r="AX264" s="1703"/>
      <c r="AY264" s="1703"/>
      <c r="AZ264" s="1703"/>
      <c r="BA264" s="1596" t="e">
        <f t="shared" si="25"/>
        <v>#REF!</v>
      </c>
      <c r="BB264" s="1596"/>
      <c r="BC264" s="1596"/>
      <c r="BD264" s="1596"/>
      <c r="BE264" s="1596"/>
      <c r="BF264" s="1596"/>
      <c r="BG264" s="1596"/>
      <c r="BH264" s="1596"/>
      <c r="BI264" s="1596" t="e">
        <f t="shared" si="26"/>
        <v>#REF!</v>
      </c>
      <c r="BJ264" s="1596"/>
      <c r="BK264" s="1596"/>
      <c r="BL264" s="1596"/>
      <c r="BM264" s="1596"/>
      <c r="BN264" s="1596"/>
      <c r="BO264" s="1596"/>
      <c r="BP264" s="1596"/>
      <c r="BQ264" s="1596" t="e">
        <f t="shared" si="27"/>
        <v>#REF!</v>
      </c>
      <c r="BR264" s="1596"/>
      <c r="BS264" s="1596"/>
      <c r="BT264" s="1596"/>
      <c r="BU264" s="1596"/>
      <c r="BV264" s="1596"/>
      <c r="BW264" s="1596"/>
      <c r="BX264" s="1596"/>
      <c r="BY264" s="1597" t="e">
        <f t="shared" si="28"/>
        <v>#REF!</v>
      </c>
      <c r="BZ264" s="1597"/>
      <c r="CA264" s="1597"/>
      <c r="CB264" s="1597"/>
      <c r="CC264" s="1597"/>
      <c r="CD264" s="1597"/>
      <c r="CE264" s="1597"/>
      <c r="CF264" s="1598"/>
    </row>
    <row r="265" spans="1:88" s="535" customFormat="1" ht="23.1" customHeight="1">
      <c r="A265" s="540"/>
      <c r="B265" s="540"/>
      <c r="C265" s="540"/>
      <c r="D265" s="540"/>
      <c r="E265" s="1636" t="s">
        <v>529</v>
      </c>
      <c r="F265" s="1566"/>
      <c r="G265" s="1566"/>
      <c r="H265" s="1566"/>
      <c r="I265" s="1566"/>
      <c r="J265" s="1606" t="s">
        <v>395</v>
      </c>
      <c r="K265" s="1606"/>
      <c r="L265" s="1606"/>
      <c r="M265" s="1606"/>
      <c r="N265" s="1606"/>
      <c r="O265" s="1606"/>
      <c r="P265" s="1606"/>
      <c r="Q265" s="1606"/>
      <c r="R265" s="1606"/>
      <c r="S265" s="1606"/>
      <c r="T265" s="1606"/>
      <c r="U265" s="1526" t="e">
        <f>$AG$283</f>
        <v>#REF!</v>
      </c>
      <c r="V265" s="1526"/>
      <c r="W265" s="1526"/>
      <c r="X265" s="1526"/>
      <c r="Y265" s="1526"/>
      <c r="Z265" s="1526"/>
      <c r="AA265" s="1526"/>
      <c r="AB265" s="1526"/>
      <c r="AC265" s="1526" t="e">
        <f>$AQ$283+$AF$269</f>
        <v>#REF!</v>
      </c>
      <c r="AD265" s="1526"/>
      <c r="AE265" s="1526"/>
      <c r="AF265" s="1526"/>
      <c r="AG265" s="1526"/>
      <c r="AH265" s="1526"/>
      <c r="AI265" s="1526"/>
      <c r="AJ265" s="1526"/>
      <c r="AK265" s="1526" t="e">
        <f>$BA$283</f>
        <v>#REF!</v>
      </c>
      <c r="AL265" s="1526"/>
      <c r="AM265" s="1526"/>
      <c r="AN265" s="1526"/>
      <c r="AO265" s="1526"/>
      <c r="AP265" s="1526"/>
      <c r="AQ265" s="1526"/>
      <c r="AR265" s="1526"/>
      <c r="AS265" s="1525">
        <v>1.75</v>
      </c>
      <c r="AT265" s="1525"/>
      <c r="AU265" s="1525"/>
      <c r="AV265" s="1525"/>
      <c r="AW265" s="1525"/>
      <c r="AX265" s="1525"/>
      <c r="AY265" s="1525"/>
      <c r="AZ265" s="1525"/>
      <c r="BA265" s="1596" t="e">
        <f t="shared" si="25"/>
        <v>#REF!</v>
      </c>
      <c r="BB265" s="1596"/>
      <c r="BC265" s="1596"/>
      <c r="BD265" s="1596"/>
      <c r="BE265" s="1596"/>
      <c r="BF265" s="1596"/>
      <c r="BG265" s="1596"/>
      <c r="BH265" s="1596"/>
      <c r="BI265" s="1596" t="e">
        <f t="shared" si="26"/>
        <v>#REF!</v>
      </c>
      <c r="BJ265" s="1596"/>
      <c r="BK265" s="1596"/>
      <c r="BL265" s="1596"/>
      <c r="BM265" s="1596"/>
      <c r="BN265" s="1596"/>
      <c r="BO265" s="1596"/>
      <c r="BP265" s="1596"/>
      <c r="BQ265" s="1596" t="e">
        <f t="shared" si="27"/>
        <v>#REF!</v>
      </c>
      <c r="BR265" s="1596"/>
      <c r="BS265" s="1596"/>
      <c r="BT265" s="1596"/>
      <c r="BU265" s="1596"/>
      <c r="BV265" s="1596"/>
      <c r="BW265" s="1596"/>
      <c r="BX265" s="1596"/>
      <c r="BY265" s="1597" t="e">
        <f t="shared" si="28"/>
        <v>#REF!</v>
      </c>
      <c r="BZ265" s="1597"/>
      <c r="CA265" s="1597"/>
      <c r="CB265" s="1597"/>
      <c r="CC265" s="1597"/>
      <c r="CD265" s="1597"/>
      <c r="CE265" s="1597"/>
      <c r="CF265" s="1598"/>
    </row>
    <row r="266" spans="1:88" s="535" customFormat="1" ht="23.1" customHeight="1">
      <c r="E266" s="1565"/>
      <c r="F266" s="1566"/>
      <c r="G266" s="1566"/>
      <c r="H266" s="1566"/>
      <c r="I266" s="1566"/>
      <c r="J266" s="1606" t="s">
        <v>359</v>
      </c>
      <c r="K266" s="1606"/>
      <c r="L266" s="1606"/>
      <c r="M266" s="1606"/>
      <c r="N266" s="1606"/>
      <c r="O266" s="1606"/>
      <c r="P266" s="1606"/>
      <c r="Q266" s="1606"/>
      <c r="R266" s="1606"/>
      <c r="S266" s="1606"/>
      <c r="T266" s="1606"/>
      <c r="U266" s="1526" t="e">
        <f>$AG$284</f>
        <v>#REF!</v>
      </c>
      <c r="V266" s="1526"/>
      <c r="W266" s="1526"/>
      <c r="X266" s="1526"/>
      <c r="Y266" s="1526"/>
      <c r="Z266" s="1526"/>
      <c r="AA266" s="1526"/>
      <c r="AB266" s="1526"/>
      <c r="AC266" s="1526" t="e">
        <f>$AQ$284+$AF$269</f>
        <v>#REF!</v>
      </c>
      <c r="AD266" s="1526"/>
      <c r="AE266" s="1526"/>
      <c r="AF266" s="1526"/>
      <c r="AG266" s="1526"/>
      <c r="AH266" s="1526"/>
      <c r="AI266" s="1526"/>
      <c r="AJ266" s="1526"/>
      <c r="AK266" s="1526" t="e">
        <f>$BA$284</f>
        <v>#REF!</v>
      </c>
      <c r="AL266" s="1526"/>
      <c r="AM266" s="1526"/>
      <c r="AN266" s="1526"/>
      <c r="AO266" s="1526"/>
      <c r="AP266" s="1526"/>
      <c r="AQ266" s="1526"/>
      <c r="AR266" s="1526"/>
      <c r="AS266" s="1525">
        <v>3.3</v>
      </c>
      <c r="AT266" s="1525"/>
      <c r="AU266" s="1525"/>
      <c r="AV266" s="1525"/>
      <c r="AW266" s="1525"/>
      <c r="AX266" s="1525"/>
      <c r="AY266" s="1525"/>
      <c r="AZ266" s="1525"/>
      <c r="BA266" s="1596" t="e">
        <f t="shared" si="25"/>
        <v>#REF!</v>
      </c>
      <c r="BB266" s="1596"/>
      <c r="BC266" s="1596"/>
      <c r="BD266" s="1596"/>
      <c r="BE266" s="1596"/>
      <c r="BF266" s="1596"/>
      <c r="BG266" s="1596"/>
      <c r="BH266" s="1596"/>
      <c r="BI266" s="1596" t="e">
        <f t="shared" si="26"/>
        <v>#REF!</v>
      </c>
      <c r="BJ266" s="1596"/>
      <c r="BK266" s="1596"/>
      <c r="BL266" s="1596"/>
      <c r="BM266" s="1596"/>
      <c r="BN266" s="1596"/>
      <c r="BO266" s="1596"/>
      <c r="BP266" s="1596"/>
      <c r="BQ266" s="1596" t="e">
        <f t="shared" si="27"/>
        <v>#REF!</v>
      </c>
      <c r="BR266" s="1596"/>
      <c r="BS266" s="1596"/>
      <c r="BT266" s="1596"/>
      <c r="BU266" s="1596"/>
      <c r="BV266" s="1596"/>
      <c r="BW266" s="1596"/>
      <c r="BX266" s="1596"/>
      <c r="BY266" s="1597" t="e">
        <f t="shared" si="28"/>
        <v>#REF!</v>
      </c>
      <c r="BZ266" s="1597"/>
      <c r="CA266" s="1597"/>
      <c r="CB266" s="1597"/>
      <c r="CC266" s="1597"/>
      <c r="CD266" s="1597"/>
      <c r="CE266" s="1597"/>
      <c r="CF266" s="1598"/>
    </row>
    <row r="267" spans="1:88" s="535" customFormat="1" ht="23.1" customHeight="1" thickBot="1">
      <c r="E267" s="1702"/>
      <c r="F267" s="1561"/>
      <c r="G267" s="1561"/>
      <c r="H267" s="1561"/>
      <c r="I267" s="1561"/>
      <c r="J267" s="1607" t="s">
        <v>399</v>
      </c>
      <c r="K267" s="1607"/>
      <c r="L267" s="1607"/>
      <c r="M267" s="1607"/>
      <c r="N267" s="1607"/>
      <c r="O267" s="1607"/>
      <c r="P267" s="1607"/>
      <c r="Q267" s="1607"/>
      <c r="R267" s="1607"/>
      <c r="S267" s="1607"/>
      <c r="T267" s="1607"/>
      <c r="U267" s="1516" t="e">
        <f>$AG$285</f>
        <v>#REF!</v>
      </c>
      <c r="V267" s="1516"/>
      <c r="W267" s="1516"/>
      <c r="X267" s="1516"/>
      <c r="Y267" s="1516"/>
      <c r="Z267" s="1516"/>
      <c r="AA267" s="1516"/>
      <c r="AB267" s="1516"/>
      <c r="AC267" s="1516" t="e">
        <f>$AQ$285+$AF$269</f>
        <v>#REF!</v>
      </c>
      <c r="AD267" s="1516"/>
      <c r="AE267" s="1516"/>
      <c r="AF267" s="1516"/>
      <c r="AG267" s="1516"/>
      <c r="AH267" s="1516"/>
      <c r="AI267" s="1516"/>
      <c r="AJ267" s="1516"/>
      <c r="AK267" s="1516" t="e">
        <f>$BA$285</f>
        <v>#REF!</v>
      </c>
      <c r="AL267" s="1516"/>
      <c r="AM267" s="1516"/>
      <c r="AN267" s="1516"/>
      <c r="AO267" s="1516"/>
      <c r="AP267" s="1516"/>
      <c r="AQ267" s="1516"/>
      <c r="AR267" s="1516"/>
      <c r="AS267" s="1705">
        <v>4.5999999999999996</v>
      </c>
      <c r="AT267" s="1705"/>
      <c r="AU267" s="1705"/>
      <c r="AV267" s="1705"/>
      <c r="AW267" s="1705"/>
      <c r="AX267" s="1705"/>
      <c r="AY267" s="1705"/>
      <c r="AZ267" s="1705"/>
      <c r="BA267" s="1601" t="e">
        <f t="shared" si="25"/>
        <v>#REF!</v>
      </c>
      <c r="BB267" s="1601"/>
      <c r="BC267" s="1601"/>
      <c r="BD267" s="1601"/>
      <c r="BE267" s="1601"/>
      <c r="BF267" s="1601"/>
      <c r="BG267" s="1601"/>
      <c r="BH267" s="1601"/>
      <c r="BI267" s="1601" t="e">
        <f t="shared" si="26"/>
        <v>#REF!</v>
      </c>
      <c r="BJ267" s="1601"/>
      <c r="BK267" s="1601"/>
      <c r="BL267" s="1601"/>
      <c r="BM267" s="1601"/>
      <c r="BN267" s="1601"/>
      <c r="BO267" s="1601"/>
      <c r="BP267" s="1601"/>
      <c r="BQ267" s="1601" t="e">
        <f t="shared" si="27"/>
        <v>#REF!</v>
      </c>
      <c r="BR267" s="1601"/>
      <c r="BS267" s="1601"/>
      <c r="BT267" s="1601"/>
      <c r="BU267" s="1601"/>
      <c r="BV267" s="1601"/>
      <c r="BW267" s="1601"/>
      <c r="BX267" s="1601"/>
      <c r="BY267" s="1602" t="e">
        <f t="shared" si="28"/>
        <v>#REF!</v>
      </c>
      <c r="BZ267" s="1602"/>
      <c r="CA267" s="1602"/>
      <c r="CB267" s="1602"/>
      <c r="CC267" s="1602"/>
      <c r="CD267" s="1602"/>
      <c r="CE267" s="1602"/>
      <c r="CF267" s="1603"/>
    </row>
    <row r="268" spans="1:88" s="535" customFormat="1" ht="23.1" customHeight="1">
      <c r="D268" s="542"/>
      <c r="E268" s="547"/>
      <c r="F268" s="547"/>
      <c r="G268" s="560" t="s">
        <v>475</v>
      </c>
      <c r="H268" s="547"/>
      <c r="I268" s="547"/>
      <c r="J268" s="547"/>
      <c r="K268" s="547"/>
      <c r="L268" s="547"/>
      <c r="M268" s="547"/>
      <c r="N268" s="547"/>
      <c r="O268" s="547"/>
      <c r="P268" s="547"/>
      <c r="Q268" s="547"/>
      <c r="R268" s="547"/>
      <c r="S268" s="547"/>
      <c r="T268" s="547"/>
      <c r="U268" s="547"/>
      <c r="V268" s="547"/>
      <c r="W268" s="547"/>
      <c r="X268" s="547"/>
      <c r="Y268" s="547"/>
      <c r="Z268" s="547"/>
      <c r="AA268" s="547"/>
      <c r="AB268" s="547"/>
      <c r="AC268" s="547"/>
      <c r="AD268" s="547"/>
      <c r="AE268" s="547"/>
      <c r="AF268" s="547"/>
      <c r="AG268" s="547"/>
      <c r="AH268" s="547"/>
      <c r="AI268" s="547"/>
      <c r="AJ268" s="547"/>
      <c r="AK268" s="547"/>
      <c r="AL268" s="547"/>
      <c r="AM268" s="547"/>
      <c r="AN268" s="547"/>
      <c r="AO268" s="547"/>
      <c r="AP268" s="547"/>
      <c r="AQ268" s="547"/>
      <c r="AR268" s="547"/>
      <c r="AS268" s="547"/>
      <c r="AT268" s="547"/>
      <c r="AU268" s="547"/>
      <c r="AV268" s="547"/>
      <c r="AW268" s="547"/>
      <c r="AX268" s="547"/>
      <c r="AY268" s="547"/>
      <c r="AZ268" s="547"/>
      <c r="BA268" s="547"/>
      <c r="BB268" s="547"/>
      <c r="BC268" s="547"/>
      <c r="BD268" s="547"/>
      <c r="BE268" s="547"/>
      <c r="BF268" s="547"/>
      <c r="BG268" s="547"/>
      <c r="BH268" s="547"/>
      <c r="BI268" s="547"/>
      <c r="BJ268" s="547"/>
      <c r="BK268" s="547"/>
      <c r="BL268" s="547"/>
      <c r="BM268" s="547"/>
      <c r="BN268" s="547"/>
      <c r="BO268" s="547"/>
      <c r="BP268" s="547"/>
      <c r="BQ268" s="547"/>
      <c r="BR268" s="547"/>
      <c r="BS268" s="547"/>
      <c r="BT268" s="426"/>
      <c r="BU268" s="426"/>
      <c r="BV268" s="426"/>
      <c r="BW268" s="426"/>
      <c r="BX268" s="426"/>
      <c r="BY268" s="426"/>
      <c r="BZ268" s="426"/>
      <c r="CA268" s="426"/>
      <c r="CB268" s="426"/>
      <c r="CC268" s="426"/>
      <c r="CD268" s="547"/>
      <c r="CE268" s="547"/>
      <c r="CF268" s="547"/>
    </row>
    <row r="269" spans="1:88" s="540" customFormat="1" ht="23.1" customHeight="1">
      <c r="I269" s="540" t="s">
        <v>476</v>
      </c>
      <c r="Q269" s="561"/>
      <c r="R269" s="1611">
        <f>[53]노임단가!$T$5</f>
        <v>172068</v>
      </c>
      <c r="S269" s="1611"/>
      <c r="T269" s="1611"/>
      <c r="U269" s="1611"/>
      <c r="V269" s="1611"/>
      <c r="W269" s="1611"/>
      <c r="X269" s="1611"/>
      <c r="Y269" s="1611"/>
      <c r="Z269" s="1612" t="s">
        <v>477</v>
      </c>
      <c r="AA269" s="1612"/>
      <c r="AB269" s="1612">
        <v>8</v>
      </c>
      <c r="AC269" s="1612"/>
      <c r="AD269" s="1612" t="s">
        <v>41</v>
      </c>
      <c r="AE269" s="1612"/>
      <c r="AF269" s="1611">
        <f>INT(R269/AB269)</f>
        <v>21508</v>
      </c>
      <c r="AG269" s="1611"/>
      <c r="AH269" s="1611"/>
      <c r="AI269" s="1611"/>
      <c r="AJ269" s="1611"/>
      <c r="AK269" s="1611"/>
      <c r="AL269" s="1611"/>
      <c r="AM269" s="1611"/>
      <c r="AN269" s="540" t="s">
        <v>478</v>
      </c>
      <c r="BT269" s="424"/>
      <c r="BU269" s="424"/>
      <c r="BV269" s="424"/>
      <c r="BW269" s="424"/>
      <c r="BX269" s="424"/>
      <c r="BY269" s="424"/>
      <c r="BZ269" s="424"/>
      <c r="CA269" s="424"/>
      <c r="CB269" s="424"/>
      <c r="CC269" s="424"/>
      <c r="CJ269" s="535"/>
    </row>
    <row r="270" spans="1:88" s="535" customFormat="1" ht="23.1" customHeight="1">
      <c r="A270" s="540"/>
      <c r="B270" s="540"/>
      <c r="C270" s="540"/>
      <c r="D270" s="540"/>
      <c r="G270" s="540" t="s">
        <v>739</v>
      </c>
      <c r="U270" s="551"/>
      <c r="V270" s="551"/>
      <c r="W270" s="551"/>
      <c r="X270" s="551"/>
      <c r="Y270" s="551"/>
      <c r="Z270" s="551"/>
      <c r="AA270" s="551"/>
      <c r="AB270" s="551"/>
      <c r="AC270" s="551"/>
      <c r="AD270" s="551"/>
      <c r="AE270" s="551"/>
      <c r="AF270" s="551"/>
      <c r="AG270" s="551"/>
      <c r="AH270" s="551"/>
      <c r="AI270" s="551"/>
      <c r="AJ270" s="551"/>
      <c r="AK270" s="551"/>
      <c r="AL270" s="551"/>
      <c r="AM270" s="551"/>
      <c r="AN270" s="551"/>
      <c r="AO270" s="551"/>
      <c r="AP270" s="551"/>
      <c r="AQ270" s="551"/>
      <c r="AR270" s="551"/>
      <c r="AS270" s="552"/>
      <c r="AT270" s="552"/>
      <c r="AU270" s="552"/>
      <c r="AV270" s="552"/>
      <c r="AW270" s="552"/>
      <c r="AX270" s="552"/>
      <c r="AY270" s="552"/>
      <c r="AZ270" s="552"/>
      <c r="BA270" s="551"/>
      <c r="BB270" s="551"/>
      <c r="BC270" s="551"/>
      <c r="BD270" s="551"/>
      <c r="BE270" s="551"/>
      <c r="BF270" s="551"/>
      <c r="BG270" s="551"/>
      <c r="BH270" s="551"/>
      <c r="BI270" s="551"/>
      <c r="BJ270" s="551"/>
      <c r="BK270" s="551"/>
      <c r="BL270" s="551"/>
      <c r="BM270" s="551"/>
      <c r="BN270" s="551"/>
      <c r="BO270" s="551"/>
      <c r="BP270" s="551"/>
      <c r="BQ270" s="551"/>
      <c r="BR270" s="551"/>
      <c r="BS270" s="551"/>
      <c r="BT270" s="551"/>
      <c r="BU270" s="551"/>
      <c r="BV270" s="551"/>
      <c r="BW270" s="551"/>
      <c r="BX270" s="551"/>
      <c r="BY270" s="562"/>
      <c r="BZ270" s="562"/>
      <c r="CA270" s="562"/>
      <c r="CB270" s="562"/>
      <c r="CC270" s="562"/>
      <c r="CD270" s="562"/>
      <c r="CE270" s="562"/>
      <c r="CF270" s="562"/>
    </row>
    <row r="271" spans="1:88" s="535" customFormat="1" ht="23.1" customHeight="1">
      <c r="E271" s="535" t="s">
        <v>427</v>
      </c>
      <c r="U271" s="551"/>
      <c r="V271" s="551"/>
      <c r="W271" s="551"/>
      <c r="X271" s="551"/>
      <c r="Y271" s="551"/>
      <c r="Z271" s="551"/>
      <c r="AA271" s="551"/>
      <c r="AB271" s="551"/>
      <c r="AC271" s="551"/>
      <c r="AD271" s="551"/>
      <c r="AE271" s="551"/>
      <c r="AF271" s="551"/>
      <c r="AG271" s="551"/>
      <c r="AH271" s="551"/>
      <c r="AI271" s="551"/>
      <c r="AJ271" s="551"/>
      <c r="AK271" s="551"/>
      <c r="AL271" s="551"/>
      <c r="AM271" s="551"/>
      <c r="AN271" s="551"/>
      <c r="AO271" s="551"/>
      <c r="AP271" s="551"/>
      <c r="AQ271" s="551"/>
      <c r="AR271" s="551"/>
      <c r="AS271" s="552"/>
      <c r="AT271" s="552"/>
      <c r="AU271" s="552"/>
      <c r="AV271" s="552"/>
      <c r="AW271" s="552"/>
      <c r="AX271" s="552"/>
      <c r="AY271" s="552"/>
      <c r="AZ271" s="552"/>
      <c r="BA271" s="551"/>
      <c r="BB271" s="551"/>
      <c r="BC271" s="551"/>
      <c r="BD271" s="551"/>
      <c r="BE271" s="551"/>
      <c r="BF271" s="551"/>
      <c r="BG271" s="551"/>
      <c r="BH271" s="551"/>
      <c r="BI271" s="551"/>
      <c r="BJ271" s="551"/>
      <c r="BK271" s="551"/>
      <c r="BL271" s="551"/>
      <c r="BM271" s="551"/>
      <c r="BN271" s="551"/>
      <c r="BO271" s="551"/>
      <c r="BP271" s="551"/>
      <c r="BQ271" s="551"/>
      <c r="BR271" s="551"/>
      <c r="BS271" s="551"/>
      <c r="BT271" s="551"/>
      <c r="BU271" s="551"/>
      <c r="BV271" s="551"/>
      <c r="BW271" s="551"/>
      <c r="BX271" s="551"/>
    </row>
    <row r="272" spans="1:88" s="535" customFormat="1" ht="9.9499999999999993" customHeight="1" thickBot="1"/>
    <row r="273" spans="1:88" s="535" customFormat="1" ht="23.1" customHeight="1" thickBot="1">
      <c r="E273" s="1581" t="s">
        <v>368</v>
      </c>
      <c r="F273" s="1582"/>
      <c r="G273" s="1582"/>
      <c r="H273" s="1582"/>
      <c r="I273" s="1582"/>
      <c r="J273" s="1582"/>
      <c r="K273" s="1582"/>
      <c r="L273" s="1582"/>
      <c r="M273" s="1582"/>
      <c r="N273" s="1582"/>
      <c r="O273" s="1582"/>
      <c r="P273" s="1582"/>
      <c r="Q273" s="1582"/>
      <c r="R273" s="1582"/>
      <c r="S273" s="1582"/>
      <c r="T273" s="1582" t="s">
        <v>428</v>
      </c>
      <c r="U273" s="1582"/>
      <c r="V273" s="1582"/>
      <c r="W273" s="1582"/>
      <c r="X273" s="1582"/>
      <c r="Y273" s="1582"/>
      <c r="Z273" s="1582"/>
      <c r="AA273" s="1582"/>
      <c r="AB273" s="1582" t="s">
        <v>370</v>
      </c>
      <c r="AC273" s="1582"/>
      <c r="AD273" s="1582"/>
      <c r="AE273" s="1582"/>
      <c r="AF273" s="1582"/>
      <c r="AG273" s="1696" t="s">
        <v>429</v>
      </c>
      <c r="AH273" s="1696"/>
      <c r="AI273" s="1696"/>
      <c r="AJ273" s="1696"/>
      <c r="AK273" s="1696"/>
      <c r="AL273" s="1696"/>
      <c r="AM273" s="1696"/>
      <c r="AN273" s="1696"/>
      <c r="AO273" s="1696"/>
      <c r="AP273" s="1696"/>
      <c r="AQ273" s="1696" t="s">
        <v>430</v>
      </c>
      <c r="AR273" s="1696"/>
      <c r="AS273" s="1696"/>
      <c r="AT273" s="1696"/>
      <c r="AU273" s="1696"/>
      <c r="AV273" s="1696"/>
      <c r="AW273" s="1696"/>
      <c r="AX273" s="1696"/>
      <c r="AY273" s="1696"/>
      <c r="AZ273" s="1696"/>
      <c r="BA273" s="1696" t="s">
        <v>431</v>
      </c>
      <c r="BB273" s="1696"/>
      <c r="BC273" s="1696"/>
      <c r="BD273" s="1696"/>
      <c r="BE273" s="1696"/>
      <c r="BF273" s="1696"/>
      <c r="BG273" s="1696"/>
      <c r="BH273" s="1696"/>
      <c r="BI273" s="1696"/>
      <c r="BJ273" s="1696"/>
      <c r="BK273" s="1696" t="s">
        <v>432</v>
      </c>
      <c r="BL273" s="1696"/>
      <c r="BM273" s="1696"/>
      <c r="BN273" s="1696"/>
      <c r="BO273" s="1696"/>
      <c r="BP273" s="1696"/>
      <c r="BQ273" s="1696"/>
      <c r="BR273" s="1696"/>
      <c r="BS273" s="1696"/>
      <c r="BT273" s="1696"/>
      <c r="BU273" s="1696" t="s">
        <v>433</v>
      </c>
      <c r="BV273" s="1696"/>
      <c r="BW273" s="1696"/>
      <c r="BX273" s="1696"/>
      <c r="BY273" s="1696"/>
      <c r="BZ273" s="1696"/>
      <c r="CA273" s="1696"/>
      <c r="CB273" s="1696"/>
      <c r="CC273" s="1696"/>
      <c r="CD273" s="1696"/>
      <c r="CE273" s="1696"/>
      <c r="CF273" s="1697"/>
    </row>
    <row r="274" spans="1:88" s="535" customFormat="1" ht="23.1" customHeight="1" thickTop="1">
      <c r="E274" s="1698" t="s">
        <v>530</v>
      </c>
      <c r="F274" s="1699"/>
      <c r="G274" s="1699"/>
      <c r="H274" s="1699"/>
      <c r="I274" s="1566" t="s">
        <v>738</v>
      </c>
      <c r="J274" s="1566"/>
      <c r="K274" s="1566"/>
      <c r="L274" s="1566"/>
      <c r="M274" s="1566"/>
      <c r="N274" s="1566"/>
      <c r="O274" s="1566"/>
      <c r="P274" s="1566"/>
      <c r="Q274" s="1566"/>
      <c r="R274" s="1566"/>
      <c r="S274" s="1566"/>
      <c r="T274" s="1616">
        <v>1</v>
      </c>
      <c r="U274" s="1616"/>
      <c r="V274" s="1616"/>
      <c r="W274" s="1616"/>
      <c r="X274" s="1616"/>
      <c r="Y274" s="1616"/>
      <c r="Z274" s="1616"/>
      <c r="AA274" s="1616"/>
      <c r="AB274" s="1616" t="s">
        <v>418</v>
      </c>
      <c r="AC274" s="1616"/>
      <c r="AD274" s="1616"/>
      <c r="AE274" s="1616"/>
      <c r="AF274" s="1616"/>
      <c r="AG274" s="1526"/>
      <c r="AH274" s="1526"/>
      <c r="AI274" s="1526"/>
      <c r="AJ274" s="1526"/>
      <c r="AK274" s="1526"/>
      <c r="AL274" s="1526"/>
      <c r="AM274" s="1526"/>
      <c r="AN274" s="1526"/>
      <c r="AO274" s="1526"/>
      <c r="AP274" s="1526"/>
      <c r="AQ274" s="1526"/>
      <c r="AR274" s="1526"/>
      <c r="AS274" s="1526"/>
      <c r="AT274" s="1526"/>
      <c r="AU274" s="1526"/>
      <c r="AV274" s="1526"/>
      <c r="AW274" s="1526"/>
      <c r="AX274" s="1526"/>
      <c r="AY274" s="1526"/>
      <c r="AZ274" s="1526"/>
      <c r="BA274" s="1526" t="e">
        <f>#REF!</f>
        <v>#REF!</v>
      </c>
      <c r="BB274" s="1526"/>
      <c r="BC274" s="1526"/>
      <c r="BD274" s="1526"/>
      <c r="BE274" s="1526"/>
      <c r="BF274" s="1526"/>
      <c r="BG274" s="1526"/>
      <c r="BH274" s="1526"/>
      <c r="BI274" s="1526"/>
      <c r="BJ274" s="1526"/>
      <c r="BK274" s="1526" t="e">
        <f t="shared" ref="BK274:BK285" si="29">AG274+AQ274+BA274</f>
        <v>#REF!</v>
      </c>
      <c r="BL274" s="1526"/>
      <c r="BM274" s="1526"/>
      <c r="BN274" s="1526"/>
      <c r="BO274" s="1526"/>
      <c r="BP274" s="1526"/>
      <c r="BQ274" s="1526"/>
      <c r="BR274" s="1526"/>
      <c r="BS274" s="1526"/>
      <c r="BT274" s="1526"/>
      <c r="BU274" s="1692"/>
      <c r="BV274" s="1692"/>
      <c r="BW274" s="1692"/>
      <c r="BX274" s="1692"/>
      <c r="BY274" s="1692"/>
      <c r="BZ274" s="1692"/>
      <c r="CA274" s="1692"/>
      <c r="CB274" s="1692"/>
      <c r="CC274" s="1692"/>
      <c r="CD274" s="1692"/>
      <c r="CE274" s="1692"/>
      <c r="CF274" s="1693"/>
    </row>
    <row r="275" spans="1:88" s="535" customFormat="1" ht="23.1" customHeight="1">
      <c r="E275" s="1698"/>
      <c r="F275" s="1699"/>
      <c r="G275" s="1699"/>
      <c r="H275" s="1699"/>
      <c r="I275" s="1566" t="s">
        <v>479</v>
      </c>
      <c r="J275" s="1566"/>
      <c r="K275" s="1566"/>
      <c r="L275" s="1566"/>
      <c r="M275" s="1566"/>
      <c r="N275" s="1566"/>
      <c r="O275" s="1566"/>
      <c r="P275" s="1566"/>
      <c r="Q275" s="1566"/>
      <c r="R275" s="1566"/>
      <c r="S275" s="1566"/>
      <c r="T275" s="1616">
        <v>1</v>
      </c>
      <c r="U275" s="1616"/>
      <c r="V275" s="1616"/>
      <c r="W275" s="1616"/>
      <c r="X275" s="1616"/>
      <c r="Y275" s="1616"/>
      <c r="Z275" s="1616"/>
      <c r="AA275" s="1616"/>
      <c r="AB275" s="1616" t="s">
        <v>418</v>
      </c>
      <c r="AC275" s="1616"/>
      <c r="AD275" s="1616"/>
      <c r="AE275" s="1616"/>
      <c r="AF275" s="1616"/>
      <c r="AG275" s="1526"/>
      <c r="AH275" s="1526"/>
      <c r="AI275" s="1526"/>
      <c r="AJ275" s="1526"/>
      <c r="AK275" s="1526"/>
      <c r="AL275" s="1526"/>
      <c r="AM275" s="1526"/>
      <c r="AN275" s="1526"/>
      <c r="AO275" s="1526"/>
      <c r="AP275" s="1526"/>
      <c r="AQ275" s="1526"/>
      <c r="AR275" s="1526"/>
      <c r="AS275" s="1526"/>
      <c r="AT275" s="1526"/>
      <c r="AU275" s="1526"/>
      <c r="AV275" s="1526"/>
      <c r="AW275" s="1526"/>
      <c r="AX275" s="1526"/>
      <c r="AY275" s="1526"/>
      <c r="AZ275" s="1526"/>
      <c r="BA275" s="1526" t="e">
        <f>#REF!</f>
        <v>#REF!</v>
      </c>
      <c r="BB275" s="1526"/>
      <c r="BC275" s="1526"/>
      <c r="BD275" s="1526"/>
      <c r="BE275" s="1526"/>
      <c r="BF275" s="1526"/>
      <c r="BG275" s="1526"/>
      <c r="BH275" s="1526"/>
      <c r="BI275" s="1526"/>
      <c r="BJ275" s="1526"/>
      <c r="BK275" s="1526" t="e">
        <f t="shared" si="29"/>
        <v>#REF!</v>
      </c>
      <c r="BL275" s="1526"/>
      <c r="BM275" s="1526"/>
      <c r="BN275" s="1526"/>
      <c r="BO275" s="1526"/>
      <c r="BP275" s="1526"/>
      <c r="BQ275" s="1526"/>
      <c r="BR275" s="1526"/>
      <c r="BS275" s="1526"/>
      <c r="BT275" s="1526"/>
      <c r="BU275" s="1692"/>
      <c r="BV275" s="1692"/>
      <c r="BW275" s="1692"/>
      <c r="BX275" s="1692"/>
      <c r="BY275" s="1692"/>
      <c r="BZ275" s="1692"/>
      <c r="CA275" s="1692"/>
      <c r="CB275" s="1692"/>
      <c r="CC275" s="1692"/>
      <c r="CD275" s="1692"/>
      <c r="CE275" s="1692"/>
      <c r="CF275" s="1693"/>
    </row>
    <row r="276" spans="1:88" s="535" customFormat="1" ht="23.1" customHeight="1">
      <c r="E276" s="1700"/>
      <c r="F276" s="1701"/>
      <c r="G276" s="1701"/>
      <c r="H276" s="1701"/>
      <c r="I276" s="1561" t="s">
        <v>480</v>
      </c>
      <c r="J276" s="1561"/>
      <c r="K276" s="1561"/>
      <c r="L276" s="1561"/>
      <c r="M276" s="1561"/>
      <c r="N276" s="1561"/>
      <c r="O276" s="1561"/>
      <c r="P276" s="1561"/>
      <c r="Q276" s="1561"/>
      <c r="R276" s="1561"/>
      <c r="S276" s="1561"/>
      <c r="T276" s="1689">
        <v>1</v>
      </c>
      <c r="U276" s="1689"/>
      <c r="V276" s="1689"/>
      <c r="W276" s="1689"/>
      <c r="X276" s="1689"/>
      <c r="Y276" s="1689"/>
      <c r="Z276" s="1689"/>
      <c r="AA276" s="1689"/>
      <c r="AB276" s="1689" t="s">
        <v>418</v>
      </c>
      <c r="AC276" s="1689"/>
      <c r="AD276" s="1689"/>
      <c r="AE276" s="1689"/>
      <c r="AF276" s="1689"/>
      <c r="AG276" s="1516"/>
      <c r="AH276" s="1516"/>
      <c r="AI276" s="1516"/>
      <c r="AJ276" s="1516"/>
      <c r="AK276" s="1516"/>
      <c r="AL276" s="1516"/>
      <c r="AM276" s="1516"/>
      <c r="AN276" s="1516"/>
      <c r="AO276" s="1516"/>
      <c r="AP276" s="1516"/>
      <c r="AQ276" s="1516"/>
      <c r="AR276" s="1516"/>
      <c r="AS276" s="1516"/>
      <c r="AT276" s="1516"/>
      <c r="AU276" s="1516"/>
      <c r="AV276" s="1516"/>
      <c r="AW276" s="1516"/>
      <c r="AX276" s="1516"/>
      <c r="AY276" s="1516"/>
      <c r="AZ276" s="1516"/>
      <c r="BA276" s="1516" t="e">
        <f>#REF!</f>
        <v>#REF!</v>
      </c>
      <c r="BB276" s="1516"/>
      <c r="BC276" s="1516"/>
      <c r="BD276" s="1516"/>
      <c r="BE276" s="1516"/>
      <c r="BF276" s="1516"/>
      <c r="BG276" s="1516"/>
      <c r="BH276" s="1516"/>
      <c r="BI276" s="1516"/>
      <c r="BJ276" s="1516"/>
      <c r="BK276" s="1516" t="e">
        <f t="shared" si="29"/>
        <v>#REF!</v>
      </c>
      <c r="BL276" s="1516"/>
      <c r="BM276" s="1516"/>
      <c r="BN276" s="1516"/>
      <c r="BO276" s="1516"/>
      <c r="BP276" s="1516"/>
      <c r="BQ276" s="1516"/>
      <c r="BR276" s="1516"/>
      <c r="BS276" s="1516"/>
      <c r="BT276" s="1516"/>
      <c r="BU276" s="1694"/>
      <c r="BV276" s="1694"/>
      <c r="BW276" s="1694"/>
      <c r="BX276" s="1694"/>
      <c r="BY276" s="1694"/>
      <c r="BZ276" s="1694"/>
      <c r="CA276" s="1694"/>
      <c r="CB276" s="1694"/>
      <c r="CC276" s="1694"/>
      <c r="CD276" s="1694"/>
      <c r="CE276" s="1694"/>
      <c r="CF276" s="1695"/>
    </row>
    <row r="277" spans="1:88" s="535" customFormat="1" ht="23.1" customHeight="1">
      <c r="E277" s="1636" t="s">
        <v>481</v>
      </c>
      <c r="F277" s="1642"/>
      <c r="G277" s="1642"/>
      <c r="H277" s="1642"/>
      <c r="I277" s="1606" t="s">
        <v>395</v>
      </c>
      <c r="J277" s="1606"/>
      <c r="K277" s="1606"/>
      <c r="L277" s="1606"/>
      <c r="M277" s="1606"/>
      <c r="N277" s="1606"/>
      <c r="O277" s="1606"/>
      <c r="P277" s="1606"/>
      <c r="Q277" s="1606"/>
      <c r="R277" s="1606"/>
      <c r="S277" s="1606"/>
      <c r="T277" s="1616">
        <v>1</v>
      </c>
      <c r="U277" s="1616"/>
      <c r="V277" s="1616"/>
      <c r="W277" s="1616"/>
      <c r="X277" s="1616"/>
      <c r="Y277" s="1616"/>
      <c r="Z277" s="1616"/>
      <c r="AA277" s="1616"/>
      <c r="AB277" s="1616" t="s">
        <v>418</v>
      </c>
      <c r="AC277" s="1616"/>
      <c r="AD277" s="1616"/>
      <c r="AE277" s="1616"/>
      <c r="AF277" s="1616"/>
      <c r="AG277" s="1526" t="e">
        <f>#REF!</f>
        <v>#REF!</v>
      </c>
      <c r="AH277" s="1526"/>
      <c r="AI277" s="1526"/>
      <c r="AJ277" s="1526"/>
      <c r="AK277" s="1526"/>
      <c r="AL277" s="1526"/>
      <c r="AM277" s="1526"/>
      <c r="AN277" s="1526"/>
      <c r="AO277" s="1526"/>
      <c r="AP277" s="1526"/>
      <c r="AQ277" s="1526" t="e">
        <f>#REF!</f>
        <v>#REF!</v>
      </c>
      <c r="AR277" s="1526"/>
      <c r="AS277" s="1526"/>
      <c r="AT277" s="1526"/>
      <c r="AU277" s="1526"/>
      <c r="AV277" s="1526"/>
      <c r="AW277" s="1526"/>
      <c r="AX277" s="1526"/>
      <c r="AY277" s="1526"/>
      <c r="AZ277" s="1526"/>
      <c r="BA277" s="1526" t="e">
        <f>#REF!</f>
        <v>#REF!</v>
      </c>
      <c r="BB277" s="1526"/>
      <c r="BC277" s="1526"/>
      <c r="BD277" s="1526"/>
      <c r="BE277" s="1526"/>
      <c r="BF277" s="1526"/>
      <c r="BG277" s="1526"/>
      <c r="BH277" s="1526"/>
      <c r="BI277" s="1526"/>
      <c r="BJ277" s="1526"/>
      <c r="BK277" s="1526" t="e">
        <f>AG277+AQ277+BA277</f>
        <v>#REF!</v>
      </c>
      <c r="BL277" s="1526"/>
      <c r="BM277" s="1526"/>
      <c r="BN277" s="1526"/>
      <c r="BO277" s="1526"/>
      <c r="BP277" s="1526"/>
      <c r="BQ277" s="1526"/>
      <c r="BR277" s="1526"/>
      <c r="BS277" s="1526"/>
      <c r="BT277" s="1526"/>
      <c r="BU277" s="1692"/>
      <c r="BV277" s="1692"/>
      <c r="BW277" s="1692"/>
      <c r="BX277" s="1692"/>
      <c r="BY277" s="1692"/>
      <c r="BZ277" s="1692"/>
      <c r="CA277" s="1692"/>
      <c r="CB277" s="1692"/>
      <c r="CC277" s="1692"/>
      <c r="CD277" s="1692"/>
      <c r="CE277" s="1692"/>
      <c r="CF277" s="1693"/>
    </row>
    <row r="278" spans="1:88" s="535" customFormat="1" ht="23.1" customHeight="1">
      <c r="E278" s="1636"/>
      <c r="F278" s="1642"/>
      <c r="G278" s="1642"/>
      <c r="H278" s="1642"/>
      <c r="I278" s="1606" t="s">
        <v>359</v>
      </c>
      <c r="J278" s="1606"/>
      <c r="K278" s="1606"/>
      <c r="L278" s="1606"/>
      <c r="M278" s="1606"/>
      <c r="N278" s="1606"/>
      <c r="O278" s="1606"/>
      <c r="P278" s="1606"/>
      <c r="Q278" s="1606"/>
      <c r="R278" s="1606"/>
      <c r="S278" s="1606"/>
      <c r="T278" s="1616">
        <v>1</v>
      </c>
      <c r="U278" s="1616"/>
      <c r="V278" s="1616"/>
      <c r="W278" s="1616"/>
      <c r="X278" s="1616"/>
      <c r="Y278" s="1616"/>
      <c r="Z278" s="1616"/>
      <c r="AA278" s="1616"/>
      <c r="AB278" s="1616" t="s">
        <v>418</v>
      </c>
      <c r="AC278" s="1616"/>
      <c r="AD278" s="1616"/>
      <c r="AE278" s="1616"/>
      <c r="AF278" s="1616"/>
      <c r="AG278" s="1526" t="e">
        <f>#REF!</f>
        <v>#REF!</v>
      </c>
      <c r="AH278" s="1526"/>
      <c r="AI278" s="1526"/>
      <c r="AJ278" s="1526"/>
      <c r="AK278" s="1526"/>
      <c r="AL278" s="1526"/>
      <c r="AM278" s="1526"/>
      <c r="AN278" s="1526"/>
      <c r="AO278" s="1526"/>
      <c r="AP278" s="1526"/>
      <c r="AQ278" s="1526" t="e">
        <f>#REF!</f>
        <v>#REF!</v>
      </c>
      <c r="AR278" s="1526"/>
      <c r="AS278" s="1526"/>
      <c r="AT278" s="1526"/>
      <c r="AU278" s="1526"/>
      <c r="AV278" s="1526"/>
      <c r="AW278" s="1526"/>
      <c r="AX278" s="1526"/>
      <c r="AY278" s="1526"/>
      <c r="AZ278" s="1526"/>
      <c r="BA278" s="1526" t="e">
        <f>#REF!</f>
        <v>#REF!</v>
      </c>
      <c r="BB278" s="1526"/>
      <c r="BC278" s="1526"/>
      <c r="BD278" s="1526"/>
      <c r="BE278" s="1526"/>
      <c r="BF278" s="1526"/>
      <c r="BG278" s="1526"/>
      <c r="BH278" s="1526"/>
      <c r="BI278" s="1526"/>
      <c r="BJ278" s="1526"/>
      <c r="BK278" s="1526" t="e">
        <f>AG278+AQ278+BA278</f>
        <v>#REF!</v>
      </c>
      <c r="BL278" s="1526"/>
      <c r="BM278" s="1526"/>
      <c r="BN278" s="1526"/>
      <c r="BO278" s="1526"/>
      <c r="BP278" s="1526"/>
      <c r="BQ278" s="1526"/>
      <c r="BR278" s="1526"/>
      <c r="BS278" s="1526"/>
      <c r="BT278" s="1526"/>
      <c r="BU278" s="1692"/>
      <c r="BV278" s="1692"/>
      <c r="BW278" s="1692"/>
      <c r="BX278" s="1692"/>
      <c r="BY278" s="1692"/>
      <c r="BZ278" s="1692"/>
      <c r="CA278" s="1692"/>
      <c r="CB278" s="1692"/>
      <c r="CC278" s="1692"/>
      <c r="CD278" s="1692"/>
      <c r="CE278" s="1692"/>
      <c r="CF278" s="1693"/>
    </row>
    <row r="279" spans="1:88" s="535" customFormat="1" ht="23.1" customHeight="1">
      <c r="E279" s="1690"/>
      <c r="F279" s="1691"/>
      <c r="G279" s="1691"/>
      <c r="H279" s="1691"/>
      <c r="I279" s="1607" t="s">
        <v>399</v>
      </c>
      <c r="J279" s="1607"/>
      <c r="K279" s="1607"/>
      <c r="L279" s="1607"/>
      <c r="M279" s="1607"/>
      <c r="N279" s="1607"/>
      <c r="O279" s="1607"/>
      <c r="P279" s="1607"/>
      <c r="Q279" s="1607"/>
      <c r="R279" s="1607"/>
      <c r="S279" s="1607"/>
      <c r="T279" s="1689">
        <v>1</v>
      </c>
      <c r="U279" s="1689"/>
      <c r="V279" s="1689"/>
      <c r="W279" s="1689"/>
      <c r="X279" s="1689"/>
      <c r="Y279" s="1689"/>
      <c r="Z279" s="1689"/>
      <c r="AA279" s="1689"/>
      <c r="AB279" s="1689" t="s">
        <v>418</v>
      </c>
      <c r="AC279" s="1689"/>
      <c r="AD279" s="1689"/>
      <c r="AE279" s="1689"/>
      <c r="AF279" s="1689"/>
      <c r="AG279" s="1516" t="e">
        <f>#REF!</f>
        <v>#REF!</v>
      </c>
      <c r="AH279" s="1516"/>
      <c r="AI279" s="1516"/>
      <c r="AJ279" s="1516"/>
      <c r="AK279" s="1516"/>
      <c r="AL279" s="1516"/>
      <c r="AM279" s="1516"/>
      <c r="AN279" s="1516"/>
      <c r="AO279" s="1516"/>
      <c r="AP279" s="1516"/>
      <c r="AQ279" s="1516" t="e">
        <f>#REF!</f>
        <v>#REF!</v>
      </c>
      <c r="AR279" s="1516"/>
      <c r="AS279" s="1516"/>
      <c r="AT279" s="1516"/>
      <c r="AU279" s="1516"/>
      <c r="AV279" s="1516"/>
      <c r="AW279" s="1516"/>
      <c r="AX279" s="1516"/>
      <c r="AY279" s="1516"/>
      <c r="AZ279" s="1516"/>
      <c r="BA279" s="1516" t="e">
        <f>#REF!</f>
        <v>#REF!</v>
      </c>
      <c r="BB279" s="1516"/>
      <c r="BC279" s="1516"/>
      <c r="BD279" s="1516"/>
      <c r="BE279" s="1516"/>
      <c r="BF279" s="1516"/>
      <c r="BG279" s="1516"/>
      <c r="BH279" s="1516"/>
      <c r="BI279" s="1516"/>
      <c r="BJ279" s="1516"/>
      <c r="BK279" s="1516" t="e">
        <f>AG279+AQ279+BA279</f>
        <v>#REF!</v>
      </c>
      <c r="BL279" s="1516"/>
      <c r="BM279" s="1516"/>
      <c r="BN279" s="1516"/>
      <c r="BO279" s="1516"/>
      <c r="BP279" s="1516"/>
      <c r="BQ279" s="1516"/>
      <c r="BR279" s="1516"/>
      <c r="BS279" s="1516"/>
      <c r="BT279" s="1516"/>
      <c r="BU279" s="1694"/>
      <c r="BV279" s="1694"/>
      <c r="BW279" s="1694"/>
      <c r="BX279" s="1694"/>
      <c r="BY279" s="1694"/>
      <c r="BZ279" s="1694"/>
      <c r="CA279" s="1694"/>
      <c r="CB279" s="1694"/>
      <c r="CC279" s="1694"/>
      <c r="CD279" s="1694"/>
      <c r="CE279" s="1694"/>
      <c r="CF279" s="1695"/>
    </row>
    <row r="280" spans="1:88" s="535" customFormat="1" ht="23.1" customHeight="1">
      <c r="E280" s="1636" t="s">
        <v>436</v>
      </c>
      <c r="F280" s="1642"/>
      <c r="G280" s="1642"/>
      <c r="H280" s="1642"/>
      <c r="I280" s="1606" t="s">
        <v>395</v>
      </c>
      <c r="J280" s="1606"/>
      <c r="K280" s="1606"/>
      <c r="L280" s="1606"/>
      <c r="M280" s="1606"/>
      <c r="N280" s="1606"/>
      <c r="O280" s="1606"/>
      <c r="P280" s="1606"/>
      <c r="Q280" s="1606"/>
      <c r="R280" s="1606"/>
      <c r="S280" s="1606"/>
      <c r="T280" s="1616">
        <v>8.0000000000000002E-3</v>
      </c>
      <c r="U280" s="1616"/>
      <c r="V280" s="1616"/>
      <c r="W280" s="1616"/>
      <c r="X280" s="1616"/>
      <c r="Y280" s="1616"/>
      <c r="Z280" s="1616"/>
      <c r="AA280" s="1616"/>
      <c r="AB280" s="1616" t="s">
        <v>437</v>
      </c>
      <c r="AC280" s="1616"/>
      <c r="AD280" s="1616"/>
      <c r="AE280" s="1616"/>
      <c r="AF280" s="1616"/>
      <c r="AG280" s="1526" t="e">
        <f>BU280*T280</f>
        <v>#REF!</v>
      </c>
      <c r="AH280" s="1526"/>
      <c r="AI280" s="1526"/>
      <c r="AJ280" s="1526"/>
      <c r="AK280" s="1526"/>
      <c r="AL280" s="1526"/>
      <c r="AM280" s="1526"/>
      <c r="AN280" s="1526"/>
      <c r="AO280" s="1526"/>
      <c r="AP280" s="1526"/>
      <c r="AQ280" s="1526"/>
      <c r="AR280" s="1526"/>
      <c r="AS280" s="1526"/>
      <c r="AT280" s="1526"/>
      <c r="AU280" s="1526"/>
      <c r="AV280" s="1526"/>
      <c r="AW280" s="1526"/>
      <c r="AX280" s="1526"/>
      <c r="AY280" s="1526"/>
      <c r="AZ280" s="1526"/>
      <c r="BA280" s="1526"/>
      <c r="BB280" s="1526"/>
      <c r="BC280" s="1526"/>
      <c r="BD280" s="1526"/>
      <c r="BE280" s="1526"/>
      <c r="BF280" s="1526"/>
      <c r="BG280" s="1526"/>
      <c r="BH280" s="1526"/>
      <c r="BI280" s="1526"/>
      <c r="BJ280" s="1526"/>
      <c r="BK280" s="1526" t="e">
        <f t="shared" si="29"/>
        <v>#REF!</v>
      </c>
      <c r="BL280" s="1526"/>
      <c r="BM280" s="1526"/>
      <c r="BN280" s="1526"/>
      <c r="BO280" s="1526"/>
      <c r="BP280" s="1526"/>
      <c r="BQ280" s="1526"/>
      <c r="BR280" s="1526"/>
      <c r="BS280" s="1526"/>
      <c r="BT280" s="1526"/>
      <c r="BU280" s="1686" t="e">
        <f>#REF!</f>
        <v>#REF!</v>
      </c>
      <c r="BV280" s="1687"/>
      <c r="BW280" s="1687"/>
      <c r="BX280" s="1687"/>
      <c r="BY280" s="1687"/>
      <c r="BZ280" s="1687"/>
      <c r="CA280" s="1687"/>
      <c r="CB280" s="1687"/>
      <c r="CC280" s="1687"/>
      <c r="CD280" s="1687"/>
      <c r="CE280" s="1687"/>
      <c r="CF280" s="1688"/>
    </row>
    <row r="281" spans="1:88" s="535" customFormat="1" ht="23.1" customHeight="1">
      <c r="E281" s="1636"/>
      <c r="F281" s="1642"/>
      <c r="G281" s="1642"/>
      <c r="H281" s="1642"/>
      <c r="I281" s="1606" t="s">
        <v>359</v>
      </c>
      <c r="J281" s="1606"/>
      <c r="K281" s="1606"/>
      <c r="L281" s="1606"/>
      <c r="M281" s="1606"/>
      <c r="N281" s="1606"/>
      <c r="O281" s="1606"/>
      <c r="P281" s="1606"/>
      <c r="Q281" s="1606"/>
      <c r="R281" s="1606"/>
      <c r="S281" s="1606"/>
      <c r="T281" s="1616">
        <v>8.0000000000000002E-3</v>
      </c>
      <c r="U281" s="1616"/>
      <c r="V281" s="1616"/>
      <c r="W281" s="1616"/>
      <c r="X281" s="1616"/>
      <c r="Y281" s="1616"/>
      <c r="Z281" s="1616"/>
      <c r="AA281" s="1616"/>
      <c r="AB281" s="1616" t="s">
        <v>437</v>
      </c>
      <c r="AC281" s="1616"/>
      <c r="AD281" s="1616"/>
      <c r="AE281" s="1616"/>
      <c r="AF281" s="1616"/>
      <c r="AG281" s="1526" t="e">
        <f>BU281*T281</f>
        <v>#REF!</v>
      </c>
      <c r="AH281" s="1526"/>
      <c r="AI281" s="1526"/>
      <c r="AJ281" s="1526"/>
      <c r="AK281" s="1526"/>
      <c r="AL281" s="1526"/>
      <c r="AM281" s="1526"/>
      <c r="AN281" s="1526"/>
      <c r="AO281" s="1526"/>
      <c r="AP281" s="1526"/>
      <c r="AQ281" s="1526"/>
      <c r="AR281" s="1526"/>
      <c r="AS281" s="1526"/>
      <c r="AT281" s="1526"/>
      <c r="AU281" s="1526"/>
      <c r="AV281" s="1526"/>
      <c r="AW281" s="1526"/>
      <c r="AX281" s="1526"/>
      <c r="AY281" s="1526"/>
      <c r="AZ281" s="1526"/>
      <c r="BA281" s="1526"/>
      <c r="BB281" s="1526"/>
      <c r="BC281" s="1526"/>
      <c r="BD281" s="1526"/>
      <c r="BE281" s="1526"/>
      <c r="BF281" s="1526"/>
      <c r="BG281" s="1526"/>
      <c r="BH281" s="1526"/>
      <c r="BI281" s="1526"/>
      <c r="BJ281" s="1526"/>
      <c r="BK281" s="1526" t="e">
        <f t="shared" si="29"/>
        <v>#REF!</v>
      </c>
      <c r="BL281" s="1526"/>
      <c r="BM281" s="1526"/>
      <c r="BN281" s="1526"/>
      <c r="BO281" s="1526"/>
      <c r="BP281" s="1526"/>
      <c r="BQ281" s="1526"/>
      <c r="BR281" s="1526"/>
      <c r="BS281" s="1526"/>
      <c r="BT281" s="1526"/>
      <c r="BU281" s="1686" t="e">
        <f>#REF!</f>
        <v>#REF!</v>
      </c>
      <c r="BV281" s="1687"/>
      <c r="BW281" s="1687"/>
      <c r="BX281" s="1687"/>
      <c r="BY281" s="1687"/>
      <c r="BZ281" s="1687"/>
      <c r="CA281" s="1687"/>
      <c r="CB281" s="1687"/>
      <c r="CC281" s="1687"/>
      <c r="CD281" s="1687"/>
      <c r="CE281" s="1687"/>
      <c r="CF281" s="1688"/>
    </row>
    <row r="282" spans="1:88" s="535" customFormat="1" ht="23.1" customHeight="1" thickBot="1">
      <c r="E282" s="1690"/>
      <c r="F282" s="1691"/>
      <c r="G282" s="1691"/>
      <c r="H282" s="1691"/>
      <c r="I282" s="1607" t="s">
        <v>399</v>
      </c>
      <c r="J282" s="1607"/>
      <c r="K282" s="1607"/>
      <c r="L282" s="1607"/>
      <c r="M282" s="1607"/>
      <c r="N282" s="1607"/>
      <c r="O282" s="1607"/>
      <c r="P282" s="1607"/>
      <c r="Q282" s="1607"/>
      <c r="R282" s="1607"/>
      <c r="S282" s="1607"/>
      <c r="T282" s="1689">
        <v>0.01</v>
      </c>
      <c r="U282" s="1689"/>
      <c r="V282" s="1689"/>
      <c r="W282" s="1689"/>
      <c r="X282" s="1689"/>
      <c r="Y282" s="1689"/>
      <c r="Z282" s="1689"/>
      <c r="AA282" s="1689"/>
      <c r="AB282" s="1689" t="s">
        <v>437</v>
      </c>
      <c r="AC282" s="1689"/>
      <c r="AD282" s="1689"/>
      <c r="AE282" s="1689"/>
      <c r="AF282" s="1689"/>
      <c r="AG282" s="1516" t="e">
        <f>BU282*T282</f>
        <v>#REF!</v>
      </c>
      <c r="AH282" s="1516"/>
      <c r="AI282" s="1516"/>
      <c r="AJ282" s="1516"/>
      <c r="AK282" s="1516"/>
      <c r="AL282" s="1516"/>
      <c r="AM282" s="1516"/>
      <c r="AN282" s="1516"/>
      <c r="AO282" s="1516"/>
      <c r="AP282" s="1516"/>
      <c r="AQ282" s="1516"/>
      <c r="AR282" s="1516"/>
      <c r="AS282" s="1516"/>
      <c r="AT282" s="1516"/>
      <c r="AU282" s="1516"/>
      <c r="AV282" s="1516"/>
      <c r="AW282" s="1516"/>
      <c r="AX282" s="1516"/>
      <c r="AY282" s="1516"/>
      <c r="AZ282" s="1516"/>
      <c r="BA282" s="1516"/>
      <c r="BB282" s="1516"/>
      <c r="BC282" s="1516"/>
      <c r="BD282" s="1516"/>
      <c r="BE282" s="1516"/>
      <c r="BF282" s="1516"/>
      <c r="BG282" s="1516"/>
      <c r="BH282" s="1516"/>
      <c r="BI282" s="1516"/>
      <c r="BJ282" s="1516"/>
      <c r="BK282" s="1516" t="e">
        <f t="shared" si="29"/>
        <v>#REF!</v>
      </c>
      <c r="BL282" s="1516"/>
      <c r="BM282" s="1516"/>
      <c r="BN282" s="1516"/>
      <c r="BO282" s="1516"/>
      <c r="BP282" s="1516"/>
      <c r="BQ282" s="1516"/>
      <c r="BR282" s="1516"/>
      <c r="BS282" s="1516"/>
      <c r="BT282" s="1516"/>
      <c r="BU282" s="1686" t="e">
        <f>#REF!</f>
        <v>#REF!</v>
      </c>
      <c r="BV282" s="1687"/>
      <c r="BW282" s="1687"/>
      <c r="BX282" s="1687"/>
      <c r="BY282" s="1687"/>
      <c r="BZ282" s="1687"/>
      <c r="CA282" s="1687"/>
      <c r="CB282" s="1687"/>
      <c r="CC282" s="1687"/>
      <c r="CD282" s="1687"/>
      <c r="CE282" s="1687"/>
      <c r="CF282" s="1688"/>
    </row>
    <row r="283" spans="1:88" s="535" customFormat="1" ht="23.1" customHeight="1" thickTop="1">
      <c r="E283" s="1681" t="s">
        <v>438</v>
      </c>
      <c r="F283" s="1682"/>
      <c r="G283" s="1682"/>
      <c r="H283" s="1682"/>
      <c r="I283" s="1620" t="s">
        <v>395</v>
      </c>
      <c r="J283" s="1620"/>
      <c r="K283" s="1620"/>
      <c r="L283" s="1620"/>
      <c r="M283" s="1620"/>
      <c r="N283" s="1620"/>
      <c r="O283" s="1620"/>
      <c r="P283" s="1620"/>
      <c r="Q283" s="1620"/>
      <c r="R283" s="1620"/>
      <c r="S283" s="1620"/>
      <c r="T283" s="1685"/>
      <c r="U283" s="1685"/>
      <c r="V283" s="1685"/>
      <c r="W283" s="1685"/>
      <c r="X283" s="1685"/>
      <c r="Y283" s="1685"/>
      <c r="Z283" s="1685"/>
      <c r="AA283" s="1685"/>
      <c r="AB283" s="1685"/>
      <c r="AC283" s="1685"/>
      <c r="AD283" s="1685"/>
      <c r="AE283" s="1685"/>
      <c r="AF283" s="1685"/>
      <c r="AG283" s="1532" t="e">
        <f>AG274+AG277+AG280</f>
        <v>#REF!</v>
      </c>
      <c r="AH283" s="1532"/>
      <c r="AI283" s="1532"/>
      <c r="AJ283" s="1532"/>
      <c r="AK283" s="1532"/>
      <c r="AL283" s="1532"/>
      <c r="AM283" s="1532"/>
      <c r="AN283" s="1532"/>
      <c r="AO283" s="1532"/>
      <c r="AP283" s="1532"/>
      <c r="AQ283" s="1532" t="e">
        <f>AQ274+AQ277+AQ280</f>
        <v>#REF!</v>
      </c>
      <c r="AR283" s="1532"/>
      <c r="AS283" s="1532"/>
      <c r="AT283" s="1532"/>
      <c r="AU283" s="1532"/>
      <c r="AV283" s="1532"/>
      <c r="AW283" s="1532"/>
      <c r="AX283" s="1532"/>
      <c r="AY283" s="1532"/>
      <c r="AZ283" s="1532"/>
      <c r="BA283" s="1532" t="e">
        <f>BA274+BA277+BA280</f>
        <v>#REF!</v>
      </c>
      <c r="BB283" s="1532"/>
      <c r="BC283" s="1532"/>
      <c r="BD283" s="1532"/>
      <c r="BE283" s="1532"/>
      <c r="BF283" s="1532"/>
      <c r="BG283" s="1532"/>
      <c r="BH283" s="1532"/>
      <c r="BI283" s="1532"/>
      <c r="BJ283" s="1532"/>
      <c r="BK283" s="1532" t="e">
        <f t="shared" si="29"/>
        <v>#REF!</v>
      </c>
      <c r="BL283" s="1532"/>
      <c r="BM283" s="1532"/>
      <c r="BN283" s="1532"/>
      <c r="BO283" s="1532"/>
      <c r="BP283" s="1532"/>
      <c r="BQ283" s="1532"/>
      <c r="BR283" s="1532"/>
      <c r="BS283" s="1532"/>
      <c r="BT283" s="1532"/>
      <c r="BU283" s="1679"/>
      <c r="BV283" s="1679"/>
      <c r="BW283" s="1679"/>
      <c r="BX283" s="1679"/>
      <c r="BY283" s="1679"/>
      <c r="BZ283" s="1679"/>
      <c r="CA283" s="1679"/>
      <c r="CB283" s="1679"/>
      <c r="CC283" s="1679"/>
      <c r="CD283" s="1679"/>
      <c r="CE283" s="1679"/>
      <c r="CF283" s="1680"/>
    </row>
    <row r="284" spans="1:88" s="535" customFormat="1" ht="23.1" customHeight="1">
      <c r="E284" s="1636"/>
      <c r="F284" s="1642"/>
      <c r="G284" s="1642"/>
      <c r="H284" s="1642"/>
      <c r="I284" s="1606" t="s">
        <v>359</v>
      </c>
      <c r="J284" s="1606"/>
      <c r="K284" s="1606"/>
      <c r="L284" s="1606"/>
      <c r="M284" s="1606"/>
      <c r="N284" s="1606"/>
      <c r="O284" s="1606"/>
      <c r="P284" s="1606"/>
      <c r="Q284" s="1606"/>
      <c r="R284" s="1606"/>
      <c r="S284" s="1606"/>
      <c r="T284" s="1616"/>
      <c r="U284" s="1616"/>
      <c r="V284" s="1616"/>
      <c r="W284" s="1616"/>
      <c r="X284" s="1616"/>
      <c r="Y284" s="1616"/>
      <c r="Z284" s="1616"/>
      <c r="AA284" s="1616"/>
      <c r="AB284" s="1616"/>
      <c r="AC284" s="1616"/>
      <c r="AD284" s="1616"/>
      <c r="AE284" s="1616"/>
      <c r="AF284" s="1616"/>
      <c r="AG284" s="1526" t="e">
        <f>AG275+AG278+AG281</f>
        <v>#REF!</v>
      </c>
      <c r="AH284" s="1526"/>
      <c r="AI284" s="1526"/>
      <c r="AJ284" s="1526"/>
      <c r="AK284" s="1526"/>
      <c r="AL284" s="1526"/>
      <c r="AM284" s="1526"/>
      <c r="AN284" s="1526"/>
      <c r="AO284" s="1526"/>
      <c r="AP284" s="1526"/>
      <c r="AQ284" s="1526" t="e">
        <f>AQ275+AQ278+AQ281</f>
        <v>#REF!</v>
      </c>
      <c r="AR284" s="1526"/>
      <c r="AS284" s="1526"/>
      <c r="AT284" s="1526"/>
      <c r="AU284" s="1526"/>
      <c r="AV284" s="1526"/>
      <c r="AW284" s="1526"/>
      <c r="AX284" s="1526"/>
      <c r="AY284" s="1526"/>
      <c r="AZ284" s="1526"/>
      <c r="BA284" s="1526" t="e">
        <f>BA275+BA278+BA281</f>
        <v>#REF!</v>
      </c>
      <c r="BB284" s="1526"/>
      <c r="BC284" s="1526"/>
      <c r="BD284" s="1526"/>
      <c r="BE284" s="1526"/>
      <c r="BF284" s="1526"/>
      <c r="BG284" s="1526"/>
      <c r="BH284" s="1526"/>
      <c r="BI284" s="1526"/>
      <c r="BJ284" s="1526"/>
      <c r="BK284" s="1526" t="e">
        <f t="shared" si="29"/>
        <v>#REF!</v>
      </c>
      <c r="BL284" s="1526"/>
      <c r="BM284" s="1526"/>
      <c r="BN284" s="1526"/>
      <c r="BO284" s="1526"/>
      <c r="BP284" s="1526"/>
      <c r="BQ284" s="1526"/>
      <c r="BR284" s="1526"/>
      <c r="BS284" s="1526"/>
      <c r="BT284" s="1526"/>
      <c r="BU284" s="1675"/>
      <c r="BV284" s="1675"/>
      <c r="BW284" s="1675"/>
      <c r="BX284" s="1675"/>
      <c r="BY284" s="1675"/>
      <c r="BZ284" s="1675"/>
      <c r="CA284" s="1675"/>
      <c r="CB284" s="1675"/>
      <c r="CC284" s="1675"/>
      <c r="CD284" s="1675"/>
      <c r="CE284" s="1675"/>
      <c r="CF284" s="1676"/>
    </row>
    <row r="285" spans="1:88" s="535" customFormat="1" ht="23.1" customHeight="1" thickBot="1">
      <c r="E285" s="1683"/>
      <c r="F285" s="1684"/>
      <c r="G285" s="1684"/>
      <c r="H285" s="1684"/>
      <c r="I285" s="1599" t="s">
        <v>399</v>
      </c>
      <c r="J285" s="1599"/>
      <c r="K285" s="1599"/>
      <c r="L285" s="1599"/>
      <c r="M285" s="1599"/>
      <c r="N285" s="1599"/>
      <c r="O285" s="1599"/>
      <c r="P285" s="1599"/>
      <c r="Q285" s="1599"/>
      <c r="R285" s="1599"/>
      <c r="S285" s="1599"/>
      <c r="T285" s="1629"/>
      <c r="U285" s="1629"/>
      <c r="V285" s="1629"/>
      <c r="W285" s="1629"/>
      <c r="X285" s="1629"/>
      <c r="Y285" s="1629"/>
      <c r="Z285" s="1629"/>
      <c r="AA285" s="1629"/>
      <c r="AB285" s="1629"/>
      <c r="AC285" s="1629"/>
      <c r="AD285" s="1629"/>
      <c r="AE285" s="1629"/>
      <c r="AF285" s="1629"/>
      <c r="AG285" s="1507" t="e">
        <f>AG276+AG279+AG282</f>
        <v>#REF!</v>
      </c>
      <c r="AH285" s="1507"/>
      <c r="AI285" s="1507"/>
      <c r="AJ285" s="1507"/>
      <c r="AK285" s="1507"/>
      <c r="AL285" s="1507"/>
      <c r="AM285" s="1507"/>
      <c r="AN285" s="1507"/>
      <c r="AO285" s="1507"/>
      <c r="AP285" s="1507"/>
      <c r="AQ285" s="1507" t="e">
        <f>AQ276+AQ279+AQ282</f>
        <v>#REF!</v>
      </c>
      <c r="AR285" s="1507"/>
      <c r="AS285" s="1507"/>
      <c r="AT285" s="1507"/>
      <c r="AU285" s="1507"/>
      <c r="AV285" s="1507"/>
      <c r="AW285" s="1507"/>
      <c r="AX285" s="1507"/>
      <c r="AY285" s="1507"/>
      <c r="AZ285" s="1507"/>
      <c r="BA285" s="1507" t="e">
        <f>BA276+BA279+BA282</f>
        <v>#REF!</v>
      </c>
      <c r="BB285" s="1507"/>
      <c r="BC285" s="1507"/>
      <c r="BD285" s="1507"/>
      <c r="BE285" s="1507"/>
      <c r="BF285" s="1507"/>
      <c r="BG285" s="1507"/>
      <c r="BH285" s="1507"/>
      <c r="BI285" s="1507"/>
      <c r="BJ285" s="1507"/>
      <c r="BK285" s="1507" t="e">
        <f t="shared" si="29"/>
        <v>#REF!</v>
      </c>
      <c r="BL285" s="1507"/>
      <c r="BM285" s="1507"/>
      <c r="BN285" s="1507"/>
      <c r="BO285" s="1507"/>
      <c r="BP285" s="1507"/>
      <c r="BQ285" s="1507"/>
      <c r="BR285" s="1507"/>
      <c r="BS285" s="1507"/>
      <c r="BT285" s="1507"/>
      <c r="BU285" s="1677"/>
      <c r="BV285" s="1677"/>
      <c r="BW285" s="1677"/>
      <c r="BX285" s="1677"/>
      <c r="BY285" s="1677"/>
      <c r="BZ285" s="1677"/>
      <c r="CA285" s="1677"/>
      <c r="CB285" s="1677"/>
      <c r="CC285" s="1677"/>
      <c r="CD285" s="1677"/>
      <c r="CE285" s="1677"/>
      <c r="CF285" s="1678"/>
    </row>
    <row r="286" spans="1:88" s="534" customFormat="1" ht="9.9499999999999993" customHeight="1">
      <c r="A286" s="536"/>
      <c r="B286" s="536"/>
      <c r="C286" s="536"/>
      <c r="D286" s="536"/>
      <c r="E286" s="536"/>
      <c r="F286" s="536"/>
      <c r="G286" s="536"/>
      <c r="H286" s="536"/>
      <c r="I286" s="536"/>
      <c r="J286" s="536"/>
      <c r="K286" s="536"/>
      <c r="L286" s="536"/>
      <c r="M286" s="536"/>
      <c r="N286" s="536"/>
      <c r="O286" s="536"/>
      <c r="P286" s="536"/>
      <c r="Q286" s="536"/>
      <c r="R286" s="536"/>
      <c r="S286" s="536"/>
      <c r="T286" s="536"/>
      <c r="U286" s="536"/>
      <c r="V286" s="536"/>
      <c r="W286" s="536"/>
      <c r="X286" s="536"/>
      <c r="Y286" s="536"/>
      <c r="Z286" s="536"/>
      <c r="AA286" s="536"/>
      <c r="AB286" s="536"/>
      <c r="AC286" s="536"/>
      <c r="AD286" s="536"/>
      <c r="AE286" s="536"/>
      <c r="AF286" s="536"/>
      <c r="AG286" s="536"/>
      <c r="AH286" s="536"/>
      <c r="AI286" s="536"/>
      <c r="AJ286" s="536"/>
      <c r="AK286" s="536"/>
      <c r="AL286" s="536"/>
      <c r="AM286" s="536"/>
      <c r="AN286" s="536"/>
      <c r="AO286" s="536"/>
      <c r="AP286" s="536"/>
      <c r="AQ286" s="536"/>
      <c r="AR286" s="536"/>
      <c r="AS286" s="536"/>
      <c r="AT286" s="536"/>
      <c r="AU286" s="536"/>
      <c r="AV286" s="536"/>
      <c r="AW286" s="536"/>
      <c r="AX286" s="536"/>
      <c r="AY286" s="536"/>
      <c r="AZ286" s="536"/>
      <c r="BA286" s="536"/>
      <c r="BB286" s="536"/>
      <c r="BC286" s="536"/>
      <c r="BD286" s="536"/>
      <c r="BE286" s="536"/>
      <c r="BF286" s="536"/>
      <c r="BG286" s="536"/>
      <c r="BH286" s="536"/>
      <c r="BI286" s="536"/>
      <c r="BJ286" s="536"/>
      <c r="BK286" s="536"/>
      <c r="BL286" s="536"/>
      <c r="BM286" s="536"/>
      <c r="BN286" s="536"/>
      <c r="BO286" s="536"/>
      <c r="BP286" s="536"/>
      <c r="BQ286" s="536"/>
      <c r="BR286" s="536"/>
      <c r="BS286" s="536"/>
      <c r="BT286" s="536"/>
      <c r="BU286" s="536"/>
      <c r="BV286" s="536"/>
      <c r="BW286" s="536"/>
      <c r="BX286" s="536"/>
      <c r="BY286" s="536"/>
      <c r="BZ286" s="536"/>
      <c r="CA286" s="536"/>
      <c r="CB286" s="536"/>
      <c r="CC286" s="536"/>
      <c r="CD286" s="536"/>
      <c r="CE286" s="536"/>
      <c r="CF286" s="536"/>
      <c r="CJ286" s="535"/>
    </row>
    <row r="287" spans="1:88" s="534" customFormat="1" ht="28.35" customHeight="1">
      <c r="A287" s="1579" t="s">
        <v>482</v>
      </c>
      <c r="B287" s="1579"/>
      <c r="C287" s="1579"/>
      <c r="D287" s="1579"/>
      <c r="E287" s="1579"/>
      <c r="F287" s="1579"/>
      <c r="G287" s="1579"/>
      <c r="H287" s="1579"/>
      <c r="I287" s="1579"/>
      <c r="J287" s="1579"/>
      <c r="K287" s="1579"/>
      <c r="L287" s="1579"/>
      <c r="M287" s="1579"/>
      <c r="N287" s="1579"/>
      <c r="O287" s="1579"/>
      <c r="P287" s="1579"/>
      <c r="Q287" s="1579"/>
      <c r="R287" s="1579"/>
      <c r="S287" s="1579"/>
      <c r="T287" s="1579"/>
      <c r="U287" s="1579"/>
      <c r="V287" s="1579"/>
      <c r="W287" s="1579"/>
      <c r="X287" s="1579"/>
      <c r="Y287" s="1579"/>
      <c r="Z287" s="1579"/>
      <c r="AA287" s="1579"/>
      <c r="AB287" s="1579"/>
      <c r="AC287" s="1579"/>
      <c r="AD287" s="1579"/>
      <c r="AE287" s="1579"/>
      <c r="AF287" s="1579"/>
      <c r="AG287" s="1579"/>
      <c r="AH287" s="1579"/>
      <c r="AI287" s="1579"/>
      <c r="AJ287" s="1579"/>
      <c r="AK287" s="1579"/>
      <c r="AL287" s="1579"/>
      <c r="AM287" s="1579"/>
      <c r="AN287" s="1579"/>
      <c r="AO287" s="1579"/>
      <c r="AP287" s="1579"/>
      <c r="AQ287" s="1579"/>
      <c r="AR287" s="1579"/>
      <c r="AS287" s="1579"/>
      <c r="AT287" s="1579"/>
      <c r="AU287" s="1579"/>
      <c r="AV287" s="1579"/>
      <c r="AW287" s="1579"/>
      <c r="AX287" s="1579"/>
      <c r="AY287" s="1579"/>
      <c r="AZ287" s="1579"/>
      <c r="BA287" s="1579"/>
      <c r="BB287" s="1579"/>
      <c r="BC287" s="1579"/>
      <c r="BD287" s="1579"/>
      <c r="BE287" s="1579"/>
      <c r="BF287" s="1579"/>
      <c r="BG287" s="1579"/>
      <c r="BH287" s="1579"/>
      <c r="BI287" s="1579"/>
      <c r="BJ287" s="1579"/>
      <c r="BK287" s="1579"/>
      <c r="BL287" s="1579"/>
      <c r="BM287" s="1579"/>
      <c r="BN287" s="1579"/>
      <c r="BO287" s="1579"/>
      <c r="BP287" s="1579"/>
      <c r="BQ287" s="1579"/>
      <c r="BR287" s="1579"/>
      <c r="BS287" s="1579"/>
      <c r="BT287" s="1579"/>
      <c r="BU287" s="1579"/>
      <c r="BV287" s="1579"/>
      <c r="BW287" s="1579"/>
      <c r="BX287" s="1579"/>
      <c r="BY287" s="1579"/>
      <c r="BZ287" s="1579"/>
      <c r="CA287" s="1579"/>
      <c r="CB287" s="1579"/>
      <c r="CC287" s="1579"/>
      <c r="CD287" s="1579"/>
      <c r="CE287" s="1579"/>
      <c r="CF287" s="1579"/>
      <c r="CJ287" s="535"/>
    </row>
    <row r="288" spans="1:88" s="534" customFormat="1" ht="9.9499999999999993" customHeight="1">
      <c r="A288" s="536"/>
      <c r="B288" s="536"/>
      <c r="C288" s="536"/>
      <c r="D288" s="536"/>
      <c r="E288" s="536"/>
      <c r="F288" s="536"/>
      <c r="G288" s="536"/>
      <c r="H288" s="536"/>
      <c r="I288" s="536"/>
      <c r="J288" s="536"/>
      <c r="K288" s="536"/>
      <c r="L288" s="536"/>
      <c r="M288" s="536"/>
      <c r="N288" s="536"/>
      <c r="O288" s="536"/>
      <c r="P288" s="536"/>
      <c r="Q288" s="536"/>
      <c r="R288" s="536"/>
      <c r="S288" s="536"/>
      <c r="T288" s="536"/>
      <c r="U288" s="536"/>
      <c r="V288" s="536"/>
      <c r="W288" s="536"/>
      <c r="X288" s="536"/>
      <c r="Y288" s="536"/>
      <c r="Z288" s="536"/>
      <c r="AA288" s="536"/>
      <c r="AB288" s="536"/>
      <c r="AC288" s="536"/>
      <c r="AD288" s="536"/>
      <c r="AE288" s="536"/>
      <c r="AF288" s="536"/>
      <c r="AG288" s="536"/>
      <c r="AH288" s="536"/>
      <c r="AI288" s="536"/>
      <c r="AJ288" s="536"/>
      <c r="AK288" s="536"/>
      <c r="AL288" s="536"/>
      <c r="AM288" s="536"/>
      <c r="AN288" s="536"/>
      <c r="AO288" s="536"/>
      <c r="AP288" s="536"/>
      <c r="AQ288" s="536"/>
      <c r="AR288" s="536"/>
      <c r="AS288" s="536"/>
      <c r="AT288" s="536"/>
      <c r="AU288" s="536"/>
      <c r="AV288" s="536"/>
      <c r="AW288" s="536"/>
      <c r="AX288" s="536"/>
      <c r="AY288" s="536"/>
      <c r="AZ288" s="536"/>
      <c r="BA288" s="536"/>
      <c r="BB288" s="536"/>
      <c r="BC288" s="536"/>
      <c r="BD288" s="536"/>
      <c r="BE288" s="536"/>
      <c r="BF288" s="536"/>
      <c r="BG288" s="536"/>
      <c r="BH288" s="536"/>
      <c r="BI288" s="536"/>
      <c r="BJ288" s="536"/>
      <c r="BK288" s="536"/>
      <c r="BL288" s="536"/>
      <c r="BM288" s="536"/>
      <c r="BN288" s="536"/>
      <c r="BO288" s="536"/>
      <c r="BP288" s="536"/>
      <c r="BQ288" s="536"/>
      <c r="BR288" s="536"/>
      <c r="BS288" s="536"/>
      <c r="BT288" s="536"/>
      <c r="BU288" s="536"/>
      <c r="BV288" s="536"/>
      <c r="BW288" s="536"/>
      <c r="BX288" s="536"/>
      <c r="BY288" s="536"/>
      <c r="BZ288" s="536"/>
      <c r="CA288" s="536"/>
      <c r="CB288" s="536"/>
      <c r="CC288" s="536"/>
      <c r="CD288" s="536"/>
      <c r="CE288" s="536"/>
      <c r="CF288" s="536"/>
      <c r="CJ288" s="535"/>
    </row>
    <row r="289" spans="1:88" s="535" customFormat="1" ht="23.1" customHeight="1">
      <c r="A289" s="537"/>
      <c r="B289" s="538" t="s">
        <v>483</v>
      </c>
      <c r="C289" s="537"/>
      <c r="D289" s="537"/>
      <c r="E289" s="537"/>
      <c r="F289" s="537"/>
      <c r="G289" s="537"/>
      <c r="H289" s="537"/>
      <c r="I289" s="537"/>
      <c r="J289" s="537"/>
      <c r="K289" s="537"/>
      <c r="L289" s="537"/>
      <c r="M289" s="537"/>
      <c r="N289" s="537"/>
      <c r="O289" s="537"/>
      <c r="P289" s="537"/>
      <c r="Q289" s="537"/>
      <c r="R289" s="537"/>
      <c r="S289" s="537"/>
      <c r="T289" s="537"/>
      <c r="U289" s="537"/>
      <c r="V289" s="537"/>
      <c r="W289" s="537"/>
      <c r="BT289" s="414"/>
      <c r="BU289" s="414"/>
      <c r="BV289" s="414"/>
      <c r="BW289" s="414"/>
      <c r="BX289" s="414"/>
      <c r="BY289" s="414"/>
      <c r="BZ289" s="414"/>
      <c r="CA289" s="414"/>
      <c r="CB289" s="414"/>
      <c r="CC289" s="414"/>
      <c r="CJ289" s="535" t="s">
        <v>737</v>
      </c>
    </row>
    <row r="290" spans="1:88" s="535" customFormat="1" ht="9.9499999999999993" customHeight="1">
      <c r="BT290" s="410"/>
      <c r="BU290" s="410"/>
      <c r="BV290" s="410"/>
      <c r="BW290" s="410"/>
      <c r="BX290" s="410"/>
      <c r="BY290" s="410"/>
      <c r="BZ290" s="410"/>
      <c r="CA290" s="410"/>
      <c r="CB290" s="410"/>
      <c r="CC290" s="410"/>
    </row>
    <row r="291" spans="1:88" s="535" customFormat="1" ht="18" customHeight="1">
      <c r="E291" s="535" t="s">
        <v>376</v>
      </c>
    </row>
    <row r="292" spans="1:88" s="535" customFormat="1" ht="18" customHeight="1">
      <c r="A292" s="540"/>
      <c r="B292" s="540"/>
      <c r="C292" s="540"/>
      <c r="D292" s="540"/>
      <c r="G292" s="535" t="s">
        <v>377</v>
      </c>
      <c r="L292" s="535" t="s">
        <v>484</v>
      </c>
      <c r="AV292" s="544"/>
      <c r="AW292" s="544"/>
      <c r="AX292" s="544"/>
      <c r="AY292" s="544"/>
      <c r="AZ292" s="544"/>
      <c r="BA292" s="544"/>
      <c r="BC292" s="544"/>
      <c r="BD292" s="544"/>
      <c r="BE292" s="545"/>
      <c r="BF292" s="545"/>
      <c r="BG292" s="545"/>
      <c r="BH292" s="545"/>
      <c r="BJ292" s="545"/>
      <c r="BK292" s="545"/>
      <c r="BL292" s="545"/>
      <c r="BM292" s="545"/>
      <c r="BN292" s="545"/>
      <c r="BO292" s="545"/>
      <c r="BP292" s="545"/>
      <c r="BQ292" s="545"/>
      <c r="BR292" s="545"/>
      <c r="BS292" s="545"/>
      <c r="BT292" s="545"/>
      <c r="BU292" s="545"/>
      <c r="BV292" s="545"/>
      <c r="BW292" s="545"/>
      <c r="BX292" s="545"/>
      <c r="BY292" s="545"/>
      <c r="BZ292" s="545"/>
      <c r="CA292" s="545"/>
      <c r="CB292" s="545"/>
      <c r="CC292" s="545"/>
    </row>
    <row r="293" spans="1:88" s="535" customFormat="1" ht="18" customHeight="1">
      <c r="G293" s="540"/>
      <c r="I293" s="535" t="s">
        <v>485</v>
      </c>
      <c r="AA293" s="1672">
        <v>2</v>
      </c>
      <c r="AB293" s="1672"/>
      <c r="AC293" s="1672"/>
      <c r="AD293" s="535" t="s">
        <v>272</v>
      </c>
      <c r="AT293" s="535" t="s">
        <v>486</v>
      </c>
      <c r="BG293" s="1580">
        <v>200</v>
      </c>
      <c r="BH293" s="1580"/>
      <c r="BI293" s="1580"/>
      <c r="BJ293" s="1580"/>
      <c r="BK293" s="1580"/>
      <c r="BL293" s="535" t="s">
        <v>487</v>
      </c>
      <c r="BN293" s="430"/>
      <c r="BO293" s="430"/>
      <c r="BP293" s="430"/>
      <c r="BQ293" s="430"/>
      <c r="BT293" s="410"/>
      <c r="BU293" s="410"/>
      <c r="BV293" s="410"/>
      <c r="BW293" s="410"/>
      <c r="BX293" s="410"/>
      <c r="BY293" s="410"/>
      <c r="BZ293" s="410"/>
      <c r="CA293" s="410"/>
      <c r="CB293" s="410"/>
      <c r="CC293" s="410"/>
    </row>
    <row r="294" spans="1:88" s="535" customFormat="1" ht="18" customHeight="1">
      <c r="D294" s="542"/>
      <c r="I294" s="535" t="s">
        <v>488</v>
      </c>
      <c r="V294" s="1580">
        <v>5</v>
      </c>
      <c r="W294" s="1580"/>
      <c r="X294" s="1580"/>
      <c r="Y294" s="535" t="s">
        <v>381</v>
      </c>
      <c r="AB294" s="554"/>
      <c r="AM294" s="544"/>
      <c r="AR294" s="414"/>
      <c r="AS294" s="414"/>
      <c r="AT294" s="544" t="s">
        <v>463</v>
      </c>
      <c r="BG294" s="1580">
        <v>0.65</v>
      </c>
      <c r="BH294" s="1580"/>
      <c r="BI294" s="1580"/>
      <c r="BJ294" s="1580"/>
      <c r="BK294" s="1580"/>
      <c r="BT294" s="414"/>
      <c r="BU294" s="414"/>
      <c r="BV294" s="414"/>
      <c r="BW294" s="414"/>
      <c r="BX294" s="414"/>
      <c r="BY294" s="414"/>
      <c r="BZ294" s="414"/>
      <c r="CA294" s="414"/>
      <c r="CB294" s="414"/>
      <c r="CC294" s="414"/>
    </row>
    <row r="295" spans="1:88" s="535" customFormat="1" ht="9.9499999999999993" customHeight="1">
      <c r="I295" s="544"/>
      <c r="BT295" s="410"/>
      <c r="BU295" s="410"/>
      <c r="BV295" s="410"/>
      <c r="BW295" s="410"/>
      <c r="BX295" s="410"/>
      <c r="BY295" s="410"/>
      <c r="BZ295" s="410"/>
      <c r="CA295" s="410"/>
      <c r="CB295" s="410"/>
      <c r="CC295" s="410"/>
    </row>
    <row r="296" spans="1:88" s="535" customFormat="1" ht="18" customHeight="1">
      <c r="G296" s="535" t="s">
        <v>377</v>
      </c>
      <c r="L296" s="542" t="str">
        <f>AA293&amp;" × "&amp;BG293&amp;" × "&amp;V294/100&amp;" × "&amp;BG294</f>
        <v>2 × 200 × 0.05 × 0.65</v>
      </c>
      <c r="AG296" s="535" t="s">
        <v>41</v>
      </c>
      <c r="AI296" s="1670">
        <f>ROUND(AA293*BG293*V294/100*BG294,2)</f>
        <v>13</v>
      </c>
      <c r="AJ296" s="1670"/>
      <c r="AK296" s="1670"/>
      <c r="AL296" s="1670"/>
      <c r="AM296" s="1670"/>
      <c r="AN296" s="1670"/>
      <c r="AO296" s="1670"/>
      <c r="AP296" s="535" t="s">
        <v>489</v>
      </c>
      <c r="AT296" s="563"/>
      <c r="AU296" s="563"/>
      <c r="AV296" s="563"/>
      <c r="BF296" s="563"/>
      <c r="BG296" s="563"/>
      <c r="BT296" s="414"/>
      <c r="BU296" s="414"/>
      <c r="BV296" s="414"/>
      <c r="BW296" s="414"/>
      <c r="BX296" s="414"/>
      <c r="BY296" s="414"/>
      <c r="BZ296" s="414"/>
      <c r="CA296" s="414"/>
      <c r="CB296" s="414"/>
      <c r="CC296" s="414"/>
    </row>
    <row r="297" spans="1:88" s="535" customFormat="1" ht="9.9499999999999993" customHeight="1"/>
    <row r="298" spans="1:88" s="535" customFormat="1" ht="18" customHeight="1">
      <c r="E298" s="535" t="s">
        <v>402</v>
      </c>
    </row>
    <row r="299" spans="1:88" s="535" customFormat="1" ht="9.9499999999999993" customHeight="1" thickBot="1"/>
    <row r="300" spans="1:88" s="535" customFormat="1" ht="18" customHeight="1">
      <c r="D300" s="542"/>
      <c r="E300" s="1534" t="s">
        <v>385</v>
      </c>
      <c r="F300" s="1535"/>
      <c r="G300" s="1535"/>
      <c r="H300" s="1535"/>
      <c r="I300" s="1535"/>
      <c r="J300" s="1535"/>
      <c r="K300" s="1535"/>
      <c r="L300" s="1535"/>
      <c r="M300" s="1535"/>
      <c r="N300" s="1535"/>
      <c r="O300" s="1535"/>
      <c r="P300" s="1535"/>
      <c r="Q300" s="1535"/>
      <c r="R300" s="1535"/>
      <c r="S300" s="1535"/>
      <c r="T300" s="1535"/>
      <c r="U300" s="1535" t="s">
        <v>212</v>
      </c>
      <c r="V300" s="1535"/>
      <c r="W300" s="1535"/>
      <c r="X300" s="1535"/>
      <c r="Y300" s="1535"/>
      <c r="Z300" s="1535"/>
      <c r="AA300" s="1535"/>
      <c r="AB300" s="1535"/>
      <c r="AC300" s="1535" t="s">
        <v>403</v>
      </c>
      <c r="AD300" s="1535"/>
      <c r="AE300" s="1535"/>
      <c r="AF300" s="1535"/>
      <c r="AG300" s="1535"/>
      <c r="AH300" s="1535"/>
      <c r="AI300" s="1535"/>
      <c r="AJ300" s="1535"/>
      <c r="AK300" s="1535"/>
      <c r="AL300" s="1535"/>
      <c r="AM300" s="1535"/>
      <c r="AN300" s="1535"/>
      <c r="AO300" s="1535"/>
      <c r="AP300" s="1535"/>
      <c r="AQ300" s="1535"/>
      <c r="AR300" s="1535"/>
      <c r="AS300" s="1535"/>
      <c r="AT300" s="1535"/>
      <c r="AU300" s="1535"/>
      <c r="AV300" s="1535"/>
      <c r="AW300" s="1535"/>
      <c r="AX300" s="1535"/>
      <c r="AY300" s="1535"/>
      <c r="AZ300" s="1535"/>
      <c r="BA300" s="1537" t="s">
        <v>404</v>
      </c>
      <c r="BB300" s="1535"/>
      <c r="BC300" s="1535"/>
      <c r="BD300" s="1535"/>
      <c r="BE300" s="1535"/>
      <c r="BF300" s="1535"/>
      <c r="BG300" s="1535"/>
      <c r="BH300" s="1535"/>
      <c r="BI300" s="1535" t="s">
        <v>405</v>
      </c>
      <c r="BJ300" s="1535"/>
      <c r="BK300" s="1535"/>
      <c r="BL300" s="1535"/>
      <c r="BM300" s="1535"/>
      <c r="BN300" s="1535"/>
      <c r="BO300" s="1535"/>
      <c r="BP300" s="1535"/>
      <c r="BQ300" s="1535"/>
      <c r="BR300" s="1535"/>
      <c r="BS300" s="1535"/>
      <c r="BT300" s="1535"/>
      <c r="BU300" s="1535"/>
      <c r="BV300" s="1535"/>
      <c r="BW300" s="1535"/>
      <c r="BX300" s="1535"/>
      <c r="BY300" s="1535"/>
      <c r="BZ300" s="1535"/>
      <c r="CA300" s="1535"/>
      <c r="CB300" s="1535"/>
      <c r="CC300" s="1535"/>
      <c r="CD300" s="1535"/>
      <c r="CE300" s="1535"/>
      <c r="CF300" s="1538"/>
    </row>
    <row r="301" spans="1:88" s="535" customFormat="1" ht="18" customHeight="1" thickBot="1">
      <c r="E301" s="1536"/>
      <c r="F301" s="1527"/>
      <c r="G301" s="1527"/>
      <c r="H301" s="1527"/>
      <c r="I301" s="1527"/>
      <c r="J301" s="1527"/>
      <c r="K301" s="1527"/>
      <c r="L301" s="1527"/>
      <c r="M301" s="1527"/>
      <c r="N301" s="1527"/>
      <c r="O301" s="1527"/>
      <c r="P301" s="1527"/>
      <c r="Q301" s="1527"/>
      <c r="R301" s="1527"/>
      <c r="S301" s="1527"/>
      <c r="T301" s="1527"/>
      <c r="U301" s="1527"/>
      <c r="V301" s="1527"/>
      <c r="W301" s="1527"/>
      <c r="X301" s="1527"/>
      <c r="Y301" s="1527"/>
      <c r="Z301" s="1527"/>
      <c r="AA301" s="1527"/>
      <c r="AB301" s="1527"/>
      <c r="AC301" s="1527" t="s">
        <v>406</v>
      </c>
      <c r="AD301" s="1527"/>
      <c r="AE301" s="1527"/>
      <c r="AF301" s="1527"/>
      <c r="AG301" s="1527"/>
      <c r="AH301" s="1527"/>
      <c r="AI301" s="1527"/>
      <c r="AJ301" s="1527"/>
      <c r="AK301" s="1527" t="s">
        <v>407</v>
      </c>
      <c r="AL301" s="1527"/>
      <c r="AM301" s="1527"/>
      <c r="AN301" s="1527"/>
      <c r="AO301" s="1527"/>
      <c r="AP301" s="1527"/>
      <c r="AQ301" s="1527"/>
      <c r="AR301" s="1527"/>
      <c r="AS301" s="1527" t="s">
        <v>408</v>
      </c>
      <c r="AT301" s="1527"/>
      <c r="AU301" s="1527"/>
      <c r="AV301" s="1527"/>
      <c r="AW301" s="1527"/>
      <c r="AX301" s="1527"/>
      <c r="AY301" s="1527"/>
      <c r="AZ301" s="1527"/>
      <c r="BA301" s="1527"/>
      <c r="BB301" s="1527"/>
      <c r="BC301" s="1527"/>
      <c r="BD301" s="1527"/>
      <c r="BE301" s="1527"/>
      <c r="BF301" s="1527"/>
      <c r="BG301" s="1527"/>
      <c r="BH301" s="1527"/>
      <c r="BI301" s="1527" t="s">
        <v>406</v>
      </c>
      <c r="BJ301" s="1527"/>
      <c r="BK301" s="1527"/>
      <c r="BL301" s="1527"/>
      <c r="BM301" s="1527"/>
      <c r="BN301" s="1527"/>
      <c r="BO301" s="1527"/>
      <c r="BP301" s="1527"/>
      <c r="BQ301" s="1527" t="s">
        <v>407</v>
      </c>
      <c r="BR301" s="1527"/>
      <c r="BS301" s="1527"/>
      <c r="BT301" s="1527"/>
      <c r="BU301" s="1527"/>
      <c r="BV301" s="1527"/>
      <c r="BW301" s="1527"/>
      <c r="BX301" s="1527"/>
      <c r="BY301" s="1527" t="s">
        <v>408</v>
      </c>
      <c r="BZ301" s="1527"/>
      <c r="CA301" s="1527"/>
      <c r="CB301" s="1527"/>
      <c r="CC301" s="1527"/>
      <c r="CD301" s="1527"/>
      <c r="CE301" s="1527"/>
      <c r="CF301" s="1528"/>
    </row>
    <row r="302" spans="1:88" s="535" customFormat="1" ht="18" customHeight="1" thickTop="1" thickBot="1">
      <c r="E302" s="1665" t="s">
        <v>490</v>
      </c>
      <c r="F302" s="1673"/>
      <c r="G302" s="1673"/>
      <c r="H302" s="1673"/>
      <c r="I302" s="1673"/>
      <c r="J302" s="1673"/>
      <c r="K302" s="1673"/>
      <c r="L302" s="1673"/>
      <c r="M302" s="1673"/>
      <c r="N302" s="1673"/>
      <c r="O302" s="1673"/>
      <c r="P302" s="1673"/>
      <c r="Q302" s="1673"/>
      <c r="R302" s="1673"/>
      <c r="S302" s="1673"/>
      <c r="T302" s="1674"/>
      <c r="U302" s="1668" t="s">
        <v>491</v>
      </c>
      <c r="V302" s="1668"/>
      <c r="W302" s="1668"/>
      <c r="X302" s="1668"/>
      <c r="Y302" s="1668"/>
      <c r="Z302" s="1668"/>
      <c r="AA302" s="1668"/>
      <c r="AB302" s="1668"/>
      <c r="AC302" s="1661" t="e">
        <f>#REF!</f>
        <v>#REF!</v>
      </c>
      <c r="AD302" s="1661"/>
      <c r="AE302" s="1661"/>
      <c r="AF302" s="1661"/>
      <c r="AG302" s="1661"/>
      <c r="AH302" s="1661"/>
      <c r="AI302" s="1661"/>
      <c r="AJ302" s="1661"/>
      <c r="AK302" s="1661" t="e">
        <f>#REF!</f>
        <v>#REF!</v>
      </c>
      <c r="AL302" s="1661"/>
      <c r="AM302" s="1661"/>
      <c r="AN302" s="1661"/>
      <c r="AO302" s="1661"/>
      <c r="AP302" s="1661"/>
      <c r="AQ302" s="1661"/>
      <c r="AR302" s="1661"/>
      <c r="AS302" s="1661" t="e">
        <f>#REF!</f>
        <v>#REF!</v>
      </c>
      <c r="AT302" s="1661"/>
      <c r="AU302" s="1661"/>
      <c r="AV302" s="1661"/>
      <c r="AW302" s="1661"/>
      <c r="AX302" s="1661"/>
      <c r="AY302" s="1661"/>
      <c r="AZ302" s="1661"/>
      <c r="BA302" s="1669">
        <f>AI296</f>
        <v>13</v>
      </c>
      <c r="BB302" s="1669"/>
      <c r="BC302" s="1669"/>
      <c r="BD302" s="1669"/>
      <c r="BE302" s="1669"/>
      <c r="BF302" s="1669"/>
      <c r="BG302" s="1669"/>
      <c r="BH302" s="1669"/>
      <c r="BI302" s="1661" t="e">
        <f>INT(AC302/$BA302)</f>
        <v>#REF!</v>
      </c>
      <c r="BJ302" s="1661"/>
      <c r="BK302" s="1661"/>
      <c r="BL302" s="1661"/>
      <c r="BM302" s="1661"/>
      <c r="BN302" s="1661"/>
      <c r="BO302" s="1661"/>
      <c r="BP302" s="1661"/>
      <c r="BQ302" s="1661" t="e">
        <f>INT(AK302/$BA302)</f>
        <v>#REF!</v>
      </c>
      <c r="BR302" s="1661"/>
      <c r="BS302" s="1661"/>
      <c r="BT302" s="1661"/>
      <c r="BU302" s="1661"/>
      <c r="BV302" s="1661"/>
      <c r="BW302" s="1661"/>
      <c r="BX302" s="1661"/>
      <c r="BY302" s="1661" t="e">
        <f>INT(AS302/$BA302)</f>
        <v>#REF!</v>
      </c>
      <c r="BZ302" s="1661"/>
      <c r="CA302" s="1661"/>
      <c r="CB302" s="1661"/>
      <c r="CC302" s="1661"/>
      <c r="CD302" s="1661"/>
      <c r="CE302" s="1661"/>
      <c r="CF302" s="1662"/>
    </row>
    <row r="303" spans="1:88" s="535" customFormat="1" ht="18" customHeight="1"/>
    <row r="304" spans="1:88" s="535" customFormat="1" ht="23.1" customHeight="1">
      <c r="A304" s="537"/>
      <c r="B304" s="538" t="s">
        <v>492</v>
      </c>
      <c r="C304" s="537"/>
      <c r="D304" s="537"/>
      <c r="E304" s="537"/>
      <c r="F304" s="537"/>
      <c r="G304" s="537"/>
      <c r="H304" s="537"/>
      <c r="I304" s="537"/>
      <c r="J304" s="537"/>
      <c r="K304" s="537"/>
      <c r="L304" s="537"/>
      <c r="M304" s="537"/>
      <c r="N304" s="537"/>
      <c r="O304" s="537"/>
      <c r="P304" s="537"/>
      <c r="Q304" s="537"/>
      <c r="R304" s="537"/>
      <c r="S304" s="537"/>
      <c r="T304" s="537"/>
      <c r="U304" s="537"/>
      <c r="V304" s="537"/>
      <c r="W304" s="537"/>
      <c r="BT304" s="414"/>
      <c r="BU304" s="414"/>
      <c r="BV304" s="414"/>
      <c r="BW304" s="414"/>
      <c r="BX304" s="414"/>
      <c r="BY304" s="414"/>
      <c r="BZ304" s="414"/>
      <c r="CA304" s="414"/>
      <c r="CB304" s="414"/>
      <c r="CC304" s="414"/>
    </row>
    <row r="305" spans="1:88" s="535" customFormat="1" ht="9.9499999999999993" customHeight="1">
      <c r="BT305" s="410"/>
      <c r="BU305" s="410"/>
      <c r="BV305" s="410"/>
      <c r="BW305" s="410"/>
      <c r="BX305" s="410"/>
      <c r="BY305" s="410"/>
      <c r="BZ305" s="410"/>
      <c r="CA305" s="410"/>
      <c r="CB305" s="410"/>
      <c r="CC305" s="410"/>
    </row>
    <row r="306" spans="1:88" s="535" customFormat="1" ht="18" customHeight="1">
      <c r="E306" s="535" t="s">
        <v>376</v>
      </c>
    </row>
    <row r="307" spans="1:88" s="535" customFormat="1" ht="18" customHeight="1">
      <c r="G307" s="535" t="s">
        <v>377</v>
      </c>
      <c r="L307" s="542" t="str">
        <f>AA308&amp;" × "&amp;BG308&amp;" × "&amp;V309/100&amp;" × "&amp;BG309</f>
        <v>1 × 60 × 0.05 × 0.65</v>
      </c>
      <c r="AF307" s="535" t="s">
        <v>41</v>
      </c>
      <c r="AH307" s="1670">
        <f>ROUND(AA308*BG308*V309/100*BG309,2)</f>
        <v>1.95</v>
      </c>
      <c r="AI307" s="1670"/>
      <c r="AJ307" s="1670"/>
      <c r="AK307" s="1670"/>
      <c r="AL307" s="1670"/>
      <c r="AM307" s="1670"/>
      <c r="AN307" s="1670"/>
      <c r="AO307" s="535" t="s">
        <v>489</v>
      </c>
      <c r="AS307" s="563"/>
      <c r="AT307" s="563"/>
      <c r="AU307" s="563"/>
      <c r="AV307" s="563"/>
      <c r="AW307" s="563"/>
      <c r="AX307" s="563"/>
      <c r="AY307" s="563"/>
      <c r="AZ307" s="563"/>
      <c r="BA307" s="563"/>
      <c r="BB307" s="563"/>
      <c r="BC307" s="563"/>
      <c r="BD307" s="563"/>
      <c r="BE307" s="563"/>
      <c r="BF307" s="563"/>
      <c r="BG307" s="563"/>
      <c r="BT307" s="414"/>
      <c r="BU307" s="414"/>
      <c r="BV307" s="414"/>
      <c r="BW307" s="414"/>
      <c r="BX307" s="414"/>
      <c r="BY307" s="414"/>
      <c r="BZ307" s="414"/>
      <c r="CA307" s="414"/>
      <c r="CB307" s="414"/>
      <c r="CC307" s="414"/>
    </row>
    <row r="308" spans="1:88" s="535" customFormat="1" ht="18" customHeight="1">
      <c r="G308" s="540"/>
      <c r="I308" s="535" t="s">
        <v>485</v>
      </c>
      <c r="AA308" s="1672">
        <v>1</v>
      </c>
      <c r="AB308" s="1672"/>
      <c r="AC308" s="1672"/>
      <c r="AD308" s="535" t="s">
        <v>272</v>
      </c>
      <c r="AT308" s="535" t="s">
        <v>486</v>
      </c>
      <c r="BG308" s="1580">
        <v>60</v>
      </c>
      <c r="BH308" s="1580"/>
      <c r="BI308" s="1580"/>
      <c r="BJ308" s="1580"/>
      <c r="BK308" s="1580"/>
      <c r="BL308" s="535" t="s">
        <v>487</v>
      </c>
      <c r="BN308" s="430"/>
      <c r="BO308" s="430"/>
      <c r="BP308" s="430"/>
      <c r="BQ308" s="430"/>
      <c r="BR308" s="430"/>
      <c r="BT308" s="410"/>
      <c r="BU308" s="410"/>
      <c r="BV308" s="410"/>
      <c r="BW308" s="410"/>
      <c r="BX308" s="410"/>
      <c r="BY308" s="410"/>
      <c r="BZ308" s="410"/>
      <c r="CA308" s="410"/>
      <c r="CB308" s="410"/>
      <c r="CC308" s="410"/>
    </row>
    <row r="309" spans="1:88" s="535" customFormat="1" ht="18" customHeight="1">
      <c r="D309" s="542"/>
      <c r="I309" s="535" t="s">
        <v>488</v>
      </c>
      <c r="V309" s="1580">
        <v>5</v>
      </c>
      <c r="W309" s="1580"/>
      <c r="X309" s="1580"/>
      <c r="Y309" s="535" t="s">
        <v>381</v>
      </c>
      <c r="AB309" s="554"/>
      <c r="AM309" s="544"/>
      <c r="AR309" s="414"/>
      <c r="AS309" s="414"/>
      <c r="AT309" s="544" t="s">
        <v>463</v>
      </c>
      <c r="BG309" s="1580">
        <v>0.65</v>
      </c>
      <c r="BH309" s="1580"/>
      <c r="BI309" s="1580"/>
      <c r="BJ309" s="1580"/>
      <c r="BK309" s="1580"/>
      <c r="BT309" s="414"/>
      <c r="BU309" s="414"/>
      <c r="BV309" s="414"/>
      <c r="BW309" s="414"/>
      <c r="BX309" s="414"/>
      <c r="BY309" s="414"/>
      <c r="BZ309" s="414"/>
      <c r="CA309" s="414"/>
      <c r="CB309" s="414"/>
      <c r="CC309" s="414"/>
    </row>
    <row r="310" spans="1:88" s="535" customFormat="1" ht="9.9499999999999993" customHeight="1"/>
    <row r="311" spans="1:88" s="535" customFormat="1" ht="18" customHeight="1">
      <c r="E311" s="535" t="s">
        <v>402</v>
      </c>
    </row>
    <row r="312" spans="1:88" s="535" customFormat="1" ht="9.9499999999999993" customHeight="1" thickBot="1"/>
    <row r="313" spans="1:88" s="535" customFormat="1" ht="18" customHeight="1">
      <c r="D313" s="542"/>
      <c r="E313" s="1534" t="s">
        <v>385</v>
      </c>
      <c r="F313" s="1535"/>
      <c r="G313" s="1535"/>
      <c r="H313" s="1535"/>
      <c r="I313" s="1535"/>
      <c r="J313" s="1535"/>
      <c r="K313" s="1535"/>
      <c r="L313" s="1535"/>
      <c r="M313" s="1535"/>
      <c r="N313" s="1535"/>
      <c r="O313" s="1535"/>
      <c r="P313" s="1535"/>
      <c r="Q313" s="1535"/>
      <c r="R313" s="1535"/>
      <c r="S313" s="1535"/>
      <c r="T313" s="1535"/>
      <c r="U313" s="1535" t="s">
        <v>212</v>
      </c>
      <c r="V313" s="1535"/>
      <c r="W313" s="1535"/>
      <c r="X313" s="1535"/>
      <c r="Y313" s="1535"/>
      <c r="Z313" s="1535"/>
      <c r="AA313" s="1535"/>
      <c r="AB313" s="1535"/>
      <c r="AC313" s="1535" t="s">
        <v>403</v>
      </c>
      <c r="AD313" s="1535"/>
      <c r="AE313" s="1535"/>
      <c r="AF313" s="1535"/>
      <c r="AG313" s="1535"/>
      <c r="AH313" s="1535"/>
      <c r="AI313" s="1535"/>
      <c r="AJ313" s="1535"/>
      <c r="AK313" s="1535"/>
      <c r="AL313" s="1535"/>
      <c r="AM313" s="1535"/>
      <c r="AN313" s="1535"/>
      <c r="AO313" s="1535"/>
      <c r="AP313" s="1535"/>
      <c r="AQ313" s="1535"/>
      <c r="AR313" s="1535"/>
      <c r="AS313" s="1535"/>
      <c r="AT313" s="1535"/>
      <c r="AU313" s="1535"/>
      <c r="AV313" s="1535"/>
      <c r="AW313" s="1535"/>
      <c r="AX313" s="1535"/>
      <c r="AY313" s="1535"/>
      <c r="AZ313" s="1535"/>
      <c r="BA313" s="1537" t="s">
        <v>404</v>
      </c>
      <c r="BB313" s="1535"/>
      <c r="BC313" s="1535"/>
      <c r="BD313" s="1535"/>
      <c r="BE313" s="1535"/>
      <c r="BF313" s="1535"/>
      <c r="BG313" s="1535"/>
      <c r="BH313" s="1535"/>
      <c r="BI313" s="1535" t="s">
        <v>405</v>
      </c>
      <c r="BJ313" s="1535"/>
      <c r="BK313" s="1535"/>
      <c r="BL313" s="1535"/>
      <c r="BM313" s="1535"/>
      <c r="BN313" s="1535"/>
      <c r="BO313" s="1535"/>
      <c r="BP313" s="1535"/>
      <c r="BQ313" s="1535"/>
      <c r="BR313" s="1535"/>
      <c r="BS313" s="1535"/>
      <c r="BT313" s="1535"/>
      <c r="BU313" s="1535"/>
      <c r="BV313" s="1535"/>
      <c r="BW313" s="1535"/>
      <c r="BX313" s="1535"/>
      <c r="BY313" s="1535"/>
      <c r="BZ313" s="1535"/>
      <c r="CA313" s="1535"/>
      <c r="CB313" s="1535"/>
      <c r="CC313" s="1535"/>
      <c r="CD313" s="1535"/>
      <c r="CE313" s="1535"/>
      <c r="CF313" s="1538"/>
    </row>
    <row r="314" spans="1:88" s="535" customFormat="1" ht="18" customHeight="1" thickBot="1">
      <c r="E314" s="1536"/>
      <c r="F314" s="1527"/>
      <c r="G314" s="1527"/>
      <c r="H314" s="1527"/>
      <c r="I314" s="1527"/>
      <c r="J314" s="1527"/>
      <c r="K314" s="1527"/>
      <c r="L314" s="1527"/>
      <c r="M314" s="1527"/>
      <c r="N314" s="1527"/>
      <c r="O314" s="1527"/>
      <c r="P314" s="1527"/>
      <c r="Q314" s="1527"/>
      <c r="R314" s="1527"/>
      <c r="S314" s="1527"/>
      <c r="T314" s="1527"/>
      <c r="U314" s="1527"/>
      <c r="V314" s="1527"/>
      <c r="W314" s="1527"/>
      <c r="X314" s="1527"/>
      <c r="Y314" s="1527"/>
      <c r="Z314" s="1527"/>
      <c r="AA314" s="1527"/>
      <c r="AB314" s="1527"/>
      <c r="AC314" s="1527" t="s">
        <v>406</v>
      </c>
      <c r="AD314" s="1527"/>
      <c r="AE314" s="1527"/>
      <c r="AF314" s="1527"/>
      <c r="AG314" s="1527"/>
      <c r="AH314" s="1527"/>
      <c r="AI314" s="1527"/>
      <c r="AJ314" s="1527"/>
      <c r="AK314" s="1527" t="s">
        <v>407</v>
      </c>
      <c r="AL314" s="1527"/>
      <c r="AM314" s="1527"/>
      <c r="AN314" s="1527"/>
      <c r="AO314" s="1527"/>
      <c r="AP314" s="1527"/>
      <c r="AQ314" s="1527"/>
      <c r="AR314" s="1527"/>
      <c r="AS314" s="1527" t="s">
        <v>408</v>
      </c>
      <c r="AT314" s="1527"/>
      <c r="AU314" s="1527"/>
      <c r="AV314" s="1527"/>
      <c r="AW314" s="1527"/>
      <c r="AX314" s="1527"/>
      <c r="AY314" s="1527"/>
      <c r="AZ314" s="1527"/>
      <c r="BA314" s="1527"/>
      <c r="BB314" s="1527"/>
      <c r="BC314" s="1527"/>
      <c r="BD314" s="1527"/>
      <c r="BE314" s="1527"/>
      <c r="BF314" s="1527"/>
      <c r="BG314" s="1527"/>
      <c r="BH314" s="1527"/>
      <c r="BI314" s="1527" t="s">
        <v>406</v>
      </c>
      <c r="BJ314" s="1527"/>
      <c r="BK314" s="1527"/>
      <c r="BL314" s="1527"/>
      <c r="BM314" s="1527"/>
      <c r="BN314" s="1527"/>
      <c r="BO314" s="1527"/>
      <c r="BP314" s="1527"/>
      <c r="BQ314" s="1527" t="s">
        <v>407</v>
      </c>
      <c r="BR314" s="1527"/>
      <c r="BS314" s="1527"/>
      <c r="BT314" s="1527"/>
      <c r="BU314" s="1527"/>
      <c r="BV314" s="1527"/>
      <c r="BW314" s="1527"/>
      <c r="BX314" s="1527"/>
      <c r="BY314" s="1527" t="s">
        <v>408</v>
      </c>
      <c r="BZ314" s="1527"/>
      <c r="CA314" s="1527"/>
      <c r="CB314" s="1527"/>
      <c r="CC314" s="1527"/>
      <c r="CD314" s="1527"/>
      <c r="CE314" s="1527"/>
      <c r="CF314" s="1528"/>
    </row>
    <row r="315" spans="1:88" s="535" customFormat="1" ht="18" customHeight="1" thickTop="1" thickBot="1">
      <c r="E315" s="1665" t="s">
        <v>490</v>
      </c>
      <c r="F315" s="1666"/>
      <c r="G315" s="1666"/>
      <c r="H315" s="1666"/>
      <c r="I315" s="1666"/>
      <c r="J315" s="1666"/>
      <c r="K315" s="1666"/>
      <c r="L315" s="1666"/>
      <c r="M315" s="1666"/>
      <c r="N315" s="1666"/>
      <c r="O315" s="1666"/>
      <c r="P315" s="1666"/>
      <c r="Q315" s="1666"/>
      <c r="R315" s="1666"/>
      <c r="S315" s="1666"/>
      <c r="T315" s="1667"/>
      <c r="U315" s="1668" t="s">
        <v>493</v>
      </c>
      <c r="V315" s="1668"/>
      <c r="W315" s="1668"/>
      <c r="X315" s="1668"/>
      <c r="Y315" s="1668"/>
      <c r="Z315" s="1668"/>
      <c r="AA315" s="1668"/>
      <c r="AB315" s="1668"/>
      <c r="AC315" s="1661" t="e">
        <f>#REF!</f>
        <v>#REF!</v>
      </c>
      <c r="AD315" s="1661"/>
      <c r="AE315" s="1661"/>
      <c r="AF315" s="1661"/>
      <c r="AG315" s="1661"/>
      <c r="AH315" s="1661"/>
      <c r="AI315" s="1661"/>
      <c r="AJ315" s="1661"/>
      <c r="AK315" s="1661" t="e">
        <f>#REF!</f>
        <v>#REF!</v>
      </c>
      <c r="AL315" s="1661"/>
      <c r="AM315" s="1661"/>
      <c r="AN315" s="1661"/>
      <c r="AO315" s="1661"/>
      <c r="AP315" s="1661"/>
      <c r="AQ315" s="1661"/>
      <c r="AR315" s="1661"/>
      <c r="AS315" s="1661" t="e">
        <f>#REF!</f>
        <v>#REF!</v>
      </c>
      <c r="AT315" s="1661"/>
      <c r="AU315" s="1661"/>
      <c r="AV315" s="1661"/>
      <c r="AW315" s="1661"/>
      <c r="AX315" s="1661"/>
      <c r="AY315" s="1661"/>
      <c r="AZ315" s="1661"/>
      <c r="BA315" s="1669">
        <f>AH307</f>
        <v>1.95</v>
      </c>
      <c r="BB315" s="1669"/>
      <c r="BC315" s="1669"/>
      <c r="BD315" s="1669"/>
      <c r="BE315" s="1669"/>
      <c r="BF315" s="1669"/>
      <c r="BG315" s="1669"/>
      <c r="BH315" s="1669"/>
      <c r="BI315" s="1661" t="e">
        <f>INT(AC315/$BA315)</f>
        <v>#REF!</v>
      </c>
      <c r="BJ315" s="1661"/>
      <c r="BK315" s="1661"/>
      <c r="BL315" s="1661"/>
      <c r="BM315" s="1661"/>
      <c r="BN315" s="1661"/>
      <c r="BO315" s="1661"/>
      <c r="BP315" s="1661"/>
      <c r="BQ315" s="1661" t="e">
        <f>INT(AK315/$BA315)</f>
        <v>#REF!</v>
      </c>
      <c r="BR315" s="1661"/>
      <c r="BS315" s="1661"/>
      <c r="BT315" s="1661"/>
      <c r="BU315" s="1661"/>
      <c r="BV315" s="1661"/>
      <c r="BW315" s="1661"/>
      <c r="BX315" s="1661"/>
      <c r="BY315" s="1661" t="e">
        <f>INT(AS315/$BA315)</f>
        <v>#REF!</v>
      </c>
      <c r="BZ315" s="1661"/>
      <c r="CA315" s="1661"/>
      <c r="CB315" s="1661"/>
      <c r="CC315" s="1661"/>
      <c r="CD315" s="1661"/>
      <c r="CE315" s="1661"/>
      <c r="CF315" s="1662"/>
    </row>
    <row r="316" spans="1:88" s="535" customFormat="1" ht="18" customHeight="1">
      <c r="BT316" s="410"/>
      <c r="BU316" s="410"/>
      <c r="BV316" s="410"/>
      <c r="BW316" s="410"/>
      <c r="BX316" s="410"/>
      <c r="BY316" s="410"/>
      <c r="BZ316" s="410"/>
      <c r="CA316" s="410"/>
      <c r="CB316" s="410"/>
      <c r="CC316" s="410"/>
    </row>
    <row r="317" spans="1:88" s="535" customFormat="1" ht="23.1" customHeight="1">
      <c r="A317" s="537"/>
      <c r="B317" s="538" t="s">
        <v>494</v>
      </c>
      <c r="C317" s="537"/>
      <c r="D317" s="537"/>
      <c r="E317" s="537"/>
      <c r="F317" s="537"/>
      <c r="G317" s="537"/>
      <c r="H317" s="537"/>
      <c r="I317" s="537"/>
      <c r="J317" s="537"/>
      <c r="K317" s="537"/>
      <c r="L317" s="537"/>
      <c r="M317" s="537"/>
      <c r="N317" s="537"/>
      <c r="O317" s="537"/>
      <c r="P317" s="537"/>
      <c r="Q317" s="537"/>
      <c r="R317" s="537"/>
      <c r="S317" s="537"/>
      <c r="T317" s="537"/>
      <c r="U317" s="537"/>
      <c r="V317" s="537"/>
      <c r="W317" s="537"/>
      <c r="BT317" s="414"/>
      <c r="BU317" s="414"/>
      <c r="BV317" s="414"/>
      <c r="BW317" s="414"/>
      <c r="BX317" s="414"/>
      <c r="BY317" s="414"/>
      <c r="BZ317" s="414"/>
      <c r="CA317" s="414"/>
      <c r="CB317" s="414"/>
      <c r="CC317" s="414"/>
      <c r="CJ317" s="535" t="s">
        <v>736</v>
      </c>
    </row>
    <row r="318" spans="1:88" s="535" customFormat="1" ht="9.9499999999999993" customHeight="1">
      <c r="BT318" s="410"/>
      <c r="BU318" s="410"/>
      <c r="BV318" s="410"/>
      <c r="BW318" s="410"/>
      <c r="BX318" s="410"/>
      <c r="BY318" s="410"/>
      <c r="BZ318" s="410"/>
      <c r="CA318" s="410"/>
      <c r="CB318" s="410"/>
      <c r="CC318" s="410"/>
    </row>
    <row r="319" spans="1:88" s="535" customFormat="1" ht="18" customHeight="1">
      <c r="E319" s="535" t="s">
        <v>376</v>
      </c>
    </row>
    <row r="320" spans="1:88" s="535" customFormat="1" ht="18" customHeight="1">
      <c r="G320" s="535" t="s">
        <v>377</v>
      </c>
      <c r="L320" s="542" t="str">
        <f>AA321&amp;" × "&amp;BG321&amp;" × "&amp;V322/100&amp;" × "&amp;BG322</f>
        <v>0.6 × 50 × 0.05 × 0.55</v>
      </c>
      <c r="AF320" s="535" t="s">
        <v>41</v>
      </c>
      <c r="AH320" s="1670">
        <f>ROUND(AA321*BG321*V322/100*BG322,2)</f>
        <v>0.83</v>
      </c>
      <c r="AI320" s="1670"/>
      <c r="AJ320" s="1670"/>
      <c r="AK320" s="1670"/>
      <c r="AL320" s="1670"/>
      <c r="AM320" s="1670"/>
      <c r="AN320" s="1670"/>
      <c r="AO320" s="535" t="s">
        <v>489</v>
      </c>
      <c r="AS320" s="563"/>
      <c r="AT320" s="563"/>
      <c r="AU320" s="563"/>
      <c r="AV320" s="563"/>
      <c r="AW320" s="563"/>
      <c r="AX320" s="563"/>
      <c r="AY320" s="563"/>
      <c r="AZ320" s="563"/>
      <c r="BA320" s="563"/>
      <c r="BB320" s="563"/>
      <c r="BC320" s="563"/>
      <c r="BD320" s="563"/>
      <c r="BE320" s="563"/>
      <c r="BF320" s="563"/>
      <c r="BG320" s="563"/>
      <c r="BT320" s="414"/>
      <c r="BU320" s="414"/>
      <c r="BV320" s="414"/>
      <c r="BW320" s="414"/>
      <c r="BX320" s="414"/>
      <c r="BY320" s="414"/>
      <c r="BZ320" s="414"/>
      <c r="CA320" s="414"/>
      <c r="CB320" s="414"/>
      <c r="CC320" s="414"/>
    </row>
    <row r="321" spans="1:88" s="535" customFormat="1" ht="18" customHeight="1">
      <c r="G321" s="540"/>
      <c r="I321" s="535" t="s">
        <v>485</v>
      </c>
      <c r="AA321" s="1671">
        <v>0.6</v>
      </c>
      <c r="AB321" s="1671"/>
      <c r="AC321" s="1671"/>
      <c r="AD321" s="1671"/>
      <c r="AE321" s="1671"/>
      <c r="AF321" s="535" t="s">
        <v>272</v>
      </c>
      <c r="AT321" s="535" t="s">
        <v>486</v>
      </c>
      <c r="BG321" s="1580">
        <v>50</v>
      </c>
      <c r="BH321" s="1580"/>
      <c r="BI321" s="1580"/>
      <c r="BJ321" s="1580"/>
      <c r="BK321" s="1580"/>
      <c r="BL321" s="535" t="s">
        <v>487</v>
      </c>
      <c r="BN321" s="430"/>
      <c r="BO321" s="430"/>
      <c r="BP321" s="430"/>
      <c r="BQ321" s="430"/>
      <c r="BR321" s="430"/>
      <c r="BT321" s="410"/>
      <c r="BU321" s="410"/>
      <c r="BV321" s="410"/>
      <c r="BW321" s="410"/>
      <c r="BX321" s="410"/>
      <c r="BY321" s="410"/>
      <c r="BZ321" s="410"/>
      <c r="CA321" s="410"/>
      <c r="CB321" s="410"/>
      <c r="CC321" s="410"/>
    </row>
    <row r="322" spans="1:88" s="535" customFormat="1" ht="18" customHeight="1">
      <c r="D322" s="542"/>
      <c r="I322" s="535" t="s">
        <v>488</v>
      </c>
      <c r="V322" s="1580">
        <v>5</v>
      </c>
      <c r="W322" s="1580"/>
      <c r="X322" s="1580"/>
      <c r="Y322" s="535" t="s">
        <v>381</v>
      </c>
      <c r="AB322" s="554"/>
      <c r="AM322" s="544"/>
      <c r="AR322" s="414"/>
      <c r="AS322" s="414"/>
      <c r="AT322" s="544" t="s">
        <v>463</v>
      </c>
      <c r="BG322" s="1580">
        <v>0.55000000000000004</v>
      </c>
      <c r="BH322" s="1580"/>
      <c r="BI322" s="1580"/>
      <c r="BJ322" s="1580"/>
      <c r="BK322" s="1580"/>
      <c r="BT322" s="414"/>
      <c r="BU322" s="414"/>
      <c r="BV322" s="414"/>
      <c r="BW322" s="414"/>
      <c r="BX322" s="414"/>
      <c r="BY322" s="414"/>
      <c r="BZ322" s="414"/>
      <c r="CA322" s="414"/>
      <c r="CB322" s="414"/>
      <c r="CC322" s="414"/>
    </row>
    <row r="323" spans="1:88" s="535" customFormat="1" ht="9.9499999999999993" customHeight="1"/>
    <row r="324" spans="1:88" s="535" customFormat="1" ht="18" customHeight="1">
      <c r="E324" s="535" t="s">
        <v>402</v>
      </c>
    </row>
    <row r="325" spans="1:88" s="535" customFormat="1" ht="9.9499999999999993" customHeight="1" thickBot="1"/>
    <row r="326" spans="1:88" s="535" customFormat="1" ht="18" customHeight="1">
      <c r="D326" s="542"/>
      <c r="E326" s="1534" t="s">
        <v>385</v>
      </c>
      <c r="F326" s="1535"/>
      <c r="G326" s="1535"/>
      <c r="H326" s="1535"/>
      <c r="I326" s="1535"/>
      <c r="J326" s="1535"/>
      <c r="K326" s="1535"/>
      <c r="L326" s="1535"/>
      <c r="M326" s="1535"/>
      <c r="N326" s="1535"/>
      <c r="O326" s="1535"/>
      <c r="P326" s="1535"/>
      <c r="Q326" s="1535"/>
      <c r="R326" s="1535"/>
      <c r="S326" s="1535"/>
      <c r="T326" s="1535"/>
      <c r="U326" s="1535" t="s">
        <v>212</v>
      </c>
      <c r="V326" s="1535"/>
      <c r="W326" s="1535"/>
      <c r="X326" s="1535"/>
      <c r="Y326" s="1535"/>
      <c r="Z326" s="1535"/>
      <c r="AA326" s="1535"/>
      <c r="AB326" s="1535"/>
      <c r="AC326" s="1535" t="s">
        <v>403</v>
      </c>
      <c r="AD326" s="1535"/>
      <c r="AE326" s="1535"/>
      <c r="AF326" s="1535"/>
      <c r="AG326" s="1535"/>
      <c r="AH326" s="1535"/>
      <c r="AI326" s="1535"/>
      <c r="AJ326" s="1535"/>
      <c r="AK326" s="1535"/>
      <c r="AL326" s="1535"/>
      <c r="AM326" s="1535"/>
      <c r="AN326" s="1535"/>
      <c r="AO326" s="1535"/>
      <c r="AP326" s="1535"/>
      <c r="AQ326" s="1535"/>
      <c r="AR326" s="1535"/>
      <c r="AS326" s="1535"/>
      <c r="AT326" s="1535"/>
      <c r="AU326" s="1535"/>
      <c r="AV326" s="1535"/>
      <c r="AW326" s="1535"/>
      <c r="AX326" s="1535"/>
      <c r="AY326" s="1535"/>
      <c r="AZ326" s="1535"/>
      <c r="BA326" s="1537" t="s">
        <v>404</v>
      </c>
      <c r="BB326" s="1535"/>
      <c r="BC326" s="1535"/>
      <c r="BD326" s="1535"/>
      <c r="BE326" s="1535"/>
      <c r="BF326" s="1535"/>
      <c r="BG326" s="1535"/>
      <c r="BH326" s="1535"/>
      <c r="BI326" s="1535" t="s">
        <v>405</v>
      </c>
      <c r="BJ326" s="1535"/>
      <c r="BK326" s="1535"/>
      <c r="BL326" s="1535"/>
      <c r="BM326" s="1535"/>
      <c r="BN326" s="1535"/>
      <c r="BO326" s="1535"/>
      <c r="BP326" s="1535"/>
      <c r="BQ326" s="1535"/>
      <c r="BR326" s="1535"/>
      <c r="BS326" s="1535"/>
      <c r="BT326" s="1535"/>
      <c r="BU326" s="1535"/>
      <c r="BV326" s="1535"/>
      <c r="BW326" s="1535"/>
      <c r="BX326" s="1535"/>
      <c r="BY326" s="1535"/>
      <c r="BZ326" s="1535"/>
      <c r="CA326" s="1535"/>
      <c r="CB326" s="1535"/>
      <c r="CC326" s="1535"/>
      <c r="CD326" s="1535"/>
      <c r="CE326" s="1535"/>
      <c r="CF326" s="1538"/>
    </row>
    <row r="327" spans="1:88" s="535" customFormat="1" ht="18" customHeight="1" thickBot="1">
      <c r="E327" s="1536"/>
      <c r="F327" s="1527"/>
      <c r="G327" s="1527"/>
      <c r="H327" s="1527"/>
      <c r="I327" s="1527"/>
      <c r="J327" s="1527"/>
      <c r="K327" s="1527"/>
      <c r="L327" s="1527"/>
      <c r="M327" s="1527"/>
      <c r="N327" s="1527"/>
      <c r="O327" s="1527"/>
      <c r="P327" s="1527"/>
      <c r="Q327" s="1527"/>
      <c r="R327" s="1527"/>
      <c r="S327" s="1527"/>
      <c r="T327" s="1527"/>
      <c r="U327" s="1527"/>
      <c r="V327" s="1527"/>
      <c r="W327" s="1527"/>
      <c r="X327" s="1527"/>
      <c r="Y327" s="1527"/>
      <c r="Z327" s="1527"/>
      <c r="AA327" s="1527"/>
      <c r="AB327" s="1527"/>
      <c r="AC327" s="1527" t="s">
        <v>406</v>
      </c>
      <c r="AD327" s="1527"/>
      <c r="AE327" s="1527"/>
      <c r="AF327" s="1527"/>
      <c r="AG327" s="1527"/>
      <c r="AH327" s="1527"/>
      <c r="AI327" s="1527"/>
      <c r="AJ327" s="1527"/>
      <c r="AK327" s="1527" t="s">
        <v>407</v>
      </c>
      <c r="AL327" s="1527"/>
      <c r="AM327" s="1527"/>
      <c r="AN327" s="1527"/>
      <c r="AO327" s="1527"/>
      <c r="AP327" s="1527"/>
      <c r="AQ327" s="1527"/>
      <c r="AR327" s="1527"/>
      <c r="AS327" s="1527" t="s">
        <v>408</v>
      </c>
      <c r="AT327" s="1527"/>
      <c r="AU327" s="1527"/>
      <c r="AV327" s="1527"/>
      <c r="AW327" s="1527"/>
      <c r="AX327" s="1527"/>
      <c r="AY327" s="1527"/>
      <c r="AZ327" s="1527"/>
      <c r="BA327" s="1527"/>
      <c r="BB327" s="1527"/>
      <c r="BC327" s="1527"/>
      <c r="BD327" s="1527"/>
      <c r="BE327" s="1527"/>
      <c r="BF327" s="1527"/>
      <c r="BG327" s="1527"/>
      <c r="BH327" s="1527"/>
      <c r="BI327" s="1527" t="s">
        <v>406</v>
      </c>
      <c r="BJ327" s="1527"/>
      <c r="BK327" s="1527"/>
      <c r="BL327" s="1527"/>
      <c r="BM327" s="1527"/>
      <c r="BN327" s="1527"/>
      <c r="BO327" s="1527"/>
      <c r="BP327" s="1527"/>
      <c r="BQ327" s="1527" t="s">
        <v>407</v>
      </c>
      <c r="BR327" s="1527"/>
      <c r="BS327" s="1527"/>
      <c r="BT327" s="1527"/>
      <c r="BU327" s="1527"/>
      <c r="BV327" s="1527"/>
      <c r="BW327" s="1527"/>
      <c r="BX327" s="1527"/>
      <c r="BY327" s="1527" t="s">
        <v>408</v>
      </c>
      <c r="BZ327" s="1527"/>
      <c r="CA327" s="1527"/>
      <c r="CB327" s="1527"/>
      <c r="CC327" s="1527"/>
      <c r="CD327" s="1527"/>
      <c r="CE327" s="1527"/>
      <c r="CF327" s="1528"/>
    </row>
    <row r="328" spans="1:88" s="535" customFormat="1" ht="18" customHeight="1" thickTop="1" thickBot="1">
      <c r="E328" s="1665" t="s">
        <v>490</v>
      </c>
      <c r="F328" s="1666"/>
      <c r="G328" s="1666"/>
      <c r="H328" s="1666"/>
      <c r="I328" s="1666"/>
      <c r="J328" s="1666"/>
      <c r="K328" s="1666"/>
      <c r="L328" s="1666"/>
      <c r="M328" s="1666"/>
      <c r="N328" s="1666"/>
      <c r="O328" s="1666"/>
      <c r="P328" s="1666"/>
      <c r="Q328" s="1666"/>
      <c r="R328" s="1666"/>
      <c r="S328" s="1666"/>
      <c r="T328" s="1667"/>
      <c r="U328" s="1668" t="s">
        <v>495</v>
      </c>
      <c r="V328" s="1668"/>
      <c r="W328" s="1668"/>
      <c r="X328" s="1668"/>
      <c r="Y328" s="1668"/>
      <c r="Z328" s="1668"/>
      <c r="AA328" s="1668"/>
      <c r="AB328" s="1668"/>
      <c r="AC328" s="1661" t="e">
        <f>#REF!</f>
        <v>#REF!</v>
      </c>
      <c r="AD328" s="1661"/>
      <c r="AE328" s="1661"/>
      <c r="AF328" s="1661"/>
      <c r="AG328" s="1661"/>
      <c r="AH328" s="1661"/>
      <c r="AI328" s="1661"/>
      <c r="AJ328" s="1661"/>
      <c r="AK328" s="1661" t="e">
        <f>#REF!</f>
        <v>#REF!</v>
      </c>
      <c r="AL328" s="1661"/>
      <c r="AM328" s="1661"/>
      <c r="AN328" s="1661"/>
      <c r="AO328" s="1661"/>
      <c r="AP328" s="1661"/>
      <c r="AQ328" s="1661"/>
      <c r="AR328" s="1661"/>
      <c r="AS328" s="1661" t="e">
        <f>#REF!</f>
        <v>#REF!</v>
      </c>
      <c r="AT328" s="1661"/>
      <c r="AU328" s="1661"/>
      <c r="AV328" s="1661"/>
      <c r="AW328" s="1661"/>
      <c r="AX328" s="1661"/>
      <c r="AY328" s="1661"/>
      <c r="AZ328" s="1661"/>
      <c r="BA328" s="1669">
        <f>AH320</f>
        <v>0.83</v>
      </c>
      <c r="BB328" s="1669"/>
      <c r="BC328" s="1669"/>
      <c r="BD328" s="1669"/>
      <c r="BE328" s="1669"/>
      <c r="BF328" s="1669"/>
      <c r="BG328" s="1669"/>
      <c r="BH328" s="1669"/>
      <c r="BI328" s="1661" t="e">
        <f>INT(AC328/$BA328)</f>
        <v>#REF!</v>
      </c>
      <c r="BJ328" s="1661"/>
      <c r="BK328" s="1661"/>
      <c r="BL328" s="1661"/>
      <c r="BM328" s="1661"/>
      <c r="BN328" s="1661"/>
      <c r="BO328" s="1661"/>
      <c r="BP328" s="1661"/>
      <c r="BQ328" s="1661" t="e">
        <f>INT(AK328/$BA328)</f>
        <v>#REF!</v>
      </c>
      <c r="BR328" s="1661"/>
      <c r="BS328" s="1661"/>
      <c r="BT328" s="1661"/>
      <c r="BU328" s="1661"/>
      <c r="BV328" s="1661"/>
      <c r="BW328" s="1661"/>
      <c r="BX328" s="1661"/>
      <c r="BY328" s="1661" t="e">
        <f>INT(AS328/$BA328)</f>
        <v>#REF!</v>
      </c>
      <c r="BZ328" s="1661"/>
      <c r="CA328" s="1661"/>
      <c r="CB328" s="1661"/>
      <c r="CC328" s="1661"/>
      <c r="CD328" s="1661"/>
      <c r="CE328" s="1661"/>
      <c r="CF328" s="1662"/>
    </row>
    <row r="329" spans="1:88" s="564" customFormat="1" ht="28.35" customHeight="1">
      <c r="A329" s="1663" t="s">
        <v>496</v>
      </c>
      <c r="B329" s="1663"/>
      <c r="C329" s="1663"/>
      <c r="D329" s="1663"/>
      <c r="E329" s="1663"/>
      <c r="F329" s="1663"/>
      <c r="G329" s="1663"/>
      <c r="H329" s="1663"/>
      <c r="I329" s="1663"/>
      <c r="J329" s="1663"/>
      <c r="K329" s="1663"/>
      <c r="L329" s="1663"/>
      <c r="M329" s="1663"/>
      <c r="N329" s="1663"/>
      <c r="O329" s="1663"/>
      <c r="P329" s="1663"/>
      <c r="Q329" s="1663"/>
      <c r="R329" s="1663"/>
      <c r="S329" s="1663"/>
      <c r="T329" s="1663"/>
      <c r="U329" s="1663"/>
      <c r="V329" s="1663"/>
      <c r="W329" s="1663"/>
      <c r="X329" s="1663"/>
      <c r="Y329" s="1663"/>
      <c r="Z329" s="1663"/>
      <c r="AA329" s="1663"/>
      <c r="AB329" s="1663"/>
      <c r="AC329" s="1663"/>
      <c r="AD329" s="1663"/>
      <c r="AE329" s="1663"/>
      <c r="AF329" s="1663"/>
      <c r="AG329" s="1663"/>
      <c r="AH329" s="1663"/>
      <c r="AI329" s="1663"/>
      <c r="AJ329" s="1663"/>
      <c r="AK329" s="1663"/>
      <c r="AL329" s="1663"/>
      <c r="AM329" s="1663"/>
      <c r="AN329" s="1663"/>
      <c r="AO329" s="1663"/>
      <c r="AP329" s="1663"/>
      <c r="AQ329" s="1663"/>
      <c r="AR329" s="1663"/>
      <c r="AS329" s="1663"/>
      <c r="AT329" s="1663"/>
      <c r="AU329" s="1663"/>
      <c r="AV329" s="1663"/>
      <c r="AW329" s="1663"/>
      <c r="AX329" s="1663"/>
      <c r="AY329" s="1663"/>
      <c r="AZ329" s="1663"/>
      <c r="BA329" s="1663"/>
      <c r="BB329" s="1663"/>
      <c r="BC329" s="1663"/>
      <c r="BD329" s="1663"/>
      <c r="BE329" s="1663"/>
      <c r="BF329" s="1663"/>
      <c r="BG329" s="1663"/>
      <c r="BH329" s="1663"/>
      <c r="BI329" s="1663"/>
      <c r="BJ329" s="1663"/>
      <c r="BK329" s="1663"/>
      <c r="BL329" s="1663"/>
      <c r="BM329" s="1663"/>
      <c r="BN329" s="1663"/>
      <c r="BO329" s="1663"/>
      <c r="BP329" s="1663"/>
      <c r="BQ329" s="1663"/>
      <c r="BR329" s="1663"/>
      <c r="BS329" s="1663"/>
      <c r="BT329" s="1663"/>
      <c r="BU329" s="1663"/>
      <c r="BV329" s="1663"/>
      <c r="BW329" s="1663"/>
      <c r="BX329" s="1663"/>
      <c r="BY329" s="1663"/>
      <c r="BZ329" s="1663"/>
      <c r="CA329" s="1663"/>
      <c r="CB329" s="1663"/>
      <c r="CC329" s="1663"/>
      <c r="CD329" s="1663"/>
      <c r="CE329" s="1663"/>
      <c r="CF329" s="1663"/>
      <c r="CJ329" s="559"/>
    </row>
    <row r="330" spans="1:88" s="534" customFormat="1" ht="9.9499999999999993" customHeight="1">
      <c r="A330" s="536"/>
      <c r="B330" s="536"/>
      <c r="C330" s="536"/>
      <c r="D330" s="536"/>
      <c r="E330" s="536"/>
      <c r="F330" s="536"/>
      <c r="G330" s="536"/>
      <c r="H330" s="536"/>
      <c r="I330" s="536"/>
      <c r="J330" s="536"/>
      <c r="K330" s="536"/>
      <c r="L330" s="536"/>
      <c r="M330" s="536"/>
      <c r="N330" s="536"/>
      <c r="O330" s="536"/>
      <c r="P330" s="536"/>
      <c r="Q330" s="536"/>
      <c r="R330" s="536"/>
      <c r="S330" s="536"/>
      <c r="T330" s="536"/>
      <c r="U330" s="536"/>
      <c r="V330" s="536"/>
      <c r="W330" s="536"/>
      <c r="X330" s="536"/>
      <c r="Y330" s="536"/>
      <c r="Z330" s="536"/>
      <c r="AA330" s="536"/>
      <c r="AB330" s="536"/>
      <c r="AC330" s="536"/>
      <c r="AD330" s="536"/>
      <c r="AE330" s="536"/>
      <c r="AF330" s="536"/>
      <c r="AG330" s="536"/>
      <c r="AH330" s="536"/>
      <c r="AI330" s="536"/>
      <c r="AJ330" s="536"/>
      <c r="AK330" s="536"/>
      <c r="AL330" s="536"/>
      <c r="AM330" s="536"/>
      <c r="AN330" s="536"/>
      <c r="AO330" s="536"/>
      <c r="AP330" s="536"/>
      <c r="AQ330" s="536"/>
      <c r="AR330" s="536"/>
      <c r="AS330" s="536"/>
      <c r="AT330" s="536"/>
      <c r="AU330" s="536"/>
      <c r="AV330" s="536"/>
      <c r="AW330" s="536"/>
      <c r="AX330" s="536"/>
      <c r="AY330" s="536"/>
      <c r="AZ330" s="536"/>
      <c r="BA330" s="536"/>
      <c r="BB330" s="536"/>
      <c r="BC330" s="536"/>
      <c r="BD330" s="536"/>
      <c r="BE330" s="536"/>
      <c r="BF330" s="536"/>
      <c r="BG330" s="536"/>
      <c r="BH330" s="536"/>
      <c r="BI330" s="536"/>
      <c r="BJ330" s="536"/>
      <c r="BK330" s="536"/>
      <c r="BL330" s="536"/>
      <c r="BM330" s="536"/>
      <c r="BN330" s="536"/>
      <c r="BO330" s="536"/>
      <c r="BP330" s="536"/>
      <c r="BQ330" s="536"/>
      <c r="BR330" s="536"/>
      <c r="BS330" s="536"/>
      <c r="BT330" s="536"/>
      <c r="BU330" s="536"/>
      <c r="BV330" s="536"/>
      <c r="BW330" s="536"/>
      <c r="BX330" s="536"/>
      <c r="BY330" s="536"/>
      <c r="BZ330" s="536"/>
      <c r="CA330" s="536"/>
      <c r="CB330" s="536"/>
      <c r="CC330" s="536"/>
      <c r="CD330" s="536"/>
      <c r="CE330" s="536"/>
      <c r="CF330" s="536"/>
      <c r="CJ330" s="535"/>
    </row>
    <row r="331" spans="1:88" s="539" customFormat="1" ht="23.1" customHeight="1">
      <c r="A331" s="537"/>
      <c r="B331" s="538" t="s">
        <v>497</v>
      </c>
      <c r="C331" s="537"/>
      <c r="D331" s="537"/>
      <c r="E331" s="537"/>
      <c r="F331" s="537"/>
      <c r="G331" s="537"/>
      <c r="H331" s="537"/>
      <c r="I331" s="537"/>
      <c r="J331" s="537"/>
      <c r="K331" s="537"/>
      <c r="L331" s="537"/>
      <c r="M331" s="537"/>
      <c r="N331" s="537"/>
      <c r="O331" s="537"/>
      <c r="P331" s="537"/>
      <c r="Q331" s="537"/>
      <c r="R331" s="537"/>
      <c r="S331" s="537"/>
      <c r="T331" s="537"/>
      <c r="U331" s="537"/>
      <c r="V331" s="537"/>
      <c r="W331" s="537"/>
      <c r="X331" s="537"/>
      <c r="Y331" s="537"/>
      <c r="Z331" s="537"/>
      <c r="AA331" s="537"/>
      <c r="AB331" s="537"/>
      <c r="AC331" s="537"/>
      <c r="AD331" s="537"/>
      <c r="AE331" s="537"/>
      <c r="AF331" s="537"/>
      <c r="AG331" s="537"/>
      <c r="AH331" s="537"/>
      <c r="AI331" s="537"/>
      <c r="AJ331" s="537"/>
      <c r="AK331" s="537"/>
      <c r="AL331" s="537"/>
      <c r="AM331" s="537"/>
      <c r="AN331" s="537"/>
      <c r="AO331" s="537"/>
      <c r="AP331" s="537"/>
      <c r="AQ331" s="537"/>
      <c r="AR331" s="537"/>
      <c r="AS331" s="537"/>
      <c r="AT331" s="537"/>
      <c r="AU331" s="537"/>
      <c r="BM331" s="537"/>
      <c r="BN331" s="537"/>
      <c r="BO331" s="537"/>
      <c r="BP331" s="537"/>
      <c r="BQ331" s="537"/>
      <c r="BR331" s="537"/>
      <c r="BS331" s="537"/>
      <c r="BT331" s="537"/>
      <c r="BU331" s="537"/>
      <c r="BV331" s="537"/>
      <c r="BW331" s="537"/>
      <c r="BX331" s="537"/>
      <c r="BY331" s="537"/>
      <c r="BZ331" s="537"/>
      <c r="CA331" s="537"/>
      <c r="CB331" s="537"/>
      <c r="CC331" s="537"/>
      <c r="CD331" s="537"/>
      <c r="CE331" s="537"/>
      <c r="CF331" s="537"/>
      <c r="CJ331" s="535" t="s">
        <v>735</v>
      </c>
    </row>
    <row r="332" spans="1:88" s="535" customFormat="1" ht="9.9499999999999993" customHeight="1">
      <c r="A332" s="540"/>
      <c r="B332" s="540"/>
      <c r="C332" s="540"/>
      <c r="D332" s="540"/>
      <c r="E332" s="540"/>
      <c r="F332" s="540"/>
      <c r="G332" s="540"/>
      <c r="H332" s="540"/>
      <c r="I332" s="540"/>
      <c r="J332" s="540"/>
      <c r="K332" s="540"/>
      <c r="L332" s="540"/>
      <c r="M332" s="540"/>
      <c r="N332" s="540"/>
      <c r="O332" s="540"/>
      <c r="P332" s="540"/>
      <c r="Q332" s="540"/>
      <c r="R332" s="540"/>
      <c r="S332" s="540"/>
      <c r="T332" s="540"/>
      <c r="U332" s="540"/>
      <c r="V332" s="540"/>
      <c r="W332" s="540"/>
      <c r="X332" s="540"/>
      <c r="Y332" s="540"/>
      <c r="Z332" s="540"/>
      <c r="AA332" s="540"/>
      <c r="AB332" s="540"/>
      <c r="AC332" s="540"/>
      <c r="AD332" s="540"/>
      <c r="AE332" s="540"/>
      <c r="AF332" s="540"/>
      <c r="AG332" s="540"/>
      <c r="AH332" s="540"/>
      <c r="AI332" s="540"/>
      <c r="AJ332" s="540"/>
      <c r="AK332" s="540"/>
      <c r="AL332" s="540"/>
      <c r="AM332" s="540"/>
      <c r="AN332" s="540"/>
      <c r="AO332" s="540"/>
      <c r="AP332" s="540"/>
      <c r="AQ332" s="540"/>
      <c r="AR332" s="540"/>
      <c r="AS332" s="540"/>
      <c r="AT332" s="540"/>
      <c r="AU332" s="540"/>
      <c r="AV332" s="540"/>
      <c r="AW332" s="540"/>
      <c r="AX332" s="540"/>
      <c r="AY332" s="540"/>
      <c r="AZ332" s="540"/>
      <c r="BA332" s="540"/>
      <c r="BB332" s="540"/>
      <c r="BC332" s="540"/>
      <c r="BD332" s="540"/>
      <c r="BE332" s="540"/>
      <c r="BF332" s="540"/>
      <c r="BG332" s="540"/>
      <c r="BH332" s="540"/>
      <c r="BI332" s="540"/>
      <c r="BJ332" s="540"/>
      <c r="BK332" s="540"/>
      <c r="BL332" s="540"/>
      <c r="BM332" s="540"/>
      <c r="BN332" s="540"/>
      <c r="BO332" s="540"/>
      <c r="BP332" s="540"/>
      <c r="BQ332" s="540"/>
      <c r="BR332" s="540"/>
      <c r="BS332" s="540"/>
      <c r="BT332" s="541"/>
      <c r="BU332" s="541"/>
      <c r="BV332" s="541"/>
      <c r="BW332" s="541"/>
      <c r="BX332" s="541"/>
      <c r="BY332" s="541"/>
      <c r="BZ332" s="541"/>
      <c r="CA332" s="541"/>
      <c r="CB332" s="541"/>
      <c r="CC332" s="541"/>
      <c r="CD332" s="540"/>
      <c r="CE332" s="540"/>
      <c r="CF332" s="540"/>
    </row>
    <row r="333" spans="1:88" s="535" customFormat="1" ht="23.1" customHeight="1" thickBot="1">
      <c r="A333" s="540"/>
      <c r="B333" s="540"/>
      <c r="C333" s="540"/>
      <c r="D333" s="540"/>
      <c r="BT333" s="410"/>
      <c r="BU333" s="1645" t="s">
        <v>360</v>
      </c>
      <c r="BV333" s="1645"/>
      <c r="BW333" s="1645"/>
      <c r="BX333" s="1645"/>
      <c r="BY333" s="1645"/>
      <c r="BZ333" s="1645"/>
      <c r="CA333" s="1645"/>
      <c r="CB333" s="1645"/>
      <c r="CC333" s="1645"/>
      <c r="CD333" s="1645"/>
      <c r="CE333" s="1645"/>
      <c r="CF333" s="1645"/>
    </row>
    <row r="334" spans="1:88" s="535" customFormat="1" ht="23.1" customHeight="1" thickBot="1">
      <c r="B334" s="535">
        <v>39448</v>
      </c>
      <c r="E334" s="1581" t="s">
        <v>361</v>
      </c>
      <c r="F334" s="1582"/>
      <c r="G334" s="1582"/>
      <c r="H334" s="1582"/>
      <c r="I334" s="1582"/>
      <c r="J334" s="1582"/>
      <c r="K334" s="1582"/>
      <c r="L334" s="1582"/>
      <c r="M334" s="1582"/>
      <c r="N334" s="1582"/>
      <c r="O334" s="1582"/>
      <c r="P334" s="1582"/>
      <c r="Q334" s="1582"/>
      <c r="R334" s="1582"/>
      <c r="S334" s="1582"/>
      <c r="T334" s="1582"/>
      <c r="U334" s="1582"/>
      <c r="V334" s="1582"/>
      <c r="W334" s="1582"/>
      <c r="X334" s="1582"/>
      <c r="Y334" s="1582"/>
      <c r="Z334" s="1582"/>
      <c r="AA334" s="1582"/>
      <c r="AB334" s="1582"/>
      <c r="AC334" s="1582"/>
      <c r="AD334" s="1582"/>
      <c r="AE334" s="1582"/>
      <c r="AF334" s="1582"/>
      <c r="AG334" s="1582"/>
      <c r="AH334" s="1582"/>
      <c r="AI334" s="1582"/>
      <c r="AJ334" s="1582"/>
      <c r="AK334" s="1582"/>
      <c r="AL334" s="1582"/>
      <c r="AM334" s="1582" t="s">
        <v>362</v>
      </c>
      <c r="AN334" s="1582"/>
      <c r="AO334" s="1582"/>
      <c r="AP334" s="1582"/>
      <c r="AQ334" s="1582"/>
      <c r="AR334" s="1582"/>
      <c r="AS334" s="1582"/>
      <c r="AT334" s="1582"/>
      <c r="AU334" s="1582"/>
      <c r="AV334" s="1582" t="s">
        <v>363</v>
      </c>
      <c r="AW334" s="1582"/>
      <c r="AX334" s="1582"/>
      <c r="AY334" s="1582"/>
      <c r="AZ334" s="1582"/>
      <c r="BA334" s="1582"/>
      <c r="BB334" s="1582"/>
      <c r="BC334" s="1582"/>
      <c r="BD334" s="1582"/>
      <c r="BE334" s="1582" t="s">
        <v>498</v>
      </c>
      <c r="BF334" s="1582"/>
      <c r="BG334" s="1582"/>
      <c r="BH334" s="1582"/>
      <c r="BI334" s="1582"/>
      <c r="BJ334" s="1582"/>
      <c r="BK334" s="1582"/>
      <c r="BL334" s="1582"/>
      <c r="BM334" s="1582"/>
      <c r="BN334" s="1582"/>
      <c r="BO334" s="1582"/>
      <c r="BP334" s="1582"/>
      <c r="BQ334" s="1582"/>
      <c r="BR334" s="1582"/>
      <c r="BS334" s="1582" t="s">
        <v>364</v>
      </c>
      <c r="BT334" s="1582"/>
      <c r="BU334" s="1582"/>
      <c r="BV334" s="1582"/>
      <c r="BW334" s="1582"/>
      <c r="BX334" s="1582"/>
      <c r="BY334" s="1582"/>
      <c r="BZ334" s="1582"/>
      <c r="CA334" s="1582"/>
      <c r="CB334" s="1582"/>
      <c r="CC334" s="1582"/>
      <c r="CD334" s="1582"/>
      <c r="CE334" s="1582"/>
      <c r="CF334" s="1664"/>
    </row>
    <row r="335" spans="1:88" s="535" customFormat="1" ht="23.1" customHeight="1" thickTop="1">
      <c r="A335" s="540"/>
      <c r="B335" s="540"/>
      <c r="C335" s="540"/>
      <c r="D335" s="540"/>
      <c r="E335" s="1654" t="s">
        <v>499</v>
      </c>
      <c r="F335" s="1655"/>
      <c r="G335" s="1655"/>
      <c r="H335" s="1655"/>
      <c r="I335" s="1655"/>
      <c r="J335" s="1655"/>
      <c r="K335" s="1655"/>
      <c r="L335" s="1655"/>
      <c r="M335" s="1655"/>
      <c r="N335" s="1655"/>
      <c r="O335" s="1655"/>
      <c r="P335" s="1655"/>
      <c r="Q335" s="1655"/>
      <c r="R335" s="1655"/>
      <c r="S335" s="1655"/>
      <c r="T335" s="1655"/>
      <c r="U335" s="1655"/>
      <c r="V335" s="1655"/>
      <c r="W335" s="1655"/>
      <c r="X335" s="1655"/>
      <c r="Y335" s="1655"/>
      <c r="Z335" s="1655"/>
      <c r="AA335" s="1655"/>
      <c r="AB335" s="1655"/>
      <c r="AC335" s="1655"/>
      <c r="AD335" s="1655"/>
      <c r="AE335" s="1655"/>
      <c r="AF335" s="1655"/>
      <c r="AG335" s="1655"/>
      <c r="AH335" s="1655"/>
      <c r="AI335" s="1655"/>
      <c r="AJ335" s="1655"/>
      <c r="AK335" s="1655"/>
      <c r="AL335" s="1655"/>
      <c r="AM335" s="1573" t="s">
        <v>366</v>
      </c>
      <c r="AN335" s="1573"/>
      <c r="AO335" s="1573"/>
      <c r="AP335" s="1573"/>
      <c r="AQ335" s="1573"/>
      <c r="AR335" s="1573"/>
      <c r="AS335" s="1573"/>
      <c r="AT335" s="1573"/>
      <c r="AU335" s="1573"/>
      <c r="AV335" s="1656">
        <v>2</v>
      </c>
      <c r="AW335" s="1656"/>
      <c r="AX335" s="1656"/>
      <c r="AY335" s="1656"/>
      <c r="AZ335" s="1656"/>
      <c r="BA335" s="1656"/>
      <c r="BB335" s="1656"/>
      <c r="BC335" s="1656"/>
      <c r="BD335" s="1656"/>
      <c r="BE335" s="1657">
        <f>[53]노임단가!$T$20</f>
        <v>241932</v>
      </c>
      <c r="BF335" s="1657"/>
      <c r="BG335" s="1657"/>
      <c r="BH335" s="1657"/>
      <c r="BI335" s="1657"/>
      <c r="BJ335" s="1657"/>
      <c r="BK335" s="1657"/>
      <c r="BL335" s="1657"/>
      <c r="BM335" s="1657"/>
      <c r="BN335" s="1657"/>
      <c r="BO335" s="1657"/>
      <c r="BP335" s="1657"/>
      <c r="BQ335" s="1657"/>
      <c r="BR335" s="1657"/>
      <c r="BS335" s="1657">
        <f>INT(AV335*BE335)</f>
        <v>483864</v>
      </c>
      <c r="BT335" s="1657"/>
      <c r="BU335" s="1657"/>
      <c r="BV335" s="1657"/>
      <c r="BW335" s="1657"/>
      <c r="BX335" s="1657"/>
      <c r="BY335" s="1657"/>
      <c r="BZ335" s="1657"/>
      <c r="CA335" s="1657"/>
      <c r="CB335" s="1657"/>
      <c r="CC335" s="1657"/>
      <c r="CD335" s="1657"/>
      <c r="CE335" s="1657"/>
      <c r="CF335" s="1658"/>
    </row>
    <row r="336" spans="1:88" s="535" customFormat="1" ht="23.1" customHeight="1" thickBot="1">
      <c r="A336" s="540"/>
      <c r="B336" s="540"/>
      <c r="C336" s="540"/>
      <c r="D336" s="540"/>
      <c r="E336" s="1659" t="s">
        <v>500</v>
      </c>
      <c r="F336" s="1660"/>
      <c r="G336" s="1660"/>
      <c r="H336" s="1660"/>
      <c r="I336" s="1660"/>
      <c r="J336" s="1660"/>
      <c r="K336" s="1660"/>
      <c r="L336" s="1660"/>
      <c r="M336" s="1660"/>
      <c r="N336" s="1660"/>
      <c r="O336" s="1660"/>
      <c r="P336" s="1660"/>
      <c r="Q336" s="1660"/>
      <c r="R336" s="1660"/>
      <c r="S336" s="1660"/>
      <c r="T336" s="1660"/>
      <c r="U336" s="1660"/>
      <c r="V336" s="1660"/>
      <c r="W336" s="1660"/>
      <c r="X336" s="1660"/>
      <c r="Y336" s="1660"/>
      <c r="Z336" s="1660"/>
      <c r="AA336" s="1660"/>
      <c r="AB336" s="1660"/>
      <c r="AC336" s="1660"/>
      <c r="AD336" s="1660"/>
      <c r="AE336" s="1660"/>
      <c r="AF336" s="1660"/>
      <c r="AG336" s="1660"/>
      <c r="AH336" s="1660"/>
      <c r="AI336" s="1660"/>
      <c r="AJ336" s="1660"/>
      <c r="AK336" s="1660"/>
      <c r="AL336" s="1660"/>
      <c r="AM336" s="1546" t="s">
        <v>366</v>
      </c>
      <c r="AN336" s="1546"/>
      <c r="AO336" s="1546"/>
      <c r="AP336" s="1546"/>
      <c r="AQ336" s="1546"/>
      <c r="AR336" s="1546"/>
      <c r="AS336" s="1546"/>
      <c r="AT336" s="1546"/>
      <c r="AU336" s="1546"/>
      <c r="AV336" s="1583">
        <v>5</v>
      </c>
      <c r="AW336" s="1583"/>
      <c r="AX336" s="1583"/>
      <c r="AY336" s="1583"/>
      <c r="AZ336" s="1583"/>
      <c r="BA336" s="1583"/>
      <c r="BB336" s="1583"/>
      <c r="BC336" s="1583"/>
      <c r="BD336" s="1583"/>
      <c r="BE336" s="1631">
        <f>[53]노임단가!$T$20</f>
        <v>241932</v>
      </c>
      <c r="BF336" s="1631"/>
      <c r="BG336" s="1631"/>
      <c r="BH336" s="1631"/>
      <c r="BI336" s="1631"/>
      <c r="BJ336" s="1631"/>
      <c r="BK336" s="1631"/>
      <c r="BL336" s="1631"/>
      <c r="BM336" s="1631"/>
      <c r="BN336" s="1631"/>
      <c r="BO336" s="1631"/>
      <c r="BP336" s="1631"/>
      <c r="BQ336" s="1631"/>
      <c r="BR336" s="1631"/>
      <c r="BS336" s="1631">
        <f>INT(AV336*BE336)</f>
        <v>1209660</v>
      </c>
      <c r="BT336" s="1631"/>
      <c r="BU336" s="1631"/>
      <c r="BV336" s="1631"/>
      <c r="BW336" s="1631"/>
      <c r="BX336" s="1631"/>
      <c r="BY336" s="1631"/>
      <c r="BZ336" s="1631"/>
      <c r="CA336" s="1631"/>
      <c r="CB336" s="1631"/>
      <c r="CC336" s="1631"/>
      <c r="CD336" s="1631"/>
      <c r="CE336" s="1631"/>
      <c r="CF336" s="1632"/>
    </row>
    <row r="337" spans="1:88" s="535" customFormat="1" ht="23.1" customHeight="1">
      <c r="G337" s="540" t="s">
        <v>471</v>
      </c>
      <c r="BT337" s="410"/>
      <c r="BU337" s="410"/>
      <c r="BV337" s="410"/>
      <c r="BW337" s="410"/>
      <c r="BX337" s="410"/>
      <c r="BY337" s="410"/>
      <c r="BZ337" s="410"/>
      <c r="CA337" s="410"/>
      <c r="CB337" s="410"/>
      <c r="CC337" s="410"/>
    </row>
    <row r="338" spans="1:88" s="535" customFormat="1" ht="23.1" customHeight="1">
      <c r="G338" s="540" t="s">
        <v>501</v>
      </c>
    </row>
    <row r="339" spans="1:88" s="535" customFormat="1" ht="23.1" customHeight="1"/>
    <row r="340" spans="1:88" s="539" customFormat="1" ht="23.1" customHeight="1">
      <c r="A340" s="537"/>
      <c r="B340" s="538" t="s">
        <v>734</v>
      </c>
      <c r="C340" s="537"/>
      <c r="D340" s="537"/>
      <c r="E340" s="537"/>
      <c r="F340" s="537"/>
      <c r="G340" s="537"/>
      <c r="H340" s="537"/>
      <c r="I340" s="537"/>
      <c r="J340" s="537"/>
      <c r="K340" s="537"/>
      <c r="L340" s="537"/>
      <c r="M340" s="537"/>
      <c r="N340" s="537"/>
      <c r="O340" s="537"/>
      <c r="P340" s="537"/>
      <c r="Q340" s="537"/>
      <c r="R340" s="537"/>
      <c r="S340" s="537"/>
      <c r="T340" s="537"/>
      <c r="U340" s="537"/>
      <c r="V340" s="537"/>
      <c r="W340" s="537"/>
      <c r="X340" s="537"/>
      <c r="Y340" s="537"/>
      <c r="Z340" s="537"/>
      <c r="AA340" s="537"/>
      <c r="AB340" s="537"/>
      <c r="AC340" s="537"/>
      <c r="AD340" s="537"/>
      <c r="AE340" s="537"/>
      <c r="AF340" s="537"/>
      <c r="AG340" s="537"/>
      <c r="AH340" s="537"/>
      <c r="AI340" s="537"/>
      <c r="AJ340" s="537"/>
      <c r="AK340" s="537"/>
      <c r="AL340" s="537"/>
      <c r="AM340" s="537"/>
      <c r="AN340" s="537"/>
      <c r="AO340" s="537"/>
      <c r="AP340" s="537"/>
      <c r="AQ340" s="537"/>
      <c r="AR340" s="537"/>
      <c r="AS340" s="537"/>
      <c r="AT340" s="537"/>
      <c r="AU340" s="537"/>
      <c r="BM340" s="537"/>
      <c r="BN340" s="537"/>
      <c r="BO340" s="537"/>
      <c r="BP340" s="537"/>
      <c r="BQ340" s="537"/>
      <c r="BR340" s="537"/>
      <c r="BS340" s="537"/>
      <c r="BT340" s="537"/>
      <c r="BU340" s="537"/>
      <c r="BV340" s="537"/>
      <c r="BW340" s="537"/>
      <c r="BX340" s="537"/>
      <c r="BY340" s="537"/>
      <c r="BZ340" s="537"/>
      <c r="CA340" s="537"/>
      <c r="CB340" s="537"/>
      <c r="CC340" s="537"/>
      <c r="CD340" s="537"/>
      <c r="CE340" s="537"/>
      <c r="CF340" s="537"/>
      <c r="CJ340" s="535" t="s">
        <v>733</v>
      </c>
    </row>
    <row r="341" spans="1:88" s="535" customFormat="1" ht="9.9499999999999993" customHeight="1">
      <c r="A341" s="540"/>
      <c r="B341" s="540"/>
      <c r="C341" s="540"/>
      <c r="D341" s="540"/>
      <c r="E341" s="540"/>
      <c r="F341" s="540"/>
      <c r="G341" s="540"/>
      <c r="H341" s="540"/>
      <c r="I341" s="540"/>
      <c r="J341" s="540"/>
      <c r="K341" s="540"/>
      <c r="L341" s="540"/>
      <c r="M341" s="540"/>
      <c r="N341" s="540"/>
      <c r="O341" s="540"/>
      <c r="P341" s="540"/>
      <c r="Q341" s="540"/>
      <c r="R341" s="540"/>
      <c r="S341" s="540"/>
      <c r="T341" s="540"/>
      <c r="U341" s="540"/>
      <c r="V341" s="540"/>
      <c r="W341" s="540"/>
      <c r="X341" s="540"/>
      <c r="Y341" s="540"/>
      <c r="Z341" s="540"/>
      <c r="AA341" s="540"/>
      <c r="AB341" s="540"/>
      <c r="AC341" s="540"/>
      <c r="AD341" s="540"/>
      <c r="AE341" s="540"/>
      <c r="AF341" s="540"/>
      <c r="AG341" s="540"/>
      <c r="AH341" s="540"/>
      <c r="AI341" s="540"/>
      <c r="AJ341" s="540"/>
      <c r="AK341" s="540"/>
      <c r="AL341" s="540"/>
      <c r="AM341" s="540"/>
      <c r="AN341" s="540"/>
      <c r="AO341" s="540"/>
      <c r="AP341" s="540"/>
      <c r="AQ341" s="540"/>
      <c r="AR341" s="540"/>
      <c r="AS341" s="540"/>
      <c r="AT341" s="540"/>
      <c r="AU341" s="540"/>
      <c r="AV341" s="540"/>
      <c r="AW341" s="540"/>
      <c r="AX341" s="540"/>
      <c r="AY341" s="540"/>
      <c r="AZ341" s="540"/>
      <c r="BA341" s="540"/>
      <c r="BB341" s="540"/>
      <c r="BC341" s="540"/>
      <c r="BD341" s="540"/>
      <c r="BE341" s="540"/>
      <c r="BF341" s="540"/>
      <c r="BG341" s="540"/>
      <c r="BH341" s="540"/>
      <c r="BI341" s="540"/>
      <c r="BJ341" s="540"/>
      <c r="BK341" s="540"/>
      <c r="BL341" s="540"/>
      <c r="BM341" s="540"/>
      <c r="BN341" s="540"/>
      <c r="BO341" s="540"/>
      <c r="BP341" s="540"/>
      <c r="BQ341" s="540"/>
      <c r="BR341" s="540"/>
      <c r="BS341" s="540"/>
      <c r="BT341" s="541"/>
      <c r="BU341" s="541"/>
      <c r="BV341" s="541"/>
      <c r="BW341" s="541"/>
      <c r="BX341" s="541"/>
      <c r="BY341" s="541"/>
      <c r="BZ341" s="541"/>
      <c r="CA341" s="541"/>
      <c r="CB341" s="541"/>
      <c r="CC341" s="541"/>
      <c r="CD341" s="540"/>
      <c r="CE341" s="540"/>
      <c r="CF341" s="540"/>
    </row>
    <row r="342" spans="1:88" s="535" customFormat="1" ht="23.1" customHeight="1">
      <c r="E342" s="535" t="s">
        <v>502</v>
      </c>
      <c r="BT342" s="414"/>
      <c r="BU342" s="414"/>
      <c r="BV342" s="414"/>
      <c r="BW342" s="414"/>
      <c r="BX342" s="414"/>
      <c r="BY342" s="414"/>
      <c r="BZ342" s="414"/>
      <c r="CA342" s="414"/>
      <c r="CB342" s="414"/>
      <c r="CC342" s="414"/>
    </row>
    <row r="343" spans="1:88" s="535" customFormat="1" ht="23.1" customHeight="1">
      <c r="E343" s="535" t="s">
        <v>732</v>
      </c>
    </row>
    <row r="344" spans="1:88" s="535" customFormat="1" ht="9.9499999999999993" customHeight="1">
      <c r="AR344" s="414"/>
      <c r="AS344" s="414"/>
      <c r="AT344" s="414"/>
      <c r="AU344" s="414"/>
      <c r="AV344" s="414"/>
      <c r="AW344" s="414"/>
      <c r="AX344" s="414"/>
      <c r="AY344" s="414"/>
      <c r="AZ344" s="414"/>
      <c r="BA344" s="414"/>
      <c r="BB344" s="414"/>
      <c r="BT344" s="414"/>
      <c r="BU344" s="414"/>
      <c r="BV344" s="414"/>
      <c r="BW344" s="414"/>
      <c r="BX344" s="414"/>
      <c r="BY344" s="414"/>
      <c r="BZ344" s="414"/>
      <c r="CA344" s="414"/>
      <c r="CB344" s="414"/>
      <c r="CC344" s="414"/>
    </row>
    <row r="345" spans="1:88" s="535" customFormat="1" ht="23.1" customHeight="1" thickBot="1">
      <c r="BT345" s="410"/>
      <c r="BU345" s="1645" t="s">
        <v>360</v>
      </c>
      <c r="BV345" s="1645"/>
      <c r="BW345" s="1645"/>
      <c r="BX345" s="1645"/>
      <c r="BY345" s="1645"/>
      <c r="BZ345" s="1645"/>
      <c r="CA345" s="1645"/>
      <c r="CB345" s="1645"/>
      <c r="CC345" s="1645"/>
      <c r="CD345" s="1645"/>
      <c r="CE345" s="1645"/>
      <c r="CF345" s="1645"/>
    </row>
    <row r="346" spans="1:88" s="535" customFormat="1" ht="23.1" customHeight="1">
      <c r="E346" s="1534" t="s">
        <v>368</v>
      </c>
      <c r="F346" s="1535"/>
      <c r="G346" s="1535"/>
      <c r="H346" s="1535"/>
      <c r="I346" s="1535"/>
      <c r="J346" s="1535"/>
      <c r="K346" s="1535"/>
      <c r="L346" s="1535"/>
      <c r="M346" s="1535"/>
      <c r="N346" s="1535"/>
      <c r="O346" s="1535"/>
      <c r="P346" s="1535"/>
      <c r="Q346" s="1535"/>
      <c r="R346" s="1535"/>
      <c r="S346" s="1535"/>
      <c r="T346" s="1535" t="s">
        <v>370</v>
      </c>
      <c r="U346" s="1535"/>
      <c r="V346" s="1535"/>
      <c r="W346" s="1535"/>
      <c r="X346" s="1535"/>
      <c r="Y346" s="1535" t="s">
        <v>413</v>
      </c>
      <c r="Z346" s="1535"/>
      <c r="AA346" s="1535"/>
      <c r="AB346" s="1535"/>
      <c r="AC346" s="1535"/>
      <c r="AD346" s="1535"/>
      <c r="AE346" s="1535"/>
      <c r="AF346" s="1535"/>
      <c r="AG346" s="1646" t="s">
        <v>499</v>
      </c>
      <c r="AH346" s="1647"/>
      <c r="AI346" s="1647"/>
      <c r="AJ346" s="1647"/>
      <c r="AK346" s="1647"/>
      <c r="AL346" s="1647"/>
      <c r="AM346" s="1647"/>
      <c r="AN346" s="1647"/>
      <c r="AO346" s="1647"/>
      <c r="AP346" s="1647"/>
      <c r="AQ346" s="1647"/>
      <c r="AR346" s="1647"/>
      <c r="AS346" s="1647"/>
      <c r="AT346" s="1647"/>
      <c r="AU346" s="1647"/>
      <c r="AV346" s="1647"/>
      <c r="AW346" s="1647"/>
      <c r="AX346" s="1647"/>
      <c r="AY346" s="1647"/>
      <c r="AZ346" s="1647"/>
      <c r="BA346" s="1647"/>
      <c r="BB346" s="1647"/>
      <c r="BC346" s="1647"/>
      <c r="BD346" s="1647"/>
      <c r="BE346" s="1647"/>
      <c r="BF346" s="1648"/>
      <c r="BG346" s="1646" t="s">
        <v>500</v>
      </c>
      <c r="BH346" s="1647"/>
      <c r="BI346" s="1647"/>
      <c r="BJ346" s="1647"/>
      <c r="BK346" s="1647"/>
      <c r="BL346" s="1647"/>
      <c r="BM346" s="1647"/>
      <c r="BN346" s="1647"/>
      <c r="BO346" s="1647"/>
      <c r="BP346" s="1647"/>
      <c r="BQ346" s="1647"/>
      <c r="BR346" s="1647"/>
      <c r="BS346" s="1647"/>
      <c r="BT346" s="1647"/>
      <c r="BU346" s="1647"/>
      <c r="BV346" s="1647"/>
      <c r="BW346" s="1647"/>
      <c r="BX346" s="1647"/>
      <c r="BY346" s="1647"/>
      <c r="BZ346" s="1647"/>
      <c r="CA346" s="1647"/>
      <c r="CB346" s="1647"/>
      <c r="CC346" s="1647"/>
      <c r="CD346" s="1647"/>
      <c r="CE346" s="1647"/>
      <c r="CF346" s="1649"/>
    </row>
    <row r="347" spans="1:88" s="535" customFormat="1" ht="23.1" customHeight="1" thickBot="1">
      <c r="D347" s="542"/>
      <c r="E347" s="1536"/>
      <c r="F347" s="1527"/>
      <c r="G347" s="1527"/>
      <c r="H347" s="1527"/>
      <c r="I347" s="1527"/>
      <c r="J347" s="1527"/>
      <c r="K347" s="1527"/>
      <c r="L347" s="1527"/>
      <c r="M347" s="1527"/>
      <c r="N347" s="1527"/>
      <c r="O347" s="1527"/>
      <c r="P347" s="1527"/>
      <c r="Q347" s="1527"/>
      <c r="R347" s="1527"/>
      <c r="S347" s="1527"/>
      <c r="T347" s="1527"/>
      <c r="U347" s="1527"/>
      <c r="V347" s="1527"/>
      <c r="W347" s="1527"/>
      <c r="X347" s="1527"/>
      <c r="Y347" s="1527"/>
      <c r="Z347" s="1527"/>
      <c r="AA347" s="1527"/>
      <c r="AB347" s="1527"/>
      <c r="AC347" s="1527"/>
      <c r="AD347" s="1527"/>
      <c r="AE347" s="1527"/>
      <c r="AF347" s="1527"/>
      <c r="AG347" s="1650" t="s">
        <v>428</v>
      </c>
      <c r="AH347" s="1651"/>
      <c r="AI347" s="1651"/>
      <c r="AJ347" s="1651"/>
      <c r="AK347" s="1651"/>
      <c r="AL347" s="1651"/>
      <c r="AM347" s="1651"/>
      <c r="AN347" s="1651"/>
      <c r="AO347" s="1651"/>
      <c r="AP347" s="1652"/>
      <c r="AQ347" s="1650" t="s">
        <v>472</v>
      </c>
      <c r="AR347" s="1651"/>
      <c r="AS347" s="1651"/>
      <c r="AT347" s="1651"/>
      <c r="AU347" s="1651"/>
      <c r="AV347" s="1651"/>
      <c r="AW347" s="1651"/>
      <c r="AX347" s="1651"/>
      <c r="AY347" s="1651"/>
      <c r="AZ347" s="1651"/>
      <c r="BA347" s="1651"/>
      <c r="BB347" s="1651"/>
      <c r="BC347" s="1651"/>
      <c r="BD347" s="1651"/>
      <c r="BE347" s="1651"/>
      <c r="BF347" s="1652"/>
      <c r="BG347" s="1650" t="s">
        <v>428</v>
      </c>
      <c r="BH347" s="1651"/>
      <c r="BI347" s="1651"/>
      <c r="BJ347" s="1651"/>
      <c r="BK347" s="1651"/>
      <c r="BL347" s="1651"/>
      <c r="BM347" s="1651"/>
      <c r="BN347" s="1651"/>
      <c r="BO347" s="1651"/>
      <c r="BP347" s="1652"/>
      <c r="BQ347" s="1650" t="s">
        <v>472</v>
      </c>
      <c r="BR347" s="1651"/>
      <c r="BS347" s="1651"/>
      <c r="BT347" s="1651"/>
      <c r="BU347" s="1651"/>
      <c r="BV347" s="1651"/>
      <c r="BW347" s="1651"/>
      <c r="BX347" s="1651"/>
      <c r="BY347" s="1651"/>
      <c r="BZ347" s="1651"/>
      <c r="CA347" s="1651"/>
      <c r="CB347" s="1651"/>
      <c r="CC347" s="1651"/>
      <c r="CD347" s="1651"/>
      <c r="CE347" s="1651"/>
      <c r="CF347" s="1653"/>
    </row>
    <row r="348" spans="1:88" s="535" customFormat="1" ht="23.1" customHeight="1" thickTop="1">
      <c r="E348" s="1640" t="s">
        <v>416</v>
      </c>
      <c r="F348" s="1641"/>
      <c r="G348" s="1641"/>
      <c r="H348" s="1641"/>
      <c r="I348" s="1573" t="s">
        <v>417</v>
      </c>
      <c r="J348" s="1573"/>
      <c r="K348" s="1573"/>
      <c r="L348" s="1573"/>
      <c r="M348" s="1573"/>
      <c r="N348" s="1573"/>
      <c r="O348" s="1573"/>
      <c r="P348" s="1573"/>
      <c r="Q348" s="1573"/>
      <c r="R348" s="1573"/>
      <c r="S348" s="1573"/>
      <c r="T348" s="1643" t="s">
        <v>418</v>
      </c>
      <c r="U348" s="1643"/>
      <c r="V348" s="1643"/>
      <c r="W348" s="1643"/>
      <c r="X348" s="1643"/>
      <c r="Y348" s="1644" t="e">
        <f>#REF!</f>
        <v>#REF!</v>
      </c>
      <c r="Z348" s="1643"/>
      <c r="AA348" s="1643"/>
      <c r="AB348" s="1643"/>
      <c r="AC348" s="1643"/>
      <c r="AD348" s="1643"/>
      <c r="AE348" s="1643"/>
      <c r="AF348" s="1643"/>
      <c r="AG348" s="1637">
        <v>0.5</v>
      </c>
      <c r="AH348" s="1637"/>
      <c r="AI348" s="1637"/>
      <c r="AJ348" s="1637"/>
      <c r="AK348" s="1637"/>
      <c r="AL348" s="1637"/>
      <c r="AM348" s="1637"/>
      <c r="AN348" s="1637"/>
      <c r="AO348" s="1637"/>
      <c r="AP348" s="1637"/>
      <c r="AQ348" s="1638" t="e">
        <f>INT(Y348*AG348)</f>
        <v>#REF!</v>
      </c>
      <c r="AR348" s="1638"/>
      <c r="AS348" s="1638"/>
      <c r="AT348" s="1638"/>
      <c r="AU348" s="1638"/>
      <c r="AV348" s="1638"/>
      <c r="AW348" s="1638"/>
      <c r="AX348" s="1638"/>
      <c r="AY348" s="1638"/>
      <c r="AZ348" s="1638"/>
      <c r="BA348" s="1638"/>
      <c r="BB348" s="1638"/>
      <c r="BC348" s="1638"/>
      <c r="BD348" s="1638"/>
      <c r="BE348" s="1638"/>
      <c r="BF348" s="1638"/>
      <c r="BG348" s="1637">
        <v>1.6</v>
      </c>
      <c r="BH348" s="1637"/>
      <c r="BI348" s="1637"/>
      <c r="BJ348" s="1637"/>
      <c r="BK348" s="1637"/>
      <c r="BL348" s="1637"/>
      <c r="BM348" s="1637"/>
      <c r="BN348" s="1637"/>
      <c r="BO348" s="1637"/>
      <c r="BP348" s="1637"/>
      <c r="BQ348" s="1638" t="e">
        <f>INT(Y348*BG348)</f>
        <v>#REF!</v>
      </c>
      <c r="BR348" s="1638"/>
      <c r="BS348" s="1638"/>
      <c r="BT348" s="1638"/>
      <c r="BU348" s="1638"/>
      <c r="BV348" s="1638"/>
      <c r="BW348" s="1638"/>
      <c r="BX348" s="1638"/>
      <c r="BY348" s="1638"/>
      <c r="BZ348" s="1638"/>
      <c r="CA348" s="1638"/>
      <c r="CB348" s="1638"/>
      <c r="CC348" s="1638"/>
      <c r="CD348" s="1638"/>
      <c r="CE348" s="1638"/>
      <c r="CF348" s="1639"/>
    </row>
    <row r="349" spans="1:88" s="535" customFormat="1" ht="23.1" customHeight="1">
      <c r="E349" s="1636"/>
      <c r="F349" s="1642"/>
      <c r="G349" s="1642"/>
      <c r="H349" s="1642"/>
      <c r="I349" s="1566" t="s">
        <v>419</v>
      </c>
      <c r="J349" s="1566"/>
      <c r="K349" s="1566"/>
      <c r="L349" s="1566"/>
      <c r="M349" s="1566"/>
      <c r="N349" s="1566"/>
      <c r="O349" s="1566"/>
      <c r="P349" s="1566"/>
      <c r="Q349" s="1566"/>
      <c r="R349" s="1566"/>
      <c r="S349" s="1566"/>
      <c r="T349" s="1616"/>
      <c r="U349" s="1616"/>
      <c r="V349" s="1616"/>
      <c r="W349" s="1616"/>
      <c r="X349" s="1616"/>
      <c r="Y349" s="1526"/>
      <c r="Z349" s="1526"/>
      <c r="AA349" s="1526"/>
      <c r="AB349" s="1526"/>
      <c r="AC349" s="1526"/>
      <c r="AD349" s="1526"/>
      <c r="AE349" s="1526"/>
      <c r="AF349" s="1526"/>
      <c r="AG349" s="1525"/>
      <c r="AH349" s="1525"/>
      <c r="AI349" s="1525"/>
      <c r="AJ349" s="1525"/>
      <c r="AK349" s="1525"/>
      <c r="AL349" s="1525"/>
      <c r="AM349" s="1525"/>
      <c r="AN349" s="1525"/>
      <c r="AO349" s="1525"/>
      <c r="AP349" s="1525"/>
      <c r="AQ349" s="1623" t="e">
        <f>SUM(AQ348)</f>
        <v>#REF!</v>
      </c>
      <c r="AR349" s="1623"/>
      <c r="AS349" s="1623"/>
      <c r="AT349" s="1623"/>
      <c r="AU349" s="1623"/>
      <c r="AV349" s="1623"/>
      <c r="AW349" s="1623"/>
      <c r="AX349" s="1623"/>
      <c r="AY349" s="1623"/>
      <c r="AZ349" s="1623"/>
      <c r="BA349" s="1623"/>
      <c r="BB349" s="1623"/>
      <c r="BC349" s="1623"/>
      <c r="BD349" s="1623"/>
      <c r="BE349" s="1623"/>
      <c r="BF349" s="1623"/>
      <c r="BG349" s="1525"/>
      <c r="BH349" s="1525"/>
      <c r="BI349" s="1525"/>
      <c r="BJ349" s="1525"/>
      <c r="BK349" s="1525"/>
      <c r="BL349" s="1525"/>
      <c r="BM349" s="1525"/>
      <c r="BN349" s="1525"/>
      <c r="BO349" s="1525"/>
      <c r="BP349" s="1525"/>
      <c r="BQ349" s="1623" t="e">
        <f>SUM(BQ348)</f>
        <v>#REF!</v>
      </c>
      <c r="BR349" s="1623"/>
      <c r="BS349" s="1623"/>
      <c r="BT349" s="1623"/>
      <c r="BU349" s="1623"/>
      <c r="BV349" s="1623"/>
      <c r="BW349" s="1623"/>
      <c r="BX349" s="1623"/>
      <c r="BY349" s="1623"/>
      <c r="BZ349" s="1623"/>
      <c r="CA349" s="1623"/>
      <c r="CB349" s="1623"/>
      <c r="CC349" s="1623"/>
      <c r="CD349" s="1623"/>
      <c r="CE349" s="1623"/>
      <c r="CF349" s="1624"/>
    </row>
    <row r="350" spans="1:88" s="535" customFormat="1" ht="23.1" customHeight="1">
      <c r="E350" s="1636" t="s">
        <v>420</v>
      </c>
      <c r="F350" s="1642"/>
      <c r="G350" s="1642"/>
      <c r="H350" s="1642"/>
      <c r="I350" s="1566" t="s">
        <v>421</v>
      </c>
      <c r="J350" s="1566"/>
      <c r="K350" s="1566"/>
      <c r="L350" s="1566"/>
      <c r="M350" s="1566"/>
      <c r="N350" s="1566"/>
      <c r="O350" s="1566"/>
      <c r="P350" s="1566"/>
      <c r="Q350" s="1566"/>
      <c r="R350" s="1566"/>
      <c r="S350" s="1566"/>
      <c r="T350" s="1616" t="s">
        <v>366</v>
      </c>
      <c r="U350" s="1616"/>
      <c r="V350" s="1616"/>
      <c r="W350" s="1616"/>
      <c r="X350" s="1616"/>
      <c r="Y350" s="1615">
        <f>[53]노임단가!$T$18</f>
        <v>222306</v>
      </c>
      <c r="Z350" s="1616"/>
      <c r="AA350" s="1616"/>
      <c r="AB350" s="1616"/>
      <c r="AC350" s="1616"/>
      <c r="AD350" s="1616"/>
      <c r="AE350" s="1616"/>
      <c r="AF350" s="1616"/>
      <c r="AG350" s="1525">
        <v>0.56999999999999995</v>
      </c>
      <c r="AH350" s="1525"/>
      <c r="AI350" s="1525"/>
      <c r="AJ350" s="1525"/>
      <c r="AK350" s="1525"/>
      <c r="AL350" s="1525"/>
      <c r="AM350" s="1525"/>
      <c r="AN350" s="1525"/>
      <c r="AO350" s="1525"/>
      <c r="AP350" s="1525"/>
      <c r="AQ350" s="1617">
        <f>INT(Y350*AG350)</f>
        <v>126714</v>
      </c>
      <c r="AR350" s="1617"/>
      <c r="AS350" s="1617"/>
      <c r="AT350" s="1617"/>
      <c r="AU350" s="1617"/>
      <c r="AV350" s="1617"/>
      <c r="AW350" s="1617"/>
      <c r="AX350" s="1617"/>
      <c r="AY350" s="1617"/>
      <c r="AZ350" s="1617"/>
      <c r="BA350" s="1617"/>
      <c r="BB350" s="1617"/>
      <c r="BC350" s="1617"/>
      <c r="BD350" s="1617"/>
      <c r="BE350" s="1617"/>
      <c r="BF350" s="1617"/>
      <c r="BG350" s="1525">
        <v>0.62</v>
      </c>
      <c r="BH350" s="1525"/>
      <c r="BI350" s="1525"/>
      <c r="BJ350" s="1525"/>
      <c r="BK350" s="1525"/>
      <c r="BL350" s="1525"/>
      <c r="BM350" s="1525"/>
      <c r="BN350" s="1525"/>
      <c r="BO350" s="1525"/>
      <c r="BP350" s="1525"/>
      <c r="BQ350" s="1617">
        <f>INT(Y350*BG350)</f>
        <v>137829</v>
      </c>
      <c r="BR350" s="1617"/>
      <c r="BS350" s="1617"/>
      <c r="BT350" s="1617"/>
      <c r="BU350" s="1617"/>
      <c r="BV350" s="1617"/>
      <c r="BW350" s="1617"/>
      <c r="BX350" s="1617"/>
      <c r="BY350" s="1617"/>
      <c r="BZ350" s="1617"/>
      <c r="CA350" s="1617"/>
      <c r="CB350" s="1617"/>
      <c r="CC350" s="1617"/>
      <c r="CD350" s="1617"/>
      <c r="CE350" s="1617"/>
      <c r="CF350" s="1626"/>
    </row>
    <row r="351" spans="1:88" s="535" customFormat="1" ht="23.1" customHeight="1">
      <c r="E351" s="1636"/>
      <c r="F351" s="1642"/>
      <c r="G351" s="1642"/>
      <c r="H351" s="1642"/>
      <c r="I351" s="1566" t="s">
        <v>248</v>
      </c>
      <c r="J351" s="1566"/>
      <c r="K351" s="1566"/>
      <c r="L351" s="1566"/>
      <c r="M351" s="1566"/>
      <c r="N351" s="1566"/>
      <c r="O351" s="1566"/>
      <c r="P351" s="1566"/>
      <c r="Q351" s="1566"/>
      <c r="R351" s="1566"/>
      <c r="S351" s="1566"/>
      <c r="T351" s="1616" t="s">
        <v>366</v>
      </c>
      <c r="U351" s="1616"/>
      <c r="V351" s="1616"/>
      <c r="W351" s="1616"/>
      <c r="X351" s="1616"/>
      <c r="Y351" s="1615">
        <f>[53]노임단가!$T$5</f>
        <v>172068</v>
      </c>
      <c r="Z351" s="1616"/>
      <c r="AA351" s="1616"/>
      <c r="AB351" s="1616"/>
      <c r="AC351" s="1616"/>
      <c r="AD351" s="1616"/>
      <c r="AE351" s="1616"/>
      <c r="AF351" s="1616"/>
      <c r="AG351" s="1525">
        <v>0.37</v>
      </c>
      <c r="AH351" s="1525"/>
      <c r="AI351" s="1525"/>
      <c r="AJ351" s="1525"/>
      <c r="AK351" s="1525"/>
      <c r="AL351" s="1525"/>
      <c r="AM351" s="1525"/>
      <c r="AN351" s="1525"/>
      <c r="AO351" s="1525"/>
      <c r="AP351" s="1525"/>
      <c r="AQ351" s="1617">
        <f>INT(Y351*AG351)</f>
        <v>63665</v>
      </c>
      <c r="AR351" s="1617"/>
      <c r="AS351" s="1617"/>
      <c r="AT351" s="1617"/>
      <c r="AU351" s="1617"/>
      <c r="AV351" s="1617"/>
      <c r="AW351" s="1617"/>
      <c r="AX351" s="1617"/>
      <c r="AY351" s="1617"/>
      <c r="AZ351" s="1617"/>
      <c r="BA351" s="1617"/>
      <c r="BB351" s="1617"/>
      <c r="BC351" s="1617"/>
      <c r="BD351" s="1617"/>
      <c r="BE351" s="1617"/>
      <c r="BF351" s="1617"/>
      <c r="BG351" s="1525">
        <v>0.45</v>
      </c>
      <c r="BH351" s="1525"/>
      <c r="BI351" s="1525"/>
      <c r="BJ351" s="1525"/>
      <c r="BK351" s="1525"/>
      <c r="BL351" s="1525"/>
      <c r="BM351" s="1525"/>
      <c r="BN351" s="1525"/>
      <c r="BO351" s="1525"/>
      <c r="BP351" s="1525"/>
      <c r="BQ351" s="1617">
        <f>INT(Y351*BG351)</f>
        <v>77430</v>
      </c>
      <c r="BR351" s="1617"/>
      <c r="BS351" s="1617"/>
      <c r="BT351" s="1617"/>
      <c r="BU351" s="1617"/>
      <c r="BV351" s="1617"/>
      <c r="BW351" s="1617"/>
      <c r="BX351" s="1617"/>
      <c r="BY351" s="1617"/>
      <c r="BZ351" s="1617"/>
      <c r="CA351" s="1617"/>
      <c r="CB351" s="1617"/>
      <c r="CC351" s="1617"/>
      <c r="CD351" s="1617"/>
      <c r="CE351" s="1617"/>
      <c r="CF351" s="1626"/>
    </row>
    <row r="352" spans="1:88" s="535" customFormat="1" ht="23.1" customHeight="1">
      <c r="E352" s="1636"/>
      <c r="F352" s="1642"/>
      <c r="G352" s="1642"/>
      <c r="H352" s="1642"/>
      <c r="I352" s="1566" t="s">
        <v>417</v>
      </c>
      <c r="J352" s="1566"/>
      <c r="K352" s="1566"/>
      <c r="L352" s="1566"/>
      <c r="M352" s="1566"/>
      <c r="N352" s="1566"/>
      <c r="O352" s="1566"/>
      <c r="P352" s="1566"/>
      <c r="Q352" s="1566"/>
      <c r="R352" s="1566"/>
      <c r="S352" s="1566"/>
      <c r="T352" s="1616" t="s">
        <v>418</v>
      </c>
      <c r="U352" s="1616"/>
      <c r="V352" s="1616"/>
      <c r="W352" s="1616"/>
      <c r="X352" s="1616"/>
      <c r="Y352" s="1615" t="e">
        <f>#REF!</f>
        <v>#REF!</v>
      </c>
      <c r="Z352" s="1615"/>
      <c r="AA352" s="1615"/>
      <c r="AB352" s="1615"/>
      <c r="AC352" s="1615"/>
      <c r="AD352" s="1615"/>
      <c r="AE352" s="1615"/>
      <c r="AF352" s="1615"/>
      <c r="AG352" s="1525">
        <v>0.5</v>
      </c>
      <c r="AH352" s="1525"/>
      <c r="AI352" s="1525"/>
      <c r="AJ352" s="1525"/>
      <c r="AK352" s="1525"/>
      <c r="AL352" s="1525"/>
      <c r="AM352" s="1525"/>
      <c r="AN352" s="1525"/>
      <c r="AO352" s="1525"/>
      <c r="AP352" s="1525"/>
      <c r="AQ352" s="1617" t="e">
        <f>INT(Y352*AG352)</f>
        <v>#REF!</v>
      </c>
      <c r="AR352" s="1617"/>
      <c r="AS352" s="1617"/>
      <c r="AT352" s="1617"/>
      <c r="AU352" s="1617"/>
      <c r="AV352" s="1617"/>
      <c r="AW352" s="1617"/>
      <c r="AX352" s="1617"/>
      <c r="AY352" s="1617"/>
      <c r="AZ352" s="1617"/>
      <c r="BA352" s="1617"/>
      <c r="BB352" s="1617"/>
      <c r="BC352" s="1617"/>
      <c r="BD352" s="1617"/>
      <c r="BE352" s="1617"/>
      <c r="BF352" s="1617"/>
      <c r="BG352" s="1525">
        <v>1.6</v>
      </c>
      <c r="BH352" s="1525"/>
      <c r="BI352" s="1525"/>
      <c r="BJ352" s="1525"/>
      <c r="BK352" s="1525"/>
      <c r="BL352" s="1525"/>
      <c r="BM352" s="1525"/>
      <c r="BN352" s="1525"/>
      <c r="BO352" s="1525"/>
      <c r="BP352" s="1525"/>
      <c r="BQ352" s="1617" t="e">
        <f>INT(Y352*BG352)</f>
        <v>#REF!</v>
      </c>
      <c r="BR352" s="1617"/>
      <c r="BS352" s="1617"/>
      <c r="BT352" s="1617"/>
      <c r="BU352" s="1617"/>
      <c r="BV352" s="1617"/>
      <c r="BW352" s="1617"/>
      <c r="BX352" s="1617"/>
      <c r="BY352" s="1617"/>
      <c r="BZ352" s="1617"/>
      <c r="CA352" s="1617"/>
      <c r="CB352" s="1617"/>
      <c r="CC352" s="1617"/>
      <c r="CD352" s="1617"/>
      <c r="CE352" s="1617"/>
      <c r="CF352" s="1626"/>
    </row>
    <row r="353" spans="1:88" s="535" customFormat="1" ht="23.1" customHeight="1">
      <c r="E353" s="1636"/>
      <c r="F353" s="1642"/>
      <c r="G353" s="1642"/>
      <c r="H353" s="1642"/>
      <c r="I353" s="1566" t="s">
        <v>419</v>
      </c>
      <c r="J353" s="1566"/>
      <c r="K353" s="1566"/>
      <c r="L353" s="1566"/>
      <c r="M353" s="1566"/>
      <c r="N353" s="1566"/>
      <c r="O353" s="1566"/>
      <c r="P353" s="1566"/>
      <c r="Q353" s="1566"/>
      <c r="R353" s="1566"/>
      <c r="S353" s="1566"/>
      <c r="T353" s="1616"/>
      <c r="U353" s="1616"/>
      <c r="V353" s="1616"/>
      <c r="W353" s="1616"/>
      <c r="X353" s="1616"/>
      <c r="Y353" s="1526"/>
      <c r="Z353" s="1526"/>
      <c r="AA353" s="1526"/>
      <c r="AB353" s="1526"/>
      <c r="AC353" s="1526"/>
      <c r="AD353" s="1526"/>
      <c r="AE353" s="1526"/>
      <c r="AF353" s="1526"/>
      <c r="AG353" s="1525"/>
      <c r="AH353" s="1525"/>
      <c r="AI353" s="1525"/>
      <c r="AJ353" s="1525"/>
      <c r="AK353" s="1525"/>
      <c r="AL353" s="1525"/>
      <c r="AM353" s="1525"/>
      <c r="AN353" s="1525"/>
      <c r="AO353" s="1525"/>
      <c r="AP353" s="1525"/>
      <c r="AQ353" s="1617" t="e">
        <f>SUM(AQ350:BF352)</f>
        <v>#REF!</v>
      </c>
      <c r="AR353" s="1617"/>
      <c r="AS353" s="1617"/>
      <c r="AT353" s="1617"/>
      <c r="AU353" s="1617"/>
      <c r="AV353" s="1617"/>
      <c r="AW353" s="1617"/>
      <c r="AX353" s="1617"/>
      <c r="AY353" s="1617"/>
      <c r="AZ353" s="1617"/>
      <c r="BA353" s="1617"/>
      <c r="BB353" s="1617"/>
      <c r="BC353" s="1617"/>
      <c r="BD353" s="1617"/>
      <c r="BE353" s="1617"/>
      <c r="BF353" s="1617"/>
      <c r="BG353" s="1525"/>
      <c r="BH353" s="1525"/>
      <c r="BI353" s="1525"/>
      <c r="BJ353" s="1525"/>
      <c r="BK353" s="1525"/>
      <c r="BL353" s="1525"/>
      <c r="BM353" s="1525"/>
      <c r="BN353" s="1525"/>
      <c r="BO353" s="1525"/>
      <c r="BP353" s="1525"/>
      <c r="BQ353" s="1617" t="e">
        <f>SUM(BQ350:CF352)</f>
        <v>#REF!</v>
      </c>
      <c r="BR353" s="1617"/>
      <c r="BS353" s="1617"/>
      <c r="BT353" s="1617"/>
      <c r="BU353" s="1617"/>
      <c r="BV353" s="1617"/>
      <c r="BW353" s="1617"/>
      <c r="BX353" s="1617"/>
      <c r="BY353" s="1617"/>
      <c r="BZ353" s="1617"/>
      <c r="CA353" s="1617"/>
      <c r="CB353" s="1617"/>
      <c r="CC353" s="1617"/>
      <c r="CD353" s="1617"/>
      <c r="CE353" s="1617"/>
      <c r="CF353" s="1626"/>
    </row>
    <row r="354" spans="1:88" s="535" customFormat="1" ht="23.1" customHeight="1">
      <c r="E354" s="1636" t="s">
        <v>422</v>
      </c>
      <c r="F354" s="1566"/>
      <c r="G354" s="1566"/>
      <c r="H354" s="1566"/>
      <c r="I354" s="1566" t="s">
        <v>417</v>
      </c>
      <c r="J354" s="1566"/>
      <c r="K354" s="1566"/>
      <c r="L354" s="1566"/>
      <c r="M354" s="1566"/>
      <c r="N354" s="1566"/>
      <c r="O354" s="1566"/>
      <c r="P354" s="1566"/>
      <c r="Q354" s="1566"/>
      <c r="R354" s="1566"/>
      <c r="S354" s="1566"/>
      <c r="T354" s="1616" t="s">
        <v>418</v>
      </c>
      <c r="U354" s="1616"/>
      <c r="V354" s="1616"/>
      <c r="W354" s="1616"/>
      <c r="X354" s="1616"/>
      <c r="Y354" s="1615" t="e">
        <f>#REF!</f>
        <v>#REF!</v>
      </c>
      <c r="Z354" s="1616"/>
      <c r="AA354" s="1616"/>
      <c r="AB354" s="1616"/>
      <c r="AC354" s="1616"/>
      <c r="AD354" s="1616"/>
      <c r="AE354" s="1616"/>
      <c r="AF354" s="1616"/>
      <c r="AG354" s="1525">
        <v>0.5</v>
      </c>
      <c r="AH354" s="1525"/>
      <c r="AI354" s="1525"/>
      <c r="AJ354" s="1525"/>
      <c r="AK354" s="1525"/>
      <c r="AL354" s="1525"/>
      <c r="AM354" s="1525"/>
      <c r="AN354" s="1525"/>
      <c r="AO354" s="1525"/>
      <c r="AP354" s="1525"/>
      <c r="AQ354" s="1617" t="e">
        <f>INT(Y354*AG354)</f>
        <v>#REF!</v>
      </c>
      <c r="AR354" s="1617"/>
      <c r="AS354" s="1617"/>
      <c r="AT354" s="1617"/>
      <c r="AU354" s="1617"/>
      <c r="AV354" s="1617"/>
      <c r="AW354" s="1617"/>
      <c r="AX354" s="1617"/>
      <c r="AY354" s="1617"/>
      <c r="AZ354" s="1617"/>
      <c r="BA354" s="1617"/>
      <c r="BB354" s="1617"/>
      <c r="BC354" s="1617"/>
      <c r="BD354" s="1617"/>
      <c r="BE354" s="1617"/>
      <c r="BF354" s="1617"/>
      <c r="BG354" s="1525">
        <v>1.6</v>
      </c>
      <c r="BH354" s="1525"/>
      <c r="BI354" s="1525"/>
      <c r="BJ354" s="1525"/>
      <c r="BK354" s="1525"/>
      <c r="BL354" s="1525"/>
      <c r="BM354" s="1525"/>
      <c r="BN354" s="1525"/>
      <c r="BO354" s="1525"/>
      <c r="BP354" s="1525"/>
      <c r="BQ354" s="1617" t="e">
        <f>INT(Y354*BG354)</f>
        <v>#REF!</v>
      </c>
      <c r="BR354" s="1617"/>
      <c r="BS354" s="1617"/>
      <c r="BT354" s="1617"/>
      <c r="BU354" s="1617"/>
      <c r="BV354" s="1617"/>
      <c r="BW354" s="1617"/>
      <c r="BX354" s="1617"/>
      <c r="BY354" s="1617"/>
      <c r="BZ354" s="1617"/>
      <c r="CA354" s="1617"/>
      <c r="CB354" s="1617"/>
      <c r="CC354" s="1617"/>
      <c r="CD354" s="1617"/>
      <c r="CE354" s="1617"/>
      <c r="CF354" s="1626"/>
    </row>
    <row r="355" spans="1:88" s="535" customFormat="1" ht="23.1" customHeight="1">
      <c r="E355" s="1565"/>
      <c r="F355" s="1566"/>
      <c r="G355" s="1566"/>
      <c r="H355" s="1566"/>
      <c r="I355" s="1633" t="s">
        <v>731</v>
      </c>
      <c r="J355" s="1634"/>
      <c r="K355" s="1634"/>
      <c r="L355" s="1634"/>
      <c r="M355" s="1634"/>
      <c r="N355" s="1634"/>
      <c r="O355" s="1634"/>
      <c r="P355" s="1634"/>
      <c r="Q355" s="1634"/>
      <c r="R355" s="1634"/>
      <c r="S355" s="1635"/>
      <c r="T355" s="1616" t="s">
        <v>418</v>
      </c>
      <c r="U355" s="1616"/>
      <c r="V355" s="1616"/>
      <c r="W355" s="1616"/>
      <c r="X355" s="1616"/>
      <c r="Y355" s="1615" t="e">
        <f>#REF!</f>
        <v>#REF!</v>
      </c>
      <c r="Z355" s="1616"/>
      <c r="AA355" s="1616"/>
      <c r="AB355" s="1616"/>
      <c r="AC355" s="1616"/>
      <c r="AD355" s="1616"/>
      <c r="AE355" s="1616"/>
      <c r="AF355" s="1616"/>
      <c r="AG355" s="1525">
        <v>1</v>
      </c>
      <c r="AH355" s="1525"/>
      <c r="AI355" s="1525"/>
      <c r="AJ355" s="1525"/>
      <c r="AK355" s="1525"/>
      <c r="AL355" s="1525"/>
      <c r="AM355" s="1525"/>
      <c r="AN355" s="1525"/>
      <c r="AO355" s="1525"/>
      <c r="AP355" s="1525"/>
      <c r="AQ355" s="1617" t="e">
        <f>INT(Y355*AG355)</f>
        <v>#REF!</v>
      </c>
      <c r="AR355" s="1617"/>
      <c r="AS355" s="1617"/>
      <c r="AT355" s="1617"/>
      <c r="AU355" s="1617"/>
      <c r="AV355" s="1617"/>
      <c r="AW355" s="1617"/>
      <c r="AX355" s="1617"/>
      <c r="AY355" s="1617"/>
      <c r="AZ355" s="1617"/>
      <c r="BA355" s="1617"/>
      <c r="BB355" s="1617"/>
      <c r="BC355" s="1617"/>
      <c r="BD355" s="1617"/>
      <c r="BE355" s="1617"/>
      <c r="BF355" s="1617"/>
      <c r="BG355" s="1525">
        <v>3.2</v>
      </c>
      <c r="BH355" s="1525"/>
      <c r="BI355" s="1525"/>
      <c r="BJ355" s="1525"/>
      <c r="BK355" s="1525"/>
      <c r="BL355" s="1525"/>
      <c r="BM355" s="1525"/>
      <c r="BN355" s="1525"/>
      <c r="BO355" s="1525"/>
      <c r="BP355" s="1525"/>
      <c r="BQ355" s="1617" t="e">
        <f>INT(Y355*BG355)</f>
        <v>#REF!</v>
      </c>
      <c r="BR355" s="1617"/>
      <c r="BS355" s="1617"/>
      <c r="BT355" s="1617"/>
      <c r="BU355" s="1617"/>
      <c r="BV355" s="1617"/>
      <c r="BW355" s="1617"/>
      <c r="BX355" s="1617"/>
      <c r="BY355" s="1617"/>
      <c r="BZ355" s="1617"/>
      <c r="CA355" s="1617"/>
      <c r="CB355" s="1617"/>
      <c r="CC355" s="1617"/>
      <c r="CD355" s="1617"/>
      <c r="CE355" s="1617"/>
      <c r="CF355" s="1626"/>
    </row>
    <row r="356" spans="1:88" s="535" customFormat="1" ht="23.1" customHeight="1">
      <c r="E356" s="1565"/>
      <c r="F356" s="1566"/>
      <c r="G356" s="1566"/>
      <c r="H356" s="1566"/>
      <c r="I356" s="1566" t="s">
        <v>419</v>
      </c>
      <c r="J356" s="1566"/>
      <c r="K356" s="1566"/>
      <c r="L356" s="1566"/>
      <c r="M356" s="1566"/>
      <c r="N356" s="1566"/>
      <c r="O356" s="1566"/>
      <c r="P356" s="1566"/>
      <c r="Q356" s="1566"/>
      <c r="R356" s="1566"/>
      <c r="S356" s="1566"/>
      <c r="T356" s="1616"/>
      <c r="U356" s="1616"/>
      <c r="V356" s="1616"/>
      <c r="W356" s="1616"/>
      <c r="X356" s="1616"/>
      <c r="Y356" s="1526"/>
      <c r="Z356" s="1526"/>
      <c r="AA356" s="1526"/>
      <c r="AB356" s="1526"/>
      <c r="AC356" s="1526"/>
      <c r="AD356" s="1526"/>
      <c r="AE356" s="1526"/>
      <c r="AF356" s="1526"/>
      <c r="AG356" s="1525"/>
      <c r="AH356" s="1525"/>
      <c r="AI356" s="1525"/>
      <c r="AJ356" s="1525"/>
      <c r="AK356" s="1525"/>
      <c r="AL356" s="1525"/>
      <c r="AM356" s="1525"/>
      <c r="AN356" s="1525"/>
      <c r="AO356" s="1525"/>
      <c r="AP356" s="1525"/>
      <c r="AQ356" s="1623" t="e">
        <f>SUM(AQ354:BF355)</f>
        <v>#REF!</v>
      </c>
      <c r="AR356" s="1623"/>
      <c r="AS356" s="1623"/>
      <c r="AT356" s="1623"/>
      <c r="AU356" s="1623"/>
      <c r="AV356" s="1623"/>
      <c r="AW356" s="1623"/>
      <c r="AX356" s="1623"/>
      <c r="AY356" s="1623"/>
      <c r="AZ356" s="1623"/>
      <c r="BA356" s="1623"/>
      <c r="BB356" s="1623"/>
      <c r="BC356" s="1623"/>
      <c r="BD356" s="1623"/>
      <c r="BE356" s="1623"/>
      <c r="BF356" s="1623"/>
      <c r="BG356" s="1525"/>
      <c r="BH356" s="1525"/>
      <c r="BI356" s="1525"/>
      <c r="BJ356" s="1525"/>
      <c r="BK356" s="1525"/>
      <c r="BL356" s="1525"/>
      <c r="BM356" s="1525"/>
      <c r="BN356" s="1525"/>
      <c r="BO356" s="1525"/>
      <c r="BP356" s="1525"/>
      <c r="BQ356" s="1623" t="e">
        <f>SUM(BQ354:CF355)</f>
        <v>#REF!</v>
      </c>
      <c r="BR356" s="1623"/>
      <c r="BS356" s="1623"/>
      <c r="BT356" s="1623"/>
      <c r="BU356" s="1623"/>
      <c r="BV356" s="1623"/>
      <c r="BW356" s="1623"/>
      <c r="BX356" s="1623"/>
      <c r="BY356" s="1623"/>
      <c r="BZ356" s="1623"/>
      <c r="CA356" s="1623"/>
      <c r="CB356" s="1623"/>
      <c r="CC356" s="1623"/>
      <c r="CD356" s="1623"/>
      <c r="CE356" s="1623"/>
      <c r="CF356" s="1624"/>
    </row>
    <row r="357" spans="1:88" s="535" customFormat="1" ht="23.1" customHeight="1" thickBot="1">
      <c r="E357" s="1625" t="s">
        <v>419</v>
      </c>
      <c r="F357" s="1546"/>
      <c r="G357" s="1546"/>
      <c r="H357" s="1546"/>
      <c r="I357" s="1546"/>
      <c r="J357" s="1546"/>
      <c r="K357" s="1546"/>
      <c r="L357" s="1546"/>
      <c r="M357" s="1546"/>
      <c r="N357" s="1546"/>
      <c r="O357" s="1546"/>
      <c r="P357" s="1546"/>
      <c r="Q357" s="1546"/>
      <c r="R357" s="1546"/>
      <c r="S357" s="1546"/>
      <c r="T357" s="1629"/>
      <c r="U357" s="1629"/>
      <c r="V357" s="1629"/>
      <c r="W357" s="1629"/>
      <c r="X357" s="1629"/>
      <c r="Y357" s="1630"/>
      <c r="Z357" s="1629"/>
      <c r="AA357" s="1629"/>
      <c r="AB357" s="1629"/>
      <c r="AC357" s="1629"/>
      <c r="AD357" s="1629"/>
      <c r="AE357" s="1629"/>
      <c r="AF357" s="1629"/>
      <c r="AG357" s="1511"/>
      <c r="AH357" s="1511"/>
      <c r="AI357" s="1511"/>
      <c r="AJ357" s="1511"/>
      <c r="AK357" s="1511"/>
      <c r="AL357" s="1511"/>
      <c r="AM357" s="1511"/>
      <c r="AN357" s="1511"/>
      <c r="AO357" s="1511"/>
      <c r="AP357" s="1511"/>
      <c r="AQ357" s="1631" t="e">
        <f>AQ349+AQ353+AQ356</f>
        <v>#REF!</v>
      </c>
      <c r="AR357" s="1631"/>
      <c r="AS357" s="1631"/>
      <c r="AT357" s="1631"/>
      <c r="AU357" s="1631"/>
      <c r="AV357" s="1631"/>
      <c r="AW357" s="1631"/>
      <c r="AX357" s="1631"/>
      <c r="AY357" s="1631"/>
      <c r="AZ357" s="1631"/>
      <c r="BA357" s="1631"/>
      <c r="BB357" s="1631"/>
      <c r="BC357" s="1631"/>
      <c r="BD357" s="1631"/>
      <c r="BE357" s="1631"/>
      <c r="BF357" s="1631"/>
      <c r="BG357" s="1511"/>
      <c r="BH357" s="1511"/>
      <c r="BI357" s="1511"/>
      <c r="BJ357" s="1511"/>
      <c r="BK357" s="1511"/>
      <c r="BL357" s="1511"/>
      <c r="BM357" s="1511"/>
      <c r="BN357" s="1511"/>
      <c r="BO357" s="1511"/>
      <c r="BP357" s="1511"/>
      <c r="BQ357" s="1631" t="e">
        <f>BQ349+BQ353+BQ356</f>
        <v>#REF!</v>
      </c>
      <c r="BR357" s="1631"/>
      <c r="BS357" s="1631"/>
      <c r="BT357" s="1631"/>
      <c r="BU357" s="1631"/>
      <c r="BV357" s="1631"/>
      <c r="BW357" s="1631"/>
      <c r="BX357" s="1631"/>
      <c r="BY357" s="1631"/>
      <c r="BZ357" s="1631"/>
      <c r="CA357" s="1631"/>
      <c r="CB357" s="1631"/>
      <c r="CC357" s="1631"/>
      <c r="CD357" s="1631"/>
      <c r="CE357" s="1631"/>
      <c r="CF357" s="1632"/>
    </row>
    <row r="358" spans="1:88" s="535" customFormat="1" ht="23.1" customHeight="1">
      <c r="D358" s="542"/>
      <c r="G358" s="540" t="s">
        <v>730</v>
      </c>
      <c r="AR358" s="414"/>
      <c r="AS358" s="414"/>
      <c r="AT358" s="414"/>
      <c r="AU358" s="414"/>
      <c r="AV358" s="414"/>
      <c r="AW358" s="414"/>
      <c r="AX358" s="414"/>
      <c r="AY358" s="414"/>
      <c r="AZ358" s="414"/>
      <c r="BA358" s="414"/>
      <c r="BB358" s="414"/>
      <c r="BT358" s="414"/>
      <c r="BU358" s="414"/>
      <c r="BV358" s="414"/>
      <c r="BW358" s="414"/>
      <c r="BX358" s="414"/>
      <c r="BY358" s="414"/>
      <c r="BZ358" s="414"/>
      <c r="CA358" s="414"/>
      <c r="CB358" s="414"/>
      <c r="CC358" s="414"/>
    </row>
    <row r="359" spans="1:88" s="535" customFormat="1" ht="23.1" customHeight="1">
      <c r="BT359" s="410"/>
      <c r="BU359" s="410"/>
      <c r="BV359" s="410"/>
      <c r="BW359" s="410"/>
      <c r="BX359" s="410"/>
      <c r="BY359" s="410"/>
      <c r="BZ359" s="410"/>
      <c r="CA359" s="410"/>
      <c r="CB359" s="410"/>
      <c r="CC359" s="410"/>
    </row>
    <row r="360" spans="1:88" s="535" customFormat="1" ht="23.1" customHeight="1">
      <c r="BT360" s="410"/>
      <c r="BU360" s="410"/>
      <c r="BV360" s="410"/>
      <c r="BW360" s="410"/>
      <c r="BX360" s="410"/>
      <c r="BY360" s="410"/>
      <c r="BZ360" s="410"/>
      <c r="CA360" s="410"/>
      <c r="CB360" s="410"/>
      <c r="CC360" s="410"/>
    </row>
    <row r="361" spans="1:88" s="539" customFormat="1" ht="23.1" customHeight="1">
      <c r="A361" s="537"/>
      <c r="B361" s="538" t="s">
        <v>503</v>
      </c>
      <c r="C361" s="537"/>
      <c r="D361" s="537"/>
      <c r="E361" s="537"/>
      <c r="F361" s="537"/>
      <c r="G361" s="537"/>
      <c r="H361" s="537"/>
      <c r="I361" s="537"/>
      <c r="J361" s="537"/>
      <c r="K361" s="537"/>
      <c r="L361" s="537"/>
      <c r="M361" s="537"/>
      <c r="N361" s="537"/>
      <c r="O361" s="537"/>
      <c r="P361" s="537"/>
      <c r="Q361" s="537"/>
      <c r="R361" s="537"/>
      <c r="S361" s="537"/>
      <c r="T361" s="537"/>
      <c r="U361" s="537"/>
      <c r="V361" s="537"/>
      <c r="W361" s="537"/>
      <c r="X361" s="537"/>
      <c r="Y361" s="537"/>
      <c r="Z361" s="537"/>
      <c r="AA361" s="537"/>
      <c r="AB361" s="537"/>
      <c r="AC361" s="537"/>
      <c r="AD361" s="537"/>
      <c r="AE361" s="537"/>
      <c r="AF361" s="537"/>
      <c r="AG361" s="537"/>
      <c r="AH361" s="537"/>
      <c r="AI361" s="537"/>
      <c r="AJ361" s="537"/>
      <c r="AK361" s="537"/>
      <c r="AL361" s="537"/>
      <c r="AM361" s="537"/>
      <c r="AN361" s="537"/>
      <c r="AO361" s="537"/>
      <c r="AP361" s="537"/>
      <c r="AQ361" s="537"/>
      <c r="AR361" s="537"/>
      <c r="AS361" s="537"/>
      <c r="AT361" s="537"/>
      <c r="AU361" s="537"/>
      <c r="BM361" s="537"/>
      <c r="BN361" s="537"/>
      <c r="BO361" s="537"/>
      <c r="BP361" s="537"/>
      <c r="BQ361" s="537"/>
      <c r="BR361" s="537"/>
      <c r="BS361" s="537"/>
      <c r="BT361" s="537"/>
      <c r="BU361" s="537"/>
      <c r="BV361" s="537"/>
      <c r="BW361" s="537"/>
      <c r="BX361" s="537"/>
      <c r="BY361" s="537"/>
      <c r="BZ361" s="537"/>
      <c r="CA361" s="537"/>
      <c r="CB361" s="537"/>
      <c r="CC361" s="537"/>
      <c r="CD361" s="537"/>
      <c r="CE361" s="537"/>
      <c r="CF361" s="537"/>
      <c r="CJ361" s="535" t="s">
        <v>729</v>
      </c>
    </row>
    <row r="362" spans="1:88" s="535" customFormat="1" ht="9.9499999999999993" customHeight="1">
      <c r="A362" s="540"/>
      <c r="B362" s="540"/>
      <c r="C362" s="540"/>
      <c r="D362" s="540"/>
      <c r="E362" s="540"/>
      <c r="F362" s="540"/>
      <c r="G362" s="540"/>
      <c r="H362" s="540"/>
      <c r="I362" s="540"/>
      <c r="J362" s="540"/>
      <c r="K362" s="540"/>
      <c r="L362" s="540"/>
      <c r="M362" s="540"/>
      <c r="N362" s="540"/>
      <c r="O362" s="540"/>
      <c r="P362" s="540"/>
      <c r="Q362" s="540"/>
      <c r="R362" s="540"/>
      <c r="S362" s="540"/>
      <c r="T362" s="540"/>
      <c r="U362" s="540"/>
      <c r="V362" s="540"/>
      <c r="W362" s="540"/>
      <c r="X362" s="540"/>
      <c r="Y362" s="540"/>
      <c r="Z362" s="540"/>
      <c r="AA362" s="540"/>
      <c r="AB362" s="540"/>
      <c r="AC362" s="540"/>
      <c r="AD362" s="540"/>
      <c r="AE362" s="540"/>
      <c r="AF362" s="540"/>
      <c r="AG362" s="540"/>
      <c r="AH362" s="540"/>
      <c r="AI362" s="540"/>
      <c r="AJ362" s="540"/>
      <c r="AK362" s="540"/>
      <c r="AL362" s="540"/>
      <c r="AM362" s="540"/>
      <c r="AN362" s="540"/>
      <c r="AO362" s="540"/>
      <c r="AP362" s="540"/>
      <c r="AQ362" s="540"/>
      <c r="AR362" s="540"/>
      <c r="AS362" s="540"/>
      <c r="AT362" s="540"/>
      <c r="AU362" s="540"/>
      <c r="AV362" s="540"/>
      <c r="AW362" s="540"/>
      <c r="AX362" s="540"/>
      <c r="AY362" s="540"/>
      <c r="AZ362" s="540"/>
      <c r="BA362" s="540"/>
      <c r="BB362" s="540"/>
      <c r="BC362" s="540"/>
      <c r="BD362" s="540"/>
      <c r="BE362" s="540"/>
      <c r="BF362" s="540"/>
      <c r="BG362" s="540"/>
      <c r="BH362" s="540"/>
      <c r="BI362" s="540"/>
      <c r="BJ362" s="540"/>
      <c r="BK362" s="540"/>
      <c r="BL362" s="540"/>
      <c r="BM362" s="540"/>
      <c r="BN362" s="540"/>
      <c r="BO362" s="540"/>
      <c r="BP362" s="540"/>
      <c r="BQ362" s="540"/>
      <c r="BR362" s="540"/>
      <c r="BS362" s="540"/>
      <c r="BT362" s="541"/>
      <c r="BU362" s="541"/>
      <c r="BV362" s="541"/>
      <c r="BW362" s="541"/>
      <c r="BX362" s="541"/>
      <c r="BY362" s="541"/>
      <c r="BZ362" s="541"/>
      <c r="CA362" s="541"/>
      <c r="CB362" s="541"/>
      <c r="CC362" s="541"/>
      <c r="CD362" s="540"/>
      <c r="CE362" s="540"/>
      <c r="CF362" s="540"/>
    </row>
    <row r="363" spans="1:88" s="535" customFormat="1" ht="23.1" customHeight="1">
      <c r="E363" s="535" t="s">
        <v>504</v>
      </c>
      <c r="BT363" s="414"/>
      <c r="BU363" s="414"/>
      <c r="BV363" s="414"/>
      <c r="BW363" s="414"/>
      <c r="BX363" s="414"/>
      <c r="BY363" s="414"/>
      <c r="BZ363" s="414"/>
      <c r="CA363" s="414"/>
      <c r="CB363" s="414"/>
      <c r="CC363" s="414"/>
    </row>
    <row r="364" spans="1:88" s="535" customFormat="1" ht="9.9499999999999993" customHeight="1" thickBot="1">
      <c r="D364" s="405"/>
      <c r="Q364" s="546"/>
      <c r="R364" s="546"/>
      <c r="S364" s="546"/>
      <c r="T364" s="546"/>
      <c r="U364" s="546"/>
      <c r="V364" s="546"/>
      <c r="W364" s="546"/>
      <c r="X364" s="546"/>
      <c r="Y364" s="546"/>
      <c r="Z364" s="546"/>
      <c r="AA364" s="546"/>
      <c r="AB364" s="546"/>
      <c r="AV364" s="544"/>
      <c r="AW364" s="544"/>
      <c r="AX364" s="544"/>
      <c r="AY364" s="544"/>
      <c r="AZ364" s="544"/>
      <c r="BA364" s="544"/>
      <c r="BB364" s="544"/>
      <c r="BC364" s="544"/>
      <c r="BD364" s="544"/>
      <c r="BE364" s="545"/>
      <c r="BF364" s="545"/>
      <c r="BG364" s="545"/>
      <c r="BH364" s="545"/>
      <c r="BI364" s="545"/>
      <c r="BJ364" s="545"/>
      <c r="BK364" s="545"/>
      <c r="BL364" s="545"/>
      <c r="BM364" s="545"/>
      <c r="BN364" s="545"/>
      <c r="BO364" s="545"/>
      <c r="BP364" s="545"/>
      <c r="BQ364" s="545"/>
      <c r="BR364" s="545"/>
      <c r="BS364" s="545"/>
      <c r="BT364" s="545"/>
      <c r="BU364" s="545"/>
      <c r="BV364" s="545"/>
      <c r="BW364" s="545"/>
      <c r="BX364" s="545"/>
      <c r="BY364" s="545"/>
      <c r="BZ364" s="545"/>
      <c r="CA364" s="545"/>
      <c r="CB364" s="545"/>
      <c r="CC364" s="545"/>
      <c r="CD364" s="545"/>
      <c r="CE364" s="545"/>
      <c r="CF364" s="545"/>
    </row>
    <row r="365" spans="1:88" s="535" customFormat="1" ht="23.1" customHeight="1">
      <c r="A365" s="540"/>
      <c r="B365" s="540"/>
      <c r="C365" s="540"/>
      <c r="D365" s="540"/>
      <c r="E365" s="1534" t="s">
        <v>369</v>
      </c>
      <c r="F365" s="1535"/>
      <c r="G365" s="1535"/>
      <c r="H365" s="1535"/>
      <c r="I365" s="1535"/>
      <c r="J365" s="1535"/>
      <c r="K365" s="1535"/>
      <c r="L365" s="1535"/>
      <c r="M365" s="1535"/>
      <c r="N365" s="1535"/>
      <c r="O365" s="1535"/>
      <c r="P365" s="1535"/>
      <c r="Q365" s="1535"/>
      <c r="R365" s="1535"/>
      <c r="S365" s="1535"/>
      <c r="T365" s="1535"/>
      <c r="U365" s="1535" t="s">
        <v>403</v>
      </c>
      <c r="V365" s="1535"/>
      <c r="W365" s="1535"/>
      <c r="X365" s="1535"/>
      <c r="Y365" s="1535"/>
      <c r="Z365" s="1535"/>
      <c r="AA365" s="1535"/>
      <c r="AB365" s="1535"/>
      <c r="AC365" s="1535"/>
      <c r="AD365" s="1535"/>
      <c r="AE365" s="1535"/>
      <c r="AF365" s="1535"/>
      <c r="AG365" s="1535"/>
      <c r="AH365" s="1535"/>
      <c r="AI365" s="1535"/>
      <c r="AJ365" s="1535"/>
      <c r="AK365" s="1535"/>
      <c r="AL365" s="1535"/>
      <c r="AM365" s="1535"/>
      <c r="AN365" s="1535"/>
      <c r="AO365" s="1535"/>
      <c r="AP365" s="1535"/>
      <c r="AQ365" s="1535"/>
      <c r="AR365" s="1535"/>
      <c r="AS365" s="1537" t="s">
        <v>404</v>
      </c>
      <c r="AT365" s="1535"/>
      <c r="AU365" s="1535"/>
      <c r="AV365" s="1535"/>
      <c r="AW365" s="1535"/>
      <c r="AX365" s="1535"/>
      <c r="AY365" s="1535"/>
      <c r="AZ365" s="1535"/>
      <c r="BA365" s="1535" t="s">
        <v>405</v>
      </c>
      <c r="BB365" s="1535"/>
      <c r="BC365" s="1535"/>
      <c r="BD365" s="1535"/>
      <c r="BE365" s="1535"/>
      <c r="BF365" s="1535"/>
      <c r="BG365" s="1535"/>
      <c r="BH365" s="1535"/>
      <c r="BI365" s="1535"/>
      <c r="BJ365" s="1535"/>
      <c r="BK365" s="1535"/>
      <c r="BL365" s="1535"/>
      <c r="BM365" s="1535"/>
      <c r="BN365" s="1535"/>
      <c r="BO365" s="1535"/>
      <c r="BP365" s="1535"/>
      <c r="BQ365" s="1535"/>
      <c r="BR365" s="1535"/>
      <c r="BS365" s="1535"/>
      <c r="BT365" s="1535"/>
      <c r="BU365" s="1535"/>
      <c r="BV365" s="1535"/>
      <c r="BW365" s="1535"/>
      <c r="BX365" s="1535"/>
      <c r="BY365" s="1535"/>
      <c r="BZ365" s="1535"/>
      <c r="CA365" s="1535"/>
      <c r="CB365" s="1535"/>
      <c r="CC365" s="1535"/>
      <c r="CD365" s="1535"/>
      <c r="CE365" s="1535"/>
      <c r="CF365" s="1538"/>
    </row>
    <row r="366" spans="1:88" s="535" customFormat="1" ht="23.1" customHeight="1" thickBot="1">
      <c r="D366" s="405"/>
      <c r="E366" s="1536"/>
      <c r="F366" s="1527"/>
      <c r="G366" s="1527"/>
      <c r="H366" s="1527"/>
      <c r="I366" s="1527"/>
      <c r="J366" s="1527"/>
      <c r="K366" s="1527"/>
      <c r="L366" s="1527"/>
      <c r="M366" s="1527"/>
      <c r="N366" s="1527"/>
      <c r="O366" s="1527"/>
      <c r="P366" s="1527"/>
      <c r="Q366" s="1527"/>
      <c r="R366" s="1527"/>
      <c r="S366" s="1527"/>
      <c r="T366" s="1527"/>
      <c r="U366" s="1527" t="s">
        <v>406</v>
      </c>
      <c r="V366" s="1527"/>
      <c r="W366" s="1527"/>
      <c r="X366" s="1527"/>
      <c r="Y366" s="1527"/>
      <c r="Z366" s="1527"/>
      <c r="AA366" s="1527"/>
      <c r="AB366" s="1527"/>
      <c r="AC366" s="1527" t="s">
        <v>407</v>
      </c>
      <c r="AD366" s="1527"/>
      <c r="AE366" s="1527"/>
      <c r="AF366" s="1527"/>
      <c r="AG366" s="1527"/>
      <c r="AH366" s="1527"/>
      <c r="AI366" s="1527"/>
      <c r="AJ366" s="1527"/>
      <c r="AK366" s="1527" t="s">
        <v>408</v>
      </c>
      <c r="AL366" s="1527"/>
      <c r="AM366" s="1527"/>
      <c r="AN366" s="1527"/>
      <c r="AO366" s="1527"/>
      <c r="AP366" s="1527"/>
      <c r="AQ366" s="1527"/>
      <c r="AR366" s="1527"/>
      <c r="AS366" s="1527"/>
      <c r="AT366" s="1527"/>
      <c r="AU366" s="1527"/>
      <c r="AV366" s="1527"/>
      <c r="AW366" s="1527"/>
      <c r="AX366" s="1527"/>
      <c r="AY366" s="1527"/>
      <c r="AZ366" s="1527"/>
      <c r="BA366" s="1527" t="s">
        <v>406</v>
      </c>
      <c r="BB366" s="1527"/>
      <c r="BC366" s="1527"/>
      <c r="BD366" s="1527"/>
      <c r="BE366" s="1527"/>
      <c r="BF366" s="1527"/>
      <c r="BG366" s="1527"/>
      <c r="BH366" s="1527"/>
      <c r="BI366" s="1527" t="s">
        <v>407</v>
      </c>
      <c r="BJ366" s="1527"/>
      <c r="BK366" s="1527"/>
      <c r="BL366" s="1527"/>
      <c r="BM366" s="1527"/>
      <c r="BN366" s="1527"/>
      <c r="BO366" s="1527"/>
      <c r="BP366" s="1527"/>
      <c r="BQ366" s="1527" t="s">
        <v>423</v>
      </c>
      <c r="BR366" s="1527"/>
      <c r="BS366" s="1527"/>
      <c r="BT366" s="1527"/>
      <c r="BU366" s="1527"/>
      <c r="BV366" s="1527"/>
      <c r="BW366" s="1527"/>
      <c r="BX366" s="1527"/>
      <c r="BY366" s="1527" t="s">
        <v>424</v>
      </c>
      <c r="BZ366" s="1527"/>
      <c r="CA366" s="1527"/>
      <c r="CB366" s="1527"/>
      <c r="CC366" s="1527"/>
      <c r="CD366" s="1527"/>
      <c r="CE366" s="1527"/>
      <c r="CF366" s="1528"/>
    </row>
    <row r="367" spans="1:88" s="535" customFormat="1" ht="23.1" customHeight="1" thickTop="1">
      <c r="D367" s="405"/>
      <c r="E367" s="1618" t="s">
        <v>505</v>
      </c>
      <c r="F367" s="1619"/>
      <c r="G367" s="1619"/>
      <c r="H367" s="1619"/>
      <c r="I367" s="1619"/>
      <c r="J367" s="1620" t="s">
        <v>395</v>
      </c>
      <c r="K367" s="1620"/>
      <c r="L367" s="1620"/>
      <c r="M367" s="1620"/>
      <c r="N367" s="1620"/>
      <c r="O367" s="1620"/>
      <c r="P367" s="1620"/>
      <c r="Q367" s="1620"/>
      <c r="R367" s="1620"/>
      <c r="S367" s="1620"/>
      <c r="T367" s="1620"/>
      <c r="U367" s="1532" t="e">
        <f>$AG$283</f>
        <v>#REF!</v>
      </c>
      <c r="V367" s="1532"/>
      <c r="W367" s="1532"/>
      <c r="X367" s="1532"/>
      <c r="Y367" s="1532"/>
      <c r="Z367" s="1532"/>
      <c r="AA367" s="1532"/>
      <c r="AB367" s="1532"/>
      <c r="AC367" s="1532" t="e">
        <f>$AQ$283+$AF$375</f>
        <v>#REF!</v>
      </c>
      <c r="AD367" s="1532"/>
      <c r="AE367" s="1532"/>
      <c r="AF367" s="1532"/>
      <c r="AG367" s="1532"/>
      <c r="AH367" s="1532"/>
      <c r="AI367" s="1532"/>
      <c r="AJ367" s="1532"/>
      <c r="AK367" s="1532" t="e">
        <f>$BA$283</f>
        <v>#REF!</v>
      </c>
      <c r="AL367" s="1532"/>
      <c r="AM367" s="1532"/>
      <c r="AN367" s="1532"/>
      <c r="AO367" s="1532"/>
      <c r="AP367" s="1532"/>
      <c r="AQ367" s="1532"/>
      <c r="AR367" s="1532"/>
      <c r="AS367" s="1621">
        <v>1.75</v>
      </c>
      <c r="AT367" s="1621"/>
      <c r="AU367" s="1621"/>
      <c r="AV367" s="1621"/>
      <c r="AW367" s="1621"/>
      <c r="AX367" s="1621"/>
      <c r="AY367" s="1621"/>
      <c r="AZ367" s="1621"/>
      <c r="BA367" s="1622" t="e">
        <f t="shared" ref="BA367:BA373" si="30">INT(U367/$AS367)</f>
        <v>#REF!</v>
      </c>
      <c r="BB367" s="1622"/>
      <c r="BC367" s="1622"/>
      <c r="BD367" s="1622"/>
      <c r="BE367" s="1622"/>
      <c r="BF367" s="1622"/>
      <c r="BG367" s="1622"/>
      <c r="BH367" s="1622"/>
      <c r="BI367" s="1622" t="e">
        <f t="shared" ref="BI367:BI373" si="31">INT(AC367/$AS367)</f>
        <v>#REF!</v>
      </c>
      <c r="BJ367" s="1622"/>
      <c r="BK367" s="1622"/>
      <c r="BL367" s="1622"/>
      <c r="BM367" s="1622"/>
      <c r="BN367" s="1622"/>
      <c r="BO367" s="1622"/>
      <c r="BP367" s="1622"/>
      <c r="BQ367" s="1622" t="e">
        <f t="shared" ref="BQ367:BQ373" si="32">INT(AK367/$AS367)</f>
        <v>#REF!</v>
      </c>
      <c r="BR367" s="1622"/>
      <c r="BS367" s="1622"/>
      <c r="BT367" s="1622"/>
      <c r="BU367" s="1622"/>
      <c r="BV367" s="1622"/>
      <c r="BW367" s="1622"/>
      <c r="BX367" s="1622"/>
      <c r="BY367" s="1627" t="e">
        <f t="shared" ref="BY367:BY373" si="33">BA367+BI367+BQ367</f>
        <v>#REF!</v>
      </c>
      <c r="BZ367" s="1627"/>
      <c r="CA367" s="1627"/>
      <c r="CB367" s="1627"/>
      <c r="CC367" s="1627"/>
      <c r="CD367" s="1627"/>
      <c r="CE367" s="1627"/>
      <c r="CF367" s="1628"/>
    </row>
    <row r="368" spans="1:88" s="535" customFormat="1" ht="23.1" customHeight="1">
      <c r="A368" s="540"/>
      <c r="B368" s="540"/>
      <c r="C368" s="540"/>
      <c r="D368" s="540"/>
      <c r="E368" s="1608"/>
      <c r="F368" s="1594"/>
      <c r="G368" s="1594"/>
      <c r="H368" s="1594"/>
      <c r="I368" s="1594"/>
      <c r="J368" s="1606" t="s">
        <v>359</v>
      </c>
      <c r="K368" s="1606"/>
      <c r="L368" s="1606"/>
      <c r="M368" s="1606"/>
      <c r="N368" s="1606"/>
      <c r="O368" s="1606"/>
      <c r="P368" s="1606"/>
      <c r="Q368" s="1606"/>
      <c r="R368" s="1606"/>
      <c r="S368" s="1606"/>
      <c r="T368" s="1606"/>
      <c r="U368" s="1526" t="e">
        <f>$AG$284</f>
        <v>#REF!</v>
      </c>
      <c r="V368" s="1526"/>
      <c r="W368" s="1526"/>
      <c r="X368" s="1526"/>
      <c r="Y368" s="1526"/>
      <c r="Z368" s="1526"/>
      <c r="AA368" s="1526"/>
      <c r="AB368" s="1526"/>
      <c r="AC368" s="1526" t="e">
        <f>$AQ$284+$AF$375</f>
        <v>#REF!</v>
      </c>
      <c r="AD368" s="1526"/>
      <c r="AE368" s="1526"/>
      <c r="AF368" s="1526"/>
      <c r="AG368" s="1526"/>
      <c r="AH368" s="1526"/>
      <c r="AI368" s="1526"/>
      <c r="AJ368" s="1526"/>
      <c r="AK368" s="1526" t="e">
        <f>$BA$284</f>
        <v>#REF!</v>
      </c>
      <c r="AL368" s="1526"/>
      <c r="AM368" s="1526"/>
      <c r="AN368" s="1526"/>
      <c r="AO368" s="1526"/>
      <c r="AP368" s="1526"/>
      <c r="AQ368" s="1526"/>
      <c r="AR368" s="1526"/>
      <c r="AS368" s="1525">
        <v>3.3</v>
      </c>
      <c r="AT368" s="1525"/>
      <c r="AU368" s="1525"/>
      <c r="AV368" s="1525"/>
      <c r="AW368" s="1525"/>
      <c r="AX368" s="1525"/>
      <c r="AY368" s="1525"/>
      <c r="AZ368" s="1525"/>
      <c r="BA368" s="1596" t="e">
        <f t="shared" si="30"/>
        <v>#REF!</v>
      </c>
      <c r="BB368" s="1596"/>
      <c r="BC368" s="1596"/>
      <c r="BD368" s="1596"/>
      <c r="BE368" s="1596"/>
      <c r="BF368" s="1596"/>
      <c r="BG368" s="1596"/>
      <c r="BH368" s="1596"/>
      <c r="BI368" s="1596" t="e">
        <f t="shared" si="31"/>
        <v>#REF!</v>
      </c>
      <c r="BJ368" s="1596"/>
      <c r="BK368" s="1596"/>
      <c r="BL368" s="1596"/>
      <c r="BM368" s="1596"/>
      <c r="BN368" s="1596"/>
      <c r="BO368" s="1596"/>
      <c r="BP368" s="1596"/>
      <c r="BQ368" s="1596" t="e">
        <f t="shared" si="32"/>
        <v>#REF!</v>
      </c>
      <c r="BR368" s="1596"/>
      <c r="BS368" s="1596"/>
      <c r="BT368" s="1596"/>
      <c r="BU368" s="1596"/>
      <c r="BV368" s="1596"/>
      <c r="BW368" s="1596"/>
      <c r="BX368" s="1596"/>
      <c r="BY368" s="1597" t="e">
        <f t="shared" si="33"/>
        <v>#REF!</v>
      </c>
      <c r="BZ368" s="1597"/>
      <c r="CA368" s="1597"/>
      <c r="CB368" s="1597"/>
      <c r="CC368" s="1597"/>
      <c r="CD368" s="1597"/>
      <c r="CE368" s="1597"/>
      <c r="CF368" s="1598"/>
    </row>
    <row r="369" spans="1:88" s="535" customFormat="1" ht="23.1" customHeight="1">
      <c r="E369" s="1608"/>
      <c r="F369" s="1594"/>
      <c r="G369" s="1594"/>
      <c r="H369" s="1594"/>
      <c r="I369" s="1594"/>
      <c r="J369" s="1606" t="s">
        <v>399</v>
      </c>
      <c r="K369" s="1606"/>
      <c r="L369" s="1606"/>
      <c r="M369" s="1606"/>
      <c r="N369" s="1606"/>
      <c r="O369" s="1606"/>
      <c r="P369" s="1606"/>
      <c r="Q369" s="1606"/>
      <c r="R369" s="1606"/>
      <c r="S369" s="1606"/>
      <c r="T369" s="1606"/>
      <c r="U369" s="1516" t="e">
        <f>$AG$285</f>
        <v>#REF!</v>
      </c>
      <c r="V369" s="1516"/>
      <c r="W369" s="1516"/>
      <c r="X369" s="1516"/>
      <c r="Y369" s="1516"/>
      <c r="Z369" s="1516"/>
      <c r="AA369" s="1516"/>
      <c r="AB369" s="1516"/>
      <c r="AC369" s="1516" t="e">
        <f>$AQ$285+$AF$375</f>
        <v>#REF!</v>
      </c>
      <c r="AD369" s="1516"/>
      <c r="AE369" s="1516"/>
      <c r="AF369" s="1516"/>
      <c r="AG369" s="1516"/>
      <c r="AH369" s="1516"/>
      <c r="AI369" s="1516"/>
      <c r="AJ369" s="1516"/>
      <c r="AK369" s="1516" t="e">
        <f>$BA$285</f>
        <v>#REF!</v>
      </c>
      <c r="AL369" s="1516"/>
      <c r="AM369" s="1516"/>
      <c r="AN369" s="1516"/>
      <c r="AO369" s="1516"/>
      <c r="AP369" s="1516"/>
      <c r="AQ369" s="1516"/>
      <c r="AR369" s="1516"/>
      <c r="AS369" s="1525">
        <v>4.5999999999999996</v>
      </c>
      <c r="AT369" s="1525"/>
      <c r="AU369" s="1525"/>
      <c r="AV369" s="1525"/>
      <c r="AW369" s="1525"/>
      <c r="AX369" s="1525"/>
      <c r="AY369" s="1525"/>
      <c r="AZ369" s="1525"/>
      <c r="BA369" s="1596" t="e">
        <f t="shared" si="30"/>
        <v>#REF!</v>
      </c>
      <c r="BB369" s="1596"/>
      <c r="BC369" s="1596"/>
      <c r="BD369" s="1596"/>
      <c r="BE369" s="1596"/>
      <c r="BF369" s="1596"/>
      <c r="BG369" s="1596"/>
      <c r="BH369" s="1596"/>
      <c r="BI369" s="1596" t="e">
        <f t="shared" si="31"/>
        <v>#REF!</v>
      </c>
      <c r="BJ369" s="1596"/>
      <c r="BK369" s="1596"/>
      <c r="BL369" s="1596"/>
      <c r="BM369" s="1596"/>
      <c r="BN369" s="1596"/>
      <c r="BO369" s="1596"/>
      <c r="BP369" s="1596"/>
      <c r="BQ369" s="1596" t="e">
        <f t="shared" si="32"/>
        <v>#REF!</v>
      </c>
      <c r="BR369" s="1596"/>
      <c r="BS369" s="1596"/>
      <c r="BT369" s="1596"/>
      <c r="BU369" s="1596"/>
      <c r="BV369" s="1596"/>
      <c r="BW369" s="1596"/>
      <c r="BX369" s="1596"/>
      <c r="BY369" s="1597" t="e">
        <f t="shared" si="33"/>
        <v>#REF!</v>
      </c>
      <c r="BZ369" s="1597"/>
      <c r="CA369" s="1597"/>
      <c r="CB369" s="1597"/>
      <c r="CC369" s="1597"/>
      <c r="CD369" s="1597"/>
      <c r="CE369" s="1597"/>
      <c r="CF369" s="1598"/>
    </row>
    <row r="370" spans="1:88" s="535" customFormat="1" ht="23.1" customHeight="1">
      <c r="E370" s="1604" t="s">
        <v>506</v>
      </c>
      <c r="F370" s="1594"/>
      <c r="G370" s="1594"/>
      <c r="H370" s="1594"/>
      <c r="I370" s="1594"/>
      <c r="J370" s="1606" t="s">
        <v>359</v>
      </c>
      <c r="K370" s="1606"/>
      <c r="L370" s="1606"/>
      <c r="M370" s="1606"/>
      <c r="N370" s="1606"/>
      <c r="O370" s="1606"/>
      <c r="P370" s="1606"/>
      <c r="Q370" s="1606"/>
      <c r="R370" s="1606"/>
      <c r="S370" s="1606"/>
      <c r="T370" s="1606"/>
      <c r="U370" s="1526" t="e">
        <f>$AG$284</f>
        <v>#REF!</v>
      </c>
      <c r="V370" s="1526"/>
      <c r="W370" s="1526"/>
      <c r="X370" s="1526"/>
      <c r="Y370" s="1526"/>
      <c r="Z370" s="1526"/>
      <c r="AA370" s="1526"/>
      <c r="AB370" s="1526"/>
      <c r="AC370" s="1526" t="e">
        <f>$AQ$284+$AF$375</f>
        <v>#REF!</v>
      </c>
      <c r="AD370" s="1526"/>
      <c r="AE370" s="1526"/>
      <c r="AF370" s="1526"/>
      <c r="AG370" s="1526"/>
      <c r="AH370" s="1526"/>
      <c r="AI370" s="1526"/>
      <c r="AJ370" s="1526"/>
      <c r="AK370" s="1526" t="e">
        <f>$BA$284</f>
        <v>#REF!</v>
      </c>
      <c r="AL370" s="1526"/>
      <c r="AM370" s="1526"/>
      <c r="AN370" s="1526"/>
      <c r="AO370" s="1526"/>
      <c r="AP370" s="1526"/>
      <c r="AQ370" s="1526"/>
      <c r="AR370" s="1526"/>
      <c r="AS370" s="1525">
        <v>2.6</v>
      </c>
      <c r="AT370" s="1525"/>
      <c r="AU370" s="1525"/>
      <c r="AV370" s="1525"/>
      <c r="AW370" s="1525"/>
      <c r="AX370" s="1525"/>
      <c r="AY370" s="1525"/>
      <c r="AZ370" s="1525"/>
      <c r="BA370" s="1596" t="e">
        <f t="shared" si="30"/>
        <v>#REF!</v>
      </c>
      <c r="BB370" s="1596"/>
      <c r="BC370" s="1596"/>
      <c r="BD370" s="1596"/>
      <c r="BE370" s="1596"/>
      <c r="BF370" s="1596"/>
      <c r="BG370" s="1596"/>
      <c r="BH370" s="1596"/>
      <c r="BI370" s="1596" t="e">
        <f t="shared" si="31"/>
        <v>#REF!</v>
      </c>
      <c r="BJ370" s="1596"/>
      <c r="BK370" s="1596"/>
      <c r="BL370" s="1596"/>
      <c r="BM370" s="1596"/>
      <c r="BN370" s="1596"/>
      <c r="BO370" s="1596"/>
      <c r="BP370" s="1596"/>
      <c r="BQ370" s="1596" t="e">
        <f t="shared" si="32"/>
        <v>#REF!</v>
      </c>
      <c r="BR370" s="1596"/>
      <c r="BS370" s="1596"/>
      <c r="BT370" s="1596"/>
      <c r="BU370" s="1596"/>
      <c r="BV370" s="1596"/>
      <c r="BW370" s="1596"/>
      <c r="BX370" s="1596"/>
      <c r="BY370" s="1597" t="e">
        <f t="shared" si="33"/>
        <v>#REF!</v>
      </c>
      <c r="BZ370" s="1597"/>
      <c r="CA370" s="1597"/>
      <c r="CB370" s="1597"/>
      <c r="CC370" s="1597"/>
      <c r="CD370" s="1597"/>
      <c r="CE370" s="1597"/>
      <c r="CF370" s="1598"/>
    </row>
    <row r="371" spans="1:88" s="535" customFormat="1" ht="23.1" customHeight="1">
      <c r="E371" s="1608"/>
      <c r="F371" s="1594"/>
      <c r="G371" s="1594"/>
      <c r="H371" s="1594"/>
      <c r="I371" s="1594"/>
      <c r="J371" s="1607" t="s">
        <v>399</v>
      </c>
      <c r="K371" s="1607"/>
      <c r="L371" s="1607"/>
      <c r="M371" s="1607"/>
      <c r="N371" s="1607"/>
      <c r="O371" s="1607"/>
      <c r="P371" s="1607"/>
      <c r="Q371" s="1607"/>
      <c r="R371" s="1607"/>
      <c r="S371" s="1607"/>
      <c r="T371" s="1607"/>
      <c r="U371" s="1516" t="e">
        <f>$AG$285</f>
        <v>#REF!</v>
      </c>
      <c r="V371" s="1516"/>
      <c r="W371" s="1516"/>
      <c r="X371" s="1516"/>
      <c r="Y371" s="1516"/>
      <c r="Z371" s="1516"/>
      <c r="AA371" s="1516"/>
      <c r="AB371" s="1516"/>
      <c r="AC371" s="1516" t="e">
        <f>$AQ$285+$AF$375</f>
        <v>#REF!</v>
      </c>
      <c r="AD371" s="1516"/>
      <c r="AE371" s="1516"/>
      <c r="AF371" s="1516"/>
      <c r="AG371" s="1516"/>
      <c r="AH371" s="1516"/>
      <c r="AI371" s="1516"/>
      <c r="AJ371" s="1516"/>
      <c r="AK371" s="1516" t="e">
        <f>$BA$285</f>
        <v>#REF!</v>
      </c>
      <c r="AL371" s="1516"/>
      <c r="AM371" s="1516"/>
      <c r="AN371" s="1516"/>
      <c r="AO371" s="1516"/>
      <c r="AP371" s="1516"/>
      <c r="AQ371" s="1516"/>
      <c r="AR371" s="1516"/>
      <c r="AS371" s="1517">
        <v>3.6</v>
      </c>
      <c r="AT371" s="1517"/>
      <c r="AU371" s="1517"/>
      <c r="AV371" s="1517"/>
      <c r="AW371" s="1517"/>
      <c r="AX371" s="1517"/>
      <c r="AY371" s="1517"/>
      <c r="AZ371" s="1517"/>
      <c r="BA371" s="1601" t="e">
        <f t="shared" si="30"/>
        <v>#REF!</v>
      </c>
      <c r="BB371" s="1601"/>
      <c r="BC371" s="1601"/>
      <c r="BD371" s="1601"/>
      <c r="BE371" s="1601"/>
      <c r="BF371" s="1601"/>
      <c r="BG371" s="1601"/>
      <c r="BH371" s="1601"/>
      <c r="BI371" s="1601" t="e">
        <f t="shared" si="31"/>
        <v>#REF!</v>
      </c>
      <c r="BJ371" s="1601"/>
      <c r="BK371" s="1601"/>
      <c r="BL371" s="1601"/>
      <c r="BM371" s="1601"/>
      <c r="BN371" s="1601"/>
      <c r="BO371" s="1601"/>
      <c r="BP371" s="1601"/>
      <c r="BQ371" s="1601" t="e">
        <f t="shared" si="32"/>
        <v>#REF!</v>
      </c>
      <c r="BR371" s="1601"/>
      <c r="BS371" s="1601"/>
      <c r="BT371" s="1601"/>
      <c r="BU371" s="1601"/>
      <c r="BV371" s="1601"/>
      <c r="BW371" s="1601"/>
      <c r="BX371" s="1601"/>
      <c r="BY371" s="1602" t="e">
        <f t="shared" si="33"/>
        <v>#REF!</v>
      </c>
      <c r="BZ371" s="1602"/>
      <c r="CA371" s="1602"/>
      <c r="CB371" s="1602"/>
      <c r="CC371" s="1602"/>
      <c r="CD371" s="1602"/>
      <c r="CE371" s="1602"/>
      <c r="CF371" s="1603"/>
    </row>
    <row r="372" spans="1:88" s="535" customFormat="1" ht="23.1" customHeight="1">
      <c r="E372" s="1604" t="s">
        <v>507</v>
      </c>
      <c r="F372" s="1594"/>
      <c r="G372" s="1594"/>
      <c r="H372" s="1594"/>
      <c r="I372" s="1594"/>
      <c r="J372" s="1606" t="s">
        <v>359</v>
      </c>
      <c r="K372" s="1606"/>
      <c r="L372" s="1606"/>
      <c r="M372" s="1606"/>
      <c r="N372" s="1606"/>
      <c r="O372" s="1606"/>
      <c r="P372" s="1606"/>
      <c r="Q372" s="1606"/>
      <c r="R372" s="1606"/>
      <c r="S372" s="1606"/>
      <c r="T372" s="1606"/>
      <c r="U372" s="1526" t="e">
        <f>$AG$284</f>
        <v>#REF!</v>
      </c>
      <c r="V372" s="1526"/>
      <c r="W372" s="1526"/>
      <c r="X372" s="1526"/>
      <c r="Y372" s="1526"/>
      <c r="Z372" s="1526"/>
      <c r="AA372" s="1526"/>
      <c r="AB372" s="1526"/>
      <c r="AC372" s="1526" t="e">
        <f>$AQ$284+$AF$375</f>
        <v>#REF!</v>
      </c>
      <c r="AD372" s="1526"/>
      <c r="AE372" s="1526"/>
      <c r="AF372" s="1526"/>
      <c r="AG372" s="1526"/>
      <c r="AH372" s="1526"/>
      <c r="AI372" s="1526"/>
      <c r="AJ372" s="1526"/>
      <c r="AK372" s="1526" t="e">
        <f>$BA$284</f>
        <v>#REF!</v>
      </c>
      <c r="AL372" s="1526"/>
      <c r="AM372" s="1526"/>
      <c r="AN372" s="1526"/>
      <c r="AO372" s="1526"/>
      <c r="AP372" s="1526"/>
      <c r="AQ372" s="1526"/>
      <c r="AR372" s="1526"/>
      <c r="AS372" s="1525">
        <v>2.8</v>
      </c>
      <c r="AT372" s="1525"/>
      <c r="AU372" s="1525"/>
      <c r="AV372" s="1525"/>
      <c r="AW372" s="1525"/>
      <c r="AX372" s="1525"/>
      <c r="AY372" s="1525"/>
      <c r="AZ372" s="1525"/>
      <c r="BA372" s="1596" t="e">
        <f t="shared" si="30"/>
        <v>#REF!</v>
      </c>
      <c r="BB372" s="1596"/>
      <c r="BC372" s="1596"/>
      <c r="BD372" s="1596"/>
      <c r="BE372" s="1596"/>
      <c r="BF372" s="1596"/>
      <c r="BG372" s="1596"/>
      <c r="BH372" s="1596"/>
      <c r="BI372" s="1596" t="e">
        <f t="shared" si="31"/>
        <v>#REF!</v>
      </c>
      <c r="BJ372" s="1596"/>
      <c r="BK372" s="1596"/>
      <c r="BL372" s="1596"/>
      <c r="BM372" s="1596"/>
      <c r="BN372" s="1596"/>
      <c r="BO372" s="1596"/>
      <c r="BP372" s="1596"/>
      <c r="BQ372" s="1596" t="e">
        <f t="shared" si="32"/>
        <v>#REF!</v>
      </c>
      <c r="BR372" s="1596"/>
      <c r="BS372" s="1596"/>
      <c r="BT372" s="1596"/>
      <c r="BU372" s="1596"/>
      <c r="BV372" s="1596"/>
      <c r="BW372" s="1596"/>
      <c r="BX372" s="1596"/>
      <c r="BY372" s="1597" t="e">
        <f t="shared" si="33"/>
        <v>#REF!</v>
      </c>
      <c r="BZ372" s="1597"/>
      <c r="CA372" s="1597"/>
      <c r="CB372" s="1597"/>
      <c r="CC372" s="1597"/>
      <c r="CD372" s="1597"/>
      <c r="CE372" s="1597"/>
      <c r="CF372" s="1598"/>
    </row>
    <row r="373" spans="1:88" s="535" customFormat="1" ht="23.1" customHeight="1" thickBot="1">
      <c r="E373" s="1613"/>
      <c r="F373" s="1614"/>
      <c r="G373" s="1614"/>
      <c r="H373" s="1614"/>
      <c r="I373" s="1614"/>
      <c r="J373" s="1607" t="s">
        <v>399</v>
      </c>
      <c r="K373" s="1607"/>
      <c r="L373" s="1607"/>
      <c r="M373" s="1607"/>
      <c r="N373" s="1607"/>
      <c r="O373" s="1607"/>
      <c r="P373" s="1607"/>
      <c r="Q373" s="1607"/>
      <c r="R373" s="1607"/>
      <c r="S373" s="1607"/>
      <c r="T373" s="1607"/>
      <c r="U373" s="1516" t="e">
        <f>$AG$285</f>
        <v>#REF!</v>
      </c>
      <c r="V373" s="1516"/>
      <c r="W373" s="1516"/>
      <c r="X373" s="1516"/>
      <c r="Y373" s="1516"/>
      <c r="Z373" s="1516"/>
      <c r="AA373" s="1516"/>
      <c r="AB373" s="1516"/>
      <c r="AC373" s="1516" t="e">
        <f>$AQ$285+$AF$375</f>
        <v>#REF!</v>
      </c>
      <c r="AD373" s="1516"/>
      <c r="AE373" s="1516"/>
      <c r="AF373" s="1516"/>
      <c r="AG373" s="1516"/>
      <c r="AH373" s="1516"/>
      <c r="AI373" s="1516"/>
      <c r="AJ373" s="1516"/>
      <c r="AK373" s="1516" t="e">
        <f>$BA$285</f>
        <v>#REF!</v>
      </c>
      <c r="AL373" s="1516"/>
      <c r="AM373" s="1516"/>
      <c r="AN373" s="1516"/>
      <c r="AO373" s="1516"/>
      <c r="AP373" s="1516"/>
      <c r="AQ373" s="1516"/>
      <c r="AR373" s="1516"/>
      <c r="AS373" s="1517">
        <v>3.9</v>
      </c>
      <c r="AT373" s="1517"/>
      <c r="AU373" s="1517"/>
      <c r="AV373" s="1517"/>
      <c r="AW373" s="1517"/>
      <c r="AX373" s="1517"/>
      <c r="AY373" s="1517"/>
      <c r="AZ373" s="1517"/>
      <c r="BA373" s="1601" t="e">
        <f t="shared" si="30"/>
        <v>#REF!</v>
      </c>
      <c r="BB373" s="1601"/>
      <c r="BC373" s="1601"/>
      <c r="BD373" s="1601"/>
      <c r="BE373" s="1601"/>
      <c r="BF373" s="1601"/>
      <c r="BG373" s="1601"/>
      <c r="BH373" s="1601"/>
      <c r="BI373" s="1601" t="e">
        <f t="shared" si="31"/>
        <v>#REF!</v>
      </c>
      <c r="BJ373" s="1601"/>
      <c r="BK373" s="1601"/>
      <c r="BL373" s="1601"/>
      <c r="BM373" s="1601"/>
      <c r="BN373" s="1601"/>
      <c r="BO373" s="1601"/>
      <c r="BP373" s="1601"/>
      <c r="BQ373" s="1601" t="e">
        <f t="shared" si="32"/>
        <v>#REF!</v>
      </c>
      <c r="BR373" s="1601"/>
      <c r="BS373" s="1601"/>
      <c r="BT373" s="1601"/>
      <c r="BU373" s="1601"/>
      <c r="BV373" s="1601"/>
      <c r="BW373" s="1601"/>
      <c r="BX373" s="1601"/>
      <c r="BY373" s="1602" t="e">
        <f t="shared" si="33"/>
        <v>#REF!</v>
      </c>
      <c r="BZ373" s="1602"/>
      <c r="CA373" s="1602"/>
      <c r="CB373" s="1602"/>
      <c r="CC373" s="1602"/>
      <c r="CD373" s="1602"/>
      <c r="CE373" s="1602"/>
      <c r="CF373" s="1603"/>
    </row>
    <row r="374" spans="1:88" s="535" customFormat="1" ht="23.1" customHeight="1">
      <c r="D374" s="542"/>
      <c r="E374" s="547"/>
      <c r="F374" s="547"/>
      <c r="G374" s="560" t="s">
        <v>475</v>
      </c>
      <c r="H374" s="547"/>
      <c r="I374" s="547"/>
      <c r="J374" s="547"/>
      <c r="K374" s="547"/>
      <c r="L374" s="547"/>
      <c r="M374" s="547"/>
      <c r="N374" s="547"/>
      <c r="O374" s="547"/>
      <c r="P374" s="547"/>
      <c r="Q374" s="547"/>
      <c r="R374" s="547"/>
      <c r="S374" s="547"/>
      <c r="T374" s="547"/>
      <c r="U374" s="547"/>
      <c r="V374" s="547"/>
      <c r="W374" s="547"/>
      <c r="X374" s="547"/>
      <c r="Y374" s="547"/>
      <c r="Z374" s="547"/>
      <c r="AA374" s="547"/>
      <c r="AB374" s="547"/>
      <c r="AC374" s="547"/>
      <c r="AD374" s="547"/>
      <c r="AE374" s="547"/>
      <c r="AF374" s="547"/>
      <c r="AG374" s="547"/>
      <c r="AH374" s="547"/>
      <c r="AI374" s="547"/>
      <c r="AJ374" s="547"/>
      <c r="AK374" s="547"/>
      <c r="AL374" s="547"/>
      <c r="AM374" s="547"/>
      <c r="AN374" s="547"/>
      <c r="AO374" s="547"/>
      <c r="AP374" s="547"/>
      <c r="AQ374" s="547"/>
      <c r="AR374" s="547"/>
      <c r="AS374" s="547"/>
      <c r="AT374" s="547"/>
      <c r="AU374" s="547"/>
      <c r="AV374" s="547"/>
      <c r="AW374" s="547"/>
      <c r="AX374" s="547"/>
      <c r="AY374" s="547"/>
      <c r="AZ374" s="547"/>
      <c r="BA374" s="547"/>
      <c r="BB374" s="547"/>
      <c r="BC374" s="547"/>
      <c r="BD374" s="547"/>
      <c r="BE374" s="547"/>
      <c r="BF374" s="547"/>
      <c r="BG374" s="547"/>
      <c r="BH374" s="547"/>
      <c r="BI374" s="547"/>
      <c r="BJ374" s="547"/>
      <c r="BK374" s="547"/>
      <c r="BL374" s="547"/>
      <c r="BM374" s="547"/>
      <c r="BN374" s="547"/>
      <c r="BO374" s="547"/>
      <c r="BP374" s="547"/>
      <c r="BQ374" s="547"/>
      <c r="BR374" s="547"/>
      <c r="BS374" s="547"/>
      <c r="BT374" s="426"/>
      <c r="BU374" s="426"/>
      <c r="BV374" s="426"/>
      <c r="BW374" s="426"/>
      <c r="BX374" s="426"/>
      <c r="BY374" s="426"/>
      <c r="BZ374" s="426"/>
      <c r="CA374" s="426"/>
      <c r="CB374" s="426"/>
      <c r="CC374" s="426"/>
      <c r="CD374" s="547"/>
      <c r="CE374" s="547"/>
      <c r="CF374" s="547"/>
    </row>
    <row r="375" spans="1:88" s="540" customFormat="1" ht="23.1" customHeight="1">
      <c r="I375" s="540" t="s">
        <v>476</v>
      </c>
      <c r="Q375" s="561"/>
      <c r="R375" s="1611">
        <f>[53]노임단가!$T$5</f>
        <v>172068</v>
      </c>
      <c r="S375" s="1611"/>
      <c r="T375" s="1611"/>
      <c r="U375" s="1611"/>
      <c r="V375" s="1611"/>
      <c r="W375" s="1611"/>
      <c r="X375" s="1611"/>
      <c r="Y375" s="1611"/>
      <c r="Z375" s="1612" t="s">
        <v>477</v>
      </c>
      <c r="AA375" s="1612"/>
      <c r="AB375" s="1612">
        <v>8</v>
      </c>
      <c r="AC375" s="1612"/>
      <c r="AD375" s="1612" t="s">
        <v>41</v>
      </c>
      <c r="AE375" s="1612"/>
      <c r="AF375" s="1611">
        <f>INT(R375/AB375)</f>
        <v>21508</v>
      </c>
      <c r="AG375" s="1611"/>
      <c r="AH375" s="1611"/>
      <c r="AI375" s="1611"/>
      <c r="AJ375" s="1611"/>
      <c r="AK375" s="1611"/>
      <c r="AL375" s="1611"/>
      <c r="AM375" s="1611"/>
      <c r="AN375" s="540" t="s">
        <v>478</v>
      </c>
      <c r="BT375" s="424"/>
      <c r="BU375" s="424"/>
      <c r="BV375" s="424"/>
      <c r="BW375" s="424"/>
      <c r="BX375" s="424"/>
      <c r="BY375" s="424"/>
      <c r="BZ375" s="424"/>
      <c r="CA375" s="424"/>
      <c r="CB375" s="424"/>
      <c r="CC375" s="424"/>
      <c r="CJ375" s="535"/>
    </row>
    <row r="376" spans="1:88" s="540" customFormat="1" ht="23.1" customHeight="1">
      <c r="D376" s="565"/>
      <c r="AR376" s="422"/>
      <c r="AS376" s="422"/>
      <c r="AT376" s="422"/>
      <c r="AU376" s="422"/>
      <c r="AV376" s="422"/>
      <c r="AW376" s="422"/>
      <c r="AX376" s="422"/>
      <c r="AY376" s="422"/>
      <c r="AZ376" s="422"/>
      <c r="BA376" s="422"/>
      <c r="BB376" s="422"/>
      <c r="BT376" s="422"/>
      <c r="BU376" s="422"/>
      <c r="BV376" s="422"/>
      <c r="BW376" s="422"/>
      <c r="BX376" s="422"/>
      <c r="BY376" s="422"/>
      <c r="BZ376" s="422"/>
      <c r="CA376" s="422"/>
      <c r="CB376" s="422"/>
      <c r="CC376" s="422"/>
      <c r="CJ376" s="535"/>
    </row>
    <row r="377" spans="1:88" s="539" customFormat="1" ht="23.1" customHeight="1">
      <c r="A377" s="537"/>
      <c r="B377" s="538" t="s">
        <v>508</v>
      </c>
      <c r="C377" s="537"/>
      <c r="D377" s="537"/>
      <c r="E377" s="537"/>
      <c r="F377" s="537"/>
      <c r="G377" s="537"/>
      <c r="H377" s="537"/>
      <c r="I377" s="537"/>
      <c r="J377" s="537"/>
      <c r="K377" s="537"/>
      <c r="L377" s="537"/>
      <c r="M377" s="537"/>
      <c r="N377" s="537"/>
      <c r="O377" s="537"/>
      <c r="P377" s="537"/>
      <c r="Q377" s="537"/>
      <c r="R377" s="537"/>
      <c r="S377" s="537"/>
      <c r="T377" s="537"/>
      <c r="U377" s="537"/>
      <c r="V377" s="537"/>
      <c r="W377" s="537"/>
      <c r="X377" s="537"/>
      <c r="Y377" s="537"/>
      <c r="Z377" s="537"/>
      <c r="AA377" s="537"/>
      <c r="AB377" s="537"/>
      <c r="AC377" s="537"/>
      <c r="AD377" s="537"/>
      <c r="AE377" s="537"/>
      <c r="AF377" s="537"/>
      <c r="AG377" s="537"/>
      <c r="AH377" s="537"/>
      <c r="AI377" s="537"/>
      <c r="AJ377" s="537"/>
      <c r="AK377" s="537"/>
      <c r="AL377" s="537"/>
      <c r="AM377" s="537"/>
      <c r="AN377" s="537"/>
      <c r="AO377" s="537"/>
      <c r="AP377" s="537"/>
      <c r="AQ377" s="537"/>
      <c r="AR377" s="537"/>
      <c r="AS377" s="537"/>
      <c r="AT377" s="537"/>
      <c r="AU377" s="537"/>
      <c r="BM377" s="537"/>
      <c r="BN377" s="537"/>
      <c r="BO377" s="537"/>
      <c r="BP377" s="537"/>
      <c r="BQ377" s="537"/>
      <c r="BR377" s="537"/>
      <c r="BS377" s="537"/>
      <c r="BT377" s="537"/>
      <c r="BU377" s="537"/>
      <c r="BV377" s="537"/>
      <c r="BW377" s="537"/>
      <c r="BX377" s="537"/>
      <c r="BY377" s="537"/>
      <c r="BZ377" s="537"/>
      <c r="CA377" s="537"/>
      <c r="CB377" s="537"/>
      <c r="CC377" s="537"/>
      <c r="CD377" s="537"/>
      <c r="CE377" s="537"/>
      <c r="CF377" s="537"/>
      <c r="CJ377" s="535" t="s">
        <v>729</v>
      </c>
    </row>
    <row r="378" spans="1:88" s="535" customFormat="1" ht="9.9499999999999993" customHeight="1">
      <c r="A378" s="540"/>
      <c r="B378" s="540"/>
      <c r="C378" s="540"/>
      <c r="D378" s="540"/>
      <c r="E378" s="540"/>
      <c r="F378" s="540"/>
      <c r="G378" s="540"/>
      <c r="H378" s="540"/>
      <c r="I378" s="540"/>
      <c r="J378" s="540"/>
      <c r="K378" s="540"/>
      <c r="L378" s="540"/>
      <c r="M378" s="540"/>
      <c r="N378" s="540"/>
      <c r="O378" s="540"/>
      <c r="P378" s="540"/>
      <c r="Q378" s="540"/>
      <c r="R378" s="540"/>
      <c r="S378" s="540"/>
      <c r="T378" s="540"/>
      <c r="U378" s="540"/>
      <c r="V378" s="540"/>
      <c r="W378" s="540"/>
      <c r="X378" s="540"/>
      <c r="Y378" s="540"/>
      <c r="Z378" s="540"/>
      <c r="AA378" s="540"/>
      <c r="AB378" s="540"/>
      <c r="AC378" s="540"/>
      <c r="AD378" s="540"/>
      <c r="AE378" s="540"/>
      <c r="AF378" s="540"/>
      <c r="AG378" s="540"/>
      <c r="AH378" s="540"/>
      <c r="AI378" s="540"/>
      <c r="AJ378" s="540"/>
      <c r="AK378" s="540"/>
      <c r="AL378" s="540"/>
      <c r="AM378" s="540"/>
      <c r="AN378" s="540"/>
      <c r="AO378" s="540"/>
      <c r="AP378" s="540"/>
      <c r="AQ378" s="540"/>
      <c r="AR378" s="540"/>
      <c r="AS378" s="540"/>
      <c r="AT378" s="540"/>
      <c r="AU378" s="540"/>
      <c r="AV378" s="540"/>
      <c r="AW378" s="540"/>
      <c r="AX378" s="540"/>
      <c r="AY378" s="540"/>
      <c r="AZ378" s="540"/>
      <c r="BA378" s="540"/>
      <c r="BB378" s="540"/>
      <c r="BC378" s="540"/>
      <c r="BD378" s="540"/>
      <c r="BE378" s="540"/>
      <c r="BF378" s="540"/>
      <c r="BG378" s="540"/>
      <c r="BH378" s="540"/>
      <c r="BI378" s="540"/>
      <c r="BJ378" s="540"/>
      <c r="BK378" s="540"/>
      <c r="BL378" s="540"/>
      <c r="BM378" s="540"/>
      <c r="BN378" s="540"/>
      <c r="BO378" s="540"/>
      <c r="BP378" s="540"/>
      <c r="BQ378" s="540"/>
      <c r="BR378" s="540"/>
      <c r="BS378" s="540"/>
      <c r="BT378" s="541"/>
      <c r="BU378" s="541"/>
      <c r="BV378" s="541"/>
      <c r="BW378" s="541"/>
      <c r="BX378" s="541"/>
      <c r="BY378" s="541"/>
      <c r="BZ378" s="541"/>
      <c r="CA378" s="541"/>
      <c r="CB378" s="541"/>
      <c r="CC378" s="541"/>
      <c r="CD378" s="540"/>
      <c r="CE378" s="540"/>
      <c r="CF378" s="540"/>
    </row>
    <row r="379" spans="1:88" s="535" customFormat="1" ht="23.1" customHeight="1">
      <c r="E379" s="535" t="s">
        <v>504</v>
      </c>
      <c r="BT379" s="414"/>
      <c r="BU379" s="414"/>
      <c r="BV379" s="414"/>
      <c r="BW379" s="414"/>
      <c r="BX379" s="414"/>
      <c r="BY379" s="414"/>
      <c r="BZ379" s="414"/>
      <c r="CA379" s="414"/>
      <c r="CB379" s="414"/>
      <c r="CC379" s="414"/>
    </row>
    <row r="380" spans="1:88" s="535" customFormat="1" ht="9.9499999999999993" customHeight="1" thickBot="1">
      <c r="D380" s="405"/>
      <c r="Q380" s="546"/>
      <c r="R380" s="546"/>
      <c r="S380" s="546"/>
      <c r="T380" s="546"/>
      <c r="U380" s="546"/>
      <c r="V380" s="546"/>
      <c r="W380" s="546"/>
      <c r="X380" s="546"/>
      <c r="Y380" s="546"/>
      <c r="Z380" s="546"/>
      <c r="AA380" s="546"/>
      <c r="AB380" s="546"/>
      <c r="AV380" s="544"/>
      <c r="AW380" s="544"/>
      <c r="AX380" s="544"/>
      <c r="AY380" s="544"/>
      <c r="AZ380" s="544"/>
      <c r="BA380" s="544"/>
      <c r="BB380" s="544"/>
      <c r="BC380" s="544"/>
      <c r="BD380" s="544"/>
      <c r="BE380" s="545"/>
      <c r="BF380" s="545"/>
      <c r="BG380" s="545"/>
      <c r="BH380" s="545"/>
      <c r="BI380" s="545"/>
      <c r="BJ380" s="545"/>
      <c r="BK380" s="545"/>
      <c r="BL380" s="545"/>
      <c r="BM380" s="545"/>
      <c r="BN380" s="545"/>
      <c r="BO380" s="545"/>
      <c r="BP380" s="545"/>
      <c r="BQ380" s="545"/>
      <c r="BR380" s="545"/>
      <c r="BS380" s="545"/>
      <c r="BT380" s="545"/>
      <c r="BU380" s="545"/>
      <c r="BV380" s="545"/>
      <c r="BW380" s="545"/>
      <c r="BX380" s="545"/>
      <c r="BY380" s="545"/>
      <c r="BZ380" s="545"/>
      <c r="CA380" s="545"/>
      <c r="CB380" s="545"/>
      <c r="CC380" s="545"/>
      <c r="CD380" s="545"/>
      <c r="CE380" s="545"/>
      <c r="CF380" s="545"/>
    </row>
    <row r="381" spans="1:88" s="535" customFormat="1" ht="23.1" customHeight="1">
      <c r="A381" s="540"/>
      <c r="B381" s="540"/>
      <c r="C381" s="540"/>
      <c r="D381" s="540"/>
      <c r="E381" s="1534" t="s">
        <v>369</v>
      </c>
      <c r="F381" s="1535"/>
      <c r="G381" s="1535"/>
      <c r="H381" s="1535"/>
      <c r="I381" s="1535"/>
      <c r="J381" s="1535"/>
      <c r="K381" s="1535"/>
      <c r="L381" s="1535"/>
      <c r="M381" s="1535"/>
      <c r="N381" s="1535"/>
      <c r="O381" s="1535"/>
      <c r="P381" s="1535"/>
      <c r="Q381" s="1535"/>
      <c r="R381" s="1535"/>
      <c r="S381" s="1535"/>
      <c r="T381" s="1535"/>
      <c r="U381" s="1535" t="s">
        <v>403</v>
      </c>
      <c r="V381" s="1535"/>
      <c r="W381" s="1535"/>
      <c r="X381" s="1535"/>
      <c r="Y381" s="1535"/>
      <c r="Z381" s="1535"/>
      <c r="AA381" s="1535"/>
      <c r="AB381" s="1535"/>
      <c r="AC381" s="1535"/>
      <c r="AD381" s="1535"/>
      <c r="AE381" s="1535"/>
      <c r="AF381" s="1535"/>
      <c r="AG381" s="1535"/>
      <c r="AH381" s="1535"/>
      <c r="AI381" s="1535"/>
      <c r="AJ381" s="1535"/>
      <c r="AK381" s="1535"/>
      <c r="AL381" s="1535"/>
      <c r="AM381" s="1535"/>
      <c r="AN381" s="1535"/>
      <c r="AO381" s="1535"/>
      <c r="AP381" s="1535"/>
      <c r="AQ381" s="1535"/>
      <c r="AR381" s="1535"/>
      <c r="AS381" s="1537" t="s">
        <v>404</v>
      </c>
      <c r="AT381" s="1535"/>
      <c r="AU381" s="1535"/>
      <c r="AV381" s="1535"/>
      <c r="AW381" s="1535"/>
      <c r="AX381" s="1535"/>
      <c r="AY381" s="1535"/>
      <c r="AZ381" s="1535"/>
      <c r="BA381" s="1535" t="s">
        <v>405</v>
      </c>
      <c r="BB381" s="1535"/>
      <c r="BC381" s="1535"/>
      <c r="BD381" s="1535"/>
      <c r="BE381" s="1535"/>
      <c r="BF381" s="1535"/>
      <c r="BG381" s="1535"/>
      <c r="BH381" s="1535"/>
      <c r="BI381" s="1535"/>
      <c r="BJ381" s="1535"/>
      <c r="BK381" s="1535"/>
      <c r="BL381" s="1535"/>
      <c r="BM381" s="1535"/>
      <c r="BN381" s="1535"/>
      <c r="BO381" s="1535"/>
      <c r="BP381" s="1535"/>
      <c r="BQ381" s="1535"/>
      <c r="BR381" s="1535"/>
      <c r="BS381" s="1535"/>
      <c r="BT381" s="1535"/>
      <c r="BU381" s="1535"/>
      <c r="BV381" s="1535"/>
      <c r="BW381" s="1535"/>
      <c r="BX381" s="1535"/>
      <c r="BY381" s="1535"/>
      <c r="BZ381" s="1535"/>
      <c r="CA381" s="1535"/>
      <c r="CB381" s="1535"/>
      <c r="CC381" s="1535"/>
      <c r="CD381" s="1535"/>
      <c r="CE381" s="1535"/>
      <c r="CF381" s="1538"/>
    </row>
    <row r="382" spans="1:88" s="535" customFormat="1" ht="23.1" customHeight="1" thickBot="1">
      <c r="D382" s="405"/>
      <c r="E382" s="1536"/>
      <c r="F382" s="1527"/>
      <c r="G382" s="1527"/>
      <c r="H382" s="1527"/>
      <c r="I382" s="1527"/>
      <c r="J382" s="1527"/>
      <c r="K382" s="1527"/>
      <c r="L382" s="1527"/>
      <c r="M382" s="1527"/>
      <c r="N382" s="1527"/>
      <c r="O382" s="1527"/>
      <c r="P382" s="1527"/>
      <c r="Q382" s="1527"/>
      <c r="R382" s="1527"/>
      <c r="S382" s="1527"/>
      <c r="T382" s="1527"/>
      <c r="U382" s="1527" t="s">
        <v>406</v>
      </c>
      <c r="V382" s="1527"/>
      <c r="W382" s="1527"/>
      <c r="X382" s="1527"/>
      <c r="Y382" s="1527"/>
      <c r="Z382" s="1527"/>
      <c r="AA382" s="1527"/>
      <c r="AB382" s="1527"/>
      <c r="AC382" s="1527" t="s">
        <v>407</v>
      </c>
      <c r="AD382" s="1527"/>
      <c r="AE382" s="1527"/>
      <c r="AF382" s="1527"/>
      <c r="AG382" s="1527"/>
      <c r="AH382" s="1527"/>
      <c r="AI382" s="1527"/>
      <c r="AJ382" s="1527"/>
      <c r="AK382" s="1527" t="s">
        <v>408</v>
      </c>
      <c r="AL382" s="1527"/>
      <c r="AM382" s="1527"/>
      <c r="AN382" s="1527"/>
      <c r="AO382" s="1527"/>
      <c r="AP382" s="1527"/>
      <c r="AQ382" s="1527"/>
      <c r="AR382" s="1527"/>
      <c r="AS382" s="1527"/>
      <c r="AT382" s="1527"/>
      <c r="AU382" s="1527"/>
      <c r="AV382" s="1527"/>
      <c r="AW382" s="1527"/>
      <c r="AX382" s="1527"/>
      <c r="AY382" s="1527"/>
      <c r="AZ382" s="1527"/>
      <c r="BA382" s="1527" t="s">
        <v>406</v>
      </c>
      <c r="BB382" s="1527"/>
      <c r="BC382" s="1527"/>
      <c r="BD382" s="1527"/>
      <c r="BE382" s="1527"/>
      <c r="BF382" s="1527"/>
      <c r="BG382" s="1527"/>
      <c r="BH382" s="1527"/>
      <c r="BI382" s="1527" t="s">
        <v>407</v>
      </c>
      <c r="BJ382" s="1527"/>
      <c r="BK382" s="1527"/>
      <c r="BL382" s="1527"/>
      <c r="BM382" s="1527"/>
      <c r="BN382" s="1527"/>
      <c r="BO382" s="1527"/>
      <c r="BP382" s="1527"/>
      <c r="BQ382" s="1527" t="s">
        <v>423</v>
      </c>
      <c r="BR382" s="1527"/>
      <c r="BS382" s="1527"/>
      <c r="BT382" s="1527"/>
      <c r="BU382" s="1527"/>
      <c r="BV382" s="1527"/>
      <c r="BW382" s="1527"/>
      <c r="BX382" s="1527"/>
      <c r="BY382" s="1527" t="s">
        <v>424</v>
      </c>
      <c r="BZ382" s="1527"/>
      <c r="CA382" s="1527"/>
      <c r="CB382" s="1527"/>
      <c r="CC382" s="1527"/>
      <c r="CD382" s="1527"/>
      <c r="CE382" s="1527"/>
      <c r="CF382" s="1528"/>
    </row>
    <row r="383" spans="1:88" s="535" customFormat="1" ht="23.1" customHeight="1" thickTop="1">
      <c r="A383" s="540"/>
      <c r="B383" s="540"/>
      <c r="C383" s="540"/>
      <c r="D383" s="540"/>
      <c r="E383" s="1604" t="s">
        <v>509</v>
      </c>
      <c r="F383" s="1594"/>
      <c r="G383" s="1594"/>
      <c r="H383" s="1594"/>
      <c r="I383" s="1594"/>
      <c r="J383" s="1606" t="s">
        <v>359</v>
      </c>
      <c r="K383" s="1606"/>
      <c r="L383" s="1606"/>
      <c r="M383" s="1606"/>
      <c r="N383" s="1606"/>
      <c r="O383" s="1606"/>
      <c r="P383" s="1606"/>
      <c r="Q383" s="1606"/>
      <c r="R383" s="1606"/>
      <c r="S383" s="1606"/>
      <c r="T383" s="1606"/>
      <c r="U383" s="1526" t="e">
        <f>$AG$284</f>
        <v>#REF!</v>
      </c>
      <c r="V383" s="1526"/>
      <c r="W383" s="1526"/>
      <c r="X383" s="1526"/>
      <c r="Y383" s="1526"/>
      <c r="Z383" s="1526"/>
      <c r="AA383" s="1526"/>
      <c r="AB383" s="1526"/>
      <c r="AC383" s="1526" t="e">
        <f>$AQ$284+$AF$375</f>
        <v>#REF!</v>
      </c>
      <c r="AD383" s="1526"/>
      <c r="AE383" s="1526"/>
      <c r="AF383" s="1526"/>
      <c r="AG383" s="1526"/>
      <c r="AH383" s="1526"/>
      <c r="AI383" s="1526"/>
      <c r="AJ383" s="1526"/>
      <c r="AK383" s="1526" t="e">
        <f>$BA$284</f>
        <v>#REF!</v>
      </c>
      <c r="AL383" s="1526"/>
      <c r="AM383" s="1526"/>
      <c r="AN383" s="1526"/>
      <c r="AO383" s="1526"/>
      <c r="AP383" s="1526"/>
      <c r="AQ383" s="1526"/>
      <c r="AR383" s="1526"/>
      <c r="AS383" s="1525">
        <v>1.6</v>
      </c>
      <c r="AT383" s="1525"/>
      <c r="AU383" s="1525"/>
      <c r="AV383" s="1525"/>
      <c r="AW383" s="1525"/>
      <c r="AX383" s="1525"/>
      <c r="AY383" s="1525"/>
      <c r="AZ383" s="1525"/>
      <c r="BA383" s="1596" t="e">
        <f t="shared" ref="BA383:BA388" si="34">INT(U383/$AS383)</f>
        <v>#REF!</v>
      </c>
      <c r="BB383" s="1596"/>
      <c r="BC383" s="1596"/>
      <c r="BD383" s="1596"/>
      <c r="BE383" s="1596"/>
      <c r="BF383" s="1596"/>
      <c r="BG383" s="1596"/>
      <c r="BH383" s="1596"/>
      <c r="BI383" s="1596" t="e">
        <f t="shared" ref="BI383:BI388" si="35">INT(AC383/$AS383)</f>
        <v>#REF!</v>
      </c>
      <c r="BJ383" s="1596"/>
      <c r="BK383" s="1596"/>
      <c r="BL383" s="1596"/>
      <c r="BM383" s="1596"/>
      <c r="BN383" s="1596"/>
      <c r="BO383" s="1596"/>
      <c r="BP383" s="1596"/>
      <c r="BQ383" s="1596" t="e">
        <f t="shared" ref="BQ383:BQ388" si="36">INT(AK383/$AS383)</f>
        <v>#REF!</v>
      </c>
      <c r="BR383" s="1596"/>
      <c r="BS383" s="1596"/>
      <c r="BT383" s="1596"/>
      <c r="BU383" s="1596"/>
      <c r="BV383" s="1596"/>
      <c r="BW383" s="1596"/>
      <c r="BX383" s="1596"/>
      <c r="BY383" s="1597" t="e">
        <f t="shared" ref="BY383:BY388" si="37">BA383+BI383+BQ383</f>
        <v>#REF!</v>
      </c>
      <c r="BZ383" s="1597"/>
      <c r="CA383" s="1597"/>
      <c r="CB383" s="1597"/>
      <c r="CC383" s="1597"/>
      <c r="CD383" s="1597"/>
      <c r="CE383" s="1597"/>
      <c r="CF383" s="1598"/>
    </row>
    <row r="384" spans="1:88" s="535" customFormat="1" ht="23.1" customHeight="1">
      <c r="E384" s="1608"/>
      <c r="F384" s="1594"/>
      <c r="G384" s="1594"/>
      <c r="H384" s="1594"/>
      <c r="I384" s="1594"/>
      <c r="J384" s="1606" t="s">
        <v>399</v>
      </c>
      <c r="K384" s="1606"/>
      <c r="L384" s="1606"/>
      <c r="M384" s="1606"/>
      <c r="N384" s="1606"/>
      <c r="O384" s="1606"/>
      <c r="P384" s="1606"/>
      <c r="Q384" s="1606"/>
      <c r="R384" s="1606"/>
      <c r="S384" s="1606"/>
      <c r="T384" s="1606"/>
      <c r="U384" s="1516" t="e">
        <f>$AG$285</f>
        <v>#REF!</v>
      </c>
      <c r="V384" s="1516"/>
      <c r="W384" s="1516"/>
      <c r="X384" s="1516"/>
      <c r="Y384" s="1516"/>
      <c r="Z384" s="1516"/>
      <c r="AA384" s="1516"/>
      <c r="AB384" s="1516"/>
      <c r="AC384" s="1516" t="e">
        <f>$AQ$285+$AF$375</f>
        <v>#REF!</v>
      </c>
      <c r="AD384" s="1516"/>
      <c r="AE384" s="1516"/>
      <c r="AF384" s="1516"/>
      <c r="AG384" s="1516"/>
      <c r="AH384" s="1516"/>
      <c r="AI384" s="1516"/>
      <c r="AJ384" s="1516"/>
      <c r="AK384" s="1516" t="e">
        <f>$BA$285</f>
        <v>#REF!</v>
      </c>
      <c r="AL384" s="1516"/>
      <c r="AM384" s="1516"/>
      <c r="AN384" s="1516"/>
      <c r="AO384" s="1516"/>
      <c r="AP384" s="1516"/>
      <c r="AQ384" s="1516"/>
      <c r="AR384" s="1516"/>
      <c r="AS384" s="1525">
        <v>2.4500000000000002</v>
      </c>
      <c r="AT384" s="1525"/>
      <c r="AU384" s="1525"/>
      <c r="AV384" s="1525"/>
      <c r="AW384" s="1525"/>
      <c r="AX384" s="1525"/>
      <c r="AY384" s="1525"/>
      <c r="AZ384" s="1525"/>
      <c r="BA384" s="1596" t="e">
        <f t="shared" si="34"/>
        <v>#REF!</v>
      </c>
      <c r="BB384" s="1596"/>
      <c r="BC384" s="1596"/>
      <c r="BD384" s="1596"/>
      <c r="BE384" s="1596"/>
      <c r="BF384" s="1596"/>
      <c r="BG384" s="1596"/>
      <c r="BH384" s="1596"/>
      <c r="BI384" s="1596" t="e">
        <f t="shared" si="35"/>
        <v>#REF!</v>
      </c>
      <c r="BJ384" s="1596"/>
      <c r="BK384" s="1596"/>
      <c r="BL384" s="1596"/>
      <c r="BM384" s="1596"/>
      <c r="BN384" s="1596"/>
      <c r="BO384" s="1596"/>
      <c r="BP384" s="1596"/>
      <c r="BQ384" s="1596" t="e">
        <f t="shared" si="36"/>
        <v>#REF!</v>
      </c>
      <c r="BR384" s="1596"/>
      <c r="BS384" s="1596"/>
      <c r="BT384" s="1596"/>
      <c r="BU384" s="1596"/>
      <c r="BV384" s="1596"/>
      <c r="BW384" s="1596"/>
      <c r="BX384" s="1596"/>
      <c r="BY384" s="1597" t="e">
        <f t="shared" si="37"/>
        <v>#REF!</v>
      </c>
      <c r="BZ384" s="1597"/>
      <c r="CA384" s="1597"/>
      <c r="CB384" s="1597"/>
      <c r="CC384" s="1597"/>
      <c r="CD384" s="1597"/>
      <c r="CE384" s="1597"/>
      <c r="CF384" s="1598"/>
    </row>
    <row r="385" spans="1:88" s="535" customFormat="1" ht="23.1" customHeight="1">
      <c r="E385" s="1604" t="s">
        <v>506</v>
      </c>
      <c r="F385" s="1594"/>
      <c r="G385" s="1594"/>
      <c r="H385" s="1594"/>
      <c r="I385" s="1594"/>
      <c r="J385" s="1606" t="s">
        <v>359</v>
      </c>
      <c r="K385" s="1606"/>
      <c r="L385" s="1606"/>
      <c r="M385" s="1606"/>
      <c r="N385" s="1606"/>
      <c r="O385" s="1606"/>
      <c r="P385" s="1606"/>
      <c r="Q385" s="1606"/>
      <c r="R385" s="1606"/>
      <c r="S385" s="1606"/>
      <c r="T385" s="1606"/>
      <c r="U385" s="1526" t="e">
        <f>$AG$284</f>
        <v>#REF!</v>
      </c>
      <c r="V385" s="1526"/>
      <c r="W385" s="1526"/>
      <c r="X385" s="1526"/>
      <c r="Y385" s="1526"/>
      <c r="Z385" s="1526"/>
      <c r="AA385" s="1526"/>
      <c r="AB385" s="1526"/>
      <c r="AC385" s="1526" t="e">
        <f>$AQ$284+$AF$375</f>
        <v>#REF!</v>
      </c>
      <c r="AD385" s="1526"/>
      <c r="AE385" s="1526"/>
      <c r="AF385" s="1526"/>
      <c r="AG385" s="1526"/>
      <c r="AH385" s="1526"/>
      <c r="AI385" s="1526"/>
      <c r="AJ385" s="1526"/>
      <c r="AK385" s="1526" t="e">
        <f>$BA$284</f>
        <v>#REF!</v>
      </c>
      <c r="AL385" s="1526"/>
      <c r="AM385" s="1526"/>
      <c r="AN385" s="1526"/>
      <c r="AO385" s="1526"/>
      <c r="AP385" s="1526"/>
      <c r="AQ385" s="1526"/>
      <c r="AR385" s="1526"/>
      <c r="AS385" s="1525">
        <v>1.4</v>
      </c>
      <c r="AT385" s="1525"/>
      <c r="AU385" s="1525"/>
      <c r="AV385" s="1525"/>
      <c r="AW385" s="1525"/>
      <c r="AX385" s="1525"/>
      <c r="AY385" s="1525"/>
      <c r="AZ385" s="1525"/>
      <c r="BA385" s="1596" t="e">
        <f t="shared" si="34"/>
        <v>#REF!</v>
      </c>
      <c r="BB385" s="1596"/>
      <c r="BC385" s="1596"/>
      <c r="BD385" s="1596"/>
      <c r="BE385" s="1596"/>
      <c r="BF385" s="1596"/>
      <c r="BG385" s="1596"/>
      <c r="BH385" s="1596"/>
      <c r="BI385" s="1596" t="e">
        <f t="shared" si="35"/>
        <v>#REF!</v>
      </c>
      <c r="BJ385" s="1596"/>
      <c r="BK385" s="1596"/>
      <c r="BL385" s="1596"/>
      <c r="BM385" s="1596"/>
      <c r="BN385" s="1596"/>
      <c r="BO385" s="1596"/>
      <c r="BP385" s="1596"/>
      <c r="BQ385" s="1596" t="e">
        <f t="shared" si="36"/>
        <v>#REF!</v>
      </c>
      <c r="BR385" s="1596"/>
      <c r="BS385" s="1596"/>
      <c r="BT385" s="1596"/>
      <c r="BU385" s="1596"/>
      <c r="BV385" s="1596"/>
      <c r="BW385" s="1596"/>
      <c r="BX385" s="1596"/>
      <c r="BY385" s="1597" t="e">
        <f t="shared" si="37"/>
        <v>#REF!</v>
      </c>
      <c r="BZ385" s="1597"/>
      <c r="CA385" s="1597"/>
      <c r="CB385" s="1597"/>
      <c r="CC385" s="1597"/>
      <c r="CD385" s="1597"/>
      <c r="CE385" s="1597"/>
      <c r="CF385" s="1598"/>
    </row>
    <row r="386" spans="1:88" s="535" customFormat="1" ht="23.1" customHeight="1">
      <c r="E386" s="1608"/>
      <c r="F386" s="1594"/>
      <c r="G386" s="1594"/>
      <c r="H386" s="1594"/>
      <c r="I386" s="1594"/>
      <c r="J386" s="1607" t="s">
        <v>399</v>
      </c>
      <c r="K386" s="1607"/>
      <c r="L386" s="1607"/>
      <c r="M386" s="1607"/>
      <c r="N386" s="1607"/>
      <c r="O386" s="1607"/>
      <c r="P386" s="1607"/>
      <c r="Q386" s="1607"/>
      <c r="R386" s="1607"/>
      <c r="S386" s="1607"/>
      <c r="T386" s="1607"/>
      <c r="U386" s="1516" t="e">
        <f>$AG$285</f>
        <v>#REF!</v>
      </c>
      <c r="V386" s="1516"/>
      <c r="W386" s="1516"/>
      <c r="X386" s="1516"/>
      <c r="Y386" s="1516"/>
      <c r="Z386" s="1516"/>
      <c r="AA386" s="1516"/>
      <c r="AB386" s="1516"/>
      <c r="AC386" s="1516" t="e">
        <f>$AQ$285+$AF$375</f>
        <v>#REF!</v>
      </c>
      <c r="AD386" s="1516"/>
      <c r="AE386" s="1516"/>
      <c r="AF386" s="1516"/>
      <c r="AG386" s="1516"/>
      <c r="AH386" s="1516"/>
      <c r="AI386" s="1516"/>
      <c r="AJ386" s="1516"/>
      <c r="AK386" s="1516" t="e">
        <f>$BA$285</f>
        <v>#REF!</v>
      </c>
      <c r="AL386" s="1516"/>
      <c r="AM386" s="1516"/>
      <c r="AN386" s="1516"/>
      <c r="AO386" s="1516"/>
      <c r="AP386" s="1516"/>
      <c r="AQ386" s="1516"/>
      <c r="AR386" s="1516"/>
      <c r="AS386" s="1517">
        <v>2.0499999999999998</v>
      </c>
      <c r="AT386" s="1517"/>
      <c r="AU386" s="1517"/>
      <c r="AV386" s="1517"/>
      <c r="AW386" s="1517"/>
      <c r="AX386" s="1517"/>
      <c r="AY386" s="1517"/>
      <c r="AZ386" s="1517"/>
      <c r="BA386" s="1601" t="e">
        <f t="shared" si="34"/>
        <v>#REF!</v>
      </c>
      <c r="BB386" s="1601"/>
      <c r="BC386" s="1601"/>
      <c r="BD386" s="1601"/>
      <c r="BE386" s="1601"/>
      <c r="BF386" s="1601"/>
      <c r="BG386" s="1601"/>
      <c r="BH386" s="1601"/>
      <c r="BI386" s="1601" t="e">
        <f t="shared" si="35"/>
        <v>#REF!</v>
      </c>
      <c r="BJ386" s="1601"/>
      <c r="BK386" s="1601"/>
      <c r="BL386" s="1601"/>
      <c r="BM386" s="1601"/>
      <c r="BN386" s="1601"/>
      <c r="BO386" s="1601"/>
      <c r="BP386" s="1601"/>
      <c r="BQ386" s="1601" t="e">
        <f t="shared" si="36"/>
        <v>#REF!</v>
      </c>
      <c r="BR386" s="1601"/>
      <c r="BS386" s="1601"/>
      <c r="BT386" s="1601"/>
      <c r="BU386" s="1601"/>
      <c r="BV386" s="1601"/>
      <c r="BW386" s="1601"/>
      <c r="BX386" s="1601"/>
      <c r="BY386" s="1602" t="e">
        <f t="shared" si="37"/>
        <v>#REF!</v>
      </c>
      <c r="BZ386" s="1602"/>
      <c r="CA386" s="1602"/>
      <c r="CB386" s="1602"/>
      <c r="CC386" s="1602"/>
      <c r="CD386" s="1602"/>
      <c r="CE386" s="1602"/>
      <c r="CF386" s="1603"/>
    </row>
    <row r="387" spans="1:88" s="535" customFormat="1" ht="23.1" customHeight="1">
      <c r="E387" s="1604" t="s">
        <v>510</v>
      </c>
      <c r="F387" s="1594"/>
      <c r="G387" s="1594"/>
      <c r="H387" s="1594"/>
      <c r="I387" s="1594"/>
      <c r="J387" s="1606" t="s">
        <v>359</v>
      </c>
      <c r="K387" s="1606"/>
      <c r="L387" s="1606"/>
      <c r="M387" s="1606"/>
      <c r="N387" s="1606"/>
      <c r="O387" s="1606"/>
      <c r="P387" s="1606"/>
      <c r="Q387" s="1606"/>
      <c r="R387" s="1606"/>
      <c r="S387" s="1606"/>
      <c r="T387" s="1606"/>
      <c r="U387" s="1526" t="e">
        <f>$AG$284</f>
        <v>#REF!</v>
      </c>
      <c r="V387" s="1526"/>
      <c r="W387" s="1526"/>
      <c r="X387" s="1526"/>
      <c r="Y387" s="1526"/>
      <c r="Z387" s="1526"/>
      <c r="AA387" s="1526"/>
      <c r="AB387" s="1526"/>
      <c r="AC387" s="1526" t="e">
        <f>$AQ$284+$AF$375</f>
        <v>#REF!</v>
      </c>
      <c r="AD387" s="1526"/>
      <c r="AE387" s="1526"/>
      <c r="AF387" s="1526"/>
      <c r="AG387" s="1526"/>
      <c r="AH387" s="1526"/>
      <c r="AI387" s="1526"/>
      <c r="AJ387" s="1526"/>
      <c r="AK387" s="1526" t="e">
        <f>$BA$284</f>
        <v>#REF!</v>
      </c>
      <c r="AL387" s="1526"/>
      <c r="AM387" s="1526"/>
      <c r="AN387" s="1526"/>
      <c r="AO387" s="1526"/>
      <c r="AP387" s="1526"/>
      <c r="AQ387" s="1526"/>
      <c r="AR387" s="1526"/>
      <c r="AS387" s="1525">
        <v>1.8</v>
      </c>
      <c r="AT387" s="1525"/>
      <c r="AU387" s="1525"/>
      <c r="AV387" s="1525"/>
      <c r="AW387" s="1525"/>
      <c r="AX387" s="1525"/>
      <c r="AY387" s="1525"/>
      <c r="AZ387" s="1525"/>
      <c r="BA387" s="1596" t="e">
        <f t="shared" si="34"/>
        <v>#REF!</v>
      </c>
      <c r="BB387" s="1596"/>
      <c r="BC387" s="1596"/>
      <c r="BD387" s="1596"/>
      <c r="BE387" s="1596"/>
      <c r="BF387" s="1596"/>
      <c r="BG387" s="1596"/>
      <c r="BH387" s="1596"/>
      <c r="BI387" s="1596" t="e">
        <f t="shared" si="35"/>
        <v>#REF!</v>
      </c>
      <c r="BJ387" s="1596"/>
      <c r="BK387" s="1596"/>
      <c r="BL387" s="1596"/>
      <c r="BM387" s="1596"/>
      <c r="BN387" s="1596"/>
      <c r="BO387" s="1596"/>
      <c r="BP387" s="1596"/>
      <c r="BQ387" s="1596" t="e">
        <f t="shared" si="36"/>
        <v>#REF!</v>
      </c>
      <c r="BR387" s="1596"/>
      <c r="BS387" s="1596"/>
      <c r="BT387" s="1596"/>
      <c r="BU387" s="1596"/>
      <c r="BV387" s="1596"/>
      <c r="BW387" s="1596"/>
      <c r="BX387" s="1596"/>
      <c r="BY387" s="1597" t="e">
        <f t="shared" si="37"/>
        <v>#REF!</v>
      </c>
      <c r="BZ387" s="1597"/>
      <c r="CA387" s="1597"/>
      <c r="CB387" s="1597"/>
      <c r="CC387" s="1597"/>
      <c r="CD387" s="1597"/>
      <c r="CE387" s="1597"/>
      <c r="CF387" s="1598"/>
    </row>
    <row r="388" spans="1:88" s="535" customFormat="1" ht="23.1" customHeight="1" thickBot="1">
      <c r="E388" s="1605"/>
      <c r="F388" s="1592"/>
      <c r="G388" s="1592"/>
      <c r="H388" s="1592"/>
      <c r="I388" s="1592"/>
      <c r="J388" s="1599" t="s">
        <v>399</v>
      </c>
      <c r="K388" s="1599"/>
      <c r="L388" s="1599"/>
      <c r="M388" s="1599"/>
      <c r="N388" s="1599"/>
      <c r="O388" s="1599"/>
      <c r="P388" s="1599"/>
      <c r="Q388" s="1599"/>
      <c r="R388" s="1599"/>
      <c r="S388" s="1599"/>
      <c r="T388" s="1599"/>
      <c r="U388" s="1507" t="e">
        <f>$AG$285</f>
        <v>#REF!</v>
      </c>
      <c r="V388" s="1507"/>
      <c r="W388" s="1507"/>
      <c r="X388" s="1507"/>
      <c r="Y388" s="1507"/>
      <c r="Z388" s="1507"/>
      <c r="AA388" s="1507"/>
      <c r="AB388" s="1507"/>
      <c r="AC388" s="1507" t="e">
        <f>$AQ$285+$AF$375</f>
        <v>#REF!</v>
      </c>
      <c r="AD388" s="1507"/>
      <c r="AE388" s="1507"/>
      <c r="AF388" s="1507"/>
      <c r="AG388" s="1507"/>
      <c r="AH388" s="1507"/>
      <c r="AI388" s="1507"/>
      <c r="AJ388" s="1507"/>
      <c r="AK388" s="1507" t="e">
        <f>$BA$285</f>
        <v>#REF!</v>
      </c>
      <c r="AL388" s="1507"/>
      <c r="AM388" s="1507"/>
      <c r="AN388" s="1507"/>
      <c r="AO388" s="1507"/>
      <c r="AP388" s="1507"/>
      <c r="AQ388" s="1507"/>
      <c r="AR388" s="1507"/>
      <c r="AS388" s="1511">
        <v>2.75</v>
      </c>
      <c r="AT388" s="1511"/>
      <c r="AU388" s="1511"/>
      <c r="AV388" s="1511"/>
      <c r="AW388" s="1511"/>
      <c r="AX388" s="1511"/>
      <c r="AY388" s="1511"/>
      <c r="AZ388" s="1511"/>
      <c r="BA388" s="1600" t="e">
        <f t="shared" si="34"/>
        <v>#REF!</v>
      </c>
      <c r="BB388" s="1600"/>
      <c r="BC388" s="1600"/>
      <c r="BD388" s="1600"/>
      <c r="BE388" s="1600"/>
      <c r="BF388" s="1600"/>
      <c r="BG388" s="1600"/>
      <c r="BH388" s="1600"/>
      <c r="BI388" s="1600" t="e">
        <f t="shared" si="35"/>
        <v>#REF!</v>
      </c>
      <c r="BJ388" s="1600"/>
      <c r="BK388" s="1600"/>
      <c r="BL388" s="1600"/>
      <c r="BM388" s="1600"/>
      <c r="BN388" s="1600"/>
      <c r="BO388" s="1600"/>
      <c r="BP388" s="1600"/>
      <c r="BQ388" s="1600" t="e">
        <f t="shared" si="36"/>
        <v>#REF!</v>
      </c>
      <c r="BR388" s="1600"/>
      <c r="BS388" s="1600"/>
      <c r="BT388" s="1600"/>
      <c r="BU388" s="1600"/>
      <c r="BV388" s="1600"/>
      <c r="BW388" s="1600"/>
      <c r="BX388" s="1600"/>
      <c r="BY388" s="1609" t="e">
        <f t="shared" si="37"/>
        <v>#REF!</v>
      </c>
      <c r="BZ388" s="1609"/>
      <c r="CA388" s="1609"/>
      <c r="CB388" s="1609"/>
      <c r="CC388" s="1609"/>
      <c r="CD388" s="1609"/>
      <c r="CE388" s="1609"/>
      <c r="CF388" s="1610"/>
    </row>
    <row r="389" spans="1:88" s="535" customFormat="1" ht="23.1" customHeight="1">
      <c r="A389" s="540"/>
      <c r="B389" s="540"/>
      <c r="C389" s="540"/>
      <c r="D389" s="540"/>
      <c r="U389" s="551"/>
      <c r="V389" s="551"/>
      <c r="W389" s="551"/>
      <c r="X389" s="551"/>
      <c r="Y389" s="551"/>
      <c r="Z389" s="551"/>
      <c r="AA389" s="551"/>
      <c r="AB389" s="551"/>
      <c r="AC389" s="551"/>
      <c r="AD389" s="551"/>
      <c r="AE389" s="551"/>
      <c r="AF389" s="551"/>
      <c r="AG389" s="551"/>
      <c r="AH389" s="551"/>
      <c r="AI389" s="551"/>
      <c r="AJ389" s="551"/>
      <c r="AK389" s="551"/>
      <c r="AL389" s="551"/>
      <c r="AM389" s="551"/>
      <c r="AN389" s="551"/>
      <c r="AO389" s="551"/>
      <c r="AP389" s="551"/>
      <c r="AQ389" s="551"/>
      <c r="AR389" s="551"/>
      <c r="AS389" s="552"/>
      <c r="AT389" s="552"/>
      <c r="AU389" s="552"/>
      <c r="AV389" s="552"/>
      <c r="AW389" s="552"/>
      <c r="AX389" s="552"/>
      <c r="AY389" s="552"/>
      <c r="AZ389" s="552"/>
      <c r="BA389" s="551"/>
      <c r="BB389" s="551"/>
      <c r="BC389" s="551"/>
      <c r="BD389" s="551"/>
      <c r="BE389" s="551"/>
      <c r="BF389" s="551"/>
      <c r="BG389" s="551"/>
      <c r="BH389" s="551"/>
      <c r="BI389" s="551"/>
      <c r="BJ389" s="551"/>
      <c r="BK389" s="551"/>
      <c r="BL389" s="551"/>
      <c r="BM389" s="551"/>
      <c r="BN389" s="551"/>
      <c r="BO389" s="551"/>
      <c r="BP389" s="551"/>
      <c r="BQ389" s="551"/>
      <c r="BR389" s="551"/>
      <c r="BS389" s="551"/>
      <c r="BT389" s="551"/>
      <c r="BU389" s="551"/>
      <c r="BV389" s="551"/>
      <c r="BW389" s="551"/>
      <c r="BX389" s="551"/>
      <c r="BY389" s="562"/>
      <c r="BZ389" s="562"/>
      <c r="CA389" s="562"/>
      <c r="CB389" s="562"/>
      <c r="CC389" s="562"/>
      <c r="CD389" s="562"/>
      <c r="CE389" s="562"/>
      <c r="CF389" s="562"/>
    </row>
    <row r="390" spans="1:88" s="535" customFormat="1" ht="23.1" customHeight="1"/>
    <row r="391" spans="1:88" s="535" customFormat="1" ht="23.1" customHeight="1">
      <c r="D391" s="542"/>
      <c r="AR391" s="414"/>
      <c r="AS391" s="414"/>
      <c r="AT391" s="414"/>
      <c r="AU391" s="414"/>
      <c r="AV391" s="414"/>
      <c r="AW391" s="414"/>
      <c r="AX391" s="414"/>
      <c r="AY391" s="414"/>
      <c r="AZ391" s="414"/>
      <c r="BA391" s="414"/>
      <c r="BB391" s="414"/>
      <c r="BT391" s="414"/>
      <c r="BU391" s="414"/>
      <c r="BV391" s="414"/>
      <c r="BW391" s="414"/>
      <c r="BX391" s="414"/>
      <c r="BY391" s="414"/>
      <c r="BZ391" s="414"/>
      <c r="CA391" s="414"/>
      <c r="CB391" s="414"/>
      <c r="CC391" s="414"/>
    </row>
    <row r="392" spans="1:88" s="534" customFormat="1" ht="28.35" customHeight="1">
      <c r="A392" s="1579" t="s">
        <v>511</v>
      </c>
      <c r="B392" s="1579"/>
      <c r="C392" s="1579"/>
      <c r="D392" s="1579"/>
      <c r="E392" s="1579"/>
      <c r="F392" s="1579"/>
      <c r="G392" s="1579"/>
      <c r="H392" s="1579"/>
      <c r="I392" s="1579"/>
      <c r="J392" s="1579"/>
      <c r="K392" s="1579"/>
      <c r="L392" s="1579"/>
      <c r="M392" s="1579"/>
      <c r="N392" s="1579"/>
      <c r="O392" s="1579"/>
      <c r="P392" s="1579"/>
      <c r="Q392" s="1579"/>
      <c r="R392" s="1579"/>
      <c r="S392" s="1579"/>
      <c r="T392" s="1579"/>
      <c r="U392" s="1579"/>
      <c r="V392" s="1579"/>
      <c r="W392" s="1579"/>
      <c r="X392" s="1579"/>
      <c r="Y392" s="1579"/>
      <c r="Z392" s="1579"/>
      <c r="AA392" s="1579"/>
      <c r="AB392" s="1579"/>
      <c r="AC392" s="1579"/>
      <c r="AD392" s="1579"/>
      <c r="AE392" s="1579"/>
      <c r="AF392" s="1579"/>
      <c r="AG392" s="1579"/>
      <c r="AH392" s="1579"/>
      <c r="AI392" s="1579"/>
      <c r="AJ392" s="1579"/>
      <c r="AK392" s="1579"/>
      <c r="AL392" s="1579"/>
      <c r="AM392" s="1579"/>
      <c r="AN392" s="1579"/>
      <c r="AO392" s="1579"/>
      <c r="AP392" s="1579"/>
      <c r="AQ392" s="1579"/>
      <c r="AR392" s="1579"/>
      <c r="AS392" s="1579"/>
      <c r="AT392" s="1579"/>
      <c r="AU392" s="1579"/>
      <c r="AV392" s="1579"/>
      <c r="AW392" s="1579"/>
      <c r="AX392" s="1579"/>
      <c r="AY392" s="1579"/>
      <c r="AZ392" s="1579"/>
      <c r="BA392" s="1579"/>
      <c r="BB392" s="1579"/>
      <c r="BC392" s="1579"/>
      <c r="BD392" s="1579"/>
      <c r="BE392" s="1579"/>
      <c r="BF392" s="1579"/>
      <c r="BG392" s="1579"/>
      <c r="BH392" s="1579"/>
      <c r="BI392" s="1579"/>
      <c r="BJ392" s="1579"/>
      <c r="BK392" s="1579"/>
      <c r="BL392" s="1579"/>
      <c r="BM392" s="1579"/>
      <c r="BN392" s="1579"/>
      <c r="BO392" s="1579"/>
      <c r="BP392" s="1579"/>
      <c r="BQ392" s="1579"/>
      <c r="BR392" s="1579"/>
      <c r="BS392" s="1579"/>
      <c r="BT392" s="1579"/>
      <c r="BU392" s="1579"/>
      <c r="BV392" s="1579"/>
      <c r="BW392" s="1579"/>
      <c r="BX392" s="1579"/>
      <c r="BY392" s="1579"/>
      <c r="BZ392" s="1579"/>
      <c r="CA392" s="1579"/>
      <c r="CB392" s="1579"/>
      <c r="CC392" s="1579"/>
      <c r="CD392" s="1579"/>
      <c r="CE392" s="1579"/>
      <c r="CF392" s="1579"/>
      <c r="CJ392" s="535" t="s">
        <v>721</v>
      </c>
    </row>
    <row r="393" spans="1:88" s="534" customFormat="1" ht="9.9499999999999993" customHeight="1">
      <c r="A393" s="536"/>
      <c r="B393" s="536"/>
      <c r="C393" s="536"/>
      <c r="D393" s="536"/>
      <c r="E393" s="536"/>
      <c r="F393" s="536"/>
      <c r="G393" s="536"/>
      <c r="H393" s="536"/>
      <c r="I393" s="536"/>
      <c r="J393" s="536"/>
      <c r="K393" s="536"/>
      <c r="L393" s="536"/>
      <c r="M393" s="536"/>
      <c r="N393" s="536"/>
      <c r="O393" s="536"/>
      <c r="P393" s="536"/>
      <c r="Q393" s="536"/>
      <c r="R393" s="536"/>
      <c r="S393" s="536"/>
      <c r="T393" s="536"/>
      <c r="U393" s="536"/>
      <c r="V393" s="536"/>
      <c r="W393" s="536"/>
      <c r="X393" s="536"/>
      <c r="Y393" s="536"/>
      <c r="Z393" s="536"/>
      <c r="AA393" s="536"/>
      <c r="AB393" s="536"/>
      <c r="AC393" s="536"/>
      <c r="AD393" s="536"/>
      <c r="AE393" s="536"/>
      <c r="AF393" s="536"/>
      <c r="AG393" s="536"/>
      <c r="AH393" s="536"/>
      <c r="AI393" s="536"/>
      <c r="AJ393" s="536"/>
      <c r="AK393" s="536"/>
      <c r="AL393" s="536"/>
      <c r="AM393" s="536"/>
      <c r="AN393" s="536"/>
      <c r="AO393" s="536"/>
      <c r="AP393" s="536"/>
      <c r="AQ393" s="536"/>
      <c r="AR393" s="536"/>
      <c r="AS393" s="536"/>
      <c r="AT393" s="536"/>
      <c r="AU393" s="536"/>
      <c r="AV393" s="536"/>
      <c r="AW393" s="536"/>
      <c r="AX393" s="536"/>
      <c r="AY393" s="536"/>
      <c r="AZ393" s="536"/>
      <c r="BA393" s="536"/>
      <c r="BB393" s="536"/>
      <c r="BC393" s="536"/>
      <c r="BD393" s="536"/>
      <c r="BE393" s="536"/>
      <c r="BF393" s="536"/>
      <c r="BG393" s="536"/>
      <c r="BH393" s="536"/>
      <c r="BI393" s="536"/>
      <c r="BJ393" s="536"/>
      <c r="BK393" s="536"/>
      <c r="BL393" s="536"/>
      <c r="BM393" s="536"/>
      <c r="BN393" s="536"/>
      <c r="BO393" s="536"/>
      <c r="BP393" s="536"/>
      <c r="BQ393" s="536"/>
      <c r="BR393" s="536"/>
      <c r="BS393" s="536"/>
      <c r="BT393" s="536"/>
      <c r="BU393" s="536"/>
      <c r="BV393" s="536"/>
      <c r="BW393" s="536"/>
      <c r="BX393" s="536"/>
      <c r="BY393" s="536"/>
      <c r="BZ393" s="536"/>
      <c r="CA393" s="536"/>
      <c r="CB393" s="536"/>
      <c r="CC393" s="536"/>
      <c r="CD393" s="536"/>
      <c r="CE393" s="536"/>
      <c r="CF393" s="536"/>
      <c r="CJ393" s="535"/>
    </row>
    <row r="394" spans="1:88" s="535" customFormat="1" ht="23.1" customHeight="1">
      <c r="E394" s="535" t="s">
        <v>376</v>
      </c>
      <c r="CJ394" s="535" t="s">
        <v>728</v>
      </c>
    </row>
    <row r="395" spans="1:88" s="535" customFormat="1" ht="23.1" customHeight="1">
      <c r="A395" s="540"/>
      <c r="B395" s="540"/>
      <c r="C395" s="540"/>
      <c r="D395" s="540"/>
      <c r="G395" s="1580" t="s">
        <v>377</v>
      </c>
      <c r="H395" s="1580"/>
      <c r="I395" s="1580"/>
      <c r="J395" s="1580"/>
      <c r="L395" s="543" t="s">
        <v>378</v>
      </c>
      <c r="M395" s="543"/>
      <c r="N395" s="543"/>
      <c r="O395" s="543"/>
      <c r="P395" s="543"/>
      <c r="Q395" s="543"/>
      <c r="R395" s="543"/>
      <c r="S395" s="543"/>
      <c r="T395" s="543"/>
      <c r="U395" s="543"/>
      <c r="V395" s="543"/>
      <c r="W395" s="543"/>
      <c r="X395" s="543"/>
      <c r="Y395" s="543"/>
      <c r="Z395" s="543"/>
      <c r="AA395" s="543"/>
      <c r="AB395" s="543"/>
      <c r="AC395" s="543"/>
      <c r="AD395" s="543"/>
      <c r="AE395" s="543"/>
      <c r="AM395" s="535" t="s">
        <v>379</v>
      </c>
      <c r="AV395" s="544"/>
      <c r="AW395" s="544"/>
      <c r="AX395" s="544"/>
      <c r="AY395" s="544"/>
      <c r="AZ395" s="544"/>
      <c r="BA395" s="544"/>
      <c r="BC395" s="544"/>
      <c r="BD395" s="544"/>
      <c r="BE395" s="545"/>
      <c r="BF395" s="545"/>
      <c r="BG395" s="545"/>
      <c r="BH395" s="545"/>
      <c r="BI395" s="535" t="s">
        <v>380</v>
      </c>
      <c r="BJ395" s="545"/>
      <c r="BK395" s="545"/>
      <c r="BL395" s="545"/>
      <c r="BM395" s="545"/>
      <c r="BN395" s="545"/>
      <c r="BO395" s="545"/>
      <c r="BP395" s="545"/>
      <c r="BQ395" s="545"/>
      <c r="BR395" s="545"/>
      <c r="BS395" s="545"/>
      <c r="BT395" s="545"/>
      <c r="BU395" s="545"/>
      <c r="BV395" s="545"/>
      <c r="BW395" s="545"/>
      <c r="BX395" s="545"/>
      <c r="BY395" s="545"/>
      <c r="BZ395" s="545"/>
      <c r="CA395" s="545"/>
      <c r="CB395" s="545"/>
      <c r="CC395" s="545"/>
      <c r="CD395" s="545"/>
      <c r="CE395" s="545"/>
      <c r="CF395" s="545"/>
      <c r="CJ395" s="535" t="s">
        <v>727</v>
      </c>
    </row>
    <row r="396" spans="1:88" s="535" customFormat="1" ht="23.1" customHeight="1">
      <c r="D396" s="405"/>
      <c r="G396" s="1580"/>
      <c r="H396" s="1580"/>
      <c r="I396" s="1580"/>
      <c r="J396" s="1580"/>
      <c r="L396" s="1557" t="s">
        <v>381</v>
      </c>
      <c r="M396" s="1557"/>
      <c r="N396" s="1557"/>
      <c r="O396" s="1557"/>
      <c r="P396" s="1557"/>
      <c r="Q396" s="1557"/>
      <c r="R396" s="1557"/>
      <c r="S396" s="1557"/>
      <c r="T396" s="1557"/>
      <c r="U396" s="1557"/>
      <c r="V396" s="1557"/>
      <c r="W396" s="1557"/>
      <c r="X396" s="1557"/>
      <c r="Y396" s="1557"/>
      <c r="Z396" s="1557"/>
      <c r="AA396" s="1557"/>
      <c r="AB396" s="1557"/>
      <c r="AC396" s="1557"/>
      <c r="AD396" s="1557"/>
      <c r="AE396" s="1557"/>
      <c r="AM396" s="544" t="s">
        <v>517</v>
      </c>
      <c r="AV396" s="544"/>
      <c r="AW396" s="544"/>
      <c r="AX396" s="544"/>
      <c r="AY396" s="544"/>
      <c r="AZ396" s="544"/>
      <c r="BA396" s="544"/>
      <c r="BC396" s="544"/>
      <c r="BD396" s="544"/>
      <c r="BE396" s="545"/>
      <c r="BF396" s="545"/>
      <c r="BG396" s="545"/>
      <c r="BH396" s="545"/>
      <c r="BI396" s="545"/>
      <c r="BJ396" s="545"/>
      <c r="BK396" s="545"/>
      <c r="BL396" s="545"/>
      <c r="BM396" s="545"/>
      <c r="BN396" s="545"/>
      <c r="BO396" s="545"/>
      <c r="BP396" s="545"/>
      <c r="BQ396" s="545"/>
      <c r="BR396" s="545"/>
      <c r="BS396" s="545"/>
      <c r="BT396" s="545"/>
      <c r="BU396" s="545"/>
      <c r="BV396" s="545"/>
      <c r="BW396" s="545"/>
      <c r="BX396" s="545"/>
      <c r="BY396" s="545"/>
      <c r="BZ396" s="545"/>
      <c r="CA396" s="545"/>
      <c r="CB396" s="545"/>
      <c r="CC396" s="545"/>
      <c r="CD396" s="545"/>
      <c r="CE396" s="545"/>
      <c r="CF396" s="545"/>
      <c r="CJ396" s="535" t="s">
        <v>717</v>
      </c>
    </row>
    <row r="397" spans="1:88" s="535" customFormat="1" ht="23.1" customHeight="1">
      <c r="G397" s="540"/>
      <c r="AM397" s="544" t="s">
        <v>383</v>
      </c>
      <c r="BI397" s="535" t="s">
        <v>384</v>
      </c>
      <c r="BT397" s="410"/>
      <c r="BU397" s="410"/>
      <c r="BV397" s="410"/>
      <c r="BW397" s="410"/>
      <c r="BX397" s="410"/>
      <c r="BY397" s="410"/>
      <c r="BZ397" s="410"/>
      <c r="CA397" s="410"/>
      <c r="CB397" s="410"/>
      <c r="CC397" s="410"/>
      <c r="CJ397" s="535" t="s">
        <v>716</v>
      </c>
    </row>
    <row r="398" spans="1:88" s="535" customFormat="1" ht="9.9499999999999993" customHeight="1" thickBot="1">
      <c r="D398" s="405"/>
      <c r="Q398" s="546"/>
      <c r="R398" s="546"/>
      <c r="S398" s="546"/>
      <c r="T398" s="546"/>
      <c r="U398" s="546"/>
      <c r="V398" s="546"/>
      <c r="W398" s="546"/>
      <c r="X398" s="546"/>
      <c r="Y398" s="546"/>
      <c r="Z398" s="546"/>
      <c r="AA398" s="546"/>
      <c r="AB398" s="546"/>
      <c r="AV398" s="544"/>
      <c r="AW398" s="544"/>
      <c r="AX398" s="544"/>
      <c r="AY398" s="544"/>
      <c r="AZ398" s="544"/>
      <c r="BA398" s="544"/>
      <c r="BB398" s="544"/>
      <c r="BC398" s="544"/>
      <c r="BD398" s="544"/>
      <c r="BE398" s="545"/>
      <c r="BF398" s="545"/>
      <c r="BG398" s="545"/>
      <c r="BH398" s="545"/>
      <c r="BI398" s="545"/>
      <c r="BJ398" s="545"/>
      <c r="BK398" s="545"/>
      <c r="BL398" s="545"/>
      <c r="BM398" s="545"/>
      <c r="BN398" s="545"/>
      <c r="BO398" s="545"/>
      <c r="BP398" s="545"/>
      <c r="BQ398" s="545"/>
      <c r="BR398" s="545"/>
      <c r="BS398" s="545"/>
      <c r="BT398" s="545"/>
      <c r="BU398" s="545"/>
      <c r="BV398" s="545"/>
      <c r="BW398" s="545"/>
      <c r="BX398" s="545"/>
      <c r="BY398" s="545"/>
      <c r="BZ398" s="545"/>
      <c r="CA398" s="545"/>
      <c r="CB398" s="545"/>
      <c r="CC398" s="545"/>
      <c r="CD398" s="545"/>
      <c r="CE398" s="545"/>
      <c r="CF398" s="545"/>
    </row>
    <row r="399" spans="1:88" s="535" customFormat="1" ht="23.1" customHeight="1" thickBot="1">
      <c r="A399" s="540"/>
      <c r="B399" s="540"/>
      <c r="C399" s="540"/>
      <c r="D399" s="540"/>
      <c r="E399" s="1581" t="s">
        <v>385</v>
      </c>
      <c r="F399" s="1582"/>
      <c r="G399" s="1582"/>
      <c r="H399" s="1582"/>
      <c r="I399" s="1582"/>
      <c r="J399" s="1582"/>
      <c r="K399" s="1582"/>
      <c r="L399" s="1582"/>
      <c r="M399" s="1582"/>
      <c r="N399" s="1582"/>
      <c r="O399" s="1582"/>
      <c r="P399" s="1582"/>
      <c r="Q399" s="1582" t="s">
        <v>212</v>
      </c>
      <c r="R399" s="1582"/>
      <c r="S399" s="1582"/>
      <c r="T399" s="1582"/>
      <c r="U399" s="1582"/>
      <c r="V399" s="1582"/>
      <c r="W399" s="1582"/>
      <c r="X399" s="1582"/>
      <c r="Y399" s="1582"/>
      <c r="Z399" s="1582"/>
      <c r="AA399" s="1582"/>
      <c r="AB399" s="1582"/>
      <c r="AC399" s="1582" t="s">
        <v>386</v>
      </c>
      <c r="AD399" s="1582"/>
      <c r="AE399" s="1582"/>
      <c r="AF399" s="1582"/>
      <c r="AG399" s="1582"/>
      <c r="AH399" s="1582"/>
      <c r="AI399" s="1582"/>
      <c r="AJ399" s="1582"/>
      <c r="AK399" s="1582" t="s">
        <v>387</v>
      </c>
      <c r="AL399" s="1582"/>
      <c r="AM399" s="1582"/>
      <c r="AN399" s="1582"/>
      <c r="AO399" s="1582"/>
      <c r="AP399" s="1582"/>
      <c r="AQ399" s="1582"/>
      <c r="AR399" s="1582"/>
      <c r="AS399" s="1582" t="s">
        <v>388</v>
      </c>
      <c r="AT399" s="1582"/>
      <c r="AU399" s="1582"/>
      <c r="AV399" s="1582"/>
      <c r="AW399" s="1582"/>
      <c r="AX399" s="1582"/>
      <c r="AY399" s="1582"/>
      <c r="AZ399" s="1582"/>
      <c r="BA399" s="1582" t="s">
        <v>389</v>
      </c>
      <c r="BB399" s="1582"/>
      <c r="BC399" s="1582"/>
      <c r="BD399" s="1582"/>
      <c r="BE399" s="1582"/>
      <c r="BF399" s="1582"/>
      <c r="BG399" s="1582"/>
      <c r="BH399" s="1582"/>
      <c r="BI399" s="1582" t="s">
        <v>381</v>
      </c>
      <c r="BJ399" s="1582"/>
      <c r="BK399" s="1582"/>
      <c r="BL399" s="1582"/>
      <c r="BM399" s="1582"/>
      <c r="BN399" s="1582"/>
      <c r="BO399" s="1582"/>
      <c r="BP399" s="1582"/>
      <c r="BQ399" s="1582"/>
      <c r="BR399" s="1582"/>
      <c r="BS399" s="1582"/>
      <c r="BT399" s="1582"/>
      <c r="BU399" s="1570" t="s">
        <v>390</v>
      </c>
      <c r="BV399" s="1570"/>
      <c r="BW399" s="1570"/>
      <c r="BX399" s="1570"/>
      <c r="BY399" s="1570"/>
      <c r="BZ399" s="1570"/>
      <c r="CA399" s="1570"/>
      <c r="CB399" s="1570"/>
      <c r="CC399" s="1570"/>
      <c r="CD399" s="1570"/>
      <c r="CE399" s="1570"/>
      <c r="CF399" s="1571"/>
    </row>
    <row r="400" spans="1:88" s="535" customFormat="1" ht="23.1" customHeight="1" thickTop="1">
      <c r="D400" s="405"/>
      <c r="E400" s="1572" t="s">
        <v>391</v>
      </c>
      <c r="F400" s="1573"/>
      <c r="G400" s="1573"/>
      <c r="H400" s="1573"/>
      <c r="I400" s="1573"/>
      <c r="J400" s="1573"/>
      <c r="K400" s="1573"/>
      <c r="L400" s="1573"/>
      <c r="M400" s="1573"/>
      <c r="N400" s="1573"/>
      <c r="O400" s="1573"/>
      <c r="P400" s="1573"/>
      <c r="Q400" s="1573" t="s">
        <v>392</v>
      </c>
      <c r="R400" s="1573"/>
      <c r="S400" s="1573"/>
      <c r="T400" s="1573"/>
      <c r="U400" s="1573"/>
      <c r="V400" s="1573"/>
      <c r="W400" s="1573"/>
      <c r="X400" s="1573"/>
      <c r="Y400" s="1573"/>
      <c r="Z400" s="1573"/>
      <c r="AA400" s="1573"/>
      <c r="AB400" s="1573"/>
      <c r="AC400" s="1575">
        <v>0.12</v>
      </c>
      <c r="AD400" s="1575"/>
      <c r="AE400" s="1575"/>
      <c r="AF400" s="1575"/>
      <c r="AG400" s="1575"/>
      <c r="AH400" s="1575"/>
      <c r="AI400" s="1575"/>
      <c r="AJ400" s="1575"/>
      <c r="AK400" s="1573">
        <v>0.55000000000000004</v>
      </c>
      <c r="AL400" s="1573"/>
      <c r="AM400" s="1573"/>
      <c r="AN400" s="1573"/>
      <c r="AO400" s="1573"/>
      <c r="AP400" s="1573"/>
      <c r="AQ400" s="1573"/>
      <c r="AR400" s="1573"/>
      <c r="AS400" s="1573">
        <v>0.67</v>
      </c>
      <c r="AT400" s="1573"/>
      <c r="AU400" s="1573"/>
      <c r="AV400" s="1573"/>
      <c r="AW400" s="1573"/>
      <c r="AX400" s="1573"/>
      <c r="AY400" s="1573"/>
      <c r="AZ400" s="1573"/>
      <c r="BA400" s="1573">
        <v>0.35</v>
      </c>
      <c r="BB400" s="1573"/>
      <c r="BC400" s="1573"/>
      <c r="BD400" s="1573"/>
      <c r="BE400" s="1573"/>
      <c r="BF400" s="1573"/>
      <c r="BG400" s="1573"/>
      <c r="BH400" s="1573"/>
      <c r="BI400" s="1564" t="s">
        <v>393</v>
      </c>
      <c r="BJ400" s="1552"/>
      <c r="BK400" s="1552"/>
      <c r="BL400" s="1552"/>
      <c r="BM400" s="1552"/>
      <c r="BN400" s="1552"/>
      <c r="BO400" s="1576">
        <v>20</v>
      </c>
      <c r="BP400" s="1577"/>
      <c r="BQ400" s="1577"/>
      <c r="BR400" s="1577"/>
      <c r="BS400" s="1577"/>
      <c r="BT400" s="1578"/>
      <c r="BU400" s="1554">
        <f t="shared" ref="BU400:BU409" si="38">ROUND(3600*AC400*AK400*AS400*BA400/BO400,2)</f>
        <v>2.79</v>
      </c>
      <c r="BV400" s="1554"/>
      <c r="BW400" s="1554"/>
      <c r="BX400" s="1554"/>
      <c r="BY400" s="1554"/>
      <c r="BZ400" s="1554"/>
      <c r="CA400" s="1554"/>
      <c r="CB400" s="1554"/>
      <c r="CC400" s="1554"/>
      <c r="CD400" s="1554"/>
      <c r="CE400" s="1554"/>
      <c r="CF400" s="1555"/>
    </row>
    <row r="401" spans="1:88" s="535" customFormat="1" ht="23.1" customHeight="1">
      <c r="D401" s="405"/>
      <c r="E401" s="1565" t="s">
        <v>391</v>
      </c>
      <c r="F401" s="1566"/>
      <c r="G401" s="1566"/>
      <c r="H401" s="1566"/>
      <c r="I401" s="1566"/>
      <c r="J401" s="1566"/>
      <c r="K401" s="1566"/>
      <c r="L401" s="1566"/>
      <c r="M401" s="1566"/>
      <c r="N401" s="1566"/>
      <c r="O401" s="1566"/>
      <c r="P401" s="1566"/>
      <c r="Q401" s="1566" t="s">
        <v>394</v>
      </c>
      <c r="R401" s="1566"/>
      <c r="S401" s="1566"/>
      <c r="T401" s="1566"/>
      <c r="U401" s="1566"/>
      <c r="V401" s="1566"/>
      <c r="W401" s="1566"/>
      <c r="X401" s="1566"/>
      <c r="Y401" s="1566"/>
      <c r="Z401" s="1566"/>
      <c r="AA401" s="1566"/>
      <c r="AB401" s="1566"/>
      <c r="AC401" s="1569">
        <v>0.18</v>
      </c>
      <c r="AD401" s="1569"/>
      <c r="AE401" s="1569"/>
      <c r="AF401" s="1569"/>
      <c r="AG401" s="1569"/>
      <c r="AH401" s="1569"/>
      <c r="AI401" s="1569"/>
      <c r="AJ401" s="1569"/>
      <c r="AK401" s="1566">
        <v>0.55000000000000004</v>
      </c>
      <c r="AL401" s="1566"/>
      <c r="AM401" s="1566"/>
      <c r="AN401" s="1566"/>
      <c r="AO401" s="1566"/>
      <c r="AP401" s="1566"/>
      <c r="AQ401" s="1566"/>
      <c r="AR401" s="1566"/>
      <c r="AS401" s="1564">
        <v>0.67</v>
      </c>
      <c r="AT401" s="1552"/>
      <c r="AU401" s="1552"/>
      <c r="AV401" s="1552"/>
      <c r="AW401" s="1552"/>
      <c r="AX401" s="1552"/>
      <c r="AY401" s="1552"/>
      <c r="AZ401" s="1553"/>
      <c r="BA401" s="1566">
        <v>0.35</v>
      </c>
      <c r="BB401" s="1566"/>
      <c r="BC401" s="1566"/>
      <c r="BD401" s="1566"/>
      <c r="BE401" s="1566"/>
      <c r="BF401" s="1566"/>
      <c r="BG401" s="1566"/>
      <c r="BH401" s="1566"/>
      <c r="BI401" s="1564" t="s">
        <v>393</v>
      </c>
      <c r="BJ401" s="1552"/>
      <c r="BK401" s="1552"/>
      <c r="BL401" s="1552"/>
      <c r="BM401" s="1552"/>
      <c r="BN401" s="1552"/>
      <c r="BO401" s="1551">
        <v>20</v>
      </c>
      <c r="BP401" s="1552"/>
      <c r="BQ401" s="1552"/>
      <c r="BR401" s="1552"/>
      <c r="BS401" s="1552"/>
      <c r="BT401" s="1553"/>
      <c r="BU401" s="1554">
        <f t="shared" si="38"/>
        <v>4.18</v>
      </c>
      <c r="BV401" s="1554"/>
      <c r="BW401" s="1554"/>
      <c r="BX401" s="1554"/>
      <c r="BY401" s="1554"/>
      <c r="BZ401" s="1554"/>
      <c r="CA401" s="1554"/>
      <c r="CB401" s="1554"/>
      <c r="CC401" s="1554"/>
      <c r="CD401" s="1554"/>
      <c r="CE401" s="1554"/>
      <c r="CF401" s="1555"/>
    </row>
    <row r="402" spans="1:88" s="535" customFormat="1" ht="23.1" customHeight="1">
      <c r="A402" s="540"/>
      <c r="B402" s="540"/>
      <c r="C402" s="540"/>
      <c r="D402" s="540"/>
      <c r="E402" s="1565" t="s">
        <v>391</v>
      </c>
      <c r="F402" s="1566"/>
      <c r="G402" s="1566"/>
      <c r="H402" s="1566"/>
      <c r="I402" s="1566"/>
      <c r="J402" s="1566"/>
      <c r="K402" s="1566"/>
      <c r="L402" s="1566"/>
      <c r="M402" s="1566"/>
      <c r="N402" s="1566"/>
      <c r="O402" s="1566"/>
      <c r="P402" s="1566"/>
      <c r="Q402" s="1566" t="s">
        <v>395</v>
      </c>
      <c r="R402" s="1566"/>
      <c r="S402" s="1566"/>
      <c r="T402" s="1566"/>
      <c r="U402" s="1566"/>
      <c r="V402" s="1566"/>
      <c r="W402" s="1566"/>
      <c r="X402" s="1566"/>
      <c r="Y402" s="1566"/>
      <c r="Z402" s="1566"/>
      <c r="AA402" s="1566"/>
      <c r="AB402" s="1566"/>
      <c r="AC402" s="1568">
        <v>0.2</v>
      </c>
      <c r="AD402" s="1568"/>
      <c r="AE402" s="1568"/>
      <c r="AF402" s="1568"/>
      <c r="AG402" s="1568"/>
      <c r="AH402" s="1568"/>
      <c r="AI402" s="1568"/>
      <c r="AJ402" s="1568"/>
      <c r="AK402" s="1566">
        <v>0.55000000000000004</v>
      </c>
      <c r="AL402" s="1566"/>
      <c r="AM402" s="1566"/>
      <c r="AN402" s="1566"/>
      <c r="AO402" s="1566"/>
      <c r="AP402" s="1566"/>
      <c r="AQ402" s="1566"/>
      <c r="AR402" s="1566"/>
      <c r="AS402" s="1564">
        <v>0.67</v>
      </c>
      <c r="AT402" s="1552"/>
      <c r="AU402" s="1552"/>
      <c r="AV402" s="1552"/>
      <c r="AW402" s="1552"/>
      <c r="AX402" s="1552"/>
      <c r="AY402" s="1552"/>
      <c r="AZ402" s="1553"/>
      <c r="BA402" s="1566">
        <v>0.35</v>
      </c>
      <c r="BB402" s="1566"/>
      <c r="BC402" s="1566"/>
      <c r="BD402" s="1566"/>
      <c r="BE402" s="1566"/>
      <c r="BF402" s="1566"/>
      <c r="BG402" s="1566"/>
      <c r="BH402" s="1566"/>
      <c r="BI402" s="1564" t="s">
        <v>393</v>
      </c>
      <c r="BJ402" s="1552"/>
      <c r="BK402" s="1552"/>
      <c r="BL402" s="1552"/>
      <c r="BM402" s="1552"/>
      <c r="BN402" s="1552"/>
      <c r="BO402" s="1551">
        <v>20</v>
      </c>
      <c r="BP402" s="1552"/>
      <c r="BQ402" s="1552"/>
      <c r="BR402" s="1552"/>
      <c r="BS402" s="1552"/>
      <c r="BT402" s="1553"/>
      <c r="BU402" s="1554">
        <f t="shared" si="38"/>
        <v>4.6399999999999997</v>
      </c>
      <c r="BV402" s="1554"/>
      <c r="BW402" s="1554"/>
      <c r="BX402" s="1554"/>
      <c r="BY402" s="1554"/>
      <c r="BZ402" s="1554"/>
      <c r="CA402" s="1554"/>
      <c r="CB402" s="1554"/>
      <c r="CC402" s="1554"/>
      <c r="CD402" s="1554"/>
      <c r="CE402" s="1554"/>
      <c r="CF402" s="1555"/>
    </row>
    <row r="403" spans="1:88" s="535" customFormat="1" ht="23.1" customHeight="1">
      <c r="E403" s="1565" t="s">
        <v>391</v>
      </c>
      <c r="F403" s="1566"/>
      <c r="G403" s="1566"/>
      <c r="H403" s="1566"/>
      <c r="I403" s="1566"/>
      <c r="J403" s="1566"/>
      <c r="K403" s="1566"/>
      <c r="L403" s="1566"/>
      <c r="M403" s="1566"/>
      <c r="N403" s="1566"/>
      <c r="O403" s="1566"/>
      <c r="P403" s="1566"/>
      <c r="Q403" s="1566" t="s">
        <v>359</v>
      </c>
      <c r="R403" s="1566"/>
      <c r="S403" s="1566"/>
      <c r="T403" s="1566"/>
      <c r="U403" s="1566"/>
      <c r="V403" s="1566"/>
      <c r="W403" s="1566"/>
      <c r="X403" s="1566"/>
      <c r="Y403" s="1566"/>
      <c r="Z403" s="1566"/>
      <c r="AA403" s="1566"/>
      <c r="AB403" s="1566"/>
      <c r="AC403" s="1568">
        <v>0.4</v>
      </c>
      <c r="AD403" s="1568"/>
      <c r="AE403" s="1568"/>
      <c r="AF403" s="1568"/>
      <c r="AG403" s="1568"/>
      <c r="AH403" s="1568"/>
      <c r="AI403" s="1568"/>
      <c r="AJ403" s="1568"/>
      <c r="AK403" s="1566">
        <v>0.55000000000000004</v>
      </c>
      <c r="AL403" s="1566"/>
      <c r="AM403" s="1566"/>
      <c r="AN403" s="1566"/>
      <c r="AO403" s="1566"/>
      <c r="AP403" s="1566"/>
      <c r="AQ403" s="1566"/>
      <c r="AR403" s="1566"/>
      <c r="AS403" s="1573">
        <v>0.67</v>
      </c>
      <c r="AT403" s="1573"/>
      <c r="AU403" s="1573"/>
      <c r="AV403" s="1573"/>
      <c r="AW403" s="1573"/>
      <c r="AX403" s="1573"/>
      <c r="AY403" s="1573"/>
      <c r="AZ403" s="1573"/>
      <c r="BA403" s="1566">
        <v>0.45</v>
      </c>
      <c r="BB403" s="1566"/>
      <c r="BC403" s="1566"/>
      <c r="BD403" s="1566"/>
      <c r="BE403" s="1566"/>
      <c r="BF403" s="1566"/>
      <c r="BG403" s="1566"/>
      <c r="BH403" s="1566"/>
      <c r="BI403" s="1564" t="s">
        <v>396</v>
      </c>
      <c r="BJ403" s="1552"/>
      <c r="BK403" s="1552"/>
      <c r="BL403" s="1552"/>
      <c r="BM403" s="1552"/>
      <c r="BN403" s="1552"/>
      <c r="BO403" s="1551">
        <v>18</v>
      </c>
      <c r="BP403" s="1552"/>
      <c r="BQ403" s="1552"/>
      <c r="BR403" s="1552"/>
      <c r="BS403" s="1552"/>
      <c r="BT403" s="1553"/>
      <c r="BU403" s="1554">
        <f t="shared" si="38"/>
        <v>13.27</v>
      </c>
      <c r="BV403" s="1554"/>
      <c r="BW403" s="1554"/>
      <c r="BX403" s="1554"/>
      <c r="BY403" s="1554"/>
      <c r="BZ403" s="1554"/>
      <c r="CA403" s="1554"/>
      <c r="CB403" s="1554"/>
      <c r="CC403" s="1554"/>
      <c r="CD403" s="1554"/>
      <c r="CE403" s="1554"/>
      <c r="CF403" s="1555"/>
    </row>
    <row r="404" spans="1:88" s="535" customFormat="1" ht="23.1" customHeight="1">
      <c r="A404" s="540"/>
      <c r="B404" s="540"/>
      <c r="C404" s="540"/>
      <c r="D404" s="540"/>
      <c r="E404" s="1565" t="s">
        <v>391</v>
      </c>
      <c r="F404" s="1566"/>
      <c r="G404" s="1566"/>
      <c r="H404" s="1566"/>
      <c r="I404" s="1566"/>
      <c r="J404" s="1566"/>
      <c r="K404" s="1566"/>
      <c r="L404" s="1566"/>
      <c r="M404" s="1566"/>
      <c r="N404" s="1566"/>
      <c r="O404" s="1566"/>
      <c r="P404" s="1566"/>
      <c r="Q404" s="1564" t="s">
        <v>397</v>
      </c>
      <c r="R404" s="1552"/>
      <c r="S404" s="1552"/>
      <c r="T404" s="1552"/>
      <c r="U404" s="1552"/>
      <c r="V404" s="1552"/>
      <c r="W404" s="1552"/>
      <c r="X404" s="1552"/>
      <c r="Y404" s="1552"/>
      <c r="Z404" s="1552"/>
      <c r="AA404" s="1552"/>
      <c r="AB404" s="1553"/>
      <c r="AC404" s="1568">
        <v>0.6</v>
      </c>
      <c r="AD404" s="1568"/>
      <c r="AE404" s="1568"/>
      <c r="AF404" s="1568"/>
      <c r="AG404" s="1568"/>
      <c r="AH404" s="1568"/>
      <c r="AI404" s="1568"/>
      <c r="AJ404" s="1568"/>
      <c r="AK404" s="1566">
        <v>0.55000000000000004</v>
      </c>
      <c r="AL404" s="1566"/>
      <c r="AM404" s="1566"/>
      <c r="AN404" s="1566"/>
      <c r="AO404" s="1566"/>
      <c r="AP404" s="1566"/>
      <c r="AQ404" s="1566"/>
      <c r="AR404" s="1566"/>
      <c r="AS404" s="1564">
        <v>0.67</v>
      </c>
      <c r="AT404" s="1552"/>
      <c r="AU404" s="1552"/>
      <c r="AV404" s="1552"/>
      <c r="AW404" s="1552"/>
      <c r="AX404" s="1552"/>
      <c r="AY404" s="1552"/>
      <c r="AZ404" s="1553"/>
      <c r="BA404" s="1566">
        <v>0.45</v>
      </c>
      <c r="BB404" s="1566"/>
      <c r="BC404" s="1566"/>
      <c r="BD404" s="1566"/>
      <c r="BE404" s="1566"/>
      <c r="BF404" s="1566"/>
      <c r="BG404" s="1566"/>
      <c r="BH404" s="1566"/>
      <c r="BI404" s="1564" t="s">
        <v>398</v>
      </c>
      <c r="BJ404" s="1552"/>
      <c r="BK404" s="1552"/>
      <c r="BL404" s="1552"/>
      <c r="BM404" s="1552"/>
      <c r="BN404" s="1552"/>
      <c r="BO404" s="1551">
        <v>18</v>
      </c>
      <c r="BP404" s="1552"/>
      <c r="BQ404" s="1552"/>
      <c r="BR404" s="1552"/>
      <c r="BS404" s="1552"/>
      <c r="BT404" s="1553"/>
      <c r="BU404" s="1554">
        <f t="shared" si="38"/>
        <v>19.899999999999999</v>
      </c>
      <c r="BV404" s="1554"/>
      <c r="BW404" s="1554"/>
      <c r="BX404" s="1554"/>
      <c r="BY404" s="1554"/>
      <c r="BZ404" s="1554"/>
      <c r="CA404" s="1554"/>
      <c r="CB404" s="1554"/>
      <c r="CC404" s="1554"/>
      <c r="CD404" s="1554"/>
      <c r="CE404" s="1554"/>
      <c r="CF404" s="1555"/>
    </row>
    <row r="405" spans="1:88" s="535" customFormat="1" ht="23.1" customHeight="1">
      <c r="E405" s="1565" t="s">
        <v>391</v>
      </c>
      <c r="F405" s="1566"/>
      <c r="G405" s="1566"/>
      <c r="H405" s="1566"/>
      <c r="I405" s="1566"/>
      <c r="J405" s="1566"/>
      <c r="K405" s="1566"/>
      <c r="L405" s="1566"/>
      <c r="M405" s="1566"/>
      <c r="N405" s="1566"/>
      <c r="O405" s="1566"/>
      <c r="P405" s="1566"/>
      <c r="Q405" s="1566" t="s">
        <v>399</v>
      </c>
      <c r="R405" s="1566"/>
      <c r="S405" s="1566"/>
      <c r="T405" s="1566"/>
      <c r="U405" s="1566"/>
      <c r="V405" s="1566"/>
      <c r="W405" s="1566"/>
      <c r="X405" s="1566"/>
      <c r="Y405" s="1566"/>
      <c r="Z405" s="1566"/>
      <c r="AA405" s="1566"/>
      <c r="AB405" s="1566"/>
      <c r="AC405" s="1568">
        <v>0.7</v>
      </c>
      <c r="AD405" s="1568"/>
      <c r="AE405" s="1568"/>
      <c r="AF405" s="1568"/>
      <c r="AG405" s="1568"/>
      <c r="AH405" s="1568"/>
      <c r="AI405" s="1568"/>
      <c r="AJ405" s="1568"/>
      <c r="AK405" s="1566">
        <v>0.55000000000000004</v>
      </c>
      <c r="AL405" s="1566"/>
      <c r="AM405" s="1566"/>
      <c r="AN405" s="1566"/>
      <c r="AO405" s="1566"/>
      <c r="AP405" s="1566"/>
      <c r="AQ405" s="1566"/>
      <c r="AR405" s="1566"/>
      <c r="AS405" s="1564">
        <v>0.67</v>
      </c>
      <c r="AT405" s="1552"/>
      <c r="AU405" s="1552"/>
      <c r="AV405" s="1552"/>
      <c r="AW405" s="1552"/>
      <c r="AX405" s="1552"/>
      <c r="AY405" s="1552"/>
      <c r="AZ405" s="1553"/>
      <c r="BA405" s="1566">
        <v>0.45</v>
      </c>
      <c r="BB405" s="1566"/>
      <c r="BC405" s="1566"/>
      <c r="BD405" s="1566"/>
      <c r="BE405" s="1566"/>
      <c r="BF405" s="1566"/>
      <c r="BG405" s="1566"/>
      <c r="BH405" s="1566"/>
      <c r="BI405" s="1564" t="s">
        <v>398</v>
      </c>
      <c r="BJ405" s="1552"/>
      <c r="BK405" s="1552"/>
      <c r="BL405" s="1552"/>
      <c r="BM405" s="1552"/>
      <c r="BN405" s="1552"/>
      <c r="BO405" s="1551">
        <v>18</v>
      </c>
      <c r="BP405" s="1552"/>
      <c r="BQ405" s="1552"/>
      <c r="BR405" s="1552"/>
      <c r="BS405" s="1552"/>
      <c r="BT405" s="1553"/>
      <c r="BU405" s="1554">
        <f t="shared" si="38"/>
        <v>23.22</v>
      </c>
      <c r="BV405" s="1554"/>
      <c r="BW405" s="1554"/>
      <c r="BX405" s="1554"/>
      <c r="BY405" s="1554"/>
      <c r="BZ405" s="1554"/>
      <c r="CA405" s="1554"/>
      <c r="CB405" s="1554"/>
      <c r="CC405" s="1554"/>
      <c r="CD405" s="1554"/>
      <c r="CE405" s="1554"/>
      <c r="CF405" s="1555"/>
    </row>
    <row r="406" spans="1:88" s="535" customFormat="1" ht="23.1" customHeight="1">
      <c r="E406" s="1565" t="s">
        <v>391</v>
      </c>
      <c r="F406" s="1566"/>
      <c r="G406" s="1566"/>
      <c r="H406" s="1566"/>
      <c r="I406" s="1566"/>
      <c r="J406" s="1566"/>
      <c r="K406" s="1566"/>
      <c r="L406" s="1566"/>
      <c r="M406" s="1566"/>
      <c r="N406" s="1566"/>
      <c r="O406" s="1566"/>
      <c r="P406" s="1566"/>
      <c r="Q406" s="1566" t="s">
        <v>400</v>
      </c>
      <c r="R406" s="1566"/>
      <c r="S406" s="1566"/>
      <c r="T406" s="1566"/>
      <c r="U406" s="1566"/>
      <c r="V406" s="1566"/>
      <c r="W406" s="1566"/>
      <c r="X406" s="1566"/>
      <c r="Y406" s="1566"/>
      <c r="Z406" s="1566"/>
      <c r="AA406" s="1566"/>
      <c r="AB406" s="1566"/>
      <c r="AC406" s="1568">
        <v>0.8</v>
      </c>
      <c r="AD406" s="1568"/>
      <c r="AE406" s="1568"/>
      <c r="AF406" s="1568"/>
      <c r="AG406" s="1568"/>
      <c r="AH406" s="1568"/>
      <c r="AI406" s="1568"/>
      <c r="AJ406" s="1568"/>
      <c r="AK406" s="1566">
        <v>0.55000000000000004</v>
      </c>
      <c r="AL406" s="1566"/>
      <c r="AM406" s="1566"/>
      <c r="AN406" s="1566"/>
      <c r="AO406" s="1566"/>
      <c r="AP406" s="1566"/>
      <c r="AQ406" s="1566"/>
      <c r="AR406" s="1566"/>
      <c r="AS406" s="1564">
        <v>0.67</v>
      </c>
      <c r="AT406" s="1552"/>
      <c r="AU406" s="1552"/>
      <c r="AV406" s="1552"/>
      <c r="AW406" s="1552"/>
      <c r="AX406" s="1552"/>
      <c r="AY406" s="1552"/>
      <c r="AZ406" s="1553"/>
      <c r="BA406" s="1566">
        <v>0.45</v>
      </c>
      <c r="BB406" s="1566"/>
      <c r="BC406" s="1566"/>
      <c r="BD406" s="1566"/>
      <c r="BE406" s="1566"/>
      <c r="BF406" s="1566"/>
      <c r="BG406" s="1566"/>
      <c r="BH406" s="1566"/>
      <c r="BI406" s="1564" t="s">
        <v>398</v>
      </c>
      <c r="BJ406" s="1552"/>
      <c r="BK406" s="1552"/>
      <c r="BL406" s="1552"/>
      <c r="BM406" s="1552"/>
      <c r="BN406" s="1552"/>
      <c r="BO406" s="1551">
        <v>18</v>
      </c>
      <c r="BP406" s="1552"/>
      <c r="BQ406" s="1552"/>
      <c r="BR406" s="1552"/>
      <c r="BS406" s="1552"/>
      <c r="BT406" s="1553"/>
      <c r="BU406" s="1554">
        <f t="shared" si="38"/>
        <v>26.53</v>
      </c>
      <c r="BV406" s="1554"/>
      <c r="BW406" s="1554"/>
      <c r="BX406" s="1554"/>
      <c r="BY406" s="1554"/>
      <c r="BZ406" s="1554"/>
      <c r="CA406" s="1554"/>
      <c r="CB406" s="1554"/>
      <c r="CC406" s="1554"/>
      <c r="CD406" s="1554"/>
      <c r="CE406" s="1554"/>
      <c r="CF406" s="1555"/>
    </row>
    <row r="407" spans="1:88" s="535" customFormat="1" ht="23.1" customHeight="1">
      <c r="E407" s="1595" t="s">
        <v>391</v>
      </c>
      <c r="F407" s="1552"/>
      <c r="G407" s="1552"/>
      <c r="H407" s="1552"/>
      <c r="I407" s="1552"/>
      <c r="J407" s="1552"/>
      <c r="K407" s="1552"/>
      <c r="L407" s="1552"/>
      <c r="M407" s="1552"/>
      <c r="N407" s="1552"/>
      <c r="O407" s="1552"/>
      <c r="P407" s="1553"/>
      <c r="Q407" s="1566" t="s">
        <v>401</v>
      </c>
      <c r="R407" s="1566"/>
      <c r="S407" s="1566"/>
      <c r="T407" s="1566"/>
      <c r="U407" s="1566"/>
      <c r="V407" s="1566"/>
      <c r="W407" s="1566"/>
      <c r="X407" s="1566"/>
      <c r="Y407" s="1566"/>
      <c r="Z407" s="1566"/>
      <c r="AA407" s="1566"/>
      <c r="AB407" s="1566"/>
      <c r="AC407" s="1568">
        <v>1</v>
      </c>
      <c r="AD407" s="1568"/>
      <c r="AE407" s="1568"/>
      <c r="AF407" s="1568"/>
      <c r="AG407" s="1568"/>
      <c r="AH407" s="1568"/>
      <c r="AI407" s="1568"/>
      <c r="AJ407" s="1568"/>
      <c r="AK407" s="1566">
        <v>0.55000000000000004</v>
      </c>
      <c r="AL407" s="1566"/>
      <c r="AM407" s="1566"/>
      <c r="AN407" s="1566"/>
      <c r="AO407" s="1566"/>
      <c r="AP407" s="1566"/>
      <c r="AQ407" s="1566"/>
      <c r="AR407" s="1566"/>
      <c r="AS407" s="1564">
        <v>0.67</v>
      </c>
      <c r="AT407" s="1552"/>
      <c r="AU407" s="1552"/>
      <c r="AV407" s="1552"/>
      <c r="AW407" s="1552"/>
      <c r="AX407" s="1552"/>
      <c r="AY407" s="1552"/>
      <c r="AZ407" s="1553"/>
      <c r="BA407" s="1566">
        <v>0.45</v>
      </c>
      <c r="BB407" s="1566"/>
      <c r="BC407" s="1566"/>
      <c r="BD407" s="1566"/>
      <c r="BE407" s="1566"/>
      <c r="BF407" s="1566"/>
      <c r="BG407" s="1566"/>
      <c r="BH407" s="1566"/>
      <c r="BI407" s="1564" t="s">
        <v>398</v>
      </c>
      <c r="BJ407" s="1552"/>
      <c r="BK407" s="1552"/>
      <c r="BL407" s="1552"/>
      <c r="BM407" s="1552"/>
      <c r="BN407" s="1552"/>
      <c r="BO407" s="1551">
        <v>19</v>
      </c>
      <c r="BP407" s="1552"/>
      <c r="BQ407" s="1552"/>
      <c r="BR407" s="1552"/>
      <c r="BS407" s="1552"/>
      <c r="BT407" s="1553"/>
      <c r="BU407" s="1589">
        <f>ROUND(3600*AC407*AK407*AS407*BA407/BO407,2)</f>
        <v>31.42</v>
      </c>
      <c r="BV407" s="1589"/>
      <c r="BW407" s="1589"/>
      <c r="BX407" s="1589"/>
      <c r="BY407" s="1589"/>
      <c r="BZ407" s="1589"/>
      <c r="CA407" s="1589"/>
      <c r="CB407" s="1589"/>
      <c r="CC407" s="1589"/>
      <c r="CD407" s="1589"/>
      <c r="CE407" s="1589"/>
      <c r="CF407" s="1590"/>
    </row>
    <row r="408" spans="1:88" s="535" customFormat="1" ht="23.1" customHeight="1">
      <c r="E408" s="1565" t="s">
        <v>391</v>
      </c>
      <c r="F408" s="1566"/>
      <c r="G408" s="1566"/>
      <c r="H408" s="1566"/>
      <c r="I408" s="1566"/>
      <c r="J408" s="1566"/>
      <c r="K408" s="1566"/>
      <c r="L408" s="1566"/>
      <c r="M408" s="1566"/>
      <c r="N408" s="1566"/>
      <c r="O408" s="1566"/>
      <c r="P408" s="1566"/>
      <c r="Q408" s="1593" t="s">
        <v>725</v>
      </c>
      <c r="R408" s="1594"/>
      <c r="S408" s="1594"/>
      <c r="T408" s="1594"/>
      <c r="U408" s="1594"/>
      <c r="V408" s="1594"/>
      <c r="W408" s="1594"/>
      <c r="X408" s="1594"/>
      <c r="Y408" s="1594"/>
      <c r="Z408" s="1594"/>
      <c r="AA408" s="1594"/>
      <c r="AB408" s="1594"/>
      <c r="AC408" s="1568">
        <v>0.2</v>
      </c>
      <c r="AD408" s="1568"/>
      <c r="AE408" s="1568"/>
      <c r="AF408" s="1568"/>
      <c r="AG408" s="1568"/>
      <c r="AH408" s="1568"/>
      <c r="AI408" s="1568"/>
      <c r="AJ408" s="1568"/>
      <c r="AK408" s="1566">
        <v>0.55000000000000004</v>
      </c>
      <c r="AL408" s="1566"/>
      <c r="AM408" s="1566"/>
      <c r="AN408" s="1566"/>
      <c r="AO408" s="1566"/>
      <c r="AP408" s="1566"/>
      <c r="AQ408" s="1566"/>
      <c r="AR408" s="1566"/>
      <c r="AS408" s="1566">
        <v>0.71</v>
      </c>
      <c r="AT408" s="1566"/>
      <c r="AU408" s="1566"/>
      <c r="AV408" s="1566"/>
      <c r="AW408" s="1566"/>
      <c r="AX408" s="1566"/>
      <c r="AY408" s="1566"/>
      <c r="AZ408" s="1566"/>
      <c r="BA408" s="1566">
        <v>0.45</v>
      </c>
      <c r="BB408" s="1566"/>
      <c r="BC408" s="1566"/>
      <c r="BD408" s="1566"/>
      <c r="BE408" s="1566"/>
      <c r="BF408" s="1566"/>
      <c r="BG408" s="1566"/>
      <c r="BH408" s="1566"/>
      <c r="BI408" s="1564" t="s">
        <v>398</v>
      </c>
      <c r="BJ408" s="1552"/>
      <c r="BK408" s="1552"/>
      <c r="BL408" s="1552"/>
      <c r="BM408" s="1552"/>
      <c r="BN408" s="1552"/>
      <c r="BO408" s="1551">
        <v>15</v>
      </c>
      <c r="BP408" s="1552"/>
      <c r="BQ408" s="1552"/>
      <c r="BR408" s="1552"/>
      <c r="BS408" s="1552"/>
      <c r="BT408" s="1553"/>
      <c r="BU408" s="1589">
        <f>ROUND(3600*AC408*AK408*AS408*BA408/BO408,2)</f>
        <v>8.43</v>
      </c>
      <c r="BV408" s="1589"/>
      <c r="BW408" s="1589"/>
      <c r="BX408" s="1589"/>
      <c r="BY408" s="1589"/>
      <c r="BZ408" s="1589"/>
      <c r="CA408" s="1589"/>
      <c r="CB408" s="1589"/>
      <c r="CC408" s="1589"/>
      <c r="CD408" s="1589"/>
      <c r="CE408" s="1589"/>
      <c r="CF408" s="1590"/>
      <c r="CJ408" s="535" t="s">
        <v>726</v>
      </c>
    </row>
    <row r="409" spans="1:88" s="535" customFormat="1" ht="23.1" customHeight="1" thickBot="1">
      <c r="A409" s="540"/>
      <c r="B409" s="540"/>
      <c r="C409" s="540"/>
      <c r="D409" s="540"/>
      <c r="E409" s="1541" t="s">
        <v>391</v>
      </c>
      <c r="F409" s="1542"/>
      <c r="G409" s="1542"/>
      <c r="H409" s="1542"/>
      <c r="I409" s="1542"/>
      <c r="J409" s="1542"/>
      <c r="K409" s="1542"/>
      <c r="L409" s="1542"/>
      <c r="M409" s="1542"/>
      <c r="N409" s="1542"/>
      <c r="O409" s="1542"/>
      <c r="P409" s="1543"/>
      <c r="Q409" s="1591" t="s">
        <v>724</v>
      </c>
      <c r="R409" s="1592"/>
      <c r="S409" s="1592"/>
      <c r="T409" s="1592"/>
      <c r="U409" s="1592"/>
      <c r="V409" s="1592"/>
      <c r="W409" s="1592"/>
      <c r="X409" s="1592"/>
      <c r="Y409" s="1592"/>
      <c r="Z409" s="1592"/>
      <c r="AA409" s="1592"/>
      <c r="AB409" s="1592"/>
      <c r="AC409" s="1583">
        <v>0.4</v>
      </c>
      <c r="AD409" s="1583"/>
      <c r="AE409" s="1583"/>
      <c r="AF409" s="1583"/>
      <c r="AG409" s="1583"/>
      <c r="AH409" s="1583"/>
      <c r="AI409" s="1583"/>
      <c r="AJ409" s="1583"/>
      <c r="AK409" s="1546">
        <v>0.55000000000000004</v>
      </c>
      <c r="AL409" s="1546"/>
      <c r="AM409" s="1546"/>
      <c r="AN409" s="1546"/>
      <c r="AO409" s="1546"/>
      <c r="AP409" s="1546"/>
      <c r="AQ409" s="1546"/>
      <c r="AR409" s="1546"/>
      <c r="AS409" s="1546">
        <v>0.71</v>
      </c>
      <c r="AT409" s="1546"/>
      <c r="AU409" s="1546"/>
      <c r="AV409" s="1546"/>
      <c r="AW409" s="1546"/>
      <c r="AX409" s="1546"/>
      <c r="AY409" s="1546"/>
      <c r="AZ409" s="1546"/>
      <c r="BA409" s="1546">
        <v>0.45</v>
      </c>
      <c r="BB409" s="1546"/>
      <c r="BC409" s="1546"/>
      <c r="BD409" s="1546"/>
      <c r="BE409" s="1546"/>
      <c r="BF409" s="1546"/>
      <c r="BG409" s="1546"/>
      <c r="BH409" s="1546"/>
      <c r="BI409" s="1547" t="s">
        <v>398</v>
      </c>
      <c r="BJ409" s="1542"/>
      <c r="BK409" s="1542"/>
      <c r="BL409" s="1542"/>
      <c r="BM409" s="1542"/>
      <c r="BN409" s="1542"/>
      <c r="BO409" s="1548">
        <v>15</v>
      </c>
      <c r="BP409" s="1542"/>
      <c r="BQ409" s="1542"/>
      <c r="BR409" s="1542"/>
      <c r="BS409" s="1542"/>
      <c r="BT409" s="1543"/>
      <c r="BU409" s="1549">
        <f t="shared" si="38"/>
        <v>16.87</v>
      </c>
      <c r="BV409" s="1549"/>
      <c r="BW409" s="1549"/>
      <c r="BX409" s="1549"/>
      <c r="BY409" s="1549"/>
      <c r="BZ409" s="1549"/>
      <c r="CA409" s="1549"/>
      <c r="CB409" s="1549"/>
      <c r="CC409" s="1549"/>
      <c r="CD409" s="1549"/>
      <c r="CE409" s="1549"/>
      <c r="CF409" s="1550"/>
    </row>
    <row r="410" spans="1:88" s="535" customFormat="1" ht="23.1" customHeight="1">
      <c r="D410" s="405"/>
      <c r="BM410" s="545"/>
      <c r="BN410" s="545"/>
      <c r="BO410" s="545"/>
      <c r="BP410" s="545"/>
      <c r="BQ410" s="545"/>
      <c r="BR410" s="545"/>
      <c r="BS410" s="545"/>
      <c r="BT410" s="545"/>
      <c r="BU410" s="545"/>
      <c r="BV410" s="545"/>
      <c r="BW410" s="545"/>
      <c r="BX410" s="545"/>
      <c r="BY410" s="545"/>
      <c r="BZ410" s="545"/>
      <c r="CA410" s="545"/>
      <c r="CB410" s="545"/>
      <c r="CC410" s="545"/>
      <c r="CD410" s="545"/>
      <c r="CE410" s="545"/>
      <c r="CF410" s="545"/>
    </row>
    <row r="411" spans="1:88" s="535" customFormat="1" ht="23.1" customHeight="1">
      <c r="E411" s="535" t="s">
        <v>402</v>
      </c>
    </row>
    <row r="412" spans="1:88" s="535" customFormat="1" ht="9.9499999999999993" customHeight="1" thickBot="1"/>
    <row r="413" spans="1:88" s="535" customFormat="1" ht="23.1" customHeight="1">
      <c r="E413" s="1534" t="s">
        <v>385</v>
      </c>
      <c r="F413" s="1535"/>
      <c r="G413" s="1535"/>
      <c r="H413" s="1535"/>
      <c r="I413" s="1535"/>
      <c r="J413" s="1535"/>
      <c r="K413" s="1535"/>
      <c r="L413" s="1535"/>
      <c r="M413" s="1535"/>
      <c r="N413" s="1535"/>
      <c r="O413" s="1535"/>
      <c r="P413" s="1535"/>
      <c r="Q413" s="1535"/>
      <c r="R413" s="1535"/>
      <c r="S413" s="1535"/>
      <c r="T413" s="1535"/>
      <c r="U413" s="1535" t="s">
        <v>212</v>
      </c>
      <c r="V413" s="1535"/>
      <c r="W413" s="1535"/>
      <c r="X413" s="1535"/>
      <c r="Y413" s="1535"/>
      <c r="Z413" s="1535"/>
      <c r="AA413" s="1535"/>
      <c r="AB413" s="1535"/>
      <c r="AC413" s="1535" t="s">
        <v>403</v>
      </c>
      <c r="AD413" s="1535"/>
      <c r="AE413" s="1535"/>
      <c r="AF413" s="1535"/>
      <c r="AG413" s="1535"/>
      <c r="AH413" s="1535"/>
      <c r="AI413" s="1535"/>
      <c r="AJ413" s="1535"/>
      <c r="AK413" s="1535"/>
      <c r="AL413" s="1535"/>
      <c r="AM413" s="1535"/>
      <c r="AN413" s="1535"/>
      <c r="AO413" s="1535"/>
      <c r="AP413" s="1535"/>
      <c r="AQ413" s="1535"/>
      <c r="AR413" s="1535"/>
      <c r="AS413" s="1535"/>
      <c r="AT413" s="1535"/>
      <c r="AU413" s="1535"/>
      <c r="AV413" s="1535"/>
      <c r="AW413" s="1535"/>
      <c r="AX413" s="1535"/>
      <c r="AY413" s="1535"/>
      <c r="AZ413" s="1535"/>
      <c r="BA413" s="1537" t="s">
        <v>404</v>
      </c>
      <c r="BB413" s="1535"/>
      <c r="BC413" s="1535"/>
      <c r="BD413" s="1535"/>
      <c r="BE413" s="1535"/>
      <c r="BF413" s="1535"/>
      <c r="BG413" s="1535"/>
      <c r="BH413" s="1535"/>
      <c r="BI413" s="1535" t="s">
        <v>405</v>
      </c>
      <c r="BJ413" s="1535"/>
      <c r="BK413" s="1535"/>
      <c r="BL413" s="1535"/>
      <c r="BM413" s="1535"/>
      <c r="BN413" s="1535"/>
      <c r="BO413" s="1535"/>
      <c r="BP413" s="1535"/>
      <c r="BQ413" s="1535"/>
      <c r="BR413" s="1535"/>
      <c r="BS413" s="1535"/>
      <c r="BT413" s="1535"/>
      <c r="BU413" s="1535"/>
      <c r="BV413" s="1535"/>
      <c r="BW413" s="1535"/>
      <c r="BX413" s="1535"/>
      <c r="BY413" s="1535"/>
      <c r="BZ413" s="1535"/>
      <c r="CA413" s="1535"/>
      <c r="CB413" s="1535"/>
      <c r="CC413" s="1535"/>
      <c r="CD413" s="1535"/>
      <c r="CE413" s="1535"/>
      <c r="CF413" s="1538"/>
    </row>
    <row r="414" spans="1:88" s="535" customFormat="1" ht="23.1" customHeight="1" thickBot="1">
      <c r="A414" s="540"/>
      <c r="B414" s="540"/>
      <c r="C414" s="540"/>
      <c r="D414" s="540"/>
      <c r="E414" s="1536"/>
      <c r="F414" s="1527"/>
      <c r="G414" s="1527"/>
      <c r="H414" s="1527"/>
      <c r="I414" s="1527"/>
      <c r="J414" s="1527"/>
      <c r="K414" s="1527"/>
      <c r="L414" s="1527"/>
      <c r="M414" s="1527"/>
      <c r="N414" s="1527"/>
      <c r="O414" s="1527"/>
      <c r="P414" s="1527"/>
      <c r="Q414" s="1527"/>
      <c r="R414" s="1527"/>
      <c r="S414" s="1527"/>
      <c r="T414" s="1527"/>
      <c r="U414" s="1527"/>
      <c r="V414" s="1527"/>
      <c r="W414" s="1527"/>
      <c r="X414" s="1527"/>
      <c r="Y414" s="1527"/>
      <c r="Z414" s="1527"/>
      <c r="AA414" s="1527"/>
      <c r="AB414" s="1527"/>
      <c r="AC414" s="1527" t="s">
        <v>406</v>
      </c>
      <c r="AD414" s="1527"/>
      <c r="AE414" s="1527"/>
      <c r="AF414" s="1527"/>
      <c r="AG414" s="1527"/>
      <c r="AH414" s="1527"/>
      <c r="AI414" s="1527"/>
      <c r="AJ414" s="1527"/>
      <c r="AK414" s="1527" t="s">
        <v>407</v>
      </c>
      <c r="AL414" s="1527"/>
      <c r="AM414" s="1527"/>
      <c r="AN414" s="1527"/>
      <c r="AO414" s="1527"/>
      <c r="AP414" s="1527"/>
      <c r="AQ414" s="1527"/>
      <c r="AR414" s="1527"/>
      <c r="AS414" s="1527" t="s">
        <v>408</v>
      </c>
      <c r="AT414" s="1527"/>
      <c r="AU414" s="1527"/>
      <c r="AV414" s="1527"/>
      <c r="AW414" s="1527"/>
      <c r="AX414" s="1527"/>
      <c r="AY414" s="1527"/>
      <c r="AZ414" s="1527"/>
      <c r="BA414" s="1527"/>
      <c r="BB414" s="1527"/>
      <c r="BC414" s="1527"/>
      <c r="BD414" s="1527"/>
      <c r="BE414" s="1527"/>
      <c r="BF414" s="1527"/>
      <c r="BG414" s="1527"/>
      <c r="BH414" s="1527"/>
      <c r="BI414" s="1527" t="s">
        <v>406</v>
      </c>
      <c r="BJ414" s="1527"/>
      <c r="BK414" s="1527"/>
      <c r="BL414" s="1527"/>
      <c r="BM414" s="1527"/>
      <c r="BN414" s="1527"/>
      <c r="BO414" s="1527"/>
      <c r="BP414" s="1527"/>
      <c r="BQ414" s="1527" t="s">
        <v>407</v>
      </c>
      <c r="BR414" s="1527"/>
      <c r="BS414" s="1527"/>
      <c r="BT414" s="1527"/>
      <c r="BU414" s="1527"/>
      <c r="BV414" s="1527"/>
      <c r="BW414" s="1527"/>
      <c r="BX414" s="1527"/>
      <c r="BY414" s="1527" t="s">
        <v>408</v>
      </c>
      <c r="BZ414" s="1527"/>
      <c r="CA414" s="1527"/>
      <c r="CB414" s="1527"/>
      <c r="CC414" s="1527"/>
      <c r="CD414" s="1527"/>
      <c r="CE414" s="1527"/>
      <c r="CF414" s="1528"/>
    </row>
    <row r="415" spans="1:88" s="535" customFormat="1" ht="23.1" customHeight="1" thickTop="1">
      <c r="E415" s="1529" t="s">
        <v>277</v>
      </c>
      <c r="F415" s="1530"/>
      <c r="G415" s="1530"/>
      <c r="H415" s="1530"/>
      <c r="I415" s="1530"/>
      <c r="J415" s="1530"/>
      <c r="K415" s="1530"/>
      <c r="L415" s="1530"/>
      <c r="M415" s="1530"/>
      <c r="N415" s="1530"/>
      <c r="O415" s="1530"/>
      <c r="P415" s="1530"/>
      <c r="Q415" s="1530"/>
      <c r="R415" s="1530"/>
      <c r="S415" s="1530"/>
      <c r="T415" s="1530"/>
      <c r="U415" s="1530" t="s">
        <v>392</v>
      </c>
      <c r="V415" s="1530"/>
      <c r="W415" s="1530"/>
      <c r="X415" s="1530"/>
      <c r="Y415" s="1530"/>
      <c r="Z415" s="1530"/>
      <c r="AA415" s="1530"/>
      <c r="AB415" s="1530"/>
      <c r="AC415" s="1512" t="e">
        <f>#REF!</f>
        <v>#REF!</v>
      </c>
      <c r="AD415" s="1512"/>
      <c r="AE415" s="1512"/>
      <c r="AF415" s="1512"/>
      <c r="AG415" s="1512"/>
      <c r="AH415" s="1512"/>
      <c r="AI415" s="1512"/>
      <c r="AJ415" s="1512"/>
      <c r="AK415" s="1512" t="e">
        <f>#REF!</f>
        <v>#REF!</v>
      </c>
      <c r="AL415" s="1512"/>
      <c r="AM415" s="1512"/>
      <c r="AN415" s="1512"/>
      <c r="AO415" s="1512"/>
      <c r="AP415" s="1512"/>
      <c r="AQ415" s="1512"/>
      <c r="AR415" s="1512"/>
      <c r="AS415" s="1512" t="e">
        <f>#REF!</f>
        <v>#REF!</v>
      </c>
      <c r="AT415" s="1512"/>
      <c r="AU415" s="1512"/>
      <c r="AV415" s="1512"/>
      <c r="AW415" s="1512"/>
      <c r="AX415" s="1512"/>
      <c r="AY415" s="1512"/>
      <c r="AZ415" s="1512"/>
      <c r="BA415" s="1531">
        <f>BU400</f>
        <v>2.79</v>
      </c>
      <c r="BB415" s="1531"/>
      <c r="BC415" s="1531"/>
      <c r="BD415" s="1531"/>
      <c r="BE415" s="1531"/>
      <c r="BF415" s="1531"/>
      <c r="BG415" s="1531"/>
      <c r="BH415" s="1531"/>
      <c r="BI415" s="1532" t="e">
        <f t="shared" ref="BI415:BI425" si="39">INT(AC415/$BA415)</f>
        <v>#REF!</v>
      </c>
      <c r="BJ415" s="1532"/>
      <c r="BK415" s="1532"/>
      <c r="BL415" s="1532"/>
      <c r="BM415" s="1532"/>
      <c r="BN415" s="1532"/>
      <c r="BO415" s="1532"/>
      <c r="BP415" s="1532"/>
      <c r="BQ415" s="1532" t="e">
        <f t="shared" ref="BQ415:BQ425" si="40">INT(AK415/$BA415)</f>
        <v>#REF!</v>
      </c>
      <c r="BR415" s="1532"/>
      <c r="BS415" s="1532"/>
      <c r="BT415" s="1532"/>
      <c r="BU415" s="1532"/>
      <c r="BV415" s="1532"/>
      <c r="BW415" s="1532"/>
      <c r="BX415" s="1532"/>
      <c r="BY415" s="1532" t="e">
        <f t="shared" ref="BY415:BY425" si="41">INT(AS415/$BA415)</f>
        <v>#REF!</v>
      </c>
      <c r="BZ415" s="1532"/>
      <c r="CA415" s="1532"/>
      <c r="CB415" s="1532"/>
      <c r="CC415" s="1532"/>
      <c r="CD415" s="1532"/>
      <c r="CE415" s="1532"/>
      <c r="CF415" s="1533"/>
      <c r="CJ415" s="566" t="e">
        <f>SUM(BI415:CF415)</f>
        <v>#REF!</v>
      </c>
    </row>
    <row r="416" spans="1:88" s="535" customFormat="1" ht="23.1" customHeight="1">
      <c r="E416" s="1520" t="s">
        <v>277</v>
      </c>
      <c r="F416" s="1521"/>
      <c r="G416" s="1521"/>
      <c r="H416" s="1521"/>
      <c r="I416" s="1521"/>
      <c r="J416" s="1521"/>
      <c r="K416" s="1521"/>
      <c r="L416" s="1521"/>
      <c r="M416" s="1521"/>
      <c r="N416" s="1521"/>
      <c r="O416" s="1521"/>
      <c r="P416" s="1521"/>
      <c r="Q416" s="1521"/>
      <c r="R416" s="1521"/>
      <c r="S416" s="1521"/>
      <c r="T416" s="1521"/>
      <c r="U416" s="1521" t="s">
        <v>395</v>
      </c>
      <c r="V416" s="1521"/>
      <c r="W416" s="1521"/>
      <c r="X416" s="1521"/>
      <c r="Y416" s="1521"/>
      <c r="Z416" s="1521"/>
      <c r="AA416" s="1521"/>
      <c r="AB416" s="1521"/>
      <c r="AC416" s="1526" t="e">
        <f>#REF!</f>
        <v>#REF!</v>
      </c>
      <c r="AD416" s="1526"/>
      <c r="AE416" s="1526"/>
      <c r="AF416" s="1526"/>
      <c r="AG416" s="1526"/>
      <c r="AH416" s="1526"/>
      <c r="AI416" s="1526"/>
      <c r="AJ416" s="1526"/>
      <c r="AK416" s="1526" t="e">
        <f>#REF!</f>
        <v>#REF!</v>
      </c>
      <c r="AL416" s="1526"/>
      <c r="AM416" s="1526"/>
      <c r="AN416" s="1526"/>
      <c r="AO416" s="1526"/>
      <c r="AP416" s="1526"/>
      <c r="AQ416" s="1526"/>
      <c r="AR416" s="1526"/>
      <c r="AS416" s="1526" t="e">
        <f>#REF!</f>
        <v>#REF!</v>
      </c>
      <c r="AT416" s="1526"/>
      <c r="AU416" s="1526"/>
      <c r="AV416" s="1526"/>
      <c r="AW416" s="1526"/>
      <c r="AX416" s="1526"/>
      <c r="AY416" s="1526"/>
      <c r="AZ416" s="1526"/>
      <c r="BA416" s="1525">
        <f t="shared" ref="BA416:BA421" si="42">BU402</f>
        <v>4.6399999999999997</v>
      </c>
      <c r="BB416" s="1525"/>
      <c r="BC416" s="1525"/>
      <c r="BD416" s="1525"/>
      <c r="BE416" s="1525"/>
      <c r="BF416" s="1525"/>
      <c r="BG416" s="1525"/>
      <c r="BH416" s="1525"/>
      <c r="BI416" s="1512" t="e">
        <f t="shared" si="39"/>
        <v>#REF!</v>
      </c>
      <c r="BJ416" s="1512"/>
      <c r="BK416" s="1512"/>
      <c r="BL416" s="1512"/>
      <c r="BM416" s="1512"/>
      <c r="BN416" s="1512"/>
      <c r="BO416" s="1512"/>
      <c r="BP416" s="1512"/>
      <c r="BQ416" s="1512" t="e">
        <f t="shared" si="40"/>
        <v>#REF!</v>
      </c>
      <c r="BR416" s="1512"/>
      <c r="BS416" s="1512"/>
      <c r="BT416" s="1512"/>
      <c r="BU416" s="1512"/>
      <c r="BV416" s="1512"/>
      <c r="BW416" s="1512"/>
      <c r="BX416" s="1512"/>
      <c r="BY416" s="1512" t="e">
        <f t="shared" si="41"/>
        <v>#REF!</v>
      </c>
      <c r="BZ416" s="1512"/>
      <c r="CA416" s="1512"/>
      <c r="CB416" s="1512"/>
      <c r="CC416" s="1512"/>
      <c r="CD416" s="1512"/>
      <c r="CE416" s="1512"/>
      <c r="CF416" s="1513"/>
      <c r="CJ416" s="566" t="e">
        <f t="shared" ref="CJ416:CJ425" si="43">SUM(BI416:CF416)</f>
        <v>#REF!</v>
      </c>
    </row>
    <row r="417" spans="1:88" s="535" customFormat="1" ht="23.1" customHeight="1">
      <c r="E417" s="1520" t="s">
        <v>277</v>
      </c>
      <c r="F417" s="1521"/>
      <c r="G417" s="1521"/>
      <c r="H417" s="1521"/>
      <c r="I417" s="1521"/>
      <c r="J417" s="1521"/>
      <c r="K417" s="1521"/>
      <c r="L417" s="1521"/>
      <c r="M417" s="1521"/>
      <c r="N417" s="1521"/>
      <c r="O417" s="1521"/>
      <c r="P417" s="1521"/>
      <c r="Q417" s="1521"/>
      <c r="R417" s="1521"/>
      <c r="S417" s="1521"/>
      <c r="T417" s="1521"/>
      <c r="U417" s="1521" t="s">
        <v>359</v>
      </c>
      <c r="V417" s="1521"/>
      <c r="W417" s="1521"/>
      <c r="X417" s="1521"/>
      <c r="Y417" s="1521"/>
      <c r="Z417" s="1521"/>
      <c r="AA417" s="1521"/>
      <c r="AB417" s="1521"/>
      <c r="AC417" s="1522" t="e">
        <f>#REF!</f>
        <v>#REF!</v>
      </c>
      <c r="AD417" s="1523"/>
      <c r="AE417" s="1523"/>
      <c r="AF417" s="1523"/>
      <c r="AG417" s="1523"/>
      <c r="AH417" s="1523"/>
      <c r="AI417" s="1523"/>
      <c r="AJ417" s="1524"/>
      <c r="AK417" s="1522" t="e">
        <f>#REF!</f>
        <v>#REF!</v>
      </c>
      <c r="AL417" s="1523"/>
      <c r="AM417" s="1523"/>
      <c r="AN417" s="1523"/>
      <c r="AO417" s="1523"/>
      <c r="AP417" s="1523"/>
      <c r="AQ417" s="1523"/>
      <c r="AR417" s="1524"/>
      <c r="AS417" s="1522" t="e">
        <f>#REF!</f>
        <v>#REF!</v>
      </c>
      <c r="AT417" s="1523"/>
      <c r="AU417" s="1523"/>
      <c r="AV417" s="1523"/>
      <c r="AW417" s="1523"/>
      <c r="AX417" s="1523"/>
      <c r="AY417" s="1523"/>
      <c r="AZ417" s="1524"/>
      <c r="BA417" s="1525">
        <f t="shared" si="42"/>
        <v>13.27</v>
      </c>
      <c r="BB417" s="1525"/>
      <c r="BC417" s="1525"/>
      <c r="BD417" s="1525"/>
      <c r="BE417" s="1525"/>
      <c r="BF417" s="1525"/>
      <c r="BG417" s="1525"/>
      <c r="BH417" s="1525"/>
      <c r="BI417" s="1512" t="e">
        <f t="shared" si="39"/>
        <v>#REF!</v>
      </c>
      <c r="BJ417" s="1512"/>
      <c r="BK417" s="1512"/>
      <c r="BL417" s="1512"/>
      <c r="BM417" s="1512"/>
      <c r="BN417" s="1512"/>
      <c r="BO417" s="1512"/>
      <c r="BP417" s="1512"/>
      <c r="BQ417" s="1512" t="e">
        <f t="shared" si="40"/>
        <v>#REF!</v>
      </c>
      <c r="BR417" s="1512"/>
      <c r="BS417" s="1512"/>
      <c r="BT417" s="1512"/>
      <c r="BU417" s="1512"/>
      <c r="BV417" s="1512"/>
      <c r="BW417" s="1512"/>
      <c r="BX417" s="1512"/>
      <c r="BY417" s="1512" t="e">
        <f t="shared" si="41"/>
        <v>#REF!</v>
      </c>
      <c r="BZ417" s="1512"/>
      <c r="CA417" s="1512"/>
      <c r="CB417" s="1512"/>
      <c r="CC417" s="1512"/>
      <c r="CD417" s="1512"/>
      <c r="CE417" s="1512"/>
      <c r="CF417" s="1513"/>
      <c r="CJ417" s="566" t="e">
        <f t="shared" si="43"/>
        <v>#REF!</v>
      </c>
    </row>
    <row r="418" spans="1:88" s="535" customFormat="1" ht="23.1" customHeight="1">
      <c r="E418" s="1520" t="s">
        <v>277</v>
      </c>
      <c r="F418" s="1521"/>
      <c r="G418" s="1521"/>
      <c r="H418" s="1521"/>
      <c r="I418" s="1521"/>
      <c r="J418" s="1521"/>
      <c r="K418" s="1521"/>
      <c r="L418" s="1521"/>
      <c r="M418" s="1521"/>
      <c r="N418" s="1521"/>
      <c r="O418" s="1521"/>
      <c r="P418" s="1521"/>
      <c r="Q418" s="1521"/>
      <c r="R418" s="1521"/>
      <c r="S418" s="1521"/>
      <c r="T418" s="1521"/>
      <c r="U418" s="1521" t="s">
        <v>397</v>
      </c>
      <c r="V418" s="1521"/>
      <c r="W418" s="1521"/>
      <c r="X418" s="1521"/>
      <c r="Y418" s="1521"/>
      <c r="Z418" s="1521"/>
      <c r="AA418" s="1521"/>
      <c r="AB418" s="1521"/>
      <c r="AC418" s="1522" t="e">
        <f>#REF!</f>
        <v>#REF!</v>
      </c>
      <c r="AD418" s="1523"/>
      <c r="AE418" s="1523"/>
      <c r="AF418" s="1523"/>
      <c r="AG418" s="1523"/>
      <c r="AH418" s="1523"/>
      <c r="AI418" s="1523"/>
      <c r="AJ418" s="1524"/>
      <c r="AK418" s="1522" t="e">
        <f>#REF!</f>
        <v>#REF!</v>
      </c>
      <c r="AL418" s="1523"/>
      <c r="AM418" s="1523"/>
      <c r="AN418" s="1523"/>
      <c r="AO418" s="1523"/>
      <c r="AP418" s="1523"/>
      <c r="AQ418" s="1523"/>
      <c r="AR418" s="1524"/>
      <c r="AS418" s="1522" t="e">
        <f>#REF!</f>
        <v>#REF!</v>
      </c>
      <c r="AT418" s="1523"/>
      <c r="AU418" s="1523"/>
      <c r="AV418" s="1523"/>
      <c r="AW418" s="1523"/>
      <c r="AX418" s="1523"/>
      <c r="AY418" s="1523"/>
      <c r="AZ418" s="1524"/>
      <c r="BA418" s="1525">
        <f t="shared" si="42"/>
        <v>19.899999999999999</v>
      </c>
      <c r="BB418" s="1525"/>
      <c r="BC418" s="1525"/>
      <c r="BD418" s="1525"/>
      <c r="BE418" s="1525"/>
      <c r="BF418" s="1525"/>
      <c r="BG418" s="1525"/>
      <c r="BH418" s="1525"/>
      <c r="BI418" s="1512" t="e">
        <f t="shared" si="39"/>
        <v>#REF!</v>
      </c>
      <c r="BJ418" s="1512"/>
      <c r="BK418" s="1512"/>
      <c r="BL418" s="1512"/>
      <c r="BM418" s="1512"/>
      <c r="BN418" s="1512"/>
      <c r="BO418" s="1512"/>
      <c r="BP418" s="1512"/>
      <c r="BQ418" s="1512" t="e">
        <f t="shared" si="40"/>
        <v>#REF!</v>
      </c>
      <c r="BR418" s="1512"/>
      <c r="BS418" s="1512"/>
      <c r="BT418" s="1512"/>
      <c r="BU418" s="1512"/>
      <c r="BV418" s="1512"/>
      <c r="BW418" s="1512"/>
      <c r="BX418" s="1512"/>
      <c r="BY418" s="1512" t="e">
        <f t="shared" si="41"/>
        <v>#REF!</v>
      </c>
      <c r="BZ418" s="1512"/>
      <c r="CA418" s="1512"/>
      <c r="CB418" s="1512"/>
      <c r="CC418" s="1512"/>
      <c r="CD418" s="1512"/>
      <c r="CE418" s="1512"/>
      <c r="CF418" s="1513"/>
      <c r="CJ418" s="566" t="e">
        <f t="shared" si="43"/>
        <v>#REF!</v>
      </c>
    </row>
    <row r="419" spans="1:88" s="535" customFormat="1" ht="23.1" customHeight="1">
      <c r="D419" s="542"/>
      <c r="E419" s="1520" t="s">
        <v>277</v>
      </c>
      <c r="F419" s="1521"/>
      <c r="G419" s="1521"/>
      <c r="H419" s="1521"/>
      <c r="I419" s="1521"/>
      <c r="J419" s="1521"/>
      <c r="K419" s="1521"/>
      <c r="L419" s="1521"/>
      <c r="M419" s="1521"/>
      <c r="N419" s="1521"/>
      <c r="O419" s="1521"/>
      <c r="P419" s="1521"/>
      <c r="Q419" s="1521"/>
      <c r="R419" s="1521"/>
      <c r="S419" s="1521"/>
      <c r="T419" s="1521"/>
      <c r="U419" s="1521" t="s">
        <v>399</v>
      </c>
      <c r="V419" s="1521"/>
      <c r="W419" s="1521"/>
      <c r="X419" s="1521"/>
      <c r="Y419" s="1521"/>
      <c r="Z419" s="1521"/>
      <c r="AA419" s="1521"/>
      <c r="AB419" s="1521"/>
      <c r="AC419" s="1522" t="e">
        <f>#REF!</f>
        <v>#REF!</v>
      </c>
      <c r="AD419" s="1523"/>
      <c r="AE419" s="1523"/>
      <c r="AF419" s="1523"/>
      <c r="AG419" s="1523"/>
      <c r="AH419" s="1523"/>
      <c r="AI419" s="1523"/>
      <c r="AJ419" s="1524"/>
      <c r="AK419" s="1522" t="e">
        <f>#REF!</f>
        <v>#REF!</v>
      </c>
      <c r="AL419" s="1523"/>
      <c r="AM419" s="1523"/>
      <c r="AN419" s="1523"/>
      <c r="AO419" s="1523"/>
      <c r="AP419" s="1523"/>
      <c r="AQ419" s="1523"/>
      <c r="AR419" s="1524"/>
      <c r="AS419" s="1522" t="e">
        <f>#REF!</f>
        <v>#REF!</v>
      </c>
      <c r="AT419" s="1523"/>
      <c r="AU419" s="1523"/>
      <c r="AV419" s="1523"/>
      <c r="AW419" s="1523"/>
      <c r="AX419" s="1523"/>
      <c r="AY419" s="1523"/>
      <c r="AZ419" s="1524"/>
      <c r="BA419" s="1525">
        <f t="shared" si="42"/>
        <v>23.22</v>
      </c>
      <c r="BB419" s="1525"/>
      <c r="BC419" s="1525"/>
      <c r="BD419" s="1525"/>
      <c r="BE419" s="1525"/>
      <c r="BF419" s="1525"/>
      <c r="BG419" s="1525"/>
      <c r="BH419" s="1525"/>
      <c r="BI419" s="1512" t="e">
        <f t="shared" si="39"/>
        <v>#REF!</v>
      </c>
      <c r="BJ419" s="1512"/>
      <c r="BK419" s="1512"/>
      <c r="BL419" s="1512"/>
      <c r="BM419" s="1512"/>
      <c r="BN419" s="1512"/>
      <c r="BO419" s="1512"/>
      <c r="BP419" s="1512"/>
      <c r="BQ419" s="1512" t="e">
        <f t="shared" si="40"/>
        <v>#REF!</v>
      </c>
      <c r="BR419" s="1512"/>
      <c r="BS419" s="1512"/>
      <c r="BT419" s="1512"/>
      <c r="BU419" s="1512"/>
      <c r="BV419" s="1512"/>
      <c r="BW419" s="1512"/>
      <c r="BX419" s="1512"/>
      <c r="BY419" s="1512" t="e">
        <f t="shared" si="41"/>
        <v>#REF!</v>
      </c>
      <c r="BZ419" s="1512"/>
      <c r="CA419" s="1512"/>
      <c r="CB419" s="1512"/>
      <c r="CC419" s="1512"/>
      <c r="CD419" s="1512"/>
      <c r="CE419" s="1512"/>
      <c r="CF419" s="1513"/>
      <c r="CJ419" s="566" t="e">
        <f t="shared" si="43"/>
        <v>#REF!</v>
      </c>
    </row>
    <row r="420" spans="1:88" s="535" customFormat="1" ht="23.1" customHeight="1">
      <c r="A420" s="540"/>
      <c r="B420" s="540"/>
      <c r="C420" s="540"/>
      <c r="D420" s="540"/>
      <c r="E420" s="1520" t="s">
        <v>277</v>
      </c>
      <c r="F420" s="1521"/>
      <c r="G420" s="1521"/>
      <c r="H420" s="1521"/>
      <c r="I420" s="1521"/>
      <c r="J420" s="1521"/>
      <c r="K420" s="1521"/>
      <c r="L420" s="1521"/>
      <c r="M420" s="1521"/>
      <c r="N420" s="1521"/>
      <c r="O420" s="1521"/>
      <c r="P420" s="1521"/>
      <c r="Q420" s="1521"/>
      <c r="R420" s="1521"/>
      <c r="S420" s="1521"/>
      <c r="T420" s="1521"/>
      <c r="U420" s="1521" t="s">
        <v>400</v>
      </c>
      <c r="V420" s="1521"/>
      <c r="W420" s="1521"/>
      <c r="X420" s="1521"/>
      <c r="Y420" s="1521"/>
      <c r="Z420" s="1521"/>
      <c r="AA420" s="1521"/>
      <c r="AB420" s="1521"/>
      <c r="AC420" s="1522" t="e">
        <f>#REF!</f>
        <v>#REF!</v>
      </c>
      <c r="AD420" s="1523"/>
      <c r="AE420" s="1523"/>
      <c r="AF420" s="1523"/>
      <c r="AG420" s="1523"/>
      <c r="AH420" s="1523"/>
      <c r="AI420" s="1523"/>
      <c r="AJ420" s="1524"/>
      <c r="AK420" s="1522" t="e">
        <f>#REF!</f>
        <v>#REF!</v>
      </c>
      <c r="AL420" s="1523"/>
      <c r="AM420" s="1523"/>
      <c r="AN420" s="1523"/>
      <c r="AO420" s="1523"/>
      <c r="AP420" s="1523"/>
      <c r="AQ420" s="1523"/>
      <c r="AR420" s="1524"/>
      <c r="AS420" s="1522" t="e">
        <f>#REF!</f>
        <v>#REF!</v>
      </c>
      <c r="AT420" s="1523"/>
      <c r="AU420" s="1523"/>
      <c r="AV420" s="1523"/>
      <c r="AW420" s="1523"/>
      <c r="AX420" s="1523"/>
      <c r="AY420" s="1523"/>
      <c r="AZ420" s="1524"/>
      <c r="BA420" s="1525">
        <f t="shared" si="42"/>
        <v>26.53</v>
      </c>
      <c r="BB420" s="1525"/>
      <c r="BC420" s="1525"/>
      <c r="BD420" s="1525"/>
      <c r="BE420" s="1525"/>
      <c r="BF420" s="1525"/>
      <c r="BG420" s="1525"/>
      <c r="BH420" s="1525"/>
      <c r="BI420" s="1512" t="e">
        <f t="shared" si="39"/>
        <v>#REF!</v>
      </c>
      <c r="BJ420" s="1512"/>
      <c r="BK420" s="1512"/>
      <c r="BL420" s="1512"/>
      <c r="BM420" s="1512"/>
      <c r="BN420" s="1512"/>
      <c r="BO420" s="1512"/>
      <c r="BP420" s="1512"/>
      <c r="BQ420" s="1512" t="e">
        <f t="shared" si="40"/>
        <v>#REF!</v>
      </c>
      <c r="BR420" s="1512"/>
      <c r="BS420" s="1512"/>
      <c r="BT420" s="1512"/>
      <c r="BU420" s="1512"/>
      <c r="BV420" s="1512"/>
      <c r="BW420" s="1512"/>
      <c r="BX420" s="1512"/>
      <c r="BY420" s="1512" t="e">
        <f t="shared" si="41"/>
        <v>#REF!</v>
      </c>
      <c r="BZ420" s="1512"/>
      <c r="CA420" s="1512"/>
      <c r="CB420" s="1512"/>
      <c r="CC420" s="1512"/>
      <c r="CD420" s="1512"/>
      <c r="CE420" s="1512"/>
      <c r="CF420" s="1513"/>
      <c r="CJ420" s="566" t="e">
        <f t="shared" si="43"/>
        <v>#REF!</v>
      </c>
    </row>
    <row r="421" spans="1:88" s="535" customFormat="1" ht="23.1" customHeight="1">
      <c r="E421" s="1520" t="s">
        <v>277</v>
      </c>
      <c r="F421" s="1521"/>
      <c r="G421" s="1521"/>
      <c r="H421" s="1521"/>
      <c r="I421" s="1521"/>
      <c r="J421" s="1521"/>
      <c r="K421" s="1521"/>
      <c r="L421" s="1521"/>
      <c r="M421" s="1521"/>
      <c r="N421" s="1521"/>
      <c r="O421" s="1521"/>
      <c r="P421" s="1521"/>
      <c r="Q421" s="1521"/>
      <c r="R421" s="1521"/>
      <c r="S421" s="1521"/>
      <c r="T421" s="1521"/>
      <c r="U421" s="1521" t="s">
        <v>401</v>
      </c>
      <c r="V421" s="1521"/>
      <c r="W421" s="1521"/>
      <c r="X421" s="1521"/>
      <c r="Y421" s="1521"/>
      <c r="Z421" s="1521"/>
      <c r="AA421" s="1521"/>
      <c r="AB421" s="1521"/>
      <c r="AC421" s="1522" t="e">
        <f>#REF!</f>
        <v>#REF!</v>
      </c>
      <c r="AD421" s="1523"/>
      <c r="AE421" s="1523"/>
      <c r="AF421" s="1523"/>
      <c r="AG421" s="1523"/>
      <c r="AH421" s="1523"/>
      <c r="AI421" s="1523"/>
      <c r="AJ421" s="1524"/>
      <c r="AK421" s="1522" t="e">
        <f>#REF!</f>
        <v>#REF!</v>
      </c>
      <c r="AL421" s="1523"/>
      <c r="AM421" s="1523"/>
      <c r="AN421" s="1523"/>
      <c r="AO421" s="1523"/>
      <c r="AP421" s="1523"/>
      <c r="AQ421" s="1523"/>
      <c r="AR421" s="1524"/>
      <c r="AS421" s="1522" t="e">
        <f>#REF!</f>
        <v>#REF!</v>
      </c>
      <c r="AT421" s="1523"/>
      <c r="AU421" s="1523"/>
      <c r="AV421" s="1523"/>
      <c r="AW421" s="1523"/>
      <c r="AX421" s="1523"/>
      <c r="AY421" s="1523"/>
      <c r="AZ421" s="1524"/>
      <c r="BA421" s="1525">
        <f t="shared" si="42"/>
        <v>31.42</v>
      </c>
      <c r="BB421" s="1525"/>
      <c r="BC421" s="1525"/>
      <c r="BD421" s="1525"/>
      <c r="BE421" s="1525"/>
      <c r="BF421" s="1525"/>
      <c r="BG421" s="1525"/>
      <c r="BH421" s="1525"/>
      <c r="BI421" s="1512" t="e">
        <f t="shared" si="39"/>
        <v>#REF!</v>
      </c>
      <c r="BJ421" s="1512"/>
      <c r="BK421" s="1512"/>
      <c r="BL421" s="1512"/>
      <c r="BM421" s="1512"/>
      <c r="BN421" s="1512"/>
      <c r="BO421" s="1512"/>
      <c r="BP421" s="1512"/>
      <c r="BQ421" s="1512" t="e">
        <f t="shared" si="40"/>
        <v>#REF!</v>
      </c>
      <c r="BR421" s="1512"/>
      <c r="BS421" s="1512"/>
      <c r="BT421" s="1512"/>
      <c r="BU421" s="1512"/>
      <c r="BV421" s="1512"/>
      <c r="BW421" s="1512"/>
      <c r="BX421" s="1512"/>
      <c r="BY421" s="1512" t="e">
        <f t="shared" si="41"/>
        <v>#REF!</v>
      </c>
      <c r="BZ421" s="1512"/>
      <c r="CA421" s="1512"/>
      <c r="CB421" s="1512"/>
      <c r="CC421" s="1512"/>
      <c r="CD421" s="1512"/>
      <c r="CE421" s="1512"/>
      <c r="CF421" s="1513"/>
      <c r="CJ421" s="566" t="e">
        <f t="shared" si="43"/>
        <v>#REF!</v>
      </c>
    </row>
    <row r="422" spans="1:88" s="535" customFormat="1" ht="23.1" customHeight="1">
      <c r="E422" s="1520" t="s">
        <v>409</v>
      </c>
      <c r="F422" s="1521"/>
      <c r="G422" s="1521"/>
      <c r="H422" s="1521"/>
      <c r="I422" s="1521"/>
      <c r="J422" s="1521"/>
      <c r="K422" s="1521"/>
      <c r="L422" s="1521"/>
      <c r="M422" s="1521"/>
      <c r="N422" s="1521"/>
      <c r="O422" s="1521"/>
      <c r="P422" s="1521"/>
      <c r="Q422" s="1521"/>
      <c r="R422" s="1521"/>
      <c r="S422" s="1521"/>
      <c r="T422" s="1521"/>
      <c r="U422" s="1521" t="s">
        <v>394</v>
      </c>
      <c r="V422" s="1521"/>
      <c r="W422" s="1521"/>
      <c r="X422" s="1521"/>
      <c r="Y422" s="1521"/>
      <c r="Z422" s="1521"/>
      <c r="AA422" s="1521"/>
      <c r="AB422" s="1521"/>
      <c r="AC422" s="1522" t="e">
        <f>#REF!</f>
        <v>#REF!</v>
      </c>
      <c r="AD422" s="1523"/>
      <c r="AE422" s="1523"/>
      <c r="AF422" s="1523"/>
      <c r="AG422" s="1523"/>
      <c r="AH422" s="1523"/>
      <c r="AI422" s="1523"/>
      <c r="AJ422" s="1524"/>
      <c r="AK422" s="1522" t="e">
        <f>#REF!</f>
        <v>#REF!</v>
      </c>
      <c r="AL422" s="1523"/>
      <c r="AM422" s="1523"/>
      <c r="AN422" s="1523"/>
      <c r="AO422" s="1523"/>
      <c r="AP422" s="1523"/>
      <c r="AQ422" s="1523"/>
      <c r="AR422" s="1524"/>
      <c r="AS422" s="1522" t="e">
        <f>#REF!</f>
        <v>#REF!</v>
      </c>
      <c r="AT422" s="1523"/>
      <c r="AU422" s="1523"/>
      <c r="AV422" s="1523"/>
      <c r="AW422" s="1523"/>
      <c r="AX422" s="1523"/>
      <c r="AY422" s="1523"/>
      <c r="AZ422" s="1524"/>
      <c r="BA422" s="1525">
        <f>BU401</f>
        <v>4.18</v>
      </c>
      <c r="BB422" s="1525"/>
      <c r="BC422" s="1525"/>
      <c r="BD422" s="1525"/>
      <c r="BE422" s="1525"/>
      <c r="BF422" s="1525"/>
      <c r="BG422" s="1525"/>
      <c r="BH422" s="1525"/>
      <c r="BI422" s="1512" t="e">
        <f t="shared" si="39"/>
        <v>#REF!</v>
      </c>
      <c r="BJ422" s="1512"/>
      <c r="BK422" s="1512"/>
      <c r="BL422" s="1512"/>
      <c r="BM422" s="1512"/>
      <c r="BN422" s="1512"/>
      <c r="BO422" s="1512"/>
      <c r="BP422" s="1512"/>
      <c r="BQ422" s="1512" t="e">
        <f t="shared" si="40"/>
        <v>#REF!</v>
      </c>
      <c r="BR422" s="1512"/>
      <c r="BS422" s="1512"/>
      <c r="BT422" s="1512"/>
      <c r="BU422" s="1512"/>
      <c r="BV422" s="1512"/>
      <c r="BW422" s="1512"/>
      <c r="BX422" s="1512"/>
      <c r="BY422" s="1512" t="e">
        <f t="shared" si="41"/>
        <v>#REF!</v>
      </c>
      <c r="BZ422" s="1512"/>
      <c r="CA422" s="1512"/>
      <c r="CB422" s="1512"/>
      <c r="CC422" s="1512"/>
      <c r="CD422" s="1512"/>
      <c r="CE422" s="1512"/>
      <c r="CF422" s="1513"/>
      <c r="CJ422" s="566" t="e">
        <f t="shared" si="43"/>
        <v>#REF!</v>
      </c>
    </row>
    <row r="423" spans="1:88" s="535" customFormat="1" ht="23.1" customHeight="1">
      <c r="E423" s="1520" t="s">
        <v>409</v>
      </c>
      <c r="F423" s="1521"/>
      <c r="G423" s="1521"/>
      <c r="H423" s="1521"/>
      <c r="I423" s="1521"/>
      <c r="J423" s="1521"/>
      <c r="K423" s="1521"/>
      <c r="L423" s="1521"/>
      <c r="M423" s="1521"/>
      <c r="N423" s="1521"/>
      <c r="O423" s="1521"/>
      <c r="P423" s="1521"/>
      <c r="Q423" s="1521"/>
      <c r="R423" s="1521"/>
      <c r="S423" s="1521"/>
      <c r="T423" s="1521"/>
      <c r="U423" s="1521" t="s">
        <v>397</v>
      </c>
      <c r="V423" s="1521"/>
      <c r="W423" s="1521"/>
      <c r="X423" s="1521"/>
      <c r="Y423" s="1521"/>
      <c r="Z423" s="1521"/>
      <c r="AA423" s="1521"/>
      <c r="AB423" s="1521"/>
      <c r="AC423" s="1526" t="e">
        <f>#REF!</f>
        <v>#REF!</v>
      </c>
      <c r="AD423" s="1526"/>
      <c r="AE423" s="1526"/>
      <c r="AF423" s="1526"/>
      <c r="AG423" s="1526"/>
      <c r="AH423" s="1526"/>
      <c r="AI423" s="1526"/>
      <c r="AJ423" s="1526"/>
      <c r="AK423" s="1526" t="e">
        <f>#REF!</f>
        <v>#REF!</v>
      </c>
      <c r="AL423" s="1526"/>
      <c r="AM423" s="1526"/>
      <c r="AN423" s="1526"/>
      <c r="AO423" s="1526"/>
      <c r="AP423" s="1526"/>
      <c r="AQ423" s="1526"/>
      <c r="AR423" s="1526"/>
      <c r="AS423" s="1526" t="e">
        <f>#REF!</f>
        <v>#REF!</v>
      </c>
      <c r="AT423" s="1526"/>
      <c r="AU423" s="1526"/>
      <c r="AV423" s="1526"/>
      <c r="AW423" s="1526"/>
      <c r="AX423" s="1526"/>
      <c r="AY423" s="1526"/>
      <c r="AZ423" s="1526"/>
      <c r="BA423" s="1525">
        <f>BU404</f>
        <v>19.899999999999999</v>
      </c>
      <c r="BB423" s="1525"/>
      <c r="BC423" s="1525"/>
      <c r="BD423" s="1525"/>
      <c r="BE423" s="1525"/>
      <c r="BF423" s="1525"/>
      <c r="BG423" s="1525"/>
      <c r="BH423" s="1525"/>
      <c r="BI423" s="1526" t="e">
        <f>INT(AC423/$BA423)</f>
        <v>#REF!</v>
      </c>
      <c r="BJ423" s="1526"/>
      <c r="BK423" s="1526"/>
      <c r="BL423" s="1526"/>
      <c r="BM423" s="1526"/>
      <c r="BN423" s="1526"/>
      <c r="BO423" s="1526"/>
      <c r="BP423" s="1526"/>
      <c r="BQ423" s="1526" t="e">
        <f>INT(AK423/$BA423)</f>
        <v>#REF!</v>
      </c>
      <c r="BR423" s="1526"/>
      <c r="BS423" s="1526"/>
      <c r="BT423" s="1526"/>
      <c r="BU423" s="1526"/>
      <c r="BV423" s="1526"/>
      <c r="BW423" s="1526"/>
      <c r="BX423" s="1526"/>
      <c r="BY423" s="1526" t="e">
        <f>INT(AS423/$BA423)</f>
        <v>#REF!</v>
      </c>
      <c r="BZ423" s="1526"/>
      <c r="CA423" s="1526"/>
      <c r="CB423" s="1526"/>
      <c r="CC423" s="1526"/>
      <c r="CD423" s="1526"/>
      <c r="CE423" s="1526"/>
      <c r="CF423" s="1586"/>
      <c r="CJ423" s="566" t="e">
        <f t="shared" si="43"/>
        <v>#REF!</v>
      </c>
    </row>
    <row r="424" spans="1:88" s="535" customFormat="1" ht="23.1" customHeight="1">
      <c r="E424" s="1520" t="s">
        <v>277</v>
      </c>
      <c r="F424" s="1521"/>
      <c r="G424" s="1521"/>
      <c r="H424" s="1521"/>
      <c r="I424" s="1521"/>
      <c r="J424" s="1521"/>
      <c r="K424" s="1521"/>
      <c r="L424" s="1521"/>
      <c r="M424" s="1521"/>
      <c r="N424" s="1521"/>
      <c r="O424" s="1521"/>
      <c r="P424" s="1521"/>
      <c r="Q424" s="1521"/>
      <c r="R424" s="1521"/>
      <c r="S424" s="1521"/>
      <c r="T424" s="1521"/>
      <c r="U424" s="1587" t="s">
        <v>725</v>
      </c>
      <c r="V424" s="1588"/>
      <c r="W424" s="1588"/>
      <c r="X424" s="1588"/>
      <c r="Y424" s="1588"/>
      <c r="Z424" s="1588"/>
      <c r="AA424" s="1588"/>
      <c r="AB424" s="1588"/>
      <c r="AC424" s="1526" t="e">
        <f>#REF!</f>
        <v>#REF!</v>
      </c>
      <c r="AD424" s="1526"/>
      <c r="AE424" s="1526"/>
      <c r="AF424" s="1526"/>
      <c r="AG424" s="1526"/>
      <c r="AH424" s="1526"/>
      <c r="AI424" s="1526"/>
      <c r="AJ424" s="1526"/>
      <c r="AK424" s="1526" t="e">
        <f>#REF!</f>
        <v>#REF!</v>
      </c>
      <c r="AL424" s="1526"/>
      <c r="AM424" s="1526"/>
      <c r="AN424" s="1526"/>
      <c r="AO424" s="1526"/>
      <c r="AP424" s="1526"/>
      <c r="AQ424" s="1526"/>
      <c r="AR424" s="1526"/>
      <c r="AS424" s="1526" t="e">
        <f>#REF!</f>
        <v>#REF!</v>
      </c>
      <c r="AT424" s="1526"/>
      <c r="AU424" s="1526"/>
      <c r="AV424" s="1526"/>
      <c r="AW424" s="1526"/>
      <c r="AX424" s="1526"/>
      <c r="AY424" s="1526"/>
      <c r="AZ424" s="1526"/>
      <c r="BA424" s="1525">
        <f>BU408</f>
        <v>8.43</v>
      </c>
      <c r="BB424" s="1525"/>
      <c r="BC424" s="1525"/>
      <c r="BD424" s="1525"/>
      <c r="BE424" s="1525"/>
      <c r="BF424" s="1525"/>
      <c r="BG424" s="1525"/>
      <c r="BH424" s="1525"/>
      <c r="BI424" s="1526" t="e">
        <f>INT(AC424/$BA424)</f>
        <v>#REF!</v>
      </c>
      <c r="BJ424" s="1526"/>
      <c r="BK424" s="1526"/>
      <c r="BL424" s="1526"/>
      <c r="BM424" s="1526"/>
      <c r="BN424" s="1526"/>
      <c r="BO424" s="1526"/>
      <c r="BP424" s="1526"/>
      <c r="BQ424" s="1526" t="e">
        <f>INT(AK424/$BA424)</f>
        <v>#REF!</v>
      </c>
      <c r="BR424" s="1526"/>
      <c r="BS424" s="1526"/>
      <c r="BT424" s="1526"/>
      <c r="BU424" s="1526"/>
      <c r="BV424" s="1526"/>
      <c r="BW424" s="1526"/>
      <c r="BX424" s="1526"/>
      <c r="BY424" s="1526" t="e">
        <f>INT(AS424/$BA424)</f>
        <v>#REF!</v>
      </c>
      <c r="BZ424" s="1526"/>
      <c r="CA424" s="1526"/>
      <c r="CB424" s="1526"/>
      <c r="CC424" s="1526"/>
      <c r="CD424" s="1526"/>
      <c r="CE424" s="1526"/>
      <c r="CF424" s="1586"/>
      <c r="CJ424" s="566" t="e">
        <f t="shared" si="43"/>
        <v>#REF!</v>
      </c>
    </row>
    <row r="425" spans="1:88" s="535" customFormat="1" ht="23.1" customHeight="1" thickBot="1">
      <c r="E425" s="1509" t="s">
        <v>277</v>
      </c>
      <c r="F425" s="1510"/>
      <c r="G425" s="1510"/>
      <c r="H425" s="1510"/>
      <c r="I425" s="1510"/>
      <c r="J425" s="1510"/>
      <c r="K425" s="1510"/>
      <c r="L425" s="1510"/>
      <c r="M425" s="1510"/>
      <c r="N425" s="1510"/>
      <c r="O425" s="1510"/>
      <c r="P425" s="1510"/>
      <c r="Q425" s="1510"/>
      <c r="R425" s="1510"/>
      <c r="S425" s="1510"/>
      <c r="T425" s="1510"/>
      <c r="U425" s="1584" t="s">
        <v>724</v>
      </c>
      <c r="V425" s="1585"/>
      <c r="W425" s="1585"/>
      <c r="X425" s="1585"/>
      <c r="Y425" s="1585"/>
      <c r="Z425" s="1585"/>
      <c r="AA425" s="1585"/>
      <c r="AB425" s="1585"/>
      <c r="AC425" s="1507" t="e">
        <f>#REF!</f>
        <v>#REF!</v>
      </c>
      <c r="AD425" s="1507"/>
      <c r="AE425" s="1507"/>
      <c r="AF425" s="1507"/>
      <c r="AG425" s="1507"/>
      <c r="AH425" s="1507"/>
      <c r="AI425" s="1507"/>
      <c r="AJ425" s="1507"/>
      <c r="AK425" s="1507" t="e">
        <f>#REF!</f>
        <v>#REF!</v>
      </c>
      <c r="AL425" s="1507"/>
      <c r="AM425" s="1507"/>
      <c r="AN425" s="1507"/>
      <c r="AO425" s="1507"/>
      <c r="AP425" s="1507"/>
      <c r="AQ425" s="1507"/>
      <c r="AR425" s="1507"/>
      <c r="AS425" s="1507" t="e">
        <f>#REF!</f>
        <v>#REF!</v>
      </c>
      <c r="AT425" s="1507"/>
      <c r="AU425" s="1507"/>
      <c r="AV425" s="1507"/>
      <c r="AW425" s="1507"/>
      <c r="AX425" s="1507"/>
      <c r="AY425" s="1507"/>
      <c r="AZ425" s="1507"/>
      <c r="BA425" s="1511">
        <f>BU409</f>
        <v>16.87</v>
      </c>
      <c r="BB425" s="1511"/>
      <c r="BC425" s="1511"/>
      <c r="BD425" s="1511"/>
      <c r="BE425" s="1511"/>
      <c r="BF425" s="1511"/>
      <c r="BG425" s="1511"/>
      <c r="BH425" s="1511"/>
      <c r="BI425" s="1507" t="e">
        <f t="shared" si="39"/>
        <v>#REF!</v>
      </c>
      <c r="BJ425" s="1507"/>
      <c r="BK425" s="1507"/>
      <c r="BL425" s="1507"/>
      <c r="BM425" s="1507"/>
      <c r="BN425" s="1507"/>
      <c r="BO425" s="1507"/>
      <c r="BP425" s="1507"/>
      <c r="BQ425" s="1507" t="e">
        <f t="shared" si="40"/>
        <v>#REF!</v>
      </c>
      <c r="BR425" s="1507"/>
      <c r="BS425" s="1507"/>
      <c r="BT425" s="1507"/>
      <c r="BU425" s="1507"/>
      <c r="BV425" s="1507"/>
      <c r="BW425" s="1507"/>
      <c r="BX425" s="1507"/>
      <c r="BY425" s="1507" t="e">
        <f t="shared" si="41"/>
        <v>#REF!</v>
      </c>
      <c r="BZ425" s="1507"/>
      <c r="CA425" s="1507"/>
      <c r="CB425" s="1507"/>
      <c r="CC425" s="1507"/>
      <c r="CD425" s="1507"/>
      <c r="CE425" s="1507"/>
      <c r="CF425" s="1508"/>
      <c r="CJ425" s="566" t="e">
        <f t="shared" si="43"/>
        <v>#REF!</v>
      </c>
    </row>
    <row r="426" spans="1:88" s="535" customFormat="1" ht="23.1" customHeight="1"/>
    <row r="427" spans="1:88" s="534" customFormat="1" ht="28.35" customHeight="1">
      <c r="A427" s="1579" t="s">
        <v>512</v>
      </c>
      <c r="B427" s="1579"/>
      <c r="C427" s="1579"/>
      <c r="D427" s="1579"/>
      <c r="E427" s="1579"/>
      <c r="F427" s="1579"/>
      <c r="G427" s="1579"/>
      <c r="H427" s="1579"/>
      <c r="I427" s="1579"/>
      <c r="J427" s="1579"/>
      <c r="K427" s="1579"/>
      <c r="L427" s="1579"/>
      <c r="M427" s="1579"/>
      <c r="N427" s="1579"/>
      <c r="O427" s="1579"/>
      <c r="P427" s="1579"/>
      <c r="Q427" s="1579"/>
      <c r="R427" s="1579"/>
      <c r="S427" s="1579"/>
      <c r="T427" s="1579"/>
      <c r="U427" s="1579"/>
      <c r="V427" s="1579"/>
      <c r="W427" s="1579"/>
      <c r="X427" s="1579"/>
      <c r="Y427" s="1579"/>
      <c r="Z427" s="1579"/>
      <c r="AA427" s="1579"/>
      <c r="AB427" s="1579"/>
      <c r="AC427" s="1579"/>
      <c r="AD427" s="1579"/>
      <c r="AE427" s="1579"/>
      <c r="AF427" s="1579"/>
      <c r="AG427" s="1579"/>
      <c r="AH427" s="1579"/>
      <c r="AI427" s="1579"/>
      <c r="AJ427" s="1579"/>
      <c r="AK427" s="1579"/>
      <c r="AL427" s="1579"/>
      <c r="AM427" s="1579"/>
      <c r="AN427" s="1579"/>
      <c r="AO427" s="1579"/>
      <c r="AP427" s="1579"/>
      <c r="AQ427" s="1579"/>
      <c r="AR427" s="1579"/>
      <c r="AS427" s="1579"/>
      <c r="AT427" s="1579"/>
      <c r="AU427" s="1579"/>
      <c r="AV427" s="1579"/>
      <c r="AW427" s="1579"/>
      <c r="AX427" s="1579"/>
      <c r="AY427" s="1579"/>
      <c r="AZ427" s="1579"/>
      <c r="BA427" s="1579"/>
      <c r="BB427" s="1579"/>
      <c r="BC427" s="1579"/>
      <c r="BD427" s="1579"/>
      <c r="BE427" s="1579"/>
      <c r="BF427" s="1579"/>
      <c r="BG427" s="1579"/>
      <c r="BH427" s="1579"/>
      <c r="BI427" s="1579"/>
      <c r="BJ427" s="1579"/>
      <c r="BK427" s="1579"/>
      <c r="BL427" s="1579"/>
      <c r="BM427" s="1579"/>
      <c r="BN427" s="1579"/>
      <c r="BO427" s="1579"/>
      <c r="BP427" s="1579"/>
      <c r="BQ427" s="1579"/>
      <c r="BR427" s="1579"/>
      <c r="BS427" s="1579"/>
      <c r="BT427" s="1579"/>
      <c r="BU427" s="1579"/>
      <c r="BV427" s="1579"/>
      <c r="BW427" s="1579"/>
      <c r="BX427" s="1579"/>
      <c r="BY427" s="1579"/>
      <c r="BZ427" s="1579"/>
      <c r="CA427" s="1579"/>
      <c r="CB427" s="1579"/>
      <c r="CC427" s="1579"/>
      <c r="CD427" s="1579"/>
      <c r="CE427" s="1579"/>
      <c r="CF427" s="1579"/>
      <c r="CJ427" s="535" t="s">
        <v>721</v>
      </c>
    </row>
    <row r="428" spans="1:88" s="534" customFormat="1" ht="9.9499999999999993" customHeight="1">
      <c r="A428" s="536"/>
      <c r="B428" s="536"/>
      <c r="C428" s="536"/>
      <c r="D428" s="536"/>
      <c r="E428" s="536"/>
      <c r="F428" s="536"/>
      <c r="G428" s="536"/>
      <c r="H428" s="536"/>
      <c r="I428" s="536"/>
      <c r="J428" s="536"/>
      <c r="K428" s="536"/>
      <c r="L428" s="536"/>
      <c r="M428" s="536"/>
      <c r="N428" s="536"/>
      <c r="O428" s="536"/>
      <c r="P428" s="536"/>
      <c r="Q428" s="536"/>
      <c r="R428" s="536"/>
      <c r="S428" s="536"/>
      <c r="T428" s="536"/>
      <c r="U428" s="536"/>
      <c r="V428" s="536"/>
      <c r="W428" s="536"/>
      <c r="X428" s="536"/>
      <c r="Y428" s="536"/>
      <c r="Z428" s="536"/>
      <c r="AA428" s="536"/>
      <c r="AB428" s="536"/>
      <c r="AC428" s="536"/>
      <c r="AD428" s="536"/>
      <c r="AE428" s="536"/>
      <c r="AF428" s="536"/>
      <c r="AG428" s="536"/>
      <c r="AH428" s="536"/>
      <c r="AI428" s="536"/>
      <c r="AJ428" s="536"/>
      <c r="AK428" s="536"/>
      <c r="AL428" s="536"/>
      <c r="AM428" s="536"/>
      <c r="AN428" s="536"/>
      <c r="AO428" s="536"/>
      <c r="AP428" s="536"/>
      <c r="AQ428" s="536"/>
      <c r="AR428" s="536"/>
      <c r="AS428" s="536"/>
      <c r="AT428" s="536"/>
      <c r="AU428" s="536"/>
      <c r="AV428" s="536"/>
      <c r="AW428" s="536"/>
      <c r="AX428" s="536"/>
      <c r="AY428" s="536"/>
      <c r="AZ428" s="536"/>
      <c r="BA428" s="536"/>
      <c r="BB428" s="536"/>
      <c r="BC428" s="536"/>
      <c r="BD428" s="536"/>
      <c r="BE428" s="536"/>
      <c r="BF428" s="536"/>
      <c r="BG428" s="536"/>
      <c r="BH428" s="536"/>
      <c r="BI428" s="536"/>
      <c r="BJ428" s="536"/>
      <c r="BK428" s="536"/>
      <c r="BL428" s="536"/>
      <c r="BM428" s="536"/>
      <c r="BN428" s="536"/>
      <c r="BO428" s="536"/>
      <c r="BP428" s="536"/>
      <c r="BQ428" s="536"/>
      <c r="BR428" s="536"/>
      <c r="BS428" s="536"/>
      <c r="BT428" s="536"/>
      <c r="BU428" s="536"/>
      <c r="BV428" s="536"/>
      <c r="BW428" s="536"/>
      <c r="BX428" s="536"/>
      <c r="BY428" s="536"/>
      <c r="BZ428" s="536"/>
      <c r="CA428" s="536"/>
      <c r="CB428" s="536"/>
      <c r="CC428" s="536"/>
      <c r="CD428" s="536"/>
      <c r="CE428" s="536"/>
      <c r="CF428" s="536"/>
      <c r="CJ428" s="535" t="s">
        <v>720</v>
      </c>
    </row>
    <row r="429" spans="1:88" s="535" customFormat="1" ht="21.95" customHeight="1">
      <c r="E429" s="535" t="s">
        <v>376</v>
      </c>
      <c r="CJ429" s="535" t="s">
        <v>723</v>
      </c>
    </row>
    <row r="430" spans="1:88" s="535" customFormat="1" ht="21.95" customHeight="1">
      <c r="A430" s="540"/>
      <c r="B430" s="540"/>
      <c r="C430" s="540"/>
      <c r="D430" s="540"/>
      <c r="G430" s="1580" t="s">
        <v>377</v>
      </c>
      <c r="H430" s="1580"/>
      <c r="I430" s="1580"/>
      <c r="J430" s="1580"/>
      <c r="L430" s="543" t="s">
        <v>378</v>
      </c>
      <c r="M430" s="543"/>
      <c r="N430" s="543"/>
      <c r="O430" s="543"/>
      <c r="P430" s="543"/>
      <c r="Q430" s="543"/>
      <c r="R430" s="543"/>
      <c r="S430" s="543"/>
      <c r="T430" s="543"/>
      <c r="U430" s="543"/>
      <c r="V430" s="543"/>
      <c r="W430" s="543"/>
      <c r="X430" s="543"/>
      <c r="Y430" s="543"/>
      <c r="Z430" s="543"/>
      <c r="AA430" s="543"/>
      <c r="AB430" s="543"/>
      <c r="AC430" s="543"/>
      <c r="AD430" s="543"/>
      <c r="AE430" s="543"/>
      <c r="AM430" s="535" t="s">
        <v>379</v>
      </c>
      <c r="AV430" s="544"/>
      <c r="AW430" s="544"/>
      <c r="AX430" s="544"/>
      <c r="AY430" s="544"/>
      <c r="AZ430" s="544"/>
      <c r="BA430" s="544"/>
      <c r="BC430" s="544"/>
      <c r="BD430" s="544"/>
      <c r="BE430" s="545"/>
      <c r="BF430" s="545"/>
      <c r="BG430" s="545"/>
      <c r="BH430" s="545"/>
      <c r="BI430" s="535" t="s">
        <v>380</v>
      </c>
      <c r="BJ430" s="545"/>
      <c r="BK430" s="545"/>
      <c r="BL430" s="545"/>
      <c r="BM430" s="545"/>
      <c r="BN430" s="545"/>
      <c r="BO430" s="545"/>
      <c r="BP430" s="545"/>
      <c r="BQ430" s="545"/>
      <c r="BR430" s="545"/>
      <c r="BS430" s="545"/>
      <c r="BT430" s="545"/>
      <c r="BU430" s="545"/>
      <c r="BV430" s="545"/>
      <c r="BW430" s="545"/>
      <c r="BX430" s="545"/>
      <c r="BY430" s="545"/>
      <c r="BZ430" s="545"/>
      <c r="CA430" s="545"/>
      <c r="CB430" s="545"/>
      <c r="CC430" s="545"/>
      <c r="CD430" s="545"/>
      <c r="CE430" s="545"/>
      <c r="CF430" s="545"/>
      <c r="CJ430" s="535" t="s">
        <v>718</v>
      </c>
    </row>
    <row r="431" spans="1:88" s="535" customFormat="1" ht="21.95" customHeight="1">
      <c r="D431" s="405"/>
      <c r="G431" s="1580"/>
      <c r="H431" s="1580"/>
      <c r="I431" s="1580"/>
      <c r="J431" s="1580"/>
      <c r="L431" s="1557" t="s">
        <v>381</v>
      </c>
      <c r="M431" s="1557"/>
      <c r="N431" s="1557"/>
      <c r="O431" s="1557"/>
      <c r="P431" s="1557"/>
      <c r="Q431" s="1557"/>
      <c r="R431" s="1557"/>
      <c r="S431" s="1557"/>
      <c r="T431" s="1557"/>
      <c r="U431" s="1557"/>
      <c r="V431" s="1557"/>
      <c r="W431" s="1557"/>
      <c r="X431" s="1557"/>
      <c r="Y431" s="1557"/>
      <c r="Z431" s="1557"/>
      <c r="AA431" s="1557"/>
      <c r="AB431" s="1557"/>
      <c r="AC431" s="1557"/>
      <c r="AD431" s="1557"/>
      <c r="AE431" s="1557"/>
      <c r="AM431" s="544" t="s">
        <v>382</v>
      </c>
      <c r="AV431" s="544"/>
      <c r="AW431" s="544"/>
      <c r="AX431" s="544"/>
      <c r="AY431" s="544"/>
      <c r="AZ431" s="544"/>
      <c r="BA431" s="544"/>
      <c r="BC431" s="544"/>
      <c r="BD431" s="544"/>
      <c r="BE431" s="545"/>
      <c r="BF431" s="545"/>
      <c r="BG431" s="545"/>
      <c r="BH431" s="545"/>
      <c r="BI431" s="545"/>
      <c r="BJ431" s="545"/>
      <c r="BK431" s="545"/>
      <c r="BL431" s="545"/>
      <c r="BM431" s="545"/>
      <c r="BN431" s="545"/>
      <c r="BO431" s="545"/>
      <c r="BP431" s="545"/>
      <c r="BQ431" s="545"/>
      <c r="BR431" s="545"/>
      <c r="BS431" s="545"/>
      <c r="BT431" s="545"/>
      <c r="BU431" s="545"/>
      <c r="BV431" s="545"/>
      <c r="BW431" s="545"/>
      <c r="BX431" s="545"/>
      <c r="BY431" s="545"/>
      <c r="BZ431" s="545"/>
      <c r="CA431" s="545"/>
      <c r="CB431" s="545"/>
      <c r="CC431" s="545"/>
      <c r="CD431" s="545"/>
      <c r="CE431" s="545"/>
      <c r="CF431" s="545"/>
      <c r="CJ431" s="535" t="s">
        <v>717</v>
      </c>
    </row>
    <row r="432" spans="1:88" s="535" customFormat="1" ht="21.95" customHeight="1">
      <c r="G432" s="540"/>
      <c r="AM432" s="544" t="s">
        <v>383</v>
      </c>
      <c r="BI432" s="535" t="s">
        <v>384</v>
      </c>
      <c r="BT432" s="410"/>
      <c r="BU432" s="410"/>
      <c r="BV432" s="410"/>
      <c r="BW432" s="410"/>
      <c r="BX432" s="410"/>
      <c r="BY432" s="410"/>
      <c r="BZ432" s="410"/>
      <c r="CA432" s="410"/>
      <c r="CB432" s="410"/>
      <c r="CC432" s="410"/>
      <c r="CJ432" s="535" t="s">
        <v>716</v>
      </c>
    </row>
    <row r="433" spans="1:88" s="535" customFormat="1" ht="9.9499999999999993" customHeight="1" thickBot="1">
      <c r="D433" s="405"/>
      <c r="Q433" s="546"/>
      <c r="R433" s="546"/>
      <c r="S433" s="546"/>
      <c r="T433" s="546"/>
      <c r="U433" s="546"/>
      <c r="V433" s="546"/>
      <c r="W433" s="546"/>
      <c r="X433" s="546"/>
      <c r="Y433" s="546"/>
      <c r="Z433" s="546"/>
      <c r="AA433" s="546"/>
      <c r="AB433" s="546"/>
      <c r="AV433" s="544"/>
      <c r="AW433" s="544"/>
      <c r="AX433" s="544"/>
      <c r="AY433" s="544"/>
      <c r="AZ433" s="544"/>
      <c r="BA433" s="544"/>
      <c r="BB433" s="544"/>
      <c r="BC433" s="544"/>
      <c r="BD433" s="544"/>
      <c r="BE433" s="545"/>
      <c r="BF433" s="545"/>
      <c r="BG433" s="545"/>
      <c r="BH433" s="545"/>
      <c r="BI433" s="545"/>
      <c r="BJ433" s="545"/>
      <c r="BK433" s="545"/>
      <c r="BL433" s="545"/>
      <c r="BM433" s="545"/>
      <c r="BN433" s="545"/>
      <c r="BO433" s="545"/>
      <c r="BP433" s="545"/>
      <c r="BQ433" s="545"/>
      <c r="BR433" s="545"/>
      <c r="BS433" s="545"/>
      <c r="BT433" s="545"/>
      <c r="BU433" s="545"/>
      <c r="BV433" s="545"/>
      <c r="BW433" s="545"/>
      <c r="BX433" s="545"/>
      <c r="BY433" s="545"/>
      <c r="BZ433" s="545"/>
      <c r="CA433" s="545"/>
      <c r="CB433" s="545"/>
      <c r="CC433" s="545"/>
      <c r="CD433" s="545"/>
      <c r="CE433" s="545"/>
      <c r="CF433" s="545"/>
    </row>
    <row r="434" spans="1:88" s="535" customFormat="1" ht="21.95" customHeight="1" thickBot="1">
      <c r="A434" s="540"/>
      <c r="B434" s="540"/>
      <c r="C434" s="540"/>
      <c r="D434" s="540"/>
      <c r="E434" s="1581" t="s">
        <v>385</v>
      </c>
      <c r="F434" s="1582"/>
      <c r="G434" s="1582"/>
      <c r="H434" s="1582"/>
      <c r="I434" s="1582"/>
      <c r="J434" s="1582"/>
      <c r="K434" s="1582"/>
      <c r="L434" s="1582"/>
      <c r="M434" s="1582"/>
      <c r="N434" s="1582"/>
      <c r="O434" s="1582"/>
      <c r="P434" s="1582"/>
      <c r="Q434" s="1582" t="s">
        <v>212</v>
      </c>
      <c r="R434" s="1582"/>
      <c r="S434" s="1582"/>
      <c r="T434" s="1582"/>
      <c r="U434" s="1582"/>
      <c r="V434" s="1582"/>
      <c r="W434" s="1582"/>
      <c r="X434" s="1582"/>
      <c r="Y434" s="1582"/>
      <c r="Z434" s="1582"/>
      <c r="AA434" s="1582"/>
      <c r="AB434" s="1582"/>
      <c r="AC434" s="1582" t="s">
        <v>386</v>
      </c>
      <c r="AD434" s="1582"/>
      <c r="AE434" s="1582"/>
      <c r="AF434" s="1582"/>
      <c r="AG434" s="1582"/>
      <c r="AH434" s="1582"/>
      <c r="AI434" s="1582"/>
      <c r="AJ434" s="1582"/>
      <c r="AK434" s="1582" t="s">
        <v>387</v>
      </c>
      <c r="AL434" s="1582"/>
      <c r="AM434" s="1582"/>
      <c r="AN434" s="1582"/>
      <c r="AO434" s="1582"/>
      <c r="AP434" s="1582"/>
      <c r="AQ434" s="1582"/>
      <c r="AR434" s="1582"/>
      <c r="AS434" s="1582" t="s">
        <v>388</v>
      </c>
      <c r="AT434" s="1582"/>
      <c r="AU434" s="1582"/>
      <c r="AV434" s="1582"/>
      <c r="AW434" s="1582"/>
      <c r="AX434" s="1582"/>
      <c r="AY434" s="1582"/>
      <c r="AZ434" s="1582"/>
      <c r="BA434" s="1582" t="s">
        <v>389</v>
      </c>
      <c r="BB434" s="1582"/>
      <c r="BC434" s="1582"/>
      <c r="BD434" s="1582"/>
      <c r="BE434" s="1582"/>
      <c r="BF434" s="1582"/>
      <c r="BG434" s="1582"/>
      <c r="BH434" s="1582"/>
      <c r="BI434" s="1582" t="s">
        <v>381</v>
      </c>
      <c r="BJ434" s="1582"/>
      <c r="BK434" s="1582"/>
      <c r="BL434" s="1582"/>
      <c r="BM434" s="1582"/>
      <c r="BN434" s="1582"/>
      <c r="BO434" s="1582"/>
      <c r="BP434" s="1582"/>
      <c r="BQ434" s="1582"/>
      <c r="BR434" s="1582"/>
      <c r="BS434" s="1582"/>
      <c r="BT434" s="1582"/>
      <c r="BU434" s="1570" t="s">
        <v>390</v>
      </c>
      <c r="BV434" s="1570"/>
      <c r="BW434" s="1570"/>
      <c r="BX434" s="1570"/>
      <c r="BY434" s="1570"/>
      <c r="BZ434" s="1570"/>
      <c r="CA434" s="1570"/>
      <c r="CB434" s="1570"/>
      <c r="CC434" s="1570"/>
      <c r="CD434" s="1570"/>
      <c r="CE434" s="1570"/>
      <c r="CF434" s="1571"/>
    </row>
    <row r="435" spans="1:88" s="535" customFormat="1" ht="21.95" customHeight="1" thickTop="1">
      <c r="D435" s="405"/>
      <c r="E435" s="1572" t="s">
        <v>391</v>
      </c>
      <c r="F435" s="1573"/>
      <c r="G435" s="1573"/>
      <c r="H435" s="1573"/>
      <c r="I435" s="1573"/>
      <c r="J435" s="1573"/>
      <c r="K435" s="1573"/>
      <c r="L435" s="1573"/>
      <c r="M435" s="1573"/>
      <c r="N435" s="1573"/>
      <c r="O435" s="1573"/>
      <c r="P435" s="1573"/>
      <c r="Q435" s="1574" t="s">
        <v>392</v>
      </c>
      <c r="R435" s="1574"/>
      <c r="S435" s="1574"/>
      <c r="T435" s="1574"/>
      <c r="U435" s="1574"/>
      <c r="V435" s="1574"/>
      <c r="W435" s="1574"/>
      <c r="X435" s="1574"/>
      <c r="Y435" s="1574"/>
      <c r="Z435" s="1574"/>
      <c r="AA435" s="1574"/>
      <c r="AB435" s="1574"/>
      <c r="AC435" s="1575">
        <v>0.12</v>
      </c>
      <c r="AD435" s="1575"/>
      <c r="AE435" s="1575"/>
      <c r="AF435" s="1575"/>
      <c r="AG435" s="1575"/>
      <c r="AH435" s="1575"/>
      <c r="AI435" s="1575"/>
      <c r="AJ435" s="1575"/>
      <c r="AK435" s="1573">
        <v>1.2</v>
      </c>
      <c r="AL435" s="1573"/>
      <c r="AM435" s="1573"/>
      <c r="AN435" s="1573"/>
      <c r="AO435" s="1573"/>
      <c r="AP435" s="1573"/>
      <c r="AQ435" s="1573"/>
      <c r="AR435" s="1573"/>
      <c r="AS435" s="1573">
        <v>0.8</v>
      </c>
      <c r="AT435" s="1573"/>
      <c r="AU435" s="1573"/>
      <c r="AV435" s="1573"/>
      <c r="AW435" s="1573"/>
      <c r="AX435" s="1573"/>
      <c r="AY435" s="1573"/>
      <c r="AZ435" s="1573"/>
      <c r="BA435" s="1573">
        <v>0.8</v>
      </c>
      <c r="BB435" s="1573"/>
      <c r="BC435" s="1573"/>
      <c r="BD435" s="1573"/>
      <c r="BE435" s="1573"/>
      <c r="BF435" s="1573"/>
      <c r="BG435" s="1573"/>
      <c r="BH435" s="1573"/>
      <c r="BI435" s="1564" t="s">
        <v>398</v>
      </c>
      <c r="BJ435" s="1552"/>
      <c r="BK435" s="1552"/>
      <c r="BL435" s="1552"/>
      <c r="BM435" s="1552"/>
      <c r="BN435" s="1552"/>
      <c r="BO435" s="1576">
        <v>15</v>
      </c>
      <c r="BP435" s="1577"/>
      <c r="BQ435" s="1577"/>
      <c r="BR435" s="1577"/>
      <c r="BS435" s="1577"/>
      <c r="BT435" s="1578"/>
      <c r="BU435" s="1554">
        <f t="shared" ref="BU435:BU442" si="44">ROUND(3600*AC435*AK435*AS435*BA435/BO435,2)</f>
        <v>22.12</v>
      </c>
      <c r="BV435" s="1554"/>
      <c r="BW435" s="1554"/>
      <c r="BX435" s="1554"/>
      <c r="BY435" s="1554"/>
      <c r="BZ435" s="1554"/>
      <c r="CA435" s="1554"/>
      <c r="CB435" s="1554"/>
      <c r="CC435" s="1554"/>
      <c r="CD435" s="1554"/>
      <c r="CE435" s="1554"/>
      <c r="CF435" s="1555"/>
      <c r="CJ435" s="535" t="s">
        <v>722</v>
      </c>
    </row>
    <row r="436" spans="1:88" s="535" customFormat="1" ht="21.95" customHeight="1">
      <c r="D436" s="405"/>
      <c r="E436" s="1565" t="s">
        <v>391</v>
      </c>
      <c r="F436" s="1566"/>
      <c r="G436" s="1566"/>
      <c r="H436" s="1566"/>
      <c r="I436" s="1566"/>
      <c r="J436" s="1566"/>
      <c r="K436" s="1566"/>
      <c r="L436" s="1566"/>
      <c r="M436" s="1566"/>
      <c r="N436" s="1566"/>
      <c r="O436" s="1566"/>
      <c r="P436" s="1566"/>
      <c r="Q436" s="1567" t="s">
        <v>394</v>
      </c>
      <c r="R436" s="1567"/>
      <c r="S436" s="1567"/>
      <c r="T436" s="1567"/>
      <c r="U436" s="1567"/>
      <c r="V436" s="1567"/>
      <c r="W436" s="1567"/>
      <c r="X436" s="1567"/>
      <c r="Y436" s="1567"/>
      <c r="Z436" s="1567"/>
      <c r="AA436" s="1567"/>
      <c r="AB436" s="1567"/>
      <c r="AC436" s="1569">
        <v>0.18</v>
      </c>
      <c r="AD436" s="1569"/>
      <c r="AE436" s="1569"/>
      <c r="AF436" s="1569"/>
      <c r="AG436" s="1569"/>
      <c r="AH436" s="1569"/>
      <c r="AI436" s="1569"/>
      <c r="AJ436" s="1569"/>
      <c r="AK436" s="1566">
        <v>1.2</v>
      </c>
      <c r="AL436" s="1566"/>
      <c r="AM436" s="1566"/>
      <c r="AN436" s="1566"/>
      <c r="AO436" s="1566"/>
      <c r="AP436" s="1566"/>
      <c r="AQ436" s="1566"/>
      <c r="AR436" s="1566"/>
      <c r="AS436" s="1566">
        <v>0.8</v>
      </c>
      <c r="AT436" s="1566"/>
      <c r="AU436" s="1566"/>
      <c r="AV436" s="1566"/>
      <c r="AW436" s="1566"/>
      <c r="AX436" s="1566"/>
      <c r="AY436" s="1566"/>
      <c r="AZ436" s="1566"/>
      <c r="BA436" s="1566">
        <v>0.8</v>
      </c>
      <c r="BB436" s="1566"/>
      <c r="BC436" s="1566"/>
      <c r="BD436" s="1566"/>
      <c r="BE436" s="1566"/>
      <c r="BF436" s="1566"/>
      <c r="BG436" s="1566"/>
      <c r="BH436" s="1566"/>
      <c r="BI436" s="1564" t="s">
        <v>398</v>
      </c>
      <c r="BJ436" s="1552"/>
      <c r="BK436" s="1552"/>
      <c r="BL436" s="1552"/>
      <c r="BM436" s="1552"/>
      <c r="BN436" s="1552"/>
      <c r="BO436" s="1551">
        <v>15</v>
      </c>
      <c r="BP436" s="1552"/>
      <c r="BQ436" s="1552"/>
      <c r="BR436" s="1552"/>
      <c r="BS436" s="1552"/>
      <c r="BT436" s="1553"/>
      <c r="BU436" s="1554">
        <f t="shared" si="44"/>
        <v>33.18</v>
      </c>
      <c r="BV436" s="1554"/>
      <c r="BW436" s="1554"/>
      <c r="BX436" s="1554"/>
      <c r="BY436" s="1554"/>
      <c r="BZ436" s="1554"/>
      <c r="CA436" s="1554"/>
      <c r="CB436" s="1554"/>
      <c r="CC436" s="1554"/>
      <c r="CD436" s="1554"/>
      <c r="CE436" s="1554"/>
      <c r="CF436" s="1555"/>
    </row>
    <row r="437" spans="1:88" s="535" customFormat="1" ht="21.95" customHeight="1">
      <c r="A437" s="540"/>
      <c r="B437" s="540"/>
      <c r="C437" s="540"/>
      <c r="D437" s="540"/>
      <c r="E437" s="1565" t="s">
        <v>391</v>
      </c>
      <c r="F437" s="1566"/>
      <c r="G437" s="1566"/>
      <c r="H437" s="1566"/>
      <c r="I437" s="1566"/>
      <c r="J437" s="1566"/>
      <c r="K437" s="1566"/>
      <c r="L437" s="1566"/>
      <c r="M437" s="1566"/>
      <c r="N437" s="1566"/>
      <c r="O437" s="1566"/>
      <c r="P437" s="1566"/>
      <c r="Q437" s="1567" t="s">
        <v>395</v>
      </c>
      <c r="R437" s="1567"/>
      <c r="S437" s="1567"/>
      <c r="T437" s="1567"/>
      <c r="U437" s="1567"/>
      <c r="V437" s="1567"/>
      <c r="W437" s="1567"/>
      <c r="X437" s="1567"/>
      <c r="Y437" s="1567"/>
      <c r="Z437" s="1567"/>
      <c r="AA437" s="1567"/>
      <c r="AB437" s="1567"/>
      <c r="AC437" s="1568">
        <v>0.2</v>
      </c>
      <c r="AD437" s="1568"/>
      <c r="AE437" s="1568"/>
      <c r="AF437" s="1568"/>
      <c r="AG437" s="1568"/>
      <c r="AH437" s="1568"/>
      <c r="AI437" s="1568"/>
      <c r="AJ437" s="1568"/>
      <c r="AK437" s="1566">
        <v>1.2</v>
      </c>
      <c r="AL437" s="1566"/>
      <c r="AM437" s="1566"/>
      <c r="AN437" s="1566"/>
      <c r="AO437" s="1566"/>
      <c r="AP437" s="1566"/>
      <c r="AQ437" s="1566"/>
      <c r="AR437" s="1566"/>
      <c r="AS437" s="1566">
        <v>0.8</v>
      </c>
      <c r="AT437" s="1566"/>
      <c r="AU437" s="1566"/>
      <c r="AV437" s="1566"/>
      <c r="AW437" s="1566"/>
      <c r="AX437" s="1566"/>
      <c r="AY437" s="1566"/>
      <c r="AZ437" s="1566"/>
      <c r="BA437" s="1566">
        <v>0.8</v>
      </c>
      <c r="BB437" s="1566"/>
      <c r="BC437" s="1566"/>
      <c r="BD437" s="1566"/>
      <c r="BE437" s="1566"/>
      <c r="BF437" s="1566"/>
      <c r="BG437" s="1566"/>
      <c r="BH437" s="1566"/>
      <c r="BI437" s="1564" t="s">
        <v>398</v>
      </c>
      <c r="BJ437" s="1552"/>
      <c r="BK437" s="1552"/>
      <c r="BL437" s="1552"/>
      <c r="BM437" s="1552"/>
      <c r="BN437" s="1552"/>
      <c r="BO437" s="1551">
        <v>15</v>
      </c>
      <c r="BP437" s="1552"/>
      <c r="BQ437" s="1552"/>
      <c r="BR437" s="1552"/>
      <c r="BS437" s="1552"/>
      <c r="BT437" s="1553"/>
      <c r="BU437" s="1554">
        <f t="shared" si="44"/>
        <v>36.86</v>
      </c>
      <c r="BV437" s="1554"/>
      <c r="BW437" s="1554"/>
      <c r="BX437" s="1554"/>
      <c r="BY437" s="1554"/>
      <c r="BZ437" s="1554"/>
      <c r="CA437" s="1554"/>
      <c r="CB437" s="1554"/>
      <c r="CC437" s="1554"/>
      <c r="CD437" s="1554"/>
      <c r="CE437" s="1554"/>
      <c r="CF437" s="1555"/>
    </row>
    <row r="438" spans="1:88" s="535" customFormat="1" ht="21.95" customHeight="1">
      <c r="E438" s="1565" t="s">
        <v>391</v>
      </c>
      <c r="F438" s="1566"/>
      <c r="G438" s="1566"/>
      <c r="H438" s="1566"/>
      <c r="I438" s="1566"/>
      <c r="J438" s="1566"/>
      <c r="K438" s="1566"/>
      <c r="L438" s="1566"/>
      <c r="M438" s="1566"/>
      <c r="N438" s="1566"/>
      <c r="O438" s="1566"/>
      <c r="P438" s="1566"/>
      <c r="Q438" s="1567" t="s">
        <v>359</v>
      </c>
      <c r="R438" s="1567"/>
      <c r="S438" s="1567"/>
      <c r="T438" s="1567"/>
      <c r="U438" s="1567"/>
      <c r="V438" s="1567"/>
      <c r="W438" s="1567"/>
      <c r="X438" s="1567"/>
      <c r="Y438" s="1567"/>
      <c r="Z438" s="1567"/>
      <c r="AA438" s="1567"/>
      <c r="AB438" s="1567"/>
      <c r="AC438" s="1568">
        <v>0.4</v>
      </c>
      <c r="AD438" s="1568"/>
      <c r="AE438" s="1568"/>
      <c r="AF438" s="1568"/>
      <c r="AG438" s="1568"/>
      <c r="AH438" s="1568"/>
      <c r="AI438" s="1568"/>
      <c r="AJ438" s="1568"/>
      <c r="AK438" s="1566">
        <v>1.2</v>
      </c>
      <c r="AL438" s="1566"/>
      <c r="AM438" s="1566"/>
      <c r="AN438" s="1566"/>
      <c r="AO438" s="1566"/>
      <c r="AP438" s="1566"/>
      <c r="AQ438" s="1566"/>
      <c r="AR438" s="1566"/>
      <c r="AS438" s="1566">
        <v>0.8</v>
      </c>
      <c r="AT438" s="1566"/>
      <c r="AU438" s="1566"/>
      <c r="AV438" s="1566"/>
      <c r="AW438" s="1566"/>
      <c r="AX438" s="1566"/>
      <c r="AY438" s="1566"/>
      <c r="AZ438" s="1566"/>
      <c r="BA438" s="1566">
        <v>0.8</v>
      </c>
      <c r="BB438" s="1566"/>
      <c r="BC438" s="1566"/>
      <c r="BD438" s="1566"/>
      <c r="BE438" s="1566"/>
      <c r="BF438" s="1566"/>
      <c r="BG438" s="1566"/>
      <c r="BH438" s="1566"/>
      <c r="BI438" s="1564" t="s">
        <v>398</v>
      </c>
      <c r="BJ438" s="1552"/>
      <c r="BK438" s="1552"/>
      <c r="BL438" s="1552"/>
      <c r="BM438" s="1552"/>
      <c r="BN438" s="1552"/>
      <c r="BO438" s="1551">
        <v>15</v>
      </c>
      <c r="BP438" s="1552"/>
      <c r="BQ438" s="1552"/>
      <c r="BR438" s="1552"/>
      <c r="BS438" s="1552"/>
      <c r="BT438" s="1553"/>
      <c r="BU438" s="1554">
        <f t="shared" si="44"/>
        <v>73.73</v>
      </c>
      <c r="BV438" s="1554"/>
      <c r="BW438" s="1554"/>
      <c r="BX438" s="1554"/>
      <c r="BY438" s="1554"/>
      <c r="BZ438" s="1554"/>
      <c r="CA438" s="1554"/>
      <c r="CB438" s="1554"/>
      <c r="CC438" s="1554"/>
      <c r="CD438" s="1554"/>
      <c r="CE438" s="1554"/>
      <c r="CF438" s="1555"/>
    </row>
    <row r="439" spans="1:88" s="535" customFormat="1" ht="21.95" customHeight="1">
      <c r="A439" s="540"/>
      <c r="B439" s="540"/>
      <c r="C439" s="540"/>
      <c r="D439" s="540"/>
      <c r="E439" s="1565" t="s">
        <v>391</v>
      </c>
      <c r="F439" s="1566"/>
      <c r="G439" s="1566"/>
      <c r="H439" s="1566"/>
      <c r="I439" s="1566"/>
      <c r="J439" s="1566"/>
      <c r="K439" s="1566"/>
      <c r="L439" s="1566"/>
      <c r="M439" s="1566"/>
      <c r="N439" s="1566"/>
      <c r="O439" s="1566"/>
      <c r="P439" s="1566"/>
      <c r="Q439" s="1567" t="s">
        <v>397</v>
      </c>
      <c r="R439" s="1567"/>
      <c r="S439" s="1567"/>
      <c r="T439" s="1567"/>
      <c r="U439" s="1567"/>
      <c r="V439" s="1567"/>
      <c r="W439" s="1567"/>
      <c r="X439" s="1567"/>
      <c r="Y439" s="1567"/>
      <c r="Z439" s="1567"/>
      <c r="AA439" s="1567"/>
      <c r="AB439" s="1567"/>
      <c r="AC439" s="1568">
        <v>0.6</v>
      </c>
      <c r="AD439" s="1568"/>
      <c r="AE439" s="1568"/>
      <c r="AF439" s="1568"/>
      <c r="AG439" s="1568"/>
      <c r="AH439" s="1568"/>
      <c r="AI439" s="1568"/>
      <c r="AJ439" s="1568"/>
      <c r="AK439" s="1566">
        <v>1.2</v>
      </c>
      <c r="AL439" s="1566"/>
      <c r="AM439" s="1566"/>
      <c r="AN439" s="1566"/>
      <c r="AO439" s="1566"/>
      <c r="AP439" s="1566"/>
      <c r="AQ439" s="1566"/>
      <c r="AR439" s="1566"/>
      <c r="AS439" s="1566">
        <v>0.8</v>
      </c>
      <c r="AT439" s="1566"/>
      <c r="AU439" s="1566"/>
      <c r="AV439" s="1566"/>
      <c r="AW439" s="1566"/>
      <c r="AX439" s="1566"/>
      <c r="AY439" s="1566"/>
      <c r="AZ439" s="1566"/>
      <c r="BA439" s="1566">
        <v>0.8</v>
      </c>
      <c r="BB439" s="1566"/>
      <c r="BC439" s="1566"/>
      <c r="BD439" s="1566"/>
      <c r="BE439" s="1566"/>
      <c r="BF439" s="1566"/>
      <c r="BG439" s="1566"/>
      <c r="BH439" s="1566"/>
      <c r="BI439" s="1564" t="s">
        <v>398</v>
      </c>
      <c r="BJ439" s="1552"/>
      <c r="BK439" s="1552"/>
      <c r="BL439" s="1552"/>
      <c r="BM439" s="1552"/>
      <c r="BN439" s="1552"/>
      <c r="BO439" s="1551">
        <v>18</v>
      </c>
      <c r="BP439" s="1552"/>
      <c r="BQ439" s="1552"/>
      <c r="BR439" s="1552"/>
      <c r="BS439" s="1552"/>
      <c r="BT439" s="1553"/>
      <c r="BU439" s="1554">
        <f t="shared" si="44"/>
        <v>92.16</v>
      </c>
      <c r="BV439" s="1554"/>
      <c r="BW439" s="1554"/>
      <c r="BX439" s="1554"/>
      <c r="BY439" s="1554"/>
      <c r="BZ439" s="1554"/>
      <c r="CA439" s="1554"/>
      <c r="CB439" s="1554"/>
      <c r="CC439" s="1554"/>
      <c r="CD439" s="1554"/>
      <c r="CE439" s="1554"/>
      <c r="CF439" s="1555"/>
    </row>
    <row r="440" spans="1:88" s="535" customFormat="1" ht="21.95" customHeight="1">
      <c r="E440" s="1565" t="s">
        <v>391</v>
      </c>
      <c r="F440" s="1566"/>
      <c r="G440" s="1566"/>
      <c r="H440" s="1566"/>
      <c r="I440" s="1566"/>
      <c r="J440" s="1566"/>
      <c r="K440" s="1566"/>
      <c r="L440" s="1566"/>
      <c r="M440" s="1566"/>
      <c r="N440" s="1566"/>
      <c r="O440" s="1566"/>
      <c r="P440" s="1566"/>
      <c r="Q440" s="1567" t="s">
        <v>399</v>
      </c>
      <c r="R440" s="1567"/>
      <c r="S440" s="1567"/>
      <c r="T440" s="1567"/>
      <c r="U440" s="1567"/>
      <c r="V440" s="1567"/>
      <c r="W440" s="1567"/>
      <c r="X440" s="1567"/>
      <c r="Y440" s="1567"/>
      <c r="Z440" s="1567"/>
      <c r="AA440" s="1567"/>
      <c r="AB440" s="1567"/>
      <c r="AC440" s="1568">
        <v>0.7</v>
      </c>
      <c r="AD440" s="1568"/>
      <c r="AE440" s="1568"/>
      <c r="AF440" s="1568"/>
      <c r="AG440" s="1568"/>
      <c r="AH440" s="1568"/>
      <c r="AI440" s="1568"/>
      <c r="AJ440" s="1568"/>
      <c r="AK440" s="1566">
        <v>1.2</v>
      </c>
      <c r="AL440" s="1566"/>
      <c r="AM440" s="1566"/>
      <c r="AN440" s="1566"/>
      <c r="AO440" s="1566"/>
      <c r="AP440" s="1566"/>
      <c r="AQ440" s="1566"/>
      <c r="AR440" s="1566"/>
      <c r="AS440" s="1566">
        <v>0.8</v>
      </c>
      <c r="AT440" s="1566"/>
      <c r="AU440" s="1566"/>
      <c r="AV440" s="1566"/>
      <c r="AW440" s="1566"/>
      <c r="AX440" s="1566"/>
      <c r="AY440" s="1566"/>
      <c r="AZ440" s="1566"/>
      <c r="BA440" s="1566">
        <v>0.8</v>
      </c>
      <c r="BB440" s="1566"/>
      <c r="BC440" s="1566"/>
      <c r="BD440" s="1566"/>
      <c r="BE440" s="1566"/>
      <c r="BF440" s="1566"/>
      <c r="BG440" s="1566"/>
      <c r="BH440" s="1566"/>
      <c r="BI440" s="1564" t="s">
        <v>398</v>
      </c>
      <c r="BJ440" s="1552"/>
      <c r="BK440" s="1552"/>
      <c r="BL440" s="1552"/>
      <c r="BM440" s="1552"/>
      <c r="BN440" s="1552"/>
      <c r="BO440" s="1551">
        <v>18</v>
      </c>
      <c r="BP440" s="1552"/>
      <c r="BQ440" s="1552"/>
      <c r="BR440" s="1552"/>
      <c r="BS440" s="1552"/>
      <c r="BT440" s="1553"/>
      <c r="BU440" s="1554">
        <f t="shared" si="44"/>
        <v>107.52</v>
      </c>
      <c r="BV440" s="1554"/>
      <c r="BW440" s="1554"/>
      <c r="BX440" s="1554"/>
      <c r="BY440" s="1554"/>
      <c r="BZ440" s="1554"/>
      <c r="CA440" s="1554"/>
      <c r="CB440" s="1554"/>
      <c r="CC440" s="1554"/>
      <c r="CD440" s="1554"/>
      <c r="CE440" s="1554"/>
      <c r="CF440" s="1555"/>
    </row>
    <row r="441" spans="1:88" s="535" customFormat="1" ht="21.95" customHeight="1">
      <c r="E441" s="1565" t="s">
        <v>391</v>
      </c>
      <c r="F441" s="1566"/>
      <c r="G441" s="1566"/>
      <c r="H441" s="1566"/>
      <c r="I441" s="1566"/>
      <c r="J441" s="1566"/>
      <c r="K441" s="1566"/>
      <c r="L441" s="1566"/>
      <c r="M441" s="1566"/>
      <c r="N441" s="1566"/>
      <c r="O441" s="1566"/>
      <c r="P441" s="1566"/>
      <c r="Q441" s="1567" t="s">
        <v>400</v>
      </c>
      <c r="R441" s="1567"/>
      <c r="S441" s="1567"/>
      <c r="T441" s="1567"/>
      <c r="U441" s="1567"/>
      <c r="V441" s="1567"/>
      <c r="W441" s="1567"/>
      <c r="X441" s="1567"/>
      <c r="Y441" s="1567"/>
      <c r="Z441" s="1567"/>
      <c r="AA441" s="1567"/>
      <c r="AB441" s="1567"/>
      <c r="AC441" s="1568">
        <v>0.8</v>
      </c>
      <c r="AD441" s="1568"/>
      <c r="AE441" s="1568"/>
      <c r="AF441" s="1568"/>
      <c r="AG441" s="1568"/>
      <c r="AH441" s="1568"/>
      <c r="AI441" s="1568"/>
      <c r="AJ441" s="1568"/>
      <c r="AK441" s="1566">
        <v>1.2</v>
      </c>
      <c r="AL441" s="1566"/>
      <c r="AM441" s="1566"/>
      <c r="AN441" s="1566"/>
      <c r="AO441" s="1566"/>
      <c r="AP441" s="1566"/>
      <c r="AQ441" s="1566"/>
      <c r="AR441" s="1566"/>
      <c r="AS441" s="1566">
        <v>0.8</v>
      </c>
      <c r="AT441" s="1566"/>
      <c r="AU441" s="1566"/>
      <c r="AV441" s="1566"/>
      <c r="AW441" s="1566"/>
      <c r="AX441" s="1566"/>
      <c r="AY441" s="1566"/>
      <c r="AZ441" s="1566"/>
      <c r="BA441" s="1566">
        <v>0.8</v>
      </c>
      <c r="BB441" s="1566"/>
      <c r="BC441" s="1566"/>
      <c r="BD441" s="1566"/>
      <c r="BE441" s="1566"/>
      <c r="BF441" s="1566"/>
      <c r="BG441" s="1566"/>
      <c r="BH441" s="1566"/>
      <c r="BI441" s="1564" t="s">
        <v>398</v>
      </c>
      <c r="BJ441" s="1552"/>
      <c r="BK441" s="1552"/>
      <c r="BL441" s="1552"/>
      <c r="BM441" s="1552"/>
      <c r="BN441" s="1552"/>
      <c r="BO441" s="1551">
        <v>18</v>
      </c>
      <c r="BP441" s="1552"/>
      <c r="BQ441" s="1552"/>
      <c r="BR441" s="1552"/>
      <c r="BS441" s="1552"/>
      <c r="BT441" s="1553"/>
      <c r="BU441" s="1554">
        <f t="shared" si="44"/>
        <v>122.88</v>
      </c>
      <c r="BV441" s="1554"/>
      <c r="BW441" s="1554"/>
      <c r="BX441" s="1554"/>
      <c r="BY441" s="1554"/>
      <c r="BZ441" s="1554"/>
      <c r="CA441" s="1554"/>
      <c r="CB441" s="1554"/>
      <c r="CC441" s="1554"/>
      <c r="CD441" s="1554"/>
      <c r="CE441" s="1554"/>
      <c r="CF441" s="1555"/>
    </row>
    <row r="442" spans="1:88" s="535" customFormat="1" ht="21.95" customHeight="1">
      <c r="A442" s="540"/>
      <c r="B442" s="540"/>
      <c r="C442" s="540"/>
      <c r="D442" s="540"/>
      <c r="E442" s="1556" t="s">
        <v>391</v>
      </c>
      <c r="F442" s="1557"/>
      <c r="G442" s="1557"/>
      <c r="H442" s="1557"/>
      <c r="I442" s="1557"/>
      <c r="J442" s="1557"/>
      <c r="K442" s="1557"/>
      <c r="L442" s="1557"/>
      <c r="M442" s="1557"/>
      <c r="N442" s="1557"/>
      <c r="O442" s="1557"/>
      <c r="P442" s="1558"/>
      <c r="Q442" s="1559" t="s">
        <v>401</v>
      </c>
      <c r="R442" s="1559"/>
      <c r="S442" s="1559"/>
      <c r="T442" s="1559"/>
      <c r="U442" s="1559"/>
      <c r="V442" s="1559"/>
      <c r="W442" s="1559"/>
      <c r="X442" s="1559"/>
      <c r="Y442" s="1559"/>
      <c r="Z442" s="1559"/>
      <c r="AA442" s="1559"/>
      <c r="AB442" s="1559"/>
      <c r="AC442" s="1560">
        <v>1</v>
      </c>
      <c r="AD442" s="1560"/>
      <c r="AE442" s="1560"/>
      <c r="AF442" s="1560"/>
      <c r="AG442" s="1560"/>
      <c r="AH442" s="1560"/>
      <c r="AI442" s="1560"/>
      <c r="AJ442" s="1560"/>
      <c r="AK442" s="1566">
        <v>1.2</v>
      </c>
      <c r="AL442" s="1566"/>
      <c r="AM442" s="1566"/>
      <c r="AN442" s="1566"/>
      <c r="AO442" s="1566"/>
      <c r="AP442" s="1566"/>
      <c r="AQ442" s="1566"/>
      <c r="AR442" s="1566"/>
      <c r="AS442" s="1561">
        <v>0.8</v>
      </c>
      <c r="AT442" s="1561"/>
      <c r="AU442" s="1561"/>
      <c r="AV442" s="1561"/>
      <c r="AW442" s="1561"/>
      <c r="AX442" s="1561"/>
      <c r="AY442" s="1561"/>
      <c r="AZ442" s="1561"/>
      <c r="BA442" s="1566">
        <v>0.8</v>
      </c>
      <c r="BB442" s="1566"/>
      <c r="BC442" s="1566"/>
      <c r="BD442" s="1566"/>
      <c r="BE442" s="1566"/>
      <c r="BF442" s="1566"/>
      <c r="BG442" s="1566"/>
      <c r="BH442" s="1566"/>
      <c r="BI442" s="1562" t="s">
        <v>398</v>
      </c>
      <c r="BJ442" s="1557"/>
      <c r="BK442" s="1557"/>
      <c r="BL442" s="1557"/>
      <c r="BM442" s="1557"/>
      <c r="BN442" s="1557"/>
      <c r="BO442" s="1563">
        <v>19</v>
      </c>
      <c r="BP442" s="1557"/>
      <c r="BQ442" s="1557"/>
      <c r="BR442" s="1557"/>
      <c r="BS442" s="1557"/>
      <c r="BT442" s="1558"/>
      <c r="BU442" s="1539">
        <f t="shared" si="44"/>
        <v>145.52000000000001</v>
      </c>
      <c r="BV442" s="1539"/>
      <c r="BW442" s="1539"/>
      <c r="BX442" s="1539"/>
      <c r="BY442" s="1539"/>
      <c r="BZ442" s="1539"/>
      <c r="CA442" s="1539"/>
      <c r="CB442" s="1539"/>
      <c r="CC442" s="1539"/>
      <c r="CD442" s="1539"/>
      <c r="CE442" s="1539"/>
      <c r="CF442" s="1540"/>
    </row>
    <row r="443" spans="1:88" s="535" customFormat="1" ht="21.95" customHeight="1" thickBot="1">
      <c r="A443" s="540"/>
      <c r="B443" s="540"/>
      <c r="C443" s="540"/>
      <c r="D443" s="540"/>
      <c r="E443" s="1541" t="s">
        <v>513</v>
      </c>
      <c r="F443" s="1542"/>
      <c r="G443" s="1542"/>
      <c r="H443" s="1542"/>
      <c r="I443" s="1542"/>
      <c r="J443" s="1542"/>
      <c r="K443" s="1542"/>
      <c r="L443" s="1542"/>
      <c r="M443" s="1542"/>
      <c r="N443" s="1542"/>
      <c r="O443" s="1542"/>
      <c r="P443" s="1543"/>
      <c r="Q443" s="1544" t="s">
        <v>514</v>
      </c>
      <c r="R443" s="1544"/>
      <c r="S443" s="1544"/>
      <c r="T443" s="1544"/>
      <c r="U443" s="1544"/>
      <c r="V443" s="1544"/>
      <c r="W443" s="1544"/>
      <c r="X443" s="1544"/>
      <c r="Y443" s="1544"/>
      <c r="Z443" s="1544"/>
      <c r="AA443" s="1544"/>
      <c r="AB443" s="1544"/>
      <c r="AC443" s="1545">
        <v>1.72</v>
      </c>
      <c r="AD443" s="1545"/>
      <c r="AE443" s="1545"/>
      <c r="AF443" s="1545"/>
      <c r="AG443" s="1545"/>
      <c r="AH443" s="1545"/>
      <c r="AI443" s="1545"/>
      <c r="AJ443" s="1545"/>
      <c r="AK443" s="1583">
        <v>1.2</v>
      </c>
      <c r="AL443" s="1583"/>
      <c r="AM443" s="1583"/>
      <c r="AN443" s="1583"/>
      <c r="AO443" s="1583"/>
      <c r="AP443" s="1583"/>
      <c r="AQ443" s="1583"/>
      <c r="AR443" s="1583"/>
      <c r="AS443" s="1546">
        <v>0.8</v>
      </c>
      <c r="AT443" s="1546"/>
      <c r="AU443" s="1546"/>
      <c r="AV443" s="1546"/>
      <c r="AW443" s="1546"/>
      <c r="AX443" s="1546"/>
      <c r="AY443" s="1546"/>
      <c r="AZ443" s="1546"/>
      <c r="BA443" s="1546">
        <v>0.6</v>
      </c>
      <c r="BB443" s="1546"/>
      <c r="BC443" s="1546"/>
      <c r="BD443" s="1546"/>
      <c r="BE443" s="1546"/>
      <c r="BF443" s="1546"/>
      <c r="BG443" s="1546"/>
      <c r="BH443" s="1546"/>
      <c r="BI443" s="1547"/>
      <c r="BJ443" s="1542"/>
      <c r="BK443" s="1542"/>
      <c r="BL443" s="1542"/>
      <c r="BM443" s="1542"/>
      <c r="BN443" s="1542"/>
      <c r="BO443" s="1548">
        <v>34.4</v>
      </c>
      <c r="BP443" s="1542"/>
      <c r="BQ443" s="1542"/>
      <c r="BR443" s="1542"/>
      <c r="BS443" s="1542"/>
      <c r="BT443" s="1543"/>
      <c r="BU443" s="1549">
        <f>ROUND(3600*AC443*AK443*AS443*BA443/BO443,2)</f>
        <v>103.68</v>
      </c>
      <c r="BV443" s="1549"/>
      <c r="BW443" s="1549"/>
      <c r="BX443" s="1549"/>
      <c r="BY443" s="1549"/>
      <c r="BZ443" s="1549"/>
      <c r="CA443" s="1549"/>
      <c r="CB443" s="1549"/>
      <c r="CC443" s="1549"/>
      <c r="CD443" s="1549"/>
      <c r="CE443" s="1549"/>
      <c r="CF443" s="1550"/>
    </row>
    <row r="444" spans="1:88" s="535" customFormat="1" ht="21.95" customHeight="1">
      <c r="D444" s="542"/>
      <c r="E444" s="547"/>
      <c r="F444" s="547"/>
      <c r="G444" s="560" t="s">
        <v>714</v>
      </c>
      <c r="H444" s="547"/>
      <c r="BM444" s="545"/>
      <c r="BN444" s="545"/>
      <c r="BO444" s="545"/>
      <c r="BP444" s="545"/>
      <c r="BQ444" s="545"/>
      <c r="BR444" s="545"/>
      <c r="BS444" s="545"/>
      <c r="BT444" s="545"/>
      <c r="BU444" s="545"/>
      <c r="BV444" s="545"/>
      <c r="BW444" s="545"/>
      <c r="BX444" s="545"/>
      <c r="BY444" s="545"/>
      <c r="BZ444" s="545"/>
      <c r="CA444" s="545"/>
      <c r="CB444" s="545"/>
      <c r="CC444" s="545"/>
      <c r="CD444" s="545"/>
      <c r="CE444" s="545"/>
      <c r="CF444" s="545"/>
    </row>
    <row r="445" spans="1:88" s="535" customFormat="1" ht="21.95" customHeight="1">
      <c r="D445" s="405"/>
      <c r="BA445" s="535">
        <v>0.65</v>
      </c>
      <c r="BM445" s="545"/>
      <c r="BN445" s="545"/>
      <c r="BO445" s="545"/>
      <c r="BP445" s="545"/>
      <c r="BQ445" s="545"/>
      <c r="BR445" s="545"/>
      <c r="BS445" s="545"/>
      <c r="BT445" s="545"/>
      <c r="BU445" s="545"/>
      <c r="BV445" s="545"/>
      <c r="BW445" s="545"/>
      <c r="BX445" s="545"/>
      <c r="BY445" s="545"/>
      <c r="BZ445" s="545"/>
      <c r="CA445" s="545"/>
      <c r="CB445" s="545"/>
      <c r="CC445" s="545"/>
      <c r="CD445" s="545"/>
      <c r="CE445" s="545"/>
      <c r="CF445" s="545"/>
    </row>
    <row r="446" spans="1:88" s="535" customFormat="1" ht="21.95" customHeight="1">
      <c r="E446" s="535" t="s">
        <v>402</v>
      </c>
    </row>
    <row r="447" spans="1:88" s="535" customFormat="1" ht="9.9499999999999993" customHeight="1" thickBot="1"/>
    <row r="448" spans="1:88" s="535" customFormat="1" ht="21.95" customHeight="1">
      <c r="E448" s="1534" t="s">
        <v>385</v>
      </c>
      <c r="F448" s="1535"/>
      <c r="G448" s="1535"/>
      <c r="H448" s="1535"/>
      <c r="I448" s="1535"/>
      <c r="J448" s="1535"/>
      <c r="K448" s="1535"/>
      <c r="L448" s="1535"/>
      <c r="M448" s="1535"/>
      <c r="N448" s="1535"/>
      <c r="O448" s="1535"/>
      <c r="P448" s="1535"/>
      <c r="Q448" s="1535"/>
      <c r="R448" s="1535"/>
      <c r="S448" s="1535"/>
      <c r="T448" s="1535"/>
      <c r="U448" s="1535" t="s">
        <v>212</v>
      </c>
      <c r="V448" s="1535"/>
      <c r="W448" s="1535"/>
      <c r="X448" s="1535"/>
      <c r="Y448" s="1535"/>
      <c r="Z448" s="1535"/>
      <c r="AA448" s="1535"/>
      <c r="AB448" s="1535"/>
      <c r="AC448" s="1535" t="s">
        <v>403</v>
      </c>
      <c r="AD448" s="1535"/>
      <c r="AE448" s="1535"/>
      <c r="AF448" s="1535"/>
      <c r="AG448" s="1535"/>
      <c r="AH448" s="1535"/>
      <c r="AI448" s="1535"/>
      <c r="AJ448" s="1535"/>
      <c r="AK448" s="1535"/>
      <c r="AL448" s="1535"/>
      <c r="AM448" s="1535"/>
      <c r="AN448" s="1535"/>
      <c r="AO448" s="1535"/>
      <c r="AP448" s="1535"/>
      <c r="AQ448" s="1535"/>
      <c r="AR448" s="1535"/>
      <c r="AS448" s="1535"/>
      <c r="AT448" s="1535"/>
      <c r="AU448" s="1535"/>
      <c r="AV448" s="1535"/>
      <c r="AW448" s="1535"/>
      <c r="AX448" s="1535"/>
      <c r="AY448" s="1535"/>
      <c r="AZ448" s="1535"/>
      <c r="BA448" s="1537" t="s">
        <v>404</v>
      </c>
      <c r="BB448" s="1535"/>
      <c r="BC448" s="1535"/>
      <c r="BD448" s="1535"/>
      <c r="BE448" s="1535"/>
      <c r="BF448" s="1535"/>
      <c r="BG448" s="1535"/>
      <c r="BH448" s="1535"/>
      <c r="BI448" s="1535" t="s">
        <v>405</v>
      </c>
      <c r="BJ448" s="1535"/>
      <c r="BK448" s="1535"/>
      <c r="BL448" s="1535"/>
      <c r="BM448" s="1535"/>
      <c r="BN448" s="1535"/>
      <c r="BO448" s="1535"/>
      <c r="BP448" s="1535"/>
      <c r="BQ448" s="1535"/>
      <c r="BR448" s="1535"/>
      <c r="BS448" s="1535"/>
      <c r="BT448" s="1535"/>
      <c r="BU448" s="1535"/>
      <c r="BV448" s="1535"/>
      <c r="BW448" s="1535"/>
      <c r="BX448" s="1535"/>
      <c r="BY448" s="1535"/>
      <c r="BZ448" s="1535"/>
      <c r="CA448" s="1535"/>
      <c r="CB448" s="1535"/>
      <c r="CC448" s="1535"/>
      <c r="CD448" s="1535"/>
      <c r="CE448" s="1535"/>
      <c r="CF448" s="1538"/>
    </row>
    <row r="449" spans="1:88" s="535" customFormat="1" ht="21.95" customHeight="1" thickBot="1">
      <c r="A449" s="540"/>
      <c r="B449" s="540"/>
      <c r="C449" s="540"/>
      <c r="D449" s="540"/>
      <c r="E449" s="1536"/>
      <c r="F449" s="1527"/>
      <c r="G449" s="1527"/>
      <c r="H449" s="1527"/>
      <c r="I449" s="1527"/>
      <c r="J449" s="1527"/>
      <c r="K449" s="1527"/>
      <c r="L449" s="1527"/>
      <c r="M449" s="1527"/>
      <c r="N449" s="1527"/>
      <c r="O449" s="1527"/>
      <c r="P449" s="1527"/>
      <c r="Q449" s="1527"/>
      <c r="R449" s="1527"/>
      <c r="S449" s="1527"/>
      <c r="T449" s="1527"/>
      <c r="U449" s="1527"/>
      <c r="V449" s="1527"/>
      <c r="W449" s="1527"/>
      <c r="X449" s="1527"/>
      <c r="Y449" s="1527"/>
      <c r="Z449" s="1527"/>
      <c r="AA449" s="1527"/>
      <c r="AB449" s="1527"/>
      <c r="AC449" s="1527" t="s">
        <v>406</v>
      </c>
      <c r="AD449" s="1527"/>
      <c r="AE449" s="1527"/>
      <c r="AF449" s="1527"/>
      <c r="AG449" s="1527"/>
      <c r="AH449" s="1527"/>
      <c r="AI449" s="1527"/>
      <c r="AJ449" s="1527"/>
      <c r="AK449" s="1527" t="s">
        <v>407</v>
      </c>
      <c r="AL449" s="1527"/>
      <c r="AM449" s="1527"/>
      <c r="AN449" s="1527"/>
      <c r="AO449" s="1527"/>
      <c r="AP449" s="1527"/>
      <c r="AQ449" s="1527"/>
      <c r="AR449" s="1527"/>
      <c r="AS449" s="1527" t="s">
        <v>408</v>
      </c>
      <c r="AT449" s="1527"/>
      <c r="AU449" s="1527"/>
      <c r="AV449" s="1527"/>
      <c r="AW449" s="1527"/>
      <c r="AX449" s="1527"/>
      <c r="AY449" s="1527"/>
      <c r="AZ449" s="1527"/>
      <c r="BA449" s="1527"/>
      <c r="BB449" s="1527"/>
      <c r="BC449" s="1527"/>
      <c r="BD449" s="1527"/>
      <c r="BE449" s="1527"/>
      <c r="BF449" s="1527"/>
      <c r="BG449" s="1527"/>
      <c r="BH449" s="1527"/>
      <c r="BI449" s="1527" t="s">
        <v>406</v>
      </c>
      <c r="BJ449" s="1527"/>
      <c r="BK449" s="1527"/>
      <c r="BL449" s="1527"/>
      <c r="BM449" s="1527"/>
      <c r="BN449" s="1527"/>
      <c r="BO449" s="1527"/>
      <c r="BP449" s="1527"/>
      <c r="BQ449" s="1527" t="s">
        <v>407</v>
      </c>
      <c r="BR449" s="1527"/>
      <c r="BS449" s="1527"/>
      <c r="BT449" s="1527"/>
      <c r="BU449" s="1527"/>
      <c r="BV449" s="1527"/>
      <c r="BW449" s="1527"/>
      <c r="BX449" s="1527"/>
      <c r="BY449" s="1527" t="s">
        <v>408</v>
      </c>
      <c r="BZ449" s="1527"/>
      <c r="CA449" s="1527"/>
      <c r="CB449" s="1527"/>
      <c r="CC449" s="1527"/>
      <c r="CD449" s="1527"/>
      <c r="CE449" s="1527"/>
      <c r="CF449" s="1528"/>
    </row>
    <row r="450" spans="1:88" s="535" customFormat="1" ht="21.95" customHeight="1" thickTop="1">
      <c r="E450" s="1529" t="s">
        <v>277</v>
      </c>
      <c r="F450" s="1530"/>
      <c r="G450" s="1530"/>
      <c r="H450" s="1530"/>
      <c r="I450" s="1530"/>
      <c r="J450" s="1530"/>
      <c r="K450" s="1530"/>
      <c r="L450" s="1530"/>
      <c r="M450" s="1530"/>
      <c r="N450" s="1530"/>
      <c r="O450" s="1530"/>
      <c r="P450" s="1530"/>
      <c r="Q450" s="1530"/>
      <c r="R450" s="1530"/>
      <c r="S450" s="1530"/>
      <c r="T450" s="1530"/>
      <c r="U450" s="1530" t="s">
        <v>392</v>
      </c>
      <c r="V450" s="1530"/>
      <c r="W450" s="1530"/>
      <c r="X450" s="1530"/>
      <c r="Y450" s="1530"/>
      <c r="Z450" s="1530"/>
      <c r="AA450" s="1530"/>
      <c r="AB450" s="1530"/>
      <c r="AC450" s="1512" t="e">
        <f>#REF!</f>
        <v>#REF!</v>
      </c>
      <c r="AD450" s="1512"/>
      <c r="AE450" s="1512"/>
      <c r="AF450" s="1512"/>
      <c r="AG450" s="1512"/>
      <c r="AH450" s="1512"/>
      <c r="AI450" s="1512"/>
      <c r="AJ450" s="1512"/>
      <c r="AK450" s="1512" t="e">
        <f>#REF!</f>
        <v>#REF!</v>
      </c>
      <c r="AL450" s="1512"/>
      <c r="AM450" s="1512"/>
      <c r="AN450" s="1512"/>
      <c r="AO450" s="1512"/>
      <c r="AP450" s="1512"/>
      <c r="AQ450" s="1512"/>
      <c r="AR450" s="1512"/>
      <c r="AS450" s="1512" t="e">
        <f>#REF!</f>
        <v>#REF!</v>
      </c>
      <c r="AT450" s="1512"/>
      <c r="AU450" s="1512"/>
      <c r="AV450" s="1512"/>
      <c r="AW450" s="1512"/>
      <c r="AX450" s="1512"/>
      <c r="AY450" s="1512"/>
      <c r="AZ450" s="1512"/>
      <c r="BA450" s="1531">
        <f>BU435</f>
        <v>22.12</v>
      </c>
      <c r="BB450" s="1531"/>
      <c r="BC450" s="1531"/>
      <c r="BD450" s="1531"/>
      <c r="BE450" s="1531"/>
      <c r="BF450" s="1531"/>
      <c r="BG450" s="1531"/>
      <c r="BH450" s="1531"/>
      <c r="BI450" s="1532" t="e">
        <f>INT(AC450/$BA450)</f>
        <v>#REF!</v>
      </c>
      <c r="BJ450" s="1532"/>
      <c r="BK450" s="1532"/>
      <c r="BL450" s="1532"/>
      <c r="BM450" s="1532"/>
      <c r="BN450" s="1532"/>
      <c r="BO450" s="1532"/>
      <c r="BP450" s="1532"/>
      <c r="BQ450" s="1532" t="e">
        <f>INT(AK450/$BA450)</f>
        <v>#REF!</v>
      </c>
      <c r="BR450" s="1532"/>
      <c r="BS450" s="1532"/>
      <c r="BT450" s="1532"/>
      <c r="BU450" s="1532"/>
      <c r="BV450" s="1532"/>
      <c r="BW450" s="1532"/>
      <c r="BX450" s="1532"/>
      <c r="BY450" s="1532" t="e">
        <f>INT(AS450/$BA450)</f>
        <v>#REF!</v>
      </c>
      <c r="BZ450" s="1532"/>
      <c r="CA450" s="1532"/>
      <c r="CB450" s="1532"/>
      <c r="CC450" s="1532"/>
      <c r="CD450" s="1532"/>
      <c r="CE450" s="1532"/>
      <c r="CF450" s="1533"/>
    </row>
    <row r="451" spans="1:88" s="535" customFormat="1" ht="21.95" customHeight="1">
      <c r="E451" s="1520" t="s">
        <v>277</v>
      </c>
      <c r="F451" s="1521"/>
      <c r="G451" s="1521"/>
      <c r="H451" s="1521"/>
      <c r="I451" s="1521"/>
      <c r="J451" s="1521"/>
      <c r="K451" s="1521"/>
      <c r="L451" s="1521"/>
      <c r="M451" s="1521"/>
      <c r="N451" s="1521"/>
      <c r="O451" s="1521"/>
      <c r="P451" s="1521"/>
      <c r="Q451" s="1521"/>
      <c r="R451" s="1521"/>
      <c r="S451" s="1521"/>
      <c r="T451" s="1521"/>
      <c r="U451" s="1521" t="s">
        <v>395</v>
      </c>
      <c r="V451" s="1521"/>
      <c r="W451" s="1521"/>
      <c r="X451" s="1521"/>
      <c r="Y451" s="1521"/>
      <c r="Z451" s="1521"/>
      <c r="AA451" s="1521"/>
      <c r="AB451" s="1521"/>
      <c r="AC451" s="1526" t="e">
        <f>#REF!</f>
        <v>#REF!</v>
      </c>
      <c r="AD451" s="1526"/>
      <c r="AE451" s="1526"/>
      <c r="AF451" s="1526"/>
      <c r="AG451" s="1526"/>
      <c r="AH451" s="1526"/>
      <c r="AI451" s="1526"/>
      <c r="AJ451" s="1526"/>
      <c r="AK451" s="1526" t="e">
        <f>#REF!</f>
        <v>#REF!</v>
      </c>
      <c r="AL451" s="1526"/>
      <c r="AM451" s="1526"/>
      <c r="AN451" s="1526"/>
      <c r="AO451" s="1526"/>
      <c r="AP451" s="1526"/>
      <c r="AQ451" s="1526"/>
      <c r="AR451" s="1526"/>
      <c r="AS451" s="1526" t="e">
        <f>#REF!</f>
        <v>#REF!</v>
      </c>
      <c r="AT451" s="1526"/>
      <c r="AU451" s="1526"/>
      <c r="AV451" s="1526"/>
      <c r="AW451" s="1526"/>
      <c r="AX451" s="1526"/>
      <c r="AY451" s="1526"/>
      <c r="AZ451" s="1526"/>
      <c r="BA451" s="1525">
        <f t="shared" ref="BA451:BA456" si="45">BU437</f>
        <v>36.86</v>
      </c>
      <c r="BB451" s="1525"/>
      <c r="BC451" s="1525"/>
      <c r="BD451" s="1525"/>
      <c r="BE451" s="1525"/>
      <c r="BF451" s="1525"/>
      <c r="BG451" s="1525"/>
      <c r="BH451" s="1525"/>
      <c r="BI451" s="1512" t="e">
        <f t="shared" ref="BI451:BI458" si="46">INT(AC451/$BA451)</f>
        <v>#REF!</v>
      </c>
      <c r="BJ451" s="1512"/>
      <c r="BK451" s="1512"/>
      <c r="BL451" s="1512"/>
      <c r="BM451" s="1512"/>
      <c r="BN451" s="1512"/>
      <c r="BO451" s="1512"/>
      <c r="BP451" s="1512"/>
      <c r="BQ451" s="1512" t="e">
        <f t="shared" ref="BQ451:BQ458" si="47">INT(AK451/$BA451)</f>
        <v>#REF!</v>
      </c>
      <c r="BR451" s="1512"/>
      <c r="BS451" s="1512"/>
      <c r="BT451" s="1512"/>
      <c r="BU451" s="1512"/>
      <c r="BV451" s="1512"/>
      <c r="BW451" s="1512"/>
      <c r="BX451" s="1512"/>
      <c r="BY451" s="1512" t="e">
        <f t="shared" ref="BY451:BY458" si="48">INT(AS451/$BA451)</f>
        <v>#REF!</v>
      </c>
      <c r="BZ451" s="1512"/>
      <c r="CA451" s="1512"/>
      <c r="CB451" s="1512"/>
      <c r="CC451" s="1512"/>
      <c r="CD451" s="1512"/>
      <c r="CE451" s="1512"/>
      <c r="CF451" s="1513"/>
    </row>
    <row r="452" spans="1:88" s="535" customFormat="1" ht="21.95" customHeight="1">
      <c r="E452" s="1520" t="s">
        <v>277</v>
      </c>
      <c r="F452" s="1521"/>
      <c r="G452" s="1521"/>
      <c r="H452" s="1521"/>
      <c r="I452" s="1521"/>
      <c r="J452" s="1521"/>
      <c r="K452" s="1521"/>
      <c r="L452" s="1521"/>
      <c r="M452" s="1521"/>
      <c r="N452" s="1521"/>
      <c r="O452" s="1521"/>
      <c r="P452" s="1521"/>
      <c r="Q452" s="1521"/>
      <c r="R452" s="1521"/>
      <c r="S452" s="1521"/>
      <c r="T452" s="1521"/>
      <c r="U452" s="1521" t="s">
        <v>359</v>
      </c>
      <c r="V452" s="1521"/>
      <c r="W452" s="1521"/>
      <c r="X452" s="1521"/>
      <c r="Y452" s="1521"/>
      <c r="Z452" s="1521"/>
      <c r="AA452" s="1521"/>
      <c r="AB452" s="1521"/>
      <c r="AC452" s="1522" t="e">
        <f>#REF!</f>
        <v>#REF!</v>
      </c>
      <c r="AD452" s="1523"/>
      <c r="AE452" s="1523"/>
      <c r="AF452" s="1523"/>
      <c r="AG452" s="1523"/>
      <c r="AH452" s="1523"/>
      <c r="AI452" s="1523"/>
      <c r="AJ452" s="1524"/>
      <c r="AK452" s="1522" t="e">
        <f>#REF!</f>
        <v>#REF!</v>
      </c>
      <c r="AL452" s="1523"/>
      <c r="AM452" s="1523"/>
      <c r="AN452" s="1523"/>
      <c r="AO452" s="1523"/>
      <c r="AP452" s="1523"/>
      <c r="AQ452" s="1523"/>
      <c r="AR452" s="1524"/>
      <c r="AS452" s="1522" t="e">
        <f>#REF!</f>
        <v>#REF!</v>
      </c>
      <c r="AT452" s="1523"/>
      <c r="AU452" s="1523"/>
      <c r="AV452" s="1523"/>
      <c r="AW452" s="1523"/>
      <c r="AX452" s="1523"/>
      <c r="AY452" s="1523"/>
      <c r="AZ452" s="1524"/>
      <c r="BA452" s="1525">
        <f t="shared" si="45"/>
        <v>73.73</v>
      </c>
      <c r="BB452" s="1525"/>
      <c r="BC452" s="1525"/>
      <c r="BD452" s="1525"/>
      <c r="BE452" s="1525"/>
      <c r="BF452" s="1525"/>
      <c r="BG452" s="1525"/>
      <c r="BH452" s="1525"/>
      <c r="BI452" s="1512" t="e">
        <f t="shared" si="46"/>
        <v>#REF!</v>
      </c>
      <c r="BJ452" s="1512"/>
      <c r="BK452" s="1512"/>
      <c r="BL452" s="1512"/>
      <c r="BM452" s="1512"/>
      <c r="BN452" s="1512"/>
      <c r="BO452" s="1512"/>
      <c r="BP452" s="1512"/>
      <c r="BQ452" s="1512" t="e">
        <f t="shared" si="47"/>
        <v>#REF!</v>
      </c>
      <c r="BR452" s="1512"/>
      <c r="BS452" s="1512"/>
      <c r="BT452" s="1512"/>
      <c r="BU452" s="1512"/>
      <c r="BV452" s="1512"/>
      <c r="BW452" s="1512"/>
      <c r="BX452" s="1512"/>
      <c r="BY452" s="1512" t="e">
        <f t="shared" si="48"/>
        <v>#REF!</v>
      </c>
      <c r="BZ452" s="1512"/>
      <c r="CA452" s="1512"/>
      <c r="CB452" s="1512"/>
      <c r="CC452" s="1512"/>
      <c r="CD452" s="1512"/>
      <c r="CE452" s="1512"/>
      <c r="CF452" s="1513"/>
    </row>
    <row r="453" spans="1:88" s="535" customFormat="1" ht="21.95" customHeight="1">
      <c r="E453" s="1520" t="s">
        <v>277</v>
      </c>
      <c r="F453" s="1521"/>
      <c r="G453" s="1521"/>
      <c r="H453" s="1521"/>
      <c r="I453" s="1521"/>
      <c r="J453" s="1521"/>
      <c r="K453" s="1521"/>
      <c r="L453" s="1521"/>
      <c r="M453" s="1521"/>
      <c r="N453" s="1521"/>
      <c r="O453" s="1521"/>
      <c r="P453" s="1521"/>
      <c r="Q453" s="1521"/>
      <c r="R453" s="1521"/>
      <c r="S453" s="1521"/>
      <c r="T453" s="1521"/>
      <c r="U453" s="1521" t="s">
        <v>397</v>
      </c>
      <c r="V453" s="1521"/>
      <c r="W453" s="1521"/>
      <c r="X453" s="1521"/>
      <c r="Y453" s="1521"/>
      <c r="Z453" s="1521"/>
      <c r="AA453" s="1521"/>
      <c r="AB453" s="1521"/>
      <c r="AC453" s="1522" t="e">
        <f>#REF!</f>
        <v>#REF!</v>
      </c>
      <c r="AD453" s="1523"/>
      <c r="AE453" s="1523"/>
      <c r="AF453" s="1523"/>
      <c r="AG453" s="1523"/>
      <c r="AH453" s="1523"/>
      <c r="AI453" s="1523"/>
      <c r="AJ453" s="1524"/>
      <c r="AK453" s="1522" t="e">
        <f>#REF!</f>
        <v>#REF!</v>
      </c>
      <c r="AL453" s="1523"/>
      <c r="AM453" s="1523"/>
      <c r="AN453" s="1523"/>
      <c r="AO453" s="1523"/>
      <c r="AP453" s="1523"/>
      <c r="AQ453" s="1523"/>
      <c r="AR453" s="1524"/>
      <c r="AS453" s="1522" t="e">
        <f>#REF!</f>
        <v>#REF!</v>
      </c>
      <c r="AT453" s="1523"/>
      <c r="AU453" s="1523"/>
      <c r="AV453" s="1523"/>
      <c r="AW453" s="1523"/>
      <c r="AX453" s="1523"/>
      <c r="AY453" s="1523"/>
      <c r="AZ453" s="1524"/>
      <c r="BA453" s="1525">
        <f t="shared" si="45"/>
        <v>92.16</v>
      </c>
      <c r="BB453" s="1525"/>
      <c r="BC453" s="1525"/>
      <c r="BD453" s="1525"/>
      <c r="BE453" s="1525"/>
      <c r="BF453" s="1525"/>
      <c r="BG453" s="1525"/>
      <c r="BH453" s="1525"/>
      <c r="BI453" s="1512" t="e">
        <f t="shared" si="46"/>
        <v>#REF!</v>
      </c>
      <c r="BJ453" s="1512"/>
      <c r="BK453" s="1512"/>
      <c r="BL453" s="1512"/>
      <c r="BM453" s="1512"/>
      <c r="BN453" s="1512"/>
      <c r="BO453" s="1512"/>
      <c r="BP453" s="1512"/>
      <c r="BQ453" s="1512" t="e">
        <f t="shared" si="47"/>
        <v>#REF!</v>
      </c>
      <c r="BR453" s="1512"/>
      <c r="BS453" s="1512"/>
      <c r="BT453" s="1512"/>
      <c r="BU453" s="1512"/>
      <c r="BV453" s="1512"/>
      <c r="BW453" s="1512"/>
      <c r="BX453" s="1512"/>
      <c r="BY453" s="1512" t="e">
        <f t="shared" si="48"/>
        <v>#REF!</v>
      </c>
      <c r="BZ453" s="1512"/>
      <c r="CA453" s="1512"/>
      <c r="CB453" s="1512"/>
      <c r="CC453" s="1512"/>
      <c r="CD453" s="1512"/>
      <c r="CE453" s="1512"/>
      <c r="CF453" s="1513"/>
    </row>
    <row r="454" spans="1:88" s="535" customFormat="1" ht="21.95" customHeight="1">
      <c r="D454" s="542"/>
      <c r="E454" s="1520" t="s">
        <v>277</v>
      </c>
      <c r="F454" s="1521"/>
      <c r="G454" s="1521"/>
      <c r="H454" s="1521"/>
      <c r="I454" s="1521"/>
      <c r="J454" s="1521"/>
      <c r="K454" s="1521"/>
      <c r="L454" s="1521"/>
      <c r="M454" s="1521"/>
      <c r="N454" s="1521"/>
      <c r="O454" s="1521"/>
      <c r="P454" s="1521"/>
      <c r="Q454" s="1521"/>
      <c r="R454" s="1521"/>
      <c r="S454" s="1521"/>
      <c r="T454" s="1521"/>
      <c r="U454" s="1521" t="s">
        <v>399</v>
      </c>
      <c r="V454" s="1521"/>
      <c r="W454" s="1521"/>
      <c r="X454" s="1521"/>
      <c r="Y454" s="1521"/>
      <c r="Z454" s="1521"/>
      <c r="AA454" s="1521"/>
      <c r="AB454" s="1521"/>
      <c r="AC454" s="1522" t="e">
        <f>#REF!</f>
        <v>#REF!</v>
      </c>
      <c r="AD454" s="1523"/>
      <c r="AE454" s="1523"/>
      <c r="AF454" s="1523"/>
      <c r="AG454" s="1523"/>
      <c r="AH454" s="1523"/>
      <c r="AI454" s="1523"/>
      <c r="AJ454" s="1524"/>
      <c r="AK454" s="1522" t="e">
        <f>#REF!</f>
        <v>#REF!</v>
      </c>
      <c r="AL454" s="1523"/>
      <c r="AM454" s="1523"/>
      <c r="AN454" s="1523"/>
      <c r="AO454" s="1523"/>
      <c r="AP454" s="1523"/>
      <c r="AQ454" s="1523"/>
      <c r="AR454" s="1524"/>
      <c r="AS454" s="1522" t="e">
        <f>#REF!</f>
        <v>#REF!</v>
      </c>
      <c r="AT454" s="1523"/>
      <c r="AU454" s="1523"/>
      <c r="AV454" s="1523"/>
      <c r="AW454" s="1523"/>
      <c r="AX454" s="1523"/>
      <c r="AY454" s="1523"/>
      <c r="AZ454" s="1524"/>
      <c r="BA454" s="1525">
        <f t="shared" si="45"/>
        <v>107.52</v>
      </c>
      <c r="BB454" s="1525"/>
      <c r="BC454" s="1525"/>
      <c r="BD454" s="1525"/>
      <c r="BE454" s="1525"/>
      <c r="BF454" s="1525"/>
      <c r="BG454" s="1525"/>
      <c r="BH454" s="1525"/>
      <c r="BI454" s="1512" t="e">
        <f t="shared" si="46"/>
        <v>#REF!</v>
      </c>
      <c r="BJ454" s="1512"/>
      <c r="BK454" s="1512"/>
      <c r="BL454" s="1512"/>
      <c r="BM454" s="1512"/>
      <c r="BN454" s="1512"/>
      <c r="BO454" s="1512"/>
      <c r="BP454" s="1512"/>
      <c r="BQ454" s="1512" t="e">
        <f t="shared" si="47"/>
        <v>#REF!</v>
      </c>
      <c r="BR454" s="1512"/>
      <c r="BS454" s="1512"/>
      <c r="BT454" s="1512"/>
      <c r="BU454" s="1512"/>
      <c r="BV454" s="1512"/>
      <c r="BW454" s="1512"/>
      <c r="BX454" s="1512"/>
      <c r="BY454" s="1512" t="e">
        <f t="shared" si="48"/>
        <v>#REF!</v>
      </c>
      <c r="BZ454" s="1512"/>
      <c r="CA454" s="1512"/>
      <c r="CB454" s="1512"/>
      <c r="CC454" s="1512"/>
      <c r="CD454" s="1512"/>
      <c r="CE454" s="1512"/>
      <c r="CF454" s="1513"/>
    </row>
    <row r="455" spans="1:88" s="535" customFormat="1" ht="21.95" customHeight="1">
      <c r="A455" s="540"/>
      <c r="B455" s="540"/>
      <c r="C455" s="540"/>
      <c r="D455" s="540"/>
      <c r="E455" s="1520" t="s">
        <v>277</v>
      </c>
      <c r="F455" s="1521"/>
      <c r="G455" s="1521"/>
      <c r="H455" s="1521"/>
      <c r="I455" s="1521"/>
      <c r="J455" s="1521"/>
      <c r="K455" s="1521"/>
      <c r="L455" s="1521"/>
      <c r="M455" s="1521"/>
      <c r="N455" s="1521"/>
      <c r="O455" s="1521"/>
      <c r="P455" s="1521"/>
      <c r="Q455" s="1521"/>
      <c r="R455" s="1521"/>
      <c r="S455" s="1521"/>
      <c r="T455" s="1521"/>
      <c r="U455" s="1521" t="s">
        <v>400</v>
      </c>
      <c r="V455" s="1521"/>
      <c r="W455" s="1521"/>
      <c r="X455" s="1521"/>
      <c r="Y455" s="1521"/>
      <c r="Z455" s="1521"/>
      <c r="AA455" s="1521"/>
      <c r="AB455" s="1521"/>
      <c r="AC455" s="1522" t="e">
        <f>#REF!</f>
        <v>#REF!</v>
      </c>
      <c r="AD455" s="1523"/>
      <c r="AE455" s="1523"/>
      <c r="AF455" s="1523"/>
      <c r="AG455" s="1523"/>
      <c r="AH455" s="1523"/>
      <c r="AI455" s="1523"/>
      <c r="AJ455" s="1524"/>
      <c r="AK455" s="1522" t="e">
        <f>#REF!</f>
        <v>#REF!</v>
      </c>
      <c r="AL455" s="1523"/>
      <c r="AM455" s="1523"/>
      <c r="AN455" s="1523"/>
      <c r="AO455" s="1523"/>
      <c r="AP455" s="1523"/>
      <c r="AQ455" s="1523"/>
      <c r="AR455" s="1524"/>
      <c r="AS455" s="1522" t="e">
        <f>#REF!</f>
        <v>#REF!</v>
      </c>
      <c r="AT455" s="1523"/>
      <c r="AU455" s="1523"/>
      <c r="AV455" s="1523"/>
      <c r="AW455" s="1523"/>
      <c r="AX455" s="1523"/>
      <c r="AY455" s="1523"/>
      <c r="AZ455" s="1524"/>
      <c r="BA455" s="1525">
        <f t="shared" si="45"/>
        <v>122.88</v>
      </c>
      <c r="BB455" s="1525"/>
      <c r="BC455" s="1525"/>
      <c r="BD455" s="1525"/>
      <c r="BE455" s="1525"/>
      <c r="BF455" s="1525"/>
      <c r="BG455" s="1525"/>
      <c r="BH455" s="1525"/>
      <c r="BI455" s="1512" t="e">
        <f t="shared" si="46"/>
        <v>#REF!</v>
      </c>
      <c r="BJ455" s="1512"/>
      <c r="BK455" s="1512"/>
      <c r="BL455" s="1512"/>
      <c r="BM455" s="1512"/>
      <c r="BN455" s="1512"/>
      <c r="BO455" s="1512"/>
      <c r="BP455" s="1512"/>
      <c r="BQ455" s="1512" t="e">
        <f t="shared" si="47"/>
        <v>#REF!</v>
      </c>
      <c r="BR455" s="1512"/>
      <c r="BS455" s="1512"/>
      <c r="BT455" s="1512"/>
      <c r="BU455" s="1512"/>
      <c r="BV455" s="1512"/>
      <c r="BW455" s="1512"/>
      <c r="BX455" s="1512"/>
      <c r="BY455" s="1512" t="e">
        <f t="shared" si="48"/>
        <v>#REF!</v>
      </c>
      <c r="BZ455" s="1512"/>
      <c r="CA455" s="1512"/>
      <c r="CB455" s="1512"/>
      <c r="CC455" s="1512"/>
      <c r="CD455" s="1512"/>
      <c r="CE455" s="1512"/>
      <c r="CF455" s="1513"/>
    </row>
    <row r="456" spans="1:88" s="535" customFormat="1" ht="21.95" customHeight="1">
      <c r="E456" s="1520" t="s">
        <v>277</v>
      </c>
      <c r="F456" s="1521"/>
      <c r="G456" s="1521"/>
      <c r="H456" s="1521"/>
      <c r="I456" s="1521"/>
      <c r="J456" s="1521"/>
      <c r="K456" s="1521"/>
      <c r="L456" s="1521"/>
      <c r="M456" s="1521"/>
      <c r="N456" s="1521"/>
      <c r="O456" s="1521"/>
      <c r="P456" s="1521"/>
      <c r="Q456" s="1521"/>
      <c r="R456" s="1521"/>
      <c r="S456" s="1521"/>
      <c r="T456" s="1521"/>
      <c r="U456" s="1521" t="s">
        <v>401</v>
      </c>
      <c r="V456" s="1521"/>
      <c r="W456" s="1521"/>
      <c r="X456" s="1521"/>
      <c r="Y456" s="1521"/>
      <c r="Z456" s="1521"/>
      <c r="AA456" s="1521"/>
      <c r="AB456" s="1521"/>
      <c r="AC456" s="1522" t="e">
        <f>#REF!</f>
        <v>#REF!</v>
      </c>
      <c r="AD456" s="1523"/>
      <c r="AE456" s="1523"/>
      <c r="AF456" s="1523"/>
      <c r="AG456" s="1523"/>
      <c r="AH456" s="1523"/>
      <c r="AI456" s="1523"/>
      <c r="AJ456" s="1524"/>
      <c r="AK456" s="1522" t="e">
        <f>#REF!</f>
        <v>#REF!</v>
      </c>
      <c r="AL456" s="1523"/>
      <c r="AM456" s="1523"/>
      <c r="AN456" s="1523"/>
      <c r="AO456" s="1523"/>
      <c r="AP456" s="1523"/>
      <c r="AQ456" s="1523"/>
      <c r="AR456" s="1524"/>
      <c r="AS456" s="1522" t="e">
        <f>#REF!</f>
        <v>#REF!</v>
      </c>
      <c r="AT456" s="1523"/>
      <c r="AU456" s="1523"/>
      <c r="AV456" s="1523"/>
      <c r="AW456" s="1523"/>
      <c r="AX456" s="1523"/>
      <c r="AY456" s="1523"/>
      <c r="AZ456" s="1524"/>
      <c r="BA456" s="1525">
        <f t="shared" si="45"/>
        <v>145.52000000000001</v>
      </c>
      <c r="BB456" s="1525"/>
      <c r="BC456" s="1525"/>
      <c r="BD456" s="1525"/>
      <c r="BE456" s="1525"/>
      <c r="BF456" s="1525"/>
      <c r="BG456" s="1525"/>
      <c r="BH456" s="1525"/>
      <c r="BI456" s="1512" t="e">
        <f t="shared" si="46"/>
        <v>#REF!</v>
      </c>
      <c r="BJ456" s="1512"/>
      <c r="BK456" s="1512"/>
      <c r="BL456" s="1512"/>
      <c r="BM456" s="1512"/>
      <c r="BN456" s="1512"/>
      <c r="BO456" s="1512"/>
      <c r="BP456" s="1512"/>
      <c r="BQ456" s="1512" t="e">
        <f t="shared" si="47"/>
        <v>#REF!</v>
      </c>
      <c r="BR456" s="1512"/>
      <c r="BS456" s="1512"/>
      <c r="BT456" s="1512"/>
      <c r="BU456" s="1512"/>
      <c r="BV456" s="1512"/>
      <c r="BW456" s="1512"/>
      <c r="BX456" s="1512"/>
      <c r="BY456" s="1512" t="e">
        <f t="shared" si="48"/>
        <v>#REF!</v>
      </c>
      <c r="BZ456" s="1512"/>
      <c r="CA456" s="1512"/>
      <c r="CB456" s="1512"/>
      <c r="CC456" s="1512"/>
      <c r="CD456" s="1512"/>
      <c r="CE456" s="1512"/>
      <c r="CF456" s="1513"/>
    </row>
    <row r="457" spans="1:88" s="535" customFormat="1" ht="21.95" customHeight="1">
      <c r="E457" s="1520" t="s">
        <v>409</v>
      </c>
      <c r="F457" s="1521"/>
      <c r="G457" s="1521"/>
      <c r="H457" s="1521"/>
      <c r="I457" s="1521"/>
      <c r="J457" s="1521"/>
      <c r="K457" s="1521"/>
      <c r="L457" s="1521"/>
      <c r="M457" s="1521"/>
      <c r="N457" s="1521"/>
      <c r="O457" s="1521"/>
      <c r="P457" s="1521"/>
      <c r="Q457" s="1521"/>
      <c r="R457" s="1521"/>
      <c r="S457" s="1521"/>
      <c r="T457" s="1521"/>
      <c r="U457" s="1521" t="s">
        <v>394</v>
      </c>
      <c r="V457" s="1521"/>
      <c r="W457" s="1521"/>
      <c r="X457" s="1521"/>
      <c r="Y457" s="1521"/>
      <c r="Z457" s="1521"/>
      <c r="AA457" s="1521"/>
      <c r="AB457" s="1521"/>
      <c r="AC457" s="1522" t="e">
        <f>#REF!</f>
        <v>#REF!</v>
      </c>
      <c r="AD457" s="1523"/>
      <c r="AE457" s="1523"/>
      <c r="AF457" s="1523"/>
      <c r="AG457" s="1523"/>
      <c r="AH457" s="1523"/>
      <c r="AI457" s="1523"/>
      <c r="AJ457" s="1524"/>
      <c r="AK457" s="1522" t="e">
        <f>#REF!</f>
        <v>#REF!</v>
      </c>
      <c r="AL457" s="1523"/>
      <c r="AM457" s="1523"/>
      <c r="AN457" s="1523"/>
      <c r="AO457" s="1523"/>
      <c r="AP457" s="1523"/>
      <c r="AQ457" s="1523"/>
      <c r="AR457" s="1524"/>
      <c r="AS457" s="1522" t="e">
        <f>#REF!</f>
        <v>#REF!</v>
      </c>
      <c r="AT457" s="1523"/>
      <c r="AU457" s="1523"/>
      <c r="AV457" s="1523"/>
      <c r="AW457" s="1523"/>
      <c r="AX457" s="1523"/>
      <c r="AY457" s="1523"/>
      <c r="AZ457" s="1524"/>
      <c r="BA457" s="1525">
        <f>BU436</f>
        <v>33.18</v>
      </c>
      <c r="BB457" s="1525"/>
      <c r="BC457" s="1525"/>
      <c r="BD457" s="1525"/>
      <c r="BE457" s="1525"/>
      <c r="BF457" s="1525"/>
      <c r="BG457" s="1525"/>
      <c r="BH457" s="1525"/>
      <c r="BI457" s="1512" t="e">
        <f t="shared" si="46"/>
        <v>#REF!</v>
      </c>
      <c r="BJ457" s="1512"/>
      <c r="BK457" s="1512"/>
      <c r="BL457" s="1512"/>
      <c r="BM457" s="1512"/>
      <c r="BN457" s="1512"/>
      <c r="BO457" s="1512"/>
      <c r="BP457" s="1512"/>
      <c r="BQ457" s="1512" t="e">
        <f t="shared" si="47"/>
        <v>#REF!</v>
      </c>
      <c r="BR457" s="1512"/>
      <c r="BS457" s="1512"/>
      <c r="BT457" s="1512"/>
      <c r="BU457" s="1512"/>
      <c r="BV457" s="1512"/>
      <c r="BW457" s="1512"/>
      <c r="BX457" s="1512"/>
      <c r="BY457" s="1512" t="e">
        <f t="shared" si="48"/>
        <v>#REF!</v>
      </c>
      <c r="BZ457" s="1512"/>
      <c r="CA457" s="1512"/>
      <c r="CB457" s="1512"/>
      <c r="CC457" s="1512"/>
      <c r="CD457" s="1512"/>
      <c r="CE457" s="1512"/>
      <c r="CF457" s="1513"/>
    </row>
    <row r="458" spans="1:88" s="535" customFormat="1" ht="21.95" customHeight="1">
      <c r="E458" s="1514" t="s">
        <v>409</v>
      </c>
      <c r="F458" s="1515"/>
      <c r="G458" s="1515"/>
      <c r="H458" s="1515"/>
      <c r="I458" s="1515"/>
      <c r="J458" s="1515"/>
      <c r="K458" s="1515"/>
      <c r="L458" s="1515"/>
      <c r="M458" s="1515"/>
      <c r="N458" s="1515"/>
      <c r="O458" s="1515"/>
      <c r="P458" s="1515"/>
      <c r="Q458" s="1515"/>
      <c r="R458" s="1515"/>
      <c r="S458" s="1515"/>
      <c r="T458" s="1515"/>
      <c r="U458" s="1515" t="s">
        <v>397</v>
      </c>
      <c r="V458" s="1515"/>
      <c r="W458" s="1515"/>
      <c r="X458" s="1515"/>
      <c r="Y458" s="1515"/>
      <c r="Z458" s="1515"/>
      <c r="AA458" s="1515"/>
      <c r="AB458" s="1515"/>
      <c r="AC458" s="1516" t="e">
        <f>#REF!</f>
        <v>#REF!</v>
      </c>
      <c r="AD458" s="1516"/>
      <c r="AE458" s="1516"/>
      <c r="AF458" s="1516"/>
      <c r="AG458" s="1516"/>
      <c r="AH458" s="1516"/>
      <c r="AI458" s="1516"/>
      <c r="AJ458" s="1516"/>
      <c r="AK458" s="1516" t="e">
        <f>#REF!</f>
        <v>#REF!</v>
      </c>
      <c r="AL458" s="1516"/>
      <c r="AM458" s="1516"/>
      <c r="AN458" s="1516"/>
      <c r="AO458" s="1516"/>
      <c r="AP458" s="1516"/>
      <c r="AQ458" s="1516"/>
      <c r="AR458" s="1516"/>
      <c r="AS458" s="1516" t="e">
        <f>#REF!</f>
        <v>#REF!</v>
      </c>
      <c r="AT458" s="1516"/>
      <c r="AU458" s="1516"/>
      <c r="AV458" s="1516"/>
      <c r="AW458" s="1516"/>
      <c r="AX458" s="1516"/>
      <c r="AY458" s="1516"/>
      <c r="AZ458" s="1516"/>
      <c r="BA458" s="1517">
        <f>BU439</f>
        <v>92.16</v>
      </c>
      <c r="BB458" s="1517"/>
      <c r="BC458" s="1517"/>
      <c r="BD458" s="1517"/>
      <c r="BE458" s="1517"/>
      <c r="BF458" s="1517"/>
      <c r="BG458" s="1517"/>
      <c r="BH458" s="1517"/>
      <c r="BI458" s="1518" t="e">
        <f t="shared" si="46"/>
        <v>#REF!</v>
      </c>
      <c r="BJ458" s="1518"/>
      <c r="BK458" s="1518"/>
      <c r="BL458" s="1518"/>
      <c r="BM458" s="1518"/>
      <c r="BN458" s="1518"/>
      <c r="BO458" s="1518"/>
      <c r="BP458" s="1518"/>
      <c r="BQ458" s="1518" t="e">
        <f t="shared" si="47"/>
        <v>#REF!</v>
      </c>
      <c r="BR458" s="1518"/>
      <c r="BS458" s="1518"/>
      <c r="BT458" s="1518"/>
      <c r="BU458" s="1518"/>
      <c r="BV458" s="1518"/>
      <c r="BW458" s="1518"/>
      <c r="BX458" s="1518"/>
      <c r="BY458" s="1518" t="e">
        <f t="shared" si="48"/>
        <v>#REF!</v>
      </c>
      <c r="BZ458" s="1518"/>
      <c r="CA458" s="1518"/>
      <c r="CB458" s="1518"/>
      <c r="CC458" s="1518"/>
      <c r="CD458" s="1518"/>
      <c r="CE458" s="1518"/>
      <c r="CF458" s="1519"/>
    </row>
    <row r="459" spans="1:88" s="535" customFormat="1" ht="21.95" customHeight="1" thickBot="1">
      <c r="E459" s="1509" t="s">
        <v>515</v>
      </c>
      <c r="F459" s="1510"/>
      <c r="G459" s="1510"/>
      <c r="H459" s="1510"/>
      <c r="I459" s="1510"/>
      <c r="J459" s="1510"/>
      <c r="K459" s="1510"/>
      <c r="L459" s="1510"/>
      <c r="M459" s="1510"/>
      <c r="N459" s="1510"/>
      <c r="O459" s="1510"/>
      <c r="P459" s="1510"/>
      <c r="Q459" s="1510"/>
      <c r="R459" s="1510"/>
      <c r="S459" s="1510"/>
      <c r="T459" s="1510"/>
      <c r="U459" s="1510" t="s">
        <v>514</v>
      </c>
      <c r="V459" s="1510"/>
      <c r="W459" s="1510"/>
      <c r="X459" s="1510"/>
      <c r="Y459" s="1510"/>
      <c r="Z459" s="1510"/>
      <c r="AA459" s="1510"/>
      <c r="AB459" s="1510"/>
      <c r="AC459" s="1507" t="e">
        <f>#REF!</f>
        <v>#REF!</v>
      </c>
      <c r="AD459" s="1507"/>
      <c r="AE459" s="1507"/>
      <c r="AF459" s="1507"/>
      <c r="AG459" s="1507"/>
      <c r="AH459" s="1507"/>
      <c r="AI459" s="1507"/>
      <c r="AJ459" s="1507"/>
      <c r="AK459" s="1507" t="e">
        <f>#REF!</f>
        <v>#REF!</v>
      </c>
      <c r="AL459" s="1507"/>
      <c r="AM459" s="1507"/>
      <c r="AN459" s="1507"/>
      <c r="AO459" s="1507"/>
      <c r="AP459" s="1507"/>
      <c r="AQ459" s="1507"/>
      <c r="AR459" s="1507"/>
      <c r="AS459" s="1507" t="e">
        <f>#REF!</f>
        <v>#REF!</v>
      </c>
      <c r="AT459" s="1507"/>
      <c r="AU459" s="1507"/>
      <c r="AV459" s="1507"/>
      <c r="AW459" s="1507"/>
      <c r="AX459" s="1507"/>
      <c r="AY459" s="1507"/>
      <c r="AZ459" s="1507"/>
      <c r="BA459" s="1511">
        <f>BU443</f>
        <v>103.68</v>
      </c>
      <c r="BB459" s="1511"/>
      <c r="BC459" s="1511"/>
      <c r="BD459" s="1511"/>
      <c r="BE459" s="1511"/>
      <c r="BF459" s="1511"/>
      <c r="BG459" s="1511"/>
      <c r="BH459" s="1511"/>
      <c r="BI459" s="1507" t="e">
        <f>INT(AC459/$BA459)</f>
        <v>#REF!</v>
      </c>
      <c r="BJ459" s="1507"/>
      <c r="BK459" s="1507"/>
      <c r="BL459" s="1507"/>
      <c r="BM459" s="1507"/>
      <c r="BN459" s="1507"/>
      <c r="BO459" s="1507"/>
      <c r="BP459" s="1507"/>
      <c r="BQ459" s="1507" t="e">
        <f>INT(AK459/$BA459)</f>
        <v>#REF!</v>
      </c>
      <c r="BR459" s="1507"/>
      <c r="BS459" s="1507"/>
      <c r="BT459" s="1507"/>
      <c r="BU459" s="1507"/>
      <c r="BV459" s="1507"/>
      <c r="BW459" s="1507"/>
      <c r="BX459" s="1507"/>
      <c r="BY459" s="1507" t="e">
        <f>INT(AS459/$BA459)</f>
        <v>#REF!</v>
      </c>
      <c r="BZ459" s="1507"/>
      <c r="CA459" s="1507"/>
      <c r="CB459" s="1507"/>
      <c r="CC459" s="1507"/>
      <c r="CD459" s="1507"/>
      <c r="CE459" s="1507"/>
      <c r="CF459" s="1508"/>
    </row>
    <row r="460" spans="1:88" s="534" customFormat="1" ht="28.35" customHeight="1">
      <c r="A460" s="1579" t="s">
        <v>516</v>
      </c>
      <c r="B460" s="1579"/>
      <c r="C460" s="1579"/>
      <c r="D460" s="1579"/>
      <c r="E460" s="1579"/>
      <c r="F460" s="1579"/>
      <c r="G460" s="1579"/>
      <c r="H460" s="1579"/>
      <c r="I460" s="1579"/>
      <c r="J460" s="1579"/>
      <c r="K460" s="1579"/>
      <c r="L460" s="1579"/>
      <c r="M460" s="1579"/>
      <c r="N460" s="1579"/>
      <c r="O460" s="1579"/>
      <c r="P460" s="1579"/>
      <c r="Q460" s="1579"/>
      <c r="R460" s="1579"/>
      <c r="S460" s="1579"/>
      <c r="T460" s="1579"/>
      <c r="U460" s="1579"/>
      <c r="V460" s="1579"/>
      <c r="W460" s="1579"/>
      <c r="X460" s="1579"/>
      <c r="Y460" s="1579"/>
      <c r="Z460" s="1579"/>
      <c r="AA460" s="1579"/>
      <c r="AB460" s="1579"/>
      <c r="AC460" s="1579"/>
      <c r="AD460" s="1579"/>
      <c r="AE460" s="1579"/>
      <c r="AF460" s="1579"/>
      <c r="AG460" s="1579"/>
      <c r="AH460" s="1579"/>
      <c r="AI460" s="1579"/>
      <c r="AJ460" s="1579"/>
      <c r="AK460" s="1579"/>
      <c r="AL460" s="1579"/>
      <c r="AM460" s="1579"/>
      <c r="AN460" s="1579"/>
      <c r="AO460" s="1579"/>
      <c r="AP460" s="1579"/>
      <c r="AQ460" s="1579"/>
      <c r="AR460" s="1579"/>
      <c r="AS460" s="1579"/>
      <c r="AT460" s="1579"/>
      <c r="AU460" s="1579"/>
      <c r="AV460" s="1579"/>
      <c r="AW460" s="1579"/>
      <c r="AX460" s="1579"/>
      <c r="AY460" s="1579"/>
      <c r="AZ460" s="1579"/>
      <c r="BA460" s="1579"/>
      <c r="BB460" s="1579"/>
      <c r="BC460" s="1579"/>
      <c r="BD460" s="1579"/>
      <c r="BE460" s="1579"/>
      <c r="BF460" s="1579"/>
      <c r="BG460" s="1579"/>
      <c r="BH460" s="1579"/>
      <c r="BI460" s="1579"/>
      <c r="BJ460" s="1579"/>
      <c r="BK460" s="1579"/>
      <c r="BL460" s="1579"/>
      <c r="BM460" s="1579"/>
      <c r="BN460" s="1579"/>
      <c r="BO460" s="1579"/>
      <c r="BP460" s="1579"/>
      <c r="BQ460" s="1579"/>
      <c r="BR460" s="1579"/>
      <c r="BS460" s="1579"/>
      <c r="BT460" s="1579"/>
      <c r="BU460" s="1579"/>
      <c r="BV460" s="1579"/>
      <c r="BW460" s="1579"/>
      <c r="BX460" s="1579"/>
      <c r="BY460" s="1579"/>
      <c r="BZ460" s="1579"/>
      <c r="CA460" s="1579"/>
      <c r="CB460" s="1579"/>
      <c r="CC460" s="1579"/>
      <c r="CD460" s="1579"/>
      <c r="CE460" s="1579"/>
      <c r="CF460" s="1579"/>
      <c r="CJ460" s="535" t="s">
        <v>721</v>
      </c>
    </row>
    <row r="461" spans="1:88" s="534" customFormat="1" ht="9.9499999999999993" customHeight="1">
      <c r="A461" s="536"/>
      <c r="B461" s="536"/>
      <c r="C461" s="536"/>
      <c r="D461" s="536"/>
      <c r="E461" s="536"/>
      <c r="F461" s="536"/>
      <c r="G461" s="536"/>
      <c r="H461" s="536"/>
      <c r="I461" s="536"/>
      <c r="J461" s="536"/>
      <c r="K461" s="536"/>
      <c r="L461" s="536"/>
      <c r="M461" s="536"/>
      <c r="N461" s="536"/>
      <c r="O461" s="536"/>
      <c r="P461" s="536"/>
      <c r="Q461" s="536"/>
      <c r="R461" s="536"/>
      <c r="S461" s="536"/>
      <c r="T461" s="536"/>
      <c r="U461" s="536"/>
      <c r="V461" s="536"/>
      <c r="W461" s="536"/>
      <c r="X461" s="536"/>
      <c r="Y461" s="536"/>
      <c r="Z461" s="536"/>
      <c r="AA461" s="536"/>
      <c r="AB461" s="536"/>
      <c r="AC461" s="536"/>
      <c r="AD461" s="536"/>
      <c r="AE461" s="536"/>
      <c r="AF461" s="536"/>
      <c r="AG461" s="536"/>
      <c r="AH461" s="536"/>
      <c r="AI461" s="536"/>
      <c r="AJ461" s="536"/>
      <c r="AK461" s="536"/>
      <c r="AL461" s="536"/>
      <c r="AM461" s="536"/>
      <c r="AN461" s="536"/>
      <c r="AO461" s="536"/>
      <c r="AP461" s="536"/>
      <c r="AQ461" s="536"/>
      <c r="AR461" s="536"/>
      <c r="AS461" s="536"/>
      <c r="AT461" s="536"/>
      <c r="AU461" s="536"/>
      <c r="AV461" s="536"/>
      <c r="AW461" s="536"/>
      <c r="AX461" s="536"/>
      <c r="AY461" s="536"/>
      <c r="AZ461" s="536"/>
      <c r="BA461" s="536"/>
      <c r="BB461" s="536"/>
      <c r="BC461" s="536"/>
      <c r="BD461" s="536"/>
      <c r="BE461" s="536"/>
      <c r="BF461" s="536"/>
      <c r="BG461" s="536"/>
      <c r="BH461" s="536"/>
      <c r="BI461" s="536"/>
      <c r="BJ461" s="536"/>
      <c r="BK461" s="536"/>
      <c r="BL461" s="536"/>
      <c r="BM461" s="536"/>
      <c r="BN461" s="536"/>
      <c r="BO461" s="536"/>
      <c r="BP461" s="536"/>
      <c r="BQ461" s="536"/>
      <c r="BR461" s="536"/>
      <c r="BS461" s="536"/>
      <c r="BT461" s="536"/>
      <c r="BU461" s="536"/>
      <c r="BV461" s="536"/>
      <c r="BW461" s="536"/>
      <c r="BX461" s="536"/>
      <c r="BY461" s="536"/>
      <c r="BZ461" s="536"/>
      <c r="CA461" s="536"/>
      <c r="CB461" s="536"/>
      <c r="CC461" s="536"/>
      <c r="CD461" s="536"/>
      <c r="CE461" s="536"/>
      <c r="CF461" s="536"/>
      <c r="CJ461" s="535" t="s">
        <v>720</v>
      </c>
    </row>
    <row r="462" spans="1:88" s="535" customFormat="1" ht="21.95" customHeight="1">
      <c r="E462" s="535" t="s">
        <v>376</v>
      </c>
      <c r="CJ462" s="535" t="s">
        <v>719</v>
      </c>
    </row>
    <row r="463" spans="1:88" s="535" customFormat="1" ht="21.95" customHeight="1">
      <c r="A463" s="540"/>
      <c r="B463" s="540"/>
      <c r="C463" s="540"/>
      <c r="D463" s="540"/>
      <c r="G463" s="1580" t="s">
        <v>377</v>
      </c>
      <c r="H463" s="1580"/>
      <c r="I463" s="1580"/>
      <c r="J463" s="1580"/>
      <c r="L463" s="543" t="s">
        <v>378</v>
      </c>
      <c r="M463" s="543"/>
      <c r="N463" s="543"/>
      <c r="O463" s="543"/>
      <c r="P463" s="543"/>
      <c r="Q463" s="543"/>
      <c r="R463" s="543"/>
      <c r="S463" s="543"/>
      <c r="T463" s="543"/>
      <c r="U463" s="543"/>
      <c r="V463" s="543"/>
      <c r="W463" s="543"/>
      <c r="X463" s="543"/>
      <c r="Y463" s="543"/>
      <c r="Z463" s="543"/>
      <c r="AA463" s="543"/>
      <c r="AB463" s="543"/>
      <c r="AC463" s="543"/>
      <c r="AD463" s="543"/>
      <c r="AE463" s="543"/>
      <c r="AM463" s="535" t="s">
        <v>379</v>
      </c>
      <c r="AV463" s="544"/>
      <c r="AW463" s="544"/>
      <c r="AX463" s="544"/>
      <c r="AY463" s="544"/>
      <c r="AZ463" s="544"/>
      <c r="BA463" s="544"/>
      <c r="BC463" s="544"/>
      <c r="BD463" s="544"/>
      <c r="BE463" s="545"/>
      <c r="BF463" s="545"/>
      <c r="BG463" s="545"/>
      <c r="BH463" s="545"/>
      <c r="BI463" s="535" t="s">
        <v>380</v>
      </c>
      <c r="BJ463" s="545"/>
      <c r="BK463" s="545"/>
      <c r="BL463" s="545"/>
      <c r="BM463" s="545"/>
      <c r="BN463" s="545"/>
      <c r="BO463" s="545"/>
      <c r="BP463" s="545"/>
      <c r="BQ463" s="545"/>
      <c r="BR463" s="545"/>
      <c r="BS463" s="545"/>
      <c r="BT463" s="545"/>
      <c r="BU463" s="545"/>
      <c r="BV463" s="545"/>
      <c r="BW463" s="545"/>
      <c r="BX463" s="545"/>
      <c r="BY463" s="545"/>
      <c r="BZ463" s="545"/>
      <c r="CA463" s="545"/>
      <c r="CB463" s="545"/>
      <c r="CC463" s="545"/>
      <c r="CD463" s="545"/>
      <c r="CE463" s="545"/>
      <c r="CF463" s="545"/>
      <c r="CJ463" s="535" t="s">
        <v>718</v>
      </c>
    </row>
    <row r="464" spans="1:88" s="535" customFormat="1" ht="21.95" customHeight="1">
      <c r="D464" s="405"/>
      <c r="G464" s="1580"/>
      <c r="H464" s="1580"/>
      <c r="I464" s="1580"/>
      <c r="J464" s="1580"/>
      <c r="L464" s="1557" t="s">
        <v>381</v>
      </c>
      <c r="M464" s="1557"/>
      <c r="N464" s="1557"/>
      <c r="O464" s="1557"/>
      <c r="P464" s="1557"/>
      <c r="Q464" s="1557"/>
      <c r="R464" s="1557"/>
      <c r="S464" s="1557"/>
      <c r="T464" s="1557"/>
      <c r="U464" s="1557"/>
      <c r="V464" s="1557"/>
      <c r="W464" s="1557"/>
      <c r="X464" s="1557"/>
      <c r="Y464" s="1557"/>
      <c r="Z464" s="1557"/>
      <c r="AA464" s="1557"/>
      <c r="AB464" s="1557"/>
      <c r="AC464" s="1557"/>
      <c r="AD464" s="1557"/>
      <c r="AE464" s="1557"/>
      <c r="AM464" s="544" t="s">
        <v>517</v>
      </c>
      <c r="AV464" s="544"/>
      <c r="AW464" s="544"/>
      <c r="AX464" s="544"/>
      <c r="AY464" s="544"/>
      <c r="AZ464" s="544"/>
      <c r="BA464" s="544"/>
      <c r="BC464" s="544"/>
      <c r="BD464" s="544"/>
      <c r="BE464" s="545"/>
      <c r="BF464" s="545"/>
      <c r="BG464" s="545"/>
      <c r="BH464" s="545"/>
      <c r="BI464" s="545"/>
      <c r="BJ464" s="545"/>
      <c r="BK464" s="545"/>
      <c r="BL464" s="545"/>
      <c r="BM464" s="545"/>
      <c r="BN464" s="545"/>
      <c r="BO464" s="545"/>
      <c r="BP464" s="545"/>
      <c r="BQ464" s="545"/>
      <c r="BR464" s="545"/>
      <c r="BS464" s="545"/>
      <c r="BT464" s="545"/>
      <c r="BU464" s="545"/>
      <c r="BV464" s="545"/>
      <c r="BW464" s="545"/>
      <c r="BX464" s="545"/>
      <c r="BY464" s="545"/>
      <c r="BZ464" s="545"/>
      <c r="CA464" s="545"/>
      <c r="CB464" s="545"/>
      <c r="CC464" s="545"/>
      <c r="CD464" s="545"/>
      <c r="CE464" s="545"/>
      <c r="CF464" s="545"/>
      <c r="CJ464" s="535" t="s">
        <v>717</v>
      </c>
    </row>
    <row r="465" spans="1:88" s="535" customFormat="1" ht="21.95" customHeight="1">
      <c r="G465" s="540"/>
      <c r="AM465" s="544" t="s">
        <v>383</v>
      </c>
      <c r="BI465" s="535" t="s">
        <v>384</v>
      </c>
      <c r="BT465" s="410"/>
      <c r="BU465" s="410"/>
      <c r="BV465" s="410"/>
      <c r="BW465" s="410"/>
      <c r="BX465" s="410"/>
      <c r="BY465" s="410"/>
      <c r="BZ465" s="410"/>
      <c r="CA465" s="410"/>
      <c r="CB465" s="410"/>
      <c r="CC465" s="410"/>
      <c r="CJ465" s="535" t="s">
        <v>716</v>
      </c>
    </row>
    <row r="466" spans="1:88" s="535" customFormat="1" ht="9.9499999999999993" customHeight="1" thickBot="1">
      <c r="D466" s="405"/>
      <c r="Q466" s="546"/>
      <c r="R466" s="546"/>
      <c r="S466" s="546"/>
      <c r="T466" s="546"/>
      <c r="U466" s="546"/>
      <c r="V466" s="546"/>
      <c r="W466" s="546"/>
      <c r="X466" s="546"/>
      <c r="Y466" s="546"/>
      <c r="Z466" s="546"/>
      <c r="AA466" s="546"/>
      <c r="AB466" s="546"/>
      <c r="AV466" s="544"/>
      <c r="AW466" s="544"/>
      <c r="AX466" s="544"/>
      <c r="AY466" s="544"/>
      <c r="AZ466" s="544"/>
      <c r="BA466" s="544"/>
      <c r="BB466" s="544"/>
      <c r="BC466" s="544"/>
      <c r="BD466" s="544"/>
      <c r="BE466" s="545"/>
      <c r="BF466" s="545"/>
      <c r="BG466" s="545"/>
      <c r="BH466" s="545"/>
      <c r="BI466" s="545"/>
      <c r="BJ466" s="545"/>
      <c r="BK466" s="545"/>
      <c r="BL466" s="545"/>
      <c r="BM466" s="545"/>
      <c r="BN466" s="545"/>
      <c r="BO466" s="545"/>
      <c r="BP466" s="545"/>
      <c r="BQ466" s="545"/>
      <c r="BR466" s="545"/>
      <c r="BS466" s="545"/>
      <c r="BT466" s="545"/>
      <c r="BU466" s="545"/>
      <c r="BV466" s="545"/>
      <c r="BW466" s="545"/>
      <c r="BX466" s="545"/>
      <c r="BY466" s="545"/>
      <c r="BZ466" s="545"/>
      <c r="CA466" s="545"/>
      <c r="CB466" s="545"/>
      <c r="CC466" s="545"/>
      <c r="CD466" s="545"/>
      <c r="CE466" s="545"/>
      <c r="CF466" s="545"/>
    </row>
    <row r="467" spans="1:88" s="535" customFormat="1" ht="21.95" customHeight="1" thickBot="1">
      <c r="A467" s="540"/>
      <c r="B467" s="540"/>
      <c r="C467" s="540"/>
      <c r="D467" s="540"/>
      <c r="E467" s="1581" t="s">
        <v>385</v>
      </c>
      <c r="F467" s="1582"/>
      <c r="G467" s="1582"/>
      <c r="H467" s="1582"/>
      <c r="I467" s="1582"/>
      <c r="J467" s="1582"/>
      <c r="K467" s="1582"/>
      <c r="L467" s="1582"/>
      <c r="M467" s="1582"/>
      <c r="N467" s="1582"/>
      <c r="O467" s="1582"/>
      <c r="P467" s="1582"/>
      <c r="Q467" s="1582" t="s">
        <v>212</v>
      </c>
      <c r="R467" s="1582"/>
      <c r="S467" s="1582"/>
      <c r="T467" s="1582"/>
      <c r="U467" s="1582"/>
      <c r="V467" s="1582"/>
      <c r="W467" s="1582"/>
      <c r="X467" s="1582"/>
      <c r="Y467" s="1582"/>
      <c r="Z467" s="1582"/>
      <c r="AA467" s="1582"/>
      <c r="AB467" s="1582"/>
      <c r="AC467" s="1582" t="s">
        <v>386</v>
      </c>
      <c r="AD467" s="1582"/>
      <c r="AE467" s="1582"/>
      <c r="AF467" s="1582"/>
      <c r="AG467" s="1582"/>
      <c r="AH467" s="1582"/>
      <c r="AI467" s="1582"/>
      <c r="AJ467" s="1582"/>
      <c r="AK467" s="1582" t="s">
        <v>387</v>
      </c>
      <c r="AL467" s="1582"/>
      <c r="AM467" s="1582"/>
      <c r="AN467" s="1582"/>
      <c r="AO467" s="1582"/>
      <c r="AP467" s="1582"/>
      <c r="AQ467" s="1582"/>
      <c r="AR467" s="1582"/>
      <c r="AS467" s="1582" t="s">
        <v>388</v>
      </c>
      <c r="AT467" s="1582"/>
      <c r="AU467" s="1582"/>
      <c r="AV467" s="1582"/>
      <c r="AW467" s="1582"/>
      <c r="AX467" s="1582"/>
      <c r="AY467" s="1582"/>
      <c r="AZ467" s="1582"/>
      <c r="BA467" s="1582" t="s">
        <v>389</v>
      </c>
      <c r="BB467" s="1582"/>
      <c r="BC467" s="1582"/>
      <c r="BD467" s="1582"/>
      <c r="BE467" s="1582"/>
      <c r="BF467" s="1582"/>
      <c r="BG467" s="1582"/>
      <c r="BH467" s="1582"/>
      <c r="BI467" s="1582" t="s">
        <v>381</v>
      </c>
      <c r="BJ467" s="1582"/>
      <c r="BK467" s="1582"/>
      <c r="BL467" s="1582"/>
      <c r="BM467" s="1582"/>
      <c r="BN467" s="1582"/>
      <c r="BO467" s="1582"/>
      <c r="BP467" s="1582"/>
      <c r="BQ467" s="1582"/>
      <c r="BR467" s="1582"/>
      <c r="BS467" s="1582"/>
      <c r="BT467" s="1582"/>
      <c r="BU467" s="1570" t="s">
        <v>390</v>
      </c>
      <c r="BV467" s="1570"/>
      <c r="BW467" s="1570"/>
      <c r="BX467" s="1570"/>
      <c r="BY467" s="1570"/>
      <c r="BZ467" s="1570"/>
      <c r="CA467" s="1570"/>
      <c r="CB467" s="1570"/>
      <c r="CC467" s="1570"/>
      <c r="CD467" s="1570"/>
      <c r="CE467" s="1570"/>
      <c r="CF467" s="1571"/>
      <c r="CJ467" s="535" t="s">
        <v>715</v>
      </c>
    </row>
    <row r="468" spans="1:88" s="535" customFormat="1" ht="21.95" customHeight="1" thickTop="1">
      <c r="D468" s="405"/>
      <c r="E468" s="1572" t="s">
        <v>391</v>
      </c>
      <c r="F468" s="1573"/>
      <c r="G468" s="1573"/>
      <c r="H468" s="1573"/>
      <c r="I468" s="1573"/>
      <c r="J468" s="1573"/>
      <c r="K468" s="1573"/>
      <c r="L468" s="1573"/>
      <c r="M468" s="1573"/>
      <c r="N468" s="1573"/>
      <c r="O468" s="1573"/>
      <c r="P468" s="1573"/>
      <c r="Q468" s="1574" t="s">
        <v>392</v>
      </c>
      <c r="R468" s="1574"/>
      <c r="S468" s="1574"/>
      <c r="T468" s="1574"/>
      <c r="U468" s="1574"/>
      <c r="V468" s="1574"/>
      <c r="W468" s="1574"/>
      <c r="X468" s="1574"/>
      <c r="Y468" s="1574"/>
      <c r="Z468" s="1574"/>
      <c r="AA468" s="1574"/>
      <c r="AB468" s="1574"/>
      <c r="AC468" s="1575">
        <v>0.12</v>
      </c>
      <c r="AD468" s="1575"/>
      <c r="AE468" s="1575"/>
      <c r="AF468" s="1575"/>
      <c r="AG468" s="1575"/>
      <c r="AH468" s="1575"/>
      <c r="AI468" s="1575"/>
      <c r="AJ468" s="1575"/>
      <c r="AK468" s="1573">
        <v>0.7</v>
      </c>
      <c r="AL468" s="1573"/>
      <c r="AM468" s="1573"/>
      <c r="AN468" s="1573"/>
      <c r="AO468" s="1573"/>
      <c r="AP468" s="1573"/>
      <c r="AQ468" s="1573"/>
      <c r="AR468" s="1573"/>
      <c r="AS468" s="1573">
        <v>0.67</v>
      </c>
      <c r="AT468" s="1573"/>
      <c r="AU468" s="1573"/>
      <c r="AV468" s="1573"/>
      <c r="AW468" s="1573"/>
      <c r="AX468" s="1573"/>
      <c r="AY468" s="1573"/>
      <c r="AZ468" s="1573"/>
      <c r="BA468" s="1573">
        <v>0.45</v>
      </c>
      <c r="BB468" s="1573"/>
      <c r="BC468" s="1573"/>
      <c r="BD468" s="1573"/>
      <c r="BE468" s="1573"/>
      <c r="BF468" s="1573"/>
      <c r="BG468" s="1573"/>
      <c r="BH468" s="1573"/>
      <c r="BI468" s="1564" t="s">
        <v>398</v>
      </c>
      <c r="BJ468" s="1552"/>
      <c r="BK468" s="1552"/>
      <c r="BL468" s="1552"/>
      <c r="BM468" s="1552"/>
      <c r="BN468" s="1552"/>
      <c r="BO468" s="1576">
        <v>15</v>
      </c>
      <c r="BP468" s="1577"/>
      <c r="BQ468" s="1577"/>
      <c r="BR468" s="1577"/>
      <c r="BS468" s="1577"/>
      <c r="BT468" s="1578"/>
      <c r="BU468" s="1554">
        <f t="shared" ref="BU468:BU476" si="49">ROUND(3600*AC468*AK468*AS468*BA468/BO468,2)</f>
        <v>6.08</v>
      </c>
      <c r="BV468" s="1554"/>
      <c r="BW468" s="1554"/>
      <c r="BX468" s="1554"/>
      <c r="BY468" s="1554"/>
      <c r="BZ468" s="1554"/>
      <c r="CA468" s="1554"/>
      <c r="CB468" s="1554"/>
      <c r="CC468" s="1554"/>
      <c r="CD468" s="1554"/>
      <c r="CE468" s="1554"/>
      <c r="CF468" s="1555"/>
    </row>
    <row r="469" spans="1:88" s="535" customFormat="1" ht="21.95" customHeight="1">
      <c r="D469" s="405"/>
      <c r="E469" s="1565" t="s">
        <v>391</v>
      </c>
      <c r="F469" s="1566"/>
      <c r="G469" s="1566"/>
      <c r="H469" s="1566"/>
      <c r="I469" s="1566"/>
      <c r="J469" s="1566"/>
      <c r="K469" s="1566"/>
      <c r="L469" s="1566"/>
      <c r="M469" s="1566"/>
      <c r="N469" s="1566"/>
      <c r="O469" s="1566"/>
      <c r="P469" s="1566"/>
      <c r="Q469" s="1567" t="s">
        <v>394</v>
      </c>
      <c r="R469" s="1567"/>
      <c r="S469" s="1567"/>
      <c r="T469" s="1567"/>
      <c r="U469" s="1567"/>
      <c r="V469" s="1567"/>
      <c r="W469" s="1567"/>
      <c r="X469" s="1567"/>
      <c r="Y469" s="1567"/>
      <c r="Z469" s="1567"/>
      <c r="AA469" s="1567"/>
      <c r="AB469" s="1567"/>
      <c r="AC469" s="1569">
        <v>0.18</v>
      </c>
      <c r="AD469" s="1569"/>
      <c r="AE469" s="1569"/>
      <c r="AF469" s="1569"/>
      <c r="AG469" s="1569"/>
      <c r="AH469" s="1569"/>
      <c r="AI469" s="1569"/>
      <c r="AJ469" s="1569"/>
      <c r="AK469" s="1566">
        <v>0.7</v>
      </c>
      <c r="AL469" s="1566"/>
      <c r="AM469" s="1566"/>
      <c r="AN469" s="1566"/>
      <c r="AO469" s="1566"/>
      <c r="AP469" s="1566"/>
      <c r="AQ469" s="1566"/>
      <c r="AR469" s="1566"/>
      <c r="AS469" s="1566">
        <v>0.67</v>
      </c>
      <c r="AT469" s="1566"/>
      <c r="AU469" s="1566"/>
      <c r="AV469" s="1566"/>
      <c r="AW469" s="1566"/>
      <c r="AX469" s="1566"/>
      <c r="AY469" s="1566"/>
      <c r="AZ469" s="1566"/>
      <c r="BA469" s="1566">
        <v>0.45</v>
      </c>
      <c r="BB469" s="1566"/>
      <c r="BC469" s="1566"/>
      <c r="BD469" s="1566"/>
      <c r="BE469" s="1566"/>
      <c r="BF469" s="1566"/>
      <c r="BG469" s="1566"/>
      <c r="BH469" s="1566"/>
      <c r="BI469" s="1564" t="s">
        <v>398</v>
      </c>
      <c r="BJ469" s="1552"/>
      <c r="BK469" s="1552"/>
      <c r="BL469" s="1552"/>
      <c r="BM469" s="1552"/>
      <c r="BN469" s="1552"/>
      <c r="BO469" s="1551">
        <v>15</v>
      </c>
      <c r="BP469" s="1552"/>
      <c r="BQ469" s="1552"/>
      <c r="BR469" s="1552"/>
      <c r="BS469" s="1552"/>
      <c r="BT469" s="1553"/>
      <c r="BU469" s="1554">
        <f t="shared" si="49"/>
        <v>9.1199999999999992</v>
      </c>
      <c r="BV469" s="1554"/>
      <c r="BW469" s="1554"/>
      <c r="BX469" s="1554"/>
      <c r="BY469" s="1554"/>
      <c r="BZ469" s="1554"/>
      <c r="CA469" s="1554"/>
      <c r="CB469" s="1554"/>
      <c r="CC469" s="1554"/>
      <c r="CD469" s="1554"/>
      <c r="CE469" s="1554"/>
      <c r="CF469" s="1555"/>
    </row>
    <row r="470" spans="1:88" s="535" customFormat="1" ht="21.95" customHeight="1">
      <c r="A470" s="540"/>
      <c r="B470" s="540"/>
      <c r="C470" s="540"/>
      <c r="D470" s="540"/>
      <c r="E470" s="1565" t="s">
        <v>391</v>
      </c>
      <c r="F470" s="1566"/>
      <c r="G470" s="1566"/>
      <c r="H470" s="1566"/>
      <c r="I470" s="1566"/>
      <c r="J470" s="1566"/>
      <c r="K470" s="1566"/>
      <c r="L470" s="1566"/>
      <c r="M470" s="1566"/>
      <c r="N470" s="1566"/>
      <c r="O470" s="1566"/>
      <c r="P470" s="1566"/>
      <c r="Q470" s="1567" t="s">
        <v>395</v>
      </c>
      <c r="R470" s="1567"/>
      <c r="S470" s="1567"/>
      <c r="T470" s="1567"/>
      <c r="U470" s="1567"/>
      <c r="V470" s="1567"/>
      <c r="W470" s="1567"/>
      <c r="X470" s="1567"/>
      <c r="Y470" s="1567"/>
      <c r="Z470" s="1567"/>
      <c r="AA470" s="1567"/>
      <c r="AB470" s="1567"/>
      <c r="AC470" s="1568">
        <v>0.2</v>
      </c>
      <c r="AD470" s="1568"/>
      <c r="AE470" s="1568"/>
      <c r="AF470" s="1568"/>
      <c r="AG470" s="1568"/>
      <c r="AH470" s="1568"/>
      <c r="AI470" s="1568"/>
      <c r="AJ470" s="1568"/>
      <c r="AK470" s="1566">
        <v>0.7</v>
      </c>
      <c r="AL470" s="1566"/>
      <c r="AM470" s="1566"/>
      <c r="AN470" s="1566"/>
      <c r="AO470" s="1566"/>
      <c r="AP470" s="1566"/>
      <c r="AQ470" s="1566"/>
      <c r="AR470" s="1566"/>
      <c r="AS470" s="1566">
        <v>0.67</v>
      </c>
      <c r="AT470" s="1566"/>
      <c r="AU470" s="1566"/>
      <c r="AV470" s="1566"/>
      <c r="AW470" s="1566"/>
      <c r="AX470" s="1566"/>
      <c r="AY470" s="1566"/>
      <c r="AZ470" s="1566"/>
      <c r="BA470" s="1566">
        <v>0.45</v>
      </c>
      <c r="BB470" s="1566"/>
      <c r="BC470" s="1566"/>
      <c r="BD470" s="1566"/>
      <c r="BE470" s="1566"/>
      <c r="BF470" s="1566"/>
      <c r="BG470" s="1566"/>
      <c r="BH470" s="1566"/>
      <c r="BI470" s="1564" t="s">
        <v>398</v>
      </c>
      <c r="BJ470" s="1552"/>
      <c r="BK470" s="1552"/>
      <c r="BL470" s="1552"/>
      <c r="BM470" s="1552"/>
      <c r="BN470" s="1552"/>
      <c r="BO470" s="1551">
        <v>15</v>
      </c>
      <c r="BP470" s="1552"/>
      <c r="BQ470" s="1552"/>
      <c r="BR470" s="1552"/>
      <c r="BS470" s="1552"/>
      <c r="BT470" s="1553"/>
      <c r="BU470" s="1554">
        <f t="shared" si="49"/>
        <v>10.130000000000001</v>
      </c>
      <c r="BV470" s="1554"/>
      <c r="BW470" s="1554"/>
      <c r="BX470" s="1554"/>
      <c r="BY470" s="1554"/>
      <c r="BZ470" s="1554"/>
      <c r="CA470" s="1554"/>
      <c r="CB470" s="1554"/>
      <c r="CC470" s="1554"/>
      <c r="CD470" s="1554"/>
      <c r="CE470" s="1554"/>
      <c r="CF470" s="1555"/>
    </row>
    <row r="471" spans="1:88" s="535" customFormat="1" ht="21.95" customHeight="1">
      <c r="E471" s="1565" t="s">
        <v>391</v>
      </c>
      <c r="F471" s="1566"/>
      <c r="G471" s="1566"/>
      <c r="H471" s="1566"/>
      <c r="I471" s="1566"/>
      <c r="J471" s="1566"/>
      <c r="K471" s="1566"/>
      <c r="L471" s="1566"/>
      <c r="M471" s="1566"/>
      <c r="N471" s="1566"/>
      <c r="O471" s="1566"/>
      <c r="P471" s="1566"/>
      <c r="Q471" s="1567" t="s">
        <v>359</v>
      </c>
      <c r="R471" s="1567"/>
      <c r="S471" s="1567"/>
      <c r="T471" s="1567"/>
      <c r="U471" s="1567"/>
      <c r="V471" s="1567"/>
      <c r="W471" s="1567"/>
      <c r="X471" s="1567"/>
      <c r="Y471" s="1567"/>
      <c r="Z471" s="1567"/>
      <c r="AA471" s="1567"/>
      <c r="AB471" s="1567"/>
      <c r="AC471" s="1568">
        <v>0.4</v>
      </c>
      <c r="AD471" s="1568"/>
      <c r="AE471" s="1568"/>
      <c r="AF471" s="1568"/>
      <c r="AG471" s="1568"/>
      <c r="AH471" s="1568"/>
      <c r="AI471" s="1568"/>
      <c r="AJ471" s="1568"/>
      <c r="AK471" s="1566">
        <v>0.7</v>
      </c>
      <c r="AL471" s="1566"/>
      <c r="AM471" s="1566"/>
      <c r="AN471" s="1566"/>
      <c r="AO471" s="1566"/>
      <c r="AP471" s="1566"/>
      <c r="AQ471" s="1566"/>
      <c r="AR471" s="1566"/>
      <c r="AS471" s="1566">
        <v>0.67</v>
      </c>
      <c r="AT471" s="1566"/>
      <c r="AU471" s="1566"/>
      <c r="AV471" s="1566"/>
      <c r="AW471" s="1566"/>
      <c r="AX471" s="1566"/>
      <c r="AY471" s="1566"/>
      <c r="AZ471" s="1566"/>
      <c r="BA471" s="1566">
        <v>0.45</v>
      </c>
      <c r="BB471" s="1566"/>
      <c r="BC471" s="1566"/>
      <c r="BD471" s="1566"/>
      <c r="BE471" s="1566"/>
      <c r="BF471" s="1566"/>
      <c r="BG471" s="1566"/>
      <c r="BH471" s="1566"/>
      <c r="BI471" s="1564" t="s">
        <v>398</v>
      </c>
      <c r="BJ471" s="1552"/>
      <c r="BK471" s="1552"/>
      <c r="BL471" s="1552"/>
      <c r="BM471" s="1552"/>
      <c r="BN471" s="1552"/>
      <c r="BO471" s="1551">
        <v>15</v>
      </c>
      <c r="BP471" s="1552"/>
      <c r="BQ471" s="1552"/>
      <c r="BR471" s="1552"/>
      <c r="BS471" s="1552"/>
      <c r="BT471" s="1553"/>
      <c r="BU471" s="1554">
        <f t="shared" si="49"/>
        <v>20.260000000000002</v>
      </c>
      <c r="BV471" s="1554"/>
      <c r="BW471" s="1554"/>
      <c r="BX471" s="1554"/>
      <c r="BY471" s="1554"/>
      <c r="BZ471" s="1554"/>
      <c r="CA471" s="1554"/>
      <c r="CB471" s="1554"/>
      <c r="CC471" s="1554"/>
      <c r="CD471" s="1554"/>
      <c r="CE471" s="1554"/>
      <c r="CF471" s="1555"/>
    </row>
    <row r="472" spans="1:88" s="535" customFormat="1" ht="21.95" customHeight="1">
      <c r="A472" s="540"/>
      <c r="B472" s="540"/>
      <c r="C472" s="540"/>
      <c r="D472" s="540"/>
      <c r="E472" s="1565" t="s">
        <v>391</v>
      </c>
      <c r="F472" s="1566"/>
      <c r="G472" s="1566"/>
      <c r="H472" s="1566"/>
      <c r="I472" s="1566"/>
      <c r="J472" s="1566"/>
      <c r="K472" s="1566"/>
      <c r="L472" s="1566"/>
      <c r="M472" s="1566"/>
      <c r="N472" s="1566"/>
      <c r="O472" s="1566"/>
      <c r="P472" s="1566"/>
      <c r="Q472" s="1567" t="s">
        <v>397</v>
      </c>
      <c r="R472" s="1567"/>
      <c r="S472" s="1567"/>
      <c r="T472" s="1567"/>
      <c r="U472" s="1567"/>
      <c r="V472" s="1567"/>
      <c r="W472" s="1567"/>
      <c r="X472" s="1567"/>
      <c r="Y472" s="1567"/>
      <c r="Z472" s="1567"/>
      <c r="AA472" s="1567"/>
      <c r="AB472" s="1567"/>
      <c r="AC472" s="1568">
        <v>0.6</v>
      </c>
      <c r="AD472" s="1568"/>
      <c r="AE472" s="1568"/>
      <c r="AF472" s="1568"/>
      <c r="AG472" s="1568"/>
      <c r="AH472" s="1568"/>
      <c r="AI472" s="1568"/>
      <c r="AJ472" s="1568"/>
      <c r="AK472" s="1566">
        <v>0.7</v>
      </c>
      <c r="AL472" s="1566"/>
      <c r="AM472" s="1566"/>
      <c r="AN472" s="1566"/>
      <c r="AO472" s="1566"/>
      <c r="AP472" s="1566"/>
      <c r="AQ472" s="1566"/>
      <c r="AR472" s="1566"/>
      <c r="AS472" s="1566">
        <v>0.67</v>
      </c>
      <c r="AT472" s="1566"/>
      <c r="AU472" s="1566"/>
      <c r="AV472" s="1566"/>
      <c r="AW472" s="1566"/>
      <c r="AX472" s="1566"/>
      <c r="AY472" s="1566"/>
      <c r="AZ472" s="1566"/>
      <c r="BA472" s="1566">
        <v>0.45</v>
      </c>
      <c r="BB472" s="1566"/>
      <c r="BC472" s="1566"/>
      <c r="BD472" s="1566"/>
      <c r="BE472" s="1566"/>
      <c r="BF472" s="1566"/>
      <c r="BG472" s="1566"/>
      <c r="BH472" s="1566"/>
      <c r="BI472" s="1564" t="s">
        <v>398</v>
      </c>
      <c r="BJ472" s="1552"/>
      <c r="BK472" s="1552"/>
      <c r="BL472" s="1552"/>
      <c r="BM472" s="1552"/>
      <c r="BN472" s="1552"/>
      <c r="BO472" s="1551">
        <v>18</v>
      </c>
      <c r="BP472" s="1552"/>
      <c r="BQ472" s="1552"/>
      <c r="BR472" s="1552"/>
      <c r="BS472" s="1552"/>
      <c r="BT472" s="1553"/>
      <c r="BU472" s="1554">
        <f t="shared" si="49"/>
        <v>25.33</v>
      </c>
      <c r="BV472" s="1554"/>
      <c r="BW472" s="1554"/>
      <c r="BX472" s="1554"/>
      <c r="BY472" s="1554"/>
      <c r="BZ472" s="1554"/>
      <c r="CA472" s="1554"/>
      <c r="CB472" s="1554"/>
      <c r="CC472" s="1554"/>
      <c r="CD472" s="1554"/>
      <c r="CE472" s="1554"/>
      <c r="CF472" s="1555"/>
    </row>
    <row r="473" spans="1:88" s="535" customFormat="1" ht="21.95" customHeight="1">
      <c r="E473" s="1565" t="s">
        <v>391</v>
      </c>
      <c r="F473" s="1566"/>
      <c r="G473" s="1566"/>
      <c r="H473" s="1566"/>
      <c r="I473" s="1566"/>
      <c r="J473" s="1566"/>
      <c r="K473" s="1566"/>
      <c r="L473" s="1566"/>
      <c r="M473" s="1566"/>
      <c r="N473" s="1566"/>
      <c r="O473" s="1566"/>
      <c r="P473" s="1566"/>
      <c r="Q473" s="1567" t="s">
        <v>399</v>
      </c>
      <c r="R473" s="1567"/>
      <c r="S473" s="1567"/>
      <c r="T473" s="1567"/>
      <c r="U473" s="1567"/>
      <c r="V473" s="1567"/>
      <c r="W473" s="1567"/>
      <c r="X473" s="1567"/>
      <c r="Y473" s="1567"/>
      <c r="Z473" s="1567"/>
      <c r="AA473" s="1567"/>
      <c r="AB473" s="1567"/>
      <c r="AC473" s="1568">
        <v>0.7</v>
      </c>
      <c r="AD473" s="1568"/>
      <c r="AE473" s="1568"/>
      <c r="AF473" s="1568"/>
      <c r="AG473" s="1568"/>
      <c r="AH473" s="1568"/>
      <c r="AI473" s="1568"/>
      <c r="AJ473" s="1568"/>
      <c r="AK473" s="1566">
        <v>0.7</v>
      </c>
      <c r="AL473" s="1566"/>
      <c r="AM473" s="1566"/>
      <c r="AN473" s="1566"/>
      <c r="AO473" s="1566"/>
      <c r="AP473" s="1566"/>
      <c r="AQ473" s="1566"/>
      <c r="AR473" s="1566"/>
      <c r="AS473" s="1566">
        <v>0.67</v>
      </c>
      <c r="AT473" s="1566"/>
      <c r="AU473" s="1566"/>
      <c r="AV473" s="1566"/>
      <c r="AW473" s="1566"/>
      <c r="AX473" s="1566"/>
      <c r="AY473" s="1566"/>
      <c r="AZ473" s="1566"/>
      <c r="BA473" s="1566">
        <v>0.45</v>
      </c>
      <c r="BB473" s="1566"/>
      <c r="BC473" s="1566"/>
      <c r="BD473" s="1566"/>
      <c r="BE473" s="1566"/>
      <c r="BF473" s="1566"/>
      <c r="BG473" s="1566"/>
      <c r="BH473" s="1566"/>
      <c r="BI473" s="1564" t="s">
        <v>398</v>
      </c>
      <c r="BJ473" s="1552"/>
      <c r="BK473" s="1552"/>
      <c r="BL473" s="1552"/>
      <c r="BM473" s="1552"/>
      <c r="BN473" s="1552"/>
      <c r="BO473" s="1551">
        <v>18</v>
      </c>
      <c r="BP473" s="1552"/>
      <c r="BQ473" s="1552"/>
      <c r="BR473" s="1552"/>
      <c r="BS473" s="1552"/>
      <c r="BT473" s="1553"/>
      <c r="BU473" s="1554">
        <f t="shared" si="49"/>
        <v>29.55</v>
      </c>
      <c r="BV473" s="1554"/>
      <c r="BW473" s="1554"/>
      <c r="BX473" s="1554"/>
      <c r="BY473" s="1554"/>
      <c r="BZ473" s="1554"/>
      <c r="CA473" s="1554"/>
      <c r="CB473" s="1554"/>
      <c r="CC473" s="1554"/>
      <c r="CD473" s="1554"/>
      <c r="CE473" s="1554"/>
      <c r="CF473" s="1555"/>
    </row>
    <row r="474" spans="1:88" s="535" customFormat="1" ht="21.95" customHeight="1">
      <c r="E474" s="1565" t="s">
        <v>391</v>
      </c>
      <c r="F474" s="1566"/>
      <c r="G474" s="1566"/>
      <c r="H474" s="1566"/>
      <c r="I474" s="1566"/>
      <c r="J474" s="1566"/>
      <c r="K474" s="1566"/>
      <c r="L474" s="1566"/>
      <c r="M474" s="1566"/>
      <c r="N474" s="1566"/>
      <c r="O474" s="1566"/>
      <c r="P474" s="1566"/>
      <c r="Q474" s="1567" t="s">
        <v>400</v>
      </c>
      <c r="R474" s="1567"/>
      <c r="S474" s="1567"/>
      <c r="T474" s="1567"/>
      <c r="U474" s="1567"/>
      <c r="V474" s="1567"/>
      <c r="W474" s="1567"/>
      <c r="X474" s="1567"/>
      <c r="Y474" s="1567"/>
      <c r="Z474" s="1567"/>
      <c r="AA474" s="1567"/>
      <c r="AB474" s="1567"/>
      <c r="AC474" s="1568">
        <v>0.8</v>
      </c>
      <c r="AD474" s="1568"/>
      <c r="AE474" s="1568"/>
      <c r="AF474" s="1568"/>
      <c r="AG474" s="1568"/>
      <c r="AH474" s="1568"/>
      <c r="AI474" s="1568"/>
      <c r="AJ474" s="1568"/>
      <c r="AK474" s="1566">
        <v>0.7</v>
      </c>
      <c r="AL474" s="1566"/>
      <c r="AM474" s="1566"/>
      <c r="AN474" s="1566"/>
      <c r="AO474" s="1566"/>
      <c r="AP474" s="1566"/>
      <c r="AQ474" s="1566"/>
      <c r="AR474" s="1566"/>
      <c r="AS474" s="1566">
        <v>0.67</v>
      </c>
      <c r="AT474" s="1566"/>
      <c r="AU474" s="1566"/>
      <c r="AV474" s="1566"/>
      <c r="AW474" s="1566"/>
      <c r="AX474" s="1566"/>
      <c r="AY474" s="1566"/>
      <c r="AZ474" s="1566"/>
      <c r="BA474" s="1566">
        <v>0.45</v>
      </c>
      <c r="BB474" s="1566"/>
      <c r="BC474" s="1566"/>
      <c r="BD474" s="1566"/>
      <c r="BE474" s="1566"/>
      <c r="BF474" s="1566"/>
      <c r="BG474" s="1566"/>
      <c r="BH474" s="1566"/>
      <c r="BI474" s="1564" t="s">
        <v>398</v>
      </c>
      <c r="BJ474" s="1552"/>
      <c r="BK474" s="1552"/>
      <c r="BL474" s="1552"/>
      <c r="BM474" s="1552"/>
      <c r="BN474" s="1552"/>
      <c r="BO474" s="1551">
        <v>18</v>
      </c>
      <c r="BP474" s="1552"/>
      <c r="BQ474" s="1552"/>
      <c r="BR474" s="1552"/>
      <c r="BS474" s="1552"/>
      <c r="BT474" s="1553"/>
      <c r="BU474" s="1554">
        <f t="shared" si="49"/>
        <v>33.770000000000003</v>
      </c>
      <c r="BV474" s="1554"/>
      <c r="BW474" s="1554"/>
      <c r="BX474" s="1554"/>
      <c r="BY474" s="1554"/>
      <c r="BZ474" s="1554"/>
      <c r="CA474" s="1554"/>
      <c r="CB474" s="1554"/>
      <c r="CC474" s="1554"/>
      <c r="CD474" s="1554"/>
      <c r="CE474" s="1554"/>
      <c r="CF474" s="1555"/>
    </row>
    <row r="475" spans="1:88" s="535" customFormat="1" ht="21.95" customHeight="1">
      <c r="A475" s="540"/>
      <c r="B475" s="540"/>
      <c r="C475" s="540"/>
      <c r="D475" s="540"/>
      <c r="E475" s="1556" t="s">
        <v>391</v>
      </c>
      <c r="F475" s="1557"/>
      <c r="G475" s="1557"/>
      <c r="H475" s="1557"/>
      <c r="I475" s="1557"/>
      <c r="J475" s="1557"/>
      <c r="K475" s="1557"/>
      <c r="L475" s="1557"/>
      <c r="M475" s="1557"/>
      <c r="N475" s="1557"/>
      <c r="O475" s="1557"/>
      <c r="P475" s="1558"/>
      <c r="Q475" s="1559" t="s">
        <v>401</v>
      </c>
      <c r="R475" s="1559"/>
      <c r="S475" s="1559"/>
      <c r="T475" s="1559"/>
      <c r="U475" s="1559"/>
      <c r="V475" s="1559"/>
      <c r="W475" s="1559"/>
      <c r="X475" s="1559"/>
      <c r="Y475" s="1559"/>
      <c r="Z475" s="1559"/>
      <c r="AA475" s="1559"/>
      <c r="AB475" s="1559"/>
      <c r="AC475" s="1560">
        <v>1</v>
      </c>
      <c r="AD475" s="1560"/>
      <c r="AE475" s="1560"/>
      <c r="AF475" s="1560"/>
      <c r="AG475" s="1560"/>
      <c r="AH475" s="1560"/>
      <c r="AI475" s="1560"/>
      <c r="AJ475" s="1560"/>
      <c r="AK475" s="1561">
        <v>0.7</v>
      </c>
      <c r="AL475" s="1561"/>
      <c r="AM475" s="1561"/>
      <c r="AN475" s="1561"/>
      <c r="AO475" s="1561"/>
      <c r="AP475" s="1561"/>
      <c r="AQ475" s="1561"/>
      <c r="AR475" s="1561"/>
      <c r="AS475" s="1561">
        <v>0.67</v>
      </c>
      <c r="AT475" s="1561"/>
      <c r="AU475" s="1561"/>
      <c r="AV475" s="1561"/>
      <c r="AW475" s="1561"/>
      <c r="AX475" s="1561"/>
      <c r="AY475" s="1561"/>
      <c r="AZ475" s="1561"/>
      <c r="BA475" s="1561">
        <v>0.45</v>
      </c>
      <c r="BB475" s="1561"/>
      <c r="BC475" s="1561"/>
      <c r="BD475" s="1561"/>
      <c r="BE475" s="1561"/>
      <c r="BF475" s="1561"/>
      <c r="BG475" s="1561"/>
      <c r="BH475" s="1561"/>
      <c r="BI475" s="1562" t="s">
        <v>398</v>
      </c>
      <c r="BJ475" s="1557"/>
      <c r="BK475" s="1557"/>
      <c r="BL475" s="1557"/>
      <c r="BM475" s="1557"/>
      <c r="BN475" s="1557"/>
      <c r="BO475" s="1563">
        <v>19</v>
      </c>
      <c r="BP475" s="1557"/>
      <c r="BQ475" s="1557"/>
      <c r="BR475" s="1557"/>
      <c r="BS475" s="1557"/>
      <c r="BT475" s="1558"/>
      <c r="BU475" s="1539">
        <f t="shared" si="49"/>
        <v>39.99</v>
      </c>
      <c r="BV475" s="1539"/>
      <c r="BW475" s="1539"/>
      <c r="BX475" s="1539"/>
      <c r="BY475" s="1539"/>
      <c r="BZ475" s="1539"/>
      <c r="CA475" s="1539"/>
      <c r="CB475" s="1539"/>
      <c r="CC475" s="1539"/>
      <c r="CD475" s="1539"/>
      <c r="CE475" s="1539"/>
      <c r="CF475" s="1540"/>
    </row>
    <row r="476" spans="1:88" s="535" customFormat="1" ht="21.95" customHeight="1" thickBot="1">
      <c r="A476" s="540"/>
      <c r="B476" s="540"/>
      <c r="C476" s="540"/>
      <c r="D476" s="540"/>
      <c r="E476" s="1541" t="s">
        <v>513</v>
      </c>
      <c r="F476" s="1542"/>
      <c r="G476" s="1542"/>
      <c r="H476" s="1542"/>
      <c r="I476" s="1542"/>
      <c r="J476" s="1542"/>
      <c r="K476" s="1542"/>
      <c r="L476" s="1542"/>
      <c r="M476" s="1542"/>
      <c r="N476" s="1542"/>
      <c r="O476" s="1542"/>
      <c r="P476" s="1543"/>
      <c r="Q476" s="1544" t="s">
        <v>514</v>
      </c>
      <c r="R476" s="1544"/>
      <c r="S476" s="1544"/>
      <c r="T476" s="1544"/>
      <c r="U476" s="1544"/>
      <c r="V476" s="1544"/>
      <c r="W476" s="1544"/>
      <c r="X476" s="1544"/>
      <c r="Y476" s="1544"/>
      <c r="Z476" s="1544"/>
      <c r="AA476" s="1544"/>
      <c r="AB476" s="1544"/>
      <c r="AC476" s="1545">
        <v>1.72</v>
      </c>
      <c r="AD476" s="1545"/>
      <c r="AE476" s="1545"/>
      <c r="AF476" s="1545"/>
      <c r="AG476" s="1545"/>
      <c r="AH476" s="1545"/>
      <c r="AI476" s="1545"/>
      <c r="AJ476" s="1545"/>
      <c r="AK476" s="1546">
        <v>0.7</v>
      </c>
      <c r="AL476" s="1546"/>
      <c r="AM476" s="1546"/>
      <c r="AN476" s="1546"/>
      <c r="AO476" s="1546"/>
      <c r="AP476" s="1546"/>
      <c r="AQ476" s="1546"/>
      <c r="AR476" s="1546"/>
      <c r="AS476" s="1546">
        <v>0.67</v>
      </c>
      <c r="AT476" s="1546"/>
      <c r="AU476" s="1546"/>
      <c r="AV476" s="1546"/>
      <c r="AW476" s="1546"/>
      <c r="AX476" s="1546"/>
      <c r="AY476" s="1546"/>
      <c r="AZ476" s="1546"/>
      <c r="BA476" s="1546">
        <v>0.35</v>
      </c>
      <c r="BB476" s="1546"/>
      <c r="BC476" s="1546"/>
      <c r="BD476" s="1546"/>
      <c r="BE476" s="1546"/>
      <c r="BF476" s="1546"/>
      <c r="BG476" s="1546"/>
      <c r="BH476" s="1546"/>
      <c r="BI476" s="1547"/>
      <c r="BJ476" s="1542"/>
      <c r="BK476" s="1542"/>
      <c r="BL476" s="1542"/>
      <c r="BM476" s="1542"/>
      <c r="BN476" s="1542"/>
      <c r="BO476" s="1548">
        <v>34.4</v>
      </c>
      <c r="BP476" s="1542"/>
      <c r="BQ476" s="1542"/>
      <c r="BR476" s="1542"/>
      <c r="BS476" s="1542"/>
      <c r="BT476" s="1543"/>
      <c r="BU476" s="1549">
        <f t="shared" si="49"/>
        <v>29.55</v>
      </c>
      <c r="BV476" s="1549"/>
      <c r="BW476" s="1549"/>
      <c r="BX476" s="1549"/>
      <c r="BY476" s="1549"/>
      <c r="BZ476" s="1549"/>
      <c r="CA476" s="1549"/>
      <c r="CB476" s="1549"/>
      <c r="CC476" s="1549"/>
      <c r="CD476" s="1549"/>
      <c r="CE476" s="1549"/>
      <c r="CF476" s="1550"/>
    </row>
    <row r="477" spans="1:88" s="535" customFormat="1" ht="21.95" customHeight="1">
      <c r="D477" s="542"/>
      <c r="E477" s="547"/>
      <c r="F477" s="547"/>
      <c r="G477" s="560" t="s">
        <v>714</v>
      </c>
      <c r="H477" s="547"/>
      <c r="BM477" s="545"/>
      <c r="BN477" s="545"/>
      <c r="BO477" s="545"/>
      <c r="BP477" s="545"/>
      <c r="BQ477" s="545"/>
      <c r="BR477" s="545"/>
      <c r="BS477" s="545"/>
      <c r="BT477" s="545"/>
      <c r="BU477" s="545"/>
      <c r="BV477" s="545"/>
      <c r="BW477" s="545"/>
      <c r="BX477" s="545"/>
      <c r="BY477" s="545"/>
      <c r="BZ477" s="545"/>
      <c r="CA477" s="545"/>
      <c r="CB477" s="545"/>
      <c r="CC477" s="545"/>
      <c r="CD477" s="545"/>
      <c r="CE477" s="545"/>
      <c r="CF477" s="545"/>
    </row>
    <row r="478" spans="1:88" s="535" customFormat="1" ht="21.95" customHeight="1">
      <c r="D478" s="405"/>
      <c r="BA478" s="535">
        <v>0.65</v>
      </c>
      <c r="BM478" s="545"/>
      <c r="BN478" s="545"/>
      <c r="BO478" s="545"/>
      <c r="BP478" s="545"/>
      <c r="BQ478" s="545"/>
      <c r="BR478" s="545"/>
      <c r="BS478" s="545"/>
      <c r="BT478" s="545"/>
      <c r="BU478" s="545"/>
      <c r="BV478" s="545"/>
      <c r="BW478" s="545"/>
      <c r="BX478" s="545"/>
      <c r="BY478" s="545"/>
      <c r="BZ478" s="545"/>
      <c r="CA478" s="545"/>
      <c r="CB478" s="545"/>
      <c r="CC478" s="545"/>
      <c r="CD478" s="545"/>
      <c r="CE478" s="545"/>
      <c r="CF478" s="545"/>
    </row>
    <row r="479" spans="1:88" s="535" customFormat="1" ht="21.95" customHeight="1">
      <c r="E479" s="535" t="s">
        <v>402</v>
      </c>
    </row>
    <row r="480" spans="1:88" s="535" customFormat="1" ht="9.9499999999999993" customHeight="1" thickBot="1"/>
    <row r="481" spans="1:88" s="535" customFormat="1" ht="21.95" customHeight="1">
      <c r="E481" s="1534" t="s">
        <v>385</v>
      </c>
      <c r="F481" s="1535"/>
      <c r="G481" s="1535"/>
      <c r="H481" s="1535"/>
      <c r="I481" s="1535"/>
      <c r="J481" s="1535"/>
      <c r="K481" s="1535"/>
      <c r="L481" s="1535"/>
      <c r="M481" s="1535"/>
      <c r="N481" s="1535"/>
      <c r="O481" s="1535"/>
      <c r="P481" s="1535"/>
      <c r="Q481" s="1535"/>
      <c r="R481" s="1535"/>
      <c r="S481" s="1535"/>
      <c r="T481" s="1535"/>
      <c r="U481" s="1535" t="s">
        <v>212</v>
      </c>
      <c r="V481" s="1535"/>
      <c r="W481" s="1535"/>
      <c r="X481" s="1535"/>
      <c r="Y481" s="1535"/>
      <c r="Z481" s="1535"/>
      <c r="AA481" s="1535"/>
      <c r="AB481" s="1535"/>
      <c r="AC481" s="1535" t="s">
        <v>403</v>
      </c>
      <c r="AD481" s="1535"/>
      <c r="AE481" s="1535"/>
      <c r="AF481" s="1535"/>
      <c r="AG481" s="1535"/>
      <c r="AH481" s="1535"/>
      <c r="AI481" s="1535"/>
      <c r="AJ481" s="1535"/>
      <c r="AK481" s="1535"/>
      <c r="AL481" s="1535"/>
      <c r="AM481" s="1535"/>
      <c r="AN481" s="1535"/>
      <c r="AO481" s="1535"/>
      <c r="AP481" s="1535"/>
      <c r="AQ481" s="1535"/>
      <c r="AR481" s="1535"/>
      <c r="AS481" s="1535"/>
      <c r="AT481" s="1535"/>
      <c r="AU481" s="1535"/>
      <c r="AV481" s="1535"/>
      <c r="AW481" s="1535"/>
      <c r="AX481" s="1535"/>
      <c r="AY481" s="1535"/>
      <c r="AZ481" s="1535"/>
      <c r="BA481" s="1537" t="s">
        <v>404</v>
      </c>
      <c r="BB481" s="1535"/>
      <c r="BC481" s="1535"/>
      <c r="BD481" s="1535"/>
      <c r="BE481" s="1535"/>
      <c r="BF481" s="1535"/>
      <c r="BG481" s="1535"/>
      <c r="BH481" s="1535"/>
      <c r="BI481" s="1535" t="s">
        <v>405</v>
      </c>
      <c r="BJ481" s="1535"/>
      <c r="BK481" s="1535"/>
      <c r="BL481" s="1535"/>
      <c r="BM481" s="1535"/>
      <c r="BN481" s="1535"/>
      <c r="BO481" s="1535"/>
      <c r="BP481" s="1535"/>
      <c r="BQ481" s="1535"/>
      <c r="BR481" s="1535"/>
      <c r="BS481" s="1535"/>
      <c r="BT481" s="1535"/>
      <c r="BU481" s="1535"/>
      <c r="BV481" s="1535"/>
      <c r="BW481" s="1535"/>
      <c r="BX481" s="1535"/>
      <c r="BY481" s="1535"/>
      <c r="BZ481" s="1535"/>
      <c r="CA481" s="1535"/>
      <c r="CB481" s="1535"/>
      <c r="CC481" s="1535"/>
      <c r="CD481" s="1535"/>
      <c r="CE481" s="1535"/>
      <c r="CF481" s="1538"/>
    </row>
    <row r="482" spans="1:88" s="535" customFormat="1" ht="21.95" customHeight="1" thickBot="1">
      <c r="A482" s="540"/>
      <c r="B482" s="540"/>
      <c r="C482" s="540"/>
      <c r="D482" s="540"/>
      <c r="E482" s="1536"/>
      <c r="F482" s="1527"/>
      <c r="G482" s="1527"/>
      <c r="H482" s="1527"/>
      <c r="I482" s="1527"/>
      <c r="J482" s="1527"/>
      <c r="K482" s="1527"/>
      <c r="L482" s="1527"/>
      <c r="M482" s="1527"/>
      <c r="N482" s="1527"/>
      <c r="O482" s="1527"/>
      <c r="P482" s="1527"/>
      <c r="Q482" s="1527"/>
      <c r="R482" s="1527"/>
      <c r="S482" s="1527"/>
      <c r="T482" s="1527"/>
      <c r="U482" s="1527"/>
      <c r="V482" s="1527"/>
      <c r="W482" s="1527"/>
      <c r="X482" s="1527"/>
      <c r="Y482" s="1527"/>
      <c r="Z482" s="1527"/>
      <c r="AA482" s="1527"/>
      <c r="AB482" s="1527"/>
      <c r="AC482" s="1527" t="s">
        <v>406</v>
      </c>
      <c r="AD482" s="1527"/>
      <c r="AE482" s="1527"/>
      <c r="AF482" s="1527"/>
      <c r="AG482" s="1527"/>
      <c r="AH482" s="1527"/>
      <c r="AI482" s="1527"/>
      <c r="AJ482" s="1527"/>
      <c r="AK482" s="1527" t="s">
        <v>407</v>
      </c>
      <c r="AL482" s="1527"/>
      <c r="AM482" s="1527"/>
      <c r="AN482" s="1527"/>
      <c r="AO482" s="1527"/>
      <c r="AP482" s="1527"/>
      <c r="AQ482" s="1527"/>
      <c r="AR482" s="1527"/>
      <c r="AS482" s="1527" t="s">
        <v>408</v>
      </c>
      <c r="AT482" s="1527"/>
      <c r="AU482" s="1527"/>
      <c r="AV482" s="1527"/>
      <c r="AW482" s="1527"/>
      <c r="AX482" s="1527"/>
      <c r="AY482" s="1527"/>
      <c r="AZ482" s="1527"/>
      <c r="BA482" s="1527"/>
      <c r="BB482" s="1527"/>
      <c r="BC482" s="1527"/>
      <c r="BD482" s="1527"/>
      <c r="BE482" s="1527"/>
      <c r="BF482" s="1527"/>
      <c r="BG482" s="1527"/>
      <c r="BH482" s="1527"/>
      <c r="BI482" s="1527" t="s">
        <v>406</v>
      </c>
      <c r="BJ482" s="1527"/>
      <c r="BK482" s="1527"/>
      <c r="BL482" s="1527"/>
      <c r="BM482" s="1527"/>
      <c r="BN482" s="1527"/>
      <c r="BO482" s="1527"/>
      <c r="BP482" s="1527"/>
      <c r="BQ482" s="1527" t="s">
        <v>407</v>
      </c>
      <c r="BR482" s="1527"/>
      <c r="BS482" s="1527"/>
      <c r="BT482" s="1527"/>
      <c r="BU482" s="1527"/>
      <c r="BV482" s="1527"/>
      <c r="BW482" s="1527"/>
      <c r="BX482" s="1527"/>
      <c r="BY482" s="1527" t="s">
        <v>408</v>
      </c>
      <c r="BZ482" s="1527"/>
      <c r="CA482" s="1527"/>
      <c r="CB482" s="1527"/>
      <c r="CC482" s="1527"/>
      <c r="CD482" s="1527"/>
      <c r="CE482" s="1527"/>
      <c r="CF482" s="1528"/>
    </row>
    <row r="483" spans="1:88" s="535" customFormat="1" ht="21.95" customHeight="1" thickTop="1">
      <c r="E483" s="1529" t="s">
        <v>277</v>
      </c>
      <c r="F483" s="1530"/>
      <c r="G483" s="1530"/>
      <c r="H483" s="1530"/>
      <c r="I483" s="1530"/>
      <c r="J483" s="1530"/>
      <c r="K483" s="1530"/>
      <c r="L483" s="1530"/>
      <c r="M483" s="1530"/>
      <c r="N483" s="1530"/>
      <c r="O483" s="1530"/>
      <c r="P483" s="1530"/>
      <c r="Q483" s="1530"/>
      <c r="R483" s="1530"/>
      <c r="S483" s="1530"/>
      <c r="T483" s="1530"/>
      <c r="U483" s="1530" t="s">
        <v>392</v>
      </c>
      <c r="V483" s="1530"/>
      <c r="W483" s="1530"/>
      <c r="X483" s="1530"/>
      <c r="Y483" s="1530"/>
      <c r="Z483" s="1530"/>
      <c r="AA483" s="1530"/>
      <c r="AB483" s="1530"/>
      <c r="AC483" s="1512" t="e">
        <f>#REF!</f>
        <v>#REF!</v>
      </c>
      <c r="AD483" s="1512"/>
      <c r="AE483" s="1512"/>
      <c r="AF483" s="1512"/>
      <c r="AG483" s="1512"/>
      <c r="AH483" s="1512"/>
      <c r="AI483" s="1512"/>
      <c r="AJ483" s="1512"/>
      <c r="AK483" s="1512" t="e">
        <f>#REF!</f>
        <v>#REF!</v>
      </c>
      <c r="AL483" s="1512"/>
      <c r="AM483" s="1512"/>
      <c r="AN483" s="1512"/>
      <c r="AO483" s="1512"/>
      <c r="AP483" s="1512"/>
      <c r="AQ483" s="1512"/>
      <c r="AR483" s="1512"/>
      <c r="AS483" s="1512" t="e">
        <f>#REF!</f>
        <v>#REF!</v>
      </c>
      <c r="AT483" s="1512"/>
      <c r="AU483" s="1512"/>
      <c r="AV483" s="1512"/>
      <c r="AW483" s="1512"/>
      <c r="AX483" s="1512"/>
      <c r="AY483" s="1512"/>
      <c r="AZ483" s="1512"/>
      <c r="BA483" s="1531">
        <f>BU468</f>
        <v>6.08</v>
      </c>
      <c r="BB483" s="1531"/>
      <c r="BC483" s="1531"/>
      <c r="BD483" s="1531"/>
      <c r="BE483" s="1531"/>
      <c r="BF483" s="1531"/>
      <c r="BG483" s="1531"/>
      <c r="BH483" s="1531"/>
      <c r="BI483" s="1532" t="e">
        <f>INT(AC483/$BA483)</f>
        <v>#REF!</v>
      </c>
      <c r="BJ483" s="1532"/>
      <c r="BK483" s="1532"/>
      <c r="BL483" s="1532"/>
      <c r="BM483" s="1532"/>
      <c r="BN483" s="1532"/>
      <c r="BO483" s="1532"/>
      <c r="BP483" s="1532"/>
      <c r="BQ483" s="1532" t="e">
        <f>INT(AK483/$BA483)</f>
        <v>#REF!</v>
      </c>
      <c r="BR483" s="1532"/>
      <c r="BS483" s="1532"/>
      <c r="BT483" s="1532"/>
      <c r="BU483" s="1532"/>
      <c r="BV483" s="1532"/>
      <c r="BW483" s="1532"/>
      <c r="BX483" s="1532"/>
      <c r="BY483" s="1532" t="e">
        <f>INT(AS483/$BA483)</f>
        <v>#REF!</v>
      </c>
      <c r="BZ483" s="1532"/>
      <c r="CA483" s="1532"/>
      <c r="CB483" s="1532"/>
      <c r="CC483" s="1532"/>
      <c r="CD483" s="1532"/>
      <c r="CE483" s="1532"/>
      <c r="CF483" s="1533"/>
      <c r="CJ483" s="566" t="e">
        <f>SUM(BI483:CF483)</f>
        <v>#REF!</v>
      </c>
    </row>
    <row r="484" spans="1:88" s="535" customFormat="1" ht="21.95" customHeight="1">
      <c r="E484" s="1520" t="s">
        <v>277</v>
      </c>
      <c r="F484" s="1521"/>
      <c r="G484" s="1521"/>
      <c r="H484" s="1521"/>
      <c r="I484" s="1521"/>
      <c r="J484" s="1521"/>
      <c r="K484" s="1521"/>
      <c r="L484" s="1521"/>
      <c r="M484" s="1521"/>
      <c r="N484" s="1521"/>
      <c r="O484" s="1521"/>
      <c r="P484" s="1521"/>
      <c r="Q484" s="1521"/>
      <c r="R484" s="1521"/>
      <c r="S484" s="1521"/>
      <c r="T484" s="1521"/>
      <c r="U484" s="1521" t="s">
        <v>395</v>
      </c>
      <c r="V484" s="1521"/>
      <c r="W484" s="1521"/>
      <c r="X484" s="1521"/>
      <c r="Y484" s="1521"/>
      <c r="Z484" s="1521"/>
      <c r="AA484" s="1521"/>
      <c r="AB484" s="1521"/>
      <c r="AC484" s="1526" t="e">
        <f>#REF!</f>
        <v>#REF!</v>
      </c>
      <c r="AD484" s="1526"/>
      <c r="AE484" s="1526"/>
      <c r="AF484" s="1526"/>
      <c r="AG484" s="1526"/>
      <c r="AH484" s="1526"/>
      <c r="AI484" s="1526"/>
      <c r="AJ484" s="1526"/>
      <c r="AK484" s="1526" t="e">
        <f>#REF!</f>
        <v>#REF!</v>
      </c>
      <c r="AL484" s="1526"/>
      <c r="AM484" s="1526"/>
      <c r="AN484" s="1526"/>
      <c r="AO484" s="1526"/>
      <c r="AP484" s="1526"/>
      <c r="AQ484" s="1526"/>
      <c r="AR484" s="1526"/>
      <c r="AS484" s="1526" t="e">
        <f>#REF!</f>
        <v>#REF!</v>
      </c>
      <c r="AT484" s="1526"/>
      <c r="AU484" s="1526"/>
      <c r="AV484" s="1526"/>
      <c r="AW484" s="1526"/>
      <c r="AX484" s="1526"/>
      <c r="AY484" s="1526"/>
      <c r="AZ484" s="1526"/>
      <c r="BA484" s="1525">
        <f t="shared" ref="BA484:BA489" si="50">BU470</f>
        <v>10.130000000000001</v>
      </c>
      <c r="BB484" s="1525"/>
      <c r="BC484" s="1525"/>
      <c r="BD484" s="1525"/>
      <c r="BE484" s="1525"/>
      <c r="BF484" s="1525"/>
      <c r="BG484" s="1525"/>
      <c r="BH484" s="1525"/>
      <c r="BI484" s="1512" t="e">
        <f t="shared" ref="BI484:BI492" si="51">INT(AC484/$BA484)</f>
        <v>#REF!</v>
      </c>
      <c r="BJ484" s="1512"/>
      <c r="BK484" s="1512"/>
      <c r="BL484" s="1512"/>
      <c r="BM484" s="1512"/>
      <c r="BN484" s="1512"/>
      <c r="BO484" s="1512"/>
      <c r="BP484" s="1512"/>
      <c r="BQ484" s="1512" t="e">
        <f t="shared" ref="BQ484:BQ492" si="52">INT(AK484/$BA484)</f>
        <v>#REF!</v>
      </c>
      <c r="BR484" s="1512"/>
      <c r="BS484" s="1512"/>
      <c r="BT484" s="1512"/>
      <c r="BU484" s="1512"/>
      <c r="BV484" s="1512"/>
      <c r="BW484" s="1512"/>
      <c r="BX484" s="1512"/>
      <c r="BY484" s="1512" t="e">
        <f t="shared" ref="BY484:BY492" si="53">INT(AS484/$BA484)</f>
        <v>#REF!</v>
      </c>
      <c r="BZ484" s="1512"/>
      <c r="CA484" s="1512"/>
      <c r="CB484" s="1512"/>
      <c r="CC484" s="1512"/>
      <c r="CD484" s="1512"/>
      <c r="CE484" s="1512"/>
      <c r="CF484" s="1513"/>
      <c r="CJ484" s="566" t="e">
        <f t="shared" ref="CJ484:CJ492" si="54">SUM(BI484:CF484)</f>
        <v>#REF!</v>
      </c>
    </row>
    <row r="485" spans="1:88" s="535" customFormat="1" ht="21.95" customHeight="1">
      <c r="E485" s="1520" t="s">
        <v>277</v>
      </c>
      <c r="F485" s="1521"/>
      <c r="G485" s="1521"/>
      <c r="H485" s="1521"/>
      <c r="I485" s="1521"/>
      <c r="J485" s="1521"/>
      <c r="K485" s="1521"/>
      <c r="L485" s="1521"/>
      <c r="M485" s="1521"/>
      <c r="N485" s="1521"/>
      <c r="O485" s="1521"/>
      <c r="P485" s="1521"/>
      <c r="Q485" s="1521"/>
      <c r="R485" s="1521"/>
      <c r="S485" s="1521"/>
      <c r="T485" s="1521"/>
      <c r="U485" s="1521" t="s">
        <v>359</v>
      </c>
      <c r="V485" s="1521"/>
      <c r="W485" s="1521"/>
      <c r="X485" s="1521"/>
      <c r="Y485" s="1521"/>
      <c r="Z485" s="1521"/>
      <c r="AA485" s="1521"/>
      <c r="AB485" s="1521"/>
      <c r="AC485" s="1522" t="e">
        <f>#REF!</f>
        <v>#REF!</v>
      </c>
      <c r="AD485" s="1523"/>
      <c r="AE485" s="1523"/>
      <c r="AF485" s="1523"/>
      <c r="AG485" s="1523"/>
      <c r="AH485" s="1523"/>
      <c r="AI485" s="1523"/>
      <c r="AJ485" s="1524"/>
      <c r="AK485" s="1522" t="e">
        <f>#REF!</f>
        <v>#REF!</v>
      </c>
      <c r="AL485" s="1523"/>
      <c r="AM485" s="1523"/>
      <c r="AN485" s="1523"/>
      <c r="AO485" s="1523"/>
      <c r="AP485" s="1523"/>
      <c r="AQ485" s="1523"/>
      <c r="AR485" s="1524"/>
      <c r="AS485" s="1522" t="e">
        <f>#REF!</f>
        <v>#REF!</v>
      </c>
      <c r="AT485" s="1523"/>
      <c r="AU485" s="1523"/>
      <c r="AV485" s="1523"/>
      <c r="AW485" s="1523"/>
      <c r="AX485" s="1523"/>
      <c r="AY485" s="1523"/>
      <c r="AZ485" s="1524"/>
      <c r="BA485" s="1525">
        <f t="shared" si="50"/>
        <v>20.260000000000002</v>
      </c>
      <c r="BB485" s="1525"/>
      <c r="BC485" s="1525"/>
      <c r="BD485" s="1525"/>
      <c r="BE485" s="1525"/>
      <c r="BF485" s="1525"/>
      <c r="BG485" s="1525"/>
      <c r="BH485" s="1525"/>
      <c r="BI485" s="1512" t="e">
        <f t="shared" si="51"/>
        <v>#REF!</v>
      </c>
      <c r="BJ485" s="1512"/>
      <c r="BK485" s="1512"/>
      <c r="BL485" s="1512"/>
      <c r="BM485" s="1512"/>
      <c r="BN485" s="1512"/>
      <c r="BO485" s="1512"/>
      <c r="BP485" s="1512"/>
      <c r="BQ485" s="1512" t="e">
        <f t="shared" si="52"/>
        <v>#REF!</v>
      </c>
      <c r="BR485" s="1512"/>
      <c r="BS485" s="1512"/>
      <c r="BT485" s="1512"/>
      <c r="BU485" s="1512"/>
      <c r="BV485" s="1512"/>
      <c r="BW485" s="1512"/>
      <c r="BX485" s="1512"/>
      <c r="BY485" s="1512" t="e">
        <f t="shared" si="53"/>
        <v>#REF!</v>
      </c>
      <c r="BZ485" s="1512"/>
      <c r="CA485" s="1512"/>
      <c r="CB485" s="1512"/>
      <c r="CC485" s="1512"/>
      <c r="CD485" s="1512"/>
      <c r="CE485" s="1512"/>
      <c r="CF485" s="1513"/>
      <c r="CJ485" s="566" t="e">
        <f t="shared" si="54"/>
        <v>#REF!</v>
      </c>
    </row>
    <row r="486" spans="1:88" s="535" customFormat="1" ht="21.95" customHeight="1">
      <c r="E486" s="1520" t="s">
        <v>277</v>
      </c>
      <c r="F486" s="1521"/>
      <c r="G486" s="1521"/>
      <c r="H486" s="1521"/>
      <c r="I486" s="1521"/>
      <c r="J486" s="1521"/>
      <c r="K486" s="1521"/>
      <c r="L486" s="1521"/>
      <c r="M486" s="1521"/>
      <c r="N486" s="1521"/>
      <c r="O486" s="1521"/>
      <c r="P486" s="1521"/>
      <c r="Q486" s="1521"/>
      <c r="R486" s="1521"/>
      <c r="S486" s="1521"/>
      <c r="T486" s="1521"/>
      <c r="U486" s="1521" t="s">
        <v>397</v>
      </c>
      <c r="V486" s="1521"/>
      <c r="W486" s="1521"/>
      <c r="X486" s="1521"/>
      <c r="Y486" s="1521"/>
      <c r="Z486" s="1521"/>
      <c r="AA486" s="1521"/>
      <c r="AB486" s="1521"/>
      <c r="AC486" s="1522" t="e">
        <f>#REF!</f>
        <v>#REF!</v>
      </c>
      <c r="AD486" s="1523"/>
      <c r="AE486" s="1523"/>
      <c r="AF486" s="1523"/>
      <c r="AG486" s="1523"/>
      <c r="AH486" s="1523"/>
      <c r="AI486" s="1523"/>
      <c r="AJ486" s="1524"/>
      <c r="AK486" s="1522" t="e">
        <f>#REF!</f>
        <v>#REF!</v>
      </c>
      <c r="AL486" s="1523"/>
      <c r="AM486" s="1523"/>
      <c r="AN486" s="1523"/>
      <c r="AO486" s="1523"/>
      <c r="AP486" s="1523"/>
      <c r="AQ486" s="1523"/>
      <c r="AR486" s="1524"/>
      <c r="AS486" s="1522" t="e">
        <f>#REF!</f>
        <v>#REF!</v>
      </c>
      <c r="AT486" s="1523"/>
      <c r="AU486" s="1523"/>
      <c r="AV486" s="1523"/>
      <c r="AW486" s="1523"/>
      <c r="AX486" s="1523"/>
      <c r="AY486" s="1523"/>
      <c r="AZ486" s="1524"/>
      <c r="BA486" s="1525">
        <f t="shared" si="50"/>
        <v>25.33</v>
      </c>
      <c r="BB486" s="1525"/>
      <c r="BC486" s="1525"/>
      <c r="BD486" s="1525"/>
      <c r="BE486" s="1525"/>
      <c r="BF486" s="1525"/>
      <c r="BG486" s="1525"/>
      <c r="BH486" s="1525"/>
      <c r="BI486" s="1512" t="e">
        <f t="shared" si="51"/>
        <v>#REF!</v>
      </c>
      <c r="BJ486" s="1512"/>
      <c r="BK486" s="1512"/>
      <c r="BL486" s="1512"/>
      <c r="BM486" s="1512"/>
      <c r="BN486" s="1512"/>
      <c r="BO486" s="1512"/>
      <c r="BP486" s="1512"/>
      <c r="BQ486" s="1512" t="e">
        <f t="shared" si="52"/>
        <v>#REF!</v>
      </c>
      <c r="BR486" s="1512"/>
      <c r="BS486" s="1512"/>
      <c r="BT486" s="1512"/>
      <c r="BU486" s="1512"/>
      <c r="BV486" s="1512"/>
      <c r="BW486" s="1512"/>
      <c r="BX486" s="1512"/>
      <c r="BY486" s="1512" t="e">
        <f t="shared" si="53"/>
        <v>#REF!</v>
      </c>
      <c r="BZ486" s="1512"/>
      <c r="CA486" s="1512"/>
      <c r="CB486" s="1512"/>
      <c r="CC486" s="1512"/>
      <c r="CD486" s="1512"/>
      <c r="CE486" s="1512"/>
      <c r="CF486" s="1513"/>
      <c r="CJ486" s="566" t="e">
        <f t="shared" si="54"/>
        <v>#REF!</v>
      </c>
    </row>
    <row r="487" spans="1:88" s="535" customFormat="1" ht="21.95" customHeight="1">
      <c r="D487" s="542"/>
      <c r="E487" s="1520" t="s">
        <v>277</v>
      </c>
      <c r="F487" s="1521"/>
      <c r="G487" s="1521"/>
      <c r="H487" s="1521"/>
      <c r="I487" s="1521"/>
      <c r="J487" s="1521"/>
      <c r="K487" s="1521"/>
      <c r="L487" s="1521"/>
      <c r="M487" s="1521"/>
      <c r="N487" s="1521"/>
      <c r="O487" s="1521"/>
      <c r="P487" s="1521"/>
      <c r="Q487" s="1521"/>
      <c r="R487" s="1521"/>
      <c r="S487" s="1521"/>
      <c r="T487" s="1521"/>
      <c r="U487" s="1521" t="s">
        <v>399</v>
      </c>
      <c r="V487" s="1521"/>
      <c r="W487" s="1521"/>
      <c r="X487" s="1521"/>
      <c r="Y487" s="1521"/>
      <c r="Z487" s="1521"/>
      <c r="AA487" s="1521"/>
      <c r="AB487" s="1521"/>
      <c r="AC487" s="1522" t="e">
        <f>#REF!</f>
        <v>#REF!</v>
      </c>
      <c r="AD487" s="1523"/>
      <c r="AE487" s="1523"/>
      <c r="AF487" s="1523"/>
      <c r="AG487" s="1523"/>
      <c r="AH487" s="1523"/>
      <c r="AI487" s="1523"/>
      <c r="AJ487" s="1524"/>
      <c r="AK487" s="1522" t="e">
        <f>#REF!</f>
        <v>#REF!</v>
      </c>
      <c r="AL487" s="1523"/>
      <c r="AM487" s="1523"/>
      <c r="AN487" s="1523"/>
      <c r="AO487" s="1523"/>
      <c r="AP487" s="1523"/>
      <c r="AQ487" s="1523"/>
      <c r="AR487" s="1524"/>
      <c r="AS487" s="1522" t="e">
        <f>#REF!</f>
        <v>#REF!</v>
      </c>
      <c r="AT487" s="1523"/>
      <c r="AU487" s="1523"/>
      <c r="AV487" s="1523"/>
      <c r="AW487" s="1523"/>
      <c r="AX487" s="1523"/>
      <c r="AY487" s="1523"/>
      <c r="AZ487" s="1524"/>
      <c r="BA487" s="1525">
        <f t="shared" si="50"/>
        <v>29.55</v>
      </c>
      <c r="BB487" s="1525"/>
      <c r="BC487" s="1525"/>
      <c r="BD487" s="1525"/>
      <c r="BE487" s="1525"/>
      <c r="BF487" s="1525"/>
      <c r="BG487" s="1525"/>
      <c r="BH487" s="1525"/>
      <c r="BI487" s="1512" t="e">
        <f t="shared" si="51"/>
        <v>#REF!</v>
      </c>
      <c r="BJ487" s="1512"/>
      <c r="BK487" s="1512"/>
      <c r="BL487" s="1512"/>
      <c r="BM487" s="1512"/>
      <c r="BN487" s="1512"/>
      <c r="BO487" s="1512"/>
      <c r="BP487" s="1512"/>
      <c r="BQ487" s="1512" t="e">
        <f t="shared" si="52"/>
        <v>#REF!</v>
      </c>
      <c r="BR487" s="1512"/>
      <c r="BS487" s="1512"/>
      <c r="BT487" s="1512"/>
      <c r="BU487" s="1512"/>
      <c r="BV487" s="1512"/>
      <c r="BW487" s="1512"/>
      <c r="BX487" s="1512"/>
      <c r="BY487" s="1512" t="e">
        <f t="shared" si="53"/>
        <v>#REF!</v>
      </c>
      <c r="BZ487" s="1512"/>
      <c r="CA487" s="1512"/>
      <c r="CB487" s="1512"/>
      <c r="CC487" s="1512"/>
      <c r="CD487" s="1512"/>
      <c r="CE487" s="1512"/>
      <c r="CF487" s="1513"/>
      <c r="CJ487" s="566" t="e">
        <f t="shared" si="54"/>
        <v>#REF!</v>
      </c>
    </row>
    <row r="488" spans="1:88" s="535" customFormat="1" ht="21.95" customHeight="1">
      <c r="A488" s="540"/>
      <c r="B488" s="540"/>
      <c r="C488" s="540"/>
      <c r="D488" s="540"/>
      <c r="E488" s="1520" t="s">
        <v>277</v>
      </c>
      <c r="F488" s="1521"/>
      <c r="G488" s="1521"/>
      <c r="H488" s="1521"/>
      <c r="I488" s="1521"/>
      <c r="J488" s="1521"/>
      <c r="K488" s="1521"/>
      <c r="L488" s="1521"/>
      <c r="M488" s="1521"/>
      <c r="N488" s="1521"/>
      <c r="O488" s="1521"/>
      <c r="P488" s="1521"/>
      <c r="Q488" s="1521"/>
      <c r="R488" s="1521"/>
      <c r="S488" s="1521"/>
      <c r="T488" s="1521"/>
      <c r="U488" s="1521" t="s">
        <v>400</v>
      </c>
      <c r="V488" s="1521"/>
      <c r="W488" s="1521"/>
      <c r="X488" s="1521"/>
      <c r="Y488" s="1521"/>
      <c r="Z488" s="1521"/>
      <c r="AA488" s="1521"/>
      <c r="AB488" s="1521"/>
      <c r="AC488" s="1522" t="e">
        <f>#REF!</f>
        <v>#REF!</v>
      </c>
      <c r="AD488" s="1523"/>
      <c r="AE488" s="1523"/>
      <c r="AF488" s="1523"/>
      <c r="AG488" s="1523"/>
      <c r="AH488" s="1523"/>
      <c r="AI488" s="1523"/>
      <c r="AJ488" s="1524"/>
      <c r="AK488" s="1522" t="e">
        <f>#REF!</f>
        <v>#REF!</v>
      </c>
      <c r="AL488" s="1523"/>
      <c r="AM488" s="1523"/>
      <c r="AN488" s="1523"/>
      <c r="AO488" s="1523"/>
      <c r="AP488" s="1523"/>
      <c r="AQ488" s="1523"/>
      <c r="AR488" s="1524"/>
      <c r="AS488" s="1522" t="e">
        <f>#REF!</f>
        <v>#REF!</v>
      </c>
      <c r="AT488" s="1523"/>
      <c r="AU488" s="1523"/>
      <c r="AV488" s="1523"/>
      <c r="AW488" s="1523"/>
      <c r="AX488" s="1523"/>
      <c r="AY488" s="1523"/>
      <c r="AZ488" s="1524"/>
      <c r="BA488" s="1525">
        <f t="shared" si="50"/>
        <v>33.770000000000003</v>
      </c>
      <c r="BB488" s="1525"/>
      <c r="BC488" s="1525"/>
      <c r="BD488" s="1525"/>
      <c r="BE488" s="1525"/>
      <c r="BF488" s="1525"/>
      <c r="BG488" s="1525"/>
      <c r="BH488" s="1525"/>
      <c r="BI488" s="1512" t="e">
        <f t="shared" si="51"/>
        <v>#REF!</v>
      </c>
      <c r="BJ488" s="1512"/>
      <c r="BK488" s="1512"/>
      <c r="BL488" s="1512"/>
      <c r="BM488" s="1512"/>
      <c r="BN488" s="1512"/>
      <c r="BO488" s="1512"/>
      <c r="BP488" s="1512"/>
      <c r="BQ488" s="1512" t="e">
        <f t="shared" si="52"/>
        <v>#REF!</v>
      </c>
      <c r="BR488" s="1512"/>
      <c r="BS488" s="1512"/>
      <c r="BT488" s="1512"/>
      <c r="BU488" s="1512"/>
      <c r="BV488" s="1512"/>
      <c r="BW488" s="1512"/>
      <c r="BX488" s="1512"/>
      <c r="BY488" s="1512" t="e">
        <f t="shared" si="53"/>
        <v>#REF!</v>
      </c>
      <c r="BZ488" s="1512"/>
      <c r="CA488" s="1512"/>
      <c r="CB488" s="1512"/>
      <c r="CC488" s="1512"/>
      <c r="CD488" s="1512"/>
      <c r="CE488" s="1512"/>
      <c r="CF488" s="1513"/>
      <c r="CJ488" s="566" t="e">
        <f t="shared" si="54"/>
        <v>#REF!</v>
      </c>
    </row>
    <row r="489" spans="1:88" s="535" customFormat="1" ht="21.95" customHeight="1">
      <c r="E489" s="1520" t="s">
        <v>277</v>
      </c>
      <c r="F489" s="1521"/>
      <c r="G489" s="1521"/>
      <c r="H489" s="1521"/>
      <c r="I489" s="1521"/>
      <c r="J489" s="1521"/>
      <c r="K489" s="1521"/>
      <c r="L489" s="1521"/>
      <c r="M489" s="1521"/>
      <c r="N489" s="1521"/>
      <c r="O489" s="1521"/>
      <c r="P489" s="1521"/>
      <c r="Q489" s="1521"/>
      <c r="R489" s="1521"/>
      <c r="S489" s="1521"/>
      <c r="T489" s="1521"/>
      <c r="U489" s="1521" t="s">
        <v>401</v>
      </c>
      <c r="V489" s="1521"/>
      <c r="W489" s="1521"/>
      <c r="X489" s="1521"/>
      <c r="Y489" s="1521"/>
      <c r="Z489" s="1521"/>
      <c r="AA489" s="1521"/>
      <c r="AB489" s="1521"/>
      <c r="AC489" s="1522" t="e">
        <f>#REF!</f>
        <v>#REF!</v>
      </c>
      <c r="AD489" s="1523"/>
      <c r="AE489" s="1523"/>
      <c r="AF489" s="1523"/>
      <c r="AG489" s="1523"/>
      <c r="AH489" s="1523"/>
      <c r="AI489" s="1523"/>
      <c r="AJ489" s="1524"/>
      <c r="AK489" s="1522" t="e">
        <f>#REF!</f>
        <v>#REF!</v>
      </c>
      <c r="AL489" s="1523"/>
      <c r="AM489" s="1523"/>
      <c r="AN489" s="1523"/>
      <c r="AO489" s="1523"/>
      <c r="AP489" s="1523"/>
      <c r="AQ489" s="1523"/>
      <c r="AR489" s="1524"/>
      <c r="AS489" s="1522" t="e">
        <f>#REF!</f>
        <v>#REF!</v>
      </c>
      <c r="AT489" s="1523"/>
      <c r="AU489" s="1523"/>
      <c r="AV489" s="1523"/>
      <c r="AW489" s="1523"/>
      <c r="AX489" s="1523"/>
      <c r="AY489" s="1523"/>
      <c r="AZ489" s="1524"/>
      <c r="BA489" s="1525">
        <f t="shared" si="50"/>
        <v>39.99</v>
      </c>
      <c r="BB489" s="1525"/>
      <c r="BC489" s="1525"/>
      <c r="BD489" s="1525"/>
      <c r="BE489" s="1525"/>
      <c r="BF489" s="1525"/>
      <c r="BG489" s="1525"/>
      <c r="BH489" s="1525"/>
      <c r="BI489" s="1512" t="e">
        <f t="shared" si="51"/>
        <v>#REF!</v>
      </c>
      <c r="BJ489" s="1512"/>
      <c r="BK489" s="1512"/>
      <c r="BL489" s="1512"/>
      <c r="BM489" s="1512"/>
      <c r="BN489" s="1512"/>
      <c r="BO489" s="1512"/>
      <c r="BP489" s="1512"/>
      <c r="BQ489" s="1512" t="e">
        <f t="shared" si="52"/>
        <v>#REF!</v>
      </c>
      <c r="BR489" s="1512"/>
      <c r="BS489" s="1512"/>
      <c r="BT489" s="1512"/>
      <c r="BU489" s="1512"/>
      <c r="BV489" s="1512"/>
      <c r="BW489" s="1512"/>
      <c r="BX489" s="1512"/>
      <c r="BY489" s="1512" t="e">
        <f t="shared" si="53"/>
        <v>#REF!</v>
      </c>
      <c r="BZ489" s="1512"/>
      <c r="CA489" s="1512"/>
      <c r="CB489" s="1512"/>
      <c r="CC489" s="1512"/>
      <c r="CD489" s="1512"/>
      <c r="CE489" s="1512"/>
      <c r="CF489" s="1513"/>
      <c r="CJ489" s="566" t="e">
        <f t="shared" si="54"/>
        <v>#REF!</v>
      </c>
    </row>
    <row r="490" spans="1:88" s="535" customFormat="1" ht="21.95" customHeight="1">
      <c r="E490" s="1520" t="s">
        <v>409</v>
      </c>
      <c r="F490" s="1521"/>
      <c r="G490" s="1521"/>
      <c r="H490" s="1521"/>
      <c r="I490" s="1521"/>
      <c r="J490" s="1521"/>
      <c r="K490" s="1521"/>
      <c r="L490" s="1521"/>
      <c r="M490" s="1521"/>
      <c r="N490" s="1521"/>
      <c r="O490" s="1521"/>
      <c r="P490" s="1521"/>
      <c r="Q490" s="1521"/>
      <c r="R490" s="1521"/>
      <c r="S490" s="1521"/>
      <c r="T490" s="1521"/>
      <c r="U490" s="1521" t="s">
        <v>394</v>
      </c>
      <c r="V490" s="1521"/>
      <c r="W490" s="1521"/>
      <c r="X490" s="1521"/>
      <c r="Y490" s="1521"/>
      <c r="Z490" s="1521"/>
      <c r="AA490" s="1521"/>
      <c r="AB490" s="1521"/>
      <c r="AC490" s="1522" t="e">
        <f>#REF!</f>
        <v>#REF!</v>
      </c>
      <c r="AD490" s="1523"/>
      <c r="AE490" s="1523"/>
      <c r="AF490" s="1523"/>
      <c r="AG490" s="1523"/>
      <c r="AH490" s="1523"/>
      <c r="AI490" s="1523"/>
      <c r="AJ490" s="1524"/>
      <c r="AK490" s="1522" t="e">
        <f>#REF!</f>
        <v>#REF!</v>
      </c>
      <c r="AL490" s="1523"/>
      <c r="AM490" s="1523"/>
      <c r="AN490" s="1523"/>
      <c r="AO490" s="1523"/>
      <c r="AP490" s="1523"/>
      <c r="AQ490" s="1523"/>
      <c r="AR490" s="1524"/>
      <c r="AS490" s="1522" t="e">
        <f>#REF!</f>
        <v>#REF!</v>
      </c>
      <c r="AT490" s="1523"/>
      <c r="AU490" s="1523"/>
      <c r="AV490" s="1523"/>
      <c r="AW490" s="1523"/>
      <c r="AX490" s="1523"/>
      <c r="AY490" s="1523"/>
      <c r="AZ490" s="1524"/>
      <c r="BA490" s="1525">
        <f>BU469</f>
        <v>9.1199999999999992</v>
      </c>
      <c r="BB490" s="1525"/>
      <c r="BC490" s="1525"/>
      <c r="BD490" s="1525"/>
      <c r="BE490" s="1525"/>
      <c r="BF490" s="1525"/>
      <c r="BG490" s="1525"/>
      <c r="BH490" s="1525"/>
      <c r="BI490" s="1512" t="e">
        <f t="shared" si="51"/>
        <v>#REF!</v>
      </c>
      <c r="BJ490" s="1512"/>
      <c r="BK490" s="1512"/>
      <c r="BL490" s="1512"/>
      <c r="BM490" s="1512"/>
      <c r="BN490" s="1512"/>
      <c r="BO490" s="1512"/>
      <c r="BP490" s="1512"/>
      <c r="BQ490" s="1512" t="e">
        <f t="shared" si="52"/>
        <v>#REF!</v>
      </c>
      <c r="BR490" s="1512"/>
      <c r="BS490" s="1512"/>
      <c r="BT490" s="1512"/>
      <c r="BU490" s="1512"/>
      <c r="BV490" s="1512"/>
      <c r="BW490" s="1512"/>
      <c r="BX490" s="1512"/>
      <c r="BY490" s="1512" t="e">
        <f t="shared" si="53"/>
        <v>#REF!</v>
      </c>
      <c r="BZ490" s="1512"/>
      <c r="CA490" s="1512"/>
      <c r="CB490" s="1512"/>
      <c r="CC490" s="1512"/>
      <c r="CD490" s="1512"/>
      <c r="CE490" s="1512"/>
      <c r="CF490" s="1513"/>
      <c r="CJ490" s="566" t="e">
        <f t="shared" si="54"/>
        <v>#REF!</v>
      </c>
    </row>
    <row r="491" spans="1:88" s="535" customFormat="1" ht="21.95" customHeight="1">
      <c r="E491" s="1514" t="s">
        <v>409</v>
      </c>
      <c r="F491" s="1515"/>
      <c r="G491" s="1515"/>
      <c r="H491" s="1515"/>
      <c r="I491" s="1515"/>
      <c r="J491" s="1515"/>
      <c r="K491" s="1515"/>
      <c r="L491" s="1515"/>
      <c r="M491" s="1515"/>
      <c r="N491" s="1515"/>
      <c r="O491" s="1515"/>
      <c r="P491" s="1515"/>
      <c r="Q491" s="1515"/>
      <c r="R491" s="1515"/>
      <c r="S491" s="1515"/>
      <c r="T491" s="1515"/>
      <c r="U491" s="1515" t="s">
        <v>397</v>
      </c>
      <c r="V491" s="1515"/>
      <c r="W491" s="1515"/>
      <c r="X491" s="1515"/>
      <c r="Y491" s="1515"/>
      <c r="Z491" s="1515"/>
      <c r="AA491" s="1515"/>
      <c r="AB491" s="1515"/>
      <c r="AC491" s="1516" t="e">
        <f>#REF!</f>
        <v>#REF!</v>
      </c>
      <c r="AD491" s="1516"/>
      <c r="AE491" s="1516"/>
      <c r="AF491" s="1516"/>
      <c r="AG491" s="1516"/>
      <c r="AH491" s="1516"/>
      <c r="AI491" s="1516"/>
      <c r="AJ491" s="1516"/>
      <c r="AK491" s="1516" t="e">
        <f>#REF!</f>
        <v>#REF!</v>
      </c>
      <c r="AL491" s="1516"/>
      <c r="AM491" s="1516"/>
      <c r="AN491" s="1516"/>
      <c r="AO491" s="1516"/>
      <c r="AP491" s="1516"/>
      <c r="AQ491" s="1516"/>
      <c r="AR491" s="1516"/>
      <c r="AS491" s="1516" t="e">
        <f>#REF!</f>
        <v>#REF!</v>
      </c>
      <c r="AT491" s="1516"/>
      <c r="AU491" s="1516"/>
      <c r="AV491" s="1516"/>
      <c r="AW491" s="1516"/>
      <c r="AX491" s="1516"/>
      <c r="AY491" s="1516"/>
      <c r="AZ491" s="1516"/>
      <c r="BA491" s="1517">
        <f>BU472</f>
        <v>25.33</v>
      </c>
      <c r="BB491" s="1517"/>
      <c r="BC491" s="1517"/>
      <c r="BD491" s="1517"/>
      <c r="BE491" s="1517"/>
      <c r="BF491" s="1517"/>
      <c r="BG491" s="1517"/>
      <c r="BH491" s="1517"/>
      <c r="BI491" s="1518" t="e">
        <f t="shared" si="51"/>
        <v>#REF!</v>
      </c>
      <c r="BJ491" s="1518"/>
      <c r="BK491" s="1518"/>
      <c r="BL491" s="1518"/>
      <c r="BM491" s="1518"/>
      <c r="BN491" s="1518"/>
      <c r="BO491" s="1518"/>
      <c r="BP491" s="1518"/>
      <c r="BQ491" s="1518" t="e">
        <f t="shared" si="52"/>
        <v>#REF!</v>
      </c>
      <c r="BR491" s="1518"/>
      <c r="BS491" s="1518"/>
      <c r="BT491" s="1518"/>
      <c r="BU491" s="1518"/>
      <c r="BV491" s="1518"/>
      <c r="BW491" s="1518"/>
      <c r="BX491" s="1518"/>
      <c r="BY491" s="1518" t="e">
        <f t="shared" si="53"/>
        <v>#REF!</v>
      </c>
      <c r="BZ491" s="1518"/>
      <c r="CA491" s="1518"/>
      <c r="CB491" s="1518"/>
      <c r="CC491" s="1518"/>
      <c r="CD491" s="1518"/>
      <c r="CE491" s="1518"/>
      <c r="CF491" s="1519"/>
      <c r="CJ491" s="566" t="e">
        <f t="shared" si="54"/>
        <v>#REF!</v>
      </c>
    </row>
    <row r="492" spans="1:88" s="535" customFormat="1" ht="21.95" customHeight="1" thickBot="1">
      <c r="E492" s="1509" t="s">
        <v>515</v>
      </c>
      <c r="F492" s="1510"/>
      <c r="G492" s="1510"/>
      <c r="H492" s="1510"/>
      <c r="I492" s="1510"/>
      <c r="J492" s="1510"/>
      <c r="K492" s="1510"/>
      <c r="L492" s="1510"/>
      <c r="M492" s="1510"/>
      <c r="N492" s="1510"/>
      <c r="O492" s="1510"/>
      <c r="P492" s="1510"/>
      <c r="Q492" s="1510"/>
      <c r="R492" s="1510"/>
      <c r="S492" s="1510"/>
      <c r="T492" s="1510"/>
      <c r="U492" s="1510" t="s">
        <v>514</v>
      </c>
      <c r="V492" s="1510"/>
      <c r="W492" s="1510"/>
      <c r="X492" s="1510"/>
      <c r="Y492" s="1510"/>
      <c r="Z492" s="1510"/>
      <c r="AA492" s="1510"/>
      <c r="AB492" s="1510"/>
      <c r="AC492" s="1507" t="e">
        <f>#REF!</f>
        <v>#REF!</v>
      </c>
      <c r="AD492" s="1507"/>
      <c r="AE492" s="1507"/>
      <c r="AF492" s="1507"/>
      <c r="AG492" s="1507"/>
      <c r="AH492" s="1507"/>
      <c r="AI492" s="1507"/>
      <c r="AJ492" s="1507"/>
      <c r="AK492" s="1507" t="e">
        <f>#REF!</f>
        <v>#REF!</v>
      </c>
      <c r="AL492" s="1507"/>
      <c r="AM492" s="1507"/>
      <c r="AN492" s="1507"/>
      <c r="AO492" s="1507"/>
      <c r="AP492" s="1507"/>
      <c r="AQ492" s="1507"/>
      <c r="AR492" s="1507"/>
      <c r="AS492" s="1507" t="e">
        <f>#REF!</f>
        <v>#REF!</v>
      </c>
      <c r="AT492" s="1507"/>
      <c r="AU492" s="1507"/>
      <c r="AV492" s="1507"/>
      <c r="AW492" s="1507"/>
      <c r="AX492" s="1507"/>
      <c r="AY492" s="1507"/>
      <c r="AZ492" s="1507"/>
      <c r="BA492" s="1511">
        <f>BU476</f>
        <v>29.55</v>
      </c>
      <c r="BB492" s="1511"/>
      <c r="BC492" s="1511"/>
      <c r="BD492" s="1511"/>
      <c r="BE492" s="1511"/>
      <c r="BF492" s="1511"/>
      <c r="BG492" s="1511"/>
      <c r="BH492" s="1511"/>
      <c r="BI492" s="1507" t="e">
        <f t="shared" si="51"/>
        <v>#REF!</v>
      </c>
      <c r="BJ492" s="1507"/>
      <c r="BK492" s="1507"/>
      <c r="BL492" s="1507"/>
      <c r="BM492" s="1507"/>
      <c r="BN492" s="1507"/>
      <c r="BO492" s="1507"/>
      <c r="BP492" s="1507"/>
      <c r="BQ492" s="1507" t="e">
        <f t="shared" si="52"/>
        <v>#REF!</v>
      </c>
      <c r="BR492" s="1507"/>
      <c r="BS492" s="1507"/>
      <c r="BT492" s="1507"/>
      <c r="BU492" s="1507"/>
      <c r="BV492" s="1507"/>
      <c r="BW492" s="1507"/>
      <c r="BX492" s="1507"/>
      <c r="BY492" s="1507" t="e">
        <f t="shared" si="53"/>
        <v>#REF!</v>
      </c>
      <c r="BZ492" s="1507"/>
      <c r="CA492" s="1507"/>
      <c r="CB492" s="1507"/>
      <c r="CC492" s="1507"/>
      <c r="CD492" s="1507"/>
      <c r="CE492" s="1507"/>
      <c r="CF492" s="1508"/>
      <c r="CJ492" s="566" t="e">
        <f t="shared" si="54"/>
        <v>#REF!</v>
      </c>
    </row>
    <row r="493" spans="1:88" s="567" customFormat="1" ht="9.9499999999999993" customHeight="1"/>
    <row r="494" spans="1:88" s="567" customFormat="1" ht="9.9499999999999993" customHeight="1"/>
    <row r="495" spans="1:88" s="567" customFormat="1" ht="9.9499999999999993" customHeight="1"/>
    <row r="496" spans="1:88" s="567" customFormat="1" ht="9.9499999999999993" customHeight="1"/>
    <row r="497" s="567" customFormat="1" ht="9.9499999999999993" customHeight="1"/>
    <row r="498" s="567" customFormat="1" ht="9.9499999999999993" customHeight="1"/>
    <row r="499" s="567" customFormat="1" ht="9.9499999999999993" customHeight="1"/>
    <row r="500" s="567" customFormat="1" ht="9.9499999999999993" customHeight="1"/>
    <row r="501" s="567" customFormat="1" ht="9.9499999999999993" customHeight="1"/>
    <row r="502" s="567" customFormat="1" ht="9.9499999999999993" customHeight="1"/>
    <row r="503" s="567" customFormat="1" ht="9.9499999999999993" customHeight="1"/>
    <row r="504" s="567" customFormat="1" ht="9.9499999999999993" customHeight="1"/>
    <row r="505" s="567" customFormat="1" ht="9.9499999999999993" customHeight="1"/>
    <row r="506" s="567" customFormat="1" ht="9.9499999999999993" customHeight="1"/>
    <row r="507" s="567" customFormat="1" ht="9.9499999999999993" customHeight="1"/>
    <row r="508" s="567" customFormat="1" ht="9.9499999999999993" customHeight="1"/>
    <row r="509" s="567" customFormat="1" ht="9.9499999999999993" customHeight="1"/>
    <row r="510" s="567" customFormat="1" ht="9.9499999999999993" customHeight="1"/>
    <row r="511" s="567" customFormat="1" ht="9.9499999999999993" customHeight="1"/>
    <row r="512" s="567" customFormat="1" ht="9.9499999999999993" customHeight="1"/>
    <row r="513" s="567" customFormat="1" ht="9.9499999999999993" customHeight="1"/>
    <row r="514" s="567" customFormat="1" ht="9.9499999999999993" customHeight="1"/>
    <row r="515" ht="9.9499999999999993" customHeight="1"/>
    <row r="516" ht="9.9499999999999993" customHeight="1"/>
    <row r="517" ht="9.9499999999999993" customHeight="1"/>
    <row r="518" ht="9.9499999999999993" customHeight="1"/>
    <row r="519" ht="9.9499999999999993" customHeight="1"/>
    <row r="520" ht="9.9499999999999993" customHeight="1"/>
    <row r="521" ht="9.9499999999999993" customHeight="1"/>
    <row r="522" ht="9.9499999999999993" customHeight="1"/>
    <row r="523" ht="9.9499999999999993" customHeight="1"/>
    <row r="524" ht="9.9499999999999993" customHeight="1"/>
    <row r="525" ht="9.9499999999999993" customHeight="1"/>
    <row r="526" ht="9.9499999999999993" customHeight="1"/>
    <row r="527" ht="9.9499999999999993" customHeight="1"/>
    <row r="528" ht="9.9499999999999993" customHeight="1"/>
    <row r="529" ht="9.9499999999999993" customHeight="1"/>
    <row r="530" ht="9.9499999999999993" customHeight="1"/>
    <row r="531" ht="9.9499999999999993" customHeight="1"/>
    <row r="532" ht="9.9499999999999993" customHeight="1"/>
    <row r="533" ht="9.9499999999999993" customHeight="1"/>
    <row r="534" ht="9.9499999999999993" customHeight="1"/>
    <row r="535" ht="9.9499999999999993" customHeight="1"/>
    <row r="536" ht="9.9499999999999993" customHeight="1"/>
    <row r="537" ht="9.9499999999999993" customHeight="1"/>
    <row r="538" ht="9.9499999999999993" customHeight="1"/>
    <row r="539" ht="9.9499999999999993" customHeight="1"/>
    <row r="540" ht="9.9499999999999993" customHeight="1"/>
    <row r="541" ht="9.9499999999999993" customHeight="1"/>
    <row r="542" ht="9.9499999999999993" customHeight="1"/>
    <row r="543" ht="9.9499999999999993" customHeight="1"/>
    <row r="544" ht="9.9499999999999993" customHeight="1"/>
    <row r="545" ht="9.9499999999999993" customHeight="1"/>
    <row r="546" ht="9.9499999999999993" customHeight="1"/>
    <row r="547" ht="9.9499999999999993" customHeight="1"/>
    <row r="548" ht="9.9499999999999993" customHeight="1"/>
    <row r="549" ht="9.9499999999999993" customHeight="1"/>
    <row r="550" ht="9.9499999999999993" customHeight="1"/>
    <row r="551" ht="9.9499999999999993" customHeight="1"/>
    <row r="552" ht="9.9499999999999993" customHeight="1"/>
    <row r="553" ht="9.9499999999999993" customHeight="1"/>
    <row r="554" ht="9.9499999999999993" customHeight="1"/>
    <row r="555" ht="9.9499999999999993" customHeight="1"/>
    <row r="556" ht="9.9499999999999993" customHeight="1"/>
    <row r="557" ht="9.9499999999999993" customHeight="1"/>
    <row r="558" ht="9.9499999999999993" customHeight="1"/>
    <row r="559" ht="9.9499999999999993" customHeight="1"/>
    <row r="560" ht="9.9499999999999993" customHeight="1"/>
    <row r="561" ht="9.9499999999999993" customHeight="1"/>
    <row r="562" ht="9.9499999999999993" customHeight="1"/>
    <row r="563" ht="9.9499999999999993" customHeight="1"/>
    <row r="564" ht="9.9499999999999993" customHeight="1"/>
    <row r="565" ht="9.9499999999999993" customHeight="1"/>
    <row r="566" ht="9.9499999999999993" customHeight="1"/>
    <row r="567" ht="9.9499999999999993" customHeight="1"/>
    <row r="568" ht="9.9499999999999993" customHeight="1"/>
    <row r="569" ht="9.9499999999999993" customHeight="1"/>
    <row r="570" ht="9.9499999999999993" customHeight="1"/>
    <row r="571" ht="9.9499999999999993" customHeight="1"/>
    <row r="572" ht="9.9499999999999993" customHeight="1"/>
    <row r="573" ht="9.9499999999999993" customHeight="1"/>
    <row r="574" ht="9.9499999999999993" customHeight="1"/>
    <row r="575" ht="9.9499999999999993" customHeight="1"/>
    <row r="576" ht="9.9499999999999993" customHeight="1"/>
    <row r="577" ht="9.9499999999999993" customHeight="1"/>
    <row r="578" ht="9.9499999999999993" customHeight="1"/>
    <row r="579" ht="9.9499999999999993" customHeight="1"/>
    <row r="580" ht="9.9499999999999993" customHeight="1"/>
    <row r="581" ht="9.9499999999999993" customHeight="1"/>
    <row r="582" ht="9.9499999999999993" customHeight="1"/>
    <row r="583" ht="9.9499999999999993" customHeight="1"/>
    <row r="584" ht="9.9499999999999993" customHeight="1"/>
    <row r="585" ht="9.9499999999999993" customHeight="1"/>
    <row r="586" ht="9.9499999999999993" customHeight="1"/>
    <row r="587" ht="9.9499999999999993" customHeight="1"/>
    <row r="588" ht="9.9499999999999993" customHeight="1"/>
    <row r="589" ht="9.9499999999999993" customHeight="1"/>
    <row r="590" ht="9.9499999999999993" customHeight="1"/>
    <row r="591" ht="9.9499999999999993" customHeight="1"/>
    <row r="592" ht="9.9499999999999993" customHeight="1"/>
    <row r="593" ht="9.9499999999999993" customHeight="1"/>
    <row r="594" ht="9.9499999999999993" customHeight="1"/>
    <row r="595" ht="9.9499999999999993" customHeight="1"/>
    <row r="596" ht="9.9499999999999993" customHeight="1"/>
    <row r="597" ht="9.9499999999999993" customHeight="1"/>
    <row r="598" ht="9.9499999999999993" customHeight="1"/>
    <row r="599" ht="9.9499999999999993" customHeight="1"/>
    <row r="600" ht="9.9499999999999993" customHeight="1"/>
    <row r="601" ht="9.9499999999999993" customHeight="1"/>
    <row r="602" ht="9.9499999999999993" customHeight="1"/>
    <row r="603" ht="9.9499999999999993" customHeight="1"/>
    <row r="604" ht="9.9499999999999993" customHeight="1"/>
    <row r="605" ht="9.9499999999999993" customHeight="1"/>
    <row r="606" ht="9.9499999999999993" customHeight="1"/>
    <row r="607" ht="9.9499999999999993" customHeight="1"/>
    <row r="608" ht="9.9499999999999993" customHeight="1"/>
    <row r="609" ht="9.9499999999999993" customHeight="1"/>
    <row r="610" ht="9.9499999999999993" customHeight="1"/>
    <row r="611" ht="9.9499999999999993" customHeight="1"/>
    <row r="612" ht="9.9499999999999993" customHeight="1"/>
    <row r="613" ht="9.9499999999999993" customHeight="1"/>
    <row r="614" ht="9.9499999999999993" customHeight="1"/>
    <row r="615" ht="9.9499999999999993" customHeight="1"/>
    <row r="616" ht="9.9499999999999993" customHeight="1"/>
    <row r="617" ht="9.9499999999999993" customHeight="1"/>
    <row r="618" ht="9.9499999999999993" customHeight="1"/>
    <row r="619" ht="9.9499999999999993" customHeight="1"/>
    <row r="620" ht="9.9499999999999993" customHeight="1"/>
    <row r="621" ht="9.9499999999999993" customHeight="1"/>
    <row r="622" ht="9.9499999999999993" customHeight="1"/>
    <row r="623" ht="9.9499999999999993" customHeight="1"/>
    <row r="624" ht="9.9499999999999993" customHeight="1"/>
    <row r="625" ht="9.9499999999999993" customHeight="1"/>
    <row r="626" ht="9.9499999999999993" customHeight="1"/>
    <row r="627" ht="9.9499999999999993" customHeight="1"/>
    <row r="628" ht="9.9499999999999993" customHeight="1"/>
    <row r="629" ht="9.9499999999999993" customHeight="1"/>
    <row r="630" ht="9.9499999999999993" customHeight="1"/>
    <row r="631" ht="9.9499999999999993" customHeight="1"/>
    <row r="632" ht="9.9499999999999993" customHeight="1"/>
    <row r="633" ht="9.9499999999999993" customHeight="1"/>
    <row r="634" ht="9.9499999999999993" customHeight="1"/>
    <row r="635" ht="9.9499999999999993" customHeight="1"/>
    <row r="636" ht="9.9499999999999993" customHeight="1"/>
    <row r="637" ht="9.9499999999999993" customHeight="1"/>
    <row r="638" ht="9.9499999999999993" customHeight="1"/>
    <row r="639" ht="9.9499999999999993" customHeight="1"/>
    <row r="640" ht="9.9499999999999993" customHeight="1"/>
    <row r="641" ht="9.9499999999999993" customHeight="1"/>
    <row r="642" ht="9.9499999999999993" customHeight="1"/>
    <row r="643" ht="9.9499999999999993" customHeight="1"/>
    <row r="644" ht="9.9499999999999993" customHeight="1"/>
    <row r="645" ht="9.9499999999999993" customHeight="1"/>
    <row r="646" ht="9.9499999999999993" customHeight="1"/>
    <row r="647" ht="9.9499999999999993" customHeight="1"/>
    <row r="648" ht="9.9499999999999993" customHeight="1"/>
    <row r="649" ht="9.9499999999999993" customHeight="1"/>
    <row r="650" ht="9.9499999999999993" customHeight="1"/>
    <row r="651" ht="9.9499999999999993" customHeight="1"/>
    <row r="652" ht="9.9499999999999993" customHeight="1"/>
    <row r="653" ht="9.9499999999999993" customHeight="1"/>
    <row r="654" ht="9.9499999999999993" customHeight="1"/>
    <row r="655" ht="9.9499999999999993" customHeight="1"/>
    <row r="656" ht="9.9499999999999993" customHeight="1"/>
    <row r="657" ht="9.9499999999999993" customHeight="1"/>
    <row r="658" ht="9.9499999999999993" customHeight="1"/>
    <row r="659" ht="9.9499999999999993" customHeight="1"/>
    <row r="660" ht="9.9499999999999993" customHeight="1"/>
    <row r="661" ht="9.9499999999999993" customHeight="1"/>
    <row r="662" ht="9.9499999999999993" customHeight="1"/>
    <row r="663" ht="9.9499999999999993" customHeight="1"/>
    <row r="664" ht="9.9499999999999993" customHeight="1"/>
    <row r="665" ht="9.9499999999999993" customHeight="1"/>
    <row r="666" ht="9.9499999999999993" customHeight="1"/>
    <row r="667" ht="9.9499999999999993" customHeight="1"/>
    <row r="668" ht="9.9499999999999993" customHeight="1"/>
    <row r="669" ht="9.9499999999999993" customHeight="1"/>
    <row r="670" ht="9.9499999999999993" customHeight="1"/>
    <row r="671" ht="9.9499999999999993" customHeight="1"/>
    <row r="672" ht="9.9499999999999993" customHeight="1"/>
    <row r="673" ht="9.9499999999999993" customHeight="1"/>
    <row r="674" ht="9.9499999999999993" customHeight="1"/>
    <row r="675" ht="9.9499999999999993" customHeight="1"/>
    <row r="676" ht="9.9499999999999993" customHeight="1"/>
    <row r="677" ht="9.9499999999999993" customHeight="1"/>
    <row r="678" ht="9.9499999999999993" customHeight="1"/>
    <row r="679" ht="9.9499999999999993" customHeight="1"/>
    <row r="680" ht="9.9499999999999993" customHeight="1"/>
    <row r="681" ht="9.9499999999999993" customHeight="1"/>
    <row r="682" ht="9.9499999999999993" customHeight="1"/>
    <row r="683" ht="9.9499999999999993" customHeight="1"/>
    <row r="684" ht="9.9499999999999993" customHeight="1"/>
    <row r="685" ht="9.9499999999999993" customHeight="1"/>
    <row r="686" ht="9.9499999999999993" customHeight="1"/>
    <row r="687" ht="9.9499999999999993" customHeight="1"/>
    <row r="688" ht="9.9499999999999993" customHeight="1"/>
    <row r="689" ht="9.9499999999999993" customHeight="1"/>
    <row r="690" ht="9.9499999999999993" customHeight="1"/>
    <row r="691" ht="9.9499999999999993" customHeight="1"/>
    <row r="692" ht="9.9499999999999993" customHeight="1"/>
    <row r="693" ht="9.9499999999999993" customHeight="1"/>
    <row r="694" ht="9.9499999999999993" customHeight="1"/>
    <row r="695" ht="9.9499999999999993" customHeight="1"/>
    <row r="696" ht="9.9499999999999993" customHeight="1"/>
    <row r="697" ht="9.9499999999999993" customHeight="1"/>
    <row r="698" ht="9.9499999999999993" customHeight="1"/>
    <row r="699" ht="9.9499999999999993" customHeight="1"/>
    <row r="700" ht="9.9499999999999993" customHeight="1"/>
    <row r="701" ht="9.9499999999999993" customHeight="1"/>
    <row r="702" ht="9.9499999999999993" customHeight="1"/>
    <row r="703" ht="9.9499999999999993" customHeight="1"/>
    <row r="704" ht="9.9499999999999993" customHeight="1"/>
    <row r="705" ht="9.9499999999999993" customHeight="1"/>
    <row r="706" ht="9.9499999999999993" customHeight="1"/>
    <row r="707" ht="9.9499999999999993" customHeight="1"/>
    <row r="708" ht="9.9499999999999993" customHeight="1"/>
    <row r="709" ht="9.9499999999999993" customHeight="1"/>
    <row r="710" ht="9.9499999999999993" customHeight="1"/>
    <row r="711" ht="9.9499999999999993" customHeight="1"/>
    <row r="712" ht="9.9499999999999993" customHeight="1"/>
    <row r="713" ht="9.9499999999999993" customHeight="1"/>
    <row r="714" ht="9.9499999999999993" customHeight="1"/>
    <row r="715" ht="9.9499999999999993" customHeight="1"/>
    <row r="716" ht="9.9499999999999993" customHeight="1"/>
    <row r="717" ht="9.9499999999999993" customHeight="1"/>
    <row r="718" ht="9.9499999999999993" customHeight="1"/>
    <row r="719" ht="9.9499999999999993" customHeight="1"/>
    <row r="720" ht="9.9499999999999993" customHeight="1"/>
    <row r="721" ht="9.9499999999999993" customHeight="1"/>
    <row r="722" ht="9.9499999999999993" customHeight="1"/>
    <row r="723" ht="9.9499999999999993" customHeight="1"/>
    <row r="724" ht="9.9499999999999993" customHeight="1"/>
    <row r="725" ht="9.9499999999999993" customHeight="1"/>
    <row r="726" ht="9.9499999999999993" customHeight="1"/>
    <row r="727" ht="9.9499999999999993" customHeight="1"/>
    <row r="728" ht="9.9499999999999993" customHeight="1"/>
    <row r="729" ht="9.9499999999999993" customHeight="1"/>
    <row r="730" ht="9.9499999999999993" customHeight="1"/>
    <row r="731" ht="9.9499999999999993" customHeight="1"/>
    <row r="732" ht="9.9499999999999993" customHeight="1"/>
    <row r="733" ht="9.9499999999999993" customHeight="1"/>
    <row r="734" ht="9.9499999999999993" customHeight="1"/>
    <row r="735" ht="9.9499999999999993" customHeight="1"/>
    <row r="736" ht="9.9499999999999993" customHeight="1"/>
    <row r="737" ht="9.9499999999999993" customHeight="1"/>
    <row r="738" ht="9.9499999999999993" customHeight="1"/>
    <row r="739" ht="9.9499999999999993" customHeight="1"/>
    <row r="740" ht="9.9499999999999993" customHeight="1"/>
    <row r="741" ht="9.9499999999999993" customHeight="1"/>
    <row r="742" ht="9.9499999999999993" customHeight="1"/>
    <row r="743" ht="9.9499999999999993" customHeight="1"/>
    <row r="744" ht="9.9499999999999993" customHeight="1"/>
    <row r="745" ht="9.9499999999999993" customHeight="1"/>
    <row r="746" ht="9.9499999999999993" customHeight="1"/>
    <row r="747" ht="9.9499999999999993" customHeight="1"/>
    <row r="748" ht="9.9499999999999993" customHeight="1"/>
    <row r="749" ht="9.9499999999999993" customHeight="1"/>
    <row r="750" ht="9.9499999999999993" customHeight="1"/>
    <row r="751" ht="9.9499999999999993" customHeight="1"/>
    <row r="752" ht="9.9499999999999993" customHeight="1"/>
    <row r="753" ht="9.9499999999999993" customHeight="1"/>
    <row r="754" ht="9.9499999999999993" customHeight="1"/>
    <row r="755" ht="9.9499999999999993" customHeight="1"/>
    <row r="756" ht="9.9499999999999993" customHeight="1"/>
    <row r="757" ht="9.9499999999999993" customHeight="1"/>
    <row r="758" ht="9.9499999999999993" customHeight="1"/>
    <row r="759" ht="9.9499999999999993" customHeight="1"/>
    <row r="760" ht="9.9499999999999993" customHeight="1"/>
    <row r="761" ht="9.9499999999999993" customHeight="1"/>
    <row r="762" ht="9.9499999999999993" customHeight="1"/>
    <row r="763" ht="9.9499999999999993" customHeight="1"/>
    <row r="764" ht="9.9499999999999993" customHeight="1"/>
    <row r="765" ht="9.9499999999999993" customHeight="1"/>
    <row r="766" ht="9.9499999999999993" customHeight="1"/>
    <row r="767" ht="9.9499999999999993" customHeight="1"/>
    <row r="768" ht="9.9499999999999993" customHeight="1"/>
    <row r="769" ht="9.9499999999999993" customHeight="1"/>
    <row r="770" ht="9.9499999999999993" customHeight="1"/>
    <row r="771" ht="9.9499999999999993" customHeight="1"/>
    <row r="772" ht="9.9499999999999993" customHeight="1"/>
    <row r="773" ht="9.9499999999999993" customHeight="1"/>
    <row r="774" ht="9.9499999999999993" customHeight="1"/>
    <row r="775" ht="9.9499999999999993" customHeight="1"/>
    <row r="776" ht="9.9499999999999993" customHeight="1"/>
    <row r="777" ht="9.9499999999999993" customHeight="1"/>
    <row r="778" ht="9.9499999999999993" customHeight="1"/>
    <row r="779" ht="9.9499999999999993" customHeight="1"/>
    <row r="780" ht="9.9499999999999993" customHeight="1"/>
    <row r="781" ht="9.9499999999999993" customHeight="1"/>
    <row r="782" ht="9.9499999999999993" customHeight="1"/>
    <row r="783" ht="9.9499999999999993" customHeight="1"/>
    <row r="784" ht="9.9499999999999993" customHeight="1"/>
    <row r="785" ht="9.9499999999999993" customHeight="1"/>
    <row r="786" ht="9.9499999999999993" customHeight="1"/>
    <row r="787" ht="9.9499999999999993" customHeight="1"/>
    <row r="788" ht="9.9499999999999993" customHeight="1"/>
    <row r="789" ht="9.9499999999999993" customHeight="1"/>
    <row r="790" ht="9.9499999999999993" customHeight="1"/>
    <row r="791" ht="9.9499999999999993" customHeight="1"/>
    <row r="792" ht="9.9499999999999993" customHeight="1"/>
    <row r="793" ht="9.9499999999999993" customHeight="1"/>
    <row r="794" ht="9.9499999999999993" customHeight="1"/>
    <row r="795" ht="9.9499999999999993" customHeight="1"/>
    <row r="796" ht="9.9499999999999993" customHeight="1"/>
    <row r="797" ht="9.9499999999999993" customHeight="1"/>
    <row r="798" ht="9.9499999999999993" customHeight="1"/>
    <row r="799" ht="9.9499999999999993" customHeight="1"/>
    <row r="800" ht="9.9499999999999993" customHeight="1"/>
    <row r="801" ht="9.9499999999999993" customHeight="1"/>
    <row r="802" ht="9.9499999999999993" customHeight="1"/>
    <row r="803" ht="9.9499999999999993" customHeight="1"/>
    <row r="804" ht="9.9499999999999993" customHeight="1"/>
    <row r="805" ht="9.9499999999999993" customHeight="1"/>
    <row r="806" ht="9.9499999999999993" customHeight="1"/>
    <row r="807" ht="9.9499999999999993" customHeight="1"/>
    <row r="808" ht="9.9499999999999993" customHeight="1"/>
    <row r="809" ht="9.9499999999999993" customHeight="1"/>
    <row r="810" ht="9.9499999999999993" customHeight="1"/>
    <row r="811" ht="9.9499999999999993" customHeight="1"/>
    <row r="812" ht="9.9499999999999993" customHeight="1"/>
    <row r="813" ht="9.9499999999999993" customHeight="1"/>
    <row r="814" ht="9.9499999999999993" customHeight="1"/>
    <row r="815" ht="9.9499999999999993" customHeight="1"/>
    <row r="816" ht="9.9499999999999993" customHeight="1"/>
    <row r="817" ht="9.9499999999999993" customHeight="1"/>
    <row r="818" ht="9.9499999999999993" customHeight="1"/>
    <row r="819" ht="9.9499999999999993" customHeight="1"/>
    <row r="820" ht="9.9499999999999993" customHeight="1"/>
    <row r="821" ht="9.9499999999999993" customHeight="1"/>
    <row r="822" ht="9.9499999999999993" customHeight="1"/>
    <row r="823" ht="9.9499999999999993" customHeight="1"/>
    <row r="824" ht="9.9499999999999993" customHeight="1"/>
    <row r="825" ht="9.9499999999999993" customHeight="1"/>
    <row r="826" ht="9.9499999999999993" customHeight="1"/>
    <row r="827" ht="9.9499999999999993" customHeight="1"/>
    <row r="828" ht="9.9499999999999993" customHeight="1"/>
    <row r="829" ht="9.9499999999999993" customHeight="1"/>
    <row r="830" ht="9.9499999999999993" customHeight="1"/>
    <row r="831" ht="9.9499999999999993" customHeight="1"/>
    <row r="832" ht="9.9499999999999993" customHeight="1"/>
    <row r="833" ht="9.9499999999999993" customHeight="1"/>
    <row r="834" ht="9.9499999999999993" customHeight="1"/>
    <row r="835" ht="9.9499999999999993" customHeight="1"/>
    <row r="836" ht="9.9499999999999993" customHeight="1"/>
    <row r="837" ht="9.9499999999999993" customHeight="1"/>
    <row r="838" ht="9.9499999999999993" customHeight="1"/>
    <row r="839" ht="9.9499999999999993" customHeight="1"/>
    <row r="840" ht="9.9499999999999993" customHeight="1"/>
    <row r="841" ht="9.9499999999999993" customHeight="1"/>
    <row r="842" ht="9.9499999999999993" customHeight="1"/>
    <row r="843" ht="9.9499999999999993" customHeight="1"/>
    <row r="844" ht="9.9499999999999993" customHeight="1"/>
    <row r="845" ht="9.9499999999999993" customHeight="1"/>
    <row r="846" ht="9.9499999999999993" customHeight="1"/>
    <row r="847" ht="9.9499999999999993" customHeight="1"/>
    <row r="848" ht="9.9499999999999993" customHeight="1"/>
    <row r="849" ht="9.9499999999999993" customHeight="1"/>
    <row r="850" ht="9.9499999999999993" customHeight="1"/>
    <row r="851" ht="9.9499999999999993" customHeight="1"/>
    <row r="852" ht="9.9499999999999993" customHeight="1"/>
    <row r="853" ht="9.9499999999999993" customHeight="1"/>
    <row r="854" ht="9.9499999999999993" customHeight="1"/>
    <row r="855" ht="9.9499999999999993" customHeight="1"/>
    <row r="856" ht="9.9499999999999993" customHeight="1"/>
    <row r="857" ht="9.9499999999999993" customHeight="1"/>
    <row r="858" ht="9.9499999999999993" customHeight="1"/>
    <row r="859" ht="9.9499999999999993" customHeight="1"/>
    <row r="860" ht="9.9499999999999993" customHeight="1"/>
    <row r="861" ht="9.9499999999999993" customHeight="1"/>
    <row r="862" ht="9.9499999999999993" customHeight="1"/>
    <row r="863" ht="9.9499999999999993" customHeight="1"/>
    <row r="864" ht="9.9499999999999993" customHeight="1"/>
    <row r="865" ht="9.9499999999999993" customHeight="1"/>
    <row r="866" ht="9.9499999999999993" customHeight="1"/>
    <row r="867" ht="9.9499999999999993" customHeight="1"/>
    <row r="868" ht="9.9499999999999993" customHeight="1"/>
    <row r="869" ht="9.9499999999999993" customHeight="1"/>
    <row r="870" ht="9.9499999999999993" customHeight="1"/>
    <row r="871" ht="9.9499999999999993" customHeight="1"/>
    <row r="872" ht="9.9499999999999993" customHeight="1"/>
    <row r="873" ht="9.9499999999999993" customHeight="1"/>
    <row r="874" ht="9.9499999999999993" customHeight="1"/>
    <row r="875" ht="9.9499999999999993" customHeight="1"/>
    <row r="876" ht="9.9499999999999993" customHeight="1"/>
    <row r="877" ht="9.9499999999999993" customHeight="1"/>
    <row r="878" ht="9.9499999999999993" customHeight="1"/>
    <row r="879" ht="9.9499999999999993" customHeight="1"/>
    <row r="880" ht="9.9499999999999993" customHeight="1"/>
    <row r="881" ht="9.9499999999999993" customHeight="1"/>
    <row r="882" ht="9.9499999999999993" customHeight="1"/>
    <row r="883" ht="9.9499999999999993" customHeight="1"/>
    <row r="884" ht="9.9499999999999993" customHeight="1"/>
    <row r="885" ht="9.9499999999999993" customHeight="1"/>
    <row r="886" ht="9.9499999999999993" customHeight="1"/>
    <row r="887" ht="9.9499999999999993" customHeight="1"/>
    <row r="888" ht="9.9499999999999993" customHeight="1"/>
    <row r="889" ht="9.9499999999999993" customHeight="1"/>
    <row r="890" ht="9.9499999999999993" customHeight="1"/>
    <row r="891" ht="9.9499999999999993" customHeight="1"/>
    <row r="892" ht="9.9499999999999993" customHeight="1"/>
    <row r="893" ht="9.9499999999999993" customHeight="1"/>
    <row r="894" ht="9.9499999999999993" customHeight="1"/>
    <row r="895" ht="9.9499999999999993" customHeight="1"/>
  </sheetData>
  <mergeCells count="2251">
    <mergeCell ref="E8:AL8"/>
    <mergeCell ref="AM8:AU8"/>
    <mergeCell ref="AV8:BD8"/>
    <mergeCell ref="BE8:BR8"/>
    <mergeCell ref="BS8:CF8"/>
    <mergeCell ref="E9:AL9"/>
    <mergeCell ref="AM9:AU9"/>
    <mergeCell ref="AV9:BD9"/>
    <mergeCell ref="BE9:BR9"/>
    <mergeCell ref="BS9:CF9"/>
    <mergeCell ref="A1:CF1"/>
    <mergeCell ref="BU6:CF6"/>
    <mergeCell ref="E7:AL7"/>
    <mergeCell ref="AM7:AU7"/>
    <mergeCell ref="AV7:BD7"/>
    <mergeCell ref="BE7:BR7"/>
    <mergeCell ref="BS7:CF7"/>
    <mergeCell ref="BU23:CF23"/>
    <mergeCell ref="E24:S25"/>
    <mergeCell ref="T24:X25"/>
    <mergeCell ref="Y24:AF25"/>
    <mergeCell ref="AG24:AS24"/>
    <mergeCell ref="AT24:BF24"/>
    <mergeCell ref="BG24:BS24"/>
    <mergeCell ref="BT24:CF24"/>
    <mergeCell ref="AG25:AK25"/>
    <mergeCell ref="AL25:AS25"/>
    <mergeCell ref="E10:AL10"/>
    <mergeCell ref="AM10:AU10"/>
    <mergeCell ref="AV10:BD10"/>
    <mergeCell ref="BE10:BR10"/>
    <mergeCell ref="BS10:CF10"/>
    <mergeCell ref="E11:AL11"/>
    <mergeCell ref="AM11:AU11"/>
    <mergeCell ref="AV11:BD11"/>
    <mergeCell ref="BE11:BR11"/>
    <mergeCell ref="BS11:CF11"/>
    <mergeCell ref="AT26:AX26"/>
    <mergeCell ref="AY26:BF26"/>
    <mergeCell ref="BG26:BK26"/>
    <mergeCell ref="BL26:BS26"/>
    <mergeCell ref="BT26:BX26"/>
    <mergeCell ref="BY26:CF26"/>
    <mergeCell ref="E26:H27"/>
    <mergeCell ref="I26:S26"/>
    <mergeCell ref="T26:X26"/>
    <mergeCell ref="Y26:AF26"/>
    <mergeCell ref="AG26:AK26"/>
    <mergeCell ref="AL26:AS26"/>
    <mergeCell ref="I27:S27"/>
    <mergeCell ref="T27:X27"/>
    <mergeCell ref="Y27:AF27"/>
    <mergeCell ref="AG27:AK27"/>
    <mergeCell ref="AT25:AX25"/>
    <mergeCell ref="AY25:BF25"/>
    <mergeCell ref="BG25:BK25"/>
    <mergeCell ref="BL25:BS25"/>
    <mergeCell ref="BT25:BX25"/>
    <mergeCell ref="BY25:CF25"/>
    <mergeCell ref="BL28:BS28"/>
    <mergeCell ref="BT28:BX28"/>
    <mergeCell ref="BY28:CF28"/>
    <mergeCell ref="I29:S29"/>
    <mergeCell ref="T29:X29"/>
    <mergeCell ref="Y29:AF29"/>
    <mergeCell ref="AG29:AK29"/>
    <mergeCell ref="AL29:AS29"/>
    <mergeCell ref="AT29:AX29"/>
    <mergeCell ref="AY29:BF29"/>
    <mergeCell ref="BY27:CF27"/>
    <mergeCell ref="E28:H31"/>
    <mergeCell ref="I28:S28"/>
    <mergeCell ref="T28:X28"/>
    <mergeCell ref="Y28:AF28"/>
    <mergeCell ref="AG28:AK28"/>
    <mergeCell ref="AL28:AS28"/>
    <mergeCell ref="AT28:AX28"/>
    <mergeCell ref="AY28:BF28"/>
    <mergeCell ref="BG28:BK28"/>
    <mergeCell ref="AL27:AS27"/>
    <mergeCell ref="AT27:AX27"/>
    <mergeCell ref="AY27:BF27"/>
    <mergeCell ref="BG27:BK27"/>
    <mergeCell ref="BL27:BS27"/>
    <mergeCell ref="BT27:BX27"/>
    <mergeCell ref="AY30:BF30"/>
    <mergeCell ref="BG30:BK30"/>
    <mergeCell ref="BL30:BS30"/>
    <mergeCell ref="BT30:BX30"/>
    <mergeCell ref="BY30:CF30"/>
    <mergeCell ref="I31:S31"/>
    <mergeCell ref="AT31:AX31"/>
    <mergeCell ref="AY31:BF31"/>
    <mergeCell ref="BG31:BK31"/>
    <mergeCell ref="BL31:BS31"/>
    <mergeCell ref="BT31:BX31"/>
    <mergeCell ref="BY31:CF31"/>
    <mergeCell ref="BT34:BX34"/>
    <mergeCell ref="BY34:CF34"/>
    <mergeCell ref="T31:X31"/>
    <mergeCell ref="Y31:AF31"/>
    <mergeCell ref="AG31:AK31"/>
    <mergeCell ref="AL31:AS31"/>
    <mergeCell ref="BG29:BK29"/>
    <mergeCell ref="BL29:BS29"/>
    <mergeCell ref="BT29:BX29"/>
    <mergeCell ref="BY29:CF29"/>
    <mergeCell ref="I30:S30"/>
    <mergeCell ref="T30:X30"/>
    <mergeCell ref="Y30:AF30"/>
    <mergeCell ref="AG30:AK30"/>
    <mergeCell ref="AL30:AS30"/>
    <mergeCell ref="AT30:AX30"/>
    <mergeCell ref="AT32:AX32"/>
    <mergeCell ref="AY32:BF32"/>
    <mergeCell ref="BG32:BK32"/>
    <mergeCell ref="BL32:BS32"/>
    <mergeCell ref="BT32:BX32"/>
    <mergeCell ref="BY32:CF32"/>
    <mergeCell ref="BY33:CF33"/>
    <mergeCell ref="I34:S34"/>
    <mergeCell ref="T34:X34"/>
    <mergeCell ref="Y34:AF34"/>
    <mergeCell ref="AG34:AK34"/>
    <mergeCell ref="AL34:AS34"/>
    <mergeCell ref="AT34:AX34"/>
    <mergeCell ref="AY34:BF34"/>
    <mergeCell ref="BG34:BK34"/>
    <mergeCell ref="BL34:BS34"/>
    <mergeCell ref="AL33:AS33"/>
    <mergeCell ref="AT33:AX33"/>
    <mergeCell ref="AY33:BF33"/>
    <mergeCell ref="BG33:BK33"/>
    <mergeCell ref="BL33:BS33"/>
    <mergeCell ref="BT33:BX33"/>
    <mergeCell ref="E32:H34"/>
    <mergeCell ref="I32:S32"/>
    <mergeCell ref="T32:X32"/>
    <mergeCell ref="Y32:AF32"/>
    <mergeCell ref="AG32:AK32"/>
    <mergeCell ref="AL32:AS32"/>
    <mergeCell ref="I33:S33"/>
    <mergeCell ref="T33:X33"/>
    <mergeCell ref="Y33:AF33"/>
    <mergeCell ref="AG33:AK33"/>
    <mergeCell ref="BI45:BT45"/>
    <mergeCell ref="BU45:CF45"/>
    <mergeCell ref="E46:P46"/>
    <mergeCell ref="Q46:AB46"/>
    <mergeCell ref="AC46:AJ46"/>
    <mergeCell ref="AK46:AR46"/>
    <mergeCell ref="AS46:AZ46"/>
    <mergeCell ref="BA46:BH46"/>
    <mergeCell ref="BI46:BN46"/>
    <mergeCell ref="BO46:BT46"/>
    <mergeCell ref="E45:P45"/>
    <mergeCell ref="Q45:AB45"/>
    <mergeCell ref="AC45:AJ45"/>
    <mergeCell ref="AK45:AR45"/>
    <mergeCell ref="AS45:AZ45"/>
    <mergeCell ref="BA45:BH45"/>
    <mergeCell ref="BL35:BS35"/>
    <mergeCell ref="BT35:BX35"/>
    <mergeCell ref="BY35:CF35"/>
    <mergeCell ref="A38:CF38"/>
    <mergeCell ref="G41:J42"/>
    <mergeCell ref="L42:AE42"/>
    <mergeCell ref="E35:S35"/>
    <mergeCell ref="T35:X35"/>
    <mergeCell ref="Y35:AF35"/>
    <mergeCell ref="AG35:AK35"/>
    <mergeCell ref="AL35:AS35"/>
    <mergeCell ref="AT35:AX35"/>
    <mergeCell ref="AY35:BF35"/>
    <mergeCell ref="BG35:BK35"/>
    <mergeCell ref="BI48:BN48"/>
    <mergeCell ref="BO48:BT48"/>
    <mergeCell ref="BU48:CF48"/>
    <mergeCell ref="E49:P49"/>
    <mergeCell ref="Q49:AB49"/>
    <mergeCell ref="AC49:AJ49"/>
    <mergeCell ref="AK49:AR49"/>
    <mergeCell ref="AS49:AZ49"/>
    <mergeCell ref="BA49:BH49"/>
    <mergeCell ref="BI49:BN49"/>
    <mergeCell ref="E48:P48"/>
    <mergeCell ref="Q48:AB48"/>
    <mergeCell ref="AC48:AJ48"/>
    <mergeCell ref="AK48:AR48"/>
    <mergeCell ref="AS48:AZ48"/>
    <mergeCell ref="BA48:BH48"/>
    <mergeCell ref="BU46:CF46"/>
    <mergeCell ref="E47:P47"/>
    <mergeCell ref="Q47:AB47"/>
    <mergeCell ref="AC47:AJ47"/>
    <mergeCell ref="AK47:AR47"/>
    <mergeCell ref="AS47:AZ47"/>
    <mergeCell ref="BA47:BH47"/>
    <mergeCell ref="BI47:BN47"/>
    <mergeCell ref="BO47:BT47"/>
    <mergeCell ref="BU47:CF47"/>
    <mergeCell ref="BU50:CF50"/>
    <mergeCell ref="E51:P51"/>
    <mergeCell ref="Q51:AB51"/>
    <mergeCell ref="AC51:AJ51"/>
    <mergeCell ref="AK51:AR51"/>
    <mergeCell ref="AS51:AZ51"/>
    <mergeCell ref="BA51:BH51"/>
    <mergeCell ref="BI51:BN51"/>
    <mergeCell ref="BO51:BT51"/>
    <mergeCell ref="BU51:CF51"/>
    <mergeCell ref="BO49:BT49"/>
    <mergeCell ref="BU49:CF49"/>
    <mergeCell ref="E50:P50"/>
    <mergeCell ref="Q50:AB50"/>
    <mergeCell ref="AC50:AJ50"/>
    <mergeCell ref="AK50:AR50"/>
    <mergeCell ref="AS50:AZ50"/>
    <mergeCell ref="BA50:BH50"/>
    <mergeCell ref="BI50:BN50"/>
    <mergeCell ref="BO50:BT50"/>
    <mergeCell ref="BO53:BT53"/>
    <mergeCell ref="BU53:CF53"/>
    <mergeCell ref="E57:T58"/>
    <mergeCell ref="U57:AB58"/>
    <mergeCell ref="AC57:AZ57"/>
    <mergeCell ref="BA57:BH58"/>
    <mergeCell ref="BI57:CF57"/>
    <mergeCell ref="AC58:AJ58"/>
    <mergeCell ref="AK58:AR58"/>
    <mergeCell ref="AS58:AZ58"/>
    <mergeCell ref="BI52:BN52"/>
    <mergeCell ref="BO52:BT52"/>
    <mergeCell ref="BU52:CF52"/>
    <mergeCell ref="E53:P53"/>
    <mergeCell ref="Q53:AB53"/>
    <mergeCell ref="AC53:AJ53"/>
    <mergeCell ref="AK53:AR53"/>
    <mergeCell ref="AS53:AZ53"/>
    <mergeCell ref="BA53:BH53"/>
    <mergeCell ref="BI53:BN53"/>
    <mergeCell ref="E52:P52"/>
    <mergeCell ref="Q52:AB52"/>
    <mergeCell ref="AC52:AJ52"/>
    <mergeCell ref="AK52:AR52"/>
    <mergeCell ref="AS52:AZ52"/>
    <mergeCell ref="BA52:BH52"/>
    <mergeCell ref="BQ59:BX59"/>
    <mergeCell ref="BY59:CF59"/>
    <mergeCell ref="E60:T60"/>
    <mergeCell ref="U60:AB60"/>
    <mergeCell ref="AC60:AJ60"/>
    <mergeCell ref="AK60:AR60"/>
    <mergeCell ref="AS60:AZ60"/>
    <mergeCell ref="BA60:BH60"/>
    <mergeCell ref="BI60:BP60"/>
    <mergeCell ref="BQ60:BX60"/>
    <mergeCell ref="BI58:BP58"/>
    <mergeCell ref="BQ58:BX58"/>
    <mergeCell ref="BY58:CF58"/>
    <mergeCell ref="E59:T59"/>
    <mergeCell ref="U59:AB59"/>
    <mergeCell ref="AC59:AJ59"/>
    <mergeCell ref="AK59:AR59"/>
    <mergeCell ref="AS59:AZ59"/>
    <mergeCell ref="BA59:BH59"/>
    <mergeCell ref="BI59:BP59"/>
    <mergeCell ref="BI62:BP62"/>
    <mergeCell ref="BQ62:BX62"/>
    <mergeCell ref="BY62:CF62"/>
    <mergeCell ref="E63:T63"/>
    <mergeCell ref="U63:AB63"/>
    <mergeCell ref="AC63:AJ63"/>
    <mergeCell ref="AK63:AR63"/>
    <mergeCell ref="AS63:AZ63"/>
    <mergeCell ref="BA63:BH63"/>
    <mergeCell ref="BI63:BP63"/>
    <mergeCell ref="E62:T62"/>
    <mergeCell ref="U62:AB62"/>
    <mergeCell ref="AC62:AJ62"/>
    <mergeCell ref="AK62:AR62"/>
    <mergeCell ref="AS62:AZ62"/>
    <mergeCell ref="BA62:BH62"/>
    <mergeCell ref="BY60:CF60"/>
    <mergeCell ref="E61:T61"/>
    <mergeCell ref="U61:AB61"/>
    <mergeCell ref="AC61:AJ61"/>
    <mergeCell ref="AK61:AR61"/>
    <mergeCell ref="AS61:AZ61"/>
    <mergeCell ref="BA61:BH61"/>
    <mergeCell ref="BI61:BP61"/>
    <mergeCell ref="BQ61:BX61"/>
    <mergeCell ref="BY61:CF61"/>
    <mergeCell ref="BY64:CF64"/>
    <mergeCell ref="E65:T65"/>
    <mergeCell ref="U65:AB65"/>
    <mergeCell ref="AC65:AJ65"/>
    <mergeCell ref="AK65:AR65"/>
    <mergeCell ref="AS65:AZ65"/>
    <mergeCell ref="BA65:BH65"/>
    <mergeCell ref="BI65:BP65"/>
    <mergeCell ref="BQ65:BX65"/>
    <mergeCell ref="BY65:CF65"/>
    <mergeCell ref="BQ63:BX63"/>
    <mergeCell ref="BY63:CF63"/>
    <mergeCell ref="E64:T64"/>
    <mergeCell ref="U64:AB64"/>
    <mergeCell ref="AC64:AJ64"/>
    <mergeCell ref="AK64:AR64"/>
    <mergeCell ref="AS64:AZ64"/>
    <mergeCell ref="BA64:BH64"/>
    <mergeCell ref="BI64:BP64"/>
    <mergeCell ref="BQ64:BX64"/>
    <mergeCell ref="BQ67:BX67"/>
    <mergeCell ref="BY67:CF67"/>
    <mergeCell ref="A69:CF69"/>
    <mergeCell ref="G74:J75"/>
    <mergeCell ref="L75:AE75"/>
    <mergeCell ref="E78:P78"/>
    <mergeCell ref="Q78:AB78"/>
    <mergeCell ref="AC78:AJ78"/>
    <mergeCell ref="AK78:AR78"/>
    <mergeCell ref="AS78:AZ78"/>
    <mergeCell ref="BI66:BP66"/>
    <mergeCell ref="BQ66:BX66"/>
    <mergeCell ref="BY66:CF66"/>
    <mergeCell ref="E67:T67"/>
    <mergeCell ref="U67:AB67"/>
    <mergeCell ref="AC67:AJ67"/>
    <mergeCell ref="AK67:AR67"/>
    <mergeCell ref="AS67:AZ67"/>
    <mergeCell ref="BA67:BH67"/>
    <mergeCell ref="BI67:BP67"/>
    <mergeCell ref="E66:T66"/>
    <mergeCell ref="U66:AB66"/>
    <mergeCell ref="AC66:AJ66"/>
    <mergeCell ref="AK66:AR66"/>
    <mergeCell ref="AS66:AZ66"/>
    <mergeCell ref="BA66:BH66"/>
    <mergeCell ref="BO79:BT79"/>
    <mergeCell ref="BU79:CF79"/>
    <mergeCell ref="E80:P80"/>
    <mergeCell ref="Q80:AB80"/>
    <mergeCell ref="AC80:AJ80"/>
    <mergeCell ref="AK80:AR80"/>
    <mergeCell ref="AS80:AZ80"/>
    <mergeCell ref="BA80:BH80"/>
    <mergeCell ref="BI80:BN80"/>
    <mergeCell ref="BO80:BT80"/>
    <mergeCell ref="BA78:BH78"/>
    <mergeCell ref="BI78:BT78"/>
    <mergeCell ref="BU78:CF78"/>
    <mergeCell ref="E79:P79"/>
    <mergeCell ref="Q79:AB79"/>
    <mergeCell ref="AC79:AJ79"/>
    <mergeCell ref="AK79:AR79"/>
    <mergeCell ref="AS79:AZ79"/>
    <mergeCell ref="BA79:BH79"/>
    <mergeCell ref="BI79:BN79"/>
    <mergeCell ref="BI82:BN82"/>
    <mergeCell ref="BO82:BT82"/>
    <mergeCell ref="BU82:CF82"/>
    <mergeCell ref="E83:P83"/>
    <mergeCell ref="Q83:AB83"/>
    <mergeCell ref="AC83:AJ83"/>
    <mergeCell ref="AK83:AR83"/>
    <mergeCell ref="AS83:AZ83"/>
    <mergeCell ref="BA83:BH83"/>
    <mergeCell ref="BI83:BN83"/>
    <mergeCell ref="E82:P82"/>
    <mergeCell ref="Q82:AB82"/>
    <mergeCell ref="AC82:AJ82"/>
    <mergeCell ref="AK82:AR82"/>
    <mergeCell ref="AS82:AZ82"/>
    <mergeCell ref="BA82:BH82"/>
    <mergeCell ref="BU80:CF80"/>
    <mergeCell ref="E81:P81"/>
    <mergeCell ref="Q81:AB81"/>
    <mergeCell ref="AC81:AJ81"/>
    <mergeCell ref="AK81:AR81"/>
    <mergeCell ref="AS81:AZ81"/>
    <mergeCell ref="BA81:BH81"/>
    <mergeCell ref="BI81:BN81"/>
    <mergeCell ref="BO81:BT81"/>
    <mergeCell ref="BU81:CF81"/>
    <mergeCell ref="BU84:CF84"/>
    <mergeCell ref="E85:P85"/>
    <mergeCell ref="Q85:AB85"/>
    <mergeCell ref="AC85:AJ85"/>
    <mergeCell ref="AK85:AR85"/>
    <mergeCell ref="AS85:AZ85"/>
    <mergeCell ref="BA85:BH85"/>
    <mergeCell ref="BI85:BN85"/>
    <mergeCell ref="BO85:BT85"/>
    <mergeCell ref="BU85:CF85"/>
    <mergeCell ref="BO83:BT83"/>
    <mergeCell ref="BU83:CF83"/>
    <mergeCell ref="E84:P84"/>
    <mergeCell ref="Q84:AB84"/>
    <mergeCell ref="AC84:AJ84"/>
    <mergeCell ref="AK84:AR84"/>
    <mergeCell ref="AS84:AZ84"/>
    <mergeCell ref="BA84:BH84"/>
    <mergeCell ref="BI84:BN84"/>
    <mergeCell ref="BO84:BT84"/>
    <mergeCell ref="AK91:AR91"/>
    <mergeCell ref="AS91:AZ91"/>
    <mergeCell ref="BI91:BP91"/>
    <mergeCell ref="BQ91:BX91"/>
    <mergeCell ref="BY91:CF91"/>
    <mergeCell ref="E92:T92"/>
    <mergeCell ref="U92:AB92"/>
    <mergeCell ref="AC92:AJ92"/>
    <mergeCell ref="AK92:AR92"/>
    <mergeCell ref="AS92:AZ92"/>
    <mergeCell ref="BI86:BN86"/>
    <mergeCell ref="BO86:BT86"/>
    <mergeCell ref="BU86:CF86"/>
    <mergeCell ref="E87:CF87"/>
    <mergeCell ref="E90:T91"/>
    <mergeCell ref="U90:AB91"/>
    <mergeCell ref="AC90:AZ90"/>
    <mergeCell ref="BA90:BH91"/>
    <mergeCell ref="BI90:CF90"/>
    <mergeCell ref="AC91:AJ91"/>
    <mergeCell ref="E86:P86"/>
    <mergeCell ref="Q86:AB86"/>
    <mergeCell ref="AC86:AJ86"/>
    <mergeCell ref="AK86:AR86"/>
    <mergeCell ref="AS86:AZ86"/>
    <mergeCell ref="BA86:BH86"/>
    <mergeCell ref="BI93:BP93"/>
    <mergeCell ref="BQ93:BX93"/>
    <mergeCell ref="BY93:CF93"/>
    <mergeCell ref="E94:T94"/>
    <mergeCell ref="U94:AB94"/>
    <mergeCell ref="AC94:AJ94"/>
    <mergeCell ref="AK94:AR94"/>
    <mergeCell ref="AS94:AZ94"/>
    <mergeCell ref="BA94:BH94"/>
    <mergeCell ref="BI94:BP94"/>
    <mergeCell ref="BA92:BH92"/>
    <mergeCell ref="BI92:BP92"/>
    <mergeCell ref="BQ92:BX92"/>
    <mergeCell ref="BY92:CF92"/>
    <mergeCell ref="E93:T93"/>
    <mergeCell ref="U93:AB93"/>
    <mergeCell ref="AC93:AJ93"/>
    <mergeCell ref="AK93:AR93"/>
    <mergeCell ref="AS93:AZ93"/>
    <mergeCell ref="BA93:BH93"/>
    <mergeCell ref="BY95:CF95"/>
    <mergeCell ref="E96:T96"/>
    <mergeCell ref="U96:AB96"/>
    <mergeCell ref="AC96:AJ96"/>
    <mergeCell ref="AK96:AR96"/>
    <mergeCell ref="AS96:AZ96"/>
    <mergeCell ref="BA96:BH96"/>
    <mergeCell ref="BI96:BP96"/>
    <mergeCell ref="BQ96:BX96"/>
    <mergeCell ref="BY96:CF96"/>
    <mergeCell ref="BQ94:BX94"/>
    <mergeCell ref="BY94:CF94"/>
    <mergeCell ref="E95:T95"/>
    <mergeCell ref="U95:AB95"/>
    <mergeCell ref="AC95:AJ95"/>
    <mergeCell ref="AK95:AR95"/>
    <mergeCell ref="AS95:AZ95"/>
    <mergeCell ref="BA95:BH95"/>
    <mergeCell ref="BI95:BP95"/>
    <mergeCell ref="BQ95:BX95"/>
    <mergeCell ref="BQ98:BX98"/>
    <mergeCell ref="BY98:CF98"/>
    <mergeCell ref="E99:T99"/>
    <mergeCell ref="U99:AB99"/>
    <mergeCell ref="AC99:AJ99"/>
    <mergeCell ref="AK99:AR99"/>
    <mergeCell ref="AS99:AZ99"/>
    <mergeCell ref="BA99:BH99"/>
    <mergeCell ref="BI99:BP99"/>
    <mergeCell ref="BQ99:BX99"/>
    <mergeCell ref="BI97:BP97"/>
    <mergeCell ref="BQ97:BX97"/>
    <mergeCell ref="BY97:CF97"/>
    <mergeCell ref="E98:T98"/>
    <mergeCell ref="U98:AB98"/>
    <mergeCell ref="AC98:AJ98"/>
    <mergeCell ref="AK98:AR98"/>
    <mergeCell ref="AS98:AZ98"/>
    <mergeCell ref="BA98:BH98"/>
    <mergeCell ref="BI98:BP98"/>
    <mergeCell ref="E97:T97"/>
    <mergeCell ref="U97:AB97"/>
    <mergeCell ref="AC97:AJ97"/>
    <mergeCell ref="AK97:AR97"/>
    <mergeCell ref="AS97:AZ97"/>
    <mergeCell ref="BA97:BH97"/>
    <mergeCell ref="AS109:AZ109"/>
    <mergeCell ref="BA109:BH109"/>
    <mergeCell ref="BI109:BT109"/>
    <mergeCell ref="BU109:CF109"/>
    <mergeCell ref="E110:P110"/>
    <mergeCell ref="Q110:AB110"/>
    <mergeCell ref="AC110:AJ110"/>
    <mergeCell ref="AK110:AR110"/>
    <mergeCell ref="AS110:AZ110"/>
    <mergeCell ref="BA110:BH110"/>
    <mergeCell ref="G105:J106"/>
    <mergeCell ref="L106:AE106"/>
    <mergeCell ref="E109:P109"/>
    <mergeCell ref="Q109:AB109"/>
    <mergeCell ref="AC109:AJ109"/>
    <mergeCell ref="AK109:AR109"/>
    <mergeCell ref="BY99:CF99"/>
    <mergeCell ref="E100:T100"/>
    <mergeCell ref="U100:AB100"/>
    <mergeCell ref="AC100:AJ100"/>
    <mergeCell ref="AK100:AR100"/>
    <mergeCell ref="AS100:AZ100"/>
    <mergeCell ref="BA100:BH100"/>
    <mergeCell ref="BI100:BP100"/>
    <mergeCell ref="BQ100:BX100"/>
    <mergeCell ref="BY100:CF100"/>
    <mergeCell ref="BO111:BT111"/>
    <mergeCell ref="BU111:CF111"/>
    <mergeCell ref="E112:P112"/>
    <mergeCell ref="Q112:AB112"/>
    <mergeCell ref="AC112:AJ112"/>
    <mergeCell ref="AK112:AR112"/>
    <mergeCell ref="AS112:AZ112"/>
    <mergeCell ref="BA112:BH112"/>
    <mergeCell ref="BI112:BN112"/>
    <mergeCell ref="BO112:BT112"/>
    <mergeCell ref="BI110:BN110"/>
    <mergeCell ref="BO110:BT110"/>
    <mergeCell ref="BU110:CF110"/>
    <mergeCell ref="E111:P111"/>
    <mergeCell ref="Q111:AB111"/>
    <mergeCell ref="AC111:AJ111"/>
    <mergeCell ref="AK111:AR111"/>
    <mergeCell ref="AS111:AZ111"/>
    <mergeCell ref="BA111:BH111"/>
    <mergeCell ref="BI111:BN111"/>
    <mergeCell ref="BI114:BN114"/>
    <mergeCell ref="BO114:BT114"/>
    <mergeCell ref="BU114:CF114"/>
    <mergeCell ref="E115:P115"/>
    <mergeCell ref="Q115:AB115"/>
    <mergeCell ref="AC115:AJ115"/>
    <mergeCell ref="AK115:AR115"/>
    <mergeCell ref="AS115:AZ115"/>
    <mergeCell ref="BA115:BH115"/>
    <mergeCell ref="BI115:BN115"/>
    <mergeCell ref="E114:P114"/>
    <mergeCell ref="Q114:AB114"/>
    <mergeCell ref="AC114:AJ114"/>
    <mergeCell ref="AK114:AR114"/>
    <mergeCell ref="AS114:AZ114"/>
    <mergeCell ref="BA114:BH114"/>
    <mergeCell ref="BU112:CF112"/>
    <mergeCell ref="E113:P113"/>
    <mergeCell ref="Q113:AB113"/>
    <mergeCell ref="AC113:AJ113"/>
    <mergeCell ref="AK113:AR113"/>
    <mergeCell ref="AS113:AZ113"/>
    <mergeCell ref="BA113:BH113"/>
    <mergeCell ref="BI113:BN113"/>
    <mergeCell ref="BO113:BT113"/>
    <mergeCell ref="BU113:CF113"/>
    <mergeCell ref="BU116:CF116"/>
    <mergeCell ref="E117:P117"/>
    <mergeCell ref="Q117:AB117"/>
    <mergeCell ref="AC117:AJ117"/>
    <mergeCell ref="AK117:AR117"/>
    <mergeCell ref="AS117:AZ117"/>
    <mergeCell ref="BA117:BH117"/>
    <mergeCell ref="BI117:BN117"/>
    <mergeCell ref="BO117:BT117"/>
    <mergeCell ref="BU117:CF117"/>
    <mergeCell ref="BO115:BT115"/>
    <mergeCell ref="BU115:CF115"/>
    <mergeCell ref="E116:P116"/>
    <mergeCell ref="Q116:AB116"/>
    <mergeCell ref="AC116:AJ116"/>
    <mergeCell ref="AK116:AR116"/>
    <mergeCell ref="AS116:AZ116"/>
    <mergeCell ref="BA116:BH116"/>
    <mergeCell ref="BI116:BN116"/>
    <mergeCell ref="BO116:BT116"/>
    <mergeCell ref="BY122:CF122"/>
    <mergeCell ref="E123:T123"/>
    <mergeCell ref="U123:AB123"/>
    <mergeCell ref="AC123:AJ123"/>
    <mergeCell ref="AK123:AR123"/>
    <mergeCell ref="AS123:AZ123"/>
    <mergeCell ref="BA123:BH123"/>
    <mergeCell ref="BI123:BP123"/>
    <mergeCell ref="BQ123:BX123"/>
    <mergeCell ref="BY123:CF123"/>
    <mergeCell ref="E121:T122"/>
    <mergeCell ref="U121:AB122"/>
    <mergeCell ref="AC121:AZ121"/>
    <mergeCell ref="BA121:BH122"/>
    <mergeCell ref="BI121:CF121"/>
    <mergeCell ref="AC122:AJ122"/>
    <mergeCell ref="AK122:AR122"/>
    <mergeCell ref="AS122:AZ122"/>
    <mergeCell ref="BI122:BP122"/>
    <mergeCell ref="BQ122:BX122"/>
    <mergeCell ref="BQ125:BX125"/>
    <mergeCell ref="BY125:CF125"/>
    <mergeCell ref="E126:T126"/>
    <mergeCell ref="U126:AB126"/>
    <mergeCell ref="AC126:AJ126"/>
    <mergeCell ref="AK126:AR126"/>
    <mergeCell ref="AS126:AZ126"/>
    <mergeCell ref="BA126:BH126"/>
    <mergeCell ref="BI126:BP126"/>
    <mergeCell ref="BQ126:BX126"/>
    <mergeCell ref="BI124:BP124"/>
    <mergeCell ref="BQ124:BX124"/>
    <mergeCell ref="BY124:CF124"/>
    <mergeCell ref="E125:T125"/>
    <mergeCell ref="U125:AB125"/>
    <mergeCell ref="AC125:AJ125"/>
    <mergeCell ref="AK125:AR125"/>
    <mergeCell ref="AS125:AZ125"/>
    <mergeCell ref="BA125:BH125"/>
    <mergeCell ref="BI125:BP125"/>
    <mergeCell ref="E124:T124"/>
    <mergeCell ref="U124:AB124"/>
    <mergeCell ref="AC124:AJ124"/>
    <mergeCell ref="AK124:AR124"/>
    <mergeCell ref="AS124:AZ124"/>
    <mergeCell ref="BA124:BH124"/>
    <mergeCell ref="BI128:BP128"/>
    <mergeCell ref="BQ128:BX128"/>
    <mergeCell ref="BY128:CF128"/>
    <mergeCell ref="E129:T129"/>
    <mergeCell ref="U129:AB129"/>
    <mergeCell ref="AC129:AJ129"/>
    <mergeCell ref="AK129:AR129"/>
    <mergeCell ref="AS129:AZ129"/>
    <mergeCell ref="BA129:BH129"/>
    <mergeCell ref="BI129:BP129"/>
    <mergeCell ref="E128:T128"/>
    <mergeCell ref="U128:AB128"/>
    <mergeCell ref="AC128:AJ128"/>
    <mergeCell ref="AK128:AR128"/>
    <mergeCell ref="AS128:AZ128"/>
    <mergeCell ref="BA128:BH128"/>
    <mergeCell ref="BY126:CF126"/>
    <mergeCell ref="E127:T127"/>
    <mergeCell ref="U127:AB127"/>
    <mergeCell ref="AC127:AJ127"/>
    <mergeCell ref="AK127:AR127"/>
    <mergeCell ref="AS127:AZ127"/>
    <mergeCell ref="BA127:BH127"/>
    <mergeCell ref="BI127:BP127"/>
    <mergeCell ref="BQ127:BX127"/>
    <mergeCell ref="BY127:CF127"/>
    <mergeCell ref="BY130:CF130"/>
    <mergeCell ref="E131:T131"/>
    <mergeCell ref="U131:AB131"/>
    <mergeCell ref="AC131:AJ131"/>
    <mergeCell ref="AK131:AR131"/>
    <mergeCell ref="AS131:AZ131"/>
    <mergeCell ref="BA131:BH131"/>
    <mergeCell ref="BI131:BP131"/>
    <mergeCell ref="BQ131:BX131"/>
    <mergeCell ref="BY131:CF131"/>
    <mergeCell ref="BQ129:BX129"/>
    <mergeCell ref="BY129:CF129"/>
    <mergeCell ref="E130:T130"/>
    <mergeCell ref="U130:AB130"/>
    <mergeCell ref="AC130:AJ130"/>
    <mergeCell ref="AK130:AR130"/>
    <mergeCell ref="AS130:AZ130"/>
    <mergeCell ref="BA130:BH130"/>
    <mergeCell ref="BI130:BP130"/>
    <mergeCell ref="BQ130:BX130"/>
    <mergeCell ref="BQ140:BX140"/>
    <mergeCell ref="BY140:CF140"/>
    <mergeCell ref="E141:I143"/>
    <mergeCell ref="J141:T141"/>
    <mergeCell ref="U141:AB141"/>
    <mergeCell ref="AC141:AJ141"/>
    <mergeCell ref="AK141:AR141"/>
    <mergeCell ref="AS141:AZ141"/>
    <mergeCell ref="BA141:BH141"/>
    <mergeCell ref="BI141:BP141"/>
    <mergeCell ref="A133:CF133"/>
    <mergeCell ref="E139:T140"/>
    <mergeCell ref="U139:AR139"/>
    <mergeCell ref="AS139:AZ140"/>
    <mergeCell ref="BA139:CF139"/>
    <mergeCell ref="U140:AB140"/>
    <mergeCell ref="AC140:AJ140"/>
    <mergeCell ref="AK140:AR140"/>
    <mergeCell ref="BA140:BH140"/>
    <mergeCell ref="BI140:BP140"/>
    <mergeCell ref="BY142:CF142"/>
    <mergeCell ref="J143:T143"/>
    <mergeCell ref="U143:AB143"/>
    <mergeCell ref="AC143:AJ143"/>
    <mergeCell ref="AK143:AR143"/>
    <mergeCell ref="AS143:AZ143"/>
    <mergeCell ref="BA143:BH143"/>
    <mergeCell ref="BI143:BP143"/>
    <mergeCell ref="BQ143:BX143"/>
    <mergeCell ref="BY143:CF143"/>
    <mergeCell ref="BQ141:BX141"/>
    <mergeCell ref="BY141:CF141"/>
    <mergeCell ref="J142:T142"/>
    <mergeCell ref="U142:AB142"/>
    <mergeCell ref="AC142:AJ142"/>
    <mergeCell ref="AK142:AR142"/>
    <mergeCell ref="AS142:AZ142"/>
    <mergeCell ref="BA142:BH142"/>
    <mergeCell ref="BI142:BP142"/>
    <mergeCell ref="BQ142:BX142"/>
    <mergeCell ref="BI145:BP145"/>
    <mergeCell ref="BQ145:BX145"/>
    <mergeCell ref="BY145:CF145"/>
    <mergeCell ref="J146:T146"/>
    <mergeCell ref="U146:AB146"/>
    <mergeCell ref="AC146:AJ146"/>
    <mergeCell ref="AK146:AR146"/>
    <mergeCell ref="AS146:AZ146"/>
    <mergeCell ref="BA146:BH146"/>
    <mergeCell ref="BI146:BP146"/>
    <mergeCell ref="BA144:BH144"/>
    <mergeCell ref="BI144:BP144"/>
    <mergeCell ref="BQ144:BX144"/>
    <mergeCell ref="BY144:CF144"/>
    <mergeCell ref="J145:T145"/>
    <mergeCell ref="U145:AB145"/>
    <mergeCell ref="AC145:AJ145"/>
    <mergeCell ref="AK145:AR145"/>
    <mergeCell ref="AS145:AZ145"/>
    <mergeCell ref="BA145:BH145"/>
    <mergeCell ref="J144:T144"/>
    <mergeCell ref="U144:AB144"/>
    <mergeCell ref="AC144:AJ144"/>
    <mergeCell ref="AK144:AR144"/>
    <mergeCell ref="AS144:AZ144"/>
    <mergeCell ref="BU151:CF151"/>
    <mergeCell ref="E152:AA152"/>
    <mergeCell ref="AB152:AF152"/>
    <mergeCell ref="AG152:AP152"/>
    <mergeCell ref="AQ152:AZ152"/>
    <mergeCell ref="BA152:BJ152"/>
    <mergeCell ref="BK152:BT152"/>
    <mergeCell ref="BU152:CF152"/>
    <mergeCell ref="E151:AA151"/>
    <mergeCell ref="AB151:AF151"/>
    <mergeCell ref="AG151:AP151"/>
    <mergeCell ref="AQ151:AZ151"/>
    <mergeCell ref="BA151:BJ151"/>
    <mergeCell ref="BK151:BT151"/>
    <mergeCell ref="BQ146:BX146"/>
    <mergeCell ref="BY146:CF146"/>
    <mergeCell ref="E150:S150"/>
    <mergeCell ref="T150:AA150"/>
    <mergeCell ref="AB150:AF150"/>
    <mergeCell ref="AG150:AP150"/>
    <mergeCell ref="AQ150:AZ150"/>
    <mergeCell ref="BA150:BJ150"/>
    <mergeCell ref="BK150:BT150"/>
    <mergeCell ref="BU150:CF150"/>
    <mergeCell ref="E144:I146"/>
    <mergeCell ref="AQ155:AZ155"/>
    <mergeCell ref="BA155:BJ155"/>
    <mergeCell ref="BK155:BT155"/>
    <mergeCell ref="E156:H158"/>
    <mergeCell ref="I156:S156"/>
    <mergeCell ref="T156:AA156"/>
    <mergeCell ref="AB156:AF156"/>
    <mergeCell ref="AG156:AP156"/>
    <mergeCell ref="AQ156:AZ156"/>
    <mergeCell ref="BA156:BJ156"/>
    <mergeCell ref="BA153:BJ153"/>
    <mergeCell ref="BK153:BT153"/>
    <mergeCell ref="BU153:CF155"/>
    <mergeCell ref="I154:S154"/>
    <mergeCell ref="T154:AA154"/>
    <mergeCell ref="AB154:AF154"/>
    <mergeCell ref="AG154:AP154"/>
    <mergeCell ref="AQ154:AZ154"/>
    <mergeCell ref="BA154:BJ154"/>
    <mergeCell ref="BK154:BT154"/>
    <mergeCell ref="E153:H155"/>
    <mergeCell ref="I153:S153"/>
    <mergeCell ref="T153:AA153"/>
    <mergeCell ref="AB153:AF153"/>
    <mergeCell ref="AG153:AP153"/>
    <mergeCell ref="AQ153:AZ153"/>
    <mergeCell ref="I155:S155"/>
    <mergeCell ref="T155:AA155"/>
    <mergeCell ref="AB155:AF155"/>
    <mergeCell ref="AG155:AP155"/>
    <mergeCell ref="BK158:BT158"/>
    <mergeCell ref="BU158:CF158"/>
    <mergeCell ref="A165:CF165"/>
    <mergeCell ref="G168:J169"/>
    <mergeCell ref="L169:AE169"/>
    <mergeCell ref="E172:P172"/>
    <mergeCell ref="Q172:AB172"/>
    <mergeCell ref="AC172:AJ172"/>
    <mergeCell ref="AK172:AR172"/>
    <mergeCell ref="AS172:AZ172"/>
    <mergeCell ref="I158:S158"/>
    <mergeCell ref="T158:AA158"/>
    <mergeCell ref="AB158:AF158"/>
    <mergeCell ref="AG158:AP158"/>
    <mergeCell ref="AQ158:AZ158"/>
    <mergeCell ref="BA158:BJ158"/>
    <mergeCell ref="BK156:BT156"/>
    <mergeCell ref="BU156:CF156"/>
    <mergeCell ref="I157:S157"/>
    <mergeCell ref="T157:AA157"/>
    <mergeCell ref="AB157:AF157"/>
    <mergeCell ref="AG157:AP157"/>
    <mergeCell ref="AQ157:AZ157"/>
    <mergeCell ref="BA157:BJ157"/>
    <mergeCell ref="BK157:BT157"/>
    <mergeCell ref="BU157:CF157"/>
    <mergeCell ref="BO173:BT173"/>
    <mergeCell ref="BU173:CF173"/>
    <mergeCell ref="E174:P174"/>
    <mergeCell ref="Q174:AB174"/>
    <mergeCell ref="AC174:AJ174"/>
    <mergeCell ref="AK174:AR174"/>
    <mergeCell ref="AS174:AZ174"/>
    <mergeCell ref="BA174:BH174"/>
    <mergeCell ref="BI174:BN174"/>
    <mergeCell ref="BO174:BT174"/>
    <mergeCell ref="BA172:BH172"/>
    <mergeCell ref="BI172:BT172"/>
    <mergeCell ref="BU172:CF172"/>
    <mergeCell ref="E173:P173"/>
    <mergeCell ref="Q173:AB173"/>
    <mergeCell ref="AC173:AJ173"/>
    <mergeCell ref="AK173:AR173"/>
    <mergeCell ref="AS173:AZ173"/>
    <mergeCell ref="BA173:BH173"/>
    <mergeCell ref="BI173:BN173"/>
    <mergeCell ref="BI176:BN176"/>
    <mergeCell ref="BO176:BT176"/>
    <mergeCell ref="BU176:CF176"/>
    <mergeCell ref="E177:P177"/>
    <mergeCell ref="Q177:AB177"/>
    <mergeCell ref="AC177:AJ177"/>
    <mergeCell ref="AK177:AR177"/>
    <mergeCell ref="AS177:AZ177"/>
    <mergeCell ref="BA177:BH177"/>
    <mergeCell ref="BI177:BN177"/>
    <mergeCell ref="E176:P176"/>
    <mergeCell ref="Q176:AB176"/>
    <mergeCell ref="AC176:AJ176"/>
    <mergeCell ref="AK176:AR176"/>
    <mergeCell ref="AS176:AZ176"/>
    <mergeCell ref="BA176:BH176"/>
    <mergeCell ref="BU174:CF174"/>
    <mergeCell ref="E175:P175"/>
    <mergeCell ref="Q175:AB175"/>
    <mergeCell ref="AC175:AJ175"/>
    <mergeCell ref="AK175:AR175"/>
    <mergeCell ref="AS175:AZ175"/>
    <mergeCell ref="BA175:BH175"/>
    <mergeCell ref="BI175:BN175"/>
    <mergeCell ref="BO175:BT175"/>
    <mergeCell ref="BU175:CF175"/>
    <mergeCell ref="BU178:CF178"/>
    <mergeCell ref="E179:P179"/>
    <mergeCell ref="Q179:AB179"/>
    <mergeCell ref="AC179:AJ179"/>
    <mergeCell ref="AK179:AR179"/>
    <mergeCell ref="AS179:AZ179"/>
    <mergeCell ref="BA179:BH179"/>
    <mergeCell ref="BI179:BN179"/>
    <mergeCell ref="BO179:BT179"/>
    <mergeCell ref="BU179:CF179"/>
    <mergeCell ref="BO177:BT177"/>
    <mergeCell ref="BU177:CF177"/>
    <mergeCell ref="E178:P178"/>
    <mergeCell ref="Q178:AB178"/>
    <mergeCell ref="AC178:AJ178"/>
    <mergeCell ref="AK178:AR178"/>
    <mergeCell ref="AS178:AZ178"/>
    <mergeCell ref="BA178:BH178"/>
    <mergeCell ref="BI178:BN178"/>
    <mergeCell ref="BO178:BT178"/>
    <mergeCell ref="AS185:AZ185"/>
    <mergeCell ref="BI185:BP185"/>
    <mergeCell ref="BQ185:BX185"/>
    <mergeCell ref="BY185:CF185"/>
    <mergeCell ref="E186:T186"/>
    <mergeCell ref="U186:AB186"/>
    <mergeCell ref="AC186:AJ186"/>
    <mergeCell ref="AK186:AR186"/>
    <mergeCell ref="AS186:AZ186"/>
    <mergeCell ref="BA186:BH186"/>
    <mergeCell ref="BI180:BN180"/>
    <mergeCell ref="BO180:BT180"/>
    <mergeCell ref="BU180:CF180"/>
    <mergeCell ref="E184:T185"/>
    <mergeCell ref="U184:AB185"/>
    <mergeCell ref="AC184:AZ184"/>
    <mergeCell ref="BA184:BH185"/>
    <mergeCell ref="BI184:CF184"/>
    <mergeCell ref="AC185:AJ185"/>
    <mergeCell ref="AK185:AR185"/>
    <mergeCell ref="E180:P180"/>
    <mergeCell ref="Q180:AB180"/>
    <mergeCell ref="AC180:AJ180"/>
    <mergeCell ref="AK180:AR180"/>
    <mergeCell ref="AS180:AZ180"/>
    <mergeCell ref="BA180:BH180"/>
    <mergeCell ref="BQ187:BX187"/>
    <mergeCell ref="BY187:CF187"/>
    <mergeCell ref="E188:T188"/>
    <mergeCell ref="U188:AB188"/>
    <mergeCell ref="AC188:AJ188"/>
    <mergeCell ref="AK188:AR188"/>
    <mergeCell ref="AS188:AZ188"/>
    <mergeCell ref="BA188:BH188"/>
    <mergeCell ref="BI188:BP188"/>
    <mergeCell ref="BQ188:BX188"/>
    <mergeCell ref="BI186:BP186"/>
    <mergeCell ref="BQ186:BX186"/>
    <mergeCell ref="BY186:CF186"/>
    <mergeCell ref="E187:T187"/>
    <mergeCell ref="U187:AB187"/>
    <mergeCell ref="AC187:AJ187"/>
    <mergeCell ref="AK187:AR187"/>
    <mergeCell ref="AS187:AZ187"/>
    <mergeCell ref="BA187:BH187"/>
    <mergeCell ref="BI187:BP187"/>
    <mergeCell ref="BI190:BP190"/>
    <mergeCell ref="BQ190:BX190"/>
    <mergeCell ref="BY190:CF190"/>
    <mergeCell ref="E191:T191"/>
    <mergeCell ref="U191:AB191"/>
    <mergeCell ref="AC191:AJ191"/>
    <mergeCell ref="AK191:AR191"/>
    <mergeCell ref="AS191:AZ191"/>
    <mergeCell ref="BA191:BH191"/>
    <mergeCell ref="BI191:BP191"/>
    <mergeCell ref="E190:T190"/>
    <mergeCell ref="U190:AB190"/>
    <mergeCell ref="AC190:AJ190"/>
    <mergeCell ref="AK190:AR190"/>
    <mergeCell ref="AS190:AZ190"/>
    <mergeCell ref="BA190:BH190"/>
    <mergeCell ref="BY188:CF188"/>
    <mergeCell ref="E189:T189"/>
    <mergeCell ref="U189:AB189"/>
    <mergeCell ref="AC189:AJ189"/>
    <mergeCell ref="AK189:AR189"/>
    <mergeCell ref="AS189:AZ189"/>
    <mergeCell ref="BA189:BH189"/>
    <mergeCell ref="BI189:BP189"/>
    <mergeCell ref="BQ189:BX189"/>
    <mergeCell ref="BY189:CF189"/>
    <mergeCell ref="BY192:CF192"/>
    <mergeCell ref="E193:T193"/>
    <mergeCell ref="U193:AB193"/>
    <mergeCell ref="AC193:AJ193"/>
    <mergeCell ref="AK193:AR193"/>
    <mergeCell ref="AS193:AZ193"/>
    <mergeCell ref="BA193:BH193"/>
    <mergeCell ref="BI193:BP193"/>
    <mergeCell ref="BQ193:BX193"/>
    <mergeCell ref="BY193:CF193"/>
    <mergeCell ref="BQ191:BX191"/>
    <mergeCell ref="BY191:CF191"/>
    <mergeCell ref="E192:T192"/>
    <mergeCell ref="U192:AB192"/>
    <mergeCell ref="AC192:AJ192"/>
    <mergeCell ref="AK192:AR192"/>
    <mergeCell ref="AS192:AZ192"/>
    <mergeCell ref="BA192:BH192"/>
    <mergeCell ref="BI192:BP192"/>
    <mergeCell ref="BQ192:BX192"/>
    <mergeCell ref="V205:Z205"/>
    <mergeCell ref="BC205:BG205"/>
    <mergeCell ref="AD206:AH206"/>
    <mergeCell ref="BD206:BG206"/>
    <mergeCell ref="G208:J209"/>
    <mergeCell ref="AP208:AR209"/>
    <mergeCell ref="AS208:BG209"/>
    <mergeCell ref="L209:AN209"/>
    <mergeCell ref="AE203:AI203"/>
    <mergeCell ref="AJ203:AK203"/>
    <mergeCell ref="AL203:AP203"/>
    <mergeCell ref="AQ203:AR203"/>
    <mergeCell ref="AS203:AY203"/>
    <mergeCell ref="AC204:AJ204"/>
    <mergeCell ref="BI194:BP194"/>
    <mergeCell ref="BQ194:BX194"/>
    <mergeCell ref="BY194:CF194"/>
    <mergeCell ref="A196:CF196"/>
    <mergeCell ref="G201:J202"/>
    <mergeCell ref="L202:AB202"/>
    <mergeCell ref="E194:T194"/>
    <mergeCell ref="U194:AB194"/>
    <mergeCell ref="AC194:AJ194"/>
    <mergeCell ref="AK194:AR194"/>
    <mergeCell ref="AS194:AZ194"/>
    <mergeCell ref="BA194:BH194"/>
    <mergeCell ref="G220:J221"/>
    <mergeCell ref="L220:AI221"/>
    <mergeCell ref="AJ220:AK220"/>
    <mergeCell ref="AJ221:AK221"/>
    <mergeCell ref="V222:Z222"/>
    <mergeCell ref="BI222:BM222"/>
    <mergeCell ref="BY214:CF214"/>
    <mergeCell ref="E215:T215"/>
    <mergeCell ref="U215:AB215"/>
    <mergeCell ref="AC215:AJ215"/>
    <mergeCell ref="AK215:AR215"/>
    <mergeCell ref="AS215:AZ215"/>
    <mergeCell ref="BA215:BH215"/>
    <mergeCell ref="BI215:BP215"/>
    <mergeCell ref="BQ215:BX215"/>
    <mergeCell ref="BY215:CF215"/>
    <mergeCell ref="E213:T214"/>
    <mergeCell ref="U213:AB214"/>
    <mergeCell ref="AC213:AZ213"/>
    <mergeCell ref="BA213:BH214"/>
    <mergeCell ref="BI213:CF213"/>
    <mergeCell ref="AC214:AJ214"/>
    <mergeCell ref="AK214:AR214"/>
    <mergeCell ref="AS214:AZ214"/>
    <mergeCell ref="BI214:BP214"/>
    <mergeCell ref="BQ214:BX214"/>
    <mergeCell ref="AO227:AR227"/>
    <mergeCell ref="E231:T232"/>
    <mergeCell ref="U231:AB232"/>
    <mergeCell ref="AC231:AZ231"/>
    <mergeCell ref="BA231:BH232"/>
    <mergeCell ref="BI231:CF231"/>
    <mergeCell ref="AC232:AJ232"/>
    <mergeCell ref="AK232:AR232"/>
    <mergeCell ref="AS232:AZ232"/>
    <mergeCell ref="BI232:BP232"/>
    <mergeCell ref="AB223:AF223"/>
    <mergeCell ref="AZ223:BD223"/>
    <mergeCell ref="Y224:AC224"/>
    <mergeCell ref="BD224:BG224"/>
    <mergeCell ref="G226:J227"/>
    <mergeCell ref="L226:AL227"/>
    <mergeCell ref="AM226:AN227"/>
    <mergeCell ref="AO226:AR226"/>
    <mergeCell ref="AS226:AU227"/>
    <mergeCell ref="AV226:BJ227"/>
    <mergeCell ref="BY233:CF233"/>
    <mergeCell ref="A234:CF234"/>
    <mergeCell ref="BU240:CF240"/>
    <mergeCell ref="E241:S242"/>
    <mergeCell ref="T241:X242"/>
    <mergeCell ref="Y241:AF242"/>
    <mergeCell ref="AG241:BF241"/>
    <mergeCell ref="BG241:CF241"/>
    <mergeCell ref="AG242:AP242"/>
    <mergeCell ref="AQ242:BF242"/>
    <mergeCell ref="BQ232:BX232"/>
    <mergeCell ref="BY232:CF232"/>
    <mergeCell ref="E233:T233"/>
    <mergeCell ref="U233:AB233"/>
    <mergeCell ref="AC233:AJ233"/>
    <mergeCell ref="AK233:AR233"/>
    <mergeCell ref="AS233:AZ233"/>
    <mergeCell ref="BA233:BH233"/>
    <mergeCell ref="BI233:BP233"/>
    <mergeCell ref="BQ233:BX233"/>
    <mergeCell ref="BQ244:CF244"/>
    <mergeCell ref="E245:H248"/>
    <mergeCell ref="I245:S245"/>
    <mergeCell ref="T245:X245"/>
    <mergeCell ref="Y245:AF245"/>
    <mergeCell ref="AG245:AP245"/>
    <mergeCell ref="AQ245:BF245"/>
    <mergeCell ref="BG245:BP245"/>
    <mergeCell ref="BQ245:CF245"/>
    <mergeCell ref="I246:S246"/>
    <mergeCell ref="I244:S244"/>
    <mergeCell ref="T244:X244"/>
    <mergeCell ref="Y244:AF244"/>
    <mergeCell ref="AG244:AP244"/>
    <mergeCell ref="AQ244:BF244"/>
    <mergeCell ref="BG244:BP244"/>
    <mergeCell ref="BG242:BP242"/>
    <mergeCell ref="BQ242:CF242"/>
    <mergeCell ref="E243:H244"/>
    <mergeCell ref="I243:S243"/>
    <mergeCell ref="T243:X243"/>
    <mergeCell ref="Y243:AF243"/>
    <mergeCell ref="AG243:AP243"/>
    <mergeCell ref="AQ243:BF243"/>
    <mergeCell ref="BG243:BP243"/>
    <mergeCell ref="BQ243:CF243"/>
    <mergeCell ref="BQ247:CF247"/>
    <mergeCell ref="I248:S248"/>
    <mergeCell ref="T248:X248"/>
    <mergeCell ref="Y248:AF248"/>
    <mergeCell ref="AG248:AP248"/>
    <mergeCell ref="AQ248:BF248"/>
    <mergeCell ref="BG248:BP248"/>
    <mergeCell ref="BQ248:CF248"/>
    <mergeCell ref="I247:S247"/>
    <mergeCell ref="T247:X247"/>
    <mergeCell ref="Y247:AF247"/>
    <mergeCell ref="AG247:AP247"/>
    <mergeCell ref="AQ247:BF247"/>
    <mergeCell ref="BG247:BP247"/>
    <mergeCell ref="T246:X246"/>
    <mergeCell ref="Y246:AF246"/>
    <mergeCell ref="AG246:AP246"/>
    <mergeCell ref="AQ246:BF246"/>
    <mergeCell ref="BG246:BP246"/>
    <mergeCell ref="BQ246:CF246"/>
    <mergeCell ref="AQ251:BF251"/>
    <mergeCell ref="BG251:BP251"/>
    <mergeCell ref="BQ251:CF251"/>
    <mergeCell ref="E252:S252"/>
    <mergeCell ref="T252:X252"/>
    <mergeCell ref="Y252:AF252"/>
    <mergeCell ref="AG252:AP252"/>
    <mergeCell ref="AQ252:BF252"/>
    <mergeCell ref="BG252:BP252"/>
    <mergeCell ref="BQ252:CF252"/>
    <mergeCell ref="BG249:BP249"/>
    <mergeCell ref="BQ249:CF249"/>
    <mergeCell ref="I250:S250"/>
    <mergeCell ref="T250:X250"/>
    <mergeCell ref="Y250:AF250"/>
    <mergeCell ref="AG250:AP250"/>
    <mergeCell ref="AQ250:BF250"/>
    <mergeCell ref="BG250:BP250"/>
    <mergeCell ref="BQ250:CF250"/>
    <mergeCell ref="E249:H251"/>
    <mergeCell ref="I249:S249"/>
    <mergeCell ref="T249:X249"/>
    <mergeCell ref="Y249:AF249"/>
    <mergeCell ref="AG249:AP249"/>
    <mergeCell ref="AQ249:BF249"/>
    <mergeCell ref="I251:S251"/>
    <mergeCell ref="T251:X251"/>
    <mergeCell ref="Y251:AF251"/>
    <mergeCell ref="AG251:AP251"/>
    <mergeCell ref="BY261:CF261"/>
    <mergeCell ref="E262:I264"/>
    <mergeCell ref="J262:T262"/>
    <mergeCell ref="U262:AB262"/>
    <mergeCell ref="AC262:AJ262"/>
    <mergeCell ref="AK262:AR262"/>
    <mergeCell ref="AS262:AZ262"/>
    <mergeCell ref="BA262:BH262"/>
    <mergeCell ref="BI262:BP262"/>
    <mergeCell ref="BQ262:BX262"/>
    <mergeCell ref="E260:T261"/>
    <mergeCell ref="U260:AR260"/>
    <mergeCell ref="AS260:AZ261"/>
    <mergeCell ref="BA260:CF260"/>
    <mergeCell ref="U261:AB261"/>
    <mergeCell ref="AC261:AJ261"/>
    <mergeCell ref="AK261:AR261"/>
    <mergeCell ref="BA261:BH261"/>
    <mergeCell ref="BI261:BP261"/>
    <mergeCell ref="BQ261:BX261"/>
    <mergeCell ref="BI264:BP264"/>
    <mergeCell ref="BQ264:BX264"/>
    <mergeCell ref="BY264:CF264"/>
    <mergeCell ref="E265:I267"/>
    <mergeCell ref="J265:T265"/>
    <mergeCell ref="U265:AB265"/>
    <mergeCell ref="AC265:AJ265"/>
    <mergeCell ref="AK265:AR265"/>
    <mergeCell ref="AS265:AZ265"/>
    <mergeCell ref="BA265:BH265"/>
    <mergeCell ref="J264:T264"/>
    <mergeCell ref="U264:AB264"/>
    <mergeCell ref="AC264:AJ264"/>
    <mergeCell ref="AK264:AR264"/>
    <mergeCell ref="AS264:AZ264"/>
    <mergeCell ref="BA264:BH264"/>
    <mergeCell ref="BY262:CF262"/>
    <mergeCell ref="J263:T263"/>
    <mergeCell ref="U263:AB263"/>
    <mergeCell ref="AC263:AJ263"/>
    <mergeCell ref="AK263:AR263"/>
    <mergeCell ref="AS263:AZ263"/>
    <mergeCell ref="BA263:BH263"/>
    <mergeCell ref="BI263:BP263"/>
    <mergeCell ref="BQ263:BX263"/>
    <mergeCell ref="BY263:CF263"/>
    <mergeCell ref="BQ266:BX266"/>
    <mergeCell ref="BY266:CF266"/>
    <mergeCell ref="J267:T267"/>
    <mergeCell ref="U267:AB267"/>
    <mergeCell ref="AC267:AJ267"/>
    <mergeCell ref="AK267:AR267"/>
    <mergeCell ref="AS267:AZ267"/>
    <mergeCell ref="BA267:BH267"/>
    <mergeCell ref="BI267:BP267"/>
    <mergeCell ref="BQ267:BX267"/>
    <mergeCell ref="BI265:BP265"/>
    <mergeCell ref="BQ265:BX265"/>
    <mergeCell ref="BY265:CF265"/>
    <mergeCell ref="J266:T266"/>
    <mergeCell ref="U266:AB266"/>
    <mergeCell ref="AC266:AJ266"/>
    <mergeCell ref="AK266:AR266"/>
    <mergeCell ref="AS266:AZ266"/>
    <mergeCell ref="BA266:BH266"/>
    <mergeCell ref="BI266:BP266"/>
    <mergeCell ref="BK273:BT273"/>
    <mergeCell ref="BU273:CF273"/>
    <mergeCell ref="E274:H276"/>
    <mergeCell ref="I274:S274"/>
    <mergeCell ref="T274:AA274"/>
    <mergeCell ref="AB274:AF274"/>
    <mergeCell ref="AG274:AP274"/>
    <mergeCell ref="AQ274:AZ274"/>
    <mergeCell ref="BA274:BJ274"/>
    <mergeCell ref="BK274:BT274"/>
    <mergeCell ref="E273:S273"/>
    <mergeCell ref="T273:AA273"/>
    <mergeCell ref="AB273:AF273"/>
    <mergeCell ref="AG273:AP273"/>
    <mergeCell ref="AQ273:AZ273"/>
    <mergeCell ref="BA273:BJ273"/>
    <mergeCell ref="BY267:CF267"/>
    <mergeCell ref="R269:Y269"/>
    <mergeCell ref="Z269:AA269"/>
    <mergeCell ref="AB269:AC269"/>
    <mergeCell ref="AD269:AE269"/>
    <mergeCell ref="BU277:CF279"/>
    <mergeCell ref="I278:S278"/>
    <mergeCell ref="T278:AA278"/>
    <mergeCell ref="AB278:AF278"/>
    <mergeCell ref="AG278:AP278"/>
    <mergeCell ref="AQ278:AZ278"/>
    <mergeCell ref="BA278:BJ278"/>
    <mergeCell ref="AB276:AF276"/>
    <mergeCell ref="AG276:AP276"/>
    <mergeCell ref="AQ276:AZ276"/>
    <mergeCell ref="BA276:BJ276"/>
    <mergeCell ref="BK276:BT276"/>
    <mergeCell ref="E277:H279"/>
    <mergeCell ref="I277:S277"/>
    <mergeCell ref="T277:AA277"/>
    <mergeCell ref="AB277:AF277"/>
    <mergeCell ref="AG277:AP277"/>
    <mergeCell ref="BU274:CF276"/>
    <mergeCell ref="I275:S275"/>
    <mergeCell ref="T275:AA275"/>
    <mergeCell ref="AB275:AF275"/>
    <mergeCell ref="AG275:AP275"/>
    <mergeCell ref="AQ275:AZ275"/>
    <mergeCell ref="BA275:BJ275"/>
    <mergeCell ref="BK275:BT275"/>
    <mergeCell ref="I276:S276"/>
    <mergeCell ref="T276:AA276"/>
    <mergeCell ref="E280:H282"/>
    <mergeCell ref="I280:S280"/>
    <mergeCell ref="T280:AA280"/>
    <mergeCell ref="AB280:AF280"/>
    <mergeCell ref="AG280:AP280"/>
    <mergeCell ref="AQ280:AZ280"/>
    <mergeCell ref="BK278:BT278"/>
    <mergeCell ref="I279:S279"/>
    <mergeCell ref="T279:AA279"/>
    <mergeCell ref="AB279:AF279"/>
    <mergeCell ref="AG279:AP279"/>
    <mergeCell ref="AQ279:AZ279"/>
    <mergeCell ref="BA279:BJ279"/>
    <mergeCell ref="BK279:BT279"/>
    <mergeCell ref="AF269:AM269"/>
    <mergeCell ref="AQ277:AZ277"/>
    <mergeCell ref="BA277:BJ277"/>
    <mergeCell ref="BK277:BT277"/>
    <mergeCell ref="BU281:CF281"/>
    <mergeCell ref="I282:S282"/>
    <mergeCell ref="T282:AA282"/>
    <mergeCell ref="AB282:AF282"/>
    <mergeCell ref="AG282:AP282"/>
    <mergeCell ref="AQ282:AZ282"/>
    <mergeCell ref="BA282:BJ282"/>
    <mergeCell ref="BK282:BT282"/>
    <mergeCell ref="BU282:CF282"/>
    <mergeCell ref="BA280:BJ280"/>
    <mergeCell ref="BK280:BT280"/>
    <mergeCell ref="BU280:CF280"/>
    <mergeCell ref="I281:S281"/>
    <mergeCell ref="T281:AA281"/>
    <mergeCell ref="AB281:AF281"/>
    <mergeCell ref="AG281:AP281"/>
    <mergeCell ref="AQ281:AZ281"/>
    <mergeCell ref="BA281:BJ281"/>
    <mergeCell ref="BK281:BT281"/>
    <mergeCell ref="A287:CF287"/>
    <mergeCell ref="AA293:AC293"/>
    <mergeCell ref="BG293:BK293"/>
    <mergeCell ref="V294:X294"/>
    <mergeCell ref="BG294:BK294"/>
    <mergeCell ref="AI296:AO296"/>
    <mergeCell ref="BU284:CF284"/>
    <mergeCell ref="I285:S285"/>
    <mergeCell ref="T285:AA285"/>
    <mergeCell ref="AB285:AF285"/>
    <mergeCell ref="AG285:AP285"/>
    <mergeCell ref="AQ285:AZ285"/>
    <mergeCell ref="BA285:BJ285"/>
    <mergeCell ref="BK285:BT285"/>
    <mergeCell ref="BU285:CF285"/>
    <mergeCell ref="BA283:BJ283"/>
    <mergeCell ref="BK283:BT283"/>
    <mergeCell ref="BU283:CF283"/>
    <mergeCell ref="I284:S284"/>
    <mergeCell ref="T284:AA284"/>
    <mergeCell ref="AB284:AF284"/>
    <mergeCell ref="AG284:AP284"/>
    <mergeCell ref="AQ284:AZ284"/>
    <mergeCell ref="BA284:BJ284"/>
    <mergeCell ref="BK284:BT284"/>
    <mergeCell ref="E283:H285"/>
    <mergeCell ref="I283:S283"/>
    <mergeCell ref="T283:AA283"/>
    <mergeCell ref="AB283:AF283"/>
    <mergeCell ref="AG283:AP283"/>
    <mergeCell ref="AQ283:AZ283"/>
    <mergeCell ref="AH307:AN307"/>
    <mergeCell ref="AA308:AC308"/>
    <mergeCell ref="BG308:BK308"/>
    <mergeCell ref="V309:X309"/>
    <mergeCell ref="BG309:BK309"/>
    <mergeCell ref="E313:T314"/>
    <mergeCell ref="U313:AB314"/>
    <mergeCell ref="AC313:AZ313"/>
    <mergeCell ref="BA313:BH314"/>
    <mergeCell ref="BI313:CF313"/>
    <mergeCell ref="BY301:CF301"/>
    <mergeCell ref="E302:T302"/>
    <mergeCell ref="U302:AB302"/>
    <mergeCell ref="AC302:AJ302"/>
    <mergeCell ref="AK302:AR302"/>
    <mergeCell ref="AS302:AZ302"/>
    <mergeCell ref="BA302:BH302"/>
    <mergeCell ref="BI302:BP302"/>
    <mergeCell ref="BQ302:BX302"/>
    <mergeCell ref="BY302:CF302"/>
    <mergeCell ref="E300:T301"/>
    <mergeCell ref="U300:AB301"/>
    <mergeCell ref="AC300:AZ300"/>
    <mergeCell ref="BA300:BH301"/>
    <mergeCell ref="BI300:CF300"/>
    <mergeCell ref="AC301:AJ301"/>
    <mergeCell ref="AK301:AR301"/>
    <mergeCell ref="AS301:AZ301"/>
    <mergeCell ref="BI301:BP301"/>
    <mergeCell ref="BQ301:BX301"/>
    <mergeCell ref="BI315:BP315"/>
    <mergeCell ref="BQ315:BX315"/>
    <mergeCell ref="BY315:CF315"/>
    <mergeCell ref="AH320:AN320"/>
    <mergeCell ref="AA321:AE321"/>
    <mergeCell ref="BG321:BK321"/>
    <mergeCell ref="E315:T315"/>
    <mergeCell ref="U315:AB315"/>
    <mergeCell ref="AC315:AJ315"/>
    <mergeCell ref="AK315:AR315"/>
    <mergeCell ref="AS315:AZ315"/>
    <mergeCell ref="BA315:BH315"/>
    <mergeCell ref="AC314:AJ314"/>
    <mergeCell ref="AK314:AR314"/>
    <mergeCell ref="AS314:AZ314"/>
    <mergeCell ref="BI314:BP314"/>
    <mergeCell ref="BQ314:BX314"/>
    <mergeCell ref="BY314:CF314"/>
    <mergeCell ref="BI327:BP327"/>
    <mergeCell ref="BQ327:BX327"/>
    <mergeCell ref="BY327:CF327"/>
    <mergeCell ref="E328:T328"/>
    <mergeCell ref="U328:AB328"/>
    <mergeCell ref="AC328:AJ328"/>
    <mergeCell ref="AK328:AR328"/>
    <mergeCell ref="AS328:AZ328"/>
    <mergeCell ref="BA328:BH328"/>
    <mergeCell ref="BI328:BP328"/>
    <mergeCell ref="V322:X322"/>
    <mergeCell ref="BG322:BK322"/>
    <mergeCell ref="E326:T327"/>
    <mergeCell ref="U326:AB327"/>
    <mergeCell ref="AC326:AZ326"/>
    <mergeCell ref="BA326:BH327"/>
    <mergeCell ref="BI326:CF326"/>
    <mergeCell ref="AC327:AJ327"/>
    <mergeCell ref="AK327:AR327"/>
    <mergeCell ref="AS327:AZ327"/>
    <mergeCell ref="E335:AL335"/>
    <mergeCell ref="AM335:AU335"/>
    <mergeCell ref="AV335:BD335"/>
    <mergeCell ref="BE335:BR335"/>
    <mergeCell ref="BS335:CF335"/>
    <mergeCell ref="E336:AL336"/>
    <mergeCell ref="AM336:AU336"/>
    <mergeCell ref="AV336:BD336"/>
    <mergeCell ref="BE336:BR336"/>
    <mergeCell ref="BS336:CF336"/>
    <mergeCell ref="BQ328:BX328"/>
    <mergeCell ref="BY328:CF328"/>
    <mergeCell ref="A329:CF329"/>
    <mergeCell ref="BU333:CF333"/>
    <mergeCell ref="E334:AL334"/>
    <mergeCell ref="AM334:AU334"/>
    <mergeCell ref="AV334:BD334"/>
    <mergeCell ref="BE334:BR334"/>
    <mergeCell ref="BS334:CF334"/>
    <mergeCell ref="T351:X351"/>
    <mergeCell ref="Y351:AF351"/>
    <mergeCell ref="AG351:AP351"/>
    <mergeCell ref="AQ351:BF351"/>
    <mergeCell ref="BG351:BP351"/>
    <mergeCell ref="BQ351:CF351"/>
    <mergeCell ref="E350:H353"/>
    <mergeCell ref="I350:S350"/>
    <mergeCell ref="T350:X350"/>
    <mergeCell ref="Y350:AF350"/>
    <mergeCell ref="AG350:AP350"/>
    <mergeCell ref="BU345:CF345"/>
    <mergeCell ref="E346:S347"/>
    <mergeCell ref="T346:X347"/>
    <mergeCell ref="Y346:AF347"/>
    <mergeCell ref="AG346:BF346"/>
    <mergeCell ref="BG346:CF346"/>
    <mergeCell ref="AG347:AP347"/>
    <mergeCell ref="AQ347:BF347"/>
    <mergeCell ref="BG347:BP347"/>
    <mergeCell ref="BQ347:CF347"/>
    <mergeCell ref="AQ350:BF350"/>
    <mergeCell ref="I352:S352"/>
    <mergeCell ref="T352:X352"/>
    <mergeCell ref="Y352:AF352"/>
    <mergeCell ref="AG352:AP352"/>
    <mergeCell ref="BQ357:CF357"/>
    <mergeCell ref="BG354:BP354"/>
    <mergeCell ref="BQ354:CF354"/>
    <mergeCell ref="I355:S355"/>
    <mergeCell ref="T355:X355"/>
    <mergeCell ref="Y355:AF355"/>
    <mergeCell ref="AG355:AP355"/>
    <mergeCell ref="AQ355:BF355"/>
    <mergeCell ref="BG355:BP355"/>
    <mergeCell ref="BQ355:CF355"/>
    <mergeCell ref="E354:H356"/>
    <mergeCell ref="BG348:BP348"/>
    <mergeCell ref="BQ348:CF348"/>
    <mergeCell ref="I349:S349"/>
    <mergeCell ref="T349:X349"/>
    <mergeCell ref="Y349:AF349"/>
    <mergeCell ref="AG349:AP349"/>
    <mergeCell ref="AQ349:BF349"/>
    <mergeCell ref="BG349:BP349"/>
    <mergeCell ref="BQ349:CF349"/>
    <mergeCell ref="E348:H349"/>
    <mergeCell ref="I348:S348"/>
    <mergeCell ref="T348:X348"/>
    <mergeCell ref="Y348:AF348"/>
    <mergeCell ref="AG348:AP348"/>
    <mergeCell ref="AQ348:BF348"/>
    <mergeCell ref="AQ352:BF352"/>
    <mergeCell ref="BG352:BP352"/>
    <mergeCell ref="BQ352:CF352"/>
    <mergeCell ref="BG350:BP350"/>
    <mergeCell ref="BQ350:CF350"/>
    <mergeCell ref="I351:S351"/>
    <mergeCell ref="BQ369:BX369"/>
    <mergeCell ref="BY369:CF369"/>
    <mergeCell ref="AQ353:BF353"/>
    <mergeCell ref="BG353:BP353"/>
    <mergeCell ref="BQ353:CF353"/>
    <mergeCell ref="I353:S353"/>
    <mergeCell ref="T353:X353"/>
    <mergeCell ref="Y353:AF353"/>
    <mergeCell ref="AG353:AP353"/>
    <mergeCell ref="J369:T369"/>
    <mergeCell ref="U369:AB369"/>
    <mergeCell ref="AC369:AJ369"/>
    <mergeCell ref="AK369:AR369"/>
    <mergeCell ref="AS369:AZ369"/>
    <mergeCell ref="BA369:BH369"/>
    <mergeCell ref="BY367:CF367"/>
    <mergeCell ref="J368:T368"/>
    <mergeCell ref="U368:AB368"/>
    <mergeCell ref="AC368:AJ368"/>
    <mergeCell ref="AK368:AR368"/>
    <mergeCell ref="AS368:AZ368"/>
    <mergeCell ref="BA368:BH368"/>
    <mergeCell ref="BI368:BP368"/>
    <mergeCell ref="BQ368:BX368"/>
    <mergeCell ref="BY368:CF368"/>
    <mergeCell ref="I354:S354"/>
    <mergeCell ref="T354:X354"/>
    <mergeCell ref="T357:X357"/>
    <mergeCell ref="Y357:AF357"/>
    <mergeCell ref="AG357:AP357"/>
    <mergeCell ref="AQ357:BF357"/>
    <mergeCell ref="BG357:BP357"/>
    <mergeCell ref="Y354:AF354"/>
    <mergeCell ref="AG354:AP354"/>
    <mergeCell ref="AQ354:BF354"/>
    <mergeCell ref="I356:S356"/>
    <mergeCell ref="T356:X356"/>
    <mergeCell ref="Y356:AF356"/>
    <mergeCell ref="AG356:AP356"/>
    <mergeCell ref="BY366:CF366"/>
    <mergeCell ref="E367:I369"/>
    <mergeCell ref="J367:T367"/>
    <mergeCell ref="U367:AB367"/>
    <mergeCell ref="AC367:AJ367"/>
    <mergeCell ref="AK367:AR367"/>
    <mergeCell ref="AS367:AZ367"/>
    <mergeCell ref="BA367:BH367"/>
    <mergeCell ref="BI367:BP367"/>
    <mergeCell ref="BQ367:BX367"/>
    <mergeCell ref="E365:T366"/>
    <mergeCell ref="U365:AR365"/>
    <mergeCell ref="AS365:AZ366"/>
    <mergeCell ref="BA365:CF365"/>
    <mergeCell ref="U366:AB366"/>
    <mergeCell ref="AC366:AJ366"/>
    <mergeCell ref="AQ356:BF356"/>
    <mergeCell ref="BG356:BP356"/>
    <mergeCell ref="BQ356:CF356"/>
    <mergeCell ref="E357:S357"/>
    <mergeCell ref="AK366:AR366"/>
    <mergeCell ref="BA366:BH366"/>
    <mergeCell ref="BI366:BP366"/>
    <mergeCell ref="BQ366:BX366"/>
    <mergeCell ref="BI369:BP369"/>
    <mergeCell ref="E372:I373"/>
    <mergeCell ref="J372:T372"/>
    <mergeCell ref="U372:AB372"/>
    <mergeCell ref="AC372:AJ372"/>
    <mergeCell ref="AK372:AR372"/>
    <mergeCell ref="AS372:AZ372"/>
    <mergeCell ref="BA372:BH372"/>
    <mergeCell ref="BI372:BP372"/>
    <mergeCell ref="BI370:BP370"/>
    <mergeCell ref="BQ370:BX370"/>
    <mergeCell ref="BY370:CF370"/>
    <mergeCell ref="J371:T371"/>
    <mergeCell ref="U371:AB371"/>
    <mergeCell ref="AC371:AJ371"/>
    <mergeCell ref="AK371:AR371"/>
    <mergeCell ref="AS371:AZ371"/>
    <mergeCell ref="BA371:BH371"/>
    <mergeCell ref="BI371:BP371"/>
    <mergeCell ref="BY373:CF373"/>
    <mergeCell ref="E370:I371"/>
    <mergeCell ref="J370:T370"/>
    <mergeCell ref="U370:AB370"/>
    <mergeCell ref="AC370:AJ370"/>
    <mergeCell ref="AK370:AR370"/>
    <mergeCell ref="AS370:AZ370"/>
    <mergeCell ref="BA370:BH370"/>
    <mergeCell ref="R375:Y375"/>
    <mergeCell ref="Z375:AA375"/>
    <mergeCell ref="AB375:AC375"/>
    <mergeCell ref="AD375:AE375"/>
    <mergeCell ref="AF375:AM375"/>
    <mergeCell ref="BQ372:BX372"/>
    <mergeCell ref="BY372:CF372"/>
    <mergeCell ref="J373:T373"/>
    <mergeCell ref="U373:AB373"/>
    <mergeCell ref="AC373:AJ373"/>
    <mergeCell ref="AK373:AR373"/>
    <mergeCell ref="AS373:AZ373"/>
    <mergeCell ref="BA373:BH373"/>
    <mergeCell ref="BI373:BP373"/>
    <mergeCell ref="BQ373:BX373"/>
    <mergeCell ref="BQ371:BX371"/>
    <mergeCell ref="BY371:CF371"/>
    <mergeCell ref="BY383:CF383"/>
    <mergeCell ref="J384:T384"/>
    <mergeCell ref="U384:AB384"/>
    <mergeCell ref="AC384:AJ384"/>
    <mergeCell ref="AK384:AR384"/>
    <mergeCell ref="AS384:AZ384"/>
    <mergeCell ref="BA384:BH384"/>
    <mergeCell ref="BI384:BP384"/>
    <mergeCell ref="BQ384:BX384"/>
    <mergeCell ref="BY384:CF384"/>
    <mergeCell ref="BY382:CF382"/>
    <mergeCell ref="E383:I384"/>
    <mergeCell ref="J383:T383"/>
    <mergeCell ref="U383:AB383"/>
    <mergeCell ref="AC383:AJ383"/>
    <mergeCell ref="AK383:AR383"/>
    <mergeCell ref="AS383:AZ383"/>
    <mergeCell ref="BA383:BH383"/>
    <mergeCell ref="BI383:BP383"/>
    <mergeCell ref="BQ383:BX383"/>
    <mergeCell ref="E381:T382"/>
    <mergeCell ref="U381:AR381"/>
    <mergeCell ref="AS381:AZ382"/>
    <mergeCell ref="BA381:CF381"/>
    <mergeCell ref="U382:AB382"/>
    <mergeCell ref="AC382:AJ382"/>
    <mergeCell ref="AK382:AR382"/>
    <mergeCell ref="BA382:BH382"/>
    <mergeCell ref="BI382:BP382"/>
    <mergeCell ref="BQ382:BX382"/>
    <mergeCell ref="BI386:BP386"/>
    <mergeCell ref="BQ386:BX386"/>
    <mergeCell ref="BY386:CF386"/>
    <mergeCell ref="E387:I388"/>
    <mergeCell ref="J387:T387"/>
    <mergeCell ref="U387:AB387"/>
    <mergeCell ref="AC387:AJ387"/>
    <mergeCell ref="AK387:AR387"/>
    <mergeCell ref="AS387:AZ387"/>
    <mergeCell ref="BA387:BH387"/>
    <mergeCell ref="BA385:BH385"/>
    <mergeCell ref="BI385:BP385"/>
    <mergeCell ref="BQ385:BX385"/>
    <mergeCell ref="BY385:CF385"/>
    <mergeCell ref="J386:T386"/>
    <mergeCell ref="U386:AB386"/>
    <mergeCell ref="AC386:AJ386"/>
    <mergeCell ref="AK386:AR386"/>
    <mergeCell ref="AS386:AZ386"/>
    <mergeCell ref="BA386:BH386"/>
    <mergeCell ref="E385:I386"/>
    <mergeCell ref="J385:T385"/>
    <mergeCell ref="U385:AB385"/>
    <mergeCell ref="AC385:AJ385"/>
    <mergeCell ref="AK385:AR385"/>
    <mergeCell ref="AS385:AZ385"/>
    <mergeCell ref="BQ388:BX388"/>
    <mergeCell ref="BY388:CF388"/>
    <mergeCell ref="A392:CF392"/>
    <mergeCell ref="G395:J396"/>
    <mergeCell ref="L396:AE396"/>
    <mergeCell ref="E399:P399"/>
    <mergeCell ref="Q399:AB399"/>
    <mergeCell ref="AC399:AJ399"/>
    <mergeCell ref="AK399:AR399"/>
    <mergeCell ref="AS399:AZ399"/>
    <mergeCell ref="BI387:BP387"/>
    <mergeCell ref="BQ387:BX387"/>
    <mergeCell ref="BY387:CF387"/>
    <mergeCell ref="J388:T388"/>
    <mergeCell ref="U388:AB388"/>
    <mergeCell ref="AC388:AJ388"/>
    <mergeCell ref="AK388:AR388"/>
    <mergeCell ref="AS388:AZ388"/>
    <mergeCell ref="BA388:BH388"/>
    <mergeCell ref="BI388:BP388"/>
    <mergeCell ref="BO400:BT400"/>
    <mergeCell ref="BU400:CF400"/>
    <mergeCell ref="E401:P401"/>
    <mergeCell ref="Q401:AB401"/>
    <mergeCell ref="AC401:AJ401"/>
    <mergeCell ref="AK401:AR401"/>
    <mergeCell ref="AS401:AZ401"/>
    <mergeCell ref="BA401:BH401"/>
    <mergeCell ref="BI401:BN401"/>
    <mergeCell ref="BO401:BT401"/>
    <mergeCell ref="BA399:BH399"/>
    <mergeCell ref="BI399:BT399"/>
    <mergeCell ref="BU399:CF399"/>
    <mergeCell ref="E400:P400"/>
    <mergeCell ref="Q400:AB400"/>
    <mergeCell ref="AC400:AJ400"/>
    <mergeCell ref="AK400:AR400"/>
    <mergeCell ref="AS400:AZ400"/>
    <mergeCell ref="BA400:BH400"/>
    <mergeCell ref="BI400:BN400"/>
    <mergeCell ref="BI403:BN403"/>
    <mergeCell ref="BO403:BT403"/>
    <mergeCell ref="BU403:CF403"/>
    <mergeCell ref="E404:P404"/>
    <mergeCell ref="Q404:AB404"/>
    <mergeCell ref="AC404:AJ404"/>
    <mergeCell ref="AK404:AR404"/>
    <mergeCell ref="AS404:AZ404"/>
    <mergeCell ref="BA404:BH404"/>
    <mergeCell ref="BI404:BN404"/>
    <mergeCell ref="E403:P403"/>
    <mergeCell ref="Q403:AB403"/>
    <mergeCell ref="AC403:AJ403"/>
    <mergeCell ref="AK403:AR403"/>
    <mergeCell ref="AS403:AZ403"/>
    <mergeCell ref="BA403:BH403"/>
    <mergeCell ref="BU401:CF401"/>
    <mergeCell ref="E402:P402"/>
    <mergeCell ref="Q402:AB402"/>
    <mergeCell ref="AC402:AJ402"/>
    <mergeCell ref="AK402:AR402"/>
    <mergeCell ref="AS402:AZ402"/>
    <mergeCell ref="BA402:BH402"/>
    <mergeCell ref="BI402:BN402"/>
    <mergeCell ref="BO402:BT402"/>
    <mergeCell ref="BU402:CF402"/>
    <mergeCell ref="BU405:CF405"/>
    <mergeCell ref="E406:P406"/>
    <mergeCell ref="Q406:AB406"/>
    <mergeCell ref="AC406:AJ406"/>
    <mergeCell ref="AK406:AR406"/>
    <mergeCell ref="AS406:AZ406"/>
    <mergeCell ref="BA406:BH406"/>
    <mergeCell ref="BI406:BN406"/>
    <mergeCell ref="BO406:BT406"/>
    <mergeCell ref="BU406:CF406"/>
    <mergeCell ref="BO404:BT404"/>
    <mergeCell ref="BU404:CF404"/>
    <mergeCell ref="E405:P405"/>
    <mergeCell ref="Q405:AB405"/>
    <mergeCell ref="AC405:AJ405"/>
    <mergeCell ref="AK405:AR405"/>
    <mergeCell ref="AS405:AZ405"/>
    <mergeCell ref="BA405:BH405"/>
    <mergeCell ref="BI405:BN405"/>
    <mergeCell ref="BO405:BT405"/>
    <mergeCell ref="BO408:BT408"/>
    <mergeCell ref="BU408:CF408"/>
    <mergeCell ref="E409:P409"/>
    <mergeCell ref="Q409:AB409"/>
    <mergeCell ref="AC409:AJ409"/>
    <mergeCell ref="AK409:AR409"/>
    <mergeCell ref="AS409:AZ409"/>
    <mergeCell ref="BA409:BH409"/>
    <mergeCell ref="BI409:BN409"/>
    <mergeCell ref="BO409:BT409"/>
    <mergeCell ref="BI407:BN407"/>
    <mergeCell ref="BO407:BT407"/>
    <mergeCell ref="BU407:CF407"/>
    <mergeCell ref="E408:P408"/>
    <mergeCell ref="Q408:AB408"/>
    <mergeCell ref="AC408:AJ408"/>
    <mergeCell ref="AK408:AR408"/>
    <mergeCell ref="AS408:AZ408"/>
    <mergeCell ref="BA408:BH408"/>
    <mergeCell ref="BI408:BN408"/>
    <mergeCell ref="E407:P407"/>
    <mergeCell ref="Q407:AB407"/>
    <mergeCell ref="AC407:AJ407"/>
    <mergeCell ref="AK407:AR407"/>
    <mergeCell ref="AS407:AZ407"/>
    <mergeCell ref="BA407:BH407"/>
    <mergeCell ref="BQ414:BX414"/>
    <mergeCell ref="BY414:CF414"/>
    <mergeCell ref="E415:T415"/>
    <mergeCell ref="U415:AB415"/>
    <mergeCell ref="AC415:AJ415"/>
    <mergeCell ref="AK415:AR415"/>
    <mergeCell ref="AS415:AZ415"/>
    <mergeCell ref="BA415:BH415"/>
    <mergeCell ref="BI415:BP415"/>
    <mergeCell ref="BQ415:BX415"/>
    <mergeCell ref="BU409:CF409"/>
    <mergeCell ref="E413:T414"/>
    <mergeCell ref="U413:AB414"/>
    <mergeCell ref="AC413:AZ413"/>
    <mergeCell ref="BA413:BH414"/>
    <mergeCell ref="BI413:CF413"/>
    <mergeCell ref="AC414:AJ414"/>
    <mergeCell ref="AK414:AR414"/>
    <mergeCell ref="AS414:AZ414"/>
    <mergeCell ref="BI414:BP414"/>
    <mergeCell ref="BI417:BP417"/>
    <mergeCell ref="BQ417:BX417"/>
    <mergeCell ref="BY417:CF417"/>
    <mergeCell ref="E418:T418"/>
    <mergeCell ref="U418:AB418"/>
    <mergeCell ref="AC418:AJ418"/>
    <mergeCell ref="AK418:AR418"/>
    <mergeCell ref="AS418:AZ418"/>
    <mergeCell ref="BA418:BH418"/>
    <mergeCell ref="BI418:BP418"/>
    <mergeCell ref="E417:T417"/>
    <mergeCell ref="U417:AB417"/>
    <mergeCell ref="AC417:AJ417"/>
    <mergeCell ref="AK417:AR417"/>
    <mergeCell ref="AS417:AZ417"/>
    <mergeCell ref="BA417:BH417"/>
    <mergeCell ref="BY415:CF415"/>
    <mergeCell ref="E416:T416"/>
    <mergeCell ref="U416:AB416"/>
    <mergeCell ref="AC416:AJ416"/>
    <mergeCell ref="AK416:AR416"/>
    <mergeCell ref="AS416:AZ416"/>
    <mergeCell ref="BA416:BH416"/>
    <mergeCell ref="BI416:BP416"/>
    <mergeCell ref="BQ416:BX416"/>
    <mergeCell ref="BY416:CF416"/>
    <mergeCell ref="BY419:CF419"/>
    <mergeCell ref="E420:T420"/>
    <mergeCell ref="U420:AB420"/>
    <mergeCell ref="AC420:AJ420"/>
    <mergeCell ref="AK420:AR420"/>
    <mergeCell ref="AS420:AZ420"/>
    <mergeCell ref="BA420:BH420"/>
    <mergeCell ref="BI420:BP420"/>
    <mergeCell ref="BQ420:BX420"/>
    <mergeCell ref="BY420:CF420"/>
    <mergeCell ref="BQ418:BX418"/>
    <mergeCell ref="BY418:CF418"/>
    <mergeCell ref="E419:T419"/>
    <mergeCell ref="U419:AB419"/>
    <mergeCell ref="AC419:AJ419"/>
    <mergeCell ref="AK419:AR419"/>
    <mergeCell ref="AS419:AZ419"/>
    <mergeCell ref="BA419:BH419"/>
    <mergeCell ref="BI419:BP419"/>
    <mergeCell ref="BQ419:BX419"/>
    <mergeCell ref="BQ422:BX422"/>
    <mergeCell ref="BY422:CF422"/>
    <mergeCell ref="E423:T423"/>
    <mergeCell ref="U423:AB423"/>
    <mergeCell ref="AC423:AJ423"/>
    <mergeCell ref="AK423:AR423"/>
    <mergeCell ref="AS423:AZ423"/>
    <mergeCell ref="BA423:BH423"/>
    <mergeCell ref="BI423:BP423"/>
    <mergeCell ref="BQ423:BX423"/>
    <mergeCell ref="BI421:BP421"/>
    <mergeCell ref="BQ421:BX421"/>
    <mergeCell ref="BY421:CF421"/>
    <mergeCell ref="E422:T422"/>
    <mergeCell ref="U422:AB422"/>
    <mergeCell ref="AC422:AJ422"/>
    <mergeCell ref="AK422:AR422"/>
    <mergeCell ref="AS422:AZ422"/>
    <mergeCell ref="BA422:BH422"/>
    <mergeCell ref="BI422:BP422"/>
    <mergeCell ref="E421:T421"/>
    <mergeCell ref="U421:AB421"/>
    <mergeCell ref="AC421:AJ421"/>
    <mergeCell ref="AK421:AR421"/>
    <mergeCell ref="AS421:AZ421"/>
    <mergeCell ref="BA421:BH421"/>
    <mergeCell ref="BI425:BP425"/>
    <mergeCell ref="BQ425:BX425"/>
    <mergeCell ref="BY425:CF425"/>
    <mergeCell ref="A427:CF427"/>
    <mergeCell ref="G430:J431"/>
    <mergeCell ref="L431:AE431"/>
    <mergeCell ref="E425:T425"/>
    <mergeCell ref="U425:AB425"/>
    <mergeCell ref="AC425:AJ425"/>
    <mergeCell ref="AK425:AR425"/>
    <mergeCell ref="AS425:AZ425"/>
    <mergeCell ref="BA425:BH425"/>
    <mergeCell ref="BY423:CF423"/>
    <mergeCell ref="E424:T424"/>
    <mergeCell ref="U424:AB424"/>
    <mergeCell ref="AC424:AJ424"/>
    <mergeCell ref="AK424:AR424"/>
    <mergeCell ref="AS424:AZ424"/>
    <mergeCell ref="BA424:BH424"/>
    <mergeCell ref="BI424:BP424"/>
    <mergeCell ref="BQ424:BX424"/>
    <mergeCell ref="BY424:CF424"/>
    <mergeCell ref="BU435:CF435"/>
    <mergeCell ref="E436:P436"/>
    <mergeCell ref="Q436:AB436"/>
    <mergeCell ref="AC436:AJ436"/>
    <mergeCell ref="AK436:AR436"/>
    <mergeCell ref="AS436:AZ436"/>
    <mergeCell ref="BA436:BH436"/>
    <mergeCell ref="BI436:BN436"/>
    <mergeCell ref="BO436:BT436"/>
    <mergeCell ref="BU436:CF436"/>
    <mergeCell ref="BI434:BT434"/>
    <mergeCell ref="BU434:CF434"/>
    <mergeCell ref="E435:P435"/>
    <mergeCell ref="Q435:AB435"/>
    <mergeCell ref="AC435:AJ435"/>
    <mergeCell ref="AK435:AR435"/>
    <mergeCell ref="AS435:AZ435"/>
    <mergeCell ref="BA435:BH435"/>
    <mergeCell ref="BI435:BN435"/>
    <mergeCell ref="BO435:BT435"/>
    <mergeCell ref="E434:P434"/>
    <mergeCell ref="Q434:AB434"/>
    <mergeCell ref="AC434:AJ434"/>
    <mergeCell ref="AK434:AR434"/>
    <mergeCell ref="AS434:AZ434"/>
    <mergeCell ref="BA434:BH434"/>
    <mergeCell ref="BO438:BT438"/>
    <mergeCell ref="BU438:CF438"/>
    <mergeCell ref="E439:P439"/>
    <mergeCell ref="Q439:AB439"/>
    <mergeCell ref="AC439:AJ439"/>
    <mergeCell ref="AK439:AR439"/>
    <mergeCell ref="AS439:AZ439"/>
    <mergeCell ref="BA439:BH439"/>
    <mergeCell ref="BI439:BN439"/>
    <mergeCell ref="BO439:BT439"/>
    <mergeCell ref="BI437:BN437"/>
    <mergeCell ref="BO437:BT437"/>
    <mergeCell ref="BU437:CF437"/>
    <mergeCell ref="E438:P438"/>
    <mergeCell ref="Q438:AB438"/>
    <mergeCell ref="AC438:AJ438"/>
    <mergeCell ref="AK438:AR438"/>
    <mergeCell ref="AS438:AZ438"/>
    <mergeCell ref="BA438:BH438"/>
    <mergeCell ref="BI438:BN438"/>
    <mergeCell ref="E437:P437"/>
    <mergeCell ref="Q437:AB437"/>
    <mergeCell ref="AC437:AJ437"/>
    <mergeCell ref="AK437:AR437"/>
    <mergeCell ref="AS437:AZ437"/>
    <mergeCell ref="BA437:BH437"/>
    <mergeCell ref="BI441:BN441"/>
    <mergeCell ref="BO441:BT441"/>
    <mergeCell ref="BU441:CF441"/>
    <mergeCell ref="E442:P442"/>
    <mergeCell ref="Q442:AB442"/>
    <mergeCell ref="AC442:AJ442"/>
    <mergeCell ref="AK442:AR442"/>
    <mergeCell ref="AS442:AZ442"/>
    <mergeCell ref="BA442:BH442"/>
    <mergeCell ref="BI442:BN442"/>
    <mergeCell ref="E441:P441"/>
    <mergeCell ref="Q441:AB441"/>
    <mergeCell ref="AC441:AJ441"/>
    <mergeCell ref="AK441:AR441"/>
    <mergeCell ref="AS441:AZ441"/>
    <mergeCell ref="BA441:BH441"/>
    <mergeCell ref="BU439:CF439"/>
    <mergeCell ref="E440:P440"/>
    <mergeCell ref="Q440:AB440"/>
    <mergeCell ref="AC440:AJ440"/>
    <mergeCell ref="AK440:AR440"/>
    <mergeCell ref="AS440:AZ440"/>
    <mergeCell ref="BA440:BH440"/>
    <mergeCell ref="BI440:BN440"/>
    <mergeCell ref="BO440:BT440"/>
    <mergeCell ref="BU440:CF440"/>
    <mergeCell ref="BU443:CF443"/>
    <mergeCell ref="E448:T449"/>
    <mergeCell ref="U448:AB449"/>
    <mergeCell ref="AC448:AZ448"/>
    <mergeCell ref="BA448:BH449"/>
    <mergeCell ref="BI448:CF448"/>
    <mergeCell ref="AC449:AJ449"/>
    <mergeCell ref="AK449:AR449"/>
    <mergeCell ref="AS449:AZ449"/>
    <mergeCell ref="BI449:BP449"/>
    <mergeCell ref="BO442:BT442"/>
    <mergeCell ref="BU442:CF442"/>
    <mergeCell ref="E443:P443"/>
    <mergeCell ref="Q443:AB443"/>
    <mergeCell ref="AC443:AJ443"/>
    <mergeCell ref="AK443:AR443"/>
    <mergeCell ref="AS443:AZ443"/>
    <mergeCell ref="BA443:BH443"/>
    <mergeCell ref="BI443:BN443"/>
    <mergeCell ref="BO443:BT443"/>
    <mergeCell ref="BY450:CF450"/>
    <mergeCell ref="E451:T451"/>
    <mergeCell ref="U451:AB451"/>
    <mergeCell ref="AC451:AJ451"/>
    <mergeCell ref="AK451:AR451"/>
    <mergeCell ref="AS451:AZ451"/>
    <mergeCell ref="BA451:BH451"/>
    <mergeCell ref="BI451:BP451"/>
    <mergeCell ref="BQ451:BX451"/>
    <mergeCell ref="BY451:CF451"/>
    <mergeCell ref="BQ449:BX449"/>
    <mergeCell ref="BY449:CF449"/>
    <mergeCell ref="E450:T450"/>
    <mergeCell ref="U450:AB450"/>
    <mergeCell ref="AC450:AJ450"/>
    <mergeCell ref="AK450:AR450"/>
    <mergeCell ref="AS450:AZ450"/>
    <mergeCell ref="BA450:BH450"/>
    <mergeCell ref="BI450:BP450"/>
    <mergeCell ref="BQ450:BX450"/>
    <mergeCell ref="BQ453:BX453"/>
    <mergeCell ref="BY453:CF453"/>
    <mergeCell ref="E454:T454"/>
    <mergeCell ref="U454:AB454"/>
    <mergeCell ref="AC454:AJ454"/>
    <mergeCell ref="AK454:AR454"/>
    <mergeCell ref="AS454:AZ454"/>
    <mergeCell ref="BA454:BH454"/>
    <mergeCell ref="BI454:BP454"/>
    <mergeCell ref="BQ454:BX454"/>
    <mergeCell ref="BI452:BP452"/>
    <mergeCell ref="BQ452:BX452"/>
    <mergeCell ref="BY452:CF452"/>
    <mergeCell ref="E453:T453"/>
    <mergeCell ref="U453:AB453"/>
    <mergeCell ref="AC453:AJ453"/>
    <mergeCell ref="AK453:AR453"/>
    <mergeCell ref="AS453:AZ453"/>
    <mergeCell ref="BA453:BH453"/>
    <mergeCell ref="BI453:BP453"/>
    <mergeCell ref="E452:T452"/>
    <mergeCell ref="U452:AB452"/>
    <mergeCell ref="AC452:AJ452"/>
    <mergeCell ref="AK452:AR452"/>
    <mergeCell ref="AS452:AZ452"/>
    <mergeCell ref="BA452:BH452"/>
    <mergeCell ref="BI456:BP456"/>
    <mergeCell ref="BQ456:BX456"/>
    <mergeCell ref="BY456:CF456"/>
    <mergeCell ref="E457:T457"/>
    <mergeCell ref="U457:AB457"/>
    <mergeCell ref="AC457:AJ457"/>
    <mergeCell ref="AK457:AR457"/>
    <mergeCell ref="AS457:AZ457"/>
    <mergeCell ref="BA457:BH457"/>
    <mergeCell ref="BI457:BP457"/>
    <mergeCell ref="E456:T456"/>
    <mergeCell ref="U456:AB456"/>
    <mergeCell ref="AC456:AJ456"/>
    <mergeCell ref="AK456:AR456"/>
    <mergeCell ref="AS456:AZ456"/>
    <mergeCell ref="BA456:BH456"/>
    <mergeCell ref="BY454:CF454"/>
    <mergeCell ref="E455:T455"/>
    <mergeCell ref="U455:AB455"/>
    <mergeCell ref="AC455:AJ455"/>
    <mergeCell ref="AK455:AR455"/>
    <mergeCell ref="AS455:AZ455"/>
    <mergeCell ref="BA455:BH455"/>
    <mergeCell ref="BI455:BP455"/>
    <mergeCell ref="BQ455:BX455"/>
    <mergeCell ref="BY455:CF455"/>
    <mergeCell ref="BY458:CF458"/>
    <mergeCell ref="E459:T459"/>
    <mergeCell ref="U459:AB459"/>
    <mergeCell ref="AC459:AJ459"/>
    <mergeCell ref="AK459:AR459"/>
    <mergeCell ref="AS459:AZ459"/>
    <mergeCell ref="BA459:BH459"/>
    <mergeCell ref="BI459:BP459"/>
    <mergeCell ref="BQ459:BX459"/>
    <mergeCell ref="BY459:CF459"/>
    <mergeCell ref="BQ457:BX457"/>
    <mergeCell ref="BY457:CF457"/>
    <mergeCell ref="E458:T458"/>
    <mergeCell ref="U458:AB458"/>
    <mergeCell ref="AC458:AJ458"/>
    <mergeCell ref="AK458:AR458"/>
    <mergeCell ref="AS458:AZ458"/>
    <mergeCell ref="BA458:BH458"/>
    <mergeCell ref="BI458:BP458"/>
    <mergeCell ref="BQ458:BX458"/>
    <mergeCell ref="BU467:CF467"/>
    <mergeCell ref="E468:P468"/>
    <mergeCell ref="Q468:AB468"/>
    <mergeCell ref="AC468:AJ468"/>
    <mergeCell ref="AK468:AR468"/>
    <mergeCell ref="AS468:AZ468"/>
    <mergeCell ref="BA468:BH468"/>
    <mergeCell ref="BI468:BN468"/>
    <mergeCell ref="BO468:BT468"/>
    <mergeCell ref="BU468:CF468"/>
    <mergeCell ref="A460:CF460"/>
    <mergeCell ref="G463:J464"/>
    <mergeCell ref="L464:AE464"/>
    <mergeCell ref="E467:P467"/>
    <mergeCell ref="Q467:AB467"/>
    <mergeCell ref="AC467:AJ467"/>
    <mergeCell ref="AK467:AR467"/>
    <mergeCell ref="AS467:AZ467"/>
    <mergeCell ref="BA467:BH467"/>
    <mergeCell ref="BI467:BT467"/>
    <mergeCell ref="BO470:BT470"/>
    <mergeCell ref="BU470:CF470"/>
    <mergeCell ref="E471:P471"/>
    <mergeCell ref="Q471:AB471"/>
    <mergeCell ref="AC471:AJ471"/>
    <mergeCell ref="AK471:AR471"/>
    <mergeCell ref="AS471:AZ471"/>
    <mergeCell ref="BA471:BH471"/>
    <mergeCell ref="BI471:BN471"/>
    <mergeCell ref="BO471:BT471"/>
    <mergeCell ref="BI469:BN469"/>
    <mergeCell ref="BO469:BT469"/>
    <mergeCell ref="BU469:CF469"/>
    <mergeCell ref="E470:P470"/>
    <mergeCell ref="Q470:AB470"/>
    <mergeCell ref="AC470:AJ470"/>
    <mergeCell ref="AK470:AR470"/>
    <mergeCell ref="AS470:AZ470"/>
    <mergeCell ref="BA470:BH470"/>
    <mergeCell ref="BI470:BN470"/>
    <mergeCell ref="E469:P469"/>
    <mergeCell ref="Q469:AB469"/>
    <mergeCell ref="AC469:AJ469"/>
    <mergeCell ref="AK469:AR469"/>
    <mergeCell ref="AS469:AZ469"/>
    <mergeCell ref="BA469:BH469"/>
    <mergeCell ref="BI473:BN473"/>
    <mergeCell ref="BO473:BT473"/>
    <mergeCell ref="BU473:CF473"/>
    <mergeCell ref="E474:P474"/>
    <mergeCell ref="Q474:AB474"/>
    <mergeCell ref="AC474:AJ474"/>
    <mergeCell ref="AK474:AR474"/>
    <mergeCell ref="AS474:AZ474"/>
    <mergeCell ref="BA474:BH474"/>
    <mergeCell ref="BI474:BN474"/>
    <mergeCell ref="E473:P473"/>
    <mergeCell ref="Q473:AB473"/>
    <mergeCell ref="AC473:AJ473"/>
    <mergeCell ref="AK473:AR473"/>
    <mergeCell ref="AS473:AZ473"/>
    <mergeCell ref="BA473:BH473"/>
    <mergeCell ref="BU471:CF471"/>
    <mergeCell ref="E472:P472"/>
    <mergeCell ref="Q472:AB472"/>
    <mergeCell ref="AC472:AJ472"/>
    <mergeCell ref="AK472:AR472"/>
    <mergeCell ref="AS472:AZ472"/>
    <mergeCell ref="BA472:BH472"/>
    <mergeCell ref="BI472:BN472"/>
    <mergeCell ref="BO472:BT472"/>
    <mergeCell ref="BU472:CF472"/>
    <mergeCell ref="AK482:AR482"/>
    <mergeCell ref="AS482:AZ482"/>
    <mergeCell ref="BI482:BP482"/>
    <mergeCell ref="BQ482:BX482"/>
    <mergeCell ref="BU475:CF475"/>
    <mergeCell ref="E476:P476"/>
    <mergeCell ref="Q476:AB476"/>
    <mergeCell ref="AC476:AJ476"/>
    <mergeCell ref="AK476:AR476"/>
    <mergeCell ref="AS476:AZ476"/>
    <mergeCell ref="BA476:BH476"/>
    <mergeCell ref="BI476:BN476"/>
    <mergeCell ref="BO476:BT476"/>
    <mergeCell ref="BU476:CF476"/>
    <mergeCell ref="BO474:BT474"/>
    <mergeCell ref="BU474:CF474"/>
    <mergeCell ref="E475:P475"/>
    <mergeCell ref="Q475:AB475"/>
    <mergeCell ref="AC475:AJ475"/>
    <mergeCell ref="AK475:AR475"/>
    <mergeCell ref="AS475:AZ475"/>
    <mergeCell ref="BA475:BH475"/>
    <mergeCell ref="BI475:BN475"/>
    <mergeCell ref="BO475:BT475"/>
    <mergeCell ref="BI484:BP484"/>
    <mergeCell ref="BQ484:BX484"/>
    <mergeCell ref="BY484:CF484"/>
    <mergeCell ref="E485:T485"/>
    <mergeCell ref="U485:AB485"/>
    <mergeCell ref="AC485:AJ485"/>
    <mergeCell ref="AK485:AR485"/>
    <mergeCell ref="AS485:AZ485"/>
    <mergeCell ref="BA485:BH485"/>
    <mergeCell ref="BI485:BP485"/>
    <mergeCell ref="E484:T484"/>
    <mergeCell ref="U484:AB484"/>
    <mergeCell ref="AC484:AJ484"/>
    <mergeCell ref="AK484:AR484"/>
    <mergeCell ref="AS484:AZ484"/>
    <mergeCell ref="BA484:BH484"/>
    <mergeCell ref="BY482:CF482"/>
    <mergeCell ref="E483:T483"/>
    <mergeCell ref="U483:AB483"/>
    <mergeCell ref="AC483:AJ483"/>
    <mergeCell ref="AK483:AR483"/>
    <mergeCell ref="AS483:AZ483"/>
    <mergeCell ref="BA483:BH483"/>
    <mergeCell ref="BI483:BP483"/>
    <mergeCell ref="BQ483:BX483"/>
    <mergeCell ref="BY483:CF483"/>
    <mergeCell ref="E481:T482"/>
    <mergeCell ref="U481:AB482"/>
    <mergeCell ref="AC481:AZ481"/>
    <mergeCell ref="BA481:BH482"/>
    <mergeCell ref="BI481:CF481"/>
    <mergeCell ref="AC482:AJ482"/>
    <mergeCell ref="BY486:CF486"/>
    <mergeCell ref="E487:T487"/>
    <mergeCell ref="U487:AB487"/>
    <mergeCell ref="AC487:AJ487"/>
    <mergeCell ref="AK487:AR487"/>
    <mergeCell ref="AS487:AZ487"/>
    <mergeCell ref="BA487:BH487"/>
    <mergeCell ref="BI487:BP487"/>
    <mergeCell ref="BQ487:BX487"/>
    <mergeCell ref="BY487:CF487"/>
    <mergeCell ref="BQ485:BX485"/>
    <mergeCell ref="BY485:CF485"/>
    <mergeCell ref="E486:T486"/>
    <mergeCell ref="U486:AB486"/>
    <mergeCell ref="AC486:AJ486"/>
    <mergeCell ref="AK486:AR486"/>
    <mergeCell ref="AS486:AZ486"/>
    <mergeCell ref="BA486:BH486"/>
    <mergeCell ref="BI486:BP486"/>
    <mergeCell ref="BQ486:BX486"/>
    <mergeCell ref="BQ489:BX489"/>
    <mergeCell ref="BY489:CF489"/>
    <mergeCell ref="E490:T490"/>
    <mergeCell ref="U490:AB490"/>
    <mergeCell ref="AC490:AJ490"/>
    <mergeCell ref="AK490:AR490"/>
    <mergeCell ref="AS490:AZ490"/>
    <mergeCell ref="BA490:BH490"/>
    <mergeCell ref="BI490:BP490"/>
    <mergeCell ref="BQ490:BX490"/>
    <mergeCell ref="BI488:BP488"/>
    <mergeCell ref="BQ488:BX488"/>
    <mergeCell ref="BY488:CF488"/>
    <mergeCell ref="E489:T489"/>
    <mergeCell ref="U489:AB489"/>
    <mergeCell ref="AC489:AJ489"/>
    <mergeCell ref="AK489:AR489"/>
    <mergeCell ref="AS489:AZ489"/>
    <mergeCell ref="BA489:BH489"/>
    <mergeCell ref="BI489:BP489"/>
    <mergeCell ref="E488:T488"/>
    <mergeCell ref="U488:AB488"/>
    <mergeCell ref="AC488:AJ488"/>
    <mergeCell ref="AK488:AR488"/>
    <mergeCell ref="AS488:AZ488"/>
    <mergeCell ref="BA488:BH488"/>
    <mergeCell ref="BI492:BP492"/>
    <mergeCell ref="BQ492:BX492"/>
    <mergeCell ref="BY492:CF492"/>
    <mergeCell ref="E492:T492"/>
    <mergeCell ref="U492:AB492"/>
    <mergeCell ref="AC492:AJ492"/>
    <mergeCell ref="AK492:AR492"/>
    <mergeCell ref="AS492:AZ492"/>
    <mergeCell ref="BA492:BH492"/>
    <mergeCell ref="BY490:CF490"/>
    <mergeCell ref="E491:T491"/>
    <mergeCell ref="U491:AB491"/>
    <mergeCell ref="AC491:AJ491"/>
    <mergeCell ref="AK491:AR491"/>
    <mergeCell ref="AS491:AZ491"/>
    <mergeCell ref="BA491:BH491"/>
    <mergeCell ref="BI491:BP491"/>
    <mergeCell ref="BQ491:BX491"/>
    <mergeCell ref="BY491:CF491"/>
  </mergeCells>
  <phoneticPr fontId="3" type="noConversion"/>
  <printOptions horizontalCentered="1"/>
  <pageMargins left="0.74803149606299213" right="0.74803149606299213" top="0.98425196850393704" bottom="0.98425196850393704" header="0" footer="0.59055118110236227"/>
  <pageSetup paperSize="9" scale="67" orientation="portrait" r:id="rId1"/>
  <headerFooter alignWithMargins="0"/>
  <rowBreaks count="13" manualBreakCount="13">
    <brk id="37" max="83" man="1"/>
    <brk id="68" max="83" man="1"/>
    <brk id="101" max="83" man="1"/>
    <brk id="132" max="83" man="1"/>
    <brk id="162" max="83" man="1"/>
    <brk id="195" max="83" man="1"/>
    <brk id="233" max="83" man="1"/>
    <brk id="270" max="83" man="1"/>
    <brk id="328" max="83" man="1"/>
    <brk id="359" max="83" man="1"/>
    <brk id="391" max="83" man="1"/>
    <brk id="426" max="83" man="1"/>
    <brk id="459" max="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166"/>
  <sheetViews>
    <sheetView view="pageBreakPreview" zoomScaleNormal="100" zoomScaleSheetLayoutView="100" workbookViewId="0">
      <pane xSplit="4" ySplit="2" topLeftCell="E3" activePane="bottomRight" state="frozen"/>
      <selection activeCell="AV23" sqref="AV23"/>
      <selection pane="topRight" activeCell="AV23" sqref="AV23"/>
      <selection pane="bottomLeft" activeCell="AV23" sqref="AV23"/>
      <selection pane="bottomRight" activeCell="N6" sqref="N6"/>
    </sheetView>
  </sheetViews>
  <sheetFormatPr defaultColWidth="8.88671875" defaultRowHeight="14.25"/>
  <cols>
    <col min="1" max="2" width="7.77734375" style="512" customWidth="1"/>
    <col min="3" max="3" width="15.6640625" style="513" customWidth="1"/>
    <col min="4" max="4" width="5.77734375" style="514" customWidth="1"/>
    <col min="5" max="5" width="5.109375" style="515" customWidth="1"/>
    <col min="6" max="6" width="9" style="515" customWidth="1"/>
    <col min="7" max="7" width="5.109375" style="515" customWidth="1"/>
    <col min="8" max="8" width="9" style="515" customWidth="1"/>
    <col min="9" max="9" width="5.109375" style="515" customWidth="1"/>
    <col min="10" max="10" width="9" style="515" customWidth="1"/>
    <col min="11" max="11" width="4.6640625" style="515" customWidth="1"/>
    <col min="12" max="12" width="8.88671875" style="531" customWidth="1"/>
    <col min="13" max="13" width="11.44140625" style="516" customWidth="1"/>
    <col min="14" max="14" width="9" style="533" customWidth="1"/>
    <col min="15" max="15" width="11.33203125" style="514" customWidth="1"/>
    <col min="16" max="16" width="11" style="514" customWidth="1"/>
    <col min="17" max="19" width="8.88671875" style="514"/>
    <col min="20" max="20" width="10.109375" style="514" bestFit="1" customWidth="1"/>
    <col min="21" max="16384" width="8.88671875" style="514"/>
  </cols>
  <sheetData>
    <row r="1" spans="1:21" s="443" customFormat="1" ht="20.100000000000001" customHeight="1">
      <c r="A1" s="1774" t="s">
        <v>785</v>
      </c>
      <c r="B1" s="1775"/>
      <c r="C1" s="1778" t="s">
        <v>786</v>
      </c>
      <c r="D1" s="1780" t="s">
        <v>362</v>
      </c>
      <c r="E1" s="1781" t="s">
        <v>787</v>
      </c>
      <c r="F1" s="1782"/>
      <c r="G1" s="1771" t="s">
        <v>788</v>
      </c>
      <c r="H1" s="1771"/>
      <c r="I1" s="1771" t="s">
        <v>789</v>
      </c>
      <c r="J1" s="1771"/>
      <c r="K1" s="1771" t="s">
        <v>790</v>
      </c>
      <c r="L1" s="1771"/>
      <c r="M1" s="441" t="s">
        <v>791</v>
      </c>
      <c r="N1" s="1772" t="s">
        <v>792</v>
      </c>
      <c r="O1" s="442"/>
    </row>
    <row r="2" spans="1:21" s="443" customFormat="1" ht="20.100000000000001" customHeight="1">
      <c r="A2" s="1776"/>
      <c r="B2" s="1777"/>
      <c r="C2" s="1779"/>
      <c r="D2" s="1780"/>
      <c r="E2" s="444" t="s">
        <v>793</v>
      </c>
      <c r="F2" s="445" t="s">
        <v>794</v>
      </c>
      <c r="G2" s="444" t="s">
        <v>793</v>
      </c>
      <c r="H2" s="444" t="s">
        <v>794</v>
      </c>
      <c r="I2" s="444" t="s">
        <v>793</v>
      </c>
      <c r="J2" s="444" t="s">
        <v>794</v>
      </c>
      <c r="K2" s="444" t="s">
        <v>793</v>
      </c>
      <c r="L2" s="444" t="s">
        <v>794</v>
      </c>
      <c r="M2" s="441" t="s">
        <v>795</v>
      </c>
      <c r="N2" s="1773"/>
      <c r="O2" s="442"/>
    </row>
    <row r="3" spans="1:21" s="443" customFormat="1" ht="20.100000000000001" customHeight="1">
      <c r="A3" s="1763" t="s">
        <v>796</v>
      </c>
      <c r="B3" s="1764"/>
      <c r="C3" s="446" t="s">
        <v>797</v>
      </c>
      <c r="D3" s="447" t="s">
        <v>798</v>
      </c>
      <c r="E3" s="448"/>
      <c r="F3" s="449"/>
      <c r="G3" s="450"/>
      <c r="H3" s="450"/>
      <c r="I3" s="448"/>
      <c r="J3" s="448"/>
      <c r="K3" s="448"/>
      <c r="L3" s="448"/>
      <c r="M3" s="451"/>
      <c r="N3" s="452">
        <v>1442</v>
      </c>
      <c r="O3" s="442"/>
      <c r="R3" s="443">
        <v>1434</v>
      </c>
    </row>
    <row r="4" spans="1:21" s="462" customFormat="1" ht="20.100000000000001" customHeight="1">
      <c r="A4" s="1763" t="s">
        <v>799</v>
      </c>
      <c r="B4" s="1765"/>
      <c r="C4" s="453" t="s">
        <v>800</v>
      </c>
      <c r="D4" s="454" t="s">
        <v>801</v>
      </c>
      <c r="E4" s="455"/>
      <c r="F4" s="456"/>
      <c r="G4" s="457"/>
      <c r="H4" s="458"/>
      <c r="I4" s="455"/>
      <c r="J4" s="459"/>
      <c r="K4" s="455"/>
      <c r="L4" s="459"/>
      <c r="M4" s="459"/>
      <c r="N4" s="460">
        <v>1473</v>
      </c>
      <c r="O4" s="461">
        <v>1532</v>
      </c>
      <c r="R4" s="462">
        <f>1786.54/1.1</f>
        <v>1624.1272727272726</v>
      </c>
    </row>
    <row r="5" spans="1:21" s="462" customFormat="1" ht="20.100000000000001" customHeight="1">
      <c r="A5" s="1763" t="s">
        <v>802</v>
      </c>
      <c r="B5" s="1765"/>
      <c r="C5" s="453" t="s">
        <v>800</v>
      </c>
      <c r="D5" s="454" t="s">
        <v>801</v>
      </c>
      <c r="E5" s="455"/>
      <c r="F5" s="456"/>
      <c r="G5" s="457"/>
      <c r="H5" s="458"/>
      <c r="I5" s="455"/>
      <c r="J5" s="459"/>
      <c r="K5" s="455"/>
      <c r="L5" s="459"/>
      <c r="M5" s="459"/>
      <c r="N5" s="460">
        <v>1376</v>
      </c>
      <c r="O5" s="461">
        <v>1382</v>
      </c>
      <c r="P5" s="463">
        <f>N5-O5</f>
        <v>-6</v>
      </c>
      <c r="R5" s="462">
        <f>1691.95/1.1</f>
        <v>1538.1363636363635</v>
      </c>
    </row>
    <row r="6" spans="1:21" s="470" customFormat="1" ht="18.75" customHeight="1">
      <c r="A6" s="1759" t="s">
        <v>803</v>
      </c>
      <c r="B6" s="1760"/>
      <c r="C6" s="464" t="s">
        <v>804</v>
      </c>
      <c r="D6" s="465" t="s">
        <v>805</v>
      </c>
      <c r="E6" s="455">
        <v>14</v>
      </c>
      <c r="F6" s="456">
        <v>1107</v>
      </c>
      <c r="G6" s="455">
        <v>12</v>
      </c>
      <c r="H6" s="459">
        <v>1080</v>
      </c>
      <c r="I6" s="455">
        <v>64</v>
      </c>
      <c r="J6" s="459">
        <v>1062</v>
      </c>
      <c r="K6" s="466">
        <v>27</v>
      </c>
      <c r="L6" s="467">
        <v>1087</v>
      </c>
      <c r="M6" s="468">
        <v>1241</v>
      </c>
      <c r="N6" s="460">
        <f>MIN(F6,H6,J6,L6,M6)</f>
        <v>1062</v>
      </c>
      <c r="O6" s="469" t="s">
        <v>806</v>
      </c>
      <c r="P6" s="469" t="s">
        <v>807</v>
      </c>
    </row>
    <row r="7" spans="1:21" s="462" customFormat="1" ht="19.5" customHeight="1">
      <c r="A7" s="1763" t="s">
        <v>808</v>
      </c>
      <c r="B7" s="1765"/>
      <c r="C7" s="471" t="s">
        <v>809</v>
      </c>
      <c r="D7" s="454" t="s">
        <v>810</v>
      </c>
      <c r="E7" s="455">
        <v>16</v>
      </c>
      <c r="F7" s="456">
        <v>15750</v>
      </c>
      <c r="G7" s="455">
        <v>20</v>
      </c>
      <c r="H7" s="459">
        <v>14260</v>
      </c>
      <c r="I7" s="455">
        <v>69</v>
      </c>
      <c r="J7" s="459">
        <v>15280</v>
      </c>
      <c r="K7" s="466">
        <v>28</v>
      </c>
      <c r="L7" s="467">
        <v>15220</v>
      </c>
      <c r="M7" s="468"/>
      <c r="N7" s="460">
        <f>MIN(F7,H7,J7,L7,M7)</f>
        <v>14260</v>
      </c>
      <c r="O7" s="461"/>
      <c r="P7" s="461"/>
    </row>
    <row r="8" spans="1:21" s="462" customFormat="1" ht="20.100000000000001" customHeight="1">
      <c r="A8" s="1763" t="s">
        <v>811</v>
      </c>
      <c r="B8" s="1765"/>
      <c r="C8" s="471" t="s">
        <v>812</v>
      </c>
      <c r="D8" s="454" t="s">
        <v>805</v>
      </c>
      <c r="E8" s="455">
        <v>36</v>
      </c>
      <c r="F8" s="456">
        <v>1850</v>
      </c>
      <c r="G8" s="455">
        <v>27</v>
      </c>
      <c r="H8" s="459">
        <v>1560</v>
      </c>
      <c r="I8" s="455">
        <v>84</v>
      </c>
      <c r="J8" s="459">
        <v>1650</v>
      </c>
      <c r="K8" s="466">
        <v>42</v>
      </c>
      <c r="L8" s="467">
        <v>1740</v>
      </c>
      <c r="M8" s="472">
        <v>1390</v>
      </c>
      <c r="N8" s="460">
        <f>MIN(F8,H8,J8,L8,M8)</f>
        <v>1390</v>
      </c>
      <c r="O8" s="461" t="s">
        <v>813</v>
      </c>
      <c r="P8" s="461" t="s">
        <v>807</v>
      </c>
    </row>
    <row r="9" spans="1:21" s="462" customFormat="1" ht="20.100000000000001" customHeight="1">
      <c r="A9" s="1763" t="s">
        <v>814</v>
      </c>
      <c r="B9" s="1765"/>
      <c r="C9" s="471" t="s">
        <v>815</v>
      </c>
      <c r="D9" s="454" t="s">
        <v>805</v>
      </c>
      <c r="E9" s="455">
        <v>36</v>
      </c>
      <c r="F9" s="456">
        <v>2310</v>
      </c>
      <c r="G9" s="455">
        <v>27</v>
      </c>
      <c r="H9" s="459">
        <v>1730</v>
      </c>
      <c r="I9" s="455">
        <v>84</v>
      </c>
      <c r="J9" s="459">
        <v>1830</v>
      </c>
      <c r="K9" s="466"/>
      <c r="L9" s="467"/>
      <c r="M9" s="468">
        <v>1640</v>
      </c>
      <c r="N9" s="460">
        <f>MIN(F9,H9,J9,L9,M9)</f>
        <v>1640</v>
      </c>
      <c r="O9" s="461" t="s">
        <v>816</v>
      </c>
      <c r="P9" s="461" t="s">
        <v>807</v>
      </c>
    </row>
    <row r="10" spans="1:21" s="462" customFormat="1" ht="20.100000000000001" customHeight="1">
      <c r="A10" s="1763" t="s">
        <v>817</v>
      </c>
      <c r="B10" s="1765"/>
      <c r="C10" s="471" t="s">
        <v>818</v>
      </c>
      <c r="D10" s="454" t="s">
        <v>805</v>
      </c>
      <c r="E10" s="455">
        <v>37</v>
      </c>
      <c r="F10" s="456">
        <v>1855</v>
      </c>
      <c r="G10" s="455">
        <v>28</v>
      </c>
      <c r="H10" s="459">
        <f>37060/23</f>
        <v>1611.304347826087</v>
      </c>
      <c r="I10" s="455">
        <v>84</v>
      </c>
      <c r="J10" s="459">
        <f>23100/15</f>
        <v>1540</v>
      </c>
      <c r="K10" s="466">
        <v>43</v>
      </c>
      <c r="L10" s="467">
        <v>1837</v>
      </c>
      <c r="M10" s="468">
        <v>1487</v>
      </c>
      <c r="N10" s="460">
        <f t="shared" ref="N10:N72" si="0">MIN(F10,H10,J10,L10,M10)</f>
        <v>1487</v>
      </c>
      <c r="O10" s="461" t="s">
        <v>537</v>
      </c>
      <c r="P10" s="461" t="s">
        <v>807</v>
      </c>
      <c r="U10" s="462">
        <f>8400/1.1/40</f>
        <v>190.90909090909091</v>
      </c>
    </row>
    <row r="11" spans="1:21" s="462" customFormat="1" ht="20.100000000000001" customHeight="1">
      <c r="A11" s="1763" t="s">
        <v>819</v>
      </c>
      <c r="B11" s="1765"/>
      <c r="C11" s="471" t="s">
        <v>820</v>
      </c>
      <c r="D11" s="454" t="s">
        <v>645</v>
      </c>
      <c r="E11" s="455">
        <v>38</v>
      </c>
      <c r="F11" s="456">
        <v>2490</v>
      </c>
      <c r="G11" s="455">
        <v>56</v>
      </c>
      <c r="H11" s="459">
        <v>2510</v>
      </c>
      <c r="I11" s="455">
        <v>100</v>
      </c>
      <c r="J11" s="459">
        <v>2170</v>
      </c>
      <c r="K11" s="466">
        <v>58</v>
      </c>
      <c r="L11" s="467">
        <v>2101</v>
      </c>
      <c r="M11" s="468"/>
      <c r="N11" s="460">
        <f t="shared" si="0"/>
        <v>2101</v>
      </c>
      <c r="O11" s="461"/>
      <c r="P11" s="461"/>
    </row>
    <row r="12" spans="1:21" s="462" customFormat="1" ht="20.100000000000001" customHeight="1">
      <c r="A12" s="1763" t="s">
        <v>821</v>
      </c>
      <c r="B12" s="1765"/>
      <c r="C12" s="471" t="s">
        <v>822</v>
      </c>
      <c r="D12" s="454" t="s">
        <v>627</v>
      </c>
      <c r="E12" s="455">
        <v>55</v>
      </c>
      <c r="F12" s="456">
        <v>37000</v>
      </c>
      <c r="G12" s="455">
        <v>62</v>
      </c>
      <c r="H12" s="459">
        <v>40000</v>
      </c>
      <c r="I12" s="455">
        <v>101</v>
      </c>
      <c r="J12" s="473" t="s">
        <v>823</v>
      </c>
      <c r="K12" s="466">
        <v>61</v>
      </c>
      <c r="L12" s="467">
        <v>37000</v>
      </c>
      <c r="M12" s="468"/>
      <c r="N12" s="460">
        <f t="shared" si="0"/>
        <v>37000</v>
      </c>
      <c r="O12" s="461"/>
      <c r="P12" s="461"/>
    </row>
    <row r="13" spans="1:21" s="462" customFormat="1" ht="20.100000000000001" customHeight="1">
      <c r="A13" s="1763" t="s">
        <v>824</v>
      </c>
      <c r="B13" s="1765"/>
      <c r="C13" s="471" t="s">
        <v>825</v>
      </c>
      <c r="D13" s="454" t="s">
        <v>627</v>
      </c>
      <c r="E13" s="455">
        <v>55</v>
      </c>
      <c r="F13" s="456" t="s">
        <v>826</v>
      </c>
      <c r="G13" s="455">
        <v>62</v>
      </c>
      <c r="H13" s="459">
        <v>30000</v>
      </c>
      <c r="I13" s="455">
        <v>101</v>
      </c>
      <c r="J13" s="473" t="s">
        <v>827</v>
      </c>
      <c r="K13" s="466">
        <v>60</v>
      </c>
      <c r="L13" s="467">
        <v>29000</v>
      </c>
      <c r="M13" s="468"/>
      <c r="N13" s="460">
        <f t="shared" si="0"/>
        <v>29000</v>
      </c>
      <c r="O13" s="461"/>
      <c r="P13" s="461"/>
      <c r="Q13" s="462">
        <v>8100</v>
      </c>
    </row>
    <row r="14" spans="1:21" s="462" customFormat="1" ht="20.100000000000001" customHeight="1">
      <c r="A14" s="1763" t="s">
        <v>828</v>
      </c>
      <c r="B14" s="1765"/>
      <c r="C14" s="471" t="s">
        <v>829</v>
      </c>
      <c r="D14" s="454" t="s">
        <v>627</v>
      </c>
      <c r="E14" s="455">
        <v>55</v>
      </c>
      <c r="F14" s="456">
        <v>32000</v>
      </c>
      <c r="G14" s="455">
        <v>62</v>
      </c>
      <c r="H14" s="459">
        <v>30000</v>
      </c>
      <c r="I14" s="455">
        <v>102</v>
      </c>
      <c r="J14" s="459">
        <v>34000</v>
      </c>
      <c r="K14" s="466">
        <v>61</v>
      </c>
      <c r="L14" s="467">
        <v>32000</v>
      </c>
      <c r="M14" s="468"/>
      <c r="N14" s="460">
        <f t="shared" si="0"/>
        <v>30000</v>
      </c>
      <c r="O14" s="474"/>
      <c r="P14" s="461"/>
      <c r="Q14" s="462">
        <f>Q13/1.1/40</f>
        <v>184.09090909090907</v>
      </c>
    </row>
    <row r="15" spans="1:21" s="462" customFormat="1" ht="20.100000000000001" customHeight="1">
      <c r="A15" s="1763" t="s">
        <v>830</v>
      </c>
      <c r="B15" s="1765"/>
      <c r="C15" s="471" t="s">
        <v>831</v>
      </c>
      <c r="D15" s="454" t="s">
        <v>627</v>
      </c>
      <c r="E15" s="455">
        <v>55</v>
      </c>
      <c r="F15" s="456">
        <v>30000</v>
      </c>
      <c r="G15" s="455">
        <v>62</v>
      </c>
      <c r="H15" s="459">
        <v>23000</v>
      </c>
      <c r="I15" s="455">
        <v>102</v>
      </c>
      <c r="J15" s="459">
        <v>27000</v>
      </c>
      <c r="K15" s="466">
        <v>61</v>
      </c>
      <c r="L15" s="467">
        <v>30000</v>
      </c>
      <c r="M15" s="468"/>
      <c r="N15" s="460">
        <f t="shared" si="0"/>
        <v>23000</v>
      </c>
      <c r="O15" s="461"/>
      <c r="P15" s="461"/>
    </row>
    <row r="16" spans="1:21" s="462" customFormat="1" ht="19.5" customHeight="1">
      <c r="A16" s="1763" t="s">
        <v>832</v>
      </c>
      <c r="B16" s="1765"/>
      <c r="C16" s="471" t="s">
        <v>822</v>
      </c>
      <c r="D16" s="454" t="s">
        <v>627</v>
      </c>
      <c r="E16" s="455"/>
      <c r="F16" s="456"/>
      <c r="G16" s="455">
        <v>62</v>
      </c>
      <c r="H16" s="459">
        <v>25000</v>
      </c>
      <c r="I16" s="455">
        <v>101</v>
      </c>
      <c r="J16" s="473" t="s">
        <v>823</v>
      </c>
      <c r="K16" s="466"/>
      <c r="L16" s="467"/>
      <c r="M16" s="475"/>
      <c r="N16" s="460">
        <f t="shared" si="0"/>
        <v>25000</v>
      </c>
      <c r="O16" s="461"/>
      <c r="P16" s="461"/>
    </row>
    <row r="17" spans="1:20" s="477" customFormat="1" ht="20.100000000000001" customHeight="1">
      <c r="A17" s="1759" t="s">
        <v>833</v>
      </c>
      <c r="B17" s="1770"/>
      <c r="C17" s="464" t="s">
        <v>834</v>
      </c>
      <c r="D17" s="465" t="s">
        <v>835</v>
      </c>
      <c r="E17" s="455">
        <v>58</v>
      </c>
      <c r="F17" s="456">
        <v>120</v>
      </c>
      <c r="G17" s="455"/>
      <c r="H17" s="459"/>
      <c r="I17" s="455">
        <v>103</v>
      </c>
      <c r="J17" s="459">
        <v>120</v>
      </c>
      <c r="K17" s="466">
        <v>62</v>
      </c>
      <c r="L17" s="467">
        <v>129</v>
      </c>
      <c r="M17" s="468"/>
      <c r="N17" s="460">
        <f t="shared" si="0"/>
        <v>120</v>
      </c>
      <c r="O17" s="476" t="s">
        <v>836</v>
      </c>
      <c r="P17" s="476"/>
      <c r="R17" s="477">
        <f>7300/1.1/40</f>
        <v>165.90909090909091</v>
      </c>
    </row>
    <row r="18" spans="1:20" s="470" customFormat="1" ht="20.100000000000001" customHeight="1">
      <c r="A18" s="1759" t="s">
        <v>837</v>
      </c>
      <c r="B18" s="1760"/>
      <c r="C18" s="464" t="s">
        <v>838</v>
      </c>
      <c r="D18" s="465" t="s">
        <v>805</v>
      </c>
      <c r="E18" s="455">
        <v>58</v>
      </c>
      <c r="F18" s="456">
        <v>208</v>
      </c>
      <c r="G18" s="455">
        <v>65</v>
      </c>
      <c r="H18" s="459">
        <f>INT(7400/1.1/40)</f>
        <v>168</v>
      </c>
      <c r="I18" s="455">
        <v>103</v>
      </c>
      <c r="J18" s="478">
        <f>7400/1.1/40</f>
        <v>168.18181818181819</v>
      </c>
      <c r="K18" s="466">
        <v>62</v>
      </c>
      <c r="L18" s="467" t="s">
        <v>839</v>
      </c>
      <c r="M18" s="468"/>
      <c r="N18" s="460">
        <f t="shared" si="0"/>
        <v>168</v>
      </c>
      <c r="O18" s="469" t="s">
        <v>840</v>
      </c>
      <c r="P18" s="469">
        <f>7400/1.1*40</f>
        <v>269090.90909090906</v>
      </c>
    </row>
    <row r="19" spans="1:20" s="462" customFormat="1" ht="20.100000000000001" customHeight="1">
      <c r="A19" s="1763" t="s">
        <v>841</v>
      </c>
      <c r="B19" s="1765"/>
      <c r="C19" s="471" t="s">
        <v>842</v>
      </c>
      <c r="D19" s="454" t="s">
        <v>805</v>
      </c>
      <c r="E19" s="455">
        <v>60</v>
      </c>
      <c r="F19" s="456">
        <v>1500</v>
      </c>
      <c r="G19" s="455">
        <v>65</v>
      </c>
      <c r="H19" s="459">
        <v>1500</v>
      </c>
      <c r="I19" s="455">
        <v>103</v>
      </c>
      <c r="J19" s="459">
        <f>34000/40</f>
        <v>850</v>
      </c>
      <c r="K19" s="466">
        <v>62</v>
      </c>
      <c r="L19" s="467">
        <v>1500</v>
      </c>
      <c r="M19" s="468"/>
      <c r="N19" s="460">
        <f t="shared" si="0"/>
        <v>850</v>
      </c>
      <c r="O19" s="461"/>
      <c r="P19" s="461"/>
      <c r="T19" s="462">
        <v>1.22</v>
      </c>
    </row>
    <row r="20" spans="1:20" s="462" customFormat="1" ht="20.100000000000001" customHeight="1">
      <c r="A20" s="1763" t="s">
        <v>843</v>
      </c>
      <c r="B20" s="1765"/>
      <c r="C20" s="471" t="s">
        <v>844</v>
      </c>
      <c r="D20" s="454" t="s">
        <v>835</v>
      </c>
      <c r="E20" s="455"/>
      <c r="F20" s="456"/>
      <c r="G20" s="455">
        <v>77</v>
      </c>
      <c r="H20" s="459">
        <v>2000</v>
      </c>
      <c r="I20" s="455">
        <v>110</v>
      </c>
      <c r="J20" s="459">
        <v>1600</v>
      </c>
      <c r="K20" s="466"/>
      <c r="L20" s="467"/>
      <c r="M20" s="468"/>
      <c r="N20" s="460">
        <f t="shared" si="0"/>
        <v>1600</v>
      </c>
      <c r="O20" s="461"/>
      <c r="P20" s="461"/>
      <c r="T20" s="462">
        <v>5430</v>
      </c>
    </row>
    <row r="21" spans="1:20" s="462" customFormat="1" ht="20.100000000000001" customHeight="1">
      <c r="A21" s="1763" t="s">
        <v>845</v>
      </c>
      <c r="B21" s="1765"/>
      <c r="C21" s="471" t="s">
        <v>846</v>
      </c>
      <c r="D21" s="454" t="s">
        <v>627</v>
      </c>
      <c r="E21" s="455"/>
      <c r="F21" s="456"/>
      <c r="G21" s="455">
        <v>98</v>
      </c>
      <c r="H21" s="459">
        <f>INT(2400/0.00334)</f>
        <v>718562</v>
      </c>
      <c r="I21" s="479">
        <v>148</v>
      </c>
      <c r="J21" s="459">
        <f>1930/0.00334</f>
        <v>577844.31137724547</v>
      </c>
      <c r="K21" s="466">
        <v>73</v>
      </c>
      <c r="L21" s="467">
        <v>616467</v>
      </c>
      <c r="M21" s="468">
        <v>571556</v>
      </c>
      <c r="N21" s="460">
        <f t="shared" si="0"/>
        <v>571556</v>
      </c>
      <c r="O21" s="461" t="s">
        <v>847</v>
      </c>
      <c r="P21" s="461" t="s">
        <v>807</v>
      </c>
      <c r="Q21" s="462">
        <v>571556</v>
      </c>
      <c r="T21" s="462">
        <f>T20/T19</f>
        <v>4450.8196721311479</v>
      </c>
    </row>
    <row r="22" spans="1:20" s="462" customFormat="1" ht="20.100000000000001" customHeight="1">
      <c r="A22" s="1763" t="s">
        <v>848</v>
      </c>
      <c r="B22" s="1765"/>
      <c r="C22" s="471" t="s">
        <v>849</v>
      </c>
      <c r="D22" s="454" t="s">
        <v>850</v>
      </c>
      <c r="E22" s="455"/>
      <c r="F22" s="456"/>
      <c r="G22" s="455">
        <v>97</v>
      </c>
      <c r="H22" s="459">
        <f>INT(2700/0.00334)</f>
        <v>808383</v>
      </c>
      <c r="I22" s="455">
        <v>148</v>
      </c>
      <c r="J22" s="459">
        <f>2270/0.00334</f>
        <v>679640.71856287424</v>
      </c>
      <c r="K22" s="466">
        <v>73</v>
      </c>
      <c r="L22" s="467">
        <v>705988</v>
      </c>
      <c r="M22" s="468">
        <v>571556</v>
      </c>
      <c r="N22" s="460">
        <f t="shared" si="0"/>
        <v>571556</v>
      </c>
      <c r="O22" s="461" t="s">
        <v>851</v>
      </c>
      <c r="P22" s="461" t="s">
        <v>807</v>
      </c>
      <c r="Q22" s="462">
        <f>Q21/1.1</f>
        <v>519596.36363636359</v>
      </c>
    </row>
    <row r="23" spans="1:20" s="462" customFormat="1" ht="20.100000000000001" customHeight="1">
      <c r="A23" s="1763" t="s">
        <v>852</v>
      </c>
      <c r="B23" s="1765"/>
      <c r="C23" s="471" t="s">
        <v>853</v>
      </c>
      <c r="D23" s="454" t="s">
        <v>437</v>
      </c>
      <c r="E23" s="455"/>
      <c r="F23" s="456"/>
      <c r="G23" s="455">
        <v>105</v>
      </c>
      <c r="H23" s="459">
        <v>31600</v>
      </c>
      <c r="I23" s="455">
        <v>166</v>
      </c>
      <c r="J23" s="459">
        <v>23100</v>
      </c>
      <c r="K23" s="466">
        <v>82</v>
      </c>
      <c r="L23" s="467">
        <v>31900</v>
      </c>
      <c r="M23" s="468"/>
      <c r="N23" s="460">
        <f t="shared" si="0"/>
        <v>23100</v>
      </c>
      <c r="O23" s="461"/>
      <c r="P23" s="461"/>
    </row>
    <row r="24" spans="1:20" s="462" customFormat="1" ht="19.5" customHeight="1">
      <c r="A24" s="1763" t="s">
        <v>854</v>
      </c>
      <c r="B24" s="1765"/>
      <c r="C24" s="471" t="s">
        <v>855</v>
      </c>
      <c r="D24" s="454" t="s">
        <v>272</v>
      </c>
      <c r="E24" s="455">
        <v>88</v>
      </c>
      <c r="F24" s="456">
        <v>6250</v>
      </c>
      <c r="G24" s="455">
        <v>105</v>
      </c>
      <c r="H24" s="459">
        <v>5250</v>
      </c>
      <c r="I24" s="455">
        <v>166</v>
      </c>
      <c r="J24" s="459">
        <f>23100/6</f>
        <v>3850</v>
      </c>
      <c r="K24" s="466">
        <v>82</v>
      </c>
      <c r="L24" s="480">
        <v>5316</v>
      </c>
      <c r="M24" s="468">
        <v>4500</v>
      </c>
      <c r="N24" s="460">
        <f t="shared" si="0"/>
        <v>3850</v>
      </c>
      <c r="O24" s="461" t="s">
        <v>856</v>
      </c>
      <c r="P24" s="461" t="s">
        <v>807</v>
      </c>
    </row>
    <row r="25" spans="1:20" s="462" customFormat="1" ht="20.100000000000001" customHeight="1">
      <c r="A25" s="1763" t="s">
        <v>857</v>
      </c>
      <c r="B25" s="1765"/>
      <c r="C25" s="471" t="s">
        <v>858</v>
      </c>
      <c r="D25" s="454" t="s">
        <v>30</v>
      </c>
      <c r="E25" s="455">
        <v>88</v>
      </c>
      <c r="F25" s="456">
        <v>2200</v>
      </c>
      <c r="G25" s="455">
        <v>105</v>
      </c>
      <c r="H25" s="459">
        <v>2300</v>
      </c>
      <c r="I25" s="455">
        <v>166</v>
      </c>
      <c r="J25" s="459">
        <v>1400</v>
      </c>
      <c r="K25" s="466">
        <v>82</v>
      </c>
      <c r="L25" s="467">
        <v>2300</v>
      </c>
      <c r="M25" s="468">
        <v>1100</v>
      </c>
      <c r="N25" s="460">
        <f t="shared" si="0"/>
        <v>1100</v>
      </c>
      <c r="O25" s="461" t="s">
        <v>859</v>
      </c>
      <c r="P25" s="461" t="s">
        <v>807</v>
      </c>
    </row>
    <row r="26" spans="1:20" s="462" customFormat="1" ht="19.5" customHeight="1">
      <c r="A26" s="1763" t="s">
        <v>860</v>
      </c>
      <c r="B26" s="1765"/>
      <c r="C26" s="471" t="s">
        <v>861</v>
      </c>
      <c r="D26" s="454" t="s">
        <v>30</v>
      </c>
      <c r="E26" s="455"/>
      <c r="F26" s="456"/>
      <c r="G26" s="455">
        <v>105</v>
      </c>
      <c r="H26" s="459">
        <v>3800</v>
      </c>
      <c r="I26" s="455">
        <v>166</v>
      </c>
      <c r="J26" s="459">
        <v>5800</v>
      </c>
      <c r="K26" s="466">
        <v>82</v>
      </c>
      <c r="L26" s="467">
        <v>3800</v>
      </c>
      <c r="M26" s="468">
        <v>2020</v>
      </c>
      <c r="N26" s="460">
        <f t="shared" si="0"/>
        <v>2020</v>
      </c>
      <c r="O26" s="461" t="s">
        <v>862</v>
      </c>
      <c r="P26" s="461" t="s">
        <v>807</v>
      </c>
    </row>
    <row r="27" spans="1:20" s="462" customFormat="1" ht="20.100000000000001" customHeight="1">
      <c r="A27" s="1763" t="s">
        <v>863</v>
      </c>
      <c r="B27" s="1765"/>
      <c r="C27" s="471"/>
      <c r="D27" s="454" t="s">
        <v>30</v>
      </c>
      <c r="E27" s="455"/>
      <c r="F27" s="456"/>
      <c r="G27" s="455">
        <v>105</v>
      </c>
      <c r="H27" s="459">
        <v>4000</v>
      </c>
      <c r="I27" s="455"/>
      <c r="J27" s="473"/>
      <c r="K27" s="466">
        <v>82</v>
      </c>
      <c r="L27" s="467">
        <v>4000</v>
      </c>
      <c r="M27" s="468">
        <v>4000</v>
      </c>
      <c r="N27" s="460">
        <f t="shared" si="0"/>
        <v>4000</v>
      </c>
      <c r="O27" s="461" t="s">
        <v>864</v>
      </c>
      <c r="P27" s="461" t="s">
        <v>807</v>
      </c>
    </row>
    <row r="28" spans="1:20" s="462" customFormat="1" ht="20.100000000000001" customHeight="1">
      <c r="A28" s="1763" t="s">
        <v>865</v>
      </c>
      <c r="B28" s="1765"/>
      <c r="C28" s="471" t="s">
        <v>866</v>
      </c>
      <c r="D28" s="454" t="s">
        <v>30</v>
      </c>
      <c r="E28" s="455">
        <v>88</v>
      </c>
      <c r="F28" s="456">
        <v>2700</v>
      </c>
      <c r="G28" s="455">
        <v>105</v>
      </c>
      <c r="H28" s="459">
        <v>2500</v>
      </c>
      <c r="I28" s="455">
        <v>166</v>
      </c>
      <c r="J28" s="459">
        <v>1590</v>
      </c>
      <c r="K28" s="466">
        <v>82</v>
      </c>
      <c r="L28" s="467">
        <v>2500</v>
      </c>
      <c r="M28" s="468">
        <v>1925</v>
      </c>
      <c r="N28" s="460">
        <f t="shared" si="0"/>
        <v>1590</v>
      </c>
      <c r="O28" s="461" t="s">
        <v>867</v>
      </c>
      <c r="P28" s="461" t="s">
        <v>807</v>
      </c>
    </row>
    <row r="29" spans="1:20" s="482" customFormat="1" ht="20.100000000000001" customHeight="1">
      <c r="A29" s="1763" t="s">
        <v>868</v>
      </c>
      <c r="B29" s="1764"/>
      <c r="C29" s="481" t="s">
        <v>869</v>
      </c>
      <c r="D29" s="454" t="s">
        <v>30</v>
      </c>
      <c r="E29" s="455">
        <v>44</v>
      </c>
      <c r="F29" s="456">
        <v>363</v>
      </c>
      <c r="G29" s="455"/>
      <c r="H29" s="459"/>
      <c r="I29" s="455">
        <v>93</v>
      </c>
      <c r="J29" s="459">
        <v>410</v>
      </c>
      <c r="K29" s="466">
        <v>50</v>
      </c>
      <c r="L29" s="467">
        <v>367</v>
      </c>
      <c r="M29" s="468"/>
      <c r="N29" s="460">
        <f t="shared" si="0"/>
        <v>363</v>
      </c>
      <c r="O29" s="461"/>
      <c r="P29" s="461"/>
    </row>
    <row r="30" spans="1:20" s="462" customFormat="1" ht="20.100000000000001" customHeight="1">
      <c r="A30" s="1763" t="s">
        <v>870</v>
      </c>
      <c r="B30" s="1765"/>
      <c r="C30" s="471" t="s">
        <v>871</v>
      </c>
      <c r="D30" s="454" t="s">
        <v>30</v>
      </c>
      <c r="E30" s="455">
        <v>87</v>
      </c>
      <c r="F30" s="456">
        <v>25200</v>
      </c>
      <c r="G30" s="455">
        <v>107</v>
      </c>
      <c r="H30" s="459">
        <v>19300</v>
      </c>
      <c r="I30" s="455">
        <v>166</v>
      </c>
      <c r="J30" s="459">
        <v>21000</v>
      </c>
      <c r="K30" s="466">
        <v>84</v>
      </c>
      <c r="L30" s="467">
        <v>25450</v>
      </c>
      <c r="M30" s="468">
        <v>21500</v>
      </c>
      <c r="N30" s="460">
        <f t="shared" si="0"/>
        <v>19300</v>
      </c>
      <c r="O30" s="461" t="s">
        <v>872</v>
      </c>
      <c r="P30" s="461" t="s">
        <v>807</v>
      </c>
    </row>
    <row r="31" spans="1:20" s="462" customFormat="1" ht="20.100000000000001" customHeight="1">
      <c r="A31" s="1763" t="s">
        <v>870</v>
      </c>
      <c r="B31" s="1765"/>
      <c r="C31" s="471" t="s">
        <v>873</v>
      </c>
      <c r="D31" s="454" t="s">
        <v>30</v>
      </c>
      <c r="E31" s="455">
        <v>87</v>
      </c>
      <c r="F31" s="456">
        <v>27000</v>
      </c>
      <c r="G31" s="455">
        <v>107</v>
      </c>
      <c r="H31" s="459">
        <v>22100</v>
      </c>
      <c r="I31" s="455">
        <v>166</v>
      </c>
      <c r="J31" s="459">
        <v>24000</v>
      </c>
      <c r="K31" s="466">
        <v>84</v>
      </c>
      <c r="L31" s="467">
        <v>27270</v>
      </c>
      <c r="M31" s="468">
        <v>24500</v>
      </c>
      <c r="N31" s="460">
        <f t="shared" si="0"/>
        <v>22100</v>
      </c>
      <c r="O31" s="461" t="s">
        <v>872</v>
      </c>
      <c r="P31" s="461" t="s">
        <v>807</v>
      </c>
    </row>
    <row r="32" spans="1:20" s="462" customFormat="1" ht="20.100000000000001" customHeight="1">
      <c r="A32" s="1763" t="s">
        <v>870</v>
      </c>
      <c r="B32" s="1765"/>
      <c r="C32" s="471" t="s">
        <v>874</v>
      </c>
      <c r="D32" s="454" t="s">
        <v>30</v>
      </c>
      <c r="E32" s="455">
        <v>87</v>
      </c>
      <c r="F32" s="456">
        <v>33000</v>
      </c>
      <c r="G32" s="455">
        <v>107</v>
      </c>
      <c r="H32" s="459">
        <v>28500</v>
      </c>
      <c r="I32" s="455">
        <v>166</v>
      </c>
      <c r="J32" s="459">
        <v>29000</v>
      </c>
      <c r="K32" s="466">
        <v>84</v>
      </c>
      <c r="L32" s="467">
        <v>33330</v>
      </c>
      <c r="M32" s="468">
        <v>31500</v>
      </c>
      <c r="N32" s="460">
        <f t="shared" si="0"/>
        <v>28500</v>
      </c>
      <c r="O32" s="461" t="s">
        <v>872</v>
      </c>
      <c r="P32" s="461" t="s">
        <v>807</v>
      </c>
    </row>
    <row r="33" spans="1:20" s="462" customFormat="1" ht="20.100000000000001" customHeight="1">
      <c r="A33" s="1763" t="s">
        <v>875</v>
      </c>
      <c r="B33" s="1765"/>
      <c r="C33" s="471" t="s">
        <v>876</v>
      </c>
      <c r="D33" s="454" t="s">
        <v>810</v>
      </c>
      <c r="E33" s="455"/>
      <c r="F33" s="455"/>
      <c r="G33" s="455"/>
      <c r="H33" s="459"/>
      <c r="I33" s="455"/>
      <c r="J33" s="473"/>
      <c r="K33" s="466"/>
      <c r="L33" s="467"/>
      <c r="M33" s="468">
        <v>24000</v>
      </c>
      <c r="N33" s="460">
        <f t="shared" si="0"/>
        <v>24000</v>
      </c>
      <c r="O33" s="461" t="s">
        <v>877</v>
      </c>
      <c r="P33" s="461" t="s">
        <v>807</v>
      </c>
    </row>
    <row r="34" spans="1:20" s="462" customFormat="1" ht="20.100000000000001" customHeight="1">
      <c r="A34" s="1763" t="s">
        <v>878</v>
      </c>
      <c r="B34" s="1765"/>
      <c r="C34" s="471" t="s">
        <v>879</v>
      </c>
      <c r="D34" s="454" t="s">
        <v>880</v>
      </c>
      <c r="E34" s="455"/>
      <c r="F34" s="456"/>
      <c r="G34" s="455">
        <v>111</v>
      </c>
      <c r="H34" s="459">
        <f>250000/200</f>
        <v>1250</v>
      </c>
      <c r="I34" s="455"/>
      <c r="J34" s="473"/>
      <c r="K34" s="466">
        <v>85</v>
      </c>
      <c r="L34" s="467">
        <v>1250</v>
      </c>
      <c r="M34" s="468">
        <v>1250</v>
      </c>
      <c r="N34" s="460">
        <f t="shared" si="0"/>
        <v>1250</v>
      </c>
      <c r="O34" s="461" t="s">
        <v>881</v>
      </c>
      <c r="P34" s="461" t="s">
        <v>807</v>
      </c>
    </row>
    <row r="35" spans="1:20" s="462" customFormat="1" ht="20.100000000000001" customHeight="1">
      <c r="A35" s="1763" t="s">
        <v>878</v>
      </c>
      <c r="B35" s="1765"/>
      <c r="C35" s="471" t="s">
        <v>882</v>
      </c>
      <c r="D35" s="454" t="s">
        <v>801</v>
      </c>
      <c r="E35" s="455"/>
      <c r="F35" s="456"/>
      <c r="G35" s="455">
        <v>111</v>
      </c>
      <c r="H35" s="459">
        <f>300000/200</f>
        <v>1500</v>
      </c>
      <c r="I35" s="455"/>
      <c r="J35" s="473"/>
      <c r="K35" s="466">
        <v>85</v>
      </c>
      <c r="L35" s="467">
        <v>1500</v>
      </c>
      <c r="M35" s="468">
        <v>1500</v>
      </c>
      <c r="N35" s="460">
        <f t="shared" si="0"/>
        <v>1500</v>
      </c>
      <c r="O35" s="461" t="s">
        <v>881</v>
      </c>
      <c r="P35" s="461" t="s">
        <v>807</v>
      </c>
    </row>
    <row r="36" spans="1:20" s="486" customFormat="1" ht="20.100000000000001" customHeight="1">
      <c r="A36" s="1763" t="s">
        <v>883</v>
      </c>
      <c r="B36" s="1765"/>
      <c r="C36" s="471" t="s">
        <v>884</v>
      </c>
      <c r="D36" s="454" t="s">
        <v>45</v>
      </c>
      <c r="E36" s="455"/>
      <c r="F36" s="456"/>
      <c r="G36" s="483"/>
      <c r="H36" s="458"/>
      <c r="I36" s="484"/>
      <c r="J36" s="485"/>
      <c r="K36" s="466"/>
      <c r="L36" s="467"/>
      <c r="M36" s="468"/>
      <c r="N36" s="460">
        <f t="shared" si="0"/>
        <v>0</v>
      </c>
      <c r="O36" s="461"/>
      <c r="P36" s="461"/>
    </row>
    <row r="37" spans="1:20" s="486" customFormat="1" ht="20.100000000000001" customHeight="1">
      <c r="A37" s="1763" t="s">
        <v>883</v>
      </c>
      <c r="B37" s="1765"/>
      <c r="C37" s="471" t="s">
        <v>885</v>
      </c>
      <c r="D37" s="454" t="s">
        <v>45</v>
      </c>
      <c r="E37" s="455"/>
      <c r="F37" s="456"/>
      <c r="G37" s="483"/>
      <c r="H37" s="458"/>
      <c r="I37" s="484"/>
      <c r="J37" s="485"/>
      <c r="K37" s="466"/>
      <c r="L37" s="467"/>
      <c r="M37" s="468"/>
      <c r="N37" s="460">
        <f t="shared" si="0"/>
        <v>0</v>
      </c>
      <c r="O37" s="461"/>
      <c r="P37" s="461">
        <f>250000/200</f>
        <v>1250</v>
      </c>
    </row>
    <row r="38" spans="1:20" s="486" customFormat="1" ht="20.100000000000001" customHeight="1">
      <c r="A38" s="1763" t="s">
        <v>883</v>
      </c>
      <c r="B38" s="1765"/>
      <c r="C38" s="471" t="s">
        <v>886</v>
      </c>
      <c r="D38" s="454" t="s">
        <v>45</v>
      </c>
      <c r="E38" s="455"/>
      <c r="F38" s="456"/>
      <c r="G38" s="483"/>
      <c r="H38" s="458"/>
      <c r="I38" s="484"/>
      <c r="J38" s="485"/>
      <c r="K38" s="466"/>
      <c r="L38" s="467"/>
      <c r="M38" s="468"/>
      <c r="N38" s="460">
        <f t="shared" si="0"/>
        <v>0</v>
      </c>
      <c r="O38" s="461"/>
      <c r="P38" s="461"/>
    </row>
    <row r="39" spans="1:20" s="486" customFormat="1" ht="20.100000000000001" customHeight="1">
      <c r="A39" s="1763" t="s">
        <v>887</v>
      </c>
      <c r="B39" s="1765"/>
      <c r="C39" s="471" t="s">
        <v>888</v>
      </c>
      <c r="D39" s="454" t="s">
        <v>45</v>
      </c>
      <c r="E39" s="455"/>
      <c r="F39" s="456"/>
      <c r="G39" s="483"/>
      <c r="H39" s="458"/>
      <c r="I39" s="484"/>
      <c r="J39" s="485"/>
      <c r="K39" s="466"/>
      <c r="L39" s="467"/>
      <c r="M39" s="468"/>
      <c r="N39" s="460">
        <f t="shared" si="0"/>
        <v>0</v>
      </c>
      <c r="O39" s="461"/>
      <c r="P39" s="461"/>
    </row>
    <row r="40" spans="1:20" s="486" customFormat="1" ht="20.100000000000001" customHeight="1">
      <c r="A40" s="1763" t="s">
        <v>887</v>
      </c>
      <c r="B40" s="1765"/>
      <c r="C40" s="471" t="s">
        <v>889</v>
      </c>
      <c r="D40" s="454" t="s">
        <v>45</v>
      </c>
      <c r="E40" s="455"/>
      <c r="F40" s="456"/>
      <c r="G40" s="483"/>
      <c r="H40" s="458"/>
      <c r="I40" s="484"/>
      <c r="J40" s="485"/>
      <c r="K40" s="466"/>
      <c r="L40" s="467"/>
      <c r="M40" s="468"/>
      <c r="N40" s="460">
        <f t="shared" si="0"/>
        <v>0</v>
      </c>
      <c r="O40" s="461"/>
      <c r="P40" s="461"/>
    </row>
    <row r="41" spans="1:20" s="486" customFormat="1" ht="20.100000000000001" customHeight="1">
      <c r="A41" s="1763" t="s">
        <v>887</v>
      </c>
      <c r="B41" s="1765"/>
      <c r="C41" s="471" t="s">
        <v>890</v>
      </c>
      <c r="D41" s="454" t="s">
        <v>45</v>
      </c>
      <c r="E41" s="455"/>
      <c r="F41" s="456"/>
      <c r="G41" s="483"/>
      <c r="H41" s="458"/>
      <c r="I41" s="484"/>
      <c r="J41" s="485"/>
      <c r="K41" s="466"/>
      <c r="L41" s="467"/>
      <c r="M41" s="468"/>
      <c r="N41" s="460">
        <f t="shared" si="0"/>
        <v>0</v>
      </c>
      <c r="O41" s="461"/>
      <c r="P41" s="461"/>
    </row>
    <row r="42" spans="1:20" s="486" customFormat="1" ht="20.100000000000001" customHeight="1">
      <c r="A42" s="1763" t="s">
        <v>891</v>
      </c>
      <c r="B42" s="1765"/>
      <c r="C42" s="471" t="s">
        <v>884</v>
      </c>
      <c r="D42" s="454" t="s">
        <v>45</v>
      </c>
      <c r="E42" s="455"/>
      <c r="F42" s="456"/>
      <c r="G42" s="483"/>
      <c r="H42" s="458"/>
      <c r="I42" s="484"/>
      <c r="J42" s="485"/>
      <c r="K42" s="466"/>
      <c r="L42" s="467"/>
      <c r="M42" s="468"/>
      <c r="N42" s="460">
        <f t="shared" si="0"/>
        <v>0</v>
      </c>
      <c r="O42" s="461"/>
      <c r="P42" s="461"/>
    </row>
    <row r="43" spans="1:20" s="486" customFormat="1" ht="20.100000000000001" customHeight="1">
      <c r="A43" s="1763" t="s">
        <v>891</v>
      </c>
      <c r="B43" s="1765"/>
      <c r="C43" s="471" t="s">
        <v>885</v>
      </c>
      <c r="D43" s="454" t="s">
        <v>45</v>
      </c>
      <c r="E43" s="455"/>
      <c r="F43" s="456"/>
      <c r="G43" s="483"/>
      <c r="H43" s="458"/>
      <c r="I43" s="484"/>
      <c r="J43" s="485"/>
      <c r="K43" s="466"/>
      <c r="L43" s="467"/>
      <c r="M43" s="468"/>
      <c r="N43" s="460">
        <f t="shared" si="0"/>
        <v>0</v>
      </c>
      <c r="O43" s="461"/>
      <c r="P43" s="461"/>
    </row>
    <row r="44" spans="1:20" s="486" customFormat="1" ht="20.100000000000001" customHeight="1">
      <c r="A44" s="1763" t="s">
        <v>891</v>
      </c>
      <c r="B44" s="1765"/>
      <c r="C44" s="471" t="s">
        <v>886</v>
      </c>
      <c r="D44" s="454" t="s">
        <v>45</v>
      </c>
      <c r="E44" s="455"/>
      <c r="F44" s="456"/>
      <c r="G44" s="483"/>
      <c r="H44" s="458"/>
      <c r="I44" s="484"/>
      <c r="J44" s="485"/>
      <c r="K44" s="466"/>
      <c r="L44" s="467"/>
      <c r="M44" s="468"/>
      <c r="N44" s="460">
        <f t="shared" si="0"/>
        <v>0</v>
      </c>
      <c r="O44" s="461"/>
      <c r="P44" s="461"/>
    </row>
    <row r="45" spans="1:20" s="462" customFormat="1" ht="20.100000000000001" customHeight="1">
      <c r="A45" s="1763" t="s">
        <v>892</v>
      </c>
      <c r="B45" s="1765"/>
      <c r="C45" s="471" t="s">
        <v>893</v>
      </c>
      <c r="D45" s="454" t="s">
        <v>30</v>
      </c>
      <c r="E45" s="455"/>
      <c r="F45" s="456"/>
      <c r="G45" s="455">
        <v>110</v>
      </c>
      <c r="H45" s="459">
        <v>60</v>
      </c>
      <c r="I45" s="484">
        <v>174</v>
      </c>
      <c r="J45" s="467">
        <v>70</v>
      </c>
      <c r="K45" s="487">
        <v>86</v>
      </c>
      <c r="L45" s="467">
        <v>60</v>
      </c>
      <c r="M45" s="468">
        <v>60</v>
      </c>
      <c r="N45" s="460">
        <f t="shared" si="0"/>
        <v>60</v>
      </c>
      <c r="O45" s="461" t="s">
        <v>894</v>
      </c>
      <c r="P45" s="461" t="s">
        <v>807</v>
      </c>
    </row>
    <row r="46" spans="1:20" s="462" customFormat="1" ht="20.100000000000001" customHeight="1">
      <c r="A46" s="1763" t="s">
        <v>895</v>
      </c>
      <c r="B46" s="1765"/>
      <c r="C46" s="471" t="s">
        <v>896</v>
      </c>
      <c r="D46" s="454" t="s">
        <v>30</v>
      </c>
      <c r="E46" s="455"/>
      <c r="F46" s="456"/>
      <c r="G46" s="455">
        <v>110</v>
      </c>
      <c r="H46" s="459">
        <v>140</v>
      </c>
      <c r="I46" s="484">
        <v>174</v>
      </c>
      <c r="J46" s="459">
        <v>370</v>
      </c>
      <c r="K46" s="487">
        <v>86</v>
      </c>
      <c r="L46" s="467">
        <v>140</v>
      </c>
      <c r="M46" s="468">
        <v>140</v>
      </c>
      <c r="N46" s="460">
        <f t="shared" si="0"/>
        <v>140</v>
      </c>
      <c r="O46" s="461" t="s">
        <v>897</v>
      </c>
      <c r="P46" s="461" t="s">
        <v>807</v>
      </c>
    </row>
    <row r="47" spans="1:20" s="462" customFormat="1" ht="20.100000000000001" customHeight="1">
      <c r="A47" s="1763" t="s">
        <v>898</v>
      </c>
      <c r="B47" s="1765"/>
      <c r="C47" s="471" t="s">
        <v>899</v>
      </c>
      <c r="D47" s="454" t="s">
        <v>30</v>
      </c>
      <c r="E47" s="455"/>
      <c r="F47" s="456"/>
      <c r="G47" s="455"/>
      <c r="H47" s="459"/>
      <c r="I47" s="455"/>
      <c r="J47" s="473"/>
      <c r="K47" s="466"/>
      <c r="L47" s="467"/>
      <c r="M47" s="475"/>
      <c r="N47" s="460">
        <f t="shared" si="0"/>
        <v>0</v>
      </c>
      <c r="O47" s="461"/>
      <c r="P47" s="461"/>
    </row>
    <row r="48" spans="1:20" s="462" customFormat="1" ht="19.5" customHeight="1">
      <c r="A48" s="1763" t="s">
        <v>900</v>
      </c>
      <c r="B48" s="1765"/>
      <c r="C48" s="464" t="s">
        <v>901</v>
      </c>
      <c r="D48" s="454" t="s">
        <v>645</v>
      </c>
      <c r="E48" s="455">
        <v>90</v>
      </c>
      <c r="F48" s="456">
        <v>5430</v>
      </c>
      <c r="G48" s="455">
        <v>109</v>
      </c>
      <c r="H48" s="459">
        <f>INT(5320/1.22)</f>
        <v>4360</v>
      </c>
      <c r="I48" s="455"/>
      <c r="J48" s="473"/>
      <c r="K48" s="466">
        <v>84</v>
      </c>
      <c r="L48" s="467">
        <v>3840</v>
      </c>
      <c r="M48" s="475"/>
      <c r="N48" s="460">
        <f t="shared" si="0"/>
        <v>3840</v>
      </c>
      <c r="O48" s="461"/>
      <c r="P48" s="461"/>
      <c r="R48" s="462">
        <f>5430/1.22</f>
        <v>4450.8196721311479</v>
      </c>
      <c r="S48" s="462">
        <f>5790/1.22</f>
        <v>4745.9016393442625</v>
      </c>
      <c r="T48" s="462">
        <f>4980/1.1</f>
        <v>4527.272727272727</v>
      </c>
    </row>
    <row r="49" spans="1:16" s="462" customFormat="1" ht="20.100000000000001" customHeight="1">
      <c r="A49" s="1763" t="s">
        <v>902</v>
      </c>
      <c r="B49" s="1765"/>
      <c r="C49" s="471" t="s">
        <v>903</v>
      </c>
      <c r="D49" s="454" t="s">
        <v>904</v>
      </c>
      <c r="E49" s="455">
        <v>116</v>
      </c>
      <c r="F49" s="456">
        <v>1250</v>
      </c>
      <c r="G49" s="455">
        <v>297</v>
      </c>
      <c r="H49" s="459">
        <v>1590</v>
      </c>
      <c r="I49" s="455">
        <v>385</v>
      </c>
      <c r="J49" s="459">
        <v>2000</v>
      </c>
      <c r="K49" s="466">
        <v>125</v>
      </c>
      <c r="L49" s="467">
        <v>1350</v>
      </c>
      <c r="M49" s="468"/>
      <c r="N49" s="460">
        <f t="shared" si="0"/>
        <v>1250</v>
      </c>
      <c r="O49" s="461"/>
      <c r="P49" s="461"/>
    </row>
    <row r="50" spans="1:16" s="462" customFormat="1" ht="20.100000000000001" customHeight="1">
      <c r="A50" s="1763" t="s">
        <v>905</v>
      </c>
      <c r="B50" s="1765"/>
      <c r="C50" s="471" t="s">
        <v>906</v>
      </c>
      <c r="D50" s="454" t="s">
        <v>801</v>
      </c>
      <c r="E50" s="455">
        <v>178</v>
      </c>
      <c r="F50" s="456">
        <v>1600</v>
      </c>
      <c r="G50" s="455">
        <v>116</v>
      </c>
      <c r="H50" s="459">
        <f>320000/200</f>
        <v>1600</v>
      </c>
      <c r="I50" s="455">
        <v>177</v>
      </c>
      <c r="J50" s="459">
        <f>380000/200</f>
        <v>1900</v>
      </c>
      <c r="K50" s="466">
        <v>178</v>
      </c>
      <c r="L50" s="467">
        <v>1491</v>
      </c>
      <c r="M50" s="468">
        <v>1335</v>
      </c>
      <c r="N50" s="460">
        <f t="shared" si="0"/>
        <v>1335</v>
      </c>
      <c r="O50" s="461" t="s">
        <v>907</v>
      </c>
      <c r="P50" s="461" t="s">
        <v>908</v>
      </c>
    </row>
    <row r="51" spans="1:16" s="462" customFormat="1" ht="20.100000000000001" customHeight="1">
      <c r="A51" s="1763" t="s">
        <v>909</v>
      </c>
      <c r="B51" s="1765"/>
      <c r="C51" s="471" t="s">
        <v>910</v>
      </c>
      <c r="D51" s="454" t="s">
        <v>880</v>
      </c>
      <c r="E51" s="455">
        <v>178</v>
      </c>
      <c r="F51" s="456">
        <v>900</v>
      </c>
      <c r="G51" s="455">
        <v>114</v>
      </c>
      <c r="H51" s="459">
        <f>230000/200</f>
        <v>1150</v>
      </c>
      <c r="I51" s="455">
        <v>177</v>
      </c>
      <c r="J51" s="459">
        <f>230000/200</f>
        <v>1150</v>
      </c>
      <c r="K51" s="466">
        <v>178</v>
      </c>
      <c r="L51" s="467">
        <v>842</v>
      </c>
      <c r="M51" s="468">
        <v>750</v>
      </c>
      <c r="N51" s="460">
        <f t="shared" si="0"/>
        <v>750</v>
      </c>
      <c r="O51" s="461" t="s">
        <v>911</v>
      </c>
      <c r="P51" s="461" t="s">
        <v>912</v>
      </c>
    </row>
    <row r="52" spans="1:16" s="462" customFormat="1" ht="20.100000000000001" customHeight="1">
      <c r="A52" s="1763" t="s">
        <v>913</v>
      </c>
      <c r="B52" s="1764"/>
      <c r="C52" s="471" t="s">
        <v>914</v>
      </c>
      <c r="D52" s="454" t="s">
        <v>915</v>
      </c>
      <c r="E52" s="455">
        <v>172</v>
      </c>
      <c r="F52" s="456">
        <v>83120</v>
      </c>
      <c r="G52" s="455">
        <v>114</v>
      </c>
      <c r="H52" s="459">
        <v>77000</v>
      </c>
      <c r="I52" s="455">
        <v>177</v>
      </c>
      <c r="J52" s="459">
        <v>75790</v>
      </c>
      <c r="K52" s="466">
        <v>178</v>
      </c>
      <c r="L52" s="467">
        <v>77700</v>
      </c>
      <c r="M52" s="468"/>
      <c r="N52" s="460">
        <f t="shared" si="0"/>
        <v>75790</v>
      </c>
      <c r="O52" s="461"/>
      <c r="P52" s="461"/>
    </row>
    <row r="53" spans="1:16" s="462" customFormat="1" ht="20.100000000000001" customHeight="1">
      <c r="A53" s="1763" t="s">
        <v>916</v>
      </c>
      <c r="B53" s="1764"/>
      <c r="C53" s="471"/>
      <c r="D53" s="454" t="s">
        <v>297</v>
      </c>
      <c r="E53" s="455">
        <v>186</v>
      </c>
      <c r="F53" s="456">
        <v>8190</v>
      </c>
      <c r="G53" s="455">
        <v>300</v>
      </c>
      <c r="H53" s="459">
        <v>5800</v>
      </c>
      <c r="I53" s="455"/>
      <c r="J53" s="473"/>
      <c r="K53" s="466"/>
      <c r="L53" s="467"/>
      <c r="M53" s="468"/>
      <c r="N53" s="460">
        <f t="shared" si="0"/>
        <v>5800</v>
      </c>
      <c r="O53" s="461">
        <f>266950/200</f>
        <v>1334.75</v>
      </c>
      <c r="P53" s="461"/>
    </row>
    <row r="54" spans="1:16" s="462" customFormat="1" ht="20.100000000000001" customHeight="1">
      <c r="A54" s="1763" t="s">
        <v>917</v>
      </c>
      <c r="B54" s="1765"/>
      <c r="C54" s="471"/>
      <c r="D54" s="454" t="s">
        <v>297</v>
      </c>
      <c r="E54" s="455">
        <v>185</v>
      </c>
      <c r="F54" s="456">
        <v>900</v>
      </c>
      <c r="G54" s="455"/>
      <c r="H54" s="459"/>
      <c r="I54" s="455">
        <v>189</v>
      </c>
      <c r="J54" s="459">
        <v>1000</v>
      </c>
      <c r="K54" s="466"/>
      <c r="L54" s="467"/>
      <c r="M54" s="475"/>
      <c r="N54" s="460">
        <f t="shared" si="0"/>
        <v>900</v>
      </c>
      <c r="O54" s="461">
        <f>150100/200</f>
        <v>750.5</v>
      </c>
      <c r="P54" s="461"/>
    </row>
    <row r="55" spans="1:16" s="462" customFormat="1" ht="20.100000000000001" customHeight="1">
      <c r="A55" s="1763" t="s">
        <v>918</v>
      </c>
      <c r="B55" s="1765"/>
      <c r="C55" s="471" t="s">
        <v>919</v>
      </c>
      <c r="D55" s="454" t="s">
        <v>30</v>
      </c>
      <c r="E55" s="455">
        <v>188</v>
      </c>
      <c r="F55" s="456">
        <v>4200</v>
      </c>
      <c r="G55" s="455">
        <v>140</v>
      </c>
      <c r="H55" s="459">
        <v>4800</v>
      </c>
      <c r="I55" s="479">
        <v>209</v>
      </c>
      <c r="J55" s="478">
        <v>7800</v>
      </c>
      <c r="K55" s="466">
        <v>190</v>
      </c>
      <c r="L55" s="467">
        <v>4800</v>
      </c>
      <c r="M55" s="475"/>
      <c r="N55" s="460">
        <f t="shared" si="0"/>
        <v>4200</v>
      </c>
      <c r="O55" s="461"/>
      <c r="P55" s="461"/>
    </row>
    <row r="56" spans="1:16" s="462" customFormat="1" ht="20.100000000000001" customHeight="1">
      <c r="A56" s="1763" t="s">
        <v>918</v>
      </c>
      <c r="B56" s="1765"/>
      <c r="C56" s="471" t="s">
        <v>920</v>
      </c>
      <c r="D56" s="454" t="s">
        <v>45</v>
      </c>
      <c r="E56" s="455">
        <v>188</v>
      </c>
      <c r="F56" s="456">
        <v>5300</v>
      </c>
      <c r="G56" s="455">
        <v>140</v>
      </c>
      <c r="H56" s="459">
        <v>5500</v>
      </c>
      <c r="I56" s="479">
        <v>209</v>
      </c>
      <c r="J56" s="478">
        <v>8200</v>
      </c>
      <c r="K56" s="466">
        <v>190</v>
      </c>
      <c r="L56" s="467">
        <v>5300</v>
      </c>
      <c r="M56" s="475"/>
      <c r="N56" s="460">
        <f t="shared" si="0"/>
        <v>5300</v>
      </c>
      <c r="O56" s="461"/>
      <c r="P56" s="461"/>
    </row>
    <row r="57" spans="1:16" s="462" customFormat="1" ht="20.100000000000001" customHeight="1">
      <c r="A57" s="1763" t="s">
        <v>921</v>
      </c>
      <c r="B57" s="1765"/>
      <c r="C57" s="471" t="s">
        <v>922</v>
      </c>
      <c r="D57" s="454" t="s">
        <v>30</v>
      </c>
      <c r="E57" s="455">
        <v>188</v>
      </c>
      <c r="F57" s="456">
        <v>7400</v>
      </c>
      <c r="G57" s="455">
        <v>140</v>
      </c>
      <c r="H57" s="459">
        <v>8600</v>
      </c>
      <c r="I57" s="479">
        <v>209</v>
      </c>
      <c r="J57" s="478">
        <v>12000</v>
      </c>
      <c r="K57" s="466">
        <v>190</v>
      </c>
      <c r="L57" s="467">
        <v>8700</v>
      </c>
      <c r="M57" s="475"/>
      <c r="N57" s="460">
        <f t="shared" si="0"/>
        <v>7400</v>
      </c>
      <c r="O57" s="461"/>
      <c r="P57" s="461"/>
    </row>
    <row r="58" spans="1:16" s="462" customFormat="1" ht="20.100000000000001" customHeight="1">
      <c r="A58" s="1763" t="s">
        <v>921</v>
      </c>
      <c r="B58" s="1765"/>
      <c r="C58" s="471" t="s">
        <v>923</v>
      </c>
      <c r="D58" s="454" t="s">
        <v>30</v>
      </c>
      <c r="E58" s="455">
        <v>188</v>
      </c>
      <c r="F58" s="456">
        <v>9500</v>
      </c>
      <c r="G58" s="455">
        <v>140</v>
      </c>
      <c r="H58" s="459">
        <v>9500</v>
      </c>
      <c r="I58" s="479">
        <v>209</v>
      </c>
      <c r="J58" s="478">
        <v>15000</v>
      </c>
      <c r="K58" s="466">
        <v>190</v>
      </c>
      <c r="L58" s="467">
        <v>9600</v>
      </c>
      <c r="M58" s="475"/>
      <c r="N58" s="460">
        <f t="shared" si="0"/>
        <v>9500</v>
      </c>
      <c r="O58" s="461"/>
      <c r="P58" s="461"/>
    </row>
    <row r="59" spans="1:16" s="462" customFormat="1" ht="19.5" customHeight="1">
      <c r="A59" s="1763" t="s">
        <v>924</v>
      </c>
      <c r="B59" s="1765"/>
      <c r="C59" s="471" t="s">
        <v>925</v>
      </c>
      <c r="D59" s="454" t="s">
        <v>30</v>
      </c>
      <c r="E59" s="455">
        <v>196</v>
      </c>
      <c r="F59" s="456">
        <v>3500</v>
      </c>
      <c r="G59" s="455">
        <v>144</v>
      </c>
      <c r="H59" s="459">
        <v>6000</v>
      </c>
      <c r="I59" s="455"/>
      <c r="J59" s="473"/>
      <c r="K59" s="466">
        <v>194</v>
      </c>
      <c r="L59" s="467">
        <v>8000</v>
      </c>
      <c r="M59" s="475"/>
      <c r="N59" s="460">
        <f t="shared" si="0"/>
        <v>3500</v>
      </c>
      <c r="O59" s="461">
        <v>0.3</v>
      </c>
      <c r="P59" s="461">
        <v>0.3</v>
      </c>
    </row>
    <row r="60" spans="1:16" s="462" customFormat="1" ht="19.5" customHeight="1">
      <c r="A60" s="1763" t="s">
        <v>924</v>
      </c>
      <c r="B60" s="1764"/>
      <c r="C60" s="471" t="s">
        <v>926</v>
      </c>
      <c r="D60" s="454" t="s">
        <v>645</v>
      </c>
      <c r="E60" s="455"/>
      <c r="F60" s="456"/>
      <c r="G60" s="455">
        <v>146</v>
      </c>
      <c r="H60" s="459">
        <f>INT(7000/(0.3*0.3))</f>
        <v>77777</v>
      </c>
      <c r="I60" s="455"/>
      <c r="J60" s="473"/>
      <c r="K60" s="466"/>
      <c r="L60" s="467"/>
      <c r="M60" s="475"/>
      <c r="N60" s="460">
        <f t="shared" si="0"/>
        <v>77777</v>
      </c>
      <c r="O60" s="461">
        <f>O59*P59</f>
        <v>0.09</v>
      </c>
      <c r="P60" s="461"/>
    </row>
    <row r="61" spans="1:16" s="462" customFormat="1" ht="19.5" customHeight="1">
      <c r="A61" s="1763" t="s">
        <v>927</v>
      </c>
      <c r="B61" s="1764"/>
      <c r="C61" s="464" t="s">
        <v>928</v>
      </c>
      <c r="D61" s="454" t="s">
        <v>45</v>
      </c>
      <c r="E61" s="455"/>
      <c r="F61" s="456"/>
      <c r="G61" s="455">
        <v>170</v>
      </c>
      <c r="H61" s="459">
        <v>15000</v>
      </c>
      <c r="I61" s="455"/>
      <c r="J61" s="473"/>
      <c r="K61" s="466"/>
      <c r="L61" s="467"/>
      <c r="M61" s="468"/>
      <c r="N61" s="460">
        <f t="shared" si="0"/>
        <v>15000</v>
      </c>
      <c r="O61" s="461"/>
      <c r="P61" s="461">
        <f>O60/O62</f>
        <v>0.09</v>
      </c>
    </row>
    <row r="62" spans="1:16" s="462" customFormat="1" ht="20.100000000000001" customHeight="1">
      <c r="A62" s="1763" t="s">
        <v>929</v>
      </c>
      <c r="B62" s="1765"/>
      <c r="C62" s="471"/>
      <c r="D62" s="454" t="s">
        <v>645</v>
      </c>
      <c r="E62" s="455"/>
      <c r="F62" s="456"/>
      <c r="G62" s="455"/>
      <c r="H62" s="459"/>
      <c r="I62" s="455">
        <v>244</v>
      </c>
      <c r="J62" s="459">
        <v>30000</v>
      </c>
      <c r="K62" s="466"/>
      <c r="L62" s="467"/>
      <c r="M62" s="468"/>
      <c r="N62" s="460">
        <f t="shared" si="0"/>
        <v>30000</v>
      </c>
      <c r="O62" s="461">
        <v>1</v>
      </c>
      <c r="P62" s="461"/>
    </row>
    <row r="63" spans="1:16" s="462" customFormat="1" ht="20.100000000000001" customHeight="1">
      <c r="A63" s="1763" t="s">
        <v>930</v>
      </c>
      <c r="B63" s="1765"/>
      <c r="C63" s="471" t="s">
        <v>931</v>
      </c>
      <c r="D63" s="454" t="s">
        <v>45</v>
      </c>
      <c r="E63" s="455"/>
      <c r="F63" s="456"/>
      <c r="G63" s="455">
        <v>167</v>
      </c>
      <c r="H63" s="459">
        <v>16000</v>
      </c>
      <c r="I63" s="455"/>
      <c r="J63" s="473"/>
      <c r="K63" s="466"/>
      <c r="L63" s="467"/>
      <c r="M63" s="468"/>
      <c r="N63" s="460">
        <f t="shared" si="0"/>
        <v>16000</v>
      </c>
      <c r="O63" s="461"/>
      <c r="P63" s="461"/>
    </row>
    <row r="64" spans="1:16" s="462" customFormat="1" ht="20.100000000000001" customHeight="1">
      <c r="A64" s="1763" t="s">
        <v>932</v>
      </c>
      <c r="B64" s="1765"/>
      <c r="C64" s="471" t="s">
        <v>933</v>
      </c>
      <c r="D64" s="454" t="s">
        <v>272</v>
      </c>
      <c r="E64" s="455"/>
      <c r="F64" s="456"/>
      <c r="G64" s="455">
        <v>165</v>
      </c>
      <c r="H64" s="459">
        <f>15000/10</f>
        <v>1500</v>
      </c>
      <c r="I64" s="455"/>
      <c r="J64" s="473"/>
      <c r="K64" s="466"/>
      <c r="L64" s="467"/>
      <c r="M64" s="468"/>
      <c r="N64" s="460">
        <f t="shared" si="0"/>
        <v>1500</v>
      </c>
      <c r="O64" s="461"/>
      <c r="P64" s="461"/>
    </row>
    <row r="65" spans="1:16" s="462" customFormat="1" ht="20.100000000000001" customHeight="1">
      <c r="A65" s="1763" t="s">
        <v>934</v>
      </c>
      <c r="B65" s="1764"/>
      <c r="C65" s="471" t="s">
        <v>935</v>
      </c>
      <c r="D65" s="454" t="s">
        <v>30</v>
      </c>
      <c r="E65" s="455"/>
      <c r="F65" s="456"/>
      <c r="G65" s="455"/>
      <c r="H65" s="459"/>
      <c r="I65" s="455"/>
      <c r="J65" s="473"/>
      <c r="K65" s="466"/>
      <c r="L65" s="467"/>
      <c r="M65" s="468">
        <v>385</v>
      </c>
      <c r="N65" s="460">
        <f t="shared" si="0"/>
        <v>385</v>
      </c>
      <c r="O65" s="461" t="s">
        <v>936</v>
      </c>
      <c r="P65" s="461"/>
    </row>
    <row r="66" spans="1:16" s="462" customFormat="1" ht="20.100000000000001" customHeight="1">
      <c r="A66" s="1763" t="s">
        <v>937</v>
      </c>
      <c r="B66" s="1764"/>
      <c r="C66" s="471" t="s">
        <v>938</v>
      </c>
      <c r="D66" s="454" t="s">
        <v>880</v>
      </c>
      <c r="E66" s="455">
        <v>231</v>
      </c>
      <c r="F66" s="456">
        <v>8800</v>
      </c>
      <c r="G66" s="455">
        <v>597</v>
      </c>
      <c r="H66" s="459">
        <f>INT(166400/18)</f>
        <v>9244</v>
      </c>
      <c r="I66" s="479">
        <v>244</v>
      </c>
      <c r="J66" s="478">
        <v>8800</v>
      </c>
      <c r="K66" s="466"/>
      <c r="L66" s="467"/>
      <c r="M66" s="468">
        <v>4949</v>
      </c>
      <c r="N66" s="460">
        <f t="shared" si="0"/>
        <v>4949</v>
      </c>
      <c r="O66" s="461" t="s">
        <v>939</v>
      </c>
      <c r="P66" s="461" t="s">
        <v>807</v>
      </c>
    </row>
    <row r="67" spans="1:16" s="462" customFormat="1" ht="19.5" customHeight="1">
      <c r="A67" s="1763" t="s">
        <v>937</v>
      </c>
      <c r="B67" s="1764"/>
      <c r="C67" s="471" t="s">
        <v>940</v>
      </c>
      <c r="D67" s="454" t="s">
        <v>880</v>
      </c>
      <c r="E67" s="455">
        <v>231</v>
      </c>
      <c r="F67" s="456">
        <v>9650</v>
      </c>
      <c r="G67" s="455">
        <v>597</v>
      </c>
      <c r="H67" s="459">
        <f>INT(180600/18)</f>
        <v>10033</v>
      </c>
      <c r="I67" s="479">
        <v>244</v>
      </c>
      <c r="J67" s="478">
        <v>9650</v>
      </c>
      <c r="K67" s="466"/>
      <c r="L67" s="467"/>
      <c r="M67" s="468"/>
      <c r="N67" s="460">
        <f t="shared" si="0"/>
        <v>9650</v>
      </c>
      <c r="O67" s="461"/>
      <c r="P67" s="461"/>
    </row>
    <row r="68" spans="1:16" s="462" customFormat="1" ht="20.100000000000001" customHeight="1">
      <c r="A68" s="1763" t="s">
        <v>941</v>
      </c>
      <c r="B68" s="1765"/>
      <c r="C68" s="471" t="s">
        <v>942</v>
      </c>
      <c r="D68" s="454" t="s">
        <v>805</v>
      </c>
      <c r="E68" s="455">
        <v>231</v>
      </c>
      <c r="F68" s="456">
        <v>5000</v>
      </c>
      <c r="G68" s="455">
        <v>597</v>
      </c>
      <c r="H68" s="459">
        <v>5000</v>
      </c>
      <c r="I68" s="455">
        <v>244</v>
      </c>
      <c r="J68" s="459">
        <v>5000</v>
      </c>
      <c r="K68" s="466">
        <v>228</v>
      </c>
      <c r="L68" s="467">
        <v>1700</v>
      </c>
      <c r="M68" s="475"/>
      <c r="N68" s="460">
        <f t="shared" si="0"/>
        <v>1700</v>
      </c>
      <c r="O68" s="461"/>
      <c r="P68" s="461"/>
    </row>
    <row r="69" spans="1:16" s="462" customFormat="1" ht="20.100000000000001" customHeight="1">
      <c r="A69" s="1763" t="s">
        <v>943</v>
      </c>
      <c r="B69" s="1765"/>
      <c r="C69" s="471" t="s">
        <v>944</v>
      </c>
      <c r="D69" s="454" t="s">
        <v>805</v>
      </c>
      <c r="E69" s="455">
        <v>231</v>
      </c>
      <c r="F69" s="456">
        <v>4200</v>
      </c>
      <c r="G69" s="455">
        <v>597</v>
      </c>
      <c r="H69" s="459">
        <f>INT(91000/20)</f>
        <v>4550</v>
      </c>
      <c r="I69" s="455">
        <v>245</v>
      </c>
      <c r="J69" s="459">
        <v>4200</v>
      </c>
      <c r="K69" s="466">
        <v>221</v>
      </c>
      <c r="L69" s="467">
        <v>3000</v>
      </c>
      <c r="M69" s="468"/>
      <c r="N69" s="460">
        <f t="shared" si="0"/>
        <v>3000</v>
      </c>
      <c r="O69" s="461"/>
      <c r="P69" s="461"/>
    </row>
    <row r="70" spans="1:16" s="462" customFormat="1" ht="20.100000000000001" customHeight="1">
      <c r="A70" s="1763" t="s">
        <v>943</v>
      </c>
      <c r="B70" s="1765"/>
      <c r="C70" s="471" t="s">
        <v>945</v>
      </c>
      <c r="D70" s="454" t="s">
        <v>805</v>
      </c>
      <c r="E70" s="455">
        <v>231</v>
      </c>
      <c r="F70" s="456">
        <v>4200</v>
      </c>
      <c r="G70" s="455">
        <v>597</v>
      </c>
      <c r="H70" s="459">
        <f>INT(97000/20)</f>
        <v>4850</v>
      </c>
      <c r="I70" s="455">
        <v>245</v>
      </c>
      <c r="J70" s="459">
        <v>4200</v>
      </c>
      <c r="K70" s="466">
        <v>221</v>
      </c>
      <c r="L70" s="467">
        <v>3300</v>
      </c>
      <c r="M70" s="468"/>
      <c r="N70" s="460">
        <f t="shared" si="0"/>
        <v>3300</v>
      </c>
      <c r="O70" s="461"/>
      <c r="P70" s="461"/>
    </row>
    <row r="71" spans="1:16" s="462" customFormat="1" ht="20.100000000000001" customHeight="1">
      <c r="A71" s="1763" t="s">
        <v>946</v>
      </c>
      <c r="B71" s="1765"/>
      <c r="C71" s="471"/>
      <c r="D71" s="454" t="s">
        <v>801</v>
      </c>
      <c r="E71" s="455">
        <v>231</v>
      </c>
      <c r="F71" s="456">
        <v>4550</v>
      </c>
      <c r="G71" s="455"/>
      <c r="H71" s="459"/>
      <c r="I71" s="455">
        <v>244</v>
      </c>
      <c r="J71" s="459">
        <v>4550</v>
      </c>
      <c r="K71" s="466"/>
      <c r="L71" s="467"/>
      <c r="M71" s="468"/>
      <c r="N71" s="460">
        <f t="shared" si="0"/>
        <v>4550</v>
      </c>
      <c r="O71" s="461"/>
      <c r="P71" s="461"/>
    </row>
    <row r="72" spans="1:16" s="462" customFormat="1" ht="20.100000000000001" customHeight="1">
      <c r="A72" s="1763" t="s">
        <v>946</v>
      </c>
      <c r="B72" s="1765"/>
      <c r="C72" s="471"/>
      <c r="D72" s="454" t="s">
        <v>835</v>
      </c>
      <c r="E72" s="455"/>
      <c r="F72" s="456"/>
      <c r="G72" s="455"/>
      <c r="H72" s="459"/>
      <c r="I72" s="455"/>
      <c r="J72" s="473"/>
      <c r="K72" s="466"/>
      <c r="L72" s="467"/>
      <c r="M72" s="468"/>
      <c r="N72" s="460">
        <f t="shared" si="0"/>
        <v>0</v>
      </c>
      <c r="O72" s="461"/>
      <c r="P72" s="461"/>
    </row>
    <row r="73" spans="1:16" s="462" customFormat="1" ht="20.100000000000001" customHeight="1">
      <c r="A73" s="1763" t="s">
        <v>947</v>
      </c>
      <c r="B73" s="1764"/>
      <c r="C73" s="471" t="s">
        <v>948</v>
      </c>
      <c r="D73" s="454" t="s">
        <v>835</v>
      </c>
      <c r="E73" s="455">
        <v>54</v>
      </c>
      <c r="F73" s="459">
        <v>4.2</v>
      </c>
      <c r="G73" s="455">
        <v>64</v>
      </c>
      <c r="H73" s="488">
        <v>4.2</v>
      </c>
      <c r="I73" s="455">
        <v>102</v>
      </c>
      <c r="J73" s="489">
        <v>4.4000000000000004</v>
      </c>
      <c r="K73" s="466"/>
      <c r="L73" s="467"/>
      <c r="M73" s="468"/>
      <c r="N73" s="460">
        <f>MIN(F73,H73,J73,L73,M73)</f>
        <v>4.2</v>
      </c>
      <c r="O73" s="461"/>
      <c r="P73" s="461"/>
    </row>
    <row r="74" spans="1:16" s="494" customFormat="1" ht="20.100000000000001" customHeight="1">
      <c r="A74" s="490" t="s">
        <v>949</v>
      </c>
      <c r="B74" s="491"/>
      <c r="C74" s="471" t="s">
        <v>950</v>
      </c>
      <c r="D74" s="454" t="s">
        <v>30</v>
      </c>
      <c r="E74" s="455">
        <v>236</v>
      </c>
      <c r="F74" s="456">
        <v>9500</v>
      </c>
      <c r="G74" s="455"/>
      <c r="H74" s="459"/>
      <c r="I74" s="492">
        <v>250</v>
      </c>
      <c r="J74" s="459" t="s">
        <v>951</v>
      </c>
      <c r="K74" s="466">
        <v>214</v>
      </c>
      <c r="L74" s="467">
        <v>10000</v>
      </c>
      <c r="M74" s="493"/>
      <c r="N74" s="460">
        <f t="shared" ref="N74:N137" si="1">MIN(F74,H74,J74,L74,M74)</f>
        <v>9500</v>
      </c>
      <c r="O74" s="461"/>
      <c r="P74" s="461"/>
    </row>
    <row r="75" spans="1:16" s="494" customFormat="1" ht="20.100000000000001" customHeight="1">
      <c r="A75" s="490" t="s">
        <v>952</v>
      </c>
      <c r="B75" s="491"/>
      <c r="C75" s="464" t="s">
        <v>950</v>
      </c>
      <c r="D75" s="454" t="s">
        <v>30</v>
      </c>
      <c r="E75" s="455">
        <v>240</v>
      </c>
      <c r="F75" s="456">
        <v>18000</v>
      </c>
      <c r="G75" s="455"/>
      <c r="H75" s="459"/>
      <c r="I75" s="455"/>
      <c r="J75" s="473"/>
      <c r="K75" s="466">
        <v>214</v>
      </c>
      <c r="L75" s="467">
        <v>11000</v>
      </c>
      <c r="M75" s="493"/>
      <c r="N75" s="460">
        <f t="shared" si="1"/>
        <v>11000</v>
      </c>
      <c r="O75" s="461"/>
      <c r="P75" s="461"/>
    </row>
    <row r="76" spans="1:16" s="462" customFormat="1" ht="20.100000000000001" customHeight="1">
      <c r="A76" s="1763" t="s">
        <v>953</v>
      </c>
      <c r="B76" s="1765"/>
      <c r="C76" s="471" t="s">
        <v>954</v>
      </c>
      <c r="D76" s="454" t="s">
        <v>835</v>
      </c>
      <c r="E76" s="455">
        <v>229</v>
      </c>
      <c r="F76" s="456">
        <v>9500</v>
      </c>
      <c r="G76" s="455"/>
      <c r="H76" s="459"/>
      <c r="I76" s="455">
        <v>250</v>
      </c>
      <c r="J76" s="473" t="s">
        <v>951</v>
      </c>
      <c r="K76" s="466"/>
      <c r="L76" s="467"/>
      <c r="M76" s="468"/>
      <c r="N76" s="460">
        <f t="shared" si="1"/>
        <v>9500</v>
      </c>
      <c r="O76" s="461"/>
      <c r="P76" s="461"/>
    </row>
    <row r="77" spans="1:16" s="486" customFormat="1" ht="20.100000000000001" customHeight="1">
      <c r="A77" s="1763" t="s">
        <v>955</v>
      </c>
      <c r="B77" s="1765"/>
      <c r="C77" s="471" t="s">
        <v>956</v>
      </c>
      <c r="D77" s="454" t="s">
        <v>45</v>
      </c>
      <c r="E77" s="455">
        <v>280</v>
      </c>
      <c r="F77" s="456">
        <v>39700</v>
      </c>
      <c r="G77" s="455">
        <v>269</v>
      </c>
      <c r="H77" s="459">
        <v>38000</v>
      </c>
      <c r="I77" s="455"/>
      <c r="J77" s="473"/>
      <c r="K77" s="466">
        <v>107</v>
      </c>
      <c r="L77" s="467">
        <v>39700</v>
      </c>
      <c r="M77" s="468"/>
      <c r="N77" s="460">
        <f t="shared" si="1"/>
        <v>38000</v>
      </c>
      <c r="O77" s="461"/>
      <c r="P77" s="461"/>
    </row>
    <row r="78" spans="1:16" s="486" customFormat="1" ht="20.100000000000001" customHeight="1">
      <c r="A78" s="1763" t="s">
        <v>955</v>
      </c>
      <c r="B78" s="1765"/>
      <c r="C78" s="471" t="s">
        <v>957</v>
      </c>
      <c r="D78" s="454" t="s">
        <v>45</v>
      </c>
      <c r="E78" s="455">
        <v>280</v>
      </c>
      <c r="F78" s="456">
        <v>45600</v>
      </c>
      <c r="G78" s="455">
        <v>269</v>
      </c>
      <c r="H78" s="459">
        <v>44000</v>
      </c>
      <c r="I78" s="455"/>
      <c r="J78" s="473"/>
      <c r="K78" s="466">
        <v>107</v>
      </c>
      <c r="L78" s="467">
        <v>45600</v>
      </c>
      <c r="M78" s="468"/>
      <c r="N78" s="460">
        <f t="shared" si="1"/>
        <v>44000</v>
      </c>
      <c r="O78" s="461"/>
      <c r="P78" s="461"/>
    </row>
    <row r="79" spans="1:16" s="486" customFormat="1" ht="20.100000000000001" customHeight="1">
      <c r="A79" s="1763" t="s">
        <v>955</v>
      </c>
      <c r="B79" s="1765"/>
      <c r="C79" s="471" t="s">
        <v>958</v>
      </c>
      <c r="D79" s="454" t="s">
        <v>45</v>
      </c>
      <c r="E79" s="455">
        <v>280</v>
      </c>
      <c r="F79" s="456">
        <v>46900</v>
      </c>
      <c r="G79" s="455">
        <v>269</v>
      </c>
      <c r="H79" s="459">
        <v>46000</v>
      </c>
      <c r="I79" s="455"/>
      <c r="J79" s="473"/>
      <c r="K79" s="466">
        <v>107</v>
      </c>
      <c r="L79" s="467">
        <v>46900</v>
      </c>
      <c r="M79" s="468"/>
      <c r="N79" s="460">
        <f t="shared" si="1"/>
        <v>46000</v>
      </c>
      <c r="O79" s="461"/>
      <c r="P79" s="461"/>
    </row>
    <row r="80" spans="1:16" s="486" customFormat="1" ht="20.100000000000001" customHeight="1">
      <c r="A80" s="1763" t="s">
        <v>955</v>
      </c>
      <c r="B80" s="1765"/>
      <c r="C80" s="471" t="s">
        <v>959</v>
      </c>
      <c r="D80" s="454" t="s">
        <v>45</v>
      </c>
      <c r="E80" s="455">
        <v>280</v>
      </c>
      <c r="F80" s="456">
        <v>86600</v>
      </c>
      <c r="G80" s="455">
        <v>269</v>
      </c>
      <c r="H80" s="459">
        <v>85000</v>
      </c>
      <c r="I80" s="455"/>
      <c r="J80" s="473"/>
      <c r="K80" s="466">
        <v>107</v>
      </c>
      <c r="L80" s="467">
        <v>86600</v>
      </c>
      <c r="M80" s="468"/>
      <c r="N80" s="460">
        <f t="shared" si="1"/>
        <v>85000</v>
      </c>
      <c r="O80" s="461"/>
      <c r="P80" s="461"/>
    </row>
    <row r="81" spans="1:16" s="486" customFormat="1" ht="20.100000000000001" customHeight="1">
      <c r="A81" s="1763" t="s">
        <v>955</v>
      </c>
      <c r="B81" s="1765"/>
      <c r="C81" s="471" t="s">
        <v>960</v>
      </c>
      <c r="D81" s="454" t="s">
        <v>45</v>
      </c>
      <c r="E81" s="455">
        <v>280</v>
      </c>
      <c r="F81" s="456">
        <v>129000</v>
      </c>
      <c r="G81" s="455">
        <v>269</v>
      </c>
      <c r="H81" s="459">
        <v>127000</v>
      </c>
      <c r="I81" s="455"/>
      <c r="J81" s="473"/>
      <c r="K81" s="466">
        <v>107</v>
      </c>
      <c r="L81" s="467">
        <v>129000</v>
      </c>
      <c r="M81" s="468"/>
      <c r="N81" s="460">
        <f t="shared" si="1"/>
        <v>127000</v>
      </c>
      <c r="O81" s="461"/>
      <c r="P81" s="461"/>
    </row>
    <row r="82" spans="1:16" s="486" customFormat="1" ht="20.100000000000001" customHeight="1">
      <c r="A82" s="1763" t="s">
        <v>955</v>
      </c>
      <c r="B82" s="1765"/>
      <c r="C82" s="471" t="s">
        <v>961</v>
      </c>
      <c r="D82" s="454" t="s">
        <v>45</v>
      </c>
      <c r="E82" s="455">
        <v>280</v>
      </c>
      <c r="F82" s="456">
        <v>139000</v>
      </c>
      <c r="G82" s="455">
        <v>269</v>
      </c>
      <c r="H82" s="459">
        <v>137000</v>
      </c>
      <c r="I82" s="455"/>
      <c r="J82" s="473"/>
      <c r="K82" s="466">
        <v>107</v>
      </c>
      <c r="L82" s="467">
        <v>139000</v>
      </c>
      <c r="M82" s="468"/>
      <c r="N82" s="460">
        <f t="shared" si="1"/>
        <v>137000</v>
      </c>
      <c r="O82" s="461"/>
      <c r="P82" s="461"/>
    </row>
    <row r="83" spans="1:16" s="486" customFormat="1" ht="19.5" customHeight="1">
      <c r="A83" s="1763" t="s">
        <v>962</v>
      </c>
      <c r="B83" s="1765"/>
      <c r="C83" s="471" t="s">
        <v>963</v>
      </c>
      <c r="D83" s="454" t="s">
        <v>30</v>
      </c>
      <c r="E83" s="455">
        <v>277</v>
      </c>
      <c r="F83" s="456">
        <v>360000</v>
      </c>
      <c r="G83" s="455"/>
      <c r="H83" s="459"/>
      <c r="I83" s="455"/>
      <c r="J83" s="473"/>
      <c r="K83" s="466"/>
      <c r="L83" s="467"/>
      <c r="M83" s="475"/>
      <c r="N83" s="460">
        <f t="shared" si="1"/>
        <v>360000</v>
      </c>
      <c r="O83" s="461"/>
      <c r="P83" s="461"/>
    </row>
    <row r="84" spans="1:16" s="486" customFormat="1" ht="19.5" customHeight="1">
      <c r="A84" s="1763" t="s">
        <v>962</v>
      </c>
      <c r="B84" s="1765"/>
      <c r="C84" s="471" t="s">
        <v>964</v>
      </c>
      <c r="D84" s="454" t="s">
        <v>30</v>
      </c>
      <c r="E84" s="455">
        <v>277</v>
      </c>
      <c r="F84" s="456">
        <v>600000</v>
      </c>
      <c r="G84" s="455"/>
      <c r="H84" s="459"/>
      <c r="I84" s="455"/>
      <c r="J84" s="473"/>
      <c r="K84" s="466"/>
      <c r="L84" s="467"/>
      <c r="M84" s="475"/>
      <c r="N84" s="460">
        <f t="shared" si="1"/>
        <v>600000</v>
      </c>
      <c r="O84" s="461"/>
      <c r="P84" s="461"/>
    </row>
    <row r="85" spans="1:16" s="486" customFormat="1" ht="19.5" customHeight="1">
      <c r="A85" s="1763" t="s">
        <v>962</v>
      </c>
      <c r="B85" s="1765"/>
      <c r="C85" s="471" t="s">
        <v>965</v>
      </c>
      <c r="D85" s="454" t="s">
        <v>30</v>
      </c>
      <c r="E85" s="455">
        <v>277</v>
      </c>
      <c r="F85" s="456">
        <v>663000</v>
      </c>
      <c r="G85" s="455"/>
      <c r="H85" s="459"/>
      <c r="I85" s="455"/>
      <c r="J85" s="473"/>
      <c r="K85" s="466"/>
      <c r="L85" s="467"/>
      <c r="M85" s="475"/>
      <c r="N85" s="460">
        <f>MIN(F85,H85,J85,L85,M85)</f>
        <v>663000</v>
      </c>
      <c r="O85" s="461"/>
      <c r="P85" s="461"/>
    </row>
    <row r="86" spans="1:16" s="486" customFormat="1" ht="19.5" customHeight="1">
      <c r="A86" s="1763" t="s">
        <v>962</v>
      </c>
      <c r="B86" s="1765"/>
      <c r="C86" s="471" t="s">
        <v>966</v>
      </c>
      <c r="D86" s="454" t="s">
        <v>30</v>
      </c>
      <c r="E86" s="455">
        <v>277</v>
      </c>
      <c r="F86" s="456">
        <v>794000</v>
      </c>
      <c r="G86" s="455"/>
      <c r="H86" s="459"/>
      <c r="I86" s="455"/>
      <c r="J86" s="473"/>
      <c r="K86" s="466"/>
      <c r="L86" s="467"/>
      <c r="M86" s="475"/>
      <c r="N86" s="460">
        <f t="shared" si="1"/>
        <v>794000</v>
      </c>
      <c r="O86" s="461"/>
      <c r="P86" s="461"/>
    </row>
    <row r="87" spans="1:16" s="486" customFormat="1" ht="19.5" customHeight="1">
      <c r="A87" s="1763" t="s">
        <v>962</v>
      </c>
      <c r="B87" s="1765"/>
      <c r="C87" s="471" t="s">
        <v>967</v>
      </c>
      <c r="D87" s="454" t="s">
        <v>30</v>
      </c>
      <c r="E87" s="455">
        <v>277</v>
      </c>
      <c r="F87" s="456">
        <v>994000</v>
      </c>
      <c r="G87" s="455"/>
      <c r="H87" s="459"/>
      <c r="I87" s="455"/>
      <c r="J87" s="473"/>
      <c r="K87" s="466"/>
      <c r="L87" s="467"/>
      <c r="M87" s="475"/>
      <c r="N87" s="460">
        <f t="shared" si="1"/>
        <v>994000</v>
      </c>
      <c r="O87" s="461"/>
      <c r="P87" s="461"/>
    </row>
    <row r="88" spans="1:16" s="486" customFormat="1" ht="19.5" customHeight="1">
      <c r="A88" s="1763" t="s">
        <v>968</v>
      </c>
      <c r="B88" s="1765"/>
      <c r="C88" s="471" t="s">
        <v>963</v>
      </c>
      <c r="D88" s="454" t="s">
        <v>30</v>
      </c>
      <c r="E88" s="455">
        <v>277</v>
      </c>
      <c r="F88" s="456">
        <v>590000</v>
      </c>
      <c r="G88" s="455"/>
      <c r="H88" s="459"/>
      <c r="I88" s="455"/>
      <c r="J88" s="473"/>
      <c r="K88" s="466"/>
      <c r="L88" s="467"/>
      <c r="M88" s="475"/>
      <c r="N88" s="460">
        <f t="shared" si="1"/>
        <v>590000</v>
      </c>
      <c r="O88" s="461"/>
      <c r="P88" s="461"/>
    </row>
    <row r="89" spans="1:16" s="486" customFormat="1" ht="19.5" customHeight="1">
      <c r="A89" s="1763" t="s">
        <v>968</v>
      </c>
      <c r="B89" s="1765"/>
      <c r="C89" s="471" t="s">
        <v>964</v>
      </c>
      <c r="D89" s="454" t="s">
        <v>30</v>
      </c>
      <c r="E89" s="455">
        <v>277</v>
      </c>
      <c r="F89" s="456">
        <v>930000</v>
      </c>
      <c r="G89" s="455"/>
      <c r="H89" s="459"/>
      <c r="I89" s="455"/>
      <c r="J89" s="473"/>
      <c r="K89" s="466"/>
      <c r="L89" s="467"/>
      <c r="M89" s="475"/>
      <c r="N89" s="460">
        <f t="shared" si="1"/>
        <v>930000</v>
      </c>
      <c r="O89" s="461"/>
      <c r="P89" s="461"/>
    </row>
    <row r="90" spans="1:16" s="486" customFormat="1" ht="19.5" customHeight="1">
      <c r="A90" s="1763" t="s">
        <v>968</v>
      </c>
      <c r="B90" s="1765"/>
      <c r="C90" s="471" t="s">
        <v>965</v>
      </c>
      <c r="D90" s="454" t="s">
        <v>30</v>
      </c>
      <c r="E90" s="455">
        <v>277</v>
      </c>
      <c r="F90" s="456">
        <v>1070000</v>
      </c>
      <c r="G90" s="455"/>
      <c r="H90" s="459"/>
      <c r="I90" s="455"/>
      <c r="J90" s="473"/>
      <c r="K90" s="466"/>
      <c r="L90" s="467"/>
      <c r="M90" s="475"/>
      <c r="N90" s="460">
        <f t="shared" si="1"/>
        <v>1070000</v>
      </c>
      <c r="O90" s="461"/>
      <c r="P90" s="461"/>
    </row>
    <row r="91" spans="1:16" s="486" customFormat="1" ht="19.5" customHeight="1">
      <c r="A91" s="1763" t="s">
        <v>968</v>
      </c>
      <c r="B91" s="1765"/>
      <c r="C91" s="471" t="s">
        <v>966</v>
      </c>
      <c r="D91" s="454" t="s">
        <v>30</v>
      </c>
      <c r="E91" s="455">
        <v>277</v>
      </c>
      <c r="F91" s="456">
        <v>1220000</v>
      </c>
      <c r="G91" s="455"/>
      <c r="H91" s="459"/>
      <c r="I91" s="455"/>
      <c r="J91" s="473"/>
      <c r="K91" s="466"/>
      <c r="L91" s="467"/>
      <c r="M91" s="475"/>
      <c r="N91" s="460">
        <f t="shared" si="1"/>
        <v>1220000</v>
      </c>
      <c r="O91" s="461"/>
      <c r="P91" s="461"/>
    </row>
    <row r="92" spans="1:16" s="486" customFormat="1" ht="19.5" customHeight="1">
      <c r="A92" s="1763" t="s">
        <v>968</v>
      </c>
      <c r="B92" s="1765"/>
      <c r="C92" s="471" t="s">
        <v>967</v>
      </c>
      <c r="D92" s="454" t="s">
        <v>30</v>
      </c>
      <c r="E92" s="455">
        <v>277</v>
      </c>
      <c r="F92" s="456">
        <v>1490000</v>
      </c>
      <c r="G92" s="455"/>
      <c r="H92" s="459"/>
      <c r="I92" s="455"/>
      <c r="J92" s="473"/>
      <c r="K92" s="466"/>
      <c r="L92" s="467"/>
      <c r="M92" s="475"/>
      <c r="N92" s="460">
        <f t="shared" si="1"/>
        <v>1490000</v>
      </c>
      <c r="O92" s="461"/>
      <c r="P92" s="461"/>
    </row>
    <row r="93" spans="1:16" s="486" customFormat="1" ht="19.5" customHeight="1">
      <c r="A93" s="1763" t="s">
        <v>968</v>
      </c>
      <c r="B93" s="1765"/>
      <c r="C93" s="471" t="s">
        <v>969</v>
      </c>
      <c r="D93" s="454" t="s">
        <v>30</v>
      </c>
      <c r="E93" s="455">
        <v>277</v>
      </c>
      <c r="F93" s="456">
        <v>1724000</v>
      </c>
      <c r="G93" s="455"/>
      <c r="H93" s="459"/>
      <c r="I93" s="455"/>
      <c r="J93" s="473"/>
      <c r="K93" s="466"/>
      <c r="L93" s="467"/>
      <c r="M93" s="475"/>
      <c r="N93" s="460">
        <f t="shared" si="1"/>
        <v>1724000</v>
      </c>
      <c r="O93" s="461"/>
      <c r="P93" s="461"/>
    </row>
    <row r="94" spans="1:16" s="486" customFormat="1" ht="19.5" customHeight="1">
      <c r="A94" s="1763" t="s">
        <v>968</v>
      </c>
      <c r="B94" s="1765"/>
      <c r="C94" s="471" t="s">
        <v>970</v>
      </c>
      <c r="D94" s="454" t="s">
        <v>30</v>
      </c>
      <c r="E94" s="455">
        <v>277</v>
      </c>
      <c r="F94" s="456">
        <v>1995000</v>
      </c>
      <c r="G94" s="455"/>
      <c r="H94" s="459"/>
      <c r="I94" s="455"/>
      <c r="J94" s="473"/>
      <c r="K94" s="466"/>
      <c r="L94" s="467"/>
      <c r="M94" s="475"/>
      <c r="N94" s="460">
        <f t="shared" si="1"/>
        <v>1995000</v>
      </c>
      <c r="O94" s="461"/>
      <c r="P94" s="461"/>
    </row>
    <row r="95" spans="1:16" s="462" customFormat="1" ht="20.100000000000001" customHeight="1">
      <c r="A95" s="1763" t="s">
        <v>971</v>
      </c>
      <c r="B95" s="1765"/>
      <c r="C95" s="471" t="s">
        <v>395</v>
      </c>
      <c r="D95" s="454" t="s">
        <v>659</v>
      </c>
      <c r="E95" s="455"/>
      <c r="F95" s="456"/>
      <c r="G95" s="455"/>
      <c r="H95" s="459"/>
      <c r="I95" s="455"/>
      <c r="J95" s="473"/>
      <c r="K95" s="466"/>
      <c r="L95" s="467"/>
      <c r="M95" s="468"/>
      <c r="N95" s="460">
        <f>MIN(F95,H95,J95,L95,M95)</f>
        <v>0</v>
      </c>
      <c r="O95" s="461"/>
      <c r="P95" s="461"/>
    </row>
    <row r="96" spans="1:16" s="462" customFormat="1" ht="20.100000000000001" customHeight="1">
      <c r="A96" s="1763" t="s">
        <v>971</v>
      </c>
      <c r="B96" s="1765"/>
      <c r="C96" s="495" t="s">
        <v>397</v>
      </c>
      <c r="D96" s="454" t="s">
        <v>659</v>
      </c>
      <c r="E96" s="466"/>
      <c r="F96" s="496"/>
      <c r="G96" s="455"/>
      <c r="H96" s="459"/>
      <c r="I96" s="455"/>
      <c r="J96" s="473"/>
      <c r="K96" s="466"/>
      <c r="L96" s="467"/>
      <c r="M96" s="468"/>
      <c r="N96" s="460">
        <f>MIN(F96,H96,J96,L96,M96)</f>
        <v>0</v>
      </c>
      <c r="O96" s="461"/>
      <c r="P96" s="461"/>
    </row>
    <row r="97" spans="1:16" s="462" customFormat="1" ht="20.100000000000001" customHeight="1">
      <c r="A97" s="1763" t="s">
        <v>971</v>
      </c>
      <c r="B97" s="1764"/>
      <c r="C97" s="471" t="s">
        <v>399</v>
      </c>
      <c r="D97" s="454" t="s">
        <v>659</v>
      </c>
      <c r="E97" s="455"/>
      <c r="F97" s="456"/>
      <c r="G97" s="455"/>
      <c r="H97" s="459"/>
      <c r="I97" s="455"/>
      <c r="J97" s="473"/>
      <c r="K97" s="466"/>
      <c r="L97" s="467"/>
      <c r="M97" s="468">
        <v>223000</v>
      </c>
      <c r="N97" s="460">
        <f>MIN(F97,H97,J97,L97,M97)</f>
        <v>223000</v>
      </c>
      <c r="O97" s="461" t="s">
        <v>936</v>
      </c>
      <c r="P97" s="461"/>
    </row>
    <row r="98" spans="1:16" s="462" customFormat="1" ht="19.5" customHeight="1">
      <c r="A98" s="1763" t="s">
        <v>972</v>
      </c>
      <c r="B98" s="1765"/>
      <c r="C98" s="471" t="s">
        <v>973</v>
      </c>
      <c r="D98" s="454" t="s">
        <v>45</v>
      </c>
      <c r="E98" s="455">
        <v>544</v>
      </c>
      <c r="F98" s="456">
        <v>8267</v>
      </c>
      <c r="G98" s="455">
        <v>576</v>
      </c>
      <c r="H98" s="459">
        <v>6900</v>
      </c>
      <c r="I98" s="455">
        <v>658</v>
      </c>
      <c r="J98" s="459">
        <v>6500</v>
      </c>
      <c r="K98" s="466">
        <v>451</v>
      </c>
      <c r="L98" s="467">
        <v>6900</v>
      </c>
      <c r="M98" s="475"/>
      <c r="N98" s="460">
        <f t="shared" si="1"/>
        <v>6500</v>
      </c>
      <c r="O98" s="461"/>
      <c r="P98" s="461"/>
    </row>
    <row r="99" spans="1:16" s="462" customFormat="1" ht="19.5" customHeight="1">
      <c r="A99" s="1763" t="s">
        <v>974</v>
      </c>
      <c r="B99" s="1765"/>
      <c r="C99" s="471" t="s">
        <v>975</v>
      </c>
      <c r="D99" s="454" t="s">
        <v>835</v>
      </c>
      <c r="E99" s="455">
        <v>1045</v>
      </c>
      <c r="F99" s="456">
        <v>4100</v>
      </c>
      <c r="G99" s="455">
        <v>1387</v>
      </c>
      <c r="H99" s="459">
        <v>4100</v>
      </c>
      <c r="I99" s="455">
        <v>1326</v>
      </c>
      <c r="J99" s="459">
        <v>3386</v>
      </c>
      <c r="K99" s="466">
        <v>1132</v>
      </c>
      <c r="L99" s="467">
        <v>4100</v>
      </c>
      <c r="M99" s="468"/>
      <c r="N99" s="460">
        <f t="shared" si="1"/>
        <v>3386</v>
      </c>
      <c r="O99" s="461"/>
      <c r="P99" s="461"/>
    </row>
    <row r="100" spans="1:16" s="462" customFormat="1" ht="20.100000000000001" customHeight="1">
      <c r="A100" s="1763" t="s">
        <v>976</v>
      </c>
      <c r="B100" s="1765"/>
      <c r="C100" s="471" t="s">
        <v>977</v>
      </c>
      <c r="D100" s="454" t="s">
        <v>45</v>
      </c>
      <c r="E100" s="455">
        <v>1080</v>
      </c>
      <c r="F100" s="456">
        <v>152000</v>
      </c>
      <c r="G100" s="455">
        <v>1414</v>
      </c>
      <c r="H100" s="459">
        <v>160000</v>
      </c>
      <c r="I100" s="455">
        <v>1338</v>
      </c>
      <c r="J100" s="459">
        <v>245000</v>
      </c>
      <c r="K100" s="466">
        <v>1166</v>
      </c>
      <c r="L100" s="467">
        <v>187600</v>
      </c>
      <c r="M100" s="468"/>
      <c r="N100" s="460">
        <f t="shared" si="1"/>
        <v>152000</v>
      </c>
      <c r="O100" s="461"/>
      <c r="P100" s="461"/>
    </row>
    <row r="101" spans="1:16" s="486" customFormat="1" ht="20.100000000000001" customHeight="1">
      <c r="A101" s="1763" t="s">
        <v>978</v>
      </c>
      <c r="B101" s="1765"/>
      <c r="C101" s="471" t="s">
        <v>979</v>
      </c>
      <c r="D101" s="454" t="s">
        <v>45</v>
      </c>
      <c r="E101" s="455">
        <v>1080</v>
      </c>
      <c r="F101" s="456">
        <v>91200</v>
      </c>
      <c r="G101" s="455">
        <v>1414</v>
      </c>
      <c r="H101" s="459">
        <v>124000</v>
      </c>
      <c r="I101" s="455">
        <v>1338</v>
      </c>
      <c r="J101" s="459">
        <v>102000</v>
      </c>
      <c r="K101" s="466">
        <v>1166</v>
      </c>
      <c r="L101" s="467">
        <v>91200</v>
      </c>
      <c r="M101" s="468"/>
      <c r="N101" s="460">
        <f t="shared" si="1"/>
        <v>91200</v>
      </c>
      <c r="O101" s="461"/>
      <c r="P101" s="461"/>
    </row>
    <row r="102" spans="1:16" s="486" customFormat="1" ht="20.100000000000001" customHeight="1">
      <c r="A102" s="1763" t="s">
        <v>978</v>
      </c>
      <c r="B102" s="1765"/>
      <c r="C102" s="471" t="s">
        <v>980</v>
      </c>
      <c r="D102" s="454" t="s">
        <v>45</v>
      </c>
      <c r="E102" s="455">
        <v>1080</v>
      </c>
      <c r="F102" s="456">
        <v>105440</v>
      </c>
      <c r="G102" s="455">
        <v>1414</v>
      </c>
      <c r="H102" s="459">
        <v>144000</v>
      </c>
      <c r="I102" s="455">
        <v>1338</v>
      </c>
      <c r="J102" s="459">
        <v>118000</v>
      </c>
      <c r="K102" s="466">
        <v>1166</v>
      </c>
      <c r="L102" s="467">
        <v>105440</v>
      </c>
      <c r="M102" s="468"/>
      <c r="N102" s="460">
        <f t="shared" si="1"/>
        <v>105440</v>
      </c>
      <c r="O102" s="461"/>
      <c r="P102" s="461"/>
    </row>
    <row r="103" spans="1:16" s="486" customFormat="1" ht="20.100000000000001" customHeight="1">
      <c r="A103" s="1763" t="s">
        <v>978</v>
      </c>
      <c r="B103" s="1765"/>
      <c r="C103" s="471" t="s">
        <v>981</v>
      </c>
      <c r="D103" s="454" t="s">
        <v>45</v>
      </c>
      <c r="E103" s="455">
        <v>1080</v>
      </c>
      <c r="F103" s="456">
        <v>131360</v>
      </c>
      <c r="G103" s="455">
        <v>1414</v>
      </c>
      <c r="H103" s="459">
        <v>181000</v>
      </c>
      <c r="I103" s="455">
        <v>1338</v>
      </c>
      <c r="J103" s="459">
        <v>147000</v>
      </c>
      <c r="K103" s="466">
        <v>1166</v>
      </c>
      <c r="L103" s="467">
        <v>131360</v>
      </c>
      <c r="M103" s="468"/>
      <c r="N103" s="460">
        <f t="shared" si="1"/>
        <v>131360</v>
      </c>
      <c r="O103" s="461"/>
      <c r="P103" s="461"/>
    </row>
    <row r="104" spans="1:16" s="486" customFormat="1" ht="20.100000000000001" customHeight="1">
      <c r="A104" s="1763" t="s">
        <v>978</v>
      </c>
      <c r="B104" s="1765"/>
      <c r="C104" s="471" t="s">
        <v>982</v>
      </c>
      <c r="D104" s="454" t="s">
        <v>45</v>
      </c>
      <c r="E104" s="455">
        <v>1080</v>
      </c>
      <c r="F104" s="456">
        <v>214600</v>
      </c>
      <c r="G104" s="455">
        <v>1414</v>
      </c>
      <c r="H104" s="459">
        <v>347000</v>
      </c>
      <c r="I104" s="455">
        <v>1338</v>
      </c>
      <c r="J104" s="459">
        <v>240000</v>
      </c>
      <c r="K104" s="466">
        <v>1166</v>
      </c>
      <c r="L104" s="467">
        <v>214600</v>
      </c>
      <c r="M104" s="468"/>
      <c r="N104" s="460">
        <f t="shared" si="1"/>
        <v>214600</v>
      </c>
      <c r="O104" s="461"/>
      <c r="P104" s="461"/>
    </row>
    <row r="105" spans="1:16" s="486" customFormat="1" ht="20.100000000000001" customHeight="1">
      <c r="A105" s="1763" t="s">
        <v>978</v>
      </c>
      <c r="B105" s="1765"/>
      <c r="C105" s="471" t="s">
        <v>983</v>
      </c>
      <c r="D105" s="454" t="s">
        <v>45</v>
      </c>
      <c r="E105" s="455">
        <v>1080</v>
      </c>
      <c r="F105" s="456">
        <v>277000</v>
      </c>
      <c r="G105" s="455">
        <v>1414</v>
      </c>
      <c r="H105" s="459">
        <v>454000</v>
      </c>
      <c r="I105" s="455">
        <v>1338</v>
      </c>
      <c r="J105" s="459">
        <v>310000</v>
      </c>
      <c r="K105" s="466">
        <v>1166</v>
      </c>
      <c r="L105" s="467">
        <v>277000</v>
      </c>
      <c r="M105" s="468"/>
      <c r="N105" s="460">
        <f t="shared" si="1"/>
        <v>277000</v>
      </c>
      <c r="O105" s="461"/>
      <c r="P105" s="461"/>
    </row>
    <row r="106" spans="1:16" s="486" customFormat="1" ht="20.100000000000001" customHeight="1">
      <c r="A106" s="1763" t="s">
        <v>978</v>
      </c>
      <c r="B106" s="1765"/>
      <c r="C106" s="471" t="s">
        <v>984</v>
      </c>
      <c r="D106" s="454" t="s">
        <v>45</v>
      </c>
      <c r="E106" s="455">
        <v>1080</v>
      </c>
      <c r="F106" s="456">
        <v>321800</v>
      </c>
      <c r="G106" s="455">
        <v>1414</v>
      </c>
      <c r="H106" s="459">
        <v>549000</v>
      </c>
      <c r="I106" s="455">
        <v>1338</v>
      </c>
      <c r="J106" s="459">
        <v>360000</v>
      </c>
      <c r="K106" s="466">
        <v>1166</v>
      </c>
      <c r="L106" s="467">
        <v>321800</v>
      </c>
      <c r="M106" s="468"/>
      <c r="N106" s="460">
        <f t="shared" si="1"/>
        <v>321800</v>
      </c>
      <c r="O106" s="461"/>
      <c r="P106" s="461">
        <f>185000/18</f>
        <v>10277.777777777777</v>
      </c>
    </row>
    <row r="107" spans="1:16" s="486" customFormat="1" ht="19.5" customHeight="1">
      <c r="A107" s="1763" t="s">
        <v>985</v>
      </c>
      <c r="B107" s="1765"/>
      <c r="C107" s="471" t="s">
        <v>986</v>
      </c>
      <c r="D107" s="454" t="s">
        <v>810</v>
      </c>
      <c r="E107" s="455">
        <v>1074</v>
      </c>
      <c r="F107" s="456">
        <v>375</v>
      </c>
      <c r="G107" s="455">
        <v>1412</v>
      </c>
      <c r="H107" s="459">
        <v>360</v>
      </c>
      <c r="I107" s="455">
        <v>1337</v>
      </c>
      <c r="J107" s="459">
        <v>530</v>
      </c>
      <c r="K107" s="466">
        <v>1168</v>
      </c>
      <c r="L107" s="467">
        <v>385</v>
      </c>
      <c r="M107" s="468"/>
      <c r="N107" s="460">
        <f t="shared" si="1"/>
        <v>360</v>
      </c>
      <c r="O107" s="461"/>
      <c r="P107" s="461"/>
    </row>
    <row r="108" spans="1:16" s="486" customFormat="1" ht="19.5" customHeight="1">
      <c r="A108" s="1763" t="s">
        <v>987</v>
      </c>
      <c r="B108" s="1764"/>
      <c r="C108" s="471" t="s">
        <v>988</v>
      </c>
      <c r="D108" s="454" t="s">
        <v>297</v>
      </c>
      <c r="E108" s="455"/>
      <c r="F108" s="456"/>
      <c r="G108" s="455"/>
      <c r="H108" s="459"/>
      <c r="I108" s="455"/>
      <c r="J108" s="473"/>
      <c r="K108" s="466"/>
      <c r="L108" s="467"/>
      <c r="M108" s="475"/>
      <c r="N108" s="460">
        <f t="shared" si="1"/>
        <v>0</v>
      </c>
      <c r="O108" s="461"/>
      <c r="P108" s="461"/>
    </row>
    <row r="109" spans="1:16" s="486" customFormat="1" ht="19.5" customHeight="1">
      <c r="A109" s="1763" t="s">
        <v>987</v>
      </c>
      <c r="B109" s="1764"/>
      <c r="C109" s="471" t="s">
        <v>989</v>
      </c>
      <c r="D109" s="454" t="s">
        <v>297</v>
      </c>
      <c r="E109" s="455"/>
      <c r="F109" s="456"/>
      <c r="G109" s="455"/>
      <c r="H109" s="459"/>
      <c r="I109" s="455"/>
      <c r="J109" s="473"/>
      <c r="K109" s="466"/>
      <c r="L109" s="467"/>
      <c r="M109" s="475"/>
      <c r="N109" s="460">
        <f t="shared" si="1"/>
        <v>0</v>
      </c>
      <c r="O109" s="461"/>
      <c r="P109" s="461"/>
    </row>
    <row r="110" spans="1:16" s="462" customFormat="1" ht="19.5" customHeight="1">
      <c r="A110" s="1763" t="s">
        <v>990</v>
      </c>
      <c r="B110" s="1764"/>
      <c r="C110" s="471"/>
      <c r="D110" s="454" t="s">
        <v>30</v>
      </c>
      <c r="E110" s="455"/>
      <c r="F110" s="456"/>
      <c r="G110" s="455"/>
      <c r="H110" s="459"/>
      <c r="I110" s="455">
        <v>1102</v>
      </c>
      <c r="J110" s="459">
        <v>48100</v>
      </c>
      <c r="K110" s="466">
        <v>938</v>
      </c>
      <c r="L110" s="467">
        <v>48100</v>
      </c>
      <c r="M110" s="475"/>
      <c r="N110" s="460">
        <f t="shared" si="1"/>
        <v>48100</v>
      </c>
      <c r="O110" s="461"/>
      <c r="P110" s="461"/>
    </row>
    <row r="111" spans="1:16" s="462" customFormat="1" ht="20.100000000000001" customHeight="1">
      <c r="A111" s="1763" t="s">
        <v>991</v>
      </c>
      <c r="B111" s="1765"/>
      <c r="C111" s="471" t="s">
        <v>992</v>
      </c>
      <c r="D111" s="454" t="s">
        <v>993</v>
      </c>
      <c r="E111" s="455">
        <v>476</v>
      </c>
      <c r="F111" s="456">
        <v>6760</v>
      </c>
      <c r="G111" s="455">
        <v>489</v>
      </c>
      <c r="H111" s="459">
        <v>4500</v>
      </c>
      <c r="I111" s="455">
        <v>606</v>
      </c>
      <c r="J111" s="459">
        <v>7000</v>
      </c>
      <c r="K111" s="466"/>
      <c r="L111" s="467"/>
      <c r="M111" s="468"/>
      <c r="N111" s="460">
        <f t="shared" si="1"/>
        <v>4500</v>
      </c>
      <c r="O111" s="461"/>
      <c r="P111" s="461"/>
    </row>
    <row r="112" spans="1:16" s="462" customFormat="1" ht="19.5" customHeight="1">
      <c r="A112" s="1763" t="s">
        <v>994</v>
      </c>
      <c r="B112" s="1765"/>
      <c r="C112" s="471" t="s">
        <v>995</v>
      </c>
      <c r="D112" s="454" t="s">
        <v>801</v>
      </c>
      <c r="E112" s="455">
        <v>501</v>
      </c>
      <c r="F112" s="456">
        <v>6750</v>
      </c>
      <c r="G112" s="455">
        <v>588</v>
      </c>
      <c r="H112" s="459">
        <f>INT(130000/18)</f>
        <v>7222</v>
      </c>
      <c r="I112" s="479">
        <v>615</v>
      </c>
      <c r="J112" s="478">
        <f>45000/4</f>
        <v>11250</v>
      </c>
      <c r="K112" s="466">
        <v>466</v>
      </c>
      <c r="L112" s="467">
        <v>7222</v>
      </c>
      <c r="M112" s="468">
        <v>5858</v>
      </c>
      <c r="N112" s="460">
        <f t="shared" si="1"/>
        <v>5858</v>
      </c>
      <c r="O112" s="461" t="s">
        <v>996</v>
      </c>
      <c r="P112" s="461" t="s">
        <v>807</v>
      </c>
    </row>
    <row r="113" spans="1:20" s="462" customFormat="1" ht="19.5" customHeight="1">
      <c r="A113" s="1763" t="s">
        <v>997</v>
      </c>
      <c r="B113" s="1765"/>
      <c r="C113" s="471" t="s">
        <v>998</v>
      </c>
      <c r="D113" s="454" t="s">
        <v>801</v>
      </c>
      <c r="E113" s="455">
        <v>500</v>
      </c>
      <c r="F113" s="456">
        <v>9038.8888888888887</v>
      </c>
      <c r="G113" s="455">
        <v>588</v>
      </c>
      <c r="H113" s="459">
        <f>188600/18</f>
        <v>10477.777777777777</v>
      </c>
      <c r="I113" s="455">
        <v>614</v>
      </c>
      <c r="J113" s="459">
        <f>150000/18</f>
        <v>8333.3333333333339</v>
      </c>
      <c r="K113" s="466">
        <v>466</v>
      </c>
      <c r="L113" s="467">
        <v>8778</v>
      </c>
      <c r="M113" s="468">
        <v>6958</v>
      </c>
      <c r="N113" s="460">
        <f t="shared" si="1"/>
        <v>6958</v>
      </c>
      <c r="O113" s="461" t="s">
        <v>999</v>
      </c>
      <c r="P113" s="461" t="s">
        <v>807</v>
      </c>
    </row>
    <row r="114" spans="1:20" s="462" customFormat="1" ht="19.5" customHeight="1">
      <c r="A114" s="1763" t="s">
        <v>1000</v>
      </c>
      <c r="B114" s="1765"/>
      <c r="C114" s="471" t="s">
        <v>1001</v>
      </c>
      <c r="D114" s="454" t="s">
        <v>801</v>
      </c>
      <c r="E114" s="455">
        <v>500</v>
      </c>
      <c r="F114" s="456">
        <v>2708.3333333333335</v>
      </c>
      <c r="G114" s="455">
        <v>588</v>
      </c>
      <c r="H114" s="459">
        <f>INT(48600/18)</f>
        <v>2700</v>
      </c>
      <c r="I114" s="455">
        <v>614</v>
      </c>
      <c r="J114" s="459">
        <f>62600/18</f>
        <v>3477.7777777777778</v>
      </c>
      <c r="K114" s="466">
        <v>466</v>
      </c>
      <c r="L114" s="467">
        <f>64500/18</f>
        <v>3583.3333333333335</v>
      </c>
      <c r="M114" s="468">
        <v>2300</v>
      </c>
      <c r="N114" s="460">
        <f t="shared" si="1"/>
        <v>2300</v>
      </c>
      <c r="O114" s="461" t="s">
        <v>1002</v>
      </c>
      <c r="P114" s="461" t="s">
        <v>807</v>
      </c>
    </row>
    <row r="115" spans="1:20" s="462" customFormat="1" ht="19.5" customHeight="1">
      <c r="A115" s="1763" t="s">
        <v>1003</v>
      </c>
      <c r="B115" s="1765"/>
      <c r="C115" s="471" t="s">
        <v>1004</v>
      </c>
      <c r="D115" s="454" t="s">
        <v>835</v>
      </c>
      <c r="E115" s="455">
        <v>504</v>
      </c>
      <c r="F115" s="456">
        <v>1800</v>
      </c>
      <c r="G115" s="455">
        <v>598</v>
      </c>
      <c r="H115" s="459">
        <f>INT(45000/25)</f>
        <v>1800</v>
      </c>
      <c r="I115" s="455">
        <v>622</v>
      </c>
      <c r="J115" s="459">
        <f>11000/5</f>
        <v>2200</v>
      </c>
      <c r="K115" s="466">
        <v>469</v>
      </c>
      <c r="L115" s="467">
        <v>2333</v>
      </c>
      <c r="M115" s="475"/>
      <c r="N115" s="460">
        <f>MIN(F115,H115,J115,L115,M115)</f>
        <v>1800</v>
      </c>
      <c r="O115" s="461"/>
      <c r="P115" s="461"/>
    </row>
    <row r="116" spans="1:20" s="462" customFormat="1" ht="20.100000000000001" customHeight="1">
      <c r="A116" s="1763" t="s">
        <v>1005</v>
      </c>
      <c r="B116" s="1765"/>
      <c r="C116" s="471"/>
      <c r="D116" s="454" t="s">
        <v>880</v>
      </c>
      <c r="E116" s="455">
        <v>504</v>
      </c>
      <c r="F116" s="456">
        <v>4167</v>
      </c>
      <c r="G116" s="455">
        <v>593</v>
      </c>
      <c r="H116" s="459">
        <f>INT(75000/17)</f>
        <v>4411</v>
      </c>
      <c r="I116" s="455">
        <v>621</v>
      </c>
      <c r="J116" s="459">
        <f>67320/18</f>
        <v>3740</v>
      </c>
      <c r="K116" s="466">
        <v>470</v>
      </c>
      <c r="L116" s="467">
        <v>3740</v>
      </c>
      <c r="M116" s="468"/>
      <c r="N116" s="460">
        <f t="shared" si="1"/>
        <v>3740</v>
      </c>
      <c r="O116" s="461"/>
      <c r="P116" s="461"/>
    </row>
    <row r="117" spans="1:20" s="462" customFormat="1" ht="20.100000000000001" customHeight="1">
      <c r="A117" s="1763" t="s">
        <v>1006</v>
      </c>
      <c r="B117" s="1765"/>
      <c r="C117" s="471" t="s">
        <v>1007</v>
      </c>
      <c r="D117" s="454" t="s">
        <v>805</v>
      </c>
      <c r="E117" s="455"/>
      <c r="F117" s="456"/>
      <c r="G117" s="455">
        <v>91</v>
      </c>
      <c r="H117" s="459">
        <v>16500</v>
      </c>
      <c r="I117" s="455">
        <v>123</v>
      </c>
      <c r="J117" s="459">
        <v>15000</v>
      </c>
      <c r="K117" s="466">
        <v>72</v>
      </c>
      <c r="L117" s="467">
        <v>17000</v>
      </c>
      <c r="M117" s="468"/>
      <c r="N117" s="460">
        <f t="shared" si="1"/>
        <v>15000</v>
      </c>
      <c r="O117" s="461"/>
      <c r="P117" s="461"/>
    </row>
    <row r="118" spans="1:20" s="462" customFormat="1" ht="20.100000000000001" customHeight="1">
      <c r="A118" s="1763" t="s">
        <v>1008</v>
      </c>
      <c r="B118" s="1765"/>
      <c r="C118" s="471"/>
      <c r="D118" s="454" t="s">
        <v>805</v>
      </c>
      <c r="E118" s="455"/>
      <c r="F118" s="456"/>
      <c r="G118" s="455">
        <v>90</v>
      </c>
      <c r="H118" s="459">
        <v>10000</v>
      </c>
      <c r="I118" s="455">
        <v>143</v>
      </c>
      <c r="J118" s="459">
        <v>20000</v>
      </c>
      <c r="K118" s="466"/>
      <c r="L118" s="467"/>
      <c r="M118" s="468"/>
      <c r="N118" s="460">
        <f t="shared" si="1"/>
        <v>10000</v>
      </c>
      <c r="O118" s="461"/>
      <c r="P118" s="461"/>
    </row>
    <row r="119" spans="1:20" s="462" customFormat="1" ht="20.100000000000001" customHeight="1">
      <c r="A119" s="1763" t="s">
        <v>1009</v>
      </c>
      <c r="B119" s="1765"/>
      <c r="C119" s="471" t="s">
        <v>1010</v>
      </c>
      <c r="D119" s="454" t="s">
        <v>645</v>
      </c>
      <c r="E119" s="455">
        <v>587</v>
      </c>
      <c r="F119" s="456">
        <v>24900</v>
      </c>
      <c r="G119" s="455">
        <v>670</v>
      </c>
      <c r="H119" s="459">
        <f>INT(34400/(1.22*2.44))</f>
        <v>11556</v>
      </c>
      <c r="I119" s="455">
        <v>667</v>
      </c>
      <c r="J119" s="459">
        <f>21100/0.91/1.82</f>
        <v>12740.007245501751</v>
      </c>
      <c r="K119" s="466">
        <v>407</v>
      </c>
      <c r="L119" s="467">
        <v>11543</v>
      </c>
      <c r="M119" s="468">
        <v>12682</v>
      </c>
      <c r="N119" s="460">
        <f>MIN(F119,H119,J119,L119,M119)</f>
        <v>11543</v>
      </c>
      <c r="O119" s="461" t="s">
        <v>1011</v>
      </c>
      <c r="P119" s="461" t="s">
        <v>807</v>
      </c>
    </row>
    <row r="120" spans="1:20" s="462" customFormat="1" ht="20.100000000000001" customHeight="1">
      <c r="A120" s="1763" t="s">
        <v>1009</v>
      </c>
      <c r="B120" s="1765"/>
      <c r="C120" s="471" t="s">
        <v>1012</v>
      </c>
      <c r="D120" s="454" t="s">
        <v>645</v>
      </c>
      <c r="E120" s="455">
        <v>587</v>
      </c>
      <c r="F120" s="456">
        <v>7500</v>
      </c>
      <c r="G120" s="455">
        <v>670</v>
      </c>
      <c r="H120" s="459">
        <f>INT(9400/(1.22*2.44))</f>
        <v>3157</v>
      </c>
      <c r="I120" s="455">
        <v>667</v>
      </c>
      <c r="J120" s="459">
        <f>6800/0.91/1.82</f>
        <v>4105.7843255645448</v>
      </c>
      <c r="K120" s="466">
        <v>407</v>
      </c>
      <c r="L120" s="467">
        <v>3154</v>
      </c>
      <c r="M120" s="468"/>
      <c r="N120" s="460">
        <f t="shared" si="1"/>
        <v>3154</v>
      </c>
      <c r="O120" s="461"/>
      <c r="P120" s="494"/>
    </row>
    <row r="121" spans="1:20" s="462" customFormat="1" ht="20.100000000000001" customHeight="1">
      <c r="A121" s="1763" t="s">
        <v>1013</v>
      </c>
      <c r="B121" s="1765"/>
      <c r="C121" s="471" t="s">
        <v>1014</v>
      </c>
      <c r="D121" s="454" t="s">
        <v>662</v>
      </c>
      <c r="E121" s="455">
        <v>660</v>
      </c>
      <c r="F121" s="456">
        <v>3200000</v>
      </c>
      <c r="G121" s="455">
        <v>516</v>
      </c>
      <c r="H121" s="459">
        <v>3200000</v>
      </c>
      <c r="I121" s="455">
        <v>750</v>
      </c>
      <c r="J121" s="459">
        <v>3200000</v>
      </c>
      <c r="K121" s="466"/>
      <c r="L121" s="467"/>
      <c r="M121" s="468">
        <v>3320000</v>
      </c>
      <c r="N121" s="460">
        <f t="shared" si="1"/>
        <v>3200000</v>
      </c>
      <c r="O121" s="461" t="s">
        <v>1015</v>
      </c>
      <c r="P121" s="461" t="s">
        <v>807</v>
      </c>
    </row>
    <row r="122" spans="1:20" s="462" customFormat="1" ht="20.100000000000001" customHeight="1">
      <c r="A122" s="1763" t="s">
        <v>1013</v>
      </c>
      <c r="B122" s="1765"/>
      <c r="C122" s="471" t="s">
        <v>1016</v>
      </c>
      <c r="D122" s="454" t="s">
        <v>1017</v>
      </c>
      <c r="E122" s="455">
        <v>660</v>
      </c>
      <c r="F122" s="456">
        <v>4600000</v>
      </c>
      <c r="G122" s="455">
        <v>516</v>
      </c>
      <c r="H122" s="459">
        <v>4600000</v>
      </c>
      <c r="I122" s="455">
        <v>750</v>
      </c>
      <c r="J122" s="459">
        <v>4400000</v>
      </c>
      <c r="K122" s="466"/>
      <c r="L122" s="467"/>
      <c r="M122" s="468">
        <v>3600000</v>
      </c>
      <c r="N122" s="460">
        <f t="shared" si="1"/>
        <v>3600000</v>
      </c>
      <c r="O122" s="461" t="s">
        <v>1018</v>
      </c>
      <c r="P122" s="461" t="s">
        <v>807</v>
      </c>
      <c r="R122" s="462">
        <f>6.1*3</f>
        <v>18.299999999999997</v>
      </c>
      <c r="S122" s="462">
        <v>8640000</v>
      </c>
    </row>
    <row r="123" spans="1:20" s="462" customFormat="1" ht="19.5" customHeight="1">
      <c r="A123" s="1763" t="s">
        <v>1019</v>
      </c>
      <c r="B123" s="1765"/>
      <c r="C123" s="471" t="s">
        <v>1014</v>
      </c>
      <c r="D123" s="454" t="s">
        <v>662</v>
      </c>
      <c r="E123" s="455">
        <v>660</v>
      </c>
      <c r="F123" s="456">
        <v>3200000</v>
      </c>
      <c r="G123" s="455"/>
      <c r="H123" s="459"/>
      <c r="I123" s="455">
        <v>750</v>
      </c>
      <c r="J123" s="459">
        <v>2800000</v>
      </c>
      <c r="K123" s="466"/>
      <c r="L123" s="467"/>
      <c r="M123" s="468">
        <v>3150000</v>
      </c>
      <c r="N123" s="460">
        <f t="shared" si="1"/>
        <v>2800000</v>
      </c>
      <c r="O123" s="461" t="s">
        <v>1020</v>
      </c>
      <c r="P123" s="461" t="s">
        <v>807</v>
      </c>
      <c r="R123" s="462">
        <f>3*6*2.6</f>
        <v>46.800000000000004</v>
      </c>
      <c r="S123" s="497">
        <f>S122/1.1</f>
        <v>7854545.4545454541</v>
      </c>
    </row>
    <row r="124" spans="1:20" s="462" customFormat="1" ht="19.5" customHeight="1">
      <c r="A124" s="1763" t="s">
        <v>1019</v>
      </c>
      <c r="B124" s="1765"/>
      <c r="C124" s="471" t="s">
        <v>1016</v>
      </c>
      <c r="D124" s="454" t="s">
        <v>1017</v>
      </c>
      <c r="E124" s="455">
        <v>660</v>
      </c>
      <c r="F124" s="456">
        <v>3900000</v>
      </c>
      <c r="G124" s="455"/>
      <c r="H124" s="459"/>
      <c r="I124" s="455">
        <v>750</v>
      </c>
      <c r="J124" s="459">
        <v>4100000</v>
      </c>
      <c r="K124" s="466"/>
      <c r="L124" s="467"/>
      <c r="M124" s="468">
        <v>3185000</v>
      </c>
      <c r="N124" s="460">
        <f t="shared" si="1"/>
        <v>3185000</v>
      </c>
      <c r="O124" s="461" t="s">
        <v>1020</v>
      </c>
      <c r="P124" s="461" t="s">
        <v>807</v>
      </c>
      <c r="R124" s="462">
        <f>6.1*3*2.3</f>
        <v>42.089999999999989</v>
      </c>
      <c r="S124" s="462">
        <v>7854545</v>
      </c>
      <c r="T124" s="498">
        <f>S124/R124</f>
        <v>186613.09099548592</v>
      </c>
    </row>
    <row r="125" spans="1:20" s="486" customFormat="1" ht="20.100000000000001" customHeight="1">
      <c r="A125" s="1763" t="s">
        <v>1021</v>
      </c>
      <c r="B125" s="1764"/>
      <c r="C125" s="471" t="s">
        <v>1022</v>
      </c>
      <c r="D125" s="454" t="s">
        <v>297</v>
      </c>
      <c r="E125" s="455">
        <v>720</v>
      </c>
      <c r="F125" s="456">
        <v>13045</v>
      </c>
      <c r="G125" s="455">
        <v>754</v>
      </c>
      <c r="H125" s="459">
        <f>INT(49960/4)</f>
        <v>12490</v>
      </c>
      <c r="I125" s="455">
        <v>795</v>
      </c>
      <c r="J125" s="459">
        <f>84491/6</f>
        <v>14081.833333333334</v>
      </c>
      <c r="K125" s="466">
        <v>554</v>
      </c>
      <c r="L125" s="467">
        <v>13175</v>
      </c>
      <c r="M125" s="468"/>
      <c r="N125" s="460">
        <f t="shared" si="1"/>
        <v>12490</v>
      </c>
      <c r="O125" s="461"/>
      <c r="P125" s="461"/>
    </row>
    <row r="126" spans="1:20" s="486" customFormat="1" ht="20.100000000000001" customHeight="1">
      <c r="A126" s="1763" t="s">
        <v>1021</v>
      </c>
      <c r="B126" s="1764"/>
      <c r="C126" s="471" t="s">
        <v>1023</v>
      </c>
      <c r="D126" s="454" t="s">
        <v>297</v>
      </c>
      <c r="E126" s="455">
        <v>720</v>
      </c>
      <c r="F126" s="456">
        <v>20588</v>
      </c>
      <c r="G126" s="455">
        <v>754</v>
      </c>
      <c r="H126" s="459">
        <f>INT(78840/4)</f>
        <v>19710</v>
      </c>
      <c r="I126" s="455">
        <v>795</v>
      </c>
      <c r="J126" s="459">
        <f>102014/6</f>
        <v>17002.333333333332</v>
      </c>
      <c r="K126" s="466">
        <v>554</v>
      </c>
      <c r="L126" s="467">
        <v>20125</v>
      </c>
      <c r="M126" s="468"/>
      <c r="N126" s="460">
        <f t="shared" si="1"/>
        <v>17002.333333333332</v>
      </c>
      <c r="O126" s="461"/>
      <c r="P126" s="461"/>
    </row>
    <row r="127" spans="1:20" s="486" customFormat="1" ht="20.100000000000001" customHeight="1">
      <c r="A127" s="1763" t="s">
        <v>1021</v>
      </c>
      <c r="B127" s="1764"/>
      <c r="C127" s="471" t="s">
        <v>1024</v>
      </c>
      <c r="D127" s="454" t="s">
        <v>297</v>
      </c>
      <c r="E127" s="455">
        <v>720</v>
      </c>
      <c r="F127" s="456">
        <v>28562</v>
      </c>
      <c r="G127" s="455">
        <v>754</v>
      </c>
      <c r="H127" s="459">
        <f>INT(109390/4)</f>
        <v>27347</v>
      </c>
      <c r="I127" s="455">
        <v>795</v>
      </c>
      <c r="J127" s="459">
        <f>166529/6</f>
        <v>27754.833333333332</v>
      </c>
      <c r="K127" s="466">
        <v>554</v>
      </c>
      <c r="L127" s="467">
        <v>30200</v>
      </c>
      <c r="M127" s="468"/>
      <c r="N127" s="460">
        <f t="shared" si="1"/>
        <v>27347</v>
      </c>
      <c r="O127" s="461"/>
      <c r="P127" s="461"/>
    </row>
    <row r="128" spans="1:20" s="486" customFormat="1" ht="20.100000000000001" customHeight="1">
      <c r="A128" s="1763" t="s">
        <v>1021</v>
      </c>
      <c r="B128" s="1764"/>
      <c r="C128" s="471" t="s">
        <v>1025</v>
      </c>
      <c r="D128" s="454" t="s">
        <v>30</v>
      </c>
      <c r="E128" s="455">
        <v>715</v>
      </c>
      <c r="F128" s="456">
        <v>1660</v>
      </c>
      <c r="G128" s="455">
        <v>755</v>
      </c>
      <c r="H128" s="459">
        <v>1232</v>
      </c>
      <c r="I128" s="455">
        <v>794</v>
      </c>
      <c r="J128" s="459">
        <v>1093</v>
      </c>
      <c r="K128" s="466">
        <v>555</v>
      </c>
      <c r="L128" s="467">
        <v>1232</v>
      </c>
      <c r="M128" s="468"/>
      <c r="N128" s="460">
        <f t="shared" si="1"/>
        <v>1093</v>
      </c>
      <c r="O128" s="461"/>
      <c r="P128" s="461">
        <f>0.91*1.82</f>
        <v>1.6562000000000001</v>
      </c>
      <c r="Q128" s="486">
        <f>20160/P128</f>
        <v>12172.442941673709</v>
      </c>
    </row>
    <row r="129" spans="1:16" s="486" customFormat="1" ht="20.100000000000001" customHeight="1">
      <c r="A129" s="1763" t="s">
        <v>1021</v>
      </c>
      <c r="B129" s="1764"/>
      <c r="C129" s="471" t="s">
        <v>1026</v>
      </c>
      <c r="D129" s="454" t="s">
        <v>30</v>
      </c>
      <c r="E129" s="455">
        <v>715</v>
      </c>
      <c r="F129" s="456">
        <v>3270</v>
      </c>
      <c r="G129" s="455">
        <v>755</v>
      </c>
      <c r="H129" s="459">
        <v>2142</v>
      </c>
      <c r="I129" s="455">
        <v>794</v>
      </c>
      <c r="J129" s="459">
        <v>1921</v>
      </c>
      <c r="K129" s="466">
        <v>555</v>
      </c>
      <c r="L129" s="467">
        <v>2142</v>
      </c>
      <c r="M129" s="468"/>
      <c r="N129" s="460">
        <f t="shared" si="1"/>
        <v>1921</v>
      </c>
      <c r="O129" s="461"/>
      <c r="P129" s="461">
        <v>6608</v>
      </c>
    </row>
    <row r="130" spans="1:16" s="486" customFormat="1" ht="20.100000000000001" customHeight="1">
      <c r="A130" s="1763" t="s">
        <v>1021</v>
      </c>
      <c r="B130" s="1764"/>
      <c r="C130" s="471" t="s">
        <v>1027</v>
      </c>
      <c r="D130" s="454" t="s">
        <v>30</v>
      </c>
      <c r="E130" s="455">
        <v>715</v>
      </c>
      <c r="F130" s="456">
        <v>5540</v>
      </c>
      <c r="G130" s="455">
        <v>755</v>
      </c>
      <c r="H130" s="459">
        <v>3528</v>
      </c>
      <c r="I130" s="455">
        <v>794</v>
      </c>
      <c r="J130" s="459">
        <v>3163</v>
      </c>
      <c r="K130" s="466">
        <v>555</v>
      </c>
      <c r="L130" s="467">
        <v>3528</v>
      </c>
      <c r="M130" s="468"/>
      <c r="N130" s="460">
        <f t="shared" si="1"/>
        <v>3163</v>
      </c>
      <c r="O130" s="461"/>
      <c r="P130" s="461">
        <f>P129/P128</f>
        <v>3989.8562975486047</v>
      </c>
    </row>
    <row r="131" spans="1:16" s="486" customFormat="1" ht="20.100000000000001" customHeight="1">
      <c r="A131" s="1763" t="s">
        <v>1028</v>
      </c>
      <c r="B131" s="1765"/>
      <c r="C131" s="471" t="s">
        <v>1029</v>
      </c>
      <c r="D131" s="454" t="s">
        <v>45</v>
      </c>
      <c r="E131" s="455">
        <v>737</v>
      </c>
      <c r="F131" s="456">
        <v>9500</v>
      </c>
      <c r="G131" s="455">
        <v>799</v>
      </c>
      <c r="H131" s="459">
        <v>17200</v>
      </c>
      <c r="I131" s="455">
        <v>813</v>
      </c>
      <c r="J131" s="459">
        <v>19800</v>
      </c>
      <c r="K131" s="466">
        <v>584</v>
      </c>
      <c r="L131" s="467">
        <v>17200</v>
      </c>
      <c r="M131" s="468"/>
      <c r="N131" s="460">
        <f t="shared" si="1"/>
        <v>9500</v>
      </c>
      <c r="O131" s="461"/>
      <c r="P131" s="461"/>
    </row>
    <row r="132" spans="1:16" s="486" customFormat="1" ht="20.100000000000001" customHeight="1">
      <c r="A132" s="1763" t="s">
        <v>1028</v>
      </c>
      <c r="B132" s="1765"/>
      <c r="C132" s="471" t="s">
        <v>1030</v>
      </c>
      <c r="D132" s="454" t="s">
        <v>45</v>
      </c>
      <c r="E132" s="455">
        <v>737</v>
      </c>
      <c r="F132" s="456">
        <v>11100</v>
      </c>
      <c r="G132" s="455">
        <v>799</v>
      </c>
      <c r="H132" s="459">
        <v>22200</v>
      </c>
      <c r="I132" s="455">
        <v>813</v>
      </c>
      <c r="J132" s="459">
        <v>21000</v>
      </c>
      <c r="K132" s="466">
        <v>584</v>
      </c>
      <c r="L132" s="467">
        <v>22000</v>
      </c>
      <c r="M132" s="468"/>
      <c r="N132" s="460">
        <f t="shared" si="1"/>
        <v>11100</v>
      </c>
      <c r="O132" s="461"/>
      <c r="P132" s="461"/>
    </row>
    <row r="133" spans="1:16" s="486" customFormat="1" ht="20.100000000000001" customHeight="1">
      <c r="A133" s="1763" t="s">
        <v>1028</v>
      </c>
      <c r="B133" s="1765"/>
      <c r="C133" s="471" t="s">
        <v>1031</v>
      </c>
      <c r="D133" s="454" t="s">
        <v>45</v>
      </c>
      <c r="E133" s="455">
        <v>737</v>
      </c>
      <c r="F133" s="456">
        <v>12600</v>
      </c>
      <c r="G133" s="455">
        <v>799</v>
      </c>
      <c r="H133" s="459">
        <v>26200</v>
      </c>
      <c r="I133" s="455">
        <v>813</v>
      </c>
      <c r="J133" s="459">
        <v>23200</v>
      </c>
      <c r="K133" s="466">
        <v>584</v>
      </c>
      <c r="L133" s="467">
        <v>26200</v>
      </c>
      <c r="M133" s="468"/>
      <c r="N133" s="460">
        <f t="shared" si="1"/>
        <v>12600</v>
      </c>
      <c r="O133" s="461"/>
      <c r="P133" s="461"/>
    </row>
    <row r="134" spans="1:16" s="486" customFormat="1" ht="20.100000000000001" customHeight="1">
      <c r="A134" s="1763" t="s">
        <v>1028</v>
      </c>
      <c r="B134" s="1765"/>
      <c r="C134" s="471" t="s">
        <v>1032</v>
      </c>
      <c r="D134" s="454" t="s">
        <v>45</v>
      </c>
      <c r="E134" s="455">
        <v>737</v>
      </c>
      <c r="F134" s="456">
        <v>14400</v>
      </c>
      <c r="G134" s="455">
        <v>799</v>
      </c>
      <c r="H134" s="459">
        <v>32700</v>
      </c>
      <c r="I134" s="455">
        <v>813</v>
      </c>
      <c r="J134" s="459">
        <v>27200</v>
      </c>
      <c r="K134" s="466">
        <v>584</v>
      </c>
      <c r="L134" s="467">
        <v>32700</v>
      </c>
      <c r="M134" s="468"/>
      <c r="N134" s="460">
        <f t="shared" si="1"/>
        <v>14400</v>
      </c>
      <c r="O134" s="461"/>
      <c r="P134" s="461"/>
    </row>
    <row r="135" spans="1:16" s="486" customFormat="1" ht="20.100000000000001" customHeight="1">
      <c r="A135" s="1763" t="s">
        <v>1033</v>
      </c>
      <c r="B135" s="1765"/>
      <c r="C135" s="471" t="s">
        <v>1034</v>
      </c>
      <c r="D135" s="454" t="s">
        <v>297</v>
      </c>
      <c r="E135" s="455">
        <v>743</v>
      </c>
      <c r="F135" s="456">
        <v>15580</v>
      </c>
      <c r="G135" s="455">
        <v>799</v>
      </c>
      <c r="H135" s="459">
        <v>14800</v>
      </c>
      <c r="I135" s="455">
        <v>813</v>
      </c>
      <c r="J135" s="459">
        <v>15580</v>
      </c>
      <c r="K135" s="466">
        <v>584</v>
      </c>
      <c r="L135" s="467">
        <v>14800</v>
      </c>
      <c r="M135" s="468"/>
      <c r="N135" s="460">
        <f t="shared" si="1"/>
        <v>14800</v>
      </c>
      <c r="O135" s="461"/>
      <c r="P135" s="461"/>
    </row>
    <row r="136" spans="1:16" s="486" customFormat="1" ht="20.100000000000001" customHeight="1">
      <c r="A136" s="1763" t="s">
        <v>1033</v>
      </c>
      <c r="B136" s="1765"/>
      <c r="C136" s="471" t="s">
        <v>1035</v>
      </c>
      <c r="D136" s="454" t="s">
        <v>297</v>
      </c>
      <c r="E136" s="455">
        <v>743</v>
      </c>
      <c r="F136" s="456">
        <v>18640</v>
      </c>
      <c r="G136" s="455">
        <v>799</v>
      </c>
      <c r="H136" s="459">
        <v>17700</v>
      </c>
      <c r="I136" s="455">
        <v>813</v>
      </c>
      <c r="J136" s="459">
        <v>18640</v>
      </c>
      <c r="K136" s="466">
        <v>584</v>
      </c>
      <c r="L136" s="467">
        <v>17700</v>
      </c>
      <c r="M136" s="468"/>
      <c r="N136" s="460">
        <f t="shared" si="1"/>
        <v>17700</v>
      </c>
      <c r="O136" s="461"/>
      <c r="P136" s="461"/>
    </row>
    <row r="137" spans="1:16" s="486" customFormat="1" ht="20.100000000000001" customHeight="1">
      <c r="A137" s="1763" t="s">
        <v>1033</v>
      </c>
      <c r="B137" s="1765"/>
      <c r="C137" s="471" t="s">
        <v>1036</v>
      </c>
      <c r="D137" s="454" t="s">
        <v>297</v>
      </c>
      <c r="E137" s="455">
        <v>743</v>
      </c>
      <c r="F137" s="456">
        <v>24490</v>
      </c>
      <c r="G137" s="455">
        <v>799</v>
      </c>
      <c r="H137" s="459">
        <v>23300</v>
      </c>
      <c r="I137" s="455">
        <v>813</v>
      </c>
      <c r="J137" s="459">
        <v>24490</v>
      </c>
      <c r="K137" s="466">
        <v>584</v>
      </c>
      <c r="L137" s="467">
        <v>23300</v>
      </c>
      <c r="M137" s="468"/>
      <c r="N137" s="460">
        <f t="shared" si="1"/>
        <v>23300</v>
      </c>
      <c r="O137" s="461"/>
      <c r="P137" s="461"/>
    </row>
    <row r="138" spans="1:16" s="486" customFormat="1" ht="20.100000000000001" customHeight="1">
      <c r="A138" s="1763" t="s">
        <v>1033</v>
      </c>
      <c r="B138" s="1765"/>
      <c r="C138" s="471" t="s">
        <v>1037</v>
      </c>
      <c r="D138" s="454" t="s">
        <v>297</v>
      </c>
      <c r="E138" s="455">
        <v>743</v>
      </c>
      <c r="F138" s="456">
        <v>32120</v>
      </c>
      <c r="G138" s="455">
        <v>799</v>
      </c>
      <c r="H138" s="459">
        <v>29400</v>
      </c>
      <c r="I138" s="455">
        <v>813</v>
      </c>
      <c r="J138" s="459">
        <v>32120</v>
      </c>
      <c r="K138" s="466">
        <v>584</v>
      </c>
      <c r="L138" s="467">
        <v>29400</v>
      </c>
      <c r="M138" s="468"/>
      <c r="N138" s="460">
        <f t="shared" ref="N138:N150" si="2">MIN(F138,H138,J138,L138,M138)</f>
        <v>29400</v>
      </c>
      <c r="O138" s="461"/>
      <c r="P138" s="461"/>
    </row>
    <row r="139" spans="1:16" s="462" customFormat="1" ht="20.100000000000001" customHeight="1">
      <c r="A139" s="1763" t="s">
        <v>1038</v>
      </c>
      <c r="B139" s="1765"/>
      <c r="C139" s="471" t="s">
        <v>1039</v>
      </c>
      <c r="D139" s="454" t="s">
        <v>915</v>
      </c>
      <c r="E139" s="455">
        <v>2</v>
      </c>
      <c r="F139" s="456">
        <v>765000</v>
      </c>
      <c r="G139" s="455">
        <v>2</v>
      </c>
      <c r="H139" s="459">
        <v>775000</v>
      </c>
      <c r="I139" s="455">
        <v>49</v>
      </c>
      <c r="J139" s="459">
        <v>750000</v>
      </c>
      <c r="K139" s="466">
        <v>17</v>
      </c>
      <c r="L139" s="467">
        <v>804000</v>
      </c>
      <c r="M139" s="468"/>
      <c r="N139" s="460">
        <f t="shared" si="2"/>
        <v>750000</v>
      </c>
      <c r="O139" s="461"/>
      <c r="P139" s="461"/>
    </row>
    <row r="140" spans="1:16" s="462" customFormat="1" ht="20.100000000000001" customHeight="1">
      <c r="A140" s="1763" t="s">
        <v>1038</v>
      </c>
      <c r="B140" s="1765"/>
      <c r="C140" s="471" t="s">
        <v>1040</v>
      </c>
      <c r="D140" s="454" t="s">
        <v>915</v>
      </c>
      <c r="E140" s="455">
        <v>2</v>
      </c>
      <c r="F140" s="456">
        <v>760000</v>
      </c>
      <c r="G140" s="455">
        <v>2</v>
      </c>
      <c r="H140" s="459">
        <v>775000</v>
      </c>
      <c r="I140" s="455">
        <v>49</v>
      </c>
      <c r="J140" s="459">
        <v>750000</v>
      </c>
      <c r="K140" s="466">
        <v>17</v>
      </c>
      <c r="L140" s="467">
        <v>804000</v>
      </c>
      <c r="M140" s="468"/>
      <c r="N140" s="460">
        <f t="shared" si="2"/>
        <v>750000</v>
      </c>
      <c r="O140" s="461"/>
      <c r="P140" s="461"/>
    </row>
    <row r="141" spans="1:16" s="462" customFormat="1" ht="20.100000000000001" customHeight="1">
      <c r="A141" s="1763" t="s">
        <v>1041</v>
      </c>
      <c r="B141" s="1765"/>
      <c r="C141" s="471"/>
      <c r="D141" s="454" t="s">
        <v>805</v>
      </c>
      <c r="E141" s="455">
        <v>1438</v>
      </c>
      <c r="F141" s="456">
        <v>1364</v>
      </c>
      <c r="G141" s="455" t="s">
        <v>1042</v>
      </c>
      <c r="H141" s="459">
        <f>INT(2445.02/1.1)</f>
        <v>2222</v>
      </c>
      <c r="I141" s="455">
        <v>1451</v>
      </c>
      <c r="J141" s="459">
        <v>2076.77</v>
      </c>
      <c r="K141" s="466">
        <v>1189</v>
      </c>
      <c r="L141" s="467">
        <v>2442</v>
      </c>
      <c r="M141" s="468">
        <v>2138</v>
      </c>
      <c r="N141" s="460">
        <f t="shared" si="2"/>
        <v>1364</v>
      </c>
      <c r="O141" s="461" t="s">
        <v>1043</v>
      </c>
      <c r="P141" s="461" t="s">
        <v>807</v>
      </c>
    </row>
    <row r="142" spans="1:16" s="462" customFormat="1" ht="20.100000000000001" customHeight="1">
      <c r="A142" s="1763" t="s">
        <v>1044</v>
      </c>
      <c r="B142" s="1765"/>
      <c r="C142" s="471" t="s">
        <v>1045</v>
      </c>
      <c r="D142" s="454" t="s">
        <v>805</v>
      </c>
      <c r="E142" s="455">
        <v>1438</v>
      </c>
      <c r="F142" s="456">
        <v>50000</v>
      </c>
      <c r="G142" s="455" t="s">
        <v>1046</v>
      </c>
      <c r="H142" s="459">
        <v>30000</v>
      </c>
      <c r="I142" s="455">
        <v>1451</v>
      </c>
      <c r="J142" s="459">
        <v>52000</v>
      </c>
      <c r="K142" s="466">
        <v>1190</v>
      </c>
      <c r="L142" s="467">
        <v>30000</v>
      </c>
      <c r="M142" s="468">
        <v>14869</v>
      </c>
      <c r="N142" s="460">
        <f t="shared" si="2"/>
        <v>14869</v>
      </c>
      <c r="O142" s="461" t="s">
        <v>1047</v>
      </c>
      <c r="P142" s="461" t="s">
        <v>807</v>
      </c>
    </row>
    <row r="143" spans="1:16" s="462" customFormat="1" ht="20.100000000000001" customHeight="1">
      <c r="A143" s="1763" t="s">
        <v>1048</v>
      </c>
      <c r="B143" s="1765"/>
      <c r="C143" s="495" t="s">
        <v>1049</v>
      </c>
      <c r="D143" s="454" t="s">
        <v>880</v>
      </c>
      <c r="E143" s="455">
        <v>1438</v>
      </c>
      <c r="F143" s="456">
        <v>4.0999999999999996</v>
      </c>
      <c r="G143" s="455" t="s">
        <v>1046</v>
      </c>
      <c r="H143" s="459">
        <f>INT(9900/40)</f>
        <v>247</v>
      </c>
      <c r="I143" s="455">
        <v>1451</v>
      </c>
      <c r="J143" s="459">
        <f>20000/40</f>
        <v>500</v>
      </c>
      <c r="K143" s="466">
        <v>1190</v>
      </c>
      <c r="L143" s="467">
        <v>500</v>
      </c>
      <c r="M143" s="475">
        <v>2</v>
      </c>
      <c r="N143" s="499">
        <f t="shared" si="2"/>
        <v>2</v>
      </c>
      <c r="O143" s="461" t="s">
        <v>1050</v>
      </c>
      <c r="P143" s="461" t="s">
        <v>807</v>
      </c>
    </row>
    <row r="144" spans="1:16" s="462" customFormat="1" ht="20.100000000000001" customHeight="1">
      <c r="A144" s="1763" t="s">
        <v>1051</v>
      </c>
      <c r="B144" s="1765"/>
      <c r="C144" s="471" t="s">
        <v>1052</v>
      </c>
      <c r="D144" s="454" t="s">
        <v>1053</v>
      </c>
      <c r="E144" s="455" t="s">
        <v>1054</v>
      </c>
      <c r="F144" s="456">
        <v>450</v>
      </c>
      <c r="G144" s="455" t="s">
        <v>1055</v>
      </c>
      <c r="H144" s="459">
        <v>220</v>
      </c>
      <c r="I144" s="455">
        <v>1470</v>
      </c>
      <c r="J144" s="459">
        <v>460</v>
      </c>
      <c r="K144" s="466">
        <v>1197</v>
      </c>
      <c r="L144" s="467">
        <v>420</v>
      </c>
      <c r="M144" s="468"/>
      <c r="N144" s="460">
        <f t="shared" si="2"/>
        <v>220</v>
      </c>
      <c r="O144" s="461"/>
      <c r="P144" s="461"/>
    </row>
    <row r="145" spans="1:16" s="494" customFormat="1" ht="20.100000000000001" customHeight="1">
      <c r="A145" s="1763" t="s">
        <v>1056</v>
      </c>
      <c r="B145" s="1765"/>
      <c r="C145" s="471" t="s">
        <v>1057</v>
      </c>
      <c r="D145" s="454" t="s">
        <v>904</v>
      </c>
      <c r="E145" s="455"/>
      <c r="F145" s="456"/>
      <c r="G145" s="455" t="s">
        <v>1058</v>
      </c>
      <c r="H145" s="459">
        <f>INT(83480/(1.2*91))</f>
        <v>764</v>
      </c>
      <c r="I145" s="455">
        <v>1460</v>
      </c>
      <c r="J145" s="459">
        <f>50560/91/90*100</f>
        <v>617.33821733821731</v>
      </c>
      <c r="K145" s="466">
        <v>1182</v>
      </c>
      <c r="L145" s="467">
        <f>83480/(1.2*91)</f>
        <v>764.46886446886447</v>
      </c>
      <c r="M145" s="468">
        <v>514</v>
      </c>
      <c r="N145" s="460">
        <f t="shared" si="2"/>
        <v>514</v>
      </c>
      <c r="O145" s="461" t="s">
        <v>1059</v>
      </c>
      <c r="P145" s="461" t="s">
        <v>807</v>
      </c>
    </row>
    <row r="146" spans="1:16" s="494" customFormat="1" ht="19.5" customHeight="1">
      <c r="A146" s="1763" t="s">
        <v>1060</v>
      </c>
      <c r="B146" s="1765"/>
      <c r="C146" s="471"/>
      <c r="D146" s="454" t="s">
        <v>850</v>
      </c>
      <c r="E146" s="455"/>
      <c r="F146" s="456"/>
      <c r="G146" s="455" t="s">
        <v>1061</v>
      </c>
      <c r="H146" s="459">
        <f>70000*1.5</f>
        <v>105000</v>
      </c>
      <c r="I146" s="455"/>
      <c r="J146" s="473"/>
      <c r="K146" s="466"/>
      <c r="L146" s="467"/>
      <c r="M146" s="468"/>
      <c r="N146" s="460">
        <f t="shared" si="2"/>
        <v>105000</v>
      </c>
      <c r="O146" s="461"/>
      <c r="P146" s="461"/>
    </row>
    <row r="147" spans="1:16" s="486" customFormat="1" ht="19.5" customHeight="1">
      <c r="A147" s="1761" t="s">
        <v>1062</v>
      </c>
      <c r="B147" s="1762"/>
      <c r="C147" s="471"/>
      <c r="D147" s="500" t="s">
        <v>278</v>
      </c>
      <c r="E147" s="455">
        <v>1049</v>
      </c>
      <c r="F147" s="496">
        <v>36000000</v>
      </c>
      <c r="G147" s="455"/>
      <c r="H147" s="467"/>
      <c r="I147" s="466">
        <v>1340</v>
      </c>
      <c r="J147" s="467">
        <v>27000000</v>
      </c>
      <c r="K147" s="466">
        <v>1141</v>
      </c>
      <c r="L147" s="467"/>
      <c r="M147" s="501"/>
      <c r="N147" s="502">
        <f t="shared" si="2"/>
        <v>27000000</v>
      </c>
      <c r="O147" s="461"/>
      <c r="P147" s="461">
        <v>600000</v>
      </c>
    </row>
    <row r="148" spans="1:16" s="486" customFormat="1" ht="19.5" customHeight="1">
      <c r="A148" s="503" t="s">
        <v>1063</v>
      </c>
      <c r="B148" s="504"/>
      <c r="C148" s="505"/>
      <c r="D148" s="506" t="s">
        <v>278</v>
      </c>
      <c r="E148" s="455">
        <v>1028</v>
      </c>
      <c r="F148" s="496">
        <v>34700000</v>
      </c>
      <c r="G148" s="455">
        <v>1321</v>
      </c>
      <c r="H148" s="467">
        <v>35510000</v>
      </c>
      <c r="I148" s="507"/>
      <c r="J148" s="508"/>
      <c r="K148" s="466">
        <v>1108</v>
      </c>
      <c r="L148" s="467">
        <v>34700000</v>
      </c>
      <c r="M148" s="501"/>
      <c r="N148" s="509">
        <f t="shared" si="2"/>
        <v>34700000</v>
      </c>
      <c r="O148" s="461" t="s">
        <v>1064</v>
      </c>
      <c r="P148" s="461">
        <v>1.6</v>
      </c>
    </row>
    <row r="149" spans="1:16" s="462" customFormat="1" ht="19.5" customHeight="1">
      <c r="A149" s="1763" t="s">
        <v>1065</v>
      </c>
      <c r="B149" s="1764"/>
      <c r="C149" s="471"/>
      <c r="D149" s="510" t="s">
        <v>45</v>
      </c>
      <c r="E149" s="455"/>
      <c r="F149" s="456"/>
      <c r="G149" s="455"/>
      <c r="H149" s="459"/>
      <c r="I149" s="455"/>
      <c r="J149" s="473"/>
      <c r="K149" s="466"/>
      <c r="L149" s="467"/>
      <c r="M149" s="468">
        <v>6000</v>
      </c>
      <c r="N149" s="460">
        <f t="shared" si="2"/>
        <v>6000</v>
      </c>
      <c r="O149" s="461" t="s">
        <v>936</v>
      </c>
      <c r="P149" s="461">
        <v>1.7</v>
      </c>
    </row>
    <row r="150" spans="1:16" s="462" customFormat="1" ht="19.5" customHeight="1">
      <c r="A150" s="1763" t="s">
        <v>1066</v>
      </c>
      <c r="B150" s="1765"/>
      <c r="C150" s="471" t="s">
        <v>1067</v>
      </c>
      <c r="D150" s="454" t="s">
        <v>45</v>
      </c>
      <c r="E150" s="455"/>
      <c r="F150" s="456"/>
      <c r="G150" s="455"/>
      <c r="H150" s="459"/>
      <c r="I150" s="455"/>
      <c r="J150" s="473"/>
      <c r="K150" s="466"/>
      <c r="L150" s="467"/>
      <c r="M150" s="468">
        <v>300000</v>
      </c>
      <c r="N150" s="460">
        <f t="shared" si="2"/>
        <v>300000</v>
      </c>
      <c r="O150" s="461" t="s">
        <v>936</v>
      </c>
      <c r="P150" s="461">
        <f>P147*P148</f>
        <v>960000</v>
      </c>
    </row>
    <row r="151" spans="1:16" s="470" customFormat="1" ht="36" customHeight="1">
      <c r="A151" s="1759" t="s">
        <v>1068</v>
      </c>
      <c r="B151" s="1760"/>
      <c r="C151" s="464"/>
      <c r="D151" s="465" t="s">
        <v>801</v>
      </c>
      <c r="E151" s="1766" t="s">
        <v>1069</v>
      </c>
      <c r="F151" s="1767"/>
      <c r="G151" s="1767"/>
      <c r="H151" s="1767"/>
      <c r="I151" s="1767"/>
      <c r="J151" s="1767"/>
      <c r="K151" s="1768"/>
      <c r="L151" s="1768"/>
      <c r="M151" s="1769"/>
      <c r="N151" s="499">
        <f>(1270+500+170)/1000</f>
        <v>1.94</v>
      </c>
      <c r="O151" s="469" t="s">
        <v>1070</v>
      </c>
      <c r="P151" s="469"/>
    </row>
    <row r="152" spans="1:16" s="470" customFormat="1" ht="36" customHeight="1">
      <c r="A152" s="1759" t="s">
        <v>1071</v>
      </c>
      <c r="B152" s="1760"/>
      <c r="C152" s="464"/>
      <c r="D152" s="465" t="s">
        <v>1072</v>
      </c>
      <c r="E152" s="1766" t="s">
        <v>1073</v>
      </c>
      <c r="F152" s="1767"/>
      <c r="G152" s="1767"/>
      <c r="H152" s="1767"/>
      <c r="I152" s="1767"/>
      <c r="J152" s="1767"/>
      <c r="K152" s="1767"/>
      <c r="L152" s="1767"/>
      <c r="M152" s="1769"/>
      <c r="N152" s="499">
        <v>111</v>
      </c>
      <c r="O152" s="469" t="s">
        <v>1074</v>
      </c>
      <c r="P152" s="469">
        <f>1270+500+170</f>
        <v>1940</v>
      </c>
    </row>
    <row r="153" spans="1:16" s="470" customFormat="1" ht="20.100000000000001" customHeight="1">
      <c r="A153" s="1759" t="s">
        <v>830</v>
      </c>
      <c r="B153" s="1760"/>
      <c r="C153" s="464" t="s">
        <v>1075</v>
      </c>
      <c r="D153" s="465" t="s">
        <v>627</v>
      </c>
      <c r="E153" s="455"/>
      <c r="F153" s="456"/>
      <c r="G153" s="483"/>
      <c r="H153" s="458"/>
      <c r="I153" s="455">
        <v>102</v>
      </c>
      <c r="J153" s="459">
        <v>27000</v>
      </c>
      <c r="K153" s="455"/>
      <c r="L153" s="459"/>
      <c r="M153" s="459"/>
      <c r="N153" s="460">
        <f>MIN(F153,H153,J153,L153,M153)</f>
        <v>27000</v>
      </c>
      <c r="O153" s="469"/>
      <c r="P153" s="469"/>
    </row>
    <row r="154" spans="1:16" s="470" customFormat="1" ht="20.100000000000001" customHeight="1">
      <c r="A154" s="1759" t="s">
        <v>916</v>
      </c>
      <c r="B154" s="1760"/>
      <c r="C154" s="464" t="s">
        <v>1076</v>
      </c>
      <c r="D154" s="465" t="s">
        <v>627</v>
      </c>
      <c r="E154" s="455"/>
      <c r="F154" s="456"/>
      <c r="G154" s="483"/>
      <c r="H154" s="458"/>
      <c r="I154" s="455"/>
      <c r="J154" s="459"/>
      <c r="K154" s="455"/>
      <c r="L154" s="459"/>
      <c r="M154" s="459">
        <v>949200</v>
      </c>
      <c r="N154" s="460">
        <f>MIN(F154,H154,J154,L154,M154)</f>
        <v>949200</v>
      </c>
      <c r="O154" s="469"/>
      <c r="P154" s="469"/>
    </row>
    <row r="155" spans="1:16" s="470" customFormat="1" ht="20.100000000000001" customHeight="1">
      <c r="A155" s="1759" t="s">
        <v>1077</v>
      </c>
      <c r="B155" s="1760"/>
      <c r="C155" s="464" t="s">
        <v>1078</v>
      </c>
      <c r="D155" s="465" t="s">
        <v>45</v>
      </c>
      <c r="E155" s="455"/>
      <c r="F155" s="456"/>
      <c r="G155" s="483"/>
      <c r="H155" s="458"/>
      <c r="I155" s="455"/>
      <c r="J155" s="459"/>
      <c r="K155" s="455"/>
      <c r="L155" s="459"/>
      <c r="M155" s="459">
        <v>85000</v>
      </c>
      <c r="N155" s="460">
        <f>MIN(F155,H155,J155,L155,M155)</f>
        <v>85000</v>
      </c>
      <c r="O155" s="469" t="s">
        <v>936</v>
      </c>
      <c r="P155" s="469"/>
    </row>
    <row r="156" spans="1:16" s="470" customFormat="1" ht="20.100000000000001" customHeight="1">
      <c r="A156" s="1759" t="s">
        <v>1079</v>
      </c>
      <c r="B156" s="1760"/>
      <c r="C156" s="464" t="s">
        <v>1080</v>
      </c>
      <c r="D156" s="465" t="s">
        <v>30</v>
      </c>
      <c r="E156" s="479"/>
      <c r="F156" s="511"/>
      <c r="G156" s="455">
        <v>167</v>
      </c>
      <c r="H156" s="459">
        <v>150000</v>
      </c>
      <c r="I156" s="455"/>
      <c r="J156" s="459"/>
      <c r="K156" s="455"/>
      <c r="L156" s="459"/>
      <c r="M156" s="459"/>
      <c r="N156" s="460">
        <f>MIN(F156,H156,J156,L156,M156)</f>
        <v>150000</v>
      </c>
      <c r="O156" s="469"/>
      <c r="P156" s="469"/>
    </row>
    <row r="157" spans="1:16" ht="15" thickBot="1">
      <c r="L157" s="515"/>
      <c r="N157" s="517"/>
    </row>
    <row r="158" spans="1:16" s="443" customFormat="1" ht="20.100000000000001" customHeight="1">
      <c r="A158" s="1758" t="s">
        <v>1081</v>
      </c>
      <c r="B158" s="1758"/>
      <c r="C158" s="518" t="s">
        <v>1082</v>
      </c>
      <c r="D158" s="519" t="s">
        <v>915</v>
      </c>
      <c r="E158" s="520" t="s">
        <v>1083</v>
      </c>
      <c r="F158" s="521">
        <v>30000</v>
      </c>
      <c r="G158" s="522" t="s">
        <v>1084</v>
      </c>
      <c r="H158" s="523">
        <v>28510</v>
      </c>
      <c r="I158" s="524" t="s">
        <v>1085</v>
      </c>
      <c r="J158" s="521">
        <v>29396</v>
      </c>
      <c r="K158" s="524" t="s">
        <v>1086</v>
      </c>
      <c r="L158" s="525">
        <v>29396</v>
      </c>
      <c r="M158" s="526"/>
      <c r="N158" s="527">
        <f>MIN(F158,H158,J158,L158)</f>
        <v>28510</v>
      </c>
      <c r="O158" s="528" t="s">
        <v>936</v>
      </c>
    </row>
    <row r="159" spans="1:16" s="443" customFormat="1" ht="20.100000000000001" customHeight="1">
      <c r="A159" s="1758" t="s">
        <v>1087</v>
      </c>
      <c r="B159" s="1758"/>
      <c r="C159" s="518" t="s">
        <v>1082</v>
      </c>
      <c r="D159" s="519" t="s">
        <v>915</v>
      </c>
      <c r="E159" s="520" t="s">
        <v>1083</v>
      </c>
      <c r="F159" s="521">
        <v>31000</v>
      </c>
      <c r="G159" s="522" t="s">
        <v>1084</v>
      </c>
      <c r="H159" s="523">
        <v>30480</v>
      </c>
      <c r="I159" s="524" t="s">
        <v>1085</v>
      </c>
      <c r="J159" s="521">
        <v>31002</v>
      </c>
      <c r="K159" s="524" t="s">
        <v>1086</v>
      </c>
      <c r="L159" s="525">
        <v>31002</v>
      </c>
      <c r="M159" s="526"/>
      <c r="N159" s="527">
        <f>MIN(F159,H159,J159,L159)</f>
        <v>30480</v>
      </c>
      <c r="O159" s="529" t="s">
        <v>936</v>
      </c>
    </row>
    <row r="160" spans="1:16" s="443" customFormat="1" ht="20.100000000000001" customHeight="1">
      <c r="A160" s="1758" t="s">
        <v>1088</v>
      </c>
      <c r="B160" s="1758"/>
      <c r="C160" s="518" t="s">
        <v>1082</v>
      </c>
      <c r="D160" s="519" t="s">
        <v>915</v>
      </c>
      <c r="E160" s="520" t="s">
        <v>1083</v>
      </c>
      <c r="F160" s="521">
        <v>48000</v>
      </c>
      <c r="G160" s="522" t="s">
        <v>1084</v>
      </c>
      <c r="H160" s="523">
        <v>68350</v>
      </c>
      <c r="I160" s="524" t="s">
        <v>1085</v>
      </c>
      <c r="J160" s="521"/>
      <c r="K160" s="524" t="s">
        <v>1086</v>
      </c>
      <c r="L160" s="525">
        <v>48021</v>
      </c>
      <c r="M160" s="526"/>
      <c r="N160" s="527">
        <f>MIN(F160,H160,J160,L160)</f>
        <v>48000</v>
      </c>
      <c r="O160" s="529" t="s">
        <v>936</v>
      </c>
    </row>
    <row r="161" spans="1:15" s="443" customFormat="1" ht="20.100000000000001" customHeight="1">
      <c r="A161" s="1758" t="s">
        <v>1089</v>
      </c>
      <c r="B161" s="1758"/>
      <c r="C161" s="518" t="s">
        <v>1082</v>
      </c>
      <c r="D161" s="519" t="s">
        <v>915</v>
      </c>
      <c r="E161" s="520" t="s">
        <v>1083</v>
      </c>
      <c r="F161" s="530"/>
      <c r="G161" s="522" t="s">
        <v>1084</v>
      </c>
      <c r="H161" s="523">
        <v>229680</v>
      </c>
      <c r="I161" s="524" t="s">
        <v>1085</v>
      </c>
      <c r="J161" s="521">
        <v>173154</v>
      </c>
      <c r="K161" s="524" t="s">
        <v>1086</v>
      </c>
      <c r="L161" s="525">
        <v>173154</v>
      </c>
      <c r="M161" s="526"/>
      <c r="N161" s="527">
        <f>MIN(F161,H161,J161,L161)</f>
        <v>173154</v>
      </c>
      <c r="O161" s="529" t="s">
        <v>936</v>
      </c>
    </row>
    <row r="162" spans="1:15">
      <c r="L162" s="515"/>
      <c r="N162" s="517"/>
      <c r="O162" s="529"/>
    </row>
    <row r="163" spans="1:15">
      <c r="N163" s="532"/>
    </row>
    <row r="164" spans="1:15">
      <c r="N164" s="532"/>
    </row>
    <row r="165" spans="1:15">
      <c r="N165" s="532"/>
    </row>
    <row r="166" spans="1:15">
      <c r="N166" s="532"/>
    </row>
  </sheetData>
  <autoFilter ref="A2:P156" xr:uid="{00000000-0009-0000-0000-000017000000}">
    <filterColumn colId="0" showButton="0"/>
  </autoFilter>
  <mergeCells count="165">
    <mergeCell ref="K1:L1"/>
    <mergeCell ref="N1:N2"/>
    <mergeCell ref="A3:B3"/>
    <mergeCell ref="A4:B4"/>
    <mergeCell ref="A5:B5"/>
    <mergeCell ref="A6:B6"/>
    <mergeCell ref="A1:B2"/>
    <mergeCell ref="C1:C2"/>
    <mergeCell ref="D1:D2"/>
    <mergeCell ref="E1:F1"/>
    <mergeCell ref="G1:H1"/>
    <mergeCell ref="I1:J1"/>
    <mergeCell ref="A13:B13"/>
    <mergeCell ref="A14:B14"/>
    <mergeCell ref="A15:B15"/>
    <mergeCell ref="A16:B16"/>
    <mergeCell ref="A17:B17"/>
    <mergeCell ref="A18:B18"/>
    <mergeCell ref="A7:B7"/>
    <mergeCell ref="A8:B8"/>
    <mergeCell ref="A9:B9"/>
    <mergeCell ref="A10:B10"/>
    <mergeCell ref="A11:B11"/>
    <mergeCell ref="A12:B12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37:B37"/>
    <mergeCell ref="A38:B38"/>
    <mergeCell ref="A39:B39"/>
    <mergeCell ref="A40:B40"/>
    <mergeCell ref="A41:B41"/>
    <mergeCell ref="A42:B42"/>
    <mergeCell ref="A31:B31"/>
    <mergeCell ref="A32:B32"/>
    <mergeCell ref="A33:B33"/>
    <mergeCell ref="A34:B34"/>
    <mergeCell ref="A35:B35"/>
    <mergeCell ref="A36:B36"/>
    <mergeCell ref="A49:B49"/>
    <mergeCell ref="A50:B50"/>
    <mergeCell ref="A51:B51"/>
    <mergeCell ref="A52:B52"/>
    <mergeCell ref="A53:B53"/>
    <mergeCell ref="A54:B54"/>
    <mergeCell ref="A43:B43"/>
    <mergeCell ref="A44:B44"/>
    <mergeCell ref="A45:B45"/>
    <mergeCell ref="A46:B46"/>
    <mergeCell ref="A47:B47"/>
    <mergeCell ref="A48:B48"/>
    <mergeCell ref="A61:B61"/>
    <mergeCell ref="A62:B62"/>
    <mergeCell ref="A63:B63"/>
    <mergeCell ref="A64:B64"/>
    <mergeCell ref="A65:B65"/>
    <mergeCell ref="A66:B66"/>
    <mergeCell ref="A55:B55"/>
    <mergeCell ref="A56:B56"/>
    <mergeCell ref="A57:B57"/>
    <mergeCell ref="A58:B58"/>
    <mergeCell ref="A59:B59"/>
    <mergeCell ref="A60:B60"/>
    <mergeCell ref="A73:B73"/>
    <mergeCell ref="A76:B76"/>
    <mergeCell ref="A77:B77"/>
    <mergeCell ref="A78:B78"/>
    <mergeCell ref="A79:B79"/>
    <mergeCell ref="A80:B80"/>
    <mergeCell ref="A67:B67"/>
    <mergeCell ref="A68:B68"/>
    <mergeCell ref="A69:B69"/>
    <mergeCell ref="A70:B70"/>
    <mergeCell ref="A71:B71"/>
    <mergeCell ref="A72:B72"/>
    <mergeCell ref="A87:B87"/>
    <mergeCell ref="A88:B88"/>
    <mergeCell ref="A89:B89"/>
    <mergeCell ref="A90:B90"/>
    <mergeCell ref="A91:B91"/>
    <mergeCell ref="A92:B92"/>
    <mergeCell ref="A81:B81"/>
    <mergeCell ref="A82:B82"/>
    <mergeCell ref="A83:B83"/>
    <mergeCell ref="A84:B84"/>
    <mergeCell ref="A85:B85"/>
    <mergeCell ref="A86:B86"/>
    <mergeCell ref="A99:B99"/>
    <mergeCell ref="A100:B100"/>
    <mergeCell ref="A101:B101"/>
    <mergeCell ref="A102:B102"/>
    <mergeCell ref="A103:B103"/>
    <mergeCell ref="A104:B104"/>
    <mergeCell ref="A93:B93"/>
    <mergeCell ref="A94:B94"/>
    <mergeCell ref="A95:B95"/>
    <mergeCell ref="A96:B96"/>
    <mergeCell ref="A97:B97"/>
    <mergeCell ref="A98:B98"/>
    <mergeCell ref="A111:B111"/>
    <mergeCell ref="A112:B112"/>
    <mergeCell ref="A113:B113"/>
    <mergeCell ref="A114:B114"/>
    <mergeCell ref="A115:B115"/>
    <mergeCell ref="A116:B116"/>
    <mergeCell ref="A105:B105"/>
    <mergeCell ref="A106:B106"/>
    <mergeCell ref="A107:B107"/>
    <mergeCell ref="A108:B108"/>
    <mergeCell ref="A109:B109"/>
    <mergeCell ref="A110:B110"/>
    <mergeCell ref="A123:B123"/>
    <mergeCell ref="A124:B124"/>
    <mergeCell ref="A125:B125"/>
    <mergeCell ref="A126:B126"/>
    <mergeCell ref="A127:B127"/>
    <mergeCell ref="A128:B128"/>
    <mergeCell ref="A117:B117"/>
    <mergeCell ref="A118:B118"/>
    <mergeCell ref="A119:B119"/>
    <mergeCell ref="A120:B120"/>
    <mergeCell ref="A121:B121"/>
    <mergeCell ref="A122:B122"/>
    <mergeCell ref="A135:B135"/>
    <mergeCell ref="A136:B136"/>
    <mergeCell ref="A137:B137"/>
    <mergeCell ref="A138:B138"/>
    <mergeCell ref="A139:B139"/>
    <mergeCell ref="A140:B140"/>
    <mergeCell ref="A129:B129"/>
    <mergeCell ref="A130:B130"/>
    <mergeCell ref="A131:B131"/>
    <mergeCell ref="A132:B132"/>
    <mergeCell ref="A133:B133"/>
    <mergeCell ref="A134:B134"/>
    <mergeCell ref="E151:M151"/>
    <mergeCell ref="A152:B152"/>
    <mergeCell ref="E152:M152"/>
    <mergeCell ref="A141:B141"/>
    <mergeCell ref="A142:B142"/>
    <mergeCell ref="A143:B143"/>
    <mergeCell ref="A144:B144"/>
    <mergeCell ref="A145:B145"/>
    <mergeCell ref="A146:B146"/>
    <mergeCell ref="A160:B160"/>
    <mergeCell ref="A161:B161"/>
    <mergeCell ref="A153:B153"/>
    <mergeCell ref="A154:B154"/>
    <mergeCell ref="A155:B155"/>
    <mergeCell ref="A156:B156"/>
    <mergeCell ref="A158:B158"/>
    <mergeCell ref="A159:B159"/>
    <mergeCell ref="A147:B147"/>
    <mergeCell ref="A149:B149"/>
    <mergeCell ref="A150:B150"/>
    <mergeCell ref="A151:B151"/>
  </mergeCells>
  <phoneticPr fontId="3" type="noConversion"/>
  <printOptions horizontalCentered="1"/>
  <pageMargins left="0.78740157480314965" right="0.78740157480314965" top="0.98425196850393704" bottom="0.78740157480314965" header="0.6692913385826772" footer="0.59055118110236227"/>
  <pageSetup paperSize="9" scale="94" orientation="landscape" r:id="rId1"/>
  <headerFooter alignWithMargins="0">
    <oddHeader>&amp;C&amp;"견고딕,보통"&amp;16자 재 단 가   조 사 서</oddHeader>
    <oddFooter>&amp;R&amp;10(부가가치세 별도)</oddFooter>
  </headerFooter>
  <rowBreaks count="1" manualBreakCount="1">
    <brk id="136" max="1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view="pageBreakPreview" zoomScale="60" zoomScaleNormal="100" workbookViewId="0"/>
  </sheetViews>
  <sheetFormatPr defaultRowHeight="13.5"/>
  <sheetData/>
  <phoneticPr fontId="3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"/>
  <sheetViews>
    <sheetView view="pageBreakPreview" zoomScale="60" zoomScaleNormal="100" workbookViewId="0"/>
  </sheetViews>
  <sheetFormatPr defaultRowHeight="13.5"/>
  <sheetData/>
  <phoneticPr fontId="3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Q895"/>
  <sheetViews>
    <sheetView view="pageBreakPreview" topLeftCell="A97" zoomScale="85" zoomScaleNormal="100" zoomScaleSheetLayoutView="85" workbookViewId="0">
      <selection sqref="A1:CF1"/>
    </sheetView>
  </sheetViews>
  <sheetFormatPr defaultColWidth="8.88671875" defaultRowHeight="15"/>
  <cols>
    <col min="1" max="24" width="0.88671875" style="398" customWidth="1"/>
    <col min="25" max="25" width="3.6640625" style="398" bestFit="1" customWidth="1"/>
    <col min="26" max="38" width="0.88671875" style="398" customWidth="1"/>
    <col min="39" max="39" width="1.21875" style="398" customWidth="1"/>
    <col min="40" max="87" width="0.88671875" style="398" customWidth="1"/>
    <col min="88" max="88" width="11.21875" style="399" hidden="1" customWidth="1"/>
    <col min="89" max="89" width="2" style="398" hidden="1" customWidth="1"/>
    <col min="90" max="16384" width="8.88671875" style="398"/>
  </cols>
  <sheetData>
    <row r="1" spans="1:95" s="412" customFormat="1" ht="28.35" customHeight="1">
      <c r="A1" s="1877" t="s">
        <v>784</v>
      </c>
      <c r="B1" s="1877"/>
      <c r="C1" s="1877"/>
      <c r="D1" s="1877"/>
      <c r="E1" s="1877"/>
      <c r="F1" s="1877"/>
      <c r="G1" s="1877"/>
      <c r="H1" s="1877"/>
      <c r="I1" s="1877"/>
      <c r="J1" s="1877"/>
      <c r="K1" s="1877"/>
      <c r="L1" s="1877"/>
      <c r="M1" s="1877"/>
      <c r="N1" s="1877"/>
      <c r="O1" s="1877"/>
      <c r="P1" s="1877"/>
      <c r="Q1" s="1877"/>
      <c r="R1" s="1877"/>
      <c r="S1" s="1877"/>
      <c r="T1" s="1877"/>
      <c r="U1" s="1877"/>
      <c r="V1" s="1877"/>
      <c r="W1" s="1877"/>
      <c r="X1" s="1877"/>
      <c r="Y1" s="1877"/>
      <c r="Z1" s="1877"/>
      <c r="AA1" s="1877"/>
      <c r="AB1" s="1877"/>
      <c r="AC1" s="1877"/>
      <c r="AD1" s="1877"/>
      <c r="AE1" s="1877"/>
      <c r="AF1" s="1877"/>
      <c r="AG1" s="1877"/>
      <c r="AH1" s="1877"/>
      <c r="AI1" s="1877"/>
      <c r="AJ1" s="1877"/>
      <c r="AK1" s="1877"/>
      <c r="AL1" s="1877"/>
      <c r="AM1" s="1877"/>
      <c r="AN1" s="1877"/>
      <c r="AO1" s="1877"/>
      <c r="AP1" s="1877"/>
      <c r="AQ1" s="1877"/>
      <c r="AR1" s="1877"/>
      <c r="AS1" s="1877"/>
      <c r="AT1" s="1877"/>
      <c r="AU1" s="1877"/>
      <c r="AV1" s="1877"/>
      <c r="AW1" s="1877"/>
      <c r="AX1" s="1877"/>
      <c r="AY1" s="1877"/>
      <c r="AZ1" s="1877"/>
      <c r="BA1" s="1877"/>
      <c r="BB1" s="1877"/>
      <c r="BC1" s="1877"/>
      <c r="BD1" s="1877"/>
      <c r="BE1" s="1877"/>
      <c r="BF1" s="1877"/>
      <c r="BG1" s="1877"/>
      <c r="BH1" s="1877"/>
      <c r="BI1" s="1877"/>
      <c r="BJ1" s="1877"/>
      <c r="BK1" s="1877"/>
      <c r="BL1" s="1877"/>
      <c r="BM1" s="1877"/>
      <c r="BN1" s="1877"/>
      <c r="BO1" s="1877"/>
      <c r="BP1" s="1877"/>
      <c r="BQ1" s="1877"/>
      <c r="BR1" s="1877"/>
      <c r="BS1" s="1877"/>
      <c r="BT1" s="1877"/>
      <c r="BU1" s="1877"/>
      <c r="BV1" s="1877"/>
      <c r="BW1" s="1877"/>
      <c r="BX1" s="1877"/>
      <c r="BY1" s="1877"/>
      <c r="BZ1" s="1877"/>
      <c r="CA1" s="1877"/>
      <c r="CB1" s="1877"/>
      <c r="CC1" s="1877"/>
      <c r="CD1" s="1877"/>
      <c r="CE1" s="1877"/>
      <c r="CF1" s="1877"/>
      <c r="CJ1" s="400"/>
    </row>
    <row r="2" spans="1:95" s="412" customFormat="1" ht="9.9499999999999993" customHeight="1">
      <c r="A2" s="413"/>
      <c r="B2" s="413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  <c r="Q2" s="413"/>
      <c r="R2" s="413"/>
      <c r="S2" s="413"/>
      <c r="T2" s="413"/>
      <c r="U2" s="413"/>
      <c r="V2" s="413"/>
      <c r="W2" s="413"/>
      <c r="X2" s="413"/>
      <c r="Y2" s="413"/>
      <c r="Z2" s="413"/>
      <c r="AA2" s="413"/>
      <c r="AB2" s="413"/>
      <c r="AC2" s="413"/>
      <c r="AD2" s="413"/>
      <c r="AE2" s="413"/>
      <c r="AF2" s="413"/>
      <c r="AG2" s="413"/>
      <c r="AH2" s="413"/>
      <c r="AI2" s="413"/>
      <c r="AJ2" s="413"/>
      <c r="AK2" s="413"/>
      <c r="AL2" s="413"/>
      <c r="AM2" s="413"/>
      <c r="AN2" s="413"/>
      <c r="AO2" s="413"/>
      <c r="AP2" s="413"/>
      <c r="AQ2" s="413"/>
      <c r="AR2" s="413"/>
      <c r="AS2" s="413"/>
      <c r="AT2" s="413"/>
      <c r="AU2" s="413"/>
      <c r="AV2" s="413"/>
      <c r="AW2" s="413"/>
      <c r="AX2" s="413"/>
      <c r="AY2" s="413"/>
      <c r="AZ2" s="413"/>
      <c r="BA2" s="413"/>
      <c r="BB2" s="413"/>
      <c r="BC2" s="413"/>
      <c r="BD2" s="413"/>
      <c r="BE2" s="413"/>
      <c r="BF2" s="413"/>
      <c r="BG2" s="413"/>
      <c r="BH2" s="413"/>
      <c r="BI2" s="413"/>
      <c r="BJ2" s="413"/>
      <c r="BK2" s="413"/>
      <c r="BL2" s="413"/>
      <c r="BM2" s="413"/>
      <c r="BN2" s="413"/>
      <c r="BO2" s="413"/>
      <c r="BP2" s="413"/>
      <c r="BQ2" s="413"/>
      <c r="BR2" s="413"/>
      <c r="BS2" s="413"/>
      <c r="BT2" s="413"/>
      <c r="BU2" s="413"/>
      <c r="BV2" s="413"/>
      <c r="BW2" s="413"/>
      <c r="BX2" s="413"/>
      <c r="BY2" s="413"/>
      <c r="BZ2" s="413"/>
      <c r="CA2" s="413"/>
      <c r="CB2" s="413"/>
      <c r="CC2" s="413"/>
      <c r="CD2" s="413"/>
      <c r="CE2" s="413"/>
      <c r="CF2" s="413"/>
      <c r="CJ2" s="400"/>
    </row>
    <row r="3" spans="1:95" s="419" customFormat="1" ht="23.1" customHeight="1">
      <c r="A3" s="420"/>
      <c r="B3" s="421" t="s">
        <v>713</v>
      </c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  <c r="P3" s="420"/>
      <c r="Q3" s="420"/>
      <c r="R3" s="420"/>
      <c r="S3" s="420"/>
      <c r="T3" s="420"/>
      <c r="U3" s="420"/>
      <c r="V3" s="420"/>
      <c r="W3" s="420"/>
      <c r="X3" s="420"/>
      <c r="Y3" s="420"/>
      <c r="Z3" s="420"/>
      <c r="AA3" s="420"/>
      <c r="AB3" s="420"/>
      <c r="AC3" s="420"/>
      <c r="AD3" s="420"/>
      <c r="AE3" s="420"/>
      <c r="AF3" s="420"/>
      <c r="AG3" s="420"/>
      <c r="AH3" s="420"/>
      <c r="AI3" s="420"/>
      <c r="AJ3" s="420"/>
      <c r="AK3" s="420"/>
      <c r="AL3" s="420"/>
      <c r="AM3" s="420"/>
      <c r="AN3" s="420"/>
      <c r="AO3" s="420"/>
      <c r="AP3" s="420"/>
      <c r="AQ3" s="420"/>
      <c r="AR3" s="420"/>
      <c r="AS3" s="420"/>
      <c r="AT3" s="420"/>
      <c r="AU3" s="420"/>
      <c r="BM3" s="420"/>
      <c r="BN3" s="420"/>
      <c r="BO3" s="420"/>
      <c r="BP3" s="420"/>
      <c r="BQ3" s="420"/>
      <c r="BR3" s="420"/>
      <c r="BS3" s="420"/>
      <c r="BT3" s="420"/>
      <c r="BU3" s="420"/>
      <c r="BV3" s="420"/>
      <c r="BW3" s="420"/>
      <c r="BX3" s="420"/>
      <c r="BY3" s="420"/>
      <c r="BZ3" s="420"/>
      <c r="CA3" s="420"/>
      <c r="CB3" s="420"/>
      <c r="CC3" s="420"/>
      <c r="CD3" s="420"/>
      <c r="CE3" s="420"/>
      <c r="CF3" s="420"/>
      <c r="CJ3" s="400" t="s">
        <v>783</v>
      </c>
    </row>
    <row r="4" spans="1:95" s="400" customFormat="1" ht="9.9499999999999993" customHeight="1">
      <c r="BT4" s="414"/>
      <c r="BU4" s="414"/>
      <c r="BV4" s="414"/>
      <c r="BW4" s="414"/>
      <c r="BX4" s="414"/>
      <c r="BY4" s="414"/>
      <c r="BZ4" s="414"/>
      <c r="CA4" s="414"/>
      <c r="CB4" s="414"/>
      <c r="CC4" s="414"/>
    </row>
    <row r="5" spans="1:95" s="400" customFormat="1" ht="23.1" customHeight="1">
      <c r="E5" s="400" t="s">
        <v>782</v>
      </c>
      <c r="BT5" s="414"/>
      <c r="BU5" s="414"/>
      <c r="BV5" s="414"/>
      <c r="BW5" s="414"/>
      <c r="BX5" s="414"/>
      <c r="BY5" s="414"/>
      <c r="BZ5" s="414"/>
      <c r="CA5" s="414"/>
      <c r="CB5" s="414"/>
      <c r="CC5" s="414"/>
      <c r="CM5" s="400" t="s">
        <v>781</v>
      </c>
      <c r="CN5" s="400" t="s">
        <v>780</v>
      </c>
      <c r="CO5" s="400" t="s">
        <v>779</v>
      </c>
      <c r="CP5" s="400" t="s">
        <v>778</v>
      </c>
    </row>
    <row r="6" spans="1:95" s="400" customFormat="1" ht="23.1" customHeight="1" thickBot="1">
      <c r="A6" s="402"/>
      <c r="B6" s="402"/>
      <c r="C6" s="402"/>
      <c r="D6" s="402"/>
      <c r="BT6" s="410"/>
      <c r="BU6" s="1645" t="s">
        <v>360</v>
      </c>
      <c r="BV6" s="1645"/>
      <c r="BW6" s="1645"/>
      <c r="BX6" s="1645"/>
      <c r="BY6" s="1645"/>
      <c r="BZ6" s="1645"/>
      <c r="CA6" s="1645"/>
      <c r="CB6" s="1645"/>
      <c r="CC6" s="1645"/>
      <c r="CD6" s="1645"/>
      <c r="CE6" s="1645"/>
      <c r="CF6" s="1645"/>
      <c r="CL6" s="400" t="s">
        <v>628</v>
      </c>
      <c r="CM6" s="400">
        <v>3.6</v>
      </c>
      <c r="CN6" s="400">
        <v>2.7</v>
      </c>
      <c r="CO6" s="400">
        <v>2.2000000000000002</v>
      </c>
      <c r="CP6" s="400">
        <v>1.2</v>
      </c>
      <c r="CQ6" s="400">
        <v>1</v>
      </c>
    </row>
    <row r="7" spans="1:95" s="400" customFormat="1" ht="23.1" customHeight="1" thickBot="1">
      <c r="B7" s="400">
        <v>39448</v>
      </c>
      <c r="E7" s="1835" t="s">
        <v>361</v>
      </c>
      <c r="F7" s="1836"/>
      <c r="G7" s="1836"/>
      <c r="H7" s="1836"/>
      <c r="I7" s="1836"/>
      <c r="J7" s="1836"/>
      <c r="K7" s="1836"/>
      <c r="L7" s="1836"/>
      <c r="M7" s="1836"/>
      <c r="N7" s="1836"/>
      <c r="O7" s="1836"/>
      <c r="P7" s="1836"/>
      <c r="Q7" s="1836"/>
      <c r="R7" s="1836"/>
      <c r="S7" s="1836"/>
      <c r="T7" s="1836"/>
      <c r="U7" s="1836"/>
      <c r="V7" s="1836"/>
      <c r="W7" s="1836"/>
      <c r="X7" s="1836"/>
      <c r="Y7" s="1836"/>
      <c r="Z7" s="1836"/>
      <c r="AA7" s="1836"/>
      <c r="AB7" s="1836"/>
      <c r="AC7" s="1836"/>
      <c r="AD7" s="1836"/>
      <c r="AE7" s="1836"/>
      <c r="AF7" s="1836"/>
      <c r="AG7" s="1836"/>
      <c r="AH7" s="1836"/>
      <c r="AI7" s="1836"/>
      <c r="AJ7" s="1836"/>
      <c r="AK7" s="1836"/>
      <c r="AL7" s="1836"/>
      <c r="AM7" s="1836" t="s">
        <v>362</v>
      </c>
      <c r="AN7" s="1836"/>
      <c r="AO7" s="1836"/>
      <c r="AP7" s="1836"/>
      <c r="AQ7" s="1836"/>
      <c r="AR7" s="1836"/>
      <c r="AS7" s="1836"/>
      <c r="AT7" s="1836"/>
      <c r="AU7" s="1836"/>
      <c r="AV7" s="1836" t="s">
        <v>363</v>
      </c>
      <c r="AW7" s="1836"/>
      <c r="AX7" s="1836"/>
      <c r="AY7" s="1836"/>
      <c r="AZ7" s="1836"/>
      <c r="BA7" s="1836"/>
      <c r="BB7" s="1836"/>
      <c r="BC7" s="1836"/>
      <c r="BD7" s="1836"/>
      <c r="BE7" s="1836" t="s">
        <v>468</v>
      </c>
      <c r="BF7" s="1836"/>
      <c r="BG7" s="1836"/>
      <c r="BH7" s="1836"/>
      <c r="BI7" s="1836"/>
      <c r="BJ7" s="1836"/>
      <c r="BK7" s="1836"/>
      <c r="BL7" s="1836"/>
      <c r="BM7" s="1836"/>
      <c r="BN7" s="1836"/>
      <c r="BO7" s="1836"/>
      <c r="BP7" s="1836"/>
      <c r="BQ7" s="1836"/>
      <c r="BR7" s="1836"/>
      <c r="BS7" s="1836" t="s">
        <v>364</v>
      </c>
      <c r="BT7" s="1836"/>
      <c r="BU7" s="1836"/>
      <c r="BV7" s="1836"/>
      <c r="BW7" s="1836"/>
      <c r="BX7" s="1836"/>
      <c r="BY7" s="1836"/>
      <c r="BZ7" s="1836"/>
      <c r="CA7" s="1836"/>
      <c r="CB7" s="1836"/>
      <c r="CC7" s="1836"/>
      <c r="CD7" s="1836"/>
      <c r="CE7" s="1836"/>
      <c r="CF7" s="1858"/>
      <c r="CM7" s="400">
        <f>ROUND(1/CM6,2)</f>
        <v>0.28000000000000003</v>
      </c>
      <c r="CN7" s="400">
        <f>ROUND(1/CN6,2)</f>
        <v>0.37</v>
      </c>
      <c r="CO7" s="400">
        <f>ROUND(1/CO6,2)</f>
        <v>0.45</v>
      </c>
      <c r="CP7" s="400">
        <f>ROUND(1/CP6,2)</f>
        <v>0.83</v>
      </c>
    </row>
    <row r="8" spans="1:95" s="400" customFormat="1" ht="23.1" customHeight="1" thickTop="1">
      <c r="A8" s="402"/>
      <c r="B8" s="402"/>
      <c r="C8" s="402"/>
      <c r="D8" s="402"/>
      <c r="E8" s="1939" t="s">
        <v>365</v>
      </c>
      <c r="F8" s="1940"/>
      <c r="G8" s="1940"/>
      <c r="H8" s="1940"/>
      <c r="I8" s="1940"/>
      <c r="J8" s="1940"/>
      <c r="K8" s="1940"/>
      <c r="L8" s="1940"/>
      <c r="M8" s="1940"/>
      <c r="N8" s="1940"/>
      <c r="O8" s="1940"/>
      <c r="P8" s="1940"/>
      <c r="Q8" s="1940"/>
      <c r="R8" s="1940"/>
      <c r="S8" s="1940"/>
      <c r="T8" s="1940"/>
      <c r="U8" s="1940"/>
      <c r="V8" s="1940"/>
      <c r="W8" s="1940"/>
      <c r="X8" s="1940"/>
      <c r="Y8" s="1940"/>
      <c r="Z8" s="1940"/>
      <c r="AA8" s="1940"/>
      <c r="AB8" s="1940"/>
      <c r="AC8" s="1940"/>
      <c r="AD8" s="1940"/>
      <c r="AE8" s="1940"/>
      <c r="AF8" s="1940"/>
      <c r="AG8" s="1940"/>
      <c r="AH8" s="1940"/>
      <c r="AI8" s="1940"/>
      <c r="AJ8" s="1940"/>
      <c r="AK8" s="1940"/>
      <c r="AL8" s="1940"/>
      <c r="AM8" s="1834" t="s">
        <v>366</v>
      </c>
      <c r="AN8" s="1834"/>
      <c r="AO8" s="1834"/>
      <c r="AP8" s="1834"/>
      <c r="AQ8" s="1834"/>
      <c r="AR8" s="1834"/>
      <c r="AS8" s="1834"/>
      <c r="AT8" s="1834"/>
      <c r="AU8" s="1834"/>
      <c r="AV8" s="1964">
        <f>CM7</f>
        <v>0.28000000000000003</v>
      </c>
      <c r="AW8" s="1964"/>
      <c r="AX8" s="1964"/>
      <c r="AY8" s="1964"/>
      <c r="AZ8" s="1964"/>
      <c r="BA8" s="1964"/>
      <c r="BB8" s="1964"/>
      <c r="BC8" s="1964"/>
      <c r="BD8" s="1964"/>
      <c r="BE8" s="1850">
        <f>[53]노임단가!T6</f>
        <v>226122</v>
      </c>
      <c r="BF8" s="1850"/>
      <c r="BG8" s="1850"/>
      <c r="BH8" s="1850"/>
      <c r="BI8" s="1850"/>
      <c r="BJ8" s="1850"/>
      <c r="BK8" s="1850"/>
      <c r="BL8" s="1850"/>
      <c r="BM8" s="1850"/>
      <c r="BN8" s="1850"/>
      <c r="BO8" s="1850"/>
      <c r="BP8" s="1850"/>
      <c r="BQ8" s="1850"/>
      <c r="BR8" s="1850"/>
      <c r="BS8" s="1850">
        <f>INT(AV8*BE8)</f>
        <v>63314</v>
      </c>
      <c r="BT8" s="1850"/>
      <c r="BU8" s="1850"/>
      <c r="BV8" s="1850"/>
      <c r="BW8" s="1850"/>
      <c r="BX8" s="1850"/>
      <c r="BY8" s="1850"/>
      <c r="BZ8" s="1850"/>
      <c r="CA8" s="1850"/>
      <c r="CB8" s="1850"/>
      <c r="CC8" s="1850"/>
      <c r="CD8" s="1850"/>
      <c r="CE8" s="1850"/>
      <c r="CF8" s="1852"/>
    </row>
    <row r="9" spans="1:95" s="400" customFormat="1" ht="23.1" customHeight="1">
      <c r="D9" s="405"/>
      <c r="E9" s="1939" t="s">
        <v>777</v>
      </c>
      <c r="F9" s="1940"/>
      <c r="G9" s="1940"/>
      <c r="H9" s="1940"/>
      <c r="I9" s="1940"/>
      <c r="J9" s="1940"/>
      <c r="K9" s="1940"/>
      <c r="L9" s="1940"/>
      <c r="M9" s="1940"/>
      <c r="N9" s="1940"/>
      <c r="O9" s="1940"/>
      <c r="P9" s="1940"/>
      <c r="Q9" s="1940"/>
      <c r="R9" s="1940"/>
      <c r="S9" s="1940"/>
      <c r="T9" s="1940"/>
      <c r="U9" s="1940"/>
      <c r="V9" s="1940"/>
      <c r="W9" s="1940"/>
      <c r="X9" s="1940"/>
      <c r="Y9" s="1940"/>
      <c r="Z9" s="1940"/>
      <c r="AA9" s="1940"/>
      <c r="AB9" s="1940"/>
      <c r="AC9" s="1940"/>
      <c r="AD9" s="1940"/>
      <c r="AE9" s="1940"/>
      <c r="AF9" s="1940"/>
      <c r="AG9" s="1940"/>
      <c r="AH9" s="1940"/>
      <c r="AI9" s="1940"/>
      <c r="AJ9" s="1940"/>
      <c r="AK9" s="1940"/>
      <c r="AL9" s="1940"/>
      <c r="AM9" s="1829" t="s">
        <v>366</v>
      </c>
      <c r="AN9" s="1829"/>
      <c r="AO9" s="1829"/>
      <c r="AP9" s="1829"/>
      <c r="AQ9" s="1829"/>
      <c r="AR9" s="1829"/>
      <c r="AS9" s="1829"/>
      <c r="AT9" s="1829"/>
      <c r="AU9" s="1829"/>
      <c r="AV9" s="1878">
        <f>CN7</f>
        <v>0.37</v>
      </c>
      <c r="AW9" s="1878"/>
      <c r="AX9" s="1878"/>
      <c r="AY9" s="1878"/>
      <c r="AZ9" s="1878"/>
      <c r="BA9" s="1878"/>
      <c r="BB9" s="1878"/>
      <c r="BC9" s="1878"/>
      <c r="BD9" s="1878"/>
      <c r="BE9" s="1879">
        <f>[53]노임단가!T6</f>
        <v>226122</v>
      </c>
      <c r="BF9" s="1879"/>
      <c r="BG9" s="1879"/>
      <c r="BH9" s="1879"/>
      <c r="BI9" s="1879"/>
      <c r="BJ9" s="1879"/>
      <c r="BK9" s="1879"/>
      <c r="BL9" s="1879"/>
      <c r="BM9" s="1879"/>
      <c r="BN9" s="1879"/>
      <c r="BO9" s="1879"/>
      <c r="BP9" s="1879"/>
      <c r="BQ9" s="1879"/>
      <c r="BR9" s="1879"/>
      <c r="BS9" s="1879">
        <f>INT(AV9*BE9)</f>
        <v>83665</v>
      </c>
      <c r="BT9" s="1879"/>
      <c r="BU9" s="1879"/>
      <c r="BV9" s="1879"/>
      <c r="BW9" s="1879"/>
      <c r="BX9" s="1879"/>
      <c r="BY9" s="1879"/>
      <c r="BZ9" s="1879"/>
      <c r="CA9" s="1879"/>
      <c r="CB9" s="1879"/>
      <c r="CC9" s="1879"/>
      <c r="CD9" s="1879"/>
      <c r="CE9" s="1879"/>
      <c r="CF9" s="1880"/>
    </row>
    <row r="10" spans="1:95" s="400" customFormat="1" ht="23.1" customHeight="1">
      <c r="D10" s="405"/>
      <c r="E10" s="1967" t="s">
        <v>367</v>
      </c>
      <c r="F10" s="1866"/>
      <c r="G10" s="1866"/>
      <c r="H10" s="1866"/>
      <c r="I10" s="1866"/>
      <c r="J10" s="1866"/>
      <c r="K10" s="1866"/>
      <c r="L10" s="1866"/>
      <c r="M10" s="1866"/>
      <c r="N10" s="1866"/>
      <c r="O10" s="1866"/>
      <c r="P10" s="1866"/>
      <c r="Q10" s="1866"/>
      <c r="R10" s="1866"/>
      <c r="S10" s="1866"/>
      <c r="T10" s="1866"/>
      <c r="U10" s="1866"/>
      <c r="V10" s="1866"/>
      <c r="W10" s="1866"/>
      <c r="X10" s="1866"/>
      <c r="Y10" s="1866"/>
      <c r="Z10" s="1866"/>
      <c r="AA10" s="1866"/>
      <c r="AB10" s="1866"/>
      <c r="AC10" s="1866"/>
      <c r="AD10" s="1866"/>
      <c r="AE10" s="1866"/>
      <c r="AF10" s="1866"/>
      <c r="AG10" s="1866"/>
      <c r="AH10" s="1866"/>
      <c r="AI10" s="1866"/>
      <c r="AJ10" s="1866"/>
      <c r="AK10" s="1866"/>
      <c r="AL10" s="1867"/>
      <c r="AM10" s="1829" t="s">
        <v>366</v>
      </c>
      <c r="AN10" s="1829"/>
      <c r="AO10" s="1829"/>
      <c r="AP10" s="1829"/>
      <c r="AQ10" s="1829"/>
      <c r="AR10" s="1829"/>
      <c r="AS10" s="1829"/>
      <c r="AT10" s="1829"/>
      <c r="AU10" s="1829"/>
      <c r="AV10" s="1878">
        <f>CO7</f>
        <v>0.45</v>
      </c>
      <c r="AW10" s="1878"/>
      <c r="AX10" s="1878"/>
      <c r="AY10" s="1878"/>
      <c r="AZ10" s="1878"/>
      <c r="BA10" s="1878"/>
      <c r="BB10" s="1878"/>
      <c r="BC10" s="1878"/>
      <c r="BD10" s="1878"/>
      <c r="BE10" s="1879">
        <f>[53]노임단가!T6</f>
        <v>226122</v>
      </c>
      <c r="BF10" s="1879"/>
      <c r="BG10" s="1879"/>
      <c r="BH10" s="1879"/>
      <c r="BI10" s="1879"/>
      <c r="BJ10" s="1879"/>
      <c r="BK10" s="1879"/>
      <c r="BL10" s="1879"/>
      <c r="BM10" s="1879"/>
      <c r="BN10" s="1879"/>
      <c r="BO10" s="1879"/>
      <c r="BP10" s="1879"/>
      <c r="BQ10" s="1879"/>
      <c r="BR10" s="1879"/>
      <c r="BS10" s="1879">
        <f>INT(AV10*BE10)</f>
        <v>101754</v>
      </c>
      <c r="BT10" s="1879"/>
      <c r="BU10" s="1879"/>
      <c r="BV10" s="1879"/>
      <c r="BW10" s="1879"/>
      <c r="BX10" s="1879"/>
      <c r="BY10" s="1879"/>
      <c r="BZ10" s="1879"/>
      <c r="CA10" s="1879"/>
      <c r="CB10" s="1879"/>
      <c r="CC10" s="1879"/>
      <c r="CD10" s="1879"/>
      <c r="CE10" s="1879"/>
      <c r="CF10" s="1880"/>
    </row>
    <row r="11" spans="1:95" s="400" customFormat="1" ht="23.1" customHeight="1" thickBot="1">
      <c r="A11" s="402"/>
      <c r="B11" s="402"/>
      <c r="C11" s="402"/>
      <c r="D11" s="402"/>
      <c r="E11" s="1941" t="s">
        <v>776</v>
      </c>
      <c r="F11" s="1891"/>
      <c r="G11" s="1891"/>
      <c r="H11" s="1891"/>
      <c r="I11" s="1891"/>
      <c r="J11" s="1891"/>
      <c r="K11" s="1891"/>
      <c r="L11" s="1891"/>
      <c r="M11" s="1891"/>
      <c r="N11" s="1891"/>
      <c r="O11" s="1891"/>
      <c r="P11" s="1891"/>
      <c r="Q11" s="1891"/>
      <c r="R11" s="1891"/>
      <c r="S11" s="1891"/>
      <c r="T11" s="1891"/>
      <c r="U11" s="1891"/>
      <c r="V11" s="1891"/>
      <c r="W11" s="1891"/>
      <c r="X11" s="1891"/>
      <c r="Y11" s="1891"/>
      <c r="Z11" s="1891"/>
      <c r="AA11" s="1891"/>
      <c r="AB11" s="1891"/>
      <c r="AC11" s="1891"/>
      <c r="AD11" s="1891"/>
      <c r="AE11" s="1891"/>
      <c r="AF11" s="1891"/>
      <c r="AG11" s="1891"/>
      <c r="AH11" s="1891"/>
      <c r="AI11" s="1891"/>
      <c r="AJ11" s="1891"/>
      <c r="AK11" s="1891"/>
      <c r="AL11" s="1891"/>
      <c r="AM11" s="1855" t="s">
        <v>366</v>
      </c>
      <c r="AN11" s="1855"/>
      <c r="AO11" s="1855"/>
      <c r="AP11" s="1855"/>
      <c r="AQ11" s="1855"/>
      <c r="AR11" s="1855"/>
      <c r="AS11" s="1855"/>
      <c r="AT11" s="1855"/>
      <c r="AU11" s="1855"/>
      <c r="AV11" s="1968">
        <f>CP7</f>
        <v>0.83</v>
      </c>
      <c r="AW11" s="1968"/>
      <c r="AX11" s="1968"/>
      <c r="AY11" s="1968"/>
      <c r="AZ11" s="1968"/>
      <c r="BA11" s="1968"/>
      <c r="BB11" s="1968"/>
      <c r="BC11" s="1968"/>
      <c r="BD11" s="1968"/>
      <c r="BE11" s="1845">
        <f xml:space="preserve"> [53]노임단가!T6</f>
        <v>226122</v>
      </c>
      <c r="BF11" s="1845"/>
      <c r="BG11" s="1845"/>
      <c r="BH11" s="1845"/>
      <c r="BI11" s="1845"/>
      <c r="BJ11" s="1845"/>
      <c r="BK11" s="1845"/>
      <c r="BL11" s="1845"/>
      <c r="BM11" s="1845"/>
      <c r="BN11" s="1845"/>
      <c r="BO11" s="1845"/>
      <c r="BP11" s="1845"/>
      <c r="BQ11" s="1845"/>
      <c r="BR11" s="1845"/>
      <c r="BS11" s="1845">
        <f>INT(AV11*BE11)</f>
        <v>187681</v>
      </c>
      <c r="BT11" s="1845"/>
      <c r="BU11" s="1845"/>
      <c r="BV11" s="1845"/>
      <c r="BW11" s="1845"/>
      <c r="BX11" s="1845"/>
      <c r="BY11" s="1845"/>
      <c r="BZ11" s="1845"/>
      <c r="CA11" s="1845"/>
      <c r="CB11" s="1845"/>
      <c r="CC11" s="1845"/>
      <c r="CD11" s="1845"/>
      <c r="CE11" s="1845"/>
      <c r="CF11" s="1846"/>
    </row>
    <row r="12" spans="1:95" s="400" customFormat="1" ht="23.1" customHeight="1">
      <c r="A12" s="402"/>
      <c r="B12" s="402"/>
      <c r="C12" s="402"/>
      <c r="D12" s="402"/>
      <c r="E12" s="402"/>
      <c r="F12" s="402"/>
      <c r="G12" s="402" t="s">
        <v>775</v>
      </c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  <c r="T12" s="402"/>
      <c r="U12" s="402"/>
      <c r="V12" s="402"/>
      <c r="W12" s="402"/>
      <c r="X12" s="402"/>
      <c r="Y12" s="402"/>
      <c r="Z12" s="402"/>
      <c r="AA12" s="402"/>
      <c r="AB12" s="402"/>
      <c r="AC12" s="402"/>
      <c r="AD12" s="402"/>
      <c r="AE12" s="402"/>
      <c r="AF12" s="402"/>
      <c r="AG12" s="402"/>
      <c r="AH12" s="402"/>
      <c r="AI12" s="402"/>
      <c r="AJ12" s="402"/>
      <c r="AK12" s="402"/>
      <c r="AL12" s="402"/>
      <c r="AM12" s="402"/>
      <c r="AN12" s="402"/>
      <c r="AO12" s="402"/>
      <c r="AP12" s="402"/>
      <c r="AQ12" s="402"/>
      <c r="AR12" s="402"/>
      <c r="AS12" s="402"/>
      <c r="AT12" s="402"/>
      <c r="AU12" s="402"/>
      <c r="AV12" s="402"/>
      <c r="AW12" s="402"/>
      <c r="AX12" s="402"/>
      <c r="AY12" s="402"/>
      <c r="AZ12" s="402"/>
      <c r="BA12" s="402"/>
      <c r="BB12" s="402"/>
      <c r="BC12" s="402"/>
      <c r="BD12" s="402"/>
      <c r="BE12" s="402"/>
      <c r="BF12" s="402"/>
      <c r="BG12" s="402"/>
      <c r="BH12" s="402"/>
      <c r="BI12" s="402"/>
      <c r="BJ12" s="402"/>
      <c r="BK12" s="402"/>
      <c r="BL12" s="402"/>
      <c r="BM12" s="402"/>
      <c r="BN12" s="402"/>
      <c r="BO12" s="402"/>
      <c r="BP12" s="402"/>
      <c r="BQ12" s="402"/>
      <c r="BR12" s="402"/>
      <c r="BS12" s="402"/>
      <c r="BT12" s="418"/>
      <c r="BU12" s="418"/>
      <c r="BV12" s="418"/>
      <c r="BW12" s="418"/>
      <c r="BX12" s="418"/>
      <c r="BY12" s="418"/>
      <c r="BZ12" s="418"/>
      <c r="CA12" s="418"/>
      <c r="CB12" s="418"/>
      <c r="CC12" s="418"/>
      <c r="CD12" s="402"/>
      <c r="CE12" s="402"/>
      <c r="CF12" s="402"/>
    </row>
    <row r="13" spans="1:95" s="400" customFormat="1" ht="23.1" customHeight="1">
      <c r="A13" s="420"/>
      <c r="B13" s="421"/>
      <c r="C13" s="420"/>
      <c r="D13" s="420"/>
      <c r="E13" s="402"/>
      <c r="F13" s="402"/>
      <c r="G13" s="402" t="s">
        <v>774</v>
      </c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  <c r="V13" s="422"/>
      <c r="W13" s="422"/>
      <c r="X13" s="422"/>
      <c r="Y13" s="422"/>
      <c r="Z13" s="422"/>
      <c r="AA13" s="422"/>
      <c r="AB13" s="422"/>
      <c r="AC13" s="422"/>
      <c r="AD13" s="422"/>
      <c r="AE13" s="422"/>
      <c r="AF13" s="402"/>
      <c r="AG13" s="402"/>
      <c r="AI13" s="440"/>
      <c r="AJ13" s="440"/>
      <c r="AK13" s="440"/>
      <c r="AL13" s="440"/>
      <c r="AM13" s="402"/>
      <c r="AN13" s="402"/>
      <c r="AO13" s="402"/>
      <c r="AP13" s="402"/>
      <c r="AQ13" s="440"/>
      <c r="AR13" s="440"/>
      <c r="AS13" s="440"/>
      <c r="AT13" s="440"/>
      <c r="AU13" s="440"/>
      <c r="AV13" s="422"/>
      <c r="AW13" s="402"/>
      <c r="AX13" s="402"/>
      <c r="AY13" s="440"/>
      <c r="AZ13" s="440"/>
      <c r="BA13" s="440"/>
      <c r="BB13" s="440"/>
      <c r="BC13" s="440"/>
      <c r="BD13" s="440"/>
      <c r="BE13" s="402"/>
      <c r="BF13" s="402"/>
      <c r="BG13" s="402"/>
      <c r="BH13" s="402"/>
      <c r="BI13" s="402"/>
      <c r="BJ13" s="402"/>
      <c r="BK13" s="402"/>
      <c r="BL13" s="402"/>
      <c r="BM13" s="402"/>
      <c r="BN13" s="402"/>
      <c r="BO13" s="402"/>
      <c r="BP13" s="402"/>
      <c r="BQ13" s="402"/>
      <c r="BR13" s="402"/>
      <c r="BS13" s="402"/>
      <c r="BT13" s="422"/>
      <c r="BU13" s="422"/>
      <c r="BV13" s="422"/>
      <c r="BW13" s="422"/>
      <c r="BX13" s="422"/>
      <c r="BY13" s="422"/>
      <c r="BZ13" s="422"/>
      <c r="CA13" s="422"/>
      <c r="CB13" s="422"/>
      <c r="CC13" s="422"/>
      <c r="CD13" s="402"/>
      <c r="CE13" s="402"/>
      <c r="CF13" s="402"/>
    </row>
    <row r="14" spans="1:95" s="400" customFormat="1" ht="23.1" customHeight="1">
      <c r="G14" s="402" t="s">
        <v>539</v>
      </c>
      <c r="H14" s="402"/>
      <c r="BT14" s="410"/>
      <c r="BU14" s="410"/>
      <c r="BV14" s="410"/>
      <c r="BW14" s="410"/>
      <c r="BX14" s="410"/>
      <c r="BY14" s="410"/>
      <c r="BZ14" s="410"/>
      <c r="CA14" s="410"/>
      <c r="CB14" s="410"/>
      <c r="CC14" s="410"/>
    </row>
    <row r="15" spans="1:95" s="400" customFormat="1" ht="23.1" customHeight="1">
      <c r="G15" s="402" t="s">
        <v>773</v>
      </c>
      <c r="BT15" s="410"/>
      <c r="BU15" s="410"/>
      <c r="BV15" s="410"/>
      <c r="BW15" s="410"/>
      <c r="BX15" s="410"/>
      <c r="BY15" s="410"/>
      <c r="BZ15" s="410"/>
      <c r="CA15" s="410"/>
      <c r="CB15" s="410"/>
      <c r="CC15" s="410"/>
    </row>
    <row r="16" spans="1:95" s="412" customFormat="1" ht="9.9499999999999993" customHeight="1">
      <c r="A16" s="413"/>
      <c r="B16" s="413"/>
      <c r="C16" s="413"/>
      <c r="D16" s="413"/>
      <c r="E16" s="413"/>
      <c r="F16" s="413"/>
      <c r="G16" s="413"/>
      <c r="H16" s="413"/>
      <c r="I16" s="413"/>
      <c r="J16" s="413"/>
      <c r="K16" s="413"/>
      <c r="L16" s="413"/>
      <c r="M16" s="413"/>
      <c r="N16" s="413"/>
      <c r="O16" s="413"/>
      <c r="P16" s="413"/>
      <c r="Q16" s="413"/>
      <c r="R16" s="413"/>
      <c r="S16" s="413"/>
      <c r="T16" s="413"/>
      <c r="U16" s="413"/>
      <c r="V16" s="413"/>
      <c r="W16" s="413"/>
      <c r="X16" s="413"/>
      <c r="Y16" s="413"/>
      <c r="Z16" s="413"/>
      <c r="AA16" s="413"/>
      <c r="AB16" s="413"/>
      <c r="AC16" s="413"/>
      <c r="AD16" s="413"/>
      <c r="AE16" s="413"/>
      <c r="AF16" s="413"/>
      <c r="AG16" s="413"/>
      <c r="AH16" s="413"/>
      <c r="AI16" s="413"/>
      <c r="AJ16" s="413"/>
      <c r="AK16" s="413"/>
      <c r="AL16" s="413"/>
      <c r="AM16" s="413"/>
      <c r="AN16" s="413"/>
      <c r="AO16" s="413"/>
      <c r="AP16" s="413"/>
      <c r="AQ16" s="413"/>
      <c r="AR16" s="413"/>
      <c r="AS16" s="413"/>
      <c r="AT16" s="413"/>
      <c r="AU16" s="413"/>
      <c r="AV16" s="413"/>
      <c r="AW16" s="413"/>
      <c r="AX16" s="413"/>
      <c r="AY16" s="413"/>
      <c r="AZ16" s="413"/>
      <c r="BA16" s="413"/>
      <c r="BB16" s="413"/>
      <c r="BC16" s="413"/>
      <c r="BD16" s="413"/>
      <c r="BE16" s="413"/>
      <c r="BF16" s="413"/>
      <c r="BG16" s="413"/>
      <c r="BH16" s="413"/>
      <c r="BI16" s="413"/>
      <c r="BJ16" s="413"/>
      <c r="BK16" s="413"/>
      <c r="BL16" s="413"/>
      <c r="BM16" s="413"/>
      <c r="BN16" s="413"/>
      <c r="BO16" s="413"/>
      <c r="BP16" s="413"/>
      <c r="BQ16" s="413"/>
      <c r="BR16" s="413"/>
      <c r="BS16" s="413"/>
      <c r="BT16" s="413"/>
      <c r="BU16" s="413"/>
      <c r="BV16" s="413"/>
      <c r="BW16" s="413"/>
      <c r="BX16" s="413"/>
      <c r="BY16" s="413"/>
      <c r="BZ16" s="413"/>
      <c r="CA16" s="413"/>
      <c r="CB16" s="413"/>
      <c r="CC16" s="413"/>
      <c r="CD16" s="413"/>
      <c r="CE16" s="413"/>
      <c r="CF16" s="413"/>
      <c r="CJ16" s="400"/>
    </row>
    <row r="17" spans="1:88" s="400" customFormat="1" ht="23.1" customHeight="1">
      <c r="A17" s="420"/>
      <c r="B17" s="421" t="s">
        <v>772</v>
      </c>
      <c r="C17" s="420"/>
      <c r="D17" s="420"/>
      <c r="CJ17" s="400" t="s">
        <v>771</v>
      </c>
    </row>
    <row r="18" spans="1:88" s="400" customFormat="1" ht="9.9499999999999993" customHeight="1">
      <c r="BT18" s="414"/>
      <c r="BU18" s="414"/>
      <c r="BV18" s="414"/>
      <c r="BW18" s="414"/>
      <c r="BX18" s="414"/>
      <c r="BY18" s="414"/>
      <c r="BZ18" s="414"/>
      <c r="CA18" s="414"/>
      <c r="CB18" s="414"/>
      <c r="CC18" s="414"/>
    </row>
    <row r="19" spans="1:88" s="400" customFormat="1" ht="23.1" customHeight="1">
      <c r="E19" s="400" t="s">
        <v>770</v>
      </c>
      <c r="BT19" s="414"/>
      <c r="BU19" s="414"/>
      <c r="BV19" s="414"/>
      <c r="BW19" s="414"/>
      <c r="BX19" s="414"/>
      <c r="BY19" s="414"/>
      <c r="BZ19" s="414"/>
      <c r="CA19" s="414"/>
      <c r="CB19" s="414"/>
      <c r="CC19" s="414"/>
    </row>
    <row r="20" spans="1:88" s="400" customFormat="1" ht="23.1" customHeight="1">
      <c r="P20" s="400" t="s">
        <v>412</v>
      </c>
      <c r="BT20" s="410"/>
      <c r="BU20" s="410"/>
      <c r="BV20" s="410"/>
      <c r="BW20" s="410"/>
      <c r="BX20" s="410"/>
      <c r="BY20" s="410"/>
      <c r="BZ20" s="410"/>
      <c r="CA20" s="410"/>
      <c r="CB20" s="410"/>
      <c r="CC20" s="410"/>
    </row>
    <row r="21" spans="1:88" s="400" customFormat="1" ht="23.1" customHeight="1">
      <c r="E21" s="400" t="s">
        <v>744</v>
      </c>
    </row>
    <row r="22" spans="1:88" s="400" customFormat="1" ht="9.9499999999999993" customHeight="1">
      <c r="AR22" s="414"/>
      <c r="AS22" s="414"/>
      <c r="AT22" s="414"/>
      <c r="AU22" s="414"/>
      <c r="AV22" s="414"/>
      <c r="AW22" s="414"/>
      <c r="AX22" s="414"/>
      <c r="AY22" s="414"/>
      <c r="AZ22" s="414"/>
      <c r="BA22" s="414"/>
      <c r="BB22" s="414"/>
      <c r="BT22" s="414"/>
      <c r="BU22" s="414"/>
      <c r="BV22" s="414"/>
      <c r="BW22" s="414"/>
      <c r="BX22" s="414"/>
      <c r="BY22" s="414"/>
      <c r="BZ22" s="414"/>
      <c r="CA22" s="414"/>
      <c r="CB22" s="414"/>
      <c r="CC22" s="414"/>
    </row>
    <row r="23" spans="1:88" s="400" customFormat="1" ht="23.1" customHeight="1" thickBot="1">
      <c r="BT23" s="410"/>
      <c r="BU23" s="1645" t="s">
        <v>360</v>
      </c>
      <c r="BV23" s="1645"/>
      <c r="BW23" s="1645"/>
      <c r="BX23" s="1645"/>
      <c r="BY23" s="1645"/>
      <c r="BZ23" s="1645"/>
      <c r="CA23" s="1645"/>
      <c r="CB23" s="1645"/>
      <c r="CC23" s="1645"/>
      <c r="CD23" s="1645"/>
      <c r="CE23" s="1645"/>
      <c r="CF23" s="1645"/>
    </row>
    <row r="24" spans="1:88" s="400" customFormat="1" ht="23.1" customHeight="1">
      <c r="E24" s="1831" t="s">
        <v>368</v>
      </c>
      <c r="F24" s="1800"/>
      <c r="G24" s="1800"/>
      <c r="H24" s="1800"/>
      <c r="I24" s="1800"/>
      <c r="J24" s="1800"/>
      <c r="K24" s="1800"/>
      <c r="L24" s="1800"/>
      <c r="M24" s="1800"/>
      <c r="N24" s="1800"/>
      <c r="O24" s="1800"/>
      <c r="P24" s="1800"/>
      <c r="Q24" s="1800"/>
      <c r="R24" s="1800"/>
      <c r="S24" s="1800"/>
      <c r="T24" s="1800" t="s">
        <v>370</v>
      </c>
      <c r="U24" s="1800"/>
      <c r="V24" s="1800"/>
      <c r="W24" s="1800"/>
      <c r="X24" s="1800"/>
      <c r="Y24" s="1800" t="s">
        <v>413</v>
      </c>
      <c r="Z24" s="1800"/>
      <c r="AA24" s="1800"/>
      <c r="AB24" s="1800"/>
      <c r="AC24" s="1800"/>
      <c r="AD24" s="1800"/>
      <c r="AE24" s="1800"/>
      <c r="AF24" s="1800"/>
      <c r="AG24" s="1955" t="s">
        <v>414</v>
      </c>
      <c r="AH24" s="1955"/>
      <c r="AI24" s="1955"/>
      <c r="AJ24" s="1955"/>
      <c r="AK24" s="1955"/>
      <c r="AL24" s="1955"/>
      <c r="AM24" s="1955"/>
      <c r="AN24" s="1955"/>
      <c r="AO24" s="1955"/>
      <c r="AP24" s="1955"/>
      <c r="AQ24" s="1955"/>
      <c r="AR24" s="1955"/>
      <c r="AS24" s="1955"/>
      <c r="AT24" s="1955" t="s">
        <v>415</v>
      </c>
      <c r="AU24" s="1955"/>
      <c r="AV24" s="1955"/>
      <c r="AW24" s="1955"/>
      <c r="AX24" s="1955"/>
      <c r="AY24" s="1955"/>
      <c r="AZ24" s="1955"/>
      <c r="BA24" s="1955"/>
      <c r="BB24" s="1955"/>
      <c r="BC24" s="1955"/>
      <c r="BD24" s="1955"/>
      <c r="BE24" s="1955"/>
      <c r="BF24" s="1955"/>
      <c r="BG24" s="1955" t="s">
        <v>374</v>
      </c>
      <c r="BH24" s="1955"/>
      <c r="BI24" s="1955"/>
      <c r="BJ24" s="1955"/>
      <c r="BK24" s="1955"/>
      <c r="BL24" s="1955"/>
      <c r="BM24" s="1955"/>
      <c r="BN24" s="1955"/>
      <c r="BO24" s="1955"/>
      <c r="BP24" s="1955"/>
      <c r="BQ24" s="1955"/>
      <c r="BR24" s="1955"/>
      <c r="BS24" s="1955"/>
      <c r="BT24" s="1955" t="s">
        <v>373</v>
      </c>
      <c r="BU24" s="1955"/>
      <c r="BV24" s="1955"/>
      <c r="BW24" s="1955"/>
      <c r="BX24" s="1955"/>
      <c r="BY24" s="1955"/>
      <c r="BZ24" s="1955"/>
      <c r="CA24" s="1955"/>
      <c r="CB24" s="1955"/>
      <c r="CC24" s="1955"/>
      <c r="CD24" s="1955"/>
      <c r="CE24" s="1955"/>
      <c r="CF24" s="1956"/>
    </row>
    <row r="25" spans="1:88" s="400" customFormat="1" ht="23.1" customHeight="1" thickBot="1">
      <c r="D25" s="403"/>
      <c r="E25" s="1832"/>
      <c r="F25" s="1786"/>
      <c r="G25" s="1786"/>
      <c r="H25" s="1786"/>
      <c r="I25" s="1786"/>
      <c r="J25" s="1786"/>
      <c r="K25" s="1786"/>
      <c r="L25" s="1786"/>
      <c r="M25" s="1786"/>
      <c r="N25" s="1786"/>
      <c r="O25" s="1786"/>
      <c r="P25" s="1786"/>
      <c r="Q25" s="1786"/>
      <c r="R25" s="1786"/>
      <c r="S25" s="1786"/>
      <c r="T25" s="1786"/>
      <c r="U25" s="1786"/>
      <c r="V25" s="1786"/>
      <c r="W25" s="1786"/>
      <c r="X25" s="1786"/>
      <c r="Y25" s="1786"/>
      <c r="Z25" s="1786"/>
      <c r="AA25" s="1786"/>
      <c r="AB25" s="1786"/>
      <c r="AC25" s="1786"/>
      <c r="AD25" s="1786"/>
      <c r="AE25" s="1786"/>
      <c r="AF25" s="1786"/>
      <c r="AG25" s="1786" t="s">
        <v>371</v>
      </c>
      <c r="AH25" s="1786"/>
      <c r="AI25" s="1786"/>
      <c r="AJ25" s="1786"/>
      <c r="AK25" s="1786"/>
      <c r="AL25" s="1786" t="s">
        <v>372</v>
      </c>
      <c r="AM25" s="1786"/>
      <c r="AN25" s="1786"/>
      <c r="AO25" s="1786"/>
      <c r="AP25" s="1786"/>
      <c r="AQ25" s="1786"/>
      <c r="AR25" s="1786"/>
      <c r="AS25" s="1786"/>
      <c r="AT25" s="1786" t="s">
        <v>371</v>
      </c>
      <c r="AU25" s="1786"/>
      <c r="AV25" s="1786"/>
      <c r="AW25" s="1786"/>
      <c r="AX25" s="1786"/>
      <c r="AY25" s="1786" t="s">
        <v>372</v>
      </c>
      <c r="AZ25" s="1786"/>
      <c r="BA25" s="1786"/>
      <c r="BB25" s="1786"/>
      <c r="BC25" s="1786"/>
      <c r="BD25" s="1786"/>
      <c r="BE25" s="1786"/>
      <c r="BF25" s="1786"/>
      <c r="BG25" s="1786" t="s">
        <v>371</v>
      </c>
      <c r="BH25" s="1786"/>
      <c r="BI25" s="1786"/>
      <c r="BJ25" s="1786"/>
      <c r="BK25" s="1786"/>
      <c r="BL25" s="1786" t="s">
        <v>372</v>
      </c>
      <c r="BM25" s="1786"/>
      <c r="BN25" s="1786"/>
      <c r="BO25" s="1786"/>
      <c r="BP25" s="1786"/>
      <c r="BQ25" s="1786"/>
      <c r="BR25" s="1786"/>
      <c r="BS25" s="1786"/>
      <c r="BT25" s="1786" t="s">
        <v>371</v>
      </c>
      <c r="BU25" s="1786"/>
      <c r="BV25" s="1786"/>
      <c r="BW25" s="1786"/>
      <c r="BX25" s="1786"/>
      <c r="BY25" s="1786" t="s">
        <v>372</v>
      </c>
      <c r="BZ25" s="1786"/>
      <c r="CA25" s="1786"/>
      <c r="CB25" s="1786"/>
      <c r="CC25" s="1786"/>
      <c r="CD25" s="1786"/>
      <c r="CE25" s="1786"/>
      <c r="CF25" s="1787"/>
    </row>
    <row r="26" spans="1:88" s="400" customFormat="1" ht="23.1" customHeight="1" thickTop="1">
      <c r="E26" s="1952" t="s">
        <v>416</v>
      </c>
      <c r="F26" s="1953"/>
      <c r="G26" s="1953"/>
      <c r="H26" s="1953"/>
      <c r="I26" s="1834" t="s">
        <v>417</v>
      </c>
      <c r="J26" s="1834"/>
      <c r="K26" s="1834"/>
      <c r="L26" s="1834"/>
      <c r="M26" s="1834"/>
      <c r="N26" s="1834"/>
      <c r="O26" s="1834"/>
      <c r="P26" s="1834"/>
      <c r="Q26" s="1834"/>
      <c r="R26" s="1834"/>
      <c r="S26" s="1834"/>
      <c r="T26" s="1881" t="s">
        <v>418</v>
      </c>
      <c r="U26" s="1881"/>
      <c r="V26" s="1881"/>
      <c r="W26" s="1881"/>
      <c r="X26" s="1881"/>
      <c r="Y26" s="1962" t="e">
        <f>#REF!</f>
        <v>#REF!</v>
      </c>
      <c r="Z26" s="1881"/>
      <c r="AA26" s="1881"/>
      <c r="AB26" s="1881"/>
      <c r="AC26" s="1881"/>
      <c r="AD26" s="1881"/>
      <c r="AE26" s="1881"/>
      <c r="AF26" s="1881"/>
      <c r="AG26" s="1951">
        <v>0.3</v>
      </c>
      <c r="AH26" s="1951"/>
      <c r="AI26" s="1951"/>
      <c r="AJ26" s="1951"/>
      <c r="AK26" s="1951"/>
      <c r="AL26" s="1747" t="e">
        <f>INT($Y26*AG26)</f>
        <v>#REF!</v>
      </c>
      <c r="AM26" s="1748"/>
      <c r="AN26" s="1748"/>
      <c r="AO26" s="1748"/>
      <c r="AP26" s="1748"/>
      <c r="AQ26" s="1748"/>
      <c r="AR26" s="1748"/>
      <c r="AS26" s="1749"/>
      <c r="AT26" s="1947">
        <v>0.48</v>
      </c>
      <c r="AU26" s="1947"/>
      <c r="AV26" s="1947"/>
      <c r="AW26" s="1947"/>
      <c r="AX26" s="1947"/>
      <c r="AY26" s="1747" t="e">
        <f>INT($Y26*AT26)</f>
        <v>#REF!</v>
      </c>
      <c r="AZ26" s="1748"/>
      <c r="BA26" s="1748"/>
      <c r="BB26" s="1748"/>
      <c r="BC26" s="1748"/>
      <c r="BD26" s="1748"/>
      <c r="BE26" s="1748"/>
      <c r="BF26" s="1749"/>
      <c r="BG26" s="1947">
        <v>0.6</v>
      </c>
      <c r="BH26" s="1947"/>
      <c r="BI26" s="1947"/>
      <c r="BJ26" s="1947"/>
      <c r="BK26" s="1947"/>
      <c r="BL26" s="1747" t="e">
        <f>INT($Y26*BG26)</f>
        <v>#REF!</v>
      </c>
      <c r="BM26" s="1748"/>
      <c r="BN26" s="1748"/>
      <c r="BO26" s="1748"/>
      <c r="BP26" s="1748"/>
      <c r="BQ26" s="1748"/>
      <c r="BR26" s="1748"/>
      <c r="BS26" s="1749"/>
      <c r="BT26" s="1947">
        <v>0.96</v>
      </c>
      <c r="BU26" s="1947"/>
      <c r="BV26" s="1947"/>
      <c r="BW26" s="1947"/>
      <c r="BX26" s="1947"/>
      <c r="BY26" s="1747" t="e">
        <f>INT($Y26*BT26)</f>
        <v>#REF!</v>
      </c>
      <c r="BZ26" s="1748"/>
      <c r="CA26" s="1748"/>
      <c r="CB26" s="1748"/>
      <c r="CC26" s="1748"/>
      <c r="CD26" s="1748"/>
      <c r="CE26" s="1748"/>
      <c r="CF26" s="1750"/>
    </row>
    <row r="27" spans="1:88" s="400" customFormat="1" ht="23.1" customHeight="1">
      <c r="E27" s="1870"/>
      <c r="F27" s="1871"/>
      <c r="G27" s="1871"/>
      <c r="H27" s="1871"/>
      <c r="I27" s="1829" t="s">
        <v>419</v>
      </c>
      <c r="J27" s="1829"/>
      <c r="K27" s="1829"/>
      <c r="L27" s="1829"/>
      <c r="M27" s="1829"/>
      <c r="N27" s="1829"/>
      <c r="O27" s="1829"/>
      <c r="P27" s="1829"/>
      <c r="Q27" s="1829"/>
      <c r="R27" s="1829"/>
      <c r="S27" s="1829"/>
      <c r="T27" s="1873"/>
      <c r="U27" s="1873"/>
      <c r="V27" s="1873"/>
      <c r="W27" s="1873"/>
      <c r="X27" s="1873"/>
      <c r="Y27" s="1814"/>
      <c r="Z27" s="1814"/>
      <c r="AA27" s="1814"/>
      <c r="AB27" s="1814"/>
      <c r="AC27" s="1814"/>
      <c r="AD27" s="1814"/>
      <c r="AE27" s="1814"/>
      <c r="AF27" s="1814"/>
      <c r="AG27" s="1958"/>
      <c r="AH27" s="1959"/>
      <c r="AI27" s="1959"/>
      <c r="AJ27" s="1959"/>
      <c r="AK27" s="1959"/>
      <c r="AL27" s="1803" t="e">
        <f>SUM(AL26)</f>
        <v>#REF!</v>
      </c>
      <c r="AM27" s="1945"/>
      <c r="AN27" s="1945"/>
      <c r="AO27" s="1945"/>
      <c r="AP27" s="1945"/>
      <c r="AQ27" s="1945"/>
      <c r="AR27" s="1945"/>
      <c r="AS27" s="1946"/>
      <c r="AT27" s="1803"/>
      <c r="AU27" s="1804"/>
      <c r="AV27" s="1804"/>
      <c r="AW27" s="1804"/>
      <c r="AX27" s="1805"/>
      <c r="AY27" s="1803" t="e">
        <f>SUM(AY26)</f>
        <v>#REF!</v>
      </c>
      <c r="AZ27" s="1945"/>
      <c r="BA27" s="1945"/>
      <c r="BB27" s="1945"/>
      <c r="BC27" s="1945"/>
      <c r="BD27" s="1945"/>
      <c r="BE27" s="1945"/>
      <c r="BF27" s="1946"/>
      <c r="BG27" s="1803"/>
      <c r="BH27" s="1804"/>
      <c r="BI27" s="1804"/>
      <c r="BJ27" s="1804"/>
      <c r="BK27" s="1805"/>
      <c r="BL27" s="1803" t="e">
        <f>SUM(BL26)</f>
        <v>#REF!</v>
      </c>
      <c r="BM27" s="1945"/>
      <c r="BN27" s="1945"/>
      <c r="BO27" s="1945"/>
      <c r="BP27" s="1945"/>
      <c r="BQ27" s="1945"/>
      <c r="BR27" s="1945"/>
      <c r="BS27" s="1946"/>
      <c r="BT27" s="1803"/>
      <c r="BU27" s="1804"/>
      <c r="BV27" s="1804"/>
      <c r="BW27" s="1804"/>
      <c r="BX27" s="1805"/>
      <c r="BY27" s="1803" t="e">
        <f>SUM(BY26)</f>
        <v>#REF!</v>
      </c>
      <c r="BZ27" s="1945"/>
      <c r="CA27" s="1945"/>
      <c r="CB27" s="1945"/>
      <c r="CC27" s="1945"/>
      <c r="CD27" s="1945"/>
      <c r="CE27" s="1945"/>
      <c r="CF27" s="1957"/>
    </row>
    <row r="28" spans="1:88" s="400" customFormat="1" ht="23.1" customHeight="1">
      <c r="E28" s="1870" t="s">
        <v>420</v>
      </c>
      <c r="F28" s="1871"/>
      <c r="G28" s="1871"/>
      <c r="H28" s="1871"/>
      <c r="I28" s="1829" t="s">
        <v>421</v>
      </c>
      <c r="J28" s="1829"/>
      <c r="K28" s="1829"/>
      <c r="L28" s="1829"/>
      <c r="M28" s="1829"/>
      <c r="N28" s="1829"/>
      <c r="O28" s="1829"/>
      <c r="P28" s="1829"/>
      <c r="Q28" s="1829"/>
      <c r="R28" s="1829"/>
      <c r="S28" s="1829"/>
      <c r="T28" s="1873" t="s">
        <v>366</v>
      </c>
      <c r="U28" s="1873"/>
      <c r="V28" s="1873"/>
      <c r="W28" s="1873"/>
      <c r="X28" s="1873"/>
      <c r="Y28" s="1954">
        <f>[53]노임단가!$T$18</f>
        <v>222306</v>
      </c>
      <c r="Z28" s="1873"/>
      <c r="AA28" s="1873"/>
      <c r="AB28" s="1873"/>
      <c r="AC28" s="1873"/>
      <c r="AD28" s="1873"/>
      <c r="AE28" s="1873"/>
      <c r="AF28" s="1873"/>
      <c r="AG28" s="1951">
        <v>0.33</v>
      </c>
      <c r="AH28" s="1951"/>
      <c r="AI28" s="1951"/>
      <c r="AJ28" s="1951"/>
      <c r="AK28" s="1951"/>
      <c r="AL28" s="1738">
        <f>INT($Y28*AG28)</f>
        <v>73360</v>
      </c>
      <c r="AM28" s="1739"/>
      <c r="AN28" s="1739"/>
      <c r="AO28" s="1739"/>
      <c r="AP28" s="1739"/>
      <c r="AQ28" s="1739"/>
      <c r="AR28" s="1739"/>
      <c r="AS28" s="1740"/>
      <c r="AT28" s="1947">
        <v>0.41</v>
      </c>
      <c r="AU28" s="1947"/>
      <c r="AV28" s="1947"/>
      <c r="AW28" s="1947"/>
      <c r="AX28" s="1947"/>
      <c r="AY28" s="1738">
        <f>INT($Y28*AT28)</f>
        <v>91145</v>
      </c>
      <c r="AZ28" s="1739"/>
      <c r="BA28" s="1739"/>
      <c r="BB28" s="1739"/>
      <c r="BC28" s="1739"/>
      <c r="BD28" s="1739"/>
      <c r="BE28" s="1739"/>
      <c r="BF28" s="1740"/>
      <c r="BG28" s="1947">
        <v>0.57999999999999996</v>
      </c>
      <c r="BH28" s="1947"/>
      <c r="BI28" s="1947"/>
      <c r="BJ28" s="1947"/>
      <c r="BK28" s="1947"/>
      <c r="BL28" s="1738">
        <f>INT($Y28*BG28)</f>
        <v>128937</v>
      </c>
      <c r="BM28" s="1739"/>
      <c r="BN28" s="1739"/>
      <c r="BO28" s="1739"/>
      <c r="BP28" s="1739"/>
      <c r="BQ28" s="1739"/>
      <c r="BR28" s="1739"/>
      <c r="BS28" s="1740"/>
      <c r="BT28" s="1947">
        <v>0.94</v>
      </c>
      <c r="BU28" s="1947"/>
      <c r="BV28" s="1947"/>
      <c r="BW28" s="1947"/>
      <c r="BX28" s="1947"/>
      <c r="BY28" s="1738">
        <f>INT($Y28*BT28)</f>
        <v>208967</v>
      </c>
      <c r="BZ28" s="1739"/>
      <c r="CA28" s="1739"/>
      <c r="CB28" s="1739"/>
      <c r="CC28" s="1739"/>
      <c r="CD28" s="1739"/>
      <c r="CE28" s="1739"/>
      <c r="CF28" s="1745"/>
    </row>
    <row r="29" spans="1:88" s="400" customFormat="1" ht="23.1" customHeight="1">
      <c r="E29" s="1870"/>
      <c r="F29" s="1871"/>
      <c r="G29" s="1871"/>
      <c r="H29" s="1871"/>
      <c r="I29" s="1829" t="s">
        <v>248</v>
      </c>
      <c r="J29" s="1829"/>
      <c r="K29" s="1829"/>
      <c r="L29" s="1829"/>
      <c r="M29" s="1829"/>
      <c r="N29" s="1829"/>
      <c r="O29" s="1829"/>
      <c r="P29" s="1829"/>
      <c r="Q29" s="1829"/>
      <c r="R29" s="1829"/>
      <c r="S29" s="1829"/>
      <c r="T29" s="1873" t="s">
        <v>366</v>
      </c>
      <c r="U29" s="1873"/>
      <c r="V29" s="1873"/>
      <c r="W29" s="1873"/>
      <c r="X29" s="1873"/>
      <c r="Y29" s="1954">
        <f>[53]노임단가!$T$5</f>
        <v>172068</v>
      </c>
      <c r="Z29" s="1873"/>
      <c r="AA29" s="1873"/>
      <c r="AB29" s="1873"/>
      <c r="AC29" s="1873"/>
      <c r="AD29" s="1873"/>
      <c r="AE29" s="1873"/>
      <c r="AF29" s="1873"/>
      <c r="AG29" s="1951">
        <v>0.16</v>
      </c>
      <c r="AH29" s="1951"/>
      <c r="AI29" s="1951"/>
      <c r="AJ29" s="1951"/>
      <c r="AK29" s="1951"/>
      <c r="AL29" s="1738">
        <f>INT($Y29*AG29)</f>
        <v>27530</v>
      </c>
      <c r="AM29" s="1739"/>
      <c r="AN29" s="1739"/>
      <c r="AO29" s="1739"/>
      <c r="AP29" s="1739"/>
      <c r="AQ29" s="1739"/>
      <c r="AR29" s="1739"/>
      <c r="AS29" s="1740"/>
      <c r="AT29" s="1947">
        <v>0.21</v>
      </c>
      <c r="AU29" s="1947"/>
      <c r="AV29" s="1947"/>
      <c r="AW29" s="1947"/>
      <c r="AX29" s="1947"/>
      <c r="AY29" s="1738">
        <f>INT($Y29*AT29)</f>
        <v>36134</v>
      </c>
      <c r="AZ29" s="1739"/>
      <c r="BA29" s="1739"/>
      <c r="BB29" s="1739"/>
      <c r="BC29" s="1739"/>
      <c r="BD29" s="1739"/>
      <c r="BE29" s="1739"/>
      <c r="BF29" s="1740"/>
      <c r="BG29" s="1947">
        <v>0.28999999999999998</v>
      </c>
      <c r="BH29" s="1947"/>
      <c r="BI29" s="1947"/>
      <c r="BJ29" s="1947"/>
      <c r="BK29" s="1947"/>
      <c r="BL29" s="1738">
        <f>INT($Y29*BG29)</f>
        <v>49899</v>
      </c>
      <c r="BM29" s="1739"/>
      <c r="BN29" s="1739"/>
      <c r="BO29" s="1739"/>
      <c r="BP29" s="1739"/>
      <c r="BQ29" s="1739"/>
      <c r="BR29" s="1739"/>
      <c r="BS29" s="1740"/>
      <c r="BT29" s="1947">
        <v>0.48</v>
      </c>
      <c r="BU29" s="1947"/>
      <c r="BV29" s="1947"/>
      <c r="BW29" s="1947"/>
      <c r="BX29" s="1947"/>
      <c r="BY29" s="1738">
        <f>INT($Y29*BT29)</f>
        <v>82592</v>
      </c>
      <c r="BZ29" s="1739"/>
      <c r="CA29" s="1739"/>
      <c r="CB29" s="1739"/>
      <c r="CC29" s="1739"/>
      <c r="CD29" s="1739"/>
      <c r="CE29" s="1739"/>
      <c r="CF29" s="1745"/>
    </row>
    <row r="30" spans="1:88" s="400" customFormat="1" ht="23.1" customHeight="1">
      <c r="E30" s="1870"/>
      <c r="F30" s="1871"/>
      <c r="G30" s="1871"/>
      <c r="H30" s="1871"/>
      <c r="I30" s="1829" t="s">
        <v>417</v>
      </c>
      <c r="J30" s="1829"/>
      <c r="K30" s="1829"/>
      <c r="L30" s="1829"/>
      <c r="M30" s="1829"/>
      <c r="N30" s="1829"/>
      <c r="O30" s="1829"/>
      <c r="P30" s="1829"/>
      <c r="Q30" s="1829"/>
      <c r="R30" s="1829"/>
      <c r="S30" s="1829"/>
      <c r="T30" s="1873" t="s">
        <v>418</v>
      </c>
      <c r="U30" s="1873"/>
      <c r="V30" s="1873"/>
      <c r="W30" s="1873"/>
      <c r="X30" s="1873"/>
      <c r="Y30" s="1954" t="e">
        <f>#REF!</f>
        <v>#REF!</v>
      </c>
      <c r="Z30" s="1954"/>
      <c r="AA30" s="1954"/>
      <c r="AB30" s="1954"/>
      <c r="AC30" s="1954"/>
      <c r="AD30" s="1954"/>
      <c r="AE30" s="1954"/>
      <c r="AF30" s="1954"/>
      <c r="AG30" s="1951">
        <v>0.3</v>
      </c>
      <c r="AH30" s="1951"/>
      <c r="AI30" s="1951"/>
      <c r="AJ30" s="1951"/>
      <c r="AK30" s="1951"/>
      <c r="AL30" s="1738" t="e">
        <f>INT($Y30*AG30)</f>
        <v>#REF!</v>
      </c>
      <c r="AM30" s="1739"/>
      <c r="AN30" s="1739"/>
      <c r="AO30" s="1739"/>
      <c r="AP30" s="1739"/>
      <c r="AQ30" s="1739"/>
      <c r="AR30" s="1739"/>
      <c r="AS30" s="1740"/>
      <c r="AT30" s="1947">
        <v>0.48</v>
      </c>
      <c r="AU30" s="1947"/>
      <c r="AV30" s="1947"/>
      <c r="AW30" s="1947"/>
      <c r="AX30" s="1947"/>
      <c r="AY30" s="1738" t="e">
        <f>INT($Y30*AT30)</f>
        <v>#REF!</v>
      </c>
      <c r="AZ30" s="1739"/>
      <c r="BA30" s="1739"/>
      <c r="BB30" s="1739"/>
      <c r="BC30" s="1739"/>
      <c r="BD30" s="1739"/>
      <c r="BE30" s="1739"/>
      <c r="BF30" s="1740"/>
      <c r="BG30" s="1947">
        <v>0.6</v>
      </c>
      <c r="BH30" s="1947"/>
      <c r="BI30" s="1947"/>
      <c r="BJ30" s="1947"/>
      <c r="BK30" s="1947"/>
      <c r="BL30" s="1738" t="e">
        <f>INT($Y30*BG30)</f>
        <v>#REF!</v>
      </c>
      <c r="BM30" s="1739"/>
      <c r="BN30" s="1739"/>
      <c r="BO30" s="1739"/>
      <c r="BP30" s="1739"/>
      <c r="BQ30" s="1739"/>
      <c r="BR30" s="1739"/>
      <c r="BS30" s="1740"/>
      <c r="BT30" s="1947">
        <v>0.96</v>
      </c>
      <c r="BU30" s="1947"/>
      <c r="BV30" s="1947"/>
      <c r="BW30" s="1947"/>
      <c r="BX30" s="1947"/>
      <c r="BY30" s="1738" t="e">
        <f>INT($Y30*BT30)</f>
        <v>#REF!</v>
      </c>
      <c r="BZ30" s="1739"/>
      <c r="CA30" s="1739"/>
      <c r="CB30" s="1739"/>
      <c r="CC30" s="1739"/>
      <c r="CD30" s="1739"/>
      <c r="CE30" s="1739"/>
      <c r="CF30" s="1745"/>
    </row>
    <row r="31" spans="1:88" s="400" customFormat="1" ht="23.1" customHeight="1">
      <c r="E31" s="1870"/>
      <c r="F31" s="1871"/>
      <c r="G31" s="1871"/>
      <c r="H31" s="1871"/>
      <c r="I31" s="1829" t="s">
        <v>419</v>
      </c>
      <c r="J31" s="1829"/>
      <c r="K31" s="1829"/>
      <c r="L31" s="1829"/>
      <c r="M31" s="1829"/>
      <c r="N31" s="1829"/>
      <c r="O31" s="1829"/>
      <c r="P31" s="1829"/>
      <c r="Q31" s="1829"/>
      <c r="R31" s="1829"/>
      <c r="S31" s="1829"/>
      <c r="T31" s="1873"/>
      <c r="U31" s="1873"/>
      <c r="V31" s="1873"/>
      <c r="W31" s="1873"/>
      <c r="X31" s="1873"/>
      <c r="Y31" s="1814"/>
      <c r="Z31" s="1814"/>
      <c r="AA31" s="1814"/>
      <c r="AB31" s="1814"/>
      <c r="AC31" s="1814"/>
      <c r="AD31" s="1814"/>
      <c r="AE31" s="1814"/>
      <c r="AF31" s="1814"/>
      <c r="AG31" s="1803"/>
      <c r="AH31" s="1804"/>
      <c r="AI31" s="1804"/>
      <c r="AJ31" s="1804"/>
      <c r="AK31" s="1805"/>
      <c r="AL31" s="1803" t="e">
        <f>SUM(AL28:AS30)</f>
        <v>#REF!</v>
      </c>
      <c r="AM31" s="1804"/>
      <c r="AN31" s="1804"/>
      <c r="AO31" s="1804"/>
      <c r="AP31" s="1804"/>
      <c r="AQ31" s="1804"/>
      <c r="AR31" s="1804"/>
      <c r="AS31" s="1805"/>
      <c r="AT31" s="1803"/>
      <c r="AU31" s="1804"/>
      <c r="AV31" s="1804"/>
      <c r="AW31" s="1804"/>
      <c r="AX31" s="1805"/>
      <c r="AY31" s="1803" t="e">
        <f>SUM(AY28:BF30)</f>
        <v>#REF!</v>
      </c>
      <c r="AZ31" s="1804"/>
      <c r="BA31" s="1804"/>
      <c r="BB31" s="1804"/>
      <c r="BC31" s="1804"/>
      <c r="BD31" s="1804"/>
      <c r="BE31" s="1804"/>
      <c r="BF31" s="1805"/>
      <c r="BG31" s="1803"/>
      <c r="BH31" s="1804"/>
      <c r="BI31" s="1804"/>
      <c r="BJ31" s="1804"/>
      <c r="BK31" s="1805"/>
      <c r="BL31" s="1803" t="e">
        <f>SUM(BL28:BS30)</f>
        <v>#REF!</v>
      </c>
      <c r="BM31" s="1804"/>
      <c r="BN31" s="1804"/>
      <c r="BO31" s="1804"/>
      <c r="BP31" s="1804"/>
      <c r="BQ31" s="1804"/>
      <c r="BR31" s="1804"/>
      <c r="BS31" s="1805"/>
      <c r="BT31" s="1803"/>
      <c r="BU31" s="1804"/>
      <c r="BV31" s="1804"/>
      <c r="BW31" s="1804"/>
      <c r="BX31" s="1805"/>
      <c r="BY31" s="1803" t="e">
        <f>SUM(BY28:CF30)</f>
        <v>#REF!</v>
      </c>
      <c r="BZ31" s="1945"/>
      <c r="CA31" s="1945"/>
      <c r="CB31" s="1945"/>
      <c r="CC31" s="1945"/>
      <c r="CD31" s="1945"/>
      <c r="CE31" s="1945"/>
      <c r="CF31" s="1957"/>
    </row>
    <row r="32" spans="1:88" s="400" customFormat="1" ht="23.1" customHeight="1">
      <c r="E32" s="1870" t="s">
        <v>422</v>
      </c>
      <c r="F32" s="1829"/>
      <c r="G32" s="1829"/>
      <c r="H32" s="1829"/>
      <c r="I32" s="1829" t="s">
        <v>417</v>
      </c>
      <c r="J32" s="1829"/>
      <c r="K32" s="1829"/>
      <c r="L32" s="1829"/>
      <c r="M32" s="1829"/>
      <c r="N32" s="1829"/>
      <c r="O32" s="1829"/>
      <c r="P32" s="1829"/>
      <c r="Q32" s="1829"/>
      <c r="R32" s="1829"/>
      <c r="S32" s="1829"/>
      <c r="T32" s="1873" t="s">
        <v>418</v>
      </c>
      <c r="U32" s="1873"/>
      <c r="V32" s="1873"/>
      <c r="W32" s="1873"/>
      <c r="X32" s="1873"/>
      <c r="Y32" s="1954" t="e">
        <f>#REF!</f>
        <v>#REF!</v>
      </c>
      <c r="Z32" s="1873"/>
      <c r="AA32" s="1873"/>
      <c r="AB32" s="1873"/>
      <c r="AC32" s="1873"/>
      <c r="AD32" s="1873"/>
      <c r="AE32" s="1873"/>
      <c r="AF32" s="1873"/>
      <c r="AG32" s="1951">
        <v>0.3</v>
      </c>
      <c r="AH32" s="1951"/>
      <c r="AI32" s="1951"/>
      <c r="AJ32" s="1951"/>
      <c r="AK32" s="1951"/>
      <c r="AL32" s="1738" t="e">
        <f>INT($Y32*AG32)</f>
        <v>#REF!</v>
      </c>
      <c r="AM32" s="1739"/>
      <c r="AN32" s="1739"/>
      <c r="AO32" s="1739"/>
      <c r="AP32" s="1739"/>
      <c r="AQ32" s="1739"/>
      <c r="AR32" s="1739"/>
      <c r="AS32" s="1740"/>
      <c r="AT32" s="1947">
        <v>0.48</v>
      </c>
      <c r="AU32" s="1947"/>
      <c r="AV32" s="1947"/>
      <c r="AW32" s="1947"/>
      <c r="AX32" s="1947"/>
      <c r="AY32" s="1738" t="e">
        <f>INT($Y32*AT32)</f>
        <v>#REF!</v>
      </c>
      <c r="AZ32" s="1739"/>
      <c r="BA32" s="1739"/>
      <c r="BB32" s="1739"/>
      <c r="BC32" s="1739"/>
      <c r="BD32" s="1739"/>
      <c r="BE32" s="1739"/>
      <c r="BF32" s="1740"/>
      <c r="BG32" s="1947">
        <v>0.6</v>
      </c>
      <c r="BH32" s="1947"/>
      <c r="BI32" s="1947"/>
      <c r="BJ32" s="1947"/>
      <c r="BK32" s="1947"/>
      <c r="BL32" s="1738" t="e">
        <f>INT($Y32*BG32)</f>
        <v>#REF!</v>
      </c>
      <c r="BM32" s="1739"/>
      <c r="BN32" s="1739"/>
      <c r="BO32" s="1739"/>
      <c r="BP32" s="1739"/>
      <c r="BQ32" s="1739"/>
      <c r="BR32" s="1739"/>
      <c r="BS32" s="1740"/>
      <c r="BT32" s="1947">
        <v>0.96</v>
      </c>
      <c r="BU32" s="1947"/>
      <c r="BV32" s="1947"/>
      <c r="BW32" s="1947"/>
      <c r="BX32" s="1947"/>
      <c r="BY32" s="1738" t="e">
        <f>INT($Y32*BT32)</f>
        <v>#REF!</v>
      </c>
      <c r="BZ32" s="1739"/>
      <c r="CA32" s="1739"/>
      <c r="CB32" s="1739"/>
      <c r="CC32" s="1739"/>
      <c r="CD32" s="1739"/>
      <c r="CE32" s="1739"/>
      <c r="CF32" s="1745"/>
    </row>
    <row r="33" spans="1:88" s="400" customFormat="1" ht="23.1" customHeight="1">
      <c r="E33" s="1828"/>
      <c r="F33" s="1829"/>
      <c r="G33" s="1829"/>
      <c r="H33" s="1829"/>
      <c r="I33" s="1942" t="e">
        <f>#REF!</f>
        <v>#REF!</v>
      </c>
      <c r="J33" s="1943"/>
      <c r="K33" s="1943"/>
      <c r="L33" s="1943"/>
      <c r="M33" s="1943"/>
      <c r="N33" s="1943"/>
      <c r="O33" s="1943"/>
      <c r="P33" s="1943"/>
      <c r="Q33" s="1943"/>
      <c r="R33" s="1943"/>
      <c r="S33" s="1944"/>
      <c r="T33" s="1873" t="s">
        <v>418</v>
      </c>
      <c r="U33" s="1873"/>
      <c r="V33" s="1873"/>
      <c r="W33" s="1873"/>
      <c r="X33" s="1873"/>
      <c r="Y33" s="1954" t="e">
        <f>#REF!</f>
        <v>#REF!</v>
      </c>
      <c r="Z33" s="1873"/>
      <c r="AA33" s="1873"/>
      <c r="AB33" s="1873"/>
      <c r="AC33" s="1873"/>
      <c r="AD33" s="1873"/>
      <c r="AE33" s="1873"/>
      <c r="AF33" s="1873"/>
      <c r="AG33" s="1951">
        <v>1.26</v>
      </c>
      <c r="AH33" s="1951"/>
      <c r="AI33" s="1951"/>
      <c r="AJ33" s="1951"/>
      <c r="AK33" s="1951"/>
      <c r="AL33" s="1738" t="e">
        <f>INT($Y33*AG33)</f>
        <v>#REF!</v>
      </c>
      <c r="AM33" s="1739"/>
      <c r="AN33" s="1739"/>
      <c r="AO33" s="1739"/>
      <c r="AP33" s="1739"/>
      <c r="AQ33" s="1739"/>
      <c r="AR33" s="1739"/>
      <c r="AS33" s="1740"/>
      <c r="AT33" s="1947">
        <v>1.68</v>
      </c>
      <c r="AU33" s="1947"/>
      <c r="AV33" s="1947"/>
      <c r="AW33" s="1947"/>
      <c r="AX33" s="1947"/>
      <c r="AY33" s="1738" t="e">
        <f>INT($Y33*AT33)</f>
        <v>#REF!</v>
      </c>
      <c r="AZ33" s="1739"/>
      <c r="BA33" s="1739"/>
      <c r="BB33" s="1739"/>
      <c r="BC33" s="1739"/>
      <c r="BD33" s="1739"/>
      <c r="BE33" s="1739"/>
      <c r="BF33" s="1740"/>
      <c r="BG33" s="1947">
        <v>2.4</v>
      </c>
      <c r="BH33" s="1947"/>
      <c r="BI33" s="1947"/>
      <c r="BJ33" s="1947"/>
      <c r="BK33" s="1947"/>
      <c r="BL33" s="1738" t="e">
        <f>INT($Y33*BG33)</f>
        <v>#REF!</v>
      </c>
      <c r="BM33" s="1739"/>
      <c r="BN33" s="1739"/>
      <c r="BO33" s="1739"/>
      <c r="BP33" s="1739"/>
      <c r="BQ33" s="1739"/>
      <c r="BR33" s="1739"/>
      <c r="BS33" s="1740"/>
      <c r="BT33" s="1947">
        <v>3.9</v>
      </c>
      <c r="BU33" s="1947"/>
      <c r="BV33" s="1947"/>
      <c r="BW33" s="1947"/>
      <c r="BX33" s="1947"/>
      <c r="BY33" s="1738" t="e">
        <f>INT($Y33*BT33)</f>
        <v>#REF!</v>
      </c>
      <c r="BZ33" s="1739"/>
      <c r="CA33" s="1739"/>
      <c r="CB33" s="1739"/>
      <c r="CC33" s="1739"/>
      <c r="CD33" s="1739"/>
      <c r="CE33" s="1739"/>
      <c r="CF33" s="1745"/>
    </row>
    <row r="34" spans="1:88" s="400" customFormat="1" ht="23.1" customHeight="1">
      <c r="E34" s="1828"/>
      <c r="F34" s="1829"/>
      <c r="G34" s="1829"/>
      <c r="H34" s="1829"/>
      <c r="I34" s="1829" t="s">
        <v>419</v>
      </c>
      <c r="J34" s="1829"/>
      <c r="K34" s="1829"/>
      <c r="L34" s="1829"/>
      <c r="M34" s="1829"/>
      <c r="N34" s="1829"/>
      <c r="O34" s="1829"/>
      <c r="P34" s="1829"/>
      <c r="Q34" s="1829"/>
      <c r="R34" s="1829"/>
      <c r="S34" s="1829"/>
      <c r="T34" s="1873"/>
      <c r="U34" s="1873"/>
      <c r="V34" s="1873"/>
      <c r="W34" s="1873"/>
      <c r="X34" s="1873"/>
      <c r="Y34" s="1814"/>
      <c r="Z34" s="1814"/>
      <c r="AA34" s="1814"/>
      <c r="AB34" s="1814"/>
      <c r="AC34" s="1814"/>
      <c r="AD34" s="1814"/>
      <c r="AE34" s="1814"/>
      <c r="AF34" s="1814"/>
      <c r="AG34" s="1814"/>
      <c r="AH34" s="1814"/>
      <c r="AI34" s="1814"/>
      <c r="AJ34" s="1814"/>
      <c r="AK34" s="1814"/>
      <c r="AL34" s="1814" t="e">
        <f>SUM(AL32:AS33)</f>
        <v>#REF!</v>
      </c>
      <c r="AM34" s="1814"/>
      <c r="AN34" s="1814"/>
      <c r="AO34" s="1814"/>
      <c r="AP34" s="1814"/>
      <c r="AQ34" s="1814"/>
      <c r="AR34" s="1814"/>
      <c r="AS34" s="1814"/>
      <c r="AT34" s="1814"/>
      <c r="AU34" s="1814"/>
      <c r="AV34" s="1814"/>
      <c r="AW34" s="1814"/>
      <c r="AX34" s="1814"/>
      <c r="AY34" s="1814" t="e">
        <f>SUM(AY32:BF33)</f>
        <v>#REF!</v>
      </c>
      <c r="AZ34" s="1814"/>
      <c r="BA34" s="1814"/>
      <c r="BB34" s="1814"/>
      <c r="BC34" s="1814"/>
      <c r="BD34" s="1814"/>
      <c r="BE34" s="1814"/>
      <c r="BF34" s="1814"/>
      <c r="BG34" s="1814"/>
      <c r="BH34" s="1814"/>
      <c r="BI34" s="1814"/>
      <c r="BJ34" s="1814"/>
      <c r="BK34" s="1814"/>
      <c r="BL34" s="1814" t="e">
        <f>SUM(BL32:BS33)</f>
        <v>#REF!</v>
      </c>
      <c r="BM34" s="1814"/>
      <c r="BN34" s="1814"/>
      <c r="BO34" s="1814"/>
      <c r="BP34" s="1814"/>
      <c r="BQ34" s="1814"/>
      <c r="BR34" s="1814"/>
      <c r="BS34" s="1814"/>
      <c r="BT34" s="1814"/>
      <c r="BU34" s="1814"/>
      <c r="BV34" s="1814"/>
      <c r="BW34" s="1814"/>
      <c r="BX34" s="1814"/>
      <c r="BY34" s="1814" t="e">
        <f>SUM(BY32:CF33)</f>
        <v>#REF!</v>
      </c>
      <c r="BZ34" s="1814"/>
      <c r="CA34" s="1814"/>
      <c r="CB34" s="1814"/>
      <c r="CC34" s="1814"/>
      <c r="CD34" s="1814"/>
      <c r="CE34" s="1814"/>
      <c r="CF34" s="1928"/>
    </row>
    <row r="35" spans="1:88" s="400" customFormat="1" ht="23.1" customHeight="1" thickBot="1">
      <c r="E35" s="1919" t="s">
        <v>419</v>
      </c>
      <c r="F35" s="1855"/>
      <c r="G35" s="1855"/>
      <c r="H35" s="1855"/>
      <c r="I35" s="1855"/>
      <c r="J35" s="1855"/>
      <c r="K35" s="1855"/>
      <c r="L35" s="1855"/>
      <c r="M35" s="1855"/>
      <c r="N35" s="1855"/>
      <c r="O35" s="1855"/>
      <c r="P35" s="1855"/>
      <c r="Q35" s="1855"/>
      <c r="R35" s="1855"/>
      <c r="S35" s="1855"/>
      <c r="T35" s="1861"/>
      <c r="U35" s="1861"/>
      <c r="V35" s="1861"/>
      <c r="W35" s="1861"/>
      <c r="X35" s="1861"/>
      <c r="Y35" s="1937"/>
      <c r="Z35" s="1861"/>
      <c r="AA35" s="1861"/>
      <c r="AB35" s="1861"/>
      <c r="AC35" s="1861"/>
      <c r="AD35" s="1861"/>
      <c r="AE35" s="1861"/>
      <c r="AF35" s="1861"/>
      <c r="AG35" s="1861"/>
      <c r="AH35" s="1861"/>
      <c r="AI35" s="1861"/>
      <c r="AJ35" s="1861"/>
      <c r="AK35" s="1861"/>
      <c r="AL35" s="1796" t="e">
        <f>AL27+AL31+AL34</f>
        <v>#REF!</v>
      </c>
      <c r="AM35" s="1796"/>
      <c r="AN35" s="1796"/>
      <c r="AO35" s="1796"/>
      <c r="AP35" s="1796"/>
      <c r="AQ35" s="1796"/>
      <c r="AR35" s="1796"/>
      <c r="AS35" s="1796"/>
      <c r="AT35" s="1796"/>
      <c r="AU35" s="1796"/>
      <c r="AV35" s="1796"/>
      <c r="AW35" s="1796"/>
      <c r="AX35" s="1796"/>
      <c r="AY35" s="1796" t="e">
        <f>AY27+AY31+AY34</f>
        <v>#REF!</v>
      </c>
      <c r="AZ35" s="1796"/>
      <c r="BA35" s="1796"/>
      <c r="BB35" s="1796"/>
      <c r="BC35" s="1796"/>
      <c r="BD35" s="1796"/>
      <c r="BE35" s="1796"/>
      <c r="BF35" s="1796"/>
      <c r="BG35" s="1796"/>
      <c r="BH35" s="1796"/>
      <c r="BI35" s="1796"/>
      <c r="BJ35" s="1796"/>
      <c r="BK35" s="1796"/>
      <c r="BL35" s="1796" t="e">
        <f>BL27+BL31+BL34</f>
        <v>#REF!</v>
      </c>
      <c r="BM35" s="1796"/>
      <c r="BN35" s="1796"/>
      <c r="BO35" s="1796"/>
      <c r="BP35" s="1796"/>
      <c r="BQ35" s="1796"/>
      <c r="BR35" s="1796"/>
      <c r="BS35" s="1796"/>
      <c r="BT35" s="1796"/>
      <c r="BU35" s="1796"/>
      <c r="BV35" s="1796"/>
      <c r="BW35" s="1796"/>
      <c r="BX35" s="1796"/>
      <c r="BY35" s="1796" t="e">
        <f>BY27+BY31+BY34</f>
        <v>#REF!</v>
      </c>
      <c r="BZ35" s="1796"/>
      <c r="CA35" s="1796"/>
      <c r="CB35" s="1796"/>
      <c r="CC35" s="1796"/>
      <c r="CD35" s="1796"/>
      <c r="CE35" s="1796"/>
      <c r="CF35" s="1827"/>
    </row>
    <row r="36" spans="1:88" s="400" customFormat="1" ht="23.1" customHeight="1">
      <c r="A36" s="402"/>
      <c r="B36" s="402"/>
      <c r="C36" s="402"/>
      <c r="D36" s="402"/>
      <c r="E36" s="402"/>
      <c r="F36" s="402"/>
      <c r="G36" s="402" t="s">
        <v>743</v>
      </c>
      <c r="I36" s="402"/>
      <c r="J36" s="402"/>
      <c r="BT36" s="410"/>
      <c r="BU36" s="410"/>
      <c r="BV36" s="410"/>
      <c r="BW36" s="410"/>
      <c r="BX36" s="410"/>
      <c r="BY36" s="410"/>
      <c r="BZ36" s="410"/>
      <c r="CA36" s="410"/>
      <c r="CB36" s="410"/>
      <c r="CC36" s="410"/>
    </row>
    <row r="37" spans="1:88" s="400" customFormat="1" ht="23.1" customHeight="1">
      <c r="A37" s="420"/>
      <c r="B37" s="421"/>
      <c r="C37" s="420"/>
      <c r="D37" s="420"/>
      <c r="E37" s="402"/>
      <c r="F37" s="402"/>
      <c r="G37" s="402" t="s">
        <v>742</v>
      </c>
      <c r="H37" s="402"/>
      <c r="I37" s="402"/>
      <c r="J37" s="402"/>
    </row>
    <row r="38" spans="1:88" s="412" customFormat="1" ht="28.35" customHeight="1">
      <c r="A38" s="1877" t="s">
        <v>375</v>
      </c>
      <c r="B38" s="1877"/>
      <c r="C38" s="1877"/>
      <c r="D38" s="1877"/>
      <c r="E38" s="1877"/>
      <c r="F38" s="1877"/>
      <c r="G38" s="1877"/>
      <c r="H38" s="1877"/>
      <c r="I38" s="1877"/>
      <c r="J38" s="1877"/>
      <c r="K38" s="1877"/>
      <c r="L38" s="1877"/>
      <c r="M38" s="1877"/>
      <c r="N38" s="1877"/>
      <c r="O38" s="1877"/>
      <c r="P38" s="1877"/>
      <c r="Q38" s="1877"/>
      <c r="R38" s="1877"/>
      <c r="S38" s="1877"/>
      <c r="T38" s="1877"/>
      <c r="U38" s="1877"/>
      <c r="V38" s="1877"/>
      <c r="W38" s="1877"/>
      <c r="X38" s="1877"/>
      <c r="Y38" s="1877"/>
      <c r="Z38" s="1877"/>
      <c r="AA38" s="1877"/>
      <c r="AB38" s="1877"/>
      <c r="AC38" s="1877"/>
      <c r="AD38" s="1877"/>
      <c r="AE38" s="1877"/>
      <c r="AF38" s="1877"/>
      <c r="AG38" s="1877"/>
      <c r="AH38" s="1877"/>
      <c r="AI38" s="1877"/>
      <c r="AJ38" s="1877"/>
      <c r="AK38" s="1877"/>
      <c r="AL38" s="1877"/>
      <c r="AM38" s="1877"/>
      <c r="AN38" s="1877"/>
      <c r="AO38" s="1877"/>
      <c r="AP38" s="1877"/>
      <c r="AQ38" s="1877"/>
      <c r="AR38" s="1877"/>
      <c r="AS38" s="1877"/>
      <c r="AT38" s="1877"/>
      <c r="AU38" s="1877"/>
      <c r="AV38" s="1877"/>
      <c r="AW38" s="1877"/>
      <c r="AX38" s="1877"/>
      <c r="AY38" s="1877"/>
      <c r="AZ38" s="1877"/>
      <c r="BA38" s="1877"/>
      <c r="BB38" s="1877"/>
      <c r="BC38" s="1877"/>
      <c r="BD38" s="1877"/>
      <c r="BE38" s="1877"/>
      <c r="BF38" s="1877"/>
      <c r="BG38" s="1877"/>
      <c r="BH38" s="1877"/>
      <c r="BI38" s="1877"/>
      <c r="BJ38" s="1877"/>
      <c r="BK38" s="1877"/>
      <c r="BL38" s="1877"/>
      <c r="BM38" s="1877"/>
      <c r="BN38" s="1877"/>
      <c r="BO38" s="1877"/>
      <c r="BP38" s="1877"/>
      <c r="BQ38" s="1877"/>
      <c r="BR38" s="1877"/>
      <c r="BS38" s="1877"/>
      <c r="BT38" s="1877"/>
      <c r="BU38" s="1877"/>
      <c r="BV38" s="1877"/>
      <c r="BW38" s="1877"/>
      <c r="BX38" s="1877"/>
      <c r="BY38" s="1877"/>
      <c r="BZ38" s="1877"/>
      <c r="CA38" s="1877"/>
      <c r="CB38" s="1877"/>
      <c r="CC38" s="1877"/>
      <c r="CD38" s="1877"/>
      <c r="CE38" s="1877"/>
      <c r="CF38" s="1877"/>
      <c r="CJ38" s="400" t="s">
        <v>721</v>
      </c>
    </row>
    <row r="39" spans="1:88" s="412" customFormat="1" ht="9.9499999999999993" customHeight="1">
      <c r="A39" s="413"/>
      <c r="B39" s="413"/>
      <c r="C39" s="413"/>
      <c r="D39" s="413"/>
      <c r="E39" s="413"/>
      <c r="F39" s="413"/>
      <c r="G39" s="413"/>
      <c r="H39" s="413"/>
      <c r="I39" s="413"/>
      <c r="J39" s="413"/>
      <c r="K39" s="413"/>
      <c r="L39" s="413"/>
      <c r="M39" s="413"/>
      <c r="N39" s="413"/>
      <c r="O39" s="413"/>
      <c r="P39" s="413"/>
      <c r="Q39" s="413"/>
      <c r="R39" s="413"/>
      <c r="S39" s="413"/>
      <c r="T39" s="413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3"/>
      <c r="AJ39" s="413"/>
      <c r="AK39" s="413"/>
      <c r="AL39" s="413"/>
      <c r="AM39" s="413"/>
      <c r="AN39" s="413"/>
      <c r="AO39" s="413"/>
      <c r="AP39" s="413"/>
      <c r="AQ39" s="413"/>
      <c r="AR39" s="413"/>
      <c r="AS39" s="413"/>
      <c r="AT39" s="413"/>
      <c r="AU39" s="413"/>
      <c r="AV39" s="413"/>
      <c r="AW39" s="413"/>
      <c r="AX39" s="413"/>
      <c r="AY39" s="413"/>
      <c r="AZ39" s="413"/>
      <c r="BA39" s="413"/>
      <c r="BB39" s="413"/>
      <c r="BC39" s="413"/>
      <c r="BD39" s="413"/>
      <c r="BE39" s="413"/>
      <c r="BF39" s="413"/>
      <c r="BG39" s="413"/>
      <c r="BH39" s="413"/>
      <c r="BI39" s="413"/>
      <c r="BJ39" s="413"/>
      <c r="BK39" s="413"/>
      <c r="BL39" s="413"/>
      <c r="BM39" s="413"/>
      <c r="BN39" s="413"/>
      <c r="BO39" s="413"/>
      <c r="BP39" s="413"/>
      <c r="BQ39" s="413"/>
      <c r="BR39" s="413"/>
      <c r="BS39" s="413"/>
      <c r="BT39" s="413"/>
      <c r="BU39" s="413"/>
      <c r="BV39" s="413"/>
      <c r="BW39" s="413"/>
      <c r="BX39" s="413"/>
      <c r="BY39" s="413"/>
      <c r="BZ39" s="413"/>
      <c r="CA39" s="413"/>
      <c r="CB39" s="413"/>
      <c r="CC39" s="413"/>
      <c r="CD39" s="413"/>
      <c r="CE39" s="413"/>
      <c r="CF39" s="413"/>
      <c r="CJ39" s="400"/>
    </row>
    <row r="40" spans="1:88" s="400" customFormat="1" ht="23.1" customHeight="1">
      <c r="E40" s="400" t="s">
        <v>376</v>
      </c>
      <c r="CJ40" s="400" t="s">
        <v>769</v>
      </c>
    </row>
    <row r="41" spans="1:88" s="400" customFormat="1" ht="23.1" customHeight="1">
      <c r="A41" s="402"/>
      <c r="B41" s="402"/>
      <c r="C41" s="402"/>
      <c r="D41" s="402"/>
      <c r="G41" s="1788" t="s">
        <v>377</v>
      </c>
      <c r="H41" s="1788"/>
      <c r="I41" s="1788"/>
      <c r="J41" s="1788"/>
      <c r="L41" s="411" t="s">
        <v>378</v>
      </c>
      <c r="M41" s="411"/>
      <c r="N41" s="411"/>
      <c r="O41" s="411"/>
      <c r="P41" s="411"/>
      <c r="Q41" s="411"/>
      <c r="R41" s="411"/>
      <c r="S41" s="411"/>
      <c r="T41" s="411"/>
      <c r="U41" s="411"/>
      <c r="V41" s="411"/>
      <c r="W41" s="411"/>
      <c r="X41" s="411"/>
      <c r="Y41" s="411"/>
      <c r="Z41" s="411"/>
      <c r="AA41" s="411"/>
      <c r="AB41" s="411"/>
      <c r="AC41" s="411"/>
      <c r="AD41" s="411"/>
      <c r="AE41" s="411"/>
      <c r="AM41" s="400" t="s">
        <v>379</v>
      </c>
      <c r="AV41" s="408"/>
      <c r="AW41" s="408"/>
      <c r="AX41" s="408"/>
      <c r="AY41" s="408"/>
      <c r="AZ41" s="408"/>
      <c r="BA41" s="408"/>
      <c r="BC41" s="408"/>
      <c r="BD41" s="408"/>
      <c r="BE41" s="404"/>
      <c r="BF41" s="404"/>
      <c r="BG41" s="404"/>
      <c r="BH41" s="404"/>
      <c r="BI41" s="400" t="s">
        <v>380</v>
      </c>
      <c r="BJ41" s="404"/>
      <c r="BK41" s="404"/>
      <c r="BL41" s="404"/>
      <c r="BM41" s="404"/>
      <c r="BN41" s="404"/>
      <c r="BO41" s="404"/>
      <c r="BP41" s="404"/>
      <c r="BQ41" s="404"/>
      <c r="BR41" s="404"/>
      <c r="BS41" s="404"/>
      <c r="BT41" s="404"/>
      <c r="BU41" s="404"/>
      <c r="BV41" s="404"/>
      <c r="BW41" s="404"/>
      <c r="BX41" s="404"/>
      <c r="BY41" s="404"/>
      <c r="BZ41" s="404"/>
      <c r="CA41" s="404"/>
      <c r="CB41" s="404"/>
      <c r="CC41" s="404"/>
      <c r="CD41" s="404"/>
      <c r="CE41" s="404"/>
      <c r="CF41" s="404"/>
      <c r="CJ41" s="400" t="s">
        <v>761</v>
      </c>
    </row>
    <row r="42" spans="1:88" s="400" customFormat="1" ht="23.1" customHeight="1">
      <c r="D42" s="405"/>
      <c r="G42" s="1788"/>
      <c r="H42" s="1788"/>
      <c r="I42" s="1788"/>
      <c r="J42" s="1788"/>
      <c r="L42" s="1809" t="s">
        <v>381</v>
      </c>
      <c r="M42" s="1809"/>
      <c r="N42" s="1809"/>
      <c r="O42" s="1809"/>
      <c r="P42" s="1809"/>
      <c r="Q42" s="1809"/>
      <c r="R42" s="1809"/>
      <c r="S42" s="1809"/>
      <c r="T42" s="1809"/>
      <c r="U42" s="1809"/>
      <c r="V42" s="1809"/>
      <c r="W42" s="1809"/>
      <c r="X42" s="1809"/>
      <c r="Y42" s="1809"/>
      <c r="Z42" s="1809"/>
      <c r="AA42" s="1809"/>
      <c r="AB42" s="1809"/>
      <c r="AC42" s="1809"/>
      <c r="AD42" s="1809"/>
      <c r="AE42" s="1809"/>
      <c r="AM42" s="408" t="s">
        <v>382</v>
      </c>
      <c r="AV42" s="408"/>
      <c r="AW42" s="408"/>
      <c r="AX42" s="408"/>
      <c r="AY42" s="408"/>
      <c r="AZ42" s="408"/>
      <c r="BA42" s="408"/>
      <c r="BC42" s="408"/>
      <c r="BD42" s="408"/>
      <c r="BE42" s="404"/>
      <c r="BF42" s="404"/>
      <c r="BG42" s="404"/>
      <c r="BH42" s="404"/>
      <c r="BI42" s="404"/>
      <c r="BJ42" s="404"/>
      <c r="BK42" s="404"/>
      <c r="BL42" s="404"/>
      <c r="BM42" s="404"/>
      <c r="BN42" s="404"/>
      <c r="BO42" s="404"/>
      <c r="BP42" s="404"/>
      <c r="BQ42" s="404"/>
      <c r="BR42" s="404"/>
      <c r="BS42" s="404"/>
      <c r="BT42" s="404"/>
      <c r="BU42" s="404"/>
      <c r="BV42" s="404"/>
      <c r="BW42" s="404"/>
      <c r="BX42" s="404"/>
      <c r="BY42" s="404"/>
      <c r="BZ42" s="404"/>
      <c r="CA42" s="404"/>
      <c r="CB42" s="404"/>
      <c r="CC42" s="404"/>
      <c r="CD42" s="404"/>
      <c r="CE42" s="404"/>
      <c r="CF42" s="404"/>
      <c r="CJ42" s="400" t="s">
        <v>717</v>
      </c>
    </row>
    <row r="43" spans="1:88" s="400" customFormat="1" ht="23.1" customHeight="1">
      <c r="G43" s="402"/>
      <c r="AM43" s="408" t="s">
        <v>383</v>
      </c>
      <c r="BI43" s="400" t="s">
        <v>384</v>
      </c>
      <c r="BT43" s="410"/>
      <c r="BU43" s="410"/>
      <c r="BV43" s="410"/>
      <c r="BW43" s="410"/>
      <c r="BX43" s="410"/>
      <c r="BY43" s="410"/>
      <c r="BZ43" s="410"/>
      <c r="CA43" s="410"/>
      <c r="CB43" s="410"/>
      <c r="CC43" s="410"/>
      <c r="CJ43" s="400" t="s">
        <v>716</v>
      </c>
    </row>
    <row r="44" spans="1:88" s="400" customFormat="1" ht="9.9499999999999993" customHeight="1" thickBot="1">
      <c r="D44" s="405"/>
      <c r="Q44" s="409"/>
      <c r="R44" s="409"/>
      <c r="S44" s="409"/>
      <c r="T44" s="409"/>
      <c r="U44" s="409"/>
      <c r="V44" s="409"/>
      <c r="W44" s="409"/>
      <c r="X44" s="409"/>
      <c r="Y44" s="409"/>
      <c r="Z44" s="409"/>
      <c r="AA44" s="409"/>
      <c r="AB44" s="409"/>
      <c r="AV44" s="408"/>
      <c r="AW44" s="408"/>
      <c r="AX44" s="408"/>
      <c r="AY44" s="408"/>
      <c r="AZ44" s="408"/>
      <c r="BA44" s="408"/>
      <c r="BB44" s="408"/>
      <c r="BC44" s="408"/>
      <c r="BD44" s="408"/>
      <c r="BE44" s="404"/>
      <c r="BF44" s="404"/>
      <c r="BG44" s="404"/>
      <c r="BH44" s="404"/>
      <c r="BI44" s="404"/>
      <c r="BJ44" s="404"/>
      <c r="BK44" s="404"/>
      <c r="BL44" s="404"/>
      <c r="BM44" s="404"/>
      <c r="BN44" s="404"/>
      <c r="BO44" s="404"/>
      <c r="BP44" s="404"/>
      <c r="BQ44" s="404"/>
      <c r="BR44" s="404"/>
      <c r="BS44" s="404"/>
      <c r="BT44" s="404"/>
      <c r="BU44" s="404"/>
      <c r="BV44" s="404"/>
      <c r="BW44" s="404"/>
      <c r="BX44" s="404"/>
      <c r="BY44" s="404"/>
      <c r="BZ44" s="404"/>
      <c r="CA44" s="404"/>
      <c r="CB44" s="404"/>
      <c r="CC44" s="404"/>
      <c r="CD44" s="404"/>
      <c r="CE44" s="404"/>
      <c r="CF44" s="404"/>
    </row>
    <row r="45" spans="1:88" s="400" customFormat="1" ht="23.1" customHeight="1" thickBot="1">
      <c r="A45" s="402"/>
      <c r="B45" s="402"/>
      <c r="C45" s="402"/>
      <c r="D45" s="402"/>
      <c r="E45" s="1835" t="s">
        <v>385</v>
      </c>
      <c r="F45" s="1836"/>
      <c r="G45" s="1836"/>
      <c r="H45" s="1836"/>
      <c r="I45" s="1836"/>
      <c r="J45" s="1836"/>
      <c r="K45" s="1836"/>
      <c r="L45" s="1836"/>
      <c r="M45" s="1836"/>
      <c r="N45" s="1836"/>
      <c r="O45" s="1836"/>
      <c r="P45" s="1836"/>
      <c r="Q45" s="1836" t="s">
        <v>212</v>
      </c>
      <c r="R45" s="1836"/>
      <c r="S45" s="1836"/>
      <c r="T45" s="1836"/>
      <c r="U45" s="1836"/>
      <c r="V45" s="1836"/>
      <c r="W45" s="1836"/>
      <c r="X45" s="1836"/>
      <c r="Y45" s="1836"/>
      <c r="Z45" s="1836"/>
      <c r="AA45" s="1836"/>
      <c r="AB45" s="1836"/>
      <c r="AC45" s="1836" t="s">
        <v>386</v>
      </c>
      <c r="AD45" s="1836"/>
      <c r="AE45" s="1836"/>
      <c r="AF45" s="1836"/>
      <c r="AG45" s="1836"/>
      <c r="AH45" s="1836"/>
      <c r="AI45" s="1836"/>
      <c r="AJ45" s="1836"/>
      <c r="AK45" s="1836" t="s">
        <v>387</v>
      </c>
      <c r="AL45" s="1836"/>
      <c r="AM45" s="1836"/>
      <c r="AN45" s="1836"/>
      <c r="AO45" s="1836"/>
      <c r="AP45" s="1836"/>
      <c r="AQ45" s="1836"/>
      <c r="AR45" s="1836"/>
      <c r="AS45" s="1836" t="s">
        <v>388</v>
      </c>
      <c r="AT45" s="1836"/>
      <c r="AU45" s="1836"/>
      <c r="AV45" s="1836"/>
      <c r="AW45" s="1836"/>
      <c r="AX45" s="1836"/>
      <c r="AY45" s="1836"/>
      <c r="AZ45" s="1836"/>
      <c r="BA45" s="1836" t="s">
        <v>389</v>
      </c>
      <c r="BB45" s="1836"/>
      <c r="BC45" s="1836"/>
      <c r="BD45" s="1836"/>
      <c r="BE45" s="1836"/>
      <c r="BF45" s="1836"/>
      <c r="BG45" s="1836"/>
      <c r="BH45" s="1836"/>
      <c r="BI45" s="1836" t="s">
        <v>381</v>
      </c>
      <c r="BJ45" s="1836"/>
      <c r="BK45" s="1836"/>
      <c r="BL45" s="1836"/>
      <c r="BM45" s="1836"/>
      <c r="BN45" s="1836"/>
      <c r="BO45" s="1836"/>
      <c r="BP45" s="1836"/>
      <c r="BQ45" s="1836"/>
      <c r="BR45" s="1836"/>
      <c r="BS45" s="1836"/>
      <c r="BT45" s="1836"/>
      <c r="BU45" s="1933" t="s">
        <v>390</v>
      </c>
      <c r="BV45" s="1933"/>
      <c r="BW45" s="1933"/>
      <c r="BX45" s="1933"/>
      <c r="BY45" s="1933"/>
      <c r="BZ45" s="1933"/>
      <c r="CA45" s="1933"/>
      <c r="CB45" s="1933"/>
      <c r="CC45" s="1933"/>
      <c r="CD45" s="1933"/>
      <c r="CE45" s="1933"/>
      <c r="CF45" s="1934"/>
      <c r="CJ45" s="400" t="s">
        <v>389</v>
      </c>
    </row>
    <row r="46" spans="1:88" s="400" customFormat="1" ht="23.1" customHeight="1" thickTop="1">
      <c r="D46" s="405"/>
      <c r="E46" s="1935" t="s">
        <v>391</v>
      </c>
      <c r="F46" s="1834"/>
      <c r="G46" s="1834"/>
      <c r="H46" s="1834"/>
      <c r="I46" s="1834"/>
      <c r="J46" s="1834"/>
      <c r="K46" s="1834"/>
      <c r="L46" s="1834"/>
      <c r="M46" s="1834"/>
      <c r="N46" s="1834"/>
      <c r="O46" s="1834"/>
      <c r="P46" s="1834"/>
      <c r="Q46" s="1936" t="s">
        <v>392</v>
      </c>
      <c r="R46" s="1936"/>
      <c r="S46" s="1936"/>
      <c r="T46" s="1936"/>
      <c r="U46" s="1936"/>
      <c r="V46" s="1936"/>
      <c r="W46" s="1936"/>
      <c r="X46" s="1936"/>
      <c r="Y46" s="1936"/>
      <c r="Z46" s="1936"/>
      <c r="AA46" s="1936"/>
      <c r="AB46" s="1936"/>
      <c r="AC46" s="1834">
        <v>0.12</v>
      </c>
      <c r="AD46" s="1834"/>
      <c r="AE46" s="1834"/>
      <c r="AF46" s="1834"/>
      <c r="AG46" s="1834"/>
      <c r="AH46" s="1834"/>
      <c r="AI46" s="1834"/>
      <c r="AJ46" s="1834"/>
      <c r="AK46" s="1834">
        <v>0.9</v>
      </c>
      <c r="AL46" s="1834"/>
      <c r="AM46" s="1834"/>
      <c r="AN46" s="1834"/>
      <c r="AO46" s="1834"/>
      <c r="AP46" s="1834"/>
      <c r="AQ46" s="1834"/>
      <c r="AR46" s="1834"/>
      <c r="AS46" s="1834">
        <v>0.8</v>
      </c>
      <c r="AT46" s="1834"/>
      <c r="AU46" s="1834"/>
      <c r="AV46" s="1834"/>
      <c r="AW46" s="1834"/>
      <c r="AX46" s="1834"/>
      <c r="AY46" s="1834"/>
      <c r="AZ46" s="1834"/>
      <c r="BA46" s="1834">
        <v>0.6</v>
      </c>
      <c r="BB46" s="1834"/>
      <c r="BC46" s="1834"/>
      <c r="BD46" s="1834"/>
      <c r="BE46" s="1834"/>
      <c r="BF46" s="1834"/>
      <c r="BG46" s="1834"/>
      <c r="BH46" s="1834"/>
      <c r="BI46" s="1960" t="s">
        <v>393</v>
      </c>
      <c r="BJ46" s="1931"/>
      <c r="BK46" s="1931"/>
      <c r="BL46" s="1931"/>
      <c r="BM46" s="1931"/>
      <c r="BN46" s="1961"/>
      <c r="BO46" s="1930">
        <v>20</v>
      </c>
      <c r="BP46" s="1931"/>
      <c r="BQ46" s="1931"/>
      <c r="BR46" s="1931"/>
      <c r="BS46" s="1931"/>
      <c r="BT46" s="1932"/>
      <c r="BU46" s="1924">
        <f t="shared" ref="BU46:BU53" si="0">ROUND(3600*AC46*AK46*AS46*BA46/BO46,2)</f>
        <v>9.33</v>
      </c>
      <c r="BV46" s="1924"/>
      <c r="BW46" s="1924"/>
      <c r="BX46" s="1924"/>
      <c r="BY46" s="1924"/>
      <c r="BZ46" s="1924"/>
      <c r="CA46" s="1924"/>
      <c r="CB46" s="1924"/>
      <c r="CC46" s="1924"/>
      <c r="CD46" s="1924"/>
      <c r="CE46" s="1924"/>
      <c r="CF46" s="1925"/>
      <c r="CJ46" s="400" t="s">
        <v>760</v>
      </c>
    </row>
    <row r="47" spans="1:88" s="400" customFormat="1" ht="23.1" customHeight="1">
      <c r="D47" s="405"/>
      <c r="E47" s="1828" t="s">
        <v>391</v>
      </c>
      <c r="F47" s="1829"/>
      <c r="G47" s="1829"/>
      <c r="H47" s="1829"/>
      <c r="I47" s="1829"/>
      <c r="J47" s="1829"/>
      <c r="K47" s="1829"/>
      <c r="L47" s="1829"/>
      <c r="M47" s="1829"/>
      <c r="N47" s="1829"/>
      <c r="O47" s="1829"/>
      <c r="P47" s="1829"/>
      <c r="Q47" s="1830" t="s">
        <v>394</v>
      </c>
      <c r="R47" s="1830"/>
      <c r="S47" s="1830"/>
      <c r="T47" s="1830"/>
      <c r="U47" s="1830"/>
      <c r="V47" s="1830"/>
      <c r="W47" s="1830"/>
      <c r="X47" s="1830"/>
      <c r="Y47" s="1830"/>
      <c r="Z47" s="1830"/>
      <c r="AA47" s="1830"/>
      <c r="AB47" s="1830"/>
      <c r="AC47" s="1834">
        <v>0.18</v>
      </c>
      <c r="AD47" s="1834"/>
      <c r="AE47" s="1834"/>
      <c r="AF47" s="1834"/>
      <c r="AG47" s="1834"/>
      <c r="AH47" s="1834"/>
      <c r="AI47" s="1834"/>
      <c r="AJ47" s="1834"/>
      <c r="AK47" s="1834">
        <v>0.9</v>
      </c>
      <c r="AL47" s="1834"/>
      <c r="AM47" s="1834"/>
      <c r="AN47" s="1834"/>
      <c r="AO47" s="1834"/>
      <c r="AP47" s="1834"/>
      <c r="AQ47" s="1834"/>
      <c r="AR47" s="1834"/>
      <c r="AS47" s="1834">
        <v>0.8</v>
      </c>
      <c r="AT47" s="1834"/>
      <c r="AU47" s="1834"/>
      <c r="AV47" s="1834"/>
      <c r="AW47" s="1834"/>
      <c r="AX47" s="1834"/>
      <c r="AY47" s="1834"/>
      <c r="AZ47" s="1834"/>
      <c r="BA47" s="1834">
        <v>0.6</v>
      </c>
      <c r="BB47" s="1834"/>
      <c r="BC47" s="1834"/>
      <c r="BD47" s="1834"/>
      <c r="BE47" s="1834"/>
      <c r="BF47" s="1834"/>
      <c r="BG47" s="1834"/>
      <c r="BH47" s="1834"/>
      <c r="BI47" s="1929" t="s">
        <v>393</v>
      </c>
      <c r="BJ47" s="1866"/>
      <c r="BK47" s="1866"/>
      <c r="BL47" s="1866"/>
      <c r="BM47" s="1866"/>
      <c r="BN47" s="1938"/>
      <c r="BO47" s="1865">
        <v>20</v>
      </c>
      <c r="BP47" s="1866"/>
      <c r="BQ47" s="1866"/>
      <c r="BR47" s="1866"/>
      <c r="BS47" s="1866"/>
      <c r="BT47" s="1867"/>
      <c r="BU47" s="1924">
        <f t="shared" si="0"/>
        <v>14</v>
      </c>
      <c r="BV47" s="1924"/>
      <c r="BW47" s="1924"/>
      <c r="BX47" s="1924"/>
      <c r="BY47" s="1924"/>
      <c r="BZ47" s="1924"/>
      <c r="CA47" s="1924"/>
      <c r="CB47" s="1924"/>
      <c r="CC47" s="1924"/>
      <c r="CD47" s="1924"/>
      <c r="CE47" s="1924"/>
      <c r="CF47" s="1925"/>
      <c r="CJ47" s="400" t="s">
        <v>760</v>
      </c>
    </row>
    <row r="48" spans="1:88" s="400" customFormat="1" ht="23.1" customHeight="1">
      <c r="A48" s="402"/>
      <c r="B48" s="402"/>
      <c r="C48" s="402"/>
      <c r="D48" s="402"/>
      <c r="E48" s="1828" t="s">
        <v>391</v>
      </c>
      <c r="F48" s="1829"/>
      <c r="G48" s="1829"/>
      <c r="H48" s="1829"/>
      <c r="I48" s="1829"/>
      <c r="J48" s="1829"/>
      <c r="K48" s="1829"/>
      <c r="L48" s="1829"/>
      <c r="M48" s="1829"/>
      <c r="N48" s="1829"/>
      <c r="O48" s="1829"/>
      <c r="P48" s="1829"/>
      <c r="Q48" s="1830" t="s">
        <v>395</v>
      </c>
      <c r="R48" s="1830"/>
      <c r="S48" s="1830"/>
      <c r="T48" s="1830"/>
      <c r="U48" s="1830"/>
      <c r="V48" s="1830"/>
      <c r="W48" s="1830"/>
      <c r="X48" s="1830"/>
      <c r="Y48" s="1830"/>
      <c r="Z48" s="1830"/>
      <c r="AA48" s="1830"/>
      <c r="AB48" s="1830"/>
      <c r="AC48" s="1834">
        <v>0.2</v>
      </c>
      <c r="AD48" s="1834"/>
      <c r="AE48" s="1834"/>
      <c r="AF48" s="1834"/>
      <c r="AG48" s="1834"/>
      <c r="AH48" s="1834"/>
      <c r="AI48" s="1834"/>
      <c r="AJ48" s="1834"/>
      <c r="AK48" s="1834">
        <v>0.9</v>
      </c>
      <c r="AL48" s="1834"/>
      <c r="AM48" s="1834"/>
      <c r="AN48" s="1834"/>
      <c r="AO48" s="1834"/>
      <c r="AP48" s="1834"/>
      <c r="AQ48" s="1834"/>
      <c r="AR48" s="1834"/>
      <c r="AS48" s="1834">
        <v>0.8</v>
      </c>
      <c r="AT48" s="1834"/>
      <c r="AU48" s="1834"/>
      <c r="AV48" s="1834"/>
      <c r="AW48" s="1834"/>
      <c r="AX48" s="1834"/>
      <c r="AY48" s="1834"/>
      <c r="AZ48" s="1834"/>
      <c r="BA48" s="1834">
        <v>0.6</v>
      </c>
      <c r="BB48" s="1834"/>
      <c r="BC48" s="1834"/>
      <c r="BD48" s="1834"/>
      <c r="BE48" s="1834"/>
      <c r="BF48" s="1834"/>
      <c r="BG48" s="1834"/>
      <c r="BH48" s="1834"/>
      <c r="BI48" s="1929" t="s">
        <v>393</v>
      </c>
      <c r="BJ48" s="1866"/>
      <c r="BK48" s="1866"/>
      <c r="BL48" s="1866"/>
      <c r="BM48" s="1866"/>
      <c r="BN48" s="1938"/>
      <c r="BO48" s="1865">
        <v>20</v>
      </c>
      <c r="BP48" s="1866"/>
      <c r="BQ48" s="1866"/>
      <c r="BR48" s="1866"/>
      <c r="BS48" s="1866"/>
      <c r="BT48" s="1867"/>
      <c r="BU48" s="1924">
        <f t="shared" si="0"/>
        <v>15.55</v>
      </c>
      <c r="BV48" s="1924"/>
      <c r="BW48" s="1924"/>
      <c r="BX48" s="1924"/>
      <c r="BY48" s="1924"/>
      <c r="BZ48" s="1924"/>
      <c r="CA48" s="1924"/>
      <c r="CB48" s="1924"/>
      <c r="CC48" s="1924"/>
      <c r="CD48" s="1924"/>
      <c r="CE48" s="1924"/>
      <c r="CF48" s="1925"/>
      <c r="CJ48" s="400" t="s">
        <v>760</v>
      </c>
    </row>
    <row r="49" spans="1:88" s="400" customFormat="1" ht="23.1" customHeight="1">
      <c r="E49" s="1828" t="s">
        <v>391</v>
      </c>
      <c r="F49" s="1829"/>
      <c r="G49" s="1829"/>
      <c r="H49" s="1829"/>
      <c r="I49" s="1829"/>
      <c r="J49" s="1829"/>
      <c r="K49" s="1829"/>
      <c r="L49" s="1829"/>
      <c r="M49" s="1829"/>
      <c r="N49" s="1829"/>
      <c r="O49" s="1829"/>
      <c r="P49" s="1829"/>
      <c r="Q49" s="1830" t="s">
        <v>359</v>
      </c>
      <c r="R49" s="1830"/>
      <c r="S49" s="1830"/>
      <c r="T49" s="1830"/>
      <c r="U49" s="1830"/>
      <c r="V49" s="1830"/>
      <c r="W49" s="1830"/>
      <c r="X49" s="1830"/>
      <c r="Y49" s="1830"/>
      <c r="Z49" s="1830"/>
      <c r="AA49" s="1830"/>
      <c r="AB49" s="1830"/>
      <c r="AC49" s="1834">
        <v>0.4</v>
      </c>
      <c r="AD49" s="1834"/>
      <c r="AE49" s="1834"/>
      <c r="AF49" s="1834"/>
      <c r="AG49" s="1834"/>
      <c r="AH49" s="1834"/>
      <c r="AI49" s="1834"/>
      <c r="AJ49" s="1834"/>
      <c r="AK49" s="1834">
        <v>0.9</v>
      </c>
      <c r="AL49" s="1834"/>
      <c r="AM49" s="1834"/>
      <c r="AN49" s="1834"/>
      <c r="AO49" s="1834"/>
      <c r="AP49" s="1834"/>
      <c r="AQ49" s="1834"/>
      <c r="AR49" s="1834"/>
      <c r="AS49" s="1834">
        <v>0.8</v>
      </c>
      <c r="AT49" s="1834"/>
      <c r="AU49" s="1834"/>
      <c r="AV49" s="1834"/>
      <c r="AW49" s="1834"/>
      <c r="AX49" s="1834"/>
      <c r="AY49" s="1834"/>
      <c r="AZ49" s="1834"/>
      <c r="BA49" s="1834">
        <v>0.6</v>
      </c>
      <c r="BB49" s="1834"/>
      <c r="BC49" s="1834"/>
      <c r="BD49" s="1834"/>
      <c r="BE49" s="1834"/>
      <c r="BF49" s="1834"/>
      <c r="BG49" s="1834"/>
      <c r="BH49" s="1834"/>
      <c r="BI49" s="1929" t="s">
        <v>396</v>
      </c>
      <c r="BJ49" s="1866"/>
      <c r="BK49" s="1866"/>
      <c r="BL49" s="1866"/>
      <c r="BM49" s="1866"/>
      <c r="BN49" s="1938"/>
      <c r="BO49" s="1865">
        <v>18</v>
      </c>
      <c r="BP49" s="1866"/>
      <c r="BQ49" s="1866"/>
      <c r="BR49" s="1866"/>
      <c r="BS49" s="1866"/>
      <c r="BT49" s="1867"/>
      <c r="BU49" s="1924">
        <f t="shared" si="0"/>
        <v>34.56</v>
      </c>
      <c r="BV49" s="1924"/>
      <c r="BW49" s="1924"/>
      <c r="BX49" s="1924"/>
      <c r="BY49" s="1924"/>
      <c r="BZ49" s="1924"/>
      <c r="CA49" s="1924"/>
      <c r="CB49" s="1924"/>
      <c r="CC49" s="1924"/>
      <c r="CD49" s="1924"/>
      <c r="CE49" s="1924"/>
      <c r="CF49" s="1925"/>
      <c r="CJ49" s="400" t="s">
        <v>760</v>
      </c>
    </row>
    <row r="50" spans="1:88" s="400" customFormat="1" ht="23.1" customHeight="1">
      <c r="A50" s="402"/>
      <c r="B50" s="402"/>
      <c r="C50" s="402"/>
      <c r="D50" s="402"/>
      <c r="E50" s="1828" t="s">
        <v>391</v>
      </c>
      <c r="F50" s="1829"/>
      <c r="G50" s="1829"/>
      <c r="H50" s="1829"/>
      <c r="I50" s="1829"/>
      <c r="J50" s="1829"/>
      <c r="K50" s="1829"/>
      <c r="L50" s="1829"/>
      <c r="M50" s="1829"/>
      <c r="N50" s="1829"/>
      <c r="O50" s="1829"/>
      <c r="P50" s="1829"/>
      <c r="Q50" s="1948" t="s">
        <v>397</v>
      </c>
      <c r="R50" s="1949"/>
      <c r="S50" s="1949"/>
      <c r="T50" s="1949"/>
      <c r="U50" s="1949"/>
      <c r="V50" s="1949"/>
      <c r="W50" s="1949"/>
      <c r="X50" s="1949"/>
      <c r="Y50" s="1949"/>
      <c r="Z50" s="1949"/>
      <c r="AA50" s="1949"/>
      <c r="AB50" s="1950"/>
      <c r="AC50" s="1834">
        <v>0.6</v>
      </c>
      <c r="AD50" s="1834"/>
      <c r="AE50" s="1834"/>
      <c r="AF50" s="1834"/>
      <c r="AG50" s="1834"/>
      <c r="AH50" s="1834"/>
      <c r="AI50" s="1834"/>
      <c r="AJ50" s="1834"/>
      <c r="AK50" s="1834">
        <v>0.9</v>
      </c>
      <c r="AL50" s="1834"/>
      <c r="AM50" s="1834"/>
      <c r="AN50" s="1834"/>
      <c r="AO50" s="1834"/>
      <c r="AP50" s="1834"/>
      <c r="AQ50" s="1834"/>
      <c r="AR50" s="1834"/>
      <c r="AS50" s="1834">
        <v>0.8</v>
      </c>
      <c r="AT50" s="1834"/>
      <c r="AU50" s="1834"/>
      <c r="AV50" s="1834"/>
      <c r="AW50" s="1834"/>
      <c r="AX50" s="1834"/>
      <c r="AY50" s="1834"/>
      <c r="AZ50" s="1834"/>
      <c r="BA50" s="1834">
        <v>0.6</v>
      </c>
      <c r="BB50" s="1834"/>
      <c r="BC50" s="1834"/>
      <c r="BD50" s="1834"/>
      <c r="BE50" s="1834"/>
      <c r="BF50" s="1834"/>
      <c r="BG50" s="1834"/>
      <c r="BH50" s="1834"/>
      <c r="BI50" s="1929" t="s">
        <v>398</v>
      </c>
      <c r="BJ50" s="1866"/>
      <c r="BK50" s="1866"/>
      <c r="BL50" s="1866"/>
      <c r="BM50" s="1866"/>
      <c r="BN50" s="1938"/>
      <c r="BO50" s="1865">
        <v>18</v>
      </c>
      <c r="BP50" s="1866"/>
      <c r="BQ50" s="1866"/>
      <c r="BR50" s="1866"/>
      <c r="BS50" s="1866"/>
      <c r="BT50" s="1867"/>
      <c r="BU50" s="1924">
        <f t="shared" si="0"/>
        <v>51.84</v>
      </c>
      <c r="BV50" s="1924"/>
      <c r="BW50" s="1924"/>
      <c r="BX50" s="1924"/>
      <c r="BY50" s="1924"/>
      <c r="BZ50" s="1924"/>
      <c r="CA50" s="1924"/>
      <c r="CB50" s="1924"/>
      <c r="CC50" s="1924"/>
      <c r="CD50" s="1924"/>
      <c r="CE50" s="1924"/>
      <c r="CF50" s="1925"/>
      <c r="CJ50" s="400" t="s">
        <v>760</v>
      </c>
    </row>
    <row r="51" spans="1:88" s="400" customFormat="1" ht="23.1" customHeight="1">
      <c r="E51" s="1828" t="s">
        <v>391</v>
      </c>
      <c r="F51" s="1829"/>
      <c r="G51" s="1829"/>
      <c r="H51" s="1829"/>
      <c r="I51" s="1829"/>
      <c r="J51" s="1829"/>
      <c r="K51" s="1829"/>
      <c r="L51" s="1829"/>
      <c r="M51" s="1829"/>
      <c r="N51" s="1829"/>
      <c r="O51" s="1829"/>
      <c r="P51" s="1829"/>
      <c r="Q51" s="1830" t="s">
        <v>399</v>
      </c>
      <c r="R51" s="1830"/>
      <c r="S51" s="1830"/>
      <c r="T51" s="1830"/>
      <c r="U51" s="1830"/>
      <c r="V51" s="1830"/>
      <c r="W51" s="1830"/>
      <c r="X51" s="1830"/>
      <c r="Y51" s="1830"/>
      <c r="Z51" s="1830"/>
      <c r="AA51" s="1830"/>
      <c r="AB51" s="1830"/>
      <c r="AC51" s="1834">
        <v>0.7</v>
      </c>
      <c r="AD51" s="1834"/>
      <c r="AE51" s="1834"/>
      <c r="AF51" s="1834"/>
      <c r="AG51" s="1834"/>
      <c r="AH51" s="1834"/>
      <c r="AI51" s="1834"/>
      <c r="AJ51" s="1834"/>
      <c r="AK51" s="1834">
        <v>0.9</v>
      </c>
      <c r="AL51" s="1834"/>
      <c r="AM51" s="1834"/>
      <c r="AN51" s="1834"/>
      <c r="AO51" s="1834"/>
      <c r="AP51" s="1834"/>
      <c r="AQ51" s="1834"/>
      <c r="AR51" s="1834"/>
      <c r="AS51" s="1834">
        <v>0.8</v>
      </c>
      <c r="AT51" s="1834"/>
      <c r="AU51" s="1834"/>
      <c r="AV51" s="1834"/>
      <c r="AW51" s="1834"/>
      <c r="AX51" s="1834"/>
      <c r="AY51" s="1834"/>
      <c r="AZ51" s="1834"/>
      <c r="BA51" s="1834">
        <v>0.6</v>
      </c>
      <c r="BB51" s="1834"/>
      <c r="BC51" s="1834"/>
      <c r="BD51" s="1834"/>
      <c r="BE51" s="1834"/>
      <c r="BF51" s="1834"/>
      <c r="BG51" s="1834"/>
      <c r="BH51" s="1834"/>
      <c r="BI51" s="1929" t="s">
        <v>398</v>
      </c>
      <c r="BJ51" s="1866"/>
      <c r="BK51" s="1866"/>
      <c r="BL51" s="1866"/>
      <c r="BM51" s="1866"/>
      <c r="BN51" s="1938"/>
      <c r="BO51" s="1865">
        <v>18</v>
      </c>
      <c r="BP51" s="1866"/>
      <c r="BQ51" s="1866"/>
      <c r="BR51" s="1866"/>
      <c r="BS51" s="1866"/>
      <c r="BT51" s="1867"/>
      <c r="BU51" s="1924">
        <f t="shared" si="0"/>
        <v>60.48</v>
      </c>
      <c r="BV51" s="1924"/>
      <c r="BW51" s="1924"/>
      <c r="BX51" s="1924"/>
      <c r="BY51" s="1924"/>
      <c r="BZ51" s="1924"/>
      <c r="CA51" s="1924"/>
      <c r="CB51" s="1924"/>
      <c r="CC51" s="1924"/>
      <c r="CD51" s="1924"/>
      <c r="CE51" s="1924"/>
      <c r="CF51" s="1925"/>
      <c r="CJ51" s="400" t="s">
        <v>760</v>
      </c>
    </row>
    <row r="52" spans="1:88" s="400" customFormat="1" ht="23.1" customHeight="1">
      <c r="E52" s="1828" t="s">
        <v>391</v>
      </c>
      <c r="F52" s="1829"/>
      <c r="G52" s="1829"/>
      <c r="H52" s="1829"/>
      <c r="I52" s="1829"/>
      <c r="J52" s="1829"/>
      <c r="K52" s="1829"/>
      <c r="L52" s="1829"/>
      <c r="M52" s="1829"/>
      <c r="N52" s="1829"/>
      <c r="O52" s="1829"/>
      <c r="P52" s="1829"/>
      <c r="Q52" s="1830" t="s">
        <v>400</v>
      </c>
      <c r="R52" s="1830"/>
      <c r="S52" s="1830"/>
      <c r="T52" s="1830"/>
      <c r="U52" s="1830"/>
      <c r="V52" s="1830"/>
      <c r="W52" s="1830"/>
      <c r="X52" s="1830"/>
      <c r="Y52" s="1830"/>
      <c r="Z52" s="1830"/>
      <c r="AA52" s="1830"/>
      <c r="AB52" s="1830"/>
      <c r="AC52" s="1834">
        <v>0.8</v>
      </c>
      <c r="AD52" s="1834"/>
      <c r="AE52" s="1834"/>
      <c r="AF52" s="1834"/>
      <c r="AG52" s="1834"/>
      <c r="AH52" s="1834"/>
      <c r="AI52" s="1834"/>
      <c r="AJ52" s="1834"/>
      <c r="AK52" s="1834">
        <v>0.9</v>
      </c>
      <c r="AL52" s="1834"/>
      <c r="AM52" s="1834"/>
      <c r="AN52" s="1834"/>
      <c r="AO52" s="1834"/>
      <c r="AP52" s="1834"/>
      <c r="AQ52" s="1834"/>
      <c r="AR52" s="1834"/>
      <c r="AS52" s="1834">
        <v>0.8</v>
      </c>
      <c r="AT52" s="1834"/>
      <c r="AU52" s="1834"/>
      <c r="AV52" s="1834"/>
      <c r="AW52" s="1834"/>
      <c r="AX52" s="1834"/>
      <c r="AY52" s="1834"/>
      <c r="AZ52" s="1834"/>
      <c r="BA52" s="1834">
        <v>0.6</v>
      </c>
      <c r="BB52" s="1834"/>
      <c r="BC52" s="1834"/>
      <c r="BD52" s="1834"/>
      <c r="BE52" s="1834"/>
      <c r="BF52" s="1834"/>
      <c r="BG52" s="1834"/>
      <c r="BH52" s="1834"/>
      <c r="BI52" s="1929" t="s">
        <v>398</v>
      </c>
      <c r="BJ52" s="1866"/>
      <c r="BK52" s="1866"/>
      <c r="BL52" s="1866"/>
      <c r="BM52" s="1866"/>
      <c r="BN52" s="1938"/>
      <c r="BO52" s="1865">
        <v>18</v>
      </c>
      <c r="BP52" s="1866"/>
      <c r="BQ52" s="1866"/>
      <c r="BR52" s="1866"/>
      <c r="BS52" s="1866"/>
      <c r="BT52" s="1867"/>
      <c r="BU52" s="1924">
        <f t="shared" si="0"/>
        <v>69.12</v>
      </c>
      <c r="BV52" s="1924"/>
      <c r="BW52" s="1924"/>
      <c r="BX52" s="1924"/>
      <c r="BY52" s="1924"/>
      <c r="BZ52" s="1924"/>
      <c r="CA52" s="1924"/>
      <c r="CB52" s="1924"/>
      <c r="CC52" s="1924"/>
      <c r="CD52" s="1924"/>
      <c r="CE52" s="1924"/>
      <c r="CF52" s="1925"/>
      <c r="CJ52" s="400" t="s">
        <v>760</v>
      </c>
    </row>
    <row r="53" spans="1:88" s="400" customFormat="1" ht="23.1" customHeight="1" thickBot="1">
      <c r="A53" s="402"/>
      <c r="B53" s="402"/>
      <c r="C53" s="402"/>
      <c r="D53" s="402"/>
      <c r="E53" s="1822" t="s">
        <v>391</v>
      </c>
      <c r="F53" s="1816"/>
      <c r="G53" s="1816"/>
      <c r="H53" s="1816"/>
      <c r="I53" s="1816"/>
      <c r="J53" s="1816"/>
      <c r="K53" s="1816"/>
      <c r="L53" s="1816"/>
      <c r="M53" s="1816"/>
      <c r="N53" s="1816"/>
      <c r="O53" s="1816"/>
      <c r="P53" s="1819"/>
      <c r="Q53" s="1823" t="s">
        <v>401</v>
      </c>
      <c r="R53" s="1823"/>
      <c r="S53" s="1823"/>
      <c r="T53" s="1823"/>
      <c r="U53" s="1823"/>
      <c r="V53" s="1823"/>
      <c r="W53" s="1823"/>
      <c r="X53" s="1823"/>
      <c r="Y53" s="1823"/>
      <c r="Z53" s="1823"/>
      <c r="AA53" s="1823"/>
      <c r="AB53" s="1823"/>
      <c r="AC53" s="1824">
        <v>1</v>
      </c>
      <c r="AD53" s="1824"/>
      <c r="AE53" s="1824"/>
      <c r="AF53" s="1824"/>
      <c r="AG53" s="1824"/>
      <c r="AH53" s="1824"/>
      <c r="AI53" s="1824"/>
      <c r="AJ53" s="1824"/>
      <c r="AK53" s="1824">
        <v>0.9</v>
      </c>
      <c r="AL53" s="1824"/>
      <c r="AM53" s="1824"/>
      <c r="AN53" s="1824"/>
      <c r="AO53" s="1824"/>
      <c r="AP53" s="1824"/>
      <c r="AQ53" s="1824"/>
      <c r="AR53" s="1824"/>
      <c r="AS53" s="1824">
        <v>0.8</v>
      </c>
      <c r="AT53" s="1824"/>
      <c r="AU53" s="1824"/>
      <c r="AV53" s="1824"/>
      <c r="AW53" s="1824"/>
      <c r="AX53" s="1824"/>
      <c r="AY53" s="1824"/>
      <c r="AZ53" s="1824"/>
      <c r="BA53" s="1824">
        <v>0.6</v>
      </c>
      <c r="BB53" s="1824"/>
      <c r="BC53" s="1824"/>
      <c r="BD53" s="1824"/>
      <c r="BE53" s="1824"/>
      <c r="BF53" s="1824"/>
      <c r="BG53" s="1824"/>
      <c r="BH53" s="1824"/>
      <c r="BI53" s="1815" t="s">
        <v>398</v>
      </c>
      <c r="BJ53" s="1816"/>
      <c r="BK53" s="1816"/>
      <c r="BL53" s="1816"/>
      <c r="BM53" s="1816"/>
      <c r="BN53" s="1817"/>
      <c r="BO53" s="1818">
        <v>19</v>
      </c>
      <c r="BP53" s="1816"/>
      <c r="BQ53" s="1816"/>
      <c r="BR53" s="1816"/>
      <c r="BS53" s="1816"/>
      <c r="BT53" s="1819"/>
      <c r="BU53" s="1825">
        <f t="shared" si="0"/>
        <v>81.849999999999994</v>
      </c>
      <c r="BV53" s="1825"/>
      <c r="BW53" s="1825"/>
      <c r="BX53" s="1825"/>
      <c r="BY53" s="1825"/>
      <c r="BZ53" s="1825"/>
      <c r="CA53" s="1825"/>
      <c r="CB53" s="1825"/>
      <c r="CC53" s="1825"/>
      <c r="CD53" s="1825"/>
      <c r="CE53" s="1825"/>
      <c r="CF53" s="1826"/>
      <c r="CJ53" s="400" t="s">
        <v>760</v>
      </c>
    </row>
    <row r="54" spans="1:88" s="400" customFormat="1" ht="23.1" customHeight="1">
      <c r="D54" s="405"/>
      <c r="BM54" s="404"/>
      <c r="BN54" s="404"/>
      <c r="BO54" s="404"/>
      <c r="BP54" s="404"/>
      <c r="BQ54" s="404"/>
      <c r="BR54" s="404"/>
      <c r="BS54" s="404"/>
      <c r="BT54" s="404"/>
      <c r="BU54" s="404"/>
      <c r="BV54" s="404"/>
      <c r="BW54" s="404"/>
      <c r="BX54" s="404"/>
      <c r="BY54" s="404"/>
      <c r="BZ54" s="404"/>
      <c r="CA54" s="404"/>
      <c r="CB54" s="404"/>
      <c r="CC54" s="404"/>
      <c r="CD54" s="404"/>
      <c r="CE54" s="404"/>
      <c r="CF54" s="404"/>
    </row>
    <row r="55" spans="1:88" s="400" customFormat="1" ht="23.1" customHeight="1">
      <c r="E55" s="400" t="s">
        <v>402</v>
      </c>
    </row>
    <row r="56" spans="1:88" s="400" customFormat="1" ht="9.9499999999999993" customHeight="1" thickBot="1"/>
    <row r="57" spans="1:88" s="400" customFormat="1" ht="23.1" customHeight="1">
      <c r="E57" s="1831" t="s">
        <v>385</v>
      </c>
      <c r="F57" s="1800"/>
      <c r="G57" s="1800"/>
      <c r="H57" s="1800"/>
      <c r="I57" s="1800"/>
      <c r="J57" s="1800"/>
      <c r="K57" s="1800"/>
      <c r="L57" s="1800"/>
      <c r="M57" s="1800"/>
      <c r="N57" s="1800"/>
      <c r="O57" s="1800"/>
      <c r="P57" s="1800"/>
      <c r="Q57" s="1800"/>
      <c r="R57" s="1800"/>
      <c r="S57" s="1800"/>
      <c r="T57" s="1800"/>
      <c r="U57" s="1800" t="s">
        <v>212</v>
      </c>
      <c r="V57" s="1800"/>
      <c r="W57" s="1800"/>
      <c r="X57" s="1800"/>
      <c r="Y57" s="1800"/>
      <c r="Z57" s="1800"/>
      <c r="AA57" s="1800"/>
      <c r="AB57" s="1800"/>
      <c r="AC57" s="1800" t="s">
        <v>403</v>
      </c>
      <c r="AD57" s="1800"/>
      <c r="AE57" s="1800"/>
      <c r="AF57" s="1800"/>
      <c r="AG57" s="1800"/>
      <c r="AH57" s="1800"/>
      <c r="AI57" s="1800"/>
      <c r="AJ57" s="1800"/>
      <c r="AK57" s="1800"/>
      <c r="AL57" s="1800"/>
      <c r="AM57" s="1800"/>
      <c r="AN57" s="1800"/>
      <c r="AO57" s="1800"/>
      <c r="AP57" s="1800"/>
      <c r="AQ57" s="1800"/>
      <c r="AR57" s="1800"/>
      <c r="AS57" s="1800"/>
      <c r="AT57" s="1800"/>
      <c r="AU57" s="1800"/>
      <c r="AV57" s="1800"/>
      <c r="AW57" s="1800"/>
      <c r="AX57" s="1800"/>
      <c r="AY57" s="1800"/>
      <c r="AZ57" s="1800"/>
      <c r="BA57" s="1833" t="s">
        <v>404</v>
      </c>
      <c r="BB57" s="1800"/>
      <c r="BC57" s="1800"/>
      <c r="BD57" s="1800"/>
      <c r="BE57" s="1800"/>
      <c r="BF57" s="1800"/>
      <c r="BG57" s="1800"/>
      <c r="BH57" s="1800"/>
      <c r="BI57" s="1800" t="s">
        <v>405</v>
      </c>
      <c r="BJ57" s="1800"/>
      <c r="BK57" s="1800"/>
      <c r="BL57" s="1800"/>
      <c r="BM57" s="1800"/>
      <c r="BN57" s="1800"/>
      <c r="BO57" s="1800"/>
      <c r="BP57" s="1800"/>
      <c r="BQ57" s="1800"/>
      <c r="BR57" s="1800"/>
      <c r="BS57" s="1800"/>
      <c r="BT57" s="1800"/>
      <c r="BU57" s="1800"/>
      <c r="BV57" s="1800"/>
      <c r="BW57" s="1800"/>
      <c r="BX57" s="1800"/>
      <c r="BY57" s="1800"/>
      <c r="BZ57" s="1800"/>
      <c r="CA57" s="1800"/>
      <c r="CB57" s="1800"/>
      <c r="CC57" s="1800"/>
      <c r="CD57" s="1800"/>
      <c r="CE57" s="1800"/>
      <c r="CF57" s="1801"/>
    </row>
    <row r="58" spans="1:88" s="400" customFormat="1" ht="23.1" customHeight="1" thickBot="1">
      <c r="A58" s="402"/>
      <c r="B58" s="402"/>
      <c r="C58" s="402"/>
      <c r="D58" s="402"/>
      <c r="E58" s="1832"/>
      <c r="F58" s="1786"/>
      <c r="G58" s="1786"/>
      <c r="H58" s="1786"/>
      <c r="I58" s="1786"/>
      <c r="J58" s="1786"/>
      <c r="K58" s="1786"/>
      <c r="L58" s="1786"/>
      <c r="M58" s="1786"/>
      <c r="N58" s="1786"/>
      <c r="O58" s="1786"/>
      <c r="P58" s="1786"/>
      <c r="Q58" s="1786"/>
      <c r="R58" s="1786"/>
      <c r="S58" s="1786"/>
      <c r="T58" s="1786"/>
      <c r="U58" s="1786"/>
      <c r="V58" s="1786"/>
      <c r="W58" s="1786"/>
      <c r="X58" s="1786"/>
      <c r="Y58" s="1786"/>
      <c r="Z58" s="1786"/>
      <c r="AA58" s="1786"/>
      <c r="AB58" s="1786"/>
      <c r="AC58" s="1786" t="s">
        <v>406</v>
      </c>
      <c r="AD58" s="1786"/>
      <c r="AE58" s="1786"/>
      <c r="AF58" s="1786"/>
      <c r="AG58" s="1786"/>
      <c r="AH58" s="1786"/>
      <c r="AI58" s="1786"/>
      <c r="AJ58" s="1786"/>
      <c r="AK58" s="1786" t="s">
        <v>407</v>
      </c>
      <c r="AL58" s="1786"/>
      <c r="AM58" s="1786"/>
      <c r="AN58" s="1786"/>
      <c r="AO58" s="1786"/>
      <c r="AP58" s="1786"/>
      <c r="AQ58" s="1786"/>
      <c r="AR58" s="1786"/>
      <c r="AS58" s="1786" t="s">
        <v>408</v>
      </c>
      <c r="AT58" s="1786"/>
      <c r="AU58" s="1786"/>
      <c r="AV58" s="1786"/>
      <c r="AW58" s="1786"/>
      <c r="AX58" s="1786"/>
      <c r="AY58" s="1786"/>
      <c r="AZ58" s="1786"/>
      <c r="BA58" s="1786"/>
      <c r="BB58" s="1786"/>
      <c r="BC58" s="1786"/>
      <c r="BD58" s="1786"/>
      <c r="BE58" s="1786"/>
      <c r="BF58" s="1786"/>
      <c r="BG58" s="1786"/>
      <c r="BH58" s="1786"/>
      <c r="BI58" s="1786" t="s">
        <v>406</v>
      </c>
      <c r="BJ58" s="1786"/>
      <c r="BK58" s="1786"/>
      <c r="BL58" s="1786"/>
      <c r="BM58" s="1786"/>
      <c r="BN58" s="1786"/>
      <c r="BO58" s="1786"/>
      <c r="BP58" s="1786"/>
      <c r="BQ58" s="1786" t="s">
        <v>407</v>
      </c>
      <c r="BR58" s="1786"/>
      <c r="BS58" s="1786"/>
      <c r="BT58" s="1786"/>
      <c r="BU58" s="1786"/>
      <c r="BV58" s="1786"/>
      <c r="BW58" s="1786"/>
      <c r="BX58" s="1786"/>
      <c r="BY58" s="1786" t="s">
        <v>408</v>
      </c>
      <c r="BZ58" s="1786"/>
      <c r="CA58" s="1786"/>
      <c r="CB58" s="1786"/>
      <c r="CC58" s="1786"/>
      <c r="CD58" s="1786"/>
      <c r="CE58" s="1786"/>
      <c r="CF58" s="1787"/>
    </row>
    <row r="59" spans="1:88" s="400" customFormat="1" ht="23.1" customHeight="1" thickTop="1">
      <c r="E59" s="1820" t="s">
        <v>277</v>
      </c>
      <c r="F59" s="1821"/>
      <c r="G59" s="1821"/>
      <c r="H59" s="1821"/>
      <c r="I59" s="1821"/>
      <c r="J59" s="1821"/>
      <c r="K59" s="1821"/>
      <c r="L59" s="1821"/>
      <c r="M59" s="1821"/>
      <c r="N59" s="1821"/>
      <c r="O59" s="1821"/>
      <c r="P59" s="1821"/>
      <c r="Q59" s="1821"/>
      <c r="R59" s="1821"/>
      <c r="S59" s="1821"/>
      <c r="T59" s="1821"/>
      <c r="U59" s="1821" t="s">
        <v>392</v>
      </c>
      <c r="V59" s="1821"/>
      <c r="W59" s="1821"/>
      <c r="X59" s="1821"/>
      <c r="Y59" s="1821"/>
      <c r="Z59" s="1821"/>
      <c r="AA59" s="1821"/>
      <c r="AB59" s="1821"/>
      <c r="AC59" s="1785" t="e">
        <f>#REF!</f>
        <v>#REF!</v>
      </c>
      <c r="AD59" s="1785"/>
      <c r="AE59" s="1785"/>
      <c r="AF59" s="1785"/>
      <c r="AG59" s="1785"/>
      <c r="AH59" s="1785"/>
      <c r="AI59" s="1785"/>
      <c r="AJ59" s="1785"/>
      <c r="AK59" s="1785" t="e">
        <f>#REF!</f>
        <v>#REF!</v>
      </c>
      <c r="AL59" s="1785"/>
      <c r="AM59" s="1785"/>
      <c r="AN59" s="1785"/>
      <c r="AO59" s="1785"/>
      <c r="AP59" s="1785"/>
      <c r="AQ59" s="1785"/>
      <c r="AR59" s="1785"/>
      <c r="AS59" s="1785" t="e">
        <f>#REF!</f>
        <v>#REF!</v>
      </c>
      <c r="AT59" s="1785"/>
      <c r="AU59" s="1785"/>
      <c r="AV59" s="1785"/>
      <c r="AW59" s="1785"/>
      <c r="AX59" s="1785"/>
      <c r="AY59" s="1785"/>
      <c r="AZ59" s="1785"/>
      <c r="BA59" s="1963">
        <f>BU46</f>
        <v>9.33</v>
      </c>
      <c r="BB59" s="1963"/>
      <c r="BC59" s="1963"/>
      <c r="BD59" s="1963"/>
      <c r="BE59" s="1963"/>
      <c r="BF59" s="1963"/>
      <c r="BG59" s="1963"/>
      <c r="BH59" s="1963"/>
      <c r="BI59" s="1812" t="e">
        <f t="shared" ref="BI59:BI67" si="1">INT(AC59/$BA59)</f>
        <v>#REF!</v>
      </c>
      <c r="BJ59" s="1812"/>
      <c r="BK59" s="1812"/>
      <c r="BL59" s="1812"/>
      <c r="BM59" s="1812"/>
      <c r="BN59" s="1812"/>
      <c r="BO59" s="1812"/>
      <c r="BP59" s="1812"/>
      <c r="BQ59" s="1812" t="e">
        <f t="shared" ref="BQ59:BQ67" si="2">INT(AK59/$BA59)</f>
        <v>#REF!</v>
      </c>
      <c r="BR59" s="1812"/>
      <c r="BS59" s="1812"/>
      <c r="BT59" s="1812"/>
      <c r="BU59" s="1812"/>
      <c r="BV59" s="1812"/>
      <c r="BW59" s="1812"/>
      <c r="BX59" s="1812"/>
      <c r="BY59" s="1812" t="e">
        <f t="shared" ref="BY59:BY67" si="3">INT(AS59/$BA59)</f>
        <v>#REF!</v>
      </c>
      <c r="BZ59" s="1812"/>
      <c r="CA59" s="1812"/>
      <c r="CB59" s="1812"/>
      <c r="CC59" s="1812"/>
      <c r="CD59" s="1812"/>
      <c r="CE59" s="1812"/>
      <c r="CF59" s="1813"/>
    </row>
    <row r="60" spans="1:88" s="400" customFormat="1" ht="23.1" customHeight="1">
      <c r="E60" s="1806" t="s">
        <v>277</v>
      </c>
      <c r="F60" s="1807"/>
      <c r="G60" s="1807"/>
      <c r="H60" s="1807"/>
      <c r="I60" s="1807"/>
      <c r="J60" s="1807"/>
      <c r="K60" s="1807"/>
      <c r="L60" s="1807"/>
      <c r="M60" s="1807"/>
      <c r="N60" s="1807"/>
      <c r="O60" s="1807"/>
      <c r="P60" s="1807"/>
      <c r="Q60" s="1807"/>
      <c r="R60" s="1807"/>
      <c r="S60" s="1807"/>
      <c r="T60" s="1807"/>
      <c r="U60" s="1807" t="s">
        <v>395</v>
      </c>
      <c r="V60" s="1807"/>
      <c r="W60" s="1807"/>
      <c r="X60" s="1807"/>
      <c r="Y60" s="1807"/>
      <c r="Z60" s="1807"/>
      <c r="AA60" s="1807"/>
      <c r="AB60" s="1807"/>
      <c r="AC60" s="1814" t="e">
        <f>#REF!</f>
        <v>#REF!</v>
      </c>
      <c r="AD60" s="1814"/>
      <c r="AE60" s="1814"/>
      <c r="AF60" s="1814"/>
      <c r="AG60" s="1814"/>
      <c r="AH60" s="1814"/>
      <c r="AI60" s="1814"/>
      <c r="AJ60" s="1814"/>
      <c r="AK60" s="1814" t="e">
        <f>#REF!</f>
        <v>#REF!</v>
      </c>
      <c r="AL60" s="1814"/>
      <c r="AM60" s="1814"/>
      <c r="AN60" s="1814"/>
      <c r="AO60" s="1814"/>
      <c r="AP60" s="1814"/>
      <c r="AQ60" s="1814"/>
      <c r="AR60" s="1814"/>
      <c r="AS60" s="1814" t="e">
        <f>#REF!</f>
        <v>#REF!</v>
      </c>
      <c r="AT60" s="1814"/>
      <c r="AU60" s="1814"/>
      <c r="AV60" s="1814"/>
      <c r="AW60" s="1814"/>
      <c r="AX60" s="1814"/>
      <c r="AY60" s="1814"/>
      <c r="AZ60" s="1814"/>
      <c r="BA60" s="1797">
        <f t="shared" ref="BA60:BA65" si="4">BU48</f>
        <v>15.55</v>
      </c>
      <c r="BB60" s="1797"/>
      <c r="BC60" s="1797"/>
      <c r="BD60" s="1797"/>
      <c r="BE60" s="1797"/>
      <c r="BF60" s="1797"/>
      <c r="BG60" s="1797"/>
      <c r="BH60" s="1797"/>
      <c r="BI60" s="1785" t="e">
        <f t="shared" si="1"/>
        <v>#REF!</v>
      </c>
      <c r="BJ60" s="1785"/>
      <c r="BK60" s="1785"/>
      <c r="BL60" s="1785"/>
      <c r="BM60" s="1785"/>
      <c r="BN60" s="1785"/>
      <c r="BO60" s="1785"/>
      <c r="BP60" s="1785"/>
      <c r="BQ60" s="1785" t="e">
        <f t="shared" si="2"/>
        <v>#REF!</v>
      </c>
      <c r="BR60" s="1785"/>
      <c r="BS60" s="1785"/>
      <c r="BT60" s="1785"/>
      <c r="BU60" s="1785"/>
      <c r="BV60" s="1785"/>
      <c r="BW60" s="1785"/>
      <c r="BX60" s="1785"/>
      <c r="BY60" s="1785" t="e">
        <f t="shared" si="3"/>
        <v>#REF!</v>
      </c>
      <c r="BZ60" s="1785"/>
      <c r="CA60" s="1785"/>
      <c r="CB60" s="1785"/>
      <c r="CC60" s="1785"/>
      <c r="CD60" s="1785"/>
      <c r="CE60" s="1785"/>
      <c r="CF60" s="1793"/>
    </row>
    <row r="61" spans="1:88" s="400" customFormat="1" ht="23.1" customHeight="1">
      <c r="E61" s="1806" t="s">
        <v>277</v>
      </c>
      <c r="F61" s="1807"/>
      <c r="G61" s="1807"/>
      <c r="H61" s="1807"/>
      <c r="I61" s="1807"/>
      <c r="J61" s="1807"/>
      <c r="K61" s="1807"/>
      <c r="L61" s="1807"/>
      <c r="M61" s="1807"/>
      <c r="N61" s="1807"/>
      <c r="O61" s="1807"/>
      <c r="P61" s="1807"/>
      <c r="Q61" s="1807"/>
      <c r="R61" s="1807"/>
      <c r="S61" s="1807"/>
      <c r="T61" s="1807"/>
      <c r="U61" s="1807" t="s">
        <v>359</v>
      </c>
      <c r="V61" s="1807"/>
      <c r="W61" s="1807"/>
      <c r="X61" s="1807"/>
      <c r="Y61" s="1807"/>
      <c r="Z61" s="1807"/>
      <c r="AA61" s="1807"/>
      <c r="AB61" s="1807"/>
      <c r="AC61" s="1803" t="e">
        <f>#REF!</f>
        <v>#REF!</v>
      </c>
      <c r="AD61" s="1804"/>
      <c r="AE61" s="1804"/>
      <c r="AF61" s="1804"/>
      <c r="AG61" s="1804"/>
      <c r="AH61" s="1804"/>
      <c r="AI61" s="1804"/>
      <c r="AJ61" s="1805"/>
      <c r="AK61" s="1803" t="e">
        <f>#REF!</f>
        <v>#REF!</v>
      </c>
      <c r="AL61" s="1804"/>
      <c r="AM61" s="1804"/>
      <c r="AN61" s="1804"/>
      <c r="AO61" s="1804"/>
      <c r="AP61" s="1804"/>
      <c r="AQ61" s="1804"/>
      <c r="AR61" s="1805"/>
      <c r="AS61" s="1803" t="e">
        <f>#REF!</f>
        <v>#REF!</v>
      </c>
      <c r="AT61" s="1804"/>
      <c r="AU61" s="1804"/>
      <c r="AV61" s="1804"/>
      <c r="AW61" s="1804"/>
      <c r="AX61" s="1804"/>
      <c r="AY61" s="1804"/>
      <c r="AZ61" s="1805"/>
      <c r="BA61" s="1797">
        <f t="shared" si="4"/>
        <v>34.56</v>
      </c>
      <c r="BB61" s="1797"/>
      <c r="BC61" s="1797"/>
      <c r="BD61" s="1797"/>
      <c r="BE61" s="1797"/>
      <c r="BF61" s="1797"/>
      <c r="BG61" s="1797"/>
      <c r="BH61" s="1797"/>
      <c r="BI61" s="1785" t="e">
        <f t="shared" si="1"/>
        <v>#REF!</v>
      </c>
      <c r="BJ61" s="1785"/>
      <c r="BK61" s="1785"/>
      <c r="BL61" s="1785"/>
      <c r="BM61" s="1785"/>
      <c r="BN61" s="1785"/>
      <c r="BO61" s="1785"/>
      <c r="BP61" s="1785"/>
      <c r="BQ61" s="1785" t="e">
        <f t="shared" si="2"/>
        <v>#REF!</v>
      </c>
      <c r="BR61" s="1785"/>
      <c r="BS61" s="1785"/>
      <c r="BT61" s="1785"/>
      <c r="BU61" s="1785"/>
      <c r="BV61" s="1785"/>
      <c r="BW61" s="1785"/>
      <c r="BX61" s="1785"/>
      <c r="BY61" s="1785" t="e">
        <f t="shared" si="3"/>
        <v>#REF!</v>
      </c>
      <c r="BZ61" s="1785"/>
      <c r="CA61" s="1785"/>
      <c r="CB61" s="1785"/>
      <c r="CC61" s="1785"/>
      <c r="CD61" s="1785"/>
      <c r="CE61" s="1785"/>
      <c r="CF61" s="1793"/>
    </row>
    <row r="62" spans="1:88" s="400" customFormat="1" ht="23.1" customHeight="1">
      <c r="E62" s="1806" t="s">
        <v>277</v>
      </c>
      <c r="F62" s="1807"/>
      <c r="G62" s="1807"/>
      <c r="H62" s="1807"/>
      <c r="I62" s="1807"/>
      <c r="J62" s="1807"/>
      <c r="K62" s="1807"/>
      <c r="L62" s="1807"/>
      <c r="M62" s="1807"/>
      <c r="N62" s="1807"/>
      <c r="O62" s="1807"/>
      <c r="P62" s="1807"/>
      <c r="Q62" s="1807"/>
      <c r="R62" s="1807"/>
      <c r="S62" s="1807"/>
      <c r="T62" s="1807"/>
      <c r="U62" s="1807" t="s">
        <v>397</v>
      </c>
      <c r="V62" s="1807"/>
      <c r="W62" s="1807"/>
      <c r="X62" s="1807"/>
      <c r="Y62" s="1807"/>
      <c r="Z62" s="1807"/>
      <c r="AA62" s="1807"/>
      <c r="AB62" s="1807"/>
      <c r="AC62" s="1803" t="e">
        <f>#REF!</f>
        <v>#REF!</v>
      </c>
      <c r="AD62" s="1804"/>
      <c r="AE62" s="1804"/>
      <c r="AF62" s="1804"/>
      <c r="AG62" s="1804"/>
      <c r="AH62" s="1804"/>
      <c r="AI62" s="1804"/>
      <c r="AJ62" s="1805"/>
      <c r="AK62" s="1803" t="e">
        <f>#REF!</f>
        <v>#REF!</v>
      </c>
      <c r="AL62" s="1804"/>
      <c r="AM62" s="1804"/>
      <c r="AN62" s="1804"/>
      <c r="AO62" s="1804"/>
      <c r="AP62" s="1804"/>
      <c r="AQ62" s="1804"/>
      <c r="AR62" s="1805"/>
      <c r="AS62" s="1803" t="e">
        <f>#REF!</f>
        <v>#REF!</v>
      </c>
      <c r="AT62" s="1804"/>
      <c r="AU62" s="1804"/>
      <c r="AV62" s="1804"/>
      <c r="AW62" s="1804"/>
      <c r="AX62" s="1804"/>
      <c r="AY62" s="1804"/>
      <c r="AZ62" s="1805"/>
      <c r="BA62" s="1797">
        <f t="shared" si="4"/>
        <v>51.84</v>
      </c>
      <c r="BB62" s="1797"/>
      <c r="BC62" s="1797"/>
      <c r="BD62" s="1797"/>
      <c r="BE62" s="1797"/>
      <c r="BF62" s="1797"/>
      <c r="BG62" s="1797"/>
      <c r="BH62" s="1797"/>
      <c r="BI62" s="1785" t="e">
        <f t="shared" si="1"/>
        <v>#REF!</v>
      </c>
      <c r="BJ62" s="1785"/>
      <c r="BK62" s="1785"/>
      <c r="BL62" s="1785"/>
      <c r="BM62" s="1785"/>
      <c r="BN62" s="1785"/>
      <c r="BO62" s="1785"/>
      <c r="BP62" s="1785"/>
      <c r="BQ62" s="1785" t="e">
        <f t="shared" si="2"/>
        <v>#REF!</v>
      </c>
      <c r="BR62" s="1785"/>
      <c r="BS62" s="1785"/>
      <c r="BT62" s="1785"/>
      <c r="BU62" s="1785"/>
      <c r="BV62" s="1785"/>
      <c r="BW62" s="1785"/>
      <c r="BX62" s="1785"/>
      <c r="BY62" s="1785" t="e">
        <f t="shared" si="3"/>
        <v>#REF!</v>
      </c>
      <c r="BZ62" s="1785"/>
      <c r="CA62" s="1785"/>
      <c r="CB62" s="1785"/>
      <c r="CC62" s="1785"/>
      <c r="CD62" s="1785"/>
      <c r="CE62" s="1785"/>
      <c r="CF62" s="1793"/>
    </row>
    <row r="63" spans="1:88" s="400" customFormat="1" ht="23.1" customHeight="1">
      <c r="D63" s="403"/>
      <c r="E63" s="1806" t="s">
        <v>277</v>
      </c>
      <c r="F63" s="1807"/>
      <c r="G63" s="1807"/>
      <c r="H63" s="1807"/>
      <c r="I63" s="1807"/>
      <c r="J63" s="1807"/>
      <c r="K63" s="1807"/>
      <c r="L63" s="1807"/>
      <c r="M63" s="1807"/>
      <c r="N63" s="1807"/>
      <c r="O63" s="1807"/>
      <c r="P63" s="1807"/>
      <c r="Q63" s="1807"/>
      <c r="R63" s="1807"/>
      <c r="S63" s="1807"/>
      <c r="T63" s="1807"/>
      <c r="U63" s="1807" t="s">
        <v>399</v>
      </c>
      <c r="V63" s="1807"/>
      <c r="W63" s="1807"/>
      <c r="X63" s="1807"/>
      <c r="Y63" s="1807"/>
      <c r="Z63" s="1807"/>
      <c r="AA63" s="1807"/>
      <c r="AB63" s="1807"/>
      <c r="AC63" s="1803" t="e">
        <f>#REF!</f>
        <v>#REF!</v>
      </c>
      <c r="AD63" s="1804"/>
      <c r="AE63" s="1804"/>
      <c r="AF63" s="1804"/>
      <c r="AG63" s="1804"/>
      <c r="AH63" s="1804"/>
      <c r="AI63" s="1804"/>
      <c r="AJ63" s="1805"/>
      <c r="AK63" s="1803" t="e">
        <f>#REF!</f>
        <v>#REF!</v>
      </c>
      <c r="AL63" s="1804"/>
      <c r="AM63" s="1804"/>
      <c r="AN63" s="1804"/>
      <c r="AO63" s="1804"/>
      <c r="AP63" s="1804"/>
      <c r="AQ63" s="1804"/>
      <c r="AR63" s="1805"/>
      <c r="AS63" s="1803" t="e">
        <f>#REF!</f>
        <v>#REF!</v>
      </c>
      <c r="AT63" s="1804"/>
      <c r="AU63" s="1804"/>
      <c r="AV63" s="1804"/>
      <c r="AW63" s="1804"/>
      <c r="AX63" s="1804"/>
      <c r="AY63" s="1804"/>
      <c r="AZ63" s="1805"/>
      <c r="BA63" s="1797">
        <f t="shared" si="4"/>
        <v>60.48</v>
      </c>
      <c r="BB63" s="1797"/>
      <c r="BC63" s="1797"/>
      <c r="BD63" s="1797"/>
      <c r="BE63" s="1797"/>
      <c r="BF63" s="1797"/>
      <c r="BG63" s="1797"/>
      <c r="BH63" s="1797"/>
      <c r="BI63" s="1785" t="e">
        <f t="shared" si="1"/>
        <v>#REF!</v>
      </c>
      <c r="BJ63" s="1785"/>
      <c r="BK63" s="1785"/>
      <c r="BL63" s="1785"/>
      <c r="BM63" s="1785"/>
      <c r="BN63" s="1785"/>
      <c r="BO63" s="1785"/>
      <c r="BP63" s="1785"/>
      <c r="BQ63" s="1785" t="e">
        <f t="shared" si="2"/>
        <v>#REF!</v>
      </c>
      <c r="BR63" s="1785"/>
      <c r="BS63" s="1785"/>
      <c r="BT63" s="1785"/>
      <c r="BU63" s="1785"/>
      <c r="BV63" s="1785"/>
      <c r="BW63" s="1785"/>
      <c r="BX63" s="1785"/>
      <c r="BY63" s="1785" t="e">
        <f t="shared" si="3"/>
        <v>#REF!</v>
      </c>
      <c r="BZ63" s="1785"/>
      <c r="CA63" s="1785"/>
      <c r="CB63" s="1785"/>
      <c r="CC63" s="1785"/>
      <c r="CD63" s="1785"/>
      <c r="CE63" s="1785"/>
      <c r="CF63" s="1793"/>
    </row>
    <row r="64" spans="1:88" s="400" customFormat="1" ht="23.1" customHeight="1">
      <c r="A64" s="402"/>
      <c r="B64" s="402"/>
      <c r="C64" s="402"/>
      <c r="D64" s="402"/>
      <c r="E64" s="1806" t="s">
        <v>277</v>
      </c>
      <c r="F64" s="1807"/>
      <c r="G64" s="1807"/>
      <c r="H64" s="1807"/>
      <c r="I64" s="1807"/>
      <c r="J64" s="1807"/>
      <c r="K64" s="1807"/>
      <c r="L64" s="1807"/>
      <c r="M64" s="1807"/>
      <c r="N64" s="1807"/>
      <c r="O64" s="1807"/>
      <c r="P64" s="1807"/>
      <c r="Q64" s="1807"/>
      <c r="R64" s="1807"/>
      <c r="S64" s="1807"/>
      <c r="T64" s="1807"/>
      <c r="U64" s="1807" t="s">
        <v>400</v>
      </c>
      <c r="V64" s="1807"/>
      <c r="W64" s="1807"/>
      <c r="X64" s="1807"/>
      <c r="Y64" s="1807"/>
      <c r="Z64" s="1807"/>
      <c r="AA64" s="1807"/>
      <c r="AB64" s="1807"/>
      <c r="AC64" s="1803" t="e">
        <f>#REF!</f>
        <v>#REF!</v>
      </c>
      <c r="AD64" s="1804"/>
      <c r="AE64" s="1804"/>
      <c r="AF64" s="1804"/>
      <c r="AG64" s="1804"/>
      <c r="AH64" s="1804"/>
      <c r="AI64" s="1804"/>
      <c r="AJ64" s="1805"/>
      <c r="AK64" s="1803" t="e">
        <f>#REF!</f>
        <v>#REF!</v>
      </c>
      <c r="AL64" s="1804"/>
      <c r="AM64" s="1804"/>
      <c r="AN64" s="1804"/>
      <c r="AO64" s="1804"/>
      <c r="AP64" s="1804"/>
      <c r="AQ64" s="1804"/>
      <c r="AR64" s="1805"/>
      <c r="AS64" s="1803" t="e">
        <f>#REF!</f>
        <v>#REF!</v>
      </c>
      <c r="AT64" s="1804"/>
      <c r="AU64" s="1804"/>
      <c r="AV64" s="1804"/>
      <c r="AW64" s="1804"/>
      <c r="AX64" s="1804"/>
      <c r="AY64" s="1804"/>
      <c r="AZ64" s="1805"/>
      <c r="BA64" s="1797">
        <f t="shared" si="4"/>
        <v>69.12</v>
      </c>
      <c r="BB64" s="1797"/>
      <c r="BC64" s="1797"/>
      <c r="BD64" s="1797"/>
      <c r="BE64" s="1797"/>
      <c r="BF64" s="1797"/>
      <c r="BG64" s="1797"/>
      <c r="BH64" s="1797"/>
      <c r="BI64" s="1785" t="e">
        <f t="shared" si="1"/>
        <v>#REF!</v>
      </c>
      <c r="BJ64" s="1785"/>
      <c r="BK64" s="1785"/>
      <c r="BL64" s="1785"/>
      <c r="BM64" s="1785"/>
      <c r="BN64" s="1785"/>
      <c r="BO64" s="1785"/>
      <c r="BP64" s="1785"/>
      <c r="BQ64" s="1785" t="e">
        <f t="shared" si="2"/>
        <v>#REF!</v>
      </c>
      <c r="BR64" s="1785"/>
      <c r="BS64" s="1785"/>
      <c r="BT64" s="1785"/>
      <c r="BU64" s="1785"/>
      <c r="BV64" s="1785"/>
      <c r="BW64" s="1785"/>
      <c r="BX64" s="1785"/>
      <c r="BY64" s="1785" t="e">
        <f t="shared" si="3"/>
        <v>#REF!</v>
      </c>
      <c r="BZ64" s="1785"/>
      <c r="CA64" s="1785"/>
      <c r="CB64" s="1785"/>
      <c r="CC64" s="1785"/>
      <c r="CD64" s="1785"/>
      <c r="CE64" s="1785"/>
      <c r="CF64" s="1793"/>
    </row>
    <row r="65" spans="1:89" s="400" customFormat="1" ht="23.1" customHeight="1">
      <c r="E65" s="1806" t="s">
        <v>277</v>
      </c>
      <c r="F65" s="1807"/>
      <c r="G65" s="1807"/>
      <c r="H65" s="1807"/>
      <c r="I65" s="1807"/>
      <c r="J65" s="1807"/>
      <c r="K65" s="1807"/>
      <c r="L65" s="1807"/>
      <c r="M65" s="1807"/>
      <c r="N65" s="1807"/>
      <c r="O65" s="1807"/>
      <c r="P65" s="1807"/>
      <c r="Q65" s="1807"/>
      <c r="R65" s="1807"/>
      <c r="S65" s="1807"/>
      <c r="T65" s="1807"/>
      <c r="U65" s="1807" t="s">
        <v>401</v>
      </c>
      <c r="V65" s="1807"/>
      <c r="W65" s="1807"/>
      <c r="X65" s="1807"/>
      <c r="Y65" s="1807"/>
      <c r="Z65" s="1807"/>
      <c r="AA65" s="1807"/>
      <c r="AB65" s="1807"/>
      <c r="AC65" s="1803" t="e">
        <f>#REF!</f>
        <v>#REF!</v>
      </c>
      <c r="AD65" s="1804"/>
      <c r="AE65" s="1804"/>
      <c r="AF65" s="1804"/>
      <c r="AG65" s="1804"/>
      <c r="AH65" s="1804"/>
      <c r="AI65" s="1804"/>
      <c r="AJ65" s="1805"/>
      <c r="AK65" s="1803" t="e">
        <f>#REF!</f>
        <v>#REF!</v>
      </c>
      <c r="AL65" s="1804"/>
      <c r="AM65" s="1804"/>
      <c r="AN65" s="1804"/>
      <c r="AO65" s="1804"/>
      <c r="AP65" s="1804"/>
      <c r="AQ65" s="1804"/>
      <c r="AR65" s="1805"/>
      <c r="AS65" s="1803" t="e">
        <f>#REF!</f>
        <v>#REF!</v>
      </c>
      <c r="AT65" s="1804"/>
      <c r="AU65" s="1804"/>
      <c r="AV65" s="1804"/>
      <c r="AW65" s="1804"/>
      <c r="AX65" s="1804"/>
      <c r="AY65" s="1804"/>
      <c r="AZ65" s="1805"/>
      <c r="BA65" s="1797">
        <f t="shared" si="4"/>
        <v>81.849999999999994</v>
      </c>
      <c r="BB65" s="1797"/>
      <c r="BC65" s="1797"/>
      <c r="BD65" s="1797"/>
      <c r="BE65" s="1797"/>
      <c r="BF65" s="1797"/>
      <c r="BG65" s="1797"/>
      <c r="BH65" s="1797"/>
      <c r="BI65" s="1785" t="e">
        <f t="shared" si="1"/>
        <v>#REF!</v>
      </c>
      <c r="BJ65" s="1785"/>
      <c r="BK65" s="1785"/>
      <c r="BL65" s="1785"/>
      <c r="BM65" s="1785"/>
      <c r="BN65" s="1785"/>
      <c r="BO65" s="1785"/>
      <c r="BP65" s="1785"/>
      <c r="BQ65" s="1785" t="e">
        <f t="shared" si="2"/>
        <v>#REF!</v>
      </c>
      <c r="BR65" s="1785"/>
      <c r="BS65" s="1785"/>
      <c r="BT65" s="1785"/>
      <c r="BU65" s="1785"/>
      <c r="BV65" s="1785"/>
      <c r="BW65" s="1785"/>
      <c r="BX65" s="1785"/>
      <c r="BY65" s="1785" t="e">
        <f t="shared" si="3"/>
        <v>#REF!</v>
      </c>
      <c r="BZ65" s="1785"/>
      <c r="CA65" s="1785"/>
      <c r="CB65" s="1785"/>
      <c r="CC65" s="1785"/>
      <c r="CD65" s="1785"/>
      <c r="CE65" s="1785"/>
      <c r="CF65" s="1793"/>
    </row>
    <row r="66" spans="1:89" s="400" customFormat="1" ht="23.1" customHeight="1">
      <c r="E66" s="1806" t="s">
        <v>409</v>
      </c>
      <c r="F66" s="1807"/>
      <c r="G66" s="1807"/>
      <c r="H66" s="1807"/>
      <c r="I66" s="1807"/>
      <c r="J66" s="1807"/>
      <c r="K66" s="1807"/>
      <c r="L66" s="1807"/>
      <c r="M66" s="1807"/>
      <c r="N66" s="1807"/>
      <c r="O66" s="1807"/>
      <c r="P66" s="1807"/>
      <c r="Q66" s="1807"/>
      <c r="R66" s="1807"/>
      <c r="S66" s="1807"/>
      <c r="T66" s="1807"/>
      <c r="U66" s="1807" t="s">
        <v>394</v>
      </c>
      <c r="V66" s="1807"/>
      <c r="W66" s="1807"/>
      <c r="X66" s="1807"/>
      <c r="Y66" s="1807"/>
      <c r="Z66" s="1807"/>
      <c r="AA66" s="1807"/>
      <c r="AB66" s="1807"/>
      <c r="AC66" s="1803" t="e">
        <f>#REF!</f>
        <v>#REF!</v>
      </c>
      <c r="AD66" s="1804"/>
      <c r="AE66" s="1804"/>
      <c r="AF66" s="1804"/>
      <c r="AG66" s="1804"/>
      <c r="AH66" s="1804"/>
      <c r="AI66" s="1804"/>
      <c r="AJ66" s="1805"/>
      <c r="AK66" s="1803" t="e">
        <f>#REF!</f>
        <v>#REF!</v>
      </c>
      <c r="AL66" s="1804"/>
      <c r="AM66" s="1804"/>
      <c r="AN66" s="1804"/>
      <c r="AO66" s="1804"/>
      <c r="AP66" s="1804"/>
      <c r="AQ66" s="1804"/>
      <c r="AR66" s="1805"/>
      <c r="AS66" s="1803" t="e">
        <f>#REF!</f>
        <v>#REF!</v>
      </c>
      <c r="AT66" s="1804"/>
      <c r="AU66" s="1804"/>
      <c r="AV66" s="1804"/>
      <c r="AW66" s="1804"/>
      <c r="AX66" s="1804"/>
      <c r="AY66" s="1804"/>
      <c r="AZ66" s="1805"/>
      <c r="BA66" s="1797">
        <f>BU47</f>
        <v>14</v>
      </c>
      <c r="BB66" s="1797"/>
      <c r="BC66" s="1797"/>
      <c r="BD66" s="1797"/>
      <c r="BE66" s="1797"/>
      <c r="BF66" s="1797"/>
      <c r="BG66" s="1797"/>
      <c r="BH66" s="1797"/>
      <c r="BI66" s="1785" t="e">
        <f t="shared" si="1"/>
        <v>#REF!</v>
      </c>
      <c r="BJ66" s="1785"/>
      <c r="BK66" s="1785"/>
      <c r="BL66" s="1785"/>
      <c r="BM66" s="1785"/>
      <c r="BN66" s="1785"/>
      <c r="BO66" s="1785"/>
      <c r="BP66" s="1785"/>
      <c r="BQ66" s="1785" t="e">
        <f t="shared" si="2"/>
        <v>#REF!</v>
      </c>
      <c r="BR66" s="1785"/>
      <c r="BS66" s="1785"/>
      <c r="BT66" s="1785"/>
      <c r="BU66" s="1785"/>
      <c r="BV66" s="1785"/>
      <c r="BW66" s="1785"/>
      <c r="BX66" s="1785"/>
      <c r="BY66" s="1785" t="e">
        <f t="shared" si="3"/>
        <v>#REF!</v>
      </c>
      <c r="BZ66" s="1785"/>
      <c r="CA66" s="1785"/>
      <c r="CB66" s="1785"/>
      <c r="CC66" s="1785"/>
      <c r="CD66" s="1785"/>
      <c r="CE66" s="1785"/>
      <c r="CF66" s="1793"/>
    </row>
    <row r="67" spans="1:89" s="400" customFormat="1" ht="23.1" customHeight="1" thickBot="1">
      <c r="E67" s="1794" t="s">
        <v>409</v>
      </c>
      <c r="F67" s="1795"/>
      <c r="G67" s="1795"/>
      <c r="H67" s="1795"/>
      <c r="I67" s="1795"/>
      <c r="J67" s="1795"/>
      <c r="K67" s="1795"/>
      <c r="L67" s="1795"/>
      <c r="M67" s="1795"/>
      <c r="N67" s="1795"/>
      <c r="O67" s="1795"/>
      <c r="P67" s="1795"/>
      <c r="Q67" s="1795"/>
      <c r="R67" s="1795"/>
      <c r="S67" s="1795"/>
      <c r="T67" s="1795"/>
      <c r="U67" s="1795" t="s">
        <v>397</v>
      </c>
      <c r="V67" s="1795"/>
      <c r="W67" s="1795"/>
      <c r="X67" s="1795"/>
      <c r="Y67" s="1795"/>
      <c r="Z67" s="1795"/>
      <c r="AA67" s="1795"/>
      <c r="AB67" s="1795"/>
      <c r="AC67" s="1796" t="e">
        <f>#REF!</f>
        <v>#REF!</v>
      </c>
      <c r="AD67" s="1796"/>
      <c r="AE67" s="1796"/>
      <c r="AF67" s="1796"/>
      <c r="AG67" s="1796"/>
      <c r="AH67" s="1796"/>
      <c r="AI67" s="1796"/>
      <c r="AJ67" s="1796"/>
      <c r="AK67" s="1796" t="e">
        <f>#REF!</f>
        <v>#REF!</v>
      </c>
      <c r="AL67" s="1796"/>
      <c r="AM67" s="1796"/>
      <c r="AN67" s="1796"/>
      <c r="AO67" s="1796"/>
      <c r="AP67" s="1796"/>
      <c r="AQ67" s="1796"/>
      <c r="AR67" s="1796"/>
      <c r="AS67" s="1796" t="e">
        <f>#REF!</f>
        <v>#REF!</v>
      </c>
      <c r="AT67" s="1796"/>
      <c r="AU67" s="1796"/>
      <c r="AV67" s="1796"/>
      <c r="AW67" s="1796"/>
      <c r="AX67" s="1796"/>
      <c r="AY67" s="1796"/>
      <c r="AZ67" s="1796"/>
      <c r="BA67" s="1783">
        <f>BU50</f>
        <v>51.84</v>
      </c>
      <c r="BB67" s="1783"/>
      <c r="BC67" s="1783"/>
      <c r="BD67" s="1783"/>
      <c r="BE67" s="1783"/>
      <c r="BF67" s="1783"/>
      <c r="BG67" s="1783"/>
      <c r="BH67" s="1783"/>
      <c r="BI67" s="1784" t="e">
        <f t="shared" si="1"/>
        <v>#REF!</v>
      </c>
      <c r="BJ67" s="1784"/>
      <c r="BK67" s="1784"/>
      <c r="BL67" s="1784"/>
      <c r="BM67" s="1784"/>
      <c r="BN67" s="1784"/>
      <c r="BO67" s="1784"/>
      <c r="BP67" s="1784"/>
      <c r="BQ67" s="1784" t="e">
        <f t="shared" si="2"/>
        <v>#REF!</v>
      </c>
      <c r="BR67" s="1784"/>
      <c r="BS67" s="1784"/>
      <c r="BT67" s="1784"/>
      <c r="BU67" s="1784"/>
      <c r="BV67" s="1784"/>
      <c r="BW67" s="1784"/>
      <c r="BX67" s="1784"/>
      <c r="BY67" s="1784" t="e">
        <f t="shared" si="3"/>
        <v>#REF!</v>
      </c>
      <c r="BZ67" s="1784"/>
      <c r="CA67" s="1784"/>
      <c r="CB67" s="1784"/>
      <c r="CC67" s="1784"/>
      <c r="CD67" s="1784"/>
      <c r="CE67" s="1784"/>
      <c r="CF67" s="1792"/>
    </row>
    <row r="68" spans="1:89" s="400" customFormat="1" ht="23.1" customHeight="1"/>
    <row r="69" spans="1:89" s="412" customFormat="1" ht="28.35" customHeight="1">
      <c r="A69" s="1877" t="s">
        <v>410</v>
      </c>
      <c r="B69" s="1877"/>
      <c r="C69" s="1877"/>
      <c r="D69" s="1877"/>
      <c r="E69" s="1877"/>
      <c r="F69" s="1877"/>
      <c r="G69" s="1877"/>
      <c r="H69" s="1877"/>
      <c r="I69" s="1877"/>
      <c r="J69" s="1877"/>
      <c r="K69" s="1877"/>
      <c r="L69" s="1877"/>
      <c r="M69" s="1877"/>
      <c r="N69" s="1877"/>
      <c r="O69" s="1877"/>
      <c r="P69" s="1877"/>
      <c r="Q69" s="1877"/>
      <c r="R69" s="1877"/>
      <c r="S69" s="1877"/>
      <c r="T69" s="1877"/>
      <c r="U69" s="1877"/>
      <c r="V69" s="1877"/>
      <c r="W69" s="1877"/>
      <c r="X69" s="1877"/>
      <c r="Y69" s="1877"/>
      <c r="Z69" s="1877"/>
      <c r="AA69" s="1877"/>
      <c r="AB69" s="1877"/>
      <c r="AC69" s="1877"/>
      <c r="AD69" s="1877"/>
      <c r="AE69" s="1877"/>
      <c r="AF69" s="1877"/>
      <c r="AG69" s="1877"/>
      <c r="AH69" s="1877"/>
      <c r="AI69" s="1877"/>
      <c r="AJ69" s="1877"/>
      <c r="AK69" s="1877"/>
      <c r="AL69" s="1877"/>
      <c r="AM69" s="1877"/>
      <c r="AN69" s="1877"/>
      <c r="AO69" s="1877"/>
      <c r="AP69" s="1877"/>
      <c r="AQ69" s="1877"/>
      <c r="AR69" s="1877"/>
      <c r="AS69" s="1877"/>
      <c r="AT69" s="1877"/>
      <c r="AU69" s="1877"/>
      <c r="AV69" s="1877"/>
      <c r="AW69" s="1877"/>
      <c r="AX69" s="1877"/>
      <c r="AY69" s="1877"/>
      <c r="AZ69" s="1877"/>
      <c r="BA69" s="1877"/>
      <c r="BB69" s="1877"/>
      <c r="BC69" s="1877"/>
      <c r="BD69" s="1877"/>
      <c r="BE69" s="1877"/>
      <c r="BF69" s="1877"/>
      <c r="BG69" s="1877"/>
      <c r="BH69" s="1877"/>
      <c r="BI69" s="1877"/>
      <c r="BJ69" s="1877"/>
      <c r="BK69" s="1877"/>
      <c r="BL69" s="1877"/>
      <c r="BM69" s="1877"/>
      <c r="BN69" s="1877"/>
      <c r="BO69" s="1877"/>
      <c r="BP69" s="1877"/>
      <c r="BQ69" s="1877"/>
      <c r="BR69" s="1877"/>
      <c r="BS69" s="1877"/>
      <c r="BT69" s="1877"/>
      <c r="BU69" s="1877"/>
      <c r="BV69" s="1877"/>
      <c r="BW69" s="1877"/>
      <c r="BX69" s="1877"/>
      <c r="BY69" s="1877"/>
      <c r="BZ69" s="1877"/>
      <c r="CA69" s="1877"/>
      <c r="CB69" s="1877"/>
      <c r="CC69" s="1877"/>
      <c r="CD69" s="1877"/>
      <c r="CE69" s="1877"/>
      <c r="CF69" s="1877"/>
      <c r="CJ69" s="400"/>
    </row>
    <row r="70" spans="1:89" s="412" customFormat="1" ht="9.9499999999999993" customHeight="1">
      <c r="A70" s="413"/>
      <c r="B70" s="413"/>
      <c r="C70" s="413"/>
      <c r="D70" s="413"/>
      <c r="E70" s="413"/>
      <c r="F70" s="413"/>
      <c r="G70" s="413"/>
      <c r="H70" s="413"/>
      <c r="I70" s="413"/>
      <c r="J70" s="413"/>
      <c r="K70" s="413"/>
      <c r="L70" s="413"/>
      <c r="M70" s="413"/>
      <c r="N70" s="413"/>
      <c r="O70" s="413"/>
      <c r="P70" s="413"/>
      <c r="Q70" s="413"/>
      <c r="R70" s="413"/>
      <c r="S70" s="413"/>
      <c r="T70" s="413"/>
      <c r="U70" s="413"/>
      <c r="V70" s="413"/>
      <c r="W70" s="413"/>
      <c r="X70" s="413"/>
      <c r="Y70" s="413"/>
      <c r="Z70" s="413"/>
      <c r="AA70" s="413"/>
      <c r="AB70" s="413"/>
      <c r="AC70" s="413"/>
      <c r="AD70" s="413"/>
      <c r="AE70" s="413"/>
      <c r="AF70" s="413"/>
      <c r="AG70" s="413"/>
      <c r="AH70" s="413"/>
      <c r="AI70" s="413"/>
      <c r="AJ70" s="413"/>
      <c r="AK70" s="413"/>
      <c r="AL70" s="413"/>
      <c r="AM70" s="413"/>
      <c r="AN70" s="413"/>
      <c r="AO70" s="413"/>
      <c r="AP70" s="413"/>
      <c r="AQ70" s="413"/>
      <c r="AR70" s="413"/>
      <c r="AS70" s="413"/>
      <c r="AT70" s="413"/>
      <c r="AU70" s="413"/>
      <c r="AV70" s="413"/>
      <c r="AW70" s="413"/>
      <c r="AX70" s="413"/>
      <c r="AY70" s="413"/>
      <c r="AZ70" s="413"/>
      <c r="BA70" s="413"/>
      <c r="BB70" s="413"/>
      <c r="BC70" s="413"/>
      <c r="BD70" s="413"/>
      <c r="BE70" s="413"/>
      <c r="BF70" s="413"/>
      <c r="BG70" s="413"/>
      <c r="BH70" s="413"/>
      <c r="BI70" s="413"/>
      <c r="BJ70" s="413"/>
      <c r="BK70" s="413"/>
      <c r="BL70" s="413"/>
      <c r="BM70" s="413"/>
      <c r="BN70" s="413"/>
      <c r="BO70" s="413"/>
      <c r="BP70" s="413"/>
      <c r="BQ70" s="413"/>
      <c r="BR70" s="413"/>
      <c r="BS70" s="413"/>
      <c r="BT70" s="413"/>
      <c r="BU70" s="413"/>
      <c r="BV70" s="413"/>
      <c r="BW70" s="413"/>
      <c r="BX70" s="413"/>
      <c r="BY70" s="413"/>
      <c r="BZ70" s="413"/>
      <c r="CA70" s="413"/>
      <c r="CB70" s="413"/>
      <c r="CC70" s="413"/>
      <c r="CD70" s="413"/>
      <c r="CE70" s="413"/>
      <c r="CF70" s="413"/>
      <c r="CJ70" s="400"/>
    </row>
    <row r="71" spans="1:89" s="419" customFormat="1" ht="23.1" customHeight="1">
      <c r="A71" s="420"/>
      <c r="B71" s="421" t="s">
        <v>768</v>
      </c>
      <c r="C71" s="420"/>
      <c r="D71" s="420"/>
      <c r="E71" s="420"/>
      <c r="F71" s="420"/>
      <c r="G71" s="420"/>
      <c r="H71" s="420"/>
      <c r="I71" s="420"/>
      <c r="J71" s="420"/>
      <c r="K71" s="420"/>
      <c r="L71" s="420"/>
      <c r="M71" s="420"/>
      <c r="N71" s="420"/>
      <c r="O71" s="420"/>
      <c r="P71" s="420"/>
      <c r="Q71" s="420"/>
      <c r="R71" s="420"/>
      <c r="S71" s="420"/>
      <c r="T71" s="420"/>
      <c r="U71" s="420"/>
      <c r="V71" s="420"/>
      <c r="W71" s="420"/>
      <c r="X71" s="420"/>
      <c r="Y71" s="420"/>
      <c r="Z71" s="420"/>
      <c r="AA71" s="420"/>
      <c r="AB71" s="420"/>
      <c r="AC71" s="420"/>
      <c r="AD71" s="420"/>
      <c r="AE71" s="420"/>
      <c r="AF71" s="420"/>
      <c r="AG71" s="420"/>
      <c r="AH71" s="420"/>
      <c r="AI71" s="420"/>
      <c r="AJ71" s="420"/>
      <c r="AK71" s="420"/>
      <c r="AL71" s="420"/>
      <c r="AM71" s="420"/>
      <c r="AN71" s="420"/>
      <c r="AO71" s="420"/>
      <c r="AP71" s="420"/>
      <c r="AQ71" s="420"/>
      <c r="AR71" s="420"/>
      <c r="AS71" s="420"/>
      <c r="AT71" s="420"/>
      <c r="AU71" s="420"/>
      <c r="BM71" s="420"/>
      <c r="BN71" s="420"/>
      <c r="BO71" s="420"/>
      <c r="BP71" s="420"/>
      <c r="BQ71" s="420"/>
      <c r="BR71" s="420"/>
      <c r="BS71" s="420"/>
      <c r="BT71" s="420"/>
      <c r="BU71" s="420"/>
      <c r="BV71" s="420"/>
      <c r="BW71" s="420"/>
      <c r="BX71" s="420"/>
      <c r="BY71" s="420"/>
      <c r="BZ71" s="420"/>
      <c r="CA71" s="420"/>
      <c r="CB71" s="420"/>
      <c r="CC71" s="420"/>
      <c r="CD71" s="420"/>
      <c r="CE71" s="420"/>
      <c r="CF71" s="420"/>
      <c r="CJ71" s="400" t="s">
        <v>767</v>
      </c>
    </row>
    <row r="72" spans="1:89" s="412" customFormat="1" ht="9.9499999999999993" customHeight="1">
      <c r="A72" s="413"/>
      <c r="B72" s="413"/>
      <c r="C72" s="413"/>
      <c r="D72" s="413"/>
      <c r="E72" s="413"/>
      <c r="F72" s="413"/>
      <c r="G72" s="413"/>
      <c r="H72" s="413"/>
      <c r="I72" s="413"/>
      <c r="J72" s="413"/>
      <c r="K72" s="413"/>
      <c r="L72" s="413"/>
      <c r="M72" s="413"/>
      <c r="N72" s="413"/>
      <c r="O72" s="413"/>
      <c r="P72" s="413"/>
      <c r="Q72" s="413"/>
      <c r="R72" s="413"/>
      <c r="S72" s="413"/>
      <c r="T72" s="413"/>
      <c r="U72" s="413"/>
      <c r="V72" s="413"/>
      <c r="W72" s="413"/>
      <c r="X72" s="413"/>
      <c r="Y72" s="413"/>
      <c r="Z72" s="413"/>
      <c r="AA72" s="413"/>
      <c r="AB72" s="413"/>
      <c r="AC72" s="413"/>
      <c r="AD72" s="413"/>
      <c r="AE72" s="413"/>
      <c r="AF72" s="413"/>
      <c r="AG72" s="413"/>
      <c r="AH72" s="413"/>
      <c r="AI72" s="413"/>
      <c r="AJ72" s="413"/>
      <c r="AK72" s="413"/>
      <c r="AL72" s="413"/>
      <c r="AM72" s="413"/>
      <c r="AN72" s="413"/>
      <c r="AO72" s="413"/>
      <c r="AP72" s="413"/>
      <c r="AQ72" s="413"/>
      <c r="AR72" s="413"/>
      <c r="AS72" s="413"/>
      <c r="AT72" s="413"/>
      <c r="AU72" s="413"/>
      <c r="AV72" s="413"/>
      <c r="AW72" s="413"/>
      <c r="AX72" s="413"/>
      <c r="AY72" s="413"/>
      <c r="AZ72" s="413"/>
      <c r="BA72" s="413"/>
      <c r="BB72" s="413"/>
      <c r="BC72" s="413"/>
      <c r="BD72" s="413"/>
      <c r="BE72" s="413"/>
      <c r="BF72" s="413"/>
      <c r="BG72" s="413"/>
      <c r="BH72" s="413"/>
      <c r="BI72" s="413"/>
      <c r="BJ72" s="413"/>
      <c r="BK72" s="413"/>
      <c r="BL72" s="413"/>
      <c r="BM72" s="413"/>
      <c r="BN72" s="413"/>
      <c r="BO72" s="413"/>
      <c r="BP72" s="413"/>
      <c r="BQ72" s="413"/>
      <c r="BR72" s="413"/>
      <c r="BS72" s="413"/>
      <c r="BT72" s="413"/>
      <c r="BU72" s="413"/>
      <c r="BV72" s="413"/>
      <c r="BW72" s="413"/>
      <c r="BX72" s="413"/>
      <c r="BY72" s="413"/>
      <c r="BZ72" s="413"/>
      <c r="CA72" s="413"/>
      <c r="CB72" s="413"/>
      <c r="CC72" s="413"/>
      <c r="CD72" s="413"/>
      <c r="CE72" s="413"/>
      <c r="CF72" s="413"/>
      <c r="CJ72" s="400"/>
    </row>
    <row r="73" spans="1:89" s="400" customFormat="1" ht="23.1" customHeight="1">
      <c r="E73" s="400" t="s">
        <v>376</v>
      </c>
      <c r="CJ73" s="400" t="s">
        <v>762</v>
      </c>
    </row>
    <row r="74" spans="1:89" s="400" customFormat="1" ht="23.1" customHeight="1">
      <c r="A74" s="402"/>
      <c r="B74" s="402"/>
      <c r="C74" s="402"/>
      <c r="D74" s="402"/>
      <c r="G74" s="1788" t="s">
        <v>377</v>
      </c>
      <c r="H74" s="1788"/>
      <c r="I74" s="1788"/>
      <c r="J74" s="1788"/>
      <c r="L74" s="411" t="s">
        <v>378</v>
      </c>
      <c r="M74" s="411"/>
      <c r="N74" s="411"/>
      <c r="O74" s="411"/>
      <c r="P74" s="411"/>
      <c r="Q74" s="411"/>
      <c r="R74" s="411"/>
      <c r="S74" s="411"/>
      <c r="T74" s="411"/>
      <c r="U74" s="411"/>
      <c r="V74" s="411"/>
      <c r="W74" s="411"/>
      <c r="X74" s="411"/>
      <c r="Y74" s="411"/>
      <c r="Z74" s="411"/>
      <c r="AA74" s="411"/>
      <c r="AB74" s="411"/>
      <c r="AC74" s="411"/>
      <c r="AD74" s="411"/>
      <c r="AE74" s="411"/>
      <c r="AM74" s="400" t="s">
        <v>379</v>
      </c>
      <c r="AV74" s="408"/>
      <c r="AW74" s="408"/>
      <c r="AX74" s="408"/>
      <c r="AY74" s="408"/>
      <c r="AZ74" s="408"/>
      <c r="BA74" s="408"/>
      <c r="BC74" s="408"/>
      <c r="BD74" s="408"/>
      <c r="BE74" s="404"/>
      <c r="BF74" s="404"/>
      <c r="BG74" s="404"/>
      <c r="BH74" s="404"/>
      <c r="BI74" s="400" t="s">
        <v>380</v>
      </c>
      <c r="BJ74" s="404"/>
      <c r="BK74" s="404"/>
      <c r="BL74" s="404"/>
      <c r="BM74" s="404"/>
      <c r="BN74" s="404"/>
      <c r="BO74" s="404"/>
      <c r="BP74" s="404"/>
      <c r="BQ74" s="404"/>
      <c r="BR74" s="404"/>
      <c r="BS74" s="404"/>
      <c r="BT74" s="404"/>
      <c r="BU74" s="404"/>
      <c r="BV74" s="404"/>
      <c r="BW74" s="404"/>
      <c r="BX74" s="404"/>
      <c r="BY74" s="404"/>
      <c r="BZ74" s="404"/>
      <c r="CA74" s="404"/>
      <c r="CB74" s="404"/>
      <c r="CC74" s="404"/>
      <c r="CD74" s="404"/>
      <c r="CE74" s="404"/>
      <c r="CF74" s="404"/>
      <c r="CJ74" s="400" t="s">
        <v>761</v>
      </c>
    </row>
    <row r="75" spans="1:89" s="400" customFormat="1" ht="23.1" customHeight="1">
      <c r="D75" s="405"/>
      <c r="G75" s="1788"/>
      <c r="H75" s="1788"/>
      <c r="I75" s="1788"/>
      <c r="J75" s="1788"/>
      <c r="L75" s="1809" t="s">
        <v>381</v>
      </c>
      <c r="M75" s="1809"/>
      <c r="N75" s="1809"/>
      <c r="O75" s="1809"/>
      <c r="P75" s="1809"/>
      <c r="Q75" s="1809"/>
      <c r="R75" s="1809"/>
      <c r="S75" s="1809"/>
      <c r="T75" s="1809"/>
      <c r="U75" s="1809"/>
      <c r="V75" s="1809"/>
      <c r="W75" s="1809"/>
      <c r="X75" s="1809"/>
      <c r="Y75" s="1809"/>
      <c r="Z75" s="1809"/>
      <c r="AA75" s="1809"/>
      <c r="AB75" s="1809"/>
      <c r="AC75" s="1809"/>
      <c r="AD75" s="1809"/>
      <c r="AE75" s="1809"/>
      <c r="AM75" s="408" t="s">
        <v>382</v>
      </c>
      <c r="AV75" s="408"/>
      <c r="AW75" s="408"/>
      <c r="AX75" s="408"/>
      <c r="AY75" s="408"/>
      <c r="AZ75" s="408"/>
      <c r="BA75" s="408"/>
      <c r="BC75" s="408"/>
      <c r="BD75" s="408"/>
      <c r="BE75" s="404"/>
      <c r="BF75" s="404"/>
      <c r="BG75" s="404"/>
      <c r="BH75" s="404"/>
      <c r="BI75" s="404"/>
      <c r="BJ75" s="404"/>
      <c r="BK75" s="404"/>
      <c r="BL75" s="404"/>
      <c r="BM75" s="404"/>
      <c r="BN75" s="404"/>
      <c r="BO75" s="404"/>
      <c r="BP75" s="404"/>
      <c r="BQ75" s="404"/>
      <c r="BR75" s="404"/>
      <c r="BS75" s="404"/>
      <c r="BT75" s="404"/>
      <c r="BU75" s="404"/>
      <c r="BV75" s="404"/>
      <c r="BW75" s="404"/>
      <c r="BX75" s="404"/>
      <c r="BY75" s="404"/>
      <c r="BZ75" s="404"/>
      <c r="CA75" s="404"/>
      <c r="CB75" s="404"/>
      <c r="CC75" s="404"/>
      <c r="CD75" s="404"/>
      <c r="CE75" s="404"/>
      <c r="CF75" s="404"/>
      <c r="CJ75" s="400" t="s">
        <v>717</v>
      </c>
    </row>
    <row r="76" spans="1:89" s="400" customFormat="1" ht="23.1" customHeight="1">
      <c r="G76" s="402"/>
      <c r="AM76" s="408" t="s">
        <v>383</v>
      </c>
      <c r="BI76" s="400" t="s">
        <v>384</v>
      </c>
      <c r="BT76" s="410"/>
      <c r="BU76" s="410"/>
      <c r="BV76" s="410"/>
      <c r="BW76" s="410"/>
      <c r="BX76" s="410"/>
      <c r="BY76" s="410"/>
      <c r="BZ76" s="410"/>
      <c r="CA76" s="410"/>
      <c r="CB76" s="410"/>
      <c r="CC76" s="410"/>
      <c r="CJ76" s="400" t="s">
        <v>716</v>
      </c>
    </row>
    <row r="77" spans="1:89" s="400" customFormat="1" ht="9.9499999999999993" customHeight="1" thickBot="1">
      <c r="D77" s="405"/>
      <c r="Q77" s="409"/>
      <c r="R77" s="409"/>
      <c r="S77" s="409"/>
      <c r="T77" s="409"/>
      <c r="U77" s="409"/>
      <c r="V77" s="409"/>
      <c r="W77" s="409"/>
      <c r="X77" s="409"/>
      <c r="Y77" s="409"/>
      <c r="Z77" s="409"/>
      <c r="AA77" s="409"/>
      <c r="AB77" s="409"/>
      <c r="AV77" s="408"/>
      <c r="AW77" s="408"/>
      <c r="AX77" s="408"/>
      <c r="AY77" s="408"/>
      <c r="AZ77" s="408"/>
      <c r="BA77" s="408"/>
      <c r="BB77" s="408"/>
      <c r="BC77" s="408"/>
      <c r="BD77" s="408"/>
      <c r="BE77" s="404"/>
      <c r="BF77" s="404"/>
      <c r="BG77" s="404"/>
      <c r="BH77" s="404"/>
      <c r="BI77" s="404"/>
      <c r="BJ77" s="404"/>
      <c r="BK77" s="404"/>
      <c r="BL77" s="404"/>
      <c r="BM77" s="404"/>
      <c r="BN77" s="404"/>
      <c r="BO77" s="404"/>
      <c r="BP77" s="404"/>
      <c r="BQ77" s="404"/>
      <c r="BR77" s="404"/>
      <c r="BS77" s="404"/>
      <c r="BT77" s="404"/>
      <c r="BU77" s="404"/>
      <c r="BV77" s="404"/>
      <c r="BW77" s="404"/>
      <c r="BX77" s="404"/>
      <c r="BY77" s="404"/>
      <c r="BZ77" s="404"/>
      <c r="CA77" s="404"/>
      <c r="CB77" s="404"/>
      <c r="CC77" s="404"/>
      <c r="CD77" s="404"/>
      <c r="CE77" s="404"/>
      <c r="CF77" s="404"/>
    </row>
    <row r="78" spans="1:89" s="400" customFormat="1" ht="23.1" customHeight="1" thickBot="1">
      <c r="A78" s="402"/>
      <c r="B78" s="402"/>
      <c r="C78" s="402"/>
      <c r="D78" s="402"/>
      <c r="E78" s="1835" t="s">
        <v>385</v>
      </c>
      <c r="F78" s="1836"/>
      <c r="G78" s="1836"/>
      <c r="H78" s="1836"/>
      <c r="I78" s="1836"/>
      <c r="J78" s="1836"/>
      <c r="K78" s="1836"/>
      <c r="L78" s="1836"/>
      <c r="M78" s="1836"/>
      <c r="N78" s="1836"/>
      <c r="O78" s="1836"/>
      <c r="P78" s="1836"/>
      <c r="Q78" s="1836" t="s">
        <v>212</v>
      </c>
      <c r="R78" s="1836"/>
      <c r="S78" s="1836"/>
      <c r="T78" s="1836"/>
      <c r="U78" s="1836"/>
      <c r="V78" s="1836"/>
      <c r="W78" s="1836"/>
      <c r="X78" s="1836"/>
      <c r="Y78" s="1836"/>
      <c r="Z78" s="1836"/>
      <c r="AA78" s="1836"/>
      <c r="AB78" s="1836"/>
      <c r="AC78" s="1836" t="s">
        <v>386</v>
      </c>
      <c r="AD78" s="1836"/>
      <c r="AE78" s="1836"/>
      <c r="AF78" s="1836"/>
      <c r="AG78" s="1836"/>
      <c r="AH78" s="1836"/>
      <c r="AI78" s="1836"/>
      <c r="AJ78" s="1836"/>
      <c r="AK78" s="1836" t="s">
        <v>387</v>
      </c>
      <c r="AL78" s="1836"/>
      <c r="AM78" s="1836"/>
      <c r="AN78" s="1836"/>
      <c r="AO78" s="1836"/>
      <c r="AP78" s="1836"/>
      <c r="AQ78" s="1836"/>
      <c r="AR78" s="1836"/>
      <c r="AS78" s="1836" t="s">
        <v>388</v>
      </c>
      <c r="AT78" s="1836"/>
      <c r="AU78" s="1836"/>
      <c r="AV78" s="1836"/>
      <c r="AW78" s="1836"/>
      <c r="AX78" s="1836"/>
      <c r="AY78" s="1836"/>
      <c r="AZ78" s="1836"/>
      <c r="BA78" s="1836" t="s">
        <v>389</v>
      </c>
      <c r="BB78" s="1836"/>
      <c r="BC78" s="1836"/>
      <c r="BD78" s="1836"/>
      <c r="BE78" s="1836"/>
      <c r="BF78" s="1836"/>
      <c r="BG78" s="1836"/>
      <c r="BH78" s="1836"/>
      <c r="BI78" s="1836" t="s">
        <v>381</v>
      </c>
      <c r="BJ78" s="1836"/>
      <c r="BK78" s="1836"/>
      <c r="BL78" s="1836"/>
      <c r="BM78" s="1836"/>
      <c r="BN78" s="1836"/>
      <c r="BO78" s="1836"/>
      <c r="BP78" s="1836"/>
      <c r="BQ78" s="1836"/>
      <c r="BR78" s="1836"/>
      <c r="BS78" s="1836"/>
      <c r="BT78" s="1836"/>
      <c r="BU78" s="1933" t="s">
        <v>390</v>
      </c>
      <c r="BV78" s="1933"/>
      <c r="BW78" s="1933"/>
      <c r="BX78" s="1933"/>
      <c r="BY78" s="1933"/>
      <c r="BZ78" s="1933"/>
      <c r="CA78" s="1933"/>
      <c r="CB78" s="1933"/>
      <c r="CC78" s="1933"/>
      <c r="CD78" s="1933"/>
      <c r="CE78" s="1933"/>
      <c r="CF78" s="1934"/>
      <c r="CJ78" s="400" t="s">
        <v>389</v>
      </c>
    </row>
    <row r="79" spans="1:89" s="400" customFormat="1" ht="23.1" customHeight="1" thickTop="1">
      <c r="D79" s="405"/>
      <c r="E79" s="1935" t="s">
        <v>391</v>
      </c>
      <c r="F79" s="1834"/>
      <c r="G79" s="1834"/>
      <c r="H79" s="1834"/>
      <c r="I79" s="1834"/>
      <c r="J79" s="1834"/>
      <c r="K79" s="1834"/>
      <c r="L79" s="1834"/>
      <c r="M79" s="1834"/>
      <c r="N79" s="1834"/>
      <c r="O79" s="1834"/>
      <c r="P79" s="1834"/>
      <c r="Q79" s="1936" t="s">
        <v>392</v>
      </c>
      <c r="R79" s="1936"/>
      <c r="S79" s="1936"/>
      <c r="T79" s="1936"/>
      <c r="U79" s="1936"/>
      <c r="V79" s="1936"/>
      <c r="W79" s="1936"/>
      <c r="X79" s="1936"/>
      <c r="Y79" s="1936"/>
      <c r="Z79" s="1936"/>
      <c r="AA79" s="1936"/>
      <c r="AB79" s="1936"/>
      <c r="AC79" s="1964">
        <v>0.12</v>
      </c>
      <c r="AD79" s="1964"/>
      <c r="AE79" s="1964"/>
      <c r="AF79" s="1964"/>
      <c r="AG79" s="1964"/>
      <c r="AH79" s="1964"/>
      <c r="AI79" s="1964"/>
      <c r="AJ79" s="1964"/>
      <c r="AK79" s="1834">
        <v>0.9</v>
      </c>
      <c r="AL79" s="1834"/>
      <c r="AM79" s="1834"/>
      <c r="AN79" s="1834"/>
      <c r="AO79" s="1834"/>
      <c r="AP79" s="1834"/>
      <c r="AQ79" s="1834"/>
      <c r="AR79" s="1834"/>
      <c r="AS79" s="1834">
        <v>0.8</v>
      </c>
      <c r="AT79" s="1834"/>
      <c r="AU79" s="1834"/>
      <c r="AV79" s="1834"/>
      <c r="AW79" s="1834"/>
      <c r="AX79" s="1834"/>
      <c r="AY79" s="1834"/>
      <c r="AZ79" s="1834"/>
      <c r="BA79" s="1834">
        <v>0.55000000000000004</v>
      </c>
      <c r="BB79" s="1834"/>
      <c r="BC79" s="1834"/>
      <c r="BD79" s="1834"/>
      <c r="BE79" s="1834"/>
      <c r="BF79" s="1834"/>
      <c r="BG79" s="1834"/>
      <c r="BH79" s="1834"/>
      <c r="BI79" s="1929" t="s">
        <v>393</v>
      </c>
      <c r="BJ79" s="1866"/>
      <c r="BK79" s="1866"/>
      <c r="BL79" s="1866"/>
      <c r="BM79" s="1866"/>
      <c r="BN79" s="1866"/>
      <c r="BO79" s="1930">
        <v>20</v>
      </c>
      <c r="BP79" s="1931"/>
      <c r="BQ79" s="1931"/>
      <c r="BR79" s="1931"/>
      <c r="BS79" s="1931"/>
      <c r="BT79" s="1932"/>
      <c r="BU79" s="1924">
        <f t="shared" ref="BU79:BU86" si="5">ROUND(3600*AC79*AK79*AS79*BA79/BO79,2)</f>
        <v>8.5500000000000007</v>
      </c>
      <c r="BV79" s="1924"/>
      <c r="BW79" s="1924"/>
      <c r="BX79" s="1924"/>
      <c r="BY79" s="1924"/>
      <c r="BZ79" s="1924"/>
      <c r="CA79" s="1924"/>
      <c r="CB79" s="1924"/>
      <c r="CC79" s="1924"/>
      <c r="CD79" s="1924"/>
      <c r="CE79" s="1924"/>
      <c r="CF79" s="1925"/>
      <c r="CJ79" s="400" t="s">
        <v>760</v>
      </c>
      <c r="CK79" s="400" t="s">
        <v>766</v>
      </c>
    </row>
    <row r="80" spans="1:89" s="400" customFormat="1" ht="23.1" customHeight="1">
      <c r="D80" s="405"/>
      <c r="E80" s="1828" t="s">
        <v>391</v>
      </c>
      <c r="F80" s="1829"/>
      <c r="G80" s="1829"/>
      <c r="H80" s="1829"/>
      <c r="I80" s="1829"/>
      <c r="J80" s="1829"/>
      <c r="K80" s="1829"/>
      <c r="L80" s="1829"/>
      <c r="M80" s="1829"/>
      <c r="N80" s="1829"/>
      <c r="O80" s="1829"/>
      <c r="P80" s="1829"/>
      <c r="Q80" s="1830" t="s">
        <v>394</v>
      </c>
      <c r="R80" s="1830"/>
      <c r="S80" s="1830"/>
      <c r="T80" s="1830"/>
      <c r="U80" s="1830"/>
      <c r="V80" s="1830"/>
      <c r="W80" s="1830"/>
      <c r="X80" s="1830"/>
      <c r="Y80" s="1830"/>
      <c r="Z80" s="1830"/>
      <c r="AA80" s="1830"/>
      <c r="AB80" s="1830"/>
      <c r="AC80" s="1829">
        <v>0.18</v>
      </c>
      <c r="AD80" s="1829"/>
      <c r="AE80" s="1829"/>
      <c r="AF80" s="1829"/>
      <c r="AG80" s="1829"/>
      <c r="AH80" s="1829"/>
      <c r="AI80" s="1829"/>
      <c r="AJ80" s="1829"/>
      <c r="AK80" s="1929">
        <v>0.9</v>
      </c>
      <c r="AL80" s="1866"/>
      <c r="AM80" s="1866"/>
      <c r="AN80" s="1866"/>
      <c r="AO80" s="1866"/>
      <c r="AP80" s="1866"/>
      <c r="AQ80" s="1866"/>
      <c r="AR80" s="1867"/>
      <c r="AS80" s="1929">
        <v>0.8</v>
      </c>
      <c r="AT80" s="1866"/>
      <c r="AU80" s="1866"/>
      <c r="AV80" s="1866"/>
      <c r="AW80" s="1866"/>
      <c r="AX80" s="1866"/>
      <c r="AY80" s="1866"/>
      <c r="AZ80" s="1867"/>
      <c r="BA80" s="1929">
        <v>0.55000000000000004</v>
      </c>
      <c r="BB80" s="1866"/>
      <c r="BC80" s="1866"/>
      <c r="BD80" s="1866"/>
      <c r="BE80" s="1866"/>
      <c r="BF80" s="1866"/>
      <c r="BG80" s="1866"/>
      <c r="BH80" s="1867"/>
      <c r="BI80" s="1929" t="s">
        <v>393</v>
      </c>
      <c r="BJ80" s="1866"/>
      <c r="BK80" s="1866"/>
      <c r="BL80" s="1866"/>
      <c r="BM80" s="1866"/>
      <c r="BN80" s="1866"/>
      <c r="BO80" s="1865">
        <v>20</v>
      </c>
      <c r="BP80" s="1866"/>
      <c r="BQ80" s="1866"/>
      <c r="BR80" s="1866"/>
      <c r="BS80" s="1866"/>
      <c r="BT80" s="1867"/>
      <c r="BU80" s="1924">
        <f t="shared" si="5"/>
        <v>12.83</v>
      </c>
      <c r="BV80" s="1924"/>
      <c r="BW80" s="1924"/>
      <c r="BX80" s="1924"/>
      <c r="BY80" s="1924"/>
      <c r="BZ80" s="1924"/>
      <c r="CA80" s="1924"/>
      <c r="CB80" s="1924"/>
      <c r="CC80" s="1924"/>
      <c r="CD80" s="1924"/>
      <c r="CE80" s="1924"/>
      <c r="CF80" s="1925"/>
      <c r="CJ80" s="400" t="s">
        <v>760</v>
      </c>
      <c r="CK80" s="400" t="s">
        <v>766</v>
      </c>
    </row>
    <row r="81" spans="1:89" s="400" customFormat="1" ht="23.1" customHeight="1">
      <c r="A81" s="402"/>
      <c r="B81" s="402"/>
      <c r="C81" s="402"/>
      <c r="D81" s="402"/>
      <c r="E81" s="1828" t="s">
        <v>391</v>
      </c>
      <c r="F81" s="1829"/>
      <c r="G81" s="1829"/>
      <c r="H81" s="1829"/>
      <c r="I81" s="1829"/>
      <c r="J81" s="1829"/>
      <c r="K81" s="1829"/>
      <c r="L81" s="1829"/>
      <c r="M81" s="1829"/>
      <c r="N81" s="1829"/>
      <c r="O81" s="1829"/>
      <c r="P81" s="1829"/>
      <c r="Q81" s="1830" t="s">
        <v>395</v>
      </c>
      <c r="R81" s="1830"/>
      <c r="S81" s="1830"/>
      <c r="T81" s="1830"/>
      <c r="U81" s="1830"/>
      <c r="V81" s="1830"/>
      <c r="W81" s="1830"/>
      <c r="X81" s="1830"/>
      <c r="Y81" s="1830"/>
      <c r="Z81" s="1830"/>
      <c r="AA81" s="1830"/>
      <c r="AB81" s="1830"/>
      <c r="AC81" s="1829">
        <v>0.2</v>
      </c>
      <c r="AD81" s="1829"/>
      <c r="AE81" s="1829"/>
      <c r="AF81" s="1829"/>
      <c r="AG81" s="1829"/>
      <c r="AH81" s="1829"/>
      <c r="AI81" s="1829"/>
      <c r="AJ81" s="1829"/>
      <c r="AK81" s="1929">
        <v>0.9</v>
      </c>
      <c r="AL81" s="1866"/>
      <c r="AM81" s="1866"/>
      <c r="AN81" s="1866"/>
      <c r="AO81" s="1866"/>
      <c r="AP81" s="1866"/>
      <c r="AQ81" s="1866"/>
      <c r="AR81" s="1867"/>
      <c r="AS81" s="1929">
        <v>0.8</v>
      </c>
      <c r="AT81" s="1866"/>
      <c r="AU81" s="1866"/>
      <c r="AV81" s="1866"/>
      <c r="AW81" s="1866"/>
      <c r="AX81" s="1866"/>
      <c r="AY81" s="1866"/>
      <c r="AZ81" s="1867"/>
      <c r="BA81" s="1929">
        <v>0.55000000000000004</v>
      </c>
      <c r="BB81" s="1866"/>
      <c r="BC81" s="1866"/>
      <c r="BD81" s="1866"/>
      <c r="BE81" s="1866"/>
      <c r="BF81" s="1866"/>
      <c r="BG81" s="1866"/>
      <c r="BH81" s="1867"/>
      <c r="BI81" s="1929" t="s">
        <v>393</v>
      </c>
      <c r="BJ81" s="1866"/>
      <c r="BK81" s="1866"/>
      <c r="BL81" s="1866"/>
      <c r="BM81" s="1866"/>
      <c r="BN81" s="1866"/>
      <c r="BO81" s="1865">
        <v>20</v>
      </c>
      <c r="BP81" s="1866"/>
      <c r="BQ81" s="1866"/>
      <c r="BR81" s="1866"/>
      <c r="BS81" s="1866"/>
      <c r="BT81" s="1867"/>
      <c r="BU81" s="1924">
        <f t="shared" si="5"/>
        <v>14.26</v>
      </c>
      <c r="BV81" s="1924"/>
      <c r="BW81" s="1924"/>
      <c r="BX81" s="1924"/>
      <c r="BY81" s="1924"/>
      <c r="BZ81" s="1924"/>
      <c r="CA81" s="1924"/>
      <c r="CB81" s="1924"/>
      <c r="CC81" s="1924"/>
      <c r="CD81" s="1924"/>
      <c r="CE81" s="1924"/>
      <c r="CF81" s="1925"/>
      <c r="CJ81" s="400" t="s">
        <v>760</v>
      </c>
      <c r="CK81" s="400" t="s">
        <v>766</v>
      </c>
    </row>
    <row r="82" spans="1:89" s="400" customFormat="1" ht="23.1" customHeight="1">
      <c r="E82" s="1828" t="s">
        <v>391</v>
      </c>
      <c r="F82" s="1829"/>
      <c r="G82" s="1829"/>
      <c r="H82" s="1829"/>
      <c r="I82" s="1829"/>
      <c r="J82" s="1829"/>
      <c r="K82" s="1829"/>
      <c r="L82" s="1829"/>
      <c r="M82" s="1829"/>
      <c r="N82" s="1829"/>
      <c r="O82" s="1829"/>
      <c r="P82" s="1829"/>
      <c r="Q82" s="1830" t="s">
        <v>359</v>
      </c>
      <c r="R82" s="1830"/>
      <c r="S82" s="1830"/>
      <c r="T82" s="1830"/>
      <c r="U82" s="1830"/>
      <c r="V82" s="1830"/>
      <c r="W82" s="1830"/>
      <c r="X82" s="1830"/>
      <c r="Y82" s="1830"/>
      <c r="Z82" s="1830"/>
      <c r="AA82" s="1830"/>
      <c r="AB82" s="1830"/>
      <c r="AC82" s="1829">
        <v>0.4</v>
      </c>
      <c r="AD82" s="1829"/>
      <c r="AE82" s="1829"/>
      <c r="AF82" s="1829"/>
      <c r="AG82" s="1829"/>
      <c r="AH82" s="1829"/>
      <c r="AI82" s="1829"/>
      <c r="AJ82" s="1829"/>
      <c r="AK82" s="1929">
        <v>0.9</v>
      </c>
      <c r="AL82" s="1866"/>
      <c r="AM82" s="1866"/>
      <c r="AN82" s="1866"/>
      <c r="AO82" s="1866"/>
      <c r="AP82" s="1866"/>
      <c r="AQ82" s="1866"/>
      <c r="AR82" s="1867"/>
      <c r="AS82" s="1929">
        <v>0.8</v>
      </c>
      <c r="AT82" s="1866"/>
      <c r="AU82" s="1866"/>
      <c r="AV82" s="1866"/>
      <c r="AW82" s="1866"/>
      <c r="AX82" s="1866"/>
      <c r="AY82" s="1866"/>
      <c r="AZ82" s="1867"/>
      <c r="BA82" s="1929">
        <v>0.55000000000000004</v>
      </c>
      <c r="BB82" s="1866"/>
      <c r="BC82" s="1866"/>
      <c r="BD82" s="1866"/>
      <c r="BE82" s="1866"/>
      <c r="BF82" s="1866"/>
      <c r="BG82" s="1866"/>
      <c r="BH82" s="1867"/>
      <c r="BI82" s="1929" t="s">
        <v>396</v>
      </c>
      <c r="BJ82" s="1866"/>
      <c r="BK82" s="1866"/>
      <c r="BL82" s="1866"/>
      <c r="BM82" s="1866"/>
      <c r="BN82" s="1866"/>
      <c r="BO82" s="1865">
        <v>18</v>
      </c>
      <c r="BP82" s="1866"/>
      <c r="BQ82" s="1866"/>
      <c r="BR82" s="1866"/>
      <c r="BS82" s="1866"/>
      <c r="BT82" s="1867"/>
      <c r="BU82" s="1924">
        <f t="shared" si="5"/>
        <v>31.68</v>
      </c>
      <c r="BV82" s="1924"/>
      <c r="BW82" s="1924"/>
      <c r="BX82" s="1924"/>
      <c r="BY82" s="1924"/>
      <c r="BZ82" s="1924"/>
      <c r="CA82" s="1924"/>
      <c r="CB82" s="1924"/>
      <c r="CC82" s="1924"/>
      <c r="CD82" s="1924"/>
      <c r="CE82" s="1924"/>
      <c r="CF82" s="1925"/>
      <c r="CJ82" s="400" t="s">
        <v>760</v>
      </c>
      <c r="CK82" s="400" t="s">
        <v>766</v>
      </c>
    </row>
    <row r="83" spans="1:89" s="400" customFormat="1" ht="23.1" customHeight="1">
      <c r="A83" s="402"/>
      <c r="B83" s="402"/>
      <c r="C83" s="402"/>
      <c r="D83" s="402"/>
      <c r="E83" s="1828" t="s">
        <v>391</v>
      </c>
      <c r="F83" s="1829"/>
      <c r="G83" s="1829"/>
      <c r="H83" s="1829"/>
      <c r="I83" s="1829"/>
      <c r="J83" s="1829"/>
      <c r="K83" s="1829"/>
      <c r="L83" s="1829"/>
      <c r="M83" s="1829"/>
      <c r="N83" s="1829"/>
      <c r="O83" s="1829"/>
      <c r="P83" s="1829"/>
      <c r="Q83" s="1948" t="s">
        <v>397</v>
      </c>
      <c r="R83" s="1949"/>
      <c r="S83" s="1949"/>
      <c r="T83" s="1949"/>
      <c r="U83" s="1949"/>
      <c r="V83" s="1949"/>
      <c r="W83" s="1949"/>
      <c r="X83" s="1949"/>
      <c r="Y83" s="1949"/>
      <c r="Z83" s="1949"/>
      <c r="AA83" s="1949"/>
      <c r="AB83" s="1950"/>
      <c r="AC83" s="1829">
        <v>0.6</v>
      </c>
      <c r="AD83" s="1829"/>
      <c r="AE83" s="1829"/>
      <c r="AF83" s="1829"/>
      <c r="AG83" s="1829"/>
      <c r="AH83" s="1829"/>
      <c r="AI83" s="1829"/>
      <c r="AJ83" s="1829"/>
      <c r="AK83" s="1929">
        <v>0.9</v>
      </c>
      <c r="AL83" s="1866"/>
      <c r="AM83" s="1866"/>
      <c r="AN83" s="1866"/>
      <c r="AO83" s="1866"/>
      <c r="AP83" s="1866"/>
      <c r="AQ83" s="1866"/>
      <c r="AR83" s="1867"/>
      <c r="AS83" s="1929">
        <v>0.8</v>
      </c>
      <c r="AT83" s="1866"/>
      <c r="AU83" s="1866"/>
      <c r="AV83" s="1866"/>
      <c r="AW83" s="1866"/>
      <c r="AX83" s="1866"/>
      <c r="AY83" s="1866"/>
      <c r="AZ83" s="1867"/>
      <c r="BA83" s="1929">
        <v>0.55000000000000004</v>
      </c>
      <c r="BB83" s="1866"/>
      <c r="BC83" s="1866"/>
      <c r="BD83" s="1866"/>
      <c r="BE83" s="1866"/>
      <c r="BF83" s="1866"/>
      <c r="BG83" s="1866"/>
      <c r="BH83" s="1867"/>
      <c r="BI83" s="1929" t="s">
        <v>398</v>
      </c>
      <c r="BJ83" s="1866"/>
      <c r="BK83" s="1866"/>
      <c r="BL83" s="1866"/>
      <c r="BM83" s="1866"/>
      <c r="BN83" s="1866"/>
      <c r="BO83" s="1865">
        <v>18</v>
      </c>
      <c r="BP83" s="1866"/>
      <c r="BQ83" s="1866"/>
      <c r="BR83" s="1866"/>
      <c r="BS83" s="1866"/>
      <c r="BT83" s="1867"/>
      <c r="BU83" s="1924">
        <f t="shared" si="5"/>
        <v>47.52</v>
      </c>
      <c r="BV83" s="1924"/>
      <c r="BW83" s="1924"/>
      <c r="BX83" s="1924"/>
      <c r="BY83" s="1924"/>
      <c r="BZ83" s="1924"/>
      <c r="CA83" s="1924"/>
      <c r="CB83" s="1924"/>
      <c r="CC83" s="1924"/>
      <c r="CD83" s="1924"/>
      <c r="CE83" s="1924"/>
      <c r="CF83" s="1925"/>
      <c r="CJ83" s="400" t="s">
        <v>760</v>
      </c>
      <c r="CK83" s="400" t="s">
        <v>766</v>
      </c>
    </row>
    <row r="84" spans="1:89" s="400" customFormat="1" ht="23.1" customHeight="1">
      <c r="E84" s="1828" t="s">
        <v>391</v>
      </c>
      <c r="F84" s="1829"/>
      <c r="G84" s="1829"/>
      <c r="H84" s="1829"/>
      <c r="I84" s="1829"/>
      <c r="J84" s="1829"/>
      <c r="K84" s="1829"/>
      <c r="L84" s="1829"/>
      <c r="M84" s="1829"/>
      <c r="N84" s="1829"/>
      <c r="O84" s="1829"/>
      <c r="P84" s="1829"/>
      <c r="Q84" s="1830" t="s">
        <v>399</v>
      </c>
      <c r="R84" s="1830"/>
      <c r="S84" s="1830"/>
      <c r="T84" s="1830"/>
      <c r="U84" s="1830"/>
      <c r="V84" s="1830"/>
      <c r="W84" s="1830"/>
      <c r="X84" s="1830"/>
      <c r="Y84" s="1830"/>
      <c r="Z84" s="1830"/>
      <c r="AA84" s="1830"/>
      <c r="AB84" s="1830"/>
      <c r="AC84" s="1829">
        <v>0.7</v>
      </c>
      <c r="AD84" s="1829"/>
      <c r="AE84" s="1829"/>
      <c r="AF84" s="1829"/>
      <c r="AG84" s="1829"/>
      <c r="AH84" s="1829"/>
      <c r="AI84" s="1829"/>
      <c r="AJ84" s="1829"/>
      <c r="AK84" s="1929">
        <v>0.9</v>
      </c>
      <c r="AL84" s="1866"/>
      <c r="AM84" s="1866"/>
      <c r="AN84" s="1866"/>
      <c r="AO84" s="1866"/>
      <c r="AP84" s="1866"/>
      <c r="AQ84" s="1866"/>
      <c r="AR84" s="1867"/>
      <c r="AS84" s="1929">
        <v>0.8</v>
      </c>
      <c r="AT84" s="1866"/>
      <c r="AU84" s="1866"/>
      <c r="AV84" s="1866"/>
      <c r="AW84" s="1866"/>
      <c r="AX84" s="1866"/>
      <c r="AY84" s="1866"/>
      <c r="AZ84" s="1867"/>
      <c r="BA84" s="1929">
        <v>0.55000000000000004</v>
      </c>
      <c r="BB84" s="1866"/>
      <c r="BC84" s="1866"/>
      <c r="BD84" s="1866"/>
      <c r="BE84" s="1866"/>
      <c r="BF84" s="1866"/>
      <c r="BG84" s="1866"/>
      <c r="BH84" s="1867"/>
      <c r="BI84" s="1929" t="s">
        <v>398</v>
      </c>
      <c r="BJ84" s="1866"/>
      <c r="BK84" s="1866"/>
      <c r="BL84" s="1866"/>
      <c r="BM84" s="1866"/>
      <c r="BN84" s="1866"/>
      <c r="BO84" s="1865">
        <v>18</v>
      </c>
      <c r="BP84" s="1866"/>
      <c r="BQ84" s="1866"/>
      <c r="BR84" s="1866"/>
      <c r="BS84" s="1866"/>
      <c r="BT84" s="1867"/>
      <c r="BU84" s="1924">
        <f t="shared" si="5"/>
        <v>55.44</v>
      </c>
      <c r="BV84" s="1924"/>
      <c r="BW84" s="1924"/>
      <c r="BX84" s="1924"/>
      <c r="BY84" s="1924"/>
      <c r="BZ84" s="1924"/>
      <c r="CA84" s="1924"/>
      <c r="CB84" s="1924"/>
      <c r="CC84" s="1924"/>
      <c r="CD84" s="1924"/>
      <c r="CE84" s="1924"/>
      <c r="CF84" s="1925"/>
      <c r="CJ84" s="400" t="s">
        <v>760</v>
      </c>
      <c r="CK84" s="400" t="s">
        <v>766</v>
      </c>
    </row>
    <row r="85" spans="1:89" s="400" customFormat="1" ht="23.1" customHeight="1">
      <c r="E85" s="1828" t="s">
        <v>391</v>
      </c>
      <c r="F85" s="1829"/>
      <c r="G85" s="1829"/>
      <c r="H85" s="1829"/>
      <c r="I85" s="1829"/>
      <c r="J85" s="1829"/>
      <c r="K85" s="1829"/>
      <c r="L85" s="1829"/>
      <c r="M85" s="1829"/>
      <c r="N85" s="1829"/>
      <c r="O85" s="1829"/>
      <c r="P85" s="1829"/>
      <c r="Q85" s="1830" t="s">
        <v>400</v>
      </c>
      <c r="R85" s="1830"/>
      <c r="S85" s="1830"/>
      <c r="T85" s="1830"/>
      <c r="U85" s="1830"/>
      <c r="V85" s="1830"/>
      <c r="W85" s="1830"/>
      <c r="X85" s="1830"/>
      <c r="Y85" s="1830"/>
      <c r="Z85" s="1830"/>
      <c r="AA85" s="1830"/>
      <c r="AB85" s="1830"/>
      <c r="AC85" s="1829">
        <v>0.8</v>
      </c>
      <c r="AD85" s="1829"/>
      <c r="AE85" s="1829"/>
      <c r="AF85" s="1829"/>
      <c r="AG85" s="1829"/>
      <c r="AH85" s="1829"/>
      <c r="AI85" s="1829"/>
      <c r="AJ85" s="1829"/>
      <c r="AK85" s="1929">
        <v>0.9</v>
      </c>
      <c r="AL85" s="1866"/>
      <c r="AM85" s="1866"/>
      <c r="AN85" s="1866"/>
      <c r="AO85" s="1866"/>
      <c r="AP85" s="1866"/>
      <c r="AQ85" s="1866"/>
      <c r="AR85" s="1867"/>
      <c r="AS85" s="1929">
        <v>0.8</v>
      </c>
      <c r="AT85" s="1866"/>
      <c r="AU85" s="1866"/>
      <c r="AV85" s="1866"/>
      <c r="AW85" s="1866"/>
      <c r="AX85" s="1866"/>
      <c r="AY85" s="1866"/>
      <c r="AZ85" s="1867"/>
      <c r="BA85" s="1929">
        <v>0.55000000000000004</v>
      </c>
      <c r="BB85" s="1866"/>
      <c r="BC85" s="1866"/>
      <c r="BD85" s="1866"/>
      <c r="BE85" s="1866"/>
      <c r="BF85" s="1866"/>
      <c r="BG85" s="1866"/>
      <c r="BH85" s="1867"/>
      <c r="BI85" s="1929" t="s">
        <v>398</v>
      </c>
      <c r="BJ85" s="1866"/>
      <c r="BK85" s="1866"/>
      <c r="BL85" s="1866"/>
      <c r="BM85" s="1866"/>
      <c r="BN85" s="1866"/>
      <c r="BO85" s="1865">
        <v>18</v>
      </c>
      <c r="BP85" s="1866"/>
      <c r="BQ85" s="1866"/>
      <c r="BR85" s="1866"/>
      <c r="BS85" s="1866"/>
      <c r="BT85" s="1867"/>
      <c r="BU85" s="1924">
        <f t="shared" si="5"/>
        <v>63.36</v>
      </c>
      <c r="BV85" s="1924"/>
      <c r="BW85" s="1924"/>
      <c r="BX85" s="1924"/>
      <c r="BY85" s="1924"/>
      <c r="BZ85" s="1924"/>
      <c r="CA85" s="1924"/>
      <c r="CB85" s="1924"/>
      <c r="CC85" s="1924"/>
      <c r="CD85" s="1924"/>
      <c r="CE85" s="1924"/>
      <c r="CF85" s="1925"/>
      <c r="CJ85" s="400" t="s">
        <v>760</v>
      </c>
      <c r="CK85" s="400" t="s">
        <v>766</v>
      </c>
    </row>
    <row r="86" spans="1:89" s="400" customFormat="1" ht="23.1" customHeight="1" thickBot="1">
      <c r="A86" s="402"/>
      <c r="B86" s="402"/>
      <c r="C86" s="402"/>
      <c r="D86" s="402"/>
      <c r="E86" s="1822" t="s">
        <v>391</v>
      </c>
      <c r="F86" s="1816"/>
      <c r="G86" s="1816"/>
      <c r="H86" s="1816"/>
      <c r="I86" s="1816"/>
      <c r="J86" s="1816"/>
      <c r="K86" s="1816"/>
      <c r="L86" s="1816"/>
      <c r="M86" s="1816"/>
      <c r="N86" s="1816"/>
      <c r="O86" s="1816"/>
      <c r="P86" s="1819"/>
      <c r="Q86" s="1823" t="s">
        <v>401</v>
      </c>
      <c r="R86" s="1823"/>
      <c r="S86" s="1823"/>
      <c r="T86" s="1823"/>
      <c r="U86" s="1823"/>
      <c r="V86" s="1823"/>
      <c r="W86" s="1823"/>
      <c r="X86" s="1823"/>
      <c r="Y86" s="1823"/>
      <c r="Z86" s="1823"/>
      <c r="AA86" s="1823"/>
      <c r="AB86" s="1823"/>
      <c r="AC86" s="1856">
        <v>1</v>
      </c>
      <c r="AD86" s="1856"/>
      <c r="AE86" s="1856"/>
      <c r="AF86" s="1856"/>
      <c r="AG86" s="1856"/>
      <c r="AH86" s="1856"/>
      <c r="AI86" s="1856"/>
      <c r="AJ86" s="1856"/>
      <c r="AK86" s="1855">
        <v>0.9</v>
      </c>
      <c r="AL86" s="1855"/>
      <c r="AM86" s="1855"/>
      <c r="AN86" s="1855"/>
      <c r="AO86" s="1855"/>
      <c r="AP86" s="1855"/>
      <c r="AQ86" s="1855"/>
      <c r="AR86" s="1855"/>
      <c r="AS86" s="1855">
        <v>0.8</v>
      </c>
      <c r="AT86" s="1855"/>
      <c r="AU86" s="1855"/>
      <c r="AV86" s="1855"/>
      <c r="AW86" s="1855"/>
      <c r="AX86" s="1855"/>
      <c r="AY86" s="1855"/>
      <c r="AZ86" s="1855"/>
      <c r="BA86" s="1855">
        <v>0.55000000000000004</v>
      </c>
      <c r="BB86" s="1855"/>
      <c r="BC86" s="1855"/>
      <c r="BD86" s="1855"/>
      <c r="BE86" s="1855"/>
      <c r="BF86" s="1855"/>
      <c r="BG86" s="1855"/>
      <c r="BH86" s="1855"/>
      <c r="BI86" s="1815" t="s">
        <v>398</v>
      </c>
      <c r="BJ86" s="1816"/>
      <c r="BK86" s="1816"/>
      <c r="BL86" s="1816"/>
      <c r="BM86" s="1816"/>
      <c r="BN86" s="1816"/>
      <c r="BO86" s="1818">
        <v>19</v>
      </c>
      <c r="BP86" s="1816"/>
      <c r="BQ86" s="1816"/>
      <c r="BR86" s="1816"/>
      <c r="BS86" s="1816"/>
      <c r="BT86" s="1819"/>
      <c r="BU86" s="1825">
        <f t="shared" si="5"/>
        <v>75.03</v>
      </c>
      <c r="BV86" s="1825"/>
      <c r="BW86" s="1825"/>
      <c r="BX86" s="1825"/>
      <c r="BY86" s="1825"/>
      <c r="BZ86" s="1825"/>
      <c r="CA86" s="1825"/>
      <c r="CB86" s="1825"/>
      <c r="CC86" s="1825"/>
      <c r="CD86" s="1825"/>
      <c r="CE86" s="1825"/>
      <c r="CF86" s="1826"/>
      <c r="CJ86" s="400" t="s">
        <v>760</v>
      </c>
      <c r="CK86" s="400" t="s">
        <v>766</v>
      </c>
    </row>
    <row r="87" spans="1:89" s="400" customFormat="1" ht="36" customHeight="1">
      <c r="D87" s="405"/>
      <c r="E87" s="1965" t="s">
        <v>765</v>
      </c>
      <c r="F87" s="1966"/>
      <c r="G87" s="1966"/>
      <c r="H87" s="1966"/>
      <c r="I87" s="1966"/>
      <c r="J87" s="1966"/>
      <c r="K87" s="1966"/>
      <c r="L87" s="1966"/>
      <c r="M87" s="1966"/>
      <c r="N87" s="1966"/>
      <c r="O87" s="1966"/>
      <c r="P87" s="1966"/>
      <c r="Q87" s="1966"/>
      <c r="R87" s="1966"/>
      <c r="S87" s="1966"/>
      <c r="T87" s="1966"/>
      <c r="U87" s="1966"/>
      <c r="V87" s="1966"/>
      <c r="W87" s="1966"/>
      <c r="X87" s="1966"/>
      <c r="Y87" s="1966"/>
      <c r="Z87" s="1966"/>
      <c r="AA87" s="1966"/>
      <c r="AB87" s="1966"/>
      <c r="AC87" s="1966"/>
      <c r="AD87" s="1966"/>
      <c r="AE87" s="1966"/>
      <c r="AF87" s="1966"/>
      <c r="AG87" s="1966"/>
      <c r="AH87" s="1966"/>
      <c r="AI87" s="1966"/>
      <c r="AJ87" s="1966"/>
      <c r="AK87" s="1966"/>
      <c r="AL87" s="1966"/>
      <c r="AM87" s="1966"/>
      <c r="AN87" s="1966"/>
      <c r="AO87" s="1966"/>
      <c r="AP87" s="1966"/>
      <c r="AQ87" s="1966"/>
      <c r="AR87" s="1966"/>
      <c r="AS87" s="1966"/>
      <c r="AT87" s="1966"/>
      <c r="AU87" s="1966"/>
      <c r="AV87" s="1966"/>
      <c r="AW87" s="1966"/>
      <c r="AX87" s="1966"/>
      <c r="AY87" s="1966"/>
      <c r="AZ87" s="1966"/>
      <c r="BA87" s="1966"/>
      <c r="BB87" s="1966"/>
      <c r="BC87" s="1966"/>
      <c r="BD87" s="1966"/>
      <c r="BE87" s="1966"/>
      <c r="BF87" s="1966"/>
      <c r="BG87" s="1966"/>
      <c r="BH87" s="1966"/>
      <c r="BI87" s="1966"/>
      <c r="BJ87" s="1966"/>
      <c r="BK87" s="1966"/>
      <c r="BL87" s="1966"/>
      <c r="BM87" s="1966"/>
      <c r="BN87" s="1966"/>
      <c r="BO87" s="1966"/>
      <c r="BP87" s="1966"/>
      <c r="BQ87" s="1966"/>
      <c r="BR87" s="1966"/>
      <c r="BS87" s="1966"/>
      <c r="BT87" s="1966"/>
      <c r="BU87" s="1966"/>
      <c r="BV87" s="1966"/>
      <c r="BW87" s="1966"/>
      <c r="BX87" s="1966"/>
      <c r="BY87" s="1966"/>
      <c r="BZ87" s="1966"/>
      <c r="CA87" s="1966"/>
      <c r="CB87" s="1966"/>
      <c r="CC87" s="1966"/>
      <c r="CD87" s="1966"/>
      <c r="CE87" s="1966"/>
      <c r="CF87" s="1966"/>
    </row>
    <row r="88" spans="1:89" s="400" customFormat="1" ht="23.1" customHeight="1">
      <c r="E88" s="400" t="s">
        <v>402</v>
      </c>
    </row>
    <row r="89" spans="1:89" s="400" customFormat="1" ht="9.9499999999999993" customHeight="1" thickBot="1"/>
    <row r="90" spans="1:89" s="400" customFormat="1" ht="23.1" customHeight="1">
      <c r="E90" s="1831" t="s">
        <v>385</v>
      </c>
      <c r="F90" s="1800"/>
      <c r="G90" s="1800"/>
      <c r="H90" s="1800"/>
      <c r="I90" s="1800"/>
      <c r="J90" s="1800"/>
      <c r="K90" s="1800"/>
      <c r="L90" s="1800"/>
      <c r="M90" s="1800"/>
      <c r="N90" s="1800"/>
      <c r="O90" s="1800"/>
      <c r="P90" s="1800"/>
      <c r="Q90" s="1800"/>
      <c r="R90" s="1800"/>
      <c r="S90" s="1800"/>
      <c r="T90" s="1800"/>
      <c r="U90" s="1800" t="s">
        <v>212</v>
      </c>
      <c r="V90" s="1800"/>
      <c r="W90" s="1800"/>
      <c r="X90" s="1800"/>
      <c r="Y90" s="1800"/>
      <c r="Z90" s="1800"/>
      <c r="AA90" s="1800"/>
      <c r="AB90" s="1800"/>
      <c r="AC90" s="1800" t="s">
        <v>403</v>
      </c>
      <c r="AD90" s="1800"/>
      <c r="AE90" s="1800"/>
      <c r="AF90" s="1800"/>
      <c r="AG90" s="1800"/>
      <c r="AH90" s="1800"/>
      <c r="AI90" s="1800"/>
      <c r="AJ90" s="1800"/>
      <c r="AK90" s="1800"/>
      <c r="AL90" s="1800"/>
      <c r="AM90" s="1800"/>
      <c r="AN90" s="1800"/>
      <c r="AO90" s="1800"/>
      <c r="AP90" s="1800"/>
      <c r="AQ90" s="1800"/>
      <c r="AR90" s="1800"/>
      <c r="AS90" s="1800"/>
      <c r="AT90" s="1800"/>
      <c r="AU90" s="1800"/>
      <c r="AV90" s="1800"/>
      <c r="AW90" s="1800"/>
      <c r="AX90" s="1800"/>
      <c r="AY90" s="1800"/>
      <c r="AZ90" s="1800"/>
      <c r="BA90" s="1833" t="s">
        <v>404</v>
      </c>
      <c r="BB90" s="1800"/>
      <c r="BC90" s="1800"/>
      <c r="BD90" s="1800"/>
      <c r="BE90" s="1800"/>
      <c r="BF90" s="1800"/>
      <c r="BG90" s="1800"/>
      <c r="BH90" s="1800"/>
      <c r="BI90" s="1800" t="s">
        <v>405</v>
      </c>
      <c r="BJ90" s="1800"/>
      <c r="BK90" s="1800"/>
      <c r="BL90" s="1800"/>
      <c r="BM90" s="1800"/>
      <c r="BN90" s="1800"/>
      <c r="BO90" s="1800"/>
      <c r="BP90" s="1800"/>
      <c r="BQ90" s="1800"/>
      <c r="BR90" s="1800"/>
      <c r="BS90" s="1800"/>
      <c r="BT90" s="1800"/>
      <c r="BU90" s="1800"/>
      <c r="BV90" s="1800"/>
      <c r="BW90" s="1800"/>
      <c r="BX90" s="1800"/>
      <c r="BY90" s="1800"/>
      <c r="BZ90" s="1800"/>
      <c r="CA90" s="1800"/>
      <c r="CB90" s="1800"/>
      <c r="CC90" s="1800"/>
      <c r="CD90" s="1800"/>
      <c r="CE90" s="1800"/>
      <c r="CF90" s="1801"/>
    </row>
    <row r="91" spans="1:89" s="400" customFormat="1" ht="23.1" customHeight="1" thickBot="1">
      <c r="A91" s="402"/>
      <c r="B91" s="402"/>
      <c r="C91" s="402"/>
      <c r="D91" s="402"/>
      <c r="E91" s="1832"/>
      <c r="F91" s="1786"/>
      <c r="G91" s="1786"/>
      <c r="H91" s="1786"/>
      <c r="I91" s="1786"/>
      <c r="J91" s="1786"/>
      <c r="K91" s="1786"/>
      <c r="L91" s="1786"/>
      <c r="M91" s="1786"/>
      <c r="N91" s="1786"/>
      <c r="O91" s="1786"/>
      <c r="P91" s="1786"/>
      <c r="Q91" s="1786"/>
      <c r="R91" s="1786"/>
      <c r="S91" s="1786"/>
      <c r="T91" s="1786"/>
      <c r="U91" s="1786"/>
      <c r="V91" s="1786"/>
      <c r="W91" s="1786"/>
      <c r="X91" s="1786"/>
      <c r="Y91" s="1786"/>
      <c r="Z91" s="1786"/>
      <c r="AA91" s="1786"/>
      <c r="AB91" s="1786"/>
      <c r="AC91" s="1786" t="s">
        <v>406</v>
      </c>
      <c r="AD91" s="1786"/>
      <c r="AE91" s="1786"/>
      <c r="AF91" s="1786"/>
      <c r="AG91" s="1786"/>
      <c r="AH91" s="1786"/>
      <c r="AI91" s="1786"/>
      <c r="AJ91" s="1786"/>
      <c r="AK91" s="1786" t="s">
        <v>407</v>
      </c>
      <c r="AL91" s="1786"/>
      <c r="AM91" s="1786"/>
      <c r="AN91" s="1786"/>
      <c r="AO91" s="1786"/>
      <c r="AP91" s="1786"/>
      <c r="AQ91" s="1786"/>
      <c r="AR91" s="1786"/>
      <c r="AS91" s="1786" t="s">
        <v>408</v>
      </c>
      <c r="AT91" s="1786"/>
      <c r="AU91" s="1786"/>
      <c r="AV91" s="1786"/>
      <c r="AW91" s="1786"/>
      <c r="AX91" s="1786"/>
      <c r="AY91" s="1786"/>
      <c r="AZ91" s="1786"/>
      <c r="BA91" s="1786"/>
      <c r="BB91" s="1786"/>
      <c r="BC91" s="1786"/>
      <c r="BD91" s="1786"/>
      <c r="BE91" s="1786"/>
      <c r="BF91" s="1786"/>
      <c r="BG91" s="1786"/>
      <c r="BH91" s="1786"/>
      <c r="BI91" s="1786" t="s">
        <v>406</v>
      </c>
      <c r="BJ91" s="1786"/>
      <c r="BK91" s="1786"/>
      <c r="BL91" s="1786"/>
      <c r="BM91" s="1786"/>
      <c r="BN91" s="1786"/>
      <c r="BO91" s="1786"/>
      <c r="BP91" s="1786"/>
      <c r="BQ91" s="1786" t="s">
        <v>407</v>
      </c>
      <c r="BR91" s="1786"/>
      <c r="BS91" s="1786"/>
      <c r="BT91" s="1786"/>
      <c r="BU91" s="1786"/>
      <c r="BV91" s="1786"/>
      <c r="BW91" s="1786"/>
      <c r="BX91" s="1786"/>
      <c r="BY91" s="1786" t="s">
        <v>408</v>
      </c>
      <c r="BZ91" s="1786"/>
      <c r="CA91" s="1786"/>
      <c r="CB91" s="1786"/>
      <c r="CC91" s="1786"/>
      <c r="CD91" s="1786"/>
      <c r="CE91" s="1786"/>
      <c r="CF91" s="1787"/>
    </row>
    <row r="92" spans="1:89" s="400" customFormat="1" ht="23.1" customHeight="1" thickTop="1">
      <c r="E92" s="1820" t="s">
        <v>277</v>
      </c>
      <c r="F92" s="1821"/>
      <c r="G92" s="1821"/>
      <c r="H92" s="1821"/>
      <c r="I92" s="1821"/>
      <c r="J92" s="1821"/>
      <c r="K92" s="1821"/>
      <c r="L92" s="1821"/>
      <c r="M92" s="1821"/>
      <c r="N92" s="1821"/>
      <c r="O92" s="1821"/>
      <c r="P92" s="1821"/>
      <c r="Q92" s="1821"/>
      <c r="R92" s="1821"/>
      <c r="S92" s="1821"/>
      <c r="T92" s="1821"/>
      <c r="U92" s="1821" t="s">
        <v>392</v>
      </c>
      <c r="V92" s="1821"/>
      <c r="W92" s="1821"/>
      <c r="X92" s="1821"/>
      <c r="Y92" s="1821"/>
      <c r="Z92" s="1821"/>
      <c r="AA92" s="1821"/>
      <c r="AB92" s="1821"/>
      <c r="AC92" s="1785" t="e">
        <f>#REF!</f>
        <v>#REF!</v>
      </c>
      <c r="AD92" s="1785"/>
      <c r="AE92" s="1785"/>
      <c r="AF92" s="1785"/>
      <c r="AG92" s="1785"/>
      <c r="AH92" s="1785"/>
      <c r="AI92" s="1785"/>
      <c r="AJ92" s="1785"/>
      <c r="AK92" s="1785" t="e">
        <f>#REF!</f>
        <v>#REF!</v>
      </c>
      <c r="AL92" s="1785"/>
      <c r="AM92" s="1785"/>
      <c r="AN92" s="1785"/>
      <c r="AO92" s="1785"/>
      <c r="AP92" s="1785"/>
      <c r="AQ92" s="1785"/>
      <c r="AR92" s="1785"/>
      <c r="AS92" s="1785" t="e">
        <f>#REF!</f>
        <v>#REF!</v>
      </c>
      <c r="AT92" s="1785"/>
      <c r="AU92" s="1785"/>
      <c r="AV92" s="1785"/>
      <c r="AW92" s="1785"/>
      <c r="AX92" s="1785"/>
      <c r="AY92" s="1785"/>
      <c r="AZ92" s="1785"/>
      <c r="BA92" s="1963">
        <f>BU79</f>
        <v>8.5500000000000007</v>
      </c>
      <c r="BB92" s="1963"/>
      <c r="BC92" s="1963"/>
      <c r="BD92" s="1963"/>
      <c r="BE92" s="1963"/>
      <c r="BF92" s="1963"/>
      <c r="BG92" s="1963"/>
      <c r="BH92" s="1963"/>
      <c r="BI92" s="1812" t="e">
        <f t="shared" ref="BI92:BI100" si="6">INT(AC92/$BA92)</f>
        <v>#REF!</v>
      </c>
      <c r="BJ92" s="1812"/>
      <c r="BK92" s="1812"/>
      <c r="BL92" s="1812"/>
      <c r="BM92" s="1812"/>
      <c r="BN92" s="1812"/>
      <c r="BO92" s="1812"/>
      <c r="BP92" s="1812"/>
      <c r="BQ92" s="1812" t="e">
        <f t="shared" ref="BQ92:BQ100" si="7">INT(AK92/$BA92)</f>
        <v>#REF!</v>
      </c>
      <c r="BR92" s="1812"/>
      <c r="BS92" s="1812"/>
      <c r="BT92" s="1812"/>
      <c r="BU92" s="1812"/>
      <c r="BV92" s="1812"/>
      <c r="BW92" s="1812"/>
      <c r="BX92" s="1812"/>
      <c r="BY92" s="1812" t="e">
        <f t="shared" ref="BY92:BY100" si="8">INT(AS92/$BA92)</f>
        <v>#REF!</v>
      </c>
      <c r="BZ92" s="1812"/>
      <c r="CA92" s="1812"/>
      <c r="CB92" s="1812"/>
      <c r="CC92" s="1812"/>
      <c r="CD92" s="1812"/>
      <c r="CE92" s="1812"/>
      <c r="CF92" s="1813"/>
    </row>
    <row r="93" spans="1:89" s="400" customFormat="1" ht="23.1" customHeight="1">
      <c r="E93" s="1806" t="s">
        <v>277</v>
      </c>
      <c r="F93" s="1807"/>
      <c r="G93" s="1807"/>
      <c r="H93" s="1807"/>
      <c r="I93" s="1807"/>
      <c r="J93" s="1807"/>
      <c r="K93" s="1807"/>
      <c r="L93" s="1807"/>
      <c r="M93" s="1807"/>
      <c r="N93" s="1807"/>
      <c r="O93" s="1807"/>
      <c r="P93" s="1807"/>
      <c r="Q93" s="1807"/>
      <c r="R93" s="1807"/>
      <c r="S93" s="1807"/>
      <c r="T93" s="1807"/>
      <c r="U93" s="1807" t="s">
        <v>395</v>
      </c>
      <c r="V93" s="1807"/>
      <c r="W93" s="1807"/>
      <c r="X93" s="1807"/>
      <c r="Y93" s="1807"/>
      <c r="Z93" s="1807"/>
      <c r="AA93" s="1807"/>
      <c r="AB93" s="1807"/>
      <c r="AC93" s="1814" t="e">
        <f>#REF!</f>
        <v>#REF!</v>
      </c>
      <c r="AD93" s="1814"/>
      <c r="AE93" s="1814"/>
      <c r="AF93" s="1814"/>
      <c r="AG93" s="1814"/>
      <c r="AH93" s="1814"/>
      <c r="AI93" s="1814"/>
      <c r="AJ93" s="1814"/>
      <c r="AK93" s="1814" t="e">
        <f>#REF!</f>
        <v>#REF!</v>
      </c>
      <c r="AL93" s="1814"/>
      <c r="AM93" s="1814"/>
      <c r="AN93" s="1814"/>
      <c r="AO93" s="1814"/>
      <c r="AP93" s="1814"/>
      <c r="AQ93" s="1814"/>
      <c r="AR93" s="1814"/>
      <c r="AS93" s="1814" t="e">
        <f>#REF!</f>
        <v>#REF!</v>
      </c>
      <c r="AT93" s="1814"/>
      <c r="AU93" s="1814"/>
      <c r="AV93" s="1814"/>
      <c r="AW93" s="1814"/>
      <c r="AX93" s="1814"/>
      <c r="AY93" s="1814"/>
      <c r="AZ93" s="1814"/>
      <c r="BA93" s="1797">
        <f t="shared" ref="BA93:BA98" si="9">BU81</f>
        <v>14.26</v>
      </c>
      <c r="BB93" s="1797"/>
      <c r="BC93" s="1797"/>
      <c r="BD93" s="1797"/>
      <c r="BE93" s="1797"/>
      <c r="BF93" s="1797"/>
      <c r="BG93" s="1797"/>
      <c r="BH93" s="1797"/>
      <c r="BI93" s="1785" t="e">
        <f t="shared" si="6"/>
        <v>#REF!</v>
      </c>
      <c r="BJ93" s="1785"/>
      <c r="BK93" s="1785"/>
      <c r="BL93" s="1785"/>
      <c r="BM93" s="1785"/>
      <c r="BN93" s="1785"/>
      <c r="BO93" s="1785"/>
      <c r="BP93" s="1785"/>
      <c r="BQ93" s="1785" t="e">
        <f t="shared" si="7"/>
        <v>#REF!</v>
      </c>
      <c r="BR93" s="1785"/>
      <c r="BS93" s="1785"/>
      <c r="BT93" s="1785"/>
      <c r="BU93" s="1785"/>
      <c r="BV93" s="1785"/>
      <c r="BW93" s="1785"/>
      <c r="BX93" s="1785"/>
      <c r="BY93" s="1785" t="e">
        <f t="shared" si="8"/>
        <v>#REF!</v>
      </c>
      <c r="BZ93" s="1785"/>
      <c r="CA93" s="1785"/>
      <c r="CB93" s="1785"/>
      <c r="CC93" s="1785"/>
      <c r="CD93" s="1785"/>
      <c r="CE93" s="1785"/>
      <c r="CF93" s="1793"/>
    </row>
    <row r="94" spans="1:89" s="400" customFormat="1" ht="23.1" customHeight="1">
      <c r="E94" s="1806" t="s">
        <v>277</v>
      </c>
      <c r="F94" s="1807"/>
      <c r="G94" s="1807"/>
      <c r="H94" s="1807"/>
      <c r="I94" s="1807"/>
      <c r="J94" s="1807"/>
      <c r="K94" s="1807"/>
      <c r="L94" s="1807"/>
      <c r="M94" s="1807"/>
      <c r="N94" s="1807"/>
      <c r="O94" s="1807"/>
      <c r="P94" s="1807"/>
      <c r="Q94" s="1807"/>
      <c r="R94" s="1807"/>
      <c r="S94" s="1807"/>
      <c r="T94" s="1807"/>
      <c r="U94" s="1807" t="s">
        <v>359</v>
      </c>
      <c r="V94" s="1807"/>
      <c r="W94" s="1807"/>
      <c r="X94" s="1807"/>
      <c r="Y94" s="1807"/>
      <c r="Z94" s="1807"/>
      <c r="AA94" s="1807"/>
      <c r="AB94" s="1807"/>
      <c r="AC94" s="1803" t="e">
        <f>#REF!</f>
        <v>#REF!</v>
      </c>
      <c r="AD94" s="1804"/>
      <c r="AE94" s="1804"/>
      <c r="AF94" s="1804"/>
      <c r="AG94" s="1804"/>
      <c r="AH94" s="1804"/>
      <c r="AI94" s="1804"/>
      <c r="AJ94" s="1805"/>
      <c r="AK94" s="1803" t="e">
        <f>#REF!</f>
        <v>#REF!</v>
      </c>
      <c r="AL94" s="1804"/>
      <c r="AM94" s="1804"/>
      <c r="AN94" s="1804"/>
      <c r="AO94" s="1804"/>
      <c r="AP94" s="1804"/>
      <c r="AQ94" s="1804"/>
      <c r="AR94" s="1805"/>
      <c r="AS94" s="1803" t="e">
        <f>#REF!</f>
        <v>#REF!</v>
      </c>
      <c r="AT94" s="1804"/>
      <c r="AU94" s="1804"/>
      <c r="AV94" s="1804"/>
      <c r="AW94" s="1804"/>
      <c r="AX94" s="1804"/>
      <c r="AY94" s="1804"/>
      <c r="AZ94" s="1805"/>
      <c r="BA94" s="1797">
        <f t="shared" si="9"/>
        <v>31.68</v>
      </c>
      <c r="BB94" s="1797"/>
      <c r="BC94" s="1797"/>
      <c r="BD94" s="1797"/>
      <c r="BE94" s="1797"/>
      <c r="BF94" s="1797"/>
      <c r="BG94" s="1797"/>
      <c r="BH94" s="1797"/>
      <c r="BI94" s="1785" t="e">
        <f t="shared" si="6"/>
        <v>#REF!</v>
      </c>
      <c r="BJ94" s="1785"/>
      <c r="BK94" s="1785"/>
      <c r="BL94" s="1785"/>
      <c r="BM94" s="1785"/>
      <c r="BN94" s="1785"/>
      <c r="BO94" s="1785"/>
      <c r="BP94" s="1785"/>
      <c r="BQ94" s="1785" t="e">
        <f t="shared" si="7"/>
        <v>#REF!</v>
      </c>
      <c r="BR94" s="1785"/>
      <c r="BS94" s="1785"/>
      <c r="BT94" s="1785"/>
      <c r="BU94" s="1785"/>
      <c r="BV94" s="1785"/>
      <c r="BW94" s="1785"/>
      <c r="BX94" s="1785"/>
      <c r="BY94" s="1785" t="e">
        <f t="shared" si="8"/>
        <v>#REF!</v>
      </c>
      <c r="BZ94" s="1785"/>
      <c r="CA94" s="1785"/>
      <c r="CB94" s="1785"/>
      <c r="CC94" s="1785"/>
      <c r="CD94" s="1785"/>
      <c r="CE94" s="1785"/>
      <c r="CF94" s="1793"/>
    </row>
    <row r="95" spans="1:89" s="400" customFormat="1" ht="23.1" customHeight="1">
      <c r="E95" s="1806" t="s">
        <v>277</v>
      </c>
      <c r="F95" s="1807"/>
      <c r="G95" s="1807"/>
      <c r="H95" s="1807"/>
      <c r="I95" s="1807"/>
      <c r="J95" s="1807"/>
      <c r="K95" s="1807"/>
      <c r="L95" s="1807"/>
      <c r="M95" s="1807"/>
      <c r="N95" s="1807"/>
      <c r="O95" s="1807"/>
      <c r="P95" s="1807"/>
      <c r="Q95" s="1807"/>
      <c r="R95" s="1807"/>
      <c r="S95" s="1807"/>
      <c r="T95" s="1807"/>
      <c r="U95" s="1807" t="s">
        <v>397</v>
      </c>
      <c r="V95" s="1807"/>
      <c r="W95" s="1807"/>
      <c r="X95" s="1807"/>
      <c r="Y95" s="1807"/>
      <c r="Z95" s="1807"/>
      <c r="AA95" s="1807"/>
      <c r="AB95" s="1807"/>
      <c r="AC95" s="1803" t="e">
        <f>#REF!</f>
        <v>#REF!</v>
      </c>
      <c r="AD95" s="1804"/>
      <c r="AE95" s="1804"/>
      <c r="AF95" s="1804"/>
      <c r="AG95" s="1804"/>
      <c r="AH95" s="1804"/>
      <c r="AI95" s="1804"/>
      <c r="AJ95" s="1805"/>
      <c r="AK95" s="1803" t="e">
        <f>#REF!</f>
        <v>#REF!</v>
      </c>
      <c r="AL95" s="1804"/>
      <c r="AM95" s="1804"/>
      <c r="AN95" s="1804"/>
      <c r="AO95" s="1804"/>
      <c r="AP95" s="1804"/>
      <c r="AQ95" s="1804"/>
      <c r="AR95" s="1805"/>
      <c r="AS95" s="1803" t="e">
        <f>#REF!</f>
        <v>#REF!</v>
      </c>
      <c r="AT95" s="1804"/>
      <c r="AU95" s="1804"/>
      <c r="AV95" s="1804"/>
      <c r="AW95" s="1804"/>
      <c r="AX95" s="1804"/>
      <c r="AY95" s="1804"/>
      <c r="AZ95" s="1805"/>
      <c r="BA95" s="1797">
        <f t="shared" si="9"/>
        <v>47.52</v>
      </c>
      <c r="BB95" s="1797"/>
      <c r="BC95" s="1797"/>
      <c r="BD95" s="1797"/>
      <c r="BE95" s="1797"/>
      <c r="BF95" s="1797"/>
      <c r="BG95" s="1797"/>
      <c r="BH95" s="1797"/>
      <c r="BI95" s="1785" t="e">
        <f t="shared" si="6"/>
        <v>#REF!</v>
      </c>
      <c r="BJ95" s="1785"/>
      <c r="BK95" s="1785"/>
      <c r="BL95" s="1785"/>
      <c r="BM95" s="1785"/>
      <c r="BN95" s="1785"/>
      <c r="BO95" s="1785"/>
      <c r="BP95" s="1785"/>
      <c r="BQ95" s="1785" t="e">
        <f t="shared" si="7"/>
        <v>#REF!</v>
      </c>
      <c r="BR95" s="1785"/>
      <c r="BS95" s="1785"/>
      <c r="BT95" s="1785"/>
      <c r="BU95" s="1785"/>
      <c r="BV95" s="1785"/>
      <c r="BW95" s="1785"/>
      <c r="BX95" s="1785"/>
      <c r="BY95" s="1785" t="e">
        <f t="shared" si="8"/>
        <v>#REF!</v>
      </c>
      <c r="BZ95" s="1785"/>
      <c r="CA95" s="1785"/>
      <c r="CB95" s="1785"/>
      <c r="CC95" s="1785"/>
      <c r="CD95" s="1785"/>
      <c r="CE95" s="1785"/>
      <c r="CF95" s="1793"/>
    </row>
    <row r="96" spans="1:89" s="400" customFormat="1" ht="23.1" customHeight="1">
      <c r="D96" s="403"/>
      <c r="E96" s="1806" t="s">
        <v>277</v>
      </c>
      <c r="F96" s="1807"/>
      <c r="G96" s="1807"/>
      <c r="H96" s="1807"/>
      <c r="I96" s="1807"/>
      <c r="J96" s="1807"/>
      <c r="K96" s="1807"/>
      <c r="L96" s="1807"/>
      <c r="M96" s="1807"/>
      <c r="N96" s="1807"/>
      <c r="O96" s="1807"/>
      <c r="P96" s="1807"/>
      <c r="Q96" s="1807"/>
      <c r="R96" s="1807"/>
      <c r="S96" s="1807"/>
      <c r="T96" s="1807"/>
      <c r="U96" s="1807" t="s">
        <v>399</v>
      </c>
      <c r="V96" s="1807"/>
      <c r="W96" s="1807"/>
      <c r="X96" s="1807"/>
      <c r="Y96" s="1807"/>
      <c r="Z96" s="1807"/>
      <c r="AA96" s="1807"/>
      <c r="AB96" s="1807"/>
      <c r="AC96" s="1803" t="e">
        <f>#REF!</f>
        <v>#REF!</v>
      </c>
      <c r="AD96" s="1804"/>
      <c r="AE96" s="1804"/>
      <c r="AF96" s="1804"/>
      <c r="AG96" s="1804"/>
      <c r="AH96" s="1804"/>
      <c r="AI96" s="1804"/>
      <c r="AJ96" s="1805"/>
      <c r="AK96" s="1803" t="e">
        <f>#REF!</f>
        <v>#REF!</v>
      </c>
      <c r="AL96" s="1804"/>
      <c r="AM96" s="1804"/>
      <c r="AN96" s="1804"/>
      <c r="AO96" s="1804"/>
      <c r="AP96" s="1804"/>
      <c r="AQ96" s="1804"/>
      <c r="AR96" s="1805"/>
      <c r="AS96" s="1803" t="e">
        <f>#REF!</f>
        <v>#REF!</v>
      </c>
      <c r="AT96" s="1804"/>
      <c r="AU96" s="1804"/>
      <c r="AV96" s="1804"/>
      <c r="AW96" s="1804"/>
      <c r="AX96" s="1804"/>
      <c r="AY96" s="1804"/>
      <c r="AZ96" s="1805"/>
      <c r="BA96" s="1797">
        <f t="shared" si="9"/>
        <v>55.44</v>
      </c>
      <c r="BB96" s="1797"/>
      <c r="BC96" s="1797"/>
      <c r="BD96" s="1797"/>
      <c r="BE96" s="1797"/>
      <c r="BF96" s="1797"/>
      <c r="BG96" s="1797"/>
      <c r="BH96" s="1797"/>
      <c r="BI96" s="1785" t="e">
        <f t="shared" si="6"/>
        <v>#REF!</v>
      </c>
      <c r="BJ96" s="1785"/>
      <c r="BK96" s="1785"/>
      <c r="BL96" s="1785"/>
      <c r="BM96" s="1785"/>
      <c r="BN96" s="1785"/>
      <c r="BO96" s="1785"/>
      <c r="BP96" s="1785"/>
      <c r="BQ96" s="1785" t="e">
        <f t="shared" si="7"/>
        <v>#REF!</v>
      </c>
      <c r="BR96" s="1785"/>
      <c r="BS96" s="1785"/>
      <c r="BT96" s="1785"/>
      <c r="BU96" s="1785"/>
      <c r="BV96" s="1785"/>
      <c r="BW96" s="1785"/>
      <c r="BX96" s="1785"/>
      <c r="BY96" s="1785" t="e">
        <f t="shared" si="8"/>
        <v>#REF!</v>
      </c>
      <c r="BZ96" s="1785"/>
      <c r="CA96" s="1785"/>
      <c r="CB96" s="1785"/>
      <c r="CC96" s="1785"/>
      <c r="CD96" s="1785"/>
      <c r="CE96" s="1785"/>
      <c r="CF96" s="1793"/>
    </row>
    <row r="97" spans="1:88" s="400" customFormat="1" ht="23.1" customHeight="1">
      <c r="A97" s="402"/>
      <c r="B97" s="402"/>
      <c r="C97" s="402"/>
      <c r="D97" s="402"/>
      <c r="E97" s="1806" t="s">
        <v>277</v>
      </c>
      <c r="F97" s="1807"/>
      <c r="G97" s="1807"/>
      <c r="H97" s="1807"/>
      <c r="I97" s="1807"/>
      <c r="J97" s="1807"/>
      <c r="K97" s="1807"/>
      <c r="L97" s="1807"/>
      <c r="M97" s="1807"/>
      <c r="N97" s="1807"/>
      <c r="O97" s="1807"/>
      <c r="P97" s="1807"/>
      <c r="Q97" s="1807"/>
      <c r="R97" s="1807"/>
      <c r="S97" s="1807"/>
      <c r="T97" s="1807"/>
      <c r="U97" s="1807" t="s">
        <v>400</v>
      </c>
      <c r="V97" s="1807"/>
      <c r="W97" s="1807"/>
      <c r="X97" s="1807"/>
      <c r="Y97" s="1807"/>
      <c r="Z97" s="1807"/>
      <c r="AA97" s="1807"/>
      <c r="AB97" s="1807"/>
      <c r="AC97" s="1803" t="e">
        <f>#REF!</f>
        <v>#REF!</v>
      </c>
      <c r="AD97" s="1804"/>
      <c r="AE97" s="1804"/>
      <c r="AF97" s="1804"/>
      <c r="AG97" s="1804"/>
      <c r="AH97" s="1804"/>
      <c r="AI97" s="1804"/>
      <c r="AJ97" s="1805"/>
      <c r="AK97" s="1803" t="e">
        <f>#REF!</f>
        <v>#REF!</v>
      </c>
      <c r="AL97" s="1804"/>
      <c r="AM97" s="1804"/>
      <c r="AN97" s="1804"/>
      <c r="AO97" s="1804"/>
      <c r="AP97" s="1804"/>
      <c r="AQ97" s="1804"/>
      <c r="AR97" s="1805"/>
      <c r="AS97" s="1803" t="e">
        <f>#REF!</f>
        <v>#REF!</v>
      </c>
      <c r="AT97" s="1804"/>
      <c r="AU97" s="1804"/>
      <c r="AV97" s="1804"/>
      <c r="AW97" s="1804"/>
      <c r="AX97" s="1804"/>
      <c r="AY97" s="1804"/>
      <c r="AZ97" s="1805"/>
      <c r="BA97" s="1797">
        <f t="shared" si="9"/>
        <v>63.36</v>
      </c>
      <c r="BB97" s="1797"/>
      <c r="BC97" s="1797"/>
      <c r="BD97" s="1797"/>
      <c r="BE97" s="1797"/>
      <c r="BF97" s="1797"/>
      <c r="BG97" s="1797"/>
      <c r="BH97" s="1797"/>
      <c r="BI97" s="1785" t="e">
        <f t="shared" si="6"/>
        <v>#REF!</v>
      </c>
      <c r="BJ97" s="1785"/>
      <c r="BK97" s="1785"/>
      <c r="BL97" s="1785"/>
      <c r="BM97" s="1785"/>
      <c r="BN97" s="1785"/>
      <c r="BO97" s="1785"/>
      <c r="BP97" s="1785"/>
      <c r="BQ97" s="1785" t="e">
        <f t="shared" si="7"/>
        <v>#REF!</v>
      </c>
      <c r="BR97" s="1785"/>
      <c r="BS97" s="1785"/>
      <c r="BT97" s="1785"/>
      <c r="BU97" s="1785"/>
      <c r="BV97" s="1785"/>
      <c r="BW97" s="1785"/>
      <c r="BX97" s="1785"/>
      <c r="BY97" s="1785" t="e">
        <f t="shared" si="8"/>
        <v>#REF!</v>
      </c>
      <c r="BZ97" s="1785"/>
      <c r="CA97" s="1785"/>
      <c r="CB97" s="1785"/>
      <c r="CC97" s="1785"/>
      <c r="CD97" s="1785"/>
      <c r="CE97" s="1785"/>
      <c r="CF97" s="1793"/>
    </row>
    <row r="98" spans="1:88" s="400" customFormat="1" ht="23.1" customHeight="1">
      <c r="E98" s="1806" t="s">
        <v>277</v>
      </c>
      <c r="F98" s="1807"/>
      <c r="G98" s="1807"/>
      <c r="H98" s="1807"/>
      <c r="I98" s="1807"/>
      <c r="J98" s="1807"/>
      <c r="K98" s="1807"/>
      <c r="L98" s="1807"/>
      <c r="M98" s="1807"/>
      <c r="N98" s="1807"/>
      <c r="O98" s="1807"/>
      <c r="P98" s="1807"/>
      <c r="Q98" s="1807"/>
      <c r="R98" s="1807"/>
      <c r="S98" s="1807"/>
      <c r="T98" s="1807"/>
      <c r="U98" s="1807" t="s">
        <v>401</v>
      </c>
      <c r="V98" s="1807"/>
      <c r="W98" s="1807"/>
      <c r="X98" s="1807"/>
      <c r="Y98" s="1807"/>
      <c r="Z98" s="1807"/>
      <c r="AA98" s="1807"/>
      <c r="AB98" s="1807"/>
      <c r="AC98" s="1803" t="e">
        <f>#REF!</f>
        <v>#REF!</v>
      </c>
      <c r="AD98" s="1804"/>
      <c r="AE98" s="1804"/>
      <c r="AF98" s="1804"/>
      <c r="AG98" s="1804"/>
      <c r="AH98" s="1804"/>
      <c r="AI98" s="1804"/>
      <c r="AJ98" s="1805"/>
      <c r="AK98" s="1803" t="e">
        <f>#REF!</f>
        <v>#REF!</v>
      </c>
      <c r="AL98" s="1804"/>
      <c r="AM98" s="1804"/>
      <c r="AN98" s="1804"/>
      <c r="AO98" s="1804"/>
      <c r="AP98" s="1804"/>
      <c r="AQ98" s="1804"/>
      <c r="AR98" s="1805"/>
      <c r="AS98" s="1803" t="e">
        <f>#REF!</f>
        <v>#REF!</v>
      </c>
      <c r="AT98" s="1804"/>
      <c r="AU98" s="1804"/>
      <c r="AV98" s="1804"/>
      <c r="AW98" s="1804"/>
      <c r="AX98" s="1804"/>
      <c r="AY98" s="1804"/>
      <c r="AZ98" s="1805"/>
      <c r="BA98" s="1797">
        <f t="shared" si="9"/>
        <v>75.03</v>
      </c>
      <c r="BB98" s="1797"/>
      <c r="BC98" s="1797"/>
      <c r="BD98" s="1797"/>
      <c r="BE98" s="1797"/>
      <c r="BF98" s="1797"/>
      <c r="BG98" s="1797"/>
      <c r="BH98" s="1797"/>
      <c r="BI98" s="1785" t="e">
        <f t="shared" si="6"/>
        <v>#REF!</v>
      </c>
      <c r="BJ98" s="1785"/>
      <c r="BK98" s="1785"/>
      <c r="BL98" s="1785"/>
      <c r="BM98" s="1785"/>
      <c r="BN98" s="1785"/>
      <c r="BO98" s="1785"/>
      <c r="BP98" s="1785"/>
      <c r="BQ98" s="1785" t="e">
        <f t="shared" si="7"/>
        <v>#REF!</v>
      </c>
      <c r="BR98" s="1785"/>
      <c r="BS98" s="1785"/>
      <c r="BT98" s="1785"/>
      <c r="BU98" s="1785"/>
      <c r="BV98" s="1785"/>
      <c r="BW98" s="1785"/>
      <c r="BX98" s="1785"/>
      <c r="BY98" s="1785" t="e">
        <f t="shared" si="8"/>
        <v>#REF!</v>
      </c>
      <c r="BZ98" s="1785"/>
      <c r="CA98" s="1785"/>
      <c r="CB98" s="1785"/>
      <c r="CC98" s="1785"/>
      <c r="CD98" s="1785"/>
      <c r="CE98" s="1785"/>
      <c r="CF98" s="1793"/>
    </row>
    <row r="99" spans="1:88" s="400" customFormat="1" ht="23.1" customHeight="1">
      <c r="E99" s="1806" t="s">
        <v>409</v>
      </c>
      <c r="F99" s="1807"/>
      <c r="G99" s="1807"/>
      <c r="H99" s="1807"/>
      <c r="I99" s="1807"/>
      <c r="J99" s="1807"/>
      <c r="K99" s="1807"/>
      <c r="L99" s="1807"/>
      <c r="M99" s="1807"/>
      <c r="N99" s="1807"/>
      <c r="O99" s="1807"/>
      <c r="P99" s="1807"/>
      <c r="Q99" s="1807"/>
      <c r="R99" s="1807"/>
      <c r="S99" s="1807"/>
      <c r="T99" s="1807"/>
      <c r="U99" s="1807" t="s">
        <v>394</v>
      </c>
      <c r="V99" s="1807"/>
      <c r="W99" s="1807"/>
      <c r="X99" s="1807"/>
      <c r="Y99" s="1807"/>
      <c r="Z99" s="1807"/>
      <c r="AA99" s="1807"/>
      <c r="AB99" s="1807"/>
      <c r="AC99" s="1803" t="e">
        <f>#REF!</f>
        <v>#REF!</v>
      </c>
      <c r="AD99" s="1804"/>
      <c r="AE99" s="1804"/>
      <c r="AF99" s="1804"/>
      <c r="AG99" s="1804"/>
      <c r="AH99" s="1804"/>
      <c r="AI99" s="1804"/>
      <c r="AJ99" s="1805"/>
      <c r="AK99" s="1803" t="e">
        <f>#REF!</f>
        <v>#REF!</v>
      </c>
      <c r="AL99" s="1804"/>
      <c r="AM99" s="1804"/>
      <c r="AN99" s="1804"/>
      <c r="AO99" s="1804"/>
      <c r="AP99" s="1804"/>
      <c r="AQ99" s="1804"/>
      <c r="AR99" s="1805"/>
      <c r="AS99" s="1803" t="e">
        <f>#REF!</f>
        <v>#REF!</v>
      </c>
      <c r="AT99" s="1804"/>
      <c r="AU99" s="1804"/>
      <c r="AV99" s="1804"/>
      <c r="AW99" s="1804"/>
      <c r="AX99" s="1804"/>
      <c r="AY99" s="1804"/>
      <c r="AZ99" s="1805"/>
      <c r="BA99" s="1797">
        <f>BU80</f>
        <v>12.83</v>
      </c>
      <c r="BB99" s="1797"/>
      <c r="BC99" s="1797"/>
      <c r="BD99" s="1797"/>
      <c r="BE99" s="1797"/>
      <c r="BF99" s="1797"/>
      <c r="BG99" s="1797"/>
      <c r="BH99" s="1797"/>
      <c r="BI99" s="1785" t="e">
        <f t="shared" si="6"/>
        <v>#REF!</v>
      </c>
      <c r="BJ99" s="1785"/>
      <c r="BK99" s="1785"/>
      <c r="BL99" s="1785"/>
      <c r="BM99" s="1785"/>
      <c r="BN99" s="1785"/>
      <c r="BO99" s="1785"/>
      <c r="BP99" s="1785"/>
      <c r="BQ99" s="1785" t="e">
        <f t="shared" si="7"/>
        <v>#REF!</v>
      </c>
      <c r="BR99" s="1785"/>
      <c r="BS99" s="1785"/>
      <c r="BT99" s="1785"/>
      <c r="BU99" s="1785"/>
      <c r="BV99" s="1785"/>
      <c r="BW99" s="1785"/>
      <c r="BX99" s="1785"/>
      <c r="BY99" s="1785" t="e">
        <f t="shared" si="8"/>
        <v>#REF!</v>
      </c>
      <c r="BZ99" s="1785"/>
      <c r="CA99" s="1785"/>
      <c r="CB99" s="1785"/>
      <c r="CC99" s="1785"/>
      <c r="CD99" s="1785"/>
      <c r="CE99" s="1785"/>
      <c r="CF99" s="1793"/>
    </row>
    <row r="100" spans="1:88" s="400" customFormat="1" ht="23.1" customHeight="1" thickBot="1">
      <c r="E100" s="1794" t="s">
        <v>409</v>
      </c>
      <c r="F100" s="1795"/>
      <c r="G100" s="1795"/>
      <c r="H100" s="1795"/>
      <c r="I100" s="1795"/>
      <c r="J100" s="1795"/>
      <c r="K100" s="1795"/>
      <c r="L100" s="1795"/>
      <c r="M100" s="1795"/>
      <c r="N100" s="1795"/>
      <c r="O100" s="1795"/>
      <c r="P100" s="1795"/>
      <c r="Q100" s="1795"/>
      <c r="R100" s="1795"/>
      <c r="S100" s="1795"/>
      <c r="T100" s="1795"/>
      <c r="U100" s="1795" t="s">
        <v>397</v>
      </c>
      <c r="V100" s="1795"/>
      <c r="W100" s="1795"/>
      <c r="X100" s="1795"/>
      <c r="Y100" s="1795"/>
      <c r="Z100" s="1795"/>
      <c r="AA100" s="1795"/>
      <c r="AB100" s="1795"/>
      <c r="AC100" s="1796" t="e">
        <f>#REF!</f>
        <v>#REF!</v>
      </c>
      <c r="AD100" s="1796"/>
      <c r="AE100" s="1796"/>
      <c r="AF100" s="1796"/>
      <c r="AG100" s="1796"/>
      <c r="AH100" s="1796"/>
      <c r="AI100" s="1796"/>
      <c r="AJ100" s="1796"/>
      <c r="AK100" s="1796" t="e">
        <f>#REF!</f>
        <v>#REF!</v>
      </c>
      <c r="AL100" s="1796"/>
      <c r="AM100" s="1796"/>
      <c r="AN100" s="1796"/>
      <c r="AO100" s="1796"/>
      <c r="AP100" s="1796"/>
      <c r="AQ100" s="1796"/>
      <c r="AR100" s="1796"/>
      <c r="AS100" s="1796" t="e">
        <f>#REF!</f>
        <v>#REF!</v>
      </c>
      <c r="AT100" s="1796"/>
      <c r="AU100" s="1796"/>
      <c r="AV100" s="1796"/>
      <c r="AW100" s="1796"/>
      <c r="AX100" s="1796"/>
      <c r="AY100" s="1796"/>
      <c r="AZ100" s="1796"/>
      <c r="BA100" s="1783">
        <f>BU83</f>
        <v>47.52</v>
      </c>
      <c r="BB100" s="1783"/>
      <c r="BC100" s="1783"/>
      <c r="BD100" s="1783"/>
      <c r="BE100" s="1783"/>
      <c r="BF100" s="1783"/>
      <c r="BG100" s="1783"/>
      <c r="BH100" s="1783"/>
      <c r="BI100" s="1784" t="e">
        <f t="shared" si="6"/>
        <v>#REF!</v>
      </c>
      <c r="BJ100" s="1784"/>
      <c r="BK100" s="1784"/>
      <c r="BL100" s="1784"/>
      <c r="BM100" s="1784"/>
      <c r="BN100" s="1784"/>
      <c r="BO100" s="1784"/>
      <c r="BP100" s="1784"/>
      <c r="BQ100" s="1784" t="e">
        <f t="shared" si="7"/>
        <v>#REF!</v>
      </c>
      <c r="BR100" s="1784"/>
      <c r="BS100" s="1784"/>
      <c r="BT100" s="1784"/>
      <c r="BU100" s="1784"/>
      <c r="BV100" s="1784"/>
      <c r="BW100" s="1784"/>
      <c r="BX100" s="1784"/>
      <c r="BY100" s="1784" t="e">
        <f t="shared" si="8"/>
        <v>#REF!</v>
      </c>
      <c r="BZ100" s="1784"/>
      <c r="CA100" s="1784"/>
      <c r="CB100" s="1784"/>
      <c r="CC100" s="1784"/>
      <c r="CD100" s="1784"/>
      <c r="CE100" s="1784"/>
      <c r="CF100" s="1792"/>
    </row>
    <row r="101" spans="1:88" s="400" customFormat="1" ht="23.1" customHeight="1"/>
    <row r="102" spans="1:88" s="419" customFormat="1" ht="23.1" customHeight="1">
      <c r="A102" s="420"/>
      <c r="B102" s="421" t="s">
        <v>764</v>
      </c>
      <c r="C102" s="420"/>
      <c r="D102" s="420"/>
      <c r="E102" s="420"/>
      <c r="F102" s="420"/>
      <c r="G102" s="420"/>
      <c r="H102" s="420"/>
      <c r="I102" s="420"/>
      <c r="J102" s="420"/>
      <c r="K102" s="420"/>
      <c r="L102" s="420"/>
      <c r="M102" s="420"/>
      <c r="N102" s="420"/>
      <c r="O102" s="420"/>
      <c r="P102" s="420"/>
      <c r="Q102" s="420"/>
      <c r="R102" s="420"/>
      <c r="S102" s="420"/>
      <c r="T102" s="420"/>
      <c r="U102" s="420"/>
      <c r="V102" s="420"/>
      <c r="W102" s="420"/>
      <c r="X102" s="420"/>
      <c r="Y102" s="420"/>
      <c r="Z102" s="420"/>
      <c r="AA102" s="420"/>
      <c r="AB102" s="420"/>
      <c r="AC102" s="420"/>
      <c r="AD102" s="420"/>
      <c r="AE102" s="420"/>
      <c r="AF102" s="420"/>
      <c r="AG102" s="420"/>
      <c r="AH102" s="420"/>
      <c r="AI102" s="420"/>
      <c r="AJ102" s="420"/>
      <c r="AK102" s="420"/>
      <c r="AL102" s="420"/>
      <c r="AM102" s="420"/>
      <c r="AN102" s="420"/>
      <c r="AO102" s="420"/>
      <c r="AP102" s="420"/>
      <c r="AQ102" s="420"/>
      <c r="AR102" s="420"/>
      <c r="AS102" s="420"/>
      <c r="AT102" s="420"/>
      <c r="AU102" s="420"/>
      <c r="BM102" s="420"/>
      <c r="BN102" s="420"/>
      <c r="BO102" s="420"/>
      <c r="BP102" s="420"/>
      <c r="BQ102" s="420"/>
      <c r="BR102" s="420"/>
      <c r="BS102" s="420"/>
      <c r="BT102" s="420"/>
      <c r="BU102" s="420"/>
      <c r="BV102" s="420"/>
      <c r="BW102" s="420"/>
      <c r="BX102" s="420"/>
      <c r="BY102" s="420"/>
      <c r="BZ102" s="420"/>
      <c r="CA102" s="420"/>
      <c r="CB102" s="420"/>
      <c r="CC102" s="420"/>
      <c r="CD102" s="420"/>
      <c r="CE102" s="420"/>
      <c r="CF102" s="420"/>
      <c r="CJ102" s="400" t="s">
        <v>763</v>
      </c>
    </row>
    <row r="103" spans="1:88" s="412" customFormat="1" ht="9.9499999999999993" customHeight="1">
      <c r="A103" s="413"/>
      <c r="B103" s="413"/>
      <c r="C103" s="413"/>
      <c r="D103" s="413"/>
      <c r="E103" s="413"/>
      <c r="F103" s="413"/>
      <c r="G103" s="413"/>
      <c r="H103" s="413"/>
      <c r="I103" s="413"/>
      <c r="J103" s="413"/>
      <c r="K103" s="413"/>
      <c r="L103" s="413"/>
      <c r="M103" s="413"/>
      <c r="N103" s="413"/>
      <c r="O103" s="413"/>
      <c r="P103" s="413"/>
      <c r="Q103" s="413"/>
      <c r="R103" s="413"/>
      <c r="S103" s="413"/>
      <c r="T103" s="413"/>
      <c r="U103" s="413"/>
      <c r="V103" s="413"/>
      <c r="W103" s="413"/>
      <c r="X103" s="413"/>
      <c r="Y103" s="413"/>
      <c r="Z103" s="413"/>
      <c r="AA103" s="413"/>
      <c r="AB103" s="413"/>
      <c r="AC103" s="413"/>
      <c r="AD103" s="413"/>
      <c r="AE103" s="413"/>
      <c r="AF103" s="413"/>
      <c r="AG103" s="413"/>
      <c r="AH103" s="413"/>
      <c r="AI103" s="413"/>
      <c r="AJ103" s="413"/>
      <c r="AK103" s="413"/>
      <c r="AL103" s="413"/>
      <c r="AM103" s="413"/>
      <c r="AN103" s="413"/>
      <c r="AO103" s="413"/>
      <c r="AP103" s="413"/>
      <c r="AQ103" s="413"/>
      <c r="AR103" s="413"/>
      <c r="AS103" s="413"/>
      <c r="AT103" s="413"/>
      <c r="AU103" s="413"/>
      <c r="AV103" s="413"/>
      <c r="AW103" s="413"/>
      <c r="AX103" s="413"/>
      <c r="AY103" s="413"/>
      <c r="AZ103" s="413"/>
      <c r="BA103" s="413"/>
      <c r="BB103" s="413"/>
      <c r="BC103" s="413"/>
      <c r="BD103" s="413"/>
      <c r="BE103" s="413"/>
      <c r="BF103" s="413"/>
      <c r="BG103" s="413"/>
      <c r="BH103" s="413"/>
      <c r="BI103" s="413"/>
      <c r="BJ103" s="413"/>
      <c r="BK103" s="413"/>
      <c r="BL103" s="413"/>
      <c r="BM103" s="413"/>
      <c r="BN103" s="413"/>
      <c r="BO103" s="413"/>
      <c r="BP103" s="413"/>
      <c r="BQ103" s="413"/>
      <c r="BR103" s="413"/>
      <c r="BS103" s="413"/>
      <c r="BT103" s="413"/>
      <c r="BU103" s="413"/>
      <c r="BV103" s="413"/>
      <c r="BW103" s="413"/>
      <c r="BX103" s="413"/>
      <c r="BY103" s="413"/>
      <c r="BZ103" s="413"/>
      <c r="CA103" s="413"/>
      <c r="CB103" s="413"/>
      <c r="CC103" s="413"/>
      <c r="CD103" s="413"/>
      <c r="CE103" s="413"/>
      <c r="CF103" s="413"/>
      <c r="CJ103" s="400" t="s">
        <v>762</v>
      </c>
    </row>
    <row r="104" spans="1:88" s="400" customFormat="1" ht="23.1" customHeight="1">
      <c r="E104" s="400" t="s">
        <v>376</v>
      </c>
      <c r="CJ104" s="400" t="s">
        <v>761</v>
      </c>
    </row>
    <row r="105" spans="1:88" s="400" customFormat="1" ht="23.1" customHeight="1">
      <c r="A105" s="402"/>
      <c r="B105" s="402"/>
      <c r="C105" s="402"/>
      <c r="D105" s="402"/>
      <c r="G105" s="1788" t="s">
        <v>377</v>
      </c>
      <c r="H105" s="1788"/>
      <c r="I105" s="1788"/>
      <c r="J105" s="1788"/>
      <c r="L105" s="411" t="s">
        <v>378</v>
      </c>
      <c r="M105" s="411"/>
      <c r="N105" s="411"/>
      <c r="O105" s="411"/>
      <c r="P105" s="411"/>
      <c r="Q105" s="411"/>
      <c r="R105" s="411"/>
      <c r="S105" s="411"/>
      <c r="T105" s="411"/>
      <c r="U105" s="411"/>
      <c r="V105" s="411"/>
      <c r="W105" s="411"/>
      <c r="X105" s="411"/>
      <c r="Y105" s="411"/>
      <c r="Z105" s="411"/>
      <c r="AA105" s="411"/>
      <c r="AB105" s="411"/>
      <c r="AC105" s="411"/>
      <c r="AD105" s="411"/>
      <c r="AE105" s="411"/>
      <c r="AM105" s="400" t="s">
        <v>379</v>
      </c>
      <c r="AV105" s="408"/>
      <c r="AW105" s="408"/>
      <c r="AX105" s="408"/>
      <c r="AY105" s="408"/>
      <c r="AZ105" s="408"/>
      <c r="BA105" s="408"/>
      <c r="BC105" s="408"/>
      <c r="BD105" s="408"/>
      <c r="BE105" s="404"/>
      <c r="BF105" s="404"/>
      <c r="BG105" s="404"/>
      <c r="BH105" s="404"/>
      <c r="BI105" s="400" t="s">
        <v>380</v>
      </c>
      <c r="BJ105" s="404"/>
      <c r="BK105" s="404"/>
      <c r="BL105" s="404"/>
      <c r="BM105" s="404"/>
      <c r="BN105" s="404"/>
      <c r="BO105" s="404"/>
      <c r="BP105" s="404"/>
      <c r="BQ105" s="404"/>
      <c r="BR105" s="404"/>
      <c r="BS105" s="404"/>
      <c r="BT105" s="404"/>
      <c r="BU105" s="404"/>
      <c r="BV105" s="404"/>
      <c r="BW105" s="404"/>
      <c r="BX105" s="404"/>
      <c r="BY105" s="404"/>
      <c r="BZ105" s="404"/>
      <c r="CA105" s="404"/>
      <c r="CB105" s="404"/>
      <c r="CC105" s="404"/>
      <c r="CD105" s="404"/>
      <c r="CE105" s="404"/>
      <c r="CF105" s="404"/>
      <c r="CJ105" s="400" t="s">
        <v>717</v>
      </c>
    </row>
    <row r="106" spans="1:88" s="400" customFormat="1" ht="23.1" customHeight="1">
      <c r="D106" s="405"/>
      <c r="G106" s="1788"/>
      <c r="H106" s="1788"/>
      <c r="I106" s="1788"/>
      <c r="J106" s="1788"/>
      <c r="L106" s="1809" t="s">
        <v>381</v>
      </c>
      <c r="M106" s="1809"/>
      <c r="N106" s="1809"/>
      <c r="O106" s="1809"/>
      <c r="P106" s="1809"/>
      <c r="Q106" s="1809"/>
      <c r="R106" s="1809"/>
      <c r="S106" s="1809"/>
      <c r="T106" s="1809"/>
      <c r="U106" s="1809"/>
      <c r="V106" s="1809"/>
      <c r="W106" s="1809"/>
      <c r="X106" s="1809"/>
      <c r="Y106" s="1809"/>
      <c r="Z106" s="1809"/>
      <c r="AA106" s="1809"/>
      <c r="AB106" s="1809"/>
      <c r="AC106" s="1809"/>
      <c r="AD106" s="1809"/>
      <c r="AE106" s="1809"/>
      <c r="AM106" s="408" t="s">
        <v>382</v>
      </c>
      <c r="AV106" s="408"/>
      <c r="AW106" s="408"/>
      <c r="AX106" s="408"/>
      <c r="AY106" s="408"/>
      <c r="AZ106" s="408"/>
      <c r="BA106" s="408"/>
      <c r="BC106" s="408"/>
      <c r="BD106" s="408"/>
      <c r="BE106" s="404"/>
      <c r="BF106" s="404"/>
      <c r="BG106" s="404"/>
      <c r="BH106" s="404"/>
      <c r="BI106" s="404"/>
      <c r="BJ106" s="404"/>
      <c r="BK106" s="404"/>
      <c r="BL106" s="404"/>
      <c r="BM106" s="404"/>
      <c r="BN106" s="404"/>
      <c r="BO106" s="404"/>
      <c r="BP106" s="404"/>
      <c r="BQ106" s="404"/>
      <c r="BR106" s="404"/>
      <c r="BS106" s="404"/>
      <c r="BT106" s="404"/>
      <c r="BU106" s="404"/>
      <c r="BV106" s="404"/>
      <c r="BW106" s="404"/>
      <c r="BX106" s="404"/>
      <c r="BY106" s="404"/>
      <c r="BZ106" s="404"/>
      <c r="CA106" s="404"/>
      <c r="CB106" s="404"/>
      <c r="CC106" s="404"/>
      <c r="CD106" s="404"/>
      <c r="CE106" s="404"/>
      <c r="CF106" s="404"/>
      <c r="CJ106" s="400" t="s">
        <v>716</v>
      </c>
    </row>
    <row r="107" spans="1:88" s="400" customFormat="1" ht="23.1" customHeight="1">
      <c r="G107" s="402"/>
      <c r="AM107" s="408" t="s">
        <v>383</v>
      </c>
      <c r="BI107" s="400" t="s">
        <v>384</v>
      </c>
      <c r="BT107" s="410"/>
      <c r="BU107" s="410"/>
      <c r="BV107" s="410"/>
      <c r="BW107" s="410"/>
      <c r="BX107" s="410"/>
      <c r="BY107" s="410"/>
      <c r="BZ107" s="410"/>
      <c r="CA107" s="410"/>
      <c r="CB107" s="410"/>
      <c r="CC107" s="410"/>
    </row>
    <row r="108" spans="1:88" s="400" customFormat="1" ht="9.9499999999999993" customHeight="1" thickBot="1">
      <c r="D108" s="405"/>
      <c r="Q108" s="409"/>
      <c r="R108" s="409"/>
      <c r="S108" s="409"/>
      <c r="T108" s="409"/>
      <c r="U108" s="409"/>
      <c r="V108" s="409"/>
      <c r="W108" s="409"/>
      <c r="X108" s="409"/>
      <c r="Y108" s="409"/>
      <c r="Z108" s="409"/>
      <c r="AA108" s="409"/>
      <c r="AB108" s="409"/>
      <c r="AV108" s="408"/>
      <c r="AW108" s="408"/>
      <c r="AX108" s="408"/>
      <c r="AY108" s="408"/>
      <c r="AZ108" s="408"/>
      <c r="BA108" s="408"/>
      <c r="BB108" s="408"/>
      <c r="BC108" s="408"/>
      <c r="BD108" s="408"/>
      <c r="BE108" s="404"/>
      <c r="BF108" s="404"/>
      <c r="BG108" s="404"/>
      <c r="BH108" s="404"/>
      <c r="BI108" s="404"/>
      <c r="BJ108" s="404"/>
      <c r="BK108" s="404"/>
      <c r="BL108" s="404"/>
      <c r="BM108" s="404"/>
      <c r="BN108" s="404"/>
      <c r="BO108" s="404"/>
      <c r="BP108" s="404"/>
      <c r="BQ108" s="404"/>
      <c r="BR108" s="404"/>
      <c r="BS108" s="404"/>
      <c r="BT108" s="404"/>
      <c r="BU108" s="404"/>
      <c r="BV108" s="404"/>
      <c r="BW108" s="404"/>
      <c r="BX108" s="404"/>
      <c r="BY108" s="404"/>
      <c r="BZ108" s="404"/>
      <c r="CA108" s="404"/>
      <c r="CB108" s="404"/>
      <c r="CC108" s="404"/>
      <c r="CD108" s="404"/>
      <c r="CE108" s="404"/>
      <c r="CF108" s="404"/>
    </row>
    <row r="109" spans="1:88" s="400" customFormat="1" ht="23.1" customHeight="1" thickBot="1">
      <c r="A109" s="402"/>
      <c r="B109" s="402"/>
      <c r="C109" s="402"/>
      <c r="D109" s="402"/>
      <c r="E109" s="1835" t="s">
        <v>385</v>
      </c>
      <c r="F109" s="1836"/>
      <c r="G109" s="1836"/>
      <c r="H109" s="1836"/>
      <c r="I109" s="1836"/>
      <c r="J109" s="1836"/>
      <c r="K109" s="1836"/>
      <c r="L109" s="1836"/>
      <c r="M109" s="1836"/>
      <c r="N109" s="1836"/>
      <c r="O109" s="1836"/>
      <c r="P109" s="1836"/>
      <c r="Q109" s="1836" t="s">
        <v>212</v>
      </c>
      <c r="R109" s="1836"/>
      <c r="S109" s="1836"/>
      <c r="T109" s="1836"/>
      <c r="U109" s="1836"/>
      <c r="V109" s="1836"/>
      <c r="W109" s="1836"/>
      <c r="X109" s="1836"/>
      <c r="Y109" s="1836"/>
      <c r="Z109" s="1836"/>
      <c r="AA109" s="1836"/>
      <c r="AB109" s="1836"/>
      <c r="AC109" s="1836" t="s">
        <v>386</v>
      </c>
      <c r="AD109" s="1836"/>
      <c r="AE109" s="1836"/>
      <c r="AF109" s="1836"/>
      <c r="AG109" s="1836"/>
      <c r="AH109" s="1836"/>
      <c r="AI109" s="1836"/>
      <c r="AJ109" s="1836"/>
      <c r="AK109" s="1836" t="s">
        <v>387</v>
      </c>
      <c r="AL109" s="1836"/>
      <c r="AM109" s="1836"/>
      <c r="AN109" s="1836"/>
      <c r="AO109" s="1836"/>
      <c r="AP109" s="1836"/>
      <c r="AQ109" s="1836"/>
      <c r="AR109" s="1836"/>
      <c r="AS109" s="1836" t="s">
        <v>388</v>
      </c>
      <c r="AT109" s="1836"/>
      <c r="AU109" s="1836"/>
      <c r="AV109" s="1836"/>
      <c r="AW109" s="1836"/>
      <c r="AX109" s="1836"/>
      <c r="AY109" s="1836"/>
      <c r="AZ109" s="1836"/>
      <c r="BA109" s="1836" t="s">
        <v>389</v>
      </c>
      <c r="BB109" s="1836"/>
      <c r="BC109" s="1836"/>
      <c r="BD109" s="1836"/>
      <c r="BE109" s="1836"/>
      <c r="BF109" s="1836"/>
      <c r="BG109" s="1836"/>
      <c r="BH109" s="1836"/>
      <c r="BI109" s="1836" t="s">
        <v>381</v>
      </c>
      <c r="BJ109" s="1836"/>
      <c r="BK109" s="1836"/>
      <c r="BL109" s="1836"/>
      <c r="BM109" s="1836"/>
      <c r="BN109" s="1836"/>
      <c r="BO109" s="1836"/>
      <c r="BP109" s="1836"/>
      <c r="BQ109" s="1836"/>
      <c r="BR109" s="1836"/>
      <c r="BS109" s="1836"/>
      <c r="BT109" s="1836"/>
      <c r="BU109" s="1933" t="s">
        <v>390</v>
      </c>
      <c r="BV109" s="1933"/>
      <c r="BW109" s="1933"/>
      <c r="BX109" s="1933"/>
      <c r="BY109" s="1933"/>
      <c r="BZ109" s="1933"/>
      <c r="CA109" s="1933"/>
      <c r="CB109" s="1933"/>
      <c r="CC109" s="1933"/>
      <c r="CD109" s="1933"/>
      <c r="CE109" s="1933"/>
      <c r="CF109" s="1934"/>
      <c r="CJ109" s="400" t="s">
        <v>389</v>
      </c>
    </row>
    <row r="110" spans="1:88" s="400" customFormat="1" ht="23.1" customHeight="1" thickTop="1">
      <c r="D110" s="405"/>
      <c r="E110" s="1935" t="s">
        <v>391</v>
      </c>
      <c r="F110" s="1834"/>
      <c r="G110" s="1834"/>
      <c r="H110" s="1834"/>
      <c r="I110" s="1834"/>
      <c r="J110" s="1834"/>
      <c r="K110" s="1834"/>
      <c r="L110" s="1834"/>
      <c r="M110" s="1834"/>
      <c r="N110" s="1834"/>
      <c r="O110" s="1834"/>
      <c r="P110" s="1834"/>
      <c r="Q110" s="1936" t="s">
        <v>392</v>
      </c>
      <c r="R110" s="1936"/>
      <c r="S110" s="1936"/>
      <c r="T110" s="1936"/>
      <c r="U110" s="1936"/>
      <c r="V110" s="1936"/>
      <c r="W110" s="1936"/>
      <c r="X110" s="1936"/>
      <c r="Y110" s="1936"/>
      <c r="Z110" s="1936"/>
      <c r="AA110" s="1936"/>
      <c r="AB110" s="1936"/>
      <c r="AC110" s="1964">
        <v>0.12</v>
      </c>
      <c r="AD110" s="1964"/>
      <c r="AE110" s="1964"/>
      <c r="AF110" s="1964"/>
      <c r="AG110" s="1964"/>
      <c r="AH110" s="1964"/>
      <c r="AI110" s="1964"/>
      <c r="AJ110" s="1964"/>
      <c r="AK110" s="1834">
        <v>0.9</v>
      </c>
      <c r="AL110" s="1834"/>
      <c r="AM110" s="1834"/>
      <c r="AN110" s="1834"/>
      <c r="AO110" s="1834"/>
      <c r="AP110" s="1834"/>
      <c r="AQ110" s="1834"/>
      <c r="AR110" s="1834"/>
      <c r="AS110" s="1834">
        <v>0.8</v>
      </c>
      <c r="AT110" s="1834"/>
      <c r="AU110" s="1834"/>
      <c r="AV110" s="1834"/>
      <c r="AW110" s="1834"/>
      <c r="AX110" s="1834"/>
      <c r="AY110" s="1834"/>
      <c r="AZ110" s="1834"/>
      <c r="BA110" s="1834">
        <v>0.26</v>
      </c>
      <c r="BB110" s="1834"/>
      <c r="BC110" s="1834"/>
      <c r="BD110" s="1834"/>
      <c r="BE110" s="1834"/>
      <c r="BF110" s="1834"/>
      <c r="BG110" s="1834"/>
      <c r="BH110" s="1834"/>
      <c r="BI110" s="1929" t="s">
        <v>393</v>
      </c>
      <c r="BJ110" s="1866"/>
      <c r="BK110" s="1866"/>
      <c r="BL110" s="1866"/>
      <c r="BM110" s="1866"/>
      <c r="BN110" s="1866"/>
      <c r="BO110" s="1930">
        <v>20</v>
      </c>
      <c r="BP110" s="1931"/>
      <c r="BQ110" s="1931"/>
      <c r="BR110" s="1931"/>
      <c r="BS110" s="1931"/>
      <c r="BT110" s="1932"/>
      <c r="BU110" s="1924">
        <f t="shared" ref="BU110:BU117" si="10">ROUND(3600*AC110*AK110*AS110*BA110/BO110,2)</f>
        <v>4.04</v>
      </c>
      <c r="BV110" s="1924"/>
      <c r="BW110" s="1924"/>
      <c r="BX110" s="1924"/>
      <c r="BY110" s="1924"/>
      <c r="BZ110" s="1924"/>
      <c r="CA110" s="1924"/>
      <c r="CB110" s="1924"/>
      <c r="CC110" s="1924"/>
      <c r="CD110" s="1924"/>
      <c r="CE110" s="1924"/>
      <c r="CF110" s="1925"/>
      <c r="CJ110" s="400" t="s">
        <v>760</v>
      </c>
    </row>
    <row r="111" spans="1:88" s="400" customFormat="1" ht="23.1" customHeight="1">
      <c r="D111" s="405"/>
      <c r="E111" s="1828" t="s">
        <v>391</v>
      </c>
      <c r="F111" s="1829"/>
      <c r="G111" s="1829"/>
      <c r="H111" s="1829"/>
      <c r="I111" s="1829"/>
      <c r="J111" s="1829"/>
      <c r="K111" s="1829"/>
      <c r="L111" s="1829"/>
      <c r="M111" s="1829"/>
      <c r="N111" s="1829"/>
      <c r="O111" s="1829"/>
      <c r="P111" s="1829"/>
      <c r="Q111" s="1830" t="s">
        <v>394</v>
      </c>
      <c r="R111" s="1830"/>
      <c r="S111" s="1830"/>
      <c r="T111" s="1830"/>
      <c r="U111" s="1830"/>
      <c r="V111" s="1830"/>
      <c r="W111" s="1830"/>
      <c r="X111" s="1830"/>
      <c r="Y111" s="1830"/>
      <c r="Z111" s="1830"/>
      <c r="AA111" s="1830"/>
      <c r="AB111" s="1830"/>
      <c r="AC111" s="1829">
        <v>0.18</v>
      </c>
      <c r="AD111" s="1829"/>
      <c r="AE111" s="1829"/>
      <c r="AF111" s="1829"/>
      <c r="AG111" s="1829"/>
      <c r="AH111" s="1829"/>
      <c r="AI111" s="1829"/>
      <c r="AJ111" s="1829"/>
      <c r="AK111" s="1929">
        <v>0.9</v>
      </c>
      <c r="AL111" s="1866"/>
      <c r="AM111" s="1866"/>
      <c r="AN111" s="1866"/>
      <c r="AO111" s="1866"/>
      <c r="AP111" s="1866"/>
      <c r="AQ111" s="1866"/>
      <c r="AR111" s="1867"/>
      <c r="AS111" s="1929">
        <v>0.8</v>
      </c>
      <c r="AT111" s="1866"/>
      <c r="AU111" s="1866"/>
      <c r="AV111" s="1866"/>
      <c r="AW111" s="1866"/>
      <c r="AX111" s="1866"/>
      <c r="AY111" s="1866"/>
      <c r="AZ111" s="1867"/>
      <c r="BA111" s="1929">
        <v>0.26</v>
      </c>
      <c r="BB111" s="1866"/>
      <c r="BC111" s="1866"/>
      <c r="BD111" s="1866"/>
      <c r="BE111" s="1866"/>
      <c r="BF111" s="1866"/>
      <c r="BG111" s="1866"/>
      <c r="BH111" s="1867"/>
      <c r="BI111" s="1929" t="s">
        <v>393</v>
      </c>
      <c r="BJ111" s="1866"/>
      <c r="BK111" s="1866"/>
      <c r="BL111" s="1866"/>
      <c r="BM111" s="1866"/>
      <c r="BN111" s="1866"/>
      <c r="BO111" s="1865">
        <v>20</v>
      </c>
      <c r="BP111" s="1866"/>
      <c r="BQ111" s="1866"/>
      <c r="BR111" s="1866"/>
      <c r="BS111" s="1866"/>
      <c r="BT111" s="1867"/>
      <c r="BU111" s="1924">
        <f t="shared" si="10"/>
        <v>6.07</v>
      </c>
      <c r="BV111" s="1924"/>
      <c r="BW111" s="1924"/>
      <c r="BX111" s="1924"/>
      <c r="BY111" s="1924"/>
      <c r="BZ111" s="1924"/>
      <c r="CA111" s="1924"/>
      <c r="CB111" s="1924"/>
      <c r="CC111" s="1924"/>
      <c r="CD111" s="1924"/>
      <c r="CE111" s="1924"/>
      <c r="CF111" s="1925"/>
      <c r="CJ111" s="400" t="s">
        <v>760</v>
      </c>
    </row>
    <row r="112" spans="1:88" s="400" customFormat="1" ht="23.1" customHeight="1">
      <c r="A112" s="402"/>
      <c r="B112" s="402"/>
      <c r="C112" s="402"/>
      <c r="D112" s="402"/>
      <c r="E112" s="1828" t="s">
        <v>391</v>
      </c>
      <c r="F112" s="1829"/>
      <c r="G112" s="1829"/>
      <c r="H112" s="1829"/>
      <c r="I112" s="1829"/>
      <c r="J112" s="1829"/>
      <c r="K112" s="1829"/>
      <c r="L112" s="1829"/>
      <c r="M112" s="1829"/>
      <c r="N112" s="1829"/>
      <c r="O112" s="1829"/>
      <c r="P112" s="1829"/>
      <c r="Q112" s="1830" t="s">
        <v>395</v>
      </c>
      <c r="R112" s="1830"/>
      <c r="S112" s="1830"/>
      <c r="T112" s="1830"/>
      <c r="U112" s="1830"/>
      <c r="V112" s="1830"/>
      <c r="W112" s="1830"/>
      <c r="X112" s="1830"/>
      <c r="Y112" s="1830"/>
      <c r="Z112" s="1830"/>
      <c r="AA112" s="1830"/>
      <c r="AB112" s="1830"/>
      <c r="AC112" s="1829">
        <v>0.2</v>
      </c>
      <c r="AD112" s="1829"/>
      <c r="AE112" s="1829"/>
      <c r="AF112" s="1829"/>
      <c r="AG112" s="1829"/>
      <c r="AH112" s="1829"/>
      <c r="AI112" s="1829"/>
      <c r="AJ112" s="1829"/>
      <c r="AK112" s="1929">
        <v>0.9</v>
      </c>
      <c r="AL112" s="1866"/>
      <c r="AM112" s="1866"/>
      <c r="AN112" s="1866"/>
      <c r="AO112" s="1866"/>
      <c r="AP112" s="1866"/>
      <c r="AQ112" s="1866"/>
      <c r="AR112" s="1867"/>
      <c r="AS112" s="1929">
        <v>0.8</v>
      </c>
      <c r="AT112" s="1866"/>
      <c r="AU112" s="1866"/>
      <c r="AV112" s="1866"/>
      <c r="AW112" s="1866"/>
      <c r="AX112" s="1866"/>
      <c r="AY112" s="1866"/>
      <c r="AZ112" s="1867"/>
      <c r="BA112" s="1929">
        <v>0.26</v>
      </c>
      <c r="BB112" s="1866"/>
      <c r="BC112" s="1866"/>
      <c r="BD112" s="1866"/>
      <c r="BE112" s="1866"/>
      <c r="BF112" s="1866"/>
      <c r="BG112" s="1866"/>
      <c r="BH112" s="1867"/>
      <c r="BI112" s="1929" t="s">
        <v>393</v>
      </c>
      <c r="BJ112" s="1866"/>
      <c r="BK112" s="1866"/>
      <c r="BL112" s="1866"/>
      <c r="BM112" s="1866"/>
      <c r="BN112" s="1866"/>
      <c r="BO112" s="1865">
        <v>20</v>
      </c>
      <c r="BP112" s="1866"/>
      <c r="BQ112" s="1866"/>
      <c r="BR112" s="1866"/>
      <c r="BS112" s="1866"/>
      <c r="BT112" s="1867"/>
      <c r="BU112" s="1924">
        <f t="shared" si="10"/>
        <v>6.74</v>
      </c>
      <c r="BV112" s="1924"/>
      <c r="BW112" s="1924"/>
      <c r="BX112" s="1924"/>
      <c r="BY112" s="1924"/>
      <c r="BZ112" s="1924"/>
      <c r="CA112" s="1924"/>
      <c r="CB112" s="1924"/>
      <c r="CC112" s="1924"/>
      <c r="CD112" s="1924"/>
      <c r="CE112" s="1924"/>
      <c r="CF112" s="1925"/>
      <c r="CJ112" s="400" t="s">
        <v>760</v>
      </c>
    </row>
    <row r="113" spans="1:88" s="400" customFormat="1" ht="23.1" customHeight="1">
      <c r="E113" s="1828" t="s">
        <v>391</v>
      </c>
      <c r="F113" s="1829"/>
      <c r="G113" s="1829"/>
      <c r="H113" s="1829"/>
      <c r="I113" s="1829"/>
      <c r="J113" s="1829"/>
      <c r="K113" s="1829"/>
      <c r="L113" s="1829"/>
      <c r="M113" s="1829"/>
      <c r="N113" s="1829"/>
      <c r="O113" s="1829"/>
      <c r="P113" s="1829"/>
      <c r="Q113" s="1830" t="s">
        <v>359</v>
      </c>
      <c r="R113" s="1830"/>
      <c r="S113" s="1830"/>
      <c r="T113" s="1830"/>
      <c r="U113" s="1830"/>
      <c r="V113" s="1830"/>
      <c r="W113" s="1830"/>
      <c r="X113" s="1830"/>
      <c r="Y113" s="1830"/>
      <c r="Z113" s="1830"/>
      <c r="AA113" s="1830"/>
      <c r="AB113" s="1830"/>
      <c r="AC113" s="1829">
        <v>0.4</v>
      </c>
      <c r="AD113" s="1829"/>
      <c r="AE113" s="1829"/>
      <c r="AF113" s="1829"/>
      <c r="AG113" s="1829"/>
      <c r="AH113" s="1829"/>
      <c r="AI113" s="1829"/>
      <c r="AJ113" s="1829"/>
      <c r="AK113" s="1929">
        <v>0.9</v>
      </c>
      <c r="AL113" s="1866"/>
      <c r="AM113" s="1866"/>
      <c r="AN113" s="1866"/>
      <c r="AO113" s="1866"/>
      <c r="AP113" s="1866"/>
      <c r="AQ113" s="1866"/>
      <c r="AR113" s="1867"/>
      <c r="AS113" s="1929">
        <v>0.8</v>
      </c>
      <c r="AT113" s="1866"/>
      <c r="AU113" s="1866"/>
      <c r="AV113" s="1866"/>
      <c r="AW113" s="1866"/>
      <c r="AX113" s="1866"/>
      <c r="AY113" s="1866"/>
      <c r="AZ113" s="1867"/>
      <c r="BA113" s="1929">
        <v>0.26</v>
      </c>
      <c r="BB113" s="1866"/>
      <c r="BC113" s="1866"/>
      <c r="BD113" s="1866"/>
      <c r="BE113" s="1866"/>
      <c r="BF113" s="1866"/>
      <c r="BG113" s="1866"/>
      <c r="BH113" s="1867"/>
      <c r="BI113" s="1929" t="s">
        <v>396</v>
      </c>
      <c r="BJ113" s="1866"/>
      <c r="BK113" s="1866"/>
      <c r="BL113" s="1866"/>
      <c r="BM113" s="1866"/>
      <c r="BN113" s="1866"/>
      <c r="BO113" s="1865">
        <v>18</v>
      </c>
      <c r="BP113" s="1866"/>
      <c r="BQ113" s="1866"/>
      <c r="BR113" s="1866"/>
      <c r="BS113" s="1866"/>
      <c r="BT113" s="1867"/>
      <c r="BU113" s="1924">
        <f t="shared" si="10"/>
        <v>14.98</v>
      </c>
      <c r="BV113" s="1924"/>
      <c r="BW113" s="1924"/>
      <c r="BX113" s="1924"/>
      <c r="BY113" s="1924"/>
      <c r="BZ113" s="1924"/>
      <c r="CA113" s="1924"/>
      <c r="CB113" s="1924"/>
      <c r="CC113" s="1924"/>
      <c r="CD113" s="1924"/>
      <c r="CE113" s="1924"/>
      <c r="CF113" s="1925"/>
      <c r="CJ113" s="400" t="s">
        <v>760</v>
      </c>
    </row>
    <row r="114" spans="1:88" s="400" customFormat="1" ht="23.1" customHeight="1">
      <c r="A114" s="402"/>
      <c r="B114" s="402"/>
      <c r="C114" s="402"/>
      <c r="D114" s="402"/>
      <c r="E114" s="1828" t="s">
        <v>391</v>
      </c>
      <c r="F114" s="1829"/>
      <c r="G114" s="1829"/>
      <c r="H114" s="1829"/>
      <c r="I114" s="1829"/>
      <c r="J114" s="1829"/>
      <c r="K114" s="1829"/>
      <c r="L114" s="1829"/>
      <c r="M114" s="1829"/>
      <c r="N114" s="1829"/>
      <c r="O114" s="1829"/>
      <c r="P114" s="1829"/>
      <c r="Q114" s="1948" t="s">
        <v>397</v>
      </c>
      <c r="R114" s="1949"/>
      <c r="S114" s="1949"/>
      <c r="T114" s="1949"/>
      <c r="U114" s="1949"/>
      <c r="V114" s="1949"/>
      <c r="W114" s="1949"/>
      <c r="X114" s="1949"/>
      <c r="Y114" s="1949"/>
      <c r="Z114" s="1949"/>
      <c r="AA114" s="1949"/>
      <c r="AB114" s="1950"/>
      <c r="AC114" s="1829">
        <v>0.6</v>
      </c>
      <c r="AD114" s="1829"/>
      <c r="AE114" s="1829"/>
      <c r="AF114" s="1829"/>
      <c r="AG114" s="1829"/>
      <c r="AH114" s="1829"/>
      <c r="AI114" s="1829"/>
      <c r="AJ114" s="1829"/>
      <c r="AK114" s="1929">
        <v>0.9</v>
      </c>
      <c r="AL114" s="1866"/>
      <c r="AM114" s="1866"/>
      <c r="AN114" s="1866"/>
      <c r="AO114" s="1866"/>
      <c r="AP114" s="1866"/>
      <c r="AQ114" s="1866"/>
      <c r="AR114" s="1867"/>
      <c r="AS114" s="1929">
        <v>0.8</v>
      </c>
      <c r="AT114" s="1866"/>
      <c r="AU114" s="1866"/>
      <c r="AV114" s="1866"/>
      <c r="AW114" s="1866"/>
      <c r="AX114" s="1866"/>
      <c r="AY114" s="1866"/>
      <c r="AZ114" s="1867"/>
      <c r="BA114" s="1929">
        <v>0.26</v>
      </c>
      <c r="BB114" s="1866"/>
      <c r="BC114" s="1866"/>
      <c r="BD114" s="1866"/>
      <c r="BE114" s="1866"/>
      <c r="BF114" s="1866"/>
      <c r="BG114" s="1866"/>
      <c r="BH114" s="1867"/>
      <c r="BI114" s="1929" t="s">
        <v>398</v>
      </c>
      <c r="BJ114" s="1866"/>
      <c r="BK114" s="1866"/>
      <c r="BL114" s="1866"/>
      <c r="BM114" s="1866"/>
      <c r="BN114" s="1866"/>
      <c r="BO114" s="1865">
        <v>18</v>
      </c>
      <c r="BP114" s="1866"/>
      <c r="BQ114" s="1866"/>
      <c r="BR114" s="1866"/>
      <c r="BS114" s="1866"/>
      <c r="BT114" s="1867"/>
      <c r="BU114" s="1924">
        <f t="shared" si="10"/>
        <v>22.46</v>
      </c>
      <c r="BV114" s="1924"/>
      <c r="BW114" s="1924"/>
      <c r="BX114" s="1924"/>
      <c r="BY114" s="1924"/>
      <c r="BZ114" s="1924"/>
      <c r="CA114" s="1924"/>
      <c r="CB114" s="1924"/>
      <c r="CC114" s="1924"/>
      <c r="CD114" s="1924"/>
      <c r="CE114" s="1924"/>
      <c r="CF114" s="1925"/>
      <c r="CJ114" s="400" t="s">
        <v>760</v>
      </c>
    </row>
    <row r="115" spans="1:88" s="400" customFormat="1" ht="23.1" customHeight="1">
      <c r="E115" s="1828" t="s">
        <v>391</v>
      </c>
      <c r="F115" s="1829"/>
      <c r="G115" s="1829"/>
      <c r="H115" s="1829"/>
      <c r="I115" s="1829"/>
      <c r="J115" s="1829"/>
      <c r="K115" s="1829"/>
      <c r="L115" s="1829"/>
      <c r="M115" s="1829"/>
      <c r="N115" s="1829"/>
      <c r="O115" s="1829"/>
      <c r="P115" s="1829"/>
      <c r="Q115" s="1830" t="s">
        <v>399</v>
      </c>
      <c r="R115" s="1830"/>
      <c r="S115" s="1830"/>
      <c r="T115" s="1830"/>
      <c r="U115" s="1830"/>
      <c r="V115" s="1830"/>
      <c r="W115" s="1830"/>
      <c r="X115" s="1830"/>
      <c r="Y115" s="1830"/>
      <c r="Z115" s="1830"/>
      <c r="AA115" s="1830"/>
      <c r="AB115" s="1830"/>
      <c r="AC115" s="1829">
        <v>0.7</v>
      </c>
      <c r="AD115" s="1829"/>
      <c r="AE115" s="1829"/>
      <c r="AF115" s="1829"/>
      <c r="AG115" s="1829"/>
      <c r="AH115" s="1829"/>
      <c r="AI115" s="1829"/>
      <c r="AJ115" s="1829"/>
      <c r="AK115" s="1929">
        <v>0.9</v>
      </c>
      <c r="AL115" s="1866"/>
      <c r="AM115" s="1866"/>
      <c r="AN115" s="1866"/>
      <c r="AO115" s="1866"/>
      <c r="AP115" s="1866"/>
      <c r="AQ115" s="1866"/>
      <c r="AR115" s="1867"/>
      <c r="AS115" s="1929">
        <v>0.8</v>
      </c>
      <c r="AT115" s="1866"/>
      <c r="AU115" s="1866"/>
      <c r="AV115" s="1866"/>
      <c r="AW115" s="1866"/>
      <c r="AX115" s="1866"/>
      <c r="AY115" s="1866"/>
      <c r="AZ115" s="1867"/>
      <c r="BA115" s="1929">
        <v>0.26</v>
      </c>
      <c r="BB115" s="1866"/>
      <c r="BC115" s="1866"/>
      <c r="BD115" s="1866"/>
      <c r="BE115" s="1866"/>
      <c r="BF115" s="1866"/>
      <c r="BG115" s="1866"/>
      <c r="BH115" s="1867"/>
      <c r="BI115" s="1929" t="s">
        <v>398</v>
      </c>
      <c r="BJ115" s="1866"/>
      <c r="BK115" s="1866"/>
      <c r="BL115" s="1866"/>
      <c r="BM115" s="1866"/>
      <c r="BN115" s="1866"/>
      <c r="BO115" s="1865">
        <v>18</v>
      </c>
      <c r="BP115" s="1866"/>
      <c r="BQ115" s="1866"/>
      <c r="BR115" s="1866"/>
      <c r="BS115" s="1866"/>
      <c r="BT115" s="1867"/>
      <c r="BU115" s="1924">
        <f t="shared" si="10"/>
        <v>26.21</v>
      </c>
      <c r="BV115" s="1924"/>
      <c r="BW115" s="1924"/>
      <c r="BX115" s="1924"/>
      <c r="BY115" s="1924"/>
      <c r="BZ115" s="1924"/>
      <c r="CA115" s="1924"/>
      <c r="CB115" s="1924"/>
      <c r="CC115" s="1924"/>
      <c r="CD115" s="1924"/>
      <c r="CE115" s="1924"/>
      <c r="CF115" s="1925"/>
      <c r="CJ115" s="400" t="s">
        <v>760</v>
      </c>
    </row>
    <row r="116" spans="1:88" s="400" customFormat="1" ht="23.1" customHeight="1">
      <c r="E116" s="1828" t="s">
        <v>391</v>
      </c>
      <c r="F116" s="1829"/>
      <c r="G116" s="1829"/>
      <c r="H116" s="1829"/>
      <c r="I116" s="1829"/>
      <c r="J116" s="1829"/>
      <c r="K116" s="1829"/>
      <c r="L116" s="1829"/>
      <c r="M116" s="1829"/>
      <c r="N116" s="1829"/>
      <c r="O116" s="1829"/>
      <c r="P116" s="1829"/>
      <c r="Q116" s="1830" t="s">
        <v>400</v>
      </c>
      <c r="R116" s="1830"/>
      <c r="S116" s="1830"/>
      <c r="T116" s="1830"/>
      <c r="U116" s="1830"/>
      <c r="V116" s="1830"/>
      <c r="W116" s="1830"/>
      <c r="X116" s="1830"/>
      <c r="Y116" s="1830"/>
      <c r="Z116" s="1830"/>
      <c r="AA116" s="1830"/>
      <c r="AB116" s="1830"/>
      <c r="AC116" s="1829">
        <v>0.8</v>
      </c>
      <c r="AD116" s="1829"/>
      <c r="AE116" s="1829"/>
      <c r="AF116" s="1829"/>
      <c r="AG116" s="1829"/>
      <c r="AH116" s="1829"/>
      <c r="AI116" s="1829"/>
      <c r="AJ116" s="1829"/>
      <c r="AK116" s="1929">
        <v>0.9</v>
      </c>
      <c r="AL116" s="1866"/>
      <c r="AM116" s="1866"/>
      <c r="AN116" s="1866"/>
      <c r="AO116" s="1866"/>
      <c r="AP116" s="1866"/>
      <c r="AQ116" s="1866"/>
      <c r="AR116" s="1867"/>
      <c r="AS116" s="1929">
        <v>0.8</v>
      </c>
      <c r="AT116" s="1866"/>
      <c r="AU116" s="1866"/>
      <c r="AV116" s="1866"/>
      <c r="AW116" s="1866"/>
      <c r="AX116" s="1866"/>
      <c r="AY116" s="1866"/>
      <c r="AZ116" s="1867"/>
      <c r="BA116" s="1929">
        <v>0.26</v>
      </c>
      <c r="BB116" s="1866"/>
      <c r="BC116" s="1866"/>
      <c r="BD116" s="1866"/>
      <c r="BE116" s="1866"/>
      <c r="BF116" s="1866"/>
      <c r="BG116" s="1866"/>
      <c r="BH116" s="1867"/>
      <c r="BI116" s="1929" t="s">
        <v>398</v>
      </c>
      <c r="BJ116" s="1866"/>
      <c r="BK116" s="1866"/>
      <c r="BL116" s="1866"/>
      <c r="BM116" s="1866"/>
      <c r="BN116" s="1866"/>
      <c r="BO116" s="1865">
        <v>18</v>
      </c>
      <c r="BP116" s="1866"/>
      <c r="BQ116" s="1866"/>
      <c r="BR116" s="1866"/>
      <c r="BS116" s="1866"/>
      <c r="BT116" s="1867"/>
      <c r="BU116" s="1924">
        <f t="shared" si="10"/>
        <v>29.95</v>
      </c>
      <c r="BV116" s="1924"/>
      <c r="BW116" s="1924"/>
      <c r="BX116" s="1924"/>
      <c r="BY116" s="1924"/>
      <c r="BZ116" s="1924"/>
      <c r="CA116" s="1924"/>
      <c r="CB116" s="1924"/>
      <c r="CC116" s="1924"/>
      <c r="CD116" s="1924"/>
      <c r="CE116" s="1924"/>
      <c r="CF116" s="1925"/>
      <c r="CJ116" s="400" t="s">
        <v>760</v>
      </c>
    </row>
    <row r="117" spans="1:88" s="400" customFormat="1" ht="23.1" customHeight="1" thickBot="1">
      <c r="A117" s="402"/>
      <c r="B117" s="402"/>
      <c r="C117" s="402"/>
      <c r="D117" s="402"/>
      <c r="E117" s="1822" t="s">
        <v>391</v>
      </c>
      <c r="F117" s="1816"/>
      <c r="G117" s="1816"/>
      <c r="H117" s="1816"/>
      <c r="I117" s="1816"/>
      <c r="J117" s="1816"/>
      <c r="K117" s="1816"/>
      <c r="L117" s="1816"/>
      <c r="M117" s="1816"/>
      <c r="N117" s="1816"/>
      <c r="O117" s="1816"/>
      <c r="P117" s="1819"/>
      <c r="Q117" s="1823" t="s">
        <v>401</v>
      </c>
      <c r="R117" s="1823"/>
      <c r="S117" s="1823"/>
      <c r="T117" s="1823"/>
      <c r="U117" s="1823"/>
      <c r="V117" s="1823"/>
      <c r="W117" s="1823"/>
      <c r="X117" s="1823"/>
      <c r="Y117" s="1823"/>
      <c r="Z117" s="1823"/>
      <c r="AA117" s="1823"/>
      <c r="AB117" s="1823"/>
      <c r="AC117" s="1856">
        <v>1</v>
      </c>
      <c r="AD117" s="1856"/>
      <c r="AE117" s="1856"/>
      <c r="AF117" s="1856"/>
      <c r="AG117" s="1856"/>
      <c r="AH117" s="1856"/>
      <c r="AI117" s="1856"/>
      <c r="AJ117" s="1856"/>
      <c r="AK117" s="1855">
        <v>0.9</v>
      </c>
      <c r="AL117" s="1855"/>
      <c r="AM117" s="1855"/>
      <c r="AN117" s="1855"/>
      <c r="AO117" s="1855"/>
      <c r="AP117" s="1855"/>
      <c r="AQ117" s="1855"/>
      <c r="AR117" s="1855"/>
      <c r="AS117" s="1855">
        <v>0.8</v>
      </c>
      <c r="AT117" s="1855"/>
      <c r="AU117" s="1855"/>
      <c r="AV117" s="1855"/>
      <c r="AW117" s="1855"/>
      <c r="AX117" s="1855"/>
      <c r="AY117" s="1855"/>
      <c r="AZ117" s="1855"/>
      <c r="BA117" s="1855">
        <v>0.26</v>
      </c>
      <c r="BB117" s="1855"/>
      <c r="BC117" s="1855"/>
      <c r="BD117" s="1855"/>
      <c r="BE117" s="1855"/>
      <c r="BF117" s="1855"/>
      <c r="BG117" s="1855"/>
      <c r="BH117" s="1855"/>
      <c r="BI117" s="1815" t="s">
        <v>398</v>
      </c>
      <c r="BJ117" s="1816"/>
      <c r="BK117" s="1816"/>
      <c r="BL117" s="1816"/>
      <c r="BM117" s="1816"/>
      <c r="BN117" s="1816"/>
      <c r="BO117" s="1818">
        <v>19</v>
      </c>
      <c r="BP117" s="1816"/>
      <c r="BQ117" s="1816"/>
      <c r="BR117" s="1816"/>
      <c r="BS117" s="1816"/>
      <c r="BT117" s="1819"/>
      <c r="BU117" s="1825">
        <f t="shared" si="10"/>
        <v>35.47</v>
      </c>
      <c r="BV117" s="1825"/>
      <c r="BW117" s="1825"/>
      <c r="BX117" s="1825"/>
      <c r="BY117" s="1825"/>
      <c r="BZ117" s="1825"/>
      <c r="CA117" s="1825"/>
      <c r="CB117" s="1825"/>
      <c r="CC117" s="1825"/>
      <c r="CD117" s="1825"/>
      <c r="CE117" s="1825"/>
      <c r="CF117" s="1826"/>
      <c r="CJ117" s="400" t="s">
        <v>760</v>
      </c>
    </row>
    <row r="118" spans="1:88" s="412" customFormat="1" ht="9.9499999999999993" customHeight="1">
      <c r="A118" s="413"/>
      <c r="B118" s="413"/>
      <c r="C118" s="413"/>
      <c r="D118" s="413"/>
      <c r="E118" s="413"/>
      <c r="F118" s="413"/>
      <c r="G118" s="413"/>
      <c r="H118" s="413"/>
      <c r="I118" s="413"/>
      <c r="J118" s="413"/>
      <c r="K118" s="413"/>
      <c r="L118" s="413"/>
      <c r="M118" s="413"/>
      <c r="N118" s="413"/>
      <c r="O118" s="413"/>
      <c r="P118" s="413"/>
      <c r="Q118" s="413"/>
      <c r="R118" s="413"/>
      <c r="S118" s="413"/>
      <c r="T118" s="413"/>
      <c r="U118" s="413"/>
      <c r="V118" s="413"/>
      <c r="W118" s="413"/>
      <c r="X118" s="413"/>
      <c r="Y118" s="413"/>
      <c r="Z118" s="413"/>
      <c r="AA118" s="413"/>
      <c r="AB118" s="413"/>
      <c r="AC118" s="413"/>
      <c r="AD118" s="413"/>
      <c r="AE118" s="413"/>
      <c r="AF118" s="413"/>
      <c r="AG118" s="413"/>
      <c r="AH118" s="413"/>
      <c r="AI118" s="413"/>
      <c r="AJ118" s="413"/>
      <c r="AK118" s="413"/>
      <c r="AL118" s="413"/>
      <c r="AM118" s="413"/>
      <c r="AN118" s="413"/>
      <c r="AO118" s="413"/>
      <c r="AP118" s="413"/>
      <c r="AQ118" s="413"/>
      <c r="AR118" s="413"/>
      <c r="AS118" s="413"/>
      <c r="AT118" s="413"/>
      <c r="AU118" s="413"/>
      <c r="AV118" s="413"/>
      <c r="AW118" s="413"/>
      <c r="AX118" s="413"/>
      <c r="AY118" s="413"/>
      <c r="AZ118" s="413"/>
      <c r="BA118" s="413"/>
      <c r="BB118" s="413"/>
      <c r="BC118" s="413"/>
      <c r="BD118" s="413"/>
      <c r="BE118" s="413"/>
      <c r="BF118" s="413"/>
      <c r="BG118" s="413"/>
      <c r="BH118" s="413"/>
      <c r="BI118" s="413"/>
      <c r="BJ118" s="413"/>
      <c r="BK118" s="413"/>
      <c r="BL118" s="413"/>
      <c r="BM118" s="413"/>
      <c r="BN118" s="413"/>
      <c r="BO118" s="413"/>
      <c r="BP118" s="413"/>
      <c r="BQ118" s="413"/>
      <c r="BR118" s="413"/>
      <c r="BS118" s="413"/>
      <c r="BT118" s="413"/>
      <c r="BU118" s="413"/>
      <c r="BV118" s="413"/>
      <c r="BW118" s="413"/>
      <c r="BX118" s="413"/>
      <c r="BY118" s="413"/>
      <c r="BZ118" s="413"/>
      <c r="CA118" s="413"/>
      <c r="CB118" s="413"/>
      <c r="CC118" s="413"/>
      <c r="CD118" s="413"/>
      <c r="CE118" s="413"/>
      <c r="CF118" s="413"/>
      <c r="CJ118" s="400"/>
    </row>
    <row r="119" spans="1:88" s="400" customFormat="1" ht="23.1" customHeight="1">
      <c r="E119" s="400" t="s">
        <v>402</v>
      </c>
    </row>
    <row r="120" spans="1:88" s="400" customFormat="1" ht="9.9499999999999993" customHeight="1" thickBot="1"/>
    <row r="121" spans="1:88" s="400" customFormat="1" ht="23.1" customHeight="1">
      <c r="E121" s="1831" t="s">
        <v>385</v>
      </c>
      <c r="F121" s="1800"/>
      <c r="G121" s="1800"/>
      <c r="H121" s="1800"/>
      <c r="I121" s="1800"/>
      <c r="J121" s="1800"/>
      <c r="K121" s="1800"/>
      <c r="L121" s="1800"/>
      <c r="M121" s="1800"/>
      <c r="N121" s="1800"/>
      <c r="O121" s="1800"/>
      <c r="P121" s="1800"/>
      <c r="Q121" s="1800"/>
      <c r="R121" s="1800"/>
      <c r="S121" s="1800"/>
      <c r="T121" s="1800"/>
      <c r="U121" s="1800" t="s">
        <v>212</v>
      </c>
      <c r="V121" s="1800"/>
      <c r="W121" s="1800"/>
      <c r="X121" s="1800"/>
      <c r="Y121" s="1800"/>
      <c r="Z121" s="1800"/>
      <c r="AA121" s="1800"/>
      <c r="AB121" s="1800"/>
      <c r="AC121" s="1800" t="s">
        <v>403</v>
      </c>
      <c r="AD121" s="1800"/>
      <c r="AE121" s="1800"/>
      <c r="AF121" s="1800"/>
      <c r="AG121" s="1800"/>
      <c r="AH121" s="1800"/>
      <c r="AI121" s="1800"/>
      <c r="AJ121" s="1800"/>
      <c r="AK121" s="1800"/>
      <c r="AL121" s="1800"/>
      <c r="AM121" s="1800"/>
      <c r="AN121" s="1800"/>
      <c r="AO121" s="1800"/>
      <c r="AP121" s="1800"/>
      <c r="AQ121" s="1800"/>
      <c r="AR121" s="1800"/>
      <c r="AS121" s="1800"/>
      <c r="AT121" s="1800"/>
      <c r="AU121" s="1800"/>
      <c r="AV121" s="1800"/>
      <c r="AW121" s="1800"/>
      <c r="AX121" s="1800"/>
      <c r="AY121" s="1800"/>
      <c r="AZ121" s="1800"/>
      <c r="BA121" s="1833" t="s">
        <v>404</v>
      </c>
      <c r="BB121" s="1800"/>
      <c r="BC121" s="1800"/>
      <c r="BD121" s="1800"/>
      <c r="BE121" s="1800"/>
      <c r="BF121" s="1800"/>
      <c r="BG121" s="1800"/>
      <c r="BH121" s="1800"/>
      <c r="BI121" s="1800" t="s">
        <v>405</v>
      </c>
      <c r="BJ121" s="1800"/>
      <c r="BK121" s="1800"/>
      <c r="BL121" s="1800"/>
      <c r="BM121" s="1800"/>
      <c r="BN121" s="1800"/>
      <c r="BO121" s="1800"/>
      <c r="BP121" s="1800"/>
      <c r="BQ121" s="1800"/>
      <c r="BR121" s="1800"/>
      <c r="BS121" s="1800"/>
      <c r="BT121" s="1800"/>
      <c r="BU121" s="1800"/>
      <c r="BV121" s="1800"/>
      <c r="BW121" s="1800"/>
      <c r="BX121" s="1800"/>
      <c r="BY121" s="1800"/>
      <c r="BZ121" s="1800"/>
      <c r="CA121" s="1800"/>
      <c r="CB121" s="1800"/>
      <c r="CC121" s="1800"/>
      <c r="CD121" s="1800"/>
      <c r="CE121" s="1800"/>
      <c r="CF121" s="1801"/>
    </row>
    <row r="122" spans="1:88" s="400" customFormat="1" ht="23.1" customHeight="1" thickBot="1">
      <c r="A122" s="402"/>
      <c r="B122" s="402"/>
      <c r="C122" s="402"/>
      <c r="D122" s="402"/>
      <c r="E122" s="1832"/>
      <c r="F122" s="1786"/>
      <c r="G122" s="1786"/>
      <c r="H122" s="1786"/>
      <c r="I122" s="1786"/>
      <c r="J122" s="1786"/>
      <c r="K122" s="1786"/>
      <c r="L122" s="1786"/>
      <c r="M122" s="1786"/>
      <c r="N122" s="1786"/>
      <c r="O122" s="1786"/>
      <c r="P122" s="1786"/>
      <c r="Q122" s="1786"/>
      <c r="R122" s="1786"/>
      <c r="S122" s="1786"/>
      <c r="T122" s="1786"/>
      <c r="U122" s="1786"/>
      <c r="V122" s="1786"/>
      <c r="W122" s="1786"/>
      <c r="X122" s="1786"/>
      <c r="Y122" s="1786"/>
      <c r="Z122" s="1786"/>
      <c r="AA122" s="1786"/>
      <c r="AB122" s="1786"/>
      <c r="AC122" s="1786" t="s">
        <v>406</v>
      </c>
      <c r="AD122" s="1786"/>
      <c r="AE122" s="1786"/>
      <c r="AF122" s="1786"/>
      <c r="AG122" s="1786"/>
      <c r="AH122" s="1786"/>
      <c r="AI122" s="1786"/>
      <c r="AJ122" s="1786"/>
      <c r="AK122" s="1786" t="s">
        <v>407</v>
      </c>
      <c r="AL122" s="1786"/>
      <c r="AM122" s="1786"/>
      <c r="AN122" s="1786"/>
      <c r="AO122" s="1786"/>
      <c r="AP122" s="1786"/>
      <c r="AQ122" s="1786"/>
      <c r="AR122" s="1786"/>
      <c r="AS122" s="1786" t="s">
        <v>408</v>
      </c>
      <c r="AT122" s="1786"/>
      <c r="AU122" s="1786"/>
      <c r="AV122" s="1786"/>
      <c r="AW122" s="1786"/>
      <c r="AX122" s="1786"/>
      <c r="AY122" s="1786"/>
      <c r="AZ122" s="1786"/>
      <c r="BA122" s="1786"/>
      <c r="BB122" s="1786"/>
      <c r="BC122" s="1786"/>
      <c r="BD122" s="1786"/>
      <c r="BE122" s="1786"/>
      <c r="BF122" s="1786"/>
      <c r="BG122" s="1786"/>
      <c r="BH122" s="1786"/>
      <c r="BI122" s="1786" t="s">
        <v>406</v>
      </c>
      <c r="BJ122" s="1786"/>
      <c r="BK122" s="1786"/>
      <c r="BL122" s="1786"/>
      <c r="BM122" s="1786"/>
      <c r="BN122" s="1786"/>
      <c r="BO122" s="1786"/>
      <c r="BP122" s="1786"/>
      <c r="BQ122" s="1786" t="s">
        <v>407</v>
      </c>
      <c r="BR122" s="1786"/>
      <c r="BS122" s="1786"/>
      <c r="BT122" s="1786"/>
      <c r="BU122" s="1786"/>
      <c r="BV122" s="1786"/>
      <c r="BW122" s="1786"/>
      <c r="BX122" s="1786"/>
      <c r="BY122" s="1786" t="s">
        <v>408</v>
      </c>
      <c r="BZ122" s="1786"/>
      <c r="CA122" s="1786"/>
      <c r="CB122" s="1786"/>
      <c r="CC122" s="1786"/>
      <c r="CD122" s="1786"/>
      <c r="CE122" s="1786"/>
      <c r="CF122" s="1787"/>
    </row>
    <row r="123" spans="1:88" s="400" customFormat="1" ht="23.1" customHeight="1" thickTop="1">
      <c r="E123" s="1820" t="s">
        <v>277</v>
      </c>
      <c r="F123" s="1821"/>
      <c r="G123" s="1821"/>
      <c r="H123" s="1821"/>
      <c r="I123" s="1821"/>
      <c r="J123" s="1821"/>
      <c r="K123" s="1821"/>
      <c r="L123" s="1821"/>
      <c r="M123" s="1821"/>
      <c r="N123" s="1821"/>
      <c r="O123" s="1821"/>
      <c r="P123" s="1821"/>
      <c r="Q123" s="1821"/>
      <c r="R123" s="1821"/>
      <c r="S123" s="1821"/>
      <c r="T123" s="1821"/>
      <c r="U123" s="1821" t="s">
        <v>392</v>
      </c>
      <c r="V123" s="1821"/>
      <c r="W123" s="1821"/>
      <c r="X123" s="1821"/>
      <c r="Y123" s="1821"/>
      <c r="Z123" s="1821"/>
      <c r="AA123" s="1821"/>
      <c r="AB123" s="1821"/>
      <c r="AC123" s="1785" t="e">
        <f>#REF!</f>
        <v>#REF!</v>
      </c>
      <c r="AD123" s="1785"/>
      <c r="AE123" s="1785"/>
      <c r="AF123" s="1785"/>
      <c r="AG123" s="1785"/>
      <c r="AH123" s="1785"/>
      <c r="AI123" s="1785"/>
      <c r="AJ123" s="1785"/>
      <c r="AK123" s="1785" t="e">
        <f>#REF!</f>
        <v>#REF!</v>
      </c>
      <c r="AL123" s="1785"/>
      <c r="AM123" s="1785"/>
      <c r="AN123" s="1785"/>
      <c r="AO123" s="1785"/>
      <c r="AP123" s="1785"/>
      <c r="AQ123" s="1785"/>
      <c r="AR123" s="1785"/>
      <c r="AS123" s="1785" t="e">
        <f>#REF!</f>
        <v>#REF!</v>
      </c>
      <c r="AT123" s="1785"/>
      <c r="AU123" s="1785"/>
      <c r="AV123" s="1785"/>
      <c r="AW123" s="1785"/>
      <c r="AX123" s="1785"/>
      <c r="AY123" s="1785"/>
      <c r="AZ123" s="1785"/>
      <c r="BA123" s="1963">
        <f>BU110</f>
        <v>4.04</v>
      </c>
      <c r="BB123" s="1963"/>
      <c r="BC123" s="1963"/>
      <c r="BD123" s="1963"/>
      <c r="BE123" s="1963"/>
      <c r="BF123" s="1963"/>
      <c r="BG123" s="1963"/>
      <c r="BH123" s="1963"/>
      <c r="BI123" s="1812" t="e">
        <f t="shared" ref="BI123:BI131" si="11">INT(AC123/$BA123)</f>
        <v>#REF!</v>
      </c>
      <c r="BJ123" s="1812"/>
      <c r="BK123" s="1812"/>
      <c r="BL123" s="1812"/>
      <c r="BM123" s="1812"/>
      <c r="BN123" s="1812"/>
      <c r="BO123" s="1812"/>
      <c r="BP123" s="1812"/>
      <c r="BQ123" s="1812" t="e">
        <f t="shared" ref="BQ123:BQ131" si="12">INT(AK123/$BA123)</f>
        <v>#REF!</v>
      </c>
      <c r="BR123" s="1812"/>
      <c r="BS123" s="1812"/>
      <c r="BT123" s="1812"/>
      <c r="BU123" s="1812"/>
      <c r="BV123" s="1812"/>
      <c r="BW123" s="1812"/>
      <c r="BX123" s="1812"/>
      <c r="BY123" s="1812" t="e">
        <f t="shared" ref="BY123:BY131" si="13">INT(AS123/$BA123)</f>
        <v>#REF!</v>
      </c>
      <c r="BZ123" s="1812"/>
      <c r="CA123" s="1812"/>
      <c r="CB123" s="1812"/>
      <c r="CC123" s="1812"/>
      <c r="CD123" s="1812"/>
      <c r="CE123" s="1812"/>
      <c r="CF123" s="1813"/>
    </row>
    <row r="124" spans="1:88" s="400" customFormat="1" ht="23.1" customHeight="1">
      <c r="E124" s="1806" t="s">
        <v>277</v>
      </c>
      <c r="F124" s="1807"/>
      <c r="G124" s="1807"/>
      <c r="H124" s="1807"/>
      <c r="I124" s="1807"/>
      <c r="J124" s="1807"/>
      <c r="K124" s="1807"/>
      <c r="L124" s="1807"/>
      <c r="M124" s="1807"/>
      <c r="N124" s="1807"/>
      <c r="O124" s="1807"/>
      <c r="P124" s="1807"/>
      <c r="Q124" s="1807"/>
      <c r="R124" s="1807"/>
      <c r="S124" s="1807"/>
      <c r="T124" s="1807"/>
      <c r="U124" s="1807" t="s">
        <v>395</v>
      </c>
      <c r="V124" s="1807"/>
      <c r="W124" s="1807"/>
      <c r="X124" s="1807"/>
      <c r="Y124" s="1807"/>
      <c r="Z124" s="1807"/>
      <c r="AA124" s="1807"/>
      <c r="AB124" s="1807"/>
      <c r="AC124" s="1814" t="e">
        <f>#REF!</f>
        <v>#REF!</v>
      </c>
      <c r="AD124" s="1814"/>
      <c r="AE124" s="1814"/>
      <c r="AF124" s="1814"/>
      <c r="AG124" s="1814"/>
      <c r="AH124" s="1814"/>
      <c r="AI124" s="1814"/>
      <c r="AJ124" s="1814"/>
      <c r="AK124" s="1814" t="e">
        <f>#REF!</f>
        <v>#REF!</v>
      </c>
      <c r="AL124" s="1814"/>
      <c r="AM124" s="1814"/>
      <c r="AN124" s="1814"/>
      <c r="AO124" s="1814"/>
      <c r="AP124" s="1814"/>
      <c r="AQ124" s="1814"/>
      <c r="AR124" s="1814"/>
      <c r="AS124" s="1814" t="e">
        <f>#REF!</f>
        <v>#REF!</v>
      </c>
      <c r="AT124" s="1814"/>
      <c r="AU124" s="1814"/>
      <c r="AV124" s="1814"/>
      <c r="AW124" s="1814"/>
      <c r="AX124" s="1814"/>
      <c r="AY124" s="1814"/>
      <c r="AZ124" s="1814"/>
      <c r="BA124" s="1797">
        <f t="shared" ref="BA124:BA129" si="14">BU112</f>
        <v>6.74</v>
      </c>
      <c r="BB124" s="1797"/>
      <c r="BC124" s="1797"/>
      <c r="BD124" s="1797"/>
      <c r="BE124" s="1797"/>
      <c r="BF124" s="1797"/>
      <c r="BG124" s="1797"/>
      <c r="BH124" s="1797"/>
      <c r="BI124" s="1785" t="e">
        <f t="shared" si="11"/>
        <v>#REF!</v>
      </c>
      <c r="BJ124" s="1785"/>
      <c r="BK124" s="1785"/>
      <c r="BL124" s="1785"/>
      <c r="BM124" s="1785"/>
      <c r="BN124" s="1785"/>
      <c r="BO124" s="1785"/>
      <c r="BP124" s="1785"/>
      <c r="BQ124" s="1785" t="e">
        <f t="shared" si="12"/>
        <v>#REF!</v>
      </c>
      <c r="BR124" s="1785"/>
      <c r="BS124" s="1785"/>
      <c r="BT124" s="1785"/>
      <c r="BU124" s="1785"/>
      <c r="BV124" s="1785"/>
      <c r="BW124" s="1785"/>
      <c r="BX124" s="1785"/>
      <c r="BY124" s="1785" t="e">
        <f t="shared" si="13"/>
        <v>#REF!</v>
      </c>
      <c r="BZ124" s="1785"/>
      <c r="CA124" s="1785"/>
      <c r="CB124" s="1785"/>
      <c r="CC124" s="1785"/>
      <c r="CD124" s="1785"/>
      <c r="CE124" s="1785"/>
      <c r="CF124" s="1793"/>
    </row>
    <row r="125" spans="1:88" s="400" customFormat="1" ht="23.1" customHeight="1">
      <c r="E125" s="1806" t="s">
        <v>277</v>
      </c>
      <c r="F125" s="1807"/>
      <c r="G125" s="1807"/>
      <c r="H125" s="1807"/>
      <c r="I125" s="1807"/>
      <c r="J125" s="1807"/>
      <c r="K125" s="1807"/>
      <c r="L125" s="1807"/>
      <c r="M125" s="1807"/>
      <c r="N125" s="1807"/>
      <c r="O125" s="1807"/>
      <c r="P125" s="1807"/>
      <c r="Q125" s="1807"/>
      <c r="R125" s="1807"/>
      <c r="S125" s="1807"/>
      <c r="T125" s="1807"/>
      <c r="U125" s="1807" t="s">
        <v>359</v>
      </c>
      <c r="V125" s="1807"/>
      <c r="W125" s="1807"/>
      <c r="X125" s="1807"/>
      <c r="Y125" s="1807"/>
      <c r="Z125" s="1807"/>
      <c r="AA125" s="1807"/>
      <c r="AB125" s="1807"/>
      <c r="AC125" s="1803" t="e">
        <f>#REF!</f>
        <v>#REF!</v>
      </c>
      <c r="AD125" s="1804"/>
      <c r="AE125" s="1804"/>
      <c r="AF125" s="1804"/>
      <c r="AG125" s="1804"/>
      <c r="AH125" s="1804"/>
      <c r="AI125" s="1804"/>
      <c r="AJ125" s="1805"/>
      <c r="AK125" s="1803" t="e">
        <f>#REF!</f>
        <v>#REF!</v>
      </c>
      <c r="AL125" s="1804"/>
      <c r="AM125" s="1804"/>
      <c r="AN125" s="1804"/>
      <c r="AO125" s="1804"/>
      <c r="AP125" s="1804"/>
      <c r="AQ125" s="1804"/>
      <c r="AR125" s="1805"/>
      <c r="AS125" s="1803" t="e">
        <f>#REF!</f>
        <v>#REF!</v>
      </c>
      <c r="AT125" s="1804"/>
      <c r="AU125" s="1804"/>
      <c r="AV125" s="1804"/>
      <c r="AW125" s="1804"/>
      <c r="AX125" s="1804"/>
      <c r="AY125" s="1804"/>
      <c r="AZ125" s="1805"/>
      <c r="BA125" s="1797">
        <f t="shared" si="14"/>
        <v>14.98</v>
      </c>
      <c r="BB125" s="1797"/>
      <c r="BC125" s="1797"/>
      <c r="BD125" s="1797"/>
      <c r="BE125" s="1797"/>
      <c r="BF125" s="1797"/>
      <c r="BG125" s="1797"/>
      <c r="BH125" s="1797"/>
      <c r="BI125" s="1785" t="e">
        <f t="shared" si="11"/>
        <v>#REF!</v>
      </c>
      <c r="BJ125" s="1785"/>
      <c r="BK125" s="1785"/>
      <c r="BL125" s="1785"/>
      <c r="BM125" s="1785"/>
      <c r="BN125" s="1785"/>
      <c r="BO125" s="1785"/>
      <c r="BP125" s="1785"/>
      <c r="BQ125" s="1785" t="e">
        <f t="shared" si="12"/>
        <v>#REF!</v>
      </c>
      <c r="BR125" s="1785"/>
      <c r="BS125" s="1785"/>
      <c r="BT125" s="1785"/>
      <c r="BU125" s="1785"/>
      <c r="BV125" s="1785"/>
      <c r="BW125" s="1785"/>
      <c r="BX125" s="1785"/>
      <c r="BY125" s="1785" t="e">
        <f t="shared" si="13"/>
        <v>#REF!</v>
      </c>
      <c r="BZ125" s="1785"/>
      <c r="CA125" s="1785"/>
      <c r="CB125" s="1785"/>
      <c r="CC125" s="1785"/>
      <c r="CD125" s="1785"/>
      <c r="CE125" s="1785"/>
      <c r="CF125" s="1793"/>
    </row>
    <row r="126" spans="1:88" s="400" customFormat="1" ht="23.1" customHeight="1">
      <c r="E126" s="1806" t="s">
        <v>277</v>
      </c>
      <c r="F126" s="1807"/>
      <c r="G126" s="1807"/>
      <c r="H126" s="1807"/>
      <c r="I126" s="1807"/>
      <c r="J126" s="1807"/>
      <c r="K126" s="1807"/>
      <c r="L126" s="1807"/>
      <c r="M126" s="1807"/>
      <c r="N126" s="1807"/>
      <c r="O126" s="1807"/>
      <c r="P126" s="1807"/>
      <c r="Q126" s="1807"/>
      <c r="R126" s="1807"/>
      <c r="S126" s="1807"/>
      <c r="T126" s="1807"/>
      <c r="U126" s="1807" t="s">
        <v>397</v>
      </c>
      <c r="V126" s="1807"/>
      <c r="W126" s="1807"/>
      <c r="X126" s="1807"/>
      <c r="Y126" s="1807"/>
      <c r="Z126" s="1807"/>
      <c r="AA126" s="1807"/>
      <c r="AB126" s="1807"/>
      <c r="AC126" s="1803" t="e">
        <f>#REF!</f>
        <v>#REF!</v>
      </c>
      <c r="AD126" s="1804"/>
      <c r="AE126" s="1804"/>
      <c r="AF126" s="1804"/>
      <c r="AG126" s="1804"/>
      <c r="AH126" s="1804"/>
      <c r="AI126" s="1804"/>
      <c r="AJ126" s="1805"/>
      <c r="AK126" s="1803" t="e">
        <f>#REF!</f>
        <v>#REF!</v>
      </c>
      <c r="AL126" s="1804"/>
      <c r="AM126" s="1804"/>
      <c r="AN126" s="1804"/>
      <c r="AO126" s="1804"/>
      <c r="AP126" s="1804"/>
      <c r="AQ126" s="1804"/>
      <c r="AR126" s="1805"/>
      <c r="AS126" s="1803" t="e">
        <f>#REF!</f>
        <v>#REF!</v>
      </c>
      <c r="AT126" s="1804"/>
      <c r="AU126" s="1804"/>
      <c r="AV126" s="1804"/>
      <c r="AW126" s="1804"/>
      <c r="AX126" s="1804"/>
      <c r="AY126" s="1804"/>
      <c r="AZ126" s="1805"/>
      <c r="BA126" s="1797">
        <f t="shared" si="14"/>
        <v>22.46</v>
      </c>
      <c r="BB126" s="1797"/>
      <c r="BC126" s="1797"/>
      <c r="BD126" s="1797"/>
      <c r="BE126" s="1797"/>
      <c r="BF126" s="1797"/>
      <c r="BG126" s="1797"/>
      <c r="BH126" s="1797"/>
      <c r="BI126" s="1785" t="e">
        <f t="shared" si="11"/>
        <v>#REF!</v>
      </c>
      <c r="BJ126" s="1785"/>
      <c r="BK126" s="1785"/>
      <c r="BL126" s="1785"/>
      <c r="BM126" s="1785"/>
      <c r="BN126" s="1785"/>
      <c r="BO126" s="1785"/>
      <c r="BP126" s="1785"/>
      <c r="BQ126" s="1785" t="e">
        <f t="shared" si="12"/>
        <v>#REF!</v>
      </c>
      <c r="BR126" s="1785"/>
      <c r="BS126" s="1785"/>
      <c r="BT126" s="1785"/>
      <c r="BU126" s="1785"/>
      <c r="BV126" s="1785"/>
      <c r="BW126" s="1785"/>
      <c r="BX126" s="1785"/>
      <c r="BY126" s="1785" t="e">
        <f t="shared" si="13"/>
        <v>#REF!</v>
      </c>
      <c r="BZ126" s="1785"/>
      <c r="CA126" s="1785"/>
      <c r="CB126" s="1785"/>
      <c r="CC126" s="1785"/>
      <c r="CD126" s="1785"/>
      <c r="CE126" s="1785"/>
      <c r="CF126" s="1793"/>
    </row>
    <row r="127" spans="1:88" s="400" customFormat="1" ht="23.1" customHeight="1">
      <c r="D127" s="403"/>
      <c r="E127" s="1806" t="s">
        <v>277</v>
      </c>
      <c r="F127" s="1807"/>
      <c r="G127" s="1807"/>
      <c r="H127" s="1807"/>
      <c r="I127" s="1807"/>
      <c r="J127" s="1807"/>
      <c r="K127" s="1807"/>
      <c r="L127" s="1807"/>
      <c r="M127" s="1807"/>
      <c r="N127" s="1807"/>
      <c r="O127" s="1807"/>
      <c r="P127" s="1807"/>
      <c r="Q127" s="1807"/>
      <c r="R127" s="1807"/>
      <c r="S127" s="1807"/>
      <c r="T127" s="1807"/>
      <c r="U127" s="1807" t="s">
        <v>399</v>
      </c>
      <c r="V127" s="1807"/>
      <c r="W127" s="1807"/>
      <c r="X127" s="1807"/>
      <c r="Y127" s="1807"/>
      <c r="Z127" s="1807"/>
      <c r="AA127" s="1807"/>
      <c r="AB127" s="1807"/>
      <c r="AC127" s="1803" t="e">
        <f>#REF!</f>
        <v>#REF!</v>
      </c>
      <c r="AD127" s="1804"/>
      <c r="AE127" s="1804"/>
      <c r="AF127" s="1804"/>
      <c r="AG127" s="1804"/>
      <c r="AH127" s="1804"/>
      <c r="AI127" s="1804"/>
      <c r="AJ127" s="1805"/>
      <c r="AK127" s="1803" t="e">
        <f>#REF!</f>
        <v>#REF!</v>
      </c>
      <c r="AL127" s="1804"/>
      <c r="AM127" s="1804"/>
      <c r="AN127" s="1804"/>
      <c r="AO127" s="1804"/>
      <c r="AP127" s="1804"/>
      <c r="AQ127" s="1804"/>
      <c r="AR127" s="1805"/>
      <c r="AS127" s="1803" t="e">
        <f>#REF!</f>
        <v>#REF!</v>
      </c>
      <c r="AT127" s="1804"/>
      <c r="AU127" s="1804"/>
      <c r="AV127" s="1804"/>
      <c r="AW127" s="1804"/>
      <c r="AX127" s="1804"/>
      <c r="AY127" s="1804"/>
      <c r="AZ127" s="1805"/>
      <c r="BA127" s="1797">
        <f t="shared" si="14"/>
        <v>26.21</v>
      </c>
      <c r="BB127" s="1797"/>
      <c r="BC127" s="1797"/>
      <c r="BD127" s="1797"/>
      <c r="BE127" s="1797"/>
      <c r="BF127" s="1797"/>
      <c r="BG127" s="1797"/>
      <c r="BH127" s="1797"/>
      <c r="BI127" s="1785" t="e">
        <f t="shared" si="11"/>
        <v>#REF!</v>
      </c>
      <c r="BJ127" s="1785"/>
      <c r="BK127" s="1785"/>
      <c r="BL127" s="1785"/>
      <c r="BM127" s="1785"/>
      <c r="BN127" s="1785"/>
      <c r="BO127" s="1785"/>
      <c r="BP127" s="1785"/>
      <c r="BQ127" s="1785" t="e">
        <f t="shared" si="12"/>
        <v>#REF!</v>
      </c>
      <c r="BR127" s="1785"/>
      <c r="BS127" s="1785"/>
      <c r="BT127" s="1785"/>
      <c r="BU127" s="1785"/>
      <c r="BV127" s="1785"/>
      <c r="BW127" s="1785"/>
      <c r="BX127" s="1785"/>
      <c r="BY127" s="1785" t="e">
        <f t="shared" si="13"/>
        <v>#REF!</v>
      </c>
      <c r="BZ127" s="1785"/>
      <c r="CA127" s="1785"/>
      <c r="CB127" s="1785"/>
      <c r="CC127" s="1785"/>
      <c r="CD127" s="1785"/>
      <c r="CE127" s="1785"/>
      <c r="CF127" s="1793"/>
    </row>
    <row r="128" spans="1:88" s="400" customFormat="1" ht="23.1" customHeight="1">
      <c r="A128" s="402"/>
      <c r="B128" s="402"/>
      <c r="C128" s="402"/>
      <c r="D128" s="402"/>
      <c r="E128" s="1806" t="s">
        <v>277</v>
      </c>
      <c r="F128" s="1807"/>
      <c r="G128" s="1807"/>
      <c r="H128" s="1807"/>
      <c r="I128" s="1807"/>
      <c r="J128" s="1807"/>
      <c r="K128" s="1807"/>
      <c r="L128" s="1807"/>
      <c r="M128" s="1807"/>
      <c r="N128" s="1807"/>
      <c r="O128" s="1807"/>
      <c r="P128" s="1807"/>
      <c r="Q128" s="1807"/>
      <c r="R128" s="1807"/>
      <c r="S128" s="1807"/>
      <c r="T128" s="1807"/>
      <c r="U128" s="1807" t="s">
        <v>400</v>
      </c>
      <c r="V128" s="1807"/>
      <c r="W128" s="1807"/>
      <c r="X128" s="1807"/>
      <c r="Y128" s="1807"/>
      <c r="Z128" s="1807"/>
      <c r="AA128" s="1807"/>
      <c r="AB128" s="1807"/>
      <c r="AC128" s="1803" t="e">
        <f>#REF!</f>
        <v>#REF!</v>
      </c>
      <c r="AD128" s="1804"/>
      <c r="AE128" s="1804"/>
      <c r="AF128" s="1804"/>
      <c r="AG128" s="1804"/>
      <c r="AH128" s="1804"/>
      <c r="AI128" s="1804"/>
      <c r="AJ128" s="1805"/>
      <c r="AK128" s="1803" t="e">
        <f>#REF!</f>
        <v>#REF!</v>
      </c>
      <c r="AL128" s="1804"/>
      <c r="AM128" s="1804"/>
      <c r="AN128" s="1804"/>
      <c r="AO128" s="1804"/>
      <c r="AP128" s="1804"/>
      <c r="AQ128" s="1804"/>
      <c r="AR128" s="1805"/>
      <c r="AS128" s="1803" t="e">
        <f>#REF!</f>
        <v>#REF!</v>
      </c>
      <c r="AT128" s="1804"/>
      <c r="AU128" s="1804"/>
      <c r="AV128" s="1804"/>
      <c r="AW128" s="1804"/>
      <c r="AX128" s="1804"/>
      <c r="AY128" s="1804"/>
      <c r="AZ128" s="1805"/>
      <c r="BA128" s="1797">
        <f t="shared" si="14"/>
        <v>29.95</v>
      </c>
      <c r="BB128" s="1797"/>
      <c r="BC128" s="1797"/>
      <c r="BD128" s="1797"/>
      <c r="BE128" s="1797"/>
      <c r="BF128" s="1797"/>
      <c r="BG128" s="1797"/>
      <c r="BH128" s="1797"/>
      <c r="BI128" s="1785" t="e">
        <f t="shared" si="11"/>
        <v>#REF!</v>
      </c>
      <c r="BJ128" s="1785"/>
      <c r="BK128" s="1785"/>
      <c r="BL128" s="1785"/>
      <c r="BM128" s="1785"/>
      <c r="BN128" s="1785"/>
      <c r="BO128" s="1785"/>
      <c r="BP128" s="1785"/>
      <c r="BQ128" s="1785" t="e">
        <f t="shared" si="12"/>
        <v>#REF!</v>
      </c>
      <c r="BR128" s="1785"/>
      <c r="BS128" s="1785"/>
      <c r="BT128" s="1785"/>
      <c r="BU128" s="1785"/>
      <c r="BV128" s="1785"/>
      <c r="BW128" s="1785"/>
      <c r="BX128" s="1785"/>
      <c r="BY128" s="1785" t="e">
        <f t="shared" si="13"/>
        <v>#REF!</v>
      </c>
      <c r="BZ128" s="1785"/>
      <c r="CA128" s="1785"/>
      <c r="CB128" s="1785"/>
      <c r="CC128" s="1785"/>
      <c r="CD128" s="1785"/>
      <c r="CE128" s="1785"/>
      <c r="CF128" s="1793"/>
    </row>
    <row r="129" spans="1:88" s="400" customFormat="1" ht="23.1" customHeight="1">
      <c r="E129" s="1806" t="s">
        <v>277</v>
      </c>
      <c r="F129" s="1807"/>
      <c r="G129" s="1807"/>
      <c r="H129" s="1807"/>
      <c r="I129" s="1807"/>
      <c r="J129" s="1807"/>
      <c r="K129" s="1807"/>
      <c r="L129" s="1807"/>
      <c r="M129" s="1807"/>
      <c r="N129" s="1807"/>
      <c r="O129" s="1807"/>
      <c r="P129" s="1807"/>
      <c r="Q129" s="1807"/>
      <c r="R129" s="1807"/>
      <c r="S129" s="1807"/>
      <c r="T129" s="1807"/>
      <c r="U129" s="1807" t="s">
        <v>401</v>
      </c>
      <c r="V129" s="1807"/>
      <c r="W129" s="1807"/>
      <c r="X129" s="1807"/>
      <c r="Y129" s="1807"/>
      <c r="Z129" s="1807"/>
      <c r="AA129" s="1807"/>
      <c r="AB129" s="1807"/>
      <c r="AC129" s="1803" t="e">
        <f>#REF!</f>
        <v>#REF!</v>
      </c>
      <c r="AD129" s="1804"/>
      <c r="AE129" s="1804"/>
      <c r="AF129" s="1804"/>
      <c r="AG129" s="1804"/>
      <c r="AH129" s="1804"/>
      <c r="AI129" s="1804"/>
      <c r="AJ129" s="1805"/>
      <c r="AK129" s="1803" t="e">
        <f>#REF!</f>
        <v>#REF!</v>
      </c>
      <c r="AL129" s="1804"/>
      <c r="AM129" s="1804"/>
      <c r="AN129" s="1804"/>
      <c r="AO129" s="1804"/>
      <c r="AP129" s="1804"/>
      <c r="AQ129" s="1804"/>
      <c r="AR129" s="1805"/>
      <c r="AS129" s="1803" t="e">
        <f>#REF!</f>
        <v>#REF!</v>
      </c>
      <c r="AT129" s="1804"/>
      <c r="AU129" s="1804"/>
      <c r="AV129" s="1804"/>
      <c r="AW129" s="1804"/>
      <c r="AX129" s="1804"/>
      <c r="AY129" s="1804"/>
      <c r="AZ129" s="1805"/>
      <c r="BA129" s="1797">
        <f t="shared" si="14"/>
        <v>35.47</v>
      </c>
      <c r="BB129" s="1797"/>
      <c r="BC129" s="1797"/>
      <c r="BD129" s="1797"/>
      <c r="BE129" s="1797"/>
      <c r="BF129" s="1797"/>
      <c r="BG129" s="1797"/>
      <c r="BH129" s="1797"/>
      <c r="BI129" s="1785" t="e">
        <f t="shared" si="11"/>
        <v>#REF!</v>
      </c>
      <c r="BJ129" s="1785"/>
      <c r="BK129" s="1785"/>
      <c r="BL129" s="1785"/>
      <c r="BM129" s="1785"/>
      <c r="BN129" s="1785"/>
      <c r="BO129" s="1785"/>
      <c r="BP129" s="1785"/>
      <c r="BQ129" s="1785" t="e">
        <f t="shared" si="12"/>
        <v>#REF!</v>
      </c>
      <c r="BR129" s="1785"/>
      <c r="BS129" s="1785"/>
      <c r="BT129" s="1785"/>
      <c r="BU129" s="1785"/>
      <c r="BV129" s="1785"/>
      <c r="BW129" s="1785"/>
      <c r="BX129" s="1785"/>
      <c r="BY129" s="1785" t="e">
        <f t="shared" si="13"/>
        <v>#REF!</v>
      </c>
      <c r="BZ129" s="1785"/>
      <c r="CA129" s="1785"/>
      <c r="CB129" s="1785"/>
      <c r="CC129" s="1785"/>
      <c r="CD129" s="1785"/>
      <c r="CE129" s="1785"/>
      <c r="CF129" s="1793"/>
    </row>
    <row r="130" spans="1:88" s="400" customFormat="1" ht="23.1" customHeight="1">
      <c r="E130" s="1806" t="s">
        <v>409</v>
      </c>
      <c r="F130" s="1807"/>
      <c r="G130" s="1807"/>
      <c r="H130" s="1807"/>
      <c r="I130" s="1807"/>
      <c r="J130" s="1807"/>
      <c r="K130" s="1807"/>
      <c r="L130" s="1807"/>
      <c r="M130" s="1807"/>
      <c r="N130" s="1807"/>
      <c r="O130" s="1807"/>
      <c r="P130" s="1807"/>
      <c r="Q130" s="1807"/>
      <c r="R130" s="1807"/>
      <c r="S130" s="1807"/>
      <c r="T130" s="1807"/>
      <c r="U130" s="1807" t="s">
        <v>394</v>
      </c>
      <c r="V130" s="1807"/>
      <c r="W130" s="1807"/>
      <c r="X130" s="1807"/>
      <c r="Y130" s="1807"/>
      <c r="Z130" s="1807"/>
      <c r="AA130" s="1807"/>
      <c r="AB130" s="1807"/>
      <c r="AC130" s="1803" t="e">
        <f>#REF!</f>
        <v>#REF!</v>
      </c>
      <c r="AD130" s="1804"/>
      <c r="AE130" s="1804"/>
      <c r="AF130" s="1804"/>
      <c r="AG130" s="1804"/>
      <c r="AH130" s="1804"/>
      <c r="AI130" s="1804"/>
      <c r="AJ130" s="1805"/>
      <c r="AK130" s="1803" t="e">
        <f>#REF!</f>
        <v>#REF!</v>
      </c>
      <c r="AL130" s="1804"/>
      <c r="AM130" s="1804"/>
      <c r="AN130" s="1804"/>
      <c r="AO130" s="1804"/>
      <c r="AP130" s="1804"/>
      <c r="AQ130" s="1804"/>
      <c r="AR130" s="1805"/>
      <c r="AS130" s="1803" t="e">
        <f>#REF!</f>
        <v>#REF!</v>
      </c>
      <c r="AT130" s="1804"/>
      <c r="AU130" s="1804"/>
      <c r="AV130" s="1804"/>
      <c r="AW130" s="1804"/>
      <c r="AX130" s="1804"/>
      <c r="AY130" s="1804"/>
      <c r="AZ130" s="1805"/>
      <c r="BA130" s="1797">
        <f>BU111</f>
        <v>6.07</v>
      </c>
      <c r="BB130" s="1797"/>
      <c r="BC130" s="1797"/>
      <c r="BD130" s="1797"/>
      <c r="BE130" s="1797"/>
      <c r="BF130" s="1797"/>
      <c r="BG130" s="1797"/>
      <c r="BH130" s="1797"/>
      <c r="BI130" s="1785" t="e">
        <f t="shared" si="11"/>
        <v>#REF!</v>
      </c>
      <c r="BJ130" s="1785"/>
      <c r="BK130" s="1785"/>
      <c r="BL130" s="1785"/>
      <c r="BM130" s="1785"/>
      <c r="BN130" s="1785"/>
      <c r="BO130" s="1785"/>
      <c r="BP130" s="1785"/>
      <c r="BQ130" s="1785" t="e">
        <f t="shared" si="12"/>
        <v>#REF!</v>
      </c>
      <c r="BR130" s="1785"/>
      <c r="BS130" s="1785"/>
      <c r="BT130" s="1785"/>
      <c r="BU130" s="1785"/>
      <c r="BV130" s="1785"/>
      <c r="BW130" s="1785"/>
      <c r="BX130" s="1785"/>
      <c r="BY130" s="1785" t="e">
        <f t="shared" si="13"/>
        <v>#REF!</v>
      </c>
      <c r="BZ130" s="1785"/>
      <c r="CA130" s="1785"/>
      <c r="CB130" s="1785"/>
      <c r="CC130" s="1785"/>
      <c r="CD130" s="1785"/>
      <c r="CE130" s="1785"/>
      <c r="CF130" s="1793"/>
    </row>
    <row r="131" spans="1:88" s="400" customFormat="1" ht="23.1" customHeight="1" thickBot="1">
      <c r="E131" s="1794" t="s">
        <v>409</v>
      </c>
      <c r="F131" s="1795"/>
      <c r="G131" s="1795"/>
      <c r="H131" s="1795"/>
      <c r="I131" s="1795"/>
      <c r="J131" s="1795"/>
      <c r="K131" s="1795"/>
      <c r="L131" s="1795"/>
      <c r="M131" s="1795"/>
      <c r="N131" s="1795"/>
      <c r="O131" s="1795"/>
      <c r="P131" s="1795"/>
      <c r="Q131" s="1795"/>
      <c r="R131" s="1795"/>
      <c r="S131" s="1795"/>
      <c r="T131" s="1795"/>
      <c r="U131" s="1795" t="s">
        <v>397</v>
      </c>
      <c r="V131" s="1795"/>
      <c r="W131" s="1795"/>
      <c r="X131" s="1795"/>
      <c r="Y131" s="1795"/>
      <c r="Z131" s="1795"/>
      <c r="AA131" s="1795"/>
      <c r="AB131" s="1795"/>
      <c r="AC131" s="1796" t="e">
        <f>#REF!</f>
        <v>#REF!</v>
      </c>
      <c r="AD131" s="1796"/>
      <c r="AE131" s="1796"/>
      <c r="AF131" s="1796"/>
      <c r="AG131" s="1796"/>
      <c r="AH131" s="1796"/>
      <c r="AI131" s="1796"/>
      <c r="AJ131" s="1796"/>
      <c r="AK131" s="1796" t="e">
        <f>#REF!</f>
        <v>#REF!</v>
      </c>
      <c r="AL131" s="1796"/>
      <c r="AM131" s="1796"/>
      <c r="AN131" s="1796"/>
      <c r="AO131" s="1796"/>
      <c r="AP131" s="1796"/>
      <c r="AQ131" s="1796"/>
      <c r="AR131" s="1796"/>
      <c r="AS131" s="1796" t="e">
        <f>#REF!</f>
        <v>#REF!</v>
      </c>
      <c r="AT131" s="1796"/>
      <c r="AU131" s="1796"/>
      <c r="AV131" s="1796"/>
      <c r="AW131" s="1796"/>
      <c r="AX131" s="1796"/>
      <c r="AY131" s="1796"/>
      <c r="AZ131" s="1796"/>
      <c r="BA131" s="1783">
        <f>BU114</f>
        <v>22.46</v>
      </c>
      <c r="BB131" s="1783"/>
      <c r="BC131" s="1783"/>
      <c r="BD131" s="1783"/>
      <c r="BE131" s="1783"/>
      <c r="BF131" s="1783"/>
      <c r="BG131" s="1783"/>
      <c r="BH131" s="1783"/>
      <c r="BI131" s="1784" t="e">
        <f t="shared" si="11"/>
        <v>#REF!</v>
      </c>
      <c r="BJ131" s="1784"/>
      <c r="BK131" s="1784"/>
      <c r="BL131" s="1784"/>
      <c r="BM131" s="1784"/>
      <c r="BN131" s="1784"/>
      <c r="BO131" s="1784"/>
      <c r="BP131" s="1784"/>
      <c r="BQ131" s="1784" t="e">
        <f t="shared" si="12"/>
        <v>#REF!</v>
      </c>
      <c r="BR131" s="1784"/>
      <c r="BS131" s="1784"/>
      <c r="BT131" s="1784"/>
      <c r="BU131" s="1784"/>
      <c r="BV131" s="1784"/>
      <c r="BW131" s="1784"/>
      <c r="BX131" s="1784"/>
      <c r="BY131" s="1784" t="e">
        <f t="shared" si="13"/>
        <v>#REF!</v>
      </c>
      <c r="BZ131" s="1784"/>
      <c r="CA131" s="1784"/>
      <c r="CB131" s="1784"/>
      <c r="CC131" s="1784"/>
      <c r="CD131" s="1784"/>
      <c r="CE131" s="1784"/>
      <c r="CF131" s="1792"/>
    </row>
    <row r="132" spans="1:88" s="400" customFormat="1" ht="23.1" customHeight="1"/>
    <row r="133" spans="1:88" s="400" customFormat="1" ht="23.1" customHeight="1">
      <c r="A133" s="1877" t="s">
        <v>411</v>
      </c>
      <c r="B133" s="1877"/>
      <c r="C133" s="1877"/>
      <c r="D133" s="1877"/>
      <c r="E133" s="1877"/>
      <c r="F133" s="1877"/>
      <c r="G133" s="1877"/>
      <c r="H133" s="1877"/>
      <c r="I133" s="1877"/>
      <c r="J133" s="1877"/>
      <c r="K133" s="1877"/>
      <c r="L133" s="1877"/>
      <c r="M133" s="1877"/>
      <c r="N133" s="1877"/>
      <c r="O133" s="1877"/>
      <c r="P133" s="1877"/>
      <c r="Q133" s="1877"/>
      <c r="R133" s="1877"/>
      <c r="S133" s="1877"/>
      <c r="T133" s="1877"/>
      <c r="U133" s="1877"/>
      <c r="V133" s="1877"/>
      <c r="W133" s="1877"/>
      <c r="X133" s="1877"/>
      <c r="Y133" s="1877"/>
      <c r="Z133" s="1877"/>
      <c r="AA133" s="1877"/>
      <c r="AB133" s="1877"/>
      <c r="AC133" s="1877"/>
      <c r="AD133" s="1877"/>
      <c r="AE133" s="1877"/>
      <c r="AF133" s="1877"/>
      <c r="AG133" s="1877"/>
      <c r="AH133" s="1877"/>
      <c r="AI133" s="1877"/>
      <c r="AJ133" s="1877"/>
      <c r="AK133" s="1877"/>
      <c r="AL133" s="1877"/>
      <c r="AM133" s="1877"/>
      <c r="AN133" s="1877"/>
      <c r="AO133" s="1877"/>
      <c r="AP133" s="1877"/>
      <c r="AQ133" s="1877"/>
      <c r="AR133" s="1877"/>
      <c r="AS133" s="1877"/>
      <c r="AT133" s="1877"/>
      <c r="AU133" s="1877"/>
      <c r="AV133" s="1877"/>
      <c r="AW133" s="1877"/>
      <c r="AX133" s="1877"/>
      <c r="AY133" s="1877"/>
      <c r="AZ133" s="1877"/>
      <c r="BA133" s="1877"/>
      <c r="BB133" s="1877"/>
      <c r="BC133" s="1877"/>
      <c r="BD133" s="1877"/>
      <c r="BE133" s="1877"/>
      <c r="BF133" s="1877"/>
      <c r="BG133" s="1877"/>
      <c r="BH133" s="1877"/>
      <c r="BI133" s="1877"/>
      <c r="BJ133" s="1877"/>
      <c r="BK133" s="1877"/>
      <c r="BL133" s="1877"/>
      <c r="BM133" s="1877"/>
      <c r="BN133" s="1877"/>
      <c r="BO133" s="1877"/>
      <c r="BP133" s="1877"/>
      <c r="BQ133" s="1877"/>
      <c r="BR133" s="1877"/>
      <c r="BS133" s="1877"/>
      <c r="BT133" s="1877"/>
      <c r="BU133" s="1877"/>
      <c r="BV133" s="1877"/>
      <c r="BW133" s="1877"/>
      <c r="BX133" s="1877"/>
      <c r="BY133" s="1877"/>
      <c r="BZ133" s="1877"/>
      <c r="CA133" s="1877"/>
      <c r="CB133" s="1877"/>
      <c r="CC133" s="1877"/>
      <c r="CD133" s="1877"/>
      <c r="CE133" s="1877"/>
      <c r="CF133" s="1877"/>
      <c r="CJ133" s="400" t="s">
        <v>759</v>
      </c>
    </row>
    <row r="134" spans="1:88" s="412" customFormat="1" ht="9.9499999999999993" customHeight="1">
      <c r="A134" s="413"/>
      <c r="B134" s="413"/>
      <c r="C134" s="413"/>
      <c r="D134" s="413"/>
      <c r="E134" s="413"/>
      <c r="F134" s="413"/>
      <c r="G134" s="413"/>
      <c r="H134" s="413"/>
      <c r="I134" s="413"/>
      <c r="J134" s="413"/>
      <c r="K134" s="413"/>
      <c r="L134" s="413"/>
      <c r="M134" s="413"/>
      <c r="N134" s="413"/>
      <c r="O134" s="413"/>
      <c r="P134" s="413"/>
      <c r="Q134" s="413"/>
      <c r="R134" s="413"/>
      <c r="S134" s="413"/>
      <c r="T134" s="413"/>
      <c r="U134" s="413"/>
      <c r="V134" s="413"/>
      <c r="W134" s="413"/>
      <c r="X134" s="413"/>
      <c r="Y134" s="413"/>
      <c r="Z134" s="413"/>
      <c r="AA134" s="413"/>
      <c r="AB134" s="413"/>
      <c r="AC134" s="413"/>
      <c r="AD134" s="413"/>
      <c r="AE134" s="413"/>
      <c r="AF134" s="413"/>
      <c r="AG134" s="413"/>
      <c r="AH134" s="413"/>
      <c r="AI134" s="413"/>
      <c r="AJ134" s="413"/>
      <c r="AK134" s="413"/>
      <c r="AL134" s="413"/>
      <c r="AM134" s="413"/>
      <c r="AN134" s="413"/>
      <c r="AO134" s="413"/>
      <c r="AP134" s="413"/>
      <c r="AQ134" s="413"/>
      <c r="AR134" s="413"/>
      <c r="AS134" s="413"/>
      <c r="AT134" s="413"/>
      <c r="AU134" s="413"/>
      <c r="AV134" s="413"/>
      <c r="AW134" s="413"/>
      <c r="AX134" s="413"/>
      <c r="AY134" s="413"/>
      <c r="AZ134" s="413"/>
      <c r="BA134" s="413"/>
      <c r="BB134" s="413"/>
      <c r="BC134" s="413"/>
      <c r="BD134" s="413"/>
      <c r="BE134" s="413"/>
      <c r="BF134" s="413"/>
      <c r="BG134" s="413"/>
      <c r="BH134" s="413"/>
      <c r="BI134" s="413"/>
      <c r="BJ134" s="413"/>
      <c r="BK134" s="413"/>
      <c r="BL134" s="413"/>
      <c r="BM134" s="413"/>
      <c r="BN134" s="413"/>
      <c r="BO134" s="413"/>
      <c r="BP134" s="413"/>
      <c r="BQ134" s="413"/>
      <c r="BR134" s="413"/>
      <c r="BS134" s="413"/>
      <c r="BT134" s="413"/>
      <c r="BU134" s="413"/>
      <c r="BV134" s="413"/>
      <c r="BW134" s="413"/>
      <c r="BX134" s="413"/>
      <c r="BY134" s="413"/>
      <c r="BZ134" s="413"/>
      <c r="CA134" s="413"/>
      <c r="CB134" s="413"/>
      <c r="CC134" s="413"/>
      <c r="CD134" s="413"/>
      <c r="CE134" s="413"/>
      <c r="CF134" s="413"/>
      <c r="CJ134" s="400"/>
    </row>
    <row r="135" spans="1:88" s="419" customFormat="1" ht="23.1" customHeight="1">
      <c r="A135" s="420"/>
      <c r="B135" s="421" t="s">
        <v>758</v>
      </c>
      <c r="C135" s="420"/>
      <c r="D135" s="420"/>
      <c r="E135" s="420"/>
      <c r="F135" s="420"/>
      <c r="G135" s="420"/>
      <c r="H135" s="420"/>
      <c r="I135" s="420"/>
      <c r="J135" s="420"/>
      <c r="K135" s="420"/>
      <c r="L135" s="420"/>
      <c r="M135" s="420"/>
      <c r="N135" s="420"/>
      <c r="O135" s="420"/>
      <c r="P135" s="420"/>
      <c r="Q135" s="420"/>
      <c r="R135" s="420"/>
      <c r="S135" s="420"/>
      <c r="T135" s="420"/>
      <c r="U135" s="420"/>
      <c r="V135" s="420"/>
      <c r="W135" s="420"/>
      <c r="X135" s="420"/>
      <c r="Y135" s="420"/>
      <c r="Z135" s="420"/>
      <c r="AA135" s="420"/>
      <c r="AB135" s="420"/>
      <c r="AC135" s="420"/>
      <c r="AD135" s="420"/>
      <c r="AE135" s="420"/>
      <c r="AF135" s="420"/>
      <c r="AG135" s="420"/>
      <c r="AH135" s="420"/>
      <c r="AI135" s="420"/>
      <c r="AJ135" s="420"/>
      <c r="AK135" s="420"/>
      <c r="AL135" s="420"/>
      <c r="AM135" s="420"/>
      <c r="AN135" s="420"/>
      <c r="AO135" s="420"/>
      <c r="AP135" s="420"/>
      <c r="AQ135" s="420"/>
      <c r="AR135" s="420"/>
      <c r="AS135" s="420"/>
      <c r="AT135" s="420"/>
      <c r="AU135" s="420"/>
      <c r="BM135" s="420"/>
      <c r="BN135" s="420"/>
      <c r="BO135" s="420"/>
      <c r="BP135" s="420"/>
      <c r="BQ135" s="420"/>
      <c r="BR135" s="420"/>
      <c r="BS135" s="420"/>
      <c r="BT135" s="420"/>
      <c r="BU135" s="420"/>
      <c r="BV135" s="420"/>
      <c r="BW135" s="420"/>
      <c r="BX135" s="420"/>
      <c r="BY135" s="420"/>
      <c r="BZ135" s="420"/>
      <c r="CA135" s="420"/>
      <c r="CB135" s="420"/>
      <c r="CC135" s="420"/>
      <c r="CD135" s="420"/>
      <c r="CE135" s="420"/>
      <c r="CF135" s="420"/>
      <c r="CJ135" s="400" t="s">
        <v>757</v>
      </c>
    </row>
    <row r="136" spans="1:88" s="400" customFormat="1" ht="9.9499999999999993" customHeight="1">
      <c r="A136" s="402"/>
      <c r="B136" s="402"/>
      <c r="C136" s="402"/>
      <c r="D136" s="402"/>
      <c r="E136" s="402"/>
      <c r="F136" s="402"/>
      <c r="G136" s="402"/>
      <c r="H136" s="402"/>
      <c r="I136" s="402"/>
      <c r="J136" s="402"/>
      <c r="K136" s="402"/>
      <c r="L136" s="402"/>
      <c r="M136" s="402"/>
      <c r="N136" s="402"/>
      <c r="O136" s="402"/>
      <c r="P136" s="402"/>
      <c r="Q136" s="402"/>
      <c r="R136" s="402"/>
      <c r="S136" s="402"/>
      <c r="T136" s="402"/>
      <c r="U136" s="402"/>
      <c r="V136" s="402"/>
      <c r="W136" s="402"/>
      <c r="X136" s="402"/>
      <c r="Y136" s="402"/>
      <c r="Z136" s="402"/>
      <c r="AA136" s="402"/>
      <c r="AB136" s="402"/>
      <c r="AC136" s="402"/>
      <c r="AD136" s="402"/>
      <c r="AE136" s="402"/>
      <c r="AF136" s="402"/>
      <c r="AG136" s="402"/>
      <c r="AH136" s="402"/>
      <c r="AI136" s="402"/>
      <c r="AJ136" s="402"/>
      <c r="AK136" s="402"/>
      <c r="AL136" s="402"/>
      <c r="AM136" s="402"/>
      <c r="AN136" s="402"/>
      <c r="AO136" s="402"/>
      <c r="AP136" s="402"/>
      <c r="AQ136" s="402"/>
      <c r="AR136" s="402"/>
      <c r="AS136" s="402"/>
      <c r="AT136" s="402"/>
      <c r="AU136" s="402"/>
      <c r="AV136" s="402"/>
      <c r="AW136" s="402"/>
      <c r="AX136" s="402"/>
      <c r="AY136" s="402"/>
      <c r="AZ136" s="402"/>
      <c r="BA136" s="402"/>
      <c r="BB136" s="402"/>
      <c r="BC136" s="402"/>
      <c r="BD136" s="402"/>
      <c r="BE136" s="402"/>
      <c r="BF136" s="402"/>
      <c r="BG136" s="402"/>
      <c r="BH136" s="402"/>
      <c r="BI136" s="402"/>
      <c r="BJ136" s="402"/>
      <c r="BK136" s="402"/>
      <c r="BL136" s="402"/>
      <c r="BM136" s="402"/>
      <c r="BN136" s="402"/>
      <c r="BO136" s="402"/>
      <c r="BP136" s="402"/>
      <c r="BQ136" s="402"/>
      <c r="BR136" s="402"/>
      <c r="BS136" s="402"/>
      <c r="BT136" s="418"/>
      <c r="BU136" s="418"/>
      <c r="BV136" s="418"/>
      <c r="BW136" s="418"/>
      <c r="BX136" s="418"/>
      <c r="BY136" s="418"/>
      <c r="BZ136" s="418"/>
      <c r="CA136" s="418"/>
      <c r="CB136" s="418"/>
      <c r="CC136" s="418"/>
      <c r="CD136" s="402"/>
      <c r="CE136" s="402"/>
      <c r="CF136" s="402"/>
    </row>
    <row r="137" spans="1:88" s="400" customFormat="1" ht="23.1" customHeight="1">
      <c r="E137" s="400" t="s">
        <v>756</v>
      </c>
      <c r="BT137" s="414"/>
      <c r="BU137" s="414"/>
      <c r="BV137" s="414"/>
      <c r="BW137" s="414"/>
      <c r="BX137" s="414"/>
      <c r="BY137" s="414"/>
      <c r="BZ137" s="414"/>
      <c r="CA137" s="414"/>
      <c r="CB137" s="414"/>
      <c r="CC137" s="414"/>
    </row>
    <row r="138" spans="1:88" s="400" customFormat="1" ht="9.9499999999999993" customHeight="1" thickBot="1">
      <c r="D138" s="405"/>
      <c r="Q138" s="409"/>
      <c r="R138" s="409"/>
      <c r="S138" s="409"/>
      <c r="T138" s="409"/>
      <c r="U138" s="409"/>
      <c r="V138" s="409"/>
      <c r="W138" s="409"/>
      <c r="X138" s="409"/>
      <c r="Y138" s="409"/>
      <c r="Z138" s="409"/>
      <c r="AA138" s="409"/>
      <c r="AB138" s="409"/>
      <c r="AV138" s="408"/>
      <c r="AW138" s="408"/>
      <c r="AX138" s="408"/>
      <c r="AY138" s="408"/>
      <c r="AZ138" s="408"/>
      <c r="BA138" s="408"/>
      <c r="BB138" s="408"/>
      <c r="BC138" s="408"/>
      <c r="BD138" s="408"/>
      <c r="BE138" s="404"/>
      <c r="BF138" s="404"/>
      <c r="BG138" s="404"/>
      <c r="BH138" s="404"/>
      <c r="BI138" s="404"/>
      <c r="BJ138" s="404"/>
      <c r="BK138" s="404"/>
      <c r="BL138" s="404"/>
      <c r="BM138" s="404"/>
      <c r="BN138" s="404"/>
      <c r="BO138" s="404"/>
      <c r="BP138" s="404"/>
      <c r="BQ138" s="404"/>
      <c r="BR138" s="404"/>
      <c r="BS138" s="404"/>
      <c r="BT138" s="404"/>
      <c r="BU138" s="404"/>
      <c r="BV138" s="404"/>
      <c r="BW138" s="404"/>
      <c r="BX138" s="404"/>
      <c r="BY138" s="404"/>
      <c r="BZ138" s="404"/>
      <c r="CA138" s="404"/>
      <c r="CB138" s="404"/>
      <c r="CC138" s="404"/>
      <c r="CD138" s="404"/>
      <c r="CE138" s="404"/>
      <c r="CF138" s="404"/>
    </row>
    <row r="139" spans="1:88" s="400" customFormat="1" ht="23.1" customHeight="1">
      <c r="A139" s="402"/>
      <c r="B139" s="402"/>
      <c r="C139" s="402"/>
      <c r="D139" s="402"/>
      <c r="E139" s="1831" t="s">
        <v>369</v>
      </c>
      <c r="F139" s="1800"/>
      <c r="G139" s="1800"/>
      <c r="H139" s="1800"/>
      <c r="I139" s="1800"/>
      <c r="J139" s="1800"/>
      <c r="K139" s="1800"/>
      <c r="L139" s="1800"/>
      <c r="M139" s="1800"/>
      <c r="N139" s="1800"/>
      <c r="O139" s="1800"/>
      <c r="P139" s="1800"/>
      <c r="Q139" s="1800"/>
      <c r="R139" s="1800"/>
      <c r="S139" s="1800"/>
      <c r="T139" s="1800"/>
      <c r="U139" s="1800" t="s">
        <v>403</v>
      </c>
      <c r="V139" s="1800"/>
      <c r="W139" s="1800"/>
      <c r="X139" s="1800"/>
      <c r="Y139" s="1800"/>
      <c r="Z139" s="1800"/>
      <c r="AA139" s="1800"/>
      <c r="AB139" s="1800"/>
      <c r="AC139" s="1800"/>
      <c r="AD139" s="1800"/>
      <c r="AE139" s="1800"/>
      <c r="AF139" s="1800"/>
      <c r="AG139" s="1800"/>
      <c r="AH139" s="1800"/>
      <c r="AI139" s="1800"/>
      <c r="AJ139" s="1800"/>
      <c r="AK139" s="1800"/>
      <c r="AL139" s="1800"/>
      <c r="AM139" s="1800"/>
      <c r="AN139" s="1800"/>
      <c r="AO139" s="1800"/>
      <c r="AP139" s="1800"/>
      <c r="AQ139" s="1800"/>
      <c r="AR139" s="1800"/>
      <c r="AS139" s="1833" t="s">
        <v>404</v>
      </c>
      <c r="AT139" s="1800"/>
      <c r="AU139" s="1800"/>
      <c r="AV139" s="1800"/>
      <c r="AW139" s="1800"/>
      <c r="AX139" s="1800"/>
      <c r="AY139" s="1800"/>
      <c r="AZ139" s="1800"/>
      <c r="BA139" s="1800" t="s">
        <v>405</v>
      </c>
      <c r="BB139" s="1800"/>
      <c r="BC139" s="1800"/>
      <c r="BD139" s="1800"/>
      <c r="BE139" s="1800"/>
      <c r="BF139" s="1800"/>
      <c r="BG139" s="1800"/>
      <c r="BH139" s="1800"/>
      <c r="BI139" s="1800"/>
      <c r="BJ139" s="1800"/>
      <c r="BK139" s="1800"/>
      <c r="BL139" s="1800"/>
      <c r="BM139" s="1800"/>
      <c r="BN139" s="1800"/>
      <c r="BO139" s="1800"/>
      <c r="BP139" s="1800"/>
      <c r="BQ139" s="1800"/>
      <c r="BR139" s="1800"/>
      <c r="BS139" s="1800"/>
      <c r="BT139" s="1800"/>
      <c r="BU139" s="1800"/>
      <c r="BV139" s="1800"/>
      <c r="BW139" s="1800"/>
      <c r="BX139" s="1800"/>
      <c r="BY139" s="1800"/>
      <c r="BZ139" s="1800"/>
      <c r="CA139" s="1800"/>
      <c r="CB139" s="1800"/>
      <c r="CC139" s="1800"/>
      <c r="CD139" s="1800"/>
      <c r="CE139" s="1800"/>
      <c r="CF139" s="1801"/>
    </row>
    <row r="140" spans="1:88" s="400" customFormat="1" ht="23.1" customHeight="1" thickBot="1">
      <c r="D140" s="405"/>
      <c r="E140" s="1832"/>
      <c r="F140" s="1786"/>
      <c r="G140" s="1786"/>
      <c r="H140" s="1786"/>
      <c r="I140" s="1786"/>
      <c r="J140" s="1786"/>
      <c r="K140" s="1786"/>
      <c r="L140" s="1786"/>
      <c r="M140" s="1786"/>
      <c r="N140" s="1786"/>
      <c r="O140" s="1786"/>
      <c r="P140" s="1786"/>
      <c r="Q140" s="1786"/>
      <c r="R140" s="1786"/>
      <c r="S140" s="1786"/>
      <c r="T140" s="1786"/>
      <c r="U140" s="1786" t="s">
        <v>406</v>
      </c>
      <c r="V140" s="1786"/>
      <c r="W140" s="1786"/>
      <c r="X140" s="1786"/>
      <c r="Y140" s="1786"/>
      <c r="Z140" s="1786"/>
      <c r="AA140" s="1786"/>
      <c r="AB140" s="1786"/>
      <c r="AC140" s="1786" t="s">
        <v>407</v>
      </c>
      <c r="AD140" s="1786"/>
      <c r="AE140" s="1786"/>
      <c r="AF140" s="1786"/>
      <c r="AG140" s="1786"/>
      <c r="AH140" s="1786"/>
      <c r="AI140" s="1786"/>
      <c r="AJ140" s="1786"/>
      <c r="AK140" s="1786" t="s">
        <v>408</v>
      </c>
      <c r="AL140" s="1786"/>
      <c r="AM140" s="1786"/>
      <c r="AN140" s="1786"/>
      <c r="AO140" s="1786"/>
      <c r="AP140" s="1786"/>
      <c r="AQ140" s="1786"/>
      <c r="AR140" s="1786"/>
      <c r="AS140" s="1786"/>
      <c r="AT140" s="1786"/>
      <c r="AU140" s="1786"/>
      <c r="AV140" s="1786"/>
      <c r="AW140" s="1786"/>
      <c r="AX140" s="1786"/>
      <c r="AY140" s="1786"/>
      <c r="AZ140" s="1786"/>
      <c r="BA140" s="1786" t="s">
        <v>406</v>
      </c>
      <c r="BB140" s="1786"/>
      <c r="BC140" s="1786"/>
      <c r="BD140" s="1786"/>
      <c r="BE140" s="1786"/>
      <c r="BF140" s="1786"/>
      <c r="BG140" s="1786"/>
      <c r="BH140" s="1786"/>
      <c r="BI140" s="1786" t="s">
        <v>407</v>
      </c>
      <c r="BJ140" s="1786"/>
      <c r="BK140" s="1786"/>
      <c r="BL140" s="1786"/>
      <c r="BM140" s="1786"/>
      <c r="BN140" s="1786"/>
      <c r="BO140" s="1786"/>
      <c r="BP140" s="1786"/>
      <c r="BQ140" s="1786" t="s">
        <v>423</v>
      </c>
      <c r="BR140" s="1786"/>
      <c r="BS140" s="1786"/>
      <c r="BT140" s="1786"/>
      <c r="BU140" s="1786"/>
      <c r="BV140" s="1786"/>
      <c r="BW140" s="1786"/>
      <c r="BX140" s="1786"/>
      <c r="BY140" s="1786" t="s">
        <v>424</v>
      </c>
      <c r="BZ140" s="1786"/>
      <c r="CA140" s="1786"/>
      <c r="CB140" s="1786"/>
      <c r="CC140" s="1786"/>
      <c r="CD140" s="1786"/>
      <c r="CE140" s="1786"/>
      <c r="CF140" s="1787"/>
    </row>
    <row r="141" spans="1:88" s="400" customFormat="1" ht="23.1" customHeight="1" thickTop="1">
      <c r="D141" s="405"/>
      <c r="E141" s="1913" t="s">
        <v>425</v>
      </c>
      <c r="F141" s="1923"/>
      <c r="G141" s="1923"/>
      <c r="H141" s="1923"/>
      <c r="I141" s="1923"/>
      <c r="J141" s="1917" t="s">
        <v>415</v>
      </c>
      <c r="K141" s="1917"/>
      <c r="L141" s="1917"/>
      <c r="M141" s="1917"/>
      <c r="N141" s="1917"/>
      <c r="O141" s="1917"/>
      <c r="P141" s="1917"/>
      <c r="Q141" s="1917"/>
      <c r="R141" s="1917"/>
      <c r="S141" s="1917"/>
      <c r="T141" s="1917"/>
      <c r="U141" s="1812" t="e">
        <f>$AG$156</f>
        <v>#REF!</v>
      </c>
      <c r="V141" s="1812"/>
      <c r="W141" s="1812"/>
      <c r="X141" s="1812"/>
      <c r="Y141" s="1812"/>
      <c r="Z141" s="1812"/>
      <c r="AA141" s="1812"/>
      <c r="AB141" s="1812"/>
      <c r="AC141" s="1812" t="e">
        <f>$AQ$156</f>
        <v>#REF!</v>
      </c>
      <c r="AD141" s="1812"/>
      <c r="AE141" s="1812"/>
      <c r="AF141" s="1812"/>
      <c r="AG141" s="1812"/>
      <c r="AH141" s="1812"/>
      <c r="AI141" s="1812"/>
      <c r="AJ141" s="1812"/>
      <c r="AK141" s="1812" t="e">
        <f>$BA$156</f>
        <v>#REF!</v>
      </c>
      <c r="AL141" s="1812"/>
      <c r="AM141" s="1812"/>
      <c r="AN141" s="1812"/>
      <c r="AO141" s="1812"/>
      <c r="AP141" s="1812"/>
      <c r="AQ141" s="1812"/>
      <c r="AR141" s="1812"/>
      <c r="AS141" s="1912">
        <v>5</v>
      </c>
      <c r="AT141" s="1912"/>
      <c r="AU141" s="1912"/>
      <c r="AV141" s="1912"/>
      <c r="AW141" s="1912"/>
      <c r="AX141" s="1912"/>
      <c r="AY141" s="1912"/>
      <c r="AZ141" s="1912"/>
      <c r="BA141" s="1911" t="e">
        <f t="shared" ref="BA141:BA146" si="15">INT(U141/$AS141)</f>
        <v>#REF!</v>
      </c>
      <c r="BB141" s="1911"/>
      <c r="BC141" s="1911"/>
      <c r="BD141" s="1911"/>
      <c r="BE141" s="1911"/>
      <c r="BF141" s="1911"/>
      <c r="BG141" s="1911"/>
      <c r="BH141" s="1911"/>
      <c r="BI141" s="1911" t="e">
        <f t="shared" ref="BI141:BI146" si="16">INT(AC141/$AS141)</f>
        <v>#REF!</v>
      </c>
      <c r="BJ141" s="1911"/>
      <c r="BK141" s="1911"/>
      <c r="BL141" s="1911"/>
      <c r="BM141" s="1911"/>
      <c r="BN141" s="1911"/>
      <c r="BO141" s="1911"/>
      <c r="BP141" s="1911"/>
      <c r="BQ141" s="1911" t="e">
        <f t="shared" ref="BQ141:BQ146" si="17">INT(AK141/$AS141)</f>
        <v>#REF!</v>
      </c>
      <c r="BR141" s="1911"/>
      <c r="BS141" s="1911"/>
      <c r="BT141" s="1911"/>
      <c r="BU141" s="1911"/>
      <c r="BV141" s="1911"/>
      <c r="BW141" s="1911"/>
      <c r="BX141" s="1911"/>
      <c r="BY141" s="1892" t="e">
        <f t="shared" ref="BY141:BY146" si="18">BA141+BI141+BQ141</f>
        <v>#REF!</v>
      </c>
      <c r="BZ141" s="1892"/>
      <c r="CA141" s="1892"/>
      <c r="CB141" s="1892"/>
      <c r="CC141" s="1892"/>
      <c r="CD141" s="1892"/>
      <c r="CE141" s="1892"/>
      <c r="CF141" s="1893"/>
    </row>
    <row r="142" spans="1:88" s="400" customFormat="1" ht="23.1" customHeight="1">
      <c r="A142" s="402"/>
      <c r="B142" s="402"/>
      <c r="C142" s="402"/>
      <c r="D142" s="402"/>
      <c r="E142" s="1828"/>
      <c r="F142" s="1829"/>
      <c r="G142" s="1829"/>
      <c r="H142" s="1829"/>
      <c r="I142" s="1829"/>
      <c r="J142" s="1874" t="s">
        <v>374</v>
      </c>
      <c r="K142" s="1874"/>
      <c r="L142" s="1874"/>
      <c r="M142" s="1874"/>
      <c r="N142" s="1874"/>
      <c r="O142" s="1874"/>
      <c r="P142" s="1874"/>
      <c r="Q142" s="1874"/>
      <c r="R142" s="1874"/>
      <c r="S142" s="1874"/>
      <c r="T142" s="1874"/>
      <c r="U142" s="1814" t="e">
        <f>$AG$157</f>
        <v>#REF!</v>
      </c>
      <c r="V142" s="1814"/>
      <c r="W142" s="1814"/>
      <c r="X142" s="1814"/>
      <c r="Y142" s="1814"/>
      <c r="Z142" s="1814"/>
      <c r="AA142" s="1814"/>
      <c r="AB142" s="1814"/>
      <c r="AC142" s="1814" t="e">
        <f>$AQ$157</f>
        <v>#REF!</v>
      </c>
      <c r="AD142" s="1814"/>
      <c r="AE142" s="1814"/>
      <c r="AF142" s="1814"/>
      <c r="AG142" s="1814"/>
      <c r="AH142" s="1814"/>
      <c r="AI142" s="1814"/>
      <c r="AJ142" s="1814"/>
      <c r="AK142" s="1814" t="e">
        <f>$BA$157</f>
        <v>#REF!</v>
      </c>
      <c r="AL142" s="1814"/>
      <c r="AM142" s="1814"/>
      <c r="AN142" s="1814"/>
      <c r="AO142" s="1814"/>
      <c r="AP142" s="1814"/>
      <c r="AQ142" s="1814"/>
      <c r="AR142" s="1814"/>
      <c r="AS142" s="1876">
        <v>3.4</v>
      </c>
      <c r="AT142" s="1876"/>
      <c r="AU142" s="1876"/>
      <c r="AV142" s="1876"/>
      <c r="AW142" s="1876"/>
      <c r="AX142" s="1876"/>
      <c r="AY142" s="1876"/>
      <c r="AZ142" s="1876"/>
      <c r="BA142" s="1898" t="e">
        <f t="shared" si="15"/>
        <v>#REF!</v>
      </c>
      <c r="BB142" s="1898"/>
      <c r="BC142" s="1898"/>
      <c r="BD142" s="1898"/>
      <c r="BE142" s="1898"/>
      <c r="BF142" s="1898"/>
      <c r="BG142" s="1898"/>
      <c r="BH142" s="1898"/>
      <c r="BI142" s="1898" t="e">
        <f t="shared" si="16"/>
        <v>#REF!</v>
      </c>
      <c r="BJ142" s="1898"/>
      <c r="BK142" s="1898"/>
      <c r="BL142" s="1898"/>
      <c r="BM142" s="1898"/>
      <c r="BN142" s="1898"/>
      <c r="BO142" s="1898"/>
      <c r="BP142" s="1898"/>
      <c r="BQ142" s="1898" t="e">
        <f t="shared" si="17"/>
        <v>#REF!</v>
      </c>
      <c r="BR142" s="1898"/>
      <c r="BS142" s="1898"/>
      <c r="BT142" s="1898"/>
      <c r="BU142" s="1898"/>
      <c r="BV142" s="1898"/>
      <c r="BW142" s="1898"/>
      <c r="BX142" s="1898"/>
      <c r="BY142" s="1894" t="e">
        <f t="shared" si="18"/>
        <v>#REF!</v>
      </c>
      <c r="BZ142" s="1894"/>
      <c r="CA142" s="1894"/>
      <c r="CB142" s="1894"/>
      <c r="CC142" s="1894"/>
      <c r="CD142" s="1894"/>
      <c r="CE142" s="1894"/>
      <c r="CF142" s="1895"/>
    </row>
    <row r="143" spans="1:88" s="400" customFormat="1" ht="23.1" customHeight="1">
      <c r="E143" s="1828"/>
      <c r="F143" s="1829"/>
      <c r="G143" s="1829"/>
      <c r="H143" s="1829"/>
      <c r="I143" s="1829"/>
      <c r="J143" s="1874" t="s">
        <v>373</v>
      </c>
      <c r="K143" s="1874"/>
      <c r="L143" s="1874"/>
      <c r="M143" s="1874"/>
      <c r="N143" s="1874"/>
      <c r="O143" s="1874"/>
      <c r="P143" s="1874"/>
      <c r="Q143" s="1874"/>
      <c r="R143" s="1874"/>
      <c r="S143" s="1874"/>
      <c r="T143" s="1874"/>
      <c r="U143" s="1872" t="e">
        <f>$AG$158</f>
        <v>#REF!</v>
      </c>
      <c r="V143" s="1872"/>
      <c r="W143" s="1872"/>
      <c r="X143" s="1872"/>
      <c r="Y143" s="1872"/>
      <c r="Z143" s="1872"/>
      <c r="AA143" s="1872"/>
      <c r="AB143" s="1872"/>
      <c r="AC143" s="1872" t="e">
        <f>$AQ$158</f>
        <v>#REF!</v>
      </c>
      <c r="AD143" s="1872"/>
      <c r="AE143" s="1872"/>
      <c r="AF143" s="1872"/>
      <c r="AG143" s="1872"/>
      <c r="AH143" s="1872"/>
      <c r="AI143" s="1872"/>
      <c r="AJ143" s="1872"/>
      <c r="AK143" s="1872" t="e">
        <f>$BA$158</f>
        <v>#REF!</v>
      </c>
      <c r="AL143" s="1872"/>
      <c r="AM143" s="1872"/>
      <c r="AN143" s="1872"/>
      <c r="AO143" s="1872"/>
      <c r="AP143" s="1872"/>
      <c r="AQ143" s="1872"/>
      <c r="AR143" s="1872"/>
      <c r="AS143" s="1876">
        <v>2.6</v>
      </c>
      <c r="AT143" s="1876"/>
      <c r="AU143" s="1876"/>
      <c r="AV143" s="1876"/>
      <c r="AW143" s="1876"/>
      <c r="AX143" s="1876"/>
      <c r="AY143" s="1876"/>
      <c r="AZ143" s="1876"/>
      <c r="BA143" s="1898" t="e">
        <f t="shared" si="15"/>
        <v>#REF!</v>
      </c>
      <c r="BB143" s="1898"/>
      <c r="BC143" s="1898"/>
      <c r="BD143" s="1898"/>
      <c r="BE143" s="1898"/>
      <c r="BF143" s="1898"/>
      <c r="BG143" s="1898"/>
      <c r="BH143" s="1898"/>
      <c r="BI143" s="1898" t="e">
        <f t="shared" si="16"/>
        <v>#REF!</v>
      </c>
      <c r="BJ143" s="1898"/>
      <c r="BK143" s="1898"/>
      <c r="BL143" s="1898"/>
      <c r="BM143" s="1898"/>
      <c r="BN143" s="1898"/>
      <c r="BO143" s="1898"/>
      <c r="BP143" s="1898"/>
      <c r="BQ143" s="1898" t="e">
        <f t="shared" si="17"/>
        <v>#REF!</v>
      </c>
      <c r="BR143" s="1898"/>
      <c r="BS143" s="1898"/>
      <c r="BT143" s="1898"/>
      <c r="BU143" s="1898"/>
      <c r="BV143" s="1898"/>
      <c r="BW143" s="1898"/>
      <c r="BX143" s="1898"/>
      <c r="BY143" s="1894" t="e">
        <f t="shared" si="18"/>
        <v>#REF!</v>
      </c>
      <c r="BZ143" s="1894"/>
      <c r="CA143" s="1894"/>
      <c r="CB143" s="1894"/>
      <c r="CC143" s="1894"/>
      <c r="CD143" s="1894"/>
      <c r="CE143" s="1894"/>
      <c r="CF143" s="1895"/>
    </row>
    <row r="144" spans="1:88" s="400" customFormat="1" ht="23.1" customHeight="1">
      <c r="A144" s="402"/>
      <c r="B144" s="402"/>
      <c r="C144" s="402"/>
      <c r="D144" s="402"/>
      <c r="E144" s="1870" t="s">
        <v>426</v>
      </c>
      <c r="F144" s="1829"/>
      <c r="G144" s="1829"/>
      <c r="H144" s="1829"/>
      <c r="I144" s="1829"/>
      <c r="J144" s="1874" t="s">
        <v>415</v>
      </c>
      <c r="K144" s="1874"/>
      <c r="L144" s="1874"/>
      <c r="M144" s="1874"/>
      <c r="N144" s="1874"/>
      <c r="O144" s="1874"/>
      <c r="P144" s="1874"/>
      <c r="Q144" s="1874"/>
      <c r="R144" s="1874"/>
      <c r="S144" s="1874"/>
      <c r="T144" s="1874"/>
      <c r="U144" s="1814" t="e">
        <f>$AG$156</f>
        <v>#REF!</v>
      </c>
      <c r="V144" s="1814"/>
      <c r="W144" s="1814"/>
      <c r="X144" s="1814"/>
      <c r="Y144" s="1814"/>
      <c r="Z144" s="1814"/>
      <c r="AA144" s="1814"/>
      <c r="AB144" s="1814"/>
      <c r="AC144" s="1814" t="e">
        <f>$AQ$156</f>
        <v>#REF!</v>
      </c>
      <c r="AD144" s="1814"/>
      <c r="AE144" s="1814"/>
      <c r="AF144" s="1814"/>
      <c r="AG144" s="1814"/>
      <c r="AH144" s="1814"/>
      <c r="AI144" s="1814"/>
      <c r="AJ144" s="1814"/>
      <c r="AK144" s="1814" t="e">
        <f>$BA$156</f>
        <v>#REF!</v>
      </c>
      <c r="AL144" s="1814"/>
      <c r="AM144" s="1814"/>
      <c r="AN144" s="1814"/>
      <c r="AO144" s="1814"/>
      <c r="AP144" s="1814"/>
      <c r="AQ144" s="1814"/>
      <c r="AR144" s="1814"/>
      <c r="AS144" s="1876">
        <v>3.5</v>
      </c>
      <c r="AT144" s="1876"/>
      <c r="AU144" s="1876"/>
      <c r="AV144" s="1876"/>
      <c r="AW144" s="1876"/>
      <c r="AX144" s="1876"/>
      <c r="AY144" s="1876"/>
      <c r="AZ144" s="1876"/>
      <c r="BA144" s="1898" t="e">
        <f t="shared" si="15"/>
        <v>#REF!</v>
      </c>
      <c r="BB144" s="1898"/>
      <c r="BC144" s="1898"/>
      <c r="BD144" s="1898"/>
      <c r="BE144" s="1898"/>
      <c r="BF144" s="1898"/>
      <c r="BG144" s="1898"/>
      <c r="BH144" s="1898"/>
      <c r="BI144" s="1898" t="e">
        <f t="shared" si="16"/>
        <v>#REF!</v>
      </c>
      <c r="BJ144" s="1898"/>
      <c r="BK144" s="1898"/>
      <c r="BL144" s="1898"/>
      <c r="BM144" s="1898"/>
      <c r="BN144" s="1898"/>
      <c r="BO144" s="1898"/>
      <c r="BP144" s="1898"/>
      <c r="BQ144" s="1898" t="e">
        <f t="shared" si="17"/>
        <v>#REF!</v>
      </c>
      <c r="BR144" s="1898"/>
      <c r="BS144" s="1898"/>
      <c r="BT144" s="1898"/>
      <c r="BU144" s="1898"/>
      <c r="BV144" s="1898"/>
      <c r="BW144" s="1898"/>
      <c r="BX144" s="1898"/>
      <c r="BY144" s="1894" t="e">
        <f t="shared" si="18"/>
        <v>#REF!</v>
      </c>
      <c r="BZ144" s="1894"/>
      <c r="CA144" s="1894"/>
      <c r="CB144" s="1894"/>
      <c r="CC144" s="1894"/>
      <c r="CD144" s="1894"/>
      <c r="CE144" s="1894"/>
      <c r="CF144" s="1895"/>
    </row>
    <row r="145" spans="1:84" s="400" customFormat="1" ht="23.1" customHeight="1">
      <c r="E145" s="1828"/>
      <c r="F145" s="1829"/>
      <c r="G145" s="1829"/>
      <c r="H145" s="1829"/>
      <c r="I145" s="1829"/>
      <c r="J145" s="1874" t="s">
        <v>374</v>
      </c>
      <c r="K145" s="1874"/>
      <c r="L145" s="1874"/>
      <c r="M145" s="1874"/>
      <c r="N145" s="1874"/>
      <c r="O145" s="1874"/>
      <c r="P145" s="1874"/>
      <c r="Q145" s="1874"/>
      <c r="R145" s="1874"/>
      <c r="S145" s="1874"/>
      <c r="T145" s="1874"/>
      <c r="U145" s="1814" t="e">
        <f>$AG$157</f>
        <v>#REF!</v>
      </c>
      <c r="V145" s="1814"/>
      <c r="W145" s="1814"/>
      <c r="X145" s="1814"/>
      <c r="Y145" s="1814"/>
      <c r="Z145" s="1814"/>
      <c r="AA145" s="1814"/>
      <c r="AB145" s="1814"/>
      <c r="AC145" s="1814" t="e">
        <f>$AQ$157</f>
        <v>#REF!</v>
      </c>
      <c r="AD145" s="1814"/>
      <c r="AE145" s="1814"/>
      <c r="AF145" s="1814"/>
      <c r="AG145" s="1814"/>
      <c r="AH145" s="1814"/>
      <c r="AI145" s="1814"/>
      <c r="AJ145" s="1814"/>
      <c r="AK145" s="1814" t="e">
        <f>$BA$157</f>
        <v>#REF!</v>
      </c>
      <c r="AL145" s="1814"/>
      <c r="AM145" s="1814"/>
      <c r="AN145" s="1814"/>
      <c r="AO145" s="1814"/>
      <c r="AP145" s="1814"/>
      <c r="AQ145" s="1814"/>
      <c r="AR145" s="1814"/>
      <c r="AS145" s="1876">
        <v>2.5</v>
      </c>
      <c r="AT145" s="1876"/>
      <c r="AU145" s="1876"/>
      <c r="AV145" s="1876"/>
      <c r="AW145" s="1876"/>
      <c r="AX145" s="1876"/>
      <c r="AY145" s="1876"/>
      <c r="AZ145" s="1876"/>
      <c r="BA145" s="1898" t="e">
        <f t="shared" si="15"/>
        <v>#REF!</v>
      </c>
      <c r="BB145" s="1898"/>
      <c r="BC145" s="1898"/>
      <c r="BD145" s="1898"/>
      <c r="BE145" s="1898"/>
      <c r="BF145" s="1898"/>
      <c r="BG145" s="1898"/>
      <c r="BH145" s="1898"/>
      <c r="BI145" s="1898" t="e">
        <f t="shared" si="16"/>
        <v>#REF!</v>
      </c>
      <c r="BJ145" s="1898"/>
      <c r="BK145" s="1898"/>
      <c r="BL145" s="1898"/>
      <c r="BM145" s="1898"/>
      <c r="BN145" s="1898"/>
      <c r="BO145" s="1898"/>
      <c r="BP145" s="1898"/>
      <c r="BQ145" s="1898" t="e">
        <f t="shared" si="17"/>
        <v>#REF!</v>
      </c>
      <c r="BR145" s="1898"/>
      <c r="BS145" s="1898"/>
      <c r="BT145" s="1898"/>
      <c r="BU145" s="1898"/>
      <c r="BV145" s="1898"/>
      <c r="BW145" s="1898"/>
      <c r="BX145" s="1898"/>
      <c r="BY145" s="1894" t="e">
        <f t="shared" si="18"/>
        <v>#REF!</v>
      </c>
      <c r="BZ145" s="1894"/>
      <c r="CA145" s="1894"/>
      <c r="CB145" s="1894"/>
      <c r="CC145" s="1894"/>
      <c r="CD145" s="1894"/>
      <c r="CE145" s="1894"/>
      <c r="CF145" s="1895"/>
    </row>
    <row r="146" spans="1:84" s="400" customFormat="1" ht="23.1" customHeight="1" thickBot="1">
      <c r="E146" s="1919"/>
      <c r="F146" s="1855"/>
      <c r="G146" s="1855"/>
      <c r="H146" s="1855"/>
      <c r="I146" s="1855"/>
      <c r="J146" s="1891" t="s">
        <v>373</v>
      </c>
      <c r="K146" s="1891"/>
      <c r="L146" s="1891"/>
      <c r="M146" s="1891"/>
      <c r="N146" s="1891"/>
      <c r="O146" s="1891"/>
      <c r="P146" s="1891"/>
      <c r="Q146" s="1891"/>
      <c r="R146" s="1891"/>
      <c r="S146" s="1891"/>
      <c r="T146" s="1891"/>
      <c r="U146" s="1814" t="e">
        <f>$AG$158</f>
        <v>#REF!</v>
      </c>
      <c r="V146" s="1814"/>
      <c r="W146" s="1814"/>
      <c r="X146" s="1814"/>
      <c r="Y146" s="1814"/>
      <c r="Z146" s="1814"/>
      <c r="AA146" s="1814"/>
      <c r="AB146" s="1814"/>
      <c r="AC146" s="1814" t="e">
        <f>$AQ$158</f>
        <v>#REF!</v>
      </c>
      <c r="AD146" s="1814"/>
      <c r="AE146" s="1814"/>
      <c r="AF146" s="1814"/>
      <c r="AG146" s="1814"/>
      <c r="AH146" s="1814"/>
      <c r="AI146" s="1814"/>
      <c r="AJ146" s="1814"/>
      <c r="AK146" s="1814" t="e">
        <f>$BA$158</f>
        <v>#REF!</v>
      </c>
      <c r="AL146" s="1814"/>
      <c r="AM146" s="1814"/>
      <c r="AN146" s="1814"/>
      <c r="AO146" s="1814"/>
      <c r="AP146" s="1814"/>
      <c r="AQ146" s="1814"/>
      <c r="AR146" s="1814"/>
      <c r="AS146" s="1927">
        <v>1.8</v>
      </c>
      <c r="AT146" s="1927"/>
      <c r="AU146" s="1927"/>
      <c r="AV146" s="1927"/>
      <c r="AW146" s="1927"/>
      <c r="AX146" s="1927"/>
      <c r="AY146" s="1927"/>
      <c r="AZ146" s="1927"/>
      <c r="BA146" s="1910" t="e">
        <f t="shared" si="15"/>
        <v>#REF!</v>
      </c>
      <c r="BB146" s="1910"/>
      <c r="BC146" s="1910"/>
      <c r="BD146" s="1910"/>
      <c r="BE146" s="1910"/>
      <c r="BF146" s="1910"/>
      <c r="BG146" s="1910"/>
      <c r="BH146" s="1910"/>
      <c r="BI146" s="1910" t="e">
        <f t="shared" si="16"/>
        <v>#REF!</v>
      </c>
      <c r="BJ146" s="1910"/>
      <c r="BK146" s="1910"/>
      <c r="BL146" s="1910"/>
      <c r="BM146" s="1910"/>
      <c r="BN146" s="1910"/>
      <c r="BO146" s="1910"/>
      <c r="BP146" s="1910"/>
      <c r="BQ146" s="1910" t="e">
        <f t="shared" si="17"/>
        <v>#REF!</v>
      </c>
      <c r="BR146" s="1910"/>
      <c r="BS146" s="1910"/>
      <c r="BT146" s="1910"/>
      <c r="BU146" s="1910"/>
      <c r="BV146" s="1910"/>
      <c r="BW146" s="1910"/>
      <c r="BX146" s="1910"/>
      <c r="BY146" s="1896" t="e">
        <f t="shared" si="18"/>
        <v>#REF!</v>
      </c>
      <c r="BZ146" s="1896"/>
      <c r="CA146" s="1896"/>
      <c r="CB146" s="1896"/>
      <c r="CC146" s="1896"/>
      <c r="CD146" s="1896"/>
      <c r="CE146" s="1896"/>
      <c r="CF146" s="1897"/>
    </row>
    <row r="147" spans="1:84" s="400" customFormat="1" ht="23.1" customHeight="1">
      <c r="A147" s="402"/>
      <c r="B147" s="402"/>
      <c r="C147" s="402"/>
      <c r="D147" s="402"/>
      <c r="E147" s="406"/>
      <c r="F147" s="406"/>
      <c r="G147" s="406"/>
      <c r="H147" s="406"/>
      <c r="I147" s="406"/>
      <c r="J147" s="406"/>
      <c r="K147" s="406"/>
      <c r="L147" s="406"/>
      <c r="M147" s="406"/>
      <c r="N147" s="406"/>
      <c r="O147" s="406"/>
      <c r="P147" s="406"/>
      <c r="Q147" s="406"/>
      <c r="R147" s="406"/>
      <c r="S147" s="406"/>
      <c r="T147" s="406"/>
      <c r="U147" s="438"/>
      <c r="V147" s="438"/>
      <c r="W147" s="438"/>
      <c r="X147" s="438"/>
      <c r="Y147" s="438"/>
      <c r="Z147" s="438"/>
      <c r="AA147" s="438"/>
      <c r="AB147" s="438"/>
      <c r="AC147" s="438"/>
      <c r="AD147" s="438"/>
      <c r="AE147" s="438"/>
      <c r="AF147" s="438"/>
      <c r="AG147" s="438"/>
      <c r="AH147" s="438"/>
      <c r="AI147" s="438"/>
      <c r="AJ147" s="438"/>
      <c r="AK147" s="438"/>
      <c r="AL147" s="438"/>
      <c r="AM147" s="438"/>
      <c r="AN147" s="438"/>
      <c r="AO147" s="438"/>
      <c r="AP147" s="438"/>
      <c r="AQ147" s="438"/>
      <c r="AR147" s="438"/>
      <c r="AS147" s="439"/>
      <c r="AT147" s="439"/>
      <c r="AU147" s="439"/>
      <c r="AV147" s="439"/>
      <c r="AW147" s="439"/>
      <c r="AX147" s="439"/>
      <c r="AY147" s="439"/>
      <c r="AZ147" s="439"/>
      <c r="BA147" s="438"/>
      <c r="BB147" s="438"/>
      <c r="BC147" s="438"/>
      <c r="BD147" s="438"/>
      <c r="BE147" s="438"/>
      <c r="BF147" s="438"/>
      <c r="BG147" s="438"/>
      <c r="BH147" s="438"/>
      <c r="BI147" s="438"/>
      <c r="BJ147" s="438"/>
      <c r="BK147" s="438"/>
      <c r="BL147" s="438"/>
      <c r="BM147" s="438"/>
      <c r="BN147" s="438"/>
      <c r="BO147" s="438"/>
      <c r="BP147" s="438"/>
      <c r="BQ147" s="438"/>
      <c r="BR147" s="438"/>
      <c r="BS147" s="438"/>
      <c r="BT147" s="438"/>
      <c r="BU147" s="438"/>
      <c r="BV147" s="438"/>
      <c r="BW147" s="438"/>
      <c r="BX147" s="438"/>
      <c r="BY147" s="437"/>
      <c r="BZ147" s="437"/>
      <c r="CA147" s="437"/>
      <c r="CB147" s="437"/>
      <c r="CC147" s="437"/>
      <c r="CD147" s="437"/>
      <c r="CE147" s="437"/>
      <c r="CF147" s="437"/>
    </row>
    <row r="148" spans="1:84" s="400" customFormat="1" ht="23.1" customHeight="1">
      <c r="E148" s="400" t="s">
        <v>427</v>
      </c>
      <c r="U148" s="416"/>
      <c r="V148" s="416"/>
      <c r="W148" s="416"/>
      <c r="X148" s="416"/>
      <c r="Y148" s="416"/>
      <c r="Z148" s="416"/>
      <c r="AA148" s="416"/>
      <c r="AB148" s="416"/>
      <c r="AC148" s="416"/>
      <c r="AD148" s="416"/>
      <c r="AE148" s="416"/>
      <c r="AF148" s="416"/>
      <c r="AG148" s="416"/>
      <c r="AH148" s="416"/>
      <c r="AI148" s="416"/>
      <c r="AJ148" s="416"/>
      <c r="AK148" s="416"/>
      <c r="AL148" s="416"/>
      <c r="AM148" s="416"/>
      <c r="AN148" s="416"/>
      <c r="AO148" s="416"/>
      <c r="AP148" s="416"/>
      <c r="AQ148" s="416"/>
      <c r="AR148" s="416"/>
      <c r="AS148" s="417"/>
      <c r="AT148" s="417"/>
      <c r="AU148" s="417"/>
      <c r="AV148" s="417"/>
      <c r="AW148" s="417"/>
      <c r="AX148" s="417"/>
      <c r="AY148" s="417"/>
      <c r="AZ148" s="417"/>
      <c r="BA148" s="416"/>
      <c r="BB148" s="416"/>
      <c r="BC148" s="416"/>
      <c r="BD148" s="416"/>
      <c r="BE148" s="416"/>
      <c r="BF148" s="416"/>
      <c r="BG148" s="416"/>
      <c r="BH148" s="416"/>
      <c r="BI148" s="416"/>
      <c r="BJ148" s="416"/>
      <c r="BK148" s="416"/>
      <c r="BL148" s="416"/>
      <c r="BM148" s="416"/>
      <c r="BN148" s="416"/>
      <c r="BO148" s="416"/>
      <c r="BP148" s="416"/>
      <c r="BQ148" s="416"/>
      <c r="BR148" s="416"/>
      <c r="BS148" s="416"/>
      <c r="BT148" s="416"/>
      <c r="BU148" s="416"/>
      <c r="BV148" s="416"/>
      <c r="BW148" s="416"/>
      <c r="BX148" s="416"/>
    </row>
    <row r="149" spans="1:84" s="400" customFormat="1" ht="9.9499999999999993" customHeight="1" thickBot="1"/>
    <row r="150" spans="1:84" s="400" customFormat="1" ht="23.1" customHeight="1" thickBot="1">
      <c r="E150" s="1835" t="s">
        <v>368</v>
      </c>
      <c r="F150" s="1836"/>
      <c r="G150" s="1836"/>
      <c r="H150" s="1836"/>
      <c r="I150" s="1836"/>
      <c r="J150" s="1836"/>
      <c r="K150" s="1836"/>
      <c r="L150" s="1836"/>
      <c r="M150" s="1836"/>
      <c r="N150" s="1836"/>
      <c r="O150" s="1836"/>
      <c r="P150" s="1836"/>
      <c r="Q150" s="1836"/>
      <c r="R150" s="1836"/>
      <c r="S150" s="1836"/>
      <c r="T150" s="1836" t="s">
        <v>428</v>
      </c>
      <c r="U150" s="1836"/>
      <c r="V150" s="1836"/>
      <c r="W150" s="1836"/>
      <c r="X150" s="1836"/>
      <c r="Y150" s="1836"/>
      <c r="Z150" s="1836"/>
      <c r="AA150" s="1836"/>
      <c r="AB150" s="1836" t="s">
        <v>370</v>
      </c>
      <c r="AC150" s="1836"/>
      <c r="AD150" s="1836"/>
      <c r="AE150" s="1836"/>
      <c r="AF150" s="1836"/>
      <c r="AG150" s="1899" t="s">
        <v>429</v>
      </c>
      <c r="AH150" s="1899"/>
      <c r="AI150" s="1899"/>
      <c r="AJ150" s="1899"/>
      <c r="AK150" s="1899"/>
      <c r="AL150" s="1899"/>
      <c r="AM150" s="1899"/>
      <c r="AN150" s="1899"/>
      <c r="AO150" s="1899"/>
      <c r="AP150" s="1899"/>
      <c r="AQ150" s="1899" t="s">
        <v>430</v>
      </c>
      <c r="AR150" s="1899"/>
      <c r="AS150" s="1899"/>
      <c r="AT150" s="1899"/>
      <c r="AU150" s="1899"/>
      <c r="AV150" s="1899"/>
      <c r="AW150" s="1899"/>
      <c r="AX150" s="1899"/>
      <c r="AY150" s="1899"/>
      <c r="AZ150" s="1899"/>
      <c r="BA150" s="1899" t="s">
        <v>431</v>
      </c>
      <c r="BB150" s="1899"/>
      <c r="BC150" s="1899"/>
      <c r="BD150" s="1899"/>
      <c r="BE150" s="1899"/>
      <c r="BF150" s="1899"/>
      <c r="BG150" s="1899"/>
      <c r="BH150" s="1899"/>
      <c r="BI150" s="1899"/>
      <c r="BJ150" s="1899"/>
      <c r="BK150" s="1899" t="s">
        <v>432</v>
      </c>
      <c r="BL150" s="1899"/>
      <c r="BM150" s="1899"/>
      <c r="BN150" s="1899"/>
      <c r="BO150" s="1899"/>
      <c r="BP150" s="1899"/>
      <c r="BQ150" s="1899"/>
      <c r="BR150" s="1899"/>
      <c r="BS150" s="1899"/>
      <c r="BT150" s="1899"/>
      <c r="BU150" s="1899" t="s">
        <v>433</v>
      </c>
      <c r="BV150" s="1899"/>
      <c r="BW150" s="1899"/>
      <c r="BX150" s="1899"/>
      <c r="BY150" s="1899"/>
      <c r="BZ150" s="1899"/>
      <c r="CA150" s="1899"/>
      <c r="CB150" s="1899"/>
      <c r="CC150" s="1899"/>
      <c r="CD150" s="1899"/>
      <c r="CE150" s="1899"/>
      <c r="CF150" s="1905"/>
    </row>
    <row r="151" spans="1:84" s="400" customFormat="1" ht="23.1" customHeight="1" thickTop="1">
      <c r="E151" s="1900" t="s">
        <v>434</v>
      </c>
      <c r="F151" s="1901"/>
      <c r="G151" s="1901"/>
      <c r="H151" s="1901"/>
      <c r="I151" s="1901"/>
      <c r="J151" s="1901"/>
      <c r="K151" s="1901"/>
      <c r="L151" s="1901"/>
      <c r="M151" s="1901"/>
      <c r="N151" s="1901"/>
      <c r="O151" s="1901"/>
      <c r="P151" s="1901"/>
      <c r="Q151" s="1901"/>
      <c r="R151" s="1901"/>
      <c r="S151" s="1901"/>
      <c r="T151" s="1901"/>
      <c r="U151" s="1901"/>
      <c r="V151" s="1901"/>
      <c r="W151" s="1901"/>
      <c r="X151" s="1901"/>
      <c r="Y151" s="1901"/>
      <c r="Z151" s="1901"/>
      <c r="AA151" s="1902"/>
      <c r="AB151" s="1881" t="s">
        <v>418</v>
      </c>
      <c r="AC151" s="1881"/>
      <c r="AD151" s="1881"/>
      <c r="AE151" s="1881"/>
      <c r="AF151" s="1881"/>
      <c r="AG151" s="1785"/>
      <c r="AH151" s="1785"/>
      <c r="AI151" s="1785"/>
      <c r="AJ151" s="1785"/>
      <c r="AK151" s="1785"/>
      <c r="AL151" s="1785"/>
      <c r="AM151" s="1785"/>
      <c r="AN151" s="1785"/>
      <c r="AO151" s="1785"/>
      <c r="AP151" s="1785"/>
      <c r="AQ151" s="1785"/>
      <c r="AR151" s="1785"/>
      <c r="AS151" s="1785"/>
      <c r="AT151" s="1785"/>
      <c r="AU151" s="1785"/>
      <c r="AV151" s="1785"/>
      <c r="AW151" s="1785"/>
      <c r="AX151" s="1785"/>
      <c r="AY151" s="1785"/>
      <c r="AZ151" s="1785"/>
      <c r="BA151" s="1785" t="e">
        <f>#REF!</f>
        <v>#REF!</v>
      </c>
      <c r="BB151" s="1785"/>
      <c r="BC151" s="1785"/>
      <c r="BD151" s="1785"/>
      <c r="BE151" s="1785"/>
      <c r="BF151" s="1785"/>
      <c r="BG151" s="1785"/>
      <c r="BH151" s="1785"/>
      <c r="BI151" s="1785"/>
      <c r="BJ151" s="1785"/>
      <c r="BK151" s="1785" t="e">
        <f t="shared" ref="BK151:BK158" si="19">AG151+AQ151+BA151</f>
        <v>#REF!</v>
      </c>
      <c r="BL151" s="1785"/>
      <c r="BM151" s="1785"/>
      <c r="BN151" s="1785"/>
      <c r="BO151" s="1785"/>
      <c r="BP151" s="1785"/>
      <c r="BQ151" s="1785"/>
      <c r="BR151" s="1785"/>
      <c r="BS151" s="1785"/>
      <c r="BT151" s="1785"/>
      <c r="BU151" s="1908"/>
      <c r="BV151" s="1908"/>
      <c r="BW151" s="1908"/>
      <c r="BX151" s="1908"/>
      <c r="BY151" s="1908"/>
      <c r="BZ151" s="1908"/>
      <c r="CA151" s="1908"/>
      <c r="CB151" s="1908"/>
      <c r="CC151" s="1908"/>
      <c r="CD151" s="1908"/>
      <c r="CE151" s="1908"/>
      <c r="CF151" s="1909"/>
    </row>
    <row r="152" spans="1:84" s="400" customFormat="1" ht="23.1" customHeight="1">
      <c r="E152" s="1920" t="s">
        <v>435</v>
      </c>
      <c r="F152" s="1921"/>
      <c r="G152" s="1921"/>
      <c r="H152" s="1921"/>
      <c r="I152" s="1921"/>
      <c r="J152" s="1921"/>
      <c r="K152" s="1921"/>
      <c r="L152" s="1921"/>
      <c r="M152" s="1921"/>
      <c r="N152" s="1921"/>
      <c r="O152" s="1921"/>
      <c r="P152" s="1921"/>
      <c r="Q152" s="1921"/>
      <c r="R152" s="1921"/>
      <c r="S152" s="1921"/>
      <c r="T152" s="1921"/>
      <c r="U152" s="1921"/>
      <c r="V152" s="1921"/>
      <c r="W152" s="1921"/>
      <c r="X152" s="1921"/>
      <c r="Y152" s="1921"/>
      <c r="Z152" s="1921"/>
      <c r="AA152" s="1922"/>
      <c r="AB152" s="1873" t="s">
        <v>418</v>
      </c>
      <c r="AC152" s="1873"/>
      <c r="AD152" s="1873"/>
      <c r="AE152" s="1873"/>
      <c r="AF152" s="1873"/>
      <c r="AG152" s="1814" t="e">
        <f>#REF!</f>
        <v>#REF!</v>
      </c>
      <c r="AH152" s="1814"/>
      <c r="AI152" s="1814"/>
      <c r="AJ152" s="1814"/>
      <c r="AK152" s="1814"/>
      <c r="AL152" s="1814"/>
      <c r="AM152" s="1814"/>
      <c r="AN152" s="1814"/>
      <c r="AO152" s="1814"/>
      <c r="AP152" s="1814"/>
      <c r="AQ152" s="1814" t="e">
        <f>#REF!</f>
        <v>#REF!</v>
      </c>
      <c r="AR152" s="1814"/>
      <c r="AS152" s="1814"/>
      <c r="AT152" s="1814"/>
      <c r="AU152" s="1814"/>
      <c r="AV152" s="1814"/>
      <c r="AW152" s="1814"/>
      <c r="AX152" s="1814"/>
      <c r="AY152" s="1814"/>
      <c r="AZ152" s="1814"/>
      <c r="BA152" s="1814" t="e">
        <f>#REF!</f>
        <v>#REF!</v>
      </c>
      <c r="BB152" s="1814"/>
      <c r="BC152" s="1814"/>
      <c r="BD152" s="1814"/>
      <c r="BE152" s="1814"/>
      <c r="BF152" s="1814"/>
      <c r="BG152" s="1814"/>
      <c r="BH152" s="1814"/>
      <c r="BI152" s="1814"/>
      <c r="BJ152" s="1814"/>
      <c r="BK152" s="1814" t="e">
        <f t="shared" si="19"/>
        <v>#REF!</v>
      </c>
      <c r="BL152" s="1814"/>
      <c r="BM152" s="1814"/>
      <c r="BN152" s="1814"/>
      <c r="BO152" s="1814"/>
      <c r="BP152" s="1814"/>
      <c r="BQ152" s="1814"/>
      <c r="BR152" s="1814"/>
      <c r="BS152" s="1814"/>
      <c r="BT152" s="1814"/>
      <c r="BU152" s="1906"/>
      <c r="BV152" s="1906"/>
      <c r="BW152" s="1906"/>
      <c r="BX152" s="1906"/>
      <c r="BY152" s="1906"/>
      <c r="BZ152" s="1906"/>
      <c r="CA152" s="1906"/>
      <c r="CB152" s="1906"/>
      <c r="CC152" s="1906"/>
      <c r="CD152" s="1906"/>
      <c r="CE152" s="1906"/>
      <c r="CF152" s="1907"/>
    </row>
    <row r="153" spans="1:84" s="400" customFormat="1" ht="23.1" customHeight="1">
      <c r="E153" s="1870" t="s">
        <v>436</v>
      </c>
      <c r="F153" s="1871"/>
      <c r="G153" s="1871"/>
      <c r="H153" s="1871"/>
      <c r="I153" s="1874" t="s">
        <v>415</v>
      </c>
      <c r="J153" s="1874"/>
      <c r="K153" s="1874"/>
      <c r="L153" s="1874"/>
      <c r="M153" s="1874"/>
      <c r="N153" s="1874"/>
      <c r="O153" s="1874"/>
      <c r="P153" s="1874"/>
      <c r="Q153" s="1874"/>
      <c r="R153" s="1874"/>
      <c r="S153" s="1874"/>
      <c r="T153" s="1873">
        <v>6.0000000000000001E-3</v>
      </c>
      <c r="U153" s="1873"/>
      <c r="V153" s="1873"/>
      <c r="W153" s="1873"/>
      <c r="X153" s="1873"/>
      <c r="Y153" s="1873"/>
      <c r="Z153" s="1873"/>
      <c r="AA153" s="1873"/>
      <c r="AB153" s="1873" t="s">
        <v>437</v>
      </c>
      <c r="AC153" s="1873"/>
      <c r="AD153" s="1873"/>
      <c r="AE153" s="1873"/>
      <c r="AF153" s="1873"/>
      <c r="AG153" s="1814" t="e">
        <f>$BU$153*T153</f>
        <v>#REF!</v>
      </c>
      <c r="AH153" s="1814"/>
      <c r="AI153" s="1814"/>
      <c r="AJ153" s="1814"/>
      <c r="AK153" s="1814"/>
      <c r="AL153" s="1814"/>
      <c r="AM153" s="1814"/>
      <c r="AN153" s="1814"/>
      <c r="AO153" s="1814"/>
      <c r="AP153" s="1814"/>
      <c r="AQ153" s="1814"/>
      <c r="AR153" s="1814"/>
      <c r="AS153" s="1814"/>
      <c r="AT153" s="1814"/>
      <c r="AU153" s="1814"/>
      <c r="AV153" s="1814"/>
      <c r="AW153" s="1814"/>
      <c r="AX153" s="1814"/>
      <c r="AY153" s="1814"/>
      <c r="AZ153" s="1814"/>
      <c r="BA153" s="1814"/>
      <c r="BB153" s="1814"/>
      <c r="BC153" s="1814"/>
      <c r="BD153" s="1814"/>
      <c r="BE153" s="1814"/>
      <c r="BF153" s="1814"/>
      <c r="BG153" s="1814"/>
      <c r="BH153" s="1814"/>
      <c r="BI153" s="1814"/>
      <c r="BJ153" s="1814"/>
      <c r="BK153" s="1814" t="e">
        <f t="shared" si="19"/>
        <v>#REF!</v>
      </c>
      <c r="BL153" s="1814"/>
      <c r="BM153" s="1814"/>
      <c r="BN153" s="1814"/>
      <c r="BO153" s="1814"/>
      <c r="BP153" s="1814"/>
      <c r="BQ153" s="1814"/>
      <c r="BR153" s="1814"/>
      <c r="BS153" s="1814"/>
      <c r="BT153" s="1814"/>
      <c r="BU153" s="1885" t="e">
        <f>#REF!</f>
        <v>#REF!</v>
      </c>
      <c r="BV153" s="1885"/>
      <c r="BW153" s="1885"/>
      <c r="BX153" s="1885"/>
      <c r="BY153" s="1885"/>
      <c r="BZ153" s="1885"/>
      <c r="CA153" s="1885"/>
      <c r="CB153" s="1885"/>
      <c r="CC153" s="1885"/>
      <c r="CD153" s="1885"/>
      <c r="CE153" s="1885"/>
      <c r="CF153" s="1886"/>
    </row>
    <row r="154" spans="1:84" s="400" customFormat="1" ht="23.1" customHeight="1">
      <c r="E154" s="1870"/>
      <c r="F154" s="1871"/>
      <c r="G154" s="1871"/>
      <c r="H154" s="1871"/>
      <c r="I154" s="1874" t="s">
        <v>374</v>
      </c>
      <c r="J154" s="1874"/>
      <c r="K154" s="1874"/>
      <c r="L154" s="1874"/>
      <c r="M154" s="1874"/>
      <c r="N154" s="1874"/>
      <c r="O154" s="1874"/>
      <c r="P154" s="1874"/>
      <c r="Q154" s="1874"/>
      <c r="R154" s="1874"/>
      <c r="S154" s="1874"/>
      <c r="T154" s="1873">
        <v>0.02</v>
      </c>
      <c r="U154" s="1873"/>
      <c r="V154" s="1873"/>
      <c r="W154" s="1873"/>
      <c r="X154" s="1873"/>
      <c r="Y154" s="1873"/>
      <c r="Z154" s="1873"/>
      <c r="AA154" s="1873"/>
      <c r="AB154" s="1873" t="s">
        <v>437</v>
      </c>
      <c r="AC154" s="1873"/>
      <c r="AD154" s="1873"/>
      <c r="AE154" s="1873"/>
      <c r="AF154" s="1873"/>
      <c r="AG154" s="1814" t="e">
        <f>$BU$153*T154</f>
        <v>#REF!</v>
      </c>
      <c r="AH154" s="1814"/>
      <c r="AI154" s="1814"/>
      <c r="AJ154" s="1814"/>
      <c r="AK154" s="1814"/>
      <c r="AL154" s="1814"/>
      <c r="AM154" s="1814"/>
      <c r="AN154" s="1814"/>
      <c r="AO154" s="1814"/>
      <c r="AP154" s="1814"/>
      <c r="AQ154" s="1814"/>
      <c r="AR154" s="1814"/>
      <c r="AS154" s="1814"/>
      <c r="AT154" s="1814"/>
      <c r="AU154" s="1814"/>
      <c r="AV154" s="1814"/>
      <c r="AW154" s="1814"/>
      <c r="AX154" s="1814"/>
      <c r="AY154" s="1814"/>
      <c r="AZ154" s="1814"/>
      <c r="BA154" s="1814"/>
      <c r="BB154" s="1814"/>
      <c r="BC154" s="1814"/>
      <c r="BD154" s="1814"/>
      <c r="BE154" s="1814"/>
      <c r="BF154" s="1814"/>
      <c r="BG154" s="1814"/>
      <c r="BH154" s="1814"/>
      <c r="BI154" s="1814"/>
      <c r="BJ154" s="1814"/>
      <c r="BK154" s="1814" t="e">
        <f t="shared" si="19"/>
        <v>#REF!</v>
      </c>
      <c r="BL154" s="1814"/>
      <c r="BM154" s="1814"/>
      <c r="BN154" s="1814"/>
      <c r="BO154" s="1814"/>
      <c r="BP154" s="1814"/>
      <c r="BQ154" s="1814"/>
      <c r="BR154" s="1814"/>
      <c r="BS154" s="1814"/>
      <c r="BT154" s="1814"/>
      <c r="BU154" s="1885"/>
      <c r="BV154" s="1885"/>
      <c r="BW154" s="1885"/>
      <c r="BX154" s="1885"/>
      <c r="BY154" s="1885"/>
      <c r="BZ154" s="1885"/>
      <c r="CA154" s="1885"/>
      <c r="CB154" s="1885"/>
      <c r="CC154" s="1885"/>
      <c r="CD154" s="1885"/>
      <c r="CE154" s="1885"/>
      <c r="CF154" s="1886"/>
    </row>
    <row r="155" spans="1:84" s="400" customFormat="1" ht="23.1" customHeight="1" thickBot="1">
      <c r="E155" s="1903"/>
      <c r="F155" s="1904"/>
      <c r="G155" s="1904"/>
      <c r="H155" s="1904"/>
      <c r="I155" s="1926" t="s">
        <v>373</v>
      </c>
      <c r="J155" s="1926"/>
      <c r="K155" s="1926"/>
      <c r="L155" s="1926"/>
      <c r="M155" s="1926"/>
      <c r="N155" s="1926"/>
      <c r="O155" s="1926"/>
      <c r="P155" s="1926"/>
      <c r="Q155" s="1926"/>
      <c r="R155" s="1926"/>
      <c r="S155" s="1926"/>
      <c r="T155" s="1875">
        <v>0.03</v>
      </c>
      <c r="U155" s="1875"/>
      <c r="V155" s="1875"/>
      <c r="W155" s="1875"/>
      <c r="X155" s="1875"/>
      <c r="Y155" s="1875"/>
      <c r="Z155" s="1875"/>
      <c r="AA155" s="1875"/>
      <c r="AB155" s="1875" t="s">
        <v>437</v>
      </c>
      <c r="AC155" s="1875"/>
      <c r="AD155" s="1875"/>
      <c r="AE155" s="1875"/>
      <c r="AF155" s="1875"/>
      <c r="AG155" s="1872" t="e">
        <f>$BU$153*T155</f>
        <v>#REF!</v>
      </c>
      <c r="AH155" s="1872"/>
      <c r="AI155" s="1872"/>
      <c r="AJ155" s="1872"/>
      <c r="AK155" s="1872"/>
      <c r="AL155" s="1872"/>
      <c r="AM155" s="1872"/>
      <c r="AN155" s="1872"/>
      <c r="AO155" s="1872"/>
      <c r="AP155" s="1872"/>
      <c r="AQ155" s="1872"/>
      <c r="AR155" s="1872"/>
      <c r="AS155" s="1872"/>
      <c r="AT155" s="1872"/>
      <c r="AU155" s="1872"/>
      <c r="AV155" s="1872"/>
      <c r="AW155" s="1872"/>
      <c r="AX155" s="1872"/>
      <c r="AY155" s="1872"/>
      <c r="AZ155" s="1872"/>
      <c r="BA155" s="1872"/>
      <c r="BB155" s="1872"/>
      <c r="BC155" s="1872"/>
      <c r="BD155" s="1872"/>
      <c r="BE155" s="1872"/>
      <c r="BF155" s="1872"/>
      <c r="BG155" s="1872"/>
      <c r="BH155" s="1872"/>
      <c r="BI155" s="1872"/>
      <c r="BJ155" s="1872"/>
      <c r="BK155" s="1872" t="e">
        <f t="shared" si="19"/>
        <v>#REF!</v>
      </c>
      <c r="BL155" s="1872"/>
      <c r="BM155" s="1872"/>
      <c r="BN155" s="1872"/>
      <c r="BO155" s="1872"/>
      <c r="BP155" s="1872"/>
      <c r="BQ155" s="1872"/>
      <c r="BR155" s="1872"/>
      <c r="BS155" s="1872"/>
      <c r="BT155" s="1872"/>
      <c r="BU155" s="1887"/>
      <c r="BV155" s="1887"/>
      <c r="BW155" s="1887"/>
      <c r="BX155" s="1887"/>
      <c r="BY155" s="1887"/>
      <c r="BZ155" s="1887"/>
      <c r="CA155" s="1887"/>
      <c r="CB155" s="1887"/>
      <c r="CC155" s="1887"/>
      <c r="CD155" s="1887"/>
      <c r="CE155" s="1887"/>
      <c r="CF155" s="1888"/>
    </row>
    <row r="156" spans="1:84" s="400" customFormat="1" ht="23.1" customHeight="1" thickTop="1">
      <c r="E156" s="1913" t="s">
        <v>438</v>
      </c>
      <c r="F156" s="1914"/>
      <c r="G156" s="1914"/>
      <c r="H156" s="1914"/>
      <c r="I156" s="1917" t="s">
        <v>415</v>
      </c>
      <c r="J156" s="1917"/>
      <c r="K156" s="1917"/>
      <c r="L156" s="1917"/>
      <c r="M156" s="1917"/>
      <c r="N156" s="1917"/>
      <c r="O156" s="1917"/>
      <c r="P156" s="1917"/>
      <c r="Q156" s="1917"/>
      <c r="R156" s="1917"/>
      <c r="S156" s="1917"/>
      <c r="T156" s="1882"/>
      <c r="U156" s="1882"/>
      <c r="V156" s="1882"/>
      <c r="W156" s="1882"/>
      <c r="X156" s="1882"/>
      <c r="Y156" s="1882"/>
      <c r="Z156" s="1882"/>
      <c r="AA156" s="1882"/>
      <c r="AB156" s="1882"/>
      <c r="AC156" s="1882"/>
      <c r="AD156" s="1882"/>
      <c r="AE156" s="1882"/>
      <c r="AF156" s="1882"/>
      <c r="AG156" s="1812" t="e">
        <f>AG151+AG152+AG153</f>
        <v>#REF!</v>
      </c>
      <c r="AH156" s="1812"/>
      <c r="AI156" s="1812"/>
      <c r="AJ156" s="1812"/>
      <c r="AK156" s="1812"/>
      <c r="AL156" s="1812"/>
      <c r="AM156" s="1812"/>
      <c r="AN156" s="1812"/>
      <c r="AO156" s="1812"/>
      <c r="AP156" s="1812"/>
      <c r="AQ156" s="1812" t="e">
        <f>AQ151+AQ152+AQ153</f>
        <v>#REF!</v>
      </c>
      <c r="AR156" s="1812"/>
      <c r="AS156" s="1812"/>
      <c r="AT156" s="1812"/>
      <c r="AU156" s="1812"/>
      <c r="AV156" s="1812"/>
      <c r="AW156" s="1812"/>
      <c r="AX156" s="1812"/>
      <c r="AY156" s="1812"/>
      <c r="AZ156" s="1812"/>
      <c r="BA156" s="1812" t="e">
        <f>BA151+BA152+BA153</f>
        <v>#REF!</v>
      </c>
      <c r="BB156" s="1812"/>
      <c r="BC156" s="1812"/>
      <c r="BD156" s="1812"/>
      <c r="BE156" s="1812"/>
      <c r="BF156" s="1812"/>
      <c r="BG156" s="1812"/>
      <c r="BH156" s="1812"/>
      <c r="BI156" s="1812"/>
      <c r="BJ156" s="1812"/>
      <c r="BK156" s="1812" t="e">
        <f t="shared" si="19"/>
        <v>#REF!</v>
      </c>
      <c r="BL156" s="1812"/>
      <c r="BM156" s="1812"/>
      <c r="BN156" s="1812"/>
      <c r="BO156" s="1812"/>
      <c r="BP156" s="1812"/>
      <c r="BQ156" s="1812"/>
      <c r="BR156" s="1812"/>
      <c r="BS156" s="1812"/>
      <c r="BT156" s="1812"/>
      <c r="BU156" s="1883"/>
      <c r="BV156" s="1883"/>
      <c r="BW156" s="1883"/>
      <c r="BX156" s="1883"/>
      <c r="BY156" s="1883"/>
      <c r="BZ156" s="1883"/>
      <c r="CA156" s="1883"/>
      <c r="CB156" s="1883"/>
      <c r="CC156" s="1883"/>
      <c r="CD156" s="1883"/>
      <c r="CE156" s="1883"/>
      <c r="CF156" s="1884"/>
    </row>
    <row r="157" spans="1:84" s="400" customFormat="1" ht="23.1" customHeight="1">
      <c r="E157" s="1870"/>
      <c r="F157" s="1871"/>
      <c r="G157" s="1871"/>
      <c r="H157" s="1871"/>
      <c r="I157" s="1874" t="s">
        <v>374</v>
      </c>
      <c r="J157" s="1874"/>
      <c r="K157" s="1874"/>
      <c r="L157" s="1874"/>
      <c r="M157" s="1874"/>
      <c r="N157" s="1874"/>
      <c r="O157" s="1874"/>
      <c r="P157" s="1874"/>
      <c r="Q157" s="1874"/>
      <c r="R157" s="1874"/>
      <c r="S157" s="1874"/>
      <c r="T157" s="1873"/>
      <c r="U157" s="1873"/>
      <c r="V157" s="1873"/>
      <c r="W157" s="1873"/>
      <c r="X157" s="1873"/>
      <c r="Y157" s="1873"/>
      <c r="Z157" s="1873"/>
      <c r="AA157" s="1873"/>
      <c r="AB157" s="1873"/>
      <c r="AC157" s="1873"/>
      <c r="AD157" s="1873"/>
      <c r="AE157" s="1873"/>
      <c r="AF157" s="1873"/>
      <c r="AG157" s="1814" t="e">
        <f>AG151+AG152+AG154</f>
        <v>#REF!</v>
      </c>
      <c r="AH157" s="1814"/>
      <c r="AI157" s="1814"/>
      <c r="AJ157" s="1814"/>
      <c r="AK157" s="1814"/>
      <c r="AL157" s="1814"/>
      <c r="AM157" s="1814"/>
      <c r="AN157" s="1814"/>
      <c r="AO157" s="1814"/>
      <c r="AP157" s="1814"/>
      <c r="AQ157" s="1814" t="e">
        <f>AQ151+AQ152+AQ154</f>
        <v>#REF!</v>
      </c>
      <c r="AR157" s="1814"/>
      <c r="AS157" s="1814"/>
      <c r="AT157" s="1814"/>
      <c r="AU157" s="1814"/>
      <c r="AV157" s="1814"/>
      <c r="AW157" s="1814"/>
      <c r="AX157" s="1814"/>
      <c r="AY157" s="1814"/>
      <c r="AZ157" s="1814"/>
      <c r="BA157" s="1814" t="e">
        <f>BA151+BA152+BA154</f>
        <v>#REF!</v>
      </c>
      <c r="BB157" s="1814"/>
      <c r="BC157" s="1814"/>
      <c r="BD157" s="1814"/>
      <c r="BE157" s="1814"/>
      <c r="BF157" s="1814"/>
      <c r="BG157" s="1814"/>
      <c r="BH157" s="1814"/>
      <c r="BI157" s="1814"/>
      <c r="BJ157" s="1814"/>
      <c r="BK157" s="1814" t="e">
        <f t="shared" si="19"/>
        <v>#REF!</v>
      </c>
      <c r="BL157" s="1814"/>
      <c r="BM157" s="1814"/>
      <c r="BN157" s="1814"/>
      <c r="BO157" s="1814"/>
      <c r="BP157" s="1814"/>
      <c r="BQ157" s="1814"/>
      <c r="BR157" s="1814"/>
      <c r="BS157" s="1814"/>
      <c r="BT157" s="1814"/>
      <c r="BU157" s="1906"/>
      <c r="BV157" s="1906"/>
      <c r="BW157" s="1906"/>
      <c r="BX157" s="1906"/>
      <c r="BY157" s="1906"/>
      <c r="BZ157" s="1906"/>
      <c r="CA157" s="1906"/>
      <c r="CB157" s="1906"/>
      <c r="CC157" s="1906"/>
      <c r="CD157" s="1906"/>
      <c r="CE157" s="1906"/>
      <c r="CF157" s="1907"/>
    </row>
    <row r="158" spans="1:84" s="400" customFormat="1" ht="23.1" customHeight="1" thickBot="1">
      <c r="E158" s="1915"/>
      <c r="F158" s="1916"/>
      <c r="G158" s="1916"/>
      <c r="H158" s="1916"/>
      <c r="I158" s="1891" t="s">
        <v>373</v>
      </c>
      <c r="J158" s="1891"/>
      <c r="K158" s="1891"/>
      <c r="L158" s="1891"/>
      <c r="M158" s="1891"/>
      <c r="N158" s="1891"/>
      <c r="O158" s="1891"/>
      <c r="P158" s="1891"/>
      <c r="Q158" s="1891"/>
      <c r="R158" s="1891"/>
      <c r="S158" s="1891"/>
      <c r="T158" s="1861"/>
      <c r="U158" s="1861"/>
      <c r="V158" s="1861"/>
      <c r="W158" s="1861"/>
      <c r="X158" s="1861"/>
      <c r="Y158" s="1861"/>
      <c r="Z158" s="1861"/>
      <c r="AA158" s="1861"/>
      <c r="AB158" s="1861"/>
      <c r="AC158" s="1861"/>
      <c r="AD158" s="1861"/>
      <c r="AE158" s="1861"/>
      <c r="AF158" s="1861"/>
      <c r="AG158" s="1796" t="e">
        <f>AG151+AG152+AG155</f>
        <v>#REF!</v>
      </c>
      <c r="AH158" s="1796"/>
      <c r="AI158" s="1796"/>
      <c r="AJ158" s="1796"/>
      <c r="AK158" s="1796"/>
      <c r="AL158" s="1796"/>
      <c r="AM158" s="1796"/>
      <c r="AN158" s="1796"/>
      <c r="AO158" s="1796"/>
      <c r="AP158" s="1796"/>
      <c r="AQ158" s="1796" t="e">
        <f>AQ151+AQ152+AQ155</f>
        <v>#REF!</v>
      </c>
      <c r="AR158" s="1796"/>
      <c r="AS158" s="1796"/>
      <c r="AT158" s="1796"/>
      <c r="AU158" s="1796"/>
      <c r="AV158" s="1796"/>
      <c r="AW158" s="1796"/>
      <c r="AX158" s="1796"/>
      <c r="AY158" s="1796"/>
      <c r="AZ158" s="1796"/>
      <c r="BA158" s="1796" t="e">
        <f>BA151+BA152+BA155</f>
        <v>#REF!</v>
      </c>
      <c r="BB158" s="1796"/>
      <c r="BC158" s="1796"/>
      <c r="BD158" s="1796"/>
      <c r="BE158" s="1796"/>
      <c r="BF158" s="1796"/>
      <c r="BG158" s="1796"/>
      <c r="BH158" s="1796"/>
      <c r="BI158" s="1796"/>
      <c r="BJ158" s="1796"/>
      <c r="BK158" s="1796" t="e">
        <f t="shared" si="19"/>
        <v>#REF!</v>
      </c>
      <c r="BL158" s="1796"/>
      <c r="BM158" s="1796"/>
      <c r="BN158" s="1796"/>
      <c r="BO158" s="1796"/>
      <c r="BP158" s="1796"/>
      <c r="BQ158" s="1796"/>
      <c r="BR158" s="1796"/>
      <c r="BS158" s="1796"/>
      <c r="BT158" s="1796"/>
      <c r="BU158" s="1889"/>
      <c r="BV158" s="1889"/>
      <c r="BW158" s="1889"/>
      <c r="BX158" s="1889"/>
      <c r="BY158" s="1889"/>
      <c r="BZ158" s="1889"/>
      <c r="CA158" s="1889"/>
      <c r="CB158" s="1889"/>
      <c r="CC158" s="1889"/>
      <c r="CD158" s="1889"/>
      <c r="CE158" s="1889"/>
      <c r="CF158" s="1890"/>
    </row>
    <row r="159" spans="1:84" s="400" customFormat="1" ht="23.1" customHeight="1"/>
    <row r="160" spans="1:84" s="400" customFormat="1" ht="23.1" customHeight="1">
      <c r="BT160" s="410"/>
      <c r="BU160" s="410"/>
      <c r="BV160" s="410"/>
      <c r="BW160" s="410"/>
      <c r="BX160" s="410"/>
      <c r="BY160" s="410"/>
      <c r="BZ160" s="410"/>
      <c r="CA160" s="410"/>
      <c r="CB160" s="410"/>
      <c r="CC160" s="410"/>
    </row>
    <row r="161" spans="1:88" s="400" customFormat="1" ht="23.1" customHeight="1">
      <c r="BT161" s="414"/>
      <c r="BU161" s="414"/>
      <c r="BV161" s="414"/>
      <c r="BW161" s="414"/>
      <c r="BX161" s="414"/>
      <c r="BY161" s="414"/>
      <c r="BZ161" s="414"/>
      <c r="CA161" s="414"/>
      <c r="CB161" s="414"/>
      <c r="CC161" s="414"/>
    </row>
    <row r="162" spans="1:88" s="400" customFormat="1" ht="23.1" customHeight="1">
      <c r="BT162" s="410"/>
      <c r="BU162" s="410"/>
      <c r="BV162" s="410"/>
      <c r="BW162" s="410"/>
      <c r="BX162" s="410"/>
      <c r="BY162" s="410"/>
      <c r="BZ162" s="410"/>
      <c r="CA162" s="410"/>
      <c r="CB162" s="410"/>
      <c r="CC162" s="410"/>
    </row>
    <row r="163" spans="1:88" s="400" customFormat="1" ht="23.1" customHeight="1">
      <c r="BT163" s="414"/>
      <c r="BU163" s="414"/>
      <c r="BV163" s="414"/>
      <c r="BW163" s="414"/>
      <c r="BX163" s="414"/>
      <c r="BY163" s="414"/>
      <c r="BZ163" s="414"/>
      <c r="CA163" s="414"/>
      <c r="CB163" s="414"/>
      <c r="CC163" s="414"/>
    </row>
    <row r="164" spans="1:88" s="400" customFormat="1" ht="23.1" customHeight="1">
      <c r="BT164" s="410"/>
      <c r="BU164" s="410"/>
      <c r="BV164" s="410"/>
      <c r="BW164" s="410"/>
      <c r="BX164" s="410"/>
      <c r="BY164" s="410"/>
      <c r="BZ164" s="410"/>
      <c r="CA164" s="410"/>
      <c r="CB164" s="410"/>
      <c r="CC164" s="410"/>
    </row>
    <row r="165" spans="1:88" s="412" customFormat="1" ht="28.35" customHeight="1">
      <c r="A165" s="1877" t="s">
        <v>439</v>
      </c>
      <c r="B165" s="1877"/>
      <c r="C165" s="1877"/>
      <c r="D165" s="1877"/>
      <c r="E165" s="1877"/>
      <c r="F165" s="1877"/>
      <c r="G165" s="1877"/>
      <c r="H165" s="1877"/>
      <c r="I165" s="1877"/>
      <c r="J165" s="1877"/>
      <c r="K165" s="1877"/>
      <c r="L165" s="1877"/>
      <c r="M165" s="1877"/>
      <c r="N165" s="1877"/>
      <c r="O165" s="1877"/>
      <c r="P165" s="1877"/>
      <c r="Q165" s="1877"/>
      <c r="R165" s="1877"/>
      <c r="S165" s="1877"/>
      <c r="T165" s="1877"/>
      <c r="U165" s="1877"/>
      <c r="V165" s="1877"/>
      <c r="W165" s="1877"/>
      <c r="X165" s="1877"/>
      <c r="Y165" s="1877"/>
      <c r="Z165" s="1877"/>
      <c r="AA165" s="1877"/>
      <c r="AB165" s="1877"/>
      <c r="AC165" s="1877"/>
      <c r="AD165" s="1877"/>
      <c r="AE165" s="1877"/>
      <c r="AF165" s="1877"/>
      <c r="AG165" s="1877"/>
      <c r="AH165" s="1877"/>
      <c r="AI165" s="1877"/>
      <c r="AJ165" s="1877"/>
      <c r="AK165" s="1877"/>
      <c r="AL165" s="1877"/>
      <c r="AM165" s="1877"/>
      <c r="AN165" s="1877"/>
      <c r="AO165" s="1877"/>
      <c r="AP165" s="1877"/>
      <c r="AQ165" s="1877"/>
      <c r="AR165" s="1877"/>
      <c r="AS165" s="1877"/>
      <c r="AT165" s="1877"/>
      <c r="AU165" s="1877"/>
      <c r="AV165" s="1877"/>
      <c r="AW165" s="1877"/>
      <c r="AX165" s="1877"/>
      <c r="AY165" s="1877"/>
      <c r="AZ165" s="1877"/>
      <c r="BA165" s="1877"/>
      <c r="BB165" s="1877"/>
      <c r="BC165" s="1877"/>
      <c r="BD165" s="1877"/>
      <c r="BE165" s="1877"/>
      <c r="BF165" s="1877"/>
      <c r="BG165" s="1877"/>
      <c r="BH165" s="1877"/>
      <c r="BI165" s="1877"/>
      <c r="BJ165" s="1877"/>
      <c r="BK165" s="1877"/>
      <c r="BL165" s="1877"/>
      <c r="BM165" s="1877"/>
      <c r="BN165" s="1877"/>
      <c r="BO165" s="1877"/>
      <c r="BP165" s="1877"/>
      <c r="BQ165" s="1877"/>
      <c r="BR165" s="1877"/>
      <c r="BS165" s="1877"/>
      <c r="BT165" s="1877"/>
      <c r="BU165" s="1877"/>
      <c r="BV165" s="1877"/>
      <c r="BW165" s="1877"/>
      <c r="BX165" s="1877"/>
      <c r="BY165" s="1877"/>
      <c r="BZ165" s="1877"/>
      <c r="CA165" s="1877"/>
      <c r="CB165" s="1877"/>
      <c r="CC165" s="1877"/>
      <c r="CD165" s="1877"/>
      <c r="CE165" s="1877"/>
      <c r="CF165" s="1877"/>
      <c r="CJ165" s="400" t="s">
        <v>755</v>
      </c>
    </row>
    <row r="166" spans="1:88" s="412" customFormat="1" ht="9.9499999999999993" customHeight="1">
      <c r="A166" s="413"/>
      <c r="B166" s="413"/>
      <c r="C166" s="413"/>
      <c r="D166" s="413"/>
      <c r="E166" s="413"/>
      <c r="F166" s="413"/>
      <c r="G166" s="413"/>
      <c r="H166" s="413"/>
      <c r="I166" s="413"/>
      <c r="J166" s="413"/>
      <c r="K166" s="413"/>
      <c r="L166" s="413"/>
      <c r="M166" s="413"/>
      <c r="N166" s="413"/>
      <c r="O166" s="413"/>
      <c r="P166" s="413"/>
      <c r="Q166" s="413"/>
      <c r="R166" s="413"/>
      <c r="S166" s="413"/>
      <c r="T166" s="413"/>
      <c r="U166" s="413"/>
      <c r="V166" s="413"/>
      <c r="W166" s="413"/>
      <c r="X166" s="413"/>
      <c r="Y166" s="413"/>
      <c r="Z166" s="413"/>
      <c r="AA166" s="413"/>
      <c r="AB166" s="413"/>
      <c r="AC166" s="413"/>
      <c r="AD166" s="413"/>
      <c r="AE166" s="413"/>
      <c r="AF166" s="413"/>
      <c r="AG166" s="413"/>
      <c r="AH166" s="413"/>
      <c r="AI166" s="413"/>
      <c r="AJ166" s="413"/>
      <c r="AK166" s="413"/>
      <c r="AL166" s="413"/>
      <c r="AM166" s="413"/>
      <c r="AN166" s="413"/>
      <c r="AO166" s="413"/>
      <c r="AP166" s="413"/>
      <c r="AQ166" s="413"/>
      <c r="AR166" s="413"/>
      <c r="AS166" s="413"/>
      <c r="AT166" s="413"/>
      <c r="AU166" s="413"/>
      <c r="AV166" s="413"/>
      <c r="AW166" s="413"/>
      <c r="AX166" s="413"/>
      <c r="AY166" s="413"/>
      <c r="AZ166" s="413"/>
      <c r="BA166" s="413"/>
      <c r="BB166" s="413"/>
      <c r="BC166" s="413"/>
      <c r="BD166" s="413"/>
      <c r="BE166" s="413"/>
      <c r="BF166" s="413"/>
      <c r="BG166" s="413"/>
      <c r="BH166" s="413"/>
      <c r="BI166" s="413"/>
      <c r="BJ166" s="413"/>
      <c r="BK166" s="413"/>
      <c r="BL166" s="413"/>
      <c r="BM166" s="413"/>
      <c r="BN166" s="413"/>
      <c r="BO166" s="413"/>
      <c r="BP166" s="413"/>
      <c r="BQ166" s="413"/>
      <c r="BR166" s="413"/>
      <c r="BS166" s="413"/>
      <c r="BT166" s="413"/>
      <c r="BU166" s="413"/>
      <c r="BV166" s="413"/>
      <c r="BW166" s="413"/>
      <c r="BX166" s="413"/>
      <c r="BY166" s="413"/>
      <c r="BZ166" s="413"/>
      <c r="CA166" s="413"/>
      <c r="CB166" s="413"/>
      <c r="CC166" s="413"/>
      <c r="CD166" s="413"/>
      <c r="CE166" s="413"/>
      <c r="CF166" s="413"/>
      <c r="CJ166" s="400"/>
    </row>
    <row r="167" spans="1:88" s="400" customFormat="1" ht="23.1" customHeight="1">
      <c r="E167" s="400" t="s">
        <v>376</v>
      </c>
      <c r="CJ167" s="400" t="s">
        <v>754</v>
      </c>
    </row>
    <row r="168" spans="1:88" s="400" customFormat="1" ht="23.1" customHeight="1">
      <c r="A168" s="402"/>
      <c r="B168" s="402"/>
      <c r="C168" s="402"/>
      <c r="D168" s="402"/>
      <c r="G168" s="1788" t="s">
        <v>377</v>
      </c>
      <c r="H168" s="1788"/>
      <c r="I168" s="1788"/>
      <c r="J168" s="1788"/>
      <c r="L168" s="411" t="s">
        <v>378</v>
      </c>
      <c r="M168" s="411"/>
      <c r="N168" s="411"/>
      <c r="O168" s="411"/>
      <c r="P168" s="411"/>
      <c r="Q168" s="411"/>
      <c r="R168" s="411"/>
      <c r="S168" s="411"/>
      <c r="T168" s="411"/>
      <c r="U168" s="411"/>
      <c r="V168" s="411"/>
      <c r="W168" s="411"/>
      <c r="X168" s="411"/>
      <c r="Y168" s="411"/>
      <c r="Z168" s="411"/>
      <c r="AA168" s="411"/>
      <c r="AB168" s="411"/>
      <c r="AC168" s="411"/>
      <c r="AD168" s="411"/>
      <c r="AE168" s="411"/>
      <c r="AM168" s="400" t="s">
        <v>379</v>
      </c>
      <c r="AV168" s="408"/>
      <c r="AW168" s="408"/>
      <c r="AX168" s="408"/>
      <c r="AY168" s="408"/>
      <c r="AZ168" s="408"/>
      <c r="BA168" s="408"/>
      <c r="BC168" s="408"/>
      <c r="BD168" s="408"/>
      <c r="BE168" s="404"/>
      <c r="BF168" s="404"/>
      <c r="BG168" s="404"/>
      <c r="BH168" s="404"/>
      <c r="BI168" s="400" t="s">
        <v>380</v>
      </c>
      <c r="BJ168" s="404"/>
      <c r="BK168" s="404"/>
      <c r="BL168" s="404"/>
      <c r="BM168" s="404"/>
      <c r="BN168" s="404"/>
      <c r="BO168" s="404"/>
      <c r="BP168" s="404"/>
      <c r="BQ168" s="404"/>
      <c r="BR168" s="404"/>
      <c r="BS168" s="404"/>
      <c r="BT168" s="404"/>
      <c r="BU168" s="404"/>
      <c r="BV168" s="404"/>
      <c r="BW168" s="404"/>
      <c r="BX168" s="404"/>
      <c r="BY168" s="404"/>
      <c r="BZ168" s="404"/>
      <c r="CA168" s="404"/>
      <c r="CB168" s="404"/>
      <c r="CC168" s="404"/>
      <c r="CD168" s="404"/>
      <c r="CE168" s="404"/>
      <c r="CF168" s="404"/>
      <c r="CJ168" s="400" t="s">
        <v>753</v>
      </c>
    </row>
    <row r="169" spans="1:88" s="400" customFormat="1" ht="23.1" customHeight="1">
      <c r="D169" s="405"/>
      <c r="G169" s="1788"/>
      <c r="H169" s="1788"/>
      <c r="I169" s="1788"/>
      <c r="J169" s="1788"/>
      <c r="L169" s="1809" t="s">
        <v>381</v>
      </c>
      <c r="M169" s="1809"/>
      <c r="N169" s="1809"/>
      <c r="O169" s="1809"/>
      <c r="P169" s="1809"/>
      <c r="Q169" s="1809"/>
      <c r="R169" s="1809"/>
      <c r="S169" s="1809"/>
      <c r="T169" s="1809"/>
      <c r="U169" s="1809"/>
      <c r="V169" s="1809"/>
      <c r="W169" s="1809"/>
      <c r="X169" s="1809"/>
      <c r="Y169" s="1809"/>
      <c r="Z169" s="1809"/>
      <c r="AA169" s="1809"/>
      <c r="AB169" s="1809"/>
      <c r="AC169" s="1809"/>
      <c r="AD169" s="1809"/>
      <c r="AE169" s="1809"/>
      <c r="AM169" s="408" t="s">
        <v>440</v>
      </c>
      <c r="AV169" s="408"/>
      <c r="AW169" s="408"/>
      <c r="AX169" s="408"/>
      <c r="AY169" s="408"/>
      <c r="AZ169" s="408"/>
      <c r="BA169" s="408"/>
      <c r="BC169" s="408"/>
      <c r="BD169" s="408"/>
      <c r="BE169" s="404"/>
      <c r="BF169" s="404"/>
      <c r="BG169" s="404"/>
      <c r="BH169" s="404"/>
      <c r="BI169" s="404"/>
      <c r="BJ169" s="404"/>
      <c r="BK169" s="404"/>
      <c r="BL169" s="404"/>
      <c r="BM169" s="404"/>
      <c r="BN169" s="404"/>
      <c r="BO169" s="404"/>
      <c r="BP169" s="404"/>
      <c r="BQ169" s="404"/>
      <c r="BR169" s="404"/>
      <c r="BS169" s="404"/>
      <c r="BT169" s="404"/>
      <c r="BU169" s="404"/>
      <c r="BV169" s="404"/>
      <c r="BW169" s="404"/>
      <c r="BX169" s="404"/>
      <c r="BY169" s="404"/>
      <c r="BZ169" s="404"/>
      <c r="CA169" s="404"/>
      <c r="CB169" s="404"/>
      <c r="CC169" s="404"/>
      <c r="CD169" s="404"/>
      <c r="CE169" s="404"/>
      <c r="CF169" s="404"/>
      <c r="CJ169" s="400" t="s">
        <v>752</v>
      </c>
    </row>
    <row r="170" spans="1:88" s="400" customFormat="1" ht="23.1" customHeight="1">
      <c r="G170" s="402"/>
      <c r="AM170" s="408" t="s">
        <v>383</v>
      </c>
      <c r="BI170" s="400" t="s">
        <v>384</v>
      </c>
      <c r="BT170" s="410"/>
      <c r="BU170" s="410"/>
      <c r="BV170" s="410"/>
      <c r="BW170" s="410"/>
      <c r="BX170" s="410"/>
      <c r="BY170" s="410"/>
      <c r="BZ170" s="410"/>
      <c r="CA170" s="410"/>
      <c r="CB170" s="410"/>
      <c r="CC170" s="410"/>
      <c r="CJ170" s="400" t="s">
        <v>751</v>
      </c>
    </row>
    <row r="171" spans="1:88" s="400" customFormat="1" ht="9.9499999999999993" customHeight="1" thickBot="1">
      <c r="D171" s="405"/>
      <c r="Q171" s="409"/>
      <c r="R171" s="409"/>
      <c r="S171" s="409"/>
      <c r="T171" s="409"/>
      <c r="U171" s="409"/>
      <c r="V171" s="409"/>
      <c r="W171" s="409"/>
      <c r="X171" s="409"/>
      <c r="Y171" s="409"/>
      <c r="Z171" s="409"/>
      <c r="AA171" s="409"/>
      <c r="AB171" s="409"/>
      <c r="AV171" s="408"/>
      <c r="AW171" s="408"/>
      <c r="AX171" s="408"/>
      <c r="AY171" s="408"/>
      <c r="AZ171" s="408"/>
      <c r="BA171" s="408"/>
      <c r="BB171" s="408"/>
      <c r="BC171" s="408"/>
      <c r="BD171" s="408"/>
      <c r="BE171" s="404"/>
      <c r="BF171" s="404"/>
      <c r="BG171" s="404"/>
      <c r="BH171" s="404"/>
      <c r="BI171" s="404"/>
      <c r="BJ171" s="404"/>
      <c r="BK171" s="404"/>
      <c r="BL171" s="404"/>
      <c r="BM171" s="404"/>
      <c r="BN171" s="404"/>
      <c r="BO171" s="404"/>
      <c r="BP171" s="404"/>
      <c r="BQ171" s="404"/>
      <c r="BR171" s="404"/>
      <c r="BS171" s="404"/>
      <c r="BT171" s="404"/>
      <c r="BU171" s="404"/>
      <c r="BV171" s="404"/>
      <c r="BW171" s="404"/>
      <c r="BX171" s="404"/>
      <c r="BY171" s="404"/>
      <c r="BZ171" s="404"/>
      <c r="CA171" s="404"/>
      <c r="CB171" s="404"/>
      <c r="CC171" s="404"/>
      <c r="CD171" s="404"/>
      <c r="CE171" s="404"/>
      <c r="CF171" s="404"/>
    </row>
    <row r="172" spans="1:88" s="400" customFormat="1" ht="23.1" customHeight="1" thickBot="1">
      <c r="A172" s="402"/>
      <c r="B172" s="402"/>
      <c r="C172" s="402"/>
      <c r="D172" s="402"/>
      <c r="E172" s="1835" t="s">
        <v>385</v>
      </c>
      <c r="F172" s="1836"/>
      <c r="G172" s="1836"/>
      <c r="H172" s="1836"/>
      <c r="I172" s="1836"/>
      <c r="J172" s="1836"/>
      <c r="K172" s="1836"/>
      <c r="L172" s="1836"/>
      <c r="M172" s="1836"/>
      <c r="N172" s="1836"/>
      <c r="O172" s="1836"/>
      <c r="P172" s="1836"/>
      <c r="Q172" s="1836" t="s">
        <v>212</v>
      </c>
      <c r="R172" s="1836"/>
      <c r="S172" s="1836"/>
      <c r="T172" s="1836"/>
      <c r="U172" s="1836"/>
      <c r="V172" s="1836"/>
      <c r="W172" s="1836"/>
      <c r="X172" s="1836"/>
      <c r="Y172" s="1836"/>
      <c r="Z172" s="1836"/>
      <c r="AA172" s="1836"/>
      <c r="AB172" s="1836"/>
      <c r="AC172" s="1836" t="s">
        <v>386</v>
      </c>
      <c r="AD172" s="1836"/>
      <c r="AE172" s="1836"/>
      <c r="AF172" s="1836"/>
      <c r="AG172" s="1836"/>
      <c r="AH172" s="1836"/>
      <c r="AI172" s="1836"/>
      <c r="AJ172" s="1836"/>
      <c r="AK172" s="1836" t="s">
        <v>387</v>
      </c>
      <c r="AL172" s="1836"/>
      <c r="AM172" s="1836"/>
      <c r="AN172" s="1836"/>
      <c r="AO172" s="1836"/>
      <c r="AP172" s="1836"/>
      <c r="AQ172" s="1836"/>
      <c r="AR172" s="1836"/>
      <c r="AS172" s="1836" t="s">
        <v>388</v>
      </c>
      <c r="AT172" s="1836"/>
      <c r="AU172" s="1836"/>
      <c r="AV172" s="1836"/>
      <c r="AW172" s="1836"/>
      <c r="AX172" s="1836"/>
      <c r="AY172" s="1836"/>
      <c r="AZ172" s="1836"/>
      <c r="BA172" s="1836" t="s">
        <v>389</v>
      </c>
      <c r="BB172" s="1836"/>
      <c r="BC172" s="1836"/>
      <c r="BD172" s="1836"/>
      <c r="BE172" s="1836"/>
      <c r="BF172" s="1836"/>
      <c r="BG172" s="1836"/>
      <c r="BH172" s="1836"/>
      <c r="BI172" s="1836" t="s">
        <v>381</v>
      </c>
      <c r="BJ172" s="1836"/>
      <c r="BK172" s="1836"/>
      <c r="BL172" s="1836"/>
      <c r="BM172" s="1836"/>
      <c r="BN172" s="1836"/>
      <c r="BO172" s="1836"/>
      <c r="BP172" s="1836"/>
      <c r="BQ172" s="1836"/>
      <c r="BR172" s="1836"/>
      <c r="BS172" s="1836"/>
      <c r="BT172" s="1836"/>
      <c r="BU172" s="1933" t="s">
        <v>390</v>
      </c>
      <c r="BV172" s="1933"/>
      <c r="BW172" s="1933"/>
      <c r="BX172" s="1933"/>
      <c r="BY172" s="1933"/>
      <c r="BZ172" s="1933"/>
      <c r="CA172" s="1933"/>
      <c r="CB172" s="1933"/>
      <c r="CC172" s="1933"/>
      <c r="CD172" s="1933"/>
      <c r="CE172" s="1933"/>
      <c r="CF172" s="1934"/>
    </row>
    <row r="173" spans="1:88" s="400" customFormat="1" ht="23.1" customHeight="1" thickTop="1">
      <c r="D173" s="405"/>
      <c r="E173" s="1935" t="s">
        <v>391</v>
      </c>
      <c r="F173" s="1834"/>
      <c r="G173" s="1834"/>
      <c r="H173" s="1834"/>
      <c r="I173" s="1834"/>
      <c r="J173" s="1834"/>
      <c r="K173" s="1834"/>
      <c r="L173" s="1834"/>
      <c r="M173" s="1834"/>
      <c r="N173" s="1834"/>
      <c r="O173" s="1834"/>
      <c r="P173" s="1834"/>
      <c r="Q173" s="1936" t="s">
        <v>392</v>
      </c>
      <c r="R173" s="1936"/>
      <c r="S173" s="1936"/>
      <c r="T173" s="1936"/>
      <c r="U173" s="1936"/>
      <c r="V173" s="1936"/>
      <c r="W173" s="1936"/>
      <c r="X173" s="1936"/>
      <c r="Y173" s="1936"/>
      <c r="Z173" s="1936"/>
      <c r="AA173" s="1936"/>
      <c r="AB173" s="1936"/>
      <c r="AC173" s="1964">
        <v>0.12</v>
      </c>
      <c r="AD173" s="1964"/>
      <c r="AE173" s="1964"/>
      <c r="AF173" s="1964"/>
      <c r="AG173" s="1964"/>
      <c r="AH173" s="1964"/>
      <c r="AI173" s="1964"/>
      <c r="AJ173" s="1964"/>
      <c r="AK173" s="1834">
        <v>0.9</v>
      </c>
      <c r="AL173" s="1834"/>
      <c r="AM173" s="1834"/>
      <c r="AN173" s="1834"/>
      <c r="AO173" s="1834"/>
      <c r="AP173" s="1834"/>
      <c r="AQ173" s="1834"/>
      <c r="AR173" s="1834"/>
      <c r="AS173" s="1834">
        <v>0.7</v>
      </c>
      <c r="AT173" s="1834"/>
      <c r="AU173" s="1834"/>
      <c r="AV173" s="1834"/>
      <c r="AW173" s="1834"/>
      <c r="AX173" s="1834"/>
      <c r="AY173" s="1834"/>
      <c r="AZ173" s="1834"/>
      <c r="BA173" s="1834">
        <v>0.6</v>
      </c>
      <c r="BB173" s="1834"/>
      <c r="BC173" s="1834"/>
      <c r="BD173" s="1834"/>
      <c r="BE173" s="1834"/>
      <c r="BF173" s="1834"/>
      <c r="BG173" s="1834"/>
      <c r="BH173" s="1834"/>
      <c r="BI173" s="1929" t="s">
        <v>393</v>
      </c>
      <c r="BJ173" s="1866"/>
      <c r="BK173" s="1866"/>
      <c r="BL173" s="1866"/>
      <c r="BM173" s="1866"/>
      <c r="BN173" s="1866"/>
      <c r="BO173" s="1930">
        <v>20</v>
      </c>
      <c r="BP173" s="1931"/>
      <c r="BQ173" s="1931"/>
      <c r="BR173" s="1931"/>
      <c r="BS173" s="1931"/>
      <c r="BT173" s="1932"/>
      <c r="BU173" s="1924">
        <f t="shared" ref="BU173:BU180" si="20">ROUND(3600*AC173*AK173*AS173*BA173/BO173,2)</f>
        <v>8.16</v>
      </c>
      <c r="BV173" s="1924"/>
      <c r="BW173" s="1924"/>
      <c r="BX173" s="1924"/>
      <c r="BY173" s="1924"/>
      <c r="BZ173" s="1924"/>
      <c r="CA173" s="1924"/>
      <c r="CB173" s="1924"/>
      <c r="CC173" s="1924"/>
      <c r="CD173" s="1924"/>
      <c r="CE173" s="1924"/>
      <c r="CF173" s="1925"/>
      <c r="CJ173" s="400" t="s">
        <v>750</v>
      </c>
    </row>
    <row r="174" spans="1:88" s="400" customFormat="1" ht="23.1" customHeight="1">
      <c r="D174" s="405"/>
      <c r="E174" s="1828" t="s">
        <v>391</v>
      </c>
      <c r="F174" s="1829"/>
      <c r="G174" s="1829"/>
      <c r="H174" s="1829"/>
      <c r="I174" s="1829"/>
      <c r="J174" s="1829"/>
      <c r="K174" s="1829"/>
      <c r="L174" s="1829"/>
      <c r="M174" s="1829"/>
      <c r="N174" s="1829"/>
      <c r="O174" s="1829"/>
      <c r="P174" s="1829"/>
      <c r="Q174" s="1830" t="s">
        <v>394</v>
      </c>
      <c r="R174" s="1830"/>
      <c r="S174" s="1830"/>
      <c r="T174" s="1830"/>
      <c r="U174" s="1830"/>
      <c r="V174" s="1830"/>
      <c r="W174" s="1830"/>
      <c r="X174" s="1830"/>
      <c r="Y174" s="1830"/>
      <c r="Z174" s="1830"/>
      <c r="AA174" s="1830"/>
      <c r="AB174" s="1830"/>
      <c r="AC174" s="1878">
        <v>0.18</v>
      </c>
      <c r="AD174" s="1878"/>
      <c r="AE174" s="1878"/>
      <c r="AF174" s="1878"/>
      <c r="AG174" s="1878"/>
      <c r="AH174" s="1878"/>
      <c r="AI174" s="1878"/>
      <c r="AJ174" s="1878"/>
      <c r="AK174" s="1829">
        <v>0.9</v>
      </c>
      <c r="AL174" s="1829"/>
      <c r="AM174" s="1829"/>
      <c r="AN174" s="1829"/>
      <c r="AO174" s="1829"/>
      <c r="AP174" s="1829"/>
      <c r="AQ174" s="1829"/>
      <c r="AR174" s="1829"/>
      <c r="AS174" s="1829">
        <v>0.7</v>
      </c>
      <c r="AT174" s="1829"/>
      <c r="AU174" s="1829"/>
      <c r="AV174" s="1829"/>
      <c r="AW174" s="1829"/>
      <c r="AX174" s="1829"/>
      <c r="AY174" s="1829"/>
      <c r="AZ174" s="1829"/>
      <c r="BA174" s="1829">
        <v>0.6</v>
      </c>
      <c r="BB174" s="1829"/>
      <c r="BC174" s="1829"/>
      <c r="BD174" s="1829"/>
      <c r="BE174" s="1829"/>
      <c r="BF174" s="1829"/>
      <c r="BG174" s="1829"/>
      <c r="BH174" s="1829"/>
      <c r="BI174" s="1929" t="s">
        <v>393</v>
      </c>
      <c r="BJ174" s="1866"/>
      <c r="BK174" s="1866"/>
      <c r="BL174" s="1866"/>
      <c r="BM174" s="1866"/>
      <c r="BN174" s="1866"/>
      <c r="BO174" s="1865">
        <v>20</v>
      </c>
      <c r="BP174" s="1866"/>
      <c r="BQ174" s="1866"/>
      <c r="BR174" s="1866"/>
      <c r="BS174" s="1866"/>
      <c r="BT174" s="1867"/>
      <c r="BU174" s="1924">
        <f t="shared" si="20"/>
        <v>12.25</v>
      </c>
      <c r="BV174" s="1924"/>
      <c r="BW174" s="1924"/>
      <c r="BX174" s="1924"/>
      <c r="BY174" s="1924"/>
      <c r="BZ174" s="1924"/>
      <c r="CA174" s="1924"/>
      <c r="CB174" s="1924"/>
      <c r="CC174" s="1924"/>
      <c r="CD174" s="1924"/>
      <c r="CE174" s="1924"/>
      <c r="CF174" s="1925"/>
      <c r="CJ174" s="400" t="s">
        <v>750</v>
      </c>
    </row>
    <row r="175" spans="1:88" s="400" customFormat="1" ht="23.1" customHeight="1">
      <c r="A175" s="402"/>
      <c r="B175" s="402"/>
      <c r="C175" s="402"/>
      <c r="D175" s="402"/>
      <c r="E175" s="1828" t="s">
        <v>391</v>
      </c>
      <c r="F175" s="1829"/>
      <c r="G175" s="1829"/>
      <c r="H175" s="1829"/>
      <c r="I175" s="1829"/>
      <c r="J175" s="1829"/>
      <c r="K175" s="1829"/>
      <c r="L175" s="1829"/>
      <c r="M175" s="1829"/>
      <c r="N175" s="1829"/>
      <c r="O175" s="1829"/>
      <c r="P175" s="1829"/>
      <c r="Q175" s="1830" t="s">
        <v>395</v>
      </c>
      <c r="R175" s="1830"/>
      <c r="S175" s="1830"/>
      <c r="T175" s="1830"/>
      <c r="U175" s="1830"/>
      <c r="V175" s="1830"/>
      <c r="W175" s="1830"/>
      <c r="X175" s="1830"/>
      <c r="Y175" s="1830"/>
      <c r="Z175" s="1830"/>
      <c r="AA175" s="1830"/>
      <c r="AB175" s="1830"/>
      <c r="AC175" s="1918">
        <v>0.2</v>
      </c>
      <c r="AD175" s="1918"/>
      <c r="AE175" s="1918"/>
      <c r="AF175" s="1918"/>
      <c r="AG175" s="1918"/>
      <c r="AH175" s="1918"/>
      <c r="AI175" s="1918"/>
      <c r="AJ175" s="1918"/>
      <c r="AK175" s="1829">
        <v>0.9</v>
      </c>
      <c r="AL175" s="1829"/>
      <c r="AM175" s="1829"/>
      <c r="AN175" s="1829"/>
      <c r="AO175" s="1829"/>
      <c r="AP175" s="1829"/>
      <c r="AQ175" s="1829"/>
      <c r="AR175" s="1829"/>
      <c r="AS175" s="1829">
        <v>0.7</v>
      </c>
      <c r="AT175" s="1829"/>
      <c r="AU175" s="1829"/>
      <c r="AV175" s="1829"/>
      <c r="AW175" s="1829"/>
      <c r="AX175" s="1829"/>
      <c r="AY175" s="1829"/>
      <c r="AZ175" s="1829"/>
      <c r="BA175" s="1829">
        <v>0.6</v>
      </c>
      <c r="BB175" s="1829"/>
      <c r="BC175" s="1829"/>
      <c r="BD175" s="1829"/>
      <c r="BE175" s="1829"/>
      <c r="BF175" s="1829"/>
      <c r="BG175" s="1829"/>
      <c r="BH175" s="1829"/>
      <c r="BI175" s="1929" t="s">
        <v>393</v>
      </c>
      <c r="BJ175" s="1866"/>
      <c r="BK175" s="1866"/>
      <c r="BL175" s="1866"/>
      <c r="BM175" s="1866"/>
      <c r="BN175" s="1866"/>
      <c r="BO175" s="1865">
        <v>20</v>
      </c>
      <c r="BP175" s="1866"/>
      <c r="BQ175" s="1866"/>
      <c r="BR175" s="1866"/>
      <c r="BS175" s="1866"/>
      <c r="BT175" s="1867"/>
      <c r="BU175" s="1924">
        <f t="shared" si="20"/>
        <v>13.61</v>
      </c>
      <c r="BV175" s="1924"/>
      <c r="BW175" s="1924"/>
      <c r="BX175" s="1924"/>
      <c r="BY175" s="1924"/>
      <c r="BZ175" s="1924"/>
      <c r="CA175" s="1924"/>
      <c r="CB175" s="1924"/>
      <c r="CC175" s="1924"/>
      <c r="CD175" s="1924"/>
      <c r="CE175" s="1924"/>
      <c r="CF175" s="1925"/>
      <c r="CJ175" s="400" t="s">
        <v>750</v>
      </c>
    </row>
    <row r="176" spans="1:88" s="400" customFormat="1" ht="23.1" customHeight="1">
      <c r="E176" s="1828" t="s">
        <v>391</v>
      </c>
      <c r="F176" s="1829"/>
      <c r="G176" s="1829"/>
      <c r="H176" s="1829"/>
      <c r="I176" s="1829"/>
      <c r="J176" s="1829"/>
      <c r="K176" s="1829"/>
      <c r="L176" s="1829"/>
      <c r="M176" s="1829"/>
      <c r="N176" s="1829"/>
      <c r="O176" s="1829"/>
      <c r="P176" s="1829"/>
      <c r="Q176" s="1830" t="s">
        <v>359</v>
      </c>
      <c r="R176" s="1830"/>
      <c r="S176" s="1830"/>
      <c r="T176" s="1830"/>
      <c r="U176" s="1830"/>
      <c r="V176" s="1830"/>
      <c r="W176" s="1830"/>
      <c r="X176" s="1830"/>
      <c r="Y176" s="1830"/>
      <c r="Z176" s="1830"/>
      <c r="AA176" s="1830"/>
      <c r="AB176" s="1830"/>
      <c r="AC176" s="1918">
        <v>0.4</v>
      </c>
      <c r="AD176" s="1918"/>
      <c r="AE176" s="1918"/>
      <c r="AF176" s="1918"/>
      <c r="AG176" s="1918"/>
      <c r="AH176" s="1918"/>
      <c r="AI176" s="1918"/>
      <c r="AJ176" s="1918"/>
      <c r="AK176" s="1829">
        <v>0.9</v>
      </c>
      <c r="AL176" s="1829"/>
      <c r="AM176" s="1829"/>
      <c r="AN176" s="1829"/>
      <c r="AO176" s="1829"/>
      <c r="AP176" s="1829"/>
      <c r="AQ176" s="1829"/>
      <c r="AR176" s="1829"/>
      <c r="AS176" s="1829">
        <v>0.7</v>
      </c>
      <c r="AT176" s="1829"/>
      <c r="AU176" s="1829"/>
      <c r="AV176" s="1829"/>
      <c r="AW176" s="1829"/>
      <c r="AX176" s="1829"/>
      <c r="AY176" s="1829"/>
      <c r="AZ176" s="1829"/>
      <c r="BA176" s="1829">
        <v>0.75</v>
      </c>
      <c r="BB176" s="1829"/>
      <c r="BC176" s="1829"/>
      <c r="BD176" s="1829"/>
      <c r="BE176" s="1829"/>
      <c r="BF176" s="1829"/>
      <c r="BG176" s="1829"/>
      <c r="BH176" s="1829"/>
      <c r="BI176" s="1929" t="s">
        <v>396</v>
      </c>
      <c r="BJ176" s="1866"/>
      <c r="BK176" s="1866"/>
      <c r="BL176" s="1866"/>
      <c r="BM176" s="1866"/>
      <c r="BN176" s="1866"/>
      <c r="BO176" s="1865">
        <v>18</v>
      </c>
      <c r="BP176" s="1866"/>
      <c r="BQ176" s="1866"/>
      <c r="BR176" s="1866"/>
      <c r="BS176" s="1866"/>
      <c r="BT176" s="1867"/>
      <c r="BU176" s="1924">
        <f t="shared" si="20"/>
        <v>37.799999999999997</v>
      </c>
      <c r="BV176" s="1924"/>
      <c r="BW176" s="1924"/>
      <c r="BX176" s="1924"/>
      <c r="BY176" s="1924"/>
      <c r="BZ176" s="1924"/>
      <c r="CA176" s="1924"/>
      <c r="CB176" s="1924"/>
      <c r="CC176" s="1924"/>
      <c r="CD176" s="1924"/>
      <c r="CE176" s="1924"/>
      <c r="CF176" s="1925"/>
      <c r="CJ176" s="400" t="s">
        <v>749</v>
      </c>
    </row>
    <row r="177" spans="1:88" s="400" customFormat="1" ht="23.1" customHeight="1">
      <c r="A177" s="402"/>
      <c r="B177" s="402"/>
      <c r="C177" s="402"/>
      <c r="D177" s="402"/>
      <c r="E177" s="1828" t="s">
        <v>391</v>
      </c>
      <c r="F177" s="1829"/>
      <c r="G177" s="1829"/>
      <c r="H177" s="1829"/>
      <c r="I177" s="1829"/>
      <c r="J177" s="1829"/>
      <c r="K177" s="1829"/>
      <c r="L177" s="1829"/>
      <c r="M177" s="1829"/>
      <c r="N177" s="1829"/>
      <c r="O177" s="1829"/>
      <c r="P177" s="1829"/>
      <c r="Q177" s="1830" t="s">
        <v>397</v>
      </c>
      <c r="R177" s="1830"/>
      <c r="S177" s="1830"/>
      <c r="T177" s="1830"/>
      <c r="U177" s="1830"/>
      <c r="V177" s="1830"/>
      <c r="W177" s="1830"/>
      <c r="X177" s="1830"/>
      <c r="Y177" s="1830"/>
      <c r="Z177" s="1830"/>
      <c r="AA177" s="1830"/>
      <c r="AB177" s="1830"/>
      <c r="AC177" s="1918">
        <v>0.6</v>
      </c>
      <c r="AD177" s="1918"/>
      <c r="AE177" s="1918"/>
      <c r="AF177" s="1918"/>
      <c r="AG177" s="1918"/>
      <c r="AH177" s="1918"/>
      <c r="AI177" s="1918"/>
      <c r="AJ177" s="1918"/>
      <c r="AK177" s="1829">
        <v>0.9</v>
      </c>
      <c r="AL177" s="1829"/>
      <c r="AM177" s="1829"/>
      <c r="AN177" s="1829"/>
      <c r="AO177" s="1829"/>
      <c r="AP177" s="1829"/>
      <c r="AQ177" s="1829"/>
      <c r="AR177" s="1829"/>
      <c r="AS177" s="1829">
        <v>0.7</v>
      </c>
      <c r="AT177" s="1829"/>
      <c r="AU177" s="1829"/>
      <c r="AV177" s="1829"/>
      <c r="AW177" s="1829"/>
      <c r="AX177" s="1829"/>
      <c r="AY177" s="1829"/>
      <c r="AZ177" s="1829"/>
      <c r="BA177" s="1829">
        <v>0.75</v>
      </c>
      <c r="BB177" s="1829"/>
      <c r="BC177" s="1829"/>
      <c r="BD177" s="1829"/>
      <c r="BE177" s="1829"/>
      <c r="BF177" s="1829"/>
      <c r="BG177" s="1829"/>
      <c r="BH177" s="1829"/>
      <c r="BI177" s="1929" t="s">
        <v>398</v>
      </c>
      <c r="BJ177" s="1866"/>
      <c r="BK177" s="1866"/>
      <c r="BL177" s="1866"/>
      <c r="BM177" s="1866"/>
      <c r="BN177" s="1866"/>
      <c r="BO177" s="1865">
        <v>18</v>
      </c>
      <c r="BP177" s="1866"/>
      <c r="BQ177" s="1866"/>
      <c r="BR177" s="1866"/>
      <c r="BS177" s="1866"/>
      <c r="BT177" s="1867"/>
      <c r="BU177" s="1924">
        <f t="shared" si="20"/>
        <v>56.7</v>
      </c>
      <c r="BV177" s="1924"/>
      <c r="BW177" s="1924"/>
      <c r="BX177" s="1924"/>
      <c r="BY177" s="1924"/>
      <c r="BZ177" s="1924"/>
      <c r="CA177" s="1924"/>
      <c r="CB177" s="1924"/>
      <c r="CC177" s="1924"/>
      <c r="CD177" s="1924"/>
      <c r="CE177" s="1924"/>
      <c r="CF177" s="1925"/>
      <c r="CJ177" s="400" t="s">
        <v>749</v>
      </c>
    </row>
    <row r="178" spans="1:88" s="400" customFormat="1" ht="23.1" customHeight="1">
      <c r="E178" s="1828" t="s">
        <v>391</v>
      </c>
      <c r="F178" s="1829"/>
      <c r="G178" s="1829"/>
      <c r="H178" s="1829"/>
      <c r="I178" s="1829"/>
      <c r="J178" s="1829"/>
      <c r="K178" s="1829"/>
      <c r="L178" s="1829"/>
      <c r="M178" s="1829"/>
      <c r="N178" s="1829"/>
      <c r="O178" s="1829"/>
      <c r="P178" s="1829"/>
      <c r="Q178" s="1830" t="s">
        <v>399</v>
      </c>
      <c r="R178" s="1830"/>
      <c r="S178" s="1830"/>
      <c r="T178" s="1830"/>
      <c r="U178" s="1830"/>
      <c r="V178" s="1830"/>
      <c r="W178" s="1830"/>
      <c r="X178" s="1830"/>
      <c r="Y178" s="1830"/>
      <c r="Z178" s="1830"/>
      <c r="AA178" s="1830"/>
      <c r="AB178" s="1830"/>
      <c r="AC178" s="1918">
        <v>0.7</v>
      </c>
      <c r="AD178" s="1918"/>
      <c r="AE178" s="1918"/>
      <c r="AF178" s="1918"/>
      <c r="AG178" s="1918"/>
      <c r="AH178" s="1918"/>
      <c r="AI178" s="1918"/>
      <c r="AJ178" s="1918"/>
      <c r="AK178" s="1829">
        <v>0.9</v>
      </c>
      <c r="AL178" s="1829"/>
      <c r="AM178" s="1829"/>
      <c r="AN178" s="1829"/>
      <c r="AO178" s="1829"/>
      <c r="AP178" s="1829"/>
      <c r="AQ178" s="1829"/>
      <c r="AR178" s="1829"/>
      <c r="AS178" s="1829">
        <v>0.7</v>
      </c>
      <c r="AT178" s="1829"/>
      <c r="AU178" s="1829"/>
      <c r="AV178" s="1829"/>
      <c r="AW178" s="1829"/>
      <c r="AX178" s="1829"/>
      <c r="AY178" s="1829"/>
      <c r="AZ178" s="1829"/>
      <c r="BA178" s="1829">
        <v>0.75</v>
      </c>
      <c r="BB178" s="1829"/>
      <c r="BC178" s="1829"/>
      <c r="BD178" s="1829"/>
      <c r="BE178" s="1829"/>
      <c r="BF178" s="1829"/>
      <c r="BG178" s="1829"/>
      <c r="BH178" s="1829"/>
      <c r="BI178" s="1929" t="s">
        <v>398</v>
      </c>
      <c r="BJ178" s="1866"/>
      <c r="BK178" s="1866"/>
      <c r="BL178" s="1866"/>
      <c r="BM178" s="1866"/>
      <c r="BN178" s="1866"/>
      <c r="BO178" s="1865">
        <v>18</v>
      </c>
      <c r="BP178" s="1866"/>
      <c r="BQ178" s="1866"/>
      <c r="BR178" s="1866"/>
      <c r="BS178" s="1866"/>
      <c r="BT178" s="1867"/>
      <c r="BU178" s="1924">
        <f t="shared" si="20"/>
        <v>66.150000000000006</v>
      </c>
      <c r="BV178" s="1924"/>
      <c r="BW178" s="1924"/>
      <c r="BX178" s="1924"/>
      <c r="BY178" s="1924"/>
      <c r="BZ178" s="1924"/>
      <c r="CA178" s="1924"/>
      <c r="CB178" s="1924"/>
      <c r="CC178" s="1924"/>
      <c r="CD178" s="1924"/>
      <c r="CE178" s="1924"/>
      <c r="CF178" s="1925"/>
      <c r="CJ178" s="400" t="s">
        <v>749</v>
      </c>
    </row>
    <row r="179" spans="1:88" s="400" customFormat="1" ht="23.1" customHeight="1">
      <c r="E179" s="1828" t="s">
        <v>391</v>
      </c>
      <c r="F179" s="1829"/>
      <c r="G179" s="1829"/>
      <c r="H179" s="1829"/>
      <c r="I179" s="1829"/>
      <c r="J179" s="1829"/>
      <c r="K179" s="1829"/>
      <c r="L179" s="1829"/>
      <c r="M179" s="1829"/>
      <c r="N179" s="1829"/>
      <c r="O179" s="1829"/>
      <c r="P179" s="1829"/>
      <c r="Q179" s="1830" t="s">
        <v>400</v>
      </c>
      <c r="R179" s="1830"/>
      <c r="S179" s="1830"/>
      <c r="T179" s="1830"/>
      <c r="U179" s="1830"/>
      <c r="V179" s="1830"/>
      <c r="W179" s="1830"/>
      <c r="X179" s="1830"/>
      <c r="Y179" s="1830"/>
      <c r="Z179" s="1830"/>
      <c r="AA179" s="1830"/>
      <c r="AB179" s="1830"/>
      <c r="AC179" s="1918">
        <v>0.8</v>
      </c>
      <c r="AD179" s="1918"/>
      <c r="AE179" s="1918"/>
      <c r="AF179" s="1918"/>
      <c r="AG179" s="1918"/>
      <c r="AH179" s="1918"/>
      <c r="AI179" s="1918"/>
      <c r="AJ179" s="1918"/>
      <c r="AK179" s="1829">
        <v>0.9</v>
      </c>
      <c r="AL179" s="1829"/>
      <c r="AM179" s="1829"/>
      <c r="AN179" s="1829"/>
      <c r="AO179" s="1829"/>
      <c r="AP179" s="1829"/>
      <c r="AQ179" s="1829"/>
      <c r="AR179" s="1829"/>
      <c r="AS179" s="1829">
        <v>0.7</v>
      </c>
      <c r="AT179" s="1829"/>
      <c r="AU179" s="1829"/>
      <c r="AV179" s="1829"/>
      <c r="AW179" s="1829"/>
      <c r="AX179" s="1829"/>
      <c r="AY179" s="1829"/>
      <c r="AZ179" s="1829"/>
      <c r="BA179" s="1829">
        <v>0.75</v>
      </c>
      <c r="BB179" s="1829"/>
      <c r="BC179" s="1829"/>
      <c r="BD179" s="1829"/>
      <c r="BE179" s="1829"/>
      <c r="BF179" s="1829"/>
      <c r="BG179" s="1829"/>
      <c r="BH179" s="1829"/>
      <c r="BI179" s="1929" t="s">
        <v>398</v>
      </c>
      <c r="BJ179" s="1866"/>
      <c r="BK179" s="1866"/>
      <c r="BL179" s="1866"/>
      <c r="BM179" s="1866"/>
      <c r="BN179" s="1866"/>
      <c r="BO179" s="1865">
        <v>18</v>
      </c>
      <c r="BP179" s="1866"/>
      <c r="BQ179" s="1866"/>
      <c r="BR179" s="1866"/>
      <c r="BS179" s="1866"/>
      <c r="BT179" s="1867"/>
      <c r="BU179" s="1924">
        <f t="shared" si="20"/>
        <v>75.599999999999994</v>
      </c>
      <c r="BV179" s="1924"/>
      <c r="BW179" s="1924"/>
      <c r="BX179" s="1924"/>
      <c r="BY179" s="1924"/>
      <c r="BZ179" s="1924"/>
      <c r="CA179" s="1924"/>
      <c r="CB179" s="1924"/>
      <c r="CC179" s="1924"/>
      <c r="CD179" s="1924"/>
      <c r="CE179" s="1924"/>
      <c r="CF179" s="1925"/>
      <c r="CJ179" s="400" t="s">
        <v>749</v>
      </c>
    </row>
    <row r="180" spans="1:88" s="400" customFormat="1" ht="23.1" customHeight="1" thickBot="1">
      <c r="A180" s="402"/>
      <c r="B180" s="402"/>
      <c r="C180" s="402"/>
      <c r="D180" s="402"/>
      <c r="E180" s="1822" t="s">
        <v>391</v>
      </c>
      <c r="F180" s="1816"/>
      <c r="G180" s="1816"/>
      <c r="H180" s="1816"/>
      <c r="I180" s="1816"/>
      <c r="J180" s="1816"/>
      <c r="K180" s="1816"/>
      <c r="L180" s="1816"/>
      <c r="M180" s="1816"/>
      <c r="N180" s="1816"/>
      <c r="O180" s="1816"/>
      <c r="P180" s="1819"/>
      <c r="Q180" s="1823" t="s">
        <v>401</v>
      </c>
      <c r="R180" s="1823"/>
      <c r="S180" s="1823"/>
      <c r="T180" s="1823"/>
      <c r="U180" s="1823"/>
      <c r="V180" s="1823"/>
      <c r="W180" s="1823"/>
      <c r="X180" s="1823"/>
      <c r="Y180" s="1823"/>
      <c r="Z180" s="1823"/>
      <c r="AA180" s="1823"/>
      <c r="AB180" s="1823"/>
      <c r="AC180" s="1856">
        <v>1</v>
      </c>
      <c r="AD180" s="1856"/>
      <c r="AE180" s="1856"/>
      <c r="AF180" s="1856"/>
      <c r="AG180" s="1856"/>
      <c r="AH180" s="1856"/>
      <c r="AI180" s="1856"/>
      <c r="AJ180" s="1856"/>
      <c r="AK180" s="1855">
        <v>0.9</v>
      </c>
      <c r="AL180" s="1855"/>
      <c r="AM180" s="1855"/>
      <c r="AN180" s="1855"/>
      <c r="AO180" s="1855"/>
      <c r="AP180" s="1855"/>
      <c r="AQ180" s="1855"/>
      <c r="AR180" s="1855"/>
      <c r="AS180" s="1855">
        <v>0.7</v>
      </c>
      <c r="AT180" s="1855"/>
      <c r="AU180" s="1855"/>
      <c r="AV180" s="1855"/>
      <c r="AW180" s="1855"/>
      <c r="AX180" s="1855"/>
      <c r="AY180" s="1855"/>
      <c r="AZ180" s="1855"/>
      <c r="BA180" s="1855">
        <v>0.75</v>
      </c>
      <c r="BB180" s="1855"/>
      <c r="BC180" s="1855"/>
      <c r="BD180" s="1855"/>
      <c r="BE180" s="1855"/>
      <c r="BF180" s="1855"/>
      <c r="BG180" s="1855"/>
      <c r="BH180" s="1855"/>
      <c r="BI180" s="1815" t="s">
        <v>398</v>
      </c>
      <c r="BJ180" s="1816"/>
      <c r="BK180" s="1816"/>
      <c r="BL180" s="1816"/>
      <c r="BM180" s="1816"/>
      <c r="BN180" s="1816"/>
      <c r="BO180" s="1818">
        <v>19</v>
      </c>
      <c r="BP180" s="1816"/>
      <c r="BQ180" s="1816"/>
      <c r="BR180" s="1816"/>
      <c r="BS180" s="1816"/>
      <c r="BT180" s="1819"/>
      <c r="BU180" s="1825">
        <f t="shared" si="20"/>
        <v>89.53</v>
      </c>
      <c r="BV180" s="1825"/>
      <c r="BW180" s="1825"/>
      <c r="BX180" s="1825"/>
      <c r="BY180" s="1825"/>
      <c r="BZ180" s="1825"/>
      <c r="CA180" s="1825"/>
      <c r="CB180" s="1825"/>
      <c r="CC180" s="1825"/>
      <c r="CD180" s="1825"/>
      <c r="CE180" s="1825"/>
      <c r="CF180" s="1826"/>
      <c r="CJ180" s="400" t="s">
        <v>749</v>
      </c>
    </row>
    <row r="181" spans="1:88" s="400" customFormat="1" ht="23.1" customHeight="1">
      <c r="D181" s="405"/>
      <c r="BM181" s="404"/>
      <c r="BN181" s="404"/>
      <c r="BO181" s="404"/>
      <c r="BP181" s="404"/>
      <c r="BQ181" s="404"/>
      <c r="BR181" s="404"/>
      <c r="BS181" s="404"/>
      <c r="BT181" s="404"/>
      <c r="BU181" s="404"/>
      <c r="BV181" s="404"/>
      <c r="BW181" s="404"/>
      <c r="BX181" s="404"/>
      <c r="BY181" s="404"/>
      <c r="BZ181" s="404"/>
      <c r="CA181" s="404"/>
      <c r="CB181" s="404"/>
      <c r="CC181" s="404"/>
      <c r="CD181" s="404"/>
      <c r="CE181" s="404"/>
      <c r="CF181" s="404"/>
    </row>
    <row r="182" spans="1:88" s="400" customFormat="1" ht="23.1" customHeight="1">
      <c r="E182" s="400" t="s">
        <v>402</v>
      </c>
    </row>
    <row r="183" spans="1:88" s="400" customFormat="1" ht="9.9499999999999993" customHeight="1" thickBot="1"/>
    <row r="184" spans="1:88" s="400" customFormat="1" ht="23.1" customHeight="1">
      <c r="E184" s="1831" t="s">
        <v>385</v>
      </c>
      <c r="F184" s="1800"/>
      <c r="G184" s="1800"/>
      <c r="H184" s="1800"/>
      <c r="I184" s="1800"/>
      <c r="J184" s="1800"/>
      <c r="K184" s="1800"/>
      <c r="L184" s="1800"/>
      <c r="M184" s="1800"/>
      <c r="N184" s="1800"/>
      <c r="O184" s="1800"/>
      <c r="P184" s="1800"/>
      <c r="Q184" s="1800"/>
      <c r="R184" s="1800"/>
      <c r="S184" s="1800"/>
      <c r="T184" s="1800"/>
      <c r="U184" s="1800" t="s">
        <v>212</v>
      </c>
      <c r="V184" s="1800"/>
      <c r="W184" s="1800"/>
      <c r="X184" s="1800"/>
      <c r="Y184" s="1800"/>
      <c r="Z184" s="1800"/>
      <c r="AA184" s="1800"/>
      <c r="AB184" s="1800"/>
      <c r="AC184" s="1800" t="s">
        <v>403</v>
      </c>
      <c r="AD184" s="1800"/>
      <c r="AE184" s="1800"/>
      <c r="AF184" s="1800"/>
      <c r="AG184" s="1800"/>
      <c r="AH184" s="1800"/>
      <c r="AI184" s="1800"/>
      <c r="AJ184" s="1800"/>
      <c r="AK184" s="1800"/>
      <c r="AL184" s="1800"/>
      <c r="AM184" s="1800"/>
      <c r="AN184" s="1800"/>
      <c r="AO184" s="1800"/>
      <c r="AP184" s="1800"/>
      <c r="AQ184" s="1800"/>
      <c r="AR184" s="1800"/>
      <c r="AS184" s="1800"/>
      <c r="AT184" s="1800"/>
      <c r="AU184" s="1800"/>
      <c r="AV184" s="1800"/>
      <c r="AW184" s="1800"/>
      <c r="AX184" s="1800"/>
      <c r="AY184" s="1800"/>
      <c r="AZ184" s="1800"/>
      <c r="BA184" s="1833" t="s">
        <v>404</v>
      </c>
      <c r="BB184" s="1800"/>
      <c r="BC184" s="1800"/>
      <c r="BD184" s="1800"/>
      <c r="BE184" s="1800"/>
      <c r="BF184" s="1800"/>
      <c r="BG184" s="1800"/>
      <c r="BH184" s="1800"/>
      <c r="BI184" s="1800" t="s">
        <v>405</v>
      </c>
      <c r="BJ184" s="1800"/>
      <c r="BK184" s="1800"/>
      <c r="BL184" s="1800"/>
      <c r="BM184" s="1800"/>
      <c r="BN184" s="1800"/>
      <c r="BO184" s="1800"/>
      <c r="BP184" s="1800"/>
      <c r="BQ184" s="1800"/>
      <c r="BR184" s="1800"/>
      <c r="BS184" s="1800"/>
      <c r="BT184" s="1800"/>
      <c r="BU184" s="1800"/>
      <c r="BV184" s="1800"/>
      <c r="BW184" s="1800"/>
      <c r="BX184" s="1800"/>
      <c r="BY184" s="1800"/>
      <c r="BZ184" s="1800"/>
      <c r="CA184" s="1800"/>
      <c r="CB184" s="1800"/>
      <c r="CC184" s="1800"/>
      <c r="CD184" s="1800"/>
      <c r="CE184" s="1800"/>
      <c r="CF184" s="1801"/>
    </row>
    <row r="185" spans="1:88" s="400" customFormat="1" ht="23.1" customHeight="1" thickBot="1">
      <c r="A185" s="402"/>
      <c r="B185" s="402"/>
      <c r="C185" s="402"/>
      <c r="D185" s="402"/>
      <c r="E185" s="1832"/>
      <c r="F185" s="1786"/>
      <c r="G185" s="1786"/>
      <c r="H185" s="1786"/>
      <c r="I185" s="1786"/>
      <c r="J185" s="1786"/>
      <c r="K185" s="1786"/>
      <c r="L185" s="1786"/>
      <c r="M185" s="1786"/>
      <c r="N185" s="1786"/>
      <c r="O185" s="1786"/>
      <c r="P185" s="1786"/>
      <c r="Q185" s="1786"/>
      <c r="R185" s="1786"/>
      <c r="S185" s="1786"/>
      <c r="T185" s="1786"/>
      <c r="U185" s="1786"/>
      <c r="V185" s="1786"/>
      <c r="W185" s="1786"/>
      <c r="X185" s="1786"/>
      <c r="Y185" s="1786"/>
      <c r="Z185" s="1786"/>
      <c r="AA185" s="1786"/>
      <c r="AB185" s="1786"/>
      <c r="AC185" s="1786" t="s">
        <v>406</v>
      </c>
      <c r="AD185" s="1786"/>
      <c r="AE185" s="1786"/>
      <c r="AF185" s="1786"/>
      <c r="AG185" s="1786"/>
      <c r="AH185" s="1786"/>
      <c r="AI185" s="1786"/>
      <c r="AJ185" s="1786"/>
      <c r="AK185" s="1786" t="s">
        <v>407</v>
      </c>
      <c r="AL185" s="1786"/>
      <c r="AM185" s="1786"/>
      <c r="AN185" s="1786"/>
      <c r="AO185" s="1786"/>
      <c r="AP185" s="1786"/>
      <c r="AQ185" s="1786"/>
      <c r="AR185" s="1786"/>
      <c r="AS185" s="1786" t="s">
        <v>408</v>
      </c>
      <c r="AT185" s="1786"/>
      <c r="AU185" s="1786"/>
      <c r="AV185" s="1786"/>
      <c r="AW185" s="1786"/>
      <c r="AX185" s="1786"/>
      <c r="AY185" s="1786"/>
      <c r="AZ185" s="1786"/>
      <c r="BA185" s="1786"/>
      <c r="BB185" s="1786"/>
      <c r="BC185" s="1786"/>
      <c r="BD185" s="1786"/>
      <c r="BE185" s="1786"/>
      <c r="BF185" s="1786"/>
      <c r="BG185" s="1786"/>
      <c r="BH185" s="1786"/>
      <c r="BI185" s="1786" t="s">
        <v>406</v>
      </c>
      <c r="BJ185" s="1786"/>
      <c r="BK185" s="1786"/>
      <c r="BL185" s="1786"/>
      <c r="BM185" s="1786"/>
      <c r="BN185" s="1786"/>
      <c r="BO185" s="1786"/>
      <c r="BP185" s="1786"/>
      <c r="BQ185" s="1786" t="s">
        <v>407</v>
      </c>
      <c r="BR185" s="1786"/>
      <c r="BS185" s="1786"/>
      <c r="BT185" s="1786"/>
      <c r="BU185" s="1786"/>
      <c r="BV185" s="1786"/>
      <c r="BW185" s="1786"/>
      <c r="BX185" s="1786"/>
      <c r="BY185" s="1786" t="s">
        <v>408</v>
      </c>
      <c r="BZ185" s="1786"/>
      <c r="CA185" s="1786"/>
      <c r="CB185" s="1786"/>
      <c r="CC185" s="1786"/>
      <c r="CD185" s="1786"/>
      <c r="CE185" s="1786"/>
      <c r="CF185" s="1787"/>
    </row>
    <row r="186" spans="1:88" s="400" customFormat="1" ht="23.1" customHeight="1" thickTop="1">
      <c r="E186" s="1820" t="s">
        <v>277</v>
      </c>
      <c r="F186" s="1821"/>
      <c r="G186" s="1821"/>
      <c r="H186" s="1821"/>
      <c r="I186" s="1821"/>
      <c r="J186" s="1821"/>
      <c r="K186" s="1821"/>
      <c r="L186" s="1821"/>
      <c r="M186" s="1821"/>
      <c r="N186" s="1821"/>
      <c r="O186" s="1821"/>
      <c r="P186" s="1821"/>
      <c r="Q186" s="1821"/>
      <c r="R186" s="1821"/>
      <c r="S186" s="1821"/>
      <c r="T186" s="1821"/>
      <c r="U186" s="1821" t="s">
        <v>392</v>
      </c>
      <c r="V186" s="1821"/>
      <c r="W186" s="1821"/>
      <c r="X186" s="1821"/>
      <c r="Y186" s="1821"/>
      <c r="Z186" s="1821"/>
      <c r="AA186" s="1821"/>
      <c r="AB186" s="1821"/>
      <c r="AC186" s="1785" t="e">
        <f>#REF!</f>
        <v>#REF!</v>
      </c>
      <c r="AD186" s="1785"/>
      <c r="AE186" s="1785"/>
      <c r="AF186" s="1785"/>
      <c r="AG186" s="1785"/>
      <c r="AH186" s="1785"/>
      <c r="AI186" s="1785"/>
      <c r="AJ186" s="1785"/>
      <c r="AK186" s="1785" t="e">
        <f>#REF!</f>
        <v>#REF!</v>
      </c>
      <c r="AL186" s="1785"/>
      <c r="AM186" s="1785"/>
      <c r="AN186" s="1785"/>
      <c r="AO186" s="1785"/>
      <c r="AP186" s="1785"/>
      <c r="AQ186" s="1785"/>
      <c r="AR186" s="1785"/>
      <c r="AS186" s="1785" t="e">
        <f>#REF!</f>
        <v>#REF!</v>
      </c>
      <c r="AT186" s="1785"/>
      <c r="AU186" s="1785"/>
      <c r="AV186" s="1785"/>
      <c r="AW186" s="1785"/>
      <c r="AX186" s="1785"/>
      <c r="AY186" s="1785"/>
      <c r="AZ186" s="1785"/>
      <c r="BA186" s="1963">
        <f>BU173</f>
        <v>8.16</v>
      </c>
      <c r="BB186" s="1963"/>
      <c r="BC186" s="1963"/>
      <c r="BD186" s="1963"/>
      <c r="BE186" s="1963"/>
      <c r="BF186" s="1963"/>
      <c r="BG186" s="1963"/>
      <c r="BH186" s="1963"/>
      <c r="BI186" s="1812" t="e">
        <f t="shared" ref="BI186:BI194" si="21">INT(AC186/$BA186)</f>
        <v>#REF!</v>
      </c>
      <c r="BJ186" s="1812"/>
      <c r="BK186" s="1812"/>
      <c r="BL186" s="1812"/>
      <c r="BM186" s="1812"/>
      <c r="BN186" s="1812"/>
      <c r="BO186" s="1812"/>
      <c r="BP186" s="1812"/>
      <c r="BQ186" s="1812" t="e">
        <f t="shared" ref="BQ186:BQ194" si="22">INT(AK186/$BA186)</f>
        <v>#REF!</v>
      </c>
      <c r="BR186" s="1812"/>
      <c r="BS186" s="1812"/>
      <c r="BT186" s="1812"/>
      <c r="BU186" s="1812"/>
      <c r="BV186" s="1812"/>
      <c r="BW186" s="1812"/>
      <c r="BX186" s="1812"/>
      <c r="BY186" s="1812" t="e">
        <f t="shared" ref="BY186:BY194" si="23">INT(AS186/$BA186)</f>
        <v>#REF!</v>
      </c>
      <c r="BZ186" s="1812"/>
      <c r="CA186" s="1812"/>
      <c r="CB186" s="1812"/>
      <c r="CC186" s="1812"/>
      <c r="CD186" s="1812"/>
      <c r="CE186" s="1812"/>
      <c r="CF186" s="1813"/>
    </row>
    <row r="187" spans="1:88" s="400" customFormat="1" ht="23.1" customHeight="1">
      <c r="E187" s="1806" t="s">
        <v>277</v>
      </c>
      <c r="F187" s="1807"/>
      <c r="G187" s="1807"/>
      <c r="H187" s="1807"/>
      <c r="I187" s="1807"/>
      <c r="J187" s="1807"/>
      <c r="K187" s="1807"/>
      <c r="L187" s="1807"/>
      <c r="M187" s="1807"/>
      <c r="N187" s="1807"/>
      <c r="O187" s="1807"/>
      <c r="P187" s="1807"/>
      <c r="Q187" s="1807"/>
      <c r="R187" s="1807"/>
      <c r="S187" s="1807"/>
      <c r="T187" s="1807"/>
      <c r="U187" s="1807" t="s">
        <v>395</v>
      </c>
      <c r="V187" s="1807"/>
      <c r="W187" s="1807"/>
      <c r="X187" s="1807"/>
      <c r="Y187" s="1807"/>
      <c r="Z187" s="1807"/>
      <c r="AA187" s="1807"/>
      <c r="AB187" s="1807"/>
      <c r="AC187" s="1814" t="e">
        <f>#REF!</f>
        <v>#REF!</v>
      </c>
      <c r="AD187" s="1814"/>
      <c r="AE187" s="1814"/>
      <c r="AF187" s="1814"/>
      <c r="AG187" s="1814"/>
      <c r="AH187" s="1814"/>
      <c r="AI187" s="1814"/>
      <c r="AJ187" s="1814"/>
      <c r="AK187" s="1814" t="e">
        <f>#REF!</f>
        <v>#REF!</v>
      </c>
      <c r="AL187" s="1814"/>
      <c r="AM187" s="1814"/>
      <c r="AN187" s="1814"/>
      <c r="AO187" s="1814"/>
      <c r="AP187" s="1814"/>
      <c r="AQ187" s="1814"/>
      <c r="AR187" s="1814"/>
      <c r="AS187" s="1814" t="e">
        <f>#REF!</f>
        <v>#REF!</v>
      </c>
      <c r="AT187" s="1814"/>
      <c r="AU187" s="1814"/>
      <c r="AV187" s="1814"/>
      <c r="AW187" s="1814"/>
      <c r="AX187" s="1814"/>
      <c r="AY187" s="1814"/>
      <c r="AZ187" s="1814"/>
      <c r="BA187" s="1797">
        <f t="shared" ref="BA187:BA192" si="24">BU175</f>
        <v>13.61</v>
      </c>
      <c r="BB187" s="1797"/>
      <c r="BC187" s="1797"/>
      <c r="BD187" s="1797"/>
      <c r="BE187" s="1797"/>
      <c r="BF187" s="1797"/>
      <c r="BG187" s="1797"/>
      <c r="BH187" s="1797"/>
      <c r="BI187" s="1785" t="e">
        <f t="shared" si="21"/>
        <v>#REF!</v>
      </c>
      <c r="BJ187" s="1785"/>
      <c r="BK187" s="1785"/>
      <c r="BL187" s="1785"/>
      <c r="BM187" s="1785"/>
      <c r="BN187" s="1785"/>
      <c r="BO187" s="1785"/>
      <c r="BP187" s="1785"/>
      <c r="BQ187" s="1785" t="e">
        <f t="shared" si="22"/>
        <v>#REF!</v>
      </c>
      <c r="BR187" s="1785"/>
      <c r="BS187" s="1785"/>
      <c r="BT187" s="1785"/>
      <c r="BU187" s="1785"/>
      <c r="BV187" s="1785"/>
      <c r="BW187" s="1785"/>
      <c r="BX187" s="1785"/>
      <c r="BY187" s="1785" t="e">
        <f t="shared" si="23"/>
        <v>#REF!</v>
      </c>
      <c r="BZ187" s="1785"/>
      <c r="CA187" s="1785"/>
      <c r="CB187" s="1785"/>
      <c r="CC187" s="1785"/>
      <c r="CD187" s="1785"/>
      <c r="CE187" s="1785"/>
      <c r="CF187" s="1793"/>
    </row>
    <row r="188" spans="1:88" s="400" customFormat="1" ht="23.1" customHeight="1">
      <c r="E188" s="1806" t="s">
        <v>277</v>
      </c>
      <c r="F188" s="1807"/>
      <c r="G188" s="1807"/>
      <c r="H188" s="1807"/>
      <c r="I188" s="1807"/>
      <c r="J188" s="1807"/>
      <c r="K188" s="1807"/>
      <c r="L188" s="1807"/>
      <c r="M188" s="1807"/>
      <c r="N188" s="1807"/>
      <c r="O188" s="1807"/>
      <c r="P188" s="1807"/>
      <c r="Q188" s="1807"/>
      <c r="R188" s="1807"/>
      <c r="S188" s="1807"/>
      <c r="T188" s="1807"/>
      <c r="U188" s="1807" t="s">
        <v>359</v>
      </c>
      <c r="V188" s="1807"/>
      <c r="W188" s="1807"/>
      <c r="X188" s="1807"/>
      <c r="Y188" s="1807"/>
      <c r="Z188" s="1807"/>
      <c r="AA188" s="1807"/>
      <c r="AB188" s="1807"/>
      <c r="AC188" s="1803" t="e">
        <f>#REF!</f>
        <v>#REF!</v>
      </c>
      <c r="AD188" s="1804"/>
      <c r="AE188" s="1804"/>
      <c r="AF188" s="1804"/>
      <c r="AG188" s="1804"/>
      <c r="AH188" s="1804"/>
      <c r="AI188" s="1804"/>
      <c r="AJ188" s="1805"/>
      <c r="AK188" s="1803" t="e">
        <f>#REF!</f>
        <v>#REF!</v>
      </c>
      <c r="AL188" s="1804"/>
      <c r="AM188" s="1804"/>
      <c r="AN188" s="1804"/>
      <c r="AO188" s="1804"/>
      <c r="AP188" s="1804"/>
      <c r="AQ188" s="1804"/>
      <c r="AR188" s="1805"/>
      <c r="AS188" s="1803" t="e">
        <f>#REF!</f>
        <v>#REF!</v>
      </c>
      <c r="AT188" s="1804"/>
      <c r="AU188" s="1804"/>
      <c r="AV188" s="1804"/>
      <c r="AW188" s="1804"/>
      <c r="AX188" s="1804"/>
      <c r="AY188" s="1804"/>
      <c r="AZ188" s="1805"/>
      <c r="BA188" s="1797">
        <f t="shared" si="24"/>
        <v>37.799999999999997</v>
      </c>
      <c r="BB188" s="1797"/>
      <c r="BC188" s="1797"/>
      <c r="BD188" s="1797"/>
      <c r="BE188" s="1797"/>
      <c r="BF188" s="1797"/>
      <c r="BG188" s="1797"/>
      <c r="BH188" s="1797"/>
      <c r="BI188" s="1785" t="e">
        <f t="shared" si="21"/>
        <v>#REF!</v>
      </c>
      <c r="BJ188" s="1785"/>
      <c r="BK188" s="1785"/>
      <c r="BL188" s="1785"/>
      <c r="BM188" s="1785"/>
      <c r="BN188" s="1785"/>
      <c r="BO188" s="1785"/>
      <c r="BP188" s="1785"/>
      <c r="BQ188" s="1785" t="e">
        <f t="shared" si="22"/>
        <v>#REF!</v>
      </c>
      <c r="BR188" s="1785"/>
      <c r="BS188" s="1785"/>
      <c r="BT188" s="1785"/>
      <c r="BU188" s="1785"/>
      <c r="BV188" s="1785"/>
      <c r="BW188" s="1785"/>
      <c r="BX188" s="1785"/>
      <c r="BY188" s="1785" t="e">
        <f t="shared" si="23"/>
        <v>#REF!</v>
      </c>
      <c r="BZ188" s="1785"/>
      <c r="CA188" s="1785"/>
      <c r="CB188" s="1785"/>
      <c r="CC188" s="1785"/>
      <c r="CD188" s="1785"/>
      <c r="CE188" s="1785"/>
      <c r="CF188" s="1793"/>
    </row>
    <row r="189" spans="1:88" s="400" customFormat="1" ht="23.1" customHeight="1">
      <c r="E189" s="1806" t="s">
        <v>277</v>
      </c>
      <c r="F189" s="1807"/>
      <c r="G189" s="1807"/>
      <c r="H189" s="1807"/>
      <c r="I189" s="1807"/>
      <c r="J189" s="1807"/>
      <c r="K189" s="1807"/>
      <c r="L189" s="1807"/>
      <c r="M189" s="1807"/>
      <c r="N189" s="1807"/>
      <c r="O189" s="1807"/>
      <c r="P189" s="1807"/>
      <c r="Q189" s="1807"/>
      <c r="R189" s="1807"/>
      <c r="S189" s="1807"/>
      <c r="T189" s="1807"/>
      <c r="U189" s="1807" t="s">
        <v>397</v>
      </c>
      <c r="V189" s="1807"/>
      <c r="W189" s="1807"/>
      <c r="X189" s="1807"/>
      <c r="Y189" s="1807"/>
      <c r="Z189" s="1807"/>
      <c r="AA189" s="1807"/>
      <c r="AB189" s="1807"/>
      <c r="AC189" s="1803" t="e">
        <f>#REF!</f>
        <v>#REF!</v>
      </c>
      <c r="AD189" s="1804"/>
      <c r="AE189" s="1804"/>
      <c r="AF189" s="1804"/>
      <c r="AG189" s="1804"/>
      <c r="AH189" s="1804"/>
      <c r="AI189" s="1804"/>
      <c r="AJ189" s="1805"/>
      <c r="AK189" s="1803" t="e">
        <f>#REF!</f>
        <v>#REF!</v>
      </c>
      <c r="AL189" s="1804"/>
      <c r="AM189" s="1804"/>
      <c r="AN189" s="1804"/>
      <c r="AO189" s="1804"/>
      <c r="AP189" s="1804"/>
      <c r="AQ189" s="1804"/>
      <c r="AR189" s="1805"/>
      <c r="AS189" s="1803" t="e">
        <f>#REF!</f>
        <v>#REF!</v>
      </c>
      <c r="AT189" s="1804"/>
      <c r="AU189" s="1804"/>
      <c r="AV189" s="1804"/>
      <c r="AW189" s="1804"/>
      <c r="AX189" s="1804"/>
      <c r="AY189" s="1804"/>
      <c r="AZ189" s="1805"/>
      <c r="BA189" s="1797">
        <f t="shared" si="24"/>
        <v>56.7</v>
      </c>
      <c r="BB189" s="1797"/>
      <c r="BC189" s="1797"/>
      <c r="BD189" s="1797"/>
      <c r="BE189" s="1797"/>
      <c r="BF189" s="1797"/>
      <c r="BG189" s="1797"/>
      <c r="BH189" s="1797"/>
      <c r="BI189" s="1785" t="e">
        <f t="shared" si="21"/>
        <v>#REF!</v>
      </c>
      <c r="BJ189" s="1785"/>
      <c r="BK189" s="1785"/>
      <c r="BL189" s="1785"/>
      <c r="BM189" s="1785"/>
      <c r="BN189" s="1785"/>
      <c r="BO189" s="1785"/>
      <c r="BP189" s="1785"/>
      <c r="BQ189" s="1785" t="e">
        <f t="shared" si="22"/>
        <v>#REF!</v>
      </c>
      <c r="BR189" s="1785"/>
      <c r="BS189" s="1785"/>
      <c r="BT189" s="1785"/>
      <c r="BU189" s="1785"/>
      <c r="BV189" s="1785"/>
      <c r="BW189" s="1785"/>
      <c r="BX189" s="1785"/>
      <c r="BY189" s="1785" t="e">
        <f t="shared" si="23"/>
        <v>#REF!</v>
      </c>
      <c r="BZ189" s="1785"/>
      <c r="CA189" s="1785"/>
      <c r="CB189" s="1785"/>
      <c r="CC189" s="1785"/>
      <c r="CD189" s="1785"/>
      <c r="CE189" s="1785"/>
      <c r="CF189" s="1793"/>
    </row>
    <row r="190" spans="1:88" s="400" customFormat="1" ht="23.1" customHeight="1">
      <c r="D190" s="403"/>
      <c r="E190" s="1806" t="s">
        <v>277</v>
      </c>
      <c r="F190" s="1807"/>
      <c r="G190" s="1807"/>
      <c r="H190" s="1807"/>
      <c r="I190" s="1807"/>
      <c r="J190" s="1807"/>
      <c r="K190" s="1807"/>
      <c r="L190" s="1807"/>
      <c r="M190" s="1807"/>
      <c r="N190" s="1807"/>
      <c r="O190" s="1807"/>
      <c r="P190" s="1807"/>
      <c r="Q190" s="1807"/>
      <c r="R190" s="1807"/>
      <c r="S190" s="1807"/>
      <c r="T190" s="1807"/>
      <c r="U190" s="1807" t="s">
        <v>399</v>
      </c>
      <c r="V190" s="1807"/>
      <c r="W190" s="1807"/>
      <c r="X190" s="1807"/>
      <c r="Y190" s="1807"/>
      <c r="Z190" s="1807"/>
      <c r="AA190" s="1807"/>
      <c r="AB190" s="1807"/>
      <c r="AC190" s="1803" t="e">
        <f>#REF!</f>
        <v>#REF!</v>
      </c>
      <c r="AD190" s="1804"/>
      <c r="AE190" s="1804"/>
      <c r="AF190" s="1804"/>
      <c r="AG190" s="1804"/>
      <c r="AH190" s="1804"/>
      <c r="AI190" s="1804"/>
      <c r="AJ190" s="1805"/>
      <c r="AK190" s="1803" t="e">
        <f>#REF!</f>
        <v>#REF!</v>
      </c>
      <c r="AL190" s="1804"/>
      <c r="AM190" s="1804"/>
      <c r="AN190" s="1804"/>
      <c r="AO190" s="1804"/>
      <c r="AP190" s="1804"/>
      <c r="AQ190" s="1804"/>
      <c r="AR190" s="1805"/>
      <c r="AS190" s="1803" t="e">
        <f>#REF!</f>
        <v>#REF!</v>
      </c>
      <c r="AT190" s="1804"/>
      <c r="AU190" s="1804"/>
      <c r="AV190" s="1804"/>
      <c r="AW190" s="1804"/>
      <c r="AX190" s="1804"/>
      <c r="AY190" s="1804"/>
      <c r="AZ190" s="1805"/>
      <c r="BA190" s="1797">
        <f t="shared" si="24"/>
        <v>66.150000000000006</v>
      </c>
      <c r="BB190" s="1797"/>
      <c r="BC190" s="1797"/>
      <c r="BD190" s="1797"/>
      <c r="BE190" s="1797"/>
      <c r="BF190" s="1797"/>
      <c r="BG190" s="1797"/>
      <c r="BH190" s="1797"/>
      <c r="BI190" s="1785" t="e">
        <f t="shared" si="21"/>
        <v>#REF!</v>
      </c>
      <c r="BJ190" s="1785"/>
      <c r="BK190" s="1785"/>
      <c r="BL190" s="1785"/>
      <c r="BM190" s="1785"/>
      <c r="BN190" s="1785"/>
      <c r="BO190" s="1785"/>
      <c r="BP190" s="1785"/>
      <c r="BQ190" s="1785" t="e">
        <f t="shared" si="22"/>
        <v>#REF!</v>
      </c>
      <c r="BR190" s="1785"/>
      <c r="BS190" s="1785"/>
      <c r="BT190" s="1785"/>
      <c r="BU190" s="1785"/>
      <c r="BV190" s="1785"/>
      <c r="BW190" s="1785"/>
      <c r="BX190" s="1785"/>
      <c r="BY190" s="1785" t="e">
        <f t="shared" si="23"/>
        <v>#REF!</v>
      </c>
      <c r="BZ190" s="1785"/>
      <c r="CA190" s="1785"/>
      <c r="CB190" s="1785"/>
      <c r="CC190" s="1785"/>
      <c r="CD190" s="1785"/>
      <c r="CE190" s="1785"/>
      <c r="CF190" s="1793"/>
    </row>
    <row r="191" spans="1:88" s="400" customFormat="1" ht="23.1" customHeight="1">
      <c r="A191" s="402"/>
      <c r="B191" s="402"/>
      <c r="C191" s="402"/>
      <c r="D191" s="402"/>
      <c r="E191" s="1806" t="s">
        <v>277</v>
      </c>
      <c r="F191" s="1807"/>
      <c r="G191" s="1807"/>
      <c r="H191" s="1807"/>
      <c r="I191" s="1807"/>
      <c r="J191" s="1807"/>
      <c r="K191" s="1807"/>
      <c r="L191" s="1807"/>
      <c r="M191" s="1807"/>
      <c r="N191" s="1807"/>
      <c r="O191" s="1807"/>
      <c r="P191" s="1807"/>
      <c r="Q191" s="1807"/>
      <c r="R191" s="1807"/>
      <c r="S191" s="1807"/>
      <c r="T191" s="1807"/>
      <c r="U191" s="1807" t="s">
        <v>400</v>
      </c>
      <c r="V191" s="1807"/>
      <c r="W191" s="1807"/>
      <c r="X191" s="1807"/>
      <c r="Y191" s="1807"/>
      <c r="Z191" s="1807"/>
      <c r="AA191" s="1807"/>
      <c r="AB191" s="1807"/>
      <c r="AC191" s="1803" t="e">
        <f>#REF!</f>
        <v>#REF!</v>
      </c>
      <c r="AD191" s="1804"/>
      <c r="AE191" s="1804"/>
      <c r="AF191" s="1804"/>
      <c r="AG191" s="1804"/>
      <c r="AH191" s="1804"/>
      <c r="AI191" s="1804"/>
      <c r="AJ191" s="1805"/>
      <c r="AK191" s="1803" t="e">
        <f>#REF!</f>
        <v>#REF!</v>
      </c>
      <c r="AL191" s="1804"/>
      <c r="AM191" s="1804"/>
      <c r="AN191" s="1804"/>
      <c r="AO191" s="1804"/>
      <c r="AP191" s="1804"/>
      <c r="AQ191" s="1804"/>
      <c r="AR191" s="1805"/>
      <c r="AS191" s="1803" t="e">
        <f>#REF!</f>
        <v>#REF!</v>
      </c>
      <c r="AT191" s="1804"/>
      <c r="AU191" s="1804"/>
      <c r="AV191" s="1804"/>
      <c r="AW191" s="1804"/>
      <c r="AX191" s="1804"/>
      <c r="AY191" s="1804"/>
      <c r="AZ191" s="1805"/>
      <c r="BA191" s="1797">
        <f t="shared" si="24"/>
        <v>75.599999999999994</v>
      </c>
      <c r="BB191" s="1797"/>
      <c r="BC191" s="1797"/>
      <c r="BD191" s="1797"/>
      <c r="BE191" s="1797"/>
      <c r="BF191" s="1797"/>
      <c r="BG191" s="1797"/>
      <c r="BH191" s="1797"/>
      <c r="BI191" s="1785" t="e">
        <f t="shared" si="21"/>
        <v>#REF!</v>
      </c>
      <c r="BJ191" s="1785"/>
      <c r="BK191" s="1785"/>
      <c r="BL191" s="1785"/>
      <c r="BM191" s="1785"/>
      <c r="BN191" s="1785"/>
      <c r="BO191" s="1785"/>
      <c r="BP191" s="1785"/>
      <c r="BQ191" s="1785" t="e">
        <f t="shared" si="22"/>
        <v>#REF!</v>
      </c>
      <c r="BR191" s="1785"/>
      <c r="BS191" s="1785"/>
      <c r="BT191" s="1785"/>
      <c r="BU191" s="1785"/>
      <c r="BV191" s="1785"/>
      <c r="BW191" s="1785"/>
      <c r="BX191" s="1785"/>
      <c r="BY191" s="1785" t="e">
        <f t="shared" si="23"/>
        <v>#REF!</v>
      </c>
      <c r="BZ191" s="1785"/>
      <c r="CA191" s="1785"/>
      <c r="CB191" s="1785"/>
      <c r="CC191" s="1785"/>
      <c r="CD191" s="1785"/>
      <c r="CE191" s="1785"/>
      <c r="CF191" s="1793"/>
    </row>
    <row r="192" spans="1:88" s="400" customFormat="1" ht="23.1" customHeight="1">
      <c r="E192" s="1806" t="s">
        <v>277</v>
      </c>
      <c r="F192" s="1807"/>
      <c r="G192" s="1807"/>
      <c r="H192" s="1807"/>
      <c r="I192" s="1807"/>
      <c r="J192" s="1807"/>
      <c r="K192" s="1807"/>
      <c r="L192" s="1807"/>
      <c r="M192" s="1807"/>
      <c r="N192" s="1807"/>
      <c r="O192" s="1807"/>
      <c r="P192" s="1807"/>
      <c r="Q192" s="1807"/>
      <c r="R192" s="1807"/>
      <c r="S192" s="1807"/>
      <c r="T192" s="1807"/>
      <c r="U192" s="1807" t="s">
        <v>401</v>
      </c>
      <c r="V192" s="1807"/>
      <c r="W192" s="1807"/>
      <c r="X192" s="1807"/>
      <c r="Y192" s="1807"/>
      <c r="Z192" s="1807"/>
      <c r="AA192" s="1807"/>
      <c r="AB192" s="1807"/>
      <c r="AC192" s="1803" t="e">
        <f>#REF!</f>
        <v>#REF!</v>
      </c>
      <c r="AD192" s="1804"/>
      <c r="AE192" s="1804"/>
      <c r="AF192" s="1804"/>
      <c r="AG192" s="1804"/>
      <c r="AH192" s="1804"/>
      <c r="AI192" s="1804"/>
      <c r="AJ192" s="1805"/>
      <c r="AK192" s="1803" t="e">
        <f>#REF!</f>
        <v>#REF!</v>
      </c>
      <c r="AL192" s="1804"/>
      <c r="AM192" s="1804"/>
      <c r="AN192" s="1804"/>
      <c r="AO192" s="1804"/>
      <c r="AP192" s="1804"/>
      <c r="AQ192" s="1804"/>
      <c r="AR192" s="1805"/>
      <c r="AS192" s="1803" t="e">
        <f>#REF!</f>
        <v>#REF!</v>
      </c>
      <c r="AT192" s="1804"/>
      <c r="AU192" s="1804"/>
      <c r="AV192" s="1804"/>
      <c r="AW192" s="1804"/>
      <c r="AX192" s="1804"/>
      <c r="AY192" s="1804"/>
      <c r="AZ192" s="1805"/>
      <c r="BA192" s="1797">
        <f t="shared" si="24"/>
        <v>89.53</v>
      </c>
      <c r="BB192" s="1797"/>
      <c r="BC192" s="1797"/>
      <c r="BD192" s="1797"/>
      <c r="BE192" s="1797"/>
      <c r="BF192" s="1797"/>
      <c r="BG192" s="1797"/>
      <c r="BH192" s="1797"/>
      <c r="BI192" s="1785" t="e">
        <f t="shared" si="21"/>
        <v>#REF!</v>
      </c>
      <c r="BJ192" s="1785"/>
      <c r="BK192" s="1785"/>
      <c r="BL192" s="1785"/>
      <c r="BM192" s="1785"/>
      <c r="BN192" s="1785"/>
      <c r="BO192" s="1785"/>
      <c r="BP192" s="1785"/>
      <c r="BQ192" s="1785" t="e">
        <f t="shared" si="22"/>
        <v>#REF!</v>
      </c>
      <c r="BR192" s="1785"/>
      <c r="BS192" s="1785"/>
      <c r="BT192" s="1785"/>
      <c r="BU192" s="1785"/>
      <c r="BV192" s="1785"/>
      <c r="BW192" s="1785"/>
      <c r="BX192" s="1785"/>
      <c r="BY192" s="1785" t="e">
        <f t="shared" si="23"/>
        <v>#REF!</v>
      </c>
      <c r="BZ192" s="1785"/>
      <c r="CA192" s="1785"/>
      <c r="CB192" s="1785"/>
      <c r="CC192" s="1785"/>
      <c r="CD192" s="1785"/>
      <c r="CE192" s="1785"/>
      <c r="CF192" s="1793"/>
    </row>
    <row r="193" spans="1:88" s="400" customFormat="1" ht="23.1" customHeight="1">
      <c r="E193" s="1806" t="s">
        <v>409</v>
      </c>
      <c r="F193" s="1807"/>
      <c r="G193" s="1807"/>
      <c r="H193" s="1807"/>
      <c r="I193" s="1807"/>
      <c r="J193" s="1807"/>
      <c r="K193" s="1807"/>
      <c r="L193" s="1807"/>
      <c r="M193" s="1807"/>
      <c r="N193" s="1807"/>
      <c r="O193" s="1807"/>
      <c r="P193" s="1807"/>
      <c r="Q193" s="1807"/>
      <c r="R193" s="1807"/>
      <c r="S193" s="1807"/>
      <c r="T193" s="1807"/>
      <c r="U193" s="1807" t="s">
        <v>394</v>
      </c>
      <c r="V193" s="1807"/>
      <c r="W193" s="1807"/>
      <c r="X193" s="1807"/>
      <c r="Y193" s="1807"/>
      <c r="Z193" s="1807"/>
      <c r="AA193" s="1807"/>
      <c r="AB193" s="1807"/>
      <c r="AC193" s="1803" t="e">
        <f>#REF!</f>
        <v>#REF!</v>
      </c>
      <c r="AD193" s="1804"/>
      <c r="AE193" s="1804"/>
      <c r="AF193" s="1804"/>
      <c r="AG193" s="1804"/>
      <c r="AH193" s="1804"/>
      <c r="AI193" s="1804"/>
      <c r="AJ193" s="1805"/>
      <c r="AK193" s="1803" t="e">
        <f>#REF!</f>
        <v>#REF!</v>
      </c>
      <c r="AL193" s="1804"/>
      <c r="AM193" s="1804"/>
      <c r="AN193" s="1804"/>
      <c r="AO193" s="1804"/>
      <c r="AP193" s="1804"/>
      <c r="AQ193" s="1804"/>
      <c r="AR193" s="1805"/>
      <c r="AS193" s="1803" t="e">
        <f>#REF!</f>
        <v>#REF!</v>
      </c>
      <c r="AT193" s="1804"/>
      <c r="AU193" s="1804"/>
      <c r="AV193" s="1804"/>
      <c r="AW193" s="1804"/>
      <c r="AX193" s="1804"/>
      <c r="AY193" s="1804"/>
      <c r="AZ193" s="1805"/>
      <c r="BA193" s="1797">
        <f>BU174</f>
        <v>12.25</v>
      </c>
      <c r="BB193" s="1797"/>
      <c r="BC193" s="1797"/>
      <c r="BD193" s="1797"/>
      <c r="BE193" s="1797"/>
      <c r="BF193" s="1797"/>
      <c r="BG193" s="1797"/>
      <c r="BH193" s="1797"/>
      <c r="BI193" s="1785" t="e">
        <f t="shared" si="21"/>
        <v>#REF!</v>
      </c>
      <c r="BJ193" s="1785"/>
      <c r="BK193" s="1785"/>
      <c r="BL193" s="1785"/>
      <c r="BM193" s="1785"/>
      <c r="BN193" s="1785"/>
      <c r="BO193" s="1785"/>
      <c r="BP193" s="1785"/>
      <c r="BQ193" s="1785" t="e">
        <f t="shared" si="22"/>
        <v>#REF!</v>
      </c>
      <c r="BR193" s="1785"/>
      <c r="BS193" s="1785"/>
      <c r="BT193" s="1785"/>
      <c r="BU193" s="1785"/>
      <c r="BV193" s="1785"/>
      <c r="BW193" s="1785"/>
      <c r="BX193" s="1785"/>
      <c r="BY193" s="1785" t="e">
        <f t="shared" si="23"/>
        <v>#REF!</v>
      </c>
      <c r="BZ193" s="1785"/>
      <c r="CA193" s="1785"/>
      <c r="CB193" s="1785"/>
      <c r="CC193" s="1785"/>
      <c r="CD193" s="1785"/>
      <c r="CE193" s="1785"/>
      <c r="CF193" s="1793"/>
    </row>
    <row r="194" spans="1:88" s="400" customFormat="1" ht="23.1" customHeight="1" thickBot="1">
      <c r="E194" s="1794" t="s">
        <v>409</v>
      </c>
      <c r="F194" s="1795"/>
      <c r="G194" s="1795"/>
      <c r="H194" s="1795"/>
      <c r="I194" s="1795"/>
      <c r="J194" s="1795"/>
      <c r="K194" s="1795"/>
      <c r="L194" s="1795"/>
      <c r="M194" s="1795"/>
      <c r="N194" s="1795"/>
      <c r="O194" s="1795"/>
      <c r="P194" s="1795"/>
      <c r="Q194" s="1795"/>
      <c r="R194" s="1795"/>
      <c r="S194" s="1795"/>
      <c r="T194" s="1795"/>
      <c r="U194" s="1795" t="s">
        <v>397</v>
      </c>
      <c r="V194" s="1795"/>
      <c r="W194" s="1795"/>
      <c r="X194" s="1795"/>
      <c r="Y194" s="1795"/>
      <c r="Z194" s="1795"/>
      <c r="AA194" s="1795"/>
      <c r="AB194" s="1795"/>
      <c r="AC194" s="1796" t="e">
        <f>#REF!</f>
        <v>#REF!</v>
      </c>
      <c r="AD194" s="1796"/>
      <c r="AE194" s="1796"/>
      <c r="AF194" s="1796"/>
      <c r="AG194" s="1796"/>
      <c r="AH194" s="1796"/>
      <c r="AI194" s="1796"/>
      <c r="AJ194" s="1796"/>
      <c r="AK194" s="1796" t="e">
        <f>#REF!</f>
        <v>#REF!</v>
      </c>
      <c r="AL194" s="1796"/>
      <c r="AM194" s="1796"/>
      <c r="AN194" s="1796"/>
      <c r="AO194" s="1796"/>
      <c r="AP194" s="1796"/>
      <c r="AQ194" s="1796"/>
      <c r="AR194" s="1796"/>
      <c r="AS194" s="1796" t="e">
        <f>#REF!</f>
        <v>#REF!</v>
      </c>
      <c r="AT194" s="1796"/>
      <c r="AU194" s="1796"/>
      <c r="AV194" s="1796"/>
      <c r="AW194" s="1796"/>
      <c r="AX194" s="1796"/>
      <c r="AY194" s="1796"/>
      <c r="AZ194" s="1796"/>
      <c r="BA194" s="1783">
        <f>BU177</f>
        <v>56.7</v>
      </c>
      <c r="BB194" s="1783"/>
      <c r="BC194" s="1783"/>
      <c r="BD194" s="1783"/>
      <c r="BE194" s="1783"/>
      <c r="BF194" s="1783"/>
      <c r="BG194" s="1783"/>
      <c r="BH194" s="1783"/>
      <c r="BI194" s="1784" t="e">
        <f t="shared" si="21"/>
        <v>#REF!</v>
      </c>
      <c r="BJ194" s="1784"/>
      <c r="BK194" s="1784"/>
      <c r="BL194" s="1784"/>
      <c r="BM194" s="1784"/>
      <c r="BN194" s="1784"/>
      <c r="BO194" s="1784"/>
      <c r="BP194" s="1784"/>
      <c r="BQ194" s="1784" t="e">
        <f t="shared" si="22"/>
        <v>#REF!</v>
      </c>
      <c r="BR194" s="1784"/>
      <c r="BS194" s="1784"/>
      <c r="BT194" s="1784"/>
      <c r="BU194" s="1784"/>
      <c r="BV194" s="1784"/>
      <c r="BW194" s="1784"/>
      <c r="BX194" s="1784"/>
      <c r="BY194" s="1784" t="e">
        <f t="shared" si="23"/>
        <v>#REF!</v>
      </c>
      <c r="BZ194" s="1784"/>
      <c r="CA194" s="1784"/>
      <c r="CB194" s="1784"/>
      <c r="CC194" s="1784"/>
      <c r="CD194" s="1784"/>
      <c r="CE194" s="1784"/>
      <c r="CF194" s="1792"/>
    </row>
    <row r="195" spans="1:88" s="400" customFormat="1" ht="23.1" customHeight="1"/>
    <row r="196" spans="1:88" s="412" customFormat="1" ht="28.35" customHeight="1">
      <c r="A196" s="1877" t="s">
        <v>441</v>
      </c>
      <c r="B196" s="1877"/>
      <c r="C196" s="1877"/>
      <c r="D196" s="1877"/>
      <c r="E196" s="1877"/>
      <c r="F196" s="1877"/>
      <c r="G196" s="1877"/>
      <c r="H196" s="1877"/>
      <c r="I196" s="1877"/>
      <c r="J196" s="1877"/>
      <c r="K196" s="1877"/>
      <c r="L196" s="1877"/>
      <c r="M196" s="1877"/>
      <c r="N196" s="1877"/>
      <c r="O196" s="1877"/>
      <c r="P196" s="1877"/>
      <c r="Q196" s="1877"/>
      <c r="R196" s="1877"/>
      <c r="S196" s="1877"/>
      <c r="T196" s="1877"/>
      <c r="U196" s="1877"/>
      <c r="V196" s="1877"/>
      <c r="W196" s="1877"/>
      <c r="X196" s="1877"/>
      <c r="Y196" s="1877"/>
      <c r="Z196" s="1877"/>
      <c r="AA196" s="1877"/>
      <c r="AB196" s="1877"/>
      <c r="AC196" s="1877"/>
      <c r="AD196" s="1877"/>
      <c r="AE196" s="1877"/>
      <c r="AF196" s="1877"/>
      <c r="AG196" s="1877"/>
      <c r="AH196" s="1877"/>
      <c r="AI196" s="1877"/>
      <c r="AJ196" s="1877"/>
      <c r="AK196" s="1877"/>
      <c r="AL196" s="1877"/>
      <c r="AM196" s="1877"/>
      <c r="AN196" s="1877"/>
      <c r="AO196" s="1877"/>
      <c r="AP196" s="1877"/>
      <c r="AQ196" s="1877"/>
      <c r="AR196" s="1877"/>
      <c r="AS196" s="1877"/>
      <c r="AT196" s="1877"/>
      <c r="AU196" s="1877"/>
      <c r="AV196" s="1877"/>
      <c r="AW196" s="1877"/>
      <c r="AX196" s="1877"/>
      <c r="AY196" s="1877"/>
      <c r="AZ196" s="1877"/>
      <c r="BA196" s="1877"/>
      <c r="BB196" s="1877"/>
      <c r="BC196" s="1877"/>
      <c r="BD196" s="1877"/>
      <c r="BE196" s="1877"/>
      <c r="BF196" s="1877"/>
      <c r="BG196" s="1877"/>
      <c r="BH196" s="1877"/>
      <c r="BI196" s="1877"/>
      <c r="BJ196" s="1877"/>
      <c r="BK196" s="1877"/>
      <c r="BL196" s="1877"/>
      <c r="BM196" s="1877"/>
      <c r="BN196" s="1877"/>
      <c r="BO196" s="1877"/>
      <c r="BP196" s="1877"/>
      <c r="BQ196" s="1877"/>
      <c r="BR196" s="1877"/>
      <c r="BS196" s="1877"/>
      <c r="BT196" s="1877"/>
      <c r="BU196" s="1877"/>
      <c r="BV196" s="1877"/>
      <c r="BW196" s="1877"/>
      <c r="BX196" s="1877"/>
      <c r="BY196" s="1877"/>
      <c r="BZ196" s="1877"/>
      <c r="CA196" s="1877"/>
      <c r="CB196" s="1877"/>
      <c r="CC196" s="1877"/>
      <c r="CD196" s="1877"/>
      <c r="CE196" s="1877"/>
      <c r="CF196" s="1877"/>
      <c r="CJ196" s="436" t="s">
        <v>748</v>
      </c>
    </row>
    <row r="197" spans="1:88" s="412" customFormat="1" ht="9.9499999999999993" customHeight="1">
      <c r="A197" s="413"/>
      <c r="B197" s="413"/>
      <c r="C197" s="413"/>
      <c r="D197" s="413"/>
      <c r="E197" s="413"/>
      <c r="F197" s="413"/>
      <c r="G197" s="413"/>
      <c r="H197" s="413"/>
      <c r="I197" s="413"/>
      <c r="J197" s="413"/>
      <c r="K197" s="413"/>
      <c r="L197" s="413"/>
      <c r="M197" s="413"/>
      <c r="N197" s="413"/>
      <c r="O197" s="413"/>
      <c r="P197" s="413"/>
      <c r="Q197" s="413"/>
      <c r="R197" s="413"/>
      <c r="S197" s="413"/>
      <c r="T197" s="413"/>
      <c r="U197" s="413"/>
      <c r="V197" s="413"/>
      <c r="W197" s="413"/>
      <c r="X197" s="413"/>
      <c r="Y197" s="413"/>
      <c r="Z197" s="413"/>
      <c r="AA197" s="413"/>
      <c r="AB197" s="413"/>
      <c r="AC197" s="413"/>
      <c r="AD197" s="413"/>
      <c r="AE197" s="413"/>
      <c r="AF197" s="413"/>
      <c r="AG197" s="413"/>
      <c r="AH197" s="413"/>
      <c r="AI197" s="413"/>
      <c r="AJ197" s="413"/>
      <c r="AK197" s="413"/>
      <c r="AL197" s="413"/>
      <c r="AM197" s="413"/>
      <c r="AN197" s="413"/>
      <c r="AO197" s="413"/>
      <c r="AP197" s="413"/>
      <c r="AQ197" s="413"/>
      <c r="AR197" s="413"/>
      <c r="AS197" s="413"/>
      <c r="AT197" s="413"/>
      <c r="AU197" s="413"/>
      <c r="AV197" s="413"/>
      <c r="AW197" s="413"/>
      <c r="AX197" s="413"/>
      <c r="AY197" s="413"/>
      <c r="AZ197" s="413"/>
      <c r="BA197" s="413"/>
      <c r="BB197" s="413"/>
      <c r="BC197" s="413"/>
      <c r="BD197" s="413"/>
      <c r="BE197" s="413"/>
      <c r="BF197" s="413"/>
      <c r="BG197" s="413"/>
      <c r="BH197" s="413"/>
      <c r="BI197" s="413"/>
      <c r="BJ197" s="413"/>
      <c r="BK197" s="413"/>
      <c r="BL197" s="413"/>
      <c r="BM197" s="413"/>
      <c r="BN197" s="413"/>
      <c r="BO197" s="413"/>
      <c r="BP197" s="413"/>
      <c r="BQ197" s="413"/>
      <c r="BR197" s="413"/>
      <c r="BS197" s="413"/>
      <c r="BT197" s="413"/>
      <c r="BU197" s="413"/>
      <c r="BV197" s="413"/>
      <c r="BW197" s="413"/>
      <c r="BX197" s="413"/>
      <c r="BY197" s="413"/>
      <c r="BZ197" s="413"/>
      <c r="CA197" s="413"/>
      <c r="CB197" s="413"/>
      <c r="CC197" s="413"/>
      <c r="CD197" s="413"/>
      <c r="CE197" s="413"/>
      <c r="CF197" s="413"/>
      <c r="CJ197" s="400"/>
    </row>
    <row r="198" spans="1:88" s="419" customFormat="1" ht="23.1" customHeight="1">
      <c r="A198" s="420"/>
      <c r="B198" s="421" t="s">
        <v>442</v>
      </c>
      <c r="C198" s="420"/>
      <c r="D198" s="420"/>
      <c r="E198" s="420"/>
      <c r="F198" s="420"/>
      <c r="G198" s="420"/>
      <c r="H198" s="420"/>
      <c r="I198" s="420"/>
      <c r="J198" s="420"/>
      <c r="K198" s="420"/>
      <c r="L198" s="420"/>
      <c r="M198" s="420"/>
      <c r="N198" s="420"/>
      <c r="O198" s="420"/>
      <c r="P198" s="420"/>
      <c r="Q198" s="420"/>
      <c r="R198" s="420"/>
      <c r="S198" s="420"/>
      <c r="T198" s="420"/>
      <c r="U198" s="420"/>
      <c r="V198" s="420"/>
      <c r="W198" s="420"/>
      <c r="X198" s="420"/>
      <c r="Y198" s="420"/>
      <c r="Z198" s="420"/>
      <c r="AA198" s="420"/>
      <c r="AB198" s="420"/>
      <c r="AC198" s="420"/>
      <c r="AD198" s="420"/>
      <c r="AE198" s="420"/>
      <c r="AF198" s="420"/>
      <c r="AG198" s="420"/>
      <c r="AH198" s="420"/>
      <c r="AI198" s="420"/>
      <c r="AJ198" s="420"/>
      <c r="AK198" s="420"/>
      <c r="AL198" s="420"/>
      <c r="AM198" s="420"/>
      <c r="AN198" s="420"/>
      <c r="AO198" s="420"/>
      <c r="AP198" s="420"/>
      <c r="AQ198" s="420"/>
      <c r="AR198" s="420"/>
      <c r="AS198" s="420"/>
      <c r="AT198" s="420"/>
      <c r="AU198" s="420"/>
      <c r="BM198" s="420"/>
      <c r="BN198" s="420"/>
      <c r="BO198" s="420"/>
      <c r="BP198" s="420"/>
      <c r="BQ198" s="420"/>
      <c r="BR198" s="420"/>
      <c r="BS198" s="420"/>
      <c r="BT198" s="420"/>
      <c r="BU198" s="420"/>
      <c r="BV198" s="420"/>
      <c r="BW198" s="420"/>
      <c r="BX198" s="420"/>
      <c r="BY198" s="420"/>
      <c r="BZ198" s="420"/>
      <c r="CA198" s="420"/>
      <c r="CB198" s="420"/>
      <c r="CC198" s="420"/>
      <c r="CD198" s="420"/>
      <c r="CE198" s="420"/>
      <c r="CF198" s="420"/>
      <c r="CJ198" s="400"/>
    </row>
    <row r="199" spans="1:88" s="400" customFormat="1" ht="9.9499999999999993" customHeight="1">
      <c r="D199" s="403"/>
      <c r="AR199" s="414"/>
      <c r="AS199" s="414"/>
      <c r="AT199" s="414"/>
      <c r="AU199" s="414"/>
      <c r="AV199" s="414"/>
      <c r="AW199" s="414"/>
      <c r="AX199" s="414"/>
      <c r="AY199" s="414"/>
      <c r="AZ199" s="414"/>
      <c r="BA199" s="414"/>
      <c r="BB199" s="414"/>
      <c r="BT199" s="414"/>
      <c r="BU199" s="414"/>
      <c r="BV199" s="414"/>
      <c r="BW199" s="414"/>
      <c r="BX199" s="414"/>
      <c r="BY199" s="414"/>
      <c r="BZ199" s="414"/>
      <c r="CA199" s="414"/>
      <c r="CB199" s="414"/>
      <c r="CC199" s="414"/>
    </row>
    <row r="200" spans="1:88" s="400" customFormat="1" ht="19.5" customHeight="1">
      <c r="E200" s="400" t="s">
        <v>376</v>
      </c>
    </row>
    <row r="201" spans="1:88" s="400" customFormat="1" ht="19.5" customHeight="1">
      <c r="A201" s="402"/>
      <c r="B201" s="402"/>
      <c r="C201" s="402"/>
      <c r="D201" s="402"/>
      <c r="G201" s="1788" t="s">
        <v>377</v>
      </c>
      <c r="H201" s="1788"/>
      <c r="I201" s="1788"/>
      <c r="J201" s="1788"/>
      <c r="L201" s="411" t="s">
        <v>443</v>
      </c>
      <c r="M201" s="411"/>
      <c r="N201" s="411"/>
      <c r="O201" s="411"/>
      <c r="P201" s="411"/>
      <c r="Q201" s="411"/>
      <c r="R201" s="411"/>
      <c r="S201" s="411"/>
      <c r="T201" s="411"/>
      <c r="U201" s="411"/>
      <c r="V201" s="411"/>
      <c r="W201" s="411"/>
      <c r="X201" s="411"/>
      <c r="Y201" s="411"/>
      <c r="Z201" s="411"/>
      <c r="AA201" s="411"/>
      <c r="AB201" s="411"/>
      <c r="AC201" s="411"/>
      <c r="AV201" s="408"/>
      <c r="AW201" s="408"/>
      <c r="AX201" s="408"/>
      <c r="AY201" s="408"/>
      <c r="AZ201" s="408"/>
      <c r="BA201" s="408"/>
      <c r="BC201" s="408"/>
      <c r="BD201" s="408"/>
      <c r="BE201" s="404"/>
      <c r="BF201" s="404"/>
      <c r="BG201" s="404"/>
      <c r="BH201" s="404"/>
      <c r="BJ201" s="404"/>
      <c r="BK201" s="404"/>
      <c r="BL201" s="404"/>
      <c r="BM201" s="404"/>
      <c r="BN201" s="404"/>
      <c r="BO201" s="404"/>
      <c r="BP201" s="404"/>
      <c r="BQ201" s="404"/>
      <c r="BR201" s="404"/>
      <c r="BS201" s="404"/>
      <c r="BT201" s="404"/>
      <c r="BU201" s="404"/>
      <c r="BV201" s="404"/>
      <c r="BW201" s="404"/>
      <c r="BX201" s="404"/>
      <c r="BY201" s="404"/>
      <c r="BZ201" s="404"/>
      <c r="CA201" s="404"/>
      <c r="CB201" s="404"/>
      <c r="CC201" s="404"/>
    </row>
    <row r="202" spans="1:88" s="400" customFormat="1" ht="19.5" customHeight="1">
      <c r="D202" s="405"/>
      <c r="G202" s="1788"/>
      <c r="H202" s="1788"/>
      <c r="I202" s="1788"/>
      <c r="J202" s="1788"/>
      <c r="L202" s="1809" t="s">
        <v>444</v>
      </c>
      <c r="M202" s="1809"/>
      <c r="N202" s="1809"/>
      <c r="O202" s="1809"/>
      <c r="P202" s="1809"/>
      <c r="Q202" s="1809"/>
      <c r="R202" s="1809"/>
      <c r="S202" s="1809"/>
      <c r="T202" s="1809"/>
      <c r="U202" s="1809"/>
      <c r="V202" s="1809"/>
      <c r="W202" s="1809"/>
      <c r="X202" s="1809"/>
      <c r="Y202" s="1809"/>
      <c r="Z202" s="1809"/>
      <c r="AA202" s="1809"/>
      <c r="AB202" s="1809"/>
      <c r="AV202" s="408"/>
      <c r="AW202" s="408"/>
      <c r="AX202" s="408"/>
      <c r="AY202" s="408"/>
      <c r="AZ202" s="408"/>
      <c r="BA202" s="408"/>
      <c r="BC202" s="408"/>
      <c r="BD202" s="408"/>
      <c r="BE202" s="404"/>
      <c r="BF202" s="404"/>
      <c r="BG202" s="404"/>
      <c r="BH202" s="404"/>
      <c r="BI202" s="404"/>
      <c r="BJ202" s="404"/>
      <c r="BK202" s="404"/>
      <c r="BL202" s="404"/>
      <c r="BM202" s="404"/>
      <c r="BN202" s="404"/>
      <c r="BO202" s="404"/>
      <c r="BP202" s="404"/>
      <c r="BQ202" s="404"/>
      <c r="BR202" s="404"/>
      <c r="BS202" s="404"/>
      <c r="BT202" s="404"/>
      <c r="BU202" s="404"/>
      <c r="BV202" s="404"/>
      <c r="BW202" s="404"/>
      <c r="BX202" s="404"/>
      <c r="BY202" s="404"/>
      <c r="BZ202" s="404"/>
      <c r="CA202" s="404"/>
      <c r="CB202" s="404"/>
      <c r="CC202" s="404"/>
    </row>
    <row r="203" spans="1:88" s="400" customFormat="1" ht="19.5" customHeight="1">
      <c r="G203" s="402"/>
      <c r="I203" s="400" t="s">
        <v>445</v>
      </c>
      <c r="AE203" s="1788">
        <v>0.28000000000000003</v>
      </c>
      <c r="AF203" s="1788"/>
      <c r="AG203" s="1788"/>
      <c r="AH203" s="1788"/>
      <c r="AI203" s="1788"/>
      <c r="AJ203" s="1788" t="s">
        <v>446</v>
      </c>
      <c r="AK203" s="1788"/>
      <c r="AL203" s="1788">
        <v>0.33</v>
      </c>
      <c r="AM203" s="1788"/>
      <c r="AN203" s="1788"/>
      <c r="AO203" s="1788"/>
      <c r="AP203" s="1788"/>
      <c r="AQ203" s="1788" t="s">
        <v>41</v>
      </c>
      <c r="AR203" s="1788"/>
      <c r="AS203" s="1788">
        <f>AE203*AL203</f>
        <v>9.240000000000001E-2</v>
      </c>
      <c r="AT203" s="1788"/>
      <c r="AU203" s="1788"/>
      <c r="AV203" s="1788"/>
      <c r="AW203" s="1788"/>
      <c r="AX203" s="1788"/>
      <c r="AY203" s="1788"/>
      <c r="AZ203" s="400" t="s">
        <v>447</v>
      </c>
      <c r="BT203" s="410"/>
      <c r="BU203" s="410"/>
      <c r="BV203" s="410"/>
      <c r="BW203" s="410"/>
      <c r="BX203" s="410"/>
      <c r="BY203" s="410"/>
      <c r="BZ203" s="410"/>
      <c r="CA203" s="410"/>
      <c r="CB203" s="410"/>
      <c r="CC203" s="410"/>
    </row>
    <row r="204" spans="1:88" s="400" customFormat="1" ht="19.5" customHeight="1">
      <c r="I204" s="400" t="s">
        <v>448</v>
      </c>
      <c r="AC204" s="1716">
        <v>36000</v>
      </c>
      <c r="AD204" s="1716"/>
      <c r="AE204" s="1716"/>
      <c r="AF204" s="1716"/>
      <c r="AG204" s="1716"/>
      <c r="AH204" s="1716"/>
      <c r="AI204" s="1716"/>
      <c r="AJ204" s="1716"/>
      <c r="AK204" s="400" t="s">
        <v>449</v>
      </c>
      <c r="AR204" s="414"/>
      <c r="AS204" s="414"/>
      <c r="AT204" s="414"/>
      <c r="AU204" s="414"/>
      <c r="AV204" s="414"/>
      <c r="AW204" s="414"/>
      <c r="AX204" s="414"/>
      <c r="AY204" s="414"/>
      <c r="AZ204" s="414"/>
      <c r="BA204" s="414"/>
      <c r="BB204" s="414"/>
      <c r="BT204" s="414"/>
      <c r="BU204" s="414"/>
      <c r="BV204" s="414"/>
      <c r="BW204" s="414"/>
      <c r="BX204" s="414"/>
      <c r="BY204" s="414"/>
      <c r="BZ204" s="414"/>
      <c r="CA204" s="414"/>
      <c r="CB204" s="414"/>
      <c r="CC204" s="414"/>
    </row>
    <row r="205" spans="1:88" s="400" customFormat="1" ht="19.5" customHeight="1">
      <c r="D205" s="403"/>
      <c r="I205" s="400" t="s">
        <v>450</v>
      </c>
      <c r="V205" s="1788">
        <v>0.15</v>
      </c>
      <c r="W205" s="1788"/>
      <c r="X205" s="1788"/>
      <c r="Y205" s="1788"/>
      <c r="Z205" s="1788"/>
      <c r="AA205" s="400" t="s">
        <v>272</v>
      </c>
      <c r="AB205" s="429"/>
      <c r="AM205" s="408" t="s">
        <v>451</v>
      </c>
      <c r="AR205" s="414"/>
      <c r="AS205" s="414"/>
      <c r="AT205" s="414"/>
      <c r="AU205" s="414"/>
      <c r="AV205" s="414"/>
      <c r="AW205" s="414"/>
      <c r="AX205" s="414"/>
      <c r="AY205" s="414"/>
      <c r="AZ205" s="414"/>
      <c r="BA205" s="414"/>
      <c r="BB205" s="414"/>
      <c r="BC205" s="1860">
        <v>1</v>
      </c>
      <c r="BD205" s="1860"/>
      <c r="BE205" s="1860"/>
      <c r="BF205" s="1860"/>
      <c r="BG205" s="1860"/>
      <c r="BT205" s="414"/>
      <c r="BU205" s="414"/>
      <c r="BV205" s="414"/>
      <c r="BW205" s="414"/>
      <c r="BX205" s="414"/>
      <c r="BY205" s="414"/>
      <c r="BZ205" s="414"/>
      <c r="CA205" s="414"/>
      <c r="CB205" s="414"/>
      <c r="CC205" s="414"/>
    </row>
    <row r="206" spans="1:88" s="400" customFormat="1" ht="19.5" customHeight="1">
      <c r="I206" s="408" t="s">
        <v>452</v>
      </c>
      <c r="AD206" s="1860">
        <v>0.5</v>
      </c>
      <c r="AE206" s="1860"/>
      <c r="AF206" s="1860"/>
      <c r="AG206" s="1860"/>
      <c r="AH206" s="1860"/>
      <c r="AM206" s="400" t="s">
        <v>453</v>
      </c>
      <c r="BD206" s="1859">
        <v>57</v>
      </c>
      <c r="BE206" s="1859"/>
      <c r="BF206" s="1859"/>
      <c r="BG206" s="1859"/>
      <c r="BH206" s="400" t="s">
        <v>454</v>
      </c>
      <c r="BT206" s="410"/>
      <c r="BU206" s="410"/>
      <c r="BV206" s="410"/>
      <c r="BW206" s="410"/>
      <c r="BX206" s="410"/>
      <c r="BY206" s="410"/>
      <c r="BZ206" s="410"/>
      <c r="CA206" s="410"/>
      <c r="CB206" s="410"/>
      <c r="CC206" s="410"/>
    </row>
    <row r="207" spans="1:88" s="400" customFormat="1" ht="9.9499999999999993" customHeight="1">
      <c r="I207" s="408"/>
      <c r="BT207" s="410"/>
      <c r="BU207" s="410"/>
      <c r="BV207" s="410"/>
      <c r="BW207" s="410"/>
      <c r="BX207" s="410"/>
      <c r="BY207" s="410"/>
      <c r="BZ207" s="410"/>
      <c r="CA207" s="410"/>
      <c r="CB207" s="410"/>
      <c r="CC207" s="410"/>
    </row>
    <row r="208" spans="1:88" s="400" customFormat="1" ht="19.5" customHeight="1">
      <c r="G208" s="1788" t="s">
        <v>377</v>
      </c>
      <c r="H208" s="1788"/>
      <c r="I208" s="1788"/>
      <c r="J208" s="1788"/>
      <c r="L208" s="403" t="str">
        <f>AS203&amp;" × "&amp;AC204&amp;" × "&amp;V205&amp;" × "&amp;BC205&amp;" × "&amp;AD206</f>
        <v>0.0924 × 36000 × 0.15 × 1 × 0.5</v>
      </c>
      <c r="AP208" s="1788" t="s">
        <v>41</v>
      </c>
      <c r="AQ208" s="1788"/>
      <c r="AR208" s="1788"/>
      <c r="AS208" s="1862">
        <f>ROUND(AS203*AC204*V205*BC205*AD206/BD206,2)</f>
        <v>4.38</v>
      </c>
      <c r="AT208" s="1862"/>
      <c r="AU208" s="1862"/>
      <c r="AV208" s="1862"/>
      <c r="AW208" s="1862"/>
      <c r="AX208" s="1862"/>
      <c r="AY208" s="1862"/>
      <c r="AZ208" s="1862"/>
      <c r="BA208" s="1862"/>
      <c r="BB208" s="1862"/>
      <c r="BC208" s="1862"/>
      <c r="BD208" s="1862"/>
      <c r="BE208" s="1862"/>
      <c r="BF208" s="1862"/>
      <c r="BG208" s="1862"/>
      <c r="BT208" s="414"/>
      <c r="BU208" s="414"/>
      <c r="BV208" s="414"/>
      <c r="BW208" s="414"/>
      <c r="BX208" s="414"/>
      <c r="BY208" s="414"/>
      <c r="BZ208" s="414"/>
      <c r="CA208" s="414"/>
      <c r="CB208" s="414"/>
      <c r="CC208" s="414"/>
    </row>
    <row r="209" spans="1:88" s="400" customFormat="1" ht="19.5" customHeight="1">
      <c r="G209" s="1788"/>
      <c r="H209" s="1788"/>
      <c r="I209" s="1788"/>
      <c r="J209" s="1788"/>
      <c r="L209" s="1808">
        <f>BD206</f>
        <v>57</v>
      </c>
      <c r="M209" s="1809"/>
      <c r="N209" s="1809"/>
      <c r="O209" s="1809"/>
      <c r="P209" s="1809"/>
      <c r="Q209" s="1809"/>
      <c r="R209" s="1809"/>
      <c r="S209" s="1809"/>
      <c r="T209" s="1809"/>
      <c r="U209" s="1809"/>
      <c r="V209" s="1809"/>
      <c r="W209" s="1809"/>
      <c r="X209" s="1809"/>
      <c r="Y209" s="1809"/>
      <c r="Z209" s="1809"/>
      <c r="AA209" s="1809"/>
      <c r="AB209" s="1809"/>
      <c r="AC209" s="1809"/>
      <c r="AD209" s="1809"/>
      <c r="AE209" s="1809"/>
      <c r="AF209" s="1809"/>
      <c r="AG209" s="1809"/>
      <c r="AH209" s="1809"/>
      <c r="AI209" s="1809"/>
      <c r="AJ209" s="1809"/>
      <c r="AK209" s="1809"/>
      <c r="AL209" s="1809"/>
      <c r="AM209" s="1809"/>
      <c r="AN209" s="1809"/>
      <c r="AO209" s="435"/>
      <c r="AP209" s="1788"/>
      <c r="AQ209" s="1788"/>
      <c r="AR209" s="1788"/>
      <c r="AS209" s="1862"/>
      <c r="AT209" s="1862"/>
      <c r="AU209" s="1862"/>
      <c r="AV209" s="1862"/>
      <c r="AW209" s="1862"/>
      <c r="AX209" s="1862"/>
      <c r="AY209" s="1862"/>
      <c r="AZ209" s="1862"/>
      <c r="BA209" s="1862"/>
      <c r="BB209" s="1862"/>
      <c r="BC209" s="1862"/>
      <c r="BD209" s="1862"/>
      <c r="BE209" s="1862"/>
      <c r="BF209" s="1862"/>
      <c r="BG209" s="1862"/>
      <c r="BT209" s="410"/>
      <c r="BU209" s="410"/>
      <c r="BV209" s="410"/>
      <c r="BW209" s="410"/>
      <c r="BX209" s="410"/>
      <c r="BY209" s="410"/>
      <c r="BZ209" s="410"/>
      <c r="CA209" s="410"/>
      <c r="CB209" s="410"/>
      <c r="CC209" s="410"/>
    </row>
    <row r="210" spans="1:88" s="400" customFormat="1" ht="19.5" customHeight="1"/>
    <row r="211" spans="1:88" s="400" customFormat="1" ht="19.5" customHeight="1">
      <c r="E211" s="400" t="s">
        <v>402</v>
      </c>
    </row>
    <row r="212" spans="1:88" s="400" customFormat="1" ht="9.9499999999999993" customHeight="1" thickBot="1"/>
    <row r="213" spans="1:88" s="400" customFormat="1" ht="19.5" customHeight="1">
      <c r="D213" s="403"/>
      <c r="E213" s="1831" t="s">
        <v>385</v>
      </c>
      <c r="F213" s="1800"/>
      <c r="G213" s="1800"/>
      <c r="H213" s="1800"/>
      <c r="I213" s="1800"/>
      <c r="J213" s="1800"/>
      <c r="K213" s="1800"/>
      <c r="L213" s="1800"/>
      <c r="M213" s="1800"/>
      <c r="N213" s="1800"/>
      <c r="O213" s="1800"/>
      <c r="P213" s="1800"/>
      <c r="Q213" s="1800"/>
      <c r="R213" s="1800"/>
      <c r="S213" s="1800"/>
      <c r="T213" s="1800"/>
      <c r="U213" s="1800" t="s">
        <v>212</v>
      </c>
      <c r="V213" s="1800"/>
      <c r="W213" s="1800"/>
      <c r="X213" s="1800"/>
      <c r="Y213" s="1800"/>
      <c r="Z213" s="1800"/>
      <c r="AA213" s="1800"/>
      <c r="AB213" s="1800"/>
      <c r="AC213" s="1800" t="s">
        <v>403</v>
      </c>
      <c r="AD213" s="1800"/>
      <c r="AE213" s="1800"/>
      <c r="AF213" s="1800"/>
      <c r="AG213" s="1800"/>
      <c r="AH213" s="1800"/>
      <c r="AI213" s="1800"/>
      <c r="AJ213" s="1800"/>
      <c r="AK213" s="1800"/>
      <c r="AL213" s="1800"/>
      <c r="AM213" s="1800"/>
      <c r="AN213" s="1800"/>
      <c r="AO213" s="1800"/>
      <c r="AP213" s="1800"/>
      <c r="AQ213" s="1800"/>
      <c r="AR213" s="1800"/>
      <c r="AS213" s="1800"/>
      <c r="AT213" s="1800"/>
      <c r="AU213" s="1800"/>
      <c r="AV213" s="1800"/>
      <c r="AW213" s="1800"/>
      <c r="AX213" s="1800"/>
      <c r="AY213" s="1800"/>
      <c r="AZ213" s="1800"/>
      <c r="BA213" s="1833" t="s">
        <v>404</v>
      </c>
      <c r="BB213" s="1800"/>
      <c r="BC213" s="1800"/>
      <c r="BD213" s="1800"/>
      <c r="BE213" s="1800"/>
      <c r="BF213" s="1800"/>
      <c r="BG213" s="1800"/>
      <c r="BH213" s="1800"/>
      <c r="BI213" s="1800" t="s">
        <v>405</v>
      </c>
      <c r="BJ213" s="1800"/>
      <c r="BK213" s="1800"/>
      <c r="BL213" s="1800"/>
      <c r="BM213" s="1800"/>
      <c r="BN213" s="1800"/>
      <c r="BO213" s="1800"/>
      <c r="BP213" s="1800"/>
      <c r="BQ213" s="1800"/>
      <c r="BR213" s="1800"/>
      <c r="BS213" s="1800"/>
      <c r="BT213" s="1800"/>
      <c r="BU213" s="1800"/>
      <c r="BV213" s="1800"/>
      <c r="BW213" s="1800"/>
      <c r="BX213" s="1800"/>
      <c r="BY213" s="1800"/>
      <c r="BZ213" s="1800"/>
      <c r="CA213" s="1800"/>
      <c r="CB213" s="1800"/>
      <c r="CC213" s="1800"/>
      <c r="CD213" s="1800"/>
      <c r="CE213" s="1800"/>
      <c r="CF213" s="1801"/>
    </row>
    <row r="214" spans="1:88" s="400" customFormat="1" ht="19.5" customHeight="1" thickBot="1">
      <c r="E214" s="1832"/>
      <c r="F214" s="1786"/>
      <c r="G214" s="1786"/>
      <c r="H214" s="1786"/>
      <c r="I214" s="1786"/>
      <c r="J214" s="1786"/>
      <c r="K214" s="1786"/>
      <c r="L214" s="1786"/>
      <c r="M214" s="1786"/>
      <c r="N214" s="1786"/>
      <c r="O214" s="1786"/>
      <c r="P214" s="1786"/>
      <c r="Q214" s="1786"/>
      <c r="R214" s="1786"/>
      <c r="S214" s="1786"/>
      <c r="T214" s="1786"/>
      <c r="U214" s="1786"/>
      <c r="V214" s="1786"/>
      <c r="W214" s="1786"/>
      <c r="X214" s="1786"/>
      <c r="Y214" s="1786"/>
      <c r="Z214" s="1786"/>
      <c r="AA214" s="1786"/>
      <c r="AB214" s="1786"/>
      <c r="AC214" s="1786" t="s">
        <v>406</v>
      </c>
      <c r="AD214" s="1786"/>
      <c r="AE214" s="1786"/>
      <c r="AF214" s="1786"/>
      <c r="AG214" s="1786"/>
      <c r="AH214" s="1786"/>
      <c r="AI214" s="1786"/>
      <c r="AJ214" s="1786"/>
      <c r="AK214" s="1786" t="s">
        <v>407</v>
      </c>
      <c r="AL214" s="1786"/>
      <c r="AM214" s="1786"/>
      <c r="AN214" s="1786"/>
      <c r="AO214" s="1786"/>
      <c r="AP214" s="1786"/>
      <c r="AQ214" s="1786"/>
      <c r="AR214" s="1786"/>
      <c r="AS214" s="1786" t="s">
        <v>408</v>
      </c>
      <c r="AT214" s="1786"/>
      <c r="AU214" s="1786"/>
      <c r="AV214" s="1786"/>
      <c r="AW214" s="1786"/>
      <c r="AX214" s="1786"/>
      <c r="AY214" s="1786"/>
      <c r="AZ214" s="1786"/>
      <c r="BA214" s="1786"/>
      <c r="BB214" s="1786"/>
      <c r="BC214" s="1786"/>
      <c r="BD214" s="1786"/>
      <c r="BE214" s="1786"/>
      <c r="BF214" s="1786"/>
      <c r="BG214" s="1786"/>
      <c r="BH214" s="1786"/>
      <c r="BI214" s="1786" t="s">
        <v>406</v>
      </c>
      <c r="BJ214" s="1786"/>
      <c r="BK214" s="1786"/>
      <c r="BL214" s="1786"/>
      <c r="BM214" s="1786"/>
      <c r="BN214" s="1786"/>
      <c r="BO214" s="1786"/>
      <c r="BP214" s="1786"/>
      <c r="BQ214" s="1786" t="s">
        <v>407</v>
      </c>
      <c r="BR214" s="1786"/>
      <c r="BS214" s="1786"/>
      <c r="BT214" s="1786"/>
      <c r="BU214" s="1786"/>
      <c r="BV214" s="1786"/>
      <c r="BW214" s="1786"/>
      <c r="BX214" s="1786"/>
      <c r="BY214" s="1786" t="s">
        <v>408</v>
      </c>
      <c r="BZ214" s="1786"/>
      <c r="CA214" s="1786"/>
      <c r="CB214" s="1786"/>
      <c r="CC214" s="1786"/>
      <c r="CD214" s="1786"/>
      <c r="CE214" s="1786"/>
      <c r="CF214" s="1787"/>
    </row>
    <row r="215" spans="1:88" s="400" customFormat="1" ht="19.5" customHeight="1" thickTop="1" thickBot="1">
      <c r="E215" s="1789" t="s">
        <v>455</v>
      </c>
      <c r="F215" s="1790"/>
      <c r="G215" s="1790"/>
      <c r="H215" s="1790"/>
      <c r="I215" s="1790"/>
      <c r="J215" s="1790"/>
      <c r="K215" s="1790"/>
      <c r="L215" s="1790"/>
      <c r="M215" s="1790"/>
      <c r="N215" s="1790"/>
      <c r="O215" s="1790"/>
      <c r="P215" s="1790"/>
      <c r="Q215" s="1790"/>
      <c r="R215" s="1790"/>
      <c r="S215" s="1790"/>
      <c r="T215" s="1791"/>
      <c r="U215" s="1851" t="s">
        <v>249</v>
      </c>
      <c r="V215" s="1851"/>
      <c r="W215" s="1851"/>
      <c r="X215" s="1851"/>
      <c r="Y215" s="1851"/>
      <c r="Z215" s="1851"/>
      <c r="AA215" s="1851"/>
      <c r="AB215" s="1851"/>
      <c r="AC215" s="1810" t="e">
        <f>#REF!</f>
        <v>#REF!</v>
      </c>
      <c r="AD215" s="1810"/>
      <c r="AE215" s="1810"/>
      <c r="AF215" s="1810"/>
      <c r="AG215" s="1810"/>
      <c r="AH215" s="1810"/>
      <c r="AI215" s="1810"/>
      <c r="AJ215" s="1810"/>
      <c r="AK215" s="1810" t="e">
        <f>#REF!</f>
        <v>#REF!</v>
      </c>
      <c r="AL215" s="1810"/>
      <c r="AM215" s="1810"/>
      <c r="AN215" s="1810"/>
      <c r="AO215" s="1810"/>
      <c r="AP215" s="1810"/>
      <c r="AQ215" s="1810"/>
      <c r="AR215" s="1810"/>
      <c r="AS215" s="1810" t="e">
        <f>#REF!</f>
        <v>#REF!</v>
      </c>
      <c r="AT215" s="1810"/>
      <c r="AU215" s="1810"/>
      <c r="AV215" s="1810"/>
      <c r="AW215" s="1810"/>
      <c r="AX215" s="1810"/>
      <c r="AY215" s="1810"/>
      <c r="AZ215" s="1810"/>
      <c r="BA215" s="1857">
        <f>AS208</f>
        <v>4.38</v>
      </c>
      <c r="BB215" s="1857"/>
      <c r="BC215" s="1857"/>
      <c r="BD215" s="1857"/>
      <c r="BE215" s="1857"/>
      <c r="BF215" s="1857"/>
      <c r="BG215" s="1857"/>
      <c r="BH215" s="1857"/>
      <c r="BI215" s="1810" t="e">
        <f>INT(AC215/$BA215)</f>
        <v>#REF!</v>
      </c>
      <c r="BJ215" s="1810"/>
      <c r="BK215" s="1810"/>
      <c r="BL215" s="1810"/>
      <c r="BM215" s="1810"/>
      <c r="BN215" s="1810"/>
      <c r="BO215" s="1810"/>
      <c r="BP215" s="1810"/>
      <c r="BQ215" s="1810" t="e">
        <f>INT(AK215/$BA215)</f>
        <v>#REF!</v>
      </c>
      <c r="BR215" s="1810"/>
      <c r="BS215" s="1810"/>
      <c r="BT215" s="1810"/>
      <c r="BU215" s="1810"/>
      <c r="BV215" s="1810"/>
      <c r="BW215" s="1810"/>
      <c r="BX215" s="1810"/>
      <c r="BY215" s="1810" t="e">
        <f>INT(AS215/$BA215)</f>
        <v>#REF!</v>
      </c>
      <c r="BZ215" s="1810"/>
      <c r="CA215" s="1810"/>
      <c r="CB215" s="1810"/>
      <c r="CC215" s="1810"/>
      <c r="CD215" s="1810"/>
      <c r="CE215" s="1810"/>
      <c r="CF215" s="1811"/>
    </row>
    <row r="216" spans="1:88" s="400" customFormat="1" ht="19.5" customHeight="1">
      <c r="BT216" s="410"/>
      <c r="BU216" s="410"/>
      <c r="BV216" s="410"/>
      <c r="BW216" s="410"/>
      <c r="BX216" s="410"/>
      <c r="BY216" s="410"/>
      <c r="BZ216" s="410"/>
      <c r="CA216" s="410"/>
      <c r="CB216" s="410"/>
      <c r="CC216" s="410"/>
    </row>
    <row r="217" spans="1:88" s="419" customFormat="1" ht="23.1" customHeight="1">
      <c r="A217" s="420"/>
      <c r="B217" s="421" t="s">
        <v>456</v>
      </c>
      <c r="C217" s="420"/>
      <c r="D217" s="420"/>
      <c r="E217" s="420"/>
      <c r="F217" s="420"/>
      <c r="G217" s="420"/>
      <c r="H217" s="420"/>
      <c r="I217" s="420"/>
      <c r="J217" s="420"/>
      <c r="K217" s="420"/>
      <c r="L217" s="420"/>
      <c r="M217" s="420"/>
      <c r="N217" s="420"/>
      <c r="O217" s="420"/>
      <c r="P217" s="420"/>
      <c r="Q217" s="420"/>
      <c r="R217" s="420"/>
      <c r="S217" s="420"/>
      <c r="T217" s="420"/>
      <c r="U217" s="420"/>
      <c r="V217" s="420"/>
      <c r="W217" s="420"/>
      <c r="X217" s="420"/>
      <c r="Y217" s="420"/>
      <c r="Z217" s="420"/>
      <c r="AA217" s="420"/>
      <c r="AB217" s="420"/>
      <c r="AC217" s="420"/>
      <c r="AD217" s="420"/>
      <c r="AE217" s="420"/>
      <c r="AF217" s="420"/>
      <c r="AG217" s="420"/>
      <c r="AH217" s="420"/>
      <c r="AI217" s="420"/>
      <c r="AJ217" s="420"/>
      <c r="AK217" s="420"/>
      <c r="AL217" s="420"/>
      <c r="AM217" s="420"/>
      <c r="AN217" s="420"/>
      <c r="AO217" s="420"/>
      <c r="AP217" s="420"/>
      <c r="AQ217" s="420"/>
      <c r="AR217" s="420"/>
      <c r="AS217" s="420"/>
      <c r="AT217" s="420"/>
      <c r="AU217" s="420"/>
      <c r="BM217" s="420"/>
      <c r="BN217" s="420"/>
      <c r="BO217" s="420"/>
      <c r="BP217" s="420"/>
      <c r="BQ217" s="420"/>
      <c r="BR217" s="420"/>
      <c r="BS217" s="420"/>
      <c r="BT217" s="420"/>
      <c r="BU217" s="420"/>
      <c r="BV217" s="420"/>
      <c r="BW217" s="420"/>
      <c r="BX217" s="420"/>
      <c r="BY217" s="420"/>
      <c r="BZ217" s="420"/>
      <c r="CA217" s="420"/>
      <c r="CB217" s="420"/>
      <c r="CC217" s="420"/>
      <c r="CD217" s="420"/>
      <c r="CE217" s="420"/>
      <c r="CF217" s="420"/>
      <c r="CJ217" s="400" t="s">
        <v>747</v>
      </c>
    </row>
    <row r="218" spans="1:88" s="400" customFormat="1" ht="9.9499999999999993" customHeight="1">
      <c r="D218" s="403"/>
      <c r="AR218" s="414"/>
      <c r="AS218" s="414"/>
      <c r="AT218" s="414"/>
      <c r="AU218" s="414"/>
      <c r="AV218" s="414"/>
      <c r="AW218" s="414"/>
      <c r="AX218" s="414"/>
      <c r="AY218" s="414"/>
      <c r="AZ218" s="414"/>
      <c r="BA218" s="414"/>
      <c r="BB218" s="414"/>
      <c r="BT218" s="414"/>
      <c r="BU218" s="414"/>
      <c r="BV218" s="414"/>
      <c r="BW218" s="414"/>
      <c r="BX218" s="414"/>
      <c r="BY218" s="414"/>
      <c r="BZ218" s="414"/>
      <c r="CA218" s="414"/>
      <c r="CB218" s="414"/>
      <c r="CC218" s="414"/>
    </row>
    <row r="219" spans="1:88" s="400" customFormat="1" ht="19.5" customHeight="1">
      <c r="E219" s="400" t="s">
        <v>376</v>
      </c>
    </row>
    <row r="220" spans="1:88" s="400" customFormat="1" ht="19.5" customHeight="1">
      <c r="A220" s="402"/>
      <c r="B220" s="402"/>
      <c r="C220" s="402"/>
      <c r="D220" s="402"/>
      <c r="G220" s="1788" t="s">
        <v>377</v>
      </c>
      <c r="H220" s="1788"/>
      <c r="I220" s="1788"/>
      <c r="J220" s="1788"/>
      <c r="L220" s="1868" t="s">
        <v>457</v>
      </c>
      <c r="M220" s="1868"/>
      <c r="N220" s="1868"/>
      <c r="O220" s="1868"/>
      <c r="P220" s="1868"/>
      <c r="Q220" s="1868"/>
      <c r="R220" s="1868"/>
      <c r="S220" s="1868"/>
      <c r="T220" s="1868"/>
      <c r="U220" s="1868"/>
      <c r="V220" s="1868"/>
      <c r="W220" s="1868"/>
      <c r="X220" s="1868"/>
      <c r="Y220" s="1868"/>
      <c r="Z220" s="1868"/>
      <c r="AA220" s="1868"/>
      <c r="AB220" s="1868"/>
      <c r="AC220" s="1868"/>
      <c r="AD220" s="1868"/>
      <c r="AE220" s="1868"/>
      <c r="AF220" s="1868"/>
      <c r="AG220" s="1868"/>
      <c r="AH220" s="1868"/>
      <c r="AI220" s="1868"/>
      <c r="AJ220" s="1788" t="s">
        <v>388</v>
      </c>
      <c r="AK220" s="1788"/>
      <c r="AV220" s="408"/>
      <c r="AY220" s="408"/>
      <c r="AZ220" s="408"/>
      <c r="BC220" s="408"/>
      <c r="BD220" s="408"/>
      <c r="BE220" s="404"/>
      <c r="BF220" s="404"/>
      <c r="BG220" s="404"/>
      <c r="BH220" s="404"/>
      <c r="BJ220" s="404"/>
      <c r="BK220" s="404"/>
      <c r="BL220" s="404"/>
      <c r="BM220" s="404"/>
      <c r="BN220" s="404"/>
      <c r="BQ220" s="404"/>
      <c r="BR220" s="404"/>
      <c r="BS220" s="404"/>
      <c r="BT220" s="404"/>
      <c r="BU220" s="404"/>
      <c r="BV220" s="404"/>
      <c r="BW220" s="404"/>
      <c r="BX220" s="404"/>
      <c r="BY220" s="404"/>
      <c r="BZ220" s="404"/>
      <c r="CA220" s="404"/>
      <c r="CB220" s="404"/>
      <c r="CC220" s="404"/>
    </row>
    <row r="221" spans="1:88" s="400" customFormat="1" ht="19.5" customHeight="1">
      <c r="D221" s="405"/>
      <c r="G221" s="1788"/>
      <c r="H221" s="1788"/>
      <c r="I221" s="1788"/>
      <c r="J221" s="1788"/>
      <c r="L221" s="1868"/>
      <c r="M221" s="1868"/>
      <c r="N221" s="1868"/>
      <c r="O221" s="1868"/>
      <c r="P221" s="1868"/>
      <c r="Q221" s="1868"/>
      <c r="R221" s="1868"/>
      <c r="S221" s="1868"/>
      <c r="T221" s="1868"/>
      <c r="U221" s="1868"/>
      <c r="V221" s="1868"/>
      <c r="W221" s="1868"/>
      <c r="X221" s="1868"/>
      <c r="Y221" s="1868"/>
      <c r="Z221" s="1868"/>
      <c r="AA221" s="1868"/>
      <c r="AB221" s="1868"/>
      <c r="AC221" s="1868"/>
      <c r="AD221" s="1868"/>
      <c r="AE221" s="1868"/>
      <c r="AF221" s="1868"/>
      <c r="AG221" s="1868"/>
      <c r="AH221" s="1868"/>
      <c r="AI221" s="1868"/>
      <c r="AJ221" s="1809" t="s">
        <v>458</v>
      </c>
      <c r="AK221" s="1809"/>
      <c r="AV221" s="408"/>
      <c r="AY221" s="408"/>
      <c r="AZ221" s="408"/>
      <c r="BC221" s="408"/>
      <c r="BD221" s="408"/>
      <c r="BE221" s="404"/>
      <c r="BF221" s="404"/>
      <c r="BG221" s="404"/>
      <c r="BH221" s="404"/>
      <c r="BI221" s="404"/>
      <c r="BJ221" s="404"/>
      <c r="BK221" s="404"/>
      <c r="BL221" s="404"/>
      <c r="BM221" s="404"/>
      <c r="BN221" s="404"/>
      <c r="BQ221" s="404"/>
      <c r="BR221" s="404"/>
      <c r="BS221" s="404"/>
      <c r="BT221" s="404"/>
      <c r="BU221" s="404"/>
      <c r="BV221" s="404"/>
      <c r="BW221" s="404"/>
      <c r="BX221" s="404"/>
      <c r="BY221" s="404"/>
      <c r="BZ221" s="404"/>
      <c r="CA221" s="404"/>
      <c r="CB221" s="404"/>
      <c r="CC221" s="404"/>
    </row>
    <row r="222" spans="1:88" s="400" customFormat="1" ht="19.5" customHeight="1">
      <c r="G222" s="402"/>
      <c r="I222" s="400" t="s">
        <v>459</v>
      </c>
      <c r="V222" s="1863">
        <v>1</v>
      </c>
      <c r="W222" s="1863"/>
      <c r="X222" s="1863"/>
      <c r="Y222" s="1863"/>
      <c r="Z222" s="1863"/>
      <c r="AA222" s="400" t="s">
        <v>460</v>
      </c>
      <c r="AM222" s="400" t="s">
        <v>461</v>
      </c>
      <c r="BG222" s="430"/>
      <c r="BH222" s="430"/>
      <c r="BI222" s="1788">
        <v>0.45</v>
      </c>
      <c r="BJ222" s="1788"/>
      <c r="BK222" s="1788"/>
      <c r="BL222" s="1788"/>
      <c r="BM222" s="1788"/>
      <c r="BN222" s="430" t="s">
        <v>272</v>
      </c>
      <c r="BT222" s="410"/>
      <c r="BU222" s="410"/>
      <c r="BV222" s="410"/>
      <c r="BW222" s="410"/>
      <c r="BX222" s="410"/>
      <c r="BY222" s="410"/>
      <c r="BZ222" s="410"/>
      <c r="CA222" s="410"/>
      <c r="CB222" s="410"/>
      <c r="CC222" s="410"/>
    </row>
    <row r="223" spans="1:88" s="400" customFormat="1" ht="19.5" customHeight="1">
      <c r="I223" s="400" t="s">
        <v>462</v>
      </c>
      <c r="AB223" s="1788">
        <v>0.1</v>
      </c>
      <c r="AC223" s="1788"/>
      <c r="AD223" s="1788"/>
      <c r="AE223" s="1788"/>
      <c r="AF223" s="1788"/>
      <c r="AG223" s="400" t="s">
        <v>272</v>
      </c>
      <c r="AM223" s="408" t="s">
        <v>463</v>
      </c>
      <c r="AZ223" s="1860">
        <v>0.6</v>
      </c>
      <c r="BA223" s="1860"/>
      <c r="BB223" s="1860"/>
      <c r="BC223" s="1860"/>
      <c r="BD223" s="1860"/>
      <c r="BT223" s="414"/>
      <c r="BU223" s="414"/>
      <c r="BV223" s="414"/>
      <c r="BW223" s="414"/>
      <c r="BX223" s="414"/>
      <c r="BY223" s="414"/>
      <c r="BZ223" s="414"/>
      <c r="CA223" s="414"/>
      <c r="CB223" s="414"/>
      <c r="CC223" s="414"/>
    </row>
    <row r="224" spans="1:88" s="400" customFormat="1" ht="19.5" customHeight="1">
      <c r="I224" s="408" t="s">
        <v>451</v>
      </c>
      <c r="N224" s="414"/>
      <c r="O224" s="414"/>
      <c r="P224" s="414"/>
      <c r="Q224" s="414"/>
      <c r="R224" s="414"/>
      <c r="S224" s="414"/>
      <c r="T224" s="414"/>
      <c r="U224" s="414"/>
      <c r="V224" s="414"/>
      <c r="W224" s="414"/>
      <c r="X224" s="414"/>
      <c r="Y224" s="1860">
        <v>1</v>
      </c>
      <c r="Z224" s="1860"/>
      <c r="AA224" s="1860"/>
      <c r="AB224" s="1860"/>
      <c r="AC224" s="1860"/>
      <c r="AM224" s="400" t="s">
        <v>464</v>
      </c>
      <c r="BD224" s="1859">
        <v>3</v>
      </c>
      <c r="BE224" s="1859"/>
      <c r="BF224" s="1859"/>
      <c r="BG224" s="1859"/>
      <c r="BH224" s="400" t="s">
        <v>454</v>
      </c>
      <c r="BT224" s="410"/>
      <c r="BU224" s="410"/>
      <c r="BV224" s="410"/>
      <c r="BW224" s="410"/>
      <c r="BX224" s="410"/>
      <c r="BY224" s="410"/>
      <c r="BZ224" s="410"/>
      <c r="CA224" s="410"/>
      <c r="CB224" s="410"/>
      <c r="CC224" s="410"/>
    </row>
    <row r="225" spans="1:88" s="400" customFormat="1" ht="9.9499999999999993" customHeight="1">
      <c r="I225" s="408"/>
      <c r="BT225" s="410"/>
      <c r="BU225" s="410"/>
      <c r="BV225" s="410"/>
      <c r="BW225" s="410"/>
      <c r="BX225" s="410"/>
      <c r="BY225" s="410"/>
      <c r="BZ225" s="410"/>
      <c r="CA225" s="410"/>
      <c r="CB225" s="410"/>
      <c r="CC225" s="410"/>
    </row>
    <row r="226" spans="1:88" s="400" customFormat="1" ht="19.5" customHeight="1">
      <c r="G226" s="1788" t="s">
        <v>377</v>
      </c>
      <c r="H226" s="1788"/>
      <c r="I226" s="1788"/>
      <c r="J226" s="1788"/>
      <c r="L226" s="1864" t="str">
        <f>"1,000 × "&amp;V222&amp;" × "&amp;BI222&amp;" × "&amp;AB223&amp;" × "&amp;AZ223</f>
        <v>1,000 × 1 × 0.45 × 0.1 × 0.6</v>
      </c>
      <c r="M226" s="1864"/>
      <c r="N226" s="1864"/>
      <c r="O226" s="1864"/>
      <c r="P226" s="1864"/>
      <c r="Q226" s="1864"/>
      <c r="R226" s="1864"/>
      <c r="S226" s="1864"/>
      <c r="T226" s="1864"/>
      <c r="U226" s="1864"/>
      <c r="V226" s="1864"/>
      <c r="W226" s="1864"/>
      <c r="X226" s="1864"/>
      <c r="Y226" s="1864"/>
      <c r="Z226" s="1864"/>
      <c r="AA226" s="1864"/>
      <c r="AB226" s="1864"/>
      <c r="AC226" s="1864"/>
      <c r="AD226" s="1864"/>
      <c r="AE226" s="1864"/>
      <c r="AF226" s="1864"/>
      <c r="AG226" s="1864"/>
      <c r="AH226" s="1864"/>
      <c r="AI226" s="1864"/>
      <c r="AJ226" s="1864"/>
      <c r="AK226" s="1864"/>
      <c r="AL226" s="1864"/>
      <c r="AM226" s="1788" t="s">
        <v>446</v>
      </c>
      <c r="AN226" s="1788"/>
      <c r="AO226" s="1859">
        <f>Y224</f>
        <v>1</v>
      </c>
      <c r="AP226" s="1859"/>
      <c r="AQ226" s="1859"/>
      <c r="AR226" s="1859"/>
      <c r="AS226" s="1788" t="s">
        <v>41</v>
      </c>
      <c r="AT226" s="1788"/>
      <c r="AU226" s="1788"/>
      <c r="AV226" s="1862">
        <f>ROUND(1000*V222*BI222*AB223*AZ223*Y224/BD224,2)</f>
        <v>9</v>
      </c>
      <c r="AW226" s="1862"/>
      <c r="AX226" s="1862"/>
      <c r="AY226" s="1862"/>
      <c r="AZ226" s="1862"/>
      <c r="BA226" s="1862"/>
      <c r="BB226" s="1862"/>
      <c r="BC226" s="1862"/>
      <c r="BD226" s="1862"/>
      <c r="BE226" s="1862"/>
      <c r="BF226" s="1862"/>
      <c r="BG226" s="1862"/>
      <c r="BH226" s="1862"/>
      <c r="BI226" s="1862"/>
      <c r="BJ226" s="1862"/>
      <c r="CC226" s="414"/>
    </row>
    <row r="227" spans="1:88" s="400" customFormat="1" ht="19.5" customHeight="1">
      <c r="G227" s="1788"/>
      <c r="H227" s="1788"/>
      <c r="I227" s="1788"/>
      <c r="J227" s="1788"/>
      <c r="L227" s="1864"/>
      <c r="M227" s="1864"/>
      <c r="N227" s="1864"/>
      <c r="O227" s="1864"/>
      <c r="P227" s="1864"/>
      <c r="Q227" s="1864"/>
      <c r="R227" s="1864"/>
      <c r="S227" s="1864"/>
      <c r="T227" s="1864"/>
      <c r="U227" s="1864"/>
      <c r="V227" s="1864"/>
      <c r="W227" s="1864"/>
      <c r="X227" s="1864"/>
      <c r="Y227" s="1864"/>
      <c r="Z227" s="1864"/>
      <c r="AA227" s="1864"/>
      <c r="AB227" s="1864"/>
      <c r="AC227" s="1864"/>
      <c r="AD227" s="1864"/>
      <c r="AE227" s="1864"/>
      <c r="AF227" s="1864"/>
      <c r="AG227" s="1864"/>
      <c r="AH227" s="1864"/>
      <c r="AI227" s="1864"/>
      <c r="AJ227" s="1864"/>
      <c r="AK227" s="1864"/>
      <c r="AL227" s="1864"/>
      <c r="AM227" s="1788"/>
      <c r="AN227" s="1788"/>
      <c r="AO227" s="1808">
        <f>BD224</f>
        <v>3</v>
      </c>
      <c r="AP227" s="1808"/>
      <c r="AQ227" s="1808"/>
      <c r="AR227" s="1808"/>
      <c r="AS227" s="1788"/>
      <c r="AT227" s="1788"/>
      <c r="AU227" s="1788"/>
      <c r="AV227" s="1862"/>
      <c r="AW227" s="1862"/>
      <c r="AX227" s="1862"/>
      <c r="AY227" s="1862"/>
      <c r="AZ227" s="1862"/>
      <c r="BA227" s="1862"/>
      <c r="BB227" s="1862"/>
      <c r="BC227" s="1862"/>
      <c r="BD227" s="1862"/>
      <c r="BE227" s="1862"/>
      <c r="BF227" s="1862"/>
      <c r="BG227" s="1862"/>
      <c r="BH227" s="1862"/>
      <c r="BI227" s="1862"/>
      <c r="BJ227" s="1862"/>
      <c r="CC227" s="410"/>
    </row>
    <row r="228" spans="1:88" s="400" customFormat="1" ht="19.5" customHeight="1"/>
    <row r="229" spans="1:88" s="400" customFormat="1" ht="19.5" customHeight="1">
      <c r="E229" s="400" t="s">
        <v>402</v>
      </c>
    </row>
    <row r="230" spans="1:88" s="400" customFormat="1" ht="9.9499999999999993" customHeight="1" thickBot="1"/>
    <row r="231" spans="1:88" s="400" customFormat="1" ht="19.5" customHeight="1">
      <c r="D231" s="403"/>
      <c r="E231" s="1831" t="s">
        <v>385</v>
      </c>
      <c r="F231" s="1800"/>
      <c r="G231" s="1800"/>
      <c r="H231" s="1800"/>
      <c r="I231" s="1800"/>
      <c r="J231" s="1800"/>
      <c r="K231" s="1800"/>
      <c r="L231" s="1800"/>
      <c r="M231" s="1800"/>
      <c r="N231" s="1800"/>
      <c r="O231" s="1800"/>
      <c r="P231" s="1800"/>
      <c r="Q231" s="1800"/>
      <c r="R231" s="1800"/>
      <c r="S231" s="1800"/>
      <c r="T231" s="1800"/>
      <c r="U231" s="1800" t="s">
        <v>212</v>
      </c>
      <c r="V231" s="1800"/>
      <c r="W231" s="1800"/>
      <c r="X231" s="1800"/>
      <c r="Y231" s="1800"/>
      <c r="Z231" s="1800"/>
      <c r="AA231" s="1800"/>
      <c r="AB231" s="1800"/>
      <c r="AC231" s="1800" t="s">
        <v>403</v>
      </c>
      <c r="AD231" s="1800"/>
      <c r="AE231" s="1800"/>
      <c r="AF231" s="1800"/>
      <c r="AG231" s="1800"/>
      <c r="AH231" s="1800"/>
      <c r="AI231" s="1800"/>
      <c r="AJ231" s="1800"/>
      <c r="AK231" s="1800"/>
      <c r="AL231" s="1800"/>
      <c r="AM231" s="1800"/>
      <c r="AN231" s="1800"/>
      <c r="AO231" s="1800"/>
      <c r="AP231" s="1800"/>
      <c r="AQ231" s="1800"/>
      <c r="AR231" s="1800"/>
      <c r="AS231" s="1800"/>
      <c r="AT231" s="1800"/>
      <c r="AU231" s="1800"/>
      <c r="AV231" s="1800"/>
      <c r="AW231" s="1800"/>
      <c r="AX231" s="1800"/>
      <c r="AY231" s="1800"/>
      <c r="AZ231" s="1800"/>
      <c r="BA231" s="1833" t="s">
        <v>404</v>
      </c>
      <c r="BB231" s="1800"/>
      <c r="BC231" s="1800"/>
      <c r="BD231" s="1800"/>
      <c r="BE231" s="1800"/>
      <c r="BF231" s="1800"/>
      <c r="BG231" s="1800"/>
      <c r="BH231" s="1800"/>
      <c r="BI231" s="1800" t="s">
        <v>405</v>
      </c>
      <c r="BJ231" s="1800"/>
      <c r="BK231" s="1800"/>
      <c r="BL231" s="1800"/>
      <c r="BM231" s="1800"/>
      <c r="BN231" s="1800"/>
      <c r="BO231" s="1800"/>
      <c r="BP231" s="1800"/>
      <c r="BQ231" s="1800"/>
      <c r="BR231" s="1800"/>
      <c r="BS231" s="1800"/>
      <c r="BT231" s="1800"/>
      <c r="BU231" s="1800"/>
      <c r="BV231" s="1800"/>
      <c r="BW231" s="1800"/>
      <c r="BX231" s="1800"/>
      <c r="BY231" s="1800"/>
      <c r="BZ231" s="1800"/>
      <c r="CA231" s="1800"/>
      <c r="CB231" s="1800"/>
      <c r="CC231" s="1800"/>
      <c r="CD231" s="1800"/>
      <c r="CE231" s="1800"/>
      <c r="CF231" s="1801"/>
    </row>
    <row r="232" spans="1:88" s="400" customFormat="1" ht="19.5" customHeight="1" thickBot="1">
      <c r="E232" s="1832"/>
      <c r="F232" s="1786"/>
      <c r="G232" s="1786"/>
      <c r="H232" s="1786"/>
      <c r="I232" s="1786"/>
      <c r="J232" s="1786"/>
      <c r="K232" s="1786"/>
      <c r="L232" s="1786"/>
      <c r="M232" s="1786"/>
      <c r="N232" s="1786"/>
      <c r="O232" s="1786"/>
      <c r="P232" s="1786"/>
      <c r="Q232" s="1786"/>
      <c r="R232" s="1786"/>
      <c r="S232" s="1786"/>
      <c r="T232" s="1786"/>
      <c r="U232" s="1786"/>
      <c r="V232" s="1786"/>
      <c r="W232" s="1786"/>
      <c r="X232" s="1786"/>
      <c r="Y232" s="1786"/>
      <c r="Z232" s="1786"/>
      <c r="AA232" s="1786"/>
      <c r="AB232" s="1786"/>
      <c r="AC232" s="1786" t="s">
        <v>406</v>
      </c>
      <c r="AD232" s="1786"/>
      <c r="AE232" s="1786"/>
      <c r="AF232" s="1786"/>
      <c r="AG232" s="1786"/>
      <c r="AH232" s="1786"/>
      <c r="AI232" s="1786"/>
      <c r="AJ232" s="1786"/>
      <c r="AK232" s="1786" t="s">
        <v>407</v>
      </c>
      <c r="AL232" s="1786"/>
      <c r="AM232" s="1786"/>
      <c r="AN232" s="1786"/>
      <c r="AO232" s="1786"/>
      <c r="AP232" s="1786"/>
      <c r="AQ232" s="1786"/>
      <c r="AR232" s="1786"/>
      <c r="AS232" s="1786" t="s">
        <v>408</v>
      </c>
      <c r="AT232" s="1786"/>
      <c r="AU232" s="1786"/>
      <c r="AV232" s="1786"/>
      <c r="AW232" s="1786"/>
      <c r="AX232" s="1786"/>
      <c r="AY232" s="1786"/>
      <c r="AZ232" s="1786"/>
      <c r="BA232" s="1786"/>
      <c r="BB232" s="1786"/>
      <c r="BC232" s="1786"/>
      <c r="BD232" s="1786"/>
      <c r="BE232" s="1786"/>
      <c r="BF232" s="1786"/>
      <c r="BG232" s="1786"/>
      <c r="BH232" s="1786"/>
      <c r="BI232" s="1786" t="s">
        <v>406</v>
      </c>
      <c r="BJ232" s="1786"/>
      <c r="BK232" s="1786"/>
      <c r="BL232" s="1786"/>
      <c r="BM232" s="1786"/>
      <c r="BN232" s="1786"/>
      <c r="BO232" s="1786"/>
      <c r="BP232" s="1786"/>
      <c r="BQ232" s="1786" t="s">
        <v>407</v>
      </c>
      <c r="BR232" s="1786"/>
      <c r="BS232" s="1786"/>
      <c r="BT232" s="1786"/>
      <c r="BU232" s="1786"/>
      <c r="BV232" s="1786"/>
      <c r="BW232" s="1786"/>
      <c r="BX232" s="1786"/>
      <c r="BY232" s="1786" t="s">
        <v>408</v>
      </c>
      <c r="BZ232" s="1786"/>
      <c r="CA232" s="1786"/>
      <c r="CB232" s="1786"/>
      <c r="CC232" s="1786"/>
      <c r="CD232" s="1786"/>
      <c r="CE232" s="1786"/>
      <c r="CF232" s="1787"/>
    </row>
    <row r="233" spans="1:88" s="400" customFormat="1" ht="19.5" customHeight="1" thickTop="1" thickBot="1">
      <c r="E233" s="1789" t="s">
        <v>465</v>
      </c>
      <c r="F233" s="1790"/>
      <c r="G233" s="1790"/>
      <c r="H233" s="1790"/>
      <c r="I233" s="1790"/>
      <c r="J233" s="1790"/>
      <c r="K233" s="1790"/>
      <c r="L233" s="1790"/>
      <c r="M233" s="1790"/>
      <c r="N233" s="1790"/>
      <c r="O233" s="1790"/>
      <c r="P233" s="1790"/>
      <c r="Q233" s="1790"/>
      <c r="R233" s="1790"/>
      <c r="S233" s="1790"/>
      <c r="T233" s="1791"/>
      <c r="U233" s="1798" t="s">
        <v>466</v>
      </c>
      <c r="V233" s="1798"/>
      <c r="W233" s="1798"/>
      <c r="X233" s="1798"/>
      <c r="Y233" s="1798"/>
      <c r="Z233" s="1798"/>
      <c r="AA233" s="1798"/>
      <c r="AB233" s="1798"/>
      <c r="AC233" s="1799" t="e">
        <f>#REF!</f>
        <v>#REF!</v>
      </c>
      <c r="AD233" s="1799"/>
      <c r="AE233" s="1799"/>
      <c r="AF233" s="1799"/>
      <c r="AG233" s="1799"/>
      <c r="AH233" s="1799"/>
      <c r="AI233" s="1799"/>
      <c r="AJ233" s="1799"/>
      <c r="AK233" s="1799" t="e">
        <f>#REF!</f>
        <v>#REF!</v>
      </c>
      <c r="AL233" s="1799"/>
      <c r="AM233" s="1799"/>
      <c r="AN233" s="1799"/>
      <c r="AO233" s="1799"/>
      <c r="AP233" s="1799"/>
      <c r="AQ233" s="1799"/>
      <c r="AR233" s="1799"/>
      <c r="AS233" s="1799" t="e">
        <f>#REF!</f>
        <v>#REF!</v>
      </c>
      <c r="AT233" s="1799"/>
      <c r="AU233" s="1799"/>
      <c r="AV233" s="1799"/>
      <c r="AW233" s="1799"/>
      <c r="AX233" s="1799"/>
      <c r="AY233" s="1799"/>
      <c r="AZ233" s="1799"/>
      <c r="BA233" s="1857">
        <f>AV226</f>
        <v>9</v>
      </c>
      <c r="BB233" s="1857"/>
      <c r="BC233" s="1857"/>
      <c r="BD233" s="1857"/>
      <c r="BE233" s="1857"/>
      <c r="BF233" s="1857"/>
      <c r="BG233" s="1857"/>
      <c r="BH233" s="1857"/>
      <c r="BI233" s="1799" t="e">
        <f>INT(AC233/$BA233)</f>
        <v>#REF!</v>
      </c>
      <c r="BJ233" s="1799"/>
      <c r="BK233" s="1799"/>
      <c r="BL233" s="1799"/>
      <c r="BM233" s="1799"/>
      <c r="BN233" s="1799"/>
      <c r="BO233" s="1799"/>
      <c r="BP233" s="1799"/>
      <c r="BQ233" s="1799" t="e">
        <f>INT(AK233/$BA233)</f>
        <v>#REF!</v>
      </c>
      <c r="BR233" s="1799"/>
      <c r="BS233" s="1799"/>
      <c r="BT233" s="1799"/>
      <c r="BU233" s="1799"/>
      <c r="BV233" s="1799"/>
      <c r="BW233" s="1799"/>
      <c r="BX233" s="1799"/>
      <c r="BY233" s="1799" t="e">
        <f>INT(AS233/$BA233)</f>
        <v>#REF!</v>
      </c>
      <c r="BZ233" s="1799"/>
      <c r="CA233" s="1799"/>
      <c r="CB233" s="1799"/>
      <c r="CC233" s="1799"/>
      <c r="CD233" s="1799"/>
      <c r="CE233" s="1799"/>
      <c r="CF233" s="1802"/>
    </row>
    <row r="234" spans="1:88" s="412" customFormat="1" ht="28.35" customHeight="1">
      <c r="A234" s="1869" t="s">
        <v>467</v>
      </c>
      <c r="B234" s="1869"/>
      <c r="C234" s="1869"/>
      <c r="D234" s="1869"/>
      <c r="E234" s="1869"/>
      <c r="F234" s="1869"/>
      <c r="G234" s="1869"/>
      <c r="H234" s="1869"/>
      <c r="I234" s="1869"/>
      <c r="J234" s="1869"/>
      <c r="K234" s="1869"/>
      <c r="L234" s="1869"/>
      <c r="M234" s="1869"/>
      <c r="N234" s="1869"/>
      <c r="O234" s="1869"/>
      <c r="P234" s="1869"/>
      <c r="Q234" s="1869"/>
      <c r="R234" s="1869"/>
      <c r="S234" s="1869"/>
      <c r="T234" s="1869"/>
      <c r="U234" s="1869"/>
      <c r="V234" s="1869"/>
      <c r="W234" s="1869"/>
      <c r="X234" s="1869"/>
      <c r="Y234" s="1869"/>
      <c r="Z234" s="1869"/>
      <c r="AA234" s="1869"/>
      <c r="AB234" s="1869"/>
      <c r="AC234" s="1869"/>
      <c r="AD234" s="1869"/>
      <c r="AE234" s="1869"/>
      <c r="AF234" s="1869"/>
      <c r="AG234" s="1869"/>
      <c r="AH234" s="1869"/>
      <c r="AI234" s="1869"/>
      <c r="AJ234" s="1869"/>
      <c r="AK234" s="1869"/>
      <c r="AL234" s="1869"/>
      <c r="AM234" s="1869"/>
      <c r="AN234" s="1869"/>
      <c r="AO234" s="1869"/>
      <c r="AP234" s="1869"/>
      <c r="AQ234" s="1869"/>
      <c r="AR234" s="1869"/>
      <c r="AS234" s="1869"/>
      <c r="AT234" s="1869"/>
      <c r="AU234" s="1869"/>
      <c r="AV234" s="1869"/>
      <c r="AW234" s="1869"/>
      <c r="AX234" s="1869"/>
      <c r="AY234" s="1869"/>
      <c r="AZ234" s="1869"/>
      <c r="BA234" s="1869"/>
      <c r="BB234" s="1869"/>
      <c r="BC234" s="1869"/>
      <c r="BD234" s="1869"/>
      <c r="BE234" s="1869"/>
      <c r="BF234" s="1869"/>
      <c r="BG234" s="1869"/>
      <c r="BH234" s="1869"/>
      <c r="BI234" s="1869"/>
      <c r="BJ234" s="1869"/>
      <c r="BK234" s="1869"/>
      <c r="BL234" s="1869"/>
      <c r="BM234" s="1869"/>
      <c r="BN234" s="1869"/>
      <c r="BO234" s="1869"/>
      <c r="BP234" s="1869"/>
      <c r="BQ234" s="1869"/>
      <c r="BR234" s="1869"/>
      <c r="BS234" s="1869"/>
      <c r="BT234" s="1869"/>
      <c r="BU234" s="1869"/>
      <c r="BV234" s="1869"/>
      <c r="BW234" s="1869"/>
      <c r="BX234" s="1869"/>
      <c r="BY234" s="1869"/>
      <c r="BZ234" s="1869"/>
      <c r="CA234" s="1869"/>
      <c r="CB234" s="1869"/>
      <c r="CC234" s="1869"/>
      <c r="CD234" s="1869"/>
      <c r="CE234" s="1869"/>
      <c r="CF234" s="1869"/>
      <c r="CJ234" s="400"/>
    </row>
    <row r="235" spans="1:88" s="412" customFormat="1" ht="9.9499999999999993" customHeight="1">
      <c r="A235" s="413"/>
      <c r="B235" s="413"/>
      <c r="C235" s="413"/>
      <c r="D235" s="413"/>
      <c r="E235" s="413"/>
      <c r="F235" s="413"/>
      <c r="G235" s="413"/>
      <c r="H235" s="413"/>
      <c r="I235" s="413"/>
      <c r="J235" s="413"/>
      <c r="K235" s="413"/>
      <c r="L235" s="413"/>
      <c r="M235" s="413"/>
      <c r="N235" s="413"/>
      <c r="O235" s="413"/>
      <c r="P235" s="413"/>
      <c r="Q235" s="413"/>
      <c r="R235" s="413"/>
      <c r="S235" s="413"/>
      <c r="T235" s="413"/>
      <c r="U235" s="413"/>
      <c r="V235" s="413"/>
      <c r="W235" s="413"/>
      <c r="X235" s="413"/>
      <c r="Y235" s="413"/>
      <c r="Z235" s="413"/>
      <c r="AA235" s="413"/>
      <c r="AB235" s="413"/>
      <c r="AC235" s="413"/>
      <c r="AD235" s="413"/>
      <c r="AE235" s="413"/>
      <c r="AF235" s="413"/>
      <c r="AG235" s="413"/>
      <c r="AH235" s="413"/>
      <c r="AI235" s="413"/>
      <c r="AJ235" s="413"/>
      <c r="AK235" s="413"/>
      <c r="AL235" s="413"/>
      <c r="AM235" s="413"/>
      <c r="AN235" s="413"/>
      <c r="AO235" s="413"/>
      <c r="AP235" s="413"/>
      <c r="AQ235" s="413"/>
      <c r="AR235" s="413"/>
      <c r="AS235" s="413"/>
      <c r="AT235" s="413"/>
      <c r="AU235" s="413"/>
      <c r="AV235" s="413"/>
      <c r="AW235" s="413"/>
      <c r="AX235" s="413"/>
      <c r="AY235" s="413"/>
      <c r="AZ235" s="413"/>
      <c r="BA235" s="413"/>
      <c r="BB235" s="413"/>
      <c r="BC235" s="413"/>
      <c r="BD235" s="413"/>
      <c r="BE235" s="413"/>
      <c r="BF235" s="413"/>
      <c r="BG235" s="413"/>
      <c r="BH235" s="413"/>
      <c r="BI235" s="413"/>
      <c r="BJ235" s="413"/>
      <c r="BK235" s="413"/>
      <c r="BL235" s="413"/>
      <c r="BM235" s="413"/>
      <c r="BN235" s="413"/>
      <c r="BO235" s="413"/>
      <c r="BP235" s="413"/>
      <c r="BQ235" s="413"/>
      <c r="BR235" s="413"/>
      <c r="BS235" s="413"/>
      <c r="BT235" s="413"/>
      <c r="BU235" s="413"/>
      <c r="BV235" s="413"/>
      <c r="BW235" s="413"/>
      <c r="BX235" s="413"/>
      <c r="BY235" s="413"/>
      <c r="BZ235" s="413"/>
      <c r="CA235" s="413"/>
      <c r="CB235" s="413"/>
      <c r="CC235" s="413"/>
      <c r="CD235" s="413"/>
      <c r="CE235" s="413"/>
      <c r="CF235" s="413"/>
      <c r="CJ235" s="400"/>
    </row>
    <row r="236" spans="1:88" s="419" customFormat="1" ht="23.1" customHeight="1">
      <c r="A236" s="420"/>
      <c r="B236" s="421" t="s">
        <v>746</v>
      </c>
      <c r="C236" s="420"/>
      <c r="D236" s="420"/>
      <c r="E236" s="420"/>
      <c r="F236" s="420"/>
      <c r="G236" s="420"/>
      <c r="H236" s="420"/>
      <c r="I236" s="420"/>
      <c r="J236" s="420"/>
      <c r="K236" s="420"/>
      <c r="L236" s="420"/>
      <c r="M236" s="420"/>
      <c r="N236" s="420"/>
      <c r="O236" s="420"/>
      <c r="P236" s="420"/>
      <c r="Q236" s="420"/>
      <c r="R236" s="420"/>
      <c r="S236" s="420"/>
      <c r="T236" s="420"/>
      <c r="U236" s="420"/>
      <c r="V236" s="420"/>
      <c r="W236" s="420"/>
      <c r="X236" s="420"/>
      <c r="Y236" s="420"/>
      <c r="Z236" s="420"/>
      <c r="AA236" s="420"/>
      <c r="AB236" s="420"/>
      <c r="AC236" s="420"/>
      <c r="AD236" s="420"/>
      <c r="AE236" s="420"/>
      <c r="AF236" s="420"/>
      <c r="AG236" s="420"/>
      <c r="AH236" s="420"/>
      <c r="AI236" s="420"/>
      <c r="AJ236" s="420"/>
      <c r="AK236" s="420"/>
      <c r="AL236" s="420"/>
      <c r="AM236" s="420"/>
      <c r="AN236" s="420"/>
      <c r="AO236" s="420"/>
      <c r="AP236" s="420"/>
      <c r="AQ236" s="420"/>
      <c r="AR236" s="420"/>
      <c r="AS236" s="420"/>
      <c r="AT236" s="420"/>
      <c r="AU236" s="420"/>
      <c r="BM236" s="420"/>
      <c r="BN236" s="420"/>
      <c r="BO236" s="420"/>
      <c r="BP236" s="420"/>
      <c r="BQ236" s="420"/>
      <c r="BR236" s="420"/>
      <c r="BS236" s="420"/>
      <c r="BT236" s="420"/>
      <c r="BU236" s="420"/>
      <c r="BV236" s="420"/>
      <c r="BW236" s="420"/>
      <c r="BX236" s="420"/>
      <c r="BY236" s="420"/>
      <c r="BZ236" s="420"/>
      <c r="CA236" s="420"/>
      <c r="CB236" s="420"/>
      <c r="CC236" s="420"/>
      <c r="CD236" s="420"/>
      <c r="CE236" s="420"/>
      <c r="CF236" s="420"/>
      <c r="CJ236" s="400" t="s">
        <v>745</v>
      </c>
    </row>
    <row r="237" spans="1:88" s="400" customFormat="1" ht="9.9499999999999993" customHeight="1">
      <c r="A237" s="402"/>
      <c r="B237" s="402"/>
      <c r="C237" s="402"/>
      <c r="D237" s="402"/>
      <c r="E237" s="402"/>
      <c r="F237" s="402"/>
      <c r="G237" s="402"/>
      <c r="H237" s="402"/>
      <c r="I237" s="402"/>
      <c r="J237" s="402"/>
      <c r="K237" s="402"/>
      <c r="L237" s="402"/>
      <c r="M237" s="402"/>
      <c r="N237" s="402"/>
      <c r="O237" s="402"/>
      <c r="P237" s="402"/>
      <c r="Q237" s="402"/>
      <c r="R237" s="402"/>
      <c r="S237" s="402"/>
      <c r="T237" s="402"/>
      <c r="U237" s="402"/>
      <c r="V237" s="402"/>
      <c r="W237" s="402"/>
      <c r="X237" s="402"/>
      <c r="Y237" s="402"/>
      <c r="Z237" s="402"/>
      <c r="AA237" s="402"/>
      <c r="AB237" s="402"/>
      <c r="AC237" s="402"/>
      <c r="AD237" s="402"/>
      <c r="AE237" s="402"/>
      <c r="AF237" s="402"/>
      <c r="AG237" s="402"/>
      <c r="AH237" s="402"/>
      <c r="AI237" s="402"/>
      <c r="AJ237" s="402"/>
      <c r="AK237" s="402"/>
      <c r="AL237" s="402"/>
      <c r="AM237" s="402"/>
      <c r="AN237" s="402"/>
      <c r="AO237" s="402"/>
      <c r="AP237" s="402"/>
      <c r="AQ237" s="402"/>
      <c r="AR237" s="402"/>
      <c r="AS237" s="402"/>
      <c r="AT237" s="402"/>
      <c r="AU237" s="402"/>
      <c r="AV237" s="402"/>
      <c r="AW237" s="402"/>
      <c r="AX237" s="402"/>
      <c r="AY237" s="402"/>
      <c r="AZ237" s="402"/>
      <c r="BA237" s="402"/>
      <c r="BB237" s="402"/>
      <c r="BC237" s="402"/>
      <c r="BD237" s="402"/>
      <c r="BE237" s="402"/>
      <c r="BF237" s="402"/>
      <c r="BG237" s="402"/>
      <c r="BH237" s="402"/>
      <c r="BI237" s="402"/>
      <c r="BJ237" s="402"/>
      <c r="BK237" s="402"/>
      <c r="BL237" s="402"/>
      <c r="BM237" s="402"/>
      <c r="BN237" s="402"/>
      <c r="BO237" s="402"/>
      <c r="BP237" s="402"/>
      <c r="BQ237" s="402"/>
      <c r="BR237" s="402"/>
      <c r="BS237" s="402"/>
      <c r="BT237" s="418"/>
      <c r="BU237" s="418"/>
      <c r="BV237" s="418"/>
      <c r="BW237" s="418"/>
      <c r="BX237" s="418"/>
      <c r="BY237" s="418"/>
      <c r="BZ237" s="418"/>
      <c r="CA237" s="418"/>
      <c r="CB237" s="418"/>
      <c r="CC237" s="418"/>
      <c r="CD237" s="402"/>
      <c r="CE237" s="402"/>
      <c r="CF237" s="402"/>
    </row>
    <row r="238" spans="1:88" s="400" customFormat="1" ht="23.1" customHeight="1">
      <c r="E238" s="400" t="s">
        <v>744</v>
      </c>
    </row>
    <row r="239" spans="1:88" s="400" customFormat="1" ht="9.9499999999999993" customHeight="1">
      <c r="AR239" s="414"/>
      <c r="AS239" s="414"/>
      <c r="AT239" s="414"/>
      <c r="AU239" s="414"/>
      <c r="AV239" s="414"/>
      <c r="AW239" s="414"/>
      <c r="AX239" s="414"/>
      <c r="AY239" s="414"/>
      <c r="AZ239" s="414"/>
      <c r="BA239" s="414"/>
      <c r="BB239" s="414"/>
      <c r="BT239" s="414"/>
      <c r="BU239" s="414"/>
      <c r="BV239" s="414"/>
      <c r="BW239" s="414"/>
      <c r="BX239" s="414"/>
      <c r="BY239" s="414"/>
      <c r="BZ239" s="414"/>
      <c r="CA239" s="414"/>
      <c r="CB239" s="414"/>
      <c r="CC239" s="414"/>
    </row>
    <row r="240" spans="1:88" s="400" customFormat="1" ht="23.1" customHeight="1" thickBot="1">
      <c r="BT240" s="410"/>
      <c r="BU240" s="1645" t="s">
        <v>360</v>
      </c>
      <c r="BV240" s="1645"/>
      <c r="BW240" s="1645"/>
      <c r="BX240" s="1645"/>
      <c r="BY240" s="1645"/>
      <c r="BZ240" s="1645"/>
      <c r="CA240" s="1645"/>
      <c r="CB240" s="1645"/>
      <c r="CC240" s="1645"/>
      <c r="CD240" s="1645"/>
      <c r="CE240" s="1645"/>
      <c r="CF240" s="1645"/>
    </row>
    <row r="241" spans="1:88" s="400" customFormat="1" ht="23.1" customHeight="1">
      <c r="E241" s="1831" t="s">
        <v>368</v>
      </c>
      <c r="F241" s="1800"/>
      <c r="G241" s="1800"/>
      <c r="H241" s="1800"/>
      <c r="I241" s="1800"/>
      <c r="J241" s="1800"/>
      <c r="K241" s="1800"/>
      <c r="L241" s="1800"/>
      <c r="M241" s="1800"/>
      <c r="N241" s="1800"/>
      <c r="O241" s="1800"/>
      <c r="P241" s="1800"/>
      <c r="Q241" s="1800"/>
      <c r="R241" s="1800"/>
      <c r="S241" s="1800"/>
      <c r="T241" s="1800" t="s">
        <v>370</v>
      </c>
      <c r="U241" s="1800"/>
      <c r="V241" s="1800"/>
      <c r="W241" s="1800"/>
      <c r="X241" s="1800"/>
      <c r="Y241" s="1800" t="s">
        <v>413</v>
      </c>
      <c r="Z241" s="1800"/>
      <c r="AA241" s="1800"/>
      <c r="AB241" s="1800"/>
      <c r="AC241" s="1800"/>
      <c r="AD241" s="1800"/>
      <c r="AE241" s="1800"/>
      <c r="AF241" s="1800"/>
      <c r="AG241" s="1837" t="s">
        <v>469</v>
      </c>
      <c r="AH241" s="1838"/>
      <c r="AI241" s="1838"/>
      <c r="AJ241" s="1838"/>
      <c r="AK241" s="1838"/>
      <c r="AL241" s="1838"/>
      <c r="AM241" s="1838"/>
      <c r="AN241" s="1838"/>
      <c r="AO241" s="1838"/>
      <c r="AP241" s="1838"/>
      <c r="AQ241" s="1838"/>
      <c r="AR241" s="1838"/>
      <c r="AS241" s="1838"/>
      <c r="AT241" s="1838"/>
      <c r="AU241" s="1838"/>
      <c r="AV241" s="1838"/>
      <c r="AW241" s="1838"/>
      <c r="AX241" s="1838"/>
      <c r="AY241" s="1838"/>
      <c r="AZ241" s="1838"/>
      <c r="BA241" s="1838"/>
      <c r="BB241" s="1838"/>
      <c r="BC241" s="1838"/>
      <c r="BD241" s="1838"/>
      <c r="BE241" s="1838"/>
      <c r="BF241" s="1839"/>
      <c r="BG241" s="1837" t="s">
        <v>470</v>
      </c>
      <c r="BH241" s="1838"/>
      <c r="BI241" s="1838"/>
      <c r="BJ241" s="1838"/>
      <c r="BK241" s="1838"/>
      <c r="BL241" s="1838"/>
      <c r="BM241" s="1838"/>
      <c r="BN241" s="1838"/>
      <c r="BO241" s="1838"/>
      <c r="BP241" s="1838"/>
      <c r="BQ241" s="1838"/>
      <c r="BR241" s="1838"/>
      <c r="BS241" s="1838"/>
      <c r="BT241" s="1838"/>
      <c r="BU241" s="1838"/>
      <c r="BV241" s="1838"/>
      <c r="BW241" s="1838"/>
      <c r="BX241" s="1838"/>
      <c r="BY241" s="1838"/>
      <c r="BZ241" s="1838"/>
      <c r="CA241" s="1838"/>
      <c r="CB241" s="1838"/>
      <c r="CC241" s="1838"/>
      <c r="CD241" s="1838"/>
      <c r="CE241" s="1838"/>
      <c r="CF241" s="1840"/>
    </row>
    <row r="242" spans="1:88" s="400" customFormat="1" ht="23.1" customHeight="1" thickBot="1">
      <c r="D242" s="403"/>
      <c r="E242" s="1832"/>
      <c r="F242" s="1786"/>
      <c r="G242" s="1786"/>
      <c r="H242" s="1786"/>
      <c r="I242" s="1786"/>
      <c r="J242" s="1786"/>
      <c r="K242" s="1786"/>
      <c r="L242" s="1786"/>
      <c r="M242" s="1786"/>
      <c r="N242" s="1786"/>
      <c r="O242" s="1786"/>
      <c r="P242" s="1786"/>
      <c r="Q242" s="1786"/>
      <c r="R242" s="1786"/>
      <c r="S242" s="1786"/>
      <c r="T242" s="1786"/>
      <c r="U242" s="1786"/>
      <c r="V242" s="1786"/>
      <c r="W242" s="1786"/>
      <c r="X242" s="1786"/>
      <c r="Y242" s="1786"/>
      <c r="Z242" s="1786"/>
      <c r="AA242" s="1786"/>
      <c r="AB242" s="1786"/>
      <c r="AC242" s="1786"/>
      <c r="AD242" s="1786"/>
      <c r="AE242" s="1786"/>
      <c r="AF242" s="1786"/>
      <c r="AG242" s="1841" t="s">
        <v>428</v>
      </c>
      <c r="AH242" s="1842"/>
      <c r="AI242" s="1842"/>
      <c r="AJ242" s="1842"/>
      <c r="AK242" s="1842"/>
      <c r="AL242" s="1842"/>
      <c r="AM242" s="1842"/>
      <c r="AN242" s="1842"/>
      <c r="AO242" s="1842"/>
      <c r="AP242" s="1843"/>
      <c r="AQ242" s="1841" t="s">
        <v>472</v>
      </c>
      <c r="AR242" s="1842"/>
      <c r="AS242" s="1842"/>
      <c r="AT242" s="1842"/>
      <c r="AU242" s="1842"/>
      <c r="AV242" s="1842"/>
      <c r="AW242" s="1842"/>
      <c r="AX242" s="1842"/>
      <c r="AY242" s="1842"/>
      <c r="AZ242" s="1842"/>
      <c r="BA242" s="1842"/>
      <c r="BB242" s="1842"/>
      <c r="BC242" s="1842"/>
      <c r="BD242" s="1842"/>
      <c r="BE242" s="1842"/>
      <c r="BF242" s="1843"/>
      <c r="BG242" s="1841" t="s">
        <v>428</v>
      </c>
      <c r="BH242" s="1842"/>
      <c r="BI242" s="1842"/>
      <c r="BJ242" s="1842"/>
      <c r="BK242" s="1842"/>
      <c r="BL242" s="1842"/>
      <c r="BM242" s="1842"/>
      <c r="BN242" s="1842"/>
      <c r="BO242" s="1842"/>
      <c r="BP242" s="1843"/>
      <c r="BQ242" s="1841" t="s">
        <v>472</v>
      </c>
      <c r="BR242" s="1842"/>
      <c r="BS242" s="1842"/>
      <c r="BT242" s="1842"/>
      <c r="BU242" s="1842"/>
      <c r="BV242" s="1842"/>
      <c r="BW242" s="1842"/>
      <c r="BX242" s="1842"/>
      <c r="BY242" s="1842"/>
      <c r="BZ242" s="1842"/>
      <c r="CA242" s="1842"/>
      <c r="CB242" s="1842"/>
      <c r="CC242" s="1842"/>
      <c r="CD242" s="1842"/>
      <c r="CE242" s="1842"/>
      <c r="CF242" s="1844"/>
    </row>
    <row r="243" spans="1:88" s="400" customFormat="1" ht="23.1" customHeight="1" thickTop="1">
      <c r="E243" s="1952" t="s">
        <v>416</v>
      </c>
      <c r="F243" s="1953"/>
      <c r="G243" s="1953"/>
      <c r="H243" s="1953"/>
      <c r="I243" s="1834" t="s">
        <v>417</v>
      </c>
      <c r="J243" s="1834"/>
      <c r="K243" s="1834"/>
      <c r="L243" s="1834"/>
      <c r="M243" s="1834"/>
      <c r="N243" s="1834"/>
      <c r="O243" s="1834"/>
      <c r="P243" s="1834"/>
      <c r="Q243" s="1834"/>
      <c r="R243" s="1834"/>
      <c r="S243" s="1834"/>
      <c r="T243" s="1881" t="s">
        <v>418</v>
      </c>
      <c r="U243" s="1881"/>
      <c r="V243" s="1881"/>
      <c r="W243" s="1881"/>
      <c r="X243" s="1881"/>
      <c r="Y243" s="1962" t="e">
        <f>#REF!</f>
        <v>#REF!</v>
      </c>
      <c r="Z243" s="1881"/>
      <c r="AA243" s="1881"/>
      <c r="AB243" s="1881"/>
      <c r="AC243" s="1881"/>
      <c r="AD243" s="1881"/>
      <c r="AE243" s="1881"/>
      <c r="AF243" s="1881"/>
      <c r="AG243" s="1970">
        <v>0.3</v>
      </c>
      <c r="AH243" s="1970"/>
      <c r="AI243" s="1970"/>
      <c r="AJ243" s="1970"/>
      <c r="AK243" s="1970"/>
      <c r="AL243" s="1970"/>
      <c r="AM243" s="1970"/>
      <c r="AN243" s="1970"/>
      <c r="AO243" s="1970"/>
      <c r="AP243" s="1970"/>
      <c r="AQ243" s="1638" t="e">
        <f>INT(Y243*AG243)</f>
        <v>#REF!</v>
      </c>
      <c r="AR243" s="1638"/>
      <c r="AS243" s="1638"/>
      <c r="AT243" s="1638"/>
      <c r="AU243" s="1638"/>
      <c r="AV243" s="1638"/>
      <c r="AW243" s="1638"/>
      <c r="AX243" s="1638"/>
      <c r="AY243" s="1638"/>
      <c r="AZ243" s="1638"/>
      <c r="BA243" s="1638"/>
      <c r="BB243" s="1638"/>
      <c r="BC243" s="1638"/>
      <c r="BD243" s="1638"/>
      <c r="BE243" s="1638"/>
      <c r="BF243" s="1638"/>
      <c r="BG243" s="1970">
        <v>0.48</v>
      </c>
      <c r="BH243" s="1970"/>
      <c r="BI243" s="1970"/>
      <c r="BJ243" s="1970"/>
      <c r="BK243" s="1970"/>
      <c r="BL243" s="1970"/>
      <c r="BM243" s="1970"/>
      <c r="BN243" s="1970"/>
      <c r="BO243" s="1970"/>
      <c r="BP243" s="1970"/>
      <c r="BQ243" s="1638" t="e">
        <f>INT(Y243*BG243)</f>
        <v>#REF!</v>
      </c>
      <c r="BR243" s="1638"/>
      <c r="BS243" s="1638"/>
      <c r="BT243" s="1638"/>
      <c r="BU243" s="1638"/>
      <c r="BV243" s="1638"/>
      <c r="BW243" s="1638"/>
      <c r="BX243" s="1638"/>
      <c r="BY243" s="1638"/>
      <c r="BZ243" s="1638"/>
      <c r="CA243" s="1638"/>
      <c r="CB243" s="1638"/>
      <c r="CC243" s="1638"/>
      <c r="CD243" s="1638"/>
      <c r="CE243" s="1638"/>
      <c r="CF243" s="1639"/>
    </row>
    <row r="244" spans="1:88" s="400" customFormat="1" ht="23.1" customHeight="1">
      <c r="E244" s="1870"/>
      <c r="F244" s="1871"/>
      <c r="G244" s="1871"/>
      <c r="H244" s="1871"/>
      <c r="I244" s="1829" t="s">
        <v>419</v>
      </c>
      <c r="J244" s="1829"/>
      <c r="K244" s="1829"/>
      <c r="L244" s="1829"/>
      <c r="M244" s="1829"/>
      <c r="N244" s="1829"/>
      <c r="O244" s="1829"/>
      <c r="P244" s="1829"/>
      <c r="Q244" s="1829"/>
      <c r="R244" s="1829"/>
      <c r="S244" s="1829"/>
      <c r="T244" s="1873"/>
      <c r="U244" s="1873"/>
      <c r="V244" s="1873"/>
      <c r="W244" s="1873"/>
      <c r="X244" s="1873"/>
      <c r="Y244" s="1814"/>
      <c r="Z244" s="1814"/>
      <c r="AA244" s="1814"/>
      <c r="AB244" s="1814"/>
      <c r="AC244" s="1814"/>
      <c r="AD244" s="1814"/>
      <c r="AE244" s="1814"/>
      <c r="AF244" s="1814"/>
      <c r="AG244" s="1797"/>
      <c r="AH244" s="1797"/>
      <c r="AI244" s="1797"/>
      <c r="AJ244" s="1797"/>
      <c r="AK244" s="1797"/>
      <c r="AL244" s="1797"/>
      <c r="AM244" s="1797"/>
      <c r="AN244" s="1797"/>
      <c r="AO244" s="1797"/>
      <c r="AP244" s="1797"/>
      <c r="AQ244" s="1879" t="e">
        <f>SUM(AQ243)</f>
        <v>#REF!</v>
      </c>
      <c r="AR244" s="1879"/>
      <c r="AS244" s="1879"/>
      <c r="AT244" s="1879"/>
      <c r="AU244" s="1879"/>
      <c r="AV244" s="1879"/>
      <c r="AW244" s="1879"/>
      <c r="AX244" s="1879"/>
      <c r="AY244" s="1879"/>
      <c r="AZ244" s="1879"/>
      <c r="BA244" s="1879"/>
      <c r="BB244" s="1879"/>
      <c r="BC244" s="1879"/>
      <c r="BD244" s="1879"/>
      <c r="BE244" s="1879"/>
      <c r="BF244" s="1879"/>
      <c r="BG244" s="1797"/>
      <c r="BH244" s="1797"/>
      <c r="BI244" s="1797"/>
      <c r="BJ244" s="1797"/>
      <c r="BK244" s="1797"/>
      <c r="BL244" s="1797"/>
      <c r="BM244" s="1797"/>
      <c r="BN244" s="1797"/>
      <c r="BO244" s="1797"/>
      <c r="BP244" s="1797"/>
      <c r="BQ244" s="1879" t="e">
        <f>SUM(BQ243)</f>
        <v>#REF!</v>
      </c>
      <c r="BR244" s="1879"/>
      <c r="BS244" s="1879"/>
      <c r="BT244" s="1879"/>
      <c r="BU244" s="1879"/>
      <c r="BV244" s="1879"/>
      <c r="BW244" s="1879"/>
      <c r="BX244" s="1879"/>
      <c r="BY244" s="1879"/>
      <c r="BZ244" s="1879"/>
      <c r="CA244" s="1879"/>
      <c r="CB244" s="1879"/>
      <c r="CC244" s="1879"/>
      <c r="CD244" s="1879"/>
      <c r="CE244" s="1879"/>
      <c r="CF244" s="1880"/>
    </row>
    <row r="245" spans="1:88" s="400" customFormat="1" ht="23.1" customHeight="1">
      <c r="E245" s="1870" t="s">
        <v>420</v>
      </c>
      <c r="F245" s="1871"/>
      <c r="G245" s="1871"/>
      <c r="H245" s="1871"/>
      <c r="I245" s="1829" t="s">
        <v>421</v>
      </c>
      <c r="J245" s="1829"/>
      <c r="K245" s="1829"/>
      <c r="L245" s="1829"/>
      <c r="M245" s="1829"/>
      <c r="N245" s="1829"/>
      <c r="O245" s="1829"/>
      <c r="P245" s="1829"/>
      <c r="Q245" s="1829"/>
      <c r="R245" s="1829"/>
      <c r="S245" s="1829"/>
      <c r="T245" s="1873" t="s">
        <v>366</v>
      </c>
      <c r="U245" s="1873"/>
      <c r="V245" s="1873"/>
      <c r="W245" s="1873"/>
      <c r="X245" s="1873"/>
      <c r="Y245" s="1954">
        <f>[53]노임단가!$T$18</f>
        <v>222306</v>
      </c>
      <c r="Z245" s="1873"/>
      <c r="AA245" s="1873"/>
      <c r="AB245" s="1873"/>
      <c r="AC245" s="1873"/>
      <c r="AD245" s="1873"/>
      <c r="AE245" s="1873"/>
      <c r="AF245" s="1873"/>
      <c r="AG245" s="1797">
        <v>0.33</v>
      </c>
      <c r="AH245" s="1797"/>
      <c r="AI245" s="1797"/>
      <c r="AJ245" s="1797"/>
      <c r="AK245" s="1797"/>
      <c r="AL245" s="1797"/>
      <c r="AM245" s="1797"/>
      <c r="AN245" s="1797"/>
      <c r="AO245" s="1797"/>
      <c r="AP245" s="1797"/>
      <c r="AQ245" s="1617">
        <f>INT(Y245*AG245)</f>
        <v>73360</v>
      </c>
      <c r="AR245" s="1617"/>
      <c r="AS245" s="1617"/>
      <c r="AT245" s="1617"/>
      <c r="AU245" s="1617"/>
      <c r="AV245" s="1617"/>
      <c r="AW245" s="1617"/>
      <c r="AX245" s="1617"/>
      <c r="AY245" s="1617"/>
      <c r="AZ245" s="1617"/>
      <c r="BA245" s="1617"/>
      <c r="BB245" s="1617"/>
      <c r="BC245" s="1617"/>
      <c r="BD245" s="1617"/>
      <c r="BE245" s="1617"/>
      <c r="BF245" s="1617"/>
      <c r="BG245" s="1797">
        <v>0.41</v>
      </c>
      <c r="BH245" s="1797"/>
      <c r="BI245" s="1797"/>
      <c r="BJ245" s="1797"/>
      <c r="BK245" s="1797"/>
      <c r="BL245" s="1797"/>
      <c r="BM245" s="1797"/>
      <c r="BN245" s="1797"/>
      <c r="BO245" s="1797"/>
      <c r="BP245" s="1797"/>
      <c r="BQ245" s="1617">
        <f>INT(Y245*BG245)</f>
        <v>91145</v>
      </c>
      <c r="BR245" s="1617"/>
      <c r="BS245" s="1617"/>
      <c r="BT245" s="1617"/>
      <c r="BU245" s="1617"/>
      <c r="BV245" s="1617"/>
      <c r="BW245" s="1617"/>
      <c r="BX245" s="1617"/>
      <c r="BY245" s="1617"/>
      <c r="BZ245" s="1617"/>
      <c r="CA245" s="1617"/>
      <c r="CB245" s="1617"/>
      <c r="CC245" s="1617"/>
      <c r="CD245" s="1617"/>
      <c r="CE245" s="1617"/>
      <c r="CF245" s="1626"/>
    </row>
    <row r="246" spans="1:88" s="400" customFormat="1" ht="23.1" customHeight="1">
      <c r="E246" s="1870"/>
      <c r="F246" s="1871"/>
      <c r="G246" s="1871"/>
      <c r="H246" s="1871"/>
      <c r="I246" s="1829" t="s">
        <v>248</v>
      </c>
      <c r="J246" s="1829"/>
      <c r="K246" s="1829"/>
      <c r="L246" s="1829"/>
      <c r="M246" s="1829"/>
      <c r="N246" s="1829"/>
      <c r="O246" s="1829"/>
      <c r="P246" s="1829"/>
      <c r="Q246" s="1829"/>
      <c r="R246" s="1829"/>
      <c r="S246" s="1829"/>
      <c r="T246" s="1873" t="s">
        <v>366</v>
      </c>
      <c r="U246" s="1873"/>
      <c r="V246" s="1873"/>
      <c r="W246" s="1873"/>
      <c r="X246" s="1873"/>
      <c r="Y246" s="1954">
        <f>[53]노임단가!$T$5</f>
        <v>172068</v>
      </c>
      <c r="Z246" s="1873"/>
      <c r="AA246" s="1873"/>
      <c r="AB246" s="1873"/>
      <c r="AC246" s="1873"/>
      <c r="AD246" s="1873"/>
      <c r="AE246" s="1873"/>
      <c r="AF246" s="1873"/>
      <c r="AG246" s="1797">
        <v>0.16</v>
      </c>
      <c r="AH246" s="1797"/>
      <c r="AI246" s="1797"/>
      <c r="AJ246" s="1797"/>
      <c r="AK246" s="1797"/>
      <c r="AL246" s="1797"/>
      <c r="AM246" s="1797"/>
      <c r="AN246" s="1797"/>
      <c r="AO246" s="1797"/>
      <c r="AP246" s="1797"/>
      <c r="AQ246" s="1617">
        <f>INT(Y246*AG246)</f>
        <v>27530</v>
      </c>
      <c r="AR246" s="1617"/>
      <c r="AS246" s="1617"/>
      <c r="AT246" s="1617"/>
      <c r="AU246" s="1617"/>
      <c r="AV246" s="1617"/>
      <c r="AW246" s="1617"/>
      <c r="AX246" s="1617"/>
      <c r="AY246" s="1617"/>
      <c r="AZ246" s="1617"/>
      <c r="BA246" s="1617"/>
      <c r="BB246" s="1617"/>
      <c r="BC246" s="1617"/>
      <c r="BD246" s="1617"/>
      <c r="BE246" s="1617"/>
      <c r="BF246" s="1617"/>
      <c r="BG246" s="1797">
        <v>0.21</v>
      </c>
      <c r="BH246" s="1797"/>
      <c r="BI246" s="1797"/>
      <c r="BJ246" s="1797"/>
      <c r="BK246" s="1797"/>
      <c r="BL246" s="1797"/>
      <c r="BM246" s="1797"/>
      <c r="BN246" s="1797"/>
      <c r="BO246" s="1797"/>
      <c r="BP246" s="1797"/>
      <c r="BQ246" s="1617">
        <f>INT(Y246*BG246)</f>
        <v>36134</v>
      </c>
      <c r="BR246" s="1617"/>
      <c r="BS246" s="1617"/>
      <c r="BT246" s="1617"/>
      <c r="BU246" s="1617"/>
      <c r="BV246" s="1617"/>
      <c r="BW246" s="1617"/>
      <c r="BX246" s="1617"/>
      <c r="BY246" s="1617"/>
      <c r="BZ246" s="1617"/>
      <c r="CA246" s="1617"/>
      <c r="CB246" s="1617"/>
      <c r="CC246" s="1617"/>
      <c r="CD246" s="1617"/>
      <c r="CE246" s="1617"/>
      <c r="CF246" s="1626"/>
    </row>
    <row r="247" spans="1:88" s="400" customFormat="1" ht="23.1" customHeight="1">
      <c r="E247" s="1870"/>
      <c r="F247" s="1871"/>
      <c r="G247" s="1871"/>
      <c r="H247" s="1871"/>
      <c r="I247" s="1829" t="s">
        <v>417</v>
      </c>
      <c r="J247" s="1829"/>
      <c r="K247" s="1829"/>
      <c r="L247" s="1829"/>
      <c r="M247" s="1829"/>
      <c r="N247" s="1829"/>
      <c r="O247" s="1829"/>
      <c r="P247" s="1829"/>
      <c r="Q247" s="1829"/>
      <c r="R247" s="1829"/>
      <c r="S247" s="1829"/>
      <c r="T247" s="1873" t="s">
        <v>418</v>
      </c>
      <c r="U247" s="1873"/>
      <c r="V247" s="1873"/>
      <c r="W247" s="1873"/>
      <c r="X247" s="1873"/>
      <c r="Y247" s="1954" t="e">
        <f>#REF!</f>
        <v>#REF!</v>
      </c>
      <c r="Z247" s="1954"/>
      <c r="AA247" s="1954"/>
      <c r="AB247" s="1954"/>
      <c r="AC247" s="1954"/>
      <c r="AD247" s="1954"/>
      <c r="AE247" s="1954"/>
      <c r="AF247" s="1954"/>
      <c r="AG247" s="1797">
        <v>0.3</v>
      </c>
      <c r="AH247" s="1797"/>
      <c r="AI247" s="1797"/>
      <c r="AJ247" s="1797"/>
      <c r="AK247" s="1797"/>
      <c r="AL247" s="1797"/>
      <c r="AM247" s="1797"/>
      <c r="AN247" s="1797"/>
      <c r="AO247" s="1797"/>
      <c r="AP247" s="1797"/>
      <c r="AQ247" s="1617" t="e">
        <f>INT(Y247*AG247)</f>
        <v>#REF!</v>
      </c>
      <c r="AR247" s="1617"/>
      <c r="AS247" s="1617"/>
      <c r="AT247" s="1617"/>
      <c r="AU247" s="1617"/>
      <c r="AV247" s="1617"/>
      <c r="AW247" s="1617"/>
      <c r="AX247" s="1617"/>
      <c r="AY247" s="1617"/>
      <c r="AZ247" s="1617"/>
      <c r="BA247" s="1617"/>
      <c r="BB247" s="1617"/>
      <c r="BC247" s="1617"/>
      <c r="BD247" s="1617"/>
      <c r="BE247" s="1617"/>
      <c r="BF247" s="1617"/>
      <c r="BG247" s="1797">
        <v>0.48</v>
      </c>
      <c r="BH247" s="1797"/>
      <c r="BI247" s="1797"/>
      <c r="BJ247" s="1797"/>
      <c r="BK247" s="1797"/>
      <c r="BL247" s="1797"/>
      <c r="BM247" s="1797"/>
      <c r="BN247" s="1797"/>
      <c r="BO247" s="1797"/>
      <c r="BP247" s="1797"/>
      <c r="BQ247" s="1617" t="e">
        <f>INT(Y247*BG247)</f>
        <v>#REF!</v>
      </c>
      <c r="BR247" s="1617"/>
      <c r="BS247" s="1617"/>
      <c r="BT247" s="1617"/>
      <c r="BU247" s="1617"/>
      <c r="BV247" s="1617"/>
      <c r="BW247" s="1617"/>
      <c r="BX247" s="1617"/>
      <c r="BY247" s="1617"/>
      <c r="BZ247" s="1617"/>
      <c r="CA247" s="1617"/>
      <c r="CB247" s="1617"/>
      <c r="CC247" s="1617"/>
      <c r="CD247" s="1617"/>
      <c r="CE247" s="1617"/>
      <c r="CF247" s="1626"/>
    </row>
    <row r="248" spans="1:88" s="400" customFormat="1" ht="23.1" customHeight="1">
      <c r="E248" s="1870"/>
      <c r="F248" s="1871"/>
      <c r="G248" s="1871"/>
      <c r="H248" s="1871"/>
      <c r="I248" s="1829" t="s">
        <v>419</v>
      </c>
      <c r="J248" s="1829"/>
      <c r="K248" s="1829"/>
      <c r="L248" s="1829"/>
      <c r="M248" s="1829"/>
      <c r="N248" s="1829"/>
      <c r="O248" s="1829"/>
      <c r="P248" s="1829"/>
      <c r="Q248" s="1829"/>
      <c r="R248" s="1829"/>
      <c r="S248" s="1829"/>
      <c r="T248" s="1873"/>
      <c r="U248" s="1873"/>
      <c r="V248" s="1873"/>
      <c r="W248" s="1873"/>
      <c r="X248" s="1873"/>
      <c r="Y248" s="1814"/>
      <c r="Z248" s="1814"/>
      <c r="AA248" s="1814"/>
      <c r="AB248" s="1814"/>
      <c r="AC248" s="1814"/>
      <c r="AD248" s="1814"/>
      <c r="AE248" s="1814"/>
      <c r="AF248" s="1814"/>
      <c r="AG248" s="1797"/>
      <c r="AH248" s="1797"/>
      <c r="AI248" s="1797"/>
      <c r="AJ248" s="1797"/>
      <c r="AK248" s="1797"/>
      <c r="AL248" s="1797"/>
      <c r="AM248" s="1797"/>
      <c r="AN248" s="1797"/>
      <c r="AO248" s="1797"/>
      <c r="AP248" s="1797"/>
      <c r="AQ248" s="1617" t="e">
        <f>SUM(AQ245:BF247)</f>
        <v>#REF!</v>
      </c>
      <c r="AR248" s="1617"/>
      <c r="AS248" s="1617"/>
      <c r="AT248" s="1617"/>
      <c r="AU248" s="1617"/>
      <c r="AV248" s="1617"/>
      <c r="AW248" s="1617"/>
      <c r="AX248" s="1617"/>
      <c r="AY248" s="1617"/>
      <c r="AZ248" s="1617"/>
      <c r="BA248" s="1617"/>
      <c r="BB248" s="1617"/>
      <c r="BC248" s="1617"/>
      <c r="BD248" s="1617"/>
      <c r="BE248" s="1617"/>
      <c r="BF248" s="1617"/>
      <c r="BG248" s="1797"/>
      <c r="BH248" s="1797"/>
      <c r="BI248" s="1797"/>
      <c r="BJ248" s="1797"/>
      <c r="BK248" s="1797"/>
      <c r="BL248" s="1797"/>
      <c r="BM248" s="1797"/>
      <c r="BN248" s="1797"/>
      <c r="BO248" s="1797"/>
      <c r="BP248" s="1797"/>
      <c r="BQ248" s="1617" t="e">
        <f>SUM(BQ245:CF247)</f>
        <v>#REF!</v>
      </c>
      <c r="BR248" s="1617"/>
      <c r="BS248" s="1617"/>
      <c r="BT248" s="1617"/>
      <c r="BU248" s="1617"/>
      <c r="BV248" s="1617"/>
      <c r="BW248" s="1617"/>
      <c r="BX248" s="1617"/>
      <c r="BY248" s="1617"/>
      <c r="BZ248" s="1617"/>
      <c r="CA248" s="1617"/>
      <c r="CB248" s="1617"/>
      <c r="CC248" s="1617"/>
      <c r="CD248" s="1617"/>
      <c r="CE248" s="1617"/>
      <c r="CF248" s="1626"/>
    </row>
    <row r="249" spans="1:88" s="400" customFormat="1" ht="23.1" customHeight="1">
      <c r="E249" s="1870" t="s">
        <v>422</v>
      </c>
      <c r="F249" s="1829"/>
      <c r="G249" s="1829"/>
      <c r="H249" s="1829"/>
      <c r="I249" s="1829" t="s">
        <v>417</v>
      </c>
      <c r="J249" s="1829"/>
      <c r="K249" s="1829"/>
      <c r="L249" s="1829"/>
      <c r="M249" s="1829"/>
      <c r="N249" s="1829"/>
      <c r="O249" s="1829"/>
      <c r="P249" s="1829"/>
      <c r="Q249" s="1829"/>
      <c r="R249" s="1829"/>
      <c r="S249" s="1829"/>
      <c r="T249" s="1873" t="s">
        <v>418</v>
      </c>
      <c r="U249" s="1873"/>
      <c r="V249" s="1873"/>
      <c r="W249" s="1873"/>
      <c r="X249" s="1873"/>
      <c r="Y249" s="1954" t="e">
        <f>#REF!</f>
        <v>#REF!</v>
      </c>
      <c r="Z249" s="1873"/>
      <c r="AA249" s="1873"/>
      <c r="AB249" s="1873"/>
      <c r="AC249" s="1873"/>
      <c r="AD249" s="1873"/>
      <c r="AE249" s="1873"/>
      <c r="AF249" s="1873"/>
      <c r="AG249" s="1797">
        <v>0.3</v>
      </c>
      <c r="AH249" s="1797"/>
      <c r="AI249" s="1797"/>
      <c r="AJ249" s="1797"/>
      <c r="AK249" s="1797"/>
      <c r="AL249" s="1797"/>
      <c r="AM249" s="1797"/>
      <c r="AN249" s="1797"/>
      <c r="AO249" s="1797"/>
      <c r="AP249" s="1797"/>
      <c r="AQ249" s="1617" t="e">
        <f>INT(Y249*AG249)</f>
        <v>#REF!</v>
      </c>
      <c r="AR249" s="1617"/>
      <c r="AS249" s="1617"/>
      <c r="AT249" s="1617"/>
      <c r="AU249" s="1617"/>
      <c r="AV249" s="1617"/>
      <c r="AW249" s="1617"/>
      <c r="AX249" s="1617"/>
      <c r="AY249" s="1617"/>
      <c r="AZ249" s="1617"/>
      <c r="BA249" s="1617"/>
      <c r="BB249" s="1617"/>
      <c r="BC249" s="1617"/>
      <c r="BD249" s="1617"/>
      <c r="BE249" s="1617"/>
      <c r="BF249" s="1617"/>
      <c r="BG249" s="1797">
        <v>0.48</v>
      </c>
      <c r="BH249" s="1797"/>
      <c r="BI249" s="1797"/>
      <c r="BJ249" s="1797"/>
      <c r="BK249" s="1797"/>
      <c r="BL249" s="1797"/>
      <c r="BM249" s="1797"/>
      <c r="BN249" s="1797"/>
      <c r="BO249" s="1797"/>
      <c r="BP249" s="1797"/>
      <c r="BQ249" s="1617" t="e">
        <f>INT(Y249*BG249)</f>
        <v>#REF!</v>
      </c>
      <c r="BR249" s="1617"/>
      <c r="BS249" s="1617"/>
      <c r="BT249" s="1617"/>
      <c r="BU249" s="1617"/>
      <c r="BV249" s="1617"/>
      <c r="BW249" s="1617"/>
      <c r="BX249" s="1617"/>
      <c r="BY249" s="1617"/>
      <c r="BZ249" s="1617"/>
      <c r="CA249" s="1617"/>
      <c r="CB249" s="1617"/>
      <c r="CC249" s="1617"/>
      <c r="CD249" s="1617"/>
      <c r="CE249" s="1617"/>
      <c r="CF249" s="1626"/>
    </row>
    <row r="250" spans="1:88" s="400" customFormat="1" ht="23.1" customHeight="1">
      <c r="E250" s="1828"/>
      <c r="F250" s="1829"/>
      <c r="G250" s="1829"/>
      <c r="H250" s="1829"/>
      <c r="I250" s="1942" t="s">
        <v>731</v>
      </c>
      <c r="J250" s="1943"/>
      <c r="K250" s="1943"/>
      <c r="L250" s="1943"/>
      <c r="M250" s="1943"/>
      <c r="N250" s="1943"/>
      <c r="O250" s="1943"/>
      <c r="P250" s="1943"/>
      <c r="Q250" s="1943"/>
      <c r="R250" s="1943"/>
      <c r="S250" s="1944"/>
      <c r="T250" s="1873" t="s">
        <v>418</v>
      </c>
      <c r="U250" s="1873"/>
      <c r="V250" s="1873"/>
      <c r="W250" s="1873"/>
      <c r="X250" s="1873"/>
      <c r="Y250" s="1954" t="e">
        <f>#REF!</f>
        <v>#REF!</v>
      </c>
      <c r="Z250" s="1873"/>
      <c r="AA250" s="1873"/>
      <c r="AB250" s="1873"/>
      <c r="AC250" s="1873"/>
      <c r="AD250" s="1873"/>
      <c r="AE250" s="1873"/>
      <c r="AF250" s="1873"/>
      <c r="AG250" s="1797">
        <v>1.26</v>
      </c>
      <c r="AH250" s="1797"/>
      <c r="AI250" s="1797"/>
      <c r="AJ250" s="1797"/>
      <c r="AK250" s="1797"/>
      <c r="AL250" s="1797"/>
      <c r="AM250" s="1797"/>
      <c r="AN250" s="1797"/>
      <c r="AO250" s="1797"/>
      <c r="AP250" s="1797"/>
      <c r="AQ250" s="1617" t="e">
        <f>INT(Y250*AG250)</f>
        <v>#REF!</v>
      </c>
      <c r="AR250" s="1617"/>
      <c r="AS250" s="1617"/>
      <c r="AT250" s="1617"/>
      <c r="AU250" s="1617"/>
      <c r="AV250" s="1617"/>
      <c r="AW250" s="1617"/>
      <c r="AX250" s="1617"/>
      <c r="AY250" s="1617"/>
      <c r="AZ250" s="1617"/>
      <c r="BA250" s="1617"/>
      <c r="BB250" s="1617"/>
      <c r="BC250" s="1617"/>
      <c r="BD250" s="1617"/>
      <c r="BE250" s="1617"/>
      <c r="BF250" s="1617"/>
      <c r="BG250" s="1797">
        <v>1.68</v>
      </c>
      <c r="BH250" s="1797"/>
      <c r="BI250" s="1797"/>
      <c r="BJ250" s="1797"/>
      <c r="BK250" s="1797"/>
      <c r="BL250" s="1797"/>
      <c r="BM250" s="1797"/>
      <c r="BN250" s="1797"/>
      <c r="BO250" s="1797"/>
      <c r="BP250" s="1797"/>
      <c r="BQ250" s="1617" t="e">
        <f>INT(Y250*BG250)</f>
        <v>#REF!</v>
      </c>
      <c r="BR250" s="1617"/>
      <c r="BS250" s="1617"/>
      <c r="BT250" s="1617"/>
      <c r="BU250" s="1617"/>
      <c r="BV250" s="1617"/>
      <c r="BW250" s="1617"/>
      <c r="BX250" s="1617"/>
      <c r="BY250" s="1617"/>
      <c r="BZ250" s="1617"/>
      <c r="CA250" s="1617"/>
      <c r="CB250" s="1617"/>
      <c r="CC250" s="1617"/>
      <c r="CD250" s="1617"/>
      <c r="CE250" s="1617"/>
      <c r="CF250" s="1626"/>
    </row>
    <row r="251" spans="1:88" s="400" customFormat="1" ht="23.1" customHeight="1">
      <c r="E251" s="1828"/>
      <c r="F251" s="1829"/>
      <c r="G251" s="1829"/>
      <c r="H251" s="1829"/>
      <c r="I251" s="1829" t="s">
        <v>419</v>
      </c>
      <c r="J251" s="1829"/>
      <c r="K251" s="1829"/>
      <c r="L251" s="1829"/>
      <c r="M251" s="1829"/>
      <c r="N251" s="1829"/>
      <c r="O251" s="1829"/>
      <c r="P251" s="1829"/>
      <c r="Q251" s="1829"/>
      <c r="R251" s="1829"/>
      <c r="S251" s="1829"/>
      <c r="T251" s="1873"/>
      <c r="U251" s="1873"/>
      <c r="V251" s="1873"/>
      <c r="W251" s="1873"/>
      <c r="X251" s="1873"/>
      <c r="Y251" s="1814"/>
      <c r="Z251" s="1814"/>
      <c r="AA251" s="1814"/>
      <c r="AB251" s="1814"/>
      <c r="AC251" s="1814"/>
      <c r="AD251" s="1814"/>
      <c r="AE251" s="1814"/>
      <c r="AF251" s="1814"/>
      <c r="AG251" s="1797"/>
      <c r="AH251" s="1797"/>
      <c r="AI251" s="1797"/>
      <c r="AJ251" s="1797"/>
      <c r="AK251" s="1797"/>
      <c r="AL251" s="1797"/>
      <c r="AM251" s="1797"/>
      <c r="AN251" s="1797"/>
      <c r="AO251" s="1797"/>
      <c r="AP251" s="1797"/>
      <c r="AQ251" s="1879" t="e">
        <f>SUM(AQ249:BF250)</f>
        <v>#REF!</v>
      </c>
      <c r="AR251" s="1879"/>
      <c r="AS251" s="1879"/>
      <c r="AT251" s="1879"/>
      <c r="AU251" s="1879"/>
      <c r="AV251" s="1879"/>
      <c r="AW251" s="1879"/>
      <c r="AX251" s="1879"/>
      <c r="AY251" s="1879"/>
      <c r="AZ251" s="1879"/>
      <c r="BA251" s="1879"/>
      <c r="BB251" s="1879"/>
      <c r="BC251" s="1879"/>
      <c r="BD251" s="1879"/>
      <c r="BE251" s="1879"/>
      <c r="BF251" s="1879"/>
      <c r="BG251" s="1797"/>
      <c r="BH251" s="1797"/>
      <c r="BI251" s="1797"/>
      <c r="BJ251" s="1797"/>
      <c r="BK251" s="1797"/>
      <c r="BL251" s="1797"/>
      <c r="BM251" s="1797"/>
      <c r="BN251" s="1797"/>
      <c r="BO251" s="1797"/>
      <c r="BP251" s="1797"/>
      <c r="BQ251" s="1879" t="e">
        <f>SUM(BQ249:CF250)</f>
        <v>#REF!</v>
      </c>
      <c r="BR251" s="1879"/>
      <c r="BS251" s="1879"/>
      <c r="BT251" s="1879"/>
      <c r="BU251" s="1879"/>
      <c r="BV251" s="1879"/>
      <c r="BW251" s="1879"/>
      <c r="BX251" s="1879"/>
      <c r="BY251" s="1879"/>
      <c r="BZ251" s="1879"/>
      <c r="CA251" s="1879"/>
      <c r="CB251" s="1879"/>
      <c r="CC251" s="1879"/>
      <c r="CD251" s="1879"/>
      <c r="CE251" s="1879"/>
      <c r="CF251" s="1880"/>
    </row>
    <row r="252" spans="1:88" s="400" customFormat="1" ht="23.1" customHeight="1" thickBot="1">
      <c r="E252" s="1919" t="s">
        <v>419</v>
      </c>
      <c r="F252" s="1855"/>
      <c r="G252" s="1855"/>
      <c r="H252" s="1855"/>
      <c r="I252" s="1855"/>
      <c r="J252" s="1855"/>
      <c r="K252" s="1855"/>
      <c r="L252" s="1855"/>
      <c r="M252" s="1855"/>
      <c r="N252" s="1855"/>
      <c r="O252" s="1855"/>
      <c r="P252" s="1855"/>
      <c r="Q252" s="1855"/>
      <c r="R252" s="1855"/>
      <c r="S252" s="1855"/>
      <c r="T252" s="1861"/>
      <c r="U252" s="1861"/>
      <c r="V252" s="1861"/>
      <c r="W252" s="1861"/>
      <c r="X252" s="1861"/>
      <c r="Y252" s="1937"/>
      <c r="Z252" s="1861"/>
      <c r="AA252" s="1861"/>
      <c r="AB252" s="1861"/>
      <c r="AC252" s="1861"/>
      <c r="AD252" s="1861"/>
      <c r="AE252" s="1861"/>
      <c r="AF252" s="1861"/>
      <c r="AG252" s="1783"/>
      <c r="AH252" s="1783"/>
      <c r="AI252" s="1783"/>
      <c r="AJ252" s="1783"/>
      <c r="AK252" s="1783"/>
      <c r="AL252" s="1783"/>
      <c r="AM252" s="1783"/>
      <c r="AN252" s="1783"/>
      <c r="AO252" s="1783"/>
      <c r="AP252" s="1783"/>
      <c r="AQ252" s="1845" t="e">
        <f>AQ244+AQ248+AQ251</f>
        <v>#REF!</v>
      </c>
      <c r="AR252" s="1845"/>
      <c r="AS252" s="1845"/>
      <c r="AT252" s="1845"/>
      <c r="AU252" s="1845"/>
      <c r="AV252" s="1845"/>
      <c r="AW252" s="1845"/>
      <c r="AX252" s="1845"/>
      <c r="AY252" s="1845"/>
      <c r="AZ252" s="1845"/>
      <c r="BA252" s="1845"/>
      <c r="BB252" s="1845"/>
      <c r="BC252" s="1845"/>
      <c r="BD252" s="1845"/>
      <c r="BE252" s="1845"/>
      <c r="BF252" s="1845"/>
      <c r="BG252" s="1783"/>
      <c r="BH252" s="1783"/>
      <c r="BI252" s="1783"/>
      <c r="BJ252" s="1783"/>
      <c r="BK252" s="1783"/>
      <c r="BL252" s="1783"/>
      <c r="BM252" s="1783"/>
      <c r="BN252" s="1783"/>
      <c r="BO252" s="1783"/>
      <c r="BP252" s="1783"/>
      <c r="BQ252" s="1845" t="e">
        <f>BQ244+BQ248+BQ251</f>
        <v>#REF!</v>
      </c>
      <c r="BR252" s="1845"/>
      <c r="BS252" s="1845"/>
      <c r="BT252" s="1845"/>
      <c r="BU252" s="1845"/>
      <c r="BV252" s="1845"/>
      <c r="BW252" s="1845"/>
      <c r="BX252" s="1845"/>
      <c r="BY252" s="1845"/>
      <c r="BZ252" s="1845"/>
      <c r="CA252" s="1845"/>
      <c r="CB252" s="1845"/>
      <c r="CC252" s="1845"/>
      <c r="CD252" s="1845"/>
      <c r="CE252" s="1845"/>
      <c r="CF252" s="1846"/>
    </row>
    <row r="253" spans="1:88" s="400" customFormat="1" ht="23.1" customHeight="1">
      <c r="D253" s="403"/>
      <c r="G253" s="402" t="s">
        <v>743</v>
      </c>
      <c r="AR253" s="414"/>
      <c r="AS253" s="414"/>
      <c r="AT253" s="414"/>
      <c r="AU253" s="414"/>
      <c r="AV253" s="414"/>
      <c r="AW253" s="414"/>
      <c r="AX253" s="414"/>
      <c r="AY253" s="414"/>
      <c r="AZ253" s="414"/>
      <c r="BA253" s="414"/>
      <c r="BB253" s="414"/>
      <c r="BT253" s="414"/>
      <c r="BU253" s="414"/>
      <c r="BV253" s="414"/>
      <c r="BW253" s="414"/>
      <c r="BX253" s="414"/>
      <c r="BY253" s="414"/>
      <c r="BZ253" s="414"/>
      <c r="CA253" s="414"/>
      <c r="CB253" s="414"/>
      <c r="CC253" s="414"/>
    </row>
    <row r="254" spans="1:88" s="400" customFormat="1" ht="23.1" customHeight="1">
      <c r="G254" s="402" t="s">
        <v>742</v>
      </c>
    </row>
    <row r="255" spans="1:88" s="400" customFormat="1" ht="9.9499999999999993" customHeight="1">
      <c r="A255" s="402"/>
      <c r="B255" s="402"/>
      <c r="C255" s="402"/>
      <c r="D255" s="402"/>
      <c r="E255" s="402"/>
      <c r="F255" s="402"/>
      <c r="G255" s="402"/>
      <c r="H255" s="402"/>
      <c r="I255" s="402"/>
      <c r="J255" s="402"/>
      <c r="K255" s="402"/>
      <c r="L255" s="402"/>
      <c r="M255" s="402"/>
      <c r="N255" s="402"/>
      <c r="O255" s="402"/>
      <c r="P255" s="402"/>
      <c r="Q255" s="402"/>
      <c r="R255" s="402"/>
      <c r="S255" s="402"/>
      <c r="T255" s="402"/>
      <c r="U255" s="402"/>
      <c r="V255" s="402"/>
      <c r="W255" s="402"/>
      <c r="X255" s="402"/>
      <c r="Y255" s="402"/>
      <c r="Z255" s="402"/>
      <c r="AA255" s="402"/>
      <c r="AB255" s="402"/>
      <c r="AC255" s="402"/>
      <c r="AD255" s="402"/>
      <c r="AE255" s="402"/>
      <c r="AF255" s="402"/>
      <c r="AG255" s="402"/>
      <c r="AH255" s="402"/>
      <c r="AI255" s="402"/>
      <c r="AJ255" s="402"/>
      <c r="AK255" s="402"/>
      <c r="AL255" s="402"/>
      <c r="AM255" s="402"/>
      <c r="AN255" s="402"/>
      <c r="AO255" s="402"/>
      <c r="AP255" s="402"/>
      <c r="AQ255" s="402"/>
      <c r="AR255" s="402"/>
      <c r="AS255" s="402"/>
      <c r="AT255" s="402"/>
      <c r="AU255" s="402"/>
      <c r="AV255" s="402"/>
      <c r="AW255" s="402"/>
      <c r="AX255" s="402"/>
      <c r="AY255" s="402"/>
      <c r="AZ255" s="402"/>
      <c r="BA255" s="402"/>
      <c r="BB255" s="402"/>
      <c r="BC255" s="402"/>
      <c r="BD255" s="402"/>
      <c r="BE255" s="402"/>
      <c r="BF255" s="402"/>
      <c r="BG255" s="402"/>
      <c r="BH255" s="402"/>
      <c r="BI255" s="402"/>
      <c r="BJ255" s="402"/>
      <c r="BK255" s="402"/>
      <c r="BL255" s="402"/>
      <c r="BM255" s="402"/>
      <c r="BN255" s="402"/>
      <c r="BO255" s="402"/>
      <c r="BP255" s="402"/>
      <c r="BQ255" s="402"/>
      <c r="BR255" s="402"/>
      <c r="BS255" s="402"/>
      <c r="BT255" s="418"/>
      <c r="BU255" s="418"/>
      <c r="BV255" s="418"/>
      <c r="BW255" s="418"/>
      <c r="BX255" s="418"/>
      <c r="BY255" s="418"/>
      <c r="BZ255" s="418"/>
      <c r="CA255" s="418"/>
      <c r="CB255" s="418"/>
      <c r="CC255" s="418"/>
      <c r="CD255" s="402"/>
      <c r="CE255" s="402"/>
      <c r="CF255" s="402"/>
    </row>
    <row r="256" spans="1:88" s="432" customFormat="1" ht="23.1" customHeight="1">
      <c r="A256" s="433"/>
      <c r="B256" s="434" t="s">
        <v>741</v>
      </c>
      <c r="C256" s="433"/>
      <c r="D256" s="433"/>
      <c r="E256" s="433"/>
      <c r="F256" s="433"/>
      <c r="G256" s="433"/>
      <c r="H256" s="433"/>
      <c r="I256" s="433"/>
      <c r="J256" s="433"/>
      <c r="K256" s="433"/>
      <c r="L256" s="433"/>
      <c r="M256" s="433"/>
      <c r="N256" s="433"/>
      <c r="O256" s="433"/>
      <c r="P256" s="433"/>
      <c r="Q256" s="433"/>
      <c r="R256" s="433"/>
      <c r="S256" s="433"/>
      <c r="T256" s="433"/>
      <c r="U256" s="433"/>
      <c r="V256" s="433"/>
      <c r="W256" s="433"/>
      <c r="X256" s="433"/>
      <c r="Y256" s="433"/>
      <c r="Z256" s="433"/>
      <c r="AA256" s="433"/>
      <c r="AB256" s="433"/>
      <c r="AC256" s="433"/>
      <c r="AD256" s="433"/>
      <c r="AE256" s="433"/>
      <c r="AF256" s="433"/>
      <c r="AG256" s="433"/>
      <c r="AH256" s="433"/>
      <c r="AI256" s="433"/>
      <c r="AJ256" s="433"/>
      <c r="AK256" s="433"/>
      <c r="AL256" s="433"/>
      <c r="AM256" s="433"/>
      <c r="AN256" s="433"/>
      <c r="AO256" s="433"/>
      <c r="AP256" s="433"/>
      <c r="AQ256" s="433"/>
      <c r="AR256" s="433"/>
      <c r="AS256" s="433"/>
      <c r="AT256" s="433"/>
      <c r="AU256" s="433"/>
      <c r="BM256" s="433"/>
      <c r="BN256" s="433"/>
      <c r="BO256" s="433"/>
      <c r="BP256" s="433"/>
      <c r="BQ256" s="433"/>
      <c r="BR256" s="433"/>
      <c r="BS256" s="433"/>
      <c r="BT256" s="433"/>
      <c r="BU256" s="433"/>
      <c r="BV256" s="433"/>
      <c r="BW256" s="433"/>
      <c r="BX256" s="433"/>
      <c r="BY256" s="433"/>
      <c r="BZ256" s="433"/>
      <c r="CA256" s="433"/>
      <c r="CB256" s="433"/>
      <c r="CC256" s="433"/>
      <c r="CD256" s="433"/>
      <c r="CE256" s="433"/>
      <c r="CF256" s="433"/>
      <c r="CJ256" s="428" t="s">
        <v>740</v>
      </c>
    </row>
    <row r="257" spans="1:88" s="400" customFormat="1" ht="9.9499999999999993" customHeight="1">
      <c r="A257" s="402"/>
      <c r="B257" s="402"/>
      <c r="C257" s="402"/>
      <c r="D257" s="402"/>
      <c r="E257" s="402"/>
      <c r="F257" s="402"/>
      <c r="G257" s="402"/>
      <c r="H257" s="402"/>
      <c r="I257" s="402"/>
      <c r="J257" s="402"/>
      <c r="K257" s="402"/>
      <c r="L257" s="402"/>
      <c r="M257" s="402"/>
      <c r="N257" s="402"/>
      <c r="O257" s="402"/>
      <c r="P257" s="402"/>
      <c r="Q257" s="402"/>
      <c r="R257" s="402"/>
      <c r="S257" s="402"/>
      <c r="T257" s="402"/>
      <c r="U257" s="402"/>
      <c r="V257" s="402"/>
      <c r="W257" s="402"/>
      <c r="X257" s="402"/>
      <c r="Y257" s="402"/>
      <c r="Z257" s="402"/>
      <c r="AA257" s="402"/>
      <c r="AB257" s="402"/>
      <c r="AC257" s="402"/>
      <c r="AD257" s="402"/>
      <c r="AE257" s="402"/>
      <c r="AF257" s="402"/>
      <c r="AG257" s="402"/>
      <c r="AH257" s="402"/>
      <c r="AI257" s="402"/>
      <c r="AJ257" s="402"/>
      <c r="AK257" s="402"/>
      <c r="AL257" s="402"/>
      <c r="AM257" s="402"/>
      <c r="AN257" s="402"/>
      <c r="AO257" s="402"/>
      <c r="AP257" s="402"/>
      <c r="AQ257" s="402"/>
      <c r="AR257" s="402"/>
      <c r="AS257" s="402"/>
      <c r="AT257" s="402"/>
      <c r="AU257" s="402"/>
      <c r="AV257" s="402"/>
      <c r="AW257" s="402"/>
      <c r="AX257" s="402"/>
      <c r="AY257" s="402"/>
      <c r="AZ257" s="402"/>
      <c r="BA257" s="402"/>
      <c r="BB257" s="402"/>
      <c r="BC257" s="402"/>
      <c r="BD257" s="402"/>
      <c r="BE257" s="402"/>
      <c r="BF257" s="402"/>
      <c r="BG257" s="402"/>
      <c r="BH257" s="402"/>
      <c r="BI257" s="402"/>
      <c r="BJ257" s="402"/>
      <c r="BK257" s="402"/>
      <c r="BL257" s="402"/>
      <c r="BM257" s="402"/>
      <c r="BN257" s="402"/>
      <c r="BO257" s="402"/>
      <c r="BP257" s="402"/>
      <c r="BQ257" s="402"/>
      <c r="BR257" s="402"/>
      <c r="BS257" s="402"/>
      <c r="BT257" s="418"/>
      <c r="BU257" s="418"/>
      <c r="BV257" s="418"/>
      <c r="BW257" s="418"/>
      <c r="BX257" s="418"/>
      <c r="BY257" s="418"/>
      <c r="BZ257" s="418"/>
      <c r="CA257" s="418"/>
      <c r="CB257" s="418"/>
      <c r="CC257" s="418"/>
      <c r="CD257" s="402"/>
      <c r="CE257" s="402"/>
      <c r="CF257" s="402"/>
    </row>
    <row r="258" spans="1:88" s="400" customFormat="1" ht="23.1" customHeight="1">
      <c r="E258" s="400" t="s">
        <v>473</v>
      </c>
      <c r="BT258" s="414"/>
      <c r="BU258" s="414"/>
      <c r="BV258" s="414"/>
      <c r="BW258" s="414"/>
      <c r="BX258" s="414"/>
      <c r="BY258" s="414"/>
      <c r="BZ258" s="414"/>
      <c r="CA258" s="414"/>
      <c r="CB258" s="414"/>
      <c r="CC258" s="414"/>
    </row>
    <row r="259" spans="1:88" s="400" customFormat="1" ht="9.9499999999999993" customHeight="1" thickBot="1">
      <c r="D259" s="405"/>
      <c r="Q259" s="409"/>
      <c r="R259" s="409"/>
      <c r="S259" s="409"/>
      <c r="T259" s="409"/>
      <c r="U259" s="409"/>
      <c r="V259" s="409"/>
      <c r="W259" s="409"/>
      <c r="X259" s="409"/>
      <c r="Y259" s="409"/>
      <c r="Z259" s="409"/>
      <c r="AA259" s="409"/>
      <c r="AB259" s="409"/>
      <c r="AV259" s="408"/>
      <c r="AW259" s="408"/>
      <c r="AX259" s="408"/>
      <c r="AY259" s="408"/>
      <c r="AZ259" s="408"/>
      <c r="BA259" s="408"/>
      <c r="BB259" s="408"/>
      <c r="BC259" s="408"/>
      <c r="BD259" s="408"/>
      <c r="BE259" s="404"/>
      <c r="BF259" s="404"/>
      <c r="BG259" s="404"/>
      <c r="BH259" s="404"/>
      <c r="BI259" s="404"/>
      <c r="BJ259" s="404"/>
      <c r="BK259" s="404"/>
      <c r="BL259" s="404"/>
      <c r="BM259" s="404"/>
      <c r="BN259" s="404"/>
      <c r="BO259" s="404"/>
      <c r="BP259" s="404"/>
      <c r="BQ259" s="404"/>
      <c r="BR259" s="404"/>
      <c r="BS259" s="404"/>
      <c r="BT259" s="404"/>
      <c r="BU259" s="404"/>
      <c r="BV259" s="404"/>
      <c r="BW259" s="404"/>
      <c r="BX259" s="404"/>
      <c r="BY259" s="404"/>
      <c r="BZ259" s="404"/>
      <c r="CA259" s="404"/>
      <c r="CB259" s="404"/>
      <c r="CC259" s="404"/>
      <c r="CD259" s="404"/>
      <c r="CE259" s="404"/>
      <c r="CF259" s="404"/>
    </row>
    <row r="260" spans="1:88" s="400" customFormat="1" ht="23.1" customHeight="1">
      <c r="A260" s="402"/>
      <c r="B260" s="402"/>
      <c r="C260" s="402"/>
      <c r="D260" s="402"/>
      <c r="E260" s="1831" t="s">
        <v>369</v>
      </c>
      <c r="F260" s="1800"/>
      <c r="G260" s="1800"/>
      <c r="H260" s="1800"/>
      <c r="I260" s="1800"/>
      <c r="J260" s="1800"/>
      <c r="K260" s="1800"/>
      <c r="L260" s="1800"/>
      <c r="M260" s="1800"/>
      <c r="N260" s="1800"/>
      <c r="O260" s="1800"/>
      <c r="P260" s="1800"/>
      <c r="Q260" s="1800"/>
      <c r="R260" s="1800"/>
      <c r="S260" s="1800"/>
      <c r="T260" s="1800"/>
      <c r="U260" s="1800" t="s">
        <v>403</v>
      </c>
      <c r="V260" s="1800"/>
      <c r="W260" s="1800"/>
      <c r="X260" s="1800"/>
      <c r="Y260" s="1800"/>
      <c r="Z260" s="1800"/>
      <c r="AA260" s="1800"/>
      <c r="AB260" s="1800"/>
      <c r="AC260" s="1800"/>
      <c r="AD260" s="1800"/>
      <c r="AE260" s="1800"/>
      <c r="AF260" s="1800"/>
      <c r="AG260" s="1800"/>
      <c r="AH260" s="1800"/>
      <c r="AI260" s="1800"/>
      <c r="AJ260" s="1800"/>
      <c r="AK260" s="1800"/>
      <c r="AL260" s="1800"/>
      <c r="AM260" s="1800"/>
      <c r="AN260" s="1800"/>
      <c r="AO260" s="1800"/>
      <c r="AP260" s="1800"/>
      <c r="AQ260" s="1800"/>
      <c r="AR260" s="1800"/>
      <c r="AS260" s="1833" t="s">
        <v>404</v>
      </c>
      <c r="AT260" s="1800"/>
      <c r="AU260" s="1800"/>
      <c r="AV260" s="1800"/>
      <c r="AW260" s="1800"/>
      <c r="AX260" s="1800"/>
      <c r="AY260" s="1800"/>
      <c r="AZ260" s="1800"/>
      <c r="BA260" s="1800" t="s">
        <v>405</v>
      </c>
      <c r="BB260" s="1800"/>
      <c r="BC260" s="1800"/>
      <c r="BD260" s="1800"/>
      <c r="BE260" s="1800"/>
      <c r="BF260" s="1800"/>
      <c r="BG260" s="1800"/>
      <c r="BH260" s="1800"/>
      <c r="BI260" s="1800"/>
      <c r="BJ260" s="1800"/>
      <c r="BK260" s="1800"/>
      <c r="BL260" s="1800"/>
      <c r="BM260" s="1800"/>
      <c r="BN260" s="1800"/>
      <c r="BO260" s="1800"/>
      <c r="BP260" s="1800"/>
      <c r="BQ260" s="1800"/>
      <c r="BR260" s="1800"/>
      <c r="BS260" s="1800"/>
      <c r="BT260" s="1800"/>
      <c r="BU260" s="1800"/>
      <c r="BV260" s="1800"/>
      <c r="BW260" s="1800"/>
      <c r="BX260" s="1800"/>
      <c r="BY260" s="1800"/>
      <c r="BZ260" s="1800"/>
      <c r="CA260" s="1800"/>
      <c r="CB260" s="1800"/>
      <c r="CC260" s="1800"/>
      <c r="CD260" s="1800"/>
      <c r="CE260" s="1800"/>
      <c r="CF260" s="1801"/>
    </row>
    <row r="261" spans="1:88" s="400" customFormat="1" ht="23.1" customHeight="1" thickBot="1">
      <c r="D261" s="405"/>
      <c r="E261" s="1832"/>
      <c r="F261" s="1786"/>
      <c r="G261" s="1786"/>
      <c r="H261" s="1786"/>
      <c r="I261" s="1786"/>
      <c r="J261" s="1786"/>
      <c r="K261" s="1786"/>
      <c r="L261" s="1786"/>
      <c r="M261" s="1786"/>
      <c r="N261" s="1786"/>
      <c r="O261" s="1786"/>
      <c r="P261" s="1786"/>
      <c r="Q261" s="1786"/>
      <c r="R261" s="1786"/>
      <c r="S261" s="1786"/>
      <c r="T261" s="1786"/>
      <c r="U261" s="1786" t="s">
        <v>406</v>
      </c>
      <c r="V261" s="1786"/>
      <c r="W261" s="1786"/>
      <c r="X261" s="1786"/>
      <c r="Y261" s="1786"/>
      <c r="Z261" s="1786"/>
      <c r="AA261" s="1786"/>
      <c r="AB261" s="1786"/>
      <c r="AC261" s="1786" t="s">
        <v>407</v>
      </c>
      <c r="AD261" s="1786"/>
      <c r="AE261" s="1786"/>
      <c r="AF261" s="1786"/>
      <c r="AG261" s="1786"/>
      <c r="AH261" s="1786"/>
      <c r="AI261" s="1786"/>
      <c r="AJ261" s="1786"/>
      <c r="AK261" s="1786" t="s">
        <v>408</v>
      </c>
      <c r="AL261" s="1786"/>
      <c r="AM261" s="1786"/>
      <c r="AN261" s="1786"/>
      <c r="AO261" s="1786"/>
      <c r="AP261" s="1786"/>
      <c r="AQ261" s="1786"/>
      <c r="AR261" s="1786"/>
      <c r="AS261" s="1786"/>
      <c r="AT261" s="1786"/>
      <c r="AU261" s="1786"/>
      <c r="AV261" s="1786"/>
      <c r="AW261" s="1786"/>
      <c r="AX261" s="1786"/>
      <c r="AY261" s="1786"/>
      <c r="AZ261" s="1786"/>
      <c r="BA261" s="1786" t="s">
        <v>406</v>
      </c>
      <c r="BB261" s="1786"/>
      <c r="BC261" s="1786"/>
      <c r="BD261" s="1786"/>
      <c r="BE261" s="1786"/>
      <c r="BF261" s="1786"/>
      <c r="BG261" s="1786"/>
      <c r="BH261" s="1786"/>
      <c r="BI261" s="1786" t="s">
        <v>407</v>
      </c>
      <c r="BJ261" s="1786"/>
      <c r="BK261" s="1786"/>
      <c r="BL261" s="1786"/>
      <c r="BM261" s="1786"/>
      <c r="BN261" s="1786"/>
      <c r="BO261" s="1786"/>
      <c r="BP261" s="1786"/>
      <c r="BQ261" s="1786" t="s">
        <v>423</v>
      </c>
      <c r="BR261" s="1786"/>
      <c r="BS261" s="1786"/>
      <c r="BT261" s="1786"/>
      <c r="BU261" s="1786"/>
      <c r="BV261" s="1786"/>
      <c r="BW261" s="1786"/>
      <c r="BX261" s="1786"/>
      <c r="BY261" s="1786" t="s">
        <v>424</v>
      </c>
      <c r="BZ261" s="1786"/>
      <c r="CA261" s="1786"/>
      <c r="CB261" s="1786"/>
      <c r="CC261" s="1786"/>
      <c r="CD261" s="1786"/>
      <c r="CE261" s="1786"/>
      <c r="CF261" s="1787"/>
    </row>
    <row r="262" spans="1:88" s="400" customFormat="1" ht="23.1" customHeight="1" thickTop="1">
      <c r="D262" s="405"/>
      <c r="E262" s="1913" t="s">
        <v>474</v>
      </c>
      <c r="F262" s="1923"/>
      <c r="G262" s="1923"/>
      <c r="H262" s="1923"/>
      <c r="I262" s="1923"/>
      <c r="J262" s="1917" t="s">
        <v>395</v>
      </c>
      <c r="K262" s="1917"/>
      <c r="L262" s="1917"/>
      <c r="M262" s="1917"/>
      <c r="N262" s="1917"/>
      <c r="O262" s="1917"/>
      <c r="P262" s="1917"/>
      <c r="Q262" s="1917"/>
      <c r="R262" s="1917"/>
      <c r="S262" s="1917"/>
      <c r="T262" s="1917"/>
      <c r="U262" s="1812" t="e">
        <f>$AG$283</f>
        <v>#REF!</v>
      </c>
      <c r="V262" s="1812"/>
      <c r="W262" s="1812"/>
      <c r="X262" s="1812"/>
      <c r="Y262" s="1812"/>
      <c r="Z262" s="1812"/>
      <c r="AA262" s="1812"/>
      <c r="AB262" s="1812"/>
      <c r="AC262" s="1812" t="e">
        <f>$AQ$283+$AF$269</f>
        <v>#REF!</v>
      </c>
      <c r="AD262" s="1812"/>
      <c r="AE262" s="1812"/>
      <c r="AF262" s="1812"/>
      <c r="AG262" s="1812"/>
      <c r="AH262" s="1812"/>
      <c r="AI262" s="1812"/>
      <c r="AJ262" s="1812"/>
      <c r="AK262" s="1812" t="e">
        <f>$BA$283</f>
        <v>#REF!</v>
      </c>
      <c r="AL262" s="1812"/>
      <c r="AM262" s="1812"/>
      <c r="AN262" s="1812"/>
      <c r="AO262" s="1812"/>
      <c r="AP262" s="1812"/>
      <c r="AQ262" s="1812"/>
      <c r="AR262" s="1812"/>
      <c r="AS262" s="1912">
        <v>4.0999999999999996</v>
      </c>
      <c r="AT262" s="1912"/>
      <c r="AU262" s="1912"/>
      <c r="AV262" s="1912"/>
      <c r="AW262" s="1912"/>
      <c r="AX262" s="1912"/>
      <c r="AY262" s="1912"/>
      <c r="AZ262" s="1912"/>
      <c r="BA262" s="1911" t="e">
        <f t="shared" ref="BA262:BA267" si="25">INT(U262/$AS262)</f>
        <v>#REF!</v>
      </c>
      <c r="BB262" s="1911"/>
      <c r="BC262" s="1911"/>
      <c r="BD262" s="1911"/>
      <c r="BE262" s="1911"/>
      <c r="BF262" s="1911"/>
      <c r="BG262" s="1911"/>
      <c r="BH262" s="1911"/>
      <c r="BI262" s="1911" t="e">
        <f t="shared" ref="BI262:BI267" si="26">INT(AC262/$AS262)</f>
        <v>#REF!</v>
      </c>
      <c r="BJ262" s="1911"/>
      <c r="BK262" s="1911"/>
      <c r="BL262" s="1911"/>
      <c r="BM262" s="1911"/>
      <c r="BN262" s="1911"/>
      <c r="BO262" s="1911"/>
      <c r="BP262" s="1911"/>
      <c r="BQ262" s="1911" t="e">
        <f t="shared" ref="BQ262:BQ267" si="27">INT(AK262/$AS262)</f>
        <v>#REF!</v>
      </c>
      <c r="BR262" s="1911"/>
      <c r="BS262" s="1911"/>
      <c r="BT262" s="1911"/>
      <c r="BU262" s="1911"/>
      <c r="BV262" s="1911"/>
      <c r="BW262" s="1911"/>
      <c r="BX262" s="1911"/>
      <c r="BY262" s="1892" t="e">
        <f t="shared" ref="BY262:BY267" si="28">BA262+BI262+BQ262</f>
        <v>#REF!</v>
      </c>
      <c r="BZ262" s="1892"/>
      <c r="CA262" s="1892"/>
      <c r="CB262" s="1892"/>
      <c r="CC262" s="1892"/>
      <c r="CD262" s="1892"/>
      <c r="CE262" s="1892"/>
      <c r="CF262" s="1893"/>
    </row>
    <row r="263" spans="1:88" s="400" customFormat="1" ht="23.1" customHeight="1">
      <c r="A263" s="402"/>
      <c r="B263" s="402"/>
      <c r="C263" s="402"/>
      <c r="D263" s="402"/>
      <c r="E263" s="1828"/>
      <c r="F263" s="1829"/>
      <c r="G263" s="1829"/>
      <c r="H263" s="1829"/>
      <c r="I263" s="1829"/>
      <c r="J263" s="1874" t="s">
        <v>359</v>
      </c>
      <c r="K263" s="1874"/>
      <c r="L263" s="1874"/>
      <c r="M263" s="1874"/>
      <c r="N263" s="1874"/>
      <c r="O263" s="1874"/>
      <c r="P263" s="1874"/>
      <c r="Q263" s="1874"/>
      <c r="R263" s="1874"/>
      <c r="S263" s="1874"/>
      <c r="T263" s="1874"/>
      <c r="U263" s="1814" t="e">
        <f>$AG$284</f>
        <v>#REF!</v>
      </c>
      <c r="V263" s="1814"/>
      <c r="W263" s="1814"/>
      <c r="X263" s="1814"/>
      <c r="Y263" s="1814"/>
      <c r="Z263" s="1814"/>
      <c r="AA263" s="1814"/>
      <c r="AB263" s="1814"/>
      <c r="AC263" s="1814" t="e">
        <f>$AQ$284+$AF$269</f>
        <v>#REF!</v>
      </c>
      <c r="AD263" s="1814"/>
      <c r="AE263" s="1814"/>
      <c r="AF263" s="1814"/>
      <c r="AG263" s="1814"/>
      <c r="AH263" s="1814"/>
      <c r="AI263" s="1814"/>
      <c r="AJ263" s="1814"/>
      <c r="AK263" s="1814" t="e">
        <f>$BA$284</f>
        <v>#REF!</v>
      </c>
      <c r="AL263" s="1814"/>
      <c r="AM263" s="1814"/>
      <c r="AN263" s="1814"/>
      <c r="AO263" s="1814"/>
      <c r="AP263" s="1814"/>
      <c r="AQ263" s="1814"/>
      <c r="AR263" s="1814"/>
      <c r="AS263" s="1876">
        <v>6.9</v>
      </c>
      <c r="AT263" s="1876"/>
      <c r="AU263" s="1876"/>
      <c r="AV263" s="1876"/>
      <c r="AW263" s="1876"/>
      <c r="AX263" s="1876"/>
      <c r="AY263" s="1876"/>
      <c r="AZ263" s="1876"/>
      <c r="BA263" s="1898" t="e">
        <f t="shared" si="25"/>
        <v>#REF!</v>
      </c>
      <c r="BB263" s="1898"/>
      <c r="BC263" s="1898"/>
      <c r="BD263" s="1898"/>
      <c r="BE263" s="1898"/>
      <c r="BF263" s="1898"/>
      <c r="BG263" s="1898"/>
      <c r="BH263" s="1898"/>
      <c r="BI263" s="1898" t="e">
        <f t="shared" si="26"/>
        <v>#REF!</v>
      </c>
      <c r="BJ263" s="1898"/>
      <c r="BK263" s="1898"/>
      <c r="BL263" s="1898"/>
      <c r="BM263" s="1898"/>
      <c r="BN263" s="1898"/>
      <c r="BO263" s="1898"/>
      <c r="BP263" s="1898"/>
      <c r="BQ263" s="1898" t="e">
        <f t="shared" si="27"/>
        <v>#REF!</v>
      </c>
      <c r="BR263" s="1898"/>
      <c r="BS263" s="1898"/>
      <c r="BT263" s="1898"/>
      <c r="BU263" s="1898"/>
      <c r="BV263" s="1898"/>
      <c r="BW263" s="1898"/>
      <c r="BX263" s="1898"/>
      <c r="BY263" s="1894" t="e">
        <f t="shared" si="28"/>
        <v>#REF!</v>
      </c>
      <c r="BZ263" s="1894"/>
      <c r="CA263" s="1894"/>
      <c r="CB263" s="1894"/>
      <c r="CC263" s="1894"/>
      <c r="CD263" s="1894"/>
      <c r="CE263" s="1894"/>
      <c r="CF263" s="1895"/>
    </row>
    <row r="264" spans="1:88" s="400" customFormat="1" ht="23.1" customHeight="1">
      <c r="E264" s="1828"/>
      <c r="F264" s="1829"/>
      <c r="G264" s="1829"/>
      <c r="H264" s="1829"/>
      <c r="I264" s="1829"/>
      <c r="J264" s="1874" t="s">
        <v>399</v>
      </c>
      <c r="K264" s="1874"/>
      <c r="L264" s="1874"/>
      <c r="M264" s="1874"/>
      <c r="N264" s="1874"/>
      <c r="O264" s="1874"/>
      <c r="P264" s="1874"/>
      <c r="Q264" s="1874"/>
      <c r="R264" s="1874"/>
      <c r="S264" s="1874"/>
      <c r="T264" s="1874"/>
      <c r="U264" s="1872" t="e">
        <f>$AG$285</f>
        <v>#REF!</v>
      </c>
      <c r="V264" s="1872"/>
      <c r="W264" s="1872"/>
      <c r="X264" s="1872"/>
      <c r="Y264" s="1872"/>
      <c r="Z264" s="1872"/>
      <c r="AA264" s="1872"/>
      <c r="AB264" s="1872"/>
      <c r="AC264" s="1872" t="e">
        <f>$AQ$285+$AF$269</f>
        <v>#REF!</v>
      </c>
      <c r="AD264" s="1872"/>
      <c r="AE264" s="1872"/>
      <c r="AF264" s="1872"/>
      <c r="AG264" s="1872"/>
      <c r="AH264" s="1872"/>
      <c r="AI264" s="1872"/>
      <c r="AJ264" s="1872"/>
      <c r="AK264" s="1872" t="e">
        <f>$BA$285</f>
        <v>#REF!</v>
      </c>
      <c r="AL264" s="1872"/>
      <c r="AM264" s="1872"/>
      <c r="AN264" s="1872"/>
      <c r="AO264" s="1872"/>
      <c r="AP264" s="1872"/>
      <c r="AQ264" s="1872"/>
      <c r="AR264" s="1872"/>
      <c r="AS264" s="1977">
        <v>16</v>
      </c>
      <c r="AT264" s="1977"/>
      <c r="AU264" s="1977"/>
      <c r="AV264" s="1977"/>
      <c r="AW264" s="1977"/>
      <c r="AX264" s="1977"/>
      <c r="AY264" s="1977"/>
      <c r="AZ264" s="1977"/>
      <c r="BA264" s="1898" t="e">
        <f t="shared" si="25"/>
        <v>#REF!</v>
      </c>
      <c r="BB264" s="1898"/>
      <c r="BC264" s="1898"/>
      <c r="BD264" s="1898"/>
      <c r="BE264" s="1898"/>
      <c r="BF264" s="1898"/>
      <c r="BG264" s="1898"/>
      <c r="BH264" s="1898"/>
      <c r="BI264" s="1898" t="e">
        <f t="shared" si="26"/>
        <v>#REF!</v>
      </c>
      <c r="BJ264" s="1898"/>
      <c r="BK264" s="1898"/>
      <c r="BL264" s="1898"/>
      <c r="BM264" s="1898"/>
      <c r="BN264" s="1898"/>
      <c r="BO264" s="1898"/>
      <c r="BP264" s="1898"/>
      <c r="BQ264" s="1898" t="e">
        <f t="shared" si="27"/>
        <v>#REF!</v>
      </c>
      <c r="BR264" s="1898"/>
      <c r="BS264" s="1898"/>
      <c r="BT264" s="1898"/>
      <c r="BU264" s="1898"/>
      <c r="BV264" s="1898"/>
      <c r="BW264" s="1898"/>
      <c r="BX264" s="1898"/>
      <c r="BY264" s="1894" t="e">
        <f t="shared" si="28"/>
        <v>#REF!</v>
      </c>
      <c r="BZ264" s="1894"/>
      <c r="CA264" s="1894"/>
      <c r="CB264" s="1894"/>
      <c r="CC264" s="1894"/>
      <c r="CD264" s="1894"/>
      <c r="CE264" s="1894"/>
      <c r="CF264" s="1895"/>
    </row>
    <row r="265" spans="1:88" s="400" customFormat="1" ht="23.1" customHeight="1">
      <c r="A265" s="402"/>
      <c r="B265" s="402"/>
      <c r="C265" s="402"/>
      <c r="D265" s="402"/>
      <c r="E265" s="1870" t="s">
        <v>529</v>
      </c>
      <c r="F265" s="1829"/>
      <c r="G265" s="1829"/>
      <c r="H265" s="1829"/>
      <c r="I265" s="1829"/>
      <c r="J265" s="1874" t="s">
        <v>395</v>
      </c>
      <c r="K265" s="1874"/>
      <c r="L265" s="1874"/>
      <c r="M265" s="1874"/>
      <c r="N265" s="1874"/>
      <c r="O265" s="1874"/>
      <c r="P265" s="1874"/>
      <c r="Q265" s="1874"/>
      <c r="R265" s="1874"/>
      <c r="S265" s="1874"/>
      <c r="T265" s="1874"/>
      <c r="U265" s="1814" t="e">
        <f>$AG$283</f>
        <v>#REF!</v>
      </c>
      <c r="V265" s="1814"/>
      <c r="W265" s="1814"/>
      <c r="X265" s="1814"/>
      <c r="Y265" s="1814"/>
      <c r="Z265" s="1814"/>
      <c r="AA265" s="1814"/>
      <c r="AB265" s="1814"/>
      <c r="AC265" s="1814" t="e">
        <f>$AQ$283+$AF$269</f>
        <v>#REF!</v>
      </c>
      <c r="AD265" s="1814"/>
      <c r="AE265" s="1814"/>
      <c r="AF265" s="1814"/>
      <c r="AG265" s="1814"/>
      <c r="AH265" s="1814"/>
      <c r="AI265" s="1814"/>
      <c r="AJ265" s="1814"/>
      <c r="AK265" s="1814" t="e">
        <f>$BA$283</f>
        <v>#REF!</v>
      </c>
      <c r="AL265" s="1814"/>
      <c r="AM265" s="1814"/>
      <c r="AN265" s="1814"/>
      <c r="AO265" s="1814"/>
      <c r="AP265" s="1814"/>
      <c r="AQ265" s="1814"/>
      <c r="AR265" s="1814"/>
      <c r="AS265" s="1797">
        <v>1.75</v>
      </c>
      <c r="AT265" s="1797"/>
      <c r="AU265" s="1797"/>
      <c r="AV265" s="1797"/>
      <c r="AW265" s="1797"/>
      <c r="AX265" s="1797"/>
      <c r="AY265" s="1797"/>
      <c r="AZ265" s="1797"/>
      <c r="BA265" s="1898" t="e">
        <f t="shared" si="25"/>
        <v>#REF!</v>
      </c>
      <c r="BB265" s="1898"/>
      <c r="BC265" s="1898"/>
      <c r="BD265" s="1898"/>
      <c r="BE265" s="1898"/>
      <c r="BF265" s="1898"/>
      <c r="BG265" s="1898"/>
      <c r="BH265" s="1898"/>
      <c r="BI265" s="1898" t="e">
        <f t="shared" si="26"/>
        <v>#REF!</v>
      </c>
      <c r="BJ265" s="1898"/>
      <c r="BK265" s="1898"/>
      <c r="BL265" s="1898"/>
      <c r="BM265" s="1898"/>
      <c r="BN265" s="1898"/>
      <c r="BO265" s="1898"/>
      <c r="BP265" s="1898"/>
      <c r="BQ265" s="1898" t="e">
        <f t="shared" si="27"/>
        <v>#REF!</v>
      </c>
      <c r="BR265" s="1898"/>
      <c r="BS265" s="1898"/>
      <c r="BT265" s="1898"/>
      <c r="BU265" s="1898"/>
      <c r="BV265" s="1898"/>
      <c r="BW265" s="1898"/>
      <c r="BX265" s="1898"/>
      <c r="BY265" s="1894" t="e">
        <f t="shared" si="28"/>
        <v>#REF!</v>
      </c>
      <c r="BZ265" s="1894"/>
      <c r="CA265" s="1894"/>
      <c r="CB265" s="1894"/>
      <c r="CC265" s="1894"/>
      <c r="CD265" s="1894"/>
      <c r="CE265" s="1894"/>
      <c r="CF265" s="1895"/>
    </row>
    <row r="266" spans="1:88" s="400" customFormat="1" ht="23.1" customHeight="1">
      <c r="E266" s="1828"/>
      <c r="F266" s="1829"/>
      <c r="G266" s="1829"/>
      <c r="H266" s="1829"/>
      <c r="I266" s="1829"/>
      <c r="J266" s="1874" t="s">
        <v>359</v>
      </c>
      <c r="K266" s="1874"/>
      <c r="L266" s="1874"/>
      <c r="M266" s="1874"/>
      <c r="N266" s="1874"/>
      <c r="O266" s="1874"/>
      <c r="P266" s="1874"/>
      <c r="Q266" s="1874"/>
      <c r="R266" s="1874"/>
      <c r="S266" s="1874"/>
      <c r="T266" s="1874"/>
      <c r="U266" s="1814" t="e">
        <f>$AG$284</f>
        <v>#REF!</v>
      </c>
      <c r="V266" s="1814"/>
      <c r="W266" s="1814"/>
      <c r="X266" s="1814"/>
      <c r="Y266" s="1814"/>
      <c r="Z266" s="1814"/>
      <c r="AA266" s="1814"/>
      <c r="AB266" s="1814"/>
      <c r="AC266" s="1814" t="e">
        <f>$AQ$284+$AF$269</f>
        <v>#REF!</v>
      </c>
      <c r="AD266" s="1814"/>
      <c r="AE266" s="1814"/>
      <c r="AF266" s="1814"/>
      <c r="AG266" s="1814"/>
      <c r="AH266" s="1814"/>
      <c r="AI266" s="1814"/>
      <c r="AJ266" s="1814"/>
      <c r="AK266" s="1814" t="e">
        <f>$BA$284</f>
        <v>#REF!</v>
      </c>
      <c r="AL266" s="1814"/>
      <c r="AM266" s="1814"/>
      <c r="AN266" s="1814"/>
      <c r="AO266" s="1814"/>
      <c r="AP266" s="1814"/>
      <c r="AQ266" s="1814"/>
      <c r="AR266" s="1814"/>
      <c r="AS266" s="1797">
        <v>3.3</v>
      </c>
      <c r="AT266" s="1797"/>
      <c r="AU266" s="1797"/>
      <c r="AV266" s="1797"/>
      <c r="AW266" s="1797"/>
      <c r="AX266" s="1797"/>
      <c r="AY266" s="1797"/>
      <c r="AZ266" s="1797"/>
      <c r="BA266" s="1898" t="e">
        <f t="shared" si="25"/>
        <v>#REF!</v>
      </c>
      <c r="BB266" s="1898"/>
      <c r="BC266" s="1898"/>
      <c r="BD266" s="1898"/>
      <c r="BE266" s="1898"/>
      <c r="BF266" s="1898"/>
      <c r="BG266" s="1898"/>
      <c r="BH266" s="1898"/>
      <c r="BI266" s="1898" t="e">
        <f t="shared" si="26"/>
        <v>#REF!</v>
      </c>
      <c r="BJ266" s="1898"/>
      <c r="BK266" s="1898"/>
      <c r="BL266" s="1898"/>
      <c r="BM266" s="1898"/>
      <c r="BN266" s="1898"/>
      <c r="BO266" s="1898"/>
      <c r="BP266" s="1898"/>
      <c r="BQ266" s="1898" t="e">
        <f t="shared" si="27"/>
        <v>#REF!</v>
      </c>
      <c r="BR266" s="1898"/>
      <c r="BS266" s="1898"/>
      <c r="BT266" s="1898"/>
      <c r="BU266" s="1898"/>
      <c r="BV266" s="1898"/>
      <c r="BW266" s="1898"/>
      <c r="BX266" s="1898"/>
      <c r="BY266" s="1894" t="e">
        <f t="shared" si="28"/>
        <v>#REF!</v>
      </c>
      <c r="BZ266" s="1894"/>
      <c r="CA266" s="1894"/>
      <c r="CB266" s="1894"/>
      <c r="CC266" s="1894"/>
      <c r="CD266" s="1894"/>
      <c r="CE266" s="1894"/>
      <c r="CF266" s="1895"/>
    </row>
    <row r="267" spans="1:88" s="400" customFormat="1" ht="23.1" customHeight="1" thickBot="1">
      <c r="E267" s="1978"/>
      <c r="F267" s="1979"/>
      <c r="G267" s="1979"/>
      <c r="H267" s="1979"/>
      <c r="I267" s="1979"/>
      <c r="J267" s="1926" t="s">
        <v>399</v>
      </c>
      <c r="K267" s="1926"/>
      <c r="L267" s="1926"/>
      <c r="M267" s="1926"/>
      <c r="N267" s="1926"/>
      <c r="O267" s="1926"/>
      <c r="P267" s="1926"/>
      <c r="Q267" s="1926"/>
      <c r="R267" s="1926"/>
      <c r="S267" s="1926"/>
      <c r="T267" s="1926"/>
      <c r="U267" s="1872" t="e">
        <f>$AG$285</f>
        <v>#REF!</v>
      </c>
      <c r="V267" s="1872"/>
      <c r="W267" s="1872"/>
      <c r="X267" s="1872"/>
      <c r="Y267" s="1872"/>
      <c r="Z267" s="1872"/>
      <c r="AA267" s="1872"/>
      <c r="AB267" s="1872"/>
      <c r="AC267" s="1872" t="e">
        <f>$AQ$285+$AF$269</f>
        <v>#REF!</v>
      </c>
      <c r="AD267" s="1872"/>
      <c r="AE267" s="1872"/>
      <c r="AF267" s="1872"/>
      <c r="AG267" s="1872"/>
      <c r="AH267" s="1872"/>
      <c r="AI267" s="1872"/>
      <c r="AJ267" s="1872"/>
      <c r="AK267" s="1872" t="e">
        <f>$BA$285</f>
        <v>#REF!</v>
      </c>
      <c r="AL267" s="1872"/>
      <c r="AM267" s="1872"/>
      <c r="AN267" s="1872"/>
      <c r="AO267" s="1872"/>
      <c r="AP267" s="1872"/>
      <c r="AQ267" s="1872"/>
      <c r="AR267" s="1872"/>
      <c r="AS267" s="1973">
        <v>4.5999999999999996</v>
      </c>
      <c r="AT267" s="1973"/>
      <c r="AU267" s="1973"/>
      <c r="AV267" s="1973"/>
      <c r="AW267" s="1973"/>
      <c r="AX267" s="1973"/>
      <c r="AY267" s="1973"/>
      <c r="AZ267" s="1973"/>
      <c r="BA267" s="1969" t="e">
        <f t="shared" si="25"/>
        <v>#REF!</v>
      </c>
      <c r="BB267" s="1969"/>
      <c r="BC267" s="1969"/>
      <c r="BD267" s="1969"/>
      <c r="BE267" s="1969"/>
      <c r="BF267" s="1969"/>
      <c r="BG267" s="1969"/>
      <c r="BH267" s="1969"/>
      <c r="BI267" s="1969" t="e">
        <f t="shared" si="26"/>
        <v>#REF!</v>
      </c>
      <c r="BJ267" s="1969"/>
      <c r="BK267" s="1969"/>
      <c r="BL267" s="1969"/>
      <c r="BM267" s="1969"/>
      <c r="BN267" s="1969"/>
      <c r="BO267" s="1969"/>
      <c r="BP267" s="1969"/>
      <c r="BQ267" s="1969" t="e">
        <f t="shared" si="27"/>
        <v>#REF!</v>
      </c>
      <c r="BR267" s="1969"/>
      <c r="BS267" s="1969"/>
      <c r="BT267" s="1969"/>
      <c r="BU267" s="1969"/>
      <c r="BV267" s="1969"/>
      <c r="BW267" s="1969"/>
      <c r="BX267" s="1969"/>
      <c r="BY267" s="1971" t="e">
        <f t="shared" si="28"/>
        <v>#REF!</v>
      </c>
      <c r="BZ267" s="1971"/>
      <c r="CA267" s="1971"/>
      <c r="CB267" s="1971"/>
      <c r="CC267" s="1971"/>
      <c r="CD267" s="1971"/>
      <c r="CE267" s="1971"/>
      <c r="CF267" s="1972"/>
    </row>
    <row r="268" spans="1:88" s="400" customFormat="1" ht="23.1" customHeight="1">
      <c r="D268" s="403"/>
      <c r="E268" s="406"/>
      <c r="F268" s="406"/>
      <c r="G268" s="407" t="s">
        <v>475</v>
      </c>
      <c r="H268" s="406"/>
      <c r="I268" s="406"/>
      <c r="J268" s="406"/>
      <c r="K268" s="406"/>
      <c r="L268" s="406"/>
      <c r="M268" s="406"/>
      <c r="N268" s="406"/>
      <c r="O268" s="406"/>
      <c r="P268" s="406"/>
      <c r="Q268" s="406"/>
      <c r="R268" s="406"/>
      <c r="S268" s="406"/>
      <c r="T268" s="406"/>
      <c r="U268" s="406"/>
      <c r="V268" s="406"/>
      <c r="W268" s="406"/>
      <c r="X268" s="406"/>
      <c r="Y268" s="406"/>
      <c r="Z268" s="406"/>
      <c r="AA268" s="406"/>
      <c r="AB268" s="406"/>
      <c r="AC268" s="406"/>
      <c r="AD268" s="406"/>
      <c r="AE268" s="406"/>
      <c r="AF268" s="406"/>
      <c r="AG268" s="406"/>
      <c r="AH268" s="406"/>
      <c r="AI268" s="406"/>
      <c r="AJ268" s="406"/>
      <c r="AK268" s="406"/>
      <c r="AL268" s="406"/>
      <c r="AM268" s="406"/>
      <c r="AN268" s="406"/>
      <c r="AO268" s="406"/>
      <c r="AP268" s="406"/>
      <c r="AQ268" s="406"/>
      <c r="AR268" s="406"/>
      <c r="AS268" s="406"/>
      <c r="AT268" s="406"/>
      <c r="AU268" s="406"/>
      <c r="AV268" s="406"/>
      <c r="AW268" s="406"/>
      <c r="AX268" s="406"/>
      <c r="AY268" s="406"/>
      <c r="AZ268" s="406"/>
      <c r="BA268" s="406"/>
      <c r="BB268" s="406"/>
      <c r="BC268" s="406"/>
      <c r="BD268" s="406"/>
      <c r="BE268" s="406"/>
      <c r="BF268" s="406"/>
      <c r="BG268" s="406"/>
      <c r="BH268" s="406"/>
      <c r="BI268" s="406"/>
      <c r="BJ268" s="406"/>
      <c r="BK268" s="406"/>
      <c r="BL268" s="406"/>
      <c r="BM268" s="406"/>
      <c r="BN268" s="406"/>
      <c r="BO268" s="406"/>
      <c r="BP268" s="406"/>
      <c r="BQ268" s="406"/>
      <c r="BR268" s="406"/>
      <c r="BS268" s="406"/>
      <c r="BT268" s="426"/>
      <c r="BU268" s="426"/>
      <c r="BV268" s="426"/>
      <c r="BW268" s="426"/>
      <c r="BX268" s="426"/>
      <c r="BY268" s="426"/>
      <c r="BZ268" s="426"/>
      <c r="CA268" s="426"/>
      <c r="CB268" s="426"/>
      <c r="CC268" s="426"/>
      <c r="CD268" s="406"/>
      <c r="CE268" s="406"/>
      <c r="CF268" s="406"/>
    </row>
    <row r="269" spans="1:88" s="402" customFormat="1" ht="23.1" customHeight="1">
      <c r="I269" s="402" t="s">
        <v>476</v>
      </c>
      <c r="Q269" s="425"/>
      <c r="R269" s="1993">
        <f>[53]노임단가!$T$5</f>
        <v>172068</v>
      </c>
      <c r="S269" s="1993"/>
      <c r="T269" s="1993"/>
      <c r="U269" s="1993"/>
      <c r="V269" s="1993"/>
      <c r="W269" s="1993"/>
      <c r="X269" s="1993"/>
      <c r="Y269" s="1993"/>
      <c r="Z269" s="1994" t="s">
        <v>477</v>
      </c>
      <c r="AA269" s="1994"/>
      <c r="AB269" s="1994">
        <v>8</v>
      </c>
      <c r="AC269" s="1994"/>
      <c r="AD269" s="1994" t="s">
        <v>41</v>
      </c>
      <c r="AE269" s="1994"/>
      <c r="AF269" s="1993">
        <f>INT(R269/AB269)</f>
        <v>21508</v>
      </c>
      <c r="AG269" s="1993"/>
      <c r="AH269" s="1993"/>
      <c r="AI269" s="1993"/>
      <c r="AJ269" s="1993"/>
      <c r="AK269" s="1993"/>
      <c r="AL269" s="1993"/>
      <c r="AM269" s="1993"/>
      <c r="AN269" s="402" t="s">
        <v>478</v>
      </c>
      <c r="BT269" s="424"/>
      <c r="BU269" s="424"/>
      <c r="BV269" s="424"/>
      <c r="BW269" s="424"/>
      <c r="BX269" s="424"/>
      <c r="BY269" s="424"/>
      <c r="BZ269" s="424"/>
      <c r="CA269" s="424"/>
      <c r="CB269" s="424"/>
      <c r="CC269" s="424"/>
      <c r="CJ269" s="400"/>
    </row>
    <row r="270" spans="1:88" s="400" customFormat="1" ht="23.1" customHeight="1">
      <c r="A270" s="402"/>
      <c r="B270" s="402"/>
      <c r="C270" s="402"/>
      <c r="D270" s="402"/>
      <c r="G270" s="402" t="s">
        <v>739</v>
      </c>
      <c r="U270" s="416"/>
      <c r="V270" s="416"/>
      <c r="W270" s="416"/>
      <c r="X270" s="416"/>
      <c r="Y270" s="416"/>
      <c r="Z270" s="416"/>
      <c r="AA270" s="416"/>
      <c r="AB270" s="416"/>
      <c r="AC270" s="416"/>
      <c r="AD270" s="416"/>
      <c r="AE270" s="416"/>
      <c r="AF270" s="416"/>
      <c r="AG270" s="416"/>
      <c r="AH270" s="416"/>
      <c r="AI270" s="416"/>
      <c r="AJ270" s="416"/>
      <c r="AK270" s="416"/>
      <c r="AL270" s="416"/>
      <c r="AM270" s="416"/>
      <c r="AN270" s="416"/>
      <c r="AO270" s="416"/>
      <c r="AP270" s="416"/>
      <c r="AQ270" s="416"/>
      <c r="AR270" s="416"/>
      <c r="AS270" s="417"/>
      <c r="AT270" s="417"/>
      <c r="AU270" s="417"/>
      <c r="AV270" s="417"/>
      <c r="AW270" s="417"/>
      <c r="AX270" s="417"/>
      <c r="AY270" s="417"/>
      <c r="AZ270" s="417"/>
      <c r="BA270" s="416"/>
      <c r="BB270" s="416"/>
      <c r="BC270" s="416"/>
      <c r="BD270" s="416"/>
      <c r="BE270" s="416"/>
      <c r="BF270" s="416"/>
      <c r="BG270" s="416"/>
      <c r="BH270" s="416"/>
      <c r="BI270" s="416"/>
      <c r="BJ270" s="416"/>
      <c r="BK270" s="416"/>
      <c r="BL270" s="416"/>
      <c r="BM270" s="416"/>
      <c r="BN270" s="416"/>
      <c r="BO270" s="416"/>
      <c r="BP270" s="416"/>
      <c r="BQ270" s="416"/>
      <c r="BR270" s="416"/>
      <c r="BS270" s="416"/>
      <c r="BT270" s="416"/>
      <c r="BU270" s="416"/>
      <c r="BV270" s="416"/>
      <c r="BW270" s="416"/>
      <c r="BX270" s="416"/>
      <c r="BY270" s="415"/>
      <c r="BZ270" s="415"/>
      <c r="CA270" s="415"/>
      <c r="CB270" s="415"/>
      <c r="CC270" s="415"/>
      <c r="CD270" s="415"/>
      <c r="CE270" s="415"/>
      <c r="CF270" s="415"/>
    </row>
    <row r="271" spans="1:88" s="400" customFormat="1" ht="23.1" customHeight="1">
      <c r="E271" s="400" t="s">
        <v>427</v>
      </c>
      <c r="U271" s="416"/>
      <c r="V271" s="416"/>
      <c r="W271" s="416"/>
      <c r="X271" s="416"/>
      <c r="Y271" s="416"/>
      <c r="Z271" s="416"/>
      <c r="AA271" s="416"/>
      <c r="AB271" s="416"/>
      <c r="AC271" s="416"/>
      <c r="AD271" s="416"/>
      <c r="AE271" s="416"/>
      <c r="AF271" s="416"/>
      <c r="AG271" s="416"/>
      <c r="AH271" s="416"/>
      <c r="AI271" s="416"/>
      <c r="AJ271" s="416"/>
      <c r="AK271" s="416"/>
      <c r="AL271" s="416"/>
      <c r="AM271" s="416"/>
      <c r="AN271" s="416"/>
      <c r="AO271" s="416"/>
      <c r="AP271" s="416"/>
      <c r="AQ271" s="416"/>
      <c r="AR271" s="416"/>
      <c r="AS271" s="417"/>
      <c r="AT271" s="417"/>
      <c r="AU271" s="417"/>
      <c r="AV271" s="417"/>
      <c r="AW271" s="417"/>
      <c r="AX271" s="417"/>
      <c r="AY271" s="417"/>
      <c r="AZ271" s="417"/>
      <c r="BA271" s="416"/>
      <c r="BB271" s="416"/>
      <c r="BC271" s="416"/>
      <c r="BD271" s="416"/>
      <c r="BE271" s="416"/>
      <c r="BF271" s="416"/>
      <c r="BG271" s="416"/>
      <c r="BH271" s="416"/>
      <c r="BI271" s="416"/>
      <c r="BJ271" s="416"/>
      <c r="BK271" s="416"/>
      <c r="BL271" s="416"/>
      <c r="BM271" s="416"/>
      <c r="BN271" s="416"/>
      <c r="BO271" s="416"/>
      <c r="BP271" s="416"/>
      <c r="BQ271" s="416"/>
      <c r="BR271" s="416"/>
      <c r="BS271" s="416"/>
      <c r="BT271" s="416"/>
      <c r="BU271" s="416"/>
      <c r="BV271" s="416"/>
      <c r="BW271" s="416"/>
      <c r="BX271" s="416"/>
    </row>
    <row r="272" spans="1:88" s="400" customFormat="1" ht="9.9499999999999993" customHeight="1" thickBot="1"/>
    <row r="273" spans="1:88" s="400" customFormat="1" ht="23.1" customHeight="1" thickBot="1">
      <c r="E273" s="1835" t="s">
        <v>368</v>
      </c>
      <c r="F273" s="1836"/>
      <c r="G273" s="1836"/>
      <c r="H273" s="1836"/>
      <c r="I273" s="1836"/>
      <c r="J273" s="1836"/>
      <c r="K273" s="1836"/>
      <c r="L273" s="1836"/>
      <c r="M273" s="1836"/>
      <c r="N273" s="1836"/>
      <c r="O273" s="1836"/>
      <c r="P273" s="1836"/>
      <c r="Q273" s="1836"/>
      <c r="R273" s="1836"/>
      <c r="S273" s="1836"/>
      <c r="T273" s="1836" t="s">
        <v>428</v>
      </c>
      <c r="U273" s="1836"/>
      <c r="V273" s="1836"/>
      <c r="W273" s="1836"/>
      <c r="X273" s="1836"/>
      <c r="Y273" s="1836"/>
      <c r="Z273" s="1836"/>
      <c r="AA273" s="1836"/>
      <c r="AB273" s="1836" t="s">
        <v>370</v>
      </c>
      <c r="AC273" s="1836"/>
      <c r="AD273" s="1836"/>
      <c r="AE273" s="1836"/>
      <c r="AF273" s="1836"/>
      <c r="AG273" s="1899" t="s">
        <v>429</v>
      </c>
      <c r="AH273" s="1899"/>
      <c r="AI273" s="1899"/>
      <c r="AJ273" s="1899"/>
      <c r="AK273" s="1899"/>
      <c r="AL273" s="1899"/>
      <c r="AM273" s="1899"/>
      <c r="AN273" s="1899"/>
      <c r="AO273" s="1899"/>
      <c r="AP273" s="1899"/>
      <c r="AQ273" s="1899" t="s">
        <v>430</v>
      </c>
      <c r="AR273" s="1899"/>
      <c r="AS273" s="1899"/>
      <c r="AT273" s="1899"/>
      <c r="AU273" s="1899"/>
      <c r="AV273" s="1899"/>
      <c r="AW273" s="1899"/>
      <c r="AX273" s="1899"/>
      <c r="AY273" s="1899"/>
      <c r="AZ273" s="1899"/>
      <c r="BA273" s="1899" t="s">
        <v>431</v>
      </c>
      <c r="BB273" s="1899"/>
      <c r="BC273" s="1899"/>
      <c r="BD273" s="1899"/>
      <c r="BE273" s="1899"/>
      <c r="BF273" s="1899"/>
      <c r="BG273" s="1899"/>
      <c r="BH273" s="1899"/>
      <c r="BI273" s="1899"/>
      <c r="BJ273" s="1899"/>
      <c r="BK273" s="1899" t="s">
        <v>432</v>
      </c>
      <c r="BL273" s="1899"/>
      <c r="BM273" s="1899"/>
      <c r="BN273" s="1899"/>
      <c r="BO273" s="1899"/>
      <c r="BP273" s="1899"/>
      <c r="BQ273" s="1899"/>
      <c r="BR273" s="1899"/>
      <c r="BS273" s="1899"/>
      <c r="BT273" s="1899"/>
      <c r="BU273" s="1899" t="s">
        <v>433</v>
      </c>
      <c r="BV273" s="1899"/>
      <c r="BW273" s="1899"/>
      <c r="BX273" s="1899"/>
      <c r="BY273" s="1899"/>
      <c r="BZ273" s="1899"/>
      <c r="CA273" s="1899"/>
      <c r="CB273" s="1899"/>
      <c r="CC273" s="1899"/>
      <c r="CD273" s="1899"/>
      <c r="CE273" s="1899"/>
      <c r="CF273" s="1905"/>
    </row>
    <row r="274" spans="1:88" s="400" customFormat="1" ht="23.1" customHeight="1" thickTop="1">
      <c r="E274" s="1980" t="s">
        <v>530</v>
      </c>
      <c r="F274" s="1981"/>
      <c r="G274" s="1981"/>
      <c r="H274" s="1981"/>
      <c r="I274" s="1829" t="s">
        <v>738</v>
      </c>
      <c r="J274" s="1829"/>
      <c r="K274" s="1829"/>
      <c r="L274" s="1829"/>
      <c r="M274" s="1829"/>
      <c r="N274" s="1829"/>
      <c r="O274" s="1829"/>
      <c r="P274" s="1829"/>
      <c r="Q274" s="1829"/>
      <c r="R274" s="1829"/>
      <c r="S274" s="1829"/>
      <c r="T274" s="1873">
        <v>1</v>
      </c>
      <c r="U274" s="1873"/>
      <c r="V274" s="1873"/>
      <c r="W274" s="1873"/>
      <c r="X274" s="1873"/>
      <c r="Y274" s="1873"/>
      <c r="Z274" s="1873"/>
      <c r="AA274" s="1873"/>
      <c r="AB274" s="1873" t="s">
        <v>418</v>
      </c>
      <c r="AC274" s="1873"/>
      <c r="AD274" s="1873"/>
      <c r="AE274" s="1873"/>
      <c r="AF274" s="1873"/>
      <c r="AG274" s="1814"/>
      <c r="AH274" s="1814"/>
      <c r="AI274" s="1814"/>
      <c r="AJ274" s="1814"/>
      <c r="AK274" s="1814"/>
      <c r="AL274" s="1814"/>
      <c r="AM274" s="1814"/>
      <c r="AN274" s="1814"/>
      <c r="AO274" s="1814"/>
      <c r="AP274" s="1814"/>
      <c r="AQ274" s="1814"/>
      <c r="AR274" s="1814"/>
      <c r="AS274" s="1814"/>
      <c r="AT274" s="1814"/>
      <c r="AU274" s="1814"/>
      <c r="AV274" s="1814"/>
      <c r="AW274" s="1814"/>
      <c r="AX274" s="1814"/>
      <c r="AY274" s="1814"/>
      <c r="AZ274" s="1814"/>
      <c r="BA274" s="1814" t="e">
        <f>#REF!</f>
        <v>#REF!</v>
      </c>
      <c r="BB274" s="1814"/>
      <c r="BC274" s="1814"/>
      <c r="BD274" s="1814"/>
      <c r="BE274" s="1814"/>
      <c r="BF274" s="1814"/>
      <c r="BG274" s="1814"/>
      <c r="BH274" s="1814"/>
      <c r="BI274" s="1814"/>
      <c r="BJ274" s="1814"/>
      <c r="BK274" s="1814" t="e">
        <f t="shared" ref="BK274:BK285" si="29">AG274+AQ274+BA274</f>
        <v>#REF!</v>
      </c>
      <c r="BL274" s="1814"/>
      <c r="BM274" s="1814"/>
      <c r="BN274" s="1814"/>
      <c r="BO274" s="1814"/>
      <c r="BP274" s="1814"/>
      <c r="BQ274" s="1814"/>
      <c r="BR274" s="1814"/>
      <c r="BS274" s="1814"/>
      <c r="BT274" s="1814"/>
      <c r="BU274" s="1885"/>
      <c r="BV274" s="1885"/>
      <c r="BW274" s="1885"/>
      <c r="BX274" s="1885"/>
      <c r="BY274" s="1885"/>
      <c r="BZ274" s="1885"/>
      <c r="CA274" s="1885"/>
      <c r="CB274" s="1885"/>
      <c r="CC274" s="1885"/>
      <c r="CD274" s="1885"/>
      <c r="CE274" s="1885"/>
      <c r="CF274" s="1886"/>
    </row>
    <row r="275" spans="1:88" s="400" customFormat="1" ht="23.1" customHeight="1">
      <c r="E275" s="1980"/>
      <c r="F275" s="1981"/>
      <c r="G275" s="1981"/>
      <c r="H275" s="1981"/>
      <c r="I275" s="1829" t="s">
        <v>479</v>
      </c>
      <c r="J275" s="1829"/>
      <c r="K275" s="1829"/>
      <c r="L275" s="1829"/>
      <c r="M275" s="1829"/>
      <c r="N275" s="1829"/>
      <c r="O275" s="1829"/>
      <c r="P275" s="1829"/>
      <c r="Q275" s="1829"/>
      <c r="R275" s="1829"/>
      <c r="S275" s="1829"/>
      <c r="T275" s="1873">
        <v>1</v>
      </c>
      <c r="U275" s="1873"/>
      <c r="V275" s="1873"/>
      <c r="W275" s="1873"/>
      <c r="X275" s="1873"/>
      <c r="Y275" s="1873"/>
      <c r="Z275" s="1873"/>
      <c r="AA275" s="1873"/>
      <c r="AB275" s="1873" t="s">
        <v>418</v>
      </c>
      <c r="AC275" s="1873"/>
      <c r="AD275" s="1873"/>
      <c r="AE275" s="1873"/>
      <c r="AF275" s="1873"/>
      <c r="AG275" s="1814"/>
      <c r="AH275" s="1814"/>
      <c r="AI275" s="1814"/>
      <c r="AJ275" s="1814"/>
      <c r="AK275" s="1814"/>
      <c r="AL275" s="1814"/>
      <c r="AM275" s="1814"/>
      <c r="AN275" s="1814"/>
      <c r="AO275" s="1814"/>
      <c r="AP275" s="1814"/>
      <c r="AQ275" s="1814"/>
      <c r="AR275" s="1814"/>
      <c r="AS275" s="1814"/>
      <c r="AT275" s="1814"/>
      <c r="AU275" s="1814"/>
      <c r="AV275" s="1814"/>
      <c r="AW275" s="1814"/>
      <c r="AX275" s="1814"/>
      <c r="AY275" s="1814"/>
      <c r="AZ275" s="1814"/>
      <c r="BA275" s="1814" t="e">
        <f>#REF!</f>
        <v>#REF!</v>
      </c>
      <c r="BB275" s="1814"/>
      <c r="BC275" s="1814"/>
      <c r="BD275" s="1814"/>
      <c r="BE275" s="1814"/>
      <c r="BF275" s="1814"/>
      <c r="BG275" s="1814"/>
      <c r="BH275" s="1814"/>
      <c r="BI275" s="1814"/>
      <c r="BJ275" s="1814"/>
      <c r="BK275" s="1814" t="e">
        <f t="shared" si="29"/>
        <v>#REF!</v>
      </c>
      <c r="BL275" s="1814"/>
      <c r="BM275" s="1814"/>
      <c r="BN275" s="1814"/>
      <c r="BO275" s="1814"/>
      <c r="BP275" s="1814"/>
      <c r="BQ275" s="1814"/>
      <c r="BR275" s="1814"/>
      <c r="BS275" s="1814"/>
      <c r="BT275" s="1814"/>
      <c r="BU275" s="1885"/>
      <c r="BV275" s="1885"/>
      <c r="BW275" s="1885"/>
      <c r="BX275" s="1885"/>
      <c r="BY275" s="1885"/>
      <c r="BZ275" s="1885"/>
      <c r="CA275" s="1885"/>
      <c r="CB275" s="1885"/>
      <c r="CC275" s="1885"/>
      <c r="CD275" s="1885"/>
      <c r="CE275" s="1885"/>
      <c r="CF275" s="1886"/>
    </row>
    <row r="276" spans="1:88" s="400" customFormat="1" ht="23.1" customHeight="1">
      <c r="E276" s="1982"/>
      <c r="F276" s="1983"/>
      <c r="G276" s="1983"/>
      <c r="H276" s="1983"/>
      <c r="I276" s="1979" t="s">
        <v>480</v>
      </c>
      <c r="J276" s="1979"/>
      <c r="K276" s="1979"/>
      <c r="L276" s="1979"/>
      <c r="M276" s="1979"/>
      <c r="N276" s="1979"/>
      <c r="O276" s="1979"/>
      <c r="P276" s="1979"/>
      <c r="Q276" s="1979"/>
      <c r="R276" s="1979"/>
      <c r="S276" s="1979"/>
      <c r="T276" s="1875">
        <v>1</v>
      </c>
      <c r="U276" s="1875"/>
      <c r="V276" s="1875"/>
      <c r="W276" s="1875"/>
      <c r="X276" s="1875"/>
      <c r="Y276" s="1875"/>
      <c r="Z276" s="1875"/>
      <c r="AA276" s="1875"/>
      <c r="AB276" s="1875" t="s">
        <v>418</v>
      </c>
      <c r="AC276" s="1875"/>
      <c r="AD276" s="1875"/>
      <c r="AE276" s="1875"/>
      <c r="AF276" s="1875"/>
      <c r="AG276" s="1872"/>
      <c r="AH276" s="1872"/>
      <c r="AI276" s="1872"/>
      <c r="AJ276" s="1872"/>
      <c r="AK276" s="1872"/>
      <c r="AL276" s="1872"/>
      <c r="AM276" s="1872"/>
      <c r="AN276" s="1872"/>
      <c r="AO276" s="1872"/>
      <c r="AP276" s="1872"/>
      <c r="AQ276" s="1872"/>
      <c r="AR276" s="1872"/>
      <c r="AS276" s="1872"/>
      <c r="AT276" s="1872"/>
      <c r="AU276" s="1872"/>
      <c r="AV276" s="1872"/>
      <c r="AW276" s="1872"/>
      <c r="AX276" s="1872"/>
      <c r="AY276" s="1872"/>
      <c r="AZ276" s="1872"/>
      <c r="BA276" s="1872" t="e">
        <f>#REF!</f>
        <v>#REF!</v>
      </c>
      <c r="BB276" s="1872"/>
      <c r="BC276" s="1872"/>
      <c r="BD276" s="1872"/>
      <c r="BE276" s="1872"/>
      <c r="BF276" s="1872"/>
      <c r="BG276" s="1872"/>
      <c r="BH276" s="1872"/>
      <c r="BI276" s="1872"/>
      <c r="BJ276" s="1872"/>
      <c r="BK276" s="1872" t="e">
        <f t="shared" si="29"/>
        <v>#REF!</v>
      </c>
      <c r="BL276" s="1872"/>
      <c r="BM276" s="1872"/>
      <c r="BN276" s="1872"/>
      <c r="BO276" s="1872"/>
      <c r="BP276" s="1872"/>
      <c r="BQ276" s="1872"/>
      <c r="BR276" s="1872"/>
      <c r="BS276" s="1872"/>
      <c r="BT276" s="1872"/>
      <c r="BU276" s="1887"/>
      <c r="BV276" s="1887"/>
      <c r="BW276" s="1887"/>
      <c r="BX276" s="1887"/>
      <c r="BY276" s="1887"/>
      <c r="BZ276" s="1887"/>
      <c r="CA276" s="1887"/>
      <c r="CB276" s="1887"/>
      <c r="CC276" s="1887"/>
      <c r="CD276" s="1887"/>
      <c r="CE276" s="1887"/>
      <c r="CF276" s="1888"/>
    </row>
    <row r="277" spans="1:88" s="400" customFormat="1" ht="23.1" customHeight="1">
      <c r="E277" s="1870" t="s">
        <v>481</v>
      </c>
      <c r="F277" s="1871"/>
      <c r="G277" s="1871"/>
      <c r="H277" s="1871"/>
      <c r="I277" s="1874" t="s">
        <v>395</v>
      </c>
      <c r="J277" s="1874"/>
      <c r="K277" s="1874"/>
      <c r="L277" s="1874"/>
      <c r="M277" s="1874"/>
      <c r="N277" s="1874"/>
      <c r="O277" s="1874"/>
      <c r="P277" s="1874"/>
      <c r="Q277" s="1874"/>
      <c r="R277" s="1874"/>
      <c r="S277" s="1874"/>
      <c r="T277" s="1873">
        <v>1</v>
      </c>
      <c r="U277" s="1873"/>
      <c r="V277" s="1873"/>
      <c r="W277" s="1873"/>
      <c r="X277" s="1873"/>
      <c r="Y277" s="1873"/>
      <c r="Z277" s="1873"/>
      <c r="AA277" s="1873"/>
      <c r="AB277" s="1873" t="s">
        <v>418</v>
      </c>
      <c r="AC277" s="1873"/>
      <c r="AD277" s="1873"/>
      <c r="AE277" s="1873"/>
      <c r="AF277" s="1873"/>
      <c r="AG277" s="1814" t="e">
        <f>#REF!</f>
        <v>#REF!</v>
      </c>
      <c r="AH277" s="1814"/>
      <c r="AI277" s="1814"/>
      <c r="AJ277" s="1814"/>
      <c r="AK277" s="1814"/>
      <c r="AL277" s="1814"/>
      <c r="AM277" s="1814"/>
      <c r="AN277" s="1814"/>
      <c r="AO277" s="1814"/>
      <c r="AP277" s="1814"/>
      <c r="AQ277" s="1814" t="e">
        <f>#REF!</f>
        <v>#REF!</v>
      </c>
      <c r="AR277" s="1814"/>
      <c r="AS277" s="1814"/>
      <c r="AT277" s="1814"/>
      <c r="AU277" s="1814"/>
      <c r="AV277" s="1814"/>
      <c r="AW277" s="1814"/>
      <c r="AX277" s="1814"/>
      <c r="AY277" s="1814"/>
      <c r="AZ277" s="1814"/>
      <c r="BA277" s="1814" t="e">
        <f>#REF!</f>
        <v>#REF!</v>
      </c>
      <c r="BB277" s="1814"/>
      <c r="BC277" s="1814"/>
      <c r="BD277" s="1814"/>
      <c r="BE277" s="1814"/>
      <c r="BF277" s="1814"/>
      <c r="BG277" s="1814"/>
      <c r="BH277" s="1814"/>
      <c r="BI277" s="1814"/>
      <c r="BJ277" s="1814"/>
      <c r="BK277" s="1814" t="e">
        <f t="shared" si="29"/>
        <v>#REF!</v>
      </c>
      <c r="BL277" s="1814"/>
      <c r="BM277" s="1814"/>
      <c r="BN277" s="1814"/>
      <c r="BO277" s="1814"/>
      <c r="BP277" s="1814"/>
      <c r="BQ277" s="1814"/>
      <c r="BR277" s="1814"/>
      <c r="BS277" s="1814"/>
      <c r="BT277" s="1814"/>
      <c r="BU277" s="1885"/>
      <c r="BV277" s="1885"/>
      <c r="BW277" s="1885"/>
      <c r="BX277" s="1885"/>
      <c r="BY277" s="1885"/>
      <c r="BZ277" s="1885"/>
      <c r="CA277" s="1885"/>
      <c r="CB277" s="1885"/>
      <c r="CC277" s="1885"/>
      <c r="CD277" s="1885"/>
      <c r="CE277" s="1885"/>
      <c r="CF277" s="1886"/>
    </row>
    <row r="278" spans="1:88" s="400" customFormat="1" ht="23.1" customHeight="1">
      <c r="E278" s="1870"/>
      <c r="F278" s="1871"/>
      <c r="G278" s="1871"/>
      <c r="H278" s="1871"/>
      <c r="I278" s="1874" t="s">
        <v>359</v>
      </c>
      <c r="J278" s="1874"/>
      <c r="K278" s="1874"/>
      <c r="L278" s="1874"/>
      <c r="M278" s="1874"/>
      <c r="N278" s="1874"/>
      <c r="O278" s="1874"/>
      <c r="P278" s="1874"/>
      <c r="Q278" s="1874"/>
      <c r="R278" s="1874"/>
      <c r="S278" s="1874"/>
      <c r="T278" s="1873">
        <v>1</v>
      </c>
      <c r="U278" s="1873"/>
      <c r="V278" s="1873"/>
      <c r="W278" s="1873"/>
      <c r="X278" s="1873"/>
      <c r="Y278" s="1873"/>
      <c r="Z278" s="1873"/>
      <c r="AA278" s="1873"/>
      <c r="AB278" s="1873" t="s">
        <v>418</v>
      </c>
      <c r="AC278" s="1873"/>
      <c r="AD278" s="1873"/>
      <c r="AE278" s="1873"/>
      <c r="AF278" s="1873"/>
      <c r="AG278" s="1814" t="e">
        <f>#REF!</f>
        <v>#REF!</v>
      </c>
      <c r="AH278" s="1814"/>
      <c r="AI278" s="1814"/>
      <c r="AJ278" s="1814"/>
      <c r="AK278" s="1814"/>
      <c r="AL278" s="1814"/>
      <c r="AM278" s="1814"/>
      <c r="AN278" s="1814"/>
      <c r="AO278" s="1814"/>
      <c r="AP278" s="1814"/>
      <c r="AQ278" s="1814" t="e">
        <f>#REF!</f>
        <v>#REF!</v>
      </c>
      <c r="AR278" s="1814"/>
      <c r="AS278" s="1814"/>
      <c r="AT278" s="1814"/>
      <c r="AU278" s="1814"/>
      <c r="AV278" s="1814"/>
      <c r="AW278" s="1814"/>
      <c r="AX278" s="1814"/>
      <c r="AY278" s="1814"/>
      <c r="AZ278" s="1814"/>
      <c r="BA278" s="1814" t="e">
        <f>#REF!</f>
        <v>#REF!</v>
      </c>
      <c r="BB278" s="1814"/>
      <c r="BC278" s="1814"/>
      <c r="BD278" s="1814"/>
      <c r="BE278" s="1814"/>
      <c r="BF278" s="1814"/>
      <c r="BG278" s="1814"/>
      <c r="BH278" s="1814"/>
      <c r="BI278" s="1814"/>
      <c r="BJ278" s="1814"/>
      <c r="BK278" s="1814" t="e">
        <f t="shared" si="29"/>
        <v>#REF!</v>
      </c>
      <c r="BL278" s="1814"/>
      <c r="BM278" s="1814"/>
      <c r="BN278" s="1814"/>
      <c r="BO278" s="1814"/>
      <c r="BP278" s="1814"/>
      <c r="BQ278" s="1814"/>
      <c r="BR278" s="1814"/>
      <c r="BS278" s="1814"/>
      <c r="BT278" s="1814"/>
      <c r="BU278" s="1885"/>
      <c r="BV278" s="1885"/>
      <c r="BW278" s="1885"/>
      <c r="BX278" s="1885"/>
      <c r="BY278" s="1885"/>
      <c r="BZ278" s="1885"/>
      <c r="CA278" s="1885"/>
      <c r="CB278" s="1885"/>
      <c r="CC278" s="1885"/>
      <c r="CD278" s="1885"/>
      <c r="CE278" s="1885"/>
      <c r="CF278" s="1886"/>
    </row>
    <row r="279" spans="1:88" s="400" customFormat="1" ht="23.1" customHeight="1">
      <c r="E279" s="1903"/>
      <c r="F279" s="1904"/>
      <c r="G279" s="1904"/>
      <c r="H279" s="1904"/>
      <c r="I279" s="1926" t="s">
        <v>399</v>
      </c>
      <c r="J279" s="1926"/>
      <c r="K279" s="1926"/>
      <c r="L279" s="1926"/>
      <c r="M279" s="1926"/>
      <c r="N279" s="1926"/>
      <c r="O279" s="1926"/>
      <c r="P279" s="1926"/>
      <c r="Q279" s="1926"/>
      <c r="R279" s="1926"/>
      <c r="S279" s="1926"/>
      <c r="T279" s="1875">
        <v>1</v>
      </c>
      <c r="U279" s="1875"/>
      <c r="V279" s="1875"/>
      <c r="W279" s="1875"/>
      <c r="X279" s="1875"/>
      <c r="Y279" s="1875"/>
      <c r="Z279" s="1875"/>
      <c r="AA279" s="1875"/>
      <c r="AB279" s="1875" t="s">
        <v>418</v>
      </c>
      <c r="AC279" s="1875"/>
      <c r="AD279" s="1875"/>
      <c r="AE279" s="1875"/>
      <c r="AF279" s="1875"/>
      <c r="AG279" s="1872" t="e">
        <f>#REF!</f>
        <v>#REF!</v>
      </c>
      <c r="AH279" s="1872"/>
      <c r="AI279" s="1872"/>
      <c r="AJ279" s="1872"/>
      <c r="AK279" s="1872"/>
      <c r="AL279" s="1872"/>
      <c r="AM279" s="1872"/>
      <c r="AN279" s="1872"/>
      <c r="AO279" s="1872"/>
      <c r="AP279" s="1872"/>
      <c r="AQ279" s="1872" t="e">
        <f>#REF!</f>
        <v>#REF!</v>
      </c>
      <c r="AR279" s="1872"/>
      <c r="AS279" s="1872"/>
      <c r="AT279" s="1872"/>
      <c r="AU279" s="1872"/>
      <c r="AV279" s="1872"/>
      <c r="AW279" s="1872"/>
      <c r="AX279" s="1872"/>
      <c r="AY279" s="1872"/>
      <c r="AZ279" s="1872"/>
      <c r="BA279" s="1872" t="e">
        <f>#REF!</f>
        <v>#REF!</v>
      </c>
      <c r="BB279" s="1872"/>
      <c r="BC279" s="1872"/>
      <c r="BD279" s="1872"/>
      <c r="BE279" s="1872"/>
      <c r="BF279" s="1872"/>
      <c r="BG279" s="1872"/>
      <c r="BH279" s="1872"/>
      <c r="BI279" s="1872"/>
      <c r="BJ279" s="1872"/>
      <c r="BK279" s="1872" t="e">
        <f t="shared" si="29"/>
        <v>#REF!</v>
      </c>
      <c r="BL279" s="1872"/>
      <c r="BM279" s="1872"/>
      <c r="BN279" s="1872"/>
      <c r="BO279" s="1872"/>
      <c r="BP279" s="1872"/>
      <c r="BQ279" s="1872"/>
      <c r="BR279" s="1872"/>
      <c r="BS279" s="1872"/>
      <c r="BT279" s="1872"/>
      <c r="BU279" s="1887"/>
      <c r="BV279" s="1887"/>
      <c r="BW279" s="1887"/>
      <c r="BX279" s="1887"/>
      <c r="BY279" s="1887"/>
      <c r="BZ279" s="1887"/>
      <c r="CA279" s="1887"/>
      <c r="CB279" s="1887"/>
      <c r="CC279" s="1887"/>
      <c r="CD279" s="1887"/>
      <c r="CE279" s="1887"/>
      <c r="CF279" s="1888"/>
    </row>
    <row r="280" spans="1:88" s="400" customFormat="1" ht="23.1" customHeight="1">
      <c r="E280" s="1870" t="s">
        <v>436</v>
      </c>
      <c r="F280" s="1871"/>
      <c r="G280" s="1871"/>
      <c r="H280" s="1871"/>
      <c r="I280" s="1874" t="s">
        <v>395</v>
      </c>
      <c r="J280" s="1874"/>
      <c r="K280" s="1874"/>
      <c r="L280" s="1874"/>
      <c r="M280" s="1874"/>
      <c r="N280" s="1874"/>
      <c r="O280" s="1874"/>
      <c r="P280" s="1874"/>
      <c r="Q280" s="1874"/>
      <c r="R280" s="1874"/>
      <c r="S280" s="1874"/>
      <c r="T280" s="1873">
        <v>8.0000000000000002E-3</v>
      </c>
      <c r="U280" s="1873"/>
      <c r="V280" s="1873"/>
      <c r="W280" s="1873"/>
      <c r="X280" s="1873"/>
      <c r="Y280" s="1873"/>
      <c r="Z280" s="1873"/>
      <c r="AA280" s="1873"/>
      <c r="AB280" s="1873" t="s">
        <v>437</v>
      </c>
      <c r="AC280" s="1873"/>
      <c r="AD280" s="1873"/>
      <c r="AE280" s="1873"/>
      <c r="AF280" s="1873"/>
      <c r="AG280" s="1814" t="e">
        <f>BU280*T280</f>
        <v>#REF!</v>
      </c>
      <c r="AH280" s="1814"/>
      <c r="AI280" s="1814"/>
      <c r="AJ280" s="1814"/>
      <c r="AK280" s="1814"/>
      <c r="AL280" s="1814"/>
      <c r="AM280" s="1814"/>
      <c r="AN280" s="1814"/>
      <c r="AO280" s="1814"/>
      <c r="AP280" s="1814"/>
      <c r="AQ280" s="1814"/>
      <c r="AR280" s="1814"/>
      <c r="AS280" s="1814"/>
      <c r="AT280" s="1814"/>
      <c r="AU280" s="1814"/>
      <c r="AV280" s="1814"/>
      <c r="AW280" s="1814"/>
      <c r="AX280" s="1814"/>
      <c r="AY280" s="1814"/>
      <c r="AZ280" s="1814"/>
      <c r="BA280" s="1814"/>
      <c r="BB280" s="1814"/>
      <c r="BC280" s="1814"/>
      <c r="BD280" s="1814"/>
      <c r="BE280" s="1814"/>
      <c r="BF280" s="1814"/>
      <c r="BG280" s="1814"/>
      <c r="BH280" s="1814"/>
      <c r="BI280" s="1814"/>
      <c r="BJ280" s="1814"/>
      <c r="BK280" s="1814" t="e">
        <f t="shared" si="29"/>
        <v>#REF!</v>
      </c>
      <c r="BL280" s="1814"/>
      <c r="BM280" s="1814"/>
      <c r="BN280" s="1814"/>
      <c r="BO280" s="1814"/>
      <c r="BP280" s="1814"/>
      <c r="BQ280" s="1814"/>
      <c r="BR280" s="1814"/>
      <c r="BS280" s="1814"/>
      <c r="BT280" s="1814"/>
      <c r="BU280" s="1974" t="e">
        <f>#REF!</f>
        <v>#REF!</v>
      </c>
      <c r="BV280" s="1975"/>
      <c r="BW280" s="1975"/>
      <c r="BX280" s="1975"/>
      <c r="BY280" s="1975"/>
      <c r="BZ280" s="1975"/>
      <c r="CA280" s="1975"/>
      <c r="CB280" s="1975"/>
      <c r="CC280" s="1975"/>
      <c r="CD280" s="1975"/>
      <c r="CE280" s="1975"/>
      <c r="CF280" s="1976"/>
    </row>
    <row r="281" spans="1:88" s="400" customFormat="1" ht="23.1" customHeight="1">
      <c r="E281" s="1870"/>
      <c r="F281" s="1871"/>
      <c r="G281" s="1871"/>
      <c r="H281" s="1871"/>
      <c r="I281" s="1874" t="s">
        <v>359</v>
      </c>
      <c r="J281" s="1874"/>
      <c r="K281" s="1874"/>
      <c r="L281" s="1874"/>
      <c r="M281" s="1874"/>
      <c r="N281" s="1874"/>
      <c r="O281" s="1874"/>
      <c r="P281" s="1874"/>
      <c r="Q281" s="1874"/>
      <c r="R281" s="1874"/>
      <c r="S281" s="1874"/>
      <c r="T281" s="1873">
        <v>8.0000000000000002E-3</v>
      </c>
      <c r="U281" s="1873"/>
      <c r="V281" s="1873"/>
      <c r="W281" s="1873"/>
      <c r="X281" s="1873"/>
      <c r="Y281" s="1873"/>
      <c r="Z281" s="1873"/>
      <c r="AA281" s="1873"/>
      <c r="AB281" s="1873" t="s">
        <v>437</v>
      </c>
      <c r="AC281" s="1873"/>
      <c r="AD281" s="1873"/>
      <c r="AE281" s="1873"/>
      <c r="AF281" s="1873"/>
      <c r="AG281" s="1814" t="e">
        <f>BU281*T281</f>
        <v>#REF!</v>
      </c>
      <c r="AH281" s="1814"/>
      <c r="AI281" s="1814"/>
      <c r="AJ281" s="1814"/>
      <c r="AK281" s="1814"/>
      <c r="AL281" s="1814"/>
      <c r="AM281" s="1814"/>
      <c r="AN281" s="1814"/>
      <c r="AO281" s="1814"/>
      <c r="AP281" s="1814"/>
      <c r="AQ281" s="1814"/>
      <c r="AR281" s="1814"/>
      <c r="AS281" s="1814"/>
      <c r="AT281" s="1814"/>
      <c r="AU281" s="1814"/>
      <c r="AV281" s="1814"/>
      <c r="AW281" s="1814"/>
      <c r="AX281" s="1814"/>
      <c r="AY281" s="1814"/>
      <c r="AZ281" s="1814"/>
      <c r="BA281" s="1814"/>
      <c r="BB281" s="1814"/>
      <c r="BC281" s="1814"/>
      <c r="BD281" s="1814"/>
      <c r="BE281" s="1814"/>
      <c r="BF281" s="1814"/>
      <c r="BG281" s="1814"/>
      <c r="BH281" s="1814"/>
      <c r="BI281" s="1814"/>
      <c r="BJ281" s="1814"/>
      <c r="BK281" s="1814" t="e">
        <f t="shared" si="29"/>
        <v>#REF!</v>
      </c>
      <c r="BL281" s="1814"/>
      <c r="BM281" s="1814"/>
      <c r="BN281" s="1814"/>
      <c r="BO281" s="1814"/>
      <c r="BP281" s="1814"/>
      <c r="BQ281" s="1814"/>
      <c r="BR281" s="1814"/>
      <c r="BS281" s="1814"/>
      <c r="BT281" s="1814"/>
      <c r="BU281" s="1974" t="e">
        <f>#REF!</f>
        <v>#REF!</v>
      </c>
      <c r="BV281" s="1975"/>
      <c r="BW281" s="1975"/>
      <c r="BX281" s="1975"/>
      <c r="BY281" s="1975"/>
      <c r="BZ281" s="1975"/>
      <c r="CA281" s="1975"/>
      <c r="CB281" s="1975"/>
      <c r="CC281" s="1975"/>
      <c r="CD281" s="1975"/>
      <c r="CE281" s="1975"/>
      <c r="CF281" s="1976"/>
    </row>
    <row r="282" spans="1:88" s="400" customFormat="1" ht="23.1" customHeight="1" thickBot="1">
      <c r="E282" s="1903"/>
      <c r="F282" s="1904"/>
      <c r="G282" s="1904"/>
      <c r="H282" s="1904"/>
      <c r="I282" s="1926" t="s">
        <v>399</v>
      </c>
      <c r="J282" s="1926"/>
      <c r="K282" s="1926"/>
      <c r="L282" s="1926"/>
      <c r="M282" s="1926"/>
      <c r="N282" s="1926"/>
      <c r="O282" s="1926"/>
      <c r="P282" s="1926"/>
      <c r="Q282" s="1926"/>
      <c r="R282" s="1926"/>
      <c r="S282" s="1926"/>
      <c r="T282" s="1875">
        <v>0.01</v>
      </c>
      <c r="U282" s="1875"/>
      <c r="V282" s="1875"/>
      <c r="W282" s="1875"/>
      <c r="X282" s="1875"/>
      <c r="Y282" s="1875"/>
      <c r="Z282" s="1875"/>
      <c r="AA282" s="1875"/>
      <c r="AB282" s="1875" t="s">
        <v>437</v>
      </c>
      <c r="AC282" s="1875"/>
      <c r="AD282" s="1875"/>
      <c r="AE282" s="1875"/>
      <c r="AF282" s="1875"/>
      <c r="AG282" s="1872" t="e">
        <f>BU282*T282</f>
        <v>#REF!</v>
      </c>
      <c r="AH282" s="1872"/>
      <c r="AI282" s="1872"/>
      <c r="AJ282" s="1872"/>
      <c r="AK282" s="1872"/>
      <c r="AL282" s="1872"/>
      <c r="AM282" s="1872"/>
      <c r="AN282" s="1872"/>
      <c r="AO282" s="1872"/>
      <c r="AP282" s="1872"/>
      <c r="AQ282" s="1872"/>
      <c r="AR282" s="1872"/>
      <c r="AS282" s="1872"/>
      <c r="AT282" s="1872"/>
      <c r="AU282" s="1872"/>
      <c r="AV282" s="1872"/>
      <c r="AW282" s="1872"/>
      <c r="AX282" s="1872"/>
      <c r="AY282" s="1872"/>
      <c r="AZ282" s="1872"/>
      <c r="BA282" s="1872"/>
      <c r="BB282" s="1872"/>
      <c r="BC282" s="1872"/>
      <c r="BD282" s="1872"/>
      <c r="BE282" s="1872"/>
      <c r="BF282" s="1872"/>
      <c r="BG282" s="1872"/>
      <c r="BH282" s="1872"/>
      <c r="BI282" s="1872"/>
      <c r="BJ282" s="1872"/>
      <c r="BK282" s="1872" t="e">
        <f t="shared" si="29"/>
        <v>#REF!</v>
      </c>
      <c r="BL282" s="1872"/>
      <c r="BM282" s="1872"/>
      <c r="BN282" s="1872"/>
      <c r="BO282" s="1872"/>
      <c r="BP282" s="1872"/>
      <c r="BQ282" s="1872"/>
      <c r="BR282" s="1872"/>
      <c r="BS282" s="1872"/>
      <c r="BT282" s="1872"/>
      <c r="BU282" s="1974" t="e">
        <f>#REF!</f>
        <v>#REF!</v>
      </c>
      <c r="BV282" s="1975"/>
      <c r="BW282" s="1975"/>
      <c r="BX282" s="1975"/>
      <c r="BY282" s="1975"/>
      <c r="BZ282" s="1975"/>
      <c r="CA282" s="1975"/>
      <c r="CB282" s="1975"/>
      <c r="CC282" s="1975"/>
      <c r="CD282" s="1975"/>
      <c r="CE282" s="1975"/>
      <c r="CF282" s="1976"/>
    </row>
    <row r="283" spans="1:88" s="400" customFormat="1" ht="23.1" customHeight="1" thickTop="1">
      <c r="E283" s="1913" t="s">
        <v>438</v>
      </c>
      <c r="F283" s="1914"/>
      <c r="G283" s="1914"/>
      <c r="H283" s="1914"/>
      <c r="I283" s="1917" t="s">
        <v>395</v>
      </c>
      <c r="J283" s="1917"/>
      <c r="K283" s="1917"/>
      <c r="L283" s="1917"/>
      <c r="M283" s="1917"/>
      <c r="N283" s="1917"/>
      <c r="O283" s="1917"/>
      <c r="P283" s="1917"/>
      <c r="Q283" s="1917"/>
      <c r="R283" s="1917"/>
      <c r="S283" s="1917"/>
      <c r="T283" s="1882"/>
      <c r="U283" s="1882"/>
      <c r="V283" s="1882"/>
      <c r="W283" s="1882"/>
      <c r="X283" s="1882"/>
      <c r="Y283" s="1882"/>
      <c r="Z283" s="1882"/>
      <c r="AA283" s="1882"/>
      <c r="AB283" s="1882"/>
      <c r="AC283" s="1882"/>
      <c r="AD283" s="1882"/>
      <c r="AE283" s="1882"/>
      <c r="AF283" s="1882"/>
      <c r="AG283" s="1812" t="e">
        <f>AG274+AG277+AG280</f>
        <v>#REF!</v>
      </c>
      <c r="AH283" s="1812"/>
      <c r="AI283" s="1812"/>
      <c r="AJ283" s="1812"/>
      <c r="AK283" s="1812"/>
      <c r="AL283" s="1812"/>
      <c r="AM283" s="1812"/>
      <c r="AN283" s="1812"/>
      <c r="AO283" s="1812"/>
      <c r="AP283" s="1812"/>
      <c r="AQ283" s="1812" t="e">
        <f>AQ274+AQ277+AQ280</f>
        <v>#REF!</v>
      </c>
      <c r="AR283" s="1812"/>
      <c r="AS283" s="1812"/>
      <c r="AT283" s="1812"/>
      <c r="AU283" s="1812"/>
      <c r="AV283" s="1812"/>
      <c r="AW283" s="1812"/>
      <c r="AX283" s="1812"/>
      <c r="AY283" s="1812"/>
      <c r="AZ283" s="1812"/>
      <c r="BA283" s="1812" t="e">
        <f>BA274+BA277+BA280</f>
        <v>#REF!</v>
      </c>
      <c r="BB283" s="1812"/>
      <c r="BC283" s="1812"/>
      <c r="BD283" s="1812"/>
      <c r="BE283" s="1812"/>
      <c r="BF283" s="1812"/>
      <c r="BG283" s="1812"/>
      <c r="BH283" s="1812"/>
      <c r="BI283" s="1812"/>
      <c r="BJ283" s="1812"/>
      <c r="BK283" s="1812" t="e">
        <f t="shared" si="29"/>
        <v>#REF!</v>
      </c>
      <c r="BL283" s="1812"/>
      <c r="BM283" s="1812"/>
      <c r="BN283" s="1812"/>
      <c r="BO283" s="1812"/>
      <c r="BP283" s="1812"/>
      <c r="BQ283" s="1812"/>
      <c r="BR283" s="1812"/>
      <c r="BS283" s="1812"/>
      <c r="BT283" s="1812"/>
      <c r="BU283" s="1883"/>
      <c r="BV283" s="1883"/>
      <c r="BW283" s="1883"/>
      <c r="BX283" s="1883"/>
      <c r="BY283" s="1883"/>
      <c r="BZ283" s="1883"/>
      <c r="CA283" s="1883"/>
      <c r="CB283" s="1883"/>
      <c r="CC283" s="1883"/>
      <c r="CD283" s="1883"/>
      <c r="CE283" s="1883"/>
      <c r="CF283" s="1884"/>
    </row>
    <row r="284" spans="1:88" s="400" customFormat="1" ht="23.1" customHeight="1">
      <c r="E284" s="1870"/>
      <c r="F284" s="1871"/>
      <c r="G284" s="1871"/>
      <c r="H284" s="1871"/>
      <c r="I284" s="1874" t="s">
        <v>359</v>
      </c>
      <c r="J284" s="1874"/>
      <c r="K284" s="1874"/>
      <c r="L284" s="1874"/>
      <c r="M284" s="1874"/>
      <c r="N284" s="1874"/>
      <c r="O284" s="1874"/>
      <c r="P284" s="1874"/>
      <c r="Q284" s="1874"/>
      <c r="R284" s="1874"/>
      <c r="S284" s="1874"/>
      <c r="T284" s="1873"/>
      <c r="U284" s="1873"/>
      <c r="V284" s="1873"/>
      <c r="W284" s="1873"/>
      <c r="X284" s="1873"/>
      <c r="Y284" s="1873"/>
      <c r="Z284" s="1873"/>
      <c r="AA284" s="1873"/>
      <c r="AB284" s="1873"/>
      <c r="AC284" s="1873"/>
      <c r="AD284" s="1873"/>
      <c r="AE284" s="1873"/>
      <c r="AF284" s="1873"/>
      <c r="AG284" s="1814" t="e">
        <f>AG275+AG278+AG281</f>
        <v>#REF!</v>
      </c>
      <c r="AH284" s="1814"/>
      <c r="AI284" s="1814"/>
      <c r="AJ284" s="1814"/>
      <c r="AK284" s="1814"/>
      <c r="AL284" s="1814"/>
      <c r="AM284" s="1814"/>
      <c r="AN284" s="1814"/>
      <c r="AO284" s="1814"/>
      <c r="AP284" s="1814"/>
      <c r="AQ284" s="1814" t="e">
        <f>AQ275+AQ278+AQ281</f>
        <v>#REF!</v>
      </c>
      <c r="AR284" s="1814"/>
      <c r="AS284" s="1814"/>
      <c r="AT284" s="1814"/>
      <c r="AU284" s="1814"/>
      <c r="AV284" s="1814"/>
      <c r="AW284" s="1814"/>
      <c r="AX284" s="1814"/>
      <c r="AY284" s="1814"/>
      <c r="AZ284" s="1814"/>
      <c r="BA284" s="1814" t="e">
        <f>BA275+BA278+BA281</f>
        <v>#REF!</v>
      </c>
      <c r="BB284" s="1814"/>
      <c r="BC284" s="1814"/>
      <c r="BD284" s="1814"/>
      <c r="BE284" s="1814"/>
      <c r="BF284" s="1814"/>
      <c r="BG284" s="1814"/>
      <c r="BH284" s="1814"/>
      <c r="BI284" s="1814"/>
      <c r="BJ284" s="1814"/>
      <c r="BK284" s="1814" t="e">
        <f t="shared" si="29"/>
        <v>#REF!</v>
      </c>
      <c r="BL284" s="1814"/>
      <c r="BM284" s="1814"/>
      <c r="BN284" s="1814"/>
      <c r="BO284" s="1814"/>
      <c r="BP284" s="1814"/>
      <c r="BQ284" s="1814"/>
      <c r="BR284" s="1814"/>
      <c r="BS284" s="1814"/>
      <c r="BT284" s="1814"/>
      <c r="BU284" s="1906"/>
      <c r="BV284" s="1906"/>
      <c r="BW284" s="1906"/>
      <c r="BX284" s="1906"/>
      <c r="BY284" s="1906"/>
      <c r="BZ284" s="1906"/>
      <c r="CA284" s="1906"/>
      <c r="CB284" s="1906"/>
      <c r="CC284" s="1906"/>
      <c r="CD284" s="1906"/>
      <c r="CE284" s="1906"/>
      <c r="CF284" s="1907"/>
    </row>
    <row r="285" spans="1:88" s="400" customFormat="1" ht="23.1" customHeight="1" thickBot="1">
      <c r="E285" s="1915"/>
      <c r="F285" s="1916"/>
      <c r="G285" s="1916"/>
      <c r="H285" s="1916"/>
      <c r="I285" s="1891" t="s">
        <v>399</v>
      </c>
      <c r="J285" s="1891"/>
      <c r="K285" s="1891"/>
      <c r="L285" s="1891"/>
      <c r="M285" s="1891"/>
      <c r="N285" s="1891"/>
      <c r="O285" s="1891"/>
      <c r="P285" s="1891"/>
      <c r="Q285" s="1891"/>
      <c r="R285" s="1891"/>
      <c r="S285" s="1891"/>
      <c r="T285" s="1861"/>
      <c r="U285" s="1861"/>
      <c r="V285" s="1861"/>
      <c r="W285" s="1861"/>
      <c r="X285" s="1861"/>
      <c r="Y285" s="1861"/>
      <c r="Z285" s="1861"/>
      <c r="AA285" s="1861"/>
      <c r="AB285" s="1861"/>
      <c r="AC285" s="1861"/>
      <c r="AD285" s="1861"/>
      <c r="AE285" s="1861"/>
      <c r="AF285" s="1861"/>
      <c r="AG285" s="1796" t="e">
        <f>AG276+AG279+AG282</f>
        <v>#REF!</v>
      </c>
      <c r="AH285" s="1796"/>
      <c r="AI285" s="1796"/>
      <c r="AJ285" s="1796"/>
      <c r="AK285" s="1796"/>
      <c r="AL285" s="1796"/>
      <c r="AM285" s="1796"/>
      <c r="AN285" s="1796"/>
      <c r="AO285" s="1796"/>
      <c r="AP285" s="1796"/>
      <c r="AQ285" s="1796" t="e">
        <f>AQ276+AQ279+AQ282</f>
        <v>#REF!</v>
      </c>
      <c r="AR285" s="1796"/>
      <c r="AS285" s="1796"/>
      <c r="AT285" s="1796"/>
      <c r="AU285" s="1796"/>
      <c r="AV285" s="1796"/>
      <c r="AW285" s="1796"/>
      <c r="AX285" s="1796"/>
      <c r="AY285" s="1796"/>
      <c r="AZ285" s="1796"/>
      <c r="BA285" s="1796" t="e">
        <f>BA276+BA279+BA282</f>
        <v>#REF!</v>
      </c>
      <c r="BB285" s="1796"/>
      <c r="BC285" s="1796"/>
      <c r="BD285" s="1796"/>
      <c r="BE285" s="1796"/>
      <c r="BF285" s="1796"/>
      <c r="BG285" s="1796"/>
      <c r="BH285" s="1796"/>
      <c r="BI285" s="1796"/>
      <c r="BJ285" s="1796"/>
      <c r="BK285" s="1796" t="e">
        <f t="shared" si="29"/>
        <v>#REF!</v>
      </c>
      <c r="BL285" s="1796"/>
      <c r="BM285" s="1796"/>
      <c r="BN285" s="1796"/>
      <c r="BO285" s="1796"/>
      <c r="BP285" s="1796"/>
      <c r="BQ285" s="1796"/>
      <c r="BR285" s="1796"/>
      <c r="BS285" s="1796"/>
      <c r="BT285" s="1796"/>
      <c r="BU285" s="1889"/>
      <c r="BV285" s="1889"/>
      <c r="BW285" s="1889"/>
      <c r="BX285" s="1889"/>
      <c r="BY285" s="1889"/>
      <c r="BZ285" s="1889"/>
      <c r="CA285" s="1889"/>
      <c r="CB285" s="1889"/>
      <c r="CC285" s="1889"/>
      <c r="CD285" s="1889"/>
      <c r="CE285" s="1889"/>
      <c r="CF285" s="1890"/>
    </row>
    <row r="286" spans="1:88" s="412" customFormat="1" ht="9.9499999999999993" customHeight="1">
      <c r="A286" s="413"/>
      <c r="B286" s="413"/>
      <c r="C286" s="413"/>
      <c r="D286" s="413"/>
      <c r="E286" s="413"/>
      <c r="F286" s="413"/>
      <c r="G286" s="413"/>
      <c r="H286" s="413"/>
      <c r="I286" s="413"/>
      <c r="J286" s="413"/>
      <c r="K286" s="413"/>
      <c r="L286" s="413"/>
      <c r="M286" s="413"/>
      <c r="N286" s="413"/>
      <c r="O286" s="413"/>
      <c r="P286" s="413"/>
      <c r="Q286" s="413"/>
      <c r="R286" s="413"/>
      <c r="S286" s="413"/>
      <c r="T286" s="413"/>
      <c r="U286" s="413"/>
      <c r="V286" s="413"/>
      <c r="W286" s="413"/>
      <c r="X286" s="413"/>
      <c r="Y286" s="413"/>
      <c r="Z286" s="413"/>
      <c r="AA286" s="413"/>
      <c r="AB286" s="413"/>
      <c r="AC286" s="413"/>
      <c r="AD286" s="413"/>
      <c r="AE286" s="413"/>
      <c r="AF286" s="413"/>
      <c r="AG286" s="413"/>
      <c r="AH286" s="413"/>
      <c r="AI286" s="413"/>
      <c r="AJ286" s="413"/>
      <c r="AK286" s="413"/>
      <c r="AL286" s="413"/>
      <c r="AM286" s="413"/>
      <c r="AN286" s="413"/>
      <c r="AO286" s="413"/>
      <c r="AP286" s="413"/>
      <c r="AQ286" s="413"/>
      <c r="AR286" s="413"/>
      <c r="AS286" s="413"/>
      <c r="AT286" s="413"/>
      <c r="AU286" s="413"/>
      <c r="AV286" s="413"/>
      <c r="AW286" s="413"/>
      <c r="AX286" s="413"/>
      <c r="AY286" s="413"/>
      <c r="AZ286" s="413"/>
      <c r="BA286" s="413"/>
      <c r="BB286" s="413"/>
      <c r="BC286" s="413"/>
      <c r="BD286" s="413"/>
      <c r="BE286" s="413"/>
      <c r="BF286" s="413"/>
      <c r="BG286" s="413"/>
      <c r="BH286" s="413"/>
      <c r="BI286" s="413"/>
      <c r="BJ286" s="413"/>
      <c r="BK286" s="413"/>
      <c r="BL286" s="413"/>
      <c r="BM286" s="413"/>
      <c r="BN286" s="413"/>
      <c r="BO286" s="413"/>
      <c r="BP286" s="413"/>
      <c r="BQ286" s="413"/>
      <c r="BR286" s="413"/>
      <c r="BS286" s="413"/>
      <c r="BT286" s="413"/>
      <c r="BU286" s="413"/>
      <c r="BV286" s="413"/>
      <c r="BW286" s="413"/>
      <c r="BX286" s="413"/>
      <c r="BY286" s="413"/>
      <c r="BZ286" s="413"/>
      <c r="CA286" s="413"/>
      <c r="CB286" s="413"/>
      <c r="CC286" s="413"/>
      <c r="CD286" s="413"/>
      <c r="CE286" s="413"/>
      <c r="CF286" s="413"/>
      <c r="CJ286" s="400"/>
    </row>
    <row r="287" spans="1:88" s="412" customFormat="1" ht="28.35" customHeight="1">
      <c r="A287" s="1877" t="s">
        <v>482</v>
      </c>
      <c r="B287" s="1877"/>
      <c r="C287" s="1877"/>
      <c r="D287" s="1877"/>
      <c r="E287" s="1877"/>
      <c r="F287" s="1877"/>
      <c r="G287" s="1877"/>
      <c r="H287" s="1877"/>
      <c r="I287" s="1877"/>
      <c r="J287" s="1877"/>
      <c r="K287" s="1877"/>
      <c r="L287" s="1877"/>
      <c r="M287" s="1877"/>
      <c r="N287" s="1877"/>
      <c r="O287" s="1877"/>
      <c r="P287" s="1877"/>
      <c r="Q287" s="1877"/>
      <c r="R287" s="1877"/>
      <c r="S287" s="1877"/>
      <c r="T287" s="1877"/>
      <c r="U287" s="1877"/>
      <c r="V287" s="1877"/>
      <c r="W287" s="1877"/>
      <c r="X287" s="1877"/>
      <c r="Y287" s="1877"/>
      <c r="Z287" s="1877"/>
      <c r="AA287" s="1877"/>
      <c r="AB287" s="1877"/>
      <c r="AC287" s="1877"/>
      <c r="AD287" s="1877"/>
      <c r="AE287" s="1877"/>
      <c r="AF287" s="1877"/>
      <c r="AG287" s="1877"/>
      <c r="AH287" s="1877"/>
      <c r="AI287" s="1877"/>
      <c r="AJ287" s="1877"/>
      <c r="AK287" s="1877"/>
      <c r="AL287" s="1877"/>
      <c r="AM287" s="1877"/>
      <c r="AN287" s="1877"/>
      <c r="AO287" s="1877"/>
      <c r="AP287" s="1877"/>
      <c r="AQ287" s="1877"/>
      <c r="AR287" s="1877"/>
      <c r="AS287" s="1877"/>
      <c r="AT287" s="1877"/>
      <c r="AU287" s="1877"/>
      <c r="AV287" s="1877"/>
      <c r="AW287" s="1877"/>
      <c r="AX287" s="1877"/>
      <c r="AY287" s="1877"/>
      <c r="AZ287" s="1877"/>
      <c r="BA287" s="1877"/>
      <c r="BB287" s="1877"/>
      <c r="BC287" s="1877"/>
      <c r="BD287" s="1877"/>
      <c r="BE287" s="1877"/>
      <c r="BF287" s="1877"/>
      <c r="BG287" s="1877"/>
      <c r="BH287" s="1877"/>
      <c r="BI287" s="1877"/>
      <c r="BJ287" s="1877"/>
      <c r="BK287" s="1877"/>
      <c r="BL287" s="1877"/>
      <c r="BM287" s="1877"/>
      <c r="BN287" s="1877"/>
      <c r="BO287" s="1877"/>
      <c r="BP287" s="1877"/>
      <c r="BQ287" s="1877"/>
      <c r="BR287" s="1877"/>
      <c r="BS287" s="1877"/>
      <c r="BT287" s="1877"/>
      <c r="BU287" s="1877"/>
      <c r="BV287" s="1877"/>
      <c r="BW287" s="1877"/>
      <c r="BX287" s="1877"/>
      <c r="BY287" s="1877"/>
      <c r="BZ287" s="1877"/>
      <c r="CA287" s="1877"/>
      <c r="CB287" s="1877"/>
      <c r="CC287" s="1877"/>
      <c r="CD287" s="1877"/>
      <c r="CE287" s="1877"/>
      <c r="CF287" s="1877"/>
      <c r="CJ287" s="400"/>
    </row>
    <row r="288" spans="1:88" s="412" customFormat="1" ht="9.9499999999999993" customHeight="1">
      <c r="A288" s="413"/>
      <c r="B288" s="413"/>
      <c r="C288" s="413"/>
      <c r="D288" s="413"/>
      <c r="E288" s="413"/>
      <c r="F288" s="413"/>
      <c r="G288" s="413"/>
      <c r="H288" s="413"/>
      <c r="I288" s="413"/>
      <c r="J288" s="413"/>
      <c r="K288" s="413"/>
      <c r="L288" s="413"/>
      <c r="M288" s="413"/>
      <c r="N288" s="413"/>
      <c r="O288" s="413"/>
      <c r="P288" s="413"/>
      <c r="Q288" s="413"/>
      <c r="R288" s="413"/>
      <c r="S288" s="413"/>
      <c r="T288" s="413"/>
      <c r="U288" s="413"/>
      <c r="V288" s="413"/>
      <c r="W288" s="413"/>
      <c r="X288" s="413"/>
      <c r="Y288" s="413"/>
      <c r="Z288" s="413"/>
      <c r="AA288" s="413"/>
      <c r="AB288" s="413"/>
      <c r="AC288" s="413"/>
      <c r="AD288" s="413"/>
      <c r="AE288" s="413"/>
      <c r="AF288" s="413"/>
      <c r="AG288" s="413"/>
      <c r="AH288" s="413"/>
      <c r="AI288" s="413"/>
      <c r="AJ288" s="413"/>
      <c r="AK288" s="413"/>
      <c r="AL288" s="413"/>
      <c r="AM288" s="413"/>
      <c r="AN288" s="413"/>
      <c r="AO288" s="413"/>
      <c r="AP288" s="413"/>
      <c r="AQ288" s="413"/>
      <c r="AR288" s="413"/>
      <c r="AS288" s="413"/>
      <c r="AT288" s="413"/>
      <c r="AU288" s="413"/>
      <c r="AV288" s="413"/>
      <c r="AW288" s="413"/>
      <c r="AX288" s="413"/>
      <c r="AY288" s="413"/>
      <c r="AZ288" s="413"/>
      <c r="BA288" s="413"/>
      <c r="BB288" s="413"/>
      <c r="BC288" s="413"/>
      <c r="BD288" s="413"/>
      <c r="BE288" s="413"/>
      <c r="BF288" s="413"/>
      <c r="BG288" s="413"/>
      <c r="BH288" s="413"/>
      <c r="BI288" s="413"/>
      <c r="BJ288" s="413"/>
      <c r="BK288" s="413"/>
      <c r="BL288" s="413"/>
      <c r="BM288" s="413"/>
      <c r="BN288" s="413"/>
      <c r="BO288" s="413"/>
      <c r="BP288" s="413"/>
      <c r="BQ288" s="413"/>
      <c r="BR288" s="413"/>
      <c r="BS288" s="413"/>
      <c r="BT288" s="413"/>
      <c r="BU288" s="413"/>
      <c r="BV288" s="413"/>
      <c r="BW288" s="413"/>
      <c r="BX288" s="413"/>
      <c r="BY288" s="413"/>
      <c r="BZ288" s="413"/>
      <c r="CA288" s="413"/>
      <c r="CB288" s="413"/>
      <c r="CC288" s="413"/>
      <c r="CD288" s="413"/>
      <c r="CE288" s="413"/>
      <c r="CF288" s="413"/>
      <c r="CJ288" s="400"/>
    </row>
    <row r="289" spans="1:88" s="400" customFormat="1" ht="23.1" customHeight="1">
      <c r="A289" s="420"/>
      <c r="B289" s="421" t="s">
        <v>483</v>
      </c>
      <c r="C289" s="420"/>
      <c r="D289" s="420"/>
      <c r="E289" s="420"/>
      <c r="F289" s="420"/>
      <c r="G289" s="420"/>
      <c r="H289" s="420"/>
      <c r="I289" s="420"/>
      <c r="J289" s="420"/>
      <c r="K289" s="420"/>
      <c r="L289" s="420"/>
      <c r="M289" s="420"/>
      <c r="N289" s="420"/>
      <c r="O289" s="420"/>
      <c r="P289" s="420"/>
      <c r="Q289" s="420"/>
      <c r="R289" s="420"/>
      <c r="S289" s="420"/>
      <c r="T289" s="420"/>
      <c r="U289" s="420"/>
      <c r="V289" s="420"/>
      <c r="W289" s="420"/>
      <c r="BT289" s="414"/>
      <c r="BU289" s="414"/>
      <c r="BV289" s="414"/>
      <c r="BW289" s="414"/>
      <c r="BX289" s="414"/>
      <c r="BY289" s="414"/>
      <c r="BZ289" s="414"/>
      <c r="CA289" s="414"/>
      <c r="CB289" s="414"/>
      <c r="CC289" s="414"/>
      <c r="CJ289" s="400" t="s">
        <v>737</v>
      </c>
    </row>
    <row r="290" spans="1:88" s="400" customFormat="1" ht="9.9499999999999993" customHeight="1">
      <c r="BT290" s="410"/>
      <c r="BU290" s="410"/>
      <c r="BV290" s="410"/>
      <c r="BW290" s="410"/>
      <c r="BX290" s="410"/>
      <c r="BY290" s="410"/>
      <c r="BZ290" s="410"/>
      <c r="CA290" s="410"/>
      <c r="CB290" s="410"/>
      <c r="CC290" s="410"/>
    </row>
    <row r="291" spans="1:88" s="400" customFormat="1" ht="18" customHeight="1">
      <c r="E291" s="400" t="s">
        <v>376</v>
      </c>
    </row>
    <row r="292" spans="1:88" s="400" customFormat="1" ht="18" customHeight="1">
      <c r="A292" s="402"/>
      <c r="B292" s="402"/>
      <c r="C292" s="402"/>
      <c r="D292" s="402"/>
      <c r="G292" s="400" t="s">
        <v>377</v>
      </c>
      <c r="L292" s="400" t="s">
        <v>484</v>
      </c>
      <c r="AV292" s="408"/>
      <c r="AW292" s="408"/>
      <c r="AX292" s="408"/>
      <c r="AY292" s="408"/>
      <c r="AZ292" s="408"/>
      <c r="BA292" s="408"/>
      <c r="BC292" s="408"/>
      <c r="BD292" s="408"/>
      <c r="BE292" s="404"/>
      <c r="BF292" s="404"/>
      <c r="BG292" s="404"/>
      <c r="BH292" s="404"/>
      <c r="BJ292" s="404"/>
      <c r="BK292" s="404"/>
      <c r="BL292" s="404"/>
      <c r="BM292" s="404"/>
      <c r="BN292" s="404"/>
      <c r="BO292" s="404"/>
      <c r="BP292" s="404"/>
      <c r="BQ292" s="404"/>
      <c r="BR292" s="404"/>
      <c r="BS292" s="404"/>
      <c r="BT292" s="404"/>
      <c r="BU292" s="404"/>
      <c r="BV292" s="404"/>
      <c r="BW292" s="404"/>
      <c r="BX292" s="404"/>
      <c r="BY292" s="404"/>
      <c r="BZ292" s="404"/>
      <c r="CA292" s="404"/>
      <c r="CB292" s="404"/>
      <c r="CC292" s="404"/>
    </row>
    <row r="293" spans="1:88" s="400" customFormat="1" ht="18" customHeight="1">
      <c r="G293" s="402"/>
      <c r="I293" s="400" t="s">
        <v>485</v>
      </c>
      <c r="AA293" s="1859">
        <v>2</v>
      </c>
      <c r="AB293" s="1859"/>
      <c r="AC293" s="1859"/>
      <c r="AD293" s="400" t="s">
        <v>272</v>
      </c>
      <c r="AT293" s="400" t="s">
        <v>486</v>
      </c>
      <c r="BG293" s="1788">
        <v>200</v>
      </c>
      <c r="BH293" s="1788"/>
      <c r="BI293" s="1788"/>
      <c r="BJ293" s="1788"/>
      <c r="BK293" s="1788"/>
      <c r="BL293" s="400" t="s">
        <v>487</v>
      </c>
      <c r="BN293" s="430"/>
      <c r="BO293" s="430"/>
      <c r="BP293" s="430"/>
      <c r="BQ293" s="430"/>
      <c r="BT293" s="410"/>
      <c r="BU293" s="410"/>
      <c r="BV293" s="410"/>
      <c r="BW293" s="410"/>
      <c r="BX293" s="410"/>
      <c r="BY293" s="410"/>
      <c r="BZ293" s="410"/>
      <c r="CA293" s="410"/>
      <c r="CB293" s="410"/>
      <c r="CC293" s="410"/>
    </row>
    <row r="294" spans="1:88" s="400" customFormat="1" ht="18" customHeight="1">
      <c r="D294" s="403"/>
      <c r="I294" s="400" t="s">
        <v>488</v>
      </c>
      <c r="V294" s="1788">
        <v>5</v>
      </c>
      <c r="W294" s="1788"/>
      <c r="X294" s="1788"/>
      <c r="Y294" s="400" t="s">
        <v>381</v>
      </c>
      <c r="AB294" s="429"/>
      <c r="AM294" s="408"/>
      <c r="AR294" s="414"/>
      <c r="AS294" s="414"/>
      <c r="AT294" s="408" t="s">
        <v>463</v>
      </c>
      <c r="BG294" s="1788">
        <v>0.65</v>
      </c>
      <c r="BH294" s="1788"/>
      <c r="BI294" s="1788"/>
      <c r="BJ294" s="1788"/>
      <c r="BK294" s="1788"/>
      <c r="BT294" s="414"/>
      <c r="BU294" s="414"/>
      <c r="BV294" s="414"/>
      <c r="BW294" s="414"/>
      <c r="BX294" s="414"/>
      <c r="BY294" s="414"/>
      <c r="BZ294" s="414"/>
      <c r="CA294" s="414"/>
      <c r="CB294" s="414"/>
      <c r="CC294" s="414"/>
    </row>
    <row r="295" spans="1:88" s="400" customFormat="1" ht="9.9499999999999993" customHeight="1">
      <c r="I295" s="408"/>
      <c r="BT295" s="410"/>
      <c r="BU295" s="410"/>
      <c r="BV295" s="410"/>
      <c r="BW295" s="410"/>
      <c r="BX295" s="410"/>
      <c r="BY295" s="410"/>
      <c r="BZ295" s="410"/>
      <c r="CA295" s="410"/>
      <c r="CB295" s="410"/>
      <c r="CC295" s="410"/>
    </row>
    <row r="296" spans="1:88" s="400" customFormat="1" ht="18" customHeight="1">
      <c r="G296" s="400" t="s">
        <v>377</v>
      </c>
      <c r="L296" s="403" t="str">
        <f>AA293&amp;" × "&amp;BG293&amp;" × "&amp;V294/100&amp;" × "&amp;BG294</f>
        <v>2 × 200 × 0.05 × 0.65</v>
      </c>
      <c r="AG296" s="400" t="s">
        <v>41</v>
      </c>
      <c r="AI296" s="1984">
        <f>ROUND(AA293*BG293*V294/100*BG294,2)</f>
        <v>13</v>
      </c>
      <c r="AJ296" s="1984"/>
      <c r="AK296" s="1984"/>
      <c r="AL296" s="1984"/>
      <c r="AM296" s="1984"/>
      <c r="AN296" s="1984"/>
      <c r="AO296" s="1984"/>
      <c r="AP296" s="400" t="s">
        <v>489</v>
      </c>
      <c r="AT296" s="431"/>
      <c r="AU296" s="431"/>
      <c r="AV296" s="431"/>
      <c r="BF296" s="431"/>
      <c r="BG296" s="431"/>
      <c r="BT296" s="414"/>
      <c r="BU296" s="414"/>
      <c r="BV296" s="414"/>
      <c r="BW296" s="414"/>
      <c r="BX296" s="414"/>
      <c r="BY296" s="414"/>
      <c r="BZ296" s="414"/>
      <c r="CA296" s="414"/>
      <c r="CB296" s="414"/>
      <c r="CC296" s="414"/>
    </row>
    <row r="297" spans="1:88" s="400" customFormat="1" ht="9.9499999999999993" customHeight="1"/>
    <row r="298" spans="1:88" s="400" customFormat="1" ht="18" customHeight="1">
      <c r="E298" s="400" t="s">
        <v>402</v>
      </c>
    </row>
    <row r="299" spans="1:88" s="400" customFormat="1" ht="9.9499999999999993" customHeight="1" thickBot="1"/>
    <row r="300" spans="1:88" s="400" customFormat="1" ht="18" customHeight="1">
      <c r="D300" s="403"/>
      <c r="E300" s="1831" t="s">
        <v>385</v>
      </c>
      <c r="F300" s="1800"/>
      <c r="G300" s="1800"/>
      <c r="H300" s="1800"/>
      <c r="I300" s="1800"/>
      <c r="J300" s="1800"/>
      <c r="K300" s="1800"/>
      <c r="L300" s="1800"/>
      <c r="M300" s="1800"/>
      <c r="N300" s="1800"/>
      <c r="O300" s="1800"/>
      <c r="P300" s="1800"/>
      <c r="Q300" s="1800"/>
      <c r="R300" s="1800"/>
      <c r="S300" s="1800"/>
      <c r="T300" s="1800"/>
      <c r="U300" s="1800" t="s">
        <v>212</v>
      </c>
      <c r="V300" s="1800"/>
      <c r="W300" s="1800"/>
      <c r="X300" s="1800"/>
      <c r="Y300" s="1800"/>
      <c r="Z300" s="1800"/>
      <c r="AA300" s="1800"/>
      <c r="AB300" s="1800"/>
      <c r="AC300" s="1800" t="s">
        <v>403</v>
      </c>
      <c r="AD300" s="1800"/>
      <c r="AE300" s="1800"/>
      <c r="AF300" s="1800"/>
      <c r="AG300" s="1800"/>
      <c r="AH300" s="1800"/>
      <c r="AI300" s="1800"/>
      <c r="AJ300" s="1800"/>
      <c r="AK300" s="1800"/>
      <c r="AL300" s="1800"/>
      <c r="AM300" s="1800"/>
      <c r="AN300" s="1800"/>
      <c r="AO300" s="1800"/>
      <c r="AP300" s="1800"/>
      <c r="AQ300" s="1800"/>
      <c r="AR300" s="1800"/>
      <c r="AS300" s="1800"/>
      <c r="AT300" s="1800"/>
      <c r="AU300" s="1800"/>
      <c r="AV300" s="1800"/>
      <c r="AW300" s="1800"/>
      <c r="AX300" s="1800"/>
      <c r="AY300" s="1800"/>
      <c r="AZ300" s="1800"/>
      <c r="BA300" s="1833" t="s">
        <v>404</v>
      </c>
      <c r="BB300" s="1800"/>
      <c r="BC300" s="1800"/>
      <c r="BD300" s="1800"/>
      <c r="BE300" s="1800"/>
      <c r="BF300" s="1800"/>
      <c r="BG300" s="1800"/>
      <c r="BH300" s="1800"/>
      <c r="BI300" s="1800" t="s">
        <v>405</v>
      </c>
      <c r="BJ300" s="1800"/>
      <c r="BK300" s="1800"/>
      <c r="BL300" s="1800"/>
      <c r="BM300" s="1800"/>
      <c r="BN300" s="1800"/>
      <c r="BO300" s="1800"/>
      <c r="BP300" s="1800"/>
      <c r="BQ300" s="1800"/>
      <c r="BR300" s="1800"/>
      <c r="BS300" s="1800"/>
      <c r="BT300" s="1800"/>
      <c r="BU300" s="1800"/>
      <c r="BV300" s="1800"/>
      <c r="BW300" s="1800"/>
      <c r="BX300" s="1800"/>
      <c r="BY300" s="1800"/>
      <c r="BZ300" s="1800"/>
      <c r="CA300" s="1800"/>
      <c r="CB300" s="1800"/>
      <c r="CC300" s="1800"/>
      <c r="CD300" s="1800"/>
      <c r="CE300" s="1800"/>
      <c r="CF300" s="1801"/>
    </row>
    <row r="301" spans="1:88" s="400" customFormat="1" ht="18" customHeight="1" thickBot="1">
      <c r="E301" s="1832"/>
      <c r="F301" s="1786"/>
      <c r="G301" s="1786"/>
      <c r="H301" s="1786"/>
      <c r="I301" s="1786"/>
      <c r="J301" s="1786"/>
      <c r="K301" s="1786"/>
      <c r="L301" s="1786"/>
      <c r="M301" s="1786"/>
      <c r="N301" s="1786"/>
      <c r="O301" s="1786"/>
      <c r="P301" s="1786"/>
      <c r="Q301" s="1786"/>
      <c r="R301" s="1786"/>
      <c r="S301" s="1786"/>
      <c r="T301" s="1786"/>
      <c r="U301" s="1786"/>
      <c r="V301" s="1786"/>
      <c r="W301" s="1786"/>
      <c r="X301" s="1786"/>
      <c r="Y301" s="1786"/>
      <c r="Z301" s="1786"/>
      <c r="AA301" s="1786"/>
      <c r="AB301" s="1786"/>
      <c r="AC301" s="1786" t="s">
        <v>406</v>
      </c>
      <c r="AD301" s="1786"/>
      <c r="AE301" s="1786"/>
      <c r="AF301" s="1786"/>
      <c r="AG301" s="1786"/>
      <c r="AH301" s="1786"/>
      <c r="AI301" s="1786"/>
      <c r="AJ301" s="1786"/>
      <c r="AK301" s="1786" t="s">
        <v>407</v>
      </c>
      <c r="AL301" s="1786"/>
      <c r="AM301" s="1786"/>
      <c r="AN301" s="1786"/>
      <c r="AO301" s="1786"/>
      <c r="AP301" s="1786"/>
      <c r="AQ301" s="1786"/>
      <c r="AR301" s="1786"/>
      <c r="AS301" s="1786" t="s">
        <v>408</v>
      </c>
      <c r="AT301" s="1786"/>
      <c r="AU301" s="1786"/>
      <c r="AV301" s="1786"/>
      <c r="AW301" s="1786"/>
      <c r="AX301" s="1786"/>
      <c r="AY301" s="1786"/>
      <c r="AZ301" s="1786"/>
      <c r="BA301" s="1786"/>
      <c r="BB301" s="1786"/>
      <c r="BC301" s="1786"/>
      <c r="BD301" s="1786"/>
      <c r="BE301" s="1786"/>
      <c r="BF301" s="1786"/>
      <c r="BG301" s="1786"/>
      <c r="BH301" s="1786"/>
      <c r="BI301" s="1786" t="s">
        <v>406</v>
      </c>
      <c r="BJ301" s="1786"/>
      <c r="BK301" s="1786"/>
      <c r="BL301" s="1786"/>
      <c r="BM301" s="1786"/>
      <c r="BN301" s="1786"/>
      <c r="BO301" s="1786"/>
      <c r="BP301" s="1786"/>
      <c r="BQ301" s="1786" t="s">
        <v>407</v>
      </c>
      <c r="BR301" s="1786"/>
      <c r="BS301" s="1786"/>
      <c r="BT301" s="1786"/>
      <c r="BU301" s="1786"/>
      <c r="BV301" s="1786"/>
      <c r="BW301" s="1786"/>
      <c r="BX301" s="1786"/>
      <c r="BY301" s="1786" t="s">
        <v>408</v>
      </c>
      <c r="BZ301" s="1786"/>
      <c r="CA301" s="1786"/>
      <c r="CB301" s="1786"/>
      <c r="CC301" s="1786"/>
      <c r="CD301" s="1786"/>
      <c r="CE301" s="1786"/>
      <c r="CF301" s="1787"/>
    </row>
    <row r="302" spans="1:88" s="400" customFormat="1" ht="18" customHeight="1" thickTop="1" thickBot="1">
      <c r="E302" s="1789" t="s">
        <v>490</v>
      </c>
      <c r="F302" s="1985"/>
      <c r="G302" s="1985"/>
      <c r="H302" s="1985"/>
      <c r="I302" s="1985"/>
      <c r="J302" s="1985"/>
      <c r="K302" s="1985"/>
      <c r="L302" s="1985"/>
      <c r="M302" s="1985"/>
      <c r="N302" s="1985"/>
      <c r="O302" s="1985"/>
      <c r="P302" s="1985"/>
      <c r="Q302" s="1985"/>
      <c r="R302" s="1985"/>
      <c r="S302" s="1985"/>
      <c r="T302" s="1986"/>
      <c r="U302" s="1851" t="s">
        <v>491</v>
      </c>
      <c r="V302" s="1851"/>
      <c r="W302" s="1851"/>
      <c r="X302" s="1851"/>
      <c r="Y302" s="1851"/>
      <c r="Z302" s="1851"/>
      <c r="AA302" s="1851"/>
      <c r="AB302" s="1851"/>
      <c r="AC302" s="1799" t="e">
        <f>#REF!</f>
        <v>#REF!</v>
      </c>
      <c r="AD302" s="1799"/>
      <c r="AE302" s="1799"/>
      <c r="AF302" s="1799"/>
      <c r="AG302" s="1799"/>
      <c r="AH302" s="1799"/>
      <c r="AI302" s="1799"/>
      <c r="AJ302" s="1799"/>
      <c r="AK302" s="1799" t="e">
        <f>#REF!</f>
        <v>#REF!</v>
      </c>
      <c r="AL302" s="1799"/>
      <c r="AM302" s="1799"/>
      <c r="AN302" s="1799"/>
      <c r="AO302" s="1799"/>
      <c r="AP302" s="1799"/>
      <c r="AQ302" s="1799"/>
      <c r="AR302" s="1799"/>
      <c r="AS302" s="1799" t="e">
        <f>#REF!</f>
        <v>#REF!</v>
      </c>
      <c r="AT302" s="1799"/>
      <c r="AU302" s="1799"/>
      <c r="AV302" s="1799"/>
      <c r="AW302" s="1799"/>
      <c r="AX302" s="1799"/>
      <c r="AY302" s="1799"/>
      <c r="AZ302" s="1799"/>
      <c r="BA302" s="1857">
        <f>AI296</f>
        <v>13</v>
      </c>
      <c r="BB302" s="1857"/>
      <c r="BC302" s="1857"/>
      <c r="BD302" s="1857"/>
      <c r="BE302" s="1857"/>
      <c r="BF302" s="1857"/>
      <c r="BG302" s="1857"/>
      <c r="BH302" s="1857"/>
      <c r="BI302" s="1799" t="e">
        <f>INT(AC302/$BA302)</f>
        <v>#REF!</v>
      </c>
      <c r="BJ302" s="1799"/>
      <c r="BK302" s="1799"/>
      <c r="BL302" s="1799"/>
      <c r="BM302" s="1799"/>
      <c r="BN302" s="1799"/>
      <c r="BO302" s="1799"/>
      <c r="BP302" s="1799"/>
      <c r="BQ302" s="1799" t="e">
        <f>INT(AK302/$BA302)</f>
        <v>#REF!</v>
      </c>
      <c r="BR302" s="1799"/>
      <c r="BS302" s="1799"/>
      <c r="BT302" s="1799"/>
      <c r="BU302" s="1799"/>
      <c r="BV302" s="1799"/>
      <c r="BW302" s="1799"/>
      <c r="BX302" s="1799"/>
      <c r="BY302" s="1799" t="e">
        <f>INT(AS302/$BA302)</f>
        <v>#REF!</v>
      </c>
      <c r="BZ302" s="1799"/>
      <c r="CA302" s="1799"/>
      <c r="CB302" s="1799"/>
      <c r="CC302" s="1799"/>
      <c r="CD302" s="1799"/>
      <c r="CE302" s="1799"/>
      <c r="CF302" s="1802"/>
    </row>
    <row r="303" spans="1:88" s="400" customFormat="1" ht="18" customHeight="1"/>
    <row r="304" spans="1:88" s="400" customFormat="1" ht="23.1" customHeight="1">
      <c r="A304" s="420"/>
      <c r="B304" s="421" t="s">
        <v>492</v>
      </c>
      <c r="C304" s="420"/>
      <c r="D304" s="420"/>
      <c r="E304" s="420"/>
      <c r="F304" s="420"/>
      <c r="G304" s="420"/>
      <c r="H304" s="420"/>
      <c r="I304" s="420"/>
      <c r="J304" s="420"/>
      <c r="K304" s="420"/>
      <c r="L304" s="420"/>
      <c r="M304" s="420"/>
      <c r="N304" s="420"/>
      <c r="O304" s="420"/>
      <c r="P304" s="420"/>
      <c r="Q304" s="420"/>
      <c r="R304" s="420"/>
      <c r="S304" s="420"/>
      <c r="T304" s="420"/>
      <c r="U304" s="420"/>
      <c r="V304" s="420"/>
      <c r="W304" s="420"/>
      <c r="BT304" s="414"/>
      <c r="BU304" s="414"/>
      <c r="BV304" s="414"/>
      <c r="BW304" s="414"/>
      <c r="BX304" s="414"/>
      <c r="BY304" s="414"/>
      <c r="BZ304" s="414"/>
      <c r="CA304" s="414"/>
      <c r="CB304" s="414"/>
      <c r="CC304" s="414"/>
    </row>
    <row r="305" spans="1:88" s="400" customFormat="1" ht="9.9499999999999993" customHeight="1">
      <c r="BT305" s="410"/>
      <c r="BU305" s="410"/>
      <c r="BV305" s="410"/>
      <c r="BW305" s="410"/>
      <c r="BX305" s="410"/>
      <c r="BY305" s="410"/>
      <c r="BZ305" s="410"/>
      <c r="CA305" s="410"/>
      <c r="CB305" s="410"/>
      <c r="CC305" s="410"/>
    </row>
    <row r="306" spans="1:88" s="400" customFormat="1" ht="18" customHeight="1">
      <c r="E306" s="400" t="s">
        <v>376</v>
      </c>
    </row>
    <row r="307" spans="1:88" s="400" customFormat="1" ht="18" customHeight="1">
      <c r="G307" s="400" t="s">
        <v>377</v>
      </c>
      <c r="L307" s="403" t="str">
        <f>AA308&amp;" × "&amp;BG308&amp;" × "&amp;V309/100&amp;" × "&amp;BG309</f>
        <v>1 × 60 × 0.05 × 0.65</v>
      </c>
      <c r="AF307" s="400" t="s">
        <v>41</v>
      </c>
      <c r="AH307" s="1984">
        <f>ROUND(AA308*BG308*V309/100*BG309,2)</f>
        <v>1.95</v>
      </c>
      <c r="AI307" s="1984"/>
      <c r="AJ307" s="1984"/>
      <c r="AK307" s="1984"/>
      <c r="AL307" s="1984"/>
      <c r="AM307" s="1984"/>
      <c r="AN307" s="1984"/>
      <c r="AO307" s="400" t="s">
        <v>489</v>
      </c>
      <c r="AS307" s="431"/>
      <c r="AT307" s="431"/>
      <c r="AU307" s="431"/>
      <c r="AV307" s="431"/>
      <c r="AW307" s="431"/>
      <c r="AX307" s="431"/>
      <c r="AY307" s="431"/>
      <c r="AZ307" s="431"/>
      <c r="BA307" s="431"/>
      <c r="BB307" s="431"/>
      <c r="BC307" s="431"/>
      <c r="BD307" s="431"/>
      <c r="BE307" s="431"/>
      <c r="BF307" s="431"/>
      <c r="BG307" s="431"/>
      <c r="BT307" s="414"/>
      <c r="BU307" s="414"/>
      <c r="BV307" s="414"/>
      <c r="BW307" s="414"/>
      <c r="BX307" s="414"/>
      <c r="BY307" s="414"/>
      <c r="BZ307" s="414"/>
      <c r="CA307" s="414"/>
      <c r="CB307" s="414"/>
      <c r="CC307" s="414"/>
    </row>
    <row r="308" spans="1:88" s="400" customFormat="1" ht="18" customHeight="1">
      <c r="G308" s="402"/>
      <c r="I308" s="400" t="s">
        <v>485</v>
      </c>
      <c r="AA308" s="1859">
        <v>1</v>
      </c>
      <c r="AB308" s="1859"/>
      <c r="AC308" s="1859"/>
      <c r="AD308" s="400" t="s">
        <v>272</v>
      </c>
      <c r="AT308" s="400" t="s">
        <v>486</v>
      </c>
      <c r="BG308" s="1788">
        <v>60</v>
      </c>
      <c r="BH308" s="1788"/>
      <c r="BI308" s="1788"/>
      <c r="BJ308" s="1788"/>
      <c r="BK308" s="1788"/>
      <c r="BL308" s="400" t="s">
        <v>487</v>
      </c>
      <c r="BN308" s="430"/>
      <c r="BO308" s="430"/>
      <c r="BP308" s="430"/>
      <c r="BQ308" s="430"/>
      <c r="BR308" s="430"/>
      <c r="BT308" s="410"/>
      <c r="BU308" s="410"/>
      <c r="BV308" s="410"/>
      <c r="BW308" s="410"/>
      <c r="BX308" s="410"/>
      <c r="BY308" s="410"/>
      <c r="BZ308" s="410"/>
      <c r="CA308" s="410"/>
      <c r="CB308" s="410"/>
      <c r="CC308" s="410"/>
    </row>
    <row r="309" spans="1:88" s="400" customFormat="1" ht="18" customHeight="1">
      <c r="D309" s="403"/>
      <c r="I309" s="400" t="s">
        <v>488</v>
      </c>
      <c r="V309" s="1788">
        <v>5</v>
      </c>
      <c r="W309" s="1788"/>
      <c r="X309" s="1788"/>
      <c r="Y309" s="400" t="s">
        <v>381</v>
      </c>
      <c r="AB309" s="429"/>
      <c r="AM309" s="408"/>
      <c r="AR309" s="414"/>
      <c r="AS309" s="414"/>
      <c r="AT309" s="408" t="s">
        <v>463</v>
      </c>
      <c r="BG309" s="1788">
        <v>0.65</v>
      </c>
      <c r="BH309" s="1788"/>
      <c r="BI309" s="1788"/>
      <c r="BJ309" s="1788"/>
      <c r="BK309" s="1788"/>
      <c r="BT309" s="414"/>
      <c r="BU309" s="414"/>
      <c r="BV309" s="414"/>
      <c r="BW309" s="414"/>
      <c r="BX309" s="414"/>
      <c r="BY309" s="414"/>
      <c r="BZ309" s="414"/>
      <c r="CA309" s="414"/>
      <c r="CB309" s="414"/>
      <c r="CC309" s="414"/>
    </row>
    <row r="310" spans="1:88" s="400" customFormat="1" ht="9.9499999999999993" customHeight="1"/>
    <row r="311" spans="1:88" s="400" customFormat="1" ht="18" customHeight="1">
      <c r="E311" s="400" t="s">
        <v>402</v>
      </c>
    </row>
    <row r="312" spans="1:88" s="400" customFormat="1" ht="9.9499999999999993" customHeight="1" thickBot="1"/>
    <row r="313" spans="1:88" s="400" customFormat="1" ht="18" customHeight="1">
      <c r="D313" s="403"/>
      <c r="E313" s="1831" t="s">
        <v>385</v>
      </c>
      <c r="F313" s="1800"/>
      <c r="G313" s="1800"/>
      <c r="H313" s="1800"/>
      <c r="I313" s="1800"/>
      <c r="J313" s="1800"/>
      <c r="K313" s="1800"/>
      <c r="L313" s="1800"/>
      <c r="M313" s="1800"/>
      <c r="N313" s="1800"/>
      <c r="O313" s="1800"/>
      <c r="P313" s="1800"/>
      <c r="Q313" s="1800"/>
      <c r="R313" s="1800"/>
      <c r="S313" s="1800"/>
      <c r="T313" s="1800"/>
      <c r="U313" s="1800" t="s">
        <v>212</v>
      </c>
      <c r="V313" s="1800"/>
      <c r="W313" s="1800"/>
      <c r="X313" s="1800"/>
      <c r="Y313" s="1800"/>
      <c r="Z313" s="1800"/>
      <c r="AA313" s="1800"/>
      <c r="AB313" s="1800"/>
      <c r="AC313" s="1800" t="s">
        <v>403</v>
      </c>
      <c r="AD313" s="1800"/>
      <c r="AE313" s="1800"/>
      <c r="AF313" s="1800"/>
      <c r="AG313" s="1800"/>
      <c r="AH313" s="1800"/>
      <c r="AI313" s="1800"/>
      <c r="AJ313" s="1800"/>
      <c r="AK313" s="1800"/>
      <c r="AL313" s="1800"/>
      <c r="AM313" s="1800"/>
      <c r="AN313" s="1800"/>
      <c r="AO313" s="1800"/>
      <c r="AP313" s="1800"/>
      <c r="AQ313" s="1800"/>
      <c r="AR313" s="1800"/>
      <c r="AS313" s="1800"/>
      <c r="AT313" s="1800"/>
      <c r="AU313" s="1800"/>
      <c r="AV313" s="1800"/>
      <c r="AW313" s="1800"/>
      <c r="AX313" s="1800"/>
      <c r="AY313" s="1800"/>
      <c r="AZ313" s="1800"/>
      <c r="BA313" s="1833" t="s">
        <v>404</v>
      </c>
      <c r="BB313" s="1800"/>
      <c r="BC313" s="1800"/>
      <c r="BD313" s="1800"/>
      <c r="BE313" s="1800"/>
      <c r="BF313" s="1800"/>
      <c r="BG313" s="1800"/>
      <c r="BH313" s="1800"/>
      <c r="BI313" s="1800" t="s">
        <v>405</v>
      </c>
      <c r="BJ313" s="1800"/>
      <c r="BK313" s="1800"/>
      <c r="BL313" s="1800"/>
      <c r="BM313" s="1800"/>
      <c r="BN313" s="1800"/>
      <c r="BO313" s="1800"/>
      <c r="BP313" s="1800"/>
      <c r="BQ313" s="1800"/>
      <c r="BR313" s="1800"/>
      <c r="BS313" s="1800"/>
      <c r="BT313" s="1800"/>
      <c r="BU313" s="1800"/>
      <c r="BV313" s="1800"/>
      <c r="BW313" s="1800"/>
      <c r="BX313" s="1800"/>
      <c r="BY313" s="1800"/>
      <c r="BZ313" s="1800"/>
      <c r="CA313" s="1800"/>
      <c r="CB313" s="1800"/>
      <c r="CC313" s="1800"/>
      <c r="CD313" s="1800"/>
      <c r="CE313" s="1800"/>
      <c r="CF313" s="1801"/>
    </row>
    <row r="314" spans="1:88" s="400" customFormat="1" ht="18" customHeight="1" thickBot="1">
      <c r="E314" s="1832"/>
      <c r="F314" s="1786"/>
      <c r="G314" s="1786"/>
      <c r="H314" s="1786"/>
      <c r="I314" s="1786"/>
      <c r="J314" s="1786"/>
      <c r="K314" s="1786"/>
      <c r="L314" s="1786"/>
      <c r="M314" s="1786"/>
      <c r="N314" s="1786"/>
      <c r="O314" s="1786"/>
      <c r="P314" s="1786"/>
      <c r="Q314" s="1786"/>
      <c r="R314" s="1786"/>
      <c r="S314" s="1786"/>
      <c r="T314" s="1786"/>
      <c r="U314" s="1786"/>
      <c r="V314" s="1786"/>
      <c r="W314" s="1786"/>
      <c r="X314" s="1786"/>
      <c r="Y314" s="1786"/>
      <c r="Z314" s="1786"/>
      <c r="AA314" s="1786"/>
      <c r="AB314" s="1786"/>
      <c r="AC314" s="1786" t="s">
        <v>406</v>
      </c>
      <c r="AD314" s="1786"/>
      <c r="AE314" s="1786"/>
      <c r="AF314" s="1786"/>
      <c r="AG314" s="1786"/>
      <c r="AH314" s="1786"/>
      <c r="AI314" s="1786"/>
      <c r="AJ314" s="1786"/>
      <c r="AK314" s="1786" t="s">
        <v>407</v>
      </c>
      <c r="AL314" s="1786"/>
      <c r="AM314" s="1786"/>
      <c r="AN314" s="1786"/>
      <c r="AO314" s="1786"/>
      <c r="AP314" s="1786"/>
      <c r="AQ314" s="1786"/>
      <c r="AR314" s="1786"/>
      <c r="AS314" s="1786" t="s">
        <v>408</v>
      </c>
      <c r="AT314" s="1786"/>
      <c r="AU314" s="1786"/>
      <c r="AV314" s="1786"/>
      <c r="AW314" s="1786"/>
      <c r="AX314" s="1786"/>
      <c r="AY314" s="1786"/>
      <c r="AZ314" s="1786"/>
      <c r="BA314" s="1786"/>
      <c r="BB314" s="1786"/>
      <c r="BC314" s="1786"/>
      <c r="BD314" s="1786"/>
      <c r="BE314" s="1786"/>
      <c r="BF314" s="1786"/>
      <c r="BG314" s="1786"/>
      <c r="BH314" s="1786"/>
      <c r="BI314" s="1786" t="s">
        <v>406</v>
      </c>
      <c r="BJ314" s="1786"/>
      <c r="BK314" s="1786"/>
      <c r="BL314" s="1786"/>
      <c r="BM314" s="1786"/>
      <c r="BN314" s="1786"/>
      <c r="BO314" s="1786"/>
      <c r="BP314" s="1786"/>
      <c r="BQ314" s="1786" t="s">
        <v>407</v>
      </c>
      <c r="BR314" s="1786"/>
      <c r="BS314" s="1786"/>
      <c r="BT314" s="1786"/>
      <c r="BU314" s="1786"/>
      <c r="BV314" s="1786"/>
      <c r="BW314" s="1786"/>
      <c r="BX314" s="1786"/>
      <c r="BY314" s="1786" t="s">
        <v>408</v>
      </c>
      <c r="BZ314" s="1786"/>
      <c r="CA314" s="1786"/>
      <c r="CB314" s="1786"/>
      <c r="CC314" s="1786"/>
      <c r="CD314" s="1786"/>
      <c r="CE314" s="1786"/>
      <c r="CF314" s="1787"/>
    </row>
    <row r="315" spans="1:88" s="400" customFormat="1" ht="18" customHeight="1" thickTop="1" thickBot="1">
      <c r="E315" s="1789" t="s">
        <v>490</v>
      </c>
      <c r="F315" s="1790"/>
      <c r="G315" s="1790"/>
      <c r="H315" s="1790"/>
      <c r="I315" s="1790"/>
      <c r="J315" s="1790"/>
      <c r="K315" s="1790"/>
      <c r="L315" s="1790"/>
      <c r="M315" s="1790"/>
      <c r="N315" s="1790"/>
      <c r="O315" s="1790"/>
      <c r="P315" s="1790"/>
      <c r="Q315" s="1790"/>
      <c r="R315" s="1790"/>
      <c r="S315" s="1790"/>
      <c r="T315" s="1791"/>
      <c r="U315" s="1851" t="s">
        <v>493</v>
      </c>
      <c r="V315" s="1851"/>
      <c r="W315" s="1851"/>
      <c r="X315" s="1851"/>
      <c r="Y315" s="1851"/>
      <c r="Z315" s="1851"/>
      <c r="AA315" s="1851"/>
      <c r="AB315" s="1851"/>
      <c r="AC315" s="1799" t="e">
        <f>#REF!</f>
        <v>#REF!</v>
      </c>
      <c r="AD315" s="1799"/>
      <c r="AE315" s="1799"/>
      <c r="AF315" s="1799"/>
      <c r="AG315" s="1799"/>
      <c r="AH315" s="1799"/>
      <c r="AI315" s="1799"/>
      <c r="AJ315" s="1799"/>
      <c r="AK315" s="1799" t="e">
        <f>#REF!</f>
        <v>#REF!</v>
      </c>
      <c r="AL315" s="1799"/>
      <c r="AM315" s="1799"/>
      <c r="AN315" s="1799"/>
      <c r="AO315" s="1799"/>
      <c r="AP315" s="1799"/>
      <c r="AQ315" s="1799"/>
      <c r="AR315" s="1799"/>
      <c r="AS315" s="1799" t="e">
        <f>#REF!</f>
        <v>#REF!</v>
      </c>
      <c r="AT315" s="1799"/>
      <c r="AU315" s="1799"/>
      <c r="AV315" s="1799"/>
      <c r="AW315" s="1799"/>
      <c r="AX315" s="1799"/>
      <c r="AY315" s="1799"/>
      <c r="AZ315" s="1799"/>
      <c r="BA315" s="1857">
        <f>AH307</f>
        <v>1.95</v>
      </c>
      <c r="BB315" s="1857"/>
      <c r="BC315" s="1857"/>
      <c r="BD315" s="1857"/>
      <c r="BE315" s="1857"/>
      <c r="BF315" s="1857"/>
      <c r="BG315" s="1857"/>
      <c r="BH315" s="1857"/>
      <c r="BI315" s="1799" t="e">
        <f>INT(AC315/$BA315)</f>
        <v>#REF!</v>
      </c>
      <c r="BJ315" s="1799"/>
      <c r="BK315" s="1799"/>
      <c r="BL315" s="1799"/>
      <c r="BM315" s="1799"/>
      <c r="BN315" s="1799"/>
      <c r="BO315" s="1799"/>
      <c r="BP315" s="1799"/>
      <c r="BQ315" s="1799" t="e">
        <f>INT(AK315/$BA315)</f>
        <v>#REF!</v>
      </c>
      <c r="BR315" s="1799"/>
      <c r="BS315" s="1799"/>
      <c r="BT315" s="1799"/>
      <c r="BU315" s="1799"/>
      <c r="BV315" s="1799"/>
      <c r="BW315" s="1799"/>
      <c r="BX315" s="1799"/>
      <c r="BY315" s="1799" t="e">
        <f>INT(AS315/$BA315)</f>
        <v>#REF!</v>
      </c>
      <c r="BZ315" s="1799"/>
      <c r="CA315" s="1799"/>
      <c r="CB315" s="1799"/>
      <c r="CC315" s="1799"/>
      <c r="CD315" s="1799"/>
      <c r="CE315" s="1799"/>
      <c r="CF315" s="1802"/>
    </row>
    <row r="316" spans="1:88" s="400" customFormat="1" ht="18" customHeight="1">
      <c r="BT316" s="410"/>
      <c r="BU316" s="410"/>
      <c r="BV316" s="410"/>
      <c r="BW316" s="410"/>
      <c r="BX316" s="410"/>
      <c r="BY316" s="410"/>
      <c r="BZ316" s="410"/>
      <c r="CA316" s="410"/>
      <c r="CB316" s="410"/>
      <c r="CC316" s="410"/>
    </row>
    <row r="317" spans="1:88" s="400" customFormat="1" ht="23.1" customHeight="1">
      <c r="A317" s="420"/>
      <c r="B317" s="421" t="s">
        <v>494</v>
      </c>
      <c r="C317" s="420"/>
      <c r="D317" s="420"/>
      <c r="E317" s="420"/>
      <c r="F317" s="420"/>
      <c r="G317" s="420"/>
      <c r="H317" s="420"/>
      <c r="I317" s="420"/>
      <c r="J317" s="420"/>
      <c r="K317" s="420"/>
      <c r="L317" s="420"/>
      <c r="M317" s="420"/>
      <c r="N317" s="420"/>
      <c r="O317" s="420"/>
      <c r="P317" s="420"/>
      <c r="Q317" s="420"/>
      <c r="R317" s="420"/>
      <c r="S317" s="420"/>
      <c r="T317" s="420"/>
      <c r="U317" s="420"/>
      <c r="V317" s="420"/>
      <c r="W317" s="420"/>
      <c r="BT317" s="414"/>
      <c r="BU317" s="414"/>
      <c r="BV317" s="414"/>
      <c r="BW317" s="414"/>
      <c r="BX317" s="414"/>
      <c r="BY317" s="414"/>
      <c r="BZ317" s="414"/>
      <c r="CA317" s="414"/>
      <c r="CB317" s="414"/>
      <c r="CC317" s="414"/>
      <c r="CJ317" s="400" t="s">
        <v>736</v>
      </c>
    </row>
    <row r="318" spans="1:88" s="400" customFormat="1" ht="9.9499999999999993" customHeight="1">
      <c r="BT318" s="410"/>
      <c r="BU318" s="410"/>
      <c r="BV318" s="410"/>
      <c r="BW318" s="410"/>
      <c r="BX318" s="410"/>
      <c r="BY318" s="410"/>
      <c r="BZ318" s="410"/>
      <c r="CA318" s="410"/>
      <c r="CB318" s="410"/>
      <c r="CC318" s="410"/>
    </row>
    <row r="319" spans="1:88" s="400" customFormat="1" ht="18" customHeight="1">
      <c r="E319" s="400" t="s">
        <v>376</v>
      </c>
    </row>
    <row r="320" spans="1:88" s="400" customFormat="1" ht="18" customHeight="1">
      <c r="G320" s="400" t="s">
        <v>377</v>
      </c>
      <c r="L320" s="403" t="str">
        <f>AA321&amp;" × "&amp;BG321&amp;" × "&amp;V322/100&amp;" × "&amp;BG322</f>
        <v>0.6 × 50 × 0.05 × 0.55</v>
      </c>
      <c r="AF320" s="400" t="s">
        <v>41</v>
      </c>
      <c r="AH320" s="1984">
        <f>ROUND(AA321*BG321*V322/100*BG322,2)</f>
        <v>0.83</v>
      </c>
      <c r="AI320" s="1984"/>
      <c r="AJ320" s="1984"/>
      <c r="AK320" s="1984"/>
      <c r="AL320" s="1984"/>
      <c r="AM320" s="1984"/>
      <c r="AN320" s="1984"/>
      <c r="AO320" s="400" t="s">
        <v>489</v>
      </c>
      <c r="AS320" s="431"/>
      <c r="AT320" s="431"/>
      <c r="AU320" s="431"/>
      <c r="AV320" s="431"/>
      <c r="AW320" s="431"/>
      <c r="AX320" s="431"/>
      <c r="AY320" s="431"/>
      <c r="AZ320" s="431"/>
      <c r="BA320" s="431"/>
      <c r="BB320" s="431"/>
      <c r="BC320" s="431"/>
      <c r="BD320" s="431"/>
      <c r="BE320" s="431"/>
      <c r="BF320" s="431"/>
      <c r="BG320" s="431"/>
      <c r="BT320" s="414"/>
      <c r="BU320" s="414"/>
      <c r="BV320" s="414"/>
      <c r="BW320" s="414"/>
      <c r="BX320" s="414"/>
      <c r="BY320" s="414"/>
      <c r="BZ320" s="414"/>
      <c r="CA320" s="414"/>
      <c r="CB320" s="414"/>
      <c r="CC320" s="414"/>
    </row>
    <row r="321" spans="1:88" s="400" customFormat="1" ht="18" customHeight="1">
      <c r="G321" s="402"/>
      <c r="I321" s="400" t="s">
        <v>485</v>
      </c>
      <c r="AA321" s="1863">
        <v>0.6</v>
      </c>
      <c r="AB321" s="1863"/>
      <c r="AC321" s="1863"/>
      <c r="AD321" s="1863"/>
      <c r="AE321" s="1863"/>
      <c r="AF321" s="400" t="s">
        <v>272</v>
      </c>
      <c r="AT321" s="400" t="s">
        <v>486</v>
      </c>
      <c r="BG321" s="1788">
        <v>50</v>
      </c>
      <c r="BH321" s="1788"/>
      <c r="BI321" s="1788"/>
      <c r="BJ321" s="1788"/>
      <c r="BK321" s="1788"/>
      <c r="BL321" s="400" t="s">
        <v>487</v>
      </c>
      <c r="BN321" s="430"/>
      <c r="BO321" s="430"/>
      <c r="BP321" s="430"/>
      <c r="BQ321" s="430"/>
      <c r="BR321" s="430"/>
      <c r="BT321" s="410"/>
      <c r="BU321" s="410"/>
      <c r="BV321" s="410"/>
      <c r="BW321" s="410"/>
      <c r="BX321" s="410"/>
      <c r="BY321" s="410"/>
      <c r="BZ321" s="410"/>
      <c r="CA321" s="410"/>
      <c r="CB321" s="410"/>
      <c r="CC321" s="410"/>
    </row>
    <row r="322" spans="1:88" s="400" customFormat="1" ht="18" customHeight="1">
      <c r="D322" s="403"/>
      <c r="I322" s="400" t="s">
        <v>488</v>
      </c>
      <c r="V322" s="1788">
        <v>5</v>
      </c>
      <c r="W322" s="1788"/>
      <c r="X322" s="1788"/>
      <c r="Y322" s="400" t="s">
        <v>381</v>
      </c>
      <c r="AB322" s="429"/>
      <c r="AM322" s="408"/>
      <c r="AR322" s="414"/>
      <c r="AS322" s="414"/>
      <c r="AT322" s="408" t="s">
        <v>463</v>
      </c>
      <c r="BG322" s="1788">
        <v>0.55000000000000004</v>
      </c>
      <c r="BH322" s="1788"/>
      <c r="BI322" s="1788"/>
      <c r="BJ322" s="1788"/>
      <c r="BK322" s="1788"/>
      <c r="BT322" s="414"/>
      <c r="BU322" s="414"/>
      <c r="BV322" s="414"/>
      <c r="BW322" s="414"/>
      <c r="BX322" s="414"/>
      <c r="BY322" s="414"/>
      <c r="BZ322" s="414"/>
      <c r="CA322" s="414"/>
      <c r="CB322" s="414"/>
      <c r="CC322" s="414"/>
    </row>
    <row r="323" spans="1:88" s="400" customFormat="1" ht="9.9499999999999993" customHeight="1"/>
    <row r="324" spans="1:88" s="400" customFormat="1" ht="18" customHeight="1">
      <c r="E324" s="400" t="s">
        <v>402</v>
      </c>
    </row>
    <row r="325" spans="1:88" s="400" customFormat="1" ht="9.9499999999999993" customHeight="1" thickBot="1"/>
    <row r="326" spans="1:88" s="400" customFormat="1" ht="18" customHeight="1">
      <c r="D326" s="403"/>
      <c r="E326" s="1831" t="s">
        <v>385</v>
      </c>
      <c r="F326" s="1800"/>
      <c r="G326" s="1800"/>
      <c r="H326" s="1800"/>
      <c r="I326" s="1800"/>
      <c r="J326" s="1800"/>
      <c r="K326" s="1800"/>
      <c r="L326" s="1800"/>
      <c r="M326" s="1800"/>
      <c r="N326" s="1800"/>
      <c r="O326" s="1800"/>
      <c r="P326" s="1800"/>
      <c r="Q326" s="1800"/>
      <c r="R326" s="1800"/>
      <c r="S326" s="1800"/>
      <c r="T326" s="1800"/>
      <c r="U326" s="1800" t="s">
        <v>212</v>
      </c>
      <c r="V326" s="1800"/>
      <c r="W326" s="1800"/>
      <c r="X326" s="1800"/>
      <c r="Y326" s="1800"/>
      <c r="Z326" s="1800"/>
      <c r="AA326" s="1800"/>
      <c r="AB326" s="1800"/>
      <c r="AC326" s="1800" t="s">
        <v>403</v>
      </c>
      <c r="AD326" s="1800"/>
      <c r="AE326" s="1800"/>
      <c r="AF326" s="1800"/>
      <c r="AG326" s="1800"/>
      <c r="AH326" s="1800"/>
      <c r="AI326" s="1800"/>
      <c r="AJ326" s="1800"/>
      <c r="AK326" s="1800"/>
      <c r="AL326" s="1800"/>
      <c r="AM326" s="1800"/>
      <c r="AN326" s="1800"/>
      <c r="AO326" s="1800"/>
      <c r="AP326" s="1800"/>
      <c r="AQ326" s="1800"/>
      <c r="AR326" s="1800"/>
      <c r="AS326" s="1800"/>
      <c r="AT326" s="1800"/>
      <c r="AU326" s="1800"/>
      <c r="AV326" s="1800"/>
      <c r="AW326" s="1800"/>
      <c r="AX326" s="1800"/>
      <c r="AY326" s="1800"/>
      <c r="AZ326" s="1800"/>
      <c r="BA326" s="1833" t="s">
        <v>404</v>
      </c>
      <c r="BB326" s="1800"/>
      <c r="BC326" s="1800"/>
      <c r="BD326" s="1800"/>
      <c r="BE326" s="1800"/>
      <c r="BF326" s="1800"/>
      <c r="BG326" s="1800"/>
      <c r="BH326" s="1800"/>
      <c r="BI326" s="1800" t="s">
        <v>405</v>
      </c>
      <c r="BJ326" s="1800"/>
      <c r="BK326" s="1800"/>
      <c r="BL326" s="1800"/>
      <c r="BM326" s="1800"/>
      <c r="BN326" s="1800"/>
      <c r="BO326" s="1800"/>
      <c r="BP326" s="1800"/>
      <c r="BQ326" s="1800"/>
      <c r="BR326" s="1800"/>
      <c r="BS326" s="1800"/>
      <c r="BT326" s="1800"/>
      <c r="BU326" s="1800"/>
      <c r="BV326" s="1800"/>
      <c r="BW326" s="1800"/>
      <c r="BX326" s="1800"/>
      <c r="BY326" s="1800"/>
      <c r="BZ326" s="1800"/>
      <c r="CA326" s="1800"/>
      <c r="CB326" s="1800"/>
      <c r="CC326" s="1800"/>
      <c r="CD326" s="1800"/>
      <c r="CE326" s="1800"/>
      <c r="CF326" s="1801"/>
    </row>
    <row r="327" spans="1:88" s="400" customFormat="1" ht="18" customHeight="1" thickBot="1">
      <c r="E327" s="1832"/>
      <c r="F327" s="1786"/>
      <c r="G327" s="1786"/>
      <c r="H327" s="1786"/>
      <c r="I327" s="1786"/>
      <c r="J327" s="1786"/>
      <c r="K327" s="1786"/>
      <c r="L327" s="1786"/>
      <c r="M327" s="1786"/>
      <c r="N327" s="1786"/>
      <c r="O327" s="1786"/>
      <c r="P327" s="1786"/>
      <c r="Q327" s="1786"/>
      <c r="R327" s="1786"/>
      <c r="S327" s="1786"/>
      <c r="T327" s="1786"/>
      <c r="U327" s="1786"/>
      <c r="V327" s="1786"/>
      <c r="W327" s="1786"/>
      <c r="X327" s="1786"/>
      <c r="Y327" s="1786"/>
      <c r="Z327" s="1786"/>
      <c r="AA327" s="1786"/>
      <c r="AB327" s="1786"/>
      <c r="AC327" s="1786" t="s">
        <v>406</v>
      </c>
      <c r="AD327" s="1786"/>
      <c r="AE327" s="1786"/>
      <c r="AF327" s="1786"/>
      <c r="AG327" s="1786"/>
      <c r="AH327" s="1786"/>
      <c r="AI327" s="1786"/>
      <c r="AJ327" s="1786"/>
      <c r="AK327" s="1786" t="s">
        <v>407</v>
      </c>
      <c r="AL327" s="1786"/>
      <c r="AM327" s="1786"/>
      <c r="AN327" s="1786"/>
      <c r="AO327" s="1786"/>
      <c r="AP327" s="1786"/>
      <c r="AQ327" s="1786"/>
      <c r="AR327" s="1786"/>
      <c r="AS327" s="1786" t="s">
        <v>408</v>
      </c>
      <c r="AT327" s="1786"/>
      <c r="AU327" s="1786"/>
      <c r="AV327" s="1786"/>
      <c r="AW327" s="1786"/>
      <c r="AX327" s="1786"/>
      <c r="AY327" s="1786"/>
      <c r="AZ327" s="1786"/>
      <c r="BA327" s="1786"/>
      <c r="BB327" s="1786"/>
      <c r="BC327" s="1786"/>
      <c r="BD327" s="1786"/>
      <c r="BE327" s="1786"/>
      <c r="BF327" s="1786"/>
      <c r="BG327" s="1786"/>
      <c r="BH327" s="1786"/>
      <c r="BI327" s="1786" t="s">
        <v>406</v>
      </c>
      <c r="BJ327" s="1786"/>
      <c r="BK327" s="1786"/>
      <c r="BL327" s="1786"/>
      <c r="BM327" s="1786"/>
      <c r="BN327" s="1786"/>
      <c r="BO327" s="1786"/>
      <c r="BP327" s="1786"/>
      <c r="BQ327" s="1786" t="s">
        <v>407</v>
      </c>
      <c r="BR327" s="1786"/>
      <c r="BS327" s="1786"/>
      <c r="BT327" s="1786"/>
      <c r="BU327" s="1786"/>
      <c r="BV327" s="1786"/>
      <c r="BW327" s="1786"/>
      <c r="BX327" s="1786"/>
      <c r="BY327" s="1786" t="s">
        <v>408</v>
      </c>
      <c r="BZ327" s="1786"/>
      <c r="CA327" s="1786"/>
      <c r="CB327" s="1786"/>
      <c r="CC327" s="1786"/>
      <c r="CD327" s="1786"/>
      <c r="CE327" s="1786"/>
      <c r="CF327" s="1787"/>
    </row>
    <row r="328" spans="1:88" s="400" customFormat="1" ht="18" customHeight="1" thickTop="1" thickBot="1">
      <c r="E328" s="1789" t="s">
        <v>490</v>
      </c>
      <c r="F328" s="1790"/>
      <c r="G328" s="1790"/>
      <c r="H328" s="1790"/>
      <c r="I328" s="1790"/>
      <c r="J328" s="1790"/>
      <c r="K328" s="1790"/>
      <c r="L328" s="1790"/>
      <c r="M328" s="1790"/>
      <c r="N328" s="1790"/>
      <c r="O328" s="1790"/>
      <c r="P328" s="1790"/>
      <c r="Q328" s="1790"/>
      <c r="R328" s="1790"/>
      <c r="S328" s="1790"/>
      <c r="T328" s="1791"/>
      <c r="U328" s="1851" t="s">
        <v>495</v>
      </c>
      <c r="V328" s="1851"/>
      <c r="W328" s="1851"/>
      <c r="X328" s="1851"/>
      <c r="Y328" s="1851"/>
      <c r="Z328" s="1851"/>
      <c r="AA328" s="1851"/>
      <c r="AB328" s="1851"/>
      <c r="AC328" s="1799" t="e">
        <f>#REF!</f>
        <v>#REF!</v>
      </c>
      <c r="AD328" s="1799"/>
      <c r="AE328" s="1799"/>
      <c r="AF328" s="1799"/>
      <c r="AG328" s="1799"/>
      <c r="AH328" s="1799"/>
      <c r="AI328" s="1799"/>
      <c r="AJ328" s="1799"/>
      <c r="AK328" s="1799" t="e">
        <f>#REF!</f>
        <v>#REF!</v>
      </c>
      <c r="AL328" s="1799"/>
      <c r="AM328" s="1799"/>
      <c r="AN328" s="1799"/>
      <c r="AO328" s="1799"/>
      <c r="AP328" s="1799"/>
      <c r="AQ328" s="1799"/>
      <c r="AR328" s="1799"/>
      <c r="AS328" s="1799" t="e">
        <f>#REF!</f>
        <v>#REF!</v>
      </c>
      <c r="AT328" s="1799"/>
      <c r="AU328" s="1799"/>
      <c r="AV328" s="1799"/>
      <c r="AW328" s="1799"/>
      <c r="AX328" s="1799"/>
      <c r="AY328" s="1799"/>
      <c r="AZ328" s="1799"/>
      <c r="BA328" s="1857">
        <f>AH320</f>
        <v>0.83</v>
      </c>
      <c r="BB328" s="1857"/>
      <c r="BC328" s="1857"/>
      <c r="BD328" s="1857"/>
      <c r="BE328" s="1857"/>
      <c r="BF328" s="1857"/>
      <c r="BG328" s="1857"/>
      <c r="BH328" s="1857"/>
      <c r="BI328" s="1799" t="e">
        <f>INT(AC328/$BA328)</f>
        <v>#REF!</v>
      </c>
      <c r="BJ328" s="1799"/>
      <c r="BK328" s="1799"/>
      <c r="BL328" s="1799"/>
      <c r="BM328" s="1799"/>
      <c r="BN328" s="1799"/>
      <c r="BO328" s="1799"/>
      <c r="BP328" s="1799"/>
      <c r="BQ328" s="1799" t="e">
        <f>INT(AK328/$BA328)</f>
        <v>#REF!</v>
      </c>
      <c r="BR328" s="1799"/>
      <c r="BS328" s="1799"/>
      <c r="BT328" s="1799"/>
      <c r="BU328" s="1799"/>
      <c r="BV328" s="1799"/>
      <c r="BW328" s="1799"/>
      <c r="BX328" s="1799"/>
      <c r="BY328" s="1799" t="e">
        <f>INT(AS328/$BA328)</f>
        <v>#REF!</v>
      </c>
      <c r="BZ328" s="1799"/>
      <c r="CA328" s="1799"/>
      <c r="CB328" s="1799"/>
      <c r="CC328" s="1799"/>
      <c r="CD328" s="1799"/>
      <c r="CE328" s="1799"/>
      <c r="CF328" s="1802"/>
    </row>
    <row r="329" spans="1:88" s="427" customFormat="1" ht="28.35" customHeight="1">
      <c r="A329" s="1869" t="s">
        <v>496</v>
      </c>
      <c r="B329" s="1869"/>
      <c r="C329" s="1869"/>
      <c r="D329" s="1869"/>
      <c r="E329" s="1869"/>
      <c r="F329" s="1869"/>
      <c r="G329" s="1869"/>
      <c r="H329" s="1869"/>
      <c r="I329" s="1869"/>
      <c r="J329" s="1869"/>
      <c r="K329" s="1869"/>
      <c r="L329" s="1869"/>
      <c r="M329" s="1869"/>
      <c r="N329" s="1869"/>
      <c r="O329" s="1869"/>
      <c r="P329" s="1869"/>
      <c r="Q329" s="1869"/>
      <c r="R329" s="1869"/>
      <c r="S329" s="1869"/>
      <c r="T329" s="1869"/>
      <c r="U329" s="1869"/>
      <c r="V329" s="1869"/>
      <c r="W329" s="1869"/>
      <c r="X329" s="1869"/>
      <c r="Y329" s="1869"/>
      <c r="Z329" s="1869"/>
      <c r="AA329" s="1869"/>
      <c r="AB329" s="1869"/>
      <c r="AC329" s="1869"/>
      <c r="AD329" s="1869"/>
      <c r="AE329" s="1869"/>
      <c r="AF329" s="1869"/>
      <c r="AG329" s="1869"/>
      <c r="AH329" s="1869"/>
      <c r="AI329" s="1869"/>
      <c r="AJ329" s="1869"/>
      <c r="AK329" s="1869"/>
      <c r="AL329" s="1869"/>
      <c r="AM329" s="1869"/>
      <c r="AN329" s="1869"/>
      <c r="AO329" s="1869"/>
      <c r="AP329" s="1869"/>
      <c r="AQ329" s="1869"/>
      <c r="AR329" s="1869"/>
      <c r="AS329" s="1869"/>
      <c r="AT329" s="1869"/>
      <c r="AU329" s="1869"/>
      <c r="AV329" s="1869"/>
      <c r="AW329" s="1869"/>
      <c r="AX329" s="1869"/>
      <c r="AY329" s="1869"/>
      <c r="AZ329" s="1869"/>
      <c r="BA329" s="1869"/>
      <c r="BB329" s="1869"/>
      <c r="BC329" s="1869"/>
      <c r="BD329" s="1869"/>
      <c r="BE329" s="1869"/>
      <c r="BF329" s="1869"/>
      <c r="BG329" s="1869"/>
      <c r="BH329" s="1869"/>
      <c r="BI329" s="1869"/>
      <c r="BJ329" s="1869"/>
      <c r="BK329" s="1869"/>
      <c r="BL329" s="1869"/>
      <c r="BM329" s="1869"/>
      <c r="BN329" s="1869"/>
      <c r="BO329" s="1869"/>
      <c r="BP329" s="1869"/>
      <c r="BQ329" s="1869"/>
      <c r="BR329" s="1869"/>
      <c r="BS329" s="1869"/>
      <c r="BT329" s="1869"/>
      <c r="BU329" s="1869"/>
      <c r="BV329" s="1869"/>
      <c r="BW329" s="1869"/>
      <c r="BX329" s="1869"/>
      <c r="BY329" s="1869"/>
      <c r="BZ329" s="1869"/>
      <c r="CA329" s="1869"/>
      <c r="CB329" s="1869"/>
      <c r="CC329" s="1869"/>
      <c r="CD329" s="1869"/>
      <c r="CE329" s="1869"/>
      <c r="CF329" s="1869"/>
      <c r="CJ329" s="428"/>
    </row>
    <row r="330" spans="1:88" s="412" customFormat="1" ht="9.9499999999999993" customHeight="1">
      <c r="A330" s="413"/>
      <c r="B330" s="413"/>
      <c r="C330" s="413"/>
      <c r="D330" s="413"/>
      <c r="E330" s="413"/>
      <c r="F330" s="413"/>
      <c r="G330" s="413"/>
      <c r="H330" s="413"/>
      <c r="I330" s="413"/>
      <c r="J330" s="413"/>
      <c r="K330" s="413"/>
      <c r="L330" s="413"/>
      <c r="M330" s="413"/>
      <c r="N330" s="413"/>
      <c r="O330" s="413"/>
      <c r="P330" s="413"/>
      <c r="Q330" s="413"/>
      <c r="R330" s="413"/>
      <c r="S330" s="413"/>
      <c r="T330" s="413"/>
      <c r="U330" s="413"/>
      <c r="V330" s="413"/>
      <c r="W330" s="413"/>
      <c r="X330" s="413"/>
      <c r="Y330" s="413"/>
      <c r="Z330" s="413"/>
      <c r="AA330" s="413"/>
      <c r="AB330" s="413"/>
      <c r="AC330" s="413"/>
      <c r="AD330" s="413"/>
      <c r="AE330" s="413"/>
      <c r="AF330" s="413"/>
      <c r="AG330" s="413"/>
      <c r="AH330" s="413"/>
      <c r="AI330" s="413"/>
      <c r="AJ330" s="413"/>
      <c r="AK330" s="413"/>
      <c r="AL330" s="413"/>
      <c r="AM330" s="413"/>
      <c r="AN330" s="413"/>
      <c r="AO330" s="413"/>
      <c r="AP330" s="413"/>
      <c r="AQ330" s="413"/>
      <c r="AR330" s="413"/>
      <c r="AS330" s="413"/>
      <c r="AT330" s="413"/>
      <c r="AU330" s="413"/>
      <c r="AV330" s="413"/>
      <c r="AW330" s="413"/>
      <c r="AX330" s="413"/>
      <c r="AY330" s="413"/>
      <c r="AZ330" s="413"/>
      <c r="BA330" s="413"/>
      <c r="BB330" s="413"/>
      <c r="BC330" s="413"/>
      <c r="BD330" s="413"/>
      <c r="BE330" s="413"/>
      <c r="BF330" s="413"/>
      <c r="BG330" s="413"/>
      <c r="BH330" s="413"/>
      <c r="BI330" s="413"/>
      <c r="BJ330" s="413"/>
      <c r="BK330" s="413"/>
      <c r="BL330" s="413"/>
      <c r="BM330" s="413"/>
      <c r="BN330" s="413"/>
      <c r="BO330" s="413"/>
      <c r="BP330" s="413"/>
      <c r="BQ330" s="413"/>
      <c r="BR330" s="413"/>
      <c r="BS330" s="413"/>
      <c r="BT330" s="413"/>
      <c r="BU330" s="413"/>
      <c r="BV330" s="413"/>
      <c r="BW330" s="413"/>
      <c r="BX330" s="413"/>
      <c r="BY330" s="413"/>
      <c r="BZ330" s="413"/>
      <c r="CA330" s="413"/>
      <c r="CB330" s="413"/>
      <c r="CC330" s="413"/>
      <c r="CD330" s="413"/>
      <c r="CE330" s="413"/>
      <c r="CF330" s="413"/>
      <c r="CJ330" s="400"/>
    </row>
    <row r="331" spans="1:88" s="419" customFormat="1" ht="23.1" customHeight="1">
      <c r="A331" s="420"/>
      <c r="B331" s="421" t="s">
        <v>497</v>
      </c>
      <c r="C331" s="420"/>
      <c r="D331" s="420"/>
      <c r="E331" s="420"/>
      <c r="F331" s="420"/>
      <c r="G331" s="420"/>
      <c r="H331" s="420"/>
      <c r="I331" s="420"/>
      <c r="J331" s="420"/>
      <c r="K331" s="420"/>
      <c r="L331" s="420"/>
      <c r="M331" s="420"/>
      <c r="N331" s="420"/>
      <c r="O331" s="420"/>
      <c r="P331" s="420"/>
      <c r="Q331" s="420"/>
      <c r="R331" s="420"/>
      <c r="S331" s="420"/>
      <c r="T331" s="420"/>
      <c r="U331" s="420"/>
      <c r="V331" s="420"/>
      <c r="W331" s="420"/>
      <c r="X331" s="420"/>
      <c r="Y331" s="420"/>
      <c r="Z331" s="420"/>
      <c r="AA331" s="420"/>
      <c r="AB331" s="420"/>
      <c r="AC331" s="420"/>
      <c r="AD331" s="420"/>
      <c r="AE331" s="420"/>
      <c r="AF331" s="420"/>
      <c r="AG331" s="420"/>
      <c r="AH331" s="420"/>
      <c r="AI331" s="420"/>
      <c r="AJ331" s="420"/>
      <c r="AK331" s="420"/>
      <c r="AL331" s="420"/>
      <c r="AM331" s="420"/>
      <c r="AN331" s="420"/>
      <c r="AO331" s="420"/>
      <c r="AP331" s="420"/>
      <c r="AQ331" s="420"/>
      <c r="AR331" s="420"/>
      <c r="AS331" s="420"/>
      <c r="AT331" s="420"/>
      <c r="AU331" s="420"/>
      <c r="BM331" s="420"/>
      <c r="BN331" s="420"/>
      <c r="BO331" s="420"/>
      <c r="BP331" s="420"/>
      <c r="BQ331" s="420"/>
      <c r="BR331" s="420"/>
      <c r="BS331" s="420"/>
      <c r="BT331" s="420"/>
      <c r="BU331" s="420"/>
      <c r="BV331" s="420"/>
      <c r="BW331" s="420"/>
      <c r="BX331" s="420"/>
      <c r="BY331" s="420"/>
      <c r="BZ331" s="420"/>
      <c r="CA331" s="420"/>
      <c r="CB331" s="420"/>
      <c r="CC331" s="420"/>
      <c r="CD331" s="420"/>
      <c r="CE331" s="420"/>
      <c r="CF331" s="420"/>
      <c r="CJ331" s="400" t="s">
        <v>735</v>
      </c>
    </row>
    <row r="332" spans="1:88" s="400" customFormat="1" ht="9.9499999999999993" customHeight="1">
      <c r="A332" s="402"/>
      <c r="B332" s="402"/>
      <c r="C332" s="402"/>
      <c r="D332" s="402"/>
      <c r="E332" s="402"/>
      <c r="F332" s="402"/>
      <c r="G332" s="402"/>
      <c r="H332" s="402"/>
      <c r="I332" s="402"/>
      <c r="J332" s="402"/>
      <c r="K332" s="402"/>
      <c r="L332" s="402"/>
      <c r="M332" s="402"/>
      <c r="N332" s="402"/>
      <c r="O332" s="402"/>
      <c r="P332" s="402"/>
      <c r="Q332" s="402"/>
      <c r="R332" s="402"/>
      <c r="S332" s="402"/>
      <c r="T332" s="402"/>
      <c r="U332" s="402"/>
      <c r="V332" s="402"/>
      <c r="W332" s="402"/>
      <c r="X332" s="402"/>
      <c r="Y332" s="402"/>
      <c r="Z332" s="402"/>
      <c r="AA332" s="402"/>
      <c r="AB332" s="402"/>
      <c r="AC332" s="402"/>
      <c r="AD332" s="402"/>
      <c r="AE332" s="402"/>
      <c r="AF332" s="402"/>
      <c r="AG332" s="402"/>
      <c r="AH332" s="402"/>
      <c r="AI332" s="402"/>
      <c r="AJ332" s="402"/>
      <c r="AK332" s="402"/>
      <c r="AL332" s="402"/>
      <c r="AM332" s="402"/>
      <c r="AN332" s="402"/>
      <c r="AO332" s="402"/>
      <c r="AP332" s="402"/>
      <c r="AQ332" s="402"/>
      <c r="AR332" s="402"/>
      <c r="AS332" s="402"/>
      <c r="AT332" s="402"/>
      <c r="AU332" s="402"/>
      <c r="AV332" s="402"/>
      <c r="AW332" s="402"/>
      <c r="AX332" s="402"/>
      <c r="AY332" s="402"/>
      <c r="AZ332" s="402"/>
      <c r="BA332" s="402"/>
      <c r="BB332" s="402"/>
      <c r="BC332" s="402"/>
      <c r="BD332" s="402"/>
      <c r="BE332" s="402"/>
      <c r="BF332" s="402"/>
      <c r="BG332" s="402"/>
      <c r="BH332" s="402"/>
      <c r="BI332" s="402"/>
      <c r="BJ332" s="402"/>
      <c r="BK332" s="402"/>
      <c r="BL332" s="402"/>
      <c r="BM332" s="402"/>
      <c r="BN332" s="402"/>
      <c r="BO332" s="402"/>
      <c r="BP332" s="402"/>
      <c r="BQ332" s="402"/>
      <c r="BR332" s="402"/>
      <c r="BS332" s="402"/>
      <c r="BT332" s="418"/>
      <c r="BU332" s="418"/>
      <c r="BV332" s="418"/>
      <c r="BW332" s="418"/>
      <c r="BX332" s="418"/>
      <c r="BY332" s="418"/>
      <c r="BZ332" s="418"/>
      <c r="CA332" s="418"/>
      <c r="CB332" s="418"/>
      <c r="CC332" s="418"/>
      <c r="CD332" s="402"/>
      <c r="CE332" s="402"/>
      <c r="CF332" s="402"/>
    </row>
    <row r="333" spans="1:88" s="400" customFormat="1" ht="23.1" customHeight="1" thickBot="1">
      <c r="A333" s="402"/>
      <c r="B333" s="402"/>
      <c r="C333" s="402"/>
      <c r="D333" s="402"/>
      <c r="BT333" s="410"/>
      <c r="BU333" s="1645" t="s">
        <v>360</v>
      </c>
      <c r="BV333" s="1645"/>
      <c r="BW333" s="1645"/>
      <c r="BX333" s="1645"/>
      <c r="BY333" s="1645"/>
      <c r="BZ333" s="1645"/>
      <c r="CA333" s="1645"/>
      <c r="CB333" s="1645"/>
      <c r="CC333" s="1645"/>
      <c r="CD333" s="1645"/>
      <c r="CE333" s="1645"/>
      <c r="CF333" s="1645"/>
    </row>
    <row r="334" spans="1:88" s="400" customFormat="1" ht="23.1" customHeight="1" thickBot="1">
      <c r="B334" s="400">
        <v>39448</v>
      </c>
      <c r="E334" s="1835" t="s">
        <v>361</v>
      </c>
      <c r="F334" s="1836"/>
      <c r="G334" s="1836"/>
      <c r="H334" s="1836"/>
      <c r="I334" s="1836"/>
      <c r="J334" s="1836"/>
      <c r="K334" s="1836"/>
      <c r="L334" s="1836"/>
      <c r="M334" s="1836"/>
      <c r="N334" s="1836"/>
      <c r="O334" s="1836"/>
      <c r="P334" s="1836"/>
      <c r="Q334" s="1836"/>
      <c r="R334" s="1836"/>
      <c r="S334" s="1836"/>
      <c r="T334" s="1836"/>
      <c r="U334" s="1836"/>
      <c r="V334" s="1836"/>
      <c r="W334" s="1836"/>
      <c r="X334" s="1836"/>
      <c r="Y334" s="1836"/>
      <c r="Z334" s="1836"/>
      <c r="AA334" s="1836"/>
      <c r="AB334" s="1836"/>
      <c r="AC334" s="1836"/>
      <c r="AD334" s="1836"/>
      <c r="AE334" s="1836"/>
      <c r="AF334" s="1836"/>
      <c r="AG334" s="1836"/>
      <c r="AH334" s="1836"/>
      <c r="AI334" s="1836"/>
      <c r="AJ334" s="1836"/>
      <c r="AK334" s="1836"/>
      <c r="AL334" s="1836"/>
      <c r="AM334" s="1836" t="s">
        <v>362</v>
      </c>
      <c r="AN334" s="1836"/>
      <c r="AO334" s="1836"/>
      <c r="AP334" s="1836"/>
      <c r="AQ334" s="1836"/>
      <c r="AR334" s="1836"/>
      <c r="AS334" s="1836"/>
      <c r="AT334" s="1836"/>
      <c r="AU334" s="1836"/>
      <c r="AV334" s="1836" t="s">
        <v>363</v>
      </c>
      <c r="AW334" s="1836"/>
      <c r="AX334" s="1836"/>
      <c r="AY334" s="1836"/>
      <c r="AZ334" s="1836"/>
      <c r="BA334" s="1836"/>
      <c r="BB334" s="1836"/>
      <c r="BC334" s="1836"/>
      <c r="BD334" s="1836"/>
      <c r="BE334" s="1836" t="s">
        <v>498</v>
      </c>
      <c r="BF334" s="1836"/>
      <c r="BG334" s="1836"/>
      <c r="BH334" s="1836"/>
      <c r="BI334" s="1836"/>
      <c r="BJ334" s="1836"/>
      <c r="BK334" s="1836"/>
      <c r="BL334" s="1836"/>
      <c r="BM334" s="1836"/>
      <c r="BN334" s="1836"/>
      <c r="BO334" s="1836"/>
      <c r="BP334" s="1836"/>
      <c r="BQ334" s="1836"/>
      <c r="BR334" s="1836"/>
      <c r="BS334" s="1836" t="s">
        <v>364</v>
      </c>
      <c r="BT334" s="1836"/>
      <c r="BU334" s="1836"/>
      <c r="BV334" s="1836"/>
      <c r="BW334" s="1836"/>
      <c r="BX334" s="1836"/>
      <c r="BY334" s="1836"/>
      <c r="BZ334" s="1836"/>
      <c r="CA334" s="1836"/>
      <c r="CB334" s="1836"/>
      <c r="CC334" s="1836"/>
      <c r="CD334" s="1836"/>
      <c r="CE334" s="1836"/>
      <c r="CF334" s="1858"/>
    </row>
    <row r="335" spans="1:88" s="400" customFormat="1" ht="23.1" customHeight="1" thickTop="1">
      <c r="A335" s="402"/>
      <c r="B335" s="402"/>
      <c r="C335" s="402"/>
      <c r="D335" s="402"/>
      <c r="E335" s="1847" t="s">
        <v>499</v>
      </c>
      <c r="F335" s="1848"/>
      <c r="G335" s="1848"/>
      <c r="H335" s="1848"/>
      <c r="I335" s="1848"/>
      <c r="J335" s="1848"/>
      <c r="K335" s="1848"/>
      <c r="L335" s="1848"/>
      <c r="M335" s="1848"/>
      <c r="N335" s="1848"/>
      <c r="O335" s="1848"/>
      <c r="P335" s="1848"/>
      <c r="Q335" s="1848"/>
      <c r="R335" s="1848"/>
      <c r="S335" s="1848"/>
      <c r="T335" s="1848"/>
      <c r="U335" s="1848"/>
      <c r="V335" s="1848"/>
      <c r="W335" s="1848"/>
      <c r="X335" s="1848"/>
      <c r="Y335" s="1848"/>
      <c r="Z335" s="1848"/>
      <c r="AA335" s="1848"/>
      <c r="AB335" s="1848"/>
      <c r="AC335" s="1848"/>
      <c r="AD335" s="1848"/>
      <c r="AE335" s="1848"/>
      <c r="AF335" s="1848"/>
      <c r="AG335" s="1848"/>
      <c r="AH335" s="1848"/>
      <c r="AI335" s="1848"/>
      <c r="AJ335" s="1848"/>
      <c r="AK335" s="1848"/>
      <c r="AL335" s="1848"/>
      <c r="AM335" s="1834" t="s">
        <v>366</v>
      </c>
      <c r="AN335" s="1834"/>
      <c r="AO335" s="1834"/>
      <c r="AP335" s="1834"/>
      <c r="AQ335" s="1834"/>
      <c r="AR335" s="1834"/>
      <c r="AS335" s="1834"/>
      <c r="AT335" s="1834"/>
      <c r="AU335" s="1834"/>
      <c r="AV335" s="1849">
        <v>2</v>
      </c>
      <c r="AW335" s="1849"/>
      <c r="AX335" s="1849"/>
      <c r="AY335" s="1849"/>
      <c r="AZ335" s="1849"/>
      <c r="BA335" s="1849"/>
      <c r="BB335" s="1849"/>
      <c r="BC335" s="1849"/>
      <c r="BD335" s="1849"/>
      <c r="BE335" s="1850">
        <f>[53]노임단가!$T$20</f>
        <v>241932</v>
      </c>
      <c r="BF335" s="1850"/>
      <c r="BG335" s="1850"/>
      <c r="BH335" s="1850"/>
      <c r="BI335" s="1850"/>
      <c r="BJ335" s="1850"/>
      <c r="BK335" s="1850"/>
      <c r="BL335" s="1850"/>
      <c r="BM335" s="1850"/>
      <c r="BN335" s="1850"/>
      <c r="BO335" s="1850"/>
      <c r="BP335" s="1850"/>
      <c r="BQ335" s="1850"/>
      <c r="BR335" s="1850"/>
      <c r="BS335" s="1850">
        <f>INT(AV335*BE335)</f>
        <v>483864</v>
      </c>
      <c r="BT335" s="1850"/>
      <c r="BU335" s="1850"/>
      <c r="BV335" s="1850"/>
      <c r="BW335" s="1850"/>
      <c r="BX335" s="1850"/>
      <c r="BY335" s="1850"/>
      <c r="BZ335" s="1850"/>
      <c r="CA335" s="1850"/>
      <c r="CB335" s="1850"/>
      <c r="CC335" s="1850"/>
      <c r="CD335" s="1850"/>
      <c r="CE335" s="1850"/>
      <c r="CF335" s="1852"/>
    </row>
    <row r="336" spans="1:88" s="400" customFormat="1" ht="23.1" customHeight="1" thickBot="1">
      <c r="A336" s="402"/>
      <c r="B336" s="402"/>
      <c r="C336" s="402"/>
      <c r="D336" s="402"/>
      <c r="E336" s="1853" t="s">
        <v>500</v>
      </c>
      <c r="F336" s="1854"/>
      <c r="G336" s="1854"/>
      <c r="H336" s="1854"/>
      <c r="I336" s="1854"/>
      <c r="J336" s="1854"/>
      <c r="K336" s="1854"/>
      <c r="L336" s="1854"/>
      <c r="M336" s="1854"/>
      <c r="N336" s="1854"/>
      <c r="O336" s="1854"/>
      <c r="P336" s="1854"/>
      <c r="Q336" s="1854"/>
      <c r="R336" s="1854"/>
      <c r="S336" s="1854"/>
      <c r="T336" s="1854"/>
      <c r="U336" s="1854"/>
      <c r="V336" s="1854"/>
      <c r="W336" s="1854"/>
      <c r="X336" s="1854"/>
      <c r="Y336" s="1854"/>
      <c r="Z336" s="1854"/>
      <c r="AA336" s="1854"/>
      <c r="AB336" s="1854"/>
      <c r="AC336" s="1854"/>
      <c r="AD336" s="1854"/>
      <c r="AE336" s="1854"/>
      <c r="AF336" s="1854"/>
      <c r="AG336" s="1854"/>
      <c r="AH336" s="1854"/>
      <c r="AI336" s="1854"/>
      <c r="AJ336" s="1854"/>
      <c r="AK336" s="1854"/>
      <c r="AL336" s="1854"/>
      <c r="AM336" s="1855" t="s">
        <v>366</v>
      </c>
      <c r="AN336" s="1855"/>
      <c r="AO336" s="1855"/>
      <c r="AP336" s="1855"/>
      <c r="AQ336" s="1855"/>
      <c r="AR336" s="1855"/>
      <c r="AS336" s="1855"/>
      <c r="AT336" s="1855"/>
      <c r="AU336" s="1855"/>
      <c r="AV336" s="1856">
        <v>5</v>
      </c>
      <c r="AW336" s="1856"/>
      <c r="AX336" s="1856"/>
      <c r="AY336" s="1856"/>
      <c r="AZ336" s="1856"/>
      <c r="BA336" s="1856"/>
      <c r="BB336" s="1856"/>
      <c r="BC336" s="1856"/>
      <c r="BD336" s="1856"/>
      <c r="BE336" s="1845">
        <f>[53]노임단가!$T$20</f>
        <v>241932</v>
      </c>
      <c r="BF336" s="1845"/>
      <c r="BG336" s="1845"/>
      <c r="BH336" s="1845"/>
      <c r="BI336" s="1845"/>
      <c r="BJ336" s="1845"/>
      <c r="BK336" s="1845"/>
      <c r="BL336" s="1845"/>
      <c r="BM336" s="1845"/>
      <c r="BN336" s="1845"/>
      <c r="BO336" s="1845"/>
      <c r="BP336" s="1845"/>
      <c r="BQ336" s="1845"/>
      <c r="BR336" s="1845"/>
      <c r="BS336" s="1845">
        <f>INT(AV336*BE336)</f>
        <v>1209660</v>
      </c>
      <c r="BT336" s="1845"/>
      <c r="BU336" s="1845"/>
      <c r="BV336" s="1845"/>
      <c r="BW336" s="1845"/>
      <c r="BX336" s="1845"/>
      <c r="BY336" s="1845"/>
      <c r="BZ336" s="1845"/>
      <c r="CA336" s="1845"/>
      <c r="CB336" s="1845"/>
      <c r="CC336" s="1845"/>
      <c r="CD336" s="1845"/>
      <c r="CE336" s="1845"/>
      <c r="CF336" s="1846"/>
    </row>
    <row r="337" spans="1:88" s="400" customFormat="1" ht="23.1" customHeight="1">
      <c r="G337" s="402" t="s">
        <v>471</v>
      </c>
      <c r="BT337" s="410"/>
      <c r="BU337" s="410"/>
      <c r="BV337" s="410"/>
      <c r="BW337" s="410"/>
      <c r="BX337" s="410"/>
      <c r="BY337" s="410"/>
      <c r="BZ337" s="410"/>
      <c r="CA337" s="410"/>
      <c r="CB337" s="410"/>
      <c r="CC337" s="410"/>
    </row>
    <row r="338" spans="1:88" s="400" customFormat="1" ht="23.1" customHeight="1">
      <c r="G338" s="402" t="s">
        <v>501</v>
      </c>
    </row>
    <row r="339" spans="1:88" s="400" customFormat="1" ht="23.1" customHeight="1"/>
    <row r="340" spans="1:88" s="419" customFormat="1" ht="23.1" customHeight="1">
      <c r="A340" s="420"/>
      <c r="B340" s="421" t="s">
        <v>734</v>
      </c>
      <c r="C340" s="420"/>
      <c r="D340" s="420"/>
      <c r="E340" s="420"/>
      <c r="F340" s="420"/>
      <c r="G340" s="420"/>
      <c r="H340" s="420"/>
      <c r="I340" s="420"/>
      <c r="J340" s="420"/>
      <c r="K340" s="420"/>
      <c r="L340" s="420"/>
      <c r="M340" s="420"/>
      <c r="N340" s="420"/>
      <c r="O340" s="420"/>
      <c r="P340" s="420"/>
      <c r="Q340" s="420"/>
      <c r="R340" s="420"/>
      <c r="S340" s="420"/>
      <c r="T340" s="420"/>
      <c r="U340" s="420"/>
      <c r="V340" s="420"/>
      <c r="W340" s="420"/>
      <c r="X340" s="420"/>
      <c r="Y340" s="420"/>
      <c r="Z340" s="420"/>
      <c r="AA340" s="420"/>
      <c r="AB340" s="420"/>
      <c r="AC340" s="420"/>
      <c r="AD340" s="420"/>
      <c r="AE340" s="420"/>
      <c r="AF340" s="420"/>
      <c r="AG340" s="420"/>
      <c r="AH340" s="420"/>
      <c r="AI340" s="420"/>
      <c r="AJ340" s="420"/>
      <c r="AK340" s="420"/>
      <c r="AL340" s="420"/>
      <c r="AM340" s="420"/>
      <c r="AN340" s="420"/>
      <c r="AO340" s="420"/>
      <c r="AP340" s="420"/>
      <c r="AQ340" s="420"/>
      <c r="AR340" s="420"/>
      <c r="AS340" s="420"/>
      <c r="AT340" s="420"/>
      <c r="AU340" s="420"/>
      <c r="BM340" s="420"/>
      <c r="BN340" s="420"/>
      <c r="BO340" s="420"/>
      <c r="BP340" s="420"/>
      <c r="BQ340" s="420"/>
      <c r="BR340" s="420"/>
      <c r="BS340" s="420"/>
      <c r="BT340" s="420"/>
      <c r="BU340" s="420"/>
      <c r="BV340" s="420"/>
      <c r="BW340" s="420"/>
      <c r="BX340" s="420"/>
      <c r="BY340" s="420"/>
      <c r="BZ340" s="420"/>
      <c r="CA340" s="420"/>
      <c r="CB340" s="420"/>
      <c r="CC340" s="420"/>
      <c r="CD340" s="420"/>
      <c r="CE340" s="420"/>
      <c r="CF340" s="420"/>
      <c r="CJ340" s="400" t="s">
        <v>733</v>
      </c>
    </row>
    <row r="341" spans="1:88" s="400" customFormat="1" ht="9.9499999999999993" customHeight="1">
      <c r="A341" s="402"/>
      <c r="B341" s="402"/>
      <c r="C341" s="402"/>
      <c r="D341" s="402"/>
      <c r="E341" s="402"/>
      <c r="F341" s="402"/>
      <c r="G341" s="402"/>
      <c r="H341" s="402"/>
      <c r="I341" s="402"/>
      <c r="J341" s="402"/>
      <c r="K341" s="402"/>
      <c r="L341" s="402"/>
      <c r="M341" s="402"/>
      <c r="N341" s="402"/>
      <c r="O341" s="402"/>
      <c r="P341" s="402"/>
      <c r="Q341" s="402"/>
      <c r="R341" s="402"/>
      <c r="S341" s="402"/>
      <c r="T341" s="402"/>
      <c r="U341" s="402"/>
      <c r="V341" s="402"/>
      <c r="W341" s="402"/>
      <c r="X341" s="402"/>
      <c r="Y341" s="402"/>
      <c r="Z341" s="402"/>
      <c r="AA341" s="402"/>
      <c r="AB341" s="402"/>
      <c r="AC341" s="402"/>
      <c r="AD341" s="402"/>
      <c r="AE341" s="402"/>
      <c r="AF341" s="402"/>
      <c r="AG341" s="402"/>
      <c r="AH341" s="402"/>
      <c r="AI341" s="402"/>
      <c r="AJ341" s="402"/>
      <c r="AK341" s="402"/>
      <c r="AL341" s="402"/>
      <c r="AM341" s="402"/>
      <c r="AN341" s="402"/>
      <c r="AO341" s="402"/>
      <c r="AP341" s="402"/>
      <c r="AQ341" s="402"/>
      <c r="AR341" s="402"/>
      <c r="AS341" s="402"/>
      <c r="AT341" s="402"/>
      <c r="AU341" s="402"/>
      <c r="AV341" s="402"/>
      <c r="AW341" s="402"/>
      <c r="AX341" s="402"/>
      <c r="AY341" s="402"/>
      <c r="AZ341" s="402"/>
      <c r="BA341" s="402"/>
      <c r="BB341" s="402"/>
      <c r="BC341" s="402"/>
      <c r="BD341" s="402"/>
      <c r="BE341" s="402"/>
      <c r="BF341" s="402"/>
      <c r="BG341" s="402"/>
      <c r="BH341" s="402"/>
      <c r="BI341" s="402"/>
      <c r="BJ341" s="402"/>
      <c r="BK341" s="402"/>
      <c r="BL341" s="402"/>
      <c r="BM341" s="402"/>
      <c r="BN341" s="402"/>
      <c r="BO341" s="402"/>
      <c r="BP341" s="402"/>
      <c r="BQ341" s="402"/>
      <c r="BR341" s="402"/>
      <c r="BS341" s="402"/>
      <c r="BT341" s="418"/>
      <c r="BU341" s="418"/>
      <c r="BV341" s="418"/>
      <c r="BW341" s="418"/>
      <c r="BX341" s="418"/>
      <c r="BY341" s="418"/>
      <c r="BZ341" s="418"/>
      <c r="CA341" s="418"/>
      <c r="CB341" s="418"/>
      <c r="CC341" s="418"/>
      <c r="CD341" s="402"/>
      <c r="CE341" s="402"/>
      <c r="CF341" s="402"/>
    </row>
    <row r="342" spans="1:88" s="400" customFormat="1" ht="23.1" customHeight="1">
      <c r="E342" s="400" t="s">
        <v>502</v>
      </c>
      <c r="BT342" s="414"/>
      <c r="BU342" s="414"/>
      <c r="BV342" s="414"/>
      <c r="BW342" s="414"/>
      <c r="BX342" s="414"/>
      <c r="BY342" s="414"/>
      <c r="BZ342" s="414"/>
      <c r="CA342" s="414"/>
      <c r="CB342" s="414"/>
      <c r="CC342" s="414"/>
    </row>
    <row r="343" spans="1:88" s="400" customFormat="1" ht="23.1" customHeight="1">
      <c r="E343" s="400" t="s">
        <v>732</v>
      </c>
    </row>
    <row r="344" spans="1:88" s="400" customFormat="1" ht="9.9499999999999993" customHeight="1">
      <c r="AR344" s="414"/>
      <c r="AS344" s="414"/>
      <c r="AT344" s="414"/>
      <c r="AU344" s="414"/>
      <c r="AV344" s="414"/>
      <c r="AW344" s="414"/>
      <c r="AX344" s="414"/>
      <c r="AY344" s="414"/>
      <c r="AZ344" s="414"/>
      <c r="BA344" s="414"/>
      <c r="BB344" s="414"/>
      <c r="BT344" s="414"/>
      <c r="BU344" s="414"/>
      <c r="BV344" s="414"/>
      <c r="BW344" s="414"/>
      <c r="BX344" s="414"/>
      <c r="BY344" s="414"/>
      <c r="BZ344" s="414"/>
      <c r="CA344" s="414"/>
      <c r="CB344" s="414"/>
      <c r="CC344" s="414"/>
    </row>
    <row r="345" spans="1:88" s="400" customFormat="1" ht="23.1" customHeight="1" thickBot="1">
      <c r="BT345" s="410"/>
      <c r="BU345" s="1645" t="s">
        <v>360</v>
      </c>
      <c r="BV345" s="1645"/>
      <c r="BW345" s="1645"/>
      <c r="BX345" s="1645"/>
      <c r="BY345" s="1645"/>
      <c r="BZ345" s="1645"/>
      <c r="CA345" s="1645"/>
      <c r="CB345" s="1645"/>
      <c r="CC345" s="1645"/>
      <c r="CD345" s="1645"/>
      <c r="CE345" s="1645"/>
      <c r="CF345" s="1645"/>
    </row>
    <row r="346" spans="1:88" s="400" customFormat="1" ht="23.1" customHeight="1">
      <c r="E346" s="1831" t="s">
        <v>368</v>
      </c>
      <c r="F346" s="1800"/>
      <c r="G346" s="1800"/>
      <c r="H346" s="1800"/>
      <c r="I346" s="1800"/>
      <c r="J346" s="1800"/>
      <c r="K346" s="1800"/>
      <c r="L346" s="1800"/>
      <c r="M346" s="1800"/>
      <c r="N346" s="1800"/>
      <c r="O346" s="1800"/>
      <c r="P346" s="1800"/>
      <c r="Q346" s="1800"/>
      <c r="R346" s="1800"/>
      <c r="S346" s="1800"/>
      <c r="T346" s="1800" t="s">
        <v>370</v>
      </c>
      <c r="U346" s="1800"/>
      <c r="V346" s="1800"/>
      <c r="W346" s="1800"/>
      <c r="X346" s="1800"/>
      <c r="Y346" s="1800" t="s">
        <v>413</v>
      </c>
      <c r="Z346" s="1800"/>
      <c r="AA346" s="1800"/>
      <c r="AB346" s="1800"/>
      <c r="AC346" s="1800"/>
      <c r="AD346" s="1800"/>
      <c r="AE346" s="1800"/>
      <c r="AF346" s="1800"/>
      <c r="AG346" s="1837" t="s">
        <v>499</v>
      </c>
      <c r="AH346" s="1838"/>
      <c r="AI346" s="1838"/>
      <c r="AJ346" s="1838"/>
      <c r="AK346" s="1838"/>
      <c r="AL346" s="1838"/>
      <c r="AM346" s="1838"/>
      <c r="AN346" s="1838"/>
      <c r="AO346" s="1838"/>
      <c r="AP346" s="1838"/>
      <c r="AQ346" s="1838"/>
      <c r="AR346" s="1838"/>
      <c r="AS346" s="1838"/>
      <c r="AT346" s="1838"/>
      <c r="AU346" s="1838"/>
      <c r="AV346" s="1838"/>
      <c r="AW346" s="1838"/>
      <c r="AX346" s="1838"/>
      <c r="AY346" s="1838"/>
      <c r="AZ346" s="1838"/>
      <c r="BA346" s="1838"/>
      <c r="BB346" s="1838"/>
      <c r="BC346" s="1838"/>
      <c r="BD346" s="1838"/>
      <c r="BE346" s="1838"/>
      <c r="BF346" s="1839"/>
      <c r="BG346" s="1837" t="s">
        <v>500</v>
      </c>
      <c r="BH346" s="1838"/>
      <c r="BI346" s="1838"/>
      <c r="BJ346" s="1838"/>
      <c r="BK346" s="1838"/>
      <c r="BL346" s="1838"/>
      <c r="BM346" s="1838"/>
      <c r="BN346" s="1838"/>
      <c r="BO346" s="1838"/>
      <c r="BP346" s="1838"/>
      <c r="BQ346" s="1838"/>
      <c r="BR346" s="1838"/>
      <c r="BS346" s="1838"/>
      <c r="BT346" s="1838"/>
      <c r="BU346" s="1838"/>
      <c r="BV346" s="1838"/>
      <c r="BW346" s="1838"/>
      <c r="BX346" s="1838"/>
      <c r="BY346" s="1838"/>
      <c r="BZ346" s="1838"/>
      <c r="CA346" s="1838"/>
      <c r="CB346" s="1838"/>
      <c r="CC346" s="1838"/>
      <c r="CD346" s="1838"/>
      <c r="CE346" s="1838"/>
      <c r="CF346" s="1840"/>
    </row>
    <row r="347" spans="1:88" s="400" customFormat="1" ht="23.1" customHeight="1" thickBot="1">
      <c r="D347" s="403"/>
      <c r="E347" s="1832"/>
      <c r="F347" s="1786"/>
      <c r="G347" s="1786"/>
      <c r="H347" s="1786"/>
      <c r="I347" s="1786"/>
      <c r="J347" s="1786"/>
      <c r="K347" s="1786"/>
      <c r="L347" s="1786"/>
      <c r="M347" s="1786"/>
      <c r="N347" s="1786"/>
      <c r="O347" s="1786"/>
      <c r="P347" s="1786"/>
      <c r="Q347" s="1786"/>
      <c r="R347" s="1786"/>
      <c r="S347" s="1786"/>
      <c r="T347" s="1786"/>
      <c r="U347" s="1786"/>
      <c r="V347" s="1786"/>
      <c r="W347" s="1786"/>
      <c r="X347" s="1786"/>
      <c r="Y347" s="1786"/>
      <c r="Z347" s="1786"/>
      <c r="AA347" s="1786"/>
      <c r="AB347" s="1786"/>
      <c r="AC347" s="1786"/>
      <c r="AD347" s="1786"/>
      <c r="AE347" s="1786"/>
      <c r="AF347" s="1786"/>
      <c r="AG347" s="1841" t="s">
        <v>428</v>
      </c>
      <c r="AH347" s="1842"/>
      <c r="AI347" s="1842"/>
      <c r="AJ347" s="1842"/>
      <c r="AK347" s="1842"/>
      <c r="AL347" s="1842"/>
      <c r="AM347" s="1842"/>
      <c r="AN347" s="1842"/>
      <c r="AO347" s="1842"/>
      <c r="AP347" s="1843"/>
      <c r="AQ347" s="1841" t="s">
        <v>472</v>
      </c>
      <c r="AR347" s="1842"/>
      <c r="AS347" s="1842"/>
      <c r="AT347" s="1842"/>
      <c r="AU347" s="1842"/>
      <c r="AV347" s="1842"/>
      <c r="AW347" s="1842"/>
      <c r="AX347" s="1842"/>
      <c r="AY347" s="1842"/>
      <c r="AZ347" s="1842"/>
      <c r="BA347" s="1842"/>
      <c r="BB347" s="1842"/>
      <c r="BC347" s="1842"/>
      <c r="BD347" s="1842"/>
      <c r="BE347" s="1842"/>
      <c r="BF347" s="1843"/>
      <c r="BG347" s="1841" t="s">
        <v>428</v>
      </c>
      <c r="BH347" s="1842"/>
      <c r="BI347" s="1842"/>
      <c r="BJ347" s="1842"/>
      <c r="BK347" s="1842"/>
      <c r="BL347" s="1842"/>
      <c r="BM347" s="1842"/>
      <c r="BN347" s="1842"/>
      <c r="BO347" s="1842"/>
      <c r="BP347" s="1843"/>
      <c r="BQ347" s="1841" t="s">
        <v>472</v>
      </c>
      <c r="BR347" s="1842"/>
      <c r="BS347" s="1842"/>
      <c r="BT347" s="1842"/>
      <c r="BU347" s="1842"/>
      <c r="BV347" s="1842"/>
      <c r="BW347" s="1842"/>
      <c r="BX347" s="1842"/>
      <c r="BY347" s="1842"/>
      <c r="BZ347" s="1842"/>
      <c r="CA347" s="1842"/>
      <c r="CB347" s="1842"/>
      <c r="CC347" s="1842"/>
      <c r="CD347" s="1842"/>
      <c r="CE347" s="1842"/>
      <c r="CF347" s="1844"/>
    </row>
    <row r="348" spans="1:88" s="400" customFormat="1" ht="23.1" customHeight="1" thickTop="1">
      <c r="E348" s="1952" t="s">
        <v>416</v>
      </c>
      <c r="F348" s="1953"/>
      <c r="G348" s="1953"/>
      <c r="H348" s="1953"/>
      <c r="I348" s="1834" t="s">
        <v>417</v>
      </c>
      <c r="J348" s="1834"/>
      <c r="K348" s="1834"/>
      <c r="L348" s="1834"/>
      <c r="M348" s="1834"/>
      <c r="N348" s="1834"/>
      <c r="O348" s="1834"/>
      <c r="P348" s="1834"/>
      <c r="Q348" s="1834"/>
      <c r="R348" s="1834"/>
      <c r="S348" s="1834"/>
      <c r="T348" s="1881" t="s">
        <v>418</v>
      </c>
      <c r="U348" s="1881"/>
      <c r="V348" s="1881"/>
      <c r="W348" s="1881"/>
      <c r="X348" s="1881"/>
      <c r="Y348" s="1962" t="e">
        <f>#REF!</f>
        <v>#REF!</v>
      </c>
      <c r="Z348" s="1881"/>
      <c r="AA348" s="1881"/>
      <c r="AB348" s="1881"/>
      <c r="AC348" s="1881"/>
      <c r="AD348" s="1881"/>
      <c r="AE348" s="1881"/>
      <c r="AF348" s="1881"/>
      <c r="AG348" s="1970">
        <v>0.5</v>
      </c>
      <c r="AH348" s="1970"/>
      <c r="AI348" s="1970"/>
      <c r="AJ348" s="1970"/>
      <c r="AK348" s="1970"/>
      <c r="AL348" s="1970"/>
      <c r="AM348" s="1970"/>
      <c r="AN348" s="1970"/>
      <c r="AO348" s="1970"/>
      <c r="AP348" s="1970"/>
      <c r="AQ348" s="1638" t="e">
        <f>INT(Y348*AG348)</f>
        <v>#REF!</v>
      </c>
      <c r="AR348" s="1638"/>
      <c r="AS348" s="1638"/>
      <c r="AT348" s="1638"/>
      <c r="AU348" s="1638"/>
      <c r="AV348" s="1638"/>
      <c r="AW348" s="1638"/>
      <c r="AX348" s="1638"/>
      <c r="AY348" s="1638"/>
      <c r="AZ348" s="1638"/>
      <c r="BA348" s="1638"/>
      <c r="BB348" s="1638"/>
      <c r="BC348" s="1638"/>
      <c r="BD348" s="1638"/>
      <c r="BE348" s="1638"/>
      <c r="BF348" s="1638"/>
      <c r="BG348" s="1970">
        <v>1.6</v>
      </c>
      <c r="BH348" s="1970"/>
      <c r="BI348" s="1970"/>
      <c r="BJ348" s="1970"/>
      <c r="BK348" s="1970"/>
      <c r="BL348" s="1970"/>
      <c r="BM348" s="1970"/>
      <c r="BN348" s="1970"/>
      <c r="BO348" s="1970"/>
      <c r="BP348" s="1970"/>
      <c r="BQ348" s="1638" t="e">
        <f>INT(Y348*BG348)</f>
        <v>#REF!</v>
      </c>
      <c r="BR348" s="1638"/>
      <c r="BS348" s="1638"/>
      <c r="BT348" s="1638"/>
      <c r="BU348" s="1638"/>
      <c r="BV348" s="1638"/>
      <c r="BW348" s="1638"/>
      <c r="BX348" s="1638"/>
      <c r="BY348" s="1638"/>
      <c r="BZ348" s="1638"/>
      <c r="CA348" s="1638"/>
      <c r="CB348" s="1638"/>
      <c r="CC348" s="1638"/>
      <c r="CD348" s="1638"/>
      <c r="CE348" s="1638"/>
      <c r="CF348" s="1639"/>
    </row>
    <row r="349" spans="1:88" s="400" customFormat="1" ht="23.1" customHeight="1">
      <c r="E349" s="1870"/>
      <c r="F349" s="1871"/>
      <c r="G349" s="1871"/>
      <c r="H349" s="1871"/>
      <c r="I349" s="1829" t="s">
        <v>419</v>
      </c>
      <c r="J349" s="1829"/>
      <c r="K349" s="1829"/>
      <c r="L349" s="1829"/>
      <c r="M349" s="1829"/>
      <c r="N349" s="1829"/>
      <c r="O349" s="1829"/>
      <c r="P349" s="1829"/>
      <c r="Q349" s="1829"/>
      <c r="R349" s="1829"/>
      <c r="S349" s="1829"/>
      <c r="T349" s="1873"/>
      <c r="U349" s="1873"/>
      <c r="V349" s="1873"/>
      <c r="W349" s="1873"/>
      <c r="X349" s="1873"/>
      <c r="Y349" s="1814"/>
      <c r="Z349" s="1814"/>
      <c r="AA349" s="1814"/>
      <c r="AB349" s="1814"/>
      <c r="AC349" s="1814"/>
      <c r="AD349" s="1814"/>
      <c r="AE349" s="1814"/>
      <c r="AF349" s="1814"/>
      <c r="AG349" s="1797"/>
      <c r="AH349" s="1797"/>
      <c r="AI349" s="1797"/>
      <c r="AJ349" s="1797"/>
      <c r="AK349" s="1797"/>
      <c r="AL349" s="1797"/>
      <c r="AM349" s="1797"/>
      <c r="AN349" s="1797"/>
      <c r="AO349" s="1797"/>
      <c r="AP349" s="1797"/>
      <c r="AQ349" s="1879" t="e">
        <f>SUM(AQ348)</f>
        <v>#REF!</v>
      </c>
      <c r="AR349" s="1879"/>
      <c r="AS349" s="1879"/>
      <c r="AT349" s="1879"/>
      <c r="AU349" s="1879"/>
      <c r="AV349" s="1879"/>
      <c r="AW349" s="1879"/>
      <c r="AX349" s="1879"/>
      <c r="AY349" s="1879"/>
      <c r="AZ349" s="1879"/>
      <c r="BA349" s="1879"/>
      <c r="BB349" s="1879"/>
      <c r="BC349" s="1879"/>
      <c r="BD349" s="1879"/>
      <c r="BE349" s="1879"/>
      <c r="BF349" s="1879"/>
      <c r="BG349" s="1797"/>
      <c r="BH349" s="1797"/>
      <c r="BI349" s="1797"/>
      <c r="BJ349" s="1797"/>
      <c r="BK349" s="1797"/>
      <c r="BL349" s="1797"/>
      <c r="BM349" s="1797"/>
      <c r="BN349" s="1797"/>
      <c r="BO349" s="1797"/>
      <c r="BP349" s="1797"/>
      <c r="BQ349" s="1879" t="e">
        <f>SUM(BQ348)</f>
        <v>#REF!</v>
      </c>
      <c r="BR349" s="1879"/>
      <c r="BS349" s="1879"/>
      <c r="BT349" s="1879"/>
      <c r="BU349" s="1879"/>
      <c r="BV349" s="1879"/>
      <c r="BW349" s="1879"/>
      <c r="BX349" s="1879"/>
      <c r="BY349" s="1879"/>
      <c r="BZ349" s="1879"/>
      <c r="CA349" s="1879"/>
      <c r="CB349" s="1879"/>
      <c r="CC349" s="1879"/>
      <c r="CD349" s="1879"/>
      <c r="CE349" s="1879"/>
      <c r="CF349" s="1880"/>
    </row>
    <row r="350" spans="1:88" s="400" customFormat="1" ht="23.1" customHeight="1">
      <c r="E350" s="1870" t="s">
        <v>420</v>
      </c>
      <c r="F350" s="1871"/>
      <c r="G350" s="1871"/>
      <c r="H350" s="1871"/>
      <c r="I350" s="1829" t="s">
        <v>421</v>
      </c>
      <c r="J350" s="1829"/>
      <c r="K350" s="1829"/>
      <c r="L350" s="1829"/>
      <c r="M350" s="1829"/>
      <c r="N350" s="1829"/>
      <c r="O350" s="1829"/>
      <c r="P350" s="1829"/>
      <c r="Q350" s="1829"/>
      <c r="R350" s="1829"/>
      <c r="S350" s="1829"/>
      <c r="T350" s="1873" t="s">
        <v>366</v>
      </c>
      <c r="U350" s="1873"/>
      <c r="V350" s="1873"/>
      <c r="W350" s="1873"/>
      <c r="X350" s="1873"/>
      <c r="Y350" s="1954">
        <f>[53]노임단가!$T$18</f>
        <v>222306</v>
      </c>
      <c r="Z350" s="1873"/>
      <c r="AA350" s="1873"/>
      <c r="AB350" s="1873"/>
      <c r="AC350" s="1873"/>
      <c r="AD350" s="1873"/>
      <c r="AE350" s="1873"/>
      <c r="AF350" s="1873"/>
      <c r="AG350" s="1797">
        <v>0.56999999999999995</v>
      </c>
      <c r="AH350" s="1797"/>
      <c r="AI350" s="1797"/>
      <c r="AJ350" s="1797"/>
      <c r="AK350" s="1797"/>
      <c r="AL350" s="1797"/>
      <c r="AM350" s="1797"/>
      <c r="AN350" s="1797"/>
      <c r="AO350" s="1797"/>
      <c r="AP350" s="1797"/>
      <c r="AQ350" s="1617">
        <f>INT(Y350*AG350)</f>
        <v>126714</v>
      </c>
      <c r="AR350" s="1617"/>
      <c r="AS350" s="1617"/>
      <c r="AT350" s="1617"/>
      <c r="AU350" s="1617"/>
      <c r="AV350" s="1617"/>
      <c r="AW350" s="1617"/>
      <c r="AX350" s="1617"/>
      <c r="AY350" s="1617"/>
      <c r="AZ350" s="1617"/>
      <c r="BA350" s="1617"/>
      <c r="BB350" s="1617"/>
      <c r="BC350" s="1617"/>
      <c r="BD350" s="1617"/>
      <c r="BE350" s="1617"/>
      <c r="BF350" s="1617"/>
      <c r="BG350" s="1797">
        <v>0.62</v>
      </c>
      <c r="BH350" s="1797"/>
      <c r="BI350" s="1797"/>
      <c r="BJ350" s="1797"/>
      <c r="BK350" s="1797"/>
      <c r="BL350" s="1797"/>
      <c r="BM350" s="1797"/>
      <c r="BN350" s="1797"/>
      <c r="BO350" s="1797"/>
      <c r="BP350" s="1797"/>
      <c r="BQ350" s="1617">
        <f>INT(Y350*BG350)</f>
        <v>137829</v>
      </c>
      <c r="BR350" s="1617"/>
      <c r="BS350" s="1617"/>
      <c r="BT350" s="1617"/>
      <c r="BU350" s="1617"/>
      <c r="BV350" s="1617"/>
      <c r="BW350" s="1617"/>
      <c r="BX350" s="1617"/>
      <c r="BY350" s="1617"/>
      <c r="BZ350" s="1617"/>
      <c r="CA350" s="1617"/>
      <c r="CB350" s="1617"/>
      <c r="CC350" s="1617"/>
      <c r="CD350" s="1617"/>
      <c r="CE350" s="1617"/>
      <c r="CF350" s="1626"/>
    </row>
    <row r="351" spans="1:88" s="400" customFormat="1" ht="23.1" customHeight="1">
      <c r="E351" s="1870"/>
      <c r="F351" s="1871"/>
      <c r="G351" s="1871"/>
      <c r="H351" s="1871"/>
      <c r="I351" s="1829" t="s">
        <v>248</v>
      </c>
      <c r="J351" s="1829"/>
      <c r="K351" s="1829"/>
      <c r="L351" s="1829"/>
      <c r="M351" s="1829"/>
      <c r="N351" s="1829"/>
      <c r="O351" s="1829"/>
      <c r="P351" s="1829"/>
      <c r="Q351" s="1829"/>
      <c r="R351" s="1829"/>
      <c r="S351" s="1829"/>
      <c r="T351" s="1873" t="s">
        <v>366</v>
      </c>
      <c r="U351" s="1873"/>
      <c r="V351" s="1873"/>
      <c r="W351" s="1873"/>
      <c r="X351" s="1873"/>
      <c r="Y351" s="1954">
        <f>[53]노임단가!$T$5</f>
        <v>172068</v>
      </c>
      <c r="Z351" s="1873"/>
      <c r="AA351" s="1873"/>
      <c r="AB351" s="1873"/>
      <c r="AC351" s="1873"/>
      <c r="AD351" s="1873"/>
      <c r="AE351" s="1873"/>
      <c r="AF351" s="1873"/>
      <c r="AG351" s="1797">
        <v>0.37</v>
      </c>
      <c r="AH351" s="1797"/>
      <c r="AI351" s="1797"/>
      <c r="AJ351" s="1797"/>
      <c r="AK351" s="1797"/>
      <c r="AL351" s="1797"/>
      <c r="AM351" s="1797"/>
      <c r="AN351" s="1797"/>
      <c r="AO351" s="1797"/>
      <c r="AP351" s="1797"/>
      <c r="AQ351" s="1617">
        <f>INT(Y351*AG351)</f>
        <v>63665</v>
      </c>
      <c r="AR351" s="1617"/>
      <c r="AS351" s="1617"/>
      <c r="AT351" s="1617"/>
      <c r="AU351" s="1617"/>
      <c r="AV351" s="1617"/>
      <c r="AW351" s="1617"/>
      <c r="AX351" s="1617"/>
      <c r="AY351" s="1617"/>
      <c r="AZ351" s="1617"/>
      <c r="BA351" s="1617"/>
      <c r="BB351" s="1617"/>
      <c r="BC351" s="1617"/>
      <c r="BD351" s="1617"/>
      <c r="BE351" s="1617"/>
      <c r="BF351" s="1617"/>
      <c r="BG351" s="1797">
        <v>0.45</v>
      </c>
      <c r="BH351" s="1797"/>
      <c r="BI351" s="1797"/>
      <c r="BJ351" s="1797"/>
      <c r="BK351" s="1797"/>
      <c r="BL351" s="1797"/>
      <c r="BM351" s="1797"/>
      <c r="BN351" s="1797"/>
      <c r="BO351" s="1797"/>
      <c r="BP351" s="1797"/>
      <c r="BQ351" s="1617">
        <f>INT(Y351*BG351)</f>
        <v>77430</v>
      </c>
      <c r="BR351" s="1617"/>
      <c r="BS351" s="1617"/>
      <c r="BT351" s="1617"/>
      <c r="BU351" s="1617"/>
      <c r="BV351" s="1617"/>
      <c r="BW351" s="1617"/>
      <c r="BX351" s="1617"/>
      <c r="BY351" s="1617"/>
      <c r="BZ351" s="1617"/>
      <c r="CA351" s="1617"/>
      <c r="CB351" s="1617"/>
      <c r="CC351" s="1617"/>
      <c r="CD351" s="1617"/>
      <c r="CE351" s="1617"/>
      <c r="CF351" s="1626"/>
    </row>
    <row r="352" spans="1:88" s="400" customFormat="1" ht="23.1" customHeight="1">
      <c r="E352" s="1870"/>
      <c r="F352" s="1871"/>
      <c r="G352" s="1871"/>
      <c r="H352" s="1871"/>
      <c r="I352" s="1829" t="s">
        <v>417</v>
      </c>
      <c r="J352" s="1829"/>
      <c r="K352" s="1829"/>
      <c r="L352" s="1829"/>
      <c r="M352" s="1829"/>
      <c r="N352" s="1829"/>
      <c r="O352" s="1829"/>
      <c r="P352" s="1829"/>
      <c r="Q352" s="1829"/>
      <c r="R352" s="1829"/>
      <c r="S352" s="1829"/>
      <c r="T352" s="1873" t="s">
        <v>418</v>
      </c>
      <c r="U352" s="1873"/>
      <c r="V352" s="1873"/>
      <c r="W352" s="1873"/>
      <c r="X352" s="1873"/>
      <c r="Y352" s="1954" t="e">
        <f>#REF!</f>
        <v>#REF!</v>
      </c>
      <c r="Z352" s="1954"/>
      <c r="AA352" s="1954"/>
      <c r="AB352" s="1954"/>
      <c r="AC352" s="1954"/>
      <c r="AD352" s="1954"/>
      <c r="AE352" s="1954"/>
      <c r="AF352" s="1954"/>
      <c r="AG352" s="1797">
        <v>0.5</v>
      </c>
      <c r="AH352" s="1797"/>
      <c r="AI352" s="1797"/>
      <c r="AJ352" s="1797"/>
      <c r="AK352" s="1797"/>
      <c r="AL352" s="1797"/>
      <c r="AM352" s="1797"/>
      <c r="AN352" s="1797"/>
      <c r="AO352" s="1797"/>
      <c r="AP352" s="1797"/>
      <c r="AQ352" s="1617" t="e">
        <f>INT(Y352*AG352)</f>
        <v>#REF!</v>
      </c>
      <c r="AR352" s="1617"/>
      <c r="AS352" s="1617"/>
      <c r="AT352" s="1617"/>
      <c r="AU352" s="1617"/>
      <c r="AV352" s="1617"/>
      <c r="AW352" s="1617"/>
      <c r="AX352" s="1617"/>
      <c r="AY352" s="1617"/>
      <c r="AZ352" s="1617"/>
      <c r="BA352" s="1617"/>
      <c r="BB352" s="1617"/>
      <c r="BC352" s="1617"/>
      <c r="BD352" s="1617"/>
      <c r="BE352" s="1617"/>
      <c r="BF352" s="1617"/>
      <c r="BG352" s="1797">
        <v>1.6</v>
      </c>
      <c r="BH352" s="1797"/>
      <c r="BI352" s="1797"/>
      <c r="BJ352" s="1797"/>
      <c r="BK352" s="1797"/>
      <c r="BL352" s="1797"/>
      <c r="BM352" s="1797"/>
      <c r="BN352" s="1797"/>
      <c r="BO352" s="1797"/>
      <c r="BP352" s="1797"/>
      <c r="BQ352" s="1617" t="e">
        <f>INT(Y352*BG352)</f>
        <v>#REF!</v>
      </c>
      <c r="BR352" s="1617"/>
      <c r="BS352" s="1617"/>
      <c r="BT352" s="1617"/>
      <c r="BU352" s="1617"/>
      <c r="BV352" s="1617"/>
      <c r="BW352" s="1617"/>
      <c r="BX352" s="1617"/>
      <c r="BY352" s="1617"/>
      <c r="BZ352" s="1617"/>
      <c r="CA352" s="1617"/>
      <c r="CB352" s="1617"/>
      <c r="CC352" s="1617"/>
      <c r="CD352" s="1617"/>
      <c r="CE352" s="1617"/>
      <c r="CF352" s="1626"/>
    </row>
    <row r="353" spans="1:88" s="400" customFormat="1" ht="23.1" customHeight="1">
      <c r="E353" s="1870"/>
      <c r="F353" s="1871"/>
      <c r="G353" s="1871"/>
      <c r="H353" s="1871"/>
      <c r="I353" s="1829" t="s">
        <v>419</v>
      </c>
      <c r="J353" s="1829"/>
      <c r="K353" s="1829"/>
      <c r="L353" s="1829"/>
      <c r="M353" s="1829"/>
      <c r="N353" s="1829"/>
      <c r="O353" s="1829"/>
      <c r="P353" s="1829"/>
      <c r="Q353" s="1829"/>
      <c r="R353" s="1829"/>
      <c r="S353" s="1829"/>
      <c r="T353" s="1873"/>
      <c r="U353" s="1873"/>
      <c r="V353" s="1873"/>
      <c r="W353" s="1873"/>
      <c r="X353" s="1873"/>
      <c r="Y353" s="1814"/>
      <c r="Z353" s="1814"/>
      <c r="AA353" s="1814"/>
      <c r="AB353" s="1814"/>
      <c r="AC353" s="1814"/>
      <c r="AD353" s="1814"/>
      <c r="AE353" s="1814"/>
      <c r="AF353" s="1814"/>
      <c r="AG353" s="1797"/>
      <c r="AH353" s="1797"/>
      <c r="AI353" s="1797"/>
      <c r="AJ353" s="1797"/>
      <c r="AK353" s="1797"/>
      <c r="AL353" s="1797"/>
      <c r="AM353" s="1797"/>
      <c r="AN353" s="1797"/>
      <c r="AO353" s="1797"/>
      <c r="AP353" s="1797"/>
      <c r="AQ353" s="1617" t="e">
        <f>SUM(AQ350:BF352)</f>
        <v>#REF!</v>
      </c>
      <c r="AR353" s="1617"/>
      <c r="AS353" s="1617"/>
      <c r="AT353" s="1617"/>
      <c r="AU353" s="1617"/>
      <c r="AV353" s="1617"/>
      <c r="AW353" s="1617"/>
      <c r="AX353" s="1617"/>
      <c r="AY353" s="1617"/>
      <c r="AZ353" s="1617"/>
      <c r="BA353" s="1617"/>
      <c r="BB353" s="1617"/>
      <c r="BC353" s="1617"/>
      <c r="BD353" s="1617"/>
      <c r="BE353" s="1617"/>
      <c r="BF353" s="1617"/>
      <c r="BG353" s="1797"/>
      <c r="BH353" s="1797"/>
      <c r="BI353" s="1797"/>
      <c r="BJ353" s="1797"/>
      <c r="BK353" s="1797"/>
      <c r="BL353" s="1797"/>
      <c r="BM353" s="1797"/>
      <c r="BN353" s="1797"/>
      <c r="BO353" s="1797"/>
      <c r="BP353" s="1797"/>
      <c r="BQ353" s="1617" t="e">
        <f>SUM(BQ350:CF352)</f>
        <v>#REF!</v>
      </c>
      <c r="BR353" s="1617"/>
      <c r="BS353" s="1617"/>
      <c r="BT353" s="1617"/>
      <c r="BU353" s="1617"/>
      <c r="BV353" s="1617"/>
      <c r="BW353" s="1617"/>
      <c r="BX353" s="1617"/>
      <c r="BY353" s="1617"/>
      <c r="BZ353" s="1617"/>
      <c r="CA353" s="1617"/>
      <c r="CB353" s="1617"/>
      <c r="CC353" s="1617"/>
      <c r="CD353" s="1617"/>
      <c r="CE353" s="1617"/>
      <c r="CF353" s="1626"/>
    </row>
    <row r="354" spans="1:88" s="400" customFormat="1" ht="23.1" customHeight="1">
      <c r="E354" s="1870" t="s">
        <v>422</v>
      </c>
      <c r="F354" s="1829"/>
      <c r="G354" s="1829"/>
      <c r="H354" s="1829"/>
      <c r="I354" s="1829" t="s">
        <v>417</v>
      </c>
      <c r="J354" s="1829"/>
      <c r="K354" s="1829"/>
      <c r="L354" s="1829"/>
      <c r="M354" s="1829"/>
      <c r="N354" s="1829"/>
      <c r="O354" s="1829"/>
      <c r="P354" s="1829"/>
      <c r="Q354" s="1829"/>
      <c r="R354" s="1829"/>
      <c r="S354" s="1829"/>
      <c r="T354" s="1873" t="s">
        <v>418</v>
      </c>
      <c r="U354" s="1873"/>
      <c r="V354" s="1873"/>
      <c r="W354" s="1873"/>
      <c r="X354" s="1873"/>
      <c r="Y354" s="1954" t="e">
        <f>#REF!</f>
        <v>#REF!</v>
      </c>
      <c r="Z354" s="1873"/>
      <c r="AA354" s="1873"/>
      <c r="AB354" s="1873"/>
      <c r="AC354" s="1873"/>
      <c r="AD354" s="1873"/>
      <c r="AE354" s="1873"/>
      <c r="AF354" s="1873"/>
      <c r="AG354" s="1797">
        <v>0.5</v>
      </c>
      <c r="AH354" s="1797"/>
      <c r="AI354" s="1797"/>
      <c r="AJ354" s="1797"/>
      <c r="AK354" s="1797"/>
      <c r="AL354" s="1797"/>
      <c r="AM354" s="1797"/>
      <c r="AN354" s="1797"/>
      <c r="AO354" s="1797"/>
      <c r="AP354" s="1797"/>
      <c r="AQ354" s="1617" t="e">
        <f>INT(Y354*AG354)</f>
        <v>#REF!</v>
      </c>
      <c r="AR354" s="1617"/>
      <c r="AS354" s="1617"/>
      <c r="AT354" s="1617"/>
      <c r="AU354" s="1617"/>
      <c r="AV354" s="1617"/>
      <c r="AW354" s="1617"/>
      <c r="AX354" s="1617"/>
      <c r="AY354" s="1617"/>
      <c r="AZ354" s="1617"/>
      <c r="BA354" s="1617"/>
      <c r="BB354" s="1617"/>
      <c r="BC354" s="1617"/>
      <c r="BD354" s="1617"/>
      <c r="BE354" s="1617"/>
      <c r="BF354" s="1617"/>
      <c r="BG354" s="1797">
        <v>1.6</v>
      </c>
      <c r="BH354" s="1797"/>
      <c r="BI354" s="1797"/>
      <c r="BJ354" s="1797"/>
      <c r="BK354" s="1797"/>
      <c r="BL354" s="1797"/>
      <c r="BM354" s="1797"/>
      <c r="BN354" s="1797"/>
      <c r="BO354" s="1797"/>
      <c r="BP354" s="1797"/>
      <c r="BQ354" s="1617" t="e">
        <f>INT(Y354*BG354)</f>
        <v>#REF!</v>
      </c>
      <c r="BR354" s="1617"/>
      <c r="BS354" s="1617"/>
      <c r="BT354" s="1617"/>
      <c r="BU354" s="1617"/>
      <c r="BV354" s="1617"/>
      <c r="BW354" s="1617"/>
      <c r="BX354" s="1617"/>
      <c r="BY354" s="1617"/>
      <c r="BZ354" s="1617"/>
      <c r="CA354" s="1617"/>
      <c r="CB354" s="1617"/>
      <c r="CC354" s="1617"/>
      <c r="CD354" s="1617"/>
      <c r="CE354" s="1617"/>
      <c r="CF354" s="1626"/>
    </row>
    <row r="355" spans="1:88" s="400" customFormat="1" ht="23.1" customHeight="1">
      <c r="E355" s="1828"/>
      <c r="F355" s="1829"/>
      <c r="G355" s="1829"/>
      <c r="H355" s="1829"/>
      <c r="I355" s="1942" t="s">
        <v>731</v>
      </c>
      <c r="J355" s="1943"/>
      <c r="K355" s="1943"/>
      <c r="L355" s="1943"/>
      <c r="M355" s="1943"/>
      <c r="N355" s="1943"/>
      <c r="O355" s="1943"/>
      <c r="P355" s="1943"/>
      <c r="Q355" s="1943"/>
      <c r="R355" s="1943"/>
      <c r="S355" s="1944"/>
      <c r="T355" s="1873" t="s">
        <v>418</v>
      </c>
      <c r="U355" s="1873"/>
      <c r="V355" s="1873"/>
      <c r="W355" s="1873"/>
      <c r="X355" s="1873"/>
      <c r="Y355" s="1954" t="e">
        <f>#REF!</f>
        <v>#REF!</v>
      </c>
      <c r="Z355" s="1873"/>
      <c r="AA355" s="1873"/>
      <c r="AB355" s="1873"/>
      <c r="AC355" s="1873"/>
      <c r="AD355" s="1873"/>
      <c r="AE355" s="1873"/>
      <c r="AF355" s="1873"/>
      <c r="AG355" s="1797">
        <v>1</v>
      </c>
      <c r="AH355" s="1797"/>
      <c r="AI355" s="1797"/>
      <c r="AJ355" s="1797"/>
      <c r="AK355" s="1797"/>
      <c r="AL355" s="1797"/>
      <c r="AM355" s="1797"/>
      <c r="AN355" s="1797"/>
      <c r="AO355" s="1797"/>
      <c r="AP355" s="1797"/>
      <c r="AQ355" s="1617" t="e">
        <f>INT(Y355*AG355)</f>
        <v>#REF!</v>
      </c>
      <c r="AR355" s="1617"/>
      <c r="AS355" s="1617"/>
      <c r="AT355" s="1617"/>
      <c r="AU355" s="1617"/>
      <c r="AV355" s="1617"/>
      <c r="AW355" s="1617"/>
      <c r="AX355" s="1617"/>
      <c r="AY355" s="1617"/>
      <c r="AZ355" s="1617"/>
      <c r="BA355" s="1617"/>
      <c r="BB355" s="1617"/>
      <c r="BC355" s="1617"/>
      <c r="BD355" s="1617"/>
      <c r="BE355" s="1617"/>
      <c r="BF355" s="1617"/>
      <c r="BG355" s="1797">
        <v>3.2</v>
      </c>
      <c r="BH355" s="1797"/>
      <c r="BI355" s="1797"/>
      <c r="BJ355" s="1797"/>
      <c r="BK355" s="1797"/>
      <c r="BL355" s="1797"/>
      <c r="BM355" s="1797"/>
      <c r="BN355" s="1797"/>
      <c r="BO355" s="1797"/>
      <c r="BP355" s="1797"/>
      <c r="BQ355" s="1617" t="e">
        <f>INT(Y355*BG355)</f>
        <v>#REF!</v>
      </c>
      <c r="BR355" s="1617"/>
      <c r="BS355" s="1617"/>
      <c r="BT355" s="1617"/>
      <c r="BU355" s="1617"/>
      <c r="BV355" s="1617"/>
      <c r="BW355" s="1617"/>
      <c r="BX355" s="1617"/>
      <c r="BY355" s="1617"/>
      <c r="BZ355" s="1617"/>
      <c r="CA355" s="1617"/>
      <c r="CB355" s="1617"/>
      <c r="CC355" s="1617"/>
      <c r="CD355" s="1617"/>
      <c r="CE355" s="1617"/>
      <c r="CF355" s="1626"/>
    </row>
    <row r="356" spans="1:88" s="400" customFormat="1" ht="23.1" customHeight="1">
      <c r="E356" s="1828"/>
      <c r="F356" s="1829"/>
      <c r="G356" s="1829"/>
      <c r="H356" s="1829"/>
      <c r="I356" s="1829" t="s">
        <v>419</v>
      </c>
      <c r="J356" s="1829"/>
      <c r="K356" s="1829"/>
      <c r="L356" s="1829"/>
      <c r="M356" s="1829"/>
      <c r="N356" s="1829"/>
      <c r="O356" s="1829"/>
      <c r="P356" s="1829"/>
      <c r="Q356" s="1829"/>
      <c r="R356" s="1829"/>
      <c r="S356" s="1829"/>
      <c r="T356" s="1873"/>
      <c r="U356" s="1873"/>
      <c r="V356" s="1873"/>
      <c r="W356" s="1873"/>
      <c r="X356" s="1873"/>
      <c r="Y356" s="1814"/>
      <c r="Z356" s="1814"/>
      <c r="AA356" s="1814"/>
      <c r="AB356" s="1814"/>
      <c r="AC356" s="1814"/>
      <c r="AD356" s="1814"/>
      <c r="AE356" s="1814"/>
      <c r="AF356" s="1814"/>
      <c r="AG356" s="1797"/>
      <c r="AH356" s="1797"/>
      <c r="AI356" s="1797"/>
      <c r="AJ356" s="1797"/>
      <c r="AK356" s="1797"/>
      <c r="AL356" s="1797"/>
      <c r="AM356" s="1797"/>
      <c r="AN356" s="1797"/>
      <c r="AO356" s="1797"/>
      <c r="AP356" s="1797"/>
      <c r="AQ356" s="1879" t="e">
        <f>SUM(AQ354:BF355)</f>
        <v>#REF!</v>
      </c>
      <c r="AR356" s="1879"/>
      <c r="AS356" s="1879"/>
      <c r="AT356" s="1879"/>
      <c r="AU356" s="1879"/>
      <c r="AV356" s="1879"/>
      <c r="AW356" s="1879"/>
      <c r="AX356" s="1879"/>
      <c r="AY356" s="1879"/>
      <c r="AZ356" s="1879"/>
      <c r="BA356" s="1879"/>
      <c r="BB356" s="1879"/>
      <c r="BC356" s="1879"/>
      <c r="BD356" s="1879"/>
      <c r="BE356" s="1879"/>
      <c r="BF356" s="1879"/>
      <c r="BG356" s="1797"/>
      <c r="BH356" s="1797"/>
      <c r="BI356" s="1797"/>
      <c r="BJ356" s="1797"/>
      <c r="BK356" s="1797"/>
      <c r="BL356" s="1797"/>
      <c r="BM356" s="1797"/>
      <c r="BN356" s="1797"/>
      <c r="BO356" s="1797"/>
      <c r="BP356" s="1797"/>
      <c r="BQ356" s="1879" t="e">
        <f>SUM(BQ354:CF355)</f>
        <v>#REF!</v>
      </c>
      <c r="BR356" s="1879"/>
      <c r="BS356" s="1879"/>
      <c r="BT356" s="1879"/>
      <c r="BU356" s="1879"/>
      <c r="BV356" s="1879"/>
      <c r="BW356" s="1879"/>
      <c r="BX356" s="1879"/>
      <c r="BY356" s="1879"/>
      <c r="BZ356" s="1879"/>
      <c r="CA356" s="1879"/>
      <c r="CB356" s="1879"/>
      <c r="CC356" s="1879"/>
      <c r="CD356" s="1879"/>
      <c r="CE356" s="1879"/>
      <c r="CF356" s="1880"/>
    </row>
    <row r="357" spans="1:88" s="400" customFormat="1" ht="23.1" customHeight="1" thickBot="1">
      <c r="E357" s="1919" t="s">
        <v>419</v>
      </c>
      <c r="F357" s="1855"/>
      <c r="G357" s="1855"/>
      <c r="H357" s="1855"/>
      <c r="I357" s="1855"/>
      <c r="J357" s="1855"/>
      <c r="K357" s="1855"/>
      <c r="L357" s="1855"/>
      <c r="M357" s="1855"/>
      <c r="N357" s="1855"/>
      <c r="O357" s="1855"/>
      <c r="P357" s="1855"/>
      <c r="Q357" s="1855"/>
      <c r="R357" s="1855"/>
      <c r="S357" s="1855"/>
      <c r="T357" s="1861"/>
      <c r="U357" s="1861"/>
      <c r="V357" s="1861"/>
      <c r="W357" s="1861"/>
      <c r="X357" s="1861"/>
      <c r="Y357" s="1937"/>
      <c r="Z357" s="1861"/>
      <c r="AA357" s="1861"/>
      <c r="AB357" s="1861"/>
      <c r="AC357" s="1861"/>
      <c r="AD357" s="1861"/>
      <c r="AE357" s="1861"/>
      <c r="AF357" s="1861"/>
      <c r="AG357" s="1783"/>
      <c r="AH357" s="1783"/>
      <c r="AI357" s="1783"/>
      <c r="AJ357" s="1783"/>
      <c r="AK357" s="1783"/>
      <c r="AL357" s="1783"/>
      <c r="AM357" s="1783"/>
      <c r="AN357" s="1783"/>
      <c r="AO357" s="1783"/>
      <c r="AP357" s="1783"/>
      <c r="AQ357" s="1845" t="e">
        <f>AQ349+AQ353+AQ356</f>
        <v>#REF!</v>
      </c>
      <c r="AR357" s="1845"/>
      <c r="AS357" s="1845"/>
      <c r="AT357" s="1845"/>
      <c r="AU357" s="1845"/>
      <c r="AV357" s="1845"/>
      <c r="AW357" s="1845"/>
      <c r="AX357" s="1845"/>
      <c r="AY357" s="1845"/>
      <c r="AZ357" s="1845"/>
      <c r="BA357" s="1845"/>
      <c r="BB357" s="1845"/>
      <c r="BC357" s="1845"/>
      <c r="BD357" s="1845"/>
      <c r="BE357" s="1845"/>
      <c r="BF357" s="1845"/>
      <c r="BG357" s="1783"/>
      <c r="BH357" s="1783"/>
      <c r="BI357" s="1783"/>
      <c r="BJ357" s="1783"/>
      <c r="BK357" s="1783"/>
      <c r="BL357" s="1783"/>
      <c r="BM357" s="1783"/>
      <c r="BN357" s="1783"/>
      <c r="BO357" s="1783"/>
      <c r="BP357" s="1783"/>
      <c r="BQ357" s="1845" t="e">
        <f>BQ349+BQ353+BQ356</f>
        <v>#REF!</v>
      </c>
      <c r="BR357" s="1845"/>
      <c r="BS357" s="1845"/>
      <c r="BT357" s="1845"/>
      <c r="BU357" s="1845"/>
      <c r="BV357" s="1845"/>
      <c r="BW357" s="1845"/>
      <c r="BX357" s="1845"/>
      <c r="BY357" s="1845"/>
      <c r="BZ357" s="1845"/>
      <c r="CA357" s="1845"/>
      <c r="CB357" s="1845"/>
      <c r="CC357" s="1845"/>
      <c r="CD357" s="1845"/>
      <c r="CE357" s="1845"/>
      <c r="CF357" s="1846"/>
    </row>
    <row r="358" spans="1:88" s="400" customFormat="1" ht="23.1" customHeight="1">
      <c r="D358" s="403"/>
      <c r="G358" s="402" t="s">
        <v>730</v>
      </c>
      <c r="AR358" s="414"/>
      <c r="AS358" s="414"/>
      <c r="AT358" s="414"/>
      <c r="AU358" s="414"/>
      <c r="AV358" s="414"/>
      <c r="AW358" s="414"/>
      <c r="AX358" s="414"/>
      <c r="AY358" s="414"/>
      <c r="AZ358" s="414"/>
      <c r="BA358" s="414"/>
      <c r="BB358" s="414"/>
      <c r="BT358" s="414"/>
      <c r="BU358" s="414"/>
      <c r="BV358" s="414"/>
      <c r="BW358" s="414"/>
      <c r="BX358" s="414"/>
      <c r="BY358" s="414"/>
      <c r="BZ358" s="414"/>
      <c r="CA358" s="414"/>
      <c r="CB358" s="414"/>
      <c r="CC358" s="414"/>
    </row>
    <row r="359" spans="1:88" s="400" customFormat="1" ht="23.1" customHeight="1">
      <c r="BT359" s="410"/>
      <c r="BU359" s="410"/>
      <c r="BV359" s="410"/>
      <c r="BW359" s="410"/>
      <c r="BX359" s="410"/>
      <c r="BY359" s="410"/>
      <c r="BZ359" s="410"/>
      <c r="CA359" s="410"/>
      <c r="CB359" s="410"/>
      <c r="CC359" s="410"/>
    </row>
    <row r="360" spans="1:88" s="400" customFormat="1" ht="23.1" customHeight="1">
      <c r="BT360" s="410"/>
      <c r="BU360" s="410"/>
      <c r="BV360" s="410"/>
      <c r="BW360" s="410"/>
      <c r="BX360" s="410"/>
      <c r="BY360" s="410"/>
      <c r="BZ360" s="410"/>
      <c r="CA360" s="410"/>
      <c r="CB360" s="410"/>
      <c r="CC360" s="410"/>
    </row>
    <row r="361" spans="1:88" s="419" customFormat="1" ht="23.1" customHeight="1">
      <c r="A361" s="420"/>
      <c r="B361" s="421" t="s">
        <v>503</v>
      </c>
      <c r="C361" s="420"/>
      <c r="D361" s="420"/>
      <c r="E361" s="420"/>
      <c r="F361" s="420"/>
      <c r="G361" s="420"/>
      <c r="H361" s="420"/>
      <c r="I361" s="420"/>
      <c r="J361" s="420"/>
      <c r="K361" s="420"/>
      <c r="L361" s="420"/>
      <c r="M361" s="420"/>
      <c r="N361" s="420"/>
      <c r="O361" s="420"/>
      <c r="P361" s="420"/>
      <c r="Q361" s="420"/>
      <c r="R361" s="420"/>
      <c r="S361" s="420"/>
      <c r="T361" s="420"/>
      <c r="U361" s="420"/>
      <c r="V361" s="420"/>
      <c r="W361" s="420"/>
      <c r="X361" s="420"/>
      <c r="Y361" s="420"/>
      <c r="Z361" s="420"/>
      <c r="AA361" s="420"/>
      <c r="AB361" s="420"/>
      <c r="AC361" s="420"/>
      <c r="AD361" s="420"/>
      <c r="AE361" s="420"/>
      <c r="AF361" s="420"/>
      <c r="AG361" s="420"/>
      <c r="AH361" s="420"/>
      <c r="AI361" s="420"/>
      <c r="AJ361" s="420"/>
      <c r="AK361" s="420"/>
      <c r="AL361" s="420"/>
      <c r="AM361" s="420"/>
      <c r="AN361" s="420"/>
      <c r="AO361" s="420"/>
      <c r="AP361" s="420"/>
      <c r="AQ361" s="420"/>
      <c r="AR361" s="420"/>
      <c r="AS361" s="420"/>
      <c r="AT361" s="420"/>
      <c r="AU361" s="420"/>
      <c r="BM361" s="420"/>
      <c r="BN361" s="420"/>
      <c r="BO361" s="420"/>
      <c r="BP361" s="420"/>
      <c r="BQ361" s="420"/>
      <c r="BR361" s="420"/>
      <c r="BS361" s="420"/>
      <c r="BT361" s="420"/>
      <c r="BU361" s="420"/>
      <c r="BV361" s="420"/>
      <c r="BW361" s="420"/>
      <c r="BX361" s="420"/>
      <c r="BY361" s="420"/>
      <c r="BZ361" s="420"/>
      <c r="CA361" s="420"/>
      <c r="CB361" s="420"/>
      <c r="CC361" s="420"/>
      <c r="CD361" s="420"/>
      <c r="CE361" s="420"/>
      <c r="CF361" s="420"/>
      <c r="CJ361" s="400" t="s">
        <v>729</v>
      </c>
    </row>
    <row r="362" spans="1:88" s="400" customFormat="1" ht="9.9499999999999993" customHeight="1">
      <c r="A362" s="402"/>
      <c r="B362" s="402"/>
      <c r="C362" s="402"/>
      <c r="D362" s="402"/>
      <c r="E362" s="402"/>
      <c r="F362" s="402"/>
      <c r="G362" s="402"/>
      <c r="H362" s="402"/>
      <c r="I362" s="402"/>
      <c r="J362" s="402"/>
      <c r="K362" s="402"/>
      <c r="L362" s="402"/>
      <c r="M362" s="402"/>
      <c r="N362" s="402"/>
      <c r="O362" s="402"/>
      <c r="P362" s="402"/>
      <c r="Q362" s="402"/>
      <c r="R362" s="402"/>
      <c r="S362" s="402"/>
      <c r="T362" s="402"/>
      <c r="U362" s="402"/>
      <c r="V362" s="402"/>
      <c r="W362" s="402"/>
      <c r="X362" s="402"/>
      <c r="Y362" s="402"/>
      <c r="Z362" s="402"/>
      <c r="AA362" s="402"/>
      <c r="AB362" s="402"/>
      <c r="AC362" s="402"/>
      <c r="AD362" s="402"/>
      <c r="AE362" s="402"/>
      <c r="AF362" s="402"/>
      <c r="AG362" s="402"/>
      <c r="AH362" s="402"/>
      <c r="AI362" s="402"/>
      <c r="AJ362" s="402"/>
      <c r="AK362" s="402"/>
      <c r="AL362" s="402"/>
      <c r="AM362" s="402"/>
      <c r="AN362" s="402"/>
      <c r="AO362" s="402"/>
      <c r="AP362" s="402"/>
      <c r="AQ362" s="402"/>
      <c r="AR362" s="402"/>
      <c r="AS362" s="402"/>
      <c r="AT362" s="402"/>
      <c r="AU362" s="402"/>
      <c r="AV362" s="402"/>
      <c r="AW362" s="402"/>
      <c r="AX362" s="402"/>
      <c r="AY362" s="402"/>
      <c r="AZ362" s="402"/>
      <c r="BA362" s="402"/>
      <c r="BB362" s="402"/>
      <c r="BC362" s="402"/>
      <c r="BD362" s="402"/>
      <c r="BE362" s="402"/>
      <c r="BF362" s="402"/>
      <c r="BG362" s="402"/>
      <c r="BH362" s="402"/>
      <c r="BI362" s="402"/>
      <c r="BJ362" s="402"/>
      <c r="BK362" s="402"/>
      <c r="BL362" s="402"/>
      <c r="BM362" s="402"/>
      <c r="BN362" s="402"/>
      <c r="BO362" s="402"/>
      <c r="BP362" s="402"/>
      <c r="BQ362" s="402"/>
      <c r="BR362" s="402"/>
      <c r="BS362" s="402"/>
      <c r="BT362" s="418"/>
      <c r="BU362" s="418"/>
      <c r="BV362" s="418"/>
      <c r="BW362" s="418"/>
      <c r="BX362" s="418"/>
      <c r="BY362" s="418"/>
      <c r="BZ362" s="418"/>
      <c r="CA362" s="418"/>
      <c r="CB362" s="418"/>
      <c r="CC362" s="418"/>
      <c r="CD362" s="402"/>
      <c r="CE362" s="402"/>
      <c r="CF362" s="402"/>
    </row>
    <row r="363" spans="1:88" s="400" customFormat="1" ht="23.1" customHeight="1">
      <c r="E363" s="400" t="s">
        <v>504</v>
      </c>
      <c r="BT363" s="414"/>
      <c r="BU363" s="414"/>
      <c r="BV363" s="414"/>
      <c r="BW363" s="414"/>
      <c r="BX363" s="414"/>
      <c r="BY363" s="414"/>
      <c r="BZ363" s="414"/>
      <c r="CA363" s="414"/>
      <c r="CB363" s="414"/>
      <c r="CC363" s="414"/>
    </row>
    <row r="364" spans="1:88" s="400" customFormat="1" ht="9.9499999999999993" customHeight="1" thickBot="1">
      <c r="D364" s="405"/>
      <c r="Q364" s="409"/>
      <c r="R364" s="409"/>
      <c r="S364" s="409"/>
      <c r="T364" s="409"/>
      <c r="U364" s="409"/>
      <c r="V364" s="409"/>
      <c r="W364" s="409"/>
      <c r="X364" s="409"/>
      <c r="Y364" s="409"/>
      <c r="Z364" s="409"/>
      <c r="AA364" s="409"/>
      <c r="AB364" s="409"/>
      <c r="AV364" s="408"/>
      <c r="AW364" s="408"/>
      <c r="AX364" s="408"/>
      <c r="AY364" s="408"/>
      <c r="AZ364" s="408"/>
      <c r="BA364" s="408"/>
      <c r="BB364" s="408"/>
      <c r="BC364" s="408"/>
      <c r="BD364" s="408"/>
      <c r="BE364" s="404"/>
      <c r="BF364" s="404"/>
      <c r="BG364" s="404"/>
      <c r="BH364" s="404"/>
      <c r="BI364" s="404"/>
      <c r="BJ364" s="404"/>
      <c r="BK364" s="404"/>
      <c r="BL364" s="404"/>
      <c r="BM364" s="404"/>
      <c r="BN364" s="404"/>
      <c r="BO364" s="404"/>
      <c r="BP364" s="404"/>
      <c r="BQ364" s="404"/>
      <c r="BR364" s="404"/>
      <c r="BS364" s="404"/>
      <c r="BT364" s="404"/>
      <c r="BU364" s="404"/>
      <c r="BV364" s="404"/>
      <c r="BW364" s="404"/>
      <c r="BX364" s="404"/>
      <c r="BY364" s="404"/>
      <c r="BZ364" s="404"/>
      <c r="CA364" s="404"/>
      <c r="CB364" s="404"/>
      <c r="CC364" s="404"/>
      <c r="CD364" s="404"/>
      <c r="CE364" s="404"/>
      <c r="CF364" s="404"/>
    </row>
    <row r="365" spans="1:88" s="400" customFormat="1" ht="23.1" customHeight="1">
      <c r="A365" s="402"/>
      <c r="B365" s="402"/>
      <c r="C365" s="402"/>
      <c r="D365" s="402"/>
      <c r="E365" s="1831" t="s">
        <v>369</v>
      </c>
      <c r="F365" s="1800"/>
      <c r="G365" s="1800"/>
      <c r="H365" s="1800"/>
      <c r="I365" s="1800"/>
      <c r="J365" s="1800"/>
      <c r="K365" s="1800"/>
      <c r="L365" s="1800"/>
      <c r="M365" s="1800"/>
      <c r="N365" s="1800"/>
      <c r="O365" s="1800"/>
      <c r="P365" s="1800"/>
      <c r="Q365" s="1800"/>
      <c r="R365" s="1800"/>
      <c r="S365" s="1800"/>
      <c r="T365" s="1800"/>
      <c r="U365" s="1800" t="s">
        <v>403</v>
      </c>
      <c r="V365" s="1800"/>
      <c r="W365" s="1800"/>
      <c r="X365" s="1800"/>
      <c r="Y365" s="1800"/>
      <c r="Z365" s="1800"/>
      <c r="AA365" s="1800"/>
      <c r="AB365" s="1800"/>
      <c r="AC365" s="1800"/>
      <c r="AD365" s="1800"/>
      <c r="AE365" s="1800"/>
      <c r="AF365" s="1800"/>
      <c r="AG365" s="1800"/>
      <c r="AH365" s="1800"/>
      <c r="AI365" s="1800"/>
      <c r="AJ365" s="1800"/>
      <c r="AK365" s="1800"/>
      <c r="AL365" s="1800"/>
      <c r="AM365" s="1800"/>
      <c r="AN365" s="1800"/>
      <c r="AO365" s="1800"/>
      <c r="AP365" s="1800"/>
      <c r="AQ365" s="1800"/>
      <c r="AR365" s="1800"/>
      <c r="AS365" s="1833" t="s">
        <v>404</v>
      </c>
      <c r="AT365" s="1800"/>
      <c r="AU365" s="1800"/>
      <c r="AV365" s="1800"/>
      <c r="AW365" s="1800"/>
      <c r="AX365" s="1800"/>
      <c r="AY365" s="1800"/>
      <c r="AZ365" s="1800"/>
      <c r="BA365" s="1800" t="s">
        <v>405</v>
      </c>
      <c r="BB365" s="1800"/>
      <c r="BC365" s="1800"/>
      <c r="BD365" s="1800"/>
      <c r="BE365" s="1800"/>
      <c r="BF365" s="1800"/>
      <c r="BG365" s="1800"/>
      <c r="BH365" s="1800"/>
      <c r="BI365" s="1800"/>
      <c r="BJ365" s="1800"/>
      <c r="BK365" s="1800"/>
      <c r="BL365" s="1800"/>
      <c r="BM365" s="1800"/>
      <c r="BN365" s="1800"/>
      <c r="BO365" s="1800"/>
      <c r="BP365" s="1800"/>
      <c r="BQ365" s="1800"/>
      <c r="BR365" s="1800"/>
      <c r="BS365" s="1800"/>
      <c r="BT365" s="1800"/>
      <c r="BU365" s="1800"/>
      <c r="BV365" s="1800"/>
      <c r="BW365" s="1800"/>
      <c r="BX365" s="1800"/>
      <c r="BY365" s="1800"/>
      <c r="BZ365" s="1800"/>
      <c r="CA365" s="1800"/>
      <c r="CB365" s="1800"/>
      <c r="CC365" s="1800"/>
      <c r="CD365" s="1800"/>
      <c r="CE365" s="1800"/>
      <c r="CF365" s="1801"/>
    </row>
    <row r="366" spans="1:88" s="400" customFormat="1" ht="23.1" customHeight="1" thickBot="1">
      <c r="D366" s="405"/>
      <c r="E366" s="1832"/>
      <c r="F366" s="1786"/>
      <c r="G366" s="1786"/>
      <c r="H366" s="1786"/>
      <c r="I366" s="1786"/>
      <c r="J366" s="1786"/>
      <c r="K366" s="1786"/>
      <c r="L366" s="1786"/>
      <c r="M366" s="1786"/>
      <c r="N366" s="1786"/>
      <c r="O366" s="1786"/>
      <c r="P366" s="1786"/>
      <c r="Q366" s="1786"/>
      <c r="R366" s="1786"/>
      <c r="S366" s="1786"/>
      <c r="T366" s="1786"/>
      <c r="U366" s="1786" t="s">
        <v>406</v>
      </c>
      <c r="V366" s="1786"/>
      <c r="W366" s="1786"/>
      <c r="X366" s="1786"/>
      <c r="Y366" s="1786"/>
      <c r="Z366" s="1786"/>
      <c r="AA366" s="1786"/>
      <c r="AB366" s="1786"/>
      <c r="AC366" s="1786" t="s">
        <v>407</v>
      </c>
      <c r="AD366" s="1786"/>
      <c r="AE366" s="1786"/>
      <c r="AF366" s="1786"/>
      <c r="AG366" s="1786"/>
      <c r="AH366" s="1786"/>
      <c r="AI366" s="1786"/>
      <c r="AJ366" s="1786"/>
      <c r="AK366" s="1786" t="s">
        <v>408</v>
      </c>
      <c r="AL366" s="1786"/>
      <c r="AM366" s="1786"/>
      <c r="AN366" s="1786"/>
      <c r="AO366" s="1786"/>
      <c r="AP366" s="1786"/>
      <c r="AQ366" s="1786"/>
      <c r="AR366" s="1786"/>
      <c r="AS366" s="1786"/>
      <c r="AT366" s="1786"/>
      <c r="AU366" s="1786"/>
      <c r="AV366" s="1786"/>
      <c r="AW366" s="1786"/>
      <c r="AX366" s="1786"/>
      <c r="AY366" s="1786"/>
      <c r="AZ366" s="1786"/>
      <c r="BA366" s="1786" t="s">
        <v>406</v>
      </c>
      <c r="BB366" s="1786"/>
      <c r="BC366" s="1786"/>
      <c r="BD366" s="1786"/>
      <c r="BE366" s="1786"/>
      <c r="BF366" s="1786"/>
      <c r="BG366" s="1786"/>
      <c r="BH366" s="1786"/>
      <c r="BI366" s="1786" t="s">
        <v>407</v>
      </c>
      <c r="BJ366" s="1786"/>
      <c r="BK366" s="1786"/>
      <c r="BL366" s="1786"/>
      <c r="BM366" s="1786"/>
      <c r="BN366" s="1786"/>
      <c r="BO366" s="1786"/>
      <c r="BP366" s="1786"/>
      <c r="BQ366" s="1786" t="s">
        <v>423</v>
      </c>
      <c r="BR366" s="1786"/>
      <c r="BS366" s="1786"/>
      <c r="BT366" s="1786"/>
      <c r="BU366" s="1786"/>
      <c r="BV366" s="1786"/>
      <c r="BW366" s="1786"/>
      <c r="BX366" s="1786"/>
      <c r="BY366" s="1786" t="s">
        <v>424</v>
      </c>
      <c r="BZ366" s="1786"/>
      <c r="CA366" s="1786"/>
      <c r="CB366" s="1786"/>
      <c r="CC366" s="1786"/>
      <c r="CD366" s="1786"/>
      <c r="CE366" s="1786"/>
      <c r="CF366" s="1787"/>
    </row>
    <row r="367" spans="1:88" s="400" customFormat="1" ht="23.1" customHeight="1" thickTop="1">
      <c r="D367" s="405"/>
      <c r="E367" s="1996" t="s">
        <v>505</v>
      </c>
      <c r="F367" s="1997"/>
      <c r="G367" s="1997"/>
      <c r="H367" s="1997"/>
      <c r="I367" s="1997"/>
      <c r="J367" s="1917" t="s">
        <v>395</v>
      </c>
      <c r="K367" s="1917"/>
      <c r="L367" s="1917"/>
      <c r="M367" s="1917"/>
      <c r="N367" s="1917"/>
      <c r="O367" s="1917"/>
      <c r="P367" s="1917"/>
      <c r="Q367" s="1917"/>
      <c r="R367" s="1917"/>
      <c r="S367" s="1917"/>
      <c r="T367" s="1917"/>
      <c r="U367" s="1812" t="e">
        <f>$AG$283</f>
        <v>#REF!</v>
      </c>
      <c r="V367" s="1812"/>
      <c r="W367" s="1812"/>
      <c r="X367" s="1812"/>
      <c r="Y367" s="1812"/>
      <c r="Z367" s="1812"/>
      <c r="AA367" s="1812"/>
      <c r="AB367" s="1812"/>
      <c r="AC367" s="1812" t="e">
        <f>$AQ$283+$AF$375</f>
        <v>#REF!</v>
      </c>
      <c r="AD367" s="1812"/>
      <c r="AE367" s="1812"/>
      <c r="AF367" s="1812"/>
      <c r="AG367" s="1812"/>
      <c r="AH367" s="1812"/>
      <c r="AI367" s="1812"/>
      <c r="AJ367" s="1812"/>
      <c r="AK367" s="1812" t="e">
        <f>$BA$283</f>
        <v>#REF!</v>
      </c>
      <c r="AL367" s="1812"/>
      <c r="AM367" s="1812"/>
      <c r="AN367" s="1812"/>
      <c r="AO367" s="1812"/>
      <c r="AP367" s="1812"/>
      <c r="AQ367" s="1812"/>
      <c r="AR367" s="1812"/>
      <c r="AS367" s="1987">
        <v>1.75</v>
      </c>
      <c r="AT367" s="1987"/>
      <c r="AU367" s="1987"/>
      <c r="AV367" s="1987"/>
      <c r="AW367" s="1987"/>
      <c r="AX367" s="1987"/>
      <c r="AY367" s="1987"/>
      <c r="AZ367" s="1987"/>
      <c r="BA367" s="1911" t="e">
        <f t="shared" ref="BA367:BA373" si="30">INT(U367/$AS367)</f>
        <v>#REF!</v>
      </c>
      <c r="BB367" s="1911"/>
      <c r="BC367" s="1911"/>
      <c r="BD367" s="1911"/>
      <c r="BE367" s="1911"/>
      <c r="BF367" s="1911"/>
      <c r="BG367" s="1911"/>
      <c r="BH367" s="1911"/>
      <c r="BI367" s="1911" t="e">
        <f t="shared" ref="BI367:BI373" si="31">INT(AC367/$AS367)</f>
        <v>#REF!</v>
      </c>
      <c r="BJ367" s="1911"/>
      <c r="BK367" s="1911"/>
      <c r="BL367" s="1911"/>
      <c r="BM367" s="1911"/>
      <c r="BN367" s="1911"/>
      <c r="BO367" s="1911"/>
      <c r="BP367" s="1911"/>
      <c r="BQ367" s="1911" t="e">
        <f t="shared" ref="BQ367:BQ373" si="32">INT(AK367/$AS367)</f>
        <v>#REF!</v>
      </c>
      <c r="BR367" s="1911"/>
      <c r="BS367" s="1911"/>
      <c r="BT367" s="1911"/>
      <c r="BU367" s="1911"/>
      <c r="BV367" s="1911"/>
      <c r="BW367" s="1911"/>
      <c r="BX367" s="1911"/>
      <c r="BY367" s="1892" t="e">
        <f t="shared" ref="BY367:BY373" si="33">BA367+BI367+BQ367</f>
        <v>#REF!</v>
      </c>
      <c r="BZ367" s="1892"/>
      <c r="CA367" s="1892"/>
      <c r="CB367" s="1892"/>
      <c r="CC367" s="1892"/>
      <c r="CD367" s="1892"/>
      <c r="CE367" s="1892"/>
      <c r="CF367" s="1893"/>
    </row>
    <row r="368" spans="1:88" s="400" customFormat="1" ht="23.1" customHeight="1">
      <c r="A368" s="402"/>
      <c r="B368" s="402"/>
      <c r="C368" s="402"/>
      <c r="D368" s="402"/>
      <c r="E368" s="1995"/>
      <c r="F368" s="1990"/>
      <c r="G368" s="1990"/>
      <c r="H368" s="1990"/>
      <c r="I368" s="1990"/>
      <c r="J368" s="1874" t="s">
        <v>359</v>
      </c>
      <c r="K368" s="1874"/>
      <c r="L368" s="1874"/>
      <c r="M368" s="1874"/>
      <c r="N368" s="1874"/>
      <c r="O368" s="1874"/>
      <c r="P368" s="1874"/>
      <c r="Q368" s="1874"/>
      <c r="R368" s="1874"/>
      <c r="S368" s="1874"/>
      <c r="T368" s="1874"/>
      <c r="U368" s="1814" t="e">
        <f>$AG$284</f>
        <v>#REF!</v>
      </c>
      <c r="V368" s="1814"/>
      <c r="W368" s="1814"/>
      <c r="X368" s="1814"/>
      <c r="Y368" s="1814"/>
      <c r="Z368" s="1814"/>
      <c r="AA368" s="1814"/>
      <c r="AB368" s="1814"/>
      <c r="AC368" s="1814" t="e">
        <f>$AQ$284+$AF$375</f>
        <v>#REF!</v>
      </c>
      <c r="AD368" s="1814"/>
      <c r="AE368" s="1814"/>
      <c r="AF368" s="1814"/>
      <c r="AG368" s="1814"/>
      <c r="AH368" s="1814"/>
      <c r="AI368" s="1814"/>
      <c r="AJ368" s="1814"/>
      <c r="AK368" s="1814" t="e">
        <f>$BA$284</f>
        <v>#REF!</v>
      </c>
      <c r="AL368" s="1814"/>
      <c r="AM368" s="1814"/>
      <c r="AN368" s="1814"/>
      <c r="AO368" s="1814"/>
      <c r="AP368" s="1814"/>
      <c r="AQ368" s="1814"/>
      <c r="AR368" s="1814"/>
      <c r="AS368" s="1797">
        <v>3.3</v>
      </c>
      <c r="AT368" s="1797"/>
      <c r="AU368" s="1797"/>
      <c r="AV368" s="1797"/>
      <c r="AW368" s="1797"/>
      <c r="AX368" s="1797"/>
      <c r="AY368" s="1797"/>
      <c r="AZ368" s="1797"/>
      <c r="BA368" s="1898" t="e">
        <f t="shared" si="30"/>
        <v>#REF!</v>
      </c>
      <c r="BB368" s="1898"/>
      <c r="BC368" s="1898"/>
      <c r="BD368" s="1898"/>
      <c r="BE368" s="1898"/>
      <c r="BF368" s="1898"/>
      <c r="BG368" s="1898"/>
      <c r="BH368" s="1898"/>
      <c r="BI368" s="1898" t="e">
        <f t="shared" si="31"/>
        <v>#REF!</v>
      </c>
      <c r="BJ368" s="1898"/>
      <c r="BK368" s="1898"/>
      <c r="BL368" s="1898"/>
      <c r="BM368" s="1898"/>
      <c r="BN368" s="1898"/>
      <c r="BO368" s="1898"/>
      <c r="BP368" s="1898"/>
      <c r="BQ368" s="1898" t="e">
        <f t="shared" si="32"/>
        <v>#REF!</v>
      </c>
      <c r="BR368" s="1898"/>
      <c r="BS368" s="1898"/>
      <c r="BT368" s="1898"/>
      <c r="BU368" s="1898"/>
      <c r="BV368" s="1898"/>
      <c r="BW368" s="1898"/>
      <c r="BX368" s="1898"/>
      <c r="BY368" s="1894" t="e">
        <f t="shared" si="33"/>
        <v>#REF!</v>
      </c>
      <c r="BZ368" s="1894"/>
      <c r="CA368" s="1894"/>
      <c r="CB368" s="1894"/>
      <c r="CC368" s="1894"/>
      <c r="CD368" s="1894"/>
      <c r="CE368" s="1894"/>
      <c r="CF368" s="1895"/>
    </row>
    <row r="369" spans="1:88" s="400" customFormat="1" ht="23.1" customHeight="1">
      <c r="E369" s="1995"/>
      <c r="F369" s="1990"/>
      <c r="G369" s="1990"/>
      <c r="H369" s="1990"/>
      <c r="I369" s="1990"/>
      <c r="J369" s="1874" t="s">
        <v>399</v>
      </c>
      <c r="K369" s="1874"/>
      <c r="L369" s="1874"/>
      <c r="M369" s="1874"/>
      <c r="N369" s="1874"/>
      <c r="O369" s="1874"/>
      <c r="P369" s="1874"/>
      <c r="Q369" s="1874"/>
      <c r="R369" s="1874"/>
      <c r="S369" s="1874"/>
      <c r="T369" s="1874"/>
      <c r="U369" s="1872" t="e">
        <f>$AG$285</f>
        <v>#REF!</v>
      </c>
      <c r="V369" s="1872"/>
      <c r="W369" s="1872"/>
      <c r="X369" s="1872"/>
      <c r="Y369" s="1872"/>
      <c r="Z369" s="1872"/>
      <c r="AA369" s="1872"/>
      <c r="AB369" s="1872"/>
      <c r="AC369" s="1872" t="e">
        <f>$AQ$285+$AF$375</f>
        <v>#REF!</v>
      </c>
      <c r="AD369" s="1872"/>
      <c r="AE369" s="1872"/>
      <c r="AF369" s="1872"/>
      <c r="AG369" s="1872"/>
      <c r="AH369" s="1872"/>
      <c r="AI369" s="1872"/>
      <c r="AJ369" s="1872"/>
      <c r="AK369" s="1872" t="e">
        <f>$BA$285</f>
        <v>#REF!</v>
      </c>
      <c r="AL369" s="1872"/>
      <c r="AM369" s="1872"/>
      <c r="AN369" s="1872"/>
      <c r="AO369" s="1872"/>
      <c r="AP369" s="1872"/>
      <c r="AQ369" s="1872"/>
      <c r="AR369" s="1872"/>
      <c r="AS369" s="1797">
        <v>4.5999999999999996</v>
      </c>
      <c r="AT369" s="1797"/>
      <c r="AU369" s="1797"/>
      <c r="AV369" s="1797"/>
      <c r="AW369" s="1797"/>
      <c r="AX369" s="1797"/>
      <c r="AY369" s="1797"/>
      <c r="AZ369" s="1797"/>
      <c r="BA369" s="1898" t="e">
        <f t="shared" si="30"/>
        <v>#REF!</v>
      </c>
      <c r="BB369" s="1898"/>
      <c r="BC369" s="1898"/>
      <c r="BD369" s="1898"/>
      <c r="BE369" s="1898"/>
      <c r="BF369" s="1898"/>
      <c r="BG369" s="1898"/>
      <c r="BH369" s="1898"/>
      <c r="BI369" s="1898" t="e">
        <f t="shared" si="31"/>
        <v>#REF!</v>
      </c>
      <c r="BJ369" s="1898"/>
      <c r="BK369" s="1898"/>
      <c r="BL369" s="1898"/>
      <c r="BM369" s="1898"/>
      <c r="BN369" s="1898"/>
      <c r="BO369" s="1898"/>
      <c r="BP369" s="1898"/>
      <c r="BQ369" s="1898" t="e">
        <f t="shared" si="32"/>
        <v>#REF!</v>
      </c>
      <c r="BR369" s="1898"/>
      <c r="BS369" s="1898"/>
      <c r="BT369" s="1898"/>
      <c r="BU369" s="1898"/>
      <c r="BV369" s="1898"/>
      <c r="BW369" s="1898"/>
      <c r="BX369" s="1898"/>
      <c r="BY369" s="1894" t="e">
        <f t="shared" si="33"/>
        <v>#REF!</v>
      </c>
      <c r="BZ369" s="1894"/>
      <c r="CA369" s="1894"/>
      <c r="CB369" s="1894"/>
      <c r="CC369" s="1894"/>
      <c r="CD369" s="1894"/>
      <c r="CE369" s="1894"/>
      <c r="CF369" s="1895"/>
    </row>
    <row r="370" spans="1:88" s="400" customFormat="1" ht="23.1" customHeight="1">
      <c r="E370" s="1989" t="s">
        <v>506</v>
      </c>
      <c r="F370" s="1990"/>
      <c r="G370" s="1990"/>
      <c r="H370" s="1990"/>
      <c r="I370" s="1990"/>
      <c r="J370" s="1874" t="s">
        <v>359</v>
      </c>
      <c r="K370" s="1874"/>
      <c r="L370" s="1874"/>
      <c r="M370" s="1874"/>
      <c r="N370" s="1874"/>
      <c r="O370" s="1874"/>
      <c r="P370" s="1874"/>
      <c r="Q370" s="1874"/>
      <c r="R370" s="1874"/>
      <c r="S370" s="1874"/>
      <c r="T370" s="1874"/>
      <c r="U370" s="1814" t="e">
        <f>$AG$284</f>
        <v>#REF!</v>
      </c>
      <c r="V370" s="1814"/>
      <c r="W370" s="1814"/>
      <c r="X370" s="1814"/>
      <c r="Y370" s="1814"/>
      <c r="Z370" s="1814"/>
      <c r="AA370" s="1814"/>
      <c r="AB370" s="1814"/>
      <c r="AC370" s="1814" t="e">
        <f>$AQ$284+$AF$375</f>
        <v>#REF!</v>
      </c>
      <c r="AD370" s="1814"/>
      <c r="AE370" s="1814"/>
      <c r="AF370" s="1814"/>
      <c r="AG370" s="1814"/>
      <c r="AH370" s="1814"/>
      <c r="AI370" s="1814"/>
      <c r="AJ370" s="1814"/>
      <c r="AK370" s="1814" t="e">
        <f>$BA$284</f>
        <v>#REF!</v>
      </c>
      <c r="AL370" s="1814"/>
      <c r="AM370" s="1814"/>
      <c r="AN370" s="1814"/>
      <c r="AO370" s="1814"/>
      <c r="AP370" s="1814"/>
      <c r="AQ370" s="1814"/>
      <c r="AR370" s="1814"/>
      <c r="AS370" s="1797">
        <v>2.6</v>
      </c>
      <c r="AT370" s="1797"/>
      <c r="AU370" s="1797"/>
      <c r="AV370" s="1797"/>
      <c r="AW370" s="1797"/>
      <c r="AX370" s="1797"/>
      <c r="AY370" s="1797"/>
      <c r="AZ370" s="1797"/>
      <c r="BA370" s="1898" t="e">
        <f t="shared" si="30"/>
        <v>#REF!</v>
      </c>
      <c r="BB370" s="1898"/>
      <c r="BC370" s="1898"/>
      <c r="BD370" s="1898"/>
      <c r="BE370" s="1898"/>
      <c r="BF370" s="1898"/>
      <c r="BG370" s="1898"/>
      <c r="BH370" s="1898"/>
      <c r="BI370" s="1898" t="e">
        <f t="shared" si="31"/>
        <v>#REF!</v>
      </c>
      <c r="BJ370" s="1898"/>
      <c r="BK370" s="1898"/>
      <c r="BL370" s="1898"/>
      <c r="BM370" s="1898"/>
      <c r="BN370" s="1898"/>
      <c r="BO370" s="1898"/>
      <c r="BP370" s="1898"/>
      <c r="BQ370" s="1898" t="e">
        <f t="shared" si="32"/>
        <v>#REF!</v>
      </c>
      <c r="BR370" s="1898"/>
      <c r="BS370" s="1898"/>
      <c r="BT370" s="1898"/>
      <c r="BU370" s="1898"/>
      <c r="BV370" s="1898"/>
      <c r="BW370" s="1898"/>
      <c r="BX370" s="1898"/>
      <c r="BY370" s="1894" t="e">
        <f t="shared" si="33"/>
        <v>#REF!</v>
      </c>
      <c r="BZ370" s="1894"/>
      <c r="CA370" s="1894"/>
      <c r="CB370" s="1894"/>
      <c r="CC370" s="1894"/>
      <c r="CD370" s="1894"/>
      <c r="CE370" s="1894"/>
      <c r="CF370" s="1895"/>
    </row>
    <row r="371" spans="1:88" s="400" customFormat="1" ht="23.1" customHeight="1">
      <c r="E371" s="1995"/>
      <c r="F371" s="1990"/>
      <c r="G371" s="1990"/>
      <c r="H371" s="1990"/>
      <c r="I371" s="1990"/>
      <c r="J371" s="1926" t="s">
        <v>399</v>
      </c>
      <c r="K371" s="1926"/>
      <c r="L371" s="1926"/>
      <c r="M371" s="1926"/>
      <c r="N371" s="1926"/>
      <c r="O371" s="1926"/>
      <c r="P371" s="1926"/>
      <c r="Q371" s="1926"/>
      <c r="R371" s="1926"/>
      <c r="S371" s="1926"/>
      <c r="T371" s="1926"/>
      <c r="U371" s="1872" t="e">
        <f>$AG$285</f>
        <v>#REF!</v>
      </c>
      <c r="V371" s="1872"/>
      <c r="W371" s="1872"/>
      <c r="X371" s="1872"/>
      <c r="Y371" s="1872"/>
      <c r="Z371" s="1872"/>
      <c r="AA371" s="1872"/>
      <c r="AB371" s="1872"/>
      <c r="AC371" s="1872" t="e">
        <f>$AQ$285+$AF$375</f>
        <v>#REF!</v>
      </c>
      <c r="AD371" s="1872"/>
      <c r="AE371" s="1872"/>
      <c r="AF371" s="1872"/>
      <c r="AG371" s="1872"/>
      <c r="AH371" s="1872"/>
      <c r="AI371" s="1872"/>
      <c r="AJ371" s="1872"/>
      <c r="AK371" s="1872" t="e">
        <f>$BA$285</f>
        <v>#REF!</v>
      </c>
      <c r="AL371" s="1872"/>
      <c r="AM371" s="1872"/>
      <c r="AN371" s="1872"/>
      <c r="AO371" s="1872"/>
      <c r="AP371" s="1872"/>
      <c r="AQ371" s="1872"/>
      <c r="AR371" s="1872"/>
      <c r="AS371" s="1988">
        <v>3.6</v>
      </c>
      <c r="AT371" s="1988"/>
      <c r="AU371" s="1988"/>
      <c r="AV371" s="1988"/>
      <c r="AW371" s="1988"/>
      <c r="AX371" s="1988"/>
      <c r="AY371" s="1988"/>
      <c r="AZ371" s="1988"/>
      <c r="BA371" s="1969" t="e">
        <f t="shared" si="30"/>
        <v>#REF!</v>
      </c>
      <c r="BB371" s="1969"/>
      <c r="BC371" s="1969"/>
      <c r="BD371" s="1969"/>
      <c r="BE371" s="1969"/>
      <c r="BF371" s="1969"/>
      <c r="BG371" s="1969"/>
      <c r="BH371" s="1969"/>
      <c r="BI371" s="1969" t="e">
        <f t="shared" si="31"/>
        <v>#REF!</v>
      </c>
      <c r="BJ371" s="1969"/>
      <c r="BK371" s="1969"/>
      <c r="BL371" s="1969"/>
      <c r="BM371" s="1969"/>
      <c r="BN371" s="1969"/>
      <c r="BO371" s="1969"/>
      <c r="BP371" s="1969"/>
      <c r="BQ371" s="1969" t="e">
        <f t="shared" si="32"/>
        <v>#REF!</v>
      </c>
      <c r="BR371" s="1969"/>
      <c r="BS371" s="1969"/>
      <c r="BT371" s="1969"/>
      <c r="BU371" s="1969"/>
      <c r="BV371" s="1969"/>
      <c r="BW371" s="1969"/>
      <c r="BX371" s="1969"/>
      <c r="BY371" s="1971" t="e">
        <f t="shared" si="33"/>
        <v>#REF!</v>
      </c>
      <c r="BZ371" s="1971"/>
      <c r="CA371" s="1971"/>
      <c r="CB371" s="1971"/>
      <c r="CC371" s="1971"/>
      <c r="CD371" s="1971"/>
      <c r="CE371" s="1971"/>
      <c r="CF371" s="1972"/>
    </row>
    <row r="372" spans="1:88" s="400" customFormat="1" ht="23.1" customHeight="1">
      <c r="E372" s="1989" t="s">
        <v>507</v>
      </c>
      <c r="F372" s="1990"/>
      <c r="G372" s="1990"/>
      <c r="H372" s="1990"/>
      <c r="I372" s="1990"/>
      <c r="J372" s="1874" t="s">
        <v>359</v>
      </c>
      <c r="K372" s="1874"/>
      <c r="L372" s="1874"/>
      <c r="M372" s="1874"/>
      <c r="N372" s="1874"/>
      <c r="O372" s="1874"/>
      <c r="P372" s="1874"/>
      <c r="Q372" s="1874"/>
      <c r="R372" s="1874"/>
      <c r="S372" s="1874"/>
      <c r="T372" s="1874"/>
      <c r="U372" s="1814" t="e">
        <f>$AG$284</f>
        <v>#REF!</v>
      </c>
      <c r="V372" s="1814"/>
      <c r="W372" s="1814"/>
      <c r="X372" s="1814"/>
      <c r="Y372" s="1814"/>
      <c r="Z372" s="1814"/>
      <c r="AA372" s="1814"/>
      <c r="AB372" s="1814"/>
      <c r="AC372" s="1814" t="e">
        <f>$AQ$284+$AF$375</f>
        <v>#REF!</v>
      </c>
      <c r="AD372" s="1814"/>
      <c r="AE372" s="1814"/>
      <c r="AF372" s="1814"/>
      <c r="AG372" s="1814"/>
      <c r="AH372" s="1814"/>
      <c r="AI372" s="1814"/>
      <c r="AJ372" s="1814"/>
      <c r="AK372" s="1814" t="e">
        <f>$BA$284</f>
        <v>#REF!</v>
      </c>
      <c r="AL372" s="1814"/>
      <c r="AM372" s="1814"/>
      <c r="AN372" s="1814"/>
      <c r="AO372" s="1814"/>
      <c r="AP372" s="1814"/>
      <c r="AQ372" s="1814"/>
      <c r="AR372" s="1814"/>
      <c r="AS372" s="1797">
        <v>2.8</v>
      </c>
      <c r="AT372" s="1797"/>
      <c r="AU372" s="1797"/>
      <c r="AV372" s="1797"/>
      <c r="AW372" s="1797"/>
      <c r="AX372" s="1797"/>
      <c r="AY372" s="1797"/>
      <c r="AZ372" s="1797"/>
      <c r="BA372" s="1898" t="e">
        <f t="shared" si="30"/>
        <v>#REF!</v>
      </c>
      <c r="BB372" s="1898"/>
      <c r="BC372" s="1898"/>
      <c r="BD372" s="1898"/>
      <c r="BE372" s="1898"/>
      <c r="BF372" s="1898"/>
      <c r="BG372" s="1898"/>
      <c r="BH372" s="1898"/>
      <c r="BI372" s="1898" t="e">
        <f t="shared" si="31"/>
        <v>#REF!</v>
      </c>
      <c r="BJ372" s="1898"/>
      <c r="BK372" s="1898"/>
      <c r="BL372" s="1898"/>
      <c r="BM372" s="1898"/>
      <c r="BN372" s="1898"/>
      <c r="BO372" s="1898"/>
      <c r="BP372" s="1898"/>
      <c r="BQ372" s="1898" t="e">
        <f t="shared" si="32"/>
        <v>#REF!</v>
      </c>
      <c r="BR372" s="1898"/>
      <c r="BS372" s="1898"/>
      <c r="BT372" s="1898"/>
      <c r="BU372" s="1898"/>
      <c r="BV372" s="1898"/>
      <c r="BW372" s="1898"/>
      <c r="BX372" s="1898"/>
      <c r="BY372" s="1894" t="e">
        <f t="shared" si="33"/>
        <v>#REF!</v>
      </c>
      <c r="BZ372" s="1894"/>
      <c r="CA372" s="1894"/>
      <c r="CB372" s="1894"/>
      <c r="CC372" s="1894"/>
      <c r="CD372" s="1894"/>
      <c r="CE372" s="1894"/>
      <c r="CF372" s="1895"/>
    </row>
    <row r="373" spans="1:88" s="400" customFormat="1" ht="23.1" customHeight="1" thickBot="1">
      <c r="E373" s="1998"/>
      <c r="F373" s="1999"/>
      <c r="G373" s="1999"/>
      <c r="H373" s="1999"/>
      <c r="I373" s="1999"/>
      <c r="J373" s="1926" t="s">
        <v>399</v>
      </c>
      <c r="K373" s="1926"/>
      <c r="L373" s="1926"/>
      <c r="M373" s="1926"/>
      <c r="N373" s="1926"/>
      <c r="O373" s="1926"/>
      <c r="P373" s="1926"/>
      <c r="Q373" s="1926"/>
      <c r="R373" s="1926"/>
      <c r="S373" s="1926"/>
      <c r="T373" s="1926"/>
      <c r="U373" s="1872" t="e">
        <f>$AG$285</f>
        <v>#REF!</v>
      </c>
      <c r="V373" s="1872"/>
      <c r="W373" s="1872"/>
      <c r="X373" s="1872"/>
      <c r="Y373" s="1872"/>
      <c r="Z373" s="1872"/>
      <c r="AA373" s="1872"/>
      <c r="AB373" s="1872"/>
      <c r="AC373" s="1872" t="e">
        <f>$AQ$285+$AF$375</f>
        <v>#REF!</v>
      </c>
      <c r="AD373" s="1872"/>
      <c r="AE373" s="1872"/>
      <c r="AF373" s="1872"/>
      <c r="AG373" s="1872"/>
      <c r="AH373" s="1872"/>
      <c r="AI373" s="1872"/>
      <c r="AJ373" s="1872"/>
      <c r="AK373" s="1872" t="e">
        <f>$BA$285</f>
        <v>#REF!</v>
      </c>
      <c r="AL373" s="1872"/>
      <c r="AM373" s="1872"/>
      <c r="AN373" s="1872"/>
      <c r="AO373" s="1872"/>
      <c r="AP373" s="1872"/>
      <c r="AQ373" s="1872"/>
      <c r="AR373" s="1872"/>
      <c r="AS373" s="1988">
        <v>3.9</v>
      </c>
      <c r="AT373" s="1988"/>
      <c r="AU373" s="1988"/>
      <c r="AV373" s="1988"/>
      <c r="AW373" s="1988"/>
      <c r="AX373" s="1988"/>
      <c r="AY373" s="1988"/>
      <c r="AZ373" s="1988"/>
      <c r="BA373" s="1969" t="e">
        <f t="shared" si="30"/>
        <v>#REF!</v>
      </c>
      <c r="BB373" s="1969"/>
      <c r="BC373" s="1969"/>
      <c r="BD373" s="1969"/>
      <c r="BE373" s="1969"/>
      <c r="BF373" s="1969"/>
      <c r="BG373" s="1969"/>
      <c r="BH373" s="1969"/>
      <c r="BI373" s="1969" t="e">
        <f t="shared" si="31"/>
        <v>#REF!</v>
      </c>
      <c r="BJ373" s="1969"/>
      <c r="BK373" s="1969"/>
      <c r="BL373" s="1969"/>
      <c r="BM373" s="1969"/>
      <c r="BN373" s="1969"/>
      <c r="BO373" s="1969"/>
      <c r="BP373" s="1969"/>
      <c r="BQ373" s="1969" t="e">
        <f t="shared" si="32"/>
        <v>#REF!</v>
      </c>
      <c r="BR373" s="1969"/>
      <c r="BS373" s="1969"/>
      <c r="BT373" s="1969"/>
      <c r="BU373" s="1969"/>
      <c r="BV373" s="1969"/>
      <c r="BW373" s="1969"/>
      <c r="BX373" s="1969"/>
      <c r="BY373" s="1971" t="e">
        <f t="shared" si="33"/>
        <v>#REF!</v>
      </c>
      <c r="BZ373" s="1971"/>
      <c r="CA373" s="1971"/>
      <c r="CB373" s="1971"/>
      <c r="CC373" s="1971"/>
      <c r="CD373" s="1971"/>
      <c r="CE373" s="1971"/>
      <c r="CF373" s="1972"/>
    </row>
    <row r="374" spans="1:88" s="400" customFormat="1" ht="23.1" customHeight="1">
      <c r="D374" s="403"/>
      <c r="E374" s="406"/>
      <c r="F374" s="406"/>
      <c r="G374" s="407" t="s">
        <v>475</v>
      </c>
      <c r="H374" s="406"/>
      <c r="I374" s="406"/>
      <c r="J374" s="406"/>
      <c r="K374" s="406"/>
      <c r="L374" s="406"/>
      <c r="M374" s="406"/>
      <c r="N374" s="406"/>
      <c r="O374" s="406"/>
      <c r="P374" s="406"/>
      <c r="Q374" s="406"/>
      <c r="R374" s="406"/>
      <c r="S374" s="406"/>
      <c r="T374" s="406"/>
      <c r="U374" s="406"/>
      <c r="V374" s="406"/>
      <c r="W374" s="406"/>
      <c r="X374" s="406"/>
      <c r="Y374" s="406"/>
      <c r="Z374" s="406"/>
      <c r="AA374" s="406"/>
      <c r="AB374" s="406"/>
      <c r="AC374" s="406"/>
      <c r="AD374" s="406"/>
      <c r="AE374" s="406"/>
      <c r="AF374" s="406"/>
      <c r="AG374" s="406"/>
      <c r="AH374" s="406"/>
      <c r="AI374" s="406"/>
      <c r="AJ374" s="406"/>
      <c r="AK374" s="406"/>
      <c r="AL374" s="406"/>
      <c r="AM374" s="406"/>
      <c r="AN374" s="406"/>
      <c r="AO374" s="406"/>
      <c r="AP374" s="406"/>
      <c r="AQ374" s="406"/>
      <c r="AR374" s="406"/>
      <c r="AS374" s="406"/>
      <c r="AT374" s="406"/>
      <c r="AU374" s="406"/>
      <c r="AV374" s="406"/>
      <c r="AW374" s="406"/>
      <c r="AX374" s="406"/>
      <c r="AY374" s="406"/>
      <c r="AZ374" s="406"/>
      <c r="BA374" s="406"/>
      <c r="BB374" s="406"/>
      <c r="BC374" s="406"/>
      <c r="BD374" s="406"/>
      <c r="BE374" s="406"/>
      <c r="BF374" s="406"/>
      <c r="BG374" s="406"/>
      <c r="BH374" s="406"/>
      <c r="BI374" s="406"/>
      <c r="BJ374" s="406"/>
      <c r="BK374" s="406"/>
      <c r="BL374" s="406"/>
      <c r="BM374" s="406"/>
      <c r="BN374" s="406"/>
      <c r="BO374" s="406"/>
      <c r="BP374" s="406"/>
      <c r="BQ374" s="406"/>
      <c r="BR374" s="406"/>
      <c r="BS374" s="406"/>
      <c r="BT374" s="426"/>
      <c r="BU374" s="426"/>
      <c r="BV374" s="426"/>
      <c r="BW374" s="426"/>
      <c r="BX374" s="426"/>
      <c r="BY374" s="426"/>
      <c r="BZ374" s="426"/>
      <c r="CA374" s="426"/>
      <c r="CB374" s="426"/>
      <c r="CC374" s="426"/>
      <c r="CD374" s="406"/>
      <c r="CE374" s="406"/>
      <c r="CF374" s="406"/>
    </row>
    <row r="375" spans="1:88" s="402" customFormat="1" ht="23.1" customHeight="1">
      <c r="I375" s="402" t="s">
        <v>476</v>
      </c>
      <c r="Q375" s="425"/>
      <c r="R375" s="1993">
        <f>[53]노임단가!$T$5</f>
        <v>172068</v>
      </c>
      <c r="S375" s="1993"/>
      <c r="T375" s="1993"/>
      <c r="U375" s="1993"/>
      <c r="V375" s="1993"/>
      <c r="W375" s="1993"/>
      <c r="X375" s="1993"/>
      <c r="Y375" s="1993"/>
      <c r="Z375" s="1994" t="s">
        <v>477</v>
      </c>
      <c r="AA375" s="1994"/>
      <c r="AB375" s="1994">
        <v>8</v>
      </c>
      <c r="AC375" s="1994"/>
      <c r="AD375" s="1994" t="s">
        <v>41</v>
      </c>
      <c r="AE375" s="1994"/>
      <c r="AF375" s="1993">
        <f>INT(R375/AB375)</f>
        <v>21508</v>
      </c>
      <c r="AG375" s="1993"/>
      <c r="AH375" s="1993"/>
      <c r="AI375" s="1993"/>
      <c r="AJ375" s="1993"/>
      <c r="AK375" s="1993"/>
      <c r="AL375" s="1993"/>
      <c r="AM375" s="1993"/>
      <c r="AN375" s="402" t="s">
        <v>478</v>
      </c>
      <c r="BT375" s="424"/>
      <c r="BU375" s="424"/>
      <c r="BV375" s="424"/>
      <c r="BW375" s="424"/>
      <c r="BX375" s="424"/>
      <c r="BY375" s="424"/>
      <c r="BZ375" s="424"/>
      <c r="CA375" s="424"/>
      <c r="CB375" s="424"/>
      <c r="CC375" s="424"/>
      <c r="CJ375" s="400"/>
    </row>
    <row r="376" spans="1:88" s="402" customFormat="1" ht="23.1" customHeight="1">
      <c r="D376" s="423"/>
      <c r="AR376" s="422"/>
      <c r="AS376" s="422"/>
      <c r="AT376" s="422"/>
      <c r="AU376" s="422"/>
      <c r="AV376" s="422"/>
      <c r="AW376" s="422"/>
      <c r="AX376" s="422"/>
      <c r="AY376" s="422"/>
      <c r="AZ376" s="422"/>
      <c r="BA376" s="422"/>
      <c r="BB376" s="422"/>
      <c r="BT376" s="422"/>
      <c r="BU376" s="422"/>
      <c r="BV376" s="422"/>
      <c r="BW376" s="422"/>
      <c r="BX376" s="422"/>
      <c r="BY376" s="422"/>
      <c r="BZ376" s="422"/>
      <c r="CA376" s="422"/>
      <c r="CB376" s="422"/>
      <c r="CC376" s="422"/>
      <c r="CJ376" s="400"/>
    </row>
    <row r="377" spans="1:88" s="419" customFormat="1" ht="23.1" customHeight="1">
      <c r="A377" s="420"/>
      <c r="B377" s="421" t="s">
        <v>508</v>
      </c>
      <c r="C377" s="420"/>
      <c r="D377" s="420"/>
      <c r="E377" s="420"/>
      <c r="F377" s="420"/>
      <c r="G377" s="420"/>
      <c r="H377" s="420"/>
      <c r="I377" s="420"/>
      <c r="J377" s="420"/>
      <c r="K377" s="420"/>
      <c r="L377" s="420"/>
      <c r="M377" s="420"/>
      <c r="N377" s="420"/>
      <c r="O377" s="420"/>
      <c r="P377" s="420"/>
      <c r="Q377" s="420"/>
      <c r="R377" s="420"/>
      <c r="S377" s="420"/>
      <c r="T377" s="420"/>
      <c r="U377" s="420"/>
      <c r="V377" s="420"/>
      <c r="W377" s="420"/>
      <c r="X377" s="420"/>
      <c r="Y377" s="420"/>
      <c r="Z377" s="420"/>
      <c r="AA377" s="420"/>
      <c r="AB377" s="420"/>
      <c r="AC377" s="420"/>
      <c r="AD377" s="420"/>
      <c r="AE377" s="420"/>
      <c r="AF377" s="420"/>
      <c r="AG377" s="420"/>
      <c r="AH377" s="420"/>
      <c r="AI377" s="420"/>
      <c r="AJ377" s="420"/>
      <c r="AK377" s="420"/>
      <c r="AL377" s="420"/>
      <c r="AM377" s="420"/>
      <c r="AN377" s="420"/>
      <c r="AO377" s="420"/>
      <c r="AP377" s="420"/>
      <c r="AQ377" s="420"/>
      <c r="AR377" s="420"/>
      <c r="AS377" s="420"/>
      <c r="AT377" s="420"/>
      <c r="AU377" s="420"/>
      <c r="BM377" s="420"/>
      <c r="BN377" s="420"/>
      <c r="BO377" s="420"/>
      <c r="BP377" s="420"/>
      <c r="BQ377" s="420"/>
      <c r="BR377" s="420"/>
      <c r="BS377" s="420"/>
      <c r="BT377" s="420"/>
      <c r="BU377" s="420"/>
      <c r="BV377" s="420"/>
      <c r="BW377" s="420"/>
      <c r="BX377" s="420"/>
      <c r="BY377" s="420"/>
      <c r="BZ377" s="420"/>
      <c r="CA377" s="420"/>
      <c r="CB377" s="420"/>
      <c r="CC377" s="420"/>
      <c r="CD377" s="420"/>
      <c r="CE377" s="420"/>
      <c r="CF377" s="420"/>
      <c r="CJ377" s="400" t="s">
        <v>729</v>
      </c>
    </row>
    <row r="378" spans="1:88" s="400" customFormat="1" ht="9.9499999999999993" customHeight="1">
      <c r="A378" s="402"/>
      <c r="B378" s="402"/>
      <c r="C378" s="402"/>
      <c r="D378" s="402"/>
      <c r="E378" s="402"/>
      <c r="F378" s="402"/>
      <c r="G378" s="402"/>
      <c r="H378" s="402"/>
      <c r="I378" s="402"/>
      <c r="J378" s="402"/>
      <c r="K378" s="402"/>
      <c r="L378" s="402"/>
      <c r="M378" s="402"/>
      <c r="N378" s="402"/>
      <c r="O378" s="402"/>
      <c r="P378" s="402"/>
      <c r="Q378" s="402"/>
      <c r="R378" s="402"/>
      <c r="S378" s="402"/>
      <c r="T378" s="402"/>
      <c r="U378" s="402"/>
      <c r="V378" s="402"/>
      <c r="W378" s="402"/>
      <c r="X378" s="402"/>
      <c r="Y378" s="402"/>
      <c r="Z378" s="402"/>
      <c r="AA378" s="402"/>
      <c r="AB378" s="402"/>
      <c r="AC378" s="402"/>
      <c r="AD378" s="402"/>
      <c r="AE378" s="402"/>
      <c r="AF378" s="402"/>
      <c r="AG378" s="402"/>
      <c r="AH378" s="402"/>
      <c r="AI378" s="402"/>
      <c r="AJ378" s="402"/>
      <c r="AK378" s="402"/>
      <c r="AL378" s="402"/>
      <c r="AM378" s="402"/>
      <c r="AN378" s="402"/>
      <c r="AO378" s="402"/>
      <c r="AP378" s="402"/>
      <c r="AQ378" s="402"/>
      <c r="AR378" s="402"/>
      <c r="AS378" s="402"/>
      <c r="AT378" s="402"/>
      <c r="AU378" s="402"/>
      <c r="AV378" s="402"/>
      <c r="AW378" s="402"/>
      <c r="AX378" s="402"/>
      <c r="AY378" s="402"/>
      <c r="AZ378" s="402"/>
      <c r="BA378" s="402"/>
      <c r="BB378" s="402"/>
      <c r="BC378" s="402"/>
      <c r="BD378" s="402"/>
      <c r="BE378" s="402"/>
      <c r="BF378" s="402"/>
      <c r="BG378" s="402"/>
      <c r="BH378" s="402"/>
      <c r="BI378" s="402"/>
      <c r="BJ378" s="402"/>
      <c r="BK378" s="402"/>
      <c r="BL378" s="402"/>
      <c r="BM378" s="402"/>
      <c r="BN378" s="402"/>
      <c r="BO378" s="402"/>
      <c r="BP378" s="402"/>
      <c r="BQ378" s="402"/>
      <c r="BR378" s="402"/>
      <c r="BS378" s="402"/>
      <c r="BT378" s="418"/>
      <c r="BU378" s="418"/>
      <c r="BV378" s="418"/>
      <c r="BW378" s="418"/>
      <c r="BX378" s="418"/>
      <c r="BY378" s="418"/>
      <c r="BZ378" s="418"/>
      <c r="CA378" s="418"/>
      <c r="CB378" s="418"/>
      <c r="CC378" s="418"/>
      <c r="CD378" s="402"/>
      <c r="CE378" s="402"/>
      <c r="CF378" s="402"/>
    </row>
    <row r="379" spans="1:88" s="400" customFormat="1" ht="23.1" customHeight="1">
      <c r="E379" s="400" t="s">
        <v>504</v>
      </c>
      <c r="BT379" s="414"/>
      <c r="BU379" s="414"/>
      <c r="BV379" s="414"/>
      <c r="BW379" s="414"/>
      <c r="BX379" s="414"/>
      <c r="BY379" s="414"/>
      <c r="BZ379" s="414"/>
      <c r="CA379" s="414"/>
      <c r="CB379" s="414"/>
      <c r="CC379" s="414"/>
    </row>
    <row r="380" spans="1:88" s="400" customFormat="1" ht="9.9499999999999993" customHeight="1" thickBot="1">
      <c r="D380" s="405"/>
      <c r="Q380" s="409"/>
      <c r="R380" s="409"/>
      <c r="S380" s="409"/>
      <c r="T380" s="409"/>
      <c r="U380" s="409"/>
      <c r="V380" s="409"/>
      <c r="W380" s="409"/>
      <c r="X380" s="409"/>
      <c r="Y380" s="409"/>
      <c r="Z380" s="409"/>
      <c r="AA380" s="409"/>
      <c r="AB380" s="409"/>
      <c r="AV380" s="408"/>
      <c r="AW380" s="408"/>
      <c r="AX380" s="408"/>
      <c r="AY380" s="408"/>
      <c r="AZ380" s="408"/>
      <c r="BA380" s="408"/>
      <c r="BB380" s="408"/>
      <c r="BC380" s="408"/>
      <c r="BD380" s="408"/>
      <c r="BE380" s="404"/>
      <c r="BF380" s="404"/>
      <c r="BG380" s="404"/>
      <c r="BH380" s="404"/>
      <c r="BI380" s="404"/>
      <c r="BJ380" s="404"/>
      <c r="BK380" s="404"/>
      <c r="BL380" s="404"/>
      <c r="BM380" s="404"/>
      <c r="BN380" s="404"/>
      <c r="BO380" s="404"/>
      <c r="BP380" s="404"/>
      <c r="BQ380" s="404"/>
      <c r="BR380" s="404"/>
      <c r="BS380" s="404"/>
      <c r="BT380" s="404"/>
      <c r="BU380" s="404"/>
      <c r="BV380" s="404"/>
      <c r="BW380" s="404"/>
      <c r="BX380" s="404"/>
      <c r="BY380" s="404"/>
      <c r="BZ380" s="404"/>
      <c r="CA380" s="404"/>
      <c r="CB380" s="404"/>
      <c r="CC380" s="404"/>
      <c r="CD380" s="404"/>
      <c r="CE380" s="404"/>
      <c r="CF380" s="404"/>
    </row>
    <row r="381" spans="1:88" s="400" customFormat="1" ht="23.1" customHeight="1">
      <c r="A381" s="402"/>
      <c r="B381" s="402"/>
      <c r="C381" s="402"/>
      <c r="D381" s="402"/>
      <c r="E381" s="1831" t="s">
        <v>369</v>
      </c>
      <c r="F381" s="1800"/>
      <c r="G381" s="1800"/>
      <c r="H381" s="1800"/>
      <c r="I381" s="1800"/>
      <c r="J381" s="1800"/>
      <c r="K381" s="1800"/>
      <c r="L381" s="1800"/>
      <c r="M381" s="1800"/>
      <c r="N381" s="1800"/>
      <c r="O381" s="1800"/>
      <c r="P381" s="1800"/>
      <c r="Q381" s="1800"/>
      <c r="R381" s="1800"/>
      <c r="S381" s="1800"/>
      <c r="T381" s="1800"/>
      <c r="U381" s="1800" t="s">
        <v>403</v>
      </c>
      <c r="V381" s="1800"/>
      <c r="W381" s="1800"/>
      <c r="X381" s="1800"/>
      <c r="Y381" s="1800"/>
      <c r="Z381" s="1800"/>
      <c r="AA381" s="1800"/>
      <c r="AB381" s="1800"/>
      <c r="AC381" s="1800"/>
      <c r="AD381" s="1800"/>
      <c r="AE381" s="1800"/>
      <c r="AF381" s="1800"/>
      <c r="AG381" s="1800"/>
      <c r="AH381" s="1800"/>
      <c r="AI381" s="1800"/>
      <c r="AJ381" s="1800"/>
      <c r="AK381" s="1800"/>
      <c r="AL381" s="1800"/>
      <c r="AM381" s="1800"/>
      <c r="AN381" s="1800"/>
      <c r="AO381" s="1800"/>
      <c r="AP381" s="1800"/>
      <c r="AQ381" s="1800"/>
      <c r="AR381" s="1800"/>
      <c r="AS381" s="1833" t="s">
        <v>404</v>
      </c>
      <c r="AT381" s="1800"/>
      <c r="AU381" s="1800"/>
      <c r="AV381" s="1800"/>
      <c r="AW381" s="1800"/>
      <c r="AX381" s="1800"/>
      <c r="AY381" s="1800"/>
      <c r="AZ381" s="1800"/>
      <c r="BA381" s="1800" t="s">
        <v>405</v>
      </c>
      <c r="BB381" s="1800"/>
      <c r="BC381" s="1800"/>
      <c r="BD381" s="1800"/>
      <c r="BE381" s="1800"/>
      <c r="BF381" s="1800"/>
      <c r="BG381" s="1800"/>
      <c r="BH381" s="1800"/>
      <c r="BI381" s="1800"/>
      <c r="BJ381" s="1800"/>
      <c r="BK381" s="1800"/>
      <c r="BL381" s="1800"/>
      <c r="BM381" s="1800"/>
      <c r="BN381" s="1800"/>
      <c r="BO381" s="1800"/>
      <c r="BP381" s="1800"/>
      <c r="BQ381" s="1800"/>
      <c r="BR381" s="1800"/>
      <c r="BS381" s="1800"/>
      <c r="BT381" s="1800"/>
      <c r="BU381" s="1800"/>
      <c r="BV381" s="1800"/>
      <c r="BW381" s="1800"/>
      <c r="BX381" s="1800"/>
      <c r="BY381" s="1800"/>
      <c r="BZ381" s="1800"/>
      <c r="CA381" s="1800"/>
      <c r="CB381" s="1800"/>
      <c r="CC381" s="1800"/>
      <c r="CD381" s="1800"/>
      <c r="CE381" s="1800"/>
      <c r="CF381" s="1801"/>
    </row>
    <row r="382" spans="1:88" s="400" customFormat="1" ht="23.1" customHeight="1" thickBot="1">
      <c r="D382" s="405"/>
      <c r="E382" s="1832"/>
      <c r="F382" s="1786"/>
      <c r="G382" s="1786"/>
      <c r="H382" s="1786"/>
      <c r="I382" s="1786"/>
      <c r="J382" s="1786"/>
      <c r="K382" s="1786"/>
      <c r="L382" s="1786"/>
      <c r="M382" s="1786"/>
      <c r="N382" s="1786"/>
      <c r="O382" s="1786"/>
      <c r="P382" s="1786"/>
      <c r="Q382" s="1786"/>
      <c r="R382" s="1786"/>
      <c r="S382" s="1786"/>
      <c r="T382" s="1786"/>
      <c r="U382" s="1786" t="s">
        <v>406</v>
      </c>
      <c r="V382" s="1786"/>
      <c r="W382" s="1786"/>
      <c r="X382" s="1786"/>
      <c r="Y382" s="1786"/>
      <c r="Z382" s="1786"/>
      <c r="AA382" s="1786"/>
      <c r="AB382" s="1786"/>
      <c r="AC382" s="1786" t="s">
        <v>407</v>
      </c>
      <c r="AD382" s="1786"/>
      <c r="AE382" s="1786"/>
      <c r="AF382" s="1786"/>
      <c r="AG382" s="1786"/>
      <c r="AH382" s="1786"/>
      <c r="AI382" s="1786"/>
      <c r="AJ382" s="1786"/>
      <c r="AK382" s="1786" t="s">
        <v>408</v>
      </c>
      <c r="AL382" s="1786"/>
      <c r="AM382" s="1786"/>
      <c r="AN382" s="1786"/>
      <c r="AO382" s="1786"/>
      <c r="AP382" s="1786"/>
      <c r="AQ382" s="1786"/>
      <c r="AR382" s="1786"/>
      <c r="AS382" s="1786"/>
      <c r="AT382" s="1786"/>
      <c r="AU382" s="1786"/>
      <c r="AV382" s="1786"/>
      <c r="AW382" s="1786"/>
      <c r="AX382" s="1786"/>
      <c r="AY382" s="1786"/>
      <c r="AZ382" s="1786"/>
      <c r="BA382" s="1786" t="s">
        <v>406</v>
      </c>
      <c r="BB382" s="1786"/>
      <c r="BC382" s="1786"/>
      <c r="BD382" s="1786"/>
      <c r="BE382" s="1786"/>
      <c r="BF382" s="1786"/>
      <c r="BG382" s="1786"/>
      <c r="BH382" s="1786"/>
      <c r="BI382" s="1786" t="s">
        <v>407</v>
      </c>
      <c r="BJ382" s="1786"/>
      <c r="BK382" s="1786"/>
      <c r="BL382" s="1786"/>
      <c r="BM382" s="1786"/>
      <c r="BN382" s="1786"/>
      <c r="BO382" s="1786"/>
      <c r="BP382" s="1786"/>
      <c r="BQ382" s="1786" t="s">
        <v>423</v>
      </c>
      <c r="BR382" s="1786"/>
      <c r="BS382" s="1786"/>
      <c r="BT382" s="1786"/>
      <c r="BU382" s="1786"/>
      <c r="BV382" s="1786"/>
      <c r="BW382" s="1786"/>
      <c r="BX382" s="1786"/>
      <c r="BY382" s="1786" t="s">
        <v>424</v>
      </c>
      <c r="BZ382" s="1786"/>
      <c r="CA382" s="1786"/>
      <c r="CB382" s="1786"/>
      <c r="CC382" s="1786"/>
      <c r="CD382" s="1786"/>
      <c r="CE382" s="1786"/>
      <c r="CF382" s="1787"/>
    </row>
    <row r="383" spans="1:88" s="400" customFormat="1" ht="23.1" customHeight="1" thickTop="1">
      <c r="A383" s="402"/>
      <c r="B383" s="402"/>
      <c r="C383" s="402"/>
      <c r="D383" s="402"/>
      <c r="E383" s="1989" t="s">
        <v>509</v>
      </c>
      <c r="F383" s="1990"/>
      <c r="G383" s="1990"/>
      <c r="H383" s="1990"/>
      <c r="I383" s="1990"/>
      <c r="J383" s="1874" t="s">
        <v>359</v>
      </c>
      <c r="K383" s="1874"/>
      <c r="L383" s="1874"/>
      <c r="M383" s="1874"/>
      <c r="N383" s="1874"/>
      <c r="O383" s="1874"/>
      <c r="P383" s="1874"/>
      <c r="Q383" s="1874"/>
      <c r="R383" s="1874"/>
      <c r="S383" s="1874"/>
      <c r="T383" s="1874"/>
      <c r="U383" s="1814" t="e">
        <f>$AG$284</f>
        <v>#REF!</v>
      </c>
      <c r="V383" s="1814"/>
      <c r="W383" s="1814"/>
      <c r="X383" s="1814"/>
      <c r="Y383" s="1814"/>
      <c r="Z383" s="1814"/>
      <c r="AA383" s="1814"/>
      <c r="AB383" s="1814"/>
      <c r="AC383" s="1814" t="e">
        <f>$AQ$284+$AF$375</f>
        <v>#REF!</v>
      </c>
      <c r="AD383" s="1814"/>
      <c r="AE383" s="1814"/>
      <c r="AF383" s="1814"/>
      <c r="AG383" s="1814"/>
      <c r="AH383" s="1814"/>
      <c r="AI383" s="1814"/>
      <c r="AJ383" s="1814"/>
      <c r="AK383" s="1814" t="e">
        <f>$BA$284</f>
        <v>#REF!</v>
      </c>
      <c r="AL383" s="1814"/>
      <c r="AM383" s="1814"/>
      <c r="AN383" s="1814"/>
      <c r="AO383" s="1814"/>
      <c r="AP383" s="1814"/>
      <c r="AQ383" s="1814"/>
      <c r="AR383" s="1814"/>
      <c r="AS383" s="1797">
        <v>1.6</v>
      </c>
      <c r="AT383" s="1797"/>
      <c r="AU383" s="1797"/>
      <c r="AV383" s="1797"/>
      <c r="AW383" s="1797"/>
      <c r="AX383" s="1797"/>
      <c r="AY383" s="1797"/>
      <c r="AZ383" s="1797"/>
      <c r="BA383" s="1898" t="e">
        <f t="shared" ref="BA383:BA388" si="34">INT(U383/$AS383)</f>
        <v>#REF!</v>
      </c>
      <c r="BB383" s="1898"/>
      <c r="BC383" s="1898"/>
      <c r="BD383" s="1898"/>
      <c r="BE383" s="1898"/>
      <c r="BF383" s="1898"/>
      <c r="BG383" s="1898"/>
      <c r="BH383" s="1898"/>
      <c r="BI383" s="1898" t="e">
        <f t="shared" ref="BI383:BI388" si="35">INT(AC383/$AS383)</f>
        <v>#REF!</v>
      </c>
      <c r="BJ383" s="1898"/>
      <c r="BK383" s="1898"/>
      <c r="BL383" s="1898"/>
      <c r="BM383" s="1898"/>
      <c r="BN383" s="1898"/>
      <c r="BO383" s="1898"/>
      <c r="BP383" s="1898"/>
      <c r="BQ383" s="1898" t="e">
        <f t="shared" ref="BQ383:BQ388" si="36">INT(AK383/$AS383)</f>
        <v>#REF!</v>
      </c>
      <c r="BR383" s="1898"/>
      <c r="BS383" s="1898"/>
      <c r="BT383" s="1898"/>
      <c r="BU383" s="1898"/>
      <c r="BV383" s="1898"/>
      <c r="BW383" s="1898"/>
      <c r="BX383" s="1898"/>
      <c r="BY383" s="1894" t="e">
        <f t="shared" ref="BY383:BY388" si="37">BA383+BI383+BQ383</f>
        <v>#REF!</v>
      </c>
      <c r="BZ383" s="1894"/>
      <c r="CA383" s="1894"/>
      <c r="CB383" s="1894"/>
      <c r="CC383" s="1894"/>
      <c r="CD383" s="1894"/>
      <c r="CE383" s="1894"/>
      <c r="CF383" s="1895"/>
    </row>
    <row r="384" spans="1:88" s="400" customFormat="1" ht="23.1" customHeight="1">
      <c r="E384" s="1995"/>
      <c r="F384" s="1990"/>
      <c r="G384" s="1990"/>
      <c r="H384" s="1990"/>
      <c r="I384" s="1990"/>
      <c r="J384" s="1874" t="s">
        <v>399</v>
      </c>
      <c r="K384" s="1874"/>
      <c r="L384" s="1874"/>
      <c r="M384" s="1874"/>
      <c r="N384" s="1874"/>
      <c r="O384" s="1874"/>
      <c r="P384" s="1874"/>
      <c r="Q384" s="1874"/>
      <c r="R384" s="1874"/>
      <c r="S384" s="1874"/>
      <c r="T384" s="1874"/>
      <c r="U384" s="1872" t="e">
        <f>$AG$285</f>
        <v>#REF!</v>
      </c>
      <c r="V384" s="1872"/>
      <c r="W384" s="1872"/>
      <c r="X384" s="1872"/>
      <c r="Y384" s="1872"/>
      <c r="Z384" s="1872"/>
      <c r="AA384" s="1872"/>
      <c r="AB384" s="1872"/>
      <c r="AC384" s="1872" t="e">
        <f>$AQ$285+$AF$375</f>
        <v>#REF!</v>
      </c>
      <c r="AD384" s="1872"/>
      <c r="AE384" s="1872"/>
      <c r="AF384" s="1872"/>
      <c r="AG384" s="1872"/>
      <c r="AH384" s="1872"/>
      <c r="AI384" s="1872"/>
      <c r="AJ384" s="1872"/>
      <c r="AK384" s="1872" t="e">
        <f>$BA$285</f>
        <v>#REF!</v>
      </c>
      <c r="AL384" s="1872"/>
      <c r="AM384" s="1872"/>
      <c r="AN384" s="1872"/>
      <c r="AO384" s="1872"/>
      <c r="AP384" s="1872"/>
      <c r="AQ384" s="1872"/>
      <c r="AR384" s="1872"/>
      <c r="AS384" s="1797">
        <v>2.4500000000000002</v>
      </c>
      <c r="AT384" s="1797"/>
      <c r="AU384" s="1797"/>
      <c r="AV384" s="1797"/>
      <c r="AW384" s="1797"/>
      <c r="AX384" s="1797"/>
      <c r="AY384" s="1797"/>
      <c r="AZ384" s="1797"/>
      <c r="BA384" s="1898" t="e">
        <f t="shared" si="34"/>
        <v>#REF!</v>
      </c>
      <c r="BB384" s="1898"/>
      <c r="BC384" s="1898"/>
      <c r="BD384" s="1898"/>
      <c r="BE384" s="1898"/>
      <c r="BF384" s="1898"/>
      <c r="BG384" s="1898"/>
      <c r="BH384" s="1898"/>
      <c r="BI384" s="1898" t="e">
        <f t="shared" si="35"/>
        <v>#REF!</v>
      </c>
      <c r="BJ384" s="1898"/>
      <c r="BK384" s="1898"/>
      <c r="BL384" s="1898"/>
      <c r="BM384" s="1898"/>
      <c r="BN384" s="1898"/>
      <c r="BO384" s="1898"/>
      <c r="BP384" s="1898"/>
      <c r="BQ384" s="1898" t="e">
        <f t="shared" si="36"/>
        <v>#REF!</v>
      </c>
      <c r="BR384" s="1898"/>
      <c r="BS384" s="1898"/>
      <c r="BT384" s="1898"/>
      <c r="BU384" s="1898"/>
      <c r="BV384" s="1898"/>
      <c r="BW384" s="1898"/>
      <c r="BX384" s="1898"/>
      <c r="BY384" s="1894" t="e">
        <f t="shared" si="37"/>
        <v>#REF!</v>
      </c>
      <c r="BZ384" s="1894"/>
      <c r="CA384" s="1894"/>
      <c r="CB384" s="1894"/>
      <c r="CC384" s="1894"/>
      <c r="CD384" s="1894"/>
      <c r="CE384" s="1894"/>
      <c r="CF384" s="1895"/>
    </row>
    <row r="385" spans="1:88" s="400" customFormat="1" ht="23.1" customHeight="1">
      <c r="E385" s="1989" t="s">
        <v>506</v>
      </c>
      <c r="F385" s="1990"/>
      <c r="G385" s="1990"/>
      <c r="H385" s="1990"/>
      <c r="I385" s="1990"/>
      <c r="J385" s="1874" t="s">
        <v>359</v>
      </c>
      <c r="K385" s="1874"/>
      <c r="L385" s="1874"/>
      <c r="M385" s="1874"/>
      <c r="N385" s="1874"/>
      <c r="O385" s="1874"/>
      <c r="P385" s="1874"/>
      <c r="Q385" s="1874"/>
      <c r="R385" s="1874"/>
      <c r="S385" s="1874"/>
      <c r="T385" s="1874"/>
      <c r="U385" s="1814" t="e">
        <f>$AG$284</f>
        <v>#REF!</v>
      </c>
      <c r="V385" s="1814"/>
      <c r="W385" s="1814"/>
      <c r="X385" s="1814"/>
      <c r="Y385" s="1814"/>
      <c r="Z385" s="1814"/>
      <c r="AA385" s="1814"/>
      <c r="AB385" s="1814"/>
      <c r="AC385" s="1814" t="e">
        <f>$AQ$284+$AF$375</f>
        <v>#REF!</v>
      </c>
      <c r="AD385" s="1814"/>
      <c r="AE385" s="1814"/>
      <c r="AF385" s="1814"/>
      <c r="AG385" s="1814"/>
      <c r="AH385" s="1814"/>
      <c r="AI385" s="1814"/>
      <c r="AJ385" s="1814"/>
      <c r="AK385" s="1814" t="e">
        <f>$BA$284</f>
        <v>#REF!</v>
      </c>
      <c r="AL385" s="1814"/>
      <c r="AM385" s="1814"/>
      <c r="AN385" s="1814"/>
      <c r="AO385" s="1814"/>
      <c r="AP385" s="1814"/>
      <c r="AQ385" s="1814"/>
      <c r="AR385" s="1814"/>
      <c r="AS385" s="1797">
        <v>1.4</v>
      </c>
      <c r="AT385" s="1797"/>
      <c r="AU385" s="1797"/>
      <c r="AV385" s="1797"/>
      <c r="AW385" s="1797"/>
      <c r="AX385" s="1797"/>
      <c r="AY385" s="1797"/>
      <c r="AZ385" s="1797"/>
      <c r="BA385" s="1898" t="e">
        <f t="shared" si="34"/>
        <v>#REF!</v>
      </c>
      <c r="BB385" s="1898"/>
      <c r="BC385" s="1898"/>
      <c r="BD385" s="1898"/>
      <c r="BE385" s="1898"/>
      <c r="BF385" s="1898"/>
      <c r="BG385" s="1898"/>
      <c r="BH385" s="1898"/>
      <c r="BI385" s="1898" t="e">
        <f t="shared" si="35"/>
        <v>#REF!</v>
      </c>
      <c r="BJ385" s="1898"/>
      <c r="BK385" s="1898"/>
      <c r="BL385" s="1898"/>
      <c r="BM385" s="1898"/>
      <c r="BN385" s="1898"/>
      <c r="BO385" s="1898"/>
      <c r="BP385" s="1898"/>
      <c r="BQ385" s="1898" t="e">
        <f t="shared" si="36"/>
        <v>#REF!</v>
      </c>
      <c r="BR385" s="1898"/>
      <c r="BS385" s="1898"/>
      <c r="BT385" s="1898"/>
      <c r="BU385" s="1898"/>
      <c r="BV385" s="1898"/>
      <c r="BW385" s="1898"/>
      <c r="BX385" s="1898"/>
      <c r="BY385" s="1894" t="e">
        <f t="shared" si="37"/>
        <v>#REF!</v>
      </c>
      <c r="BZ385" s="1894"/>
      <c r="CA385" s="1894"/>
      <c r="CB385" s="1894"/>
      <c r="CC385" s="1894"/>
      <c r="CD385" s="1894"/>
      <c r="CE385" s="1894"/>
      <c r="CF385" s="1895"/>
    </row>
    <row r="386" spans="1:88" s="400" customFormat="1" ht="23.1" customHeight="1">
      <c r="E386" s="1995"/>
      <c r="F386" s="1990"/>
      <c r="G386" s="1990"/>
      <c r="H386" s="1990"/>
      <c r="I386" s="1990"/>
      <c r="J386" s="1926" t="s">
        <v>399</v>
      </c>
      <c r="K386" s="1926"/>
      <c r="L386" s="1926"/>
      <c r="M386" s="1926"/>
      <c r="N386" s="1926"/>
      <c r="O386" s="1926"/>
      <c r="P386" s="1926"/>
      <c r="Q386" s="1926"/>
      <c r="R386" s="1926"/>
      <c r="S386" s="1926"/>
      <c r="T386" s="1926"/>
      <c r="U386" s="1872" t="e">
        <f>$AG$285</f>
        <v>#REF!</v>
      </c>
      <c r="V386" s="1872"/>
      <c r="W386" s="1872"/>
      <c r="X386" s="1872"/>
      <c r="Y386" s="1872"/>
      <c r="Z386" s="1872"/>
      <c r="AA386" s="1872"/>
      <c r="AB386" s="1872"/>
      <c r="AC386" s="1872" t="e">
        <f>$AQ$285+$AF$375</f>
        <v>#REF!</v>
      </c>
      <c r="AD386" s="1872"/>
      <c r="AE386" s="1872"/>
      <c r="AF386" s="1872"/>
      <c r="AG386" s="1872"/>
      <c r="AH386" s="1872"/>
      <c r="AI386" s="1872"/>
      <c r="AJ386" s="1872"/>
      <c r="AK386" s="1872" t="e">
        <f>$BA$285</f>
        <v>#REF!</v>
      </c>
      <c r="AL386" s="1872"/>
      <c r="AM386" s="1872"/>
      <c r="AN386" s="1872"/>
      <c r="AO386" s="1872"/>
      <c r="AP386" s="1872"/>
      <c r="AQ386" s="1872"/>
      <c r="AR386" s="1872"/>
      <c r="AS386" s="1988">
        <v>2.0499999999999998</v>
      </c>
      <c r="AT386" s="1988"/>
      <c r="AU386" s="1988"/>
      <c r="AV386" s="1988"/>
      <c r="AW386" s="1988"/>
      <c r="AX386" s="1988"/>
      <c r="AY386" s="1988"/>
      <c r="AZ386" s="1988"/>
      <c r="BA386" s="1969" t="e">
        <f t="shared" si="34"/>
        <v>#REF!</v>
      </c>
      <c r="BB386" s="1969"/>
      <c r="BC386" s="1969"/>
      <c r="BD386" s="1969"/>
      <c r="BE386" s="1969"/>
      <c r="BF386" s="1969"/>
      <c r="BG386" s="1969"/>
      <c r="BH386" s="1969"/>
      <c r="BI386" s="1969" t="e">
        <f t="shared" si="35"/>
        <v>#REF!</v>
      </c>
      <c r="BJ386" s="1969"/>
      <c r="BK386" s="1969"/>
      <c r="BL386" s="1969"/>
      <c r="BM386" s="1969"/>
      <c r="BN386" s="1969"/>
      <c r="BO386" s="1969"/>
      <c r="BP386" s="1969"/>
      <c r="BQ386" s="1969" t="e">
        <f t="shared" si="36"/>
        <v>#REF!</v>
      </c>
      <c r="BR386" s="1969"/>
      <c r="BS386" s="1969"/>
      <c r="BT386" s="1969"/>
      <c r="BU386" s="1969"/>
      <c r="BV386" s="1969"/>
      <c r="BW386" s="1969"/>
      <c r="BX386" s="1969"/>
      <c r="BY386" s="1971" t="e">
        <f t="shared" si="37"/>
        <v>#REF!</v>
      </c>
      <c r="BZ386" s="1971"/>
      <c r="CA386" s="1971"/>
      <c r="CB386" s="1971"/>
      <c r="CC386" s="1971"/>
      <c r="CD386" s="1971"/>
      <c r="CE386" s="1971"/>
      <c r="CF386" s="1972"/>
    </row>
    <row r="387" spans="1:88" s="400" customFormat="1" ht="23.1" customHeight="1">
      <c r="E387" s="1989" t="s">
        <v>510</v>
      </c>
      <c r="F387" s="1990"/>
      <c r="G387" s="1990"/>
      <c r="H387" s="1990"/>
      <c r="I387" s="1990"/>
      <c r="J387" s="1874" t="s">
        <v>359</v>
      </c>
      <c r="K387" s="1874"/>
      <c r="L387" s="1874"/>
      <c r="M387" s="1874"/>
      <c r="N387" s="1874"/>
      <c r="O387" s="1874"/>
      <c r="P387" s="1874"/>
      <c r="Q387" s="1874"/>
      <c r="R387" s="1874"/>
      <c r="S387" s="1874"/>
      <c r="T387" s="1874"/>
      <c r="U387" s="1814" t="e">
        <f>$AG$284</f>
        <v>#REF!</v>
      </c>
      <c r="V387" s="1814"/>
      <c r="W387" s="1814"/>
      <c r="X387" s="1814"/>
      <c r="Y387" s="1814"/>
      <c r="Z387" s="1814"/>
      <c r="AA387" s="1814"/>
      <c r="AB387" s="1814"/>
      <c r="AC387" s="1814" t="e">
        <f>$AQ$284+$AF$375</f>
        <v>#REF!</v>
      </c>
      <c r="AD387" s="1814"/>
      <c r="AE387" s="1814"/>
      <c r="AF387" s="1814"/>
      <c r="AG387" s="1814"/>
      <c r="AH387" s="1814"/>
      <c r="AI387" s="1814"/>
      <c r="AJ387" s="1814"/>
      <c r="AK387" s="1814" t="e">
        <f>$BA$284</f>
        <v>#REF!</v>
      </c>
      <c r="AL387" s="1814"/>
      <c r="AM387" s="1814"/>
      <c r="AN387" s="1814"/>
      <c r="AO387" s="1814"/>
      <c r="AP387" s="1814"/>
      <c r="AQ387" s="1814"/>
      <c r="AR387" s="1814"/>
      <c r="AS387" s="1797">
        <v>1.8</v>
      </c>
      <c r="AT387" s="1797"/>
      <c r="AU387" s="1797"/>
      <c r="AV387" s="1797"/>
      <c r="AW387" s="1797"/>
      <c r="AX387" s="1797"/>
      <c r="AY387" s="1797"/>
      <c r="AZ387" s="1797"/>
      <c r="BA387" s="1898" t="e">
        <f t="shared" si="34"/>
        <v>#REF!</v>
      </c>
      <c r="BB387" s="1898"/>
      <c r="BC387" s="1898"/>
      <c r="BD387" s="1898"/>
      <c r="BE387" s="1898"/>
      <c r="BF387" s="1898"/>
      <c r="BG387" s="1898"/>
      <c r="BH387" s="1898"/>
      <c r="BI387" s="1898" t="e">
        <f t="shared" si="35"/>
        <v>#REF!</v>
      </c>
      <c r="BJ387" s="1898"/>
      <c r="BK387" s="1898"/>
      <c r="BL387" s="1898"/>
      <c r="BM387" s="1898"/>
      <c r="BN387" s="1898"/>
      <c r="BO387" s="1898"/>
      <c r="BP387" s="1898"/>
      <c r="BQ387" s="1898" t="e">
        <f t="shared" si="36"/>
        <v>#REF!</v>
      </c>
      <c r="BR387" s="1898"/>
      <c r="BS387" s="1898"/>
      <c r="BT387" s="1898"/>
      <c r="BU387" s="1898"/>
      <c r="BV387" s="1898"/>
      <c r="BW387" s="1898"/>
      <c r="BX387" s="1898"/>
      <c r="BY387" s="1894" t="e">
        <f t="shared" si="37"/>
        <v>#REF!</v>
      </c>
      <c r="BZ387" s="1894"/>
      <c r="CA387" s="1894"/>
      <c r="CB387" s="1894"/>
      <c r="CC387" s="1894"/>
      <c r="CD387" s="1894"/>
      <c r="CE387" s="1894"/>
      <c r="CF387" s="1895"/>
    </row>
    <row r="388" spans="1:88" s="400" customFormat="1" ht="23.1" customHeight="1" thickBot="1">
      <c r="E388" s="1991"/>
      <c r="F388" s="1992"/>
      <c r="G388" s="1992"/>
      <c r="H388" s="1992"/>
      <c r="I388" s="1992"/>
      <c r="J388" s="1891" t="s">
        <v>399</v>
      </c>
      <c r="K388" s="1891"/>
      <c r="L388" s="1891"/>
      <c r="M388" s="1891"/>
      <c r="N388" s="1891"/>
      <c r="O388" s="1891"/>
      <c r="P388" s="1891"/>
      <c r="Q388" s="1891"/>
      <c r="R388" s="1891"/>
      <c r="S388" s="1891"/>
      <c r="T388" s="1891"/>
      <c r="U388" s="1796" t="e">
        <f>$AG$285</f>
        <v>#REF!</v>
      </c>
      <c r="V388" s="1796"/>
      <c r="W388" s="1796"/>
      <c r="X388" s="1796"/>
      <c r="Y388" s="1796"/>
      <c r="Z388" s="1796"/>
      <c r="AA388" s="1796"/>
      <c r="AB388" s="1796"/>
      <c r="AC388" s="1796" t="e">
        <f>$AQ$285+$AF$375</f>
        <v>#REF!</v>
      </c>
      <c r="AD388" s="1796"/>
      <c r="AE388" s="1796"/>
      <c r="AF388" s="1796"/>
      <c r="AG388" s="1796"/>
      <c r="AH388" s="1796"/>
      <c r="AI388" s="1796"/>
      <c r="AJ388" s="1796"/>
      <c r="AK388" s="1796" t="e">
        <f>$BA$285</f>
        <v>#REF!</v>
      </c>
      <c r="AL388" s="1796"/>
      <c r="AM388" s="1796"/>
      <c r="AN388" s="1796"/>
      <c r="AO388" s="1796"/>
      <c r="AP388" s="1796"/>
      <c r="AQ388" s="1796"/>
      <c r="AR388" s="1796"/>
      <c r="AS388" s="1783">
        <v>2.75</v>
      </c>
      <c r="AT388" s="1783"/>
      <c r="AU388" s="1783"/>
      <c r="AV388" s="1783"/>
      <c r="AW388" s="1783"/>
      <c r="AX388" s="1783"/>
      <c r="AY388" s="1783"/>
      <c r="AZ388" s="1783"/>
      <c r="BA388" s="1910" t="e">
        <f t="shared" si="34"/>
        <v>#REF!</v>
      </c>
      <c r="BB388" s="1910"/>
      <c r="BC388" s="1910"/>
      <c r="BD388" s="1910"/>
      <c r="BE388" s="1910"/>
      <c r="BF388" s="1910"/>
      <c r="BG388" s="1910"/>
      <c r="BH388" s="1910"/>
      <c r="BI388" s="1910" t="e">
        <f t="shared" si="35"/>
        <v>#REF!</v>
      </c>
      <c r="BJ388" s="1910"/>
      <c r="BK388" s="1910"/>
      <c r="BL388" s="1910"/>
      <c r="BM388" s="1910"/>
      <c r="BN388" s="1910"/>
      <c r="BO388" s="1910"/>
      <c r="BP388" s="1910"/>
      <c r="BQ388" s="1910" t="e">
        <f t="shared" si="36"/>
        <v>#REF!</v>
      </c>
      <c r="BR388" s="1910"/>
      <c r="BS388" s="1910"/>
      <c r="BT388" s="1910"/>
      <c r="BU388" s="1910"/>
      <c r="BV388" s="1910"/>
      <c r="BW388" s="1910"/>
      <c r="BX388" s="1910"/>
      <c r="BY388" s="1896" t="e">
        <f t="shared" si="37"/>
        <v>#REF!</v>
      </c>
      <c r="BZ388" s="1896"/>
      <c r="CA388" s="1896"/>
      <c r="CB388" s="1896"/>
      <c r="CC388" s="1896"/>
      <c r="CD388" s="1896"/>
      <c r="CE388" s="1896"/>
      <c r="CF388" s="1897"/>
    </row>
    <row r="389" spans="1:88" s="400" customFormat="1" ht="23.1" customHeight="1">
      <c r="A389" s="402"/>
      <c r="B389" s="402"/>
      <c r="C389" s="402"/>
      <c r="D389" s="402"/>
      <c r="U389" s="416"/>
      <c r="V389" s="416"/>
      <c r="W389" s="416"/>
      <c r="X389" s="416"/>
      <c r="Y389" s="416"/>
      <c r="Z389" s="416"/>
      <c r="AA389" s="416"/>
      <c r="AB389" s="416"/>
      <c r="AC389" s="416"/>
      <c r="AD389" s="416"/>
      <c r="AE389" s="416"/>
      <c r="AF389" s="416"/>
      <c r="AG389" s="416"/>
      <c r="AH389" s="416"/>
      <c r="AI389" s="416"/>
      <c r="AJ389" s="416"/>
      <c r="AK389" s="416"/>
      <c r="AL389" s="416"/>
      <c r="AM389" s="416"/>
      <c r="AN389" s="416"/>
      <c r="AO389" s="416"/>
      <c r="AP389" s="416"/>
      <c r="AQ389" s="416"/>
      <c r="AR389" s="416"/>
      <c r="AS389" s="417"/>
      <c r="AT389" s="417"/>
      <c r="AU389" s="417"/>
      <c r="AV389" s="417"/>
      <c r="AW389" s="417"/>
      <c r="AX389" s="417"/>
      <c r="AY389" s="417"/>
      <c r="AZ389" s="417"/>
      <c r="BA389" s="416"/>
      <c r="BB389" s="416"/>
      <c r="BC389" s="416"/>
      <c r="BD389" s="416"/>
      <c r="BE389" s="416"/>
      <c r="BF389" s="416"/>
      <c r="BG389" s="416"/>
      <c r="BH389" s="416"/>
      <c r="BI389" s="416"/>
      <c r="BJ389" s="416"/>
      <c r="BK389" s="416"/>
      <c r="BL389" s="416"/>
      <c r="BM389" s="416"/>
      <c r="BN389" s="416"/>
      <c r="BO389" s="416"/>
      <c r="BP389" s="416"/>
      <c r="BQ389" s="416"/>
      <c r="BR389" s="416"/>
      <c r="BS389" s="416"/>
      <c r="BT389" s="416"/>
      <c r="BU389" s="416"/>
      <c r="BV389" s="416"/>
      <c r="BW389" s="416"/>
      <c r="BX389" s="416"/>
      <c r="BY389" s="415"/>
      <c r="BZ389" s="415"/>
      <c r="CA389" s="415"/>
      <c r="CB389" s="415"/>
      <c r="CC389" s="415"/>
      <c r="CD389" s="415"/>
      <c r="CE389" s="415"/>
      <c r="CF389" s="415"/>
    </row>
    <row r="390" spans="1:88" s="400" customFormat="1" ht="23.1" customHeight="1"/>
    <row r="391" spans="1:88" s="400" customFormat="1" ht="23.1" customHeight="1">
      <c r="D391" s="403"/>
      <c r="AR391" s="414"/>
      <c r="AS391" s="414"/>
      <c r="AT391" s="414"/>
      <c r="AU391" s="414"/>
      <c r="AV391" s="414"/>
      <c r="AW391" s="414"/>
      <c r="AX391" s="414"/>
      <c r="AY391" s="414"/>
      <c r="AZ391" s="414"/>
      <c r="BA391" s="414"/>
      <c r="BB391" s="414"/>
      <c r="BT391" s="414"/>
      <c r="BU391" s="414"/>
      <c r="BV391" s="414"/>
      <c r="BW391" s="414"/>
      <c r="BX391" s="414"/>
      <c r="BY391" s="414"/>
      <c r="BZ391" s="414"/>
      <c r="CA391" s="414"/>
      <c r="CB391" s="414"/>
      <c r="CC391" s="414"/>
    </row>
    <row r="392" spans="1:88" s="412" customFormat="1" ht="28.35" customHeight="1">
      <c r="A392" s="1877" t="s">
        <v>511</v>
      </c>
      <c r="B392" s="1877"/>
      <c r="C392" s="1877"/>
      <c r="D392" s="1877"/>
      <c r="E392" s="1877"/>
      <c r="F392" s="1877"/>
      <c r="G392" s="1877"/>
      <c r="H392" s="1877"/>
      <c r="I392" s="1877"/>
      <c r="J392" s="1877"/>
      <c r="K392" s="1877"/>
      <c r="L392" s="1877"/>
      <c r="M392" s="1877"/>
      <c r="N392" s="1877"/>
      <c r="O392" s="1877"/>
      <c r="P392" s="1877"/>
      <c r="Q392" s="1877"/>
      <c r="R392" s="1877"/>
      <c r="S392" s="1877"/>
      <c r="T392" s="1877"/>
      <c r="U392" s="1877"/>
      <c r="V392" s="1877"/>
      <c r="W392" s="1877"/>
      <c r="X392" s="1877"/>
      <c r="Y392" s="1877"/>
      <c r="Z392" s="1877"/>
      <c r="AA392" s="1877"/>
      <c r="AB392" s="1877"/>
      <c r="AC392" s="1877"/>
      <c r="AD392" s="1877"/>
      <c r="AE392" s="1877"/>
      <c r="AF392" s="1877"/>
      <c r="AG392" s="1877"/>
      <c r="AH392" s="1877"/>
      <c r="AI392" s="1877"/>
      <c r="AJ392" s="1877"/>
      <c r="AK392" s="1877"/>
      <c r="AL392" s="1877"/>
      <c r="AM392" s="1877"/>
      <c r="AN392" s="1877"/>
      <c r="AO392" s="1877"/>
      <c r="AP392" s="1877"/>
      <c r="AQ392" s="1877"/>
      <c r="AR392" s="1877"/>
      <c r="AS392" s="1877"/>
      <c r="AT392" s="1877"/>
      <c r="AU392" s="1877"/>
      <c r="AV392" s="1877"/>
      <c r="AW392" s="1877"/>
      <c r="AX392" s="1877"/>
      <c r="AY392" s="1877"/>
      <c r="AZ392" s="1877"/>
      <c r="BA392" s="1877"/>
      <c r="BB392" s="1877"/>
      <c r="BC392" s="1877"/>
      <c r="BD392" s="1877"/>
      <c r="BE392" s="1877"/>
      <c r="BF392" s="1877"/>
      <c r="BG392" s="1877"/>
      <c r="BH392" s="1877"/>
      <c r="BI392" s="1877"/>
      <c r="BJ392" s="1877"/>
      <c r="BK392" s="1877"/>
      <c r="BL392" s="1877"/>
      <c r="BM392" s="1877"/>
      <c r="BN392" s="1877"/>
      <c r="BO392" s="1877"/>
      <c r="BP392" s="1877"/>
      <c r="BQ392" s="1877"/>
      <c r="BR392" s="1877"/>
      <c r="BS392" s="1877"/>
      <c r="BT392" s="1877"/>
      <c r="BU392" s="1877"/>
      <c r="BV392" s="1877"/>
      <c r="BW392" s="1877"/>
      <c r="BX392" s="1877"/>
      <c r="BY392" s="1877"/>
      <c r="BZ392" s="1877"/>
      <c r="CA392" s="1877"/>
      <c r="CB392" s="1877"/>
      <c r="CC392" s="1877"/>
      <c r="CD392" s="1877"/>
      <c r="CE392" s="1877"/>
      <c r="CF392" s="1877"/>
      <c r="CJ392" s="400" t="s">
        <v>721</v>
      </c>
    </row>
    <row r="393" spans="1:88" s="412" customFormat="1" ht="9.9499999999999993" customHeight="1">
      <c r="A393" s="413"/>
      <c r="B393" s="413"/>
      <c r="C393" s="413"/>
      <c r="D393" s="413"/>
      <c r="E393" s="413"/>
      <c r="F393" s="413"/>
      <c r="G393" s="413"/>
      <c r="H393" s="413"/>
      <c r="I393" s="413"/>
      <c r="J393" s="413"/>
      <c r="K393" s="413"/>
      <c r="L393" s="413"/>
      <c r="M393" s="413"/>
      <c r="N393" s="413"/>
      <c r="O393" s="413"/>
      <c r="P393" s="413"/>
      <c r="Q393" s="413"/>
      <c r="R393" s="413"/>
      <c r="S393" s="413"/>
      <c r="T393" s="413"/>
      <c r="U393" s="413"/>
      <c r="V393" s="413"/>
      <c r="W393" s="413"/>
      <c r="X393" s="413"/>
      <c r="Y393" s="413"/>
      <c r="Z393" s="413"/>
      <c r="AA393" s="413"/>
      <c r="AB393" s="413"/>
      <c r="AC393" s="413"/>
      <c r="AD393" s="413"/>
      <c r="AE393" s="413"/>
      <c r="AF393" s="413"/>
      <c r="AG393" s="413"/>
      <c r="AH393" s="413"/>
      <c r="AI393" s="413"/>
      <c r="AJ393" s="413"/>
      <c r="AK393" s="413"/>
      <c r="AL393" s="413"/>
      <c r="AM393" s="413"/>
      <c r="AN393" s="413"/>
      <c r="AO393" s="413"/>
      <c r="AP393" s="413"/>
      <c r="AQ393" s="413"/>
      <c r="AR393" s="413"/>
      <c r="AS393" s="413"/>
      <c r="AT393" s="413"/>
      <c r="AU393" s="413"/>
      <c r="AV393" s="413"/>
      <c r="AW393" s="413"/>
      <c r="AX393" s="413"/>
      <c r="AY393" s="413"/>
      <c r="AZ393" s="413"/>
      <c r="BA393" s="413"/>
      <c r="BB393" s="413"/>
      <c r="BC393" s="413"/>
      <c r="BD393" s="413"/>
      <c r="BE393" s="413"/>
      <c r="BF393" s="413"/>
      <c r="BG393" s="413"/>
      <c r="BH393" s="413"/>
      <c r="BI393" s="413"/>
      <c r="BJ393" s="413"/>
      <c r="BK393" s="413"/>
      <c r="BL393" s="413"/>
      <c r="BM393" s="413"/>
      <c r="BN393" s="413"/>
      <c r="BO393" s="413"/>
      <c r="BP393" s="413"/>
      <c r="BQ393" s="413"/>
      <c r="BR393" s="413"/>
      <c r="BS393" s="413"/>
      <c r="BT393" s="413"/>
      <c r="BU393" s="413"/>
      <c r="BV393" s="413"/>
      <c r="BW393" s="413"/>
      <c r="BX393" s="413"/>
      <c r="BY393" s="413"/>
      <c r="BZ393" s="413"/>
      <c r="CA393" s="413"/>
      <c r="CB393" s="413"/>
      <c r="CC393" s="413"/>
      <c r="CD393" s="413"/>
      <c r="CE393" s="413"/>
      <c r="CF393" s="413"/>
      <c r="CJ393" s="400"/>
    </row>
    <row r="394" spans="1:88" s="400" customFormat="1" ht="23.1" customHeight="1">
      <c r="E394" s="400" t="s">
        <v>376</v>
      </c>
      <c r="CJ394" s="400" t="s">
        <v>728</v>
      </c>
    </row>
    <row r="395" spans="1:88" s="400" customFormat="1" ht="23.1" customHeight="1">
      <c r="A395" s="402"/>
      <c r="B395" s="402"/>
      <c r="C395" s="402"/>
      <c r="D395" s="402"/>
      <c r="G395" s="1788" t="s">
        <v>377</v>
      </c>
      <c r="H395" s="1788"/>
      <c r="I395" s="1788"/>
      <c r="J395" s="1788"/>
      <c r="L395" s="411" t="s">
        <v>378</v>
      </c>
      <c r="M395" s="411"/>
      <c r="N395" s="411"/>
      <c r="O395" s="411"/>
      <c r="P395" s="411"/>
      <c r="Q395" s="411"/>
      <c r="R395" s="411"/>
      <c r="S395" s="411"/>
      <c r="T395" s="411"/>
      <c r="U395" s="411"/>
      <c r="V395" s="411"/>
      <c r="W395" s="411"/>
      <c r="X395" s="411"/>
      <c r="Y395" s="411"/>
      <c r="Z395" s="411"/>
      <c r="AA395" s="411"/>
      <c r="AB395" s="411"/>
      <c r="AC395" s="411"/>
      <c r="AD395" s="411"/>
      <c r="AE395" s="411"/>
      <c r="AM395" s="400" t="s">
        <v>379</v>
      </c>
      <c r="AV395" s="408"/>
      <c r="AW395" s="408"/>
      <c r="AX395" s="408"/>
      <c r="AY395" s="408"/>
      <c r="AZ395" s="408"/>
      <c r="BA395" s="408"/>
      <c r="BC395" s="408"/>
      <c r="BD395" s="408"/>
      <c r="BE395" s="404"/>
      <c r="BF395" s="404"/>
      <c r="BG395" s="404"/>
      <c r="BH395" s="404"/>
      <c r="BI395" s="400" t="s">
        <v>380</v>
      </c>
      <c r="BJ395" s="404"/>
      <c r="BK395" s="404"/>
      <c r="BL395" s="404"/>
      <c r="BM395" s="404"/>
      <c r="BN395" s="404"/>
      <c r="BO395" s="404"/>
      <c r="BP395" s="404"/>
      <c r="BQ395" s="404"/>
      <c r="BR395" s="404"/>
      <c r="BS395" s="404"/>
      <c r="BT395" s="404"/>
      <c r="BU395" s="404"/>
      <c r="BV395" s="404"/>
      <c r="BW395" s="404"/>
      <c r="BX395" s="404"/>
      <c r="BY395" s="404"/>
      <c r="BZ395" s="404"/>
      <c r="CA395" s="404"/>
      <c r="CB395" s="404"/>
      <c r="CC395" s="404"/>
      <c r="CD395" s="404"/>
      <c r="CE395" s="404"/>
      <c r="CF395" s="404"/>
      <c r="CJ395" s="400" t="s">
        <v>727</v>
      </c>
    </row>
    <row r="396" spans="1:88" s="400" customFormat="1" ht="23.1" customHeight="1">
      <c r="D396" s="405"/>
      <c r="G396" s="1788"/>
      <c r="H396" s="1788"/>
      <c r="I396" s="1788"/>
      <c r="J396" s="1788"/>
      <c r="L396" s="1809" t="s">
        <v>381</v>
      </c>
      <c r="M396" s="1809"/>
      <c r="N396" s="1809"/>
      <c r="O396" s="1809"/>
      <c r="P396" s="1809"/>
      <c r="Q396" s="1809"/>
      <c r="R396" s="1809"/>
      <c r="S396" s="1809"/>
      <c r="T396" s="1809"/>
      <c r="U396" s="1809"/>
      <c r="V396" s="1809"/>
      <c r="W396" s="1809"/>
      <c r="X396" s="1809"/>
      <c r="Y396" s="1809"/>
      <c r="Z396" s="1809"/>
      <c r="AA396" s="1809"/>
      <c r="AB396" s="1809"/>
      <c r="AC396" s="1809"/>
      <c r="AD396" s="1809"/>
      <c r="AE396" s="1809"/>
      <c r="AM396" s="408" t="s">
        <v>517</v>
      </c>
      <c r="AV396" s="408"/>
      <c r="AW396" s="408"/>
      <c r="AX396" s="408"/>
      <c r="AY396" s="408"/>
      <c r="AZ396" s="408"/>
      <c r="BA396" s="408"/>
      <c r="BC396" s="408"/>
      <c r="BD396" s="408"/>
      <c r="BE396" s="404"/>
      <c r="BF396" s="404"/>
      <c r="BG396" s="404"/>
      <c r="BH396" s="404"/>
      <c r="BI396" s="404"/>
      <c r="BJ396" s="404"/>
      <c r="BK396" s="404"/>
      <c r="BL396" s="404"/>
      <c r="BM396" s="404"/>
      <c r="BN396" s="404"/>
      <c r="BO396" s="404"/>
      <c r="BP396" s="404"/>
      <c r="BQ396" s="404"/>
      <c r="BR396" s="404"/>
      <c r="BS396" s="404"/>
      <c r="BT396" s="404"/>
      <c r="BU396" s="404"/>
      <c r="BV396" s="404"/>
      <c r="BW396" s="404"/>
      <c r="BX396" s="404"/>
      <c r="BY396" s="404"/>
      <c r="BZ396" s="404"/>
      <c r="CA396" s="404"/>
      <c r="CB396" s="404"/>
      <c r="CC396" s="404"/>
      <c r="CD396" s="404"/>
      <c r="CE396" s="404"/>
      <c r="CF396" s="404"/>
      <c r="CJ396" s="400" t="s">
        <v>717</v>
      </c>
    </row>
    <row r="397" spans="1:88" s="400" customFormat="1" ht="23.1" customHeight="1">
      <c r="G397" s="402"/>
      <c r="AM397" s="408" t="s">
        <v>383</v>
      </c>
      <c r="BI397" s="400" t="s">
        <v>384</v>
      </c>
      <c r="BT397" s="410"/>
      <c r="BU397" s="410"/>
      <c r="BV397" s="410"/>
      <c r="BW397" s="410"/>
      <c r="BX397" s="410"/>
      <c r="BY397" s="410"/>
      <c r="BZ397" s="410"/>
      <c r="CA397" s="410"/>
      <c r="CB397" s="410"/>
      <c r="CC397" s="410"/>
      <c r="CJ397" s="400" t="s">
        <v>716</v>
      </c>
    </row>
    <row r="398" spans="1:88" s="400" customFormat="1" ht="9.9499999999999993" customHeight="1" thickBot="1">
      <c r="D398" s="405"/>
      <c r="Q398" s="409"/>
      <c r="R398" s="409"/>
      <c r="S398" s="409"/>
      <c r="T398" s="409"/>
      <c r="U398" s="409"/>
      <c r="V398" s="409"/>
      <c r="W398" s="409"/>
      <c r="X398" s="409"/>
      <c r="Y398" s="409"/>
      <c r="Z398" s="409"/>
      <c r="AA398" s="409"/>
      <c r="AB398" s="409"/>
      <c r="AV398" s="408"/>
      <c r="AW398" s="408"/>
      <c r="AX398" s="408"/>
      <c r="AY398" s="408"/>
      <c r="AZ398" s="408"/>
      <c r="BA398" s="408"/>
      <c r="BB398" s="408"/>
      <c r="BC398" s="408"/>
      <c r="BD398" s="408"/>
      <c r="BE398" s="404"/>
      <c r="BF398" s="404"/>
      <c r="BG398" s="404"/>
      <c r="BH398" s="404"/>
      <c r="BI398" s="404"/>
      <c r="BJ398" s="404"/>
      <c r="BK398" s="404"/>
      <c r="BL398" s="404"/>
      <c r="BM398" s="404"/>
      <c r="BN398" s="404"/>
      <c r="BO398" s="404"/>
      <c r="BP398" s="404"/>
      <c r="BQ398" s="404"/>
      <c r="BR398" s="404"/>
      <c r="BS398" s="404"/>
      <c r="BT398" s="404"/>
      <c r="BU398" s="404"/>
      <c r="BV398" s="404"/>
      <c r="BW398" s="404"/>
      <c r="BX398" s="404"/>
      <c r="BY398" s="404"/>
      <c r="BZ398" s="404"/>
      <c r="CA398" s="404"/>
      <c r="CB398" s="404"/>
      <c r="CC398" s="404"/>
      <c r="CD398" s="404"/>
      <c r="CE398" s="404"/>
      <c r="CF398" s="404"/>
    </row>
    <row r="399" spans="1:88" s="400" customFormat="1" ht="23.1" customHeight="1" thickBot="1">
      <c r="A399" s="402"/>
      <c r="B399" s="402"/>
      <c r="C399" s="402"/>
      <c r="D399" s="402"/>
      <c r="E399" s="1835" t="s">
        <v>385</v>
      </c>
      <c r="F399" s="1836"/>
      <c r="G399" s="1836"/>
      <c r="H399" s="1836"/>
      <c r="I399" s="1836"/>
      <c r="J399" s="1836"/>
      <c r="K399" s="1836"/>
      <c r="L399" s="1836"/>
      <c r="M399" s="1836"/>
      <c r="N399" s="1836"/>
      <c r="O399" s="1836"/>
      <c r="P399" s="1836"/>
      <c r="Q399" s="1836" t="s">
        <v>212</v>
      </c>
      <c r="R399" s="1836"/>
      <c r="S399" s="1836"/>
      <c r="T399" s="1836"/>
      <c r="U399" s="1836"/>
      <c r="V399" s="1836"/>
      <c r="W399" s="1836"/>
      <c r="X399" s="1836"/>
      <c r="Y399" s="1836"/>
      <c r="Z399" s="1836"/>
      <c r="AA399" s="1836"/>
      <c r="AB399" s="1836"/>
      <c r="AC399" s="1836" t="s">
        <v>386</v>
      </c>
      <c r="AD399" s="1836"/>
      <c r="AE399" s="1836"/>
      <c r="AF399" s="1836"/>
      <c r="AG399" s="1836"/>
      <c r="AH399" s="1836"/>
      <c r="AI399" s="1836"/>
      <c r="AJ399" s="1836"/>
      <c r="AK399" s="1836" t="s">
        <v>387</v>
      </c>
      <c r="AL399" s="1836"/>
      <c r="AM399" s="1836"/>
      <c r="AN399" s="1836"/>
      <c r="AO399" s="1836"/>
      <c r="AP399" s="1836"/>
      <c r="AQ399" s="1836"/>
      <c r="AR399" s="1836"/>
      <c r="AS399" s="1836" t="s">
        <v>388</v>
      </c>
      <c r="AT399" s="1836"/>
      <c r="AU399" s="1836"/>
      <c r="AV399" s="1836"/>
      <c r="AW399" s="1836"/>
      <c r="AX399" s="1836"/>
      <c r="AY399" s="1836"/>
      <c r="AZ399" s="1836"/>
      <c r="BA399" s="1836" t="s">
        <v>389</v>
      </c>
      <c r="BB399" s="1836"/>
      <c r="BC399" s="1836"/>
      <c r="BD399" s="1836"/>
      <c r="BE399" s="1836"/>
      <c r="BF399" s="1836"/>
      <c r="BG399" s="1836"/>
      <c r="BH399" s="1836"/>
      <c r="BI399" s="1836" t="s">
        <v>381</v>
      </c>
      <c r="BJ399" s="1836"/>
      <c r="BK399" s="1836"/>
      <c r="BL399" s="1836"/>
      <c r="BM399" s="1836"/>
      <c r="BN399" s="1836"/>
      <c r="BO399" s="1836"/>
      <c r="BP399" s="1836"/>
      <c r="BQ399" s="1836"/>
      <c r="BR399" s="1836"/>
      <c r="BS399" s="1836"/>
      <c r="BT399" s="1836"/>
      <c r="BU399" s="1933" t="s">
        <v>390</v>
      </c>
      <c r="BV399" s="1933"/>
      <c r="BW399" s="1933"/>
      <c r="BX399" s="1933"/>
      <c r="BY399" s="1933"/>
      <c r="BZ399" s="1933"/>
      <c r="CA399" s="1933"/>
      <c r="CB399" s="1933"/>
      <c r="CC399" s="1933"/>
      <c r="CD399" s="1933"/>
      <c r="CE399" s="1933"/>
      <c r="CF399" s="1934"/>
    </row>
    <row r="400" spans="1:88" s="400" customFormat="1" ht="23.1" customHeight="1" thickTop="1">
      <c r="D400" s="405"/>
      <c r="E400" s="1935" t="s">
        <v>391</v>
      </c>
      <c r="F400" s="1834"/>
      <c r="G400" s="1834"/>
      <c r="H400" s="1834"/>
      <c r="I400" s="1834"/>
      <c r="J400" s="1834"/>
      <c r="K400" s="1834"/>
      <c r="L400" s="1834"/>
      <c r="M400" s="1834"/>
      <c r="N400" s="1834"/>
      <c r="O400" s="1834"/>
      <c r="P400" s="1834"/>
      <c r="Q400" s="1834" t="s">
        <v>392</v>
      </c>
      <c r="R400" s="1834"/>
      <c r="S400" s="1834"/>
      <c r="T400" s="1834"/>
      <c r="U400" s="1834"/>
      <c r="V400" s="1834"/>
      <c r="W400" s="1834"/>
      <c r="X400" s="1834"/>
      <c r="Y400" s="1834"/>
      <c r="Z400" s="1834"/>
      <c r="AA400" s="1834"/>
      <c r="AB400" s="1834"/>
      <c r="AC400" s="1964">
        <v>0.12</v>
      </c>
      <c r="AD400" s="1964"/>
      <c r="AE400" s="1964"/>
      <c r="AF400" s="1964"/>
      <c r="AG400" s="1964"/>
      <c r="AH400" s="1964"/>
      <c r="AI400" s="1964"/>
      <c r="AJ400" s="1964"/>
      <c r="AK400" s="1834">
        <v>0.55000000000000004</v>
      </c>
      <c r="AL400" s="1834"/>
      <c r="AM400" s="1834"/>
      <c r="AN400" s="1834"/>
      <c r="AO400" s="1834"/>
      <c r="AP400" s="1834"/>
      <c r="AQ400" s="1834"/>
      <c r="AR400" s="1834"/>
      <c r="AS400" s="1834">
        <v>0.67</v>
      </c>
      <c r="AT400" s="1834"/>
      <c r="AU400" s="1834"/>
      <c r="AV400" s="1834"/>
      <c r="AW400" s="1834"/>
      <c r="AX400" s="1834"/>
      <c r="AY400" s="1834"/>
      <c r="AZ400" s="1834"/>
      <c r="BA400" s="1834">
        <v>0.35</v>
      </c>
      <c r="BB400" s="1834"/>
      <c r="BC400" s="1834"/>
      <c r="BD400" s="1834"/>
      <c r="BE400" s="1834"/>
      <c r="BF400" s="1834"/>
      <c r="BG400" s="1834"/>
      <c r="BH400" s="1834"/>
      <c r="BI400" s="1929" t="s">
        <v>393</v>
      </c>
      <c r="BJ400" s="1866"/>
      <c r="BK400" s="1866"/>
      <c r="BL400" s="1866"/>
      <c r="BM400" s="1866"/>
      <c r="BN400" s="1866"/>
      <c r="BO400" s="1930">
        <v>20</v>
      </c>
      <c r="BP400" s="1931"/>
      <c r="BQ400" s="1931"/>
      <c r="BR400" s="1931"/>
      <c r="BS400" s="1931"/>
      <c r="BT400" s="1932"/>
      <c r="BU400" s="1924">
        <f t="shared" ref="BU400:BU409" si="38">ROUND(3600*AC400*AK400*AS400*BA400/BO400,2)</f>
        <v>2.79</v>
      </c>
      <c r="BV400" s="1924"/>
      <c r="BW400" s="1924"/>
      <c r="BX400" s="1924"/>
      <c r="BY400" s="1924"/>
      <c r="BZ400" s="1924"/>
      <c r="CA400" s="1924"/>
      <c r="CB400" s="1924"/>
      <c r="CC400" s="1924"/>
      <c r="CD400" s="1924"/>
      <c r="CE400" s="1924"/>
      <c r="CF400" s="1925"/>
    </row>
    <row r="401" spans="1:88" s="400" customFormat="1" ht="23.1" customHeight="1">
      <c r="D401" s="405"/>
      <c r="E401" s="1828" t="s">
        <v>391</v>
      </c>
      <c r="F401" s="1829"/>
      <c r="G401" s="1829"/>
      <c r="H401" s="1829"/>
      <c r="I401" s="1829"/>
      <c r="J401" s="1829"/>
      <c r="K401" s="1829"/>
      <c r="L401" s="1829"/>
      <c r="M401" s="1829"/>
      <c r="N401" s="1829"/>
      <c r="O401" s="1829"/>
      <c r="P401" s="1829"/>
      <c r="Q401" s="1829" t="s">
        <v>394</v>
      </c>
      <c r="R401" s="1829"/>
      <c r="S401" s="1829"/>
      <c r="T401" s="1829"/>
      <c r="U401" s="1829"/>
      <c r="V401" s="1829"/>
      <c r="W401" s="1829"/>
      <c r="X401" s="1829"/>
      <c r="Y401" s="1829"/>
      <c r="Z401" s="1829"/>
      <c r="AA401" s="1829"/>
      <c r="AB401" s="1829"/>
      <c r="AC401" s="1878">
        <v>0.18</v>
      </c>
      <c r="AD401" s="1878"/>
      <c r="AE401" s="1878"/>
      <c r="AF401" s="1878"/>
      <c r="AG401" s="1878"/>
      <c r="AH401" s="1878"/>
      <c r="AI401" s="1878"/>
      <c r="AJ401" s="1878"/>
      <c r="AK401" s="1829">
        <v>0.55000000000000004</v>
      </c>
      <c r="AL401" s="1829"/>
      <c r="AM401" s="1829"/>
      <c r="AN401" s="1829"/>
      <c r="AO401" s="1829"/>
      <c r="AP401" s="1829"/>
      <c r="AQ401" s="1829"/>
      <c r="AR401" s="1829"/>
      <c r="AS401" s="1929">
        <v>0.67</v>
      </c>
      <c r="AT401" s="1866"/>
      <c r="AU401" s="1866"/>
      <c r="AV401" s="1866"/>
      <c r="AW401" s="1866"/>
      <c r="AX401" s="1866"/>
      <c r="AY401" s="1866"/>
      <c r="AZ401" s="1867"/>
      <c r="BA401" s="1829">
        <v>0.35</v>
      </c>
      <c r="BB401" s="1829"/>
      <c r="BC401" s="1829"/>
      <c r="BD401" s="1829"/>
      <c r="BE401" s="1829"/>
      <c r="BF401" s="1829"/>
      <c r="BG401" s="1829"/>
      <c r="BH401" s="1829"/>
      <c r="BI401" s="1929" t="s">
        <v>393</v>
      </c>
      <c r="BJ401" s="1866"/>
      <c r="BK401" s="1866"/>
      <c r="BL401" s="1866"/>
      <c r="BM401" s="1866"/>
      <c r="BN401" s="1866"/>
      <c r="BO401" s="1865">
        <v>20</v>
      </c>
      <c r="BP401" s="1866"/>
      <c r="BQ401" s="1866"/>
      <c r="BR401" s="1866"/>
      <c r="BS401" s="1866"/>
      <c r="BT401" s="1867"/>
      <c r="BU401" s="1924">
        <f t="shared" si="38"/>
        <v>4.18</v>
      </c>
      <c r="BV401" s="1924"/>
      <c r="BW401" s="1924"/>
      <c r="BX401" s="1924"/>
      <c r="BY401" s="1924"/>
      <c r="BZ401" s="1924"/>
      <c r="CA401" s="1924"/>
      <c r="CB401" s="1924"/>
      <c r="CC401" s="1924"/>
      <c r="CD401" s="1924"/>
      <c r="CE401" s="1924"/>
      <c r="CF401" s="1925"/>
    </row>
    <row r="402" spans="1:88" s="400" customFormat="1" ht="23.1" customHeight="1">
      <c r="A402" s="402"/>
      <c r="B402" s="402"/>
      <c r="C402" s="402"/>
      <c r="D402" s="402"/>
      <c r="E402" s="1828" t="s">
        <v>391</v>
      </c>
      <c r="F402" s="1829"/>
      <c r="G402" s="1829"/>
      <c r="H402" s="1829"/>
      <c r="I402" s="1829"/>
      <c r="J402" s="1829"/>
      <c r="K402" s="1829"/>
      <c r="L402" s="1829"/>
      <c r="M402" s="1829"/>
      <c r="N402" s="1829"/>
      <c r="O402" s="1829"/>
      <c r="P402" s="1829"/>
      <c r="Q402" s="1829" t="s">
        <v>395</v>
      </c>
      <c r="R402" s="1829"/>
      <c r="S402" s="1829"/>
      <c r="T402" s="1829"/>
      <c r="U402" s="1829"/>
      <c r="V402" s="1829"/>
      <c r="W402" s="1829"/>
      <c r="X402" s="1829"/>
      <c r="Y402" s="1829"/>
      <c r="Z402" s="1829"/>
      <c r="AA402" s="1829"/>
      <c r="AB402" s="1829"/>
      <c r="AC402" s="1918">
        <v>0.2</v>
      </c>
      <c r="AD402" s="1918"/>
      <c r="AE402" s="1918"/>
      <c r="AF402" s="1918"/>
      <c r="AG402" s="1918"/>
      <c r="AH402" s="1918"/>
      <c r="AI402" s="1918"/>
      <c r="AJ402" s="1918"/>
      <c r="AK402" s="1829">
        <v>0.55000000000000004</v>
      </c>
      <c r="AL402" s="1829"/>
      <c r="AM402" s="1829"/>
      <c r="AN402" s="1829"/>
      <c r="AO402" s="1829"/>
      <c r="AP402" s="1829"/>
      <c r="AQ402" s="1829"/>
      <c r="AR402" s="1829"/>
      <c r="AS402" s="1929">
        <v>0.67</v>
      </c>
      <c r="AT402" s="1866"/>
      <c r="AU402" s="1866"/>
      <c r="AV402" s="1866"/>
      <c r="AW402" s="1866"/>
      <c r="AX402" s="1866"/>
      <c r="AY402" s="1866"/>
      <c r="AZ402" s="1867"/>
      <c r="BA402" s="1829">
        <v>0.35</v>
      </c>
      <c r="BB402" s="1829"/>
      <c r="BC402" s="1829"/>
      <c r="BD402" s="1829"/>
      <c r="BE402" s="1829"/>
      <c r="BF402" s="1829"/>
      <c r="BG402" s="1829"/>
      <c r="BH402" s="1829"/>
      <c r="BI402" s="1929" t="s">
        <v>393</v>
      </c>
      <c r="BJ402" s="1866"/>
      <c r="BK402" s="1866"/>
      <c r="BL402" s="1866"/>
      <c r="BM402" s="1866"/>
      <c r="BN402" s="1866"/>
      <c r="BO402" s="1865">
        <v>20</v>
      </c>
      <c r="BP402" s="1866"/>
      <c r="BQ402" s="1866"/>
      <c r="BR402" s="1866"/>
      <c r="BS402" s="1866"/>
      <c r="BT402" s="1867"/>
      <c r="BU402" s="1924">
        <f t="shared" si="38"/>
        <v>4.6399999999999997</v>
      </c>
      <c r="BV402" s="1924"/>
      <c r="BW402" s="1924"/>
      <c r="BX402" s="1924"/>
      <c r="BY402" s="1924"/>
      <c r="BZ402" s="1924"/>
      <c r="CA402" s="1924"/>
      <c r="CB402" s="1924"/>
      <c r="CC402" s="1924"/>
      <c r="CD402" s="1924"/>
      <c r="CE402" s="1924"/>
      <c r="CF402" s="1925"/>
    </row>
    <row r="403" spans="1:88" s="400" customFormat="1" ht="23.1" customHeight="1">
      <c r="E403" s="1828" t="s">
        <v>391</v>
      </c>
      <c r="F403" s="1829"/>
      <c r="G403" s="1829"/>
      <c r="H403" s="1829"/>
      <c r="I403" s="1829"/>
      <c r="J403" s="1829"/>
      <c r="K403" s="1829"/>
      <c r="L403" s="1829"/>
      <c r="M403" s="1829"/>
      <c r="N403" s="1829"/>
      <c r="O403" s="1829"/>
      <c r="P403" s="1829"/>
      <c r="Q403" s="1829" t="s">
        <v>359</v>
      </c>
      <c r="R403" s="1829"/>
      <c r="S403" s="1829"/>
      <c r="T403" s="1829"/>
      <c r="U403" s="1829"/>
      <c r="V403" s="1829"/>
      <c r="W403" s="1829"/>
      <c r="X403" s="1829"/>
      <c r="Y403" s="1829"/>
      <c r="Z403" s="1829"/>
      <c r="AA403" s="1829"/>
      <c r="AB403" s="1829"/>
      <c r="AC403" s="1918">
        <v>0.4</v>
      </c>
      <c r="AD403" s="1918"/>
      <c r="AE403" s="1918"/>
      <c r="AF403" s="1918"/>
      <c r="AG403" s="1918"/>
      <c r="AH403" s="1918"/>
      <c r="AI403" s="1918"/>
      <c r="AJ403" s="1918"/>
      <c r="AK403" s="1829">
        <v>0.55000000000000004</v>
      </c>
      <c r="AL403" s="1829"/>
      <c r="AM403" s="1829"/>
      <c r="AN403" s="1829"/>
      <c r="AO403" s="1829"/>
      <c r="AP403" s="1829"/>
      <c r="AQ403" s="1829"/>
      <c r="AR403" s="1829"/>
      <c r="AS403" s="1834">
        <v>0.67</v>
      </c>
      <c r="AT403" s="1834"/>
      <c r="AU403" s="1834"/>
      <c r="AV403" s="1834"/>
      <c r="AW403" s="1834"/>
      <c r="AX403" s="1834"/>
      <c r="AY403" s="1834"/>
      <c r="AZ403" s="1834"/>
      <c r="BA403" s="1829">
        <v>0.45</v>
      </c>
      <c r="BB403" s="1829"/>
      <c r="BC403" s="1829"/>
      <c r="BD403" s="1829"/>
      <c r="BE403" s="1829"/>
      <c r="BF403" s="1829"/>
      <c r="BG403" s="1829"/>
      <c r="BH403" s="1829"/>
      <c r="BI403" s="1929" t="s">
        <v>396</v>
      </c>
      <c r="BJ403" s="1866"/>
      <c r="BK403" s="1866"/>
      <c r="BL403" s="1866"/>
      <c r="BM403" s="1866"/>
      <c r="BN403" s="1866"/>
      <c r="BO403" s="1865">
        <v>18</v>
      </c>
      <c r="BP403" s="1866"/>
      <c r="BQ403" s="1866"/>
      <c r="BR403" s="1866"/>
      <c r="BS403" s="1866"/>
      <c r="BT403" s="1867"/>
      <c r="BU403" s="1924">
        <f t="shared" si="38"/>
        <v>13.27</v>
      </c>
      <c r="BV403" s="1924"/>
      <c r="BW403" s="1924"/>
      <c r="BX403" s="1924"/>
      <c r="BY403" s="1924"/>
      <c r="BZ403" s="1924"/>
      <c r="CA403" s="1924"/>
      <c r="CB403" s="1924"/>
      <c r="CC403" s="1924"/>
      <c r="CD403" s="1924"/>
      <c r="CE403" s="1924"/>
      <c r="CF403" s="1925"/>
    </row>
    <row r="404" spans="1:88" s="400" customFormat="1" ht="23.1" customHeight="1">
      <c r="A404" s="402"/>
      <c r="B404" s="402"/>
      <c r="C404" s="402"/>
      <c r="D404" s="402"/>
      <c r="E404" s="1828" t="s">
        <v>391</v>
      </c>
      <c r="F404" s="1829"/>
      <c r="G404" s="1829"/>
      <c r="H404" s="1829"/>
      <c r="I404" s="1829"/>
      <c r="J404" s="1829"/>
      <c r="K404" s="1829"/>
      <c r="L404" s="1829"/>
      <c r="M404" s="1829"/>
      <c r="N404" s="1829"/>
      <c r="O404" s="1829"/>
      <c r="P404" s="1829"/>
      <c r="Q404" s="1929" t="s">
        <v>397</v>
      </c>
      <c r="R404" s="1866"/>
      <c r="S404" s="1866"/>
      <c r="T404" s="1866"/>
      <c r="U404" s="1866"/>
      <c r="V404" s="1866"/>
      <c r="W404" s="1866"/>
      <c r="X404" s="1866"/>
      <c r="Y404" s="1866"/>
      <c r="Z404" s="1866"/>
      <c r="AA404" s="1866"/>
      <c r="AB404" s="1867"/>
      <c r="AC404" s="1918">
        <v>0.6</v>
      </c>
      <c r="AD404" s="1918"/>
      <c r="AE404" s="1918"/>
      <c r="AF404" s="1918"/>
      <c r="AG404" s="1918"/>
      <c r="AH404" s="1918"/>
      <c r="AI404" s="1918"/>
      <c r="AJ404" s="1918"/>
      <c r="AK404" s="1829">
        <v>0.55000000000000004</v>
      </c>
      <c r="AL404" s="1829"/>
      <c r="AM404" s="1829"/>
      <c r="AN404" s="1829"/>
      <c r="AO404" s="1829"/>
      <c r="AP404" s="1829"/>
      <c r="AQ404" s="1829"/>
      <c r="AR404" s="1829"/>
      <c r="AS404" s="1929">
        <v>0.67</v>
      </c>
      <c r="AT404" s="1866"/>
      <c r="AU404" s="1866"/>
      <c r="AV404" s="1866"/>
      <c r="AW404" s="1866"/>
      <c r="AX404" s="1866"/>
      <c r="AY404" s="1866"/>
      <c r="AZ404" s="1867"/>
      <c r="BA404" s="1829">
        <v>0.45</v>
      </c>
      <c r="BB404" s="1829"/>
      <c r="BC404" s="1829"/>
      <c r="BD404" s="1829"/>
      <c r="BE404" s="1829"/>
      <c r="BF404" s="1829"/>
      <c r="BG404" s="1829"/>
      <c r="BH404" s="1829"/>
      <c r="BI404" s="1929" t="s">
        <v>398</v>
      </c>
      <c r="BJ404" s="1866"/>
      <c r="BK404" s="1866"/>
      <c r="BL404" s="1866"/>
      <c r="BM404" s="1866"/>
      <c r="BN404" s="1866"/>
      <c r="BO404" s="1865">
        <v>18</v>
      </c>
      <c r="BP404" s="1866"/>
      <c r="BQ404" s="1866"/>
      <c r="BR404" s="1866"/>
      <c r="BS404" s="1866"/>
      <c r="BT404" s="1867"/>
      <c r="BU404" s="1924">
        <f t="shared" si="38"/>
        <v>19.899999999999999</v>
      </c>
      <c r="BV404" s="1924"/>
      <c r="BW404" s="1924"/>
      <c r="BX404" s="1924"/>
      <c r="BY404" s="1924"/>
      <c r="BZ404" s="1924"/>
      <c r="CA404" s="1924"/>
      <c r="CB404" s="1924"/>
      <c r="CC404" s="1924"/>
      <c r="CD404" s="1924"/>
      <c r="CE404" s="1924"/>
      <c r="CF404" s="1925"/>
    </row>
    <row r="405" spans="1:88" s="400" customFormat="1" ht="23.1" customHeight="1">
      <c r="E405" s="1828" t="s">
        <v>391</v>
      </c>
      <c r="F405" s="1829"/>
      <c r="G405" s="1829"/>
      <c r="H405" s="1829"/>
      <c r="I405" s="1829"/>
      <c r="J405" s="1829"/>
      <c r="K405" s="1829"/>
      <c r="L405" s="1829"/>
      <c r="M405" s="1829"/>
      <c r="N405" s="1829"/>
      <c r="O405" s="1829"/>
      <c r="P405" s="1829"/>
      <c r="Q405" s="1829" t="s">
        <v>399</v>
      </c>
      <c r="R405" s="1829"/>
      <c r="S405" s="1829"/>
      <c r="T405" s="1829"/>
      <c r="U405" s="1829"/>
      <c r="V405" s="1829"/>
      <c r="W405" s="1829"/>
      <c r="X405" s="1829"/>
      <c r="Y405" s="1829"/>
      <c r="Z405" s="1829"/>
      <c r="AA405" s="1829"/>
      <c r="AB405" s="1829"/>
      <c r="AC405" s="1918">
        <v>0.7</v>
      </c>
      <c r="AD405" s="1918"/>
      <c r="AE405" s="1918"/>
      <c r="AF405" s="1918"/>
      <c r="AG405" s="1918"/>
      <c r="AH405" s="1918"/>
      <c r="AI405" s="1918"/>
      <c r="AJ405" s="1918"/>
      <c r="AK405" s="1829">
        <v>0.55000000000000004</v>
      </c>
      <c r="AL405" s="1829"/>
      <c r="AM405" s="1829"/>
      <c r="AN405" s="1829"/>
      <c r="AO405" s="1829"/>
      <c r="AP405" s="1829"/>
      <c r="AQ405" s="1829"/>
      <c r="AR405" s="1829"/>
      <c r="AS405" s="1929">
        <v>0.67</v>
      </c>
      <c r="AT405" s="1866"/>
      <c r="AU405" s="1866"/>
      <c r="AV405" s="1866"/>
      <c r="AW405" s="1866"/>
      <c r="AX405" s="1866"/>
      <c r="AY405" s="1866"/>
      <c r="AZ405" s="1867"/>
      <c r="BA405" s="1829">
        <v>0.45</v>
      </c>
      <c r="BB405" s="1829"/>
      <c r="BC405" s="1829"/>
      <c r="BD405" s="1829"/>
      <c r="BE405" s="1829"/>
      <c r="BF405" s="1829"/>
      <c r="BG405" s="1829"/>
      <c r="BH405" s="1829"/>
      <c r="BI405" s="1929" t="s">
        <v>398</v>
      </c>
      <c r="BJ405" s="1866"/>
      <c r="BK405" s="1866"/>
      <c r="BL405" s="1866"/>
      <c r="BM405" s="1866"/>
      <c r="BN405" s="1866"/>
      <c r="BO405" s="1865">
        <v>18</v>
      </c>
      <c r="BP405" s="1866"/>
      <c r="BQ405" s="1866"/>
      <c r="BR405" s="1866"/>
      <c r="BS405" s="1866"/>
      <c r="BT405" s="1867"/>
      <c r="BU405" s="1924">
        <f t="shared" si="38"/>
        <v>23.22</v>
      </c>
      <c r="BV405" s="1924"/>
      <c r="BW405" s="1924"/>
      <c r="BX405" s="1924"/>
      <c r="BY405" s="1924"/>
      <c r="BZ405" s="1924"/>
      <c r="CA405" s="1924"/>
      <c r="CB405" s="1924"/>
      <c r="CC405" s="1924"/>
      <c r="CD405" s="1924"/>
      <c r="CE405" s="1924"/>
      <c r="CF405" s="1925"/>
    </row>
    <row r="406" spans="1:88" s="400" customFormat="1" ht="23.1" customHeight="1">
      <c r="E406" s="1828" t="s">
        <v>391</v>
      </c>
      <c r="F406" s="1829"/>
      <c r="G406" s="1829"/>
      <c r="H406" s="1829"/>
      <c r="I406" s="1829"/>
      <c r="J406" s="1829"/>
      <c r="K406" s="1829"/>
      <c r="L406" s="1829"/>
      <c r="M406" s="1829"/>
      <c r="N406" s="1829"/>
      <c r="O406" s="1829"/>
      <c r="P406" s="1829"/>
      <c r="Q406" s="1829" t="s">
        <v>400</v>
      </c>
      <c r="R406" s="1829"/>
      <c r="S406" s="1829"/>
      <c r="T406" s="1829"/>
      <c r="U406" s="1829"/>
      <c r="V406" s="1829"/>
      <c r="W406" s="1829"/>
      <c r="X406" s="1829"/>
      <c r="Y406" s="1829"/>
      <c r="Z406" s="1829"/>
      <c r="AA406" s="1829"/>
      <c r="AB406" s="1829"/>
      <c r="AC406" s="1918">
        <v>0.8</v>
      </c>
      <c r="AD406" s="1918"/>
      <c r="AE406" s="1918"/>
      <c r="AF406" s="1918"/>
      <c r="AG406" s="1918"/>
      <c r="AH406" s="1918"/>
      <c r="AI406" s="1918"/>
      <c r="AJ406" s="1918"/>
      <c r="AK406" s="1829">
        <v>0.55000000000000004</v>
      </c>
      <c r="AL406" s="1829"/>
      <c r="AM406" s="1829"/>
      <c r="AN406" s="1829"/>
      <c r="AO406" s="1829"/>
      <c r="AP406" s="1829"/>
      <c r="AQ406" s="1829"/>
      <c r="AR406" s="1829"/>
      <c r="AS406" s="1929">
        <v>0.67</v>
      </c>
      <c r="AT406" s="1866"/>
      <c r="AU406" s="1866"/>
      <c r="AV406" s="1866"/>
      <c r="AW406" s="1866"/>
      <c r="AX406" s="1866"/>
      <c r="AY406" s="1866"/>
      <c r="AZ406" s="1867"/>
      <c r="BA406" s="1829">
        <v>0.45</v>
      </c>
      <c r="BB406" s="1829"/>
      <c r="BC406" s="1829"/>
      <c r="BD406" s="1829"/>
      <c r="BE406" s="1829"/>
      <c r="BF406" s="1829"/>
      <c r="BG406" s="1829"/>
      <c r="BH406" s="1829"/>
      <c r="BI406" s="1929" t="s">
        <v>398</v>
      </c>
      <c r="BJ406" s="1866"/>
      <c r="BK406" s="1866"/>
      <c r="BL406" s="1866"/>
      <c r="BM406" s="1866"/>
      <c r="BN406" s="1866"/>
      <c r="BO406" s="1865">
        <v>18</v>
      </c>
      <c r="BP406" s="1866"/>
      <c r="BQ406" s="1866"/>
      <c r="BR406" s="1866"/>
      <c r="BS406" s="1866"/>
      <c r="BT406" s="1867"/>
      <c r="BU406" s="1924">
        <f t="shared" si="38"/>
        <v>26.53</v>
      </c>
      <c r="BV406" s="1924"/>
      <c r="BW406" s="1924"/>
      <c r="BX406" s="1924"/>
      <c r="BY406" s="1924"/>
      <c r="BZ406" s="1924"/>
      <c r="CA406" s="1924"/>
      <c r="CB406" s="1924"/>
      <c r="CC406" s="1924"/>
      <c r="CD406" s="1924"/>
      <c r="CE406" s="1924"/>
      <c r="CF406" s="1925"/>
    </row>
    <row r="407" spans="1:88" s="400" customFormat="1" ht="23.1" customHeight="1">
      <c r="E407" s="1967" t="s">
        <v>391</v>
      </c>
      <c r="F407" s="1866"/>
      <c r="G407" s="1866"/>
      <c r="H407" s="1866"/>
      <c r="I407" s="1866"/>
      <c r="J407" s="1866"/>
      <c r="K407" s="1866"/>
      <c r="L407" s="1866"/>
      <c r="M407" s="1866"/>
      <c r="N407" s="1866"/>
      <c r="O407" s="1866"/>
      <c r="P407" s="1867"/>
      <c r="Q407" s="1829" t="s">
        <v>401</v>
      </c>
      <c r="R407" s="1829"/>
      <c r="S407" s="1829"/>
      <c r="T407" s="1829"/>
      <c r="U407" s="1829"/>
      <c r="V407" s="1829"/>
      <c r="W407" s="1829"/>
      <c r="X407" s="1829"/>
      <c r="Y407" s="1829"/>
      <c r="Z407" s="1829"/>
      <c r="AA407" s="1829"/>
      <c r="AB407" s="1829"/>
      <c r="AC407" s="1918">
        <v>1</v>
      </c>
      <c r="AD407" s="1918"/>
      <c r="AE407" s="1918"/>
      <c r="AF407" s="1918"/>
      <c r="AG407" s="1918"/>
      <c r="AH407" s="1918"/>
      <c r="AI407" s="1918"/>
      <c r="AJ407" s="1918"/>
      <c r="AK407" s="1829">
        <v>0.55000000000000004</v>
      </c>
      <c r="AL407" s="1829"/>
      <c r="AM407" s="1829"/>
      <c r="AN407" s="1829"/>
      <c r="AO407" s="1829"/>
      <c r="AP407" s="1829"/>
      <c r="AQ407" s="1829"/>
      <c r="AR407" s="1829"/>
      <c r="AS407" s="1929">
        <v>0.67</v>
      </c>
      <c r="AT407" s="1866"/>
      <c r="AU407" s="1866"/>
      <c r="AV407" s="1866"/>
      <c r="AW407" s="1866"/>
      <c r="AX407" s="1866"/>
      <c r="AY407" s="1866"/>
      <c r="AZ407" s="1867"/>
      <c r="BA407" s="1829">
        <v>0.45</v>
      </c>
      <c r="BB407" s="1829"/>
      <c r="BC407" s="1829"/>
      <c r="BD407" s="1829"/>
      <c r="BE407" s="1829"/>
      <c r="BF407" s="1829"/>
      <c r="BG407" s="1829"/>
      <c r="BH407" s="1829"/>
      <c r="BI407" s="1929" t="s">
        <v>398</v>
      </c>
      <c r="BJ407" s="1866"/>
      <c r="BK407" s="1866"/>
      <c r="BL407" s="1866"/>
      <c r="BM407" s="1866"/>
      <c r="BN407" s="1866"/>
      <c r="BO407" s="1865">
        <v>19</v>
      </c>
      <c r="BP407" s="1866"/>
      <c r="BQ407" s="1866"/>
      <c r="BR407" s="1866"/>
      <c r="BS407" s="1866"/>
      <c r="BT407" s="1867"/>
      <c r="BU407" s="2017">
        <f t="shared" si="38"/>
        <v>31.42</v>
      </c>
      <c r="BV407" s="2017"/>
      <c r="BW407" s="2017"/>
      <c r="BX407" s="2017"/>
      <c r="BY407" s="2017"/>
      <c r="BZ407" s="2017"/>
      <c r="CA407" s="2017"/>
      <c r="CB407" s="2017"/>
      <c r="CC407" s="2017"/>
      <c r="CD407" s="2017"/>
      <c r="CE407" s="2017"/>
      <c r="CF407" s="2018"/>
    </row>
    <row r="408" spans="1:88" s="400" customFormat="1" ht="23.1" customHeight="1">
      <c r="E408" s="1828" t="s">
        <v>391</v>
      </c>
      <c r="F408" s="1829"/>
      <c r="G408" s="1829"/>
      <c r="H408" s="1829"/>
      <c r="I408" s="1829"/>
      <c r="J408" s="1829"/>
      <c r="K408" s="1829"/>
      <c r="L408" s="1829"/>
      <c r="M408" s="1829"/>
      <c r="N408" s="1829"/>
      <c r="O408" s="1829"/>
      <c r="P408" s="1829"/>
      <c r="Q408" s="2019" t="s">
        <v>725</v>
      </c>
      <c r="R408" s="1990"/>
      <c r="S408" s="1990"/>
      <c r="T408" s="1990"/>
      <c r="U408" s="1990"/>
      <c r="V408" s="1990"/>
      <c r="W408" s="1990"/>
      <c r="X408" s="1990"/>
      <c r="Y408" s="1990"/>
      <c r="Z408" s="1990"/>
      <c r="AA408" s="1990"/>
      <c r="AB408" s="1990"/>
      <c r="AC408" s="1918">
        <v>0.2</v>
      </c>
      <c r="AD408" s="1918"/>
      <c r="AE408" s="1918"/>
      <c r="AF408" s="1918"/>
      <c r="AG408" s="1918"/>
      <c r="AH408" s="1918"/>
      <c r="AI408" s="1918"/>
      <c r="AJ408" s="1918"/>
      <c r="AK408" s="1829">
        <v>0.55000000000000004</v>
      </c>
      <c r="AL408" s="1829"/>
      <c r="AM408" s="1829"/>
      <c r="AN408" s="1829"/>
      <c r="AO408" s="1829"/>
      <c r="AP408" s="1829"/>
      <c r="AQ408" s="1829"/>
      <c r="AR408" s="1829"/>
      <c r="AS408" s="1829">
        <v>0.71</v>
      </c>
      <c r="AT408" s="1829"/>
      <c r="AU408" s="1829"/>
      <c r="AV408" s="1829"/>
      <c r="AW408" s="1829"/>
      <c r="AX408" s="1829"/>
      <c r="AY408" s="1829"/>
      <c r="AZ408" s="1829"/>
      <c r="BA408" s="1829">
        <v>0.45</v>
      </c>
      <c r="BB408" s="1829"/>
      <c r="BC408" s="1829"/>
      <c r="BD408" s="1829"/>
      <c r="BE408" s="1829"/>
      <c r="BF408" s="1829"/>
      <c r="BG408" s="1829"/>
      <c r="BH408" s="1829"/>
      <c r="BI408" s="1929" t="s">
        <v>398</v>
      </c>
      <c r="BJ408" s="1866"/>
      <c r="BK408" s="1866"/>
      <c r="BL408" s="1866"/>
      <c r="BM408" s="1866"/>
      <c r="BN408" s="1866"/>
      <c r="BO408" s="1865">
        <v>15</v>
      </c>
      <c r="BP408" s="1866"/>
      <c r="BQ408" s="1866"/>
      <c r="BR408" s="1866"/>
      <c r="BS408" s="1866"/>
      <c r="BT408" s="1867"/>
      <c r="BU408" s="2017">
        <f t="shared" si="38"/>
        <v>8.43</v>
      </c>
      <c r="BV408" s="2017"/>
      <c r="BW408" s="2017"/>
      <c r="BX408" s="2017"/>
      <c r="BY408" s="2017"/>
      <c r="BZ408" s="2017"/>
      <c r="CA408" s="2017"/>
      <c r="CB408" s="2017"/>
      <c r="CC408" s="2017"/>
      <c r="CD408" s="2017"/>
      <c r="CE408" s="2017"/>
      <c r="CF408" s="2018"/>
      <c r="CJ408" s="400" t="s">
        <v>726</v>
      </c>
    </row>
    <row r="409" spans="1:88" s="400" customFormat="1" ht="23.1" customHeight="1" thickBot="1">
      <c r="A409" s="402"/>
      <c r="B409" s="402"/>
      <c r="C409" s="402"/>
      <c r="D409" s="402"/>
      <c r="E409" s="1822" t="s">
        <v>391</v>
      </c>
      <c r="F409" s="1816"/>
      <c r="G409" s="1816"/>
      <c r="H409" s="1816"/>
      <c r="I409" s="1816"/>
      <c r="J409" s="1816"/>
      <c r="K409" s="1816"/>
      <c r="L409" s="1816"/>
      <c r="M409" s="1816"/>
      <c r="N409" s="1816"/>
      <c r="O409" s="1816"/>
      <c r="P409" s="1819"/>
      <c r="Q409" s="2016" t="s">
        <v>724</v>
      </c>
      <c r="R409" s="1992"/>
      <c r="S409" s="1992"/>
      <c r="T409" s="1992"/>
      <c r="U409" s="1992"/>
      <c r="V409" s="1992"/>
      <c r="W409" s="1992"/>
      <c r="X409" s="1992"/>
      <c r="Y409" s="1992"/>
      <c r="Z409" s="1992"/>
      <c r="AA409" s="1992"/>
      <c r="AB409" s="1992"/>
      <c r="AC409" s="1856">
        <v>0.4</v>
      </c>
      <c r="AD409" s="1856"/>
      <c r="AE409" s="1856"/>
      <c r="AF409" s="1856"/>
      <c r="AG409" s="1856"/>
      <c r="AH409" s="1856"/>
      <c r="AI409" s="1856"/>
      <c r="AJ409" s="1856"/>
      <c r="AK409" s="1855">
        <v>0.55000000000000004</v>
      </c>
      <c r="AL409" s="1855"/>
      <c r="AM409" s="1855"/>
      <c r="AN409" s="1855"/>
      <c r="AO409" s="1855"/>
      <c r="AP409" s="1855"/>
      <c r="AQ409" s="1855"/>
      <c r="AR409" s="1855"/>
      <c r="AS409" s="1855">
        <v>0.71</v>
      </c>
      <c r="AT409" s="1855"/>
      <c r="AU409" s="1855"/>
      <c r="AV409" s="1855"/>
      <c r="AW409" s="1855"/>
      <c r="AX409" s="1855"/>
      <c r="AY409" s="1855"/>
      <c r="AZ409" s="1855"/>
      <c r="BA409" s="1855">
        <v>0.45</v>
      </c>
      <c r="BB409" s="1855"/>
      <c r="BC409" s="1855"/>
      <c r="BD409" s="1855"/>
      <c r="BE409" s="1855"/>
      <c r="BF409" s="1855"/>
      <c r="BG409" s="1855"/>
      <c r="BH409" s="1855"/>
      <c r="BI409" s="1815" t="s">
        <v>398</v>
      </c>
      <c r="BJ409" s="1816"/>
      <c r="BK409" s="1816"/>
      <c r="BL409" s="1816"/>
      <c r="BM409" s="1816"/>
      <c r="BN409" s="1816"/>
      <c r="BO409" s="1818">
        <v>15</v>
      </c>
      <c r="BP409" s="1816"/>
      <c r="BQ409" s="1816"/>
      <c r="BR409" s="1816"/>
      <c r="BS409" s="1816"/>
      <c r="BT409" s="1819"/>
      <c r="BU409" s="1825">
        <f t="shared" si="38"/>
        <v>16.87</v>
      </c>
      <c r="BV409" s="1825"/>
      <c r="BW409" s="1825"/>
      <c r="BX409" s="1825"/>
      <c r="BY409" s="1825"/>
      <c r="BZ409" s="1825"/>
      <c r="CA409" s="1825"/>
      <c r="CB409" s="1825"/>
      <c r="CC409" s="1825"/>
      <c r="CD409" s="1825"/>
      <c r="CE409" s="1825"/>
      <c r="CF409" s="1826"/>
    </row>
    <row r="410" spans="1:88" s="400" customFormat="1" ht="23.1" customHeight="1">
      <c r="D410" s="405"/>
      <c r="BM410" s="404"/>
      <c r="BN410" s="404"/>
      <c r="BO410" s="404"/>
      <c r="BP410" s="404"/>
      <c r="BQ410" s="404"/>
      <c r="BR410" s="404"/>
      <c r="BS410" s="404"/>
      <c r="BT410" s="404"/>
      <c r="BU410" s="404"/>
      <c r="BV410" s="404"/>
      <c r="BW410" s="404"/>
      <c r="BX410" s="404"/>
      <c r="BY410" s="404"/>
      <c r="BZ410" s="404"/>
      <c r="CA410" s="404"/>
      <c r="CB410" s="404"/>
      <c r="CC410" s="404"/>
      <c r="CD410" s="404"/>
      <c r="CE410" s="404"/>
      <c r="CF410" s="404"/>
    </row>
    <row r="411" spans="1:88" s="400" customFormat="1" ht="23.1" customHeight="1">
      <c r="E411" s="400" t="s">
        <v>402</v>
      </c>
    </row>
    <row r="412" spans="1:88" s="400" customFormat="1" ht="9.9499999999999993" customHeight="1" thickBot="1"/>
    <row r="413" spans="1:88" s="400" customFormat="1" ht="23.1" customHeight="1">
      <c r="E413" s="1831" t="s">
        <v>385</v>
      </c>
      <c r="F413" s="1800"/>
      <c r="G413" s="1800"/>
      <c r="H413" s="1800"/>
      <c r="I413" s="1800"/>
      <c r="J413" s="1800"/>
      <c r="K413" s="1800"/>
      <c r="L413" s="1800"/>
      <c r="M413" s="1800"/>
      <c r="N413" s="1800"/>
      <c r="O413" s="1800"/>
      <c r="P413" s="1800"/>
      <c r="Q413" s="1800"/>
      <c r="R413" s="1800"/>
      <c r="S413" s="1800"/>
      <c r="T413" s="1800"/>
      <c r="U413" s="1800" t="s">
        <v>212</v>
      </c>
      <c r="V413" s="1800"/>
      <c r="W413" s="1800"/>
      <c r="X413" s="1800"/>
      <c r="Y413" s="1800"/>
      <c r="Z413" s="1800"/>
      <c r="AA413" s="1800"/>
      <c r="AB413" s="1800"/>
      <c r="AC413" s="1800" t="s">
        <v>403</v>
      </c>
      <c r="AD413" s="1800"/>
      <c r="AE413" s="1800"/>
      <c r="AF413" s="1800"/>
      <c r="AG413" s="1800"/>
      <c r="AH413" s="1800"/>
      <c r="AI413" s="1800"/>
      <c r="AJ413" s="1800"/>
      <c r="AK413" s="1800"/>
      <c r="AL413" s="1800"/>
      <c r="AM413" s="1800"/>
      <c r="AN413" s="1800"/>
      <c r="AO413" s="1800"/>
      <c r="AP413" s="1800"/>
      <c r="AQ413" s="1800"/>
      <c r="AR413" s="1800"/>
      <c r="AS413" s="1800"/>
      <c r="AT413" s="1800"/>
      <c r="AU413" s="1800"/>
      <c r="AV413" s="1800"/>
      <c r="AW413" s="1800"/>
      <c r="AX413" s="1800"/>
      <c r="AY413" s="1800"/>
      <c r="AZ413" s="1800"/>
      <c r="BA413" s="1833" t="s">
        <v>404</v>
      </c>
      <c r="BB413" s="1800"/>
      <c r="BC413" s="1800"/>
      <c r="BD413" s="1800"/>
      <c r="BE413" s="1800"/>
      <c r="BF413" s="1800"/>
      <c r="BG413" s="1800"/>
      <c r="BH413" s="1800"/>
      <c r="BI413" s="1800" t="s">
        <v>405</v>
      </c>
      <c r="BJ413" s="1800"/>
      <c r="BK413" s="1800"/>
      <c r="BL413" s="1800"/>
      <c r="BM413" s="1800"/>
      <c r="BN413" s="1800"/>
      <c r="BO413" s="1800"/>
      <c r="BP413" s="1800"/>
      <c r="BQ413" s="1800"/>
      <c r="BR413" s="1800"/>
      <c r="BS413" s="1800"/>
      <c r="BT413" s="1800"/>
      <c r="BU413" s="1800"/>
      <c r="BV413" s="1800"/>
      <c r="BW413" s="1800"/>
      <c r="BX413" s="1800"/>
      <c r="BY413" s="1800"/>
      <c r="BZ413" s="1800"/>
      <c r="CA413" s="1800"/>
      <c r="CB413" s="1800"/>
      <c r="CC413" s="1800"/>
      <c r="CD413" s="1800"/>
      <c r="CE413" s="1800"/>
      <c r="CF413" s="1801"/>
    </row>
    <row r="414" spans="1:88" s="400" customFormat="1" ht="23.1" customHeight="1" thickBot="1">
      <c r="A414" s="402"/>
      <c r="B414" s="402"/>
      <c r="C414" s="402"/>
      <c r="D414" s="402"/>
      <c r="E414" s="1832"/>
      <c r="F414" s="1786"/>
      <c r="G414" s="1786"/>
      <c r="H414" s="1786"/>
      <c r="I414" s="1786"/>
      <c r="J414" s="1786"/>
      <c r="K414" s="1786"/>
      <c r="L414" s="1786"/>
      <c r="M414" s="1786"/>
      <c r="N414" s="1786"/>
      <c r="O414" s="1786"/>
      <c r="P414" s="1786"/>
      <c r="Q414" s="1786"/>
      <c r="R414" s="1786"/>
      <c r="S414" s="1786"/>
      <c r="T414" s="1786"/>
      <c r="U414" s="1786"/>
      <c r="V414" s="1786"/>
      <c r="W414" s="1786"/>
      <c r="X414" s="1786"/>
      <c r="Y414" s="1786"/>
      <c r="Z414" s="1786"/>
      <c r="AA414" s="1786"/>
      <c r="AB414" s="1786"/>
      <c r="AC414" s="1786" t="s">
        <v>406</v>
      </c>
      <c r="AD414" s="1786"/>
      <c r="AE414" s="1786"/>
      <c r="AF414" s="1786"/>
      <c r="AG414" s="1786"/>
      <c r="AH414" s="1786"/>
      <c r="AI414" s="1786"/>
      <c r="AJ414" s="1786"/>
      <c r="AK414" s="1786" t="s">
        <v>407</v>
      </c>
      <c r="AL414" s="1786"/>
      <c r="AM414" s="1786"/>
      <c r="AN414" s="1786"/>
      <c r="AO414" s="1786"/>
      <c r="AP414" s="1786"/>
      <c r="AQ414" s="1786"/>
      <c r="AR414" s="1786"/>
      <c r="AS414" s="1786" t="s">
        <v>408</v>
      </c>
      <c r="AT414" s="1786"/>
      <c r="AU414" s="1786"/>
      <c r="AV414" s="1786"/>
      <c r="AW414" s="1786"/>
      <c r="AX414" s="1786"/>
      <c r="AY414" s="1786"/>
      <c r="AZ414" s="1786"/>
      <c r="BA414" s="1786"/>
      <c r="BB414" s="1786"/>
      <c r="BC414" s="1786"/>
      <c r="BD414" s="1786"/>
      <c r="BE414" s="1786"/>
      <c r="BF414" s="1786"/>
      <c r="BG414" s="1786"/>
      <c r="BH414" s="1786"/>
      <c r="BI414" s="1786" t="s">
        <v>406</v>
      </c>
      <c r="BJ414" s="1786"/>
      <c r="BK414" s="1786"/>
      <c r="BL414" s="1786"/>
      <c r="BM414" s="1786"/>
      <c r="BN414" s="1786"/>
      <c r="BO414" s="1786"/>
      <c r="BP414" s="1786"/>
      <c r="BQ414" s="1786" t="s">
        <v>407</v>
      </c>
      <c r="BR414" s="1786"/>
      <c r="BS414" s="1786"/>
      <c r="BT414" s="1786"/>
      <c r="BU414" s="1786"/>
      <c r="BV414" s="1786"/>
      <c r="BW414" s="1786"/>
      <c r="BX414" s="1786"/>
      <c r="BY414" s="1786" t="s">
        <v>408</v>
      </c>
      <c r="BZ414" s="1786"/>
      <c r="CA414" s="1786"/>
      <c r="CB414" s="1786"/>
      <c r="CC414" s="1786"/>
      <c r="CD414" s="1786"/>
      <c r="CE414" s="1786"/>
      <c r="CF414" s="1787"/>
    </row>
    <row r="415" spans="1:88" s="400" customFormat="1" ht="23.1" customHeight="1" thickTop="1">
      <c r="E415" s="1820" t="s">
        <v>277</v>
      </c>
      <c r="F415" s="1821"/>
      <c r="G415" s="1821"/>
      <c r="H415" s="1821"/>
      <c r="I415" s="1821"/>
      <c r="J415" s="1821"/>
      <c r="K415" s="1821"/>
      <c r="L415" s="1821"/>
      <c r="M415" s="1821"/>
      <c r="N415" s="1821"/>
      <c r="O415" s="1821"/>
      <c r="P415" s="1821"/>
      <c r="Q415" s="1821"/>
      <c r="R415" s="1821"/>
      <c r="S415" s="1821"/>
      <c r="T415" s="1821"/>
      <c r="U415" s="1821" t="s">
        <v>392</v>
      </c>
      <c r="V415" s="1821"/>
      <c r="W415" s="1821"/>
      <c r="X415" s="1821"/>
      <c r="Y415" s="1821"/>
      <c r="Z415" s="1821"/>
      <c r="AA415" s="1821"/>
      <c r="AB415" s="1821"/>
      <c r="AC415" s="1785" t="e">
        <f>#REF!</f>
        <v>#REF!</v>
      </c>
      <c r="AD415" s="1785"/>
      <c r="AE415" s="1785"/>
      <c r="AF415" s="1785"/>
      <c r="AG415" s="1785"/>
      <c r="AH415" s="1785"/>
      <c r="AI415" s="1785"/>
      <c r="AJ415" s="1785"/>
      <c r="AK415" s="1785" t="e">
        <f>#REF!</f>
        <v>#REF!</v>
      </c>
      <c r="AL415" s="1785"/>
      <c r="AM415" s="1785"/>
      <c r="AN415" s="1785"/>
      <c r="AO415" s="1785"/>
      <c r="AP415" s="1785"/>
      <c r="AQ415" s="1785"/>
      <c r="AR415" s="1785"/>
      <c r="AS415" s="1785" t="e">
        <f>#REF!</f>
        <v>#REF!</v>
      </c>
      <c r="AT415" s="1785"/>
      <c r="AU415" s="1785"/>
      <c r="AV415" s="1785"/>
      <c r="AW415" s="1785"/>
      <c r="AX415" s="1785"/>
      <c r="AY415" s="1785"/>
      <c r="AZ415" s="1785"/>
      <c r="BA415" s="1963">
        <f>BU400</f>
        <v>2.79</v>
      </c>
      <c r="BB415" s="1963"/>
      <c r="BC415" s="1963"/>
      <c r="BD415" s="1963"/>
      <c r="BE415" s="1963"/>
      <c r="BF415" s="1963"/>
      <c r="BG415" s="1963"/>
      <c r="BH415" s="1963"/>
      <c r="BI415" s="1812" t="e">
        <f t="shared" ref="BI415:BI425" si="39">INT(AC415/$BA415)</f>
        <v>#REF!</v>
      </c>
      <c r="BJ415" s="1812"/>
      <c r="BK415" s="1812"/>
      <c r="BL415" s="1812"/>
      <c r="BM415" s="1812"/>
      <c r="BN415" s="1812"/>
      <c r="BO415" s="1812"/>
      <c r="BP415" s="1812"/>
      <c r="BQ415" s="1812" t="e">
        <f t="shared" ref="BQ415:BQ425" si="40">INT(AK415/$BA415)</f>
        <v>#REF!</v>
      </c>
      <c r="BR415" s="1812"/>
      <c r="BS415" s="1812"/>
      <c r="BT415" s="1812"/>
      <c r="BU415" s="1812"/>
      <c r="BV415" s="1812"/>
      <c r="BW415" s="1812"/>
      <c r="BX415" s="1812"/>
      <c r="BY415" s="1812" t="e">
        <f t="shared" ref="BY415:BY425" si="41">INT(AS415/$BA415)</f>
        <v>#REF!</v>
      </c>
      <c r="BZ415" s="1812"/>
      <c r="CA415" s="1812"/>
      <c r="CB415" s="1812"/>
      <c r="CC415" s="1812"/>
      <c r="CD415" s="1812"/>
      <c r="CE415" s="1812"/>
      <c r="CF415" s="1813"/>
      <c r="CJ415" s="401" t="e">
        <f t="shared" ref="CJ415:CJ425" si="42">SUM(BI415:CF415)</f>
        <v>#REF!</v>
      </c>
    </row>
    <row r="416" spans="1:88" s="400" customFormat="1" ht="23.1" customHeight="1">
      <c r="E416" s="1806" t="s">
        <v>277</v>
      </c>
      <c r="F416" s="1807"/>
      <c r="G416" s="1807"/>
      <c r="H416" s="1807"/>
      <c r="I416" s="1807"/>
      <c r="J416" s="1807"/>
      <c r="K416" s="1807"/>
      <c r="L416" s="1807"/>
      <c r="M416" s="1807"/>
      <c r="N416" s="1807"/>
      <c r="O416" s="1807"/>
      <c r="P416" s="1807"/>
      <c r="Q416" s="1807"/>
      <c r="R416" s="1807"/>
      <c r="S416" s="1807"/>
      <c r="T416" s="1807"/>
      <c r="U416" s="1807" t="s">
        <v>395</v>
      </c>
      <c r="V416" s="1807"/>
      <c r="W416" s="1807"/>
      <c r="X416" s="1807"/>
      <c r="Y416" s="1807"/>
      <c r="Z416" s="1807"/>
      <c r="AA416" s="1807"/>
      <c r="AB416" s="1807"/>
      <c r="AC416" s="1814" t="e">
        <f>#REF!</f>
        <v>#REF!</v>
      </c>
      <c r="AD416" s="1814"/>
      <c r="AE416" s="1814"/>
      <c r="AF416" s="1814"/>
      <c r="AG416" s="1814"/>
      <c r="AH416" s="1814"/>
      <c r="AI416" s="1814"/>
      <c r="AJ416" s="1814"/>
      <c r="AK416" s="1814" t="e">
        <f>#REF!</f>
        <v>#REF!</v>
      </c>
      <c r="AL416" s="1814"/>
      <c r="AM416" s="1814"/>
      <c r="AN416" s="1814"/>
      <c r="AO416" s="1814"/>
      <c r="AP416" s="1814"/>
      <c r="AQ416" s="1814"/>
      <c r="AR416" s="1814"/>
      <c r="AS416" s="1814" t="e">
        <f>#REF!</f>
        <v>#REF!</v>
      </c>
      <c r="AT416" s="1814"/>
      <c r="AU416" s="1814"/>
      <c r="AV416" s="1814"/>
      <c r="AW416" s="1814"/>
      <c r="AX416" s="1814"/>
      <c r="AY416" s="1814"/>
      <c r="AZ416" s="1814"/>
      <c r="BA416" s="1797">
        <f t="shared" ref="BA416:BA421" si="43">BU402</f>
        <v>4.6399999999999997</v>
      </c>
      <c r="BB416" s="1797"/>
      <c r="BC416" s="1797"/>
      <c r="BD416" s="1797"/>
      <c r="BE416" s="1797"/>
      <c r="BF416" s="1797"/>
      <c r="BG416" s="1797"/>
      <c r="BH416" s="1797"/>
      <c r="BI416" s="1785" t="e">
        <f t="shared" si="39"/>
        <v>#REF!</v>
      </c>
      <c r="BJ416" s="1785"/>
      <c r="BK416" s="1785"/>
      <c r="BL416" s="1785"/>
      <c r="BM416" s="1785"/>
      <c r="BN416" s="1785"/>
      <c r="BO416" s="1785"/>
      <c r="BP416" s="1785"/>
      <c r="BQ416" s="1785" t="e">
        <f t="shared" si="40"/>
        <v>#REF!</v>
      </c>
      <c r="BR416" s="1785"/>
      <c r="BS416" s="1785"/>
      <c r="BT416" s="1785"/>
      <c r="BU416" s="1785"/>
      <c r="BV416" s="1785"/>
      <c r="BW416" s="1785"/>
      <c r="BX416" s="1785"/>
      <c r="BY416" s="1785" t="e">
        <f t="shared" si="41"/>
        <v>#REF!</v>
      </c>
      <c r="BZ416" s="1785"/>
      <c r="CA416" s="1785"/>
      <c r="CB416" s="1785"/>
      <c r="CC416" s="1785"/>
      <c r="CD416" s="1785"/>
      <c r="CE416" s="1785"/>
      <c r="CF416" s="1793"/>
      <c r="CJ416" s="401" t="e">
        <f t="shared" si="42"/>
        <v>#REF!</v>
      </c>
    </row>
    <row r="417" spans="1:88" s="400" customFormat="1" ht="23.1" customHeight="1">
      <c r="E417" s="1806" t="s">
        <v>277</v>
      </c>
      <c r="F417" s="1807"/>
      <c r="G417" s="1807"/>
      <c r="H417" s="1807"/>
      <c r="I417" s="1807"/>
      <c r="J417" s="1807"/>
      <c r="K417" s="1807"/>
      <c r="L417" s="1807"/>
      <c r="M417" s="1807"/>
      <c r="N417" s="1807"/>
      <c r="O417" s="1807"/>
      <c r="P417" s="1807"/>
      <c r="Q417" s="1807"/>
      <c r="R417" s="1807"/>
      <c r="S417" s="1807"/>
      <c r="T417" s="1807"/>
      <c r="U417" s="1807" t="s">
        <v>359</v>
      </c>
      <c r="V417" s="1807"/>
      <c r="W417" s="1807"/>
      <c r="X417" s="1807"/>
      <c r="Y417" s="1807"/>
      <c r="Z417" s="1807"/>
      <c r="AA417" s="1807"/>
      <c r="AB417" s="1807"/>
      <c r="AC417" s="1803" t="e">
        <f>#REF!</f>
        <v>#REF!</v>
      </c>
      <c r="AD417" s="1804"/>
      <c r="AE417" s="1804"/>
      <c r="AF417" s="1804"/>
      <c r="AG417" s="1804"/>
      <c r="AH417" s="1804"/>
      <c r="AI417" s="1804"/>
      <c r="AJ417" s="1805"/>
      <c r="AK417" s="1803" t="e">
        <f>#REF!</f>
        <v>#REF!</v>
      </c>
      <c r="AL417" s="1804"/>
      <c r="AM417" s="1804"/>
      <c r="AN417" s="1804"/>
      <c r="AO417" s="1804"/>
      <c r="AP417" s="1804"/>
      <c r="AQ417" s="1804"/>
      <c r="AR417" s="1805"/>
      <c r="AS417" s="1803" t="e">
        <f>#REF!</f>
        <v>#REF!</v>
      </c>
      <c r="AT417" s="1804"/>
      <c r="AU417" s="1804"/>
      <c r="AV417" s="1804"/>
      <c r="AW417" s="1804"/>
      <c r="AX417" s="1804"/>
      <c r="AY417" s="1804"/>
      <c r="AZ417" s="1805"/>
      <c r="BA417" s="1797">
        <f t="shared" si="43"/>
        <v>13.27</v>
      </c>
      <c r="BB417" s="1797"/>
      <c r="BC417" s="1797"/>
      <c r="BD417" s="1797"/>
      <c r="BE417" s="1797"/>
      <c r="BF417" s="1797"/>
      <c r="BG417" s="1797"/>
      <c r="BH417" s="1797"/>
      <c r="BI417" s="1785" t="e">
        <f t="shared" si="39"/>
        <v>#REF!</v>
      </c>
      <c r="BJ417" s="1785"/>
      <c r="BK417" s="1785"/>
      <c r="BL417" s="1785"/>
      <c r="BM417" s="1785"/>
      <c r="BN417" s="1785"/>
      <c r="BO417" s="1785"/>
      <c r="BP417" s="1785"/>
      <c r="BQ417" s="1785" t="e">
        <f t="shared" si="40"/>
        <v>#REF!</v>
      </c>
      <c r="BR417" s="1785"/>
      <c r="BS417" s="1785"/>
      <c r="BT417" s="1785"/>
      <c r="BU417" s="1785"/>
      <c r="BV417" s="1785"/>
      <c r="BW417" s="1785"/>
      <c r="BX417" s="1785"/>
      <c r="BY417" s="1785" t="e">
        <f t="shared" si="41"/>
        <v>#REF!</v>
      </c>
      <c r="BZ417" s="1785"/>
      <c r="CA417" s="1785"/>
      <c r="CB417" s="1785"/>
      <c r="CC417" s="1785"/>
      <c r="CD417" s="1785"/>
      <c r="CE417" s="1785"/>
      <c r="CF417" s="1793"/>
      <c r="CJ417" s="401" t="e">
        <f t="shared" si="42"/>
        <v>#REF!</v>
      </c>
    </row>
    <row r="418" spans="1:88" s="400" customFormat="1" ht="23.1" customHeight="1">
      <c r="E418" s="1806" t="s">
        <v>277</v>
      </c>
      <c r="F418" s="1807"/>
      <c r="G418" s="1807"/>
      <c r="H418" s="1807"/>
      <c r="I418" s="1807"/>
      <c r="J418" s="1807"/>
      <c r="K418" s="1807"/>
      <c r="L418" s="1807"/>
      <c r="M418" s="1807"/>
      <c r="N418" s="1807"/>
      <c r="O418" s="1807"/>
      <c r="P418" s="1807"/>
      <c r="Q418" s="1807"/>
      <c r="R418" s="1807"/>
      <c r="S418" s="1807"/>
      <c r="T418" s="1807"/>
      <c r="U418" s="1807" t="s">
        <v>397</v>
      </c>
      <c r="V418" s="1807"/>
      <c r="W418" s="1807"/>
      <c r="X418" s="1807"/>
      <c r="Y418" s="1807"/>
      <c r="Z418" s="1807"/>
      <c r="AA418" s="1807"/>
      <c r="AB418" s="1807"/>
      <c r="AC418" s="1803" t="e">
        <f>#REF!</f>
        <v>#REF!</v>
      </c>
      <c r="AD418" s="1804"/>
      <c r="AE418" s="1804"/>
      <c r="AF418" s="1804"/>
      <c r="AG418" s="1804"/>
      <c r="AH418" s="1804"/>
      <c r="AI418" s="1804"/>
      <c r="AJ418" s="1805"/>
      <c r="AK418" s="1803" t="e">
        <f>#REF!</f>
        <v>#REF!</v>
      </c>
      <c r="AL418" s="1804"/>
      <c r="AM418" s="1804"/>
      <c r="AN418" s="1804"/>
      <c r="AO418" s="1804"/>
      <c r="AP418" s="1804"/>
      <c r="AQ418" s="1804"/>
      <c r="AR418" s="1805"/>
      <c r="AS418" s="1803" t="e">
        <f>#REF!</f>
        <v>#REF!</v>
      </c>
      <c r="AT418" s="1804"/>
      <c r="AU418" s="1804"/>
      <c r="AV418" s="1804"/>
      <c r="AW418" s="1804"/>
      <c r="AX418" s="1804"/>
      <c r="AY418" s="1804"/>
      <c r="AZ418" s="1805"/>
      <c r="BA418" s="1797">
        <f t="shared" si="43"/>
        <v>19.899999999999999</v>
      </c>
      <c r="BB418" s="1797"/>
      <c r="BC418" s="1797"/>
      <c r="BD418" s="1797"/>
      <c r="BE418" s="1797"/>
      <c r="BF418" s="1797"/>
      <c r="BG418" s="1797"/>
      <c r="BH418" s="1797"/>
      <c r="BI418" s="1785" t="e">
        <f t="shared" si="39"/>
        <v>#REF!</v>
      </c>
      <c r="BJ418" s="1785"/>
      <c r="BK418" s="1785"/>
      <c r="BL418" s="1785"/>
      <c r="BM418" s="1785"/>
      <c r="BN418" s="1785"/>
      <c r="BO418" s="1785"/>
      <c r="BP418" s="1785"/>
      <c r="BQ418" s="1785" t="e">
        <f t="shared" si="40"/>
        <v>#REF!</v>
      </c>
      <c r="BR418" s="1785"/>
      <c r="BS418" s="1785"/>
      <c r="BT418" s="1785"/>
      <c r="BU418" s="1785"/>
      <c r="BV418" s="1785"/>
      <c r="BW418" s="1785"/>
      <c r="BX418" s="1785"/>
      <c r="BY418" s="1785" t="e">
        <f t="shared" si="41"/>
        <v>#REF!</v>
      </c>
      <c r="BZ418" s="1785"/>
      <c r="CA418" s="1785"/>
      <c r="CB418" s="1785"/>
      <c r="CC418" s="1785"/>
      <c r="CD418" s="1785"/>
      <c r="CE418" s="1785"/>
      <c r="CF418" s="1793"/>
      <c r="CJ418" s="401" t="e">
        <f t="shared" si="42"/>
        <v>#REF!</v>
      </c>
    </row>
    <row r="419" spans="1:88" s="400" customFormat="1" ht="23.1" customHeight="1">
      <c r="D419" s="403"/>
      <c r="E419" s="1806" t="s">
        <v>277</v>
      </c>
      <c r="F419" s="1807"/>
      <c r="G419" s="1807"/>
      <c r="H419" s="1807"/>
      <c r="I419" s="1807"/>
      <c r="J419" s="1807"/>
      <c r="K419" s="1807"/>
      <c r="L419" s="1807"/>
      <c r="M419" s="1807"/>
      <c r="N419" s="1807"/>
      <c r="O419" s="1807"/>
      <c r="P419" s="1807"/>
      <c r="Q419" s="1807"/>
      <c r="R419" s="1807"/>
      <c r="S419" s="1807"/>
      <c r="T419" s="1807"/>
      <c r="U419" s="1807" t="s">
        <v>399</v>
      </c>
      <c r="V419" s="1807"/>
      <c r="W419" s="1807"/>
      <c r="X419" s="1807"/>
      <c r="Y419" s="1807"/>
      <c r="Z419" s="1807"/>
      <c r="AA419" s="1807"/>
      <c r="AB419" s="1807"/>
      <c r="AC419" s="1803" t="e">
        <f>#REF!</f>
        <v>#REF!</v>
      </c>
      <c r="AD419" s="1804"/>
      <c r="AE419" s="1804"/>
      <c r="AF419" s="1804"/>
      <c r="AG419" s="1804"/>
      <c r="AH419" s="1804"/>
      <c r="AI419" s="1804"/>
      <c r="AJ419" s="1805"/>
      <c r="AK419" s="1803" t="e">
        <f>#REF!</f>
        <v>#REF!</v>
      </c>
      <c r="AL419" s="1804"/>
      <c r="AM419" s="1804"/>
      <c r="AN419" s="1804"/>
      <c r="AO419" s="1804"/>
      <c r="AP419" s="1804"/>
      <c r="AQ419" s="1804"/>
      <c r="AR419" s="1805"/>
      <c r="AS419" s="1803" t="e">
        <f>#REF!</f>
        <v>#REF!</v>
      </c>
      <c r="AT419" s="1804"/>
      <c r="AU419" s="1804"/>
      <c r="AV419" s="1804"/>
      <c r="AW419" s="1804"/>
      <c r="AX419" s="1804"/>
      <c r="AY419" s="1804"/>
      <c r="AZ419" s="1805"/>
      <c r="BA419" s="1797">
        <f t="shared" si="43"/>
        <v>23.22</v>
      </c>
      <c r="BB419" s="1797"/>
      <c r="BC419" s="1797"/>
      <c r="BD419" s="1797"/>
      <c r="BE419" s="1797"/>
      <c r="BF419" s="1797"/>
      <c r="BG419" s="1797"/>
      <c r="BH419" s="1797"/>
      <c r="BI419" s="1785" t="e">
        <f t="shared" si="39"/>
        <v>#REF!</v>
      </c>
      <c r="BJ419" s="1785"/>
      <c r="BK419" s="1785"/>
      <c r="BL419" s="1785"/>
      <c r="BM419" s="1785"/>
      <c r="BN419" s="1785"/>
      <c r="BO419" s="1785"/>
      <c r="BP419" s="1785"/>
      <c r="BQ419" s="1785" t="e">
        <f t="shared" si="40"/>
        <v>#REF!</v>
      </c>
      <c r="BR419" s="1785"/>
      <c r="BS419" s="1785"/>
      <c r="BT419" s="1785"/>
      <c r="BU419" s="1785"/>
      <c r="BV419" s="1785"/>
      <c r="BW419" s="1785"/>
      <c r="BX419" s="1785"/>
      <c r="BY419" s="1785" t="e">
        <f t="shared" si="41"/>
        <v>#REF!</v>
      </c>
      <c r="BZ419" s="1785"/>
      <c r="CA419" s="1785"/>
      <c r="CB419" s="1785"/>
      <c r="CC419" s="1785"/>
      <c r="CD419" s="1785"/>
      <c r="CE419" s="1785"/>
      <c r="CF419" s="1793"/>
      <c r="CJ419" s="401" t="e">
        <f t="shared" si="42"/>
        <v>#REF!</v>
      </c>
    </row>
    <row r="420" spans="1:88" s="400" customFormat="1" ht="23.1" customHeight="1">
      <c r="A420" s="402"/>
      <c r="B420" s="402"/>
      <c r="C420" s="402"/>
      <c r="D420" s="402"/>
      <c r="E420" s="1806" t="s">
        <v>277</v>
      </c>
      <c r="F420" s="1807"/>
      <c r="G420" s="1807"/>
      <c r="H420" s="1807"/>
      <c r="I420" s="1807"/>
      <c r="J420" s="1807"/>
      <c r="K420" s="1807"/>
      <c r="L420" s="1807"/>
      <c r="M420" s="1807"/>
      <c r="N420" s="1807"/>
      <c r="O420" s="1807"/>
      <c r="P420" s="1807"/>
      <c r="Q420" s="1807"/>
      <c r="R420" s="1807"/>
      <c r="S420" s="1807"/>
      <c r="T420" s="1807"/>
      <c r="U420" s="1807" t="s">
        <v>400</v>
      </c>
      <c r="V420" s="1807"/>
      <c r="W420" s="1807"/>
      <c r="X420" s="1807"/>
      <c r="Y420" s="1807"/>
      <c r="Z420" s="1807"/>
      <c r="AA420" s="1807"/>
      <c r="AB420" s="1807"/>
      <c r="AC420" s="1803" t="e">
        <f>#REF!</f>
        <v>#REF!</v>
      </c>
      <c r="AD420" s="1804"/>
      <c r="AE420" s="1804"/>
      <c r="AF420" s="1804"/>
      <c r="AG420" s="1804"/>
      <c r="AH420" s="1804"/>
      <c r="AI420" s="1804"/>
      <c r="AJ420" s="1805"/>
      <c r="AK420" s="1803" t="e">
        <f>#REF!</f>
        <v>#REF!</v>
      </c>
      <c r="AL420" s="1804"/>
      <c r="AM420" s="1804"/>
      <c r="AN420" s="1804"/>
      <c r="AO420" s="1804"/>
      <c r="AP420" s="1804"/>
      <c r="AQ420" s="1804"/>
      <c r="AR420" s="1805"/>
      <c r="AS420" s="1803" t="e">
        <f>#REF!</f>
        <v>#REF!</v>
      </c>
      <c r="AT420" s="1804"/>
      <c r="AU420" s="1804"/>
      <c r="AV420" s="1804"/>
      <c r="AW420" s="1804"/>
      <c r="AX420" s="1804"/>
      <c r="AY420" s="1804"/>
      <c r="AZ420" s="1805"/>
      <c r="BA420" s="1797">
        <f t="shared" si="43"/>
        <v>26.53</v>
      </c>
      <c r="BB420" s="1797"/>
      <c r="BC420" s="1797"/>
      <c r="BD420" s="1797"/>
      <c r="BE420" s="1797"/>
      <c r="BF420" s="1797"/>
      <c r="BG420" s="1797"/>
      <c r="BH420" s="1797"/>
      <c r="BI420" s="1785" t="e">
        <f t="shared" si="39"/>
        <v>#REF!</v>
      </c>
      <c r="BJ420" s="1785"/>
      <c r="BK420" s="1785"/>
      <c r="BL420" s="1785"/>
      <c r="BM420" s="1785"/>
      <c r="BN420" s="1785"/>
      <c r="BO420" s="1785"/>
      <c r="BP420" s="1785"/>
      <c r="BQ420" s="1785" t="e">
        <f t="shared" si="40"/>
        <v>#REF!</v>
      </c>
      <c r="BR420" s="1785"/>
      <c r="BS420" s="1785"/>
      <c r="BT420" s="1785"/>
      <c r="BU420" s="1785"/>
      <c r="BV420" s="1785"/>
      <c r="BW420" s="1785"/>
      <c r="BX420" s="1785"/>
      <c r="BY420" s="1785" t="e">
        <f t="shared" si="41"/>
        <v>#REF!</v>
      </c>
      <c r="BZ420" s="1785"/>
      <c r="CA420" s="1785"/>
      <c r="CB420" s="1785"/>
      <c r="CC420" s="1785"/>
      <c r="CD420" s="1785"/>
      <c r="CE420" s="1785"/>
      <c r="CF420" s="1793"/>
      <c r="CJ420" s="401" t="e">
        <f t="shared" si="42"/>
        <v>#REF!</v>
      </c>
    </row>
    <row r="421" spans="1:88" s="400" customFormat="1" ht="23.1" customHeight="1">
      <c r="E421" s="1806" t="s">
        <v>277</v>
      </c>
      <c r="F421" s="1807"/>
      <c r="G421" s="1807"/>
      <c r="H421" s="1807"/>
      <c r="I421" s="1807"/>
      <c r="J421" s="1807"/>
      <c r="K421" s="1807"/>
      <c r="L421" s="1807"/>
      <c r="M421" s="1807"/>
      <c r="N421" s="1807"/>
      <c r="O421" s="1807"/>
      <c r="P421" s="1807"/>
      <c r="Q421" s="1807"/>
      <c r="R421" s="1807"/>
      <c r="S421" s="1807"/>
      <c r="T421" s="1807"/>
      <c r="U421" s="1807" t="s">
        <v>401</v>
      </c>
      <c r="V421" s="1807"/>
      <c r="W421" s="1807"/>
      <c r="X421" s="1807"/>
      <c r="Y421" s="1807"/>
      <c r="Z421" s="1807"/>
      <c r="AA421" s="1807"/>
      <c r="AB421" s="1807"/>
      <c r="AC421" s="1803" t="e">
        <f>#REF!</f>
        <v>#REF!</v>
      </c>
      <c r="AD421" s="1804"/>
      <c r="AE421" s="1804"/>
      <c r="AF421" s="1804"/>
      <c r="AG421" s="1804"/>
      <c r="AH421" s="1804"/>
      <c r="AI421" s="1804"/>
      <c r="AJ421" s="1805"/>
      <c r="AK421" s="1803" t="e">
        <f>#REF!</f>
        <v>#REF!</v>
      </c>
      <c r="AL421" s="1804"/>
      <c r="AM421" s="1804"/>
      <c r="AN421" s="1804"/>
      <c r="AO421" s="1804"/>
      <c r="AP421" s="1804"/>
      <c r="AQ421" s="1804"/>
      <c r="AR421" s="1805"/>
      <c r="AS421" s="1803" t="e">
        <f>#REF!</f>
        <v>#REF!</v>
      </c>
      <c r="AT421" s="1804"/>
      <c r="AU421" s="1804"/>
      <c r="AV421" s="1804"/>
      <c r="AW421" s="1804"/>
      <c r="AX421" s="1804"/>
      <c r="AY421" s="1804"/>
      <c r="AZ421" s="1805"/>
      <c r="BA421" s="1797">
        <f t="shared" si="43"/>
        <v>31.42</v>
      </c>
      <c r="BB421" s="1797"/>
      <c r="BC421" s="1797"/>
      <c r="BD421" s="1797"/>
      <c r="BE421" s="1797"/>
      <c r="BF421" s="1797"/>
      <c r="BG421" s="1797"/>
      <c r="BH421" s="1797"/>
      <c r="BI421" s="1785" t="e">
        <f t="shared" si="39"/>
        <v>#REF!</v>
      </c>
      <c r="BJ421" s="1785"/>
      <c r="BK421" s="1785"/>
      <c r="BL421" s="1785"/>
      <c r="BM421" s="1785"/>
      <c r="BN421" s="1785"/>
      <c r="BO421" s="1785"/>
      <c r="BP421" s="1785"/>
      <c r="BQ421" s="1785" t="e">
        <f t="shared" si="40"/>
        <v>#REF!</v>
      </c>
      <c r="BR421" s="1785"/>
      <c r="BS421" s="1785"/>
      <c r="BT421" s="1785"/>
      <c r="BU421" s="1785"/>
      <c r="BV421" s="1785"/>
      <c r="BW421" s="1785"/>
      <c r="BX421" s="1785"/>
      <c r="BY421" s="1785" t="e">
        <f t="shared" si="41"/>
        <v>#REF!</v>
      </c>
      <c r="BZ421" s="1785"/>
      <c r="CA421" s="1785"/>
      <c r="CB421" s="1785"/>
      <c r="CC421" s="1785"/>
      <c r="CD421" s="1785"/>
      <c r="CE421" s="1785"/>
      <c r="CF421" s="1793"/>
      <c r="CJ421" s="401" t="e">
        <f t="shared" si="42"/>
        <v>#REF!</v>
      </c>
    </row>
    <row r="422" spans="1:88" s="400" customFormat="1" ht="23.1" customHeight="1">
      <c r="E422" s="1806" t="s">
        <v>409</v>
      </c>
      <c r="F422" s="1807"/>
      <c r="G422" s="1807"/>
      <c r="H422" s="1807"/>
      <c r="I422" s="1807"/>
      <c r="J422" s="1807"/>
      <c r="K422" s="1807"/>
      <c r="L422" s="1807"/>
      <c r="M422" s="1807"/>
      <c r="N422" s="1807"/>
      <c r="O422" s="1807"/>
      <c r="P422" s="1807"/>
      <c r="Q422" s="1807"/>
      <c r="R422" s="1807"/>
      <c r="S422" s="1807"/>
      <c r="T422" s="1807"/>
      <c r="U422" s="1807" t="s">
        <v>394</v>
      </c>
      <c r="V422" s="1807"/>
      <c r="W422" s="1807"/>
      <c r="X422" s="1807"/>
      <c r="Y422" s="1807"/>
      <c r="Z422" s="1807"/>
      <c r="AA422" s="1807"/>
      <c r="AB422" s="1807"/>
      <c r="AC422" s="1803" t="e">
        <f>#REF!</f>
        <v>#REF!</v>
      </c>
      <c r="AD422" s="1804"/>
      <c r="AE422" s="1804"/>
      <c r="AF422" s="1804"/>
      <c r="AG422" s="1804"/>
      <c r="AH422" s="1804"/>
      <c r="AI422" s="1804"/>
      <c r="AJ422" s="1805"/>
      <c r="AK422" s="1803" t="e">
        <f>#REF!</f>
        <v>#REF!</v>
      </c>
      <c r="AL422" s="1804"/>
      <c r="AM422" s="1804"/>
      <c r="AN422" s="1804"/>
      <c r="AO422" s="1804"/>
      <c r="AP422" s="1804"/>
      <c r="AQ422" s="1804"/>
      <c r="AR422" s="1805"/>
      <c r="AS422" s="1803" t="e">
        <f>#REF!</f>
        <v>#REF!</v>
      </c>
      <c r="AT422" s="1804"/>
      <c r="AU422" s="1804"/>
      <c r="AV422" s="1804"/>
      <c r="AW422" s="1804"/>
      <c r="AX422" s="1804"/>
      <c r="AY422" s="1804"/>
      <c r="AZ422" s="1805"/>
      <c r="BA422" s="1797">
        <f>BU401</f>
        <v>4.18</v>
      </c>
      <c r="BB422" s="1797"/>
      <c r="BC422" s="1797"/>
      <c r="BD422" s="1797"/>
      <c r="BE422" s="1797"/>
      <c r="BF422" s="1797"/>
      <c r="BG422" s="1797"/>
      <c r="BH422" s="1797"/>
      <c r="BI422" s="1785" t="e">
        <f t="shared" si="39"/>
        <v>#REF!</v>
      </c>
      <c r="BJ422" s="1785"/>
      <c r="BK422" s="1785"/>
      <c r="BL422" s="1785"/>
      <c r="BM422" s="1785"/>
      <c r="BN422" s="1785"/>
      <c r="BO422" s="1785"/>
      <c r="BP422" s="1785"/>
      <c r="BQ422" s="1785" t="e">
        <f t="shared" si="40"/>
        <v>#REF!</v>
      </c>
      <c r="BR422" s="1785"/>
      <c r="BS422" s="1785"/>
      <c r="BT422" s="1785"/>
      <c r="BU422" s="1785"/>
      <c r="BV422" s="1785"/>
      <c r="BW422" s="1785"/>
      <c r="BX422" s="1785"/>
      <c r="BY422" s="1785" t="e">
        <f t="shared" si="41"/>
        <v>#REF!</v>
      </c>
      <c r="BZ422" s="1785"/>
      <c r="CA422" s="1785"/>
      <c r="CB422" s="1785"/>
      <c r="CC422" s="1785"/>
      <c r="CD422" s="1785"/>
      <c r="CE422" s="1785"/>
      <c r="CF422" s="1793"/>
      <c r="CJ422" s="401" t="e">
        <f t="shared" si="42"/>
        <v>#REF!</v>
      </c>
    </row>
    <row r="423" spans="1:88" s="400" customFormat="1" ht="23.1" customHeight="1">
      <c r="E423" s="1806" t="s">
        <v>409</v>
      </c>
      <c r="F423" s="1807"/>
      <c r="G423" s="1807"/>
      <c r="H423" s="1807"/>
      <c r="I423" s="1807"/>
      <c r="J423" s="1807"/>
      <c r="K423" s="1807"/>
      <c r="L423" s="1807"/>
      <c r="M423" s="1807"/>
      <c r="N423" s="1807"/>
      <c r="O423" s="1807"/>
      <c r="P423" s="1807"/>
      <c r="Q423" s="1807"/>
      <c r="R423" s="1807"/>
      <c r="S423" s="1807"/>
      <c r="T423" s="1807"/>
      <c r="U423" s="1807" t="s">
        <v>397</v>
      </c>
      <c r="V423" s="1807"/>
      <c r="W423" s="1807"/>
      <c r="X423" s="1807"/>
      <c r="Y423" s="1807"/>
      <c r="Z423" s="1807"/>
      <c r="AA423" s="1807"/>
      <c r="AB423" s="1807"/>
      <c r="AC423" s="1814" t="e">
        <f>#REF!</f>
        <v>#REF!</v>
      </c>
      <c r="AD423" s="1814"/>
      <c r="AE423" s="1814"/>
      <c r="AF423" s="1814"/>
      <c r="AG423" s="1814"/>
      <c r="AH423" s="1814"/>
      <c r="AI423" s="1814"/>
      <c r="AJ423" s="1814"/>
      <c r="AK423" s="1814" t="e">
        <f>#REF!</f>
        <v>#REF!</v>
      </c>
      <c r="AL423" s="1814"/>
      <c r="AM423" s="1814"/>
      <c r="AN423" s="1814"/>
      <c r="AO423" s="1814"/>
      <c r="AP423" s="1814"/>
      <c r="AQ423" s="1814"/>
      <c r="AR423" s="1814"/>
      <c r="AS423" s="1814" t="e">
        <f>#REF!</f>
        <v>#REF!</v>
      </c>
      <c r="AT423" s="1814"/>
      <c r="AU423" s="1814"/>
      <c r="AV423" s="1814"/>
      <c r="AW423" s="1814"/>
      <c r="AX423" s="1814"/>
      <c r="AY423" s="1814"/>
      <c r="AZ423" s="1814"/>
      <c r="BA423" s="1797">
        <f>BU404</f>
        <v>19.899999999999999</v>
      </c>
      <c r="BB423" s="1797"/>
      <c r="BC423" s="1797"/>
      <c r="BD423" s="1797"/>
      <c r="BE423" s="1797"/>
      <c r="BF423" s="1797"/>
      <c r="BG423" s="1797"/>
      <c r="BH423" s="1797"/>
      <c r="BI423" s="1814" t="e">
        <f t="shared" si="39"/>
        <v>#REF!</v>
      </c>
      <c r="BJ423" s="1814"/>
      <c r="BK423" s="1814"/>
      <c r="BL423" s="1814"/>
      <c r="BM423" s="1814"/>
      <c r="BN423" s="1814"/>
      <c r="BO423" s="1814"/>
      <c r="BP423" s="1814"/>
      <c r="BQ423" s="1814" t="e">
        <f t="shared" si="40"/>
        <v>#REF!</v>
      </c>
      <c r="BR423" s="1814"/>
      <c r="BS423" s="1814"/>
      <c r="BT423" s="1814"/>
      <c r="BU423" s="1814"/>
      <c r="BV423" s="1814"/>
      <c r="BW423" s="1814"/>
      <c r="BX423" s="1814"/>
      <c r="BY423" s="1814" t="e">
        <f t="shared" si="41"/>
        <v>#REF!</v>
      </c>
      <c r="BZ423" s="1814"/>
      <c r="CA423" s="1814"/>
      <c r="CB423" s="1814"/>
      <c r="CC423" s="1814"/>
      <c r="CD423" s="1814"/>
      <c r="CE423" s="1814"/>
      <c r="CF423" s="1928"/>
      <c r="CJ423" s="401" t="e">
        <f t="shared" si="42"/>
        <v>#REF!</v>
      </c>
    </row>
    <row r="424" spans="1:88" s="400" customFormat="1" ht="23.1" customHeight="1">
      <c r="E424" s="1806" t="s">
        <v>277</v>
      </c>
      <c r="F424" s="1807"/>
      <c r="G424" s="1807"/>
      <c r="H424" s="1807"/>
      <c r="I424" s="1807"/>
      <c r="J424" s="1807"/>
      <c r="K424" s="1807"/>
      <c r="L424" s="1807"/>
      <c r="M424" s="1807"/>
      <c r="N424" s="1807"/>
      <c r="O424" s="1807"/>
      <c r="P424" s="1807"/>
      <c r="Q424" s="1807"/>
      <c r="R424" s="1807"/>
      <c r="S424" s="1807"/>
      <c r="T424" s="1807"/>
      <c r="U424" s="2012" t="s">
        <v>725</v>
      </c>
      <c r="V424" s="2013"/>
      <c r="W424" s="2013"/>
      <c r="X424" s="2013"/>
      <c r="Y424" s="2013"/>
      <c r="Z424" s="2013"/>
      <c r="AA424" s="2013"/>
      <c r="AB424" s="2013"/>
      <c r="AC424" s="1814" t="e">
        <f>#REF!</f>
        <v>#REF!</v>
      </c>
      <c r="AD424" s="1814"/>
      <c r="AE424" s="1814"/>
      <c r="AF424" s="1814"/>
      <c r="AG424" s="1814"/>
      <c r="AH424" s="1814"/>
      <c r="AI424" s="1814"/>
      <c r="AJ424" s="1814"/>
      <c r="AK424" s="1814" t="e">
        <f>#REF!</f>
        <v>#REF!</v>
      </c>
      <c r="AL424" s="1814"/>
      <c r="AM424" s="1814"/>
      <c r="AN424" s="1814"/>
      <c r="AO424" s="1814"/>
      <c r="AP424" s="1814"/>
      <c r="AQ424" s="1814"/>
      <c r="AR424" s="1814"/>
      <c r="AS424" s="1814" t="e">
        <f>#REF!</f>
        <v>#REF!</v>
      </c>
      <c r="AT424" s="1814"/>
      <c r="AU424" s="1814"/>
      <c r="AV424" s="1814"/>
      <c r="AW424" s="1814"/>
      <c r="AX424" s="1814"/>
      <c r="AY424" s="1814"/>
      <c r="AZ424" s="1814"/>
      <c r="BA424" s="1797">
        <f>BU408</f>
        <v>8.43</v>
      </c>
      <c r="BB424" s="1797"/>
      <c r="BC424" s="1797"/>
      <c r="BD424" s="1797"/>
      <c r="BE424" s="1797"/>
      <c r="BF424" s="1797"/>
      <c r="BG424" s="1797"/>
      <c r="BH424" s="1797"/>
      <c r="BI424" s="1814" t="e">
        <f t="shared" si="39"/>
        <v>#REF!</v>
      </c>
      <c r="BJ424" s="1814"/>
      <c r="BK424" s="1814"/>
      <c r="BL424" s="1814"/>
      <c r="BM424" s="1814"/>
      <c r="BN424" s="1814"/>
      <c r="BO424" s="1814"/>
      <c r="BP424" s="1814"/>
      <c r="BQ424" s="1814" t="e">
        <f t="shared" si="40"/>
        <v>#REF!</v>
      </c>
      <c r="BR424" s="1814"/>
      <c r="BS424" s="1814"/>
      <c r="BT424" s="1814"/>
      <c r="BU424" s="1814"/>
      <c r="BV424" s="1814"/>
      <c r="BW424" s="1814"/>
      <c r="BX424" s="1814"/>
      <c r="BY424" s="1814" t="e">
        <f t="shared" si="41"/>
        <v>#REF!</v>
      </c>
      <c r="BZ424" s="1814"/>
      <c r="CA424" s="1814"/>
      <c r="CB424" s="1814"/>
      <c r="CC424" s="1814"/>
      <c r="CD424" s="1814"/>
      <c r="CE424" s="1814"/>
      <c r="CF424" s="1928"/>
      <c r="CJ424" s="401" t="e">
        <f t="shared" si="42"/>
        <v>#REF!</v>
      </c>
    </row>
    <row r="425" spans="1:88" s="400" customFormat="1" ht="23.1" customHeight="1" thickBot="1">
      <c r="E425" s="1794" t="s">
        <v>277</v>
      </c>
      <c r="F425" s="1795"/>
      <c r="G425" s="1795"/>
      <c r="H425" s="1795"/>
      <c r="I425" s="1795"/>
      <c r="J425" s="1795"/>
      <c r="K425" s="1795"/>
      <c r="L425" s="1795"/>
      <c r="M425" s="1795"/>
      <c r="N425" s="1795"/>
      <c r="O425" s="1795"/>
      <c r="P425" s="1795"/>
      <c r="Q425" s="1795"/>
      <c r="R425" s="1795"/>
      <c r="S425" s="1795"/>
      <c r="T425" s="1795"/>
      <c r="U425" s="2014" t="s">
        <v>724</v>
      </c>
      <c r="V425" s="2015"/>
      <c r="W425" s="2015"/>
      <c r="X425" s="2015"/>
      <c r="Y425" s="2015"/>
      <c r="Z425" s="2015"/>
      <c r="AA425" s="2015"/>
      <c r="AB425" s="2015"/>
      <c r="AC425" s="1796" t="e">
        <f>#REF!</f>
        <v>#REF!</v>
      </c>
      <c r="AD425" s="1796"/>
      <c r="AE425" s="1796"/>
      <c r="AF425" s="1796"/>
      <c r="AG425" s="1796"/>
      <c r="AH425" s="1796"/>
      <c r="AI425" s="1796"/>
      <c r="AJ425" s="1796"/>
      <c r="AK425" s="1796" t="e">
        <f>#REF!</f>
        <v>#REF!</v>
      </c>
      <c r="AL425" s="1796"/>
      <c r="AM425" s="1796"/>
      <c r="AN425" s="1796"/>
      <c r="AO425" s="1796"/>
      <c r="AP425" s="1796"/>
      <c r="AQ425" s="1796"/>
      <c r="AR425" s="1796"/>
      <c r="AS425" s="1796" t="e">
        <f>#REF!</f>
        <v>#REF!</v>
      </c>
      <c r="AT425" s="1796"/>
      <c r="AU425" s="1796"/>
      <c r="AV425" s="1796"/>
      <c r="AW425" s="1796"/>
      <c r="AX425" s="1796"/>
      <c r="AY425" s="1796"/>
      <c r="AZ425" s="1796"/>
      <c r="BA425" s="1783">
        <f>BU409</f>
        <v>16.87</v>
      </c>
      <c r="BB425" s="1783"/>
      <c r="BC425" s="1783"/>
      <c r="BD425" s="1783"/>
      <c r="BE425" s="1783"/>
      <c r="BF425" s="1783"/>
      <c r="BG425" s="1783"/>
      <c r="BH425" s="1783"/>
      <c r="BI425" s="1796" t="e">
        <f t="shared" si="39"/>
        <v>#REF!</v>
      </c>
      <c r="BJ425" s="1796"/>
      <c r="BK425" s="1796"/>
      <c r="BL425" s="1796"/>
      <c r="BM425" s="1796"/>
      <c r="BN425" s="1796"/>
      <c r="BO425" s="1796"/>
      <c r="BP425" s="1796"/>
      <c r="BQ425" s="1796" t="e">
        <f t="shared" si="40"/>
        <v>#REF!</v>
      </c>
      <c r="BR425" s="1796"/>
      <c r="BS425" s="1796"/>
      <c r="BT425" s="1796"/>
      <c r="BU425" s="1796"/>
      <c r="BV425" s="1796"/>
      <c r="BW425" s="1796"/>
      <c r="BX425" s="1796"/>
      <c r="BY425" s="1796" t="e">
        <f t="shared" si="41"/>
        <v>#REF!</v>
      </c>
      <c r="BZ425" s="1796"/>
      <c r="CA425" s="1796"/>
      <c r="CB425" s="1796"/>
      <c r="CC425" s="1796"/>
      <c r="CD425" s="1796"/>
      <c r="CE425" s="1796"/>
      <c r="CF425" s="1827"/>
      <c r="CJ425" s="401" t="e">
        <f t="shared" si="42"/>
        <v>#REF!</v>
      </c>
    </row>
    <row r="426" spans="1:88" s="400" customFormat="1" ht="23.1" customHeight="1"/>
    <row r="427" spans="1:88" s="412" customFormat="1" ht="28.35" customHeight="1">
      <c r="A427" s="1877" t="s">
        <v>512</v>
      </c>
      <c r="B427" s="1877"/>
      <c r="C427" s="1877"/>
      <c r="D427" s="1877"/>
      <c r="E427" s="1877"/>
      <c r="F427" s="1877"/>
      <c r="G427" s="1877"/>
      <c r="H427" s="1877"/>
      <c r="I427" s="1877"/>
      <c r="J427" s="1877"/>
      <c r="K427" s="1877"/>
      <c r="L427" s="1877"/>
      <c r="M427" s="1877"/>
      <c r="N427" s="1877"/>
      <c r="O427" s="1877"/>
      <c r="P427" s="1877"/>
      <c r="Q427" s="1877"/>
      <c r="R427" s="1877"/>
      <c r="S427" s="1877"/>
      <c r="T427" s="1877"/>
      <c r="U427" s="1877"/>
      <c r="V427" s="1877"/>
      <c r="W427" s="1877"/>
      <c r="X427" s="1877"/>
      <c r="Y427" s="1877"/>
      <c r="Z427" s="1877"/>
      <c r="AA427" s="1877"/>
      <c r="AB427" s="1877"/>
      <c r="AC427" s="1877"/>
      <c r="AD427" s="1877"/>
      <c r="AE427" s="1877"/>
      <c r="AF427" s="1877"/>
      <c r="AG427" s="1877"/>
      <c r="AH427" s="1877"/>
      <c r="AI427" s="1877"/>
      <c r="AJ427" s="1877"/>
      <c r="AK427" s="1877"/>
      <c r="AL427" s="1877"/>
      <c r="AM427" s="1877"/>
      <c r="AN427" s="1877"/>
      <c r="AO427" s="1877"/>
      <c r="AP427" s="1877"/>
      <c r="AQ427" s="1877"/>
      <c r="AR427" s="1877"/>
      <c r="AS427" s="1877"/>
      <c r="AT427" s="1877"/>
      <c r="AU427" s="1877"/>
      <c r="AV427" s="1877"/>
      <c r="AW427" s="1877"/>
      <c r="AX427" s="1877"/>
      <c r="AY427" s="1877"/>
      <c r="AZ427" s="1877"/>
      <c r="BA427" s="1877"/>
      <c r="BB427" s="1877"/>
      <c r="BC427" s="1877"/>
      <c r="BD427" s="1877"/>
      <c r="BE427" s="1877"/>
      <c r="BF427" s="1877"/>
      <c r="BG427" s="1877"/>
      <c r="BH427" s="1877"/>
      <c r="BI427" s="1877"/>
      <c r="BJ427" s="1877"/>
      <c r="BK427" s="1877"/>
      <c r="BL427" s="1877"/>
      <c r="BM427" s="1877"/>
      <c r="BN427" s="1877"/>
      <c r="BO427" s="1877"/>
      <c r="BP427" s="1877"/>
      <c r="BQ427" s="1877"/>
      <c r="BR427" s="1877"/>
      <c r="BS427" s="1877"/>
      <c r="BT427" s="1877"/>
      <c r="BU427" s="1877"/>
      <c r="BV427" s="1877"/>
      <c r="BW427" s="1877"/>
      <c r="BX427" s="1877"/>
      <c r="BY427" s="1877"/>
      <c r="BZ427" s="1877"/>
      <c r="CA427" s="1877"/>
      <c r="CB427" s="1877"/>
      <c r="CC427" s="1877"/>
      <c r="CD427" s="1877"/>
      <c r="CE427" s="1877"/>
      <c r="CF427" s="1877"/>
      <c r="CJ427" s="400" t="s">
        <v>721</v>
      </c>
    </row>
    <row r="428" spans="1:88" s="412" customFormat="1" ht="9.9499999999999993" customHeight="1">
      <c r="A428" s="413"/>
      <c r="B428" s="413"/>
      <c r="C428" s="413"/>
      <c r="D428" s="413"/>
      <c r="E428" s="413"/>
      <c r="F428" s="413"/>
      <c r="G428" s="413"/>
      <c r="H428" s="413"/>
      <c r="I428" s="413"/>
      <c r="J428" s="413"/>
      <c r="K428" s="413"/>
      <c r="L428" s="413"/>
      <c r="M428" s="413"/>
      <c r="N428" s="413"/>
      <c r="O428" s="413"/>
      <c r="P428" s="413"/>
      <c r="Q428" s="413"/>
      <c r="R428" s="413"/>
      <c r="S428" s="413"/>
      <c r="T428" s="413"/>
      <c r="U428" s="413"/>
      <c r="V428" s="413"/>
      <c r="W428" s="413"/>
      <c r="X428" s="413"/>
      <c r="Y428" s="413"/>
      <c r="Z428" s="413"/>
      <c r="AA428" s="413"/>
      <c r="AB428" s="413"/>
      <c r="AC428" s="413"/>
      <c r="AD428" s="413"/>
      <c r="AE428" s="413"/>
      <c r="AF428" s="413"/>
      <c r="AG428" s="413"/>
      <c r="AH428" s="413"/>
      <c r="AI428" s="413"/>
      <c r="AJ428" s="413"/>
      <c r="AK428" s="413"/>
      <c r="AL428" s="413"/>
      <c r="AM428" s="413"/>
      <c r="AN428" s="413"/>
      <c r="AO428" s="413"/>
      <c r="AP428" s="413"/>
      <c r="AQ428" s="413"/>
      <c r="AR428" s="413"/>
      <c r="AS428" s="413"/>
      <c r="AT428" s="413"/>
      <c r="AU428" s="413"/>
      <c r="AV428" s="413"/>
      <c r="AW428" s="413"/>
      <c r="AX428" s="413"/>
      <c r="AY428" s="413"/>
      <c r="AZ428" s="413"/>
      <c r="BA428" s="413"/>
      <c r="BB428" s="413"/>
      <c r="BC428" s="413"/>
      <c r="BD428" s="413"/>
      <c r="BE428" s="413"/>
      <c r="BF428" s="413"/>
      <c r="BG428" s="413"/>
      <c r="BH428" s="413"/>
      <c r="BI428" s="413"/>
      <c r="BJ428" s="413"/>
      <c r="BK428" s="413"/>
      <c r="BL428" s="413"/>
      <c r="BM428" s="413"/>
      <c r="BN428" s="413"/>
      <c r="BO428" s="413"/>
      <c r="BP428" s="413"/>
      <c r="BQ428" s="413"/>
      <c r="BR428" s="413"/>
      <c r="BS428" s="413"/>
      <c r="BT428" s="413"/>
      <c r="BU428" s="413"/>
      <c r="BV428" s="413"/>
      <c r="BW428" s="413"/>
      <c r="BX428" s="413"/>
      <c r="BY428" s="413"/>
      <c r="BZ428" s="413"/>
      <c r="CA428" s="413"/>
      <c r="CB428" s="413"/>
      <c r="CC428" s="413"/>
      <c r="CD428" s="413"/>
      <c r="CE428" s="413"/>
      <c r="CF428" s="413"/>
      <c r="CJ428" s="400" t="s">
        <v>720</v>
      </c>
    </row>
    <row r="429" spans="1:88" s="400" customFormat="1" ht="21.95" customHeight="1">
      <c r="E429" s="400" t="s">
        <v>376</v>
      </c>
      <c r="CJ429" s="400" t="s">
        <v>723</v>
      </c>
    </row>
    <row r="430" spans="1:88" s="400" customFormat="1" ht="21.95" customHeight="1">
      <c r="A430" s="402"/>
      <c r="B430" s="402"/>
      <c r="C430" s="402"/>
      <c r="D430" s="402"/>
      <c r="G430" s="1788" t="s">
        <v>377</v>
      </c>
      <c r="H430" s="1788"/>
      <c r="I430" s="1788"/>
      <c r="J430" s="1788"/>
      <c r="L430" s="411" t="s">
        <v>378</v>
      </c>
      <c r="M430" s="411"/>
      <c r="N430" s="411"/>
      <c r="O430" s="411"/>
      <c r="P430" s="411"/>
      <c r="Q430" s="411"/>
      <c r="R430" s="411"/>
      <c r="S430" s="411"/>
      <c r="T430" s="411"/>
      <c r="U430" s="411"/>
      <c r="V430" s="411"/>
      <c r="W430" s="411"/>
      <c r="X430" s="411"/>
      <c r="Y430" s="411"/>
      <c r="Z430" s="411"/>
      <c r="AA430" s="411"/>
      <c r="AB430" s="411"/>
      <c r="AC430" s="411"/>
      <c r="AD430" s="411"/>
      <c r="AE430" s="411"/>
      <c r="AM430" s="400" t="s">
        <v>379</v>
      </c>
      <c r="AV430" s="408"/>
      <c r="AW430" s="408"/>
      <c r="AX430" s="408"/>
      <c r="AY430" s="408"/>
      <c r="AZ430" s="408"/>
      <c r="BA430" s="408"/>
      <c r="BC430" s="408"/>
      <c r="BD430" s="408"/>
      <c r="BE430" s="404"/>
      <c r="BF430" s="404"/>
      <c r="BG430" s="404"/>
      <c r="BH430" s="404"/>
      <c r="BI430" s="400" t="s">
        <v>380</v>
      </c>
      <c r="BJ430" s="404"/>
      <c r="BK430" s="404"/>
      <c r="BL430" s="404"/>
      <c r="BM430" s="404"/>
      <c r="BN430" s="404"/>
      <c r="BO430" s="404"/>
      <c r="BP430" s="404"/>
      <c r="BQ430" s="404"/>
      <c r="BR430" s="404"/>
      <c r="BS430" s="404"/>
      <c r="BT430" s="404"/>
      <c r="BU430" s="404"/>
      <c r="BV430" s="404"/>
      <c r="BW430" s="404"/>
      <c r="BX430" s="404"/>
      <c r="BY430" s="404"/>
      <c r="BZ430" s="404"/>
      <c r="CA430" s="404"/>
      <c r="CB430" s="404"/>
      <c r="CC430" s="404"/>
      <c r="CD430" s="404"/>
      <c r="CE430" s="404"/>
      <c r="CF430" s="404"/>
      <c r="CJ430" s="400" t="s">
        <v>718</v>
      </c>
    </row>
    <row r="431" spans="1:88" s="400" customFormat="1" ht="21.95" customHeight="1">
      <c r="D431" s="405"/>
      <c r="G431" s="1788"/>
      <c r="H431" s="1788"/>
      <c r="I431" s="1788"/>
      <c r="J431" s="1788"/>
      <c r="L431" s="1809" t="s">
        <v>381</v>
      </c>
      <c r="M431" s="1809"/>
      <c r="N431" s="1809"/>
      <c r="O431" s="1809"/>
      <c r="P431" s="1809"/>
      <c r="Q431" s="1809"/>
      <c r="R431" s="1809"/>
      <c r="S431" s="1809"/>
      <c r="T431" s="1809"/>
      <c r="U431" s="1809"/>
      <c r="V431" s="1809"/>
      <c r="W431" s="1809"/>
      <c r="X431" s="1809"/>
      <c r="Y431" s="1809"/>
      <c r="Z431" s="1809"/>
      <c r="AA431" s="1809"/>
      <c r="AB431" s="1809"/>
      <c r="AC431" s="1809"/>
      <c r="AD431" s="1809"/>
      <c r="AE431" s="1809"/>
      <c r="AM431" s="408" t="s">
        <v>382</v>
      </c>
      <c r="AV431" s="408"/>
      <c r="AW431" s="408"/>
      <c r="AX431" s="408"/>
      <c r="AY431" s="408"/>
      <c r="AZ431" s="408"/>
      <c r="BA431" s="408"/>
      <c r="BC431" s="408"/>
      <c r="BD431" s="408"/>
      <c r="BE431" s="404"/>
      <c r="BF431" s="404"/>
      <c r="BG431" s="404"/>
      <c r="BH431" s="404"/>
      <c r="BI431" s="404"/>
      <c r="BJ431" s="404"/>
      <c r="BK431" s="404"/>
      <c r="BL431" s="404"/>
      <c r="BM431" s="404"/>
      <c r="BN431" s="404"/>
      <c r="BO431" s="404"/>
      <c r="BP431" s="404"/>
      <c r="BQ431" s="404"/>
      <c r="BR431" s="404"/>
      <c r="BS431" s="404"/>
      <c r="BT431" s="404"/>
      <c r="BU431" s="404"/>
      <c r="BV431" s="404"/>
      <c r="BW431" s="404"/>
      <c r="BX431" s="404"/>
      <c r="BY431" s="404"/>
      <c r="BZ431" s="404"/>
      <c r="CA431" s="404"/>
      <c r="CB431" s="404"/>
      <c r="CC431" s="404"/>
      <c r="CD431" s="404"/>
      <c r="CE431" s="404"/>
      <c r="CF431" s="404"/>
      <c r="CJ431" s="400" t="s">
        <v>717</v>
      </c>
    </row>
    <row r="432" spans="1:88" s="400" customFormat="1" ht="21.95" customHeight="1">
      <c r="G432" s="402"/>
      <c r="AM432" s="408" t="s">
        <v>383</v>
      </c>
      <c r="BI432" s="400" t="s">
        <v>384</v>
      </c>
      <c r="BT432" s="410"/>
      <c r="BU432" s="410"/>
      <c r="BV432" s="410"/>
      <c r="BW432" s="410"/>
      <c r="BX432" s="410"/>
      <c r="BY432" s="410"/>
      <c r="BZ432" s="410"/>
      <c r="CA432" s="410"/>
      <c r="CB432" s="410"/>
      <c r="CC432" s="410"/>
      <c r="CJ432" s="400" t="s">
        <v>716</v>
      </c>
    </row>
    <row r="433" spans="1:88" s="400" customFormat="1" ht="9.9499999999999993" customHeight="1" thickBot="1">
      <c r="D433" s="405"/>
      <c r="Q433" s="409"/>
      <c r="R433" s="409"/>
      <c r="S433" s="409"/>
      <c r="T433" s="409"/>
      <c r="U433" s="409"/>
      <c r="V433" s="409"/>
      <c r="W433" s="409"/>
      <c r="X433" s="409"/>
      <c r="Y433" s="409"/>
      <c r="Z433" s="409"/>
      <c r="AA433" s="409"/>
      <c r="AB433" s="409"/>
      <c r="AV433" s="408"/>
      <c r="AW433" s="408"/>
      <c r="AX433" s="408"/>
      <c r="AY433" s="408"/>
      <c r="AZ433" s="408"/>
      <c r="BA433" s="408"/>
      <c r="BB433" s="408"/>
      <c r="BC433" s="408"/>
      <c r="BD433" s="408"/>
      <c r="BE433" s="404"/>
      <c r="BF433" s="404"/>
      <c r="BG433" s="404"/>
      <c r="BH433" s="404"/>
      <c r="BI433" s="404"/>
      <c r="BJ433" s="404"/>
      <c r="BK433" s="404"/>
      <c r="BL433" s="404"/>
      <c r="BM433" s="404"/>
      <c r="BN433" s="404"/>
      <c r="BO433" s="404"/>
      <c r="BP433" s="404"/>
      <c r="BQ433" s="404"/>
      <c r="BR433" s="404"/>
      <c r="BS433" s="404"/>
      <c r="BT433" s="404"/>
      <c r="BU433" s="404"/>
      <c r="BV433" s="404"/>
      <c r="BW433" s="404"/>
      <c r="BX433" s="404"/>
      <c r="BY433" s="404"/>
      <c r="BZ433" s="404"/>
      <c r="CA433" s="404"/>
      <c r="CB433" s="404"/>
      <c r="CC433" s="404"/>
      <c r="CD433" s="404"/>
      <c r="CE433" s="404"/>
      <c r="CF433" s="404"/>
    </row>
    <row r="434" spans="1:88" s="400" customFormat="1" ht="21.95" customHeight="1" thickBot="1">
      <c r="A434" s="402"/>
      <c r="B434" s="402"/>
      <c r="C434" s="402"/>
      <c r="D434" s="402"/>
      <c r="E434" s="1835" t="s">
        <v>385</v>
      </c>
      <c r="F434" s="1836"/>
      <c r="G434" s="1836"/>
      <c r="H434" s="1836"/>
      <c r="I434" s="1836"/>
      <c r="J434" s="1836"/>
      <c r="K434" s="1836"/>
      <c r="L434" s="1836"/>
      <c r="M434" s="1836"/>
      <c r="N434" s="1836"/>
      <c r="O434" s="1836"/>
      <c r="P434" s="1836"/>
      <c r="Q434" s="1836" t="s">
        <v>212</v>
      </c>
      <c r="R434" s="1836"/>
      <c r="S434" s="1836"/>
      <c r="T434" s="1836"/>
      <c r="U434" s="1836"/>
      <c r="V434" s="1836"/>
      <c r="W434" s="1836"/>
      <c r="X434" s="1836"/>
      <c r="Y434" s="1836"/>
      <c r="Z434" s="1836"/>
      <c r="AA434" s="1836"/>
      <c r="AB434" s="1836"/>
      <c r="AC434" s="1836" t="s">
        <v>386</v>
      </c>
      <c r="AD434" s="1836"/>
      <c r="AE434" s="1836"/>
      <c r="AF434" s="1836"/>
      <c r="AG434" s="1836"/>
      <c r="AH434" s="1836"/>
      <c r="AI434" s="1836"/>
      <c r="AJ434" s="1836"/>
      <c r="AK434" s="1836" t="s">
        <v>387</v>
      </c>
      <c r="AL434" s="1836"/>
      <c r="AM434" s="1836"/>
      <c r="AN434" s="1836"/>
      <c r="AO434" s="1836"/>
      <c r="AP434" s="1836"/>
      <c r="AQ434" s="1836"/>
      <c r="AR434" s="1836"/>
      <c r="AS434" s="1836" t="s">
        <v>388</v>
      </c>
      <c r="AT434" s="1836"/>
      <c r="AU434" s="1836"/>
      <c r="AV434" s="1836"/>
      <c r="AW434" s="1836"/>
      <c r="AX434" s="1836"/>
      <c r="AY434" s="1836"/>
      <c r="AZ434" s="1836"/>
      <c r="BA434" s="1836" t="s">
        <v>389</v>
      </c>
      <c r="BB434" s="1836"/>
      <c r="BC434" s="1836"/>
      <c r="BD434" s="1836"/>
      <c r="BE434" s="1836"/>
      <c r="BF434" s="1836"/>
      <c r="BG434" s="1836"/>
      <c r="BH434" s="1836"/>
      <c r="BI434" s="1836" t="s">
        <v>381</v>
      </c>
      <c r="BJ434" s="1836"/>
      <c r="BK434" s="1836"/>
      <c r="BL434" s="1836"/>
      <c r="BM434" s="1836"/>
      <c r="BN434" s="1836"/>
      <c r="BO434" s="1836"/>
      <c r="BP434" s="1836"/>
      <c r="BQ434" s="1836"/>
      <c r="BR434" s="1836"/>
      <c r="BS434" s="1836"/>
      <c r="BT434" s="1836"/>
      <c r="BU434" s="1933" t="s">
        <v>390</v>
      </c>
      <c r="BV434" s="1933"/>
      <c r="BW434" s="1933"/>
      <c r="BX434" s="1933"/>
      <c r="BY434" s="1933"/>
      <c r="BZ434" s="1933"/>
      <c r="CA434" s="1933"/>
      <c r="CB434" s="1933"/>
      <c r="CC434" s="1933"/>
      <c r="CD434" s="1933"/>
      <c r="CE434" s="1933"/>
      <c r="CF434" s="1934"/>
    </row>
    <row r="435" spans="1:88" s="400" customFormat="1" ht="21.95" customHeight="1" thickTop="1">
      <c r="D435" s="405"/>
      <c r="E435" s="1935" t="s">
        <v>391</v>
      </c>
      <c r="F435" s="1834"/>
      <c r="G435" s="1834"/>
      <c r="H435" s="1834"/>
      <c r="I435" s="1834"/>
      <c r="J435" s="1834"/>
      <c r="K435" s="1834"/>
      <c r="L435" s="1834"/>
      <c r="M435" s="1834"/>
      <c r="N435" s="1834"/>
      <c r="O435" s="1834"/>
      <c r="P435" s="1834"/>
      <c r="Q435" s="1936" t="s">
        <v>392</v>
      </c>
      <c r="R435" s="1936"/>
      <c r="S435" s="1936"/>
      <c r="T435" s="1936"/>
      <c r="U435" s="1936"/>
      <c r="V435" s="1936"/>
      <c r="W435" s="1936"/>
      <c r="X435" s="1936"/>
      <c r="Y435" s="1936"/>
      <c r="Z435" s="1936"/>
      <c r="AA435" s="1936"/>
      <c r="AB435" s="1936"/>
      <c r="AC435" s="1964">
        <v>0.12</v>
      </c>
      <c r="AD435" s="1964"/>
      <c r="AE435" s="1964"/>
      <c r="AF435" s="1964"/>
      <c r="AG435" s="1964"/>
      <c r="AH435" s="1964"/>
      <c r="AI435" s="1964"/>
      <c r="AJ435" s="1964"/>
      <c r="AK435" s="1834">
        <v>1.2</v>
      </c>
      <c r="AL435" s="1834"/>
      <c r="AM435" s="1834"/>
      <c r="AN435" s="1834"/>
      <c r="AO435" s="1834"/>
      <c r="AP435" s="1834"/>
      <c r="AQ435" s="1834"/>
      <c r="AR435" s="1834"/>
      <c r="AS435" s="1834">
        <v>0.8</v>
      </c>
      <c r="AT435" s="1834"/>
      <c r="AU435" s="1834"/>
      <c r="AV435" s="1834"/>
      <c r="AW435" s="1834"/>
      <c r="AX435" s="1834"/>
      <c r="AY435" s="1834"/>
      <c r="AZ435" s="1834"/>
      <c r="BA435" s="1834">
        <v>0.8</v>
      </c>
      <c r="BB435" s="1834"/>
      <c r="BC435" s="1834"/>
      <c r="BD435" s="1834"/>
      <c r="BE435" s="1834"/>
      <c r="BF435" s="1834"/>
      <c r="BG435" s="1834"/>
      <c r="BH435" s="1834"/>
      <c r="BI435" s="1929" t="s">
        <v>398</v>
      </c>
      <c r="BJ435" s="1866"/>
      <c r="BK435" s="1866"/>
      <c r="BL435" s="1866"/>
      <c r="BM435" s="1866"/>
      <c r="BN435" s="1866"/>
      <c r="BO435" s="1930">
        <v>15</v>
      </c>
      <c r="BP435" s="1931"/>
      <c r="BQ435" s="1931"/>
      <c r="BR435" s="1931"/>
      <c r="BS435" s="1931"/>
      <c r="BT435" s="1932"/>
      <c r="BU435" s="1924">
        <f t="shared" ref="BU435:BU443" si="44">ROUND(3600*AC435*AK435*AS435*BA435/BO435,2)</f>
        <v>22.12</v>
      </c>
      <c r="BV435" s="1924"/>
      <c r="BW435" s="1924"/>
      <c r="BX435" s="1924"/>
      <c r="BY435" s="1924"/>
      <c r="BZ435" s="1924"/>
      <c r="CA435" s="1924"/>
      <c r="CB435" s="1924"/>
      <c r="CC435" s="1924"/>
      <c r="CD435" s="1924"/>
      <c r="CE435" s="1924"/>
      <c r="CF435" s="1925"/>
      <c r="CJ435" s="400" t="s">
        <v>722</v>
      </c>
    </row>
    <row r="436" spans="1:88" s="400" customFormat="1" ht="21.95" customHeight="1">
      <c r="D436" s="405"/>
      <c r="E436" s="1828" t="s">
        <v>391</v>
      </c>
      <c r="F436" s="1829"/>
      <c r="G436" s="1829"/>
      <c r="H436" s="1829"/>
      <c r="I436" s="1829"/>
      <c r="J436" s="1829"/>
      <c r="K436" s="1829"/>
      <c r="L436" s="1829"/>
      <c r="M436" s="1829"/>
      <c r="N436" s="1829"/>
      <c r="O436" s="1829"/>
      <c r="P436" s="1829"/>
      <c r="Q436" s="1830" t="s">
        <v>394</v>
      </c>
      <c r="R436" s="1830"/>
      <c r="S436" s="1830"/>
      <c r="T436" s="1830"/>
      <c r="U436" s="1830"/>
      <c r="V436" s="1830"/>
      <c r="W436" s="1830"/>
      <c r="X436" s="1830"/>
      <c r="Y436" s="1830"/>
      <c r="Z436" s="1830"/>
      <c r="AA436" s="1830"/>
      <c r="AB436" s="1830"/>
      <c r="AC436" s="1878">
        <v>0.18</v>
      </c>
      <c r="AD436" s="1878"/>
      <c r="AE436" s="1878"/>
      <c r="AF436" s="1878"/>
      <c r="AG436" s="1878"/>
      <c r="AH436" s="1878"/>
      <c r="AI436" s="1878"/>
      <c r="AJ436" s="1878"/>
      <c r="AK436" s="1829">
        <v>1.2</v>
      </c>
      <c r="AL436" s="1829"/>
      <c r="AM436" s="1829"/>
      <c r="AN436" s="1829"/>
      <c r="AO436" s="1829"/>
      <c r="AP436" s="1829"/>
      <c r="AQ436" s="1829"/>
      <c r="AR436" s="1829"/>
      <c r="AS436" s="1829">
        <v>0.8</v>
      </c>
      <c r="AT436" s="1829"/>
      <c r="AU436" s="1829"/>
      <c r="AV436" s="1829"/>
      <c r="AW436" s="1829"/>
      <c r="AX436" s="1829"/>
      <c r="AY436" s="1829"/>
      <c r="AZ436" s="1829"/>
      <c r="BA436" s="1829">
        <v>0.8</v>
      </c>
      <c r="BB436" s="1829"/>
      <c r="BC436" s="1829"/>
      <c r="BD436" s="1829"/>
      <c r="BE436" s="1829"/>
      <c r="BF436" s="1829"/>
      <c r="BG436" s="1829"/>
      <c r="BH436" s="1829"/>
      <c r="BI436" s="1929" t="s">
        <v>398</v>
      </c>
      <c r="BJ436" s="1866"/>
      <c r="BK436" s="1866"/>
      <c r="BL436" s="1866"/>
      <c r="BM436" s="1866"/>
      <c r="BN436" s="1866"/>
      <c r="BO436" s="1865">
        <v>15</v>
      </c>
      <c r="BP436" s="1866"/>
      <c r="BQ436" s="1866"/>
      <c r="BR436" s="1866"/>
      <c r="BS436" s="1866"/>
      <c r="BT436" s="1867"/>
      <c r="BU436" s="1924">
        <f t="shared" si="44"/>
        <v>33.18</v>
      </c>
      <c r="BV436" s="1924"/>
      <c r="BW436" s="1924"/>
      <c r="BX436" s="1924"/>
      <c r="BY436" s="1924"/>
      <c r="BZ436" s="1924"/>
      <c r="CA436" s="1924"/>
      <c r="CB436" s="1924"/>
      <c r="CC436" s="1924"/>
      <c r="CD436" s="1924"/>
      <c r="CE436" s="1924"/>
      <c r="CF436" s="1925"/>
    </row>
    <row r="437" spans="1:88" s="400" customFormat="1" ht="21.95" customHeight="1">
      <c r="A437" s="402"/>
      <c r="B437" s="402"/>
      <c r="C437" s="402"/>
      <c r="D437" s="402"/>
      <c r="E437" s="1828" t="s">
        <v>391</v>
      </c>
      <c r="F437" s="1829"/>
      <c r="G437" s="1829"/>
      <c r="H437" s="1829"/>
      <c r="I437" s="1829"/>
      <c r="J437" s="1829"/>
      <c r="K437" s="1829"/>
      <c r="L437" s="1829"/>
      <c r="M437" s="1829"/>
      <c r="N437" s="1829"/>
      <c r="O437" s="1829"/>
      <c r="P437" s="1829"/>
      <c r="Q437" s="1830" t="s">
        <v>395</v>
      </c>
      <c r="R437" s="1830"/>
      <c r="S437" s="1830"/>
      <c r="T437" s="1830"/>
      <c r="U437" s="1830"/>
      <c r="V437" s="1830"/>
      <c r="W437" s="1830"/>
      <c r="X437" s="1830"/>
      <c r="Y437" s="1830"/>
      <c r="Z437" s="1830"/>
      <c r="AA437" s="1830"/>
      <c r="AB437" s="1830"/>
      <c r="AC437" s="1918">
        <v>0.2</v>
      </c>
      <c r="AD437" s="1918"/>
      <c r="AE437" s="1918"/>
      <c r="AF437" s="1918"/>
      <c r="AG437" s="1918"/>
      <c r="AH437" s="1918"/>
      <c r="AI437" s="1918"/>
      <c r="AJ437" s="1918"/>
      <c r="AK437" s="1829">
        <v>1.2</v>
      </c>
      <c r="AL437" s="1829"/>
      <c r="AM437" s="1829"/>
      <c r="AN437" s="1829"/>
      <c r="AO437" s="1829"/>
      <c r="AP437" s="1829"/>
      <c r="AQ437" s="1829"/>
      <c r="AR437" s="1829"/>
      <c r="AS437" s="1829">
        <v>0.8</v>
      </c>
      <c r="AT437" s="1829"/>
      <c r="AU437" s="1829"/>
      <c r="AV437" s="1829"/>
      <c r="AW437" s="1829"/>
      <c r="AX437" s="1829"/>
      <c r="AY437" s="1829"/>
      <c r="AZ437" s="1829"/>
      <c r="BA437" s="1829">
        <v>0.8</v>
      </c>
      <c r="BB437" s="1829"/>
      <c r="BC437" s="1829"/>
      <c r="BD437" s="1829"/>
      <c r="BE437" s="1829"/>
      <c r="BF437" s="1829"/>
      <c r="BG437" s="1829"/>
      <c r="BH437" s="1829"/>
      <c r="BI437" s="1929" t="s">
        <v>398</v>
      </c>
      <c r="BJ437" s="1866"/>
      <c r="BK437" s="1866"/>
      <c r="BL437" s="1866"/>
      <c r="BM437" s="1866"/>
      <c r="BN437" s="1866"/>
      <c r="BO437" s="1865">
        <v>15</v>
      </c>
      <c r="BP437" s="1866"/>
      <c r="BQ437" s="1866"/>
      <c r="BR437" s="1866"/>
      <c r="BS437" s="1866"/>
      <c r="BT437" s="1867"/>
      <c r="BU437" s="1924">
        <f t="shared" si="44"/>
        <v>36.86</v>
      </c>
      <c r="BV437" s="1924"/>
      <c r="BW437" s="1924"/>
      <c r="BX437" s="1924"/>
      <c r="BY437" s="1924"/>
      <c r="BZ437" s="1924"/>
      <c r="CA437" s="1924"/>
      <c r="CB437" s="1924"/>
      <c r="CC437" s="1924"/>
      <c r="CD437" s="1924"/>
      <c r="CE437" s="1924"/>
      <c r="CF437" s="1925"/>
    </row>
    <row r="438" spans="1:88" s="400" customFormat="1" ht="21.95" customHeight="1">
      <c r="E438" s="1828" t="s">
        <v>391</v>
      </c>
      <c r="F438" s="1829"/>
      <c r="G438" s="1829"/>
      <c r="H438" s="1829"/>
      <c r="I438" s="1829"/>
      <c r="J438" s="1829"/>
      <c r="K438" s="1829"/>
      <c r="L438" s="1829"/>
      <c r="M438" s="1829"/>
      <c r="N438" s="1829"/>
      <c r="O438" s="1829"/>
      <c r="P438" s="1829"/>
      <c r="Q438" s="1830" t="s">
        <v>359</v>
      </c>
      <c r="R438" s="1830"/>
      <c r="S438" s="1830"/>
      <c r="T438" s="1830"/>
      <c r="U438" s="1830"/>
      <c r="V438" s="1830"/>
      <c r="W438" s="1830"/>
      <c r="X438" s="1830"/>
      <c r="Y438" s="1830"/>
      <c r="Z438" s="1830"/>
      <c r="AA438" s="1830"/>
      <c r="AB438" s="1830"/>
      <c r="AC438" s="1918">
        <v>0.4</v>
      </c>
      <c r="AD438" s="1918"/>
      <c r="AE438" s="1918"/>
      <c r="AF438" s="1918"/>
      <c r="AG438" s="1918"/>
      <c r="AH438" s="1918"/>
      <c r="AI438" s="1918"/>
      <c r="AJ438" s="1918"/>
      <c r="AK438" s="1829">
        <v>1.2</v>
      </c>
      <c r="AL438" s="1829"/>
      <c r="AM438" s="1829"/>
      <c r="AN438" s="1829"/>
      <c r="AO438" s="1829"/>
      <c r="AP438" s="1829"/>
      <c r="AQ438" s="1829"/>
      <c r="AR438" s="1829"/>
      <c r="AS438" s="1829">
        <v>0.8</v>
      </c>
      <c r="AT438" s="1829"/>
      <c r="AU438" s="1829"/>
      <c r="AV438" s="1829"/>
      <c r="AW438" s="1829"/>
      <c r="AX438" s="1829"/>
      <c r="AY438" s="1829"/>
      <c r="AZ438" s="1829"/>
      <c r="BA438" s="1829">
        <v>0.8</v>
      </c>
      <c r="BB438" s="1829"/>
      <c r="BC438" s="1829"/>
      <c r="BD438" s="1829"/>
      <c r="BE438" s="1829"/>
      <c r="BF438" s="1829"/>
      <c r="BG438" s="1829"/>
      <c r="BH438" s="1829"/>
      <c r="BI438" s="1929" t="s">
        <v>398</v>
      </c>
      <c r="BJ438" s="1866"/>
      <c r="BK438" s="1866"/>
      <c r="BL438" s="1866"/>
      <c r="BM438" s="1866"/>
      <c r="BN438" s="1866"/>
      <c r="BO438" s="1865">
        <v>15</v>
      </c>
      <c r="BP438" s="1866"/>
      <c r="BQ438" s="1866"/>
      <c r="BR438" s="1866"/>
      <c r="BS438" s="1866"/>
      <c r="BT438" s="1867"/>
      <c r="BU438" s="1924">
        <f t="shared" si="44"/>
        <v>73.73</v>
      </c>
      <c r="BV438" s="1924"/>
      <c r="BW438" s="1924"/>
      <c r="BX438" s="1924"/>
      <c r="BY438" s="1924"/>
      <c r="BZ438" s="1924"/>
      <c r="CA438" s="1924"/>
      <c r="CB438" s="1924"/>
      <c r="CC438" s="1924"/>
      <c r="CD438" s="1924"/>
      <c r="CE438" s="1924"/>
      <c r="CF438" s="1925"/>
    </row>
    <row r="439" spans="1:88" s="400" customFormat="1" ht="21.95" customHeight="1">
      <c r="A439" s="402"/>
      <c r="B439" s="402"/>
      <c r="C439" s="402"/>
      <c r="D439" s="402"/>
      <c r="E439" s="1828" t="s">
        <v>391</v>
      </c>
      <c r="F439" s="1829"/>
      <c r="G439" s="1829"/>
      <c r="H439" s="1829"/>
      <c r="I439" s="1829"/>
      <c r="J439" s="1829"/>
      <c r="K439" s="1829"/>
      <c r="L439" s="1829"/>
      <c r="M439" s="1829"/>
      <c r="N439" s="1829"/>
      <c r="O439" s="1829"/>
      <c r="P439" s="1829"/>
      <c r="Q439" s="1830" t="s">
        <v>397</v>
      </c>
      <c r="R439" s="1830"/>
      <c r="S439" s="1830"/>
      <c r="T439" s="1830"/>
      <c r="U439" s="1830"/>
      <c r="V439" s="1830"/>
      <c r="W439" s="1830"/>
      <c r="X439" s="1830"/>
      <c r="Y439" s="1830"/>
      <c r="Z439" s="1830"/>
      <c r="AA439" s="1830"/>
      <c r="AB439" s="1830"/>
      <c r="AC439" s="1918">
        <v>0.6</v>
      </c>
      <c r="AD439" s="1918"/>
      <c r="AE439" s="1918"/>
      <c r="AF439" s="1918"/>
      <c r="AG439" s="1918"/>
      <c r="AH439" s="1918"/>
      <c r="AI439" s="1918"/>
      <c r="AJ439" s="1918"/>
      <c r="AK439" s="1829">
        <v>1.2</v>
      </c>
      <c r="AL439" s="1829"/>
      <c r="AM439" s="1829"/>
      <c r="AN439" s="1829"/>
      <c r="AO439" s="1829"/>
      <c r="AP439" s="1829"/>
      <c r="AQ439" s="1829"/>
      <c r="AR439" s="1829"/>
      <c r="AS439" s="1829">
        <v>0.8</v>
      </c>
      <c r="AT439" s="1829"/>
      <c r="AU439" s="1829"/>
      <c r="AV439" s="1829"/>
      <c r="AW439" s="1829"/>
      <c r="AX439" s="1829"/>
      <c r="AY439" s="1829"/>
      <c r="AZ439" s="1829"/>
      <c r="BA439" s="1829">
        <v>0.8</v>
      </c>
      <c r="BB439" s="1829"/>
      <c r="BC439" s="1829"/>
      <c r="BD439" s="1829"/>
      <c r="BE439" s="1829"/>
      <c r="BF439" s="1829"/>
      <c r="BG439" s="1829"/>
      <c r="BH439" s="1829"/>
      <c r="BI439" s="1929" t="s">
        <v>398</v>
      </c>
      <c r="BJ439" s="1866"/>
      <c r="BK439" s="1866"/>
      <c r="BL439" s="1866"/>
      <c r="BM439" s="1866"/>
      <c r="BN439" s="1866"/>
      <c r="BO439" s="1865">
        <v>18</v>
      </c>
      <c r="BP439" s="1866"/>
      <c r="BQ439" s="1866"/>
      <c r="BR439" s="1866"/>
      <c r="BS439" s="1866"/>
      <c r="BT439" s="1867"/>
      <c r="BU439" s="1924">
        <f t="shared" si="44"/>
        <v>92.16</v>
      </c>
      <c r="BV439" s="1924"/>
      <c r="BW439" s="1924"/>
      <c r="BX439" s="1924"/>
      <c r="BY439" s="1924"/>
      <c r="BZ439" s="1924"/>
      <c r="CA439" s="1924"/>
      <c r="CB439" s="1924"/>
      <c r="CC439" s="1924"/>
      <c r="CD439" s="1924"/>
      <c r="CE439" s="1924"/>
      <c r="CF439" s="1925"/>
    </row>
    <row r="440" spans="1:88" s="400" customFormat="1" ht="21.95" customHeight="1">
      <c r="E440" s="1828" t="s">
        <v>391</v>
      </c>
      <c r="F440" s="1829"/>
      <c r="G440" s="1829"/>
      <c r="H440" s="1829"/>
      <c r="I440" s="1829"/>
      <c r="J440" s="1829"/>
      <c r="K440" s="1829"/>
      <c r="L440" s="1829"/>
      <c r="M440" s="1829"/>
      <c r="N440" s="1829"/>
      <c r="O440" s="1829"/>
      <c r="P440" s="1829"/>
      <c r="Q440" s="1830" t="s">
        <v>399</v>
      </c>
      <c r="R440" s="1830"/>
      <c r="S440" s="1830"/>
      <c r="T440" s="1830"/>
      <c r="U440" s="1830"/>
      <c r="V440" s="1830"/>
      <c r="W440" s="1830"/>
      <c r="X440" s="1830"/>
      <c r="Y440" s="1830"/>
      <c r="Z440" s="1830"/>
      <c r="AA440" s="1830"/>
      <c r="AB440" s="1830"/>
      <c r="AC440" s="1918">
        <v>0.7</v>
      </c>
      <c r="AD440" s="1918"/>
      <c r="AE440" s="1918"/>
      <c r="AF440" s="1918"/>
      <c r="AG440" s="1918"/>
      <c r="AH440" s="1918"/>
      <c r="AI440" s="1918"/>
      <c r="AJ440" s="1918"/>
      <c r="AK440" s="1829">
        <v>1.2</v>
      </c>
      <c r="AL440" s="1829"/>
      <c r="AM440" s="1829"/>
      <c r="AN440" s="1829"/>
      <c r="AO440" s="1829"/>
      <c r="AP440" s="1829"/>
      <c r="AQ440" s="1829"/>
      <c r="AR440" s="1829"/>
      <c r="AS440" s="1829">
        <v>0.8</v>
      </c>
      <c r="AT440" s="1829"/>
      <c r="AU440" s="1829"/>
      <c r="AV440" s="1829"/>
      <c r="AW440" s="1829"/>
      <c r="AX440" s="1829"/>
      <c r="AY440" s="1829"/>
      <c r="AZ440" s="1829"/>
      <c r="BA440" s="1829">
        <v>0.8</v>
      </c>
      <c r="BB440" s="1829"/>
      <c r="BC440" s="1829"/>
      <c r="BD440" s="1829"/>
      <c r="BE440" s="1829"/>
      <c r="BF440" s="1829"/>
      <c r="BG440" s="1829"/>
      <c r="BH440" s="1829"/>
      <c r="BI440" s="1929" t="s">
        <v>398</v>
      </c>
      <c r="BJ440" s="1866"/>
      <c r="BK440" s="1866"/>
      <c r="BL440" s="1866"/>
      <c r="BM440" s="1866"/>
      <c r="BN440" s="1866"/>
      <c r="BO440" s="1865">
        <v>18</v>
      </c>
      <c r="BP440" s="1866"/>
      <c r="BQ440" s="1866"/>
      <c r="BR440" s="1866"/>
      <c r="BS440" s="1866"/>
      <c r="BT440" s="1867"/>
      <c r="BU440" s="1924">
        <f t="shared" si="44"/>
        <v>107.52</v>
      </c>
      <c r="BV440" s="1924"/>
      <c r="BW440" s="1924"/>
      <c r="BX440" s="1924"/>
      <c r="BY440" s="1924"/>
      <c r="BZ440" s="1924"/>
      <c r="CA440" s="1924"/>
      <c r="CB440" s="1924"/>
      <c r="CC440" s="1924"/>
      <c r="CD440" s="1924"/>
      <c r="CE440" s="1924"/>
      <c r="CF440" s="1925"/>
    </row>
    <row r="441" spans="1:88" s="400" customFormat="1" ht="21.95" customHeight="1">
      <c r="E441" s="1828" t="s">
        <v>391</v>
      </c>
      <c r="F441" s="1829"/>
      <c r="G441" s="1829"/>
      <c r="H441" s="1829"/>
      <c r="I441" s="1829"/>
      <c r="J441" s="1829"/>
      <c r="K441" s="1829"/>
      <c r="L441" s="1829"/>
      <c r="M441" s="1829"/>
      <c r="N441" s="1829"/>
      <c r="O441" s="1829"/>
      <c r="P441" s="1829"/>
      <c r="Q441" s="1830" t="s">
        <v>400</v>
      </c>
      <c r="R441" s="1830"/>
      <c r="S441" s="1830"/>
      <c r="T441" s="1830"/>
      <c r="U441" s="1830"/>
      <c r="V441" s="1830"/>
      <c r="W441" s="1830"/>
      <c r="X441" s="1830"/>
      <c r="Y441" s="1830"/>
      <c r="Z441" s="1830"/>
      <c r="AA441" s="1830"/>
      <c r="AB441" s="1830"/>
      <c r="AC441" s="1918">
        <v>0.8</v>
      </c>
      <c r="AD441" s="1918"/>
      <c r="AE441" s="1918"/>
      <c r="AF441" s="1918"/>
      <c r="AG441" s="1918"/>
      <c r="AH441" s="1918"/>
      <c r="AI441" s="1918"/>
      <c r="AJ441" s="1918"/>
      <c r="AK441" s="1829">
        <v>1.2</v>
      </c>
      <c r="AL441" s="1829"/>
      <c r="AM441" s="1829"/>
      <c r="AN441" s="1829"/>
      <c r="AO441" s="1829"/>
      <c r="AP441" s="1829"/>
      <c r="AQ441" s="1829"/>
      <c r="AR441" s="1829"/>
      <c r="AS441" s="1829">
        <v>0.8</v>
      </c>
      <c r="AT441" s="1829"/>
      <c r="AU441" s="1829"/>
      <c r="AV441" s="1829"/>
      <c r="AW441" s="1829"/>
      <c r="AX441" s="1829"/>
      <c r="AY441" s="1829"/>
      <c r="AZ441" s="1829"/>
      <c r="BA441" s="1829">
        <v>0.8</v>
      </c>
      <c r="BB441" s="1829"/>
      <c r="BC441" s="1829"/>
      <c r="BD441" s="1829"/>
      <c r="BE441" s="1829"/>
      <c r="BF441" s="1829"/>
      <c r="BG441" s="1829"/>
      <c r="BH441" s="1829"/>
      <c r="BI441" s="1929" t="s">
        <v>398</v>
      </c>
      <c r="BJ441" s="1866"/>
      <c r="BK441" s="1866"/>
      <c r="BL441" s="1866"/>
      <c r="BM441" s="1866"/>
      <c r="BN441" s="1866"/>
      <c r="BO441" s="1865">
        <v>18</v>
      </c>
      <c r="BP441" s="1866"/>
      <c r="BQ441" s="1866"/>
      <c r="BR441" s="1866"/>
      <c r="BS441" s="1866"/>
      <c r="BT441" s="1867"/>
      <c r="BU441" s="1924">
        <f t="shared" si="44"/>
        <v>122.88</v>
      </c>
      <c r="BV441" s="1924"/>
      <c r="BW441" s="1924"/>
      <c r="BX441" s="1924"/>
      <c r="BY441" s="1924"/>
      <c r="BZ441" s="1924"/>
      <c r="CA441" s="1924"/>
      <c r="CB441" s="1924"/>
      <c r="CC441" s="1924"/>
      <c r="CD441" s="1924"/>
      <c r="CE441" s="1924"/>
      <c r="CF441" s="1925"/>
    </row>
    <row r="442" spans="1:88" s="400" customFormat="1" ht="21.95" customHeight="1">
      <c r="A442" s="402"/>
      <c r="B442" s="402"/>
      <c r="C442" s="402"/>
      <c r="D442" s="402"/>
      <c r="E442" s="2000" t="s">
        <v>391</v>
      </c>
      <c r="F442" s="1809"/>
      <c r="G442" s="1809"/>
      <c r="H442" s="1809"/>
      <c r="I442" s="1809"/>
      <c r="J442" s="1809"/>
      <c r="K442" s="1809"/>
      <c r="L442" s="1809"/>
      <c r="M442" s="1809"/>
      <c r="N442" s="1809"/>
      <c r="O442" s="1809"/>
      <c r="P442" s="2001"/>
      <c r="Q442" s="2002" t="s">
        <v>401</v>
      </c>
      <c r="R442" s="2002"/>
      <c r="S442" s="2002"/>
      <c r="T442" s="2002"/>
      <c r="U442" s="2002"/>
      <c r="V442" s="2002"/>
      <c r="W442" s="2002"/>
      <c r="X442" s="2002"/>
      <c r="Y442" s="2002"/>
      <c r="Z442" s="2002"/>
      <c r="AA442" s="2002"/>
      <c r="AB442" s="2002"/>
      <c r="AC442" s="2003">
        <v>1</v>
      </c>
      <c r="AD442" s="2003"/>
      <c r="AE442" s="2003"/>
      <c r="AF442" s="2003"/>
      <c r="AG442" s="2003"/>
      <c r="AH442" s="2003"/>
      <c r="AI442" s="2003"/>
      <c r="AJ442" s="2003"/>
      <c r="AK442" s="1829">
        <v>1.2</v>
      </c>
      <c r="AL442" s="1829"/>
      <c r="AM442" s="1829"/>
      <c r="AN442" s="1829"/>
      <c r="AO442" s="1829"/>
      <c r="AP442" s="1829"/>
      <c r="AQ442" s="1829"/>
      <c r="AR442" s="1829"/>
      <c r="AS442" s="1979">
        <v>0.8</v>
      </c>
      <c r="AT442" s="1979"/>
      <c r="AU442" s="1979"/>
      <c r="AV442" s="1979"/>
      <c r="AW442" s="1979"/>
      <c r="AX442" s="1979"/>
      <c r="AY442" s="1979"/>
      <c r="AZ442" s="1979"/>
      <c r="BA442" s="1829">
        <v>0.8</v>
      </c>
      <c r="BB442" s="1829"/>
      <c r="BC442" s="1829"/>
      <c r="BD442" s="1829"/>
      <c r="BE442" s="1829"/>
      <c r="BF442" s="1829"/>
      <c r="BG442" s="1829"/>
      <c r="BH442" s="1829"/>
      <c r="BI442" s="2004" t="s">
        <v>398</v>
      </c>
      <c r="BJ442" s="1809"/>
      <c r="BK442" s="1809"/>
      <c r="BL442" s="1809"/>
      <c r="BM442" s="1809"/>
      <c r="BN442" s="1809"/>
      <c r="BO442" s="2005">
        <v>19</v>
      </c>
      <c r="BP442" s="1809"/>
      <c r="BQ442" s="1809"/>
      <c r="BR442" s="1809"/>
      <c r="BS442" s="1809"/>
      <c r="BT442" s="2001"/>
      <c r="BU442" s="2006">
        <f t="shared" si="44"/>
        <v>145.52000000000001</v>
      </c>
      <c r="BV442" s="2006"/>
      <c r="BW442" s="2006"/>
      <c r="BX442" s="2006"/>
      <c r="BY442" s="2006"/>
      <c r="BZ442" s="2006"/>
      <c r="CA442" s="2006"/>
      <c r="CB442" s="2006"/>
      <c r="CC442" s="2006"/>
      <c r="CD442" s="2006"/>
      <c r="CE442" s="2006"/>
      <c r="CF442" s="2007"/>
    </row>
    <row r="443" spans="1:88" s="400" customFormat="1" ht="21.95" customHeight="1" thickBot="1">
      <c r="A443" s="402"/>
      <c r="B443" s="402"/>
      <c r="C443" s="402"/>
      <c r="D443" s="402"/>
      <c r="E443" s="1822" t="s">
        <v>513</v>
      </c>
      <c r="F443" s="1816"/>
      <c r="G443" s="1816"/>
      <c r="H443" s="1816"/>
      <c r="I443" s="1816"/>
      <c r="J443" s="1816"/>
      <c r="K443" s="1816"/>
      <c r="L443" s="1816"/>
      <c r="M443" s="1816"/>
      <c r="N443" s="1816"/>
      <c r="O443" s="1816"/>
      <c r="P443" s="1819"/>
      <c r="Q443" s="1823" t="s">
        <v>514</v>
      </c>
      <c r="R443" s="1823"/>
      <c r="S443" s="1823"/>
      <c r="T443" s="1823"/>
      <c r="U443" s="1823"/>
      <c r="V443" s="1823"/>
      <c r="W443" s="1823"/>
      <c r="X443" s="1823"/>
      <c r="Y443" s="1823"/>
      <c r="Z443" s="1823"/>
      <c r="AA443" s="1823"/>
      <c r="AB443" s="1823"/>
      <c r="AC443" s="1968">
        <v>1.72</v>
      </c>
      <c r="AD443" s="1968"/>
      <c r="AE443" s="1968"/>
      <c r="AF443" s="1968"/>
      <c r="AG443" s="1968"/>
      <c r="AH443" s="1968"/>
      <c r="AI443" s="1968"/>
      <c r="AJ443" s="1968"/>
      <c r="AK443" s="1856">
        <v>1.2</v>
      </c>
      <c r="AL443" s="1856"/>
      <c r="AM443" s="1856"/>
      <c r="AN443" s="1856"/>
      <c r="AO443" s="1856"/>
      <c r="AP443" s="1856"/>
      <c r="AQ443" s="1856"/>
      <c r="AR443" s="1856"/>
      <c r="AS443" s="1855">
        <v>0.8</v>
      </c>
      <c r="AT443" s="1855"/>
      <c r="AU443" s="1855"/>
      <c r="AV443" s="1855"/>
      <c r="AW443" s="1855"/>
      <c r="AX443" s="1855"/>
      <c r="AY443" s="1855"/>
      <c r="AZ443" s="1855"/>
      <c r="BA443" s="1855">
        <v>0.6</v>
      </c>
      <c r="BB443" s="1855"/>
      <c r="BC443" s="1855"/>
      <c r="BD443" s="1855"/>
      <c r="BE443" s="1855"/>
      <c r="BF443" s="1855"/>
      <c r="BG443" s="1855"/>
      <c r="BH443" s="1855"/>
      <c r="BI443" s="1815"/>
      <c r="BJ443" s="1816"/>
      <c r="BK443" s="1816"/>
      <c r="BL443" s="1816"/>
      <c r="BM443" s="1816"/>
      <c r="BN443" s="1816"/>
      <c r="BO443" s="1818">
        <v>34.4</v>
      </c>
      <c r="BP443" s="1816"/>
      <c r="BQ443" s="1816"/>
      <c r="BR443" s="1816"/>
      <c r="BS443" s="1816"/>
      <c r="BT443" s="1819"/>
      <c r="BU443" s="1825">
        <f t="shared" si="44"/>
        <v>103.68</v>
      </c>
      <c r="BV443" s="1825"/>
      <c r="BW443" s="1825"/>
      <c r="BX443" s="1825"/>
      <c r="BY443" s="1825"/>
      <c r="BZ443" s="1825"/>
      <c r="CA443" s="1825"/>
      <c r="CB443" s="1825"/>
      <c r="CC443" s="1825"/>
      <c r="CD443" s="1825"/>
      <c r="CE443" s="1825"/>
      <c r="CF443" s="1826"/>
    </row>
    <row r="444" spans="1:88" s="400" customFormat="1" ht="21.95" customHeight="1">
      <c r="D444" s="403"/>
      <c r="E444" s="406"/>
      <c r="F444" s="406"/>
      <c r="G444" s="407" t="s">
        <v>714</v>
      </c>
      <c r="H444" s="406"/>
      <c r="BM444" s="404"/>
      <c r="BN444" s="404"/>
      <c r="BO444" s="404"/>
      <c r="BP444" s="404"/>
      <c r="BQ444" s="404"/>
      <c r="BR444" s="404"/>
      <c r="BS444" s="404"/>
      <c r="BT444" s="404"/>
      <c r="BU444" s="404"/>
      <c r="BV444" s="404"/>
      <c r="BW444" s="404"/>
      <c r="BX444" s="404"/>
      <c r="BY444" s="404"/>
      <c r="BZ444" s="404"/>
      <c r="CA444" s="404"/>
      <c r="CB444" s="404"/>
      <c r="CC444" s="404"/>
      <c r="CD444" s="404"/>
      <c r="CE444" s="404"/>
      <c r="CF444" s="404"/>
    </row>
    <row r="445" spans="1:88" s="400" customFormat="1" ht="21.95" customHeight="1">
      <c r="D445" s="405"/>
      <c r="BA445" s="400">
        <v>0.65</v>
      </c>
      <c r="BM445" s="404"/>
      <c r="BN445" s="404"/>
      <c r="BO445" s="404"/>
      <c r="BP445" s="404"/>
      <c r="BQ445" s="404"/>
      <c r="BR445" s="404"/>
      <c r="BS445" s="404"/>
      <c r="BT445" s="404"/>
      <c r="BU445" s="404"/>
      <c r="BV445" s="404"/>
      <c r="BW445" s="404"/>
      <c r="BX445" s="404"/>
      <c r="BY445" s="404"/>
      <c r="BZ445" s="404"/>
      <c r="CA445" s="404"/>
      <c r="CB445" s="404"/>
      <c r="CC445" s="404"/>
      <c r="CD445" s="404"/>
      <c r="CE445" s="404"/>
      <c r="CF445" s="404"/>
    </row>
    <row r="446" spans="1:88" s="400" customFormat="1" ht="21.95" customHeight="1">
      <c r="E446" s="400" t="s">
        <v>402</v>
      </c>
    </row>
    <row r="447" spans="1:88" s="400" customFormat="1" ht="9.9499999999999993" customHeight="1" thickBot="1"/>
    <row r="448" spans="1:88" s="400" customFormat="1" ht="21.95" customHeight="1">
      <c r="E448" s="1831" t="s">
        <v>385</v>
      </c>
      <c r="F448" s="1800"/>
      <c r="G448" s="1800"/>
      <c r="H448" s="1800"/>
      <c r="I448" s="1800"/>
      <c r="J448" s="1800"/>
      <c r="K448" s="1800"/>
      <c r="L448" s="1800"/>
      <c r="M448" s="1800"/>
      <c r="N448" s="1800"/>
      <c r="O448" s="1800"/>
      <c r="P448" s="1800"/>
      <c r="Q448" s="1800"/>
      <c r="R448" s="1800"/>
      <c r="S448" s="1800"/>
      <c r="T448" s="1800"/>
      <c r="U448" s="1800" t="s">
        <v>212</v>
      </c>
      <c r="V448" s="1800"/>
      <c r="W448" s="1800"/>
      <c r="X448" s="1800"/>
      <c r="Y448" s="1800"/>
      <c r="Z448" s="1800"/>
      <c r="AA448" s="1800"/>
      <c r="AB448" s="1800"/>
      <c r="AC448" s="1800" t="s">
        <v>403</v>
      </c>
      <c r="AD448" s="1800"/>
      <c r="AE448" s="1800"/>
      <c r="AF448" s="1800"/>
      <c r="AG448" s="1800"/>
      <c r="AH448" s="1800"/>
      <c r="AI448" s="1800"/>
      <c r="AJ448" s="1800"/>
      <c r="AK448" s="1800"/>
      <c r="AL448" s="1800"/>
      <c r="AM448" s="1800"/>
      <c r="AN448" s="1800"/>
      <c r="AO448" s="1800"/>
      <c r="AP448" s="1800"/>
      <c r="AQ448" s="1800"/>
      <c r="AR448" s="1800"/>
      <c r="AS448" s="1800"/>
      <c r="AT448" s="1800"/>
      <c r="AU448" s="1800"/>
      <c r="AV448" s="1800"/>
      <c r="AW448" s="1800"/>
      <c r="AX448" s="1800"/>
      <c r="AY448" s="1800"/>
      <c r="AZ448" s="1800"/>
      <c r="BA448" s="1833" t="s">
        <v>404</v>
      </c>
      <c r="BB448" s="1800"/>
      <c r="BC448" s="1800"/>
      <c r="BD448" s="1800"/>
      <c r="BE448" s="1800"/>
      <c r="BF448" s="1800"/>
      <c r="BG448" s="1800"/>
      <c r="BH448" s="1800"/>
      <c r="BI448" s="1800" t="s">
        <v>405</v>
      </c>
      <c r="BJ448" s="1800"/>
      <c r="BK448" s="1800"/>
      <c r="BL448" s="1800"/>
      <c r="BM448" s="1800"/>
      <c r="BN448" s="1800"/>
      <c r="BO448" s="1800"/>
      <c r="BP448" s="1800"/>
      <c r="BQ448" s="1800"/>
      <c r="BR448" s="1800"/>
      <c r="BS448" s="1800"/>
      <c r="BT448" s="1800"/>
      <c r="BU448" s="1800"/>
      <c r="BV448" s="1800"/>
      <c r="BW448" s="1800"/>
      <c r="BX448" s="1800"/>
      <c r="BY448" s="1800"/>
      <c r="BZ448" s="1800"/>
      <c r="CA448" s="1800"/>
      <c r="CB448" s="1800"/>
      <c r="CC448" s="1800"/>
      <c r="CD448" s="1800"/>
      <c r="CE448" s="1800"/>
      <c r="CF448" s="1801"/>
    </row>
    <row r="449" spans="1:88" s="400" customFormat="1" ht="21.95" customHeight="1" thickBot="1">
      <c r="A449" s="402"/>
      <c r="B449" s="402"/>
      <c r="C449" s="402"/>
      <c r="D449" s="402"/>
      <c r="E449" s="1832"/>
      <c r="F449" s="1786"/>
      <c r="G449" s="1786"/>
      <c r="H449" s="1786"/>
      <c r="I449" s="1786"/>
      <c r="J449" s="1786"/>
      <c r="K449" s="1786"/>
      <c r="L449" s="1786"/>
      <c r="M449" s="1786"/>
      <c r="N449" s="1786"/>
      <c r="O449" s="1786"/>
      <c r="P449" s="1786"/>
      <c r="Q449" s="1786"/>
      <c r="R449" s="1786"/>
      <c r="S449" s="1786"/>
      <c r="T449" s="1786"/>
      <c r="U449" s="1786"/>
      <c r="V449" s="1786"/>
      <c r="W449" s="1786"/>
      <c r="X449" s="1786"/>
      <c r="Y449" s="1786"/>
      <c r="Z449" s="1786"/>
      <c r="AA449" s="1786"/>
      <c r="AB449" s="1786"/>
      <c r="AC449" s="1786" t="s">
        <v>406</v>
      </c>
      <c r="AD449" s="1786"/>
      <c r="AE449" s="1786"/>
      <c r="AF449" s="1786"/>
      <c r="AG449" s="1786"/>
      <c r="AH449" s="1786"/>
      <c r="AI449" s="1786"/>
      <c r="AJ449" s="1786"/>
      <c r="AK449" s="1786" t="s">
        <v>407</v>
      </c>
      <c r="AL449" s="1786"/>
      <c r="AM449" s="1786"/>
      <c r="AN449" s="1786"/>
      <c r="AO449" s="1786"/>
      <c r="AP449" s="1786"/>
      <c r="AQ449" s="1786"/>
      <c r="AR449" s="1786"/>
      <c r="AS449" s="1786" t="s">
        <v>408</v>
      </c>
      <c r="AT449" s="1786"/>
      <c r="AU449" s="1786"/>
      <c r="AV449" s="1786"/>
      <c r="AW449" s="1786"/>
      <c r="AX449" s="1786"/>
      <c r="AY449" s="1786"/>
      <c r="AZ449" s="1786"/>
      <c r="BA449" s="1786"/>
      <c r="BB449" s="1786"/>
      <c r="BC449" s="1786"/>
      <c r="BD449" s="1786"/>
      <c r="BE449" s="1786"/>
      <c r="BF449" s="1786"/>
      <c r="BG449" s="1786"/>
      <c r="BH449" s="1786"/>
      <c r="BI449" s="1786" t="s">
        <v>406</v>
      </c>
      <c r="BJ449" s="1786"/>
      <c r="BK449" s="1786"/>
      <c r="BL449" s="1786"/>
      <c r="BM449" s="1786"/>
      <c r="BN449" s="1786"/>
      <c r="BO449" s="1786"/>
      <c r="BP449" s="1786"/>
      <c r="BQ449" s="1786" t="s">
        <v>407</v>
      </c>
      <c r="BR449" s="1786"/>
      <c r="BS449" s="1786"/>
      <c r="BT449" s="1786"/>
      <c r="BU449" s="1786"/>
      <c r="BV449" s="1786"/>
      <c r="BW449" s="1786"/>
      <c r="BX449" s="1786"/>
      <c r="BY449" s="1786" t="s">
        <v>408</v>
      </c>
      <c r="BZ449" s="1786"/>
      <c r="CA449" s="1786"/>
      <c r="CB449" s="1786"/>
      <c r="CC449" s="1786"/>
      <c r="CD449" s="1786"/>
      <c r="CE449" s="1786"/>
      <c r="CF449" s="1787"/>
    </row>
    <row r="450" spans="1:88" s="400" customFormat="1" ht="21.95" customHeight="1" thickTop="1">
      <c r="E450" s="1820" t="s">
        <v>277</v>
      </c>
      <c r="F450" s="1821"/>
      <c r="G450" s="1821"/>
      <c r="H450" s="1821"/>
      <c r="I450" s="1821"/>
      <c r="J450" s="1821"/>
      <c r="K450" s="1821"/>
      <c r="L450" s="1821"/>
      <c r="M450" s="1821"/>
      <c r="N450" s="1821"/>
      <c r="O450" s="1821"/>
      <c r="P450" s="1821"/>
      <c r="Q450" s="1821"/>
      <c r="R450" s="1821"/>
      <c r="S450" s="1821"/>
      <c r="T450" s="1821"/>
      <c r="U450" s="1821" t="s">
        <v>392</v>
      </c>
      <c r="V450" s="1821"/>
      <c r="W450" s="1821"/>
      <c r="X450" s="1821"/>
      <c r="Y450" s="1821"/>
      <c r="Z450" s="1821"/>
      <c r="AA450" s="1821"/>
      <c r="AB450" s="1821"/>
      <c r="AC450" s="1785" t="e">
        <f>#REF!</f>
        <v>#REF!</v>
      </c>
      <c r="AD450" s="1785"/>
      <c r="AE450" s="1785"/>
      <c r="AF450" s="1785"/>
      <c r="AG450" s="1785"/>
      <c r="AH450" s="1785"/>
      <c r="AI450" s="1785"/>
      <c r="AJ450" s="1785"/>
      <c r="AK450" s="1785" t="e">
        <f>#REF!</f>
        <v>#REF!</v>
      </c>
      <c r="AL450" s="1785"/>
      <c r="AM450" s="1785"/>
      <c r="AN450" s="1785"/>
      <c r="AO450" s="1785"/>
      <c r="AP450" s="1785"/>
      <c r="AQ450" s="1785"/>
      <c r="AR450" s="1785"/>
      <c r="AS450" s="1785" t="e">
        <f>#REF!</f>
        <v>#REF!</v>
      </c>
      <c r="AT450" s="1785"/>
      <c r="AU450" s="1785"/>
      <c r="AV450" s="1785"/>
      <c r="AW450" s="1785"/>
      <c r="AX450" s="1785"/>
      <c r="AY450" s="1785"/>
      <c r="AZ450" s="1785"/>
      <c r="BA450" s="1963">
        <f>BU435</f>
        <v>22.12</v>
      </c>
      <c r="BB450" s="1963"/>
      <c r="BC450" s="1963"/>
      <c r="BD450" s="1963"/>
      <c r="BE450" s="1963"/>
      <c r="BF450" s="1963"/>
      <c r="BG450" s="1963"/>
      <c r="BH450" s="1963"/>
      <c r="BI450" s="1812" t="e">
        <f t="shared" ref="BI450:BI459" si="45">INT(AC450/$BA450)</f>
        <v>#REF!</v>
      </c>
      <c r="BJ450" s="1812"/>
      <c r="BK450" s="1812"/>
      <c r="BL450" s="1812"/>
      <c r="BM450" s="1812"/>
      <c r="BN450" s="1812"/>
      <c r="BO450" s="1812"/>
      <c r="BP450" s="1812"/>
      <c r="BQ450" s="1812" t="e">
        <f t="shared" ref="BQ450:BQ459" si="46">INT(AK450/$BA450)</f>
        <v>#REF!</v>
      </c>
      <c r="BR450" s="1812"/>
      <c r="BS450" s="1812"/>
      <c r="BT450" s="1812"/>
      <c r="BU450" s="1812"/>
      <c r="BV450" s="1812"/>
      <c r="BW450" s="1812"/>
      <c r="BX450" s="1812"/>
      <c r="BY450" s="1812" t="e">
        <f t="shared" ref="BY450:BY459" si="47">INT(AS450/$BA450)</f>
        <v>#REF!</v>
      </c>
      <c r="BZ450" s="1812"/>
      <c r="CA450" s="1812"/>
      <c r="CB450" s="1812"/>
      <c r="CC450" s="1812"/>
      <c r="CD450" s="1812"/>
      <c r="CE450" s="1812"/>
      <c r="CF450" s="1813"/>
    </row>
    <row r="451" spans="1:88" s="400" customFormat="1" ht="21.95" customHeight="1">
      <c r="E451" s="1806" t="s">
        <v>277</v>
      </c>
      <c r="F451" s="1807"/>
      <c r="G451" s="1807"/>
      <c r="H451" s="1807"/>
      <c r="I451" s="1807"/>
      <c r="J451" s="1807"/>
      <c r="K451" s="1807"/>
      <c r="L451" s="1807"/>
      <c r="M451" s="1807"/>
      <c r="N451" s="1807"/>
      <c r="O451" s="1807"/>
      <c r="P451" s="1807"/>
      <c r="Q451" s="1807"/>
      <c r="R451" s="1807"/>
      <c r="S451" s="1807"/>
      <c r="T451" s="1807"/>
      <c r="U451" s="1807" t="s">
        <v>395</v>
      </c>
      <c r="V451" s="1807"/>
      <c r="W451" s="1807"/>
      <c r="X451" s="1807"/>
      <c r="Y451" s="1807"/>
      <c r="Z451" s="1807"/>
      <c r="AA451" s="1807"/>
      <c r="AB451" s="1807"/>
      <c r="AC451" s="1814" t="e">
        <f>#REF!</f>
        <v>#REF!</v>
      </c>
      <c r="AD451" s="1814"/>
      <c r="AE451" s="1814"/>
      <c r="AF451" s="1814"/>
      <c r="AG451" s="1814"/>
      <c r="AH451" s="1814"/>
      <c r="AI451" s="1814"/>
      <c r="AJ451" s="1814"/>
      <c r="AK451" s="1814" t="e">
        <f>#REF!</f>
        <v>#REF!</v>
      </c>
      <c r="AL451" s="1814"/>
      <c r="AM451" s="1814"/>
      <c r="AN451" s="1814"/>
      <c r="AO451" s="1814"/>
      <c r="AP451" s="1814"/>
      <c r="AQ451" s="1814"/>
      <c r="AR451" s="1814"/>
      <c r="AS451" s="1814" t="e">
        <f>#REF!</f>
        <v>#REF!</v>
      </c>
      <c r="AT451" s="1814"/>
      <c r="AU451" s="1814"/>
      <c r="AV451" s="1814"/>
      <c r="AW451" s="1814"/>
      <c r="AX451" s="1814"/>
      <c r="AY451" s="1814"/>
      <c r="AZ451" s="1814"/>
      <c r="BA451" s="1797">
        <f t="shared" ref="BA451:BA456" si="48">BU437</f>
        <v>36.86</v>
      </c>
      <c r="BB451" s="1797"/>
      <c r="BC451" s="1797"/>
      <c r="BD451" s="1797"/>
      <c r="BE451" s="1797"/>
      <c r="BF451" s="1797"/>
      <c r="BG451" s="1797"/>
      <c r="BH451" s="1797"/>
      <c r="BI451" s="1785" t="e">
        <f t="shared" si="45"/>
        <v>#REF!</v>
      </c>
      <c r="BJ451" s="1785"/>
      <c r="BK451" s="1785"/>
      <c r="BL451" s="1785"/>
      <c r="BM451" s="1785"/>
      <c r="BN451" s="1785"/>
      <c r="BO451" s="1785"/>
      <c r="BP451" s="1785"/>
      <c r="BQ451" s="1785" t="e">
        <f t="shared" si="46"/>
        <v>#REF!</v>
      </c>
      <c r="BR451" s="1785"/>
      <c r="BS451" s="1785"/>
      <c r="BT451" s="1785"/>
      <c r="BU451" s="1785"/>
      <c r="BV451" s="1785"/>
      <c r="BW451" s="1785"/>
      <c r="BX451" s="1785"/>
      <c r="BY451" s="1785" t="e">
        <f t="shared" si="47"/>
        <v>#REF!</v>
      </c>
      <c r="BZ451" s="1785"/>
      <c r="CA451" s="1785"/>
      <c r="CB451" s="1785"/>
      <c r="CC451" s="1785"/>
      <c r="CD451" s="1785"/>
      <c r="CE451" s="1785"/>
      <c r="CF451" s="1793"/>
    </row>
    <row r="452" spans="1:88" s="400" customFormat="1" ht="21.95" customHeight="1">
      <c r="E452" s="1806" t="s">
        <v>277</v>
      </c>
      <c r="F452" s="1807"/>
      <c r="G452" s="1807"/>
      <c r="H452" s="1807"/>
      <c r="I452" s="1807"/>
      <c r="J452" s="1807"/>
      <c r="K452" s="1807"/>
      <c r="L452" s="1807"/>
      <c r="M452" s="1807"/>
      <c r="N452" s="1807"/>
      <c r="O452" s="1807"/>
      <c r="P452" s="1807"/>
      <c r="Q452" s="1807"/>
      <c r="R452" s="1807"/>
      <c r="S452" s="1807"/>
      <c r="T452" s="1807"/>
      <c r="U452" s="1807" t="s">
        <v>359</v>
      </c>
      <c r="V452" s="1807"/>
      <c r="W452" s="1807"/>
      <c r="X452" s="1807"/>
      <c r="Y452" s="1807"/>
      <c r="Z452" s="1807"/>
      <c r="AA452" s="1807"/>
      <c r="AB452" s="1807"/>
      <c r="AC452" s="1803" t="e">
        <f>#REF!</f>
        <v>#REF!</v>
      </c>
      <c r="AD452" s="1804"/>
      <c r="AE452" s="1804"/>
      <c r="AF452" s="1804"/>
      <c r="AG452" s="1804"/>
      <c r="AH452" s="1804"/>
      <c r="AI452" s="1804"/>
      <c r="AJ452" s="1805"/>
      <c r="AK452" s="1803" t="e">
        <f>#REF!</f>
        <v>#REF!</v>
      </c>
      <c r="AL452" s="1804"/>
      <c r="AM452" s="1804"/>
      <c r="AN452" s="1804"/>
      <c r="AO452" s="1804"/>
      <c r="AP452" s="1804"/>
      <c r="AQ452" s="1804"/>
      <c r="AR452" s="1805"/>
      <c r="AS452" s="1803" t="e">
        <f>#REF!</f>
        <v>#REF!</v>
      </c>
      <c r="AT452" s="1804"/>
      <c r="AU452" s="1804"/>
      <c r="AV452" s="1804"/>
      <c r="AW452" s="1804"/>
      <c r="AX452" s="1804"/>
      <c r="AY452" s="1804"/>
      <c r="AZ452" s="1805"/>
      <c r="BA452" s="1797">
        <f t="shared" si="48"/>
        <v>73.73</v>
      </c>
      <c r="BB452" s="1797"/>
      <c r="BC452" s="1797"/>
      <c r="BD452" s="1797"/>
      <c r="BE452" s="1797"/>
      <c r="BF452" s="1797"/>
      <c r="BG452" s="1797"/>
      <c r="BH452" s="1797"/>
      <c r="BI452" s="1785" t="e">
        <f t="shared" si="45"/>
        <v>#REF!</v>
      </c>
      <c r="BJ452" s="1785"/>
      <c r="BK452" s="1785"/>
      <c r="BL452" s="1785"/>
      <c r="BM452" s="1785"/>
      <c r="BN452" s="1785"/>
      <c r="BO452" s="1785"/>
      <c r="BP452" s="1785"/>
      <c r="BQ452" s="1785" t="e">
        <f t="shared" si="46"/>
        <v>#REF!</v>
      </c>
      <c r="BR452" s="1785"/>
      <c r="BS452" s="1785"/>
      <c r="BT452" s="1785"/>
      <c r="BU452" s="1785"/>
      <c r="BV452" s="1785"/>
      <c r="BW452" s="1785"/>
      <c r="BX452" s="1785"/>
      <c r="BY452" s="1785" t="e">
        <f t="shared" si="47"/>
        <v>#REF!</v>
      </c>
      <c r="BZ452" s="1785"/>
      <c r="CA452" s="1785"/>
      <c r="CB452" s="1785"/>
      <c r="CC452" s="1785"/>
      <c r="CD452" s="1785"/>
      <c r="CE452" s="1785"/>
      <c r="CF452" s="1793"/>
    </row>
    <row r="453" spans="1:88" s="400" customFormat="1" ht="21.95" customHeight="1">
      <c r="E453" s="1806" t="s">
        <v>277</v>
      </c>
      <c r="F453" s="1807"/>
      <c r="G453" s="1807"/>
      <c r="H453" s="1807"/>
      <c r="I453" s="1807"/>
      <c r="J453" s="1807"/>
      <c r="K453" s="1807"/>
      <c r="L453" s="1807"/>
      <c r="M453" s="1807"/>
      <c r="N453" s="1807"/>
      <c r="O453" s="1807"/>
      <c r="P453" s="1807"/>
      <c r="Q453" s="1807"/>
      <c r="R453" s="1807"/>
      <c r="S453" s="1807"/>
      <c r="T453" s="1807"/>
      <c r="U453" s="1807" t="s">
        <v>397</v>
      </c>
      <c r="V453" s="1807"/>
      <c r="W453" s="1807"/>
      <c r="X453" s="1807"/>
      <c r="Y453" s="1807"/>
      <c r="Z453" s="1807"/>
      <c r="AA453" s="1807"/>
      <c r="AB453" s="1807"/>
      <c r="AC453" s="1803" t="e">
        <f>#REF!</f>
        <v>#REF!</v>
      </c>
      <c r="AD453" s="1804"/>
      <c r="AE453" s="1804"/>
      <c r="AF453" s="1804"/>
      <c r="AG453" s="1804"/>
      <c r="AH453" s="1804"/>
      <c r="AI453" s="1804"/>
      <c r="AJ453" s="1805"/>
      <c r="AK453" s="1803" t="e">
        <f>#REF!</f>
        <v>#REF!</v>
      </c>
      <c r="AL453" s="1804"/>
      <c r="AM453" s="1804"/>
      <c r="AN453" s="1804"/>
      <c r="AO453" s="1804"/>
      <c r="AP453" s="1804"/>
      <c r="AQ453" s="1804"/>
      <c r="AR453" s="1805"/>
      <c r="AS453" s="1803" t="e">
        <f>#REF!</f>
        <v>#REF!</v>
      </c>
      <c r="AT453" s="1804"/>
      <c r="AU453" s="1804"/>
      <c r="AV453" s="1804"/>
      <c r="AW453" s="1804"/>
      <c r="AX453" s="1804"/>
      <c r="AY453" s="1804"/>
      <c r="AZ453" s="1805"/>
      <c r="BA453" s="1797">
        <f t="shared" si="48"/>
        <v>92.16</v>
      </c>
      <c r="BB453" s="1797"/>
      <c r="BC453" s="1797"/>
      <c r="BD453" s="1797"/>
      <c r="BE453" s="1797"/>
      <c r="BF453" s="1797"/>
      <c r="BG453" s="1797"/>
      <c r="BH453" s="1797"/>
      <c r="BI453" s="1785" t="e">
        <f t="shared" si="45"/>
        <v>#REF!</v>
      </c>
      <c r="BJ453" s="1785"/>
      <c r="BK453" s="1785"/>
      <c r="BL453" s="1785"/>
      <c r="BM453" s="1785"/>
      <c r="BN453" s="1785"/>
      <c r="BO453" s="1785"/>
      <c r="BP453" s="1785"/>
      <c r="BQ453" s="1785" t="e">
        <f t="shared" si="46"/>
        <v>#REF!</v>
      </c>
      <c r="BR453" s="1785"/>
      <c r="BS453" s="1785"/>
      <c r="BT453" s="1785"/>
      <c r="BU453" s="1785"/>
      <c r="BV453" s="1785"/>
      <c r="BW453" s="1785"/>
      <c r="BX453" s="1785"/>
      <c r="BY453" s="1785" t="e">
        <f t="shared" si="47"/>
        <v>#REF!</v>
      </c>
      <c r="BZ453" s="1785"/>
      <c r="CA453" s="1785"/>
      <c r="CB453" s="1785"/>
      <c r="CC453" s="1785"/>
      <c r="CD453" s="1785"/>
      <c r="CE453" s="1785"/>
      <c r="CF453" s="1793"/>
    </row>
    <row r="454" spans="1:88" s="400" customFormat="1" ht="21.95" customHeight="1">
      <c r="D454" s="403"/>
      <c r="E454" s="1806" t="s">
        <v>277</v>
      </c>
      <c r="F454" s="1807"/>
      <c r="G454" s="1807"/>
      <c r="H454" s="1807"/>
      <c r="I454" s="1807"/>
      <c r="J454" s="1807"/>
      <c r="K454" s="1807"/>
      <c r="L454" s="1807"/>
      <c r="M454" s="1807"/>
      <c r="N454" s="1807"/>
      <c r="O454" s="1807"/>
      <c r="P454" s="1807"/>
      <c r="Q454" s="1807"/>
      <c r="R454" s="1807"/>
      <c r="S454" s="1807"/>
      <c r="T454" s="1807"/>
      <c r="U454" s="1807" t="s">
        <v>399</v>
      </c>
      <c r="V454" s="1807"/>
      <c r="W454" s="1807"/>
      <c r="X454" s="1807"/>
      <c r="Y454" s="1807"/>
      <c r="Z454" s="1807"/>
      <c r="AA454" s="1807"/>
      <c r="AB454" s="1807"/>
      <c r="AC454" s="1803" t="e">
        <f>#REF!</f>
        <v>#REF!</v>
      </c>
      <c r="AD454" s="1804"/>
      <c r="AE454" s="1804"/>
      <c r="AF454" s="1804"/>
      <c r="AG454" s="1804"/>
      <c r="AH454" s="1804"/>
      <c r="AI454" s="1804"/>
      <c r="AJ454" s="1805"/>
      <c r="AK454" s="1803" t="e">
        <f>#REF!</f>
        <v>#REF!</v>
      </c>
      <c r="AL454" s="1804"/>
      <c r="AM454" s="1804"/>
      <c r="AN454" s="1804"/>
      <c r="AO454" s="1804"/>
      <c r="AP454" s="1804"/>
      <c r="AQ454" s="1804"/>
      <c r="AR454" s="1805"/>
      <c r="AS454" s="1803" t="e">
        <f>#REF!</f>
        <v>#REF!</v>
      </c>
      <c r="AT454" s="1804"/>
      <c r="AU454" s="1804"/>
      <c r="AV454" s="1804"/>
      <c r="AW454" s="1804"/>
      <c r="AX454" s="1804"/>
      <c r="AY454" s="1804"/>
      <c r="AZ454" s="1805"/>
      <c r="BA454" s="1797">
        <f t="shared" si="48"/>
        <v>107.52</v>
      </c>
      <c r="BB454" s="1797"/>
      <c r="BC454" s="1797"/>
      <c r="BD454" s="1797"/>
      <c r="BE454" s="1797"/>
      <c r="BF454" s="1797"/>
      <c r="BG454" s="1797"/>
      <c r="BH454" s="1797"/>
      <c r="BI454" s="1785" t="e">
        <f t="shared" si="45"/>
        <v>#REF!</v>
      </c>
      <c r="BJ454" s="1785"/>
      <c r="BK454" s="1785"/>
      <c r="BL454" s="1785"/>
      <c r="BM454" s="1785"/>
      <c r="BN454" s="1785"/>
      <c r="BO454" s="1785"/>
      <c r="BP454" s="1785"/>
      <c r="BQ454" s="1785" t="e">
        <f t="shared" si="46"/>
        <v>#REF!</v>
      </c>
      <c r="BR454" s="1785"/>
      <c r="BS454" s="1785"/>
      <c r="BT454" s="1785"/>
      <c r="BU454" s="1785"/>
      <c r="BV454" s="1785"/>
      <c r="BW454" s="1785"/>
      <c r="BX454" s="1785"/>
      <c r="BY454" s="1785" t="e">
        <f t="shared" si="47"/>
        <v>#REF!</v>
      </c>
      <c r="BZ454" s="1785"/>
      <c r="CA454" s="1785"/>
      <c r="CB454" s="1785"/>
      <c r="CC454" s="1785"/>
      <c r="CD454" s="1785"/>
      <c r="CE454" s="1785"/>
      <c r="CF454" s="1793"/>
    </row>
    <row r="455" spans="1:88" s="400" customFormat="1" ht="21.95" customHeight="1">
      <c r="A455" s="402"/>
      <c r="B455" s="402"/>
      <c r="C455" s="402"/>
      <c r="D455" s="402"/>
      <c r="E455" s="1806" t="s">
        <v>277</v>
      </c>
      <c r="F455" s="1807"/>
      <c r="G455" s="1807"/>
      <c r="H455" s="1807"/>
      <c r="I455" s="1807"/>
      <c r="J455" s="1807"/>
      <c r="K455" s="1807"/>
      <c r="L455" s="1807"/>
      <c r="M455" s="1807"/>
      <c r="N455" s="1807"/>
      <c r="O455" s="1807"/>
      <c r="P455" s="1807"/>
      <c r="Q455" s="1807"/>
      <c r="R455" s="1807"/>
      <c r="S455" s="1807"/>
      <c r="T455" s="1807"/>
      <c r="U455" s="1807" t="s">
        <v>400</v>
      </c>
      <c r="V455" s="1807"/>
      <c r="W455" s="1807"/>
      <c r="X455" s="1807"/>
      <c r="Y455" s="1807"/>
      <c r="Z455" s="1807"/>
      <c r="AA455" s="1807"/>
      <c r="AB455" s="1807"/>
      <c r="AC455" s="1803" t="e">
        <f>#REF!</f>
        <v>#REF!</v>
      </c>
      <c r="AD455" s="1804"/>
      <c r="AE455" s="1804"/>
      <c r="AF455" s="1804"/>
      <c r="AG455" s="1804"/>
      <c r="AH455" s="1804"/>
      <c r="AI455" s="1804"/>
      <c r="AJ455" s="1805"/>
      <c r="AK455" s="1803" t="e">
        <f>#REF!</f>
        <v>#REF!</v>
      </c>
      <c r="AL455" s="1804"/>
      <c r="AM455" s="1804"/>
      <c r="AN455" s="1804"/>
      <c r="AO455" s="1804"/>
      <c r="AP455" s="1804"/>
      <c r="AQ455" s="1804"/>
      <c r="AR455" s="1805"/>
      <c r="AS455" s="1803" t="e">
        <f>#REF!</f>
        <v>#REF!</v>
      </c>
      <c r="AT455" s="1804"/>
      <c r="AU455" s="1804"/>
      <c r="AV455" s="1804"/>
      <c r="AW455" s="1804"/>
      <c r="AX455" s="1804"/>
      <c r="AY455" s="1804"/>
      <c r="AZ455" s="1805"/>
      <c r="BA455" s="1797">
        <f t="shared" si="48"/>
        <v>122.88</v>
      </c>
      <c r="BB455" s="1797"/>
      <c r="BC455" s="1797"/>
      <c r="BD455" s="1797"/>
      <c r="BE455" s="1797"/>
      <c r="BF455" s="1797"/>
      <c r="BG455" s="1797"/>
      <c r="BH455" s="1797"/>
      <c r="BI455" s="1785" t="e">
        <f t="shared" si="45"/>
        <v>#REF!</v>
      </c>
      <c r="BJ455" s="1785"/>
      <c r="BK455" s="1785"/>
      <c r="BL455" s="1785"/>
      <c r="BM455" s="1785"/>
      <c r="BN455" s="1785"/>
      <c r="BO455" s="1785"/>
      <c r="BP455" s="1785"/>
      <c r="BQ455" s="1785" t="e">
        <f t="shared" si="46"/>
        <v>#REF!</v>
      </c>
      <c r="BR455" s="1785"/>
      <c r="BS455" s="1785"/>
      <c r="BT455" s="1785"/>
      <c r="BU455" s="1785"/>
      <c r="BV455" s="1785"/>
      <c r="BW455" s="1785"/>
      <c r="BX455" s="1785"/>
      <c r="BY455" s="1785" t="e">
        <f t="shared" si="47"/>
        <v>#REF!</v>
      </c>
      <c r="BZ455" s="1785"/>
      <c r="CA455" s="1785"/>
      <c r="CB455" s="1785"/>
      <c r="CC455" s="1785"/>
      <c r="CD455" s="1785"/>
      <c r="CE455" s="1785"/>
      <c r="CF455" s="1793"/>
    </row>
    <row r="456" spans="1:88" s="400" customFormat="1" ht="21.95" customHeight="1">
      <c r="E456" s="1806" t="s">
        <v>277</v>
      </c>
      <c r="F456" s="1807"/>
      <c r="G456" s="1807"/>
      <c r="H456" s="1807"/>
      <c r="I456" s="1807"/>
      <c r="J456" s="1807"/>
      <c r="K456" s="1807"/>
      <c r="L456" s="1807"/>
      <c r="M456" s="1807"/>
      <c r="N456" s="1807"/>
      <c r="O456" s="1807"/>
      <c r="P456" s="1807"/>
      <c r="Q456" s="1807"/>
      <c r="R456" s="1807"/>
      <c r="S456" s="1807"/>
      <c r="T456" s="1807"/>
      <c r="U456" s="1807" t="s">
        <v>401</v>
      </c>
      <c r="V456" s="1807"/>
      <c r="W456" s="1807"/>
      <c r="X456" s="1807"/>
      <c r="Y456" s="1807"/>
      <c r="Z456" s="1807"/>
      <c r="AA456" s="1807"/>
      <c r="AB456" s="1807"/>
      <c r="AC456" s="1803" t="e">
        <f>#REF!</f>
        <v>#REF!</v>
      </c>
      <c r="AD456" s="1804"/>
      <c r="AE456" s="1804"/>
      <c r="AF456" s="1804"/>
      <c r="AG456" s="1804"/>
      <c r="AH456" s="1804"/>
      <c r="AI456" s="1804"/>
      <c r="AJ456" s="1805"/>
      <c r="AK456" s="1803" t="e">
        <f>#REF!</f>
        <v>#REF!</v>
      </c>
      <c r="AL456" s="1804"/>
      <c r="AM456" s="1804"/>
      <c r="AN456" s="1804"/>
      <c r="AO456" s="1804"/>
      <c r="AP456" s="1804"/>
      <c r="AQ456" s="1804"/>
      <c r="AR456" s="1805"/>
      <c r="AS456" s="1803" t="e">
        <f>#REF!</f>
        <v>#REF!</v>
      </c>
      <c r="AT456" s="1804"/>
      <c r="AU456" s="1804"/>
      <c r="AV456" s="1804"/>
      <c r="AW456" s="1804"/>
      <c r="AX456" s="1804"/>
      <c r="AY456" s="1804"/>
      <c r="AZ456" s="1805"/>
      <c r="BA456" s="1797">
        <f t="shared" si="48"/>
        <v>145.52000000000001</v>
      </c>
      <c r="BB456" s="1797"/>
      <c r="BC456" s="1797"/>
      <c r="BD456" s="1797"/>
      <c r="BE456" s="1797"/>
      <c r="BF456" s="1797"/>
      <c r="BG456" s="1797"/>
      <c r="BH456" s="1797"/>
      <c r="BI456" s="1785" t="e">
        <f t="shared" si="45"/>
        <v>#REF!</v>
      </c>
      <c r="BJ456" s="1785"/>
      <c r="BK456" s="1785"/>
      <c r="BL456" s="1785"/>
      <c r="BM456" s="1785"/>
      <c r="BN456" s="1785"/>
      <c r="BO456" s="1785"/>
      <c r="BP456" s="1785"/>
      <c r="BQ456" s="1785" t="e">
        <f t="shared" si="46"/>
        <v>#REF!</v>
      </c>
      <c r="BR456" s="1785"/>
      <c r="BS456" s="1785"/>
      <c r="BT456" s="1785"/>
      <c r="BU456" s="1785"/>
      <c r="BV456" s="1785"/>
      <c r="BW456" s="1785"/>
      <c r="BX456" s="1785"/>
      <c r="BY456" s="1785" t="e">
        <f t="shared" si="47"/>
        <v>#REF!</v>
      </c>
      <c r="BZ456" s="1785"/>
      <c r="CA456" s="1785"/>
      <c r="CB456" s="1785"/>
      <c r="CC456" s="1785"/>
      <c r="CD456" s="1785"/>
      <c r="CE456" s="1785"/>
      <c r="CF456" s="1793"/>
    </row>
    <row r="457" spans="1:88" s="400" customFormat="1" ht="21.95" customHeight="1">
      <c r="E457" s="1806" t="s">
        <v>409</v>
      </c>
      <c r="F457" s="1807"/>
      <c r="G457" s="1807"/>
      <c r="H457" s="1807"/>
      <c r="I457" s="1807"/>
      <c r="J457" s="1807"/>
      <c r="K457" s="1807"/>
      <c r="L457" s="1807"/>
      <c r="M457" s="1807"/>
      <c r="N457" s="1807"/>
      <c r="O457" s="1807"/>
      <c r="P457" s="1807"/>
      <c r="Q457" s="1807"/>
      <c r="R457" s="1807"/>
      <c r="S457" s="1807"/>
      <c r="T457" s="1807"/>
      <c r="U457" s="1807" t="s">
        <v>394</v>
      </c>
      <c r="V457" s="1807"/>
      <c r="W457" s="1807"/>
      <c r="X457" s="1807"/>
      <c r="Y457" s="1807"/>
      <c r="Z457" s="1807"/>
      <c r="AA457" s="1807"/>
      <c r="AB457" s="1807"/>
      <c r="AC457" s="1803" t="e">
        <f>#REF!</f>
        <v>#REF!</v>
      </c>
      <c r="AD457" s="1804"/>
      <c r="AE457" s="1804"/>
      <c r="AF457" s="1804"/>
      <c r="AG457" s="1804"/>
      <c r="AH457" s="1804"/>
      <c r="AI457" s="1804"/>
      <c r="AJ457" s="1805"/>
      <c r="AK457" s="1803" t="e">
        <f>#REF!</f>
        <v>#REF!</v>
      </c>
      <c r="AL457" s="1804"/>
      <c r="AM457" s="1804"/>
      <c r="AN457" s="1804"/>
      <c r="AO457" s="1804"/>
      <c r="AP457" s="1804"/>
      <c r="AQ457" s="1804"/>
      <c r="AR457" s="1805"/>
      <c r="AS457" s="1803" t="e">
        <f>#REF!</f>
        <v>#REF!</v>
      </c>
      <c r="AT457" s="1804"/>
      <c r="AU457" s="1804"/>
      <c r="AV457" s="1804"/>
      <c r="AW457" s="1804"/>
      <c r="AX457" s="1804"/>
      <c r="AY457" s="1804"/>
      <c r="AZ457" s="1805"/>
      <c r="BA457" s="1797">
        <f>BU436</f>
        <v>33.18</v>
      </c>
      <c r="BB457" s="1797"/>
      <c r="BC457" s="1797"/>
      <c r="BD457" s="1797"/>
      <c r="BE457" s="1797"/>
      <c r="BF457" s="1797"/>
      <c r="BG457" s="1797"/>
      <c r="BH457" s="1797"/>
      <c r="BI457" s="1785" t="e">
        <f t="shared" si="45"/>
        <v>#REF!</v>
      </c>
      <c r="BJ457" s="1785"/>
      <c r="BK457" s="1785"/>
      <c r="BL457" s="1785"/>
      <c r="BM457" s="1785"/>
      <c r="BN457" s="1785"/>
      <c r="BO457" s="1785"/>
      <c r="BP457" s="1785"/>
      <c r="BQ457" s="1785" t="e">
        <f t="shared" si="46"/>
        <v>#REF!</v>
      </c>
      <c r="BR457" s="1785"/>
      <c r="BS457" s="1785"/>
      <c r="BT457" s="1785"/>
      <c r="BU457" s="1785"/>
      <c r="BV457" s="1785"/>
      <c r="BW457" s="1785"/>
      <c r="BX457" s="1785"/>
      <c r="BY457" s="1785" t="e">
        <f t="shared" si="47"/>
        <v>#REF!</v>
      </c>
      <c r="BZ457" s="1785"/>
      <c r="CA457" s="1785"/>
      <c r="CB457" s="1785"/>
      <c r="CC457" s="1785"/>
      <c r="CD457" s="1785"/>
      <c r="CE457" s="1785"/>
      <c r="CF457" s="1793"/>
    </row>
    <row r="458" spans="1:88" s="400" customFormat="1" ht="21.95" customHeight="1">
      <c r="E458" s="2010" t="s">
        <v>409</v>
      </c>
      <c r="F458" s="2011"/>
      <c r="G458" s="2011"/>
      <c r="H458" s="2011"/>
      <c r="I458" s="2011"/>
      <c r="J458" s="2011"/>
      <c r="K458" s="2011"/>
      <c r="L458" s="2011"/>
      <c r="M458" s="2011"/>
      <c r="N458" s="2011"/>
      <c r="O458" s="2011"/>
      <c r="P458" s="2011"/>
      <c r="Q458" s="2011"/>
      <c r="R458" s="2011"/>
      <c r="S458" s="2011"/>
      <c r="T458" s="2011"/>
      <c r="U458" s="2011" t="s">
        <v>397</v>
      </c>
      <c r="V458" s="2011"/>
      <c r="W458" s="2011"/>
      <c r="X458" s="2011"/>
      <c r="Y458" s="2011"/>
      <c r="Z458" s="2011"/>
      <c r="AA458" s="2011"/>
      <c r="AB458" s="2011"/>
      <c r="AC458" s="1872" t="e">
        <f>#REF!</f>
        <v>#REF!</v>
      </c>
      <c r="AD458" s="1872"/>
      <c r="AE458" s="1872"/>
      <c r="AF458" s="1872"/>
      <c r="AG458" s="1872"/>
      <c r="AH458" s="1872"/>
      <c r="AI458" s="1872"/>
      <c r="AJ458" s="1872"/>
      <c r="AK458" s="1872" t="e">
        <f>#REF!</f>
        <v>#REF!</v>
      </c>
      <c r="AL458" s="1872"/>
      <c r="AM458" s="1872"/>
      <c r="AN458" s="1872"/>
      <c r="AO458" s="1872"/>
      <c r="AP458" s="1872"/>
      <c r="AQ458" s="1872"/>
      <c r="AR458" s="1872"/>
      <c r="AS458" s="1872" t="e">
        <f>#REF!</f>
        <v>#REF!</v>
      </c>
      <c r="AT458" s="1872"/>
      <c r="AU458" s="1872"/>
      <c r="AV458" s="1872"/>
      <c r="AW458" s="1872"/>
      <c r="AX458" s="1872"/>
      <c r="AY458" s="1872"/>
      <c r="AZ458" s="1872"/>
      <c r="BA458" s="1988">
        <f>BU439</f>
        <v>92.16</v>
      </c>
      <c r="BB458" s="1988"/>
      <c r="BC458" s="1988"/>
      <c r="BD458" s="1988"/>
      <c r="BE458" s="1988"/>
      <c r="BF458" s="1988"/>
      <c r="BG458" s="1988"/>
      <c r="BH458" s="1988"/>
      <c r="BI458" s="2008" t="e">
        <f t="shared" si="45"/>
        <v>#REF!</v>
      </c>
      <c r="BJ458" s="2008"/>
      <c r="BK458" s="2008"/>
      <c r="BL458" s="2008"/>
      <c r="BM458" s="2008"/>
      <c r="BN458" s="2008"/>
      <c r="BO458" s="2008"/>
      <c r="BP458" s="2008"/>
      <c r="BQ458" s="2008" t="e">
        <f t="shared" si="46"/>
        <v>#REF!</v>
      </c>
      <c r="BR458" s="2008"/>
      <c r="BS458" s="2008"/>
      <c r="BT458" s="2008"/>
      <c r="BU458" s="2008"/>
      <c r="BV458" s="2008"/>
      <c r="BW458" s="2008"/>
      <c r="BX458" s="2008"/>
      <c r="BY458" s="2008" t="e">
        <f t="shared" si="47"/>
        <v>#REF!</v>
      </c>
      <c r="BZ458" s="2008"/>
      <c r="CA458" s="2008"/>
      <c r="CB458" s="2008"/>
      <c r="CC458" s="2008"/>
      <c r="CD458" s="2008"/>
      <c r="CE458" s="2008"/>
      <c r="CF458" s="2009"/>
    </row>
    <row r="459" spans="1:88" s="400" customFormat="1" ht="21.95" customHeight="1" thickBot="1">
      <c r="E459" s="1794" t="s">
        <v>515</v>
      </c>
      <c r="F459" s="1795"/>
      <c r="G459" s="1795"/>
      <c r="H459" s="1795"/>
      <c r="I459" s="1795"/>
      <c r="J459" s="1795"/>
      <c r="K459" s="1795"/>
      <c r="L459" s="1795"/>
      <c r="M459" s="1795"/>
      <c r="N459" s="1795"/>
      <c r="O459" s="1795"/>
      <c r="P459" s="1795"/>
      <c r="Q459" s="1795"/>
      <c r="R459" s="1795"/>
      <c r="S459" s="1795"/>
      <c r="T459" s="1795"/>
      <c r="U459" s="1795" t="s">
        <v>514</v>
      </c>
      <c r="V459" s="1795"/>
      <c r="W459" s="1795"/>
      <c r="X459" s="1795"/>
      <c r="Y459" s="1795"/>
      <c r="Z459" s="1795"/>
      <c r="AA459" s="1795"/>
      <c r="AB459" s="1795"/>
      <c r="AC459" s="1796" t="e">
        <f>#REF!</f>
        <v>#REF!</v>
      </c>
      <c r="AD459" s="1796"/>
      <c r="AE459" s="1796"/>
      <c r="AF459" s="1796"/>
      <c r="AG459" s="1796"/>
      <c r="AH459" s="1796"/>
      <c r="AI459" s="1796"/>
      <c r="AJ459" s="1796"/>
      <c r="AK459" s="1796" t="e">
        <f>#REF!</f>
        <v>#REF!</v>
      </c>
      <c r="AL459" s="1796"/>
      <c r="AM459" s="1796"/>
      <c r="AN459" s="1796"/>
      <c r="AO459" s="1796"/>
      <c r="AP459" s="1796"/>
      <c r="AQ459" s="1796"/>
      <c r="AR459" s="1796"/>
      <c r="AS459" s="1796" t="e">
        <f>#REF!</f>
        <v>#REF!</v>
      </c>
      <c r="AT459" s="1796"/>
      <c r="AU459" s="1796"/>
      <c r="AV459" s="1796"/>
      <c r="AW459" s="1796"/>
      <c r="AX459" s="1796"/>
      <c r="AY459" s="1796"/>
      <c r="AZ459" s="1796"/>
      <c r="BA459" s="1783">
        <f>BU443</f>
        <v>103.68</v>
      </c>
      <c r="BB459" s="1783"/>
      <c r="BC459" s="1783"/>
      <c r="BD459" s="1783"/>
      <c r="BE459" s="1783"/>
      <c r="BF459" s="1783"/>
      <c r="BG459" s="1783"/>
      <c r="BH459" s="1783"/>
      <c r="BI459" s="1796" t="e">
        <f t="shared" si="45"/>
        <v>#REF!</v>
      </c>
      <c r="BJ459" s="1796"/>
      <c r="BK459" s="1796"/>
      <c r="BL459" s="1796"/>
      <c r="BM459" s="1796"/>
      <c r="BN459" s="1796"/>
      <c r="BO459" s="1796"/>
      <c r="BP459" s="1796"/>
      <c r="BQ459" s="1796" t="e">
        <f t="shared" si="46"/>
        <v>#REF!</v>
      </c>
      <c r="BR459" s="1796"/>
      <c r="BS459" s="1796"/>
      <c r="BT459" s="1796"/>
      <c r="BU459" s="1796"/>
      <c r="BV459" s="1796"/>
      <c r="BW459" s="1796"/>
      <c r="BX459" s="1796"/>
      <c r="BY459" s="1796" t="e">
        <f t="shared" si="47"/>
        <v>#REF!</v>
      </c>
      <c r="BZ459" s="1796"/>
      <c r="CA459" s="1796"/>
      <c r="CB459" s="1796"/>
      <c r="CC459" s="1796"/>
      <c r="CD459" s="1796"/>
      <c r="CE459" s="1796"/>
      <c r="CF459" s="1827"/>
    </row>
    <row r="460" spans="1:88" s="412" customFormat="1" ht="28.35" customHeight="1">
      <c r="A460" s="1877" t="s">
        <v>516</v>
      </c>
      <c r="B460" s="1877"/>
      <c r="C460" s="1877"/>
      <c r="D460" s="1877"/>
      <c r="E460" s="1877"/>
      <c r="F460" s="1877"/>
      <c r="G460" s="1877"/>
      <c r="H460" s="1877"/>
      <c r="I460" s="1877"/>
      <c r="J460" s="1877"/>
      <c r="K460" s="1877"/>
      <c r="L460" s="1877"/>
      <c r="M460" s="1877"/>
      <c r="N460" s="1877"/>
      <c r="O460" s="1877"/>
      <c r="P460" s="1877"/>
      <c r="Q460" s="1877"/>
      <c r="R460" s="1877"/>
      <c r="S460" s="1877"/>
      <c r="T460" s="1877"/>
      <c r="U460" s="1877"/>
      <c r="V460" s="1877"/>
      <c r="W460" s="1877"/>
      <c r="X460" s="1877"/>
      <c r="Y460" s="1877"/>
      <c r="Z460" s="1877"/>
      <c r="AA460" s="1877"/>
      <c r="AB460" s="1877"/>
      <c r="AC460" s="1877"/>
      <c r="AD460" s="1877"/>
      <c r="AE460" s="1877"/>
      <c r="AF460" s="1877"/>
      <c r="AG460" s="1877"/>
      <c r="AH460" s="1877"/>
      <c r="AI460" s="1877"/>
      <c r="AJ460" s="1877"/>
      <c r="AK460" s="1877"/>
      <c r="AL460" s="1877"/>
      <c r="AM460" s="1877"/>
      <c r="AN460" s="1877"/>
      <c r="AO460" s="1877"/>
      <c r="AP460" s="1877"/>
      <c r="AQ460" s="1877"/>
      <c r="AR460" s="1877"/>
      <c r="AS460" s="1877"/>
      <c r="AT460" s="1877"/>
      <c r="AU460" s="1877"/>
      <c r="AV460" s="1877"/>
      <c r="AW460" s="1877"/>
      <c r="AX460" s="1877"/>
      <c r="AY460" s="1877"/>
      <c r="AZ460" s="1877"/>
      <c r="BA460" s="1877"/>
      <c r="BB460" s="1877"/>
      <c r="BC460" s="1877"/>
      <c r="BD460" s="1877"/>
      <c r="BE460" s="1877"/>
      <c r="BF460" s="1877"/>
      <c r="BG460" s="1877"/>
      <c r="BH460" s="1877"/>
      <c r="BI460" s="1877"/>
      <c r="BJ460" s="1877"/>
      <c r="BK460" s="1877"/>
      <c r="BL460" s="1877"/>
      <c r="BM460" s="1877"/>
      <c r="BN460" s="1877"/>
      <c r="BO460" s="1877"/>
      <c r="BP460" s="1877"/>
      <c r="BQ460" s="1877"/>
      <c r="BR460" s="1877"/>
      <c r="BS460" s="1877"/>
      <c r="BT460" s="1877"/>
      <c r="BU460" s="1877"/>
      <c r="BV460" s="1877"/>
      <c r="BW460" s="1877"/>
      <c r="BX460" s="1877"/>
      <c r="BY460" s="1877"/>
      <c r="BZ460" s="1877"/>
      <c r="CA460" s="1877"/>
      <c r="CB460" s="1877"/>
      <c r="CC460" s="1877"/>
      <c r="CD460" s="1877"/>
      <c r="CE460" s="1877"/>
      <c r="CF460" s="1877"/>
      <c r="CJ460" s="400" t="s">
        <v>721</v>
      </c>
    </row>
    <row r="461" spans="1:88" s="412" customFormat="1" ht="9.9499999999999993" customHeight="1">
      <c r="A461" s="413"/>
      <c r="B461" s="413"/>
      <c r="C461" s="413"/>
      <c r="D461" s="413"/>
      <c r="E461" s="413"/>
      <c r="F461" s="413"/>
      <c r="G461" s="413"/>
      <c r="H461" s="413"/>
      <c r="I461" s="413"/>
      <c r="J461" s="413"/>
      <c r="K461" s="413"/>
      <c r="L461" s="413"/>
      <c r="M461" s="413"/>
      <c r="N461" s="413"/>
      <c r="O461" s="413"/>
      <c r="P461" s="413"/>
      <c r="Q461" s="413"/>
      <c r="R461" s="413"/>
      <c r="S461" s="413"/>
      <c r="T461" s="413"/>
      <c r="U461" s="413"/>
      <c r="V461" s="413"/>
      <c r="W461" s="413"/>
      <c r="X461" s="413"/>
      <c r="Y461" s="413"/>
      <c r="Z461" s="413"/>
      <c r="AA461" s="413"/>
      <c r="AB461" s="413"/>
      <c r="AC461" s="413"/>
      <c r="AD461" s="413"/>
      <c r="AE461" s="413"/>
      <c r="AF461" s="413"/>
      <c r="AG461" s="413"/>
      <c r="AH461" s="413"/>
      <c r="AI461" s="413"/>
      <c r="AJ461" s="413"/>
      <c r="AK461" s="413"/>
      <c r="AL461" s="413"/>
      <c r="AM461" s="413"/>
      <c r="AN461" s="413"/>
      <c r="AO461" s="413"/>
      <c r="AP461" s="413"/>
      <c r="AQ461" s="413"/>
      <c r="AR461" s="413"/>
      <c r="AS461" s="413"/>
      <c r="AT461" s="413"/>
      <c r="AU461" s="413"/>
      <c r="AV461" s="413"/>
      <c r="AW461" s="413"/>
      <c r="AX461" s="413"/>
      <c r="AY461" s="413"/>
      <c r="AZ461" s="413"/>
      <c r="BA461" s="413"/>
      <c r="BB461" s="413"/>
      <c r="BC461" s="413"/>
      <c r="BD461" s="413"/>
      <c r="BE461" s="413"/>
      <c r="BF461" s="413"/>
      <c r="BG461" s="413"/>
      <c r="BH461" s="413"/>
      <c r="BI461" s="413"/>
      <c r="BJ461" s="413"/>
      <c r="BK461" s="413"/>
      <c r="BL461" s="413"/>
      <c r="BM461" s="413"/>
      <c r="BN461" s="413"/>
      <c r="BO461" s="413"/>
      <c r="BP461" s="413"/>
      <c r="BQ461" s="413"/>
      <c r="BR461" s="413"/>
      <c r="BS461" s="413"/>
      <c r="BT461" s="413"/>
      <c r="BU461" s="413"/>
      <c r="BV461" s="413"/>
      <c r="BW461" s="413"/>
      <c r="BX461" s="413"/>
      <c r="BY461" s="413"/>
      <c r="BZ461" s="413"/>
      <c r="CA461" s="413"/>
      <c r="CB461" s="413"/>
      <c r="CC461" s="413"/>
      <c r="CD461" s="413"/>
      <c r="CE461" s="413"/>
      <c r="CF461" s="413"/>
      <c r="CJ461" s="400" t="s">
        <v>720</v>
      </c>
    </row>
    <row r="462" spans="1:88" s="400" customFormat="1" ht="21.95" customHeight="1">
      <c r="E462" s="400" t="s">
        <v>376</v>
      </c>
      <c r="CJ462" s="400" t="s">
        <v>719</v>
      </c>
    </row>
    <row r="463" spans="1:88" s="400" customFormat="1" ht="21.95" customHeight="1">
      <c r="A463" s="402"/>
      <c r="B463" s="402"/>
      <c r="C463" s="402"/>
      <c r="D463" s="402"/>
      <c r="G463" s="1788" t="s">
        <v>377</v>
      </c>
      <c r="H463" s="1788"/>
      <c r="I463" s="1788"/>
      <c r="J463" s="1788"/>
      <c r="L463" s="411" t="s">
        <v>378</v>
      </c>
      <c r="M463" s="411"/>
      <c r="N463" s="411"/>
      <c r="O463" s="411"/>
      <c r="P463" s="411"/>
      <c r="Q463" s="411"/>
      <c r="R463" s="411"/>
      <c r="S463" s="411"/>
      <c r="T463" s="411"/>
      <c r="U463" s="411"/>
      <c r="V463" s="411"/>
      <c r="W463" s="411"/>
      <c r="X463" s="411"/>
      <c r="Y463" s="411"/>
      <c r="Z463" s="411"/>
      <c r="AA463" s="411"/>
      <c r="AB463" s="411"/>
      <c r="AC463" s="411"/>
      <c r="AD463" s="411"/>
      <c r="AE463" s="411"/>
      <c r="AM463" s="400" t="s">
        <v>379</v>
      </c>
      <c r="AV463" s="408"/>
      <c r="AW463" s="408"/>
      <c r="AX463" s="408"/>
      <c r="AY463" s="408"/>
      <c r="AZ463" s="408"/>
      <c r="BA463" s="408"/>
      <c r="BC463" s="408"/>
      <c r="BD463" s="408"/>
      <c r="BE463" s="404"/>
      <c r="BF463" s="404"/>
      <c r="BG463" s="404"/>
      <c r="BH463" s="404"/>
      <c r="BI463" s="400" t="s">
        <v>380</v>
      </c>
      <c r="BJ463" s="404"/>
      <c r="BK463" s="404"/>
      <c r="BL463" s="404"/>
      <c r="BM463" s="404"/>
      <c r="BN463" s="404"/>
      <c r="BO463" s="404"/>
      <c r="BP463" s="404"/>
      <c r="BQ463" s="404"/>
      <c r="BR463" s="404"/>
      <c r="BS463" s="404"/>
      <c r="BT463" s="404"/>
      <c r="BU463" s="404"/>
      <c r="BV463" s="404"/>
      <c r="BW463" s="404"/>
      <c r="BX463" s="404"/>
      <c r="BY463" s="404"/>
      <c r="BZ463" s="404"/>
      <c r="CA463" s="404"/>
      <c r="CB463" s="404"/>
      <c r="CC463" s="404"/>
      <c r="CD463" s="404"/>
      <c r="CE463" s="404"/>
      <c r="CF463" s="404"/>
      <c r="CJ463" s="400" t="s">
        <v>718</v>
      </c>
    </row>
    <row r="464" spans="1:88" s="400" customFormat="1" ht="21.95" customHeight="1">
      <c r="D464" s="405"/>
      <c r="G464" s="1788"/>
      <c r="H464" s="1788"/>
      <c r="I464" s="1788"/>
      <c r="J464" s="1788"/>
      <c r="L464" s="1809" t="s">
        <v>381</v>
      </c>
      <c r="M464" s="1809"/>
      <c r="N464" s="1809"/>
      <c r="O464" s="1809"/>
      <c r="P464" s="1809"/>
      <c r="Q464" s="1809"/>
      <c r="R464" s="1809"/>
      <c r="S464" s="1809"/>
      <c r="T464" s="1809"/>
      <c r="U464" s="1809"/>
      <c r="V464" s="1809"/>
      <c r="W464" s="1809"/>
      <c r="X464" s="1809"/>
      <c r="Y464" s="1809"/>
      <c r="Z464" s="1809"/>
      <c r="AA464" s="1809"/>
      <c r="AB464" s="1809"/>
      <c r="AC464" s="1809"/>
      <c r="AD464" s="1809"/>
      <c r="AE464" s="1809"/>
      <c r="AM464" s="408" t="s">
        <v>517</v>
      </c>
      <c r="AV464" s="408"/>
      <c r="AW464" s="408"/>
      <c r="AX464" s="408"/>
      <c r="AY464" s="408"/>
      <c r="AZ464" s="408"/>
      <c r="BA464" s="408"/>
      <c r="BC464" s="408"/>
      <c r="BD464" s="408"/>
      <c r="BE464" s="404"/>
      <c r="BF464" s="404"/>
      <c r="BG464" s="404"/>
      <c r="BH464" s="404"/>
      <c r="BI464" s="404"/>
      <c r="BJ464" s="404"/>
      <c r="BK464" s="404"/>
      <c r="BL464" s="404"/>
      <c r="BM464" s="404"/>
      <c r="BN464" s="404"/>
      <c r="BO464" s="404"/>
      <c r="BP464" s="404"/>
      <c r="BQ464" s="404"/>
      <c r="BR464" s="404"/>
      <c r="BS464" s="404"/>
      <c r="BT464" s="404"/>
      <c r="BU464" s="404"/>
      <c r="BV464" s="404"/>
      <c r="BW464" s="404"/>
      <c r="BX464" s="404"/>
      <c r="BY464" s="404"/>
      <c r="BZ464" s="404"/>
      <c r="CA464" s="404"/>
      <c r="CB464" s="404"/>
      <c r="CC464" s="404"/>
      <c r="CD464" s="404"/>
      <c r="CE464" s="404"/>
      <c r="CF464" s="404"/>
      <c r="CJ464" s="400" t="s">
        <v>717</v>
      </c>
    </row>
    <row r="465" spans="1:88" s="400" customFormat="1" ht="21.95" customHeight="1">
      <c r="G465" s="402"/>
      <c r="AM465" s="408" t="s">
        <v>383</v>
      </c>
      <c r="BI465" s="400" t="s">
        <v>384</v>
      </c>
      <c r="BT465" s="410"/>
      <c r="BU465" s="410"/>
      <c r="BV465" s="410"/>
      <c r="BW465" s="410"/>
      <c r="BX465" s="410"/>
      <c r="BY465" s="410"/>
      <c r="BZ465" s="410"/>
      <c r="CA465" s="410"/>
      <c r="CB465" s="410"/>
      <c r="CC465" s="410"/>
      <c r="CJ465" s="400" t="s">
        <v>716</v>
      </c>
    </row>
    <row r="466" spans="1:88" s="400" customFormat="1" ht="9.9499999999999993" customHeight="1" thickBot="1">
      <c r="D466" s="405"/>
      <c r="Q466" s="409"/>
      <c r="R466" s="409"/>
      <c r="S466" s="409"/>
      <c r="T466" s="409"/>
      <c r="U466" s="409"/>
      <c r="V466" s="409"/>
      <c r="W466" s="409"/>
      <c r="X466" s="409"/>
      <c r="Y466" s="409"/>
      <c r="Z466" s="409"/>
      <c r="AA466" s="409"/>
      <c r="AB466" s="409"/>
      <c r="AV466" s="408"/>
      <c r="AW466" s="408"/>
      <c r="AX466" s="408"/>
      <c r="AY466" s="408"/>
      <c r="AZ466" s="408"/>
      <c r="BA466" s="408"/>
      <c r="BB466" s="408"/>
      <c r="BC466" s="408"/>
      <c r="BD466" s="408"/>
      <c r="BE466" s="404"/>
      <c r="BF466" s="404"/>
      <c r="BG466" s="404"/>
      <c r="BH466" s="404"/>
      <c r="BI466" s="404"/>
      <c r="BJ466" s="404"/>
      <c r="BK466" s="404"/>
      <c r="BL466" s="404"/>
      <c r="BM466" s="404"/>
      <c r="BN466" s="404"/>
      <c r="BO466" s="404"/>
      <c r="BP466" s="404"/>
      <c r="BQ466" s="404"/>
      <c r="BR466" s="404"/>
      <c r="BS466" s="404"/>
      <c r="BT466" s="404"/>
      <c r="BU466" s="404"/>
      <c r="BV466" s="404"/>
      <c r="BW466" s="404"/>
      <c r="BX466" s="404"/>
      <c r="BY466" s="404"/>
      <c r="BZ466" s="404"/>
      <c r="CA466" s="404"/>
      <c r="CB466" s="404"/>
      <c r="CC466" s="404"/>
      <c r="CD466" s="404"/>
      <c r="CE466" s="404"/>
      <c r="CF466" s="404"/>
    </row>
    <row r="467" spans="1:88" s="400" customFormat="1" ht="21.95" customHeight="1" thickBot="1">
      <c r="A467" s="402"/>
      <c r="B467" s="402"/>
      <c r="C467" s="402"/>
      <c r="D467" s="402"/>
      <c r="E467" s="1835" t="s">
        <v>385</v>
      </c>
      <c r="F467" s="1836"/>
      <c r="G467" s="1836"/>
      <c r="H467" s="1836"/>
      <c r="I467" s="1836"/>
      <c r="J467" s="1836"/>
      <c r="K467" s="1836"/>
      <c r="L467" s="1836"/>
      <c r="M467" s="1836"/>
      <c r="N467" s="1836"/>
      <c r="O467" s="1836"/>
      <c r="P467" s="1836"/>
      <c r="Q467" s="1836" t="s">
        <v>212</v>
      </c>
      <c r="R467" s="1836"/>
      <c r="S467" s="1836"/>
      <c r="T467" s="1836"/>
      <c r="U467" s="1836"/>
      <c r="V467" s="1836"/>
      <c r="W467" s="1836"/>
      <c r="X467" s="1836"/>
      <c r="Y467" s="1836"/>
      <c r="Z467" s="1836"/>
      <c r="AA467" s="1836"/>
      <c r="AB467" s="1836"/>
      <c r="AC467" s="1836" t="s">
        <v>386</v>
      </c>
      <c r="AD467" s="1836"/>
      <c r="AE467" s="1836"/>
      <c r="AF467" s="1836"/>
      <c r="AG467" s="1836"/>
      <c r="AH467" s="1836"/>
      <c r="AI467" s="1836"/>
      <c r="AJ467" s="1836"/>
      <c r="AK467" s="1836" t="s">
        <v>387</v>
      </c>
      <c r="AL467" s="1836"/>
      <c r="AM467" s="1836"/>
      <c r="AN467" s="1836"/>
      <c r="AO467" s="1836"/>
      <c r="AP467" s="1836"/>
      <c r="AQ467" s="1836"/>
      <c r="AR467" s="1836"/>
      <c r="AS467" s="1836" t="s">
        <v>388</v>
      </c>
      <c r="AT467" s="1836"/>
      <c r="AU467" s="1836"/>
      <c r="AV467" s="1836"/>
      <c r="AW467" s="1836"/>
      <c r="AX467" s="1836"/>
      <c r="AY467" s="1836"/>
      <c r="AZ467" s="1836"/>
      <c r="BA467" s="1836" t="s">
        <v>389</v>
      </c>
      <c r="BB467" s="1836"/>
      <c r="BC467" s="1836"/>
      <c r="BD467" s="1836"/>
      <c r="BE467" s="1836"/>
      <c r="BF467" s="1836"/>
      <c r="BG467" s="1836"/>
      <c r="BH467" s="1836"/>
      <c r="BI467" s="1836" t="s">
        <v>381</v>
      </c>
      <c r="BJ467" s="1836"/>
      <c r="BK467" s="1836"/>
      <c r="BL467" s="1836"/>
      <c r="BM467" s="1836"/>
      <c r="BN467" s="1836"/>
      <c r="BO467" s="1836"/>
      <c r="BP467" s="1836"/>
      <c r="BQ467" s="1836"/>
      <c r="BR467" s="1836"/>
      <c r="BS467" s="1836"/>
      <c r="BT467" s="1836"/>
      <c r="BU467" s="1933" t="s">
        <v>390</v>
      </c>
      <c r="BV467" s="1933"/>
      <c r="BW467" s="1933"/>
      <c r="BX467" s="1933"/>
      <c r="BY467" s="1933"/>
      <c r="BZ467" s="1933"/>
      <c r="CA467" s="1933"/>
      <c r="CB467" s="1933"/>
      <c r="CC467" s="1933"/>
      <c r="CD467" s="1933"/>
      <c r="CE467" s="1933"/>
      <c r="CF467" s="1934"/>
      <c r="CJ467" s="400" t="s">
        <v>715</v>
      </c>
    </row>
    <row r="468" spans="1:88" s="400" customFormat="1" ht="21.95" customHeight="1" thickTop="1">
      <c r="D468" s="405"/>
      <c r="E468" s="1935" t="s">
        <v>391</v>
      </c>
      <c r="F468" s="1834"/>
      <c r="G468" s="1834"/>
      <c r="H468" s="1834"/>
      <c r="I468" s="1834"/>
      <c r="J468" s="1834"/>
      <c r="K468" s="1834"/>
      <c r="L468" s="1834"/>
      <c r="M468" s="1834"/>
      <c r="N468" s="1834"/>
      <c r="O468" s="1834"/>
      <c r="P468" s="1834"/>
      <c r="Q468" s="1936" t="s">
        <v>392</v>
      </c>
      <c r="R468" s="1936"/>
      <c r="S468" s="1936"/>
      <c r="T468" s="1936"/>
      <c r="U468" s="1936"/>
      <c r="V468" s="1936"/>
      <c r="W468" s="1936"/>
      <c r="X468" s="1936"/>
      <c r="Y468" s="1936"/>
      <c r="Z468" s="1936"/>
      <c r="AA468" s="1936"/>
      <c r="AB468" s="1936"/>
      <c r="AC468" s="1964">
        <v>0.12</v>
      </c>
      <c r="AD468" s="1964"/>
      <c r="AE468" s="1964"/>
      <c r="AF468" s="1964"/>
      <c r="AG468" s="1964"/>
      <c r="AH468" s="1964"/>
      <c r="AI468" s="1964"/>
      <c r="AJ468" s="1964"/>
      <c r="AK468" s="1834">
        <v>0.7</v>
      </c>
      <c r="AL468" s="1834"/>
      <c r="AM468" s="1834"/>
      <c r="AN468" s="1834"/>
      <c r="AO468" s="1834"/>
      <c r="AP468" s="1834"/>
      <c r="AQ468" s="1834"/>
      <c r="AR468" s="1834"/>
      <c r="AS468" s="1834">
        <v>0.67</v>
      </c>
      <c r="AT468" s="1834"/>
      <c r="AU468" s="1834"/>
      <c r="AV468" s="1834"/>
      <c r="AW468" s="1834"/>
      <c r="AX468" s="1834"/>
      <c r="AY468" s="1834"/>
      <c r="AZ468" s="1834"/>
      <c r="BA468" s="1834">
        <v>0.45</v>
      </c>
      <c r="BB468" s="1834"/>
      <c r="BC468" s="1834"/>
      <c r="BD468" s="1834"/>
      <c r="BE468" s="1834"/>
      <c r="BF468" s="1834"/>
      <c r="BG468" s="1834"/>
      <c r="BH468" s="1834"/>
      <c r="BI468" s="1929" t="s">
        <v>398</v>
      </c>
      <c r="BJ468" s="1866"/>
      <c r="BK468" s="1866"/>
      <c r="BL468" s="1866"/>
      <c r="BM468" s="1866"/>
      <c r="BN468" s="1866"/>
      <c r="BO468" s="1930">
        <v>15</v>
      </c>
      <c r="BP468" s="1931"/>
      <c r="BQ468" s="1931"/>
      <c r="BR468" s="1931"/>
      <c r="BS468" s="1931"/>
      <c r="BT468" s="1932"/>
      <c r="BU468" s="1924">
        <f t="shared" ref="BU468:BU476" si="49">ROUND(3600*AC468*AK468*AS468*BA468/BO468,2)</f>
        <v>6.08</v>
      </c>
      <c r="BV468" s="1924"/>
      <c r="BW468" s="1924"/>
      <c r="BX468" s="1924"/>
      <c r="BY468" s="1924"/>
      <c r="BZ468" s="1924"/>
      <c r="CA468" s="1924"/>
      <c r="CB468" s="1924"/>
      <c r="CC468" s="1924"/>
      <c r="CD468" s="1924"/>
      <c r="CE468" s="1924"/>
      <c r="CF468" s="1925"/>
    </row>
    <row r="469" spans="1:88" s="400" customFormat="1" ht="21.95" customHeight="1">
      <c r="D469" s="405"/>
      <c r="E469" s="1828" t="s">
        <v>391</v>
      </c>
      <c r="F469" s="1829"/>
      <c r="G469" s="1829"/>
      <c r="H469" s="1829"/>
      <c r="I469" s="1829"/>
      <c r="J469" s="1829"/>
      <c r="K469" s="1829"/>
      <c r="L469" s="1829"/>
      <c r="M469" s="1829"/>
      <c r="N469" s="1829"/>
      <c r="O469" s="1829"/>
      <c r="P469" s="1829"/>
      <c r="Q469" s="1830" t="s">
        <v>394</v>
      </c>
      <c r="R469" s="1830"/>
      <c r="S469" s="1830"/>
      <c r="T469" s="1830"/>
      <c r="U469" s="1830"/>
      <c r="V469" s="1830"/>
      <c r="W469" s="1830"/>
      <c r="X469" s="1830"/>
      <c r="Y469" s="1830"/>
      <c r="Z469" s="1830"/>
      <c r="AA469" s="1830"/>
      <c r="AB469" s="1830"/>
      <c r="AC469" s="1878">
        <v>0.18</v>
      </c>
      <c r="AD469" s="1878"/>
      <c r="AE469" s="1878"/>
      <c r="AF469" s="1878"/>
      <c r="AG469" s="1878"/>
      <c r="AH469" s="1878"/>
      <c r="AI469" s="1878"/>
      <c r="AJ469" s="1878"/>
      <c r="AK469" s="1829">
        <v>0.7</v>
      </c>
      <c r="AL469" s="1829"/>
      <c r="AM469" s="1829"/>
      <c r="AN469" s="1829"/>
      <c r="AO469" s="1829"/>
      <c r="AP469" s="1829"/>
      <c r="AQ469" s="1829"/>
      <c r="AR469" s="1829"/>
      <c r="AS469" s="1829">
        <v>0.67</v>
      </c>
      <c r="AT469" s="1829"/>
      <c r="AU469" s="1829"/>
      <c r="AV469" s="1829"/>
      <c r="AW469" s="1829"/>
      <c r="AX469" s="1829"/>
      <c r="AY469" s="1829"/>
      <c r="AZ469" s="1829"/>
      <c r="BA469" s="1829">
        <v>0.45</v>
      </c>
      <c r="BB469" s="1829"/>
      <c r="BC469" s="1829"/>
      <c r="BD469" s="1829"/>
      <c r="BE469" s="1829"/>
      <c r="BF469" s="1829"/>
      <c r="BG469" s="1829"/>
      <c r="BH469" s="1829"/>
      <c r="BI469" s="1929" t="s">
        <v>398</v>
      </c>
      <c r="BJ469" s="1866"/>
      <c r="BK469" s="1866"/>
      <c r="BL469" s="1866"/>
      <c r="BM469" s="1866"/>
      <c r="BN469" s="1866"/>
      <c r="BO469" s="1865">
        <v>15</v>
      </c>
      <c r="BP469" s="1866"/>
      <c r="BQ469" s="1866"/>
      <c r="BR469" s="1866"/>
      <c r="BS469" s="1866"/>
      <c r="BT469" s="1867"/>
      <c r="BU469" s="1924">
        <f t="shared" si="49"/>
        <v>9.1199999999999992</v>
      </c>
      <c r="BV469" s="1924"/>
      <c r="BW469" s="1924"/>
      <c r="BX469" s="1924"/>
      <c r="BY469" s="1924"/>
      <c r="BZ469" s="1924"/>
      <c r="CA469" s="1924"/>
      <c r="CB469" s="1924"/>
      <c r="CC469" s="1924"/>
      <c r="CD469" s="1924"/>
      <c r="CE469" s="1924"/>
      <c r="CF469" s="1925"/>
    </row>
    <row r="470" spans="1:88" s="400" customFormat="1" ht="21.95" customHeight="1">
      <c r="A470" s="402"/>
      <c r="B470" s="402"/>
      <c r="C470" s="402"/>
      <c r="D470" s="402"/>
      <c r="E470" s="1828" t="s">
        <v>391</v>
      </c>
      <c r="F470" s="1829"/>
      <c r="G470" s="1829"/>
      <c r="H470" s="1829"/>
      <c r="I470" s="1829"/>
      <c r="J470" s="1829"/>
      <c r="K470" s="1829"/>
      <c r="L470" s="1829"/>
      <c r="M470" s="1829"/>
      <c r="N470" s="1829"/>
      <c r="O470" s="1829"/>
      <c r="P470" s="1829"/>
      <c r="Q470" s="1830" t="s">
        <v>395</v>
      </c>
      <c r="R470" s="1830"/>
      <c r="S470" s="1830"/>
      <c r="T470" s="1830"/>
      <c r="U470" s="1830"/>
      <c r="V470" s="1830"/>
      <c r="W470" s="1830"/>
      <c r="X470" s="1830"/>
      <c r="Y470" s="1830"/>
      <c r="Z470" s="1830"/>
      <c r="AA470" s="1830"/>
      <c r="AB470" s="1830"/>
      <c r="AC470" s="1918">
        <v>0.2</v>
      </c>
      <c r="AD470" s="1918"/>
      <c r="AE470" s="1918"/>
      <c r="AF470" s="1918"/>
      <c r="AG470" s="1918"/>
      <c r="AH470" s="1918"/>
      <c r="AI470" s="1918"/>
      <c r="AJ470" s="1918"/>
      <c r="AK470" s="1829">
        <v>0.7</v>
      </c>
      <c r="AL470" s="1829"/>
      <c r="AM470" s="1829"/>
      <c r="AN470" s="1829"/>
      <c r="AO470" s="1829"/>
      <c r="AP470" s="1829"/>
      <c r="AQ470" s="1829"/>
      <c r="AR470" s="1829"/>
      <c r="AS470" s="1829">
        <v>0.67</v>
      </c>
      <c r="AT470" s="1829"/>
      <c r="AU470" s="1829"/>
      <c r="AV470" s="1829"/>
      <c r="AW470" s="1829"/>
      <c r="AX470" s="1829"/>
      <c r="AY470" s="1829"/>
      <c r="AZ470" s="1829"/>
      <c r="BA470" s="1829">
        <v>0.45</v>
      </c>
      <c r="BB470" s="1829"/>
      <c r="BC470" s="1829"/>
      <c r="BD470" s="1829"/>
      <c r="BE470" s="1829"/>
      <c r="BF470" s="1829"/>
      <c r="BG470" s="1829"/>
      <c r="BH470" s="1829"/>
      <c r="BI470" s="1929" t="s">
        <v>398</v>
      </c>
      <c r="BJ470" s="1866"/>
      <c r="BK470" s="1866"/>
      <c r="BL470" s="1866"/>
      <c r="BM470" s="1866"/>
      <c r="BN470" s="1866"/>
      <c r="BO470" s="1865">
        <v>15</v>
      </c>
      <c r="BP470" s="1866"/>
      <c r="BQ470" s="1866"/>
      <c r="BR470" s="1866"/>
      <c r="BS470" s="1866"/>
      <c r="BT470" s="1867"/>
      <c r="BU470" s="1924">
        <f t="shared" si="49"/>
        <v>10.130000000000001</v>
      </c>
      <c r="BV470" s="1924"/>
      <c r="BW470" s="1924"/>
      <c r="BX470" s="1924"/>
      <c r="BY470" s="1924"/>
      <c r="BZ470" s="1924"/>
      <c r="CA470" s="1924"/>
      <c r="CB470" s="1924"/>
      <c r="CC470" s="1924"/>
      <c r="CD470" s="1924"/>
      <c r="CE470" s="1924"/>
      <c r="CF470" s="1925"/>
    </row>
    <row r="471" spans="1:88" s="400" customFormat="1" ht="21.95" customHeight="1">
      <c r="E471" s="1828" t="s">
        <v>391</v>
      </c>
      <c r="F471" s="1829"/>
      <c r="G471" s="1829"/>
      <c r="H471" s="1829"/>
      <c r="I471" s="1829"/>
      <c r="J471" s="1829"/>
      <c r="K471" s="1829"/>
      <c r="L471" s="1829"/>
      <c r="M471" s="1829"/>
      <c r="N471" s="1829"/>
      <c r="O471" s="1829"/>
      <c r="P471" s="1829"/>
      <c r="Q471" s="1830" t="s">
        <v>359</v>
      </c>
      <c r="R471" s="1830"/>
      <c r="S471" s="1830"/>
      <c r="T471" s="1830"/>
      <c r="U471" s="1830"/>
      <c r="V471" s="1830"/>
      <c r="W471" s="1830"/>
      <c r="X471" s="1830"/>
      <c r="Y471" s="1830"/>
      <c r="Z471" s="1830"/>
      <c r="AA471" s="1830"/>
      <c r="AB471" s="1830"/>
      <c r="AC471" s="1918">
        <v>0.4</v>
      </c>
      <c r="AD471" s="1918"/>
      <c r="AE471" s="1918"/>
      <c r="AF471" s="1918"/>
      <c r="AG471" s="1918"/>
      <c r="AH471" s="1918"/>
      <c r="AI471" s="1918"/>
      <c r="AJ471" s="1918"/>
      <c r="AK471" s="1829">
        <v>0.7</v>
      </c>
      <c r="AL471" s="1829"/>
      <c r="AM471" s="1829"/>
      <c r="AN471" s="1829"/>
      <c r="AO471" s="1829"/>
      <c r="AP471" s="1829"/>
      <c r="AQ471" s="1829"/>
      <c r="AR471" s="1829"/>
      <c r="AS471" s="1829">
        <v>0.67</v>
      </c>
      <c r="AT471" s="1829"/>
      <c r="AU471" s="1829"/>
      <c r="AV471" s="1829"/>
      <c r="AW471" s="1829"/>
      <c r="AX471" s="1829"/>
      <c r="AY471" s="1829"/>
      <c r="AZ471" s="1829"/>
      <c r="BA471" s="1829">
        <v>0.45</v>
      </c>
      <c r="BB471" s="1829"/>
      <c r="BC471" s="1829"/>
      <c r="BD471" s="1829"/>
      <c r="BE471" s="1829"/>
      <c r="BF471" s="1829"/>
      <c r="BG471" s="1829"/>
      <c r="BH471" s="1829"/>
      <c r="BI471" s="1929" t="s">
        <v>398</v>
      </c>
      <c r="BJ471" s="1866"/>
      <c r="BK471" s="1866"/>
      <c r="BL471" s="1866"/>
      <c r="BM471" s="1866"/>
      <c r="BN471" s="1866"/>
      <c r="BO471" s="1865">
        <v>15</v>
      </c>
      <c r="BP471" s="1866"/>
      <c r="BQ471" s="1866"/>
      <c r="BR471" s="1866"/>
      <c r="BS471" s="1866"/>
      <c r="BT471" s="1867"/>
      <c r="BU471" s="1924">
        <f t="shared" si="49"/>
        <v>20.260000000000002</v>
      </c>
      <c r="BV471" s="1924"/>
      <c r="BW471" s="1924"/>
      <c r="BX471" s="1924"/>
      <c r="BY471" s="1924"/>
      <c r="BZ471" s="1924"/>
      <c r="CA471" s="1924"/>
      <c r="CB471" s="1924"/>
      <c r="CC471" s="1924"/>
      <c r="CD471" s="1924"/>
      <c r="CE471" s="1924"/>
      <c r="CF471" s="1925"/>
    </row>
    <row r="472" spans="1:88" s="400" customFormat="1" ht="21.95" customHeight="1">
      <c r="A472" s="402"/>
      <c r="B472" s="402"/>
      <c r="C472" s="402"/>
      <c r="D472" s="402"/>
      <c r="E472" s="1828" t="s">
        <v>391</v>
      </c>
      <c r="F472" s="1829"/>
      <c r="G472" s="1829"/>
      <c r="H472" s="1829"/>
      <c r="I472" s="1829"/>
      <c r="J472" s="1829"/>
      <c r="K472" s="1829"/>
      <c r="L472" s="1829"/>
      <c r="M472" s="1829"/>
      <c r="N472" s="1829"/>
      <c r="O472" s="1829"/>
      <c r="P472" s="1829"/>
      <c r="Q472" s="1830" t="s">
        <v>397</v>
      </c>
      <c r="R472" s="1830"/>
      <c r="S472" s="1830"/>
      <c r="T472" s="1830"/>
      <c r="U472" s="1830"/>
      <c r="V472" s="1830"/>
      <c r="W472" s="1830"/>
      <c r="X472" s="1830"/>
      <c r="Y472" s="1830"/>
      <c r="Z472" s="1830"/>
      <c r="AA472" s="1830"/>
      <c r="AB472" s="1830"/>
      <c r="AC472" s="1918">
        <v>0.6</v>
      </c>
      <c r="AD472" s="1918"/>
      <c r="AE472" s="1918"/>
      <c r="AF472" s="1918"/>
      <c r="AG472" s="1918"/>
      <c r="AH472" s="1918"/>
      <c r="AI472" s="1918"/>
      <c r="AJ472" s="1918"/>
      <c r="AK472" s="1829">
        <v>0.7</v>
      </c>
      <c r="AL472" s="1829"/>
      <c r="AM472" s="1829"/>
      <c r="AN472" s="1829"/>
      <c r="AO472" s="1829"/>
      <c r="AP472" s="1829"/>
      <c r="AQ472" s="1829"/>
      <c r="AR472" s="1829"/>
      <c r="AS472" s="1829">
        <v>0.67</v>
      </c>
      <c r="AT472" s="1829"/>
      <c r="AU472" s="1829"/>
      <c r="AV472" s="1829"/>
      <c r="AW472" s="1829"/>
      <c r="AX472" s="1829"/>
      <c r="AY472" s="1829"/>
      <c r="AZ472" s="1829"/>
      <c r="BA472" s="1829">
        <v>0.45</v>
      </c>
      <c r="BB472" s="1829"/>
      <c r="BC472" s="1829"/>
      <c r="BD472" s="1829"/>
      <c r="BE472" s="1829"/>
      <c r="BF472" s="1829"/>
      <c r="BG472" s="1829"/>
      <c r="BH472" s="1829"/>
      <c r="BI472" s="1929" t="s">
        <v>398</v>
      </c>
      <c r="BJ472" s="1866"/>
      <c r="BK472" s="1866"/>
      <c r="BL472" s="1866"/>
      <c r="BM472" s="1866"/>
      <c r="BN472" s="1866"/>
      <c r="BO472" s="1865">
        <v>18</v>
      </c>
      <c r="BP472" s="1866"/>
      <c r="BQ472" s="1866"/>
      <c r="BR472" s="1866"/>
      <c r="BS472" s="1866"/>
      <c r="BT472" s="1867"/>
      <c r="BU472" s="1924">
        <f t="shared" si="49"/>
        <v>25.33</v>
      </c>
      <c r="BV472" s="1924"/>
      <c r="BW472" s="1924"/>
      <c r="BX472" s="1924"/>
      <c r="BY472" s="1924"/>
      <c r="BZ472" s="1924"/>
      <c r="CA472" s="1924"/>
      <c r="CB472" s="1924"/>
      <c r="CC472" s="1924"/>
      <c r="CD472" s="1924"/>
      <c r="CE472" s="1924"/>
      <c r="CF472" s="1925"/>
    </row>
    <row r="473" spans="1:88" s="400" customFormat="1" ht="21.95" customHeight="1">
      <c r="E473" s="1828" t="s">
        <v>391</v>
      </c>
      <c r="F473" s="1829"/>
      <c r="G473" s="1829"/>
      <c r="H473" s="1829"/>
      <c r="I473" s="1829"/>
      <c r="J473" s="1829"/>
      <c r="K473" s="1829"/>
      <c r="L473" s="1829"/>
      <c r="M473" s="1829"/>
      <c r="N473" s="1829"/>
      <c r="O473" s="1829"/>
      <c r="P473" s="1829"/>
      <c r="Q473" s="1830" t="s">
        <v>399</v>
      </c>
      <c r="R473" s="1830"/>
      <c r="S473" s="1830"/>
      <c r="T473" s="1830"/>
      <c r="U473" s="1830"/>
      <c r="V473" s="1830"/>
      <c r="W473" s="1830"/>
      <c r="X473" s="1830"/>
      <c r="Y473" s="1830"/>
      <c r="Z473" s="1830"/>
      <c r="AA473" s="1830"/>
      <c r="AB473" s="1830"/>
      <c r="AC473" s="1918">
        <v>0.7</v>
      </c>
      <c r="AD473" s="1918"/>
      <c r="AE473" s="1918"/>
      <c r="AF473" s="1918"/>
      <c r="AG473" s="1918"/>
      <c r="AH473" s="1918"/>
      <c r="AI473" s="1918"/>
      <c r="AJ473" s="1918"/>
      <c r="AK473" s="1829">
        <v>0.7</v>
      </c>
      <c r="AL473" s="1829"/>
      <c r="AM473" s="1829"/>
      <c r="AN473" s="1829"/>
      <c r="AO473" s="1829"/>
      <c r="AP473" s="1829"/>
      <c r="AQ473" s="1829"/>
      <c r="AR473" s="1829"/>
      <c r="AS473" s="1829">
        <v>0.67</v>
      </c>
      <c r="AT473" s="1829"/>
      <c r="AU473" s="1829"/>
      <c r="AV473" s="1829"/>
      <c r="AW473" s="1829"/>
      <c r="AX473" s="1829"/>
      <c r="AY473" s="1829"/>
      <c r="AZ473" s="1829"/>
      <c r="BA473" s="1829">
        <v>0.45</v>
      </c>
      <c r="BB473" s="1829"/>
      <c r="BC473" s="1829"/>
      <c r="BD473" s="1829"/>
      <c r="BE473" s="1829"/>
      <c r="BF473" s="1829"/>
      <c r="BG473" s="1829"/>
      <c r="BH473" s="1829"/>
      <c r="BI473" s="1929" t="s">
        <v>398</v>
      </c>
      <c r="BJ473" s="1866"/>
      <c r="BK473" s="1866"/>
      <c r="BL473" s="1866"/>
      <c r="BM473" s="1866"/>
      <c r="BN473" s="1866"/>
      <c r="BO473" s="1865">
        <v>18</v>
      </c>
      <c r="BP473" s="1866"/>
      <c r="BQ473" s="1866"/>
      <c r="BR473" s="1866"/>
      <c r="BS473" s="1866"/>
      <c r="BT473" s="1867"/>
      <c r="BU473" s="1924">
        <f t="shared" si="49"/>
        <v>29.55</v>
      </c>
      <c r="BV473" s="1924"/>
      <c r="BW473" s="1924"/>
      <c r="BX473" s="1924"/>
      <c r="BY473" s="1924"/>
      <c r="BZ473" s="1924"/>
      <c r="CA473" s="1924"/>
      <c r="CB473" s="1924"/>
      <c r="CC473" s="1924"/>
      <c r="CD473" s="1924"/>
      <c r="CE473" s="1924"/>
      <c r="CF473" s="1925"/>
    </row>
    <row r="474" spans="1:88" s="400" customFormat="1" ht="21.95" customHeight="1">
      <c r="E474" s="1828" t="s">
        <v>391</v>
      </c>
      <c r="F474" s="1829"/>
      <c r="G474" s="1829"/>
      <c r="H474" s="1829"/>
      <c r="I474" s="1829"/>
      <c r="J474" s="1829"/>
      <c r="K474" s="1829"/>
      <c r="L474" s="1829"/>
      <c r="M474" s="1829"/>
      <c r="N474" s="1829"/>
      <c r="O474" s="1829"/>
      <c r="P474" s="1829"/>
      <c r="Q474" s="1830" t="s">
        <v>400</v>
      </c>
      <c r="R474" s="1830"/>
      <c r="S474" s="1830"/>
      <c r="T474" s="1830"/>
      <c r="U474" s="1830"/>
      <c r="V474" s="1830"/>
      <c r="W474" s="1830"/>
      <c r="X474" s="1830"/>
      <c r="Y474" s="1830"/>
      <c r="Z474" s="1830"/>
      <c r="AA474" s="1830"/>
      <c r="AB474" s="1830"/>
      <c r="AC474" s="1918">
        <v>0.8</v>
      </c>
      <c r="AD474" s="1918"/>
      <c r="AE474" s="1918"/>
      <c r="AF474" s="1918"/>
      <c r="AG474" s="1918"/>
      <c r="AH474" s="1918"/>
      <c r="AI474" s="1918"/>
      <c r="AJ474" s="1918"/>
      <c r="AK474" s="1829">
        <v>0.7</v>
      </c>
      <c r="AL474" s="1829"/>
      <c r="AM474" s="1829"/>
      <c r="AN474" s="1829"/>
      <c r="AO474" s="1829"/>
      <c r="AP474" s="1829"/>
      <c r="AQ474" s="1829"/>
      <c r="AR474" s="1829"/>
      <c r="AS474" s="1829">
        <v>0.67</v>
      </c>
      <c r="AT474" s="1829"/>
      <c r="AU474" s="1829"/>
      <c r="AV474" s="1829"/>
      <c r="AW474" s="1829"/>
      <c r="AX474" s="1829"/>
      <c r="AY474" s="1829"/>
      <c r="AZ474" s="1829"/>
      <c r="BA474" s="1829">
        <v>0.45</v>
      </c>
      <c r="BB474" s="1829"/>
      <c r="BC474" s="1829"/>
      <c r="BD474" s="1829"/>
      <c r="BE474" s="1829"/>
      <c r="BF474" s="1829"/>
      <c r="BG474" s="1829"/>
      <c r="BH474" s="1829"/>
      <c r="BI474" s="1929" t="s">
        <v>398</v>
      </c>
      <c r="BJ474" s="1866"/>
      <c r="BK474" s="1866"/>
      <c r="BL474" s="1866"/>
      <c r="BM474" s="1866"/>
      <c r="BN474" s="1866"/>
      <c r="BO474" s="1865">
        <v>18</v>
      </c>
      <c r="BP474" s="1866"/>
      <c r="BQ474" s="1866"/>
      <c r="BR474" s="1866"/>
      <c r="BS474" s="1866"/>
      <c r="BT474" s="1867"/>
      <c r="BU474" s="1924">
        <f t="shared" si="49"/>
        <v>33.770000000000003</v>
      </c>
      <c r="BV474" s="1924"/>
      <c r="BW474" s="1924"/>
      <c r="BX474" s="1924"/>
      <c r="BY474" s="1924"/>
      <c r="BZ474" s="1924"/>
      <c r="CA474" s="1924"/>
      <c r="CB474" s="1924"/>
      <c r="CC474" s="1924"/>
      <c r="CD474" s="1924"/>
      <c r="CE474" s="1924"/>
      <c r="CF474" s="1925"/>
    </row>
    <row r="475" spans="1:88" s="400" customFormat="1" ht="21.95" customHeight="1">
      <c r="A475" s="402"/>
      <c r="B475" s="402"/>
      <c r="C475" s="402"/>
      <c r="D475" s="402"/>
      <c r="E475" s="2000" t="s">
        <v>391</v>
      </c>
      <c r="F475" s="1809"/>
      <c r="G475" s="1809"/>
      <c r="H475" s="1809"/>
      <c r="I475" s="1809"/>
      <c r="J475" s="1809"/>
      <c r="K475" s="1809"/>
      <c r="L475" s="1809"/>
      <c r="M475" s="1809"/>
      <c r="N475" s="1809"/>
      <c r="O475" s="1809"/>
      <c r="P475" s="2001"/>
      <c r="Q475" s="2002" t="s">
        <v>401</v>
      </c>
      <c r="R475" s="2002"/>
      <c r="S475" s="2002"/>
      <c r="T475" s="2002"/>
      <c r="U475" s="2002"/>
      <c r="V475" s="2002"/>
      <c r="W475" s="2002"/>
      <c r="X475" s="2002"/>
      <c r="Y475" s="2002"/>
      <c r="Z475" s="2002"/>
      <c r="AA475" s="2002"/>
      <c r="AB475" s="2002"/>
      <c r="AC475" s="2003">
        <v>1</v>
      </c>
      <c r="AD475" s="2003"/>
      <c r="AE475" s="2003"/>
      <c r="AF475" s="2003"/>
      <c r="AG475" s="2003"/>
      <c r="AH475" s="2003"/>
      <c r="AI475" s="2003"/>
      <c r="AJ475" s="2003"/>
      <c r="AK475" s="1979">
        <v>0.7</v>
      </c>
      <c r="AL475" s="1979"/>
      <c r="AM475" s="1979"/>
      <c r="AN475" s="1979"/>
      <c r="AO475" s="1979"/>
      <c r="AP475" s="1979"/>
      <c r="AQ475" s="1979"/>
      <c r="AR475" s="1979"/>
      <c r="AS475" s="1979">
        <v>0.67</v>
      </c>
      <c r="AT475" s="1979"/>
      <c r="AU475" s="1979"/>
      <c r="AV475" s="1979"/>
      <c r="AW475" s="1979"/>
      <c r="AX475" s="1979"/>
      <c r="AY475" s="1979"/>
      <c r="AZ475" s="1979"/>
      <c r="BA475" s="1979">
        <v>0.45</v>
      </c>
      <c r="BB475" s="1979"/>
      <c r="BC475" s="1979"/>
      <c r="BD475" s="1979"/>
      <c r="BE475" s="1979"/>
      <c r="BF475" s="1979"/>
      <c r="BG475" s="1979"/>
      <c r="BH475" s="1979"/>
      <c r="BI475" s="2004" t="s">
        <v>398</v>
      </c>
      <c r="BJ475" s="1809"/>
      <c r="BK475" s="1809"/>
      <c r="BL475" s="1809"/>
      <c r="BM475" s="1809"/>
      <c r="BN475" s="1809"/>
      <c r="BO475" s="2005">
        <v>19</v>
      </c>
      <c r="BP475" s="1809"/>
      <c r="BQ475" s="1809"/>
      <c r="BR475" s="1809"/>
      <c r="BS475" s="1809"/>
      <c r="BT475" s="2001"/>
      <c r="BU475" s="2006">
        <f t="shared" si="49"/>
        <v>39.99</v>
      </c>
      <c r="BV475" s="2006"/>
      <c r="BW475" s="2006"/>
      <c r="BX475" s="2006"/>
      <c r="BY475" s="2006"/>
      <c r="BZ475" s="2006"/>
      <c r="CA475" s="2006"/>
      <c r="CB475" s="2006"/>
      <c r="CC475" s="2006"/>
      <c r="CD475" s="2006"/>
      <c r="CE475" s="2006"/>
      <c r="CF475" s="2007"/>
    </row>
    <row r="476" spans="1:88" s="400" customFormat="1" ht="21.95" customHeight="1" thickBot="1">
      <c r="A476" s="402"/>
      <c r="B476" s="402"/>
      <c r="C476" s="402"/>
      <c r="D476" s="402"/>
      <c r="E476" s="1822" t="s">
        <v>513</v>
      </c>
      <c r="F476" s="1816"/>
      <c r="G476" s="1816"/>
      <c r="H476" s="1816"/>
      <c r="I476" s="1816"/>
      <c r="J476" s="1816"/>
      <c r="K476" s="1816"/>
      <c r="L476" s="1816"/>
      <c r="M476" s="1816"/>
      <c r="N476" s="1816"/>
      <c r="O476" s="1816"/>
      <c r="P476" s="1819"/>
      <c r="Q476" s="1823" t="s">
        <v>514</v>
      </c>
      <c r="R476" s="1823"/>
      <c r="S476" s="1823"/>
      <c r="T476" s="1823"/>
      <c r="U476" s="1823"/>
      <c r="V476" s="1823"/>
      <c r="W476" s="1823"/>
      <c r="X476" s="1823"/>
      <c r="Y476" s="1823"/>
      <c r="Z476" s="1823"/>
      <c r="AA476" s="1823"/>
      <c r="AB476" s="1823"/>
      <c r="AC476" s="1968">
        <v>1.72</v>
      </c>
      <c r="AD476" s="1968"/>
      <c r="AE476" s="1968"/>
      <c r="AF476" s="1968"/>
      <c r="AG476" s="1968"/>
      <c r="AH476" s="1968"/>
      <c r="AI476" s="1968"/>
      <c r="AJ476" s="1968"/>
      <c r="AK476" s="1855">
        <v>0.7</v>
      </c>
      <c r="AL476" s="1855"/>
      <c r="AM476" s="1855"/>
      <c r="AN476" s="1855"/>
      <c r="AO476" s="1855"/>
      <c r="AP476" s="1855"/>
      <c r="AQ476" s="1855"/>
      <c r="AR476" s="1855"/>
      <c r="AS476" s="1855">
        <v>0.67</v>
      </c>
      <c r="AT476" s="1855"/>
      <c r="AU476" s="1855"/>
      <c r="AV476" s="1855"/>
      <c r="AW476" s="1855"/>
      <c r="AX476" s="1855"/>
      <c r="AY476" s="1855"/>
      <c r="AZ476" s="1855"/>
      <c r="BA476" s="1855">
        <v>0.35</v>
      </c>
      <c r="BB476" s="1855"/>
      <c r="BC476" s="1855"/>
      <c r="BD476" s="1855"/>
      <c r="BE476" s="1855"/>
      <c r="BF476" s="1855"/>
      <c r="BG476" s="1855"/>
      <c r="BH476" s="1855"/>
      <c r="BI476" s="1815"/>
      <c r="BJ476" s="1816"/>
      <c r="BK476" s="1816"/>
      <c r="BL476" s="1816"/>
      <c r="BM476" s="1816"/>
      <c r="BN476" s="1816"/>
      <c r="BO476" s="1818">
        <v>34.4</v>
      </c>
      <c r="BP476" s="1816"/>
      <c r="BQ476" s="1816"/>
      <c r="BR476" s="1816"/>
      <c r="BS476" s="1816"/>
      <c r="BT476" s="1819"/>
      <c r="BU476" s="1825">
        <f t="shared" si="49"/>
        <v>29.55</v>
      </c>
      <c r="BV476" s="1825"/>
      <c r="BW476" s="1825"/>
      <c r="BX476" s="1825"/>
      <c r="BY476" s="1825"/>
      <c r="BZ476" s="1825"/>
      <c r="CA476" s="1825"/>
      <c r="CB476" s="1825"/>
      <c r="CC476" s="1825"/>
      <c r="CD476" s="1825"/>
      <c r="CE476" s="1825"/>
      <c r="CF476" s="1826"/>
    </row>
    <row r="477" spans="1:88" s="400" customFormat="1" ht="21.95" customHeight="1">
      <c r="D477" s="403"/>
      <c r="E477" s="406"/>
      <c r="F477" s="406"/>
      <c r="G477" s="407" t="s">
        <v>714</v>
      </c>
      <c r="H477" s="406"/>
      <c r="BM477" s="404"/>
      <c r="BN477" s="404"/>
      <c r="BO477" s="404"/>
      <c r="BP477" s="404"/>
      <c r="BQ477" s="404"/>
      <c r="BR477" s="404"/>
      <c r="BS477" s="404"/>
      <c r="BT477" s="404"/>
      <c r="BU477" s="404"/>
      <c r="BV477" s="404"/>
      <c r="BW477" s="404"/>
      <c r="BX477" s="404"/>
      <c r="BY477" s="404"/>
      <c r="BZ477" s="404"/>
      <c r="CA477" s="404"/>
      <c r="CB477" s="404"/>
      <c r="CC477" s="404"/>
      <c r="CD477" s="404"/>
      <c r="CE477" s="404"/>
      <c r="CF477" s="404"/>
    </row>
    <row r="478" spans="1:88" s="400" customFormat="1" ht="21.95" customHeight="1">
      <c r="D478" s="405"/>
      <c r="BA478" s="400">
        <v>0.65</v>
      </c>
      <c r="BM478" s="404"/>
      <c r="BN478" s="404"/>
      <c r="BO478" s="404"/>
      <c r="BP478" s="404"/>
      <c r="BQ478" s="404"/>
      <c r="BR478" s="404"/>
      <c r="BS478" s="404"/>
      <c r="BT478" s="404"/>
      <c r="BU478" s="404"/>
      <c r="BV478" s="404"/>
      <c r="BW478" s="404"/>
      <c r="BX478" s="404"/>
      <c r="BY478" s="404"/>
      <c r="BZ478" s="404"/>
      <c r="CA478" s="404"/>
      <c r="CB478" s="404"/>
      <c r="CC478" s="404"/>
      <c r="CD478" s="404"/>
      <c r="CE478" s="404"/>
      <c r="CF478" s="404"/>
    </row>
    <row r="479" spans="1:88" s="400" customFormat="1" ht="21.95" customHeight="1">
      <c r="E479" s="400" t="s">
        <v>402</v>
      </c>
    </row>
    <row r="480" spans="1:88" s="400" customFormat="1" ht="9.9499999999999993" customHeight="1" thickBot="1"/>
    <row r="481" spans="1:88" s="400" customFormat="1" ht="21.95" customHeight="1">
      <c r="E481" s="1831" t="s">
        <v>385</v>
      </c>
      <c r="F481" s="1800"/>
      <c r="G481" s="1800"/>
      <c r="H481" s="1800"/>
      <c r="I481" s="1800"/>
      <c r="J481" s="1800"/>
      <c r="K481" s="1800"/>
      <c r="L481" s="1800"/>
      <c r="M481" s="1800"/>
      <c r="N481" s="1800"/>
      <c r="O481" s="1800"/>
      <c r="P481" s="1800"/>
      <c r="Q481" s="1800"/>
      <c r="R481" s="1800"/>
      <c r="S481" s="1800"/>
      <c r="T481" s="1800"/>
      <c r="U481" s="1800" t="s">
        <v>212</v>
      </c>
      <c r="V481" s="1800"/>
      <c r="W481" s="1800"/>
      <c r="X481" s="1800"/>
      <c r="Y481" s="1800"/>
      <c r="Z481" s="1800"/>
      <c r="AA481" s="1800"/>
      <c r="AB481" s="1800"/>
      <c r="AC481" s="1800" t="s">
        <v>403</v>
      </c>
      <c r="AD481" s="1800"/>
      <c r="AE481" s="1800"/>
      <c r="AF481" s="1800"/>
      <c r="AG481" s="1800"/>
      <c r="AH481" s="1800"/>
      <c r="AI481" s="1800"/>
      <c r="AJ481" s="1800"/>
      <c r="AK481" s="1800"/>
      <c r="AL481" s="1800"/>
      <c r="AM481" s="1800"/>
      <c r="AN481" s="1800"/>
      <c r="AO481" s="1800"/>
      <c r="AP481" s="1800"/>
      <c r="AQ481" s="1800"/>
      <c r="AR481" s="1800"/>
      <c r="AS481" s="1800"/>
      <c r="AT481" s="1800"/>
      <c r="AU481" s="1800"/>
      <c r="AV481" s="1800"/>
      <c r="AW481" s="1800"/>
      <c r="AX481" s="1800"/>
      <c r="AY481" s="1800"/>
      <c r="AZ481" s="1800"/>
      <c r="BA481" s="1833" t="s">
        <v>404</v>
      </c>
      <c r="BB481" s="1800"/>
      <c r="BC481" s="1800"/>
      <c r="BD481" s="1800"/>
      <c r="BE481" s="1800"/>
      <c r="BF481" s="1800"/>
      <c r="BG481" s="1800"/>
      <c r="BH481" s="1800"/>
      <c r="BI481" s="1800" t="s">
        <v>405</v>
      </c>
      <c r="BJ481" s="1800"/>
      <c r="BK481" s="1800"/>
      <c r="BL481" s="1800"/>
      <c r="BM481" s="1800"/>
      <c r="BN481" s="1800"/>
      <c r="BO481" s="1800"/>
      <c r="BP481" s="1800"/>
      <c r="BQ481" s="1800"/>
      <c r="BR481" s="1800"/>
      <c r="BS481" s="1800"/>
      <c r="BT481" s="1800"/>
      <c r="BU481" s="1800"/>
      <c r="BV481" s="1800"/>
      <c r="BW481" s="1800"/>
      <c r="BX481" s="1800"/>
      <c r="BY481" s="1800"/>
      <c r="BZ481" s="1800"/>
      <c r="CA481" s="1800"/>
      <c r="CB481" s="1800"/>
      <c r="CC481" s="1800"/>
      <c r="CD481" s="1800"/>
      <c r="CE481" s="1800"/>
      <c r="CF481" s="1801"/>
    </row>
    <row r="482" spans="1:88" s="400" customFormat="1" ht="21.95" customHeight="1" thickBot="1">
      <c r="A482" s="402"/>
      <c r="B482" s="402"/>
      <c r="C482" s="402"/>
      <c r="D482" s="402"/>
      <c r="E482" s="1832"/>
      <c r="F482" s="1786"/>
      <c r="G482" s="1786"/>
      <c r="H482" s="1786"/>
      <c r="I482" s="1786"/>
      <c r="J482" s="1786"/>
      <c r="K482" s="1786"/>
      <c r="L482" s="1786"/>
      <c r="M482" s="1786"/>
      <c r="N482" s="1786"/>
      <c r="O482" s="1786"/>
      <c r="P482" s="1786"/>
      <c r="Q482" s="1786"/>
      <c r="R482" s="1786"/>
      <c r="S482" s="1786"/>
      <c r="T482" s="1786"/>
      <c r="U482" s="1786"/>
      <c r="V482" s="1786"/>
      <c r="W482" s="1786"/>
      <c r="X482" s="1786"/>
      <c r="Y482" s="1786"/>
      <c r="Z482" s="1786"/>
      <c r="AA482" s="1786"/>
      <c r="AB482" s="1786"/>
      <c r="AC482" s="1786" t="s">
        <v>406</v>
      </c>
      <c r="AD482" s="1786"/>
      <c r="AE482" s="1786"/>
      <c r="AF482" s="1786"/>
      <c r="AG482" s="1786"/>
      <c r="AH482" s="1786"/>
      <c r="AI482" s="1786"/>
      <c r="AJ482" s="1786"/>
      <c r="AK482" s="1786" t="s">
        <v>407</v>
      </c>
      <c r="AL482" s="1786"/>
      <c r="AM482" s="1786"/>
      <c r="AN482" s="1786"/>
      <c r="AO482" s="1786"/>
      <c r="AP482" s="1786"/>
      <c r="AQ482" s="1786"/>
      <c r="AR482" s="1786"/>
      <c r="AS482" s="1786" t="s">
        <v>408</v>
      </c>
      <c r="AT482" s="1786"/>
      <c r="AU482" s="1786"/>
      <c r="AV482" s="1786"/>
      <c r="AW482" s="1786"/>
      <c r="AX482" s="1786"/>
      <c r="AY482" s="1786"/>
      <c r="AZ482" s="1786"/>
      <c r="BA482" s="1786"/>
      <c r="BB482" s="1786"/>
      <c r="BC482" s="1786"/>
      <c r="BD482" s="1786"/>
      <c r="BE482" s="1786"/>
      <c r="BF482" s="1786"/>
      <c r="BG482" s="1786"/>
      <c r="BH482" s="1786"/>
      <c r="BI482" s="1786" t="s">
        <v>406</v>
      </c>
      <c r="BJ482" s="1786"/>
      <c r="BK482" s="1786"/>
      <c r="BL482" s="1786"/>
      <c r="BM482" s="1786"/>
      <c r="BN482" s="1786"/>
      <c r="BO482" s="1786"/>
      <c r="BP482" s="1786"/>
      <c r="BQ482" s="1786" t="s">
        <v>407</v>
      </c>
      <c r="BR482" s="1786"/>
      <c r="BS482" s="1786"/>
      <c r="BT482" s="1786"/>
      <c r="BU482" s="1786"/>
      <c r="BV482" s="1786"/>
      <c r="BW482" s="1786"/>
      <c r="BX482" s="1786"/>
      <c r="BY482" s="1786" t="s">
        <v>408</v>
      </c>
      <c r="BZ482" s="1786"/>
      <c r="CA482" s="1786"/>
      <c r="CB482" s="1786"/>
      <c r="CC482" s="1786"/>
      <c r="CD482" s="1786"/>
      <c r="CE482" s="1786"/>
      <c r="CF482" s="1787"/>
    </row>
    <row r="483" spans="1:88" s="400" customFormat="1" ht="21.95" customHeight="1" thickTop="1">
      <c r="E483" s="1820" t="s">
        <v>277</v>
      </c>
      <c r="F483" s="1821"/>
      <c r="G483" s="1821"/>
      <c r="H483" s="1821"/>
      <c r="I483" s="1821"/>
      <c r="J483" s="1821"/>
      <c r="K483" s="1821"/>
      <c r="L483" s="1821"/>
      <c r="M483" s="1821"/>
      <c r="N483" s="1821"/>
      <c r="O483" s="1821"/>
      <c r="P483" s="1821"/>
      <c r="Q483" s="1821"/>
      <c r="R483" s="1821"/>
      <c r="S483" s="1821"/>
      <c r="T483" s="1821"/>
      <c r="U483" s="1821" t="s">
        <v>392</v>
      </c>
      <c r="V483" s="1821"/>
      <c r="W483" s="1821"/>
      <c r="X483" s="1821"/>
      <c r="Y483" s="1821"/>
      <c r="Z483" s="1821"/>
      <c r="AA483" s="1821"/>
      <c r="AB483" s="1821"/>
      <c r="AC483" s="1785" t="e">
        <f>#REF!</f>
        <v>#REF!</v>
      </c>
      <c r="AD483" s="1785"/>
      <c r="AE483" s="1785"/>
      <c r="AF483" s="1785"/>
      <c r="AG483" s="1785"/>
      <c r="AH483" s="1785"/>
      <c r="AI483" s="1785"/>
      <c r="AJ483" s="1785"/>
      <c r="AK483" s="1785" t="e">
        <f>#REF!</f>
        <v>#REF!</v>
      </c>
      <c r="AL483" s="1785"/>
      <c r="AM483" s="1785"/>
      <c r="AN483" s="1785"/>
      <c r="AO483" s="1785"/>
      <c r="AP483" s="1785"/>
      <c r="AQ483" s="1785"/>
      <c r="AR483" s="1785"/>
      <c r="AS483" s="1785" t="e">
        <f>#REF!</f>
        <v>#REF!</v>
      </c>
      <c r="AT483" s="1785"/>
      <c r="AU483" s="1785"/>
      <c r="AV483" s="1785"/>
      <c r="AW483" s="1785"/>
      <c r="AX483" s="1785"/>
      <c r="AY483" s="1785"/>
      <c r="AZ483" s="1785"/>
      <c r="BA483" s="1963">
        <f>BU468</f>
        <v>6.08</v>
      </c>
      <c r="BB483" s="1963"/>
      <c r="BC483" s="1963"/>
      <c r="BD483" s="1963"/>
      <c r="BE483" s="1963"/>
      <c r="BF483" s="1963"/>
      <c r="BG483" s="1963"/>
      <c r="BH483" s="1963"/>
      <c r="BI483" s="1812" t="e">
        <f t="shared" ref="BI483:BI492" si="50">INT(AC483/$BA483)</f>
        <v>#REF!</v>
      </c>
      <c r="BJ483" s="1812"/>
      <c r="BK483" s="1812"/>
      <c r="BL483" s="1812"/>
      <c r="BM483" s="1812"/>
      <c r="BN483" s="1812"/>
      <c r="BO483" s="1812"/>
      <c r="BP483" s="1812"/>
      <c r="BQ483" s="1812" t="e">
        <f t="shared" ref="BQ483:BQ492" si="51">INT(AK483/$BA483)</f>
        <v>#REF!</v>
      </c>
      <c r="BR483" s="1812"/>
      <c r="BS483" s="1812"/>
      <c r="BT483" s="1812"/>
      <c r="BU483" s="1812"/>
      <c r="BV483" s="1812"/>
      <c r="BW483" s="1812"/>
      <c r="BX483" s="1812"/>
      <c r="BY483" s="1812" t="e">
        <f t="shared" ref="BY483:BY492" si="52">INT(AS483/$BA483)</f>
        <v>#REF!</v>
      </c>
      <c r="BZ483" s="1812"/>
      <c r="CA483" s="1812"/>
      <c r="CB483" s="1812"/>
      <c r="CC483" s="1812"/>
      <c r="CD483" s="1812"/>
      <c r="CE483" s="1812"/>
      <c r="CF483" s="1813"/>
      <c r="CJ483" s="401" t="e">
        <f t="shared" ref="CJ483:CJ492" si="53">SUM(BI483:CF483)</f>
        <v>#REF!</v>
      </c>
    </row>
    <row r="484" spans="1:88" s="400" customFormat="1" ht="21.95" customHeight="1">
      <c r="E484" s="1806" t="s">
        <v>277</v>
      </c>
      <c r="F484" s="1807"/>
      <c r="G484" s="1807"/>
      <c r="H484" s="1807"/>
      <c r="I484" s="1807"/>
      <c r="J484" s="1807"/>
      <c r="K484" s="1807"/>
      <c r="L484" s="1807"/>
      <c r="M484" s="1807"/>
      <c r="N484" s="1807"/>
      <c r="O484" s="1807"/>
      <c r="P484" s="1807"/>
      <c r="Q484" s="1807"/>
      <c r="R484" s="1807"/>
      <c r="S484" s="1807"/>
      <c r="T484" s="1807"/>
      <c r="U484" s="1807" t="s">
        <v>395</v>
      </c>
      <c r="V484" s="1807"/>
      <c r="W484" s="1807"/>
      <c r="X484" s="1807"/>
      <c r="Y484" s="1807"/>
      <c r="Z484" s="1807"/>
      <c r="AA484" s="1807"/>
      <c r="AB484" s="1807"/>
      <c r="AC484" s="1814" t="e">
        <f>#REF!</f>
        <v>#REF!</v>
      </c>
      <c r="AD484" s="1814"/>
      <c r="AE484" s="1814"/>
      <c r="AF484" s="1814"/>
      <c r="AG484" s="1814"/>
      <c r="AH484" s="1814"/>
      <c r="AI484" s="1814"/>
      <c r="AJ484" s="1814"/>
      <c r="AK484" s="1814" t="e">
        <f>#REF!</f>
        <v>#REF!</v>
      </c>
      <c r="AL484" s="1814"/>
      <c r="AM484" s="1814"/>
      <c r="AN484" s="1814"/>
      <c r="AO484" s="1814"/>
      <c r="AP484" s="1814"/>
      <c r="AQ484" s="1814"/>
      <c r="AR484" s="1814"/>
      <c r="AS484" s="1814" t="e">
        <f>#REF!</f>
        <v>#REF!</v>
      </c>
      <c r="AT484" s="1814"/>
      <c r="AU484" s="1814"/>
      <c r="AV484" s="1814"/>
      <c r="AW484" s="1814"/>
      <c r="AX484" s="1814"/>
      <c r="AY484" s="1814"/>
      <c r="AZ484" s="1814"/>
      <c r="BA484" s="1797">
        <f t="shared" ref="BA484:BA489" si="54">BU470</f>
        <v>10.130000000000001</v>
      </c>
      <c r="BB484" s="1797"/>
      <c r="BC484" s="1797"/>
      <c r="BD484" s="1797"/>
      <c r="BE484" s="1797"/>
      <c r="BF484" s="1797"/>
      <c r="BG484" s="1797"/>
      <c r="BH484" s="1797"/>
      <c r="BI484" s="1785" t="e">
        <f t="shared" si="50"/>
        <v>#REF!</v>
      </c>
      <c r="BJ484" s="1785"/>
      <c r="BK484" s="1785"/>
      <c r="BL484" s="1785"/>
      <c r="BM484" s="1785"/>
      <c r="BN484" s="1785"/>
      <c r="BO484" s="1785"/>
      <c r="BP484" s="1785"/>
      <c r="BQ484" s="1785" t="e">
        <f t="shared" si="51"/>
        <v>#REF!</v>
      </c>
      <c r="BR484" s="1785"/>
      <c r="BS484" s="1785"/>
      <c r="BT484" s="1785"/>
      <c r="BU484" s="1785"/>
      <c r="BV484" s="1785"/>
      <c r="BW484" s="1785"/>
      <c r="BX484" s="1785"/>
      <c r="BY484" s="1785" t="e">
        <f t="shared" si="52"/>
        <v>#REF!</v>
      </c>
      <c r="BZ484" s="1785"/>
      <c r="CA484" s="1785"/>
      <c r="CB484" s="1785"/>
      <c r="CC484" s="1785"/>
      <c r="CD484" s="1785"/>
      <c r="CE484" s="1785"/>
      <c r="CF484" s="1793"/>
      <c r="CJ484" s="401" t="e">
        <f t="shared" si="53"/>
        <v>#REF!</v>
      </c>
    </row>
    <row r="485" spans="1:88" s="400" customFormat="1" ht="21.95" customHeight="1">
      <c r="E485" s="1806" t="s">
        <v>277</v>
      </c>
      <c r="F485" s="1807"/>
      <c r="G485" s="1807"/>
      <c r="H485" s="1807"/>
      <c r="I485" s="1807"/>
      <c r="J485" s="1807"/>
      <c r="K485" s="1807"/>
      <c r="L485" s="1807"/>
      <c r="M485" s="1807"/>
      <c r="N485" s="1807"/>
      <c r="O485" s="1807"/>
      <c r="P485" s="1807"/>
      <c r="Q485" s="1807"/>
      <c r="R485" s="1807"/>
      <c r="S485" s="1807"/>
      <c r="T485" s="1807"/>
      <c r="U485" s="1807" t="s">
        <v>359</v>
      </c>
      <c r="V485" s="1807"/>
      <c r="W485" s="1807"/>
      <c r="X485" s="1807"/>
      <c r="Y485" s="1807"/>
      <c r="Z485" s="1807"/>
      <c r="AA485" s="1807"/>
      <c r="AB485" s="1807"/>
      <c r="AC485" s="1803" t="e">
        <f>#REF!</f>
        <v>#REF!</v>
      </c>
      <c r="AD485" s="1804"/>
      <c r="AE485" s="1804"/>
      <c r="AF485" s="1804"/>
      <c r="AG485" s="1804"/>
      <c r="AH485" s="1804"/>
      <c r="AI485" s="1804"/>
      <c r="AJ485" s="1805"/>
      <c r="AK485" s="1803" t="e">
        <f>#REF!</f>
        <v>#REF!</v>
      </c>
      <c r="AL485" s="1804"/>
      <c r="AM485" s="1804"/>
      <c r="AN485" s="1804"/>
      <c r="AO485" s="1804"/>
      <c r="AP485" s="1804"/>
      <c r="AQ485" s="1804"/>
      <c r="AR485" s="1805"/>
      <c r="AS485" s="1803" t="e">
        <f>#REF!</f>
        <v>#REF!</v>
      </c>
      <c r="AT485" s="1804"/>
      <c r="AU485" s="1804"/>
      <c r="AV485" s="1804"/>
      <c r="AW485" s="1804"/>
      <c r="AX485" s="1804"/>
      <c r="AY485" s="1804"/>
      <c r="AZ485" s="1805"/>
      <c r="BA485" s="1797">
        <f t="shared" si="54"/>
        <v>20.260000000000002</v>
      </c>
      <c r="BB485" s="1797"/>
      <c r="BC485" s="1797"/>
      <c r="BD485" s="1797"/>
      <c r="BE485" s="1797"/>
      <c r="BF485" s="1797"/>
      <c r="BG485" s="1797"/>
      <c r="BH485" s="1797"/>
      <c r="BI485" s="1785" t="e">
        <f t="shared" si="50"/>
        <v>#REF!</v>
      </c>
      <c r="BJ485" s="1785"/>
      <c r="BK485" s="1785"/>
      <c r="BL485" s="1785"/>
      <c r="BM485" s="1785"/>
      <c r="BN485" s="1785"/>
      <c r="BO485" s="1785"/>
      <c r="BP485" s="1785"/>
      <c r="BQ485" s="1785" t="e">
        <f t="shared" si="51"/>
        <v>#REF!</v>
      </c>
      <c r="BR485" s="1785"/>
      <c r="BS485" s="1785"/>
      <c r="BT485" s="1785"/>
      <c r="BU485" s="1785"/>
      <c r="BV485" s="1785"/>
      <c r="BW485" s="1785"/>
      <c r="BX485" s="1785"/>
      <c r="BY485" s="1785" t="e">
        <f t="shared" si="52"/>
        <v>#REF!</v>
      </c>
      <c r="BZ485" s="1785"/>
      <c r="CA485" s="1785"/>
      <c r="CB485" s="1785"/>
      <c r="CC485" s="1785"/>
      <c r="CD485" s="1785"/>
      <c r="CE485" s="1785"/>
      <c r="CF485" s="1793"/>
      <c r="CJ485" s="401" t="e">
        <f t="shared" si="53"/>
        <v>#REF!</v>
      </c>
    </row>
    <row r="486" spans="1:88" s="400" customFormat="1" ht="21.95" customHeight="1">
      <c r="E486" s="1806" t="s">
        <v>277</v>
      </c>
      <c r="F486" s="1807"/>
      <c r="G486" s="1807"/>
      <c r="H486" s="1807"/>
      <c r="I486" s="1807"/>
      <c r="J486" s="1807"/>
      <c r="K486" s="1807"/>
      <c r="L486" s="1807"/>
      <c r="M486" s="1807"/>
      <c r="N486" s="1807"/>
      <c r="O486" s="1807"/>
      <c r="P486" s="1807"/>
      <c r="Q486" s="1807"/>
      <c r="R486" s="1807"/>
      <c r="S486" s="1807"/>
      <c r="T486" s="1807"/>
      <c r="U486" s="1807" t="s">
        <v>397</v>
      </c>
      <c r="V486" s="1807"/>
      <c r="W486" s="1807"/>
      <c r="X486" s="1807"/>
      <c r="Y486" s="1807"/>
      <c r="Z486" s="1807"/>
      <c r="AA486" s="1807"/>
      <c r="AB486" s="1807"/>
      <c r="AC486" s="1803" t="e">
        <f>#REF!</f>
        <v>#REF!</v>
      </c>
      <c r="AD486" s="1804"/>
      <c r="AE486" s="1804"/>
      <c r="AF486" s="1804"/>
      <c r="AG486" s="1804"/>
      <c r="AH486" s="1804"/>
      <c r="AI486" s="1804"/>
      <c r="AJ486" s="1805"/>
      <c r="AK486" s="1803" t="e">
        <f>#REF!</f>
        <v>#REF!</v>
      </c>
      <c r="AL486" s="1804"/>
      <c r="AM486" s="1804"/>
      <c r="AN486" s="1804"/>
      <c r="AO486" s="1804"/>
      <c r="AP486" s="1804"/>
      <c r="AQ486" s="1804"/>
      <c r="AR486" s="1805"/>
      <c r="AS486" s="1803" t="e">
        <f>#REF!</f>
        <v>#REF!</v>
      </c>
      <c r="AT486" s="1804"/>
      <c r="AU486" s="1804"/>
      <c r="AV486" s="1804"/>
      <c r="AW486" s="1804"/>
      <c r="AX486" s="1804"/>
      <c r="AY486" s="1804"/>
      <c r="AZ486" s="1805"/>
      <c r="BA486" s="1797">
        <f t="shared" si="54"/>
        <v>25.33</v>
      </c>
      <c r="BB486" s="1797"/>
      <c r="BC486" s="1797"/>
      <c r="BD486" s="1797"/>
      <c r="BE486" s="1797"/>
      <c r="BF486" s="1797"/>
      <c r="BG486" s="1797"/>
      <c r="BH486" s="1797"/>
      <c r="BI486" s="1785" t="e">
        <f t="shared" si="50"/>
        <v>#REF!</v>
      </c>
      <c r="BJ486" s="1785"/>
      <c r="BK486" s="1785"/>
      <c r="BL486" s="1785"/>
      <c r="BM486" s="1785"/>
      <c r="BN486" s="1785"/>
      <c r="BO486" s="1785"/>
      <c r="BP486" s="1785"/>
      <c r="BQ486" s="1785" t="e">
        <f t="shared" si="51"/>
        <v>#REF!</v>
      </c>
      <c r="BR486" s="1785"/>
      <c r="BS486" s="1785"/>
      <c r="BT486" s="1785"/>
      <c r="BU486" s="1785"/>
      <c r="BV486" s="1785"/>
      <c r="BW486" s="1785"/>
      <c r="BX486" s="1785"/>
      <c r="BY486" s="1785" t="e">
        <f t="shared" si="52"/>
        <v>#REF!</v>
      </c>
      <c r="BZ486" s="1785"/>
      <c r="CA486" s="1785"/>
      <c r="CB486" s="1785"/>
      <c r="CC486" s="1785"/>
      <c r="CD486" s="1785"/>
      <c r="CE486" s="1785"/>
      <c r="CF486" s="1793"/>
      <c r="CJ486" s="401" t="e">
        <f t="shared" si="53"/>
        <v>#REF!</v>
      </c>
    </row>
    <row r="487" spans="1:88" s="400" customFormat="1" ht="21.95" customHeight="1">
      <c r="D487" s="403"/>
      <c r="E487" s="1806" t="s">
        <v>277</v>
      </c>
      <c r="F487" s="1807"/>
      <c r="G487" s="1807"/>
      <c r="H487" s="1807"/>
      <c r="I487" s="1807"/>
      <c r="J487" s="1807"/>
      <c r="K487" s="1807"/>
      <c r="L487" s="1807"/>
      <c r="M487" s="1807"/>
      <c r="N487" s="1807"/>
      <c r="O487" s="1807"/>
      <c r="P487" s="1807"/>
      <c r="Q487" s="1807"/>
      <c r="R487" s="1807"/>
      <c r="S487" s="1807"/>
      <c r="T487" s="1807"/>
      <c r="U487" s="1807" t="s">
        <v>399</v>
      </c>
      <c r="V487" s="1807"/>
      <c r="W487" s="1807"/>
      <c r="X487" s="1807"/>
      <c r="Y487" s="1807"/>
      <c r="Z487" s="1807"/>
      <c r="AA487" s="1807"/>
      <c r="AB487" s="1807"/>
      <c r="AC487" s="1803" t="e">
        <f>#REF!</f>
        <v>#REF!</v>
      </c>
      <c r="AD487" s="1804"/>
      <c r="AE487" s="1804"/>
      <c r="AF487" s="1804"/>
      <c r="AG487" s="1804"/>
      <c r="AH487" s="1804"/>
      <c r="AI487" s="1804"/>
      <c r="AJ487" s="1805"/>
      <c r="AK487" s="1803" t="e">
        <f>#REF!</f>
        <v>#REF!</v>
      </c>
      <c r="AL487" s="1804"/>
      <c r="AM487" s="1804"/>
      <c r="AN487" s="1804"/>
      <c r="AO487" s="1804"/>
      <c r="AP487" s="1804"/>
      <c r="AQ487" s="1804"/>
      <c r="AR487" s="1805"/>
      <c r="AS487" s="1803" t="e">
        <f>#REF!</f>
        <v>#REF!</v>
      </c>
      <c r="AT487" s="1804"/>
      <c r="AU487" s="1804"/>
      <c r="AV487" s="1804"/>
      <c r="AW487" s="1804"/>
      <c r="AX487" s="1804"/>
      <c r="AY487" s="1804"/>
      <c r="AZ487" s="1805"/>
      <c r="BA487" s="1797">
        <f t="shared" si="54"/>
        <v>29.55</v>
      </c>
      <c r="BB487" s="1797"/>
      <c r="BC487" s="1797"/>
      <c r="BD487" s="1797"/>
      <c r="BE487" s="1797"/>
      <c r="BF487" s="1797"/>
      <c r="BG487" s="1797"/>
      <c r="BH487" s="1797"/>
      <c r="BI487" s="1785" t="e">
        <f t="shared" si="50"/>
        <v>#REF!</v>
      </c>
      <c r="BJ487" s="1785"/>
      <c r="BK487" s="1785"/>
      <c r="BL487" s="1785"/>
      <c r="BM487" s="1785"/>
      <c r="BN487" s="1785"/>
      <c r="BO487" s="1785"/>
      <c r="BP487" s="1785"/>
      <c r="BQ487" s="1785" t="e">
        <f t="shared" si="51"/>
        <v>#REF!</v>
      </c>
      <c r="BR487" s="1785"/>
      <c r="BS487" s="1785"/>
      <c r="BT487" s="1785"/>
      <c r="BU487" s="1785"/>
      <c r="BV487" s="1785"/>
      <c r="BW487" s="1785"/>
      <c r="BX487" s="1785"/>
      <c r="BY487" s="1785" t="e">
        <f t="shared" si="52"/>
        <v>#REF!</v>
      </c>
      <c r="BZ487" s="1785"/>
      <c r="CA487" s="1785"/>
      <c r="CB487" s="1785"/>
      <c r="CC487" s="1785"/>
      <c r="CD487" s="1785"/>
      <c r="CE487" s="1785"/>
      <c r="CF487" s="1793"/>
      <c r="CJ487" s="401" t="e">
        <f t="shared" si="53"/>
        <v>#REF!</v>
      </c>
    </row>
    <row r="488" spans="1:88" s="400" customFormat="1" ht="21.95" customHeight="1">
      <c r="A488" s="402"/>
      <c r="B488" s="402"/>
      <c r="C488" s="402"/>
      <c r="D488" s="402"/>
      <c r="E488" s="1806" t="s">
        <v>277</v>
      </c>
      <c r="F488" s="1807"/>
      <c r="G488" s="1807"/>
      <c r="H488" s="1807"/>
      <c r="I488" s="1807"/>
      <c r="J488" s="1807"/>
      <c r="K488" s="1807"/>
      <c r="L488" s="1807"/>
      <c r="M488" s="1807"/>
      <c r="N488" s="1807"/>
      <c r="O488" s="1807"/>
      <c r="P488" s="1807"/>
      <c r="Q488" s="1807"/>
      <c r="R488" s="1807"/>
      <c r="S488" s="1807"/>
      <c r="T488" s="1807"/>
      <c r="U488" s="1807" t="s">
        <v>400</v>
      </c>
      <c r="V488" s="1807"/>
      <c r="W488" s="1807"/>
      <c r="X488" s="1807"/>
      <c r="Y488" s="1807"/>
      <c r="Z488" s="1807"/>
      <c r="AA488" s="1807"/>
      <c r="AB488" s="1807"/>
      <c r="AC488" s="1803" t="e">
        <f>#REF!</f>
        <v>#REF!</v>
      </c>
      <c r="AD488" s="1804"/>
      <c r="AE488" s="1804"/>
      <c r="AF488" s="1804"/>
      <c r="AG488" s="1804"/>
      <c r="AH488" s="1804"/>
      <c r="AI488" s="1804"/>
      <c r="AJ488" s="1805"/>
      <c r="AK488" s="1803" t="e">
        <f>#REF!</f>
        <v>#REF!</v>
      </c>
      <c r="AL488" s="1804"/>
      <c r="AM488" s="1804"/>
      <c r="AN488" s="1804"/>
      <c r="AO488" s="1804"/>
      <c r="AP488" s="1804"/>
      <c r="AQ488" s="1804"/>
      <c r="AR488" s="1805"/>
      <c r="AS488" s="1803" t="e">
        <f>#REF!</f>
        <v>#REF!</v>
      </c>
      <c r="AT488" s="1804"/>
      <c r="AU488" s="1804"/>
      <c r="AV488" s="1804"/>
      <c r="AW488" s="1804"/>
      <c r="AX488" s="1804"/>
      <c r="AY488" s="1804"/>
      <c r="AZ488" s="1805"/>
      <c r="BA488" s="1797">
        <f t="shared" si="54"/>
        <v>33.770000000000003</v>
      </c>
      <c r="BB488" s="1797"/>
      <c r="BC488" s="1797"/>
      <c r="BD488" s="1797"/>
      <c r="BE488" s="1797"/>
      <c r="BF488" s="1797"/>
      <c r="BG488" s="1797"/>
      <c r="BH488" s="1797"/>
      <c r="BI488" s="1785" t="e">
        <f t="shared" si="50"/>
        <v>#REF!</v>
      </c>
      <c r="BJ488" s="1785"/>
      <c r="BK488" s="1785"/>
      <c r="BL488" s="1785"/>
      <c r="BM488" s="1785"/>
      <c r="BN488" s="1785"/>
      <c r="BO488" s="1785"/>
      <c r="BP488" s="1785"/>
      <c r="BQ488" s="1785" t="e">
        <f t="shared" si="51"/>
        <v>#REF!</v>
      </c>
      <c r="BR488" s="1785"/>
      <c r="BS488" s="1785"/>
      <c r="BT488" s="1785"/>
      <c r="BU488" s="1785"/>
      <c r="BV488" s="1785"/>
      <c r="BW488" s="1785"/>
      <c r="BX488" s="1785"/>
      <c r="BY488" s="1785" t="e">
        <f t="shared" si="52"/>
        <v>#REF!</v>
      </c>
      <c r="BZ488" s="1785"/>
      <c r="CA488" s="1785"/>
      <c r="CB488" s="1785"/>
      <c r="CC488" s="1785"/>
      <c r="CD488" s="1785"/>
      <c r="CE488" s="1785"/>
      <c r="CF488" s="1793"/>
      <c r="CJ488" s="401" t="e">
        <f t="shared" si="53"/>
        <v>#REF!</v>
      </c>
    </row>
    <row r="489" spans="1:88" s="400" customFormat="1" ht="21.95" customHeight="1">
      <c r="E489" s="1806" t="s">
        <v>277</v>
      </c>
      <c r="F489" s="1807"/>
      <c r="G489" s="1807"/>
      <c r="H489" s="1807"/>
      <c r="I489" s="1807"/>
      <c r="J489" s="1807"/>
      <c r="K489" s="1807"/>
      <c r="L489" s="1807"/>
      <c r="M489" s="1807"/>
      <c r="N489" s="1807"/>
      <c r="O489" s="1807"/>
      <c r="P489" s="1807"/>
      <c r="Q489" s="1807"/>
      <c r="R489" s="1807"/>
      <c r="S489" s="1807"/>
      <c r="T489" s="1807"/>
      <c r="U489" s="1807" t="s">
        <v>401</v>
      </c>
      <c r="V489" s="1807"/>
      <c r="W489" s="1807"/>
      <c r="X489" s="1807"/>
      <c r="Y489" s="1807"/>
      <c r="Z489" s="1807"/>
      <c r="AA489" s="1807"/>
      <c r="AB489" s="1807"/>
      <c r="AC489" s="1803" t="e">
        <f>#REF!</f>
        <v>#REF!</v>
      </c>
      <c r="AD489" s="1804"/>
      <c r="AE489" s="1804"/>
      <c r="AF489" s="1804"/>
      <c r="AG489" s="1804"/>
      <c r="AH489" s="1804"/>
      <c r="AI489" s="1804"/>
      <c r="AJ489" s="1805"/>
      <c r="AK489" s="1803" t="e">
        <f>#REF!</f>
        <v>#REF!</v>
      </c>
      <c r="AL489" s="1804"/>
      <c r="AM489" s="1804"/>
      <c r="AN489" s="1804"/>
      <c r="AO489" s="1804"/>
      <c r="AP489" s="1804"/>
      <c r="AQ489" s="1804"/>
      <c r="AR489" s="1805"/>
      <c r="AS489" s="1803" t="e">
        <f>#REF!</f>
        <v>#REF!</v>
      </c>
      <c r="AT489" s="1804"/>
      <c r="AU489" s="1804"/>
      <c r="AV489" s="1804"/>
      <c r="AW489" s="1804"/>
      <c r="AX489" s="1804"/>
      <c r="AY489" s="1804"/>
      <c r="AZ489" s="1805"/>
      <c r="BA489" s="1797">
        <f t="shared" si="54"/>
        <v>39.99</v>
      </c>
      <c r="BB489" s="1797"/>
      <c r="BC489" s="1797"/>
      <c r="BD489" s="1797"/>
      <c r="BE489" s="1797"/>
      <c r="BF489" s="1797"/>
      <c r="BG489" s="1797"/>
      <c r="BH489" s="1797"/>
      <c r="BI489" s="1785" t="e">
        <f t="shared" si="50"/>
        <v>#REF!</v>
      </c>
      <c r="BJ489" s="1785"/>
      <c r="BK489" s="1785"/>
      <c r="BL489" s="1785"/>
      <c r="BM489" s="1785"/>
      <c r="BN489" s="1785"/>
      <c r="BO489" s="1785"/>
      <c r="BP489" s="1785"/>
      <c r="BQ489" s="1785" t="e">
        <f t="shared" si="51"/>
        <v>#REF!</v>
      </c>
      <c r="BR489" s="1785"/>
      <c r="BS489" s="1785"/>
      <c r="BT489" s="1785"/>
      <c r="BU489" s="1785"/>
      <c r="BV489" s="1785"/>
      <c r="BW489" s="1785"/>
      <c r="BX489" s="1785"/>
      <c r="BY489" s="1785" t="e">
        <f t="shared" si="52"/>
        <v>#REF!</v>
      </c>
      <c r="BZ489" s="1785"/>
      <c r="CA489" s="1785"/>
      <c r="CB489" s="1785"/>
      <c r="CC489" s="1785"/>
      <c r="CD489" s="1785"/>
      <c r="CE489" s="1785"/>
      <c r="CF489" s="1793"/>
      <c r="CJ489" s="401" t="e">
        <f t="shared" si="53"/>
        <v>#REF!</v>
      </c>
    </row>
    <row r="490" spans="1:88" s="400" customFormat="1" ht="21.95" customHeight="1">
      <c r="E490" s="1806" t="s">
        <v>409</v>
      </c>
      <c r="F490" s="1807"/>
      <c r="G490" s="1807"/>
      <c r="H490" s="1807"/>
      <c r="I490" s="1807"/>
      <c r="J490" s="1807"/>
      <c r="K490" s="1807"/>
      <c r="L490" s="1807"/>
      <c r="M490" s="1807"/>
      <c r="N490" s="1807"/>
      <c r="O490" s="1807"/>
      <c r="P490" s="1807"/>
      <c r="Q490" s="1807"/>
      <c r="R490" s="1807"/>
      <c r="S490" s="1807"/>
      <c r="T490" s="1807"/>
      <c r="U490" s="1807" t="s">
        <v>394</v>
      </c>
      <c r="V490" s="1807"/>
      <c r="W490" s="1807"/>
      <c r="X490" s="1807"/>
      <c r="Y490" s="1807"/>
      <c r="Z490" s="1807"/>
      <c r="AA490" s="1807"/>
      <c r="AB490" s="1807"/>
      <c r="AC490" s="1803" t="e">
        <f>#REF!</f>
        <v>#REF!</v>
      </c>
      <c r="AD490" s="1804"/>
      <c r="AE490" s="1804"/>
      <c r="AF490" s="1804"/>
      <c r="AG490" s="1804"/>
      <c r="AH490" s="1804"/>
      <c r="AI490" s="1804"/>
      <c r="AJ490" s="1805"/>
      <c r="AK490" s="1803" t="e">
        <f>#REF!</f>
        <v>#REF!</v>
      </c>
      <c r="AL490" s="1804"/>
      <c r="AM490" s="1804"/>
      <c r="AN490" s="1804"/>
      <c r="AO490" s="1804"/>
      <c r="AP490" s="1804"/>
      <c r="AQ490" s="1804"/>
      <c r="AR490" s="1805"/>
      <c r="AS490" s="1803" t="e">
        <f>#REF!</f>
        <v>#REF!</v>
      </c>
      <c r="AT490" s="1804"/>
      <c r="AU490" s="1804"/>
      <c r="AV490" s="1804"/>
      <c r="AW490" s="1804"/>
      <c r="AX490" s="1804"/>
      <c r="AY490" s="1804"/>
      <c r="AZ490" s="1805"/>
      <c r="BA490" s="1797">
        <f>BU469</f>
        <v>9.1199999999999992</v>
      </c>
      <c r="BB490" s="1797"/>
      <c r="BC490" s="1797"/>
      <c r="BD490" s="1797"/>
      <c r="BE490" s="1797"/>
      <c r="BF490" s="1797"/>
      <c r="BG490" s="1797"/>
      <c r="BH490" s="1797"/>
      <c r="BI490" s="1785" t="e">
        <f t="shared" si="50"/>
        <v>#REF!</v>
      </c>
      <c r="BJ490" s="1785"/>
      <c r="BK490" s="1785"/>
      <c r="BL490" s="1785"/>
      <c r="BM490" s="1785"/>
      <c r="BN490" s="1785"/>
      <c r="BO490" s="1785"/>
      <c r="BP490" s="1785"/>
      <c r="BQ490" s="1785" t="e">
        <f t="shared" si="51"/>
        <v>#REF!</v>
      </c>
      <c r="BR490" s="1785"/>
      <c r="BS490" s="1785"/>
      <c r="BT490" s="1785"/>
      <c r="BU490" s="1785"/>
      <c r="BV490" s="1785"/>
      <c r="BW490" s="1785"/>
      <c r="BX490" s="1785"/>
      <c r="BY490" s="1785" t="e">
        <f t="shared" si="52"/>
        <v>#REF!</v>
      </c>
      <c r="BZ490" s="1785"/>
      <c r="CA490" s="1785"/>
      <c r="CB490" s="1785"/>
      <c r="CC490" s="1785"/>
      <c r="CD490" s="1785"/>
      <c r="CE490" s="1785"/>
      <c r="CF490" s="1793"/>
      <c r="CJ490" s="401" t="e">
        <f t="shared" si="53"/>
        <v>#REF!</v>
      </c>
    </row>
    <row r="491" spans="1:88" s="400" customFormat="1" ht="21.95" customHeight="1">
      <c r="E491" s="2010" t="s">
        <v>409</v>
      </c>
      <c r="F491" s="2011"/>
      <c r="G491" s="2011"/>
      <c r="H491" s="2011"/>
      <c r="I491" s="2011"/>
      <c r="J491" s="2011"/>
      <c r="K491" s="2011"/>
      <c r="L491" s="2011"/>
      <c r="M491" s="2011"/>
      <c r="N491" s="2011"/>
      <c r="O491" s="2011"/>
      <c r="P491" s="2011"/>
      <c r="Q491" s="2011"/>
      <c r="R491" s="2011"/>
      <c r="S491" s="2011"/>
      <c r="T491" s="2011"/>
      <c r="U491" s="2011" t="s">
        <v>397</v>
      </c>
      <c r="V491" s="2011"/>
      <c r="W491" s="2011"/>
      <c r="X491" s="2011"/>
      <c r="Y491" s="2011"/>
      <c r="Z491" s="2011"/>
      <c r="AA491" s="2011"/>
      <c r="AB491" s="2011"/>
      <c r="AC491" s="1872" t="e">
        <f>#REF!</f>
        <v>#REF!</v>
      </c>
      <c r="AD491" s="1872"/>
      <c r="AE491" s="1872"/>
      <c r="AF491" s="1872"/>
      <c r="AG491" s="1872"/>
      <c r="AH491" s="1872"/>
      <c r="AI491" s="1872"/>
      <c r="AJ491" s="1872"/>
      <c r="AK491" s="1872" t="e">
        <f>#REF!</f>
        <v>#REF!</v>
      </c>
      <c r="AL491" s="1872"/>
      <c r="AM491" s="1872"/>
      <c r="AN491" s="1872"/>
      <c r="AO491" s="1872"/>
      <c r="AP491" s="1872"/>
      <c r="AQ491" s="1872"/>
      <c r="AR491" s="1872"/>
      <c r="AS491" s="1872" t="e">
        <f>#REF!</f>
        <v>#REF!</v>
      </c>
      <c r="AT491" s="1872"/>
      <c r="AU491" s="1872"/>
      <c r="AV491" s="1872"/>
      <c r="AW491" s="1872"/>
      <c r="AX491" s="1872"/>
      <c r="AY491" s="1872"/>
      <c r="AZ491" s="1872"/>
      <c r="BA491" s="1988">
        <f>BU472</f>
        <v>25.33</v>
      </c>
      <c r="BB491" s="1988"/>
      <c r="BC491" s="1988"/>
      <c r="BD491" s="1988"/>
      <c r="BE491" s="1988"/>
      <c r="BF491" s="1988"/>
      <c r="BG491" s="1988"/>
      <c r="BH491" s="1988"/>
      <c r="BI491" s="2008" t="e">
        <f t="shared" si="50"/>
        <v>#REF!</v>
      </c>
      <c r="BJ491" s="2008"/>
      <c r="BK491" s="2008"/>
      <c r="BL491" s="2008"/>
      <c r="BM491" s="2008"/>
      <c r="BN491" s="2008"/>
      <c r="BO491" s="2008"/>
      <c r="BP491" s="2008"/>
      <c r="BQ491" s="2008" t="e">
        <f t="shared" si="51"/>
        <v>#REF!</v>
      </c>
      <c r="BR491" s="2008"/>
      <c r="BS491" s="2008"/>
      <c r="BT491" s="2008"/>
      <c r="BU491" s="2008"/>
      <c r="BV491" s="2008"/>
      <c r="BW491" s="2008"/>
      <c r="BX491" s="2008"/>
      <c r="BY491" s="2008" t="e">
        <f t="shared" si="52"/>
        <v>#REF!</v>
      </c>
      <c r="BZ491" s="2008"/>
      <c r="CA491" s="2008"/>
      <c r="CB491" s="2008"/>
      <c r="CC491" s="2008"/>
      <c r="CD491" s="2008"/>
      <c r="CE491" s="2008"/>
      <c r="CF491" s="2009"/>
      <c r="CJ491" s="401" t="e">
        <f t="shared" si="53"/>
        <v>#REF!</v>
      </c>
    </row>
    <row r="492" spans="1:88" s="400" customFormat="1" ht="21.95" customHeight="1" thickBot="1">
      <c r="E492" s="1794" t="s">
        <v>515</v>
      </c>
      <c r="F492" s="1795"/>
      <c r="G492" s="1795"/>
      <c r="H492" s="1795"/>
      <c r="I492" s="1795"/>
      <c r="J492" s="1795"/>
      <c r="K492" s="1795"/>
      <c r="L492" s="1795"/>
      <c r="M492" s="1795"/>
      <c r="N492" s="1795"/>
      <c r="O492" s="1795"/>
      <c r="P492" s="1795"/>
      <c r="Q492" s="1795"/>
      <c r="R492" s="1795"/>
      <c r="S492" s="1795"/>
      <c r="T492" s="1795"/>
      <c r="U492" s="1795" t="s">
        <v>514</v>
      </c>
      <c r="V492" s="1795"/>
      <c r="W492" s="1795"/>
      <c r="X492" s="1795"/>
      <c r="Y492" s="1795"/>
      <c r="Z492" s="1795"/>
      <c r="AA492" s="1795"/>
      <c r="AB492" s="1795"/>
      <c r="AC492" s="1796" t="e">
        <f>#REF!</f>
        <v>#REF!</v>
      </c>
      <c r="AD492" s="1796"/>
      <c r="AE492" s="1796"/>
      <c r="AF492" s="1796"/>
      <c r="AG492" s="1796"/>
      <c r="AH492" s="1796"/>
      <c r="AI492" s="1796"/>
      <c r="AJ492" s="1796"/>
      <c r="AK492" s="1796" t="e">
        <f>#REF!</f>
        <v>#REF!</v>
      </c>
      <c r="AL492" s="1796"/>
      <c r="AM492" s="1796"/>
      <c r="AN492" s="1796"/>
      <c r="AO492" s="1796"/>
      <c r="AP492" s="1796"/>
      <c r="AQ492" s="1796"/>
      <c r="AR492" s="1796"/>
      <c r="AS492" s="1796" t="e">
        <f>#REF!</f>
        <v>#REF!</v>
      </c>
      <c r="AT492" s="1796"/>
      <c r="AU492" s="1796"/>
      <c r="AV492" s="1796"/>
      <c r="AW492" s="1796"/>
      <c r="AX492" s="1796"/>
      <c r="AY492" s="1796"/>
      <c r="AZ492" s="1796"/>
      <c r="BA492" s="1783">
        <f>BU476</f>
        <v>29.55</v>
      </c>
      <c r="BB492" s="1783"/>
      <c r="BC492" s="1783"/>
      <c r="BD492" s="1783"/>
      <c r="BE492" s="1783"/>
      <c r="BF492" s="1783"/>
      <c r="BG492" s="1783"/>
      <c r="BH492" s="1783"/>
      <c r="BI492" s="1796" t="e">
        <f t="shared" si="50"/>
        <v>#REF!</v>
      </c>
      <c r="BJ492" s="1796"/>
      <c r="BK492" s="1796"/>
      <c r="BL492" s="1796"/>
      <c r="BM492" s="1796"/>
      <c r="BN492" s="1796"/>
      <c r="BO492" s="1796"/>
      <c r="BP492" s="1796"/>
      <c r="BQ492" s="1796" t="e">
        <f t="shared" si="51"/>
        <v>#REF!</v>
      </c>
      <c r="BR492" s="1796"/>
      <c r="BS492" s="1796"/>
      <c r="BT492" s="1796"/>
      <c r="BU492" s="1796"/>
      <c r="BV492" s="1796"/>
      <c r="BW492" s="1796"/>
      <c r="BX492" s="1796"/>
      <c r="BY492" s="1796" t="e">
        <f t="shared" si="52"/>
        <v>#REF!</v>
      </c>
      <c r="BZ492" s="1796"/>
      <c r="CA492" s="1796"/>
      <c r="CB492" s="1796"/>
      <c r="CC492" s="1796"/>
      <c r="CD492" s="1796"/>
      <c r="CE492" s="1796"/>
      <c r="CF492" s="1827"/>
      <c r="CJ492" s="401" t="e">
        <f t="shared" si="53"/>
        <v>#REF!</v>
      </c>
    </row>
    <row r="493" spans="1:88" s="399" customFormat="1" ht="9.9499999999999993" customHeight="1"/>
    <row r="494" spans="1:88" s="399" customFormat="1" ht="9.9499999999999993" customHeight="1"/>
    <row r="495" spans="1:88" s="399" customFormat="1" ht="9.9499999999999993" customHeight="1"/>
    <row r="496" spans="1:88" s="399" customFormat="1" ht="9.9499999999999993" customHeight="1"/>
    <row r="497" s="399" customFormat="1" ht="9.9499999999999993" customHeight="1"/>
    <row r="498" s="399" customFormat="1" ht="9.9499999999999993" customHeight="1"/>
    <row r="499" s="399" customFormat="1" ht="9.9499999999999993" customHeight="1"/>
    <row r="500" s="399" customFormat="1" ht="9.9499999999999993" customHeight="1"/>
    <row r="501" s="399" customFormat="1" ht="9.9499999999999993" customHeight="1"/>
    <row r="502" s="399" customFormat="1" ht="9.9499999999999993" customHeight="1"/>
    <row r="503" s="399" customFormat="1" ht="9.9499999999999993" customHeight="1"/>
    <row r="504" s="399" customFormat="1" ht="9.9499999999999993" customHeight="1"/>
    <row r="505" s="399" customFormat="1" ht="9.9499999999999993" customHeight="1"/>
    <row r="506" s="399" customFormat="1" ht="9.9499999999999993" customHeight="1"/>
    <row r="507" s="399" customFormat="1" ht="9.9499999999999993" customHeight="1"/>
    <row r="508" s="399" customFormat="1" ht="9.9499999999999993" customHeight="1"/>
    <row r="509" s="399" customFormat="1" ht="9.9499999999999993" customHeight="1"/>
    <row r="510" s="399" customFormat="1" ht="9.9499999999999993" customHeight="1"/>
    <row r="511" s="399" customFormat="1" ht="9.9499999999999993" customHeight="1"/>
    <row r="512" s="399" customFormat="1" ht="9.9499999999999993" customHeight="1"/>
    <row r="513" s="399" customFormat="1" ht="9.9499999999999993" customHeight="1"/>
    <row r="514" s="399" customFormat="1" ht="9.9499999999999993" customHeight="1"/>
    <row r="515" ht="9.9499999999999993" customHeight="1"/>
    <row r="516" ht="9.9499999999999993" customHeight="1"/>
    <row r="517" ht="9.9499999999999993" customHeight="1"/>
    <row r="518" ht="9.9499999999999993" customHeight="1"/>
    <row r="519" ht="9.9499999999999993" customHeight="1"/>
    <row r="520" ht="9.9499999999999993" customHeight="1"/>
    <row r="521" ht="9.9499999999999993" customHeight="1"/>
    <row r="522" ht="9.9499999999999993" customHeight="1"/>
    <row r="523" ht="9.9499999999999993" customHeight="1"/>
    <row r="524" ht="9.9499999999999993" customHeight="1"/>
    <row r="525" ht="9.9499999999999993" customHeight="1"/>
    <row r="526" ht="9.9499999999999993" customHeight="1"/>
    <row r="527" ht="9.9499999999999993" customHeight="1"/>
    <row r="528" ht="9.9499999999999993" customHeight="1"/>
    <row r="529" ht="9.9499999999999993" customHeight="1"/>
    <row r="530" ht="9.9499999999999993" customHeight="1"/>
    <row r="531" ht="9.9499999999999993" customHeight="1"/>
    <row r="532" ht="9.9499999999999993" customHeight="1"/>
    <row r="533" ht="9.9499999999999993" customHeight="1"/>
    <row r="534" ht="9.9499999999999993" customHeight="1"/>
    <row r="535" ht="9.9499999999999993" customHeight="1"/>
    <row r="536" ht="9.9499999999999993" customHeight="1"/>
    <row r="537" ht="9.9499999999999993" customHeight="1"/>
    <row r="538" ht="9.9499999999999993" customHeight="1"/>
    <row r="539" ht="9.9499999999999993" customHeight="1"/>
    <row r="540" ht="9.9499999999999993" customHeight="1"/>
    <row r="541" ht="9.9499999999999993" customHeight="1"/>
    <row r="542" ht="9.9499999999999993" customHeight="1"/>
    <row r="543" ht="9.9499999999999993" customHeight="1"/>
    <row r="544" ht="9.9499999999999993" customHeight="1"/>
    <row r="545" ht="9.9499999999999993" customHeight="1"/>
    <row r="546" ht="9.9499999999999993" customHeight="1"/>
    <row r="547" ht="9.9499999999999993" customHeight="1"/>
    <row r="548" ht="9.9499999999999993" customHeight="1"/>
    <row r="549" ht="9.9499999999999993" customHeight="1"/>
    <row r="550" ht="9.9499999999999993" customHeight="1"/>
    <row r="551" ht="9.9499999999999993" customHeight="1"/>
    <row r="552" ht="9.9499999999999993" customHeight="1"/>
    <row r="553" ht="9.9499999999999993" customHeight="1"/>
    <row r="554" ht="9.9499999999999993" customHeight="1"/>
    <row r="555" ht="9.9499999999999993" customHeight="1"/>
    <row r="556" ht="9.9499999999999993" customHeight="1"/>
    <row r="557" ht="9.9499999999999993" customHeight="1"/>
    <row r="558" ht="9.9499999999999993" customHeight="1"/>
    <row r="559" ht="9.9499999999999993" customHeight="1"/>
    <row r="560" ht="9.9499999999999993" customHeight="1"/>
    <row r="561" ht="9.9499999999999993" customHeight="1"/>
    <row r="562" ht="9.9499999999999993" customHeight="1"/>
    <row r="563" ht="9.9499999999999993" customHeight="1"/>
    <row r="564" ht="9.9499999999999993" customHeight="1"/>
    <row r="565" ht="9.9499999999999993" customHeight="1"/>
    <row r="566" ht="9.9499999999999993" customHeight="1"/>
    <row r="567" ht="9.9499999999999993" customHeight="1"/>
    <row r="568" ht="9.9499999999999993" customHeight="1"/>
    <row r="569" ht="9.9499999999999993" customHeight="1"/>
    <row r="570" ht="9.9499999999999993" customHeight="1"/>
    <row r="571" ht="9.9499999999999993" customHeight="1"/>
    <row r="572" ht="9.9499999999999993" customHeight="1"/>
    <row r="573" ht="9.9499999999999993" customHeight="1"/>
    <row r="574" ht="9.9499999999999993" customHeight="1"/>
    <row r="575" ht="9.9499999999999993" customHeight="1"/>
    <row r="576" ht="9.9499999999999993" customHeight="1"/>
    <row r="577" ht="9.9499999999999993" customHeight="1"/>
    <row r="578" ht="9.9499999999999993" customHeight="1"/>
    <row r="579" ht="9.9499999999999993" customHeight="1"/>
    <row r="580" ht="9.9499999999999993" customHeight="1"/>
    <row r="581" ht="9.9499999999999993" customHeight="1"/>
    <row r="582" ht="9.9499999999999993" customHeight="1"/>
    <row r="583" ht="9.9499999999999993" customHeight="1"/>
    <row r="584" ht="9.9499999999999993" customHeight="1"/>
    <row r="585" ht="9.9499999999999993" customHeight="1"/>
    <row r="586" ht="9.9499999999999993" customHeight="1"/>
    <row r="587" ht="9.9499999999999993" customHeight="1"/>
    <row r="588" ht="9.9499999999999993" customHeight="1"/>
    <row r="589" ht="9.9499999999999993" customHeight="1"/>
    <row r="590" ht="9.9499999999999993" customHeight="1"/>
    <row r="591" ht="9.9499999999999993" customHeight="1"/>
    <row r="592" ht="9.9499999999999993" customHeight="1"/>
    <row r="593" ht="9.9499999999999993" customHeight="1"/>
    <row r="594" ht="9.9499999999999993" customHeight="1"/>
    <row r="595" ht="9.9499999999999993" customHeight="1"/>
    <row r="596" ht="9.9499999999999993" customHeight="1"/>
    <row r="597" ht="9.9499999999999993" customHeight="1"/>
    <row r="598" ht="9.9499999999999993" customHeight="1"/>
    <row r="599" ht="9.9499999999999993" customHeight="1"/>
    <row r="600" ht="9.9499999999999993" customHeight="1"/>
    <row r="601" ht="9.9499999999999993" customHeight="1"/>
    <row r="602" ht="9.9499999999999993" customHeight="1"/>
    <row r="603" ht="9.9499999999999993" customHeight="1"/>
    <row r="604" ht="9.9499999999999993" customHeight="1"/>
    <row r="605" ht="9.9499999999999993" customHeight="1"/>
    <row r="606" ht="9.9499999999999993" customHeight="1"/>
    <row r="607" ht="9.9499999999999993" customHeight="1"/>
    <row r="608" ht="9.9499999999999993" customHeight="1"/>
    <row r="609" ht="9.9499999999999993" customHeight="1"/>
    <row r="610" ht="9.9499999999999993" customHeight="1"/>
    <row r="611" ht="9.9499999999999993" customHeight="1"/>
    <row r="612" ht="9.9499999999999993" customHeight="1"/>
    <row r="613" ht="9.9499999999999993" customHeight="1"/>
    <row r="614" ht="9.9499999999999993" customHeight="1"/>
    <row r="615" ht="9.9499999999999993" customHeight="1"/>
    <row r="616" ht="9.9499999999999993" customHeight="1"/>
    <row r="617" ht="9.9499999999999993" customHeight="1"/>
    <row r="618" ht="9.9499999999999993" customHeight="1"/>
    <row r="619" ht="9.9499999999999993" customHeight="1"/>
    <row r="620" ht="9.9499999999999993" customHeight="1"/>
    <row r="621" ht="9.9499999999999993" customHeight="1"/>
    <row r="622" ht="9.9499999999999993" customHeight="1"/>
    <row r="623" ht="9.9499999999999993" customHeight="1"/>
    <row r="624" ht="9.9499999999999993" customHeight="1"/>
    <row r="625" ht="9.9499999999999993" customHeight="1"/>
    <row r="626" ht="9.9499999999999993" customHeight="1"/>
    <row r="627" ht="9.9499999999999993" customHeight="1"/>
    <row r="628" ht="9.9499999999999993" customHeight="1"/>
    <row r="629" ht="9.9499999999999993" customHeight="1"/>
    <row r="630" ht="9.9499999999999993" customHeight="1"/>
    <row r="631" ht="9.9499999999999993" customHeight="1"/>
    <row r="632" ht="9.9499999999999993" customHeight="1"/>
    <row r="633" ht="9.9499999999999993" customHeight="1"/>
    <row r="634" ht="9.9499999999999993" customHeight="1"/>
    <row r="635" ht="9.9499999999999993" customHeight="1"/>
    <row r="636" ht="9.9499999999999993" customHeight="1"/>
    <row r="637" ht="9.9499999999999993" customHeight="1"/>
    <row r="638" ht="9.9499999999999993" customHeight="1"/>
    <row r="639" ht="9.9499999999999993" customHeight="1"/>
    <row r="640" ht="9.9499999999999993" customHeight="1"/>
    <row r="641" ht="9.9499999999999993" customHeight="1"/>
    <row r="642" ht="9.9499999999999993" customHeight="1"/>
    <row r="643" ht="9.9499999999999993" customHeight="1"/>
    <row r="644" ht="9.9499999999999993" customHeight="1"/>
    <row r="645" ht="9.9499999999999993" customHeight="1"/>
    <row r="646" ht="9.9499999999999993" customHeight="1"/>
    <row r="647" ht="9.9499999999999993" customHeight="1"/>
    <row r="648" ht="9.9499999999999993" customHeight="1"/>
    <row r="649" ht="9.9499999999999993" customHeight="1"/>
    <row r="650" ht="9.9499999999999993" customHeight="1"/>
    <row r="651" ht="9.9499999999999993" customHeight="1"/>
    <row r="652" ht="9.9499999999999993" customHeight="1"/>
    <row r="653" ht="9.9499999999999993" customHeight="1"/>
    <row r="654" ht="9.9499999999999993" customHeight="1"/>
    <row r="655" ht="9.9499999999999993" customHeight="1"/>
    <row r="656" ht="9.9499999999999993" customHeight="1"/>
    <row r="657" ht="9.9499999999999993" customHeight="1"/>
    <row r="658" ht="9.9499999999999993" customHeight="1"/>
    <row r="659" ht="9.9499999999999993" customHeight="1"/>
    <row r="660" ht="9.9499999999999993" customHeight="1"/>
    <row r="661" ht="9.9499999999999993" customHeight="1"/>
    <row r="662" ht="9.9499999999999993" customHeight="1"/>
    <row r="663" ht="9.9499999999999993" customHeight="1"/>
    <row r="664" ht="9.9499999999999993" customHeight="1"/>
    <row r="665" ht="9.9499999999999993" customHeight="1"/>
    <row r="666" ht="9.9499999999999993" customHeight="1"/>
    <row r="667" ht="9.9499999999999993" customHeight="1"/>
    <row r="668" ht="9.9499999999999993" customHeight="1"/>
    <row r="669" ht="9.9499999999999993" customHeight="1"/>
    <row r="670" ht="9.9499999999999993" customHeight="1"/>
    <row r="671" ht="9.9499999999999993" customHeight="1"/>
    <row r="672" ht="9.9499999999999993" customHeight="1"/>
    <row r="673" ht="9.9499999999999993" customHeight="1"/>
    <row r="674" ht="9.9499999999999993" customHeight="1"/>
    <row r="675" ht="9.9499999999999993" customHeight="1"/>
    <row r="676" ht="9.9499999999999993" customHeight="1"/>
    <row r="677" ht="9.9499999999999993" customHeight="1"/>
    <row r="678" ht="9.9499999999999993" customHeight="1"/>
    <row r="679" ht="9.9499999999999993" customHeight="1"/>
    <row r="680" ht="9.9499999999999993" customHeight="1"/>
    <row r="681" ht="9.9499999999999993" customHeight="1"/>
    <row r="682" ht="9.9499999999999993" customHeight="1"/>
    <row r="683" ht="9.9499999999999993" customHeight="1"/>
    <row r="684" ht="9.9499999999999993" customHeight="1"/>
    <row r="685" ht="9.9499999999999993" customHeight="1"/>
    <row r="686" ht="9.9499999999999993" customHeight="1"/>
    <row r="687" ht="9.9499999999999993" customHeight="1"/>
    <row r="688" ht="9.9499999999999993" customHeight="1"/>
    <row r="689" ht="9.9499999999999993" customHeight="1"/>
    <row r="690" ht="9.9499999999999993" customHeight="1"/>
    <row r="691" ht="9.9499999999999993" customHeight="1"/>
    <row r="692" ht="9.9499999999999993" customHeight="1"/>
    <row r="693" ht="9.9499999999999993" customHeight="1"/>
    <row r="694" ht="9.9499999999999993" customHeight="1"/>
    <row r="695" ht="9.9499999999999993" customHeight="1"/>
    <row r="696" ht="9.9499999999999993" customHeight="1"/>
    <row r="697" ht="9.9499999999999993" customHeight="1"/>
    <row r="698" ht="9.9499999999999993" customHeight="1"/>
    <row r="699" ht="9.9499999999999993" customHeight="1"/>
    <row r="700" ht="9.9499999999999993" customHeight="1"/>
    <row r="701" ht="9.9499999999999993" customHeight="1"/>
    <row r="702" ht="9.9499999999999993" customHeight="1"/>
    <row r="703" ht="9.9499999999999993" customHeight="1"/>
    <row r="704" ht="9.9499999999999993" customHeight="1"/>
    <row r="705" ht="9.9499999999999993" customHeight="1"/>
    <row r="706" ht="9.9499999999999993" customHeight="1"/>
    <row r="707" ht="9.9499999999999993" customHeight="1"/>
    <row r="708" ht="9.9499999999999993" customHeight="1"/>
    <row r="709" ht="9.9499999999999993" customHeight="1"/>
    <row r="710" ht="9.9499999999999993" customHeight="1"/>
    <row r="711" ht="9.9499999999999993" customHeight="1"/>
    <row r="712" ht="9.9499999999999993" customHeight="1"/>
    <row r="713" ht="9.9499999999999993" customHeight="1"/>
    <row r="714" ht="9.9499999999999993" customHeight="1"/>
    <row r="715" ht="9.9499999999999993" customHeight="1"/>
    <row r="716" ht="9.9499999999999993" customHeight="1"/>
    <row r="717" ht="9.9499999999999993" customHeight="1"/>
    <row r="718" ht="9.9499999999999993" customHeight="1"/>
    <row r="719" ht="9.9499999999999993" customHeight="1"/>
    <row r="720" ht="9.9499999999999993" customHeight="1"/>
    <row r="721" ht="9.9499999999999993" customHeight="1"/>
    <row r="722" ht="9.9499999999999993" customHeight="1"/>
    <row r="723" ht="9.9499999999999993" customHeight="1"/>
    <row r="724" ht="9.9499999999999993" customHeight="1"/>
    <row r="725" ht="9.9499999999999993" customHeight="1"/>
    <row r="726" ht="9.9499999999999993" customHeight="1"/>
    <row r="727" ht="9.9499999999999993" customHeight="1"/>
    <row r="728" ht="9.9499999999999993" customHeight="1"/>
    <row r="729" ht="9.9499999999999993" customHeight="1"/>
    <row r="730" ht="9.9499999999999993" customHeight="1"/>
    <row r="731" ht="9.9499999999999993" customHeight="1"/>
    <row r="732" ht="9.9499999999999993" customHeight="1"/>
    <row r="733" ht="9.9499999999999993" customHeight="1"/>
    <row r="734" ht="9.9499999999999993" customHeight="1"/>
    <row r="735" ht="9.9499999999999993" customHeight="1"/>
    <row r="736" ht="9.9499999999999993" customHeight="1"/>
    <row r="737" ht="9.9499999999999993" customHeight="1"/>
    <row r="738" ht="9.9499999999999993" customHeight="1"/>
    <row r="739" ht="9.9499999999999993" customHeight="1"/>
    <row r="740" ht="9.9499999999999993" customHeight="1"/>
    <row r="741" ht="9.9499999999999993" customHeight="1"/>
    <row r="742" ht="9.9499999999999993" customHeight="1"/>
    <row r="743" ht="9.9499999999999993" customHeight="1"/>
    <row r="744" ht="9.9499999999999993" customHeight="1"/>
    <row r="745" ht="9.9499999999999993" customHeight="1"/>
    <row r="746" ht="9.9499999999999993" customHeight="1"/>
    <row r="747" ht="9.9499999999999993" customHeight="1"/>
    <row r="748" ht="9.9499999999999993" customHeight="1"/>
    <row r="749" ht="9.9499999999999993" customHeight="1"/>
    <row r="750" ht="9.9499999999999993" customHeight="1"/>
    <row r="751" ht="9.9499999999999993" customHeight="1"/>
    <row r="752" ht="9.9499999999999993" customHeight="1"/>
    <row r="753" ht="9.9499999999999993" customHeight="1"/>
    <row r="754" ht="9.9499999999999993" customHeight="1"/>
    <row r="755" ht="9.9499999999999993" customHeight="1"/>
    <row r="756" ht="9.9499999999999993" customHeight="1"/>
    <row r="757" ht="9.9499999999999993" customHeight="1"/>
    <row r="758" ht="9.9499999999999993" customHeight="1"/>
    <row r="759" ht="9.9499999999999993" customHeight="1"/>
    <row r="760" ht="9.9499999999999993" customHeight="1"/>
    <row r="761" ht="9.9499999999999993" customHeight="1"/>
    <row r="762" ht="9.9499999999999993" customHeight="1"/>
    <row r="763" ht="9.9499999999999993" customHeight="1"/>
    <row r="764" ht="9.9499999999999993" customHeight="1"/>
    <row r="765" ht="9.9499999999999993" customHeight="1"/>
    <row r="766" ht="9.9499999999999993" customHeight="1"/>
    <row r="767" ht="9.9499999999999993" customHeight="1"/>
    <row r="768" ht="9.9499999999999993" customHeight="1"/>
    <row r="769" ht="9.9499999999999993" customHeight="1"/>
    <row r="770" ht="9.9499999999999993" customHeight="1"/>
    <row r="771" ht="9.9499999999999993" customHeight="1"/>
    <row r="772" ht="9.9499999999999993" customHeight="1"/>
    <row r="773" ht="9.9499999999999993" customHeight="1"/>
    <row r="774" ht="9.9499999999999993" customHeight="1"/>
    <row r="775" ht="9.9499999999999993" customHeight="1"/>
    <row r="776" ht="9.9499999999999993" customHeight="1"/>
    <row r="777" ht="9.9499999999999993" customHeight="1"/>
    <row r="778" ht="9.9499999999999993" customHeight="1"/>
    <row r="779" ht="9.9499999999999993" customHeight="1"/>
    <row r="780" ht="9.9499999999999993" customHeight="1"/>
    <row r="781" ht="9.9499999999999993" customHeight="1"/>
    <row r="782" ht="9.9499999999999993" customHeight="1"/>
    <row r="783" ht="9.9499999999999993" customHeight="1"/>
    <row r="784" ht="9.9499999999999993" customHeight="1"/>
    <row r="785" ht="9.9499999999999993" customHeight="1"/>
    <row r="786" ht="9.9499999999999993" customHeight="1"/>
    <row r="787" ht="9.9499999999999993" customHeight="1"/>
    <row r="788" ht="9.9499999999999993" customHeight="1"/>
    <row r="789" ht="9.9499999999999993" customHeight="1"/>
    <row r="790" ht="9.9499999999999993" customHeight="1"/>
    <row r="791" ht="9.9499999999999993" customHeight="1"/>
    <row r="792" ht="9.9499999999999993" customHeight="1"/>
    <row r="793" ht="9.9499999999999993" customHeight="1"/>
    <row r="794" ht="9.9499999999999993" customHeight="1"/>
    <row r="795" ht="9.9499999999999993" customHeight="1"/>
    <row r="796" ht="9.9499999999999993" customHeight="1"/>
    <row r="797" ht="9.9499999999999993" customHeight="1"/>
    <row r="798" ht="9.9499999999999993" customHeight="1"/>
    <row r="799" ht="9.9499999999999993" customHeight="1"/>
    <row r="800" ht="9.9499999999999993" customHeight="1"/>
    <row r="801" ht="9.9499999999999993" customHeight="1"/>
    <row r="802" ht="9.9499999999999993" customHeight="1"/>
    <row r="803" ht="9.9499999999999993" customHeight="1"/>
    <row r="804" ht="9.9499999999999993" customHeight="1"/>
    <row r="805" ht="9.9499999999999993" customHeight="1"/>
    <row r="806" ht="9.9499999999999993" customHeight="1"/>
    <row r="807" ht="9.9499999999999993" customHeight="1"/>
    <row r="808" ht="9.9499999999999993" customHeight="1"/>
    <row r="809" ht="9.9499999999999993" customHeight="1"/>
    <row r="810" ht="9.9499999999999993" customHeight="1"/>
    <row r="811" ht="9.9499999999999993" customHeight="1"/>
    <row r="812" ht="9.9499999999999993" customHeight="1"/>
    <row r="813" ht="9.9499999999999993" customHeight="1"/>
    <row r="814" ht="9.9499999999999993" customHeight="1"/>
    <row r="815" ht="9.9499999999999993" customHeight="1"/>
    <row r="816" ht="9.9499999999999993" customHeight="1"/>
    <row r="817" ht="9.9499999999999993" customHeight="1"/>
    <row r="818" ht="9.9499999999999993" customHeight="1"/>
    <row r="819" ht="9.9499999999999993" customHeight="1"/>
    <row r="820" ht="9.9499999999999993" customHeight="1"/>
    <row r="821" ht="9.9499999999999993" customHeight="1"/>
    <row r="822" ht="9.9499999999999993" customHeight="1"/>
    <row r="823" ht="9.9499999999999993" customHeight="1"/>
    <row r="824" ht="9.9499999999999993" customHeight="1"/>
    <row r="825" ht="9.9499999999999993" customHeight="1"/>
    <row r="826" ht="9.9499999999999993" customHeight="1"/>
    <row r="827" ht="9.9499999999999993" customHeight="1"/>
    <row r="828" ht="9.9499999999999993" customHeight="1"/>
    <row r="829" ht="9.9499999999999993" customHeight="1"/>
    <row r="830" ht="9.9499999999999993" customHeight="1"/>
    <row r="831" ht="9.9499999999999993" customHeight="1"/>
    <row r="832" ht="9.9499999999999993" customHeight="1"/>
    <row r="833" ht="9.9499999999999993" customHeight="1"/>
    <row r="834" ht="9.9499999999999993" customHeight="1"/>
    <row r="835" ht="9.9499999999999993" customHeight="1"/>
    <row r="836" ht="9.9499999999999993" customHeight="1"/>
    <row r="837" ht="9.9499999999999993" customHeight="1"/>
    <row r="838" ht="9.9499999999999993" customHeight="1"/>
    <row r="839" ht="9.9499999999999993" customHeight="1"/>
    <row r="840" ht="9.9499999999999993" customHeight="1"/>
    <row r="841" ht="9.9499999999999993" customHeight="1"/>
    <row r="842" ht="9.9499999999999993" customHeight="1"/>
    <row r="843" ht="9.9499999999999993" customHeight="1"/>
    <row r="844" ht="9.9499999999999993" customHeight="1"/>
    <row r="845" ht="9.9499999999999993" customHeight="1"/>
    <row r="846" ht="9.9499999999999993" customHeight="1"/>
    <row r="847" ht="9.9499999999999993" customHeight="1"/>
    <row r="848" ht="9.9499999999999993" customHeight="1"/>
    <row r="849" ht="9.9499999999999993" customHeight="1"/>
    <row r="850" ht="9.9499999999999993" customHeight="1"/>
    <row r="851" ht="9.9499999999999993" customHeight="1"/>
    <row r="852" ht="9.9499999999999993" customHeight="1"/>
    <row r="853" ht="9.9499999999999993" customHeight="1"/>
    <row r="854" ht="9.9499999999999993" customHeight="1"/>
    <row r="855" ht="9.9499999999999993" customHeight="1"/>
    <row r="856" ht="9.9499999999999993" customHeight="1"/>
    <row r="857" ht="9.9499999999999993" customHeight="1"/>
    <row r="858" ht="9.9499999999999993" customHeight="1"/>
    <row r="859" ht="9.9499999999999993" customHeight="1"/>
    <row r="860" ht="9.9499999999999993" customHeight="1"/>
    <row r="861" ht="9.9499999999999993" customHeight="1"/>
    <row r="862" ht="9.9499999999999993" customHeight="1"/>
    <row r="863" ht="9.9499999999999993" customHeight="1"/>
    <row r="864" ht="9.9499999999999993" customHeight="1"/>
    <row r="865" ht="9.9499999999999993" customHeight="1"/>
    <row r="866" ht="9.9499999999999993" customHeight="1"/>
    <row r="867" ht="9.9499999999999993" customHeight="1"/>
    <row r="868" ht="9.9499999999999993" customHeight="1"/>
    <row r="869" ht="9.9499999999999993" customHeight="1"/>
    <row r="870" ht="9.9499999999999993" customHeight="1"/>
    <row r="871" ht="9.9499999999999993" customHeight="1"/>
    <row r="872" ht="9.9499999999999993" customHeight="1"/>
    <row r="873" ht="9.9499999999999993" customHeight="1"/>
    <row r="874" ht="9.9499999999999993" customHeight="1"/>
    <row r="875" ht="9.9499999999999993" customHeight="1"/>
    <row r="876" ht="9.9499999999999993" customHeight="1"/>
    <row r="877" ht="9.9499999999999993" customHeight="1"/>
    <row r="878" ht="9.9499999999999993" customHeight="1"/>
    <row r="879" ht="9.9499999999999993" customHeight="1"/>
    <row r="880" ht="9.9499999999999993" customHeight="1"/>
    <row r="881" ht="9.9499999999999993" customHeight="1"/>
    <row r="882" ht="9.9499999999999993" customHeight="1"/>
    <row r="883" ht="9.9499999999999993" customHeight="1"/>
    <row r="884" ht="9.9499999999999993" customHeight="1"/>
    <row r="885" ht="9.9499999999999993" customHeight="1"/>
    <row r="886" ht="9.9499999999999993" customHeight="1"/>
    <row r="887" ht="9.9499999999999993" customHeight="1"/>
    <row r="888" ht="9.9499999999999993" customHeight="1"/>
    <row r="889" ht="9.9499999999999993" customHeight="1"/>
    <row r="890" ht="9.9499999999999993" customHeight="1"/>
    <row r="891" ht="9.9499999999999993" customHeight="1"/>
    <row r="892" ht="9.9499999999999993" customHeight="1"/>
    <row r="893" ht="9.9499999999999993" customHeight="1"/>
    <row r="894" ht="9.9499999999999993" customHeight="1"/>
    <row r="895" ht="9.9499999999999993" customHeight="1"/>
  </sheetData>
  <mergeCells count="2251">
    <mergeCell ref="BY131:CF131"/>
    <mergeCell ref="E129:T129"/>
    <mergeCell ref="U129:AB129"/>
    <mergeCell ref="AC129:AJ129"/>
    <mergeCell ref="AK129:AR129"/>
    <mergeCell ref="AS129:AZ129"/>
    <mergeCell ref="BA129:BH129"/>
    <mergeCell ref="BI129:BP129"/>
    <mergeCell ref="BQ128:BX128"/>
    <mergeCell ref="BY128:CF128"/>
    <mergeCell ref="E131:T131"/>
    <mergeCell ref="U131:AB131"/>
    <mergeCell ref="AC131:AJ131"/>
    <mergeCell ref="AK131:AR131"/>
    <mergeCell ref="AS131:AZ131"/>
    <mergeCell ref="BA131:BH131"/>
    <mergeCell ref="BI131:BP131"/>
    <mergeCell ref="BQ131:BX131"/>
    <mergeCell ref="BY130:CF130"/>
    <mergeCell ref="E128:T128"/>
    <mergeCell ref="U128:AB128"/>
    <mergeCell ref="AC128:AJ128"/>
    <mergeCell ref="AK128:AR128"/>
    <mergeCell ref="AS128:AZ128"/>
    <mergeCell ref="BA128:BH128"/>
    <mergeCell ref="BQ129:BX129"/>
    <mergeCell ref="BY129:CF129"/>
    <mergeCell ref="E130:T130"/>
    <mergeCell ref="U130:AB130"/>
    <mergeCell ref="AC130:AJ130"/>
    <mergeCell ref="AK130:AR130"/>
    <mergeCell ref="AS130:AZ130"/>
    <mergeCell ref="AS127:AZ127"/>
    <mergeCell ref="BA127:BH127"/>
    <mergeCell ref="BI127:BP127"/>
    <mergeCell ref="BQ127:BX127"/>
    <mergeCell ref="BQ125:BX125"/>
    <mergeCell ref="BY125:CF125"/>
    <mergeCell ref="E126:T126"/>
    <mergeCell ref="U126:AB126"/>
    <mergeCell ref="AC126:AJ126"/>
    <mergeCell ref="AK126:AR126"/>
    <mergeCell ref="BI124:BP124"/>
    <mergeCell ref="BQ124:BX124"/>
    <mergeCell ref="BY124:CF124"/>
    <mergeCell ref="E125:T125"/>
    <mergeCell ref="U125:AB125"/>
    <mergeCell ref="AC125:AJ125"/>
    <mergeCell ref="AK125:AR125"/>
    <mergeCell ref="AS125:AZ125"/>
    <mergeCell ref="BA125:BH125"/>
    <mergeCell ref="BI125:BP125"/>
    <mergeCell ref="E124:T124"/>
    <mergeCell ref="U124:AB124"/>
    <mergeCell ref="AC124:AJ124"/>
    <mergeCell ref="AK124:AR124"/>
    <mergeCell ref="AS124:AZ124"/>
    <mergeCell ref="BA124:BH124"/>
    <mergeCell ref="BA130:BH130"/>
    <mergeCell ref="BI130:BP130"/>
    <mergeCell ref="BQ130:BX130"/>
    <mergeCell ref="BY122:CF122"/>
    <mergeCell ref="U123:AB123"/>
    <mergeCell ref="AC123:AJ123"/>
    <mergeCell ref="AK123:AR123"/>
    <mergeCell ref="AS123:AZ123"/>
    <mergeCell ref="BA123:BH123"/>
    <mergeCell ref="BI123:BP123"/>
    <mergeCell ref="BQ123:BX123"/>
    <mergeCell ref="BY123:CF123"/>
    <mergeCell ref="E121:T122"/>
    <mergeCell ref="U121:AB122"/>
    <mergeCell ref="AC121:AZ121"/>
    <mergeCell ref="BA121:BH122"/>
    <mergeCell ref="BI121:CF121"/>
    <mergeCell ref="AC122:AJ122"/>
    <mergeCell ref="AK122:AR122"/>
    <mergeCell ref="AS122:AZ122"/>
    <mergeCell ref="BI122:BP122"/>
    <mergeCell ref="BQ122:BX122"/>
    <mergeCell ref="AS126:AZ126"/>
    <mergeCell ref="BA126:BH126"/>
    <mergeCell ref="BI126:BP126"/>
    <mergeCell ref="BQ126:BX126"/>
    <mergeCell ref="BY126:CF126"/>
    <mergeCell ref="E127:T127"/>
    <mergeCell ref="U127:AB127"/>
    <mergeCell ref="BY127:CF127"/>
    <mergeCell ref="AC127:AJ127"/>
    <mergeCell ref="AK127:AR127"/>
    <mergeCell ref="BU116:CF116"/>
    <mergeCell ref="E117:P117"/>
    <mergeCell ref="Q117:AB117"/>
    <mergeCell ref="AC117:AJ117"/>
    <mergeCell ref="AK117:AR117"/>
    <mergeCell ref="AS117:AZ117"/>
    <mergeCell ref="BA117:BH117"/>
    <mergeCell ref="BI117:BN117"/>
    <mergeCell ref="BO117:BT117"/>
    <mergeCell ref="BU117:CF117"/>
    <mergeCell ref="BQ417:BX417"/>
    <mergeCell ref="BY417:CF417"/>
    <mergeCell ref="E418:T418"/>
    <mergeCell ref="AC115:AJ115"/>
    <mergeCell ref="AK115:AR115"/>
    <mergeCell ref="AS115:AZ115"/>
    <mergeCell ref="BA115:BH115"/>
    <mergeCell ref="BI115:BN115"/>
    <mergeCell ref="BO115:BT115"/>
    <mergeCell ref="BU115:CF115"/>
    <mergeCell ref="BI407:BN407"/>
    <mergeCell ref="BO407:BT407"/>
    <mergeCell ref="BU407:CF407"/>
    <mergeCell ref="R269:Y269"/>
    <mergeCell ref="Z269:AA269"/>
    <mergeCell ref="AB269:AC269"/>
    <mergeCell ref="AD269:AE269"/>
    <mergeCell ref="AF269:AM269"/>
    <mergeCell ref="E407:P407"/>
    <mergeCell ref="Q407:AB407"/>
    <mergeCell ref="AC407:AJ407"/>
    <mergeCell ref="AK407:AR407"/>
    <mergeCell ref="BO408:BT408"/>
    <mergeCell ref="BU408:CF408"/>
    <mergeCell ref="E423:T423"/>
    <mergeCell ref="U423:AB423"/>
    <mergeCell ref="AC423:AJ423"/>
    <mergeCell ref="AK423:AR423"/>
    <mergeCell ref="AS423:AZ423"/>
    <mergeCell ref="BA423:BH423"/>
    <mergeCell ref="BI423:BP423"/>
    <mergeCell ref="BQ423:BX423"/>
    <mergeCell ref="BY415:CF415"/>
    <mergeCell ref="E416:T416"/>
    <mergeCell ref="BI409:BN409"/>
    <mergeCell ref="BO409:BT409"/>
    <mergeCell ref="BU409:CF409"/>
    <mergeCell ref="BI420:BP420"/>
    <mergeCell ref="BQ420:BX420"/>
    <mergeCell ref="Q408:AB408"/>
    <mergeCell ref="AC408:AJ408"/>
    <mergeCell ref="AK408:AR408"/>
    <mergeCell ref="AS408:AZ408"/>
    <mergeCell ref="BA408:BH408"/>
    <mergeCell ref="BI408:BN408"/>
    <mergeCell ref="BQ418:BX418"/>
    <mergeCell ref="BY418:CF418"/>
    <mergeCell ref="E415:T415"/>
    <mergeCell ref="U415:AB415"/>
    <mergeCell ref="AC415:AJ415"/>
    <mergeCell ref="AK415:AR415"/>
    <mergeCell ref="AS415:AZ415"/>
    <mergeCell ref="BA415:BH415"/>
    <mergeCell ref="BI415:BP415"/>
    <mergeCell ref="BQ415:BX415"/>
    <mergeCell ref="U418:AB418"/>
    <mergeCell ref="AC418:AJ418"/>
    <mergeCell ref="AK418:AR418"/>
    <mergeCell ref="AS418:AZ418"/>
    <mergeCell ref="BA418:BH418"/>
    <mergeCell ref="BI418:BP418"/>
    <mergeCell ref="BY416:CF416"/>
    <mergeCell ref="E409:P409"/>
    <mergeCell ref="Q409:AB409"/>
    <mergeCell ref="AC409:AJ409"/>
    <mergeCell ref="AK409:AR409"/>
    <mergeCell ref="E417:T417"/>
    <mergeCell ref="U417:AB417"/>
    <mergeCell ref="AC417:AJ417"/>
    <mergeCell ref="AK417:AR417"/>
    <mergeCell ref="AS417:AZ417"/>
    <mergeCell ref="BA417:BH417"/>
    <mergeCell ref="BI417:BP417"/>
    <mergeCell ref="AS425:AZ425"/>
    <mergeCell ref="BA425:BH425"/>
    <mergeCell ref="BI425:BP425"/>
    <mergeCell ref="BQ425:BX425"/>
    <mergeCell ref="E424:T424"/>
    <mergeCell ref="U424:AB424"/>
    <mergeCell ref="AC424:AJ424"/>
    <mergeCell ref="AK424:AR424"/>
    <mergeCell ref="AS424:AZ424"/>
    <mergeCell ref="BA424:BH424"/>
    <mergeCell ref="AS421:AZ421"/>
    <mergeCell ref="BA421:BH421"/>
    <mergeCell ref="BI421:BP421"/>
    <mergeCell ref="BQ421:BX421"/>
    <mergeCell ref="BY421:CF421"/>
    <mergeCell ref="E422:T422"/>
    <mergeCell ref="U422:AB422"/>
    <mergeCell ref="AC422:AJ422"/>
    <mergeCell ref="AK422:AR422"/>
    <mergeCell ref="AS422:AZ422"/>
    <mergeCell ref="E425:T425"/>
    <mergeCell ref="U425:AB425"/>
    <mergeCell ref="E421:T421"/>
    <mergeCell ref="U421:AB421"/>
    <mergeCell ref="AC421:AJ421"/>
    <mergeCell ref="AK421:AR421"/>
    <mergeCell ref="AC425:AJ425"/>
    <mergeCell ref="AK425:AR425"/>
    <mergeCell ref="BA422:BH422"/>
    <mergeCell ref="BI422:BP422"/>
    <mergeCell ref="BY425:CF425"/>
    <mergeCell ref="BQ422:BX422"/>
    <mergeCell ref="BQ424:BX424"/>
    <mergeCell ref="BY423:CF423"/>
    <mergeCell ref="E420:T420"/>
    <mergeCell ref="U420:AB420"/>
    <mergeCell ref="AC420:AJ420"/>
    <mergeCell ref="AK420:AR420"/>
    <mergeCell ref="AS420:AZ420"/>
    <mergeCell ref="BA420:BH420"/>
    <mergeCell ref="BY414:CF414"/>
    <mergeCell ref="E419:T419"/>
    <mergeCell ref="U419:AB419"/>
    <mergeCell ref="AC419:AJ419"/>
    <mergeCell ref="AK419:AR419"/>
    <mergeCell ref="AS419:AZ419"/>
    <mergeCell ref="BA419:BH419"/>
    <mergeCell ref="BI419:BP419"/>
    <mergeCell ref="BQ419:BX419"/>
    <mergeCell ref="BY419:CF419"/>
    <mergeCell ref="E413:T414"/>
    <mergeCell ref="U413:AB414"/>
    <mergeCell ref="AC413:AZ413"/>
    <mergeCell ref="BA413:BH414"/>
    <mergeCell ref="BI413:CF413"/>
    <mergeCell ref="AC414:AJ414"/>
    <mergeCell ref="AK414:AR414"/>
    <mergeCell ref="AS414:AZ414"/>
    <mergeCell ref="BI414:BP414"/>
    <mergeCell ref="BQ414:BX414"/>
    <mergeCell ref="BY424:CF424"/>
    <mergeCell ref="BY420:CF420"/>
    <mergeCell ref="BY422:CF422"/>
    <mergeCell ref="BI424:BP424"/>
    <mergeCell ref="BI403:BN403"/>
    <mergeCell ref="BI406:BN406"/>
    <mergeCell ref="BO406:BT406"/>
    <mergeCell ref="BU406:CF406"/>
    <mergeCell ref="U416:AB416"/>
    <mergeCell ref="AC416:AJ416"/>
    <mergeCell ref="AK416:AR416"/>
    <mergeCell ref="AS416:AZ416"/>
    <mergeCell ref="BA416:BH416"/>
    <mergeCell ref="BI416:BP416"/>
    <mergeCell ref="BQ416:BX416"/>
    <mergeCell ref="E406:P406"/>
    <mergeCell ref="Q406:AB406"/>
    <mergeCell ref="AC406:AJ406"/>
    <mergeCell ref="AK406:AR406"/>
    <mergeCell ref="AS406:AZ406"/>
    <mergeCell ref="BA406:BH406"/>
    <mergeCell ref="BU404:CF404"/>
    <mergeCell ref="E405:P405"/>
    <mergeCell ref="Q405:AB405"/>
    <mergeCell ref="AC405:AJ405"/>
    <mergeCell ref="AK405:AR405"/>
    <mergeCell ref="AS405:AZ405"/>
    <mergeCell ref="BA405:BH405"/>
    <mergeCell ref="BI405:BN405"/>
    <mergeCell ref="BO405:BT405"/>
    <mergeCell ref="BU405:CF405"/>
    <mergeCell ref="AS407:AZ407"/>
    <mergeCell ref="BA407:BH407"/>
    <mergeCell ref="AS409:AZ409"/>
    <mergeCell ref="BA409:BH409"/>
    <mergeCell ref="E408:P408"/>
    <mergeCell ref="E401:P401"/>
    <mergeCell ref="Q401:AB401"/>
    <mergeCell ref="AC401:AJ401"/>
    <mergeCell ref="AK399:AR399"/>
    <mergeCell ref="AS399:AZ399"/>
    <mergeCell ref="BA399:BH399"/>
    <mergeCell ref="BI399:BT399"/>
    <mergeCell ref="BU399:CF399"/>
    <mergeCell ref="E400:P400"/>
    <mergeCell ref="Q400:AB400"/>
    <mergeCell ref="AC400:AJ400"/>
    <mergeCell ref="AK400:AR400"/>
    <mergeCell ref="AS400:AZ400"/>
    <mergeCell ref="BO403:BT403"/>
    <mergeCell ref="BU403:CF403"/>
    <mergeCell ref="E404:P404"/>
    <mergeCell ref="Q404:AB404"/>
    <mergeCell ref="AC404:AJ404"/>
    <mergeCell ref="AK404:AR404"/>
    <mergeCell ref="AS404:AZ404"/>
    <mergeCell ref="BA404:BH404"/>
    <mergeCell ref="BI404:BN404"/>
    <mergeCell ref="BO404:BT404"/>
    <mergeCell ref="BI402:BN402"/>
    <mergeCell ref="BO402:BT402"/>
    <mergeCell ref="BU402:CF402"/>
    <mergeCell ref="E403:P403"/>
    <mergeCell ref="Q403:AB403"/>
    <mergeCell ref="AC403:AJ403"/>
    <mergeCell ref="AK403:AR403"/>
    <mergeCell ref="AS403:AZ403"/>
    <mergeCell ref="BA403:BH403"/>
    <mergeCell ref="E491:T491"/>
    <mergeCell ref="U491:AB491"/>
    <mergeCell ref="AC491:AJ491"/>
    <mergeCell ref="AK491:AR491"/>
    <mergeCell ref="A392:CF392"/>
    <mergeCell ref="G395:J396"/>
    <mergeCell ref="L396:AE396"/>
    <mergeCell ref="E399:P399"/>
    <mergeCell ref="Q399:AB399"/>
    <mergeCell ref="AC399:AJ399"/>
    <mergeCell ref="BA490:BH490"/>
    <mergeCell ref="BI490:BP490"/>
    <mergeCell ref="BQ490:BX490"/>
    <mergeCell ref="BY490:CF490"/>
    <mergeCell ref="BY491:CF491"/>
    <mergeCell ref="AS491:AZ491"/>
    <mergeCell ref="BA491:BH491"/>
    <mergeCell ref="BI491:BP491"/>
    <mergeCell ref="BQ491:BX491"/>
    <mergeCell ref="E489:T489"/>
    <mergeCell ref="U489:AB489"/>
    <mergeCell ref="AC489:AJ489"/>
    <mergeCell ref="AK489:AR489"/>
    <mergeCell ref="BY489:CF489"/>
    <mergeCell ref="E490:T490"/>
    <mergeCell ref="U490:AB490"/>
    <mergeCell ref="AC490:AJ490"/>
    <mergeCell ref="AK490:AR490"/>
    <mergeCell ref="AS490:AZ490"/>
    <mergeCell ref="BA488:BH488"/>
    <mergeCell ref="BI488:BP488"/>
    <mergeCell ref="BQ488:BX488"/>
    <mergeCell ref="BY488:CF488"/>
    <mergeCell ref="AS489:AZ489"/>
    <mergeCell ref="BA489:BH489"/>
    <mergeCell ref="BI489:BP489"/>
    <mergeCell ref="BQ489:BX489"/>
    <mergeCell ref="E487:T487"/>
    <mergeCell ref="U487:AB487"/>
    <mergeCell ref="AC487:AJ487"/>
    <mergeCell ref="AK487:AR487"/>
    <mergeCell ref="BY487:CF487"/>
    <mergeCell ref="E488:T488"/>
    <mergeCell ref="U488:AB488"/>
    <mergeCell ref="AC488:AJ488"/>
    <mergeCell ref="AK488:AR488"/>
    <mergeCell ref="AS488:AZ488"/>
    <mergeCell ref="BA486:BH486"/>
    <mergeCell ref="BI486:BP486"/>
    <mergeCell ref="BQ486:BX486"/>
    <mergeCell ref="BY486:CF486"/>
    <mergeCell ref="AS487:AZ487"/>
    <mergeCell ref="BA487:BH487"/>
    <mergeCell ref="BI487:BP487"/>
    <mergeCell ref="BQ487:BX487"/>
    <mergeCell ref="E485:T485"/>
    <mergeCell ref="U485:AB485"/>
    <mergeCell ref="AC485:AJ485"/>
    <mergeCell ref="AK485:AR485"/>
    <mergeCell ref="BY485:CF485"/>
    <mergeCell ref="E486:T486"/>
    <mergeCell ref="U486:AB486"/>
    <mergeCell ref="AC486:AJ486"/>
    <mergeCell ref="AK486:AR486"/>
    <mergeCell ref="AS486:AZ486"/>
    <mergeCell ref="BI484:BP484"/>
    <mergeCell ref="BQ484:BX484"/>
    <mergeCell ref="BY484:CF484"/>
    <mergeCell ref="AS485:AZ485"/>
    <mergeCell ref="BA485:BH485"/>
    <mergeCell ref="BI485:BP485"/>
    <mergeCell ref="BQ485:BX485"/>
    <mergeCell ref="E484:T484"/>
    <mergeCell ref="U484:AB484"/>
    <mergeCell ref="AC484:AJ484"/>
    <mergeCell ref="AK484:AR484"/>
    <mergeCell ref="AS484:AZ484"/>
    <mergeCell ref="BA484:BH484"/>
    <mergeCell ref="E483:T483"/>
    <mergeCell ref="U483:AB483"/>
    <mergeCell ref="AC483:AJ483"/>
    <mergeCell ref="AK483:AR483"/>
    <mergeCell ref="AS483:AZ483"/>
    <mergeCell ref="BA483:BH483"/>
    <mergeCell ref="BU475:CF475"/>
    <mergeCell ref="E481:T482"/>
    <mergeCell ref="U481:AB482"/>
    <mergeCell ref="AC481:AZ481"/>
    <mergeCell ref="BA481:BH482"/>
    <mergeCell ref="BI481:CF481"/>
    <mergeCell ref="AC482:AJ482"/>
    <mergeCell ref="AK482:AR482"/>
    <mergeCell ref="AS482:AZ482"/>
    <mergeCell ref="BI482:BP482"/>
    <mergeCell ref="AS475:AZ475"/>
    <mergeCell ref="BA475:BH475"/>
    <mergeCell ref="BI475:BN475"/>
    <mergeCell ref="BO475:BT475"/>
    <mergeCell ref="E475:P475"/>
    <mergeCell ref="Q475:AB475"/>
    <mergeCell ref="AC475:AJ475"/>
    <mergeCell ref="AK475:AR475"/>
    <mergeCell ref="E476:P476"/>
    <mergeCell ref="Q476:AB476"/>
    <mergeCell ref="AC476:AJ476"/>
    <mergeCell ref="AK476:AR476"/>
    <mergeCell ref="AS476:AZ476"/>
    <mergeCell ref="BA476:BH476"/>
    <mergeCell ref="BI476:BN476"/>
    <mergeCell ref="BO476:BT476"/>
    <mergeCell ref="BU473:CF473"/>
    <mergeCell ref="E474:P474"/>
    <mergeCell ref="Q474:AB474"/>
    <mergeCell ref="AC474:AJ474"/>
    <mergeCell ref="AK474:AR474"/>
    <mergeCell ref="AS474:AZ474"/>
    <mergeCell ref="BA474:BH474"/>
    <mergeCell ref="BI474:BN474"/>
    <mergeCell ref="BO474:BT474"/>
    <mergeCell ref="BU474:CF474"/>
    <mergeCell ref="AS473:AZ473"/>
    <mergeCell ref="BA473:BH473"/>
    <mergeCell ref="BI473:BN473"/>
    <mergeCell ref="BO473:BT473"/>
    <mergeCell ref="E473:P473"/>
    <mergeCell ref="Q473:AB473"/>
    <mergeCell ref="AC473:AJ473"/>
    <mergeCell ref="AK473:AR473"/>
    <mergeCell ref="BU471:CF471"/>
    <mergeCell ref="E472:P472"/>
    <mergeCell ref="Q472:AB472"/>
    <mergeCell ref="AC472:AJ472"/>
    <mergeCell ref="AK472:AR472"/>
    <mergeCell ref="AS472:AZ472"/>
    <mergeCell ref="BA472:BH472"/>
    <mergeCell ref="BI472:BN472"/>
    <mergeCell ref="BO472:BT472"/>
    <mergeCell ref="BU472:CF472"/>
    <mergeCell ref="AS471:AZ471"/>
    <mergeCell ref="BA471:BH471"/>
    <mergeCell ref="BI471:BN471"/>
    <mergeCell ref="BO471:BT471"/>
    <mergeCell ref="E471:P471"/>
    <mergeCell ref="Q471:AB471"/>
    <mergeCell ref="AC471:AJ471"/>
    <mergeCell ref="AK471:AR471"/>
    <mergeCell ref="BU469:CF469"/>
    <mergeCell ref="E470:P470"/>
    <mergeCell ref="Q470:AB470"/>
    <mergeCell ref="AC470:AJ470"/>
    <mergeCell ref="AK470:AR470"/>
    <mergeCell ref="AS470:AZ470"/>
    <mergeCell ref="BA470:BH470"/>
    <mergeCell ref="BI470:BN470"/>
    <mergeCell ref="BO470:BT470"/>
    <mergeCell ref="BU470:CF470"/>
    <mergeCell ref="AS469:AZ469"/>
    <mergeCell ref="BA469:BH469"/>
    <mergeCell ref="BI469:BN469"/>
    <mergeCell ref="BO469:BT469"/>
    <mergeCell ref="E469:P469"/>
    <mergeCell ref="Q469:AB469"/>
    <mergeCell ref="AC469:AJ469"/>
    <mergeCell ref="AK469:AR469"/>
    <mergeCell ref="BU467:CF467"/>
    <mergeCell ref="BA459:BH459"/>
    <mergeCell ref="Q468:AB468"/>
    <mergeCell ref="AC468:AJ468"/>
    <mergeCell ref="AK468:AR468"/>
    <mergeCell ref="AS468:AZ468"/>
    <mergeCell ref="BA468:BH468"/>
    <mergeCell ref="BI468:BN468"/>
    <mergeCell ref="BO468:BT468"/>
    <mergeCell ref="BU468:CF468"/>
    <mergeCell ref="Q467:AB467"/>
    <mergeCell ref="AC467:AJ467"/>
    <mergeCell ref="AK467:AR467"/>
    <mergeCell ref="AS467:AZ467"/>
    <mergeCell ref="BA467:BH467"/>
    <mergeCell ref="BI467:BT467"/>
    <mergeCell ref="BY458:CF458"/>
    <mergeCell ref="AS458:AZ458"/>
    <mergeCell ref="BA458:BH458"/>
    <mergeCell ref="BI458:BP458"/>
    <mergeCell ref="BQ458:BX458"/>
    <mergeCell ref="E458:T458"/>
    <mergeCell ref="U458:AB458"/>
    <mergeCell ref="AC458:AJ458"/>
    <mergeCell ref="AK458:AR458"/>
    <mergeCell ref="E459:T459"/>
    <mergeCell ref="U459:AB459"/>
    <mergeCell ref="AC459:AJ459"/>
    <mergeCell ref="AK459:AR459"/>
    <mergeCell ref="AS459:AZ459"/>
    <mergeCell ref="E468:P468"/>
    <mergeCell ref="A460:CF460"/>
    <mergeCell ref="BY456:CF456"/>
    <mergeCell ref="E457:T457"/>
    <mergeCell ref="U457:AB457"/>
    <mergeCell ref="AC457:AJ457"/>
    <mergeCell ref="AK457:AR457"/>
    <mergeCell ref="AS457:AZ457"/>
    <mergeCell ref="BA457:BH457"/>
    <mergeCell ref="BI457:BP457"/>
    <mergeCell ref="BQ457:BX457"/>
    <mergeCell ref="BY457:CF457"/>
    <mergeCell ref="AS456:AZ456"/>
    <mergeCell ref="BA456:BH456"/>
    <mergeCell ref="BI456:BP456"/>
    <mergeCell ref="BQ456:BX456"/>
    <mergeCell ref="E456:T456"/>
    <mergeCell ref="U456:AB456"/>
    <mergeCell ref="AC456:AJ456"/>
    <mergeCell ref="AK456:AR456"/>
    <mergeCell ref="U452:AB452"/>
    <mergeCell ref="AC452:AJ452"/>
    <mergeCell ref="AK452:AR452"/>
    <mergeCell ref="BY454:CF454"/>
    <mergeCell ref="E455:T455"/>
    <mergeCell ref="U455:AB455"/>
    <mergeCell ref="AC455:AJ455"/>
    <mergeCell ref="AK455:AR455"/>
    <mergeCell ref="AS455:AZ455"/>
    <mergeCell ref="BA455:BH455"/>
    <mergeCell ref="BI455:BP455"/>
    <mergeCell ref="BQ455:BX455"/>
    <mergeCell ref="BY455:CF455"/>
    <mergeCell ref="AS454:AZ454"/>
    <mergeCell ref="BA454:BH454"/>
    <mergeCell ref="BI454:BP454"/>
    <mergeCell ref="BQ454:BX454"/>
    <mergeCell ref="E454:T454"/>
    <mergeCell ref="U454:AB454"/>
    <mergeCell ref="AC454:AJ454"/>
    <mergeCell ref="AK454:AR454"/>
    <mergeCell ref="AC443:AJ443"/>
    <mergeCell ref="BY450:CF450"/>
    <mergeCell ref="E451:T451"/>
    <mergeCell ref="U451:AB451"/>
    <mergeCell ref="AC451:AJ451"/>
    <mergeCell ref="AK451:AR451"/>
    <mergeCell ref="AS451:AZ451"/>
    <mergeCell ref="BA451:BH451"/>
    <mergeCell ref="BI451:BP451"/>
    <mergeCell ref="BQ451:BX451"/>
    <mergeCell ref="BY451:CF451"/>
    <mergeCell ref="AS450:AZ450"/>
    <mergeCell ref="BA450:BH450"/>
    <mergeCell ref="BI450:BP450"/>
    <mergeCell ref="BQ450:BX450"/>
    <mergeCell ref="E450:T450"/>
    <mergeCell ref="U450:AB450"/>
    <mergeCell ref="AC450:AJ450"/>
    <mergeCell ref="AK450:AR450"/>
    <mergeCell ref="AK443:AR443"/>
    <mergeCell ref="AS443:AZ443"/>
    <mergeCell ref="BA443:BH443"/>
    <mergeCell ref="BI443:BN443"/>
    <mergeCell ref="BO443:BT443"/>
    <mergeCell ref="BU443:CF443"/>
    <mergeCell ref="E443:P443"/>
    <mergeCell ref="Q443:AB443"/>
    <mergeCell ref="BU441:CF441"/>
    <mergeCell ref="E442:P442"/>
    <mergeCell ref="Q442:AB442"/>
    <mergeCell ref="AC442:AJ442"/>
    <mergeCell ref="AK442:AR442"/>
    <mergeCell ref="AS442:AZ442"/>
    <mergeCell ref="BA442:BH442"/>
    <mergeCell ref="BI442:BN442"/>
    <mergeCell ref="BO442:BT442"/>
    <mergeCell ref="BU442:CF442"/>
    <mergeCell ref="AS441:AZ441"/>
    <mergeCell ref="BA441:BH441"/>
    <mergeCell ref="BI441:BN441"/>
    <mergeCell ref="BO441:BT441"/>
    <mergeCell ref="E441:P441"/>
    <mergeCell ref="Q441:AB441"/>
    <mergeCell ref="AC441:AJ441"/>
    <mergeCell ref="AK441:AR441"/>
    <mergeCell ref="BU439:CF439"/>
    <mergeCell ref="E440:P440"/>
    <mergeCell ref="Q440:AB440"/>
    <mergeCell ref="AC440:AJ440"/>
    <mergeCell ref="AK440:AR440"/>
    <mergeCell ref="AS440:AZ440"/>
    <mergeCell ref="BA440:BH440"/>
    <mergeCell ref="BI440:BN440"/>
    <mergeCell ref="BO440:BT440"/>
    <mergeCell ref="BU440:CF440"/>
    <mergeCell ref="AS439:AZ439"/>
    <mergeCell ref="BA439:BH439"/>
    <mergeCell ref="BI439:BN439"/>
    <mergeCell ref="BO439:BT439"/>
    <mergeCell ref="E439:P439"/>
    <mergeCell ref="Q439:AB439"/>
    <mergeCell ref="AC439:AJ439"/>
    <mergeCell ref="AK439:AR439"/>
    <mergeCell ref="BU437:CF437"/>
    <mergeCell ref="E438:P438"/>
    <mergeCell ref="Q438:AB438"/>
    <mergeCell ref="AC438:AJ438"/>
    <mergeCell ref="AK438:AR438"/>
    <mergeCell ref="AS438:AZ438"/>
    <mergeCell ref="BA438:BH438"/>
    <mergeCell ref="BI438:BN438"/>
    <mergeCell ref="BO438:BT438"/>
    <mergeCell ref="BU438:CF438"/>
    <mergeCell ref="AS437:AZ437"/>
    <mergeCell ref="BA437:BH437"/>
    <mergeCell ref="BI437:BN437"/>
    <mergeCell ref="BO437:BT437"/>
    <mergeCell ref="E437:P437"/>
    <mergeCell ref="Q437:AB437"/>
    <mergeCell ref="AC437:AJ437"/>
    <mergeCell ref="AK437:AR437"/>
    <mergeCell ref="BU435:CF435"/>
    <mergeCell ref="E436:P436"/>
    <mergeCell ref="Q436:AB436"/>
    <mergeCell ref="AC436:AJ436"/>
    <mergeCell ref="AK436:AR436"/>
    <mergeCell ref="AS436:AZ436"/>
    <mergeCell ref="BA436:BH436"/>
    <mergeCell ref="BI436:BN436"/>
    <mergeCell ref="BO436:BT436"/>
    <mergeCell ref="BU436:CF436"/>
    <mergeCell ref="AS435:AZ435"/>
    <mergeCell ref="BA435:BH435"/>
    <mergeCell ref="BI435:BN435"/>
    <mergeCell ref="BO435:BT435"/>
    <mergeCell ref="BA401:BH401"/>
    <mergeCell ref="BI401:BN401"/>
    <mergeCell ref="BO401:BT401"/>
    <mergeCell ref="BU401:CF401"/>
    <mergeCell ref="E402:P402"/>
    <mergeCell ref="Q402:AB402"/>
    <mergeCell ref="AC402:AJ402"/>
    <mergeCell ref="AK402:AR402"/>
    <mergeCell ref="AS402:AZ402"/>
    <mergeCell ref="BA402:BH402"/>
    <mergeCell ref="E434:P434"/>
    <mergeCell ref="Q434:AB434"/>
    <mergeCell ref="AC434:AJ434"/>
    <mergeCell ref="AK434:AR434"/>
    <mergeCell ref="E435:P435"/>
    <mergeCell ref="Q435:AB435"/>
    <mergeCell ref="AC435:AJ435"/>
    <mergeCell ref="AK435:AR435"/>
    <mergeCell ref="BI434:BT434"/>
    <mergeCell ref="BU434:CF434"/>
    <mergeCell ref="AS434:AZ434"/>
    <mergeCell ref="BA434:BH434"/>
    <mergeCell ref="AK401:AR401"/>
    <mergeCell ref="AS401:AZ401"/>
    <mergeCell ref="BA369:BH369"/>
    <mergeCell ref="BQ366:BX366"/>
    <mergeCell ref="E367:I369"/>
    <mergeCell ref="J367:T367"/>
    <mergeCell ref="A427:CF427"/>
    <mergeCell ref="G430:J431"/>
    <mergeCell ref="L431:AE431"/>
    <mergeCell ref="E372:I373"/>
    <mergeCell ref="J372:T372"/>
    <mergeCell ref="U372:AB372"/>
    <mergeCell ref="U371:AB371"/>
    <mergeCell ref="AC371:AJ371"/>
    <mergeCell ref="BI371:BP371"/>
    <mergeCell ref="BQ371:BX371"/>
    <mergeCell ref="AS370:AZ370"/>
    <mergeCell ref="BA370:BH370"/>
    <mergeCell ref="AK371:AR371"/>
    <mergeCell ref="E365:T366"/>
    <mergeCell ref="U365:AR365"/>
    <mergeCell ref="AS365:AZ366"/>
    <mergeCell ref="BA372:BH372"/>
    <mergeCell ref="J370:T370"/>
    <mergeCell ref="BA400:BH400"/>
    <mergeCell ref="BI400:BN400"/>
    <mergeCell ref="BO400:BT400"/>
    <mergeCell ref="BU400:CF400"/>
    <mergeCell ref="E381:T382"/>
    <mergeCell ref="U381:AR381"/>
    <mergeCell ref="AS381:AZ382"/>
    <mergeCell ref="BA381:CF381"/>
    <mergeCell ref="U382:AB382"/>
    <mergeCell ref="AC382:AJ382"/>
    <mergeCell ref="J383:T383"/>
    <mergeCell ref="U383:AB383"/>
    <mergeCell ref="AC383:AJ383"/>
    <mergeCell ref="AK383:AR383"/>
    <mergeCell ref="AC369:AJ369"/>
    <mergeCell ref="AK369:AR369"/>
    <mergeCell ref="AK382:AR382"/>
    <mergeCell ref="J369:T369"/>
    <mergeCell ref="AC372:AJ372"/>
    <mergeCell ref="AK372:AR372"/>
    <mergeCell ref="AS372:AZ372"/>
    <mergeCell ref="BI372:BP372"/>
    <mergeCell ref="U369:AB369"/>
    <mergeCell ref="J371:T371"/>
    <mergeCell ref="BQ372:BX372"/>
    <mergeCell ref="U370:AB370"/>
    <mergeCell ref="AC370:AJ370"/>
    <mergeCell ref="AK370:AR370"/>
    <mergeCell ref="E370:I371"/>
    <mergeCell ref="AS369:AZ369"/>
    <mergeCell ref="BA382:BH382"/>
    <mergeCell ref="BI382:BP382"/>
    <mergeCell ref="J373:T373"/>
    <mergeCell ref="U373:AB373"/>
    <mergeCell ref="AC373:AJ373"/>
    <mergeCell ref="AK373:AR373"/>
    <mergeCell ref="BI386:BP386"/>
    <mergeCell ref="BQ386:BX386"/>
    <mergeCell ref="AS387:AZ387"/>
    <mergeCell ref="BA387:BH387"/>
    <mergeCell ref="BI387:BP387"/>
    <mergeCell ref="J384:T384"/>
    <mergeCell ref="U384:AB384"/>
    <mergeCell ref="AC384:AJ384"/>
    <mergeCell ref="AK384:AR384"/>
    <mergeCell ref="AS384:AZ384"/>
    <mergeCell ref="E385:I386"/>
    <mergeCell ref="J385:T385"/>
    <mergeCell ref="U385:AB385"/>
    <mergeCell ref="AC385:AJ385"/>
    <mergeCell ref="AK385:AR385"/>
    <mergeCell ref="AS385:AZ385"/>
    <mergeCell ref="J386:T386"/>
    <mergeCell ref="U386:AB386"/>
    <mergeCell ref="BA385:BH385"/>
    <mergeCell ref="BI385:BP385"/>
    <mergeCell ref="BQ385:BX385"/>
    <mergeCell ref="BY388:CF388"/>
    <mergeCell ref="AK387:AR387"/>
    <mergeCell ref="AC388:AJ388"/>
    <mergeCell ref="BQ387:BX387"/>
    <mergeCell ref="BY387:CF387"/>
    <mergeCell ref="AK388:AR388"/>
    <mergeCell ref="AS388:AZ388"/>
    <mergeCell ref="BA388:BH388"/>
    <mergeCell ref="BI388:BP388"/>
    <mergeCell ref="BQ388:BX388"/>
    <mergeCell ref="BQ373:BX373"/>
    <mergeCell ref="E387:I388"/>
    <mergeCell ref="J387:T387"/>
    <mergeCell ref="U387:AB387"/>
    <mergeCell ref="AC387:AJ387"/>
    <mergeCell ref="J388:T388"/>
    <mergeCell ref="U388:AB388"/>
    <mergeCell ref="AC386:AJ386"/>
    <mergeCell ref="AK386:AR386"/>
    <mergeCell ref="AS386:AZ386"/>
    <mergeCell ref="AS383:AZ383"/>
    <mergeCell ref="R375:Y375"/>
    <mergeCell ref="AB375:AC375"/>
    <mergeCell ref="AD375:AE375"/>
    <mergeCell ref="AF375:AM375"/>
    <mergeCell ref="Z375:AA375"/>
    <mergeCell ref="AS373:AZ373"/>
    <mergeCell ref="BA373:BH373"/>
    <mergeCell ref="BI373:BP373"/>
    <mergeCell ref="BQ382:BX382"/>
    <mergeCell ref="BY382:CF382"/>
    <mergeCell ref="E383:I384"/>
    <mergeCell ref="BY385:CF385"/>
    <mergeCell ref="BA383:BH383"/>
    <mergeCell ref="BI383:BP383"/>
    <mergeCell ref="BQ383:BX383"/>
    <mergeCell ref="BY383:CF383"/>
    <mergeCell ref="BY384:CF384"/>
    <mergeCell ref="BG354:BP354"/>
    <mergeCell ref="BQ354:CF354"/>
    <mergeCell ref="BA386:BH386"/>
    <mergeCell ref="BQ384:BX384"/>
    <mergeCell ref="BY386:CF386"/>
    <mergeCell ref="BA384:BH384"/>
    <mergeCell ref="BI384:BP384"/>
    <mergeCell ref="BY371:CF371"/>
    <mergeCell ref="BI369:BP369"/>
    <mergeCell ref="BY373:CF373"/>
    <mergeCell ref="AC366:AJ366"/>
    <mergeCell ref="AK366:AR366"/>
    <mergeCell ref="BA366:BH366"/>
    <mergeCell ref="BI366:BP366"/>
    <mergeCell ref="AK367:AR367"/>
    <mergeCell ref="AS367:AZ367"/>
    <mergeCell ref="BQ367:BX367"/>
    <mergeCell ref="BY367:CF367"/>
    <mergeCell ref="BI370:BP370"/>
    <mergeCell ref="AS371:AZ371"/>
    <mergeCell ref="BA371:BH371"/>
    <mergeCell ref="BY366:CF366"/>
    <mergeCell ref="BI368:BP368"/>
    <mergeCell ref="BQ368:BX368"/>
    <mergeCell ref="BA367:BH367"/>
    <mergeCell ref="BI367:BP367"/>
    <mergeCell ref="BY372:CF372"/>
    <mergeCell ref="BQ370:BX370"/>
    <mergeCell ref="BY370:CF370"/>
    <mergeCell ref="BY369:CF369"/>
    <mergeCell ref="BQ369:BX369"/>
    <mergeCell ref="AQ357:BF357"/>
    <mergeCell ref="BG357:BP357"/>
    <mergeCell ref="BQ357:CF357"/>
    <mergeCell ref="AQ356:BF356"/>
    <mergeCell ref="Y354:AF354"/>
    <mergeCell ref="AG354:AP354"/>
    <mergeCell ref="AQ354:BF354"/>
    <mergeCell ref="BG356:BP356"/>
    <mergeCell ref="BQ356:CF356"/>
    <mergeCell ref="BY368:CF368"/>
    <mergeCell ref="Y357:AF357"/>
    <mergeCell ref="AG357:AP357"/>
    <mergeCell ref="I356:S356"/>
    <mergeCell ref="T356:X356"/>
    <mergeCell ref="Y356:AF356"/>
    <mergeCell ref="AG356:AP356"/>
    <mergeCell ref="E357:S357"/>
    <mergeCell ref="T357:X357"/>
    <mergeCell ref="E354:H356"/>
    <mergeCell ref="J368:T368"/>
    <mergeCell ref="U368:AB368"/>
    <mergeCell ref="AC368:AJ368"/>
    <mergeCell ref="AK368:AR368"/>
    <mergeCell ref="AS368:AZ368"/>
    <mergeCell ref="BA368:BH368"/>
    <mergeCell ref="BG355:BP355"/>
    <mergeCell ref="BQ355:CF355"/>
    <mergeCell ref="I354:S354"/>
    <mergeCell ref="U367:AB367"/>
    <mergeCell ref="AC367:AJ367"/>
    <mergeCell ref="BA365:CF365"/>
    <mergeCell ref="U366:AB366"/>
    <mergeCell ref="T354:X354"/>
    <mergeCell ref="I355:S355"/>
    <mergeCell ref="T355:X355"/>
    <mergeCell ref="Y355:AF355"/>
    <mergeCell ref="AG355:AP355"/>
    <mergeCell ref="AQ355:BF355"/>
    <mergeCell ref="BG353:BP353"/>
    <mergeCell ref="BQ353:CF353"/>
    <mergeCell ref="BG352:BP352"/>
    <mergeCell ref="BQ352:CF352"/>
    <mergeCell ref="AG351:AP351"/>
    <mergeCell ref="AQ351:BF351"/>
    <mergeCell ref="BG351:BP351"/>
    <mergeCell ref="BQ351:CF351"/>
    <mergeCell ref="AG353:AP353"/>
    <mergeCell ref="AG352:AP352"/>
    <mergeCell ref="AQ350:BF350"/>
    <mergeCell ref="Y351:AF351"/>
    <mergeCell ref="BG350:BP350"/>
    <mergeCell ref="BQ350:CF350"/>
    <mergeCell ref="E350:H353"/>
    <mergeCell ref="I350:S350"/>
    <mergeCell ref="T350:X350"/>
    <mergeCell ref="Y350:AF350"/>
    <mergeCell ref="I351:S351"/>
    <mergeCell ref="T351:X351"/>
    <mergeCell ref="I353:S353"/>
    <mergeCell ref="T353:X353"/>
    <mergeCell ref="Y353:AF353"/>
    <mergeCell ref="I352:S352"/>
    <mergeCell ref="AQ353:BF353"/>
    <mergeCell ref="BG349:BP349"/>
    <mergeCell ref="BQ349:CF349"/>
    <mergeCell ref="AG348:AP348"/>
    <mergeCell ref="AQ348:BF348"/>
    <mergeCell ref="BG348:BP348"/>
    <mergeCell ref="BQ348:CF348"/>
    <mergeCell ref="AG349:AP349"/>
    <mergeCell ref="AQ349:BF349"/>
    <mergeCell ref="E348:H349"/>
    <mergeCell ref="I348:S348"/>
    <mergeCell ref="T348:X348"/>
    <mergeCell ref="Y348:AF348"/>
    <mergeCell ref="I349:S349"/>
    <mergeCell ref="T349:X349"/>
    <mergeCell ref="Y349:AF349"/>
    <mergeCell ref="T352:X352"/>
    <mergeCell ref="Y352:AF352"/>
    <mergeCell ref="AG350:AP350"/>
    <mergeCell ref="AQ352:BF352"/>
    <mergeCell ref="AK315:AR315"/>
    <mergeCell ref="E313:T314"/>
    <mergeCell ref="U313:AB314"/>
    <mergeCell ref="AS315:AZ315"/>
    <mergeCell ref="AA321:AE321"/>
    <mergeCell ref="U315:AB315"/>
    <mergeCell ref="V322:X322"/>
    <mergeCell ref="BG322:BK322"/>
    <mergeCell ref="U326:AB327"/>
    <mergeCell ref="AC328:AJ328"/>
    <mergeCell ref="AK328:AR328"/>
    <mergeCell ref="AC327:AJ327"/>
    <mergeCell ref="AC326:AZ326"/>
    <mergeCell ref="BA326:BH327"/>
    <mergeCell ref="BI326:CF326"/>
    <mergeCell ref="AK327:AR327"/>
    <mergeCell ref="AS327:AZ327"/>
    <mergeCell ref="BI327:BP327"/>
    <mergeCell ref="AH320:AN320"/>
    <mergeCell ref="AH307:AN307"/>
    <mergeCell ref="AI296:AO296"/>
    <mergeCell ref="A329:CF329"/>
    <mergeCell ref="AS302:AZ302"/>
    <mergeCell ref="BA302:BH302"/>
    <mergeCell ref="BI302:BP302"/>
    <mergeCell ref="BQ302:BX302"/>
    <mergeCell ref="E302:T302"/>
    <mergeCell ref="U302:AB302"/>
    <mergeCell ref="E326:T327"/>
    <mergeCell ref="BY301:CF301"/>
    <mergeCell ref="BY302:CF302"/>
    <mergeCell ref="BK285:BT285"/>
    <mergeCell ref="BG294:BK294"/>
    <mergeCell ref="E300:T301"/>
    <mergeCell ref="U300:AB301"/>
    <mergeCell ref="AC300:AZ300"/>
    <mergeCell ref="V294:X294"/>
    <mergeCell ref="AB285:AF285"/>
    <mergeCell ref="BU285:CF285"/>
    <mergeCell ref="E283:H285"/>
    <mergeCell ref="AC302:AJ302"/>
    <mergeCell ref="AK302:AR302"/>
    <mergeCell ref="BA300:BH301"/>
    <mergeCell ref="BI300:CF300"/>
    <mergeCell ref="AC301:AJ301"/>
    <mergeCell ref="AK301:AR301"/>
    <mergeCell ref="AS301:AZ301"/>
    <mergeCell ref="BI301:BP301"/>
    <mergeCell ref="BQ301:BX301"/>
    <mergeCell ref="BQ315:BX315"/>
    <mergeCell ref="BY315:CF315"/>
    <mergeCell ref="AG283:AP283"/>
    <mergeCell ref="AQ285:AZ285"/>
    <mergeCell ref="BA285:BJ285"/>
    <mergeCell ref="AG278:AP278"/>
    <mergeCell ref="AQ278:AZ278"/>
    <mergeCell ref="AK267:AR267"/>
    <mergeCell ref="BU274:CF276"/>
    <mergeCell ref="BA275:BJ275"/>
    <mergeCell ref="BK275:BT275"/>
    <mergeCell ref="BA276:BJ276"/>
    <mergeCell ref="A287:CF287"/>
    <mergeCell ref="AB281:AF281"/>
    <mergeCell ref="AG281:AP281"/>
    <mergeCell ref="AG282:AP282"/>
    <mergeCell ref="AQ282:AZ282"/>
    <mergeCell ref="BA282:BJ282"/>
    <mergeCell ref="AQ279:AZ279"/>
    <mergeCell ref="BA284:BJ284"/>
    <mergeCell ref="I284:S284"/>
    <mergeCell ref="T284:AA284"/>
    <mergeCell ref="I274:S274"/>
    <mergeCell ref="BK279:BT279"/>
    <mergeCell ref="BK274:BT274"/>
    <mergeCell ref="BK282:BT282"/>
    <mergeCell ref="AQ275:AZ275"/>
    <mergeCell ref="AB276:AF276"/>
    <mergeCell ref="BU283:CF283"/>
    <mergeCell ref="BK284:BT284"/>
    <mergeCell ref="AG280:AP280"/>
    <mergeCell ref="BU284:CF284"/>
    <mergeCell ref="BK283:BT283"/>
    <mergeCell ref="E277:H279"/>
    <mergeCell ref="E265:I267"/>
    <mergeCell ref="J265:T265"/>
    <mergeCell ref="U265:AB265"/>
    <mergeCell ref="AC265:AJ265"/>
    <mergeCell ref="T276:AA276"/>
    <mergeCell ref="I280:S280"/>
    <mergeCell ref="T280:AA280"/>
    <mergeCell ref="AB280:AF280"/>
    <mergeCell ref="AB282:AF282"/>
    <mergeCell ref="I282:S282"/>
    <mergeCell ref="T282:AA282"/>
    <mergeCell ref="I281:S281"/>
    <mergeCell ref="T281:AA281"/>
    <mergeCell ref="U267:AB267"/>
    <mergeCell ref="AC267:AJ267"/>
    <mergeCell ref="E274:H276"/>
    <mergeCell ref="T274:AA274"/>
    <mergeCell ref="AB274:AF274"/>
    <mergeCell ref="E273:S273"/>
    <mergeCell ref="T273:AA273"/>
    <mergeCell ref="AB273:AF273"/>
    <mergeCell ref="AG273:AP273"/>
    <mergeCell ref="I277:S277"/>
    <mergeCell ref="T277:AA277"/>
    <mergeCell ref="AB277:AF277"/>
    <mergeCell ref="AG277:AP277"/>
    <mergeCell ref="AG275:AP275"/>
    <mergeCell ref="I276:S276"/>
    <mergeCell ref="AG247:AP247"/>
    <mergeCell ref="BQ266:BX266"/>
    <mergeCell ref="BY266:CF266"/>
    <mergeCell ref="BA267:BH267"/>
    <mergeCell ref="BI267:BP267"/>
    <mergeCell ref="AS265:AZ265"/>
    <mergeCell ref="AC266:AJ266"/>
    <mergeCell ref="AK266:AR266"/>
    <mergeCell ref="AS266:AZ266"/>
    <mergeCell ref="BQ244:CF244"/>
    <mergeCell ref="BG245:BP245"/>
    <mergeCell ref="BQ245:CF245"/>
    <mergeCell ref="BQ246:CF246"/>
    <mergeCell ref="BG247:BP247"/>
    <mergeCell ref="BQ247:CF247"/>
    <mergeCell ref="I251:S251"/>
    <mergeCell ref="AG250:AP250"/>
    <mergeCell ref="AQ247:BF247"/>
    <mergeCell ref="AG248:AP248"/>
    <mergeCell ref="AQ248:BF248"/>
    <mergeCell ref="BG244:BP244"/>
    <mergeCell ref="BG251:BP251"/>
    <mergeCell ref="AQ250:BF250"/>
    <mergeCell ref="AG251:AP251"/>
    <mergeCell ref="AQ251:BF251"/>
    <mergeCell ref="AK265:AR265"/>
    <mergeCell ref="U263:AB263"/>
    <mergeCell ref="BA266:BH266"/>
    <mergeCell ref="BI266:BP266"/>
    <mergeCell ref="T250:X250"/>
    <mergeCell ref="T251:X251"/>
    <mergeCell ref="Y251:AF251"/>
    <mergeCell ref="BQ249:CF249"/>
    <mergeCell ref="AQ280:AZ280"/>
    <mergeCell ref="BA280:BJ280"/>
    <mergeCell ref="AQ281:AZ281"/>
    <mergeCell ref="BA281:BJ281"/>
    <mergeCell ref="BK281:BT281"/>
    <mergeCell ref="V309:X309"/>
    <mergeCell ref="BK280:BT280"/>
    <mergeCell ref="AG284:AP284"/>
    <mergeCell ref="AQ284:AZ284"/>
    <mergeCell ref="AQ283:AZ283"/>
    <mergeCell ref="BG309:BK309"/>
    <mergeCell ref="E280:H282"/>
    <mergeCell ref="BI264:BP264"/>
    <mergeCell ref="I275:S275"/>
    <mergeCell ref="T275:AA275"/>
    <mergeCell ref="AB275:AF275"/>
    <mergeCell ref="J267:T267"/>
    <mergeCell ref="AQ274:AZ274"/>
    <mergeCell ref="I283:S283"/>
    <mergeCell ref="AS264:AZ264"/>
    <mergeCell ref="BQ263:BX263"/>
    <mergeCell ref="BA262:BH262"/>
    <mergeCell ref="I285:S285"/>
    <mergeCell ref="T285:AA285"/>
    <mergeCell ref="AB284:AF284"/>
    <mergeCell ref="I279:S279"/>
    <mergeCell ref="T279:AA279"/>
    <mergeCell ref="AB279:AF279"/>
    <mergeCell ref="I278:S278"/>
    <mergeCell ref="T278:AA278"/>
    <mergeCell ref="AB278:AF278"/>
    <mergeCell ref="BI262:BP262"/>
    <mergeCell ref="BQ262:BX262"/>
    <mergeCell ref="BY262:CF262"/>
    <mergeCell ref="BG248:BP248"/>
    <mergeCell ref="BQ248:CF248"/>
    <mergeCell ref="BQ250:CF250"/>
    <mergeCell ref="BQ251:CF251"/>
    <mergeCell ref="BG250:BP250"/>
    <mergeCell ref="AK314:AR314"/>
    <mergeCell ref="AS314:AZ314"/>
    <mergeCell ref="AC313:AZ313"/>
    <mergeCell ref="AA308:AC308"/>
    <mergeCell ref="BI313:CF313"/>
    <mergeCell ref="AC263:AJ263"/>
    <mergeCell ref="AK263:AR263"/>
    <mergeCell ref="AS263:AZ263"/>
    <mergeCell ref="BA263:BH263"/>
    <mergeCell ref="BI263:BP263"/>
    <mergeCell ref="BA261:BH261"/>
    <mergeCell ref="T283:AA283"/>
    <mergeCell ref="AB283:AF283"/>
    <mergeCell ref="BA278:BJ278"/>
    <mergeCell ref="BK278:BT278"/>
    <mergeCell ref="AQ277:AZ277"/>
    <mergeCell ref="BA274:BJ274"/>
    <mergeCell ref="AQ273:AZ273"/>
    <mergeCell ref="BA273:BJ273"/>
    <mergeCell ref="BA283:BJ283"/>
    <mergeCell ref="AG285:AP285"/>
    <mergeCell ref="BG249:BP249"/>
    <mergeCell ref="AG249:AP249"/>
    <mergeCell ref="AQ249:BF249"/>
    <mergeCell ref="E249:H251"/>
    <mergeCell ref="I249:S249"/>
    <mergeCell ref="T249:X249"/>
    <mergeCell ref="Y249:AF249"/>
    <mergeCell ref="I250:S250"/>
    <mergeCell ref="BG293:BK293"/>
    <mergeCell ref="AA293:AC293"/>
    <mergeCell ref="BU280:CF280"/>
    <mergeCell ref="BY314:CF314"/>
    <mergeCell ref="BG308:BK308"/>
    <mergeCell ref="BU281:CF281"/>
    <mergeCell ref="BU282:CF282"/>
    <mergeCell ref="BQ314:BX314"/>
    <mergeCell ref="E262:I264"/>
    <mergeCell ref="J262:T262"/>
    <mergeCell ref="U262:AB262"/>
    <mergeCell ref="AC262:AJ262"/>
    <mergeCell ref="AK262:AR262"/>
    <mergeCell ref="AS262:AZ262"/>
    <mergeCell ref="J264:T264"/>
    <mergeCell ref="U264:AB264"/>
    <mergeCell ref="AC264:AJ264"/>
    <mergeCell ref="BY265:CF265"/>
    <mergeCell ref="J266:T266"/>
    <mergeCell ref="U266:AB266"/>
    <mergeCell ref="AQ252:BF252"/>
    <mergeCell ref="E260:T261"/>
    <mergeCell ref="BQ264:BX264"/>
    <mergeCell ref="BY264:CF264"/>
    <mergeCell ref="BA265:BH265"/>
    <mergeCell ref="BI265:BP265"/>
    <mergeCell ref="BQ265:BX265"/>
    <mergeCell ref="I246:S246"/>
    <mergeCell ref="T246:X246"/>
    <mergeCell ref="Y246:AF246"/>
    <mergeCell ref="AG246:AP246"/>
    <mergeCell ref="AK261:AR261"/>
    <mergeCell ref="J263:T263"/>
    <mergeCell ref="AQ276:AZ276"/>
    <mergeCell ref="AG274:AP274"/>
    <mergeCell ref="BI261:BP261"/>
    <mergeCell ref="BQ261:BX261"/>
    <mergeCell ref="BY261:CF261"/>
    <mergeCell ref="BA277:BJ277"/>
    <mergeCell ref="BK277:BT277"/>
    <mergeCell ref="BU277:CF279"/>
    <mergeCell ref="AG279:AP279"/>
    <mergeCell ref="AK264:AR264"/>
    <mergeCell ref="BY267:CF267"/>
    <mergeCell ref="BU273:CF273"/>
    <mergeCell ref="AS267:AZ267"/>
    <mergeCell ref="BK273:BT273"/>
    <mergeCell ref="AG252:AP252"/>
    <mergeCell ref="E252:S252"/>
    <mergeCell ref="T252:X252"/>
    <mergeCell ref="Y252:AF252"/>
    <mergeCell ref="BQ252:CF252"/>
    <mergeCell ref="BY263:CF263"/>
    <mergeCell ref="U260:AR260"/>
    <mergeCell ref="AS260:AZ261"/>
    <mergeCell ref="BA260:CF260"/>
    <mergeCell ref="U261:AB261"/>
    <mergeCell ref="AC261:AJ261"/>
    <mergeCell ref="BA264:BH264"/>
    <mergeCell ref="Y243:AF243"/>
    <mergeCell ref="I248:S248"/>
    <mergeCell ref="T248:X248"/>
    <mergeCell ref="BA315:BH315"/>
    <mergeCell ref="AQ246:BF246"/>
    <mergeCell ref="BG246:BP246"/>
    <mergeCell ref="BI314:BP314"/>
    <mergeCell ref="BI315:BP315"/>
    <mergeCell ref="BA313:BH314"/>
    <mergeCell ref="AC314:AJ314"/>
    <mergeCell ref="E243:H244"/>
    <mergeCell ref="I243:S243"/>
    <mergeCell ref="AG243:AP243"/>
    <mergeCell ref="I247:S247"/>
    <mergeCell ref="T247:X247"/>
    <mergeCell ref="BG243:BP243"/>
    <mergeCell ref="T243:X243"/>
    <mergeCell ref="Y245:AF245"/>
    <mergeCell ref="I244:S244"/>
    <mergeCell ref="T244:X244"/>
    <mergeCell ref="I245:S245"/>
    <mergeCell ref="T245:X245"/>
    <mergeCell ref="AQ244:BF244"/>
    <mergeCell ref="AG244:AP244"/>
    <mergeCell ref="AG245:AP245"/>
    <mergeCell ref="AQ245:BF245"/>
    <mergeCell ref="Y244:AF244"/>
    <mergeCell ref="E315:T315"/>
    <mergeCell ref="Y247:AF247"/>
    <mergeCell ref="Y248:AF248"/>
    <mergeCell ref="Y250:AF250"/>
    <mergeCell ref="AG276:AP276"/>
    <mergeCell ref="Y241:AF242"/>
    <mergeCell ref="AG241:BF241"/>
    <mergeCell ref="BG241:CF241"/>
    <mergeCell ref="BQ242:CF242"/>
    <mergeCell ref="AG242:AP242"/>
    <mergeCell ref="AQ242:BF242"/>
    <mergeCell ref="BG242:BP242"/>
    <mergeCell ref="BO111:BT111"/>
    <mergeCell ref="BU111:CF111"/>
    <mergeCell ref="BO112:BT112"/>
    <mergeCell ref="BU112:CF112"/>
    <mergeCell ref="BQ243:CF243"/>
    <mergeCell ref="BA279:BJ279"/>
    <mergeCell ref="BU240:CF240"/>
    <mergeCell ref="BK276:BT276"/>
    <mergeCell ref="BG252:BP252"/>
    <mergeCell ref="BQ267:BX267"/>
    <mergeCell ref="AC113:AJ113"/>
    <mergeCell ref="AK113:AR113"/>
    <mergeCell ref="AS113:AZ113"/>
    <mergeCell ref="BA113:BH113"/>
    <mergeCell ref="BI113:BN113"/>
    <mergeCell ref="BO113:BT113"/>
    <mergeCell ref="BA172:BH172"/>
    <mergeCell ref="BA176:BH176"/>
    <mergeCell ref="BI176:BN176"/>
    <mergeCell ref="BI172:BT172"/>
    <mergeCell ref="AK173:AR173"/>
    <mergeCell ref="AS173:AZ173"/>
    <mergeCell ref="BA173:BH173"/>
    <mergeCell ref="BI173:BN173"/>
    <mergeCell ref="BQ187:BX187"/>
    <mergeCell ref="E110:P110"/>
    <mergeCell ref="Q110:AB110"/>
    <mergeCell ref="AK111:AR111"/>
    <mergeCell ref="AS111:AZ111"/>
    <mergeCell ref="BA111:BH111"/>
    <mergeCell ref="BI111:BN111"/>
    <mergeCell ref="E10:AL10"/>
    <mergeCell ref="AM10:AU10"/>
    <mergeCell ref="AV10:BD10"/>
    <mergeCell ref="BE10:BR10"/>
    <mergeCell ref="BS10:CF10"/>
    <mergeCell ref="BU109:CF109"/>
    <mergeCell ref="AV8:BD8"/>
    <mergeCell ref="BE8:BR8"/>
    <mergeCell ref="AM11:AU11"/>
    <mergeCell ref="AV11:BD11"/>
    <mergeCell ref="BA82:BH82"/>
    <mergeCell ref="BI82:BN82"/>
    <mergeCell ref="BO82:BT82"/>
    <mergeCell ref="AS80:AZ80"/>
    <mergeCell ref="BA80:BH80"/>
    <mergeCell ref="BI80:BN80"/>
    <mergeCell ref="BO79:BT79"/>
    <mergeCell ref="BI78:BT78"/>
    <mergeCell ref="AS49:AZ49"/>
    <mergeCell ref="BA49:BH49"/>
    <mergeCell ref="BI49:BN49"/>
    <mergeCell ref="BO49:BT49"/>
    <mergeCell ref="AC51:AJ51"/>
    <mergeCell ref="AK51:AR51"/>
    <mergeCell ref="AS51:AZ51"/>
    <mergeCell ref="E79:P79"/>
    <mergeCell ref="Q79:AB79"/>
    <mergeCell ref="E78:P78"/>
    <mergeCell ref="Q78:AB78"/>
    <mergeCell ref="AS45:AZ45"/>
    <mergeCell ref="BA45:BH45"/>
    <mergeCell ref="BI45:BT45"/>
    <mergeCell ref="AC79:AJ79"/>
    <mergeCell ref="E47:P47"/>
    <mergeCell ref="Q47:AB47"/>
    <mergeCell ref="AC47:AJ47"/>
    <mergeCell ref="G74:J75"/>
    <mergeCell ref="L75:AE75"/>
    <mergeCell ref="BA48:BH48"/>
    <mergeCell ref="E49:P49"/>
    <mergeCell ref="Q49:AB49"/>
    <mergeCell ref="AC49:AJ49"/>
    <mergeCell ref="AK49:AR49"/>
    <mergeCell ref="AC48:AJ48"/>
    <mergeCell ref="AK48:AR48"/>
    <mergeCell ref="AC59:AJ59"/>
    <mergeCell ref="AK59:AR59"/>
    <mergeCell ref="E62:T62"/>
    <mergeCell ref="U62:AB62"/>
    <mergeCell ref="AC62:AJ62"/>
    <mergeCell ref="AK62:AR62"/>
    <mergeCell ref="AS62:AZ62"/>
    <mergeCell ref="BA62:BH62"/>
    <mergeCell ref="E63:T63"/>
    <mergeCell ref="U63:AB63"/>
    <mergeCell ref="AC63:AJ63"/>
    <mergeCell ref="AK63:AR63"/>
    <mergeCell ref="AS63:AZ63"/>
    <mergeCell ref="G41:J42"/>
    <mergeCell ref="L42:AE42"/>
    <mergeCell ref="E45:P45"/>
    <mergeCell ref="Q45:AB45"/>
    <mergeCell ref="AC45:AJ45"/>
    <mergeCell ref="AK45:AR45"/>
    <mergeCell ref="BU78:CF78"/>
    <mergeCell ref="AC78:AJ78"/>
    <mergeCell ref="AK79:AR79"/>
    <mergeCell ref="AK78:AR78"/>
    <mergeCell ref="AS78:AZ78"/>
    <mergeCell ref="BA78:BH78"/>
    <mergeCell ref="BU79:CF79"/>
    <mergeCell ref="AS79:AZ79"/>
    <mergeCell ref="BA79:BH79"/>
    <mergeCell ref="BI79:BN79"/>
    <mergeCell ref="BO81:BT81"/>
    <mergeCell ref="E80:P80"/>
    <mergeCell ref="Q80:AB80"/>
    <mergeCell ref="AK81:AR81"/>
    <mergeCell ref="AS46:AZ46"/>
    <mergeCell ref="BA46:BH46"/>
    <mergeCell ref="AC80:AJ80"/>
    <mergeCell ref="AS50:AZ50"/>
    <mergeCell ref="BA50:BH50"/>
    <mergeCell ref="BI50:BN50"/>
    <mergeCell ref="BI61:BP61"/>
    <mergeCell ref="BQ61:BX61"/>
    <mergeCell ref="BY61:CF61"/>
    <mergeCell ref="BY63:CF63"/>
    <mergeCell ref="BU80:CF80"/>
    <mergeCell ref="BO80:BT80"/>
    <mergeCell ref="E115:P115"/>
    <mergeCell ref="Q115:AB115"/>
    <mergeCell ref="AK80:AR80"/>
    <mergeCell ref="E84:P84"/>
    <mergeCell ref="BA81:BH81"/>
    <mergeCell ref="BI81:BN81"/>
    <mergeCell ref="E82:P82"/>
    <mergeCell ref="Q82:AB82"/>
    <mergeCell ref="BA94:BH94"/>
    <mergeCell ref="BI94:BP94"/>
    <mergeCell ref="E100:T100"/>
    <mergeCell ref="U100:AB100"/>
    <mergeCell ref="AC100:AJ100"/>
    <mergeCell ref="AK100:AR100"/>
    <mergeCell ref="AK98:AR98"/>
    <mergeCell ref="AS98:AZ98"/>
    <mergeCell ref="BI116:BN116"/>
    <mergeCell ref="BO116:BT116"/>
    <mergeCell ref="BA90:BH91"/>
    <mergeCell ref="AC91:AJ91"/>
    <mergeCell ref="AK91:AR91"/>
    <mergeCell ref="AS91:AZ91"/>
    <mergeCell ref="BQ100:BX100"/>
    <mergeCell ref="BA98:BH98"/>
    <mergeCell ref="AC110:AJ110"/>
    <mergeCell ref="AK110:AR110"/>
    <mergeCell ref="E116:P116"/>
    <mergeCell ref="Q116:AB116"/>
    <mergeCell ref="AC116:AJ116"/>
    <mergeCell ref="AK116:AR116"/>
    <mergeCell ref="AS116:AZ116"/>
    <mergeCell ref="BA116:BH116"/>
    <mergeCell ref="BI83:BN83"/>
    <mergeCell ref="BO83:BT83"/>
    <mergeCell ref="BU83:CF83"/>
    <mergeCell ref="AC82:AJ82"/>
    <mergeCell ref="AK82:AR82"/>
    <mergeCell ref="AS82:AZ82"/>
    <mergeCell ref="Q86:AB86"/>
    <mergeCell ref="AC86:AJ86"/>
    <mergeCell ref="AK86:AR86"/>
    <mergeCell ref="AS86:AZ86"/>
    <mergeCell ref="BA86:BH86"/>
    <mergeCell ref="E85:P85"/>
    <mergeCell ref="E94:T94"/>
    <mergeCell ref="U94:AB94"/>
    <mergeCell ref="AC94:AJ94"/>
    <mergeCell ref="AK94:AR94"/>
    <mergeCell ref="E97:T97"/>
    <mergeCell ref="BA95:BH95"/>
    <mergeCell ref="BI95:BP95"/>
    <mergeCell ref="AC92:AJ92"/>
    <mergeCell ref="AK92:AR92"/>
    <mergeCell ref="E90:T91"/>
    <mergeCell ref="U90:AB91"/>
    <mergeCell ref="U97:AB97"/>
    <mergeCell ref="AC97:AJ97"/>
    <mergeCell ref="AK97:AR97"/>
    <mergeCell ref="AS97:AZ97"/>
    <mergeCell ref="BA97:BH97"/>
    <mergeCell ref="BI97:BP97"/>
    <mergeCell ref="BI86:BN86"/>
    <mergeCell ref="BY92:CF92"/>
    <mergeCell ref="BY94:CF94"/>
    <mergeCell ref="AS172:AZ172"/>
    <mergeCell ref="Q175:AB175"/>
    <mergeCell ref="AC175:AJ175"/>
    <mergeCell ref="AK175:AR175"/>
    <mergeCell ref="AS175:AZ175"/>
    <mergeCell ref="BU85:CF85"/>
    <mergeCell ref="BI92:BP92"/>
    <mergeCell ref="BQ92:BX92"/>
    <mergeCell ref="BU113:CF113"/>
    <mergeCell ref="AK114:AR114"/>
    <mergeCell ref="BO86:BT86"/>
    <mergeCell ref="BO85:BT85"/>
    <mergeCell ref="Q84:AB84"/>
    <mergeCell ref="AC84:AJ84"/>
    <mergeCell ref="AK84:AR84"/>
    <mergeCell ref="AS84:AZ84"/>
    <mergeCell ref="BA84:BH84"/>
    <mergeCell ref="BI84:BN84"/>
    <mergeCell ref="BU172:CF172"/>
    <mergeCell ref="BU175:CF175"/>
    <mergeCell ref="AC172:AJ172"/>
    <mergeCell ref="AK172:AR172"/>
    <mergeCell ref="AC98:AJ98"/>
    <mergeCell ref="E87:CF87"/>
    <mergeCell ref="BQ93:BX93"/>
    <mergeCell ref="BY93:CF93"/>
    <mergeCell ref="BY98:CF98"/>
    <mergeCell ref="E99:T99"/>
    <mergeCell ref="U99:AB99"/>
    <mergeCell ref="AC99:AJ99"/>
    <mergeCell ref="AK99:AR99"/>
    <mergeCell ref="AS99:AZ99"/>
    <mergeCell ref="BY29:CF29"/>
    <mergeCell ref="BY58:CF58"/>
    <mergeCell ref="AS48:AZ48"/>
    <mergeCell ref="BU48:CF48"/>
    <mergeCell ref="BO48:BT48"/>
    <mergeCell ref="BI47:BN47"/>
    <mergeCell ref="BO47:BT47"/>
    <mergeCell ref="AS59:AZ59"/>
    <mergeCell ref="BA59:BH59"/>
    <mergeCell ref="BI59:BP59"/>
    <mergeCell ref="BQ59:BX59"/>
    <mergeCell ref="G168:J169"/>
    <mergeCell ref="L169:AE169"/>
    <mergeCell ref="E81:P81"/>
    <mergeCell ref="Q81:AB81"/>
    <mergeCell ref="AC81:AJ81"/>
    <mergeCell ref="E123:T123"/>
    <mergeCell ref="E86:P86"/>
    <mergeCell ref="E114:P114"/>
    <mergeCell ref="Q114:AB114"/>
    <mergeCell ref="AC114:AJ114"/>
    <mergeCell ref="BU82:CF82"/>
    <mergeCell ref="E83:P83"/>
    <mergeCell ref="Q83:AB83"/>
    <mergeCell ref="AC83:AJ83"/>
    <mergeCell ref="AK83:AR83"/>
    <mergeCell ref="AS83:AZ83"/>
    <mergeCell ref="BA99:BH99"/>
    <mergeCell ref="BI99:BP99"/>
    <mergeCell ref="BQ99:BX99"/>
    <mergeCell ref="BY99:CF99"/>
    <mergeCell ref="BA83:BH83"/>
    <mergeCell ref="BA177:BH177"/>
    <mergeCell ref="BA175:BH175"/>
    <mergeCell ref="BI175:BN175"/>
    <mergeCell ref="BO175:BT175"/>
    <mergeCell ref="BU178:CF178"/>
    <mergeCell ref="AS174:AZ174"/>
    <mergeCell ref="BA174:BH174"/>
    <mergeCell ref="BI174:BN174"/>
    <mergeCell ref="E173:P173"/>
    <mergeCell ref="Q173:AB173"/>
    <mergeCell ref="AC173:AJ173"/>
    <mergeCell ref="BO84:BT84"/>
    <mergeCell ref="BU84:CF84"/>
    <mergeCell ref="BA85:BH85"/>
    <mergeCell ref="BI85:BN85"/>
    <mergeCell ref="BU81:CF81"/>
    <mergeCell ref="BL25:BS25"/>
    <mergeCell ref="AY25:BF25"/>
    <mergeCell ref="BL31:BS31"/>
    <mergeCell ref="BI48:BN48"/>
    <mergeCell ref="BU46:CF46"/>
    <mergeCell ref="BY91:CF91"/>
    <mergeCell ref="BI96:BP96"/>
    <mergeCell ref="BQ96:BX96"/>
    <mergeCell ref="BY96:CF96"/>
    <mergeCell ref="BQ95:BX95"/>
    <mergeCell ref="BY95:CF95"/>
    <mergeCell ref="BI93:BP93"/>
    <mergeCell ref="BQ94:BX94"/>
    <mergeCell ref="BO46:BT46"/>
    <mergeCell ref="BY27:CF27"/>
    <mergeCell ref="BY28:CF28"/>
    <mergeCell ref="BO176:BT176"/>
    <mergeCell ref="AK179:AR179"/>
    <mergeCell ref="AS179:AZ179"/>
    <mergeCell ref="BA179:BH179"/>
    <mergeCell ref="BI179:BN179"/>
    <mergeCell ref="BO179:BT179"/>
    <mergeCell ref="AC178:AJ178"/>
    <mergeCell ref="AK178:AR178"/>
    <mergeCell ref="AS178:AZ178"/>
    <mergeCell ref="BA178:BH178"/>
    <mergeCell ref="BI178:BN178"/>
    <mergeCell ref="E179:P179"/>
    <mergeCell ref="Q179:AB179"/>
    <mergeCell ref="AC179:AJ179"/>
    <mergeCell ref="BY25:CF25"/>
    <mergeCell ref="BY26:CF26"/>
    <mergeCell ref="BU23:CF23"/>
    <mergeCell ref="BT25:BX25"/>
    <mergeCell ref="BG25:BK25"/>
    <mergeCell ref="BI90:CF90"/>
    <mergeCell ref="BI91:BP91"/>
    <mergeCell ref="E174:P174"/>
    <mergeCell ref="Q174:AB174"/>
    <mergeCell ref="AC174:AJ174"/>
    <mergeCell ref="AK174:AR174"/>
    <mergeCell ref="E178:P178"/>
    <mergeCell ref="Q178:AB178"/>
    <mergeCell ref="BO173:BT173"/>
    <mergeCell ref="BU173:CF173"/>
    <mergeCell ref="BU179:CF179"/>
    <mergeCell ref="BU177:CF177"/>
    <mergeCell ref="AS177:AZ177"/>
    <mergeCell ref="E180:P180"/>
    <mergeCell ref="Q180:AB180"/>
    <mergeCell ref="AC180:AJ180"/>
    <mergeCell ref="AK180:AR180"/>
    <mergeCell ref="AS180:AZ180"/>
    <mergeCell ref="BA180:BH180"/>
    <mergeCell ref="BI186:BP186"/>
    <mergeCell ref="BA184:BH185"/>
    <mergeCell ref="AC185:AJ185"/>
    <mergeCell ref="AK185:AR185"/>
    <mergeCell ref="AS185:AZ185"/>
    <mergeCell ref="BU180:CF180"/>
    <mergeCell ref="BI184:CF184"/>
    <mergeCell ref="BI180:BN180"/>
    <mergeCell ref="BO180:BT180"/>
    <mergeCell ref="E186:T186"/>
    <mergeCell ref="U186:AB186"/>
    <mergeCell ref="AC186:AJ186"/>
    <mergeCell ref="AK186:AR186"/>
    <mergeCell ref="AS186:AZ186"/>
    <mergeCell ref="BA186:BH186"/>
    <mergeCell ref="BI185:BP185"/>
    <mergeCell ref="BQ185:BX185"/>
    <mergeCell ref="BY185:CF185"/>
    <mergeCell ref="BG33:BK33"/>
    <mergeCell ref="BL33:BS33"/>
    <mergeCell ref="BQ91:BX91"/>
    <mergeCell ref="BA92:BH92"/>
    <mergeCell ref="BU86:CF86"/>
    <mergeCell ref="BL30:BS30"/>
    <mergeCell ref="BG30:BK30"/>
    <mergeCell ref="AY30:BF30"/>
    <mergeCell ref="BI194:BP194"/>
    <mergeCell ref="BQ194:BX194"/>
    <mergeCell ref="BY194:CF194"/>
    <mergeCell ref="AS194:AZ194"/>
    <mergeCell ref="BA194:BH194"/>
    <mergeCell ref="BY192:CF192"/>
    <mergeCell ref="AS92:AZ92"/>
    <mergeCell ref="BY100:CF100"/>
    <mergeCell ref="BI98:BP98"/>
    <mergeCell ref="BQ98:BX98"/>
    <mergeCell ref="BY140:CF140"/>
    <mergeCell ref="BA139:CF139"/>
    <mergeCell ref="BY30:CF30"/>
    <mergeCell ref="BT30:BX30"/>
    <mergeCell ref="BQ143:BX143"/>
    <mergeCell ref="BI143:BP143"/>
    <mergeCell ref="BA188:BH188"/>
    <mergeCell ref="BI188:BP188"/>
    <mergeCell ref="BQ188:BX188"/>
    <mergeCell ref="BY189:CF189"/>
    <mergeCell ref="BO174:BT174"/>
    <mergeCell ref="BU174:CF174"/>
    <mergeCell ref="BI177:BN177"/>
    <mergeCell ref="BO177:BT177"/>
    <mergeCell ref="AC141:AJ141"/>
    <mergeCell ref="AK141:AR141"/>
    <mergeCell ref="E28:H31"/>
    <mergeCell ref="I34:S34"/>
    <mergeCell ref="T29:X29"/>
    <mergeCell ref="Y29:AF29"/>
    <mergeCell ref="AG29:AK29"/>
    <mergeCell ref="AL29:AS29"/>
    <mergeCell ref="T28:X28"/>
    <mergeCell ref="Y28:AF28"/>
    <mergeCell ref="BI142:BP142"/>
    <mergeCell ref="BQ142:BX142"/>
    <mergeCell ref="U143:AB143"/>
    <mergeCell ref="AT25:AX25"/>
    <mergeCell ref="Y24:AF25"/>
    <mergeCell ref="T26:X26"/>
    <mergeCell ref="Y26:AF26"/>
    <mergeCell ref="AC140:AJ140"/>
    <mergeCell ref="E32:H34"/>
    <mergeCell ref="E93:T93"/>
    <mergeCell ref="U93:AB93"/>
    <mergeCell ref="AC93:AJ93"/>
    <mergeCell ref="AK93:AR93"/>
    <mergeCell ref="I27:S27"/>
    <mergeCell ref="T27:X27"/>
    <mergeCell ref="AS100:AZ100"/>
    <mergeCell ref="BA100:BH100"/>
    <mergeCell ref="BI100:BP100"/>
    <mergeCell ref="I28:S28"/>
    <mergeCell ref="I29:S29"/>
    <mergeCell ref="AG28:AK28"/>
    <mergeCell ref="AL28:AS28"/>
    <mergeCell ref="G105:J106"/>
    <mergeCell ref="L106:AE106"/>
    <mergeCell ref="Q85:AB85"/>
    <mergeCell ref="AC85:AJ85"/>
    <mergeCell ref="AK85:AR85"/>
    <mergeCell ref="AS85:AZ85"/>
    <mergeCell ref="AS93:AZ93"/>
    <mergeCell ref="E92:T92"/>
    <mergeCell ref="U92:AB92"/>
    <mergeCell ref="AS94:AZ94"/>
    <mergeCell ref="BY31:CF31"/>
    <mergeCell ref="Y33:AF33"/>
    <mergeCell ref="AG27:AK27"/>
    <mergeCell ref="AL27:AS27"/>
    <mergeCell ref="BL27:BS27"/>
    <mergeCell ref="BT27:BX27"/>
    <mergeCell ref="BT28:BX28"/>
    <mergeCell ref="BI46:BN46"/>
    <mergeCell ref="Y27:AF27"/>
    <mergeCell ref="BT33:BX33"/>
    <mergeCell ref="BT31:BX31"/>
    <mergeCell ref="BU51:CF51"/>
    <mergeCell ref="BU49:CF49"/>
    <mergeCell ref="BO50:BT50"/>
    <mergeCell ref="BU50:CF50"/>
    <mergeCell ref="BL32:BS32"/>
    <mergeCell ref="T32:X32"/>
    <mergeCell ref="Y32:AF32"/>
    <mergeCell ref="AG32:AK32"/>
    <mergeCell ref="Y34:AF34"/>
    <mergeCell ref="AG34:AK34"/>
    <mergeCell ref="AL34:AS34"/>
    <mergeCell ref="BU6:CF6"/>
    <mergeCell ref="AM9:AU9"/>
    <mergeCell ref="BG24:BS24"/>
    <mergeCell ref="BT24:CF24"/>
    <mergeCell ref="AL30:AS30"/>
    <mergeCell ref="AT28:AX28"/>
    <mergeCell ref="BT26:BX26"/>
    <mergeCell ref="AT30:AX30"/>
    <mergeCell ref="BT32:BX32"/>
    <mergeCell ref="BG32:BK32"/>
    <mergeCell ref="AM8:AU8"/>
    <mergeCell ref="AM7:AU7"/>
    <mergeCell ref="BE7:BR7"/>
    <mergeCell ref="AT31:AX31"/>
    <mergeCell ref="AY31:BF31"/>
    <mergeCell ref="AY28:BF28"/>
    <mergeCell ref="BS7:CF7"/>
    <mergeCell ref="BT29:BX29"/>
    <mergeCell ref="AG24:AS24"/>
    <mergeCell ref="AT24:BF24"/>
    <mergeCell ref="AG25:AK25"/>
    <mergeCell ref="AL25:AS25"/>
    <mergeCell ref="BG26:BK26"/>
    <mergeCell ref="AG30:AK30"/>
    <mergeCell ref="AY32:BF32"/>
    <mergeCell ref="BL29:BS29"/>
    <mergeCell ref="AT29:AX29"/>
    <mergeCell ref="AY29:BF29"/>
    <mergeCell ref="BG29:BK29"/>
    <mergeCell ref="AG26:AK26"/>
    <mergeCell ref="AL26:AS26"/>
    <mergeCell ref="AT26:AX26"/>
    <mergeCell ref="BG31:BK31"/>
    <mergeCell ref="AY33:BF33"/>
    <mergeCell ref="BG28:BK28"/>
    <mergeCell ref="BL28:BS28"/>
    <mergeCell ref="BI51:BN51"/>
    <mergeCell ref="BO51:BT51"/>
    <mergeCell ref="E50:P50"/>
    <mergeCell ref="Q50:AB50"/>
    <mergeCell ref="AC50:AJ50"/>
    <mergeCell ref="AK50:AR50"/>
    <mergeCell ref="BS11:CF11"/>
    <mergeCell ref="BE11:BR11"/>
    <mergeCell ref="BY32:CF32"/>
    <mergeCell ref="BY33:CF33"/>
    <mergeCell ref="AL32:AS32"/>
    <mergeCell ref="AG33:AK33"/>
    <mergeCell ref="AG31:AK31"/>
    <mergeCell ref="AL31:AS31"/>
    <mergeCell ref="AY26:BF26"/>
    <mergeCell ref="E26:H27"/>
    <mergeCell ref="I31:S31"/>
    <mergeCell ref="I32:S32"/>
    <mergeCell ref="T33:X33"/>
    <mergeCell ref="AL33:AS33"/>
    <mergeCell ref="T24:X25"/>
    <mergeCell ref="I26:S26"/>
    <mergeCell ref="AT33:AX33"/>
    <mergeCell ref="Y30:AF30"/>
    <mergeCell ref="T30:X30"/>
    <mergeCell ref="I30:S30"/>
    <mergeCell ref="E24:S25"/>
    <mergeCell ref="AY34:BF34"/>
    <mergeCell ref="BQ97:BX97"/>
    <mergeCell ref="BY97:CF97"/>
    <mergeCell ref="AS114:AZ114"/>
    <mergeCell ref="BA114:BH114"/>
    <mergeCell ref="BI114:BN114"/>
    <mergeCell ref="BO114:BT114"/>
    <mergeCell ref="BU114:CF114"/>
    <mergeCell ref="BA93:BH93"/>
    <mergeCell ref="E7:AL7"/>
    <mergeCell ref="E8:AL8"/>
    <mergeCell ref="E9:AL9"/>
    <mergeCell ref="E11:AL11"/>
    <mergeCell ref="BL26:BS26"/>
    <mergeCell ref="I33:S33"/>
    <mergeCell ref="T31:X31"/>
    <mergeCell ref="Y31:AF31"/>
    <mergeCell ref="AK96:AR96"/>
    <mergeCell ref="AS96:AZ96"/>
    <mergeCell ref="BA96:BH96"/>
    <mergeCell ref="U95:AB95"/>
    <mergeCell ref="Q109:AB109"/>
    <mergeCell ref="AC109:AJ109"/>
    <mergeCell ref="AK109:AR109"/>
    <mergeCell ref="AS109:AZ109"/>
    <mergeCell ref="E98:T98"/>
    <mergeCell ref="U98:AB98"/>
    <mergeCell ref="AT27:AX27"/>
    <mergeCell ref="AY27:BF27"/>
    <mergeCell ref="BG27:BK27"/>
    <mergeCell ref="AT32:AX32"/>
    <mergeCell ref="AS47:AZ47"/>
    <mergeCell ref="BA47:BH47"/>
    <mergeCell ref="BO52:BT52"/>
    <mergeCell ref="BU52:CF52"/>
    <mergeCell ref="BI52:BN52"/>
    <mergeCell ref="AS58:AZ58"/>
    <mergeCell ref="BI58:BP58"/>
    <mergeCell ref="BU47:CF47"/>
    <mergeCell ref="E48:P48"/>
    <mergeCell ref="Q48:AB48"/>
    <mergeCell ref="AC143:AJ143"/>
    <mergeCell ref="AK143:AR143"/>
    <mergeCell ref="AG35:AK35"/>
    <mergeCell ref="AL35:AS35"/>
    <mergeCell ref="U145:AB145"/>
    <mergeCell ref="BI145:BP145"/>
    <mergeCell ref="BQ145:BX145"/>
    <mergeCell ref="AK144:AR144"/>
    <mergeCell ref="AS144:AZ144"/>
    <mergeCell ref="BA144:BH144"/>
    <mergeCell ref="AK145:AR145"/>
    <mergeCell ref="BA140:BH140"/>
    <mergeCell ref="BI128:BP128"/>
    <mergeCell ref="BI109:BT109"/>
    <mergeCell ref="AS112:AZ112"/>
    <mergeCell ref="BA112:BH112"/>
    <mergeCell ref="BI112:BN112"/>
    <mergeCell ref="A133:CF133"/>
    <mergeCell ref="AS110:AZ110"/>
    <mergeCell ref="BA110:BH110"/>
    <mergeCell ref="E113:P113"/>
    <mergeCell ref="Q113:AB113"/>
    <mergeCell ref="T35:X35"/>
    <mergeCell ref="AC95:AJ95"/>
    <mergeCell ref="AK95:AR95"/>
    <mergeCell ref="A38:CF38"/>
    <mergeCell ref="BU45:CF45"/>
    <mergeCell ref="E46:P46"/>
    <mergeCell ref="Q46:AB46"/>
    <mergeCell ref="J144:T144"/>
    <mergeCell ref="J145:T145"/>
    <mergeCell ref="U146:AB146"/>
    <mergeCell ref="T34:X34"/>
    <mergeCell ref="E96:T96"/>
    <mergeCell ref="E95:T95"/>
    <mergeCell ref="E109:P109"/>
    <mergeCell ref="E112:P112"/>
    <mergeCell ref="Q112:AB112"/>
    <mergeCell ref="Y35:AF35"/>
    <mergeCell ref="AC90:AZ90"/>
    <mergeCell ref="U96:AB96"/>
    <mergeCell ref="AC96:AJ96"/>
    <mergeCell ref="BL35:BS35"/>
    <mergeCell ref="BT35:BX35"/>
    <mergeCell ref="AT35:AX35"/>
    <mergeCell ref="AS142:AZ142"/>
    <mergeCell ref="U142:AB142"/>
    <mergeCell ref="E139:T140"/>
    <mergeCell ref="J141:T141"/>
    <mergeCell ref="AC112:AJ112"/>
    <mergeCell ref="AK112:AR112"/>
    <mergeCell ref="BA51:BH51"/>
    <mergeCell ref="AK46:AR46"/>
    <mergeCell ref="AK47:AR47"/>
    <mergeCell ref="BY142:CF142"/>
    <mergeCell ref="BY143:CF143"/>
    <mergeCell ref="AK176:AR176"/>
    <mergeCell ref="AS176:AZ176"/>
    <mergeCell ref="A165:CF165"/>
    <mergeCell ref="E172:P172"/>
    <mergeCell ref="Q172:AB172"/>
    <mergeCell ref="BU176:CF176"/>
    <mergeCell ref="E175:P175"/>
    <mergeCell ref="I155:S155"/>
    <mergeCell ref="AG155:AP155"/>
    <mergeCell ref="AQ155:AZ155"/>
    <mergeCell ref="AS146:AZ146"/>
    <mergeCell ref="BA146:BH146"/>
    <mergeCell ref="AB154:AF154"/>
    <mergeCell ref="BY34:CF34"/>
    <mergeCell ref="BY35:CF35"/>
    <mergeCell ref="AT34:AX34"/>
    <mergeCell ref="BG34:BK34"/>
    <mergeCell ref="BL34:BS34"/>
    <mergeCell ref="BT34:BX34"/>
    <mergeCell ref="AY35:BF35"/>
    <mergeCell ref="BG35:BK35"/>
    <mergeCell ref="AS95:AZ95"/>
    <mergeCell ref="E111:P111"/>
    <mergeCell ref="Q111:AB111"/>
    <mergeCell ref="AC111:AJ111"/>
    <mergeCell ref="AS81:AZ81"/>
    <mergeCell ref="A69:CF69"/>
    <mergeCell ref="BA109:BH109"/>
    <mergeCell ref="BI110:BN110"/>
    <mergeCell ref="BO110:BT110"/>
    <mergeCell ref="BU110:CF110"/>
    <mergeCell ref="I154:S154"/>
    <mergeCell ref="AB156:AF156"/>
    <mergeCell ref="AB157:AF157"/>
    <mergeCell ref="U191:AB191"/>
    <mergeCell ref="AC189:AJ189"/>
    <mergeCell ref="E188:T188"/>
    <mergeCell ref="U188:AB188"/>
    <mergeCell ref="AC184:AZ184"/>
    <mergeCell ref="E156:H158"/>
    <mergeCell ref="I156:S156"/>
    <mergeCell ref="I157:S157"/>
    <mergeCell ref="E177:P177"/>
    <mergeCell ref="Q177:AB177"/>
    <mergeCell ref="AC177:AJ177"/>
    <mergeCell ref="AK177:AR177"/>
    <mergeCell ref="AC145:AJ145"/>
    <mergeCell ref="E35:S35"/>
    <mergeCell ref="E152:AA152"/>
    <mergeCell ref="AC46:AJ46"/>
    <mergeCell ref="E141:I143"/>
    <mergeCell ref="J142:T142"/>
    <mergeCell ref="U139:AR139"/>
    <mergeCell ref="E187:T187"/>
    <mergeCell ref="E144:I146"/>
    <mergeCell ref="AQ153:AZ153"/>
    <mergeCell ref="AG151:AP151"/>
    <mergeCell ref="AQ151:AZ151"/>
    <mergeCell ref="AC144:AJ144"/>
    <mergeCell ref="J146:T146"/>
    <mergeCell ref="AC146:AJ146"/>
    <mergeCell ref="E176:P176"/>
    <mergeCell ref="Q176:AB176"/>
    <mergeCell ref="AC176:AJ176"/>
    <mergeCell ref="AQ156:AZ156"/>
    <mergeCell ref="AG157:AP157"/>
    <mergeCell ref="BK152:BT152"/>
    <mergeCell ref="BA145:BH145"/>
    <mergeCell ref="BA191:BH191"/>
    <mergeCell ref="BI191:BP191"/>
    <mergeCell ref="BA189:BH189"/>
    <mergeCell ref="BY187:CF187"/>
    <mergeCell ref="AC188:AJ188"/>
    <mergeCell ref="AK188:AR188"/>
    <mergeCell ref="AK189:AR189"/>
    <mergeCell ref="AS189:AZ189"/>
    <mergeCell ref="BY188:CF188"/>
    <mergeCell ref="AE203:AI203"/>
    <mergeCell ref="AC194:AJ194"/>
    <mergeCell ref="AK194:AR194"/>
    <mergeCell ref="E184:T185"/>
    <mergeCell ref="U184:AB185"/>
    <mergeCell ref="AS203:AY203"/>
    <mergeCell ref="G201:J202"/>
    <mergeCell ref="L202:AB202"/>
    <mergeCell ref="A196:CF196"/>
    <mergeCell ref="BQ189:BX189"/>
    <mergeCell ref="E190:T190"/>
    <mergeCell ref="U190:AB190"/>
    <mergeCell ref="AC190:AJ190"/>
    <mergeCell ref="AK190:AR190"/>
    <mergeCell ref="AS190:AZ190"/>
    <mergeCell ref="E189:T189"/>
    <mergeCell ref="U189:AB189"/>
    <mergeCell ref="E194:T194"/>
    <mergeCell ref="U194:AB194"/>
    <mergeCell ref="AQ157:AZ157"/>
    <mergeCell ref="AQ158:AZ158"/>
    <mergeCell ref="BK153:BT153"/>
    <mergeCell ref="AG154:AP154"/>
    <mergeCell ref="AQ154:AZ154"/>
    <mergeCell ref="BA154:BJ154"/>
    <mergeCell ref="BK154:BT154"/>
    <mergeCell ref="BI140:BP140"/>
    <mergeCell ref="BQ140:BX140"/>
    <mergeCell ref="U141:AB141"/>
    <mergeCell ref="BI141:BP141"/>
    <mergeCell ref="BQ141:BX141"/>
    <mergeCell ref="BA141:BH141"/>
    <mergeCell ref="AS141:AZ141"/>
    <mergeCell ref="AS139:AZ140"/>
    <mergeCell ref="U140:AB140"/>
    <mergeCell ref="AK140:AR140"/>
    <mergeCell ref="BA150:BJ150"/>
    <mergeCell ref="AB150:AF150"/>
    <mergeCell ref="AG152:AP152"/>
    <mergeCell ref="BA157:BJ157"/>
    <mergeCell ref="BA158:BJ158"/>
    <mergeCell ref="BK157:BT157"/>
    <mergeCell ref="BA153:BJ153"/>
    <mergeCell ref="BA152:BJ152"/>
    <mergeCell ref="BA156:BJ156"/>
    <mergeCell ref="BK156:BT156"/>
    <mergeCell ref="BA142:BH142"/>
    <mergeCell ref="U144:AB144"/>
    <mergeCell ref="BI144:BP144"/>
    <mergeCell ref="BU157:CF157"/>
    <mergeCell ref="AG156:AP156"/>
    <mergeCell ref="BY144:CF144"/>
    <mergeCell ref="BY145:CF145"/>
    <mergeCell ref="BY146:CF146"/>
    <mergeCell ref="AS143:AZ143"/>
    <mergeCell ref="BA143:BH143"/>
    <mergeCell ref="BK150:BT150"/>
    <mergeCell ref="E151:AA151"/>
    <mergeCell ref="E153:H155"/>
    <mergeCell ref="AG150:AP150"/>
    <mergeCell ref="AQ150:AZ150"/>
    <mergeCell ref="BU150:CF150"/>
    <mergeCell ref="BU152:CF152"/>
    <mergeCell ref="BA151:BJ151"/>
    <mergeCell ref="BK151:BT151"/>
    <mergeCell ref="BU151:CF151"/>
    <mergeCell ref="E150:S150"/>
    <mergeCell ref="AB153:AF153"/>
    <mergeCell ref="AG153:AP153"/>
    <mergeCell ref="BQ144:BX144"/>
    <mergeCell ref="BI146:BP146"/>
    <mergeCell ref="BQ146:BX146"/>
    <mergeCell ref="A1:CF1"/>
    <mergeCell ref="AV7:BD7"/>
    <mergeCell ref="BS8:CF8"/>
    <mergeCell ref="AV9:BD9"/>
    <mergeCell ref="BE9:BR9"/>
    <mergeCell ref="BS9:CF9"/>
    <mergeCell ref="AB152:AF152"/>
    <mergeCell ref="AB151:AF151"/>
    <mergeCell ref="T156:AA156"/>
    <mergeCell ref="BU156:CF156"/>
    <mergeCell ref="BU153:CF155"/>
    <mergeCell ref="E215:T215"/>
    <mergeCell ref="U215:AB215"/>
    <mergeCell ref="AC215:AJ215"/>
    <mergeCell ref="AK215:AR215"/>
    <mergeCell ref="AS215:AZ215"/>
    <mergeCell ref="BA215:BH215"/>
    <mergeCell ref="AC214:AJ214"/>
    <mergeCell ref="AK214:AR214"/>
    <mergeCell ref="BY191:CF191"/>
    <mergeCell ref="BA192:BH192"/>
    <mergeCell ref="BQ193:BX193"/>
    <mergeCell ref="BI192:BP192"/>
    <mergeCell ref="BK158:BT158"/>
    <mergeCell ref="BU158:CF158"/>
    <mergeCell ref="I158:S158"/>
    <mergeCell ref="AS214:AZ214"/>
    <mergeCell ref="BI213:CF213"/>
    <mergeCell ref="BI214:BP214"/>
    <mergeCell ref="BI215:BP215"/>
    <mergeCell ref="BQ215:BX215"/>
    <mergeCell ref="BY141:CF141"/>
    <mergeCell ref="AQ243:BF243"/>
    <mergeCell ref="AC315:AJ315"/>
    <mergeCell ref="G220:J221"/>
    <mergeCell ref="E245:H248"/>
    <mergeCell ref="G226:J227"/>
    <mergeCell ref="E241:S242"/>
    <mergeCell ref="T241:X242"/>
    <mergeCell ref="AK142:AR142"/>
    <mergeCell ref="AC142:AJ142"/>
    <mergeCell ref="BA155:BJ155"/>
    <mergeCell ref="BK155:BT155"/>
    <mergeCell ref="E191:T191"/>
    <mergeCell ref="BD206:BG206"/>
    <mergeCell ref="AD206:AH206"/>
    <mergeCell ref="AB158:AF158"/>
    <mergeCell ref="T157:AA157"/>
    <mergeCell ref="I153:S153"/>
    <mergeCell ref="G208:J209"/>
    <mergeCell ref="AQ152:AZ152"/>
    <mergeCell ref="T150:AA150"/>
    <mergeCell ref="T153:AA153"/>
    <mergeCell ref="T154:AA154"/>
    <mergeCell ref="J143:T143"/>
    <mergeCell ref="T155:AA155"/>
    <mergeCell ref="AB155:AF155"/>
    <mergeCell ref="AS145:AZ145"/>
    <mergeCell ref="AK146:AR146"/>
    <mergeCell ref="BA193:BH193"/>
    <mergeCell ref="BI193:BP193"/>
    <mergeCell ref="BQ191:BX191"/>
    <mergeCell ref="BQ214:BX214"/>
    <mergeCell ref="AG158:AP158"/>
    <mergeCell ref="BO178:BT178"/>
    <mergeCell ref="BY214:CF214"/>
    <mergeCell ref="V205:Z205"/>
    <mergeCell ref="AJ221:AK221"/>
    <mergeCell ref="AJ220:AK220"/>
    <mergeCell ref="L220:AI221"/>
    <mergeCell ref="BC205:BG205"/>
    <mergeCell ref="E213:T214"/>
    <mergeCell ref="U213:AB214"/>
    <mergeCell ref="AS191:AZ191"/>
    <mergeCell ref="U187:AB187"/>
    <mergeCell ref="AC187:AJ187"/>
    <mergeCell ref="AK187:AR187"/>
    <mergeCell ref="AS187:AZ187"/>
    <mergeCell ref="BA187:BH187"/>
    <mergeCell ref="BA190:BH190"/>
    <mergeCell ref="A234:CF234"/>
    <mergeCell ref="BY193:CF193"/>
    <mergeCell ref="E192:T192"/>
    <mergeCell ref="BQ186:BX186"/>
    <mergeCell ref="BY186:CF186"/>
    <mergeCell ref="E193:T193"/>
    <mergeCell ref="U193:AB193"/>
    <mergeCell ref="AC193:AJ193"/>
    <mergeCell ref="AK193:AR193"/>
    <mergeCell ref="AS193:AZ193"/>
    <mergeCell ref="BQ192:BX192"/>
    <mergeCell ref="BI190:BP190"/>
    <mergeCell ref="BQ190:BX190"/>
    <mergeCell ref="BY190:CF190"/>
    <mergeCell ref="BI189:BP189"/>
    <mergeCell ref="AS188:AZ188"/>
    <mergeCell ref="BA233:BH233"/>
    <mergeCell ref="BI233:BP233"/>
    <mergeCell ref="BQ233:BX233"/>
    <mergeCell ref="BA231:BH232"/>
    <mergeCell ref="BU345:CF345"/>
    <mergeCell ref="E231:T232"/>
    <mergeCell ref="U231:AB232"/>
    <mergeCell ref="AC231:AZ231"/>
    <mergeCell ref="BI222:BM222"/>
    <mergeCell ref="AM226:AN227"/>
    <mergeCell ref="AO227:AR227"/>
    <mergeCell ref="AO226:AR226"/>
    <mergeCell ref="AB223:AF223"/>
    <mergeCell ref="BD224:BG224"/>
    <mergeCell ref="AZ223:BD223"/>
    <mergeCell ref="T158:AA158"/>
    <mergeCell ref="U192:AB192"/>
    <mergeCell ref="AC192:AJ192"/>
    <mergeCell ref="AK192:AR192"/>
    <mergeCell ref="AS192:AZ192"/>
    <mergeCell ref="AV226:BJ227"/>
    <mergeCell ref="Y224:AC224"/>
    <mergeCell ref="AJ203:AK203"/>
    <mergeCell ref="AC191:AJ191"/>
    <mergeCell ref="AK191:AR191"/>
    <mergeCell ref="V222:Z222"/>
    <mergeCell ref="L226:AL227"/>
    <mergeCell ref="AS208:BG209"/>
    <mergeCell ref="AP208:AR209"/>
    <mergeCell ref="BA213:BH214"/>
    <mergeCell ref="AQ203:AR203"/>
    <mergeCell ref="AC213:AZ213"/>
    <mergeCell ref="E346:S347"/>
    <mergeCell ref="T346:X347"/>
    <mergeCell ref="Y346:AF347"/>
    <mergeCell ref="AG346:BF346"/>
    <mergeCell ref="BG346:CF346"/>
    <mergeCell ref="AG347:AP347"/>
    <mergeCell ref="AQ347:BF347"/>
    <mergeCell ref="BG347:BP347"/>
    <mergeCell ref="BQ347:CF347"/>
    <mergeCell ref="BE336:BR336"/>
    <mergeCell ref="BS336:CF336"/>
    <mergeCell ref="E335:AL335"/>
    <mergeCell ref="AM335:AU335"/>
    <mergeCell ref="AV335:BD335"/>
    <mergeCell ref="BE335:BR335"/>
    <mergeCell ref="E328:T328"/>
    <mergeCell ref="U328:AB328"/>
    <mergeCell ref="BS335:CF335"/>
    <mergeCell ref="E336:AL336"/>
    <mergeCell ref="AM336:AU336"/>
    <mergeCell ref="AV336:BD336"/>
    <mergeCell ref="BQ328:BX328"/>
    <mergeCell ref="BY328:CF328"/>
    <mergeCell ref="AS328:AZ328"/>
    <mergeCell ref="BA328:BH328"/>
    <mergeCell ref="BI328:BP328"/>
    <mergeCell ref="BU333:CF333"/>
    <mergeCell ref="E334:AL334"/>
    <mergeCell ref="AM334:AU334"/>
    <mergeCell ref="AV334:BD334"/>
    <mergeCell ref="BE334:BR334"/>
    <mergeCell ref="BS334:CF334"/>
    <mergeCell ref="G463:J464"/>
    <mergeCell ref="L464:AE464"/>
    <mergeCell ref="E467:P467"/>
    <mergeCell ref="BI459:BP459"/>
    <mergeCell ref="BQ459:BX459"/>
    <mergeCell ref="BY459:CF459"/>
    <mergeCell ref="BI448:CF448"/>
    <mergeCell ref="AC449:AJ449"/>
    <mergeCell ref="AK449:AR449"/>
    <mergeCell ref="AS449:AZ449"/>
    <mergeCell ref="BI449:BP449"/>
    <mergeCell ref="BQ449:BX449"/>
    <mergeCell ref="BY449:CF449"/>
    <mergeCell ref="E448:T449"/>
    <mergeCell ref="U448:AB449"/>
    <mergeCell ref="AC448:AZ448"/>
    <mergeCell ref="BA448:BH449"/>
    <mergeCell ref="BY452:CF452"/>
    <mergeCell ref="E453:T453"/>
    <mergeCell ref="U453:AB453"/>
    <mergeCell ref="AC453:AJ453"/>
    <mergeCell ref="AK453:AR453"/>
    <mergeCell ref="AS453:AZ453"/>
    <mergeCell ref="BA453:BH453"/>
    <mergeCell ref="BI453:BP453"/>
    <mergeCell ref="BQ453:BX453"/>
    <mergeCell ref="BY453:CF453"/>
    <mergeCell ref="AS452:AZ452"/>
    <mergeCell ref="BA452:BH452"/>
    <mergeCell ref="BI452:BP452"/>
    <mergeCell ref="BQ452:BX452"/>
    <mergeCell ref="E452:T452"/>
    <mergeCell ref="BU476:CF476"/>
    <mergeCell ref="BI492:BP492"/>
    <mergeCell ref="BQ492:BX492"/>
    <mergeCell ref="BY492:CF492"/>
    <mergeCell ref="BQ482:BX482"/>
    <mergeCell ref="BY482:CF482"/>
    <mergeCell ref="BI483:BP483"/>
    <mergeCell ref="BQ483:BX483"/>
    <mergeCell ref="BY483:CF483"/>
    <mergeCell ref="E492:T492"/>
    <mergeCell ref="U492:AB492"/>
    <mergeCell ref="AC492:AJ492"/>
    <mergeCell ref="AK492:AR492"/>
    <mergeCell ref="AS492:AZ492"/>
    <mergeCell ref="BA492:BH492"/>
    <mergeCell ref="E51:P51"/>
    <mergeCell ref="Q51:AB51"/>
    <mergeCell ref="BU53:CF53"/>
    <mergeCell ref="E57:T58"/>
    <mergeCell ref="U57:AB58"/>
    <mergeCell ref="AC57:AZ57"/>
    <mergeCell ref="BA57:BH58"/>
    <mergeCell ref="BI57:CF57"/>
    <mergeCell ref="AC58:AJ58"/>
    <mergeCell ref="AK58:AR58"/>
    <mergeCell ref="E52:P52"/>
    <mergeCell ref="Q52:AB52"/>
    <mergeCell ref="AC52:AJ52"/>
    <mergeCell ref="AK52:AR52"/>
    <mergeCell ref="AS52:AZ52"/>
    <mergeCell ref="BA52:BH52"/>
    <mergeCell ref="BQ58:BX58"/>
    <mergeCell ref="BY59:CF59"/>
    <mergeCell ref="E60:T60"/>
    <mergeCell ref="U60:AB60"/>
    <mergeCell ref="AC60:AJ60"/>
    <mergeCell ref="AK60:AR60"/>
    <mergeCell ref="AS60:AZ60"/>
    <mergeCell ref="BA60:BH60"/>
    <mergeCell ref="BI60:BP60"/>
    <mergeCell ref="BQ60:BX60"/>
    <mergeCell ref="BY60:CF60"/>
    <mergeCell ref="BI53:BN53"/>
    <mergeCell ref="BO53:BT53"/>
    <mergeCell ref="E61:T61"/>
    <mergeCell ref="U61:AB61"/>
    <mergeCell ref="AC61:AJ61"/>
    <mergeCell ref="AK61:AR61"/>
    <mergeCell ref="AS61:AZ61"/>
    <mergeCell ref="BA61:BH61"/>
    <mergeCell ref="E59:T59"/>
    <mergeCell ref="U59:AB59"/>
    <mergeCell ref="E53:P53"/>
    <mergeCell ref="Q53:AB53"/>
    <mergeCell ref="AC53:AJ53"/>
    <mergeCell ref="AK53:AR53"/>
    <mergeCell ref="AS53:AZ53"/>
    <mergeCell ref="BA53:BH53"/>
    <mergeCell ref="BQ62:BX62"/>
    <mergeCell ref="BY62:CF62"/>
    <mergeCell ref="BI63:BP63"/>
    <mergeCell ref="BQ63:BX63"/>
    <mergeCell ref="BI62:BP62"/>
    <mergeCell ref="AC65:AJ65"/>
    <mergeCell ref="AK65:AR65"/>
    <mergeCell ref="AS65:AZ65"/>
    <mergeCell ref="BA65:BH65"/>
    <mergeCell ref="AS226:AU227"/>
    <mergeCell ref="E64:T64"/>
    <mergeCell ref="U64:AB64"/>
    <mergeCell ref="AC64:AJ64"/>
    <mergeCell ref="AK64:AR64"/>
    <mergeCell ref="AS64:AZ64"/>
    <mergeCell ref="BY65:CF65"/>
    <mergeCell ref="BI66:BP66"/>
    <mergeCell ref="E66:T66"/>
    <mergeCell ref="U66:AB66"/>
    <mergeCell ref="AC66:AJ66"/>
    <mergeCell ref="AK66:AR66"/>
    <mergeCell ref="AS66:AZ66"/>
    <mergeCell ref="BA66:BH66"/>
    <mergeCell ref="E65:T65"/>
    <mergeCell ref="U65:AB65"/>
    <mergeCell ref="AK67:AR67"/>
    <mergeCell ref="AS67:AZ67"/>
    <mergeCell ref="AL203:AP203"/>
    <mergeCell ref="AC204:AJ204"/>
    <mergeCell ref="L209:AN209"/>
    <mergeCell ref="BY215:CF215"/>
    <mergeCell ref="BI187:BP187"/>
    <mergeCell ref="BA67:BH67"/>
    <mergeCell ref="BI67:BP67"/>
    <mergeCell ref="BQ67:BX67"/>
    <mergeCell ref="BI65:BP65"/>
    <mergeCell ref="BQ65:BX65"/>
    <mergeCell ref="BQ327:BX327"/>
    <mergeCell ref="BY327:CF327"/>
    <mergeCell ref="BG321:BK321"/>
    <mergeCell ref="E233:T233"/>
    <mergeCell ref="BY67:CF67"/>
    <mergeCell ref="BQ66:BX66"/>
    <mergeCell ref="BY66:CF66"/>
    <mergeCell ref="E67:T67"/>
    <mergeCell ref="U67:AB67"/>
    <mergeCell ref="AC67:AJ67"/>
    <mergeCell ref="BA63:BH63"/>
    <mergeCell ref="BA64:BH64"/>
    <mergeCell ref="BI64:BP64"/>
    <mergeCell ref="BQ64:BX64"/>
    <mergeCell ref="BY64:CF64"/>
    <mergeCell ref="U233:AB233"/>
    <mergeCell ref="AC233:AJ233"/>
    <mergeCell ref="AK233:AR233"/>
    <mergeCell ref="BI231:CF231"/>
    <mergeCell ref="AC232:AJ232"/>
    <mergeCell ref="AK232:AR232"/>
    <mergeCell ref="AS232:AZ232"/>
    <mergeCell ref="BI232:BP232"/>
    <mergeCell ref="BQ232:BX232"/>
    <mergeCell ref="BY232:CF232"/>
    <mergeCell ref="BY233:CF233"/>
    <mergeCell ref="AS233:AZ233"/>
  </mergeCells>
  <phoneticPr fontId="3" type="noConversion"/>
  <printOptions horizontalCentered="1"/>
  <pageMargins left="0.74803149606299213" right="0.74803149606299213" top="0.98425196850393704" bottom="0.98425196850393704" header="0" footer="0.59055118110236227"/>
  <pageSetup paperSize="9" scale="67" orientation="portrait" r:id="rId1"/>
  <headerFooter alignWithMargins="0"/>
  <rowBreaks count="13" manualBreakCount="13">
    <brk id="37" max="83" man="1"/>
    <brk id="68" max="83" man="1"/>
    <brk id="101" max="83" man="1"/>
    <brk id="132" max="83" man="1"/>
    <brk id="162" max="83" man="1"/>
    <brk id="195" max="83" man="1"/>
    <brk id="233" max="83" man="1"/>
    <brk id="270" max="83" man="1"/>
    <brk id="328" max="83" man="1"/>
    <brk id="359" max="83" man="1"/>
    <brk id="391" max="83" man="1"/>
    <brk id="426" max="83" man="1"/>
    <brk id="459" max="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FF00"/>
  </sheetPr>
  <dimension ref="A1:Y35"/>
  <sheetViews>
    <sheetView view="pageBreakPreview" topLeftCell="A2" zoomScale="115" zoomScaleSheetLayoutView="115" workbookViewId="0">
      <selection activeCell="T9" sqref="T9"/>
    </sheetView>
  </sheetViews>
  <sheetFormatPr defaultColWidth="8" defaultRowHeight="14.25"/>
  <cols>
    <col min="1" max="1" width="6.77734375" style="6" customWidth="1"/>
    <col min="2" max="2" width="3.77734375" style="6" customWidth="1"/>
    <col min="3" max="3" width="2.109375" style="6" customWidth="1"/>
    <col min="4" max="4" width="4" style="6" customWidth="1"/>
    <col min="5" max="5" width="0.77734375" style="6" customWidth="1"/>
    <col min="6" max="6" width="4.44140625" style="6" customWidth="1"/>
    <col min="7" max="7" width="1.6640625" style="6" customWidth="1"/>
    <col min="8" max="8" width="5.21875" style="6" customWidth="1"/>
    <col min="9" max="9" width="1.77734375" style="6" customWidth="1"/>
    <col min="10" max="10" width="3.77734375" style="6" customWidth="1"/>
    <col min="11" max="11" width="1.5546875" style="6" customWidth="1"/>
    <col min="12" max="12" width="5.77734375" style="6" customWidth="1"/>
    <col min="13" max="13" width="1.21875" style="6" customWidth="1"/>
    <col min="14" max="14" width="0.88671875" style="6" customWidth="1"/>
    <col min="15" max="18" width="8" style="6" customWidth="1"/>
    <col min="19" max="19" width="5.5546875" style="6" customWidth="1"/>
    <col min="20" max="20" width="5.5546875" style="178" customWidth="1"/>
    <col min="21" max="21" width="19.33203125" style="6" customWidth="1"/>
    <col min="22" max="16384" width="8" style="6"/>
  </cols>
  <sheetData>
    <row r="1" spans="1:25" ht="24.95" customHeight="1">
      <c r="A1" s="3" t="s">
        <v>282</v>
      </c>
      <c r="B1" s="4">
        <v>10</v>
      </c>
      <c r="C1" s="4" t="s">
        <v>283</v>
      </c>
      <c r="D1" s="4"/>
      <c r="E1" s="4"/>
      <c r="F1" s="4" t="str">
        <f>CONCATENATE("분전반 기초 (",W2,"x",X2,"x",Y2,")")</f>
        <v>분전반 기초 (450x600x700)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166"/>
      <c r="U1" s="5" t="s">
        <v>284</v>
      </c>
      <c r="W1" s="6" t="s">
        <v>285</v>
      </c>
      <c r="X1" s="6" t="s">
        <v>286</v>
      </c>
      <c r="Y1" s="6" t="s">
        <v>287</v>
      </c>
    </row>
    <row r="2" spans="1:25" ht="24.95" customHeight="1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10"/>
      <c r="P2" s="11" t="s">
        <v>288</v>
      </c>
      <c r="Q2" s="12"/>
      <c r="R2" s="11" t="s">
        <v>289</v>
      </c>
      <c r="S2" s="13"/>
      <c r="T2" s="167" t="s">
        <v>21</v>
      </c>
      <c r="U2" s="14" t="s">
        <v>290</v>
      </c>
      <c r="W2" s="6">
        <v>450</v>
      </c>
      <c r="X2" s="6">
        <v>600</v>
      </c>
      <c r="Y2" s="6">
        <v>700</v>
      </c>
    </row>
    <row r="3" spans="1:25">
      <c r="A3" s="15"/>
      <c r="N3" s="16"/>
      <c r="O3" s="17" t="s">
        <v>291</v>
      </c>
      <c r="P3" s="18"/>
      <c r="Q3" s="19"/>
      <c r="R3" s="19"/>
      <c r="S3" s="20"/>
      <c r="T3" s="48"/>
      <c r="U3" s="21"/>
    </row>
    <row r="4" spans="1:25">
      <c r="A4" s="15"/>
      <c r="B4" s="22"/>
      <c r="C4" s="22"/>
      <c r="D4" s="18"/>
      <c r="E4" s="18"/>
      <c r="F4" s="18"/>
      <c r="G4" s="18"/>
      <c r="H4" s="18"/>
      <c r="I4" s="18"/>
      <c r="J4" s="18"/>
      <c r="K4" s="18"/>
      <c r="L4" s="18"/>
      <c r="N4" s="16"/>
      <c r="O4" s="23" t="str">
        <f>CONCATENATE(A20/1000,"/6{(2x",H13/1000,"+",H28/1000,")x",H13/1000,"+(2x",H28/1000,"+",H13/ 1000,")x",H28/1000,"}")</f>
        <v>0.7/6{(2x1.22+0.8)x1.22+(2x0.8+1.22)x0.8}</v>
      </c>
      <c r="P4" s="18"/>
      <c r="Q4" s="18"/>
      <c r="R4" s="18"/>
      <c r="S4" s="24"/>
      <c r="T4" s="48">
        <f>TRUNC((A20/1000/6)*((2*(H13/1000)+(H28/1000))*(H13/1000)+(2*(H28/1000)+(H13/1000))*(H28/1000)),2)</f>
        <v>0.72</v>
      </c>
      <c r="U4" s="26"/>
    </row>
    <row r="5" spans="1:25" ht="12" customHeight="1">
      <c r="A5" s="15"/>
      <c r="B5" s="23">
        <f>(A7-B7)/2</f>
        <v>75</v>
      </c>
      <c r="C5" s="23"/>
      <c r="D5" s="18"/>
      <c r="E5" s="18"/>
      <c r="F5" s="18"/>
      <c r="G5" s="18"/>
      <c r="H5" s="18"/>
      <c r="I5" s="18"/>
      <c r="J5" s="18"/>
      <c r="K5" s="18"/>
      <c r="L5" s="18"/>
      <c r="N5" s="16"/>
      <c r="O5" s="23"/>
      <c r="P5" s="18"/>
      <c r="Q5" s="18"/>
      <c r="R5" s="18"/>
      <c r="S5" s="24"/>
      <c r="T5" s="48"/>
      <c r="U5" s="26"/>
    </row>
    <row r="6" spans="1:25">
      <c r="A6" s="15"/>
      <c r="B6" s="23"/>
      <c r="C6" s="168"/>
      <c r="D6" s="18"/>
      <c r="E6" s="18"/>
      <c r="F6" s="18"/>
      <c r="G6" s="18"/>
      <c r="H6" s="18"/>
      <c r="I6" s="18"/>
      <c r="J6" s="18"/>
      <c r="K6" s="18"/>
      <c r="L6" s="18"/>
      <c r="N6" s="16"/>
      <c r="O6" s="23" t="s">
        <v>292</v>
      </c>
      <c r="P6" s="18"/>
      <c r="Q6" s="18"/>
      <c r="R6" s="18"/>
      <c r="S6" s="24"/>
      <c r="T6" s="48"/>
      <c r="U6" s="26"/>
    </row>
    <row r="7" spans="1:25">
      <c r="A7" s="15">
        <f>X2</f>
        <v>600</v>
      </c>
      <c r="B7" s="23">
        <f>W2</f>
        <v>450</v>
      </c>
      <c r="C7" s="23"/>
      <c r="D7" s="18"/>
      <c r="E7" s="18"/>
      <c r="F7" s="18"/>
      <c r="G7" s="18"/>
      <c r="H7" s="18"/>
      <c r="I7" s="18"/>
      <c r="J7" s="18"/>
      <c r="K7" s="18"/>
      <c r="L7" s="18"/>
      <c r="N7" s="16"/>
      <c r="O7" s="23" t="str">
        <f>CONCATENATE(A20/1000,"/6{(2x",H14/1000,"+",H27/1000,")x",H14/1000,"+(2x",H27/1000,"+",H14/1000,")x",H27/1000,"}")</f>
        <v>0.7/6{(2x0.45+0.6)x0.45+(2x0.6+0.45)x0.6}</v>
      </c>
      <c r="P7" s="18"/>
      <c r="Q7" s="18"/>
      <c r="R7" s="18"/>
      <c r="S7" s="24"/>
      <c r="T7" s="48">
        <f>TRUNC((A20/1000)/6*((2*(H14/1000)+(H27/1000))*(H14/1000)+(2*(H27/1000)+(H14/1000))*(H27/1000)),2)</f>
        <v>0.19</v>
      </c>
      <c r="U7" s="26"/>
    </row>
    <row r="8" spans="1:25" ht="12" customHeight="1">
      <c r="A8" s="15"/>
      <c r="B8" s="23"/>
      <c r="C8" s="23"/>
      <c r="D8" s="18"/>
      <c r="E8" s="18"/>
      <c r="F8" s="18"/>
      <c r="G8" s="18"/>
      <c r="H8" s="18"/>
      <c r="I8" s="18"/>
      <c r="J8" s="18"/>
      <c r="K8" s="18"/>
      <c r="L8" s="18"/>
      <c r="N8" s="16"/>
      <c r="O8" s="23"/>
      <c r="P8" s="18"/>
      <c r="Q8" s="18"/>
      <c r="R8" s="18"/>
      <c r="S8" s="24"/>
      <c r="T8" s="48"/>
      <c r="U8" s="26"/>
    </row>
    <row r="9" spans="1:25">
      <c r="A9" s="15"/>
      <c r="B9" s="23"/>
      <c r="C9" s="27"/>
      <c r="D9" s="18"/>
      <c r="E9" s="18"/>
      <c r="F9" s="18"/>
      <c r="G9" s="18"/>
      <c r="H9" s="18"/>
      <c r="I9" s="18"/>
      <c r="J9" s="18"/>
      <c r="K9" s="18"/>
      <c r="L9" s="18"/>
      <c r="N9" s="16"/>
      <c r="O9" s="23" t="s">
        <v>346</v>
      </c>
      <c r="P9" s="18"/>
      <c r="Q9" s="18"/>
      <c r="R9" s="18" t="str">
        <f>CONCATENATE("(",T4,"-",T7,")=")</f>
        <v>(0.72-0.19)=</v>
      </c>
      <c r="S9" s="24"/>
      <c r="T9" s="48">
        <f>T4-T7</f>
        <v>0.53</v>
      </c>
      <c r="U9" s="26"/>
    </row>
    <row r="10" spans="1:25" ht="12" customHeight="1">
      <c r="A10" s="15"/>
      <c r="B10" s="23">
        <f>(A7-B7)/2</f>
        <v>75</v>
      </c>
      <c r="C10" s="23"/>
      <c r="D10" s="18"/>
      <c r="E10" s="18"/>
      <c r="F10" s="18"/>
      <c r="G10" s="18"/>
      <c r="H10" s="18"/>
      <c r="I10" s="18"/>
      <c r="J10" s="18"/>
      <c r="K10" s="18"/>
      <c r="L10" s="18"/>
      <c r="N10" s="16"/>
      <c r="O10" s="23"/>
      <c r="P10" s="18"/>
      <c r="Q10" s="18"/>
      <c r="R10" s="18"/>
      <c r="S10" s="24"/>
      <c r="T10" s="48"/>
      <c r="U10" s="26"/>
    </row>
    <row r="11" spans="1:25">
      <c r="A11" s="15"/>
      <c r="B11" s="27"/>
      <c r="C11" s="27"/>
      <c r="D11" s="18"/>
      <c r="E11" s="18"/>
      <c r="F11" s="18"/>
      <c r="G11" s="18"/>
      <c r="H11" s="18"/>
      <c r="I11" s="18"/>
      <c r="J11" s="18"/>
      <c r="K11" s="18"/>
      <c r="L11" s="18"/>
      <c r="N11" s="16"/>
      <c r="O11" s="23" t="s">
        <v>293</v>
      </c>
      <c r="P11" s="18"/>
      <c r="Q11" s="18" t="str">
        <f>CONCATENATE("(",T4,"-",T9,")=")</f>
        <v>(0.72-0.53)=</v>
      </c>
      <c r="R11" s="18"/>
      <c r="S11" s="24"/>
      <c r="T11" s="48">
        <f>T4-T9</f>
        <v>0.18999999999999995</v>
      </c>
      <c r="U11" s="26"/>
    </row>
    <row r="12" spans="1:25" ht="12" customHeight="1">
      <c r="A12" s="1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N12" s="16"/>
      <c r="O12" s="23"/>
      <c r="P12" s="18"/>
      <c r="Q12" s="18"/>
      <c r="R12" s="18"/>
      <c r="S12" s="24"/>
      <c r="T12" s="48"/>
      <c r="U12" s="26"/>
    </row>
    <row r="13" spans="1:25">
      <c r="A13" s="15"/>
      <c r="B13" s="18"/>
      <c r="C13" s="18"/>
      <c r="D13" s="18"/>
      <c r="E13" s="18"/>
      <c r="F13" s="18"/>
      <c r="G13" s="18"/>
      <c r="H13" s="28">
        <f>A20*0.3*2+H28</f>
        <v>1220</v>
      </c>
      <c r="I13" s="18"/>
      <c r="J13" s="18"/>
      <c r="K13" s="18"/>
      <c r="L13" s="18"/>
      <c r="N13" s="16"/>
      <c r="O13" s="23" t="s">
        <v>294</v>
      </c>
      <c r="P13" s="18"/>
      <c r="Q13" s="18" t="str">
        <f>CONCATENATE("1/2(",H14/1000,"+",H27/1000,")x",A20/1000,"x4=")</f>
        <v>1/2(0.45+0.6)x0.7x4=</v>
      </c>
      <c r="R13" s="18"/>
      <c r="S13" s="24"/>
      <c r="T13" s="48">
        <f>TRUNC(1/2*(H14/1000+H27/1000)*A20/1000*4,2)</f>
        <v>1.47</v>
      </c>
      <c r="U13" s="26"/>
    </row>
    <row r="14" spans="1:25" ht="12" customHeight="1">
      <c r="A14" s="15"/>
      <c r="B14" s="18"/>
      <c r="C14" s="18"/>
      <c r="D14" s="18"/>
      <c r="E14" s="29"/>
      <c r="F14" s="30">
        <f>(H13-H14)/2</f>
        <v>385</v>
      </c>
      <c r="G14" s="31"/>
      <c r="H14" s="30">
        <f>W2</f>
        <v>450</v>
      </c>
      <c r="I14" s="31"/>
      <c r="J14" s="30">
        <f>(H13-H14)/2</f>
        <v>385</v>
      </c>
      <c r="K14" s="32"/>
      <c r="L14" s="18"/>
      <c r="N14" s="16"/>
      <c r="O14" s="23"/>
      <c r="P14" s="18"/>
      <c r="Q14" s="18"/>
      <c r="R14" s="18"/>
      <c r="S14" s="24"/>
      <c r="T14" s="48"/>
      <c r="U14" s="26"/>
    </row>
    <row r="15" spans="1:25" ht="5.25" customHeight="1">
      <c r="A15" s="15"/>
      <c r="B15" s="18"/>
      <c r="C15" s="18"/>
      <c r="D15" s="18"/>
      <c r="E15" s="22"/>
      <c r="F15" s="19"/>
      <c r="G15" s="20"/>
      <c r="H15" s="21"/>
      <c r="I15" s="19"/>
      <c r="J15" s="19"/>
      <c r="K15" s="20"/>
      <c r="L15" s="18"/>
      <c r="N15" s="16"/>
      <c r="O15" s="23"/>
      <c r="P15" s="18"/>
      <c r="Q15" s="18"/>
      <c r="R15" s="18"/>
      <c r="S15" s="24"/>
      <c r="T15" s="48"/>
      <c r="U15" s="26"/>
    </row>
    <row r="16" spans="1:25">
      <c r="A16" s="15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N16" s="16"/>
      <c r="O16" s="23" t="s">
        <v>339</v>
      </c>
      <c r="P16" s="18"/>
      <c r="Q16" s="18" t="str">
        <f>CONCATENATE("(",H13/1000,"x",H13/1000,")=")</f>
        <v>(1.22x1.22)=</v>
      </c>
      <c r="R16" s="18"/>
      <c r="S16" s="24"/>
      <c r="T16" s="48">
        <f>TRUNC((H13/1000*H13/1000),2)</f>
        <v>1.48</v>
      </c>
      <c r="U16" s="26"/>
    </row>
    <row r="17" spans="1:23" ht="12" customHeight="1">
      <c r="A17" s="15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N17" s="16"/>
      <c r="O17" s="23"/>
      <c r="P17" s="18"/>
      <c r="Q17" s="18"/>
      <c r="R17" s="18"/>
      <c r="S17" s="24"/>
      <c r="T17" s="48"/>
      <c r="U17" s="26"/>
    </row>
    <row r="18" spans="1:23">
      <c r="A18" s="15"/>
      <c r="B18" s="22"/>
      <c r="C18" s="18"/>
      <c r="D18" s="18"/>
      <c r="E18" s="18"/>
      <c r="F18" s="18"/>
      <c r="G18" s="18"/>
      <c r="H18" s="18"/>
      <c r="I18" s="18"/>
      <c r="J18" s="18"/>
      <c r="K18" s="18"/>
      <c r="L18" s="18"/>
      <c r="O18" s="23" t="s">
        <v>347</v>
      </c>
      <c r="P18" s="18"/>
      <c r="Q18" s="18"/>
      <c r="R18" s="18"/>
      <c r="S18" s="24"/>
      <c r="T18" s="171">
        <v>4</v>
      </c>
      <c r="U18" s="26" t="str">
        <f>CONCATENATE("x 내 0.23 = ",T18*0.23)</f>
        <v>x 내 0.23 = 0.92</v>
      </c>
    </row>
    <row r="19" spans="1:23" ht="12" customHeight="1">
      <c r="A19" s="15"/>
      <c r="B19" s="23"/>
      <c r="C19" s="18"/>
      <c r="D19" s="18"/>
      <c r="E19" s="18"/>
      <c r="F19" s="18"/>
      <c r="G19" s="18"/>
      <c r="H19" s="18"/>
      <c r="I19" s="18"/>
      <c r="J19" s="18"/>
      <c r="K19" s="18"/>
      <c r="L19" s="18"/>
      <c r="O19" s="23"/>
      <c r="P19" s="18"/>
      <c r="Q19" s="18"/>
      <c r="R19" s="18"/>
      <c r="S19" s="24"/>
      <c r="T19" s="48"/>
      <c r="U19" s="26"/>
    </row>
    <row r="20" spans="1:23">
      <c r="A20" s="33">
        <f>Y2</f>
        <v>700</v>
      </c>
      <c r="B20" s="23"/>
      <c r="C20" s="18"/>
      <c r="D20" s="18"/>
      <c r="E20" s="18"/>
      <c r="F20" s="18"/>
      <c r="G20" s="18"/>
      <c r="H20" s="18"/>
      <c r="I20" s="18"/>
      <c r="J20" s="18"/>
      <c r="K20" s="18"/>
      <c r="L20" s="18"/>
      <c r="O20" s="23" t="s">
        <v>348</v>
      </c>
      <c r="P20" s="18"/>
      <c r="Q20" s="18"/>
      <c r="R20" s="18"/>
      <c r="S20" s="24"/>
      <c r="T20" s="48">
        <v>1</v>
      </c>
      <c r="U20" s="26" t="str">
        <f>CONCATENATE("x 내 0.06*0.8 = ",T20*0.06*0.8)</f>
        <v>x 내 0.06*0.8 = 0.048</v>
      </c>
    </row>
    <row r="21" spans="1:23" ht="12" customHeight="1">
      <c r="A21" s="15"/>
      <c r="B21" s="23"/>
      <c r="C21" s="18"/>
      <c r="D21" s="18"/>
      <c r="E21" s="18"/>
      <c r="F21" s="18"/>
      <c r="G21" s="18"/>
      <c r="H21" s="18"/>
      <c r="I21" s="18"/>
      <c r="J21" s="18"/>
      <c r="K21" s="18"/>
      <c r="L21" s="18"/>
      <c r="N21" s="16"/>
      <c r="O21" s="23"/>
      <c r="P21" s="18"/>
      <c r="Q21" s="18"/>
      <c r="R21" s="18"/>
      <c r="S21" s="24"/>
      <c r="T21" s="48"/>
      <c r="U21" s="26"/>
    </row>
    <row r="22" spans="1:23">
      <c r="A22" s="15"/>
      <c r="B22" s="23"/>
      <c r="C22" s="18"/>
      <c r="D22" s="18"/>
      <c r="E22" s="18"/>
      <c r="F22" s="18"/>
      <c r="G22" s="18"/>
      <c r="H22" s="18"/>
      <c r="I22" s="18"/>
      <c r="J22" s="18"/>
      <c r="K22" s="18"/>
      <c r="L22" s="18"/>
      <c r="N22" s="16"/>
      <c r="O22" s="23" t="s">
        <v>349</v>
      </c>
      <c r="P22" s="18"/>
      <c r="Q22" s="18"/>
      <c r="R22" s="18"/>
      <c r="S22" s="24"/>
      <c r="T22" s="48">
        <v>3</v>
      </c>
      <c r="U22" s="26" t="str">
        <f>CONCATENATE("x 내 0.007 = ",T22*0.007)</f>
        <v>x 내 0.007 = 0.021</v>
      </c>
    </row>
    <row r="23" spans="1:23" ht="12" customHeight="1">
      <c r="A23" s="15"/>
      <c r="B23" s="27"/>
      <c r="C23" s="18"/>
      <c r="D23" s="18"/>
      <c r="E23" s="18"/>
      <c r="F23" s="18"/>
      <c r="G23" s="18"/>
      <c r="H23" s="18"/>
      <c r="I23" s="18"/>
      <c r="J23" s="18"/>
      <c r="K23" s="18"/>
      <c r="L23" s="18"/>
      <c r="N23" s="34"/>
      <c r="O23" s="23"/>
      <c r="P23" s="18"/>
      <c r="Q23" s="18"/>
      <c r="R23" s="18"/>
      <c r="S23" s="24"/>
      <c r="T23" s="48"/>
      <c r="U23" s="26"/>
    </row>
    <row r="24" spans="1:23">
      <c r="A24" s="1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N24" s="34"/>
      <c r="O24" s="23" t="s">
        <v>350</v>
      </c>
      <c r="P24" s="49"/>
      <c r="Q24" s="49"/>
      <c r="R24" s="49"/>
      <c r="S24" s="24"/>
      <c r="T24" s="48">
        <v>1</v>
      </c>
      <c r="U24" s="26" t="str">
        <f>CONCATENATE("x 케 0.016 = ",T24*0.016)</f>
        <v>x 케 0.016 = 0.016</v>
      </c>
    </row>
    <row r="25" spans="1:23" ht="12" customHeight="1">
      <c r="A25" s="1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N25" s="16"/>
      <c r="O25" s="49"/>
      <c r="P25" s="49"/>
      <c r="Q25" s="49"/>
      <c r="R25" s="49"/>
      <c r="S25" s="24"/>
      <c r="T25" s="48"/>
      <c r="U25" s="26"/>
    </row>
    <row r="26" spans="1:23">
      <c r="A26" s="1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N26" s="16"/>
      <c r="O26" s="173" t="s">
        <v>295</v>
      </c>
      <c r="P26" s="18"/>
      <c r="Q26" s="18"/>
      <c r="R26" s="18"/>
      <c r="S26" s="24"/>
      <c r="T26" s="48">
        <v>1</v>
      </c>
      <c r="U26" s="26" t="str">
        <f>CONCATENATE("x 내 0.24 = ",0.24)</f>
        <v>x 내 0.24 = 0.24</v>
      </c>
    </row>
    <row r="27" spans="1:23" ht="12" customHeight="1">
      <c r="A27" s="15"/>
      <c r="B27" s="18"/>
      <c r="C27" s="18"/>
      <c r="D27" s="18"/>
      <c r="E27" s="18"/>
      <c r="F27" s="35">
        <v>100</v>
      </c>
      <c r="G27" s="27"/>
      <c r="H27" s="36">
        <f>X2</f>
        <v>600</v>
      </c>
      <c r="I27" s="37"/>
      <c r="J27" s="38">
        <v>100</v>
      </c>
      <c r="K27" s="18"/>
      <c r="L27" s="18"/>
      <c r="N27" s="16"/>
      <c r="O27" s="23"/>
      <c r="P27" s="18"/>
      <c r="Q27" s="18"/>
      <c r="R27" s="18"/>
      <c r="S27" s="24"/>
      <c r="T27" s="48"/>
      <c r="U27" s="26" t="str">
        <f>CONCATENATE("x 보 0.2 = ",0.2)</f>
        <v>x 보 0.2 = 0.2</v>
      </c>
      <c r="W27" s="39"/>
    </row>
    <row r="28" spans="1:23">
      <c r="A28" s="15"/>
      <c r="B28" s="18"/>
      <c r="C28" s="18"/>
      <c r="D28" s="18"/>
      <c r="E28" s="18"/>
      <c r="F28" s="29"/>
      <c r="G28" s="31"/>
      <c r="H28" s="40">
        <f>F27+H27+J27</f>
        <v>800</v>
      </c>
      <c r="I28" s="31"/>
      <c r="J28" s="32"/>
      <c r="K28" s="18"/>
      <c r="L28" s="18"/>
      <c r="N28" s="16"/>
      <c r="O28" s="23" t="s">
        <v>351</v>
      </c>
      <c r="P28" s="18"/>
      <c r="Q28" s="18"/>
      <c r="R28" s="18"/>
      <c r="S28" s="24"/>
      <c r="T28" s="48"/>
      <c r="U28" s="26"/>
    </row>
    <row r="29" spans="1:23">
      <c r="A29" s="15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N29" s="16"/>
      <c r="O29" s="23"/>
      <c r="P29" s="18" t="s">
        <v>352</v>
      </c>
      <c r="Q29" s="18"/>
      <c r="R29" s="18"/>
      <c r="S29" s="24"/>
      <c r="T29" s="48">
        <f>TRUNC(0.23*4*2*0.56,2)</f>
        <v>1.03</v>
      </c>
      <c r="U29" s="26"/>
    </row>
    <row r="30" spans="1:23" ht="12" customHeight="1">
      <c r="A30" s="15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N30" s="16"/>
      <c r="O30" s="23"/>
      <c r="P30" s="18"/>
      <c r="Q30" s="18"/>
      <c r="R30" s="18"/>
      <c r="S30" s="24"/>
      <c r="T30" s="48"/>
      <c r="U30" s="26"/>
    </row>
    <row r="31" spans="1:23">
      <c r="A31" s="15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N31" s="16"/>
      <c r="O31" s="23" t="s">
        <v>353</v>
      </c>
      <c r="P31" s="18"/>
      <c r="Q31" s="18"/>
      <c r="R31" s="18" t="s">
        <v>340</v>
      </c>
      <c r="S31" s="24"/>
      <c r="T31" s="48">
        <f>T29</f>
        <v>1.03</v>
      </c>
      <c r="U31" s="26"/>
    </row>
    <row r="32" spans="1:23" ht="12" customHeight="1">
      <c r="A32" s="15"/>
      <c r="N32" s="16"/>
      <c r="O32" s="23"/>
      <c r="P32" s="18"/>
      <c r="Q32" s="18"/>
      <c r="R32" s="18"/>
      <c r="S32" s="24"/>
      <c r="T32" s="48"/>
      <c r="U32" s="26"/>
    </row>
    <row r="33" spans="1:21">
      <c r="A33" s="15"/>
      <c r="N33" s="16"/>
      <c r="O33" s="23" t="s">
        <v>354</v>
      </c>
      <c r="P33" s="18"/>
      <c r="Q33" s="41"/>
      <c r="R33" s="18">
        <f>0.92+0.048+0.021+0.24</f>
        <v>1.2290000000000001</v>
      </c>
      <c r="S33" s="24" t="s">
        <v>296</v>
      </c>
      <c r="T33" s="48"/>
      <c r="U33" s="26"/>
    </row>
    <row r="34" spans="1:21">
      <c r="A34" s="15"/>
      <c r="N34" s="16"/>
      <c r="O34" s="23"/>
      <c r="P34" s="18" t="s">
        <v>355</v>
      </c>
      <c r="Q34" s="41"/>
      <c r="R34" s="18">
        <v>0.2</v>
      </c>
      <c r="S34" s="24" t="s">
        <v>296</v>
      </c>
      <c r="T34" s="48"/>
      <c r="U34" s="26"/>
    </row>
    <row r="35" spans="1:21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4"/>
      <c r="O35" s="27"/>
      <c r="P35" s="45" t="s">
        <v>356</v>
      </c>
      <c r="Q35" s="46"/>
      <c r="R35" s="45">
        <v>1.6E-2</v>
      </c>
      <c r="S35" s="37" t="s">
        <v>296</v>
      </c>
      <c r="T35" s="177"/>
      <c r="U35" s="47"/>
    </row>
  </sheetData>
  <phoneticPr fontId="3" type="noConversion"/>
  <pageMargins left="0.90999999999999992" right="0.47" top="0.81" bottom="0.44999999999999996" header="0.51181102362204722" footer="0.33"/>
  <pageSetup paperSize="9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FF00"/>
  </sheetPr>
  <dimension ref="A1:Y70"/>
  <sheetViews>
    <sheetView view="pageBreakPreview" topLeftCell="A38" zoomScale="115" zoomScaleSheetLayoutView="115" workbookViewId="0">
      <selection activeCell="P54" sqref="P54"/>
    </sheetView>
  </sheetViews>
  <sheetFormatPr defaultColWidth="8" defaultRowHeight="14.25"/>
  <cols>
    <col min="1" max="1" width="6.77734375" style="6" customWidth="1"/>
    <col min="2" max="2" width="3.77734375" style="6" customWidth="1"/>
    <col min="3" max="3" width="2.109375" style="6" customWidth="1"/>
    <col min="4" max="4" width="4" style="6" customWidth="1"/>
    <col min="5" max="5" width="0.77734375" style="6" customWidth="1"/>
    <col min="6" max="6" width="4.44140625" style="6" customWidth="1"/>
    <col min="7" max="7" width="1.6640625" style="6" customWidth="1"/>
    <col min="8" max="8" width="5.21875" style="6" customWidth="1"/>
    <col min="9" max="9" width="1.77734375" style="6" customWidth="1"/>
    <col min="10" max="10" width="3.77734375" style="6" customWidth="1"/>
    <col min="11" max="11" width="1.5546875" style="6" customWidth="1"/>
    <col min="12" max="12" width="5.77734375" style="6" customWidth="1"/>
    <col min="13" max="13" width="1.21875" style="6" customWidth="1"/>
    <col min="14" max="14" width="0.88671875" style="6" customWidth="1"/>
    <col min="15" max="18" width="8" style="6" customWidth="1"/>
    <col min="19" max="20" width="5.5546875" style="6" customWidth="1"/>
    <col min="21" max="21" width="19.33203125" style="6" customWidth="1"/>
    <col min="22" max="16384" width="8" style="6"/>
  </cols>
  <sheetData>
    <row r="1" spans="1:25" ht="24.95" customHeight="1">
      <c r="A1" s="3" t="s">
        <v>282</v>
      </c>
      <c r="B1" s="4">
        <v>15</v>
      </c>
      <c r="C1" s="4" t="s">
        <v>283</v>
      </c>
      <c r="D1" s="4"/>
      <c r="E1" s="4"/>
      <c r="F1" s="4" t="str">
        <f>CONCATENATE("맨홀 (",W2,"x",X2,"x",Y2,")")</f>
        <v>맨홀 (600x600x600)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 t="s">
        <v>284</v>
      </c>
      <c r="W1" s="6" t="s">
        <v>285</v>
      </c>
      <c r="X1" s="6" t="s">
        <v>286</v>
      </c>
      <c r="Y1" s="6" t="s">
        <v>287</v>
      </c>
    </row>
    <row r="2" spans="1:25" ht="24.95" customHeight="1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10"/>
      <c r="P2" s="11" t="s">
        <v>288</v>
      </c>
      <c r="Q2" s="12"/>
      <c r="R2" s="11" t="s">
        <v>289</v>
      </c>
      <c r="S2" s="13"/>
      <c r="T2" s="14" t="s">
        <v>21</v>
      </c>
      <c r="U2" s="14" t="s">
        <v>290</v>
      </c>
      <c r="W2" s="6">
        <v>600</v>
      </c>
      <c r="X2" s="6">
        <v>600</v>
      </c>
      <c r="Y2" s="6">
        <v>600</v>
      </c>
    </row>
    <row r="3" spans="1:25">
      <c r="A3" s="15"/>
      <c r="N3" s="16"/>
      <c r="O3" s="17" t="s">
        <v>291</v>
      </c>
      <c r="P3" s="18"/>
      <c r="Q3" s="19"/>
      <c r="R3" s="19"/>
      <c r="S3" s="20"/>
      <c r="T3" s="18"/>
      <c r="U3" s="21"/>
    </row>
    <row r="4" spans="1:25">
      <c r="A4" s="15"/>
      <c r="B4" s="22"/>
      <c r="C4" s="19"/>
      <c r="D4" s="18"/>
      <c r="E4" s="18"/>
      <c r="F4" s="18"/>
      <c r="G4" s="18"/>
      <c r="H4" s="18"/>
      <c r="I4" s="18"/>
      <c r="J4" s="18"/>
      <c r="K4" s="18"/>
      <c r="L4" s="18"/>
      <c r="N4" s="16"/>
      <c r="O4" s="23" t="str">
        <f>CONCATENATE(A20/1000,"/6{(2x",H13/1000,"+",H28/1000,")x",H13/1000,"+(2x",H28/1000,"+",H13/ 1000,")x",H28/1000,"}")</f>
        <v>0.6/6{(2x1.16+0.8)x1.16+(2x0.8+1.16)x0.8}</v>
      </c>
      <c r="P4" s="18"/>
      <c r="Q4" s="18"/>
      <c r="R4" s="18"/>
      <c r="S4" s="24"/>
      <c r="T4" s="25">
        <f>TRUNC((A20/1000/6)*((2*(H13/1000)+(H28/1000))*(H13/1000)+(2*(H28/1000)+(H13/1000))*(H28/1000)),2)</f>
        <v>0.57999999999999996</v>
      </c>
      <c r="U4" s="26"/>
    </row>
    <row r="5" spans="1:25" ht="12" customHeight="1">
      <c r="A5" s="15"/>
      <c r="B5" s="23"/>
      <c r="C5" s="18"/>
      <c r="D5" s="18"/>
      <c r="E5" s="18"/>
      <c r="F5" s="18"/>
      <c r="G5" s="18"/>
      <c r="H5" s="18"/>
      <c r="I5" s="18"/>
      <c r="J5" s="18"/>
      <c r="K5" s="18"/>
      <c r="L5" s="18"/>
      <c r="N5" s="16"/>
      <c r="O5" s="23"/>
      <c r="P5" s="18"/>
      <c r="Q5" s="18"/>
      <c r="R5" s="18"/>
      <c r="S5" s="24"/>
      <c r="T5" s="18"/>
      <c r="U5" s="26"/>
    </row>
    <row r="6" spans="1:25">
      <c r="A6" s="15"/>
      <c r="B6" s="23"/>
      <c r="C6" s="50"/>
      <c r="D6" s="18"/>
      <c r="E6" s="18"/>
      <c r="F6" s="18"/>
      <c r="G6" s="18"/>
      <c r="H6" s="18"/>
      <c r="I6" s="18"/>
      <c r="J6" s="18"/>
      <c r="K6" s="18"/>
      <c r="L6" s="18"/>
      <c r="N6" s="16"/>
      <c r="O6" s="23" t="s">
        <v>357</v>
      </c>
      <c r="P6" s="18"/>
      <c r="Q6" s="18"/>
      <c r="R6" s="18"/>
      <c r="S6" s="24"/>
      <c r="T6" s="18"/>
      <c r="U6" s="26"/>
    </row>
    <row r="7" spans="1:25">
      <c r="A7" s="15">
        <f>X2</f>
        <v>600</v>
      </c>
      <c r="B7" s="23"/>
      <c r="C7" s="18"/>
      <c r="D7" s="18"/>
      <c r="E7" s="18"/>
      <c r="F7" s="18"/>
      <c r="G7" s="18"/>
      <c r="H7" s="18"/>
      <c r="I7" s="18"/>
      <c r="J7" s="18"/>
      <c r="K7" s="18"/>
      <c r="L7" s="18"/>
      <c r="N7" s="16"/>
      <c r="O7" s="23" t="str">
        <f>CONCATENATE(A20/1000,"/6{(2x",H14/1000,"+",H27/1000,")x",H14/1000,"+(2x",H27/1000,"+",H14/1000,")x",H27/1000,"}")</f>
        <v>0.6/6{(2x0.6+0.6)x0.6+(2x0.6+0.6)x0.6}</v>
      </c>
      <c r="P7" s="18"/>
      <c r="Q7" s="18"/>
      <c r="R7" s="18"/>
      <c r="S7" s="24"/>
      <c r="T7" s="25">
        <f>TRUNC((A20/1000)/6*((2*(H14/1000)+(H27/1000))*(H14/1000)+(2*(H27/1000)+(H14/1000))*(H27/1000)),2)</f>
        <v>0.21</v>
      </c>
      <c r="U7" s="26"/>
    </row>
    <row r="8" spans="1:25" ht="12" customHeight="1">
      <c r="A8" s="15"/>
      <c r="B8" s="23"/>
      <c r="C8" s="18"/>
      <c r="D8" s="18"/>
      <c r="E8" s="18"/>
      <c r="F8" s="18"/>
      <c r="G8" s="18"/>
      <c r="H8" s="18"/>
      <c r="I8" s="18"/>
      <c r="J8" s="18"/>
      <c r="K8" s="18"/>
      <c r="L8" s="18"/>
      <c r="N8" s="16"/>
      <c r="O8" s="23"/>
      <c r="P8" s="18"/>
      <c r="Q8" s="18"/>
      <c r="R8" s="18"/>
      <c r="S8" s="24"/>
      <c r="T8" s="18"/>
      <c r="U8" s="26"/>
    </row>
    <row r="9" spans="1:25">
      <c r="A9" s="15"/>
      <c r="B9" s="23"/>
      <c r="C9" s="18"/>
      <c r="D9" s="18"/>
      <c r="E9" s="18"/>
      <c r="F9" s="18"/>
      <c r="G9" s="18"/>
      <c r="H9" s="18"/>
      <c r="I9" s="18"/>
      <c r="J9" s="18"/>
      <c r="K9" s="18"/>
      <c r="L9" s="18"/>
      <c r="N9" s="16"/>
      <c r="O9" s="23" t="s">
        <v>358</v>
      </c>
      <c r="P9" s="18"/>
      <c r="Q9" s="18"/>
      <c r="R9" s="18" t="str">
        <f>CONCATENATE("(",T4,"-",T7,")=")</f>
        <v>(0.58-0.21)=</v>
      </c>
      <c r="S9" s="24"/>
      <c r="T9" s="25">
        <f>T4-T7</f>
        <v>0.37</v>
      </c>
      <c r="U9" s="26"/>
    </row>
    <row r="10" spans="1:25" ht="12" customHeight="1">
      <c r="A10" s="15"/>
      <c r="B10" s="23"/>
      <c r="C10" s="18"/>
      <c r="D10" s="18"/>
      <c r="E10" s="18"/>
      <c r="F10" s="18"/>
      <c r="G10" s="18"/>
      <c r="H10" s="18"/>
      <c r="I10" s="18"/>
      <c r="J10" s="18"/>
      <c r="K10" s="18"/>
      <c r="L10" s="18"/>
      <c r="N10" s="16"/>
      <c r="O10" s="23"/>
      <c r="P10" s="18"/>
      <c r="Q10" s="18"/>
      <c r="R10" s="18"/>
      <c r="S10" s="24"/>
      <c r="T10" s="18"/>
      <c r="U10" s="26"/>
    </row>
    <row r="11" spans="1:25">
      <c r="A11" s="15"/>
      <c r="B11" s="27"/>
      <c r="C11" s="45"/>
      <c r="D11" s="18"/>
      <c r="E11" s="18"/>
      <c r="F11" s="18"/>
      <c r="G11" s="18"/>
      <c r="H11" s="18"/>
      <c r="I11" s="18"/>
      <c r="J11" s="18"/>
      <c r="K11" s="18"/>
      <c r="L11" s="18"/>
      <c r="N11" s="16"/>
      <c r="O11" s="23" t="s">
        <v>293</v>
      </c>
      <c r="P11" s="18"/>
      <c r="Q11" s="18" t="str">
        <f>CONCATENATE("(",T4,"-",T9,")=")</f>
        <v>(0.58-0.37)=</v>
      </c>
      <c r="R11" s="18"/>
      <c r="S11" s="24"/>
      <c r="T11" s="25">
        <f>T4-T9</f>
        <v>0.20999999999999996</v>
      </c>
      <c r="U11" s="26"/>
    </row>
    <row r="12" spans="1:25" ht="12" customHeight="1">
      <c r="A12" s="1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N12" s="16"/>
      <c r="O12" s="23"/>
      <c r="P12" s="18"/>
      <c r="Q12" s="18"/>
      <c r="R12" s="18"/>
      <c r="S12" s="24"/>
      <c r="T12" s="18"/>
      <c r="U12" s="26"/>
    </row>
    <row r="13" spans="1:25">
      <c r="A13" s="15"/>
      <c r="B13" s="18"/>
      <c r="C13" s="18"/>
      <c r="D13" s="18"/>
      <c r="E13" s="18"/>
      <c r="F13" s="18"/>
      <c r="G13" s="18"/>
      <c r="H13" s="28">
        <f>A20*0.3*2+H28</f>
        <v>1160</v>
      </c>
      <c r="I13" s="18"/>
      <c r="J13" s="18"/>
      <c r="K13" s="18"/>
      <c r="L13" s="18"/>
      <c r="N13" s="16"/>
      <c r="O13" s="23"/>
      <c r="P13" s="18"/>
      <c r="Q13" s="18"/>
      <c r="R13" s="18"/>
      <c r="S13" s="24"/>
      <c r="T13" s="18"/>
      <c r="U13" s="26"/>
    </row>
    <row r="14" spans="1:25" ht="12" customHeight="1">
      <c r="A14" s="15"/>
      <c r="B14" s="18"/>
      <c r="C14" s="18"/>
      <c r="D14" s="18"/>
      <c r="E14" s="29"/>
      <c r="F14" s="30">
        <f>(H13-H14)/2</f>
        <v>280</v>
      </c>
      <c r="G14" s="31"/>
      <c r="H14" s="30">
        <f>W2</f>
        <v>600</v>
      </c>
      <c r="I14" s="31"/>
      <c r="J14" s="30">
        <f>(H13-H14)/2</f>
        <v>280</v>
      </c>
      <c r="K14" s="32"/>
      <c r="L14" s="18"/>
      <c r="N14" s="16"/>
      <c r="O14" s="23"/>
      <c r="P14" s="18"/>
      <c r="Q14" s="18"/>
      <c r="R14" s="18"/>
      <c r="S14" s="24"/>
      <c r="T14" s="18"/>
      <c r="U14" s="26"/>
    </row>
    <row r="15" spans="1:25" ht="5.25" customHeight="1">
      <c r="A15" s="15"/>
      <c r="B15" s="18"/>
      <c r="C15" s="18"/>
      <c r="D15" s="18"/>
      <c r="E15" s="22"/>
      <c r="F15" s="19"/>
      <c r="G15" s="22"/>
      <c r="H15" s="19"/>
      <c r="I15" s="20"/>
      <c r="J15" s="19"/>
      <c r="K15" s="20"/>
      <c r="L15" s="18"/>
      <c r="N15" s="16"/>
      <c r="O15" s="23"/>
      <c r="P15" s="18"/>
      <c r="Q15" s="18"/>
      <c r="R15" s="18"/>
      <c r="S15" s="24"/>
      <c r="T15" s="18"/>
      <c r="U15" s="26"/>
    </row>
    <row r="16" spans="1:25">
      <c r="A16" s="15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N16" s="16"/>
      <c r="O16" s="23"/>
      <c r="P16" s="18"/>
      <c r="Q16" s="18"/>
      <c r="R16" s="18"/>
      <c r="S16" s="24"/>
      <c r="T16" s="25"/>
      <c r="U16" s="26"/>
    </row>
    <row r="17" spans="1:23" ht="12" customHeight="1">
      <c r="A17" s="15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N17" s="16"/>
      <c r="O17" s="23"/>
      <c r="P17" s="18"/>
      <c r="Q17" s="18"/>
      <c r="R17" s="18"/>
      <c r="S17" s="24"/>
      <c r="T17" s="18"/>
      <c r="U17" s="26"/>
    </row>
    <row r="18" spans="1:23">
      <c r="A18" s="15"/>
      <c r="B18" s="22"/>
      <c r="C18" s="18"/>
      <c r="D18" s="18"/>
      <c r="E18" s="18"/>
      <c r="F18" s="18"/>
      <c r="G18" s="18"/>
      <c r="H18" s="18"/>
      <c r="I18" s="18"/>
      <c r="J18" s="18"/>
      <c r="K18" s="18"/>
      <c r="L18" s="18"/>
      <c r="O18" s="23"/>
      <c r="P18" s="18"/>
      <c r="Q18" s="18"/>
      <c r="R18" s="18"/>
      <c r="S18" s="24"/>
      <c r="T18" s="26"/>
      <c r="U18" s="26"/>
    </row>
    <row r="19" spans="1:23" ht="12" customHeight="1">
      <c r="A19" s="15"/>
      <c r="B19" s="23"/>
      <c r="C19" s="18"/>
      <c r="D19" s="18"/>
      <c r="E19" s="18"/>
      <c r="F19" s="18"/>
      <c r="G19" s="18"/>
      <c r="H19" s="18"/>
      <c r="I19" s="18"/>
      <c r="J19" s="18"/>
      <c r="K19" s="18"/>
      <c r="L19" s="18"/>
      <c r="O19" s="23"/>
      <c r="P19" s="18"/>
      <c r="Q19" s="18"/>
      <c r="R19" s="18"/>
      <c r="S19" s="24"/>
      <c r="T19" s="18"/>
      <c r="U19" s="26"/>
    </row>
    <row r="20" spans="1:23">
      <c r="A20" s="33">
        <f>Y2</f>
        <v>600</v>
      </c>
      <c r="B20" s="23"/>
      <c r="C20" s="18"/>
      <c r="D20" s="18"/>
      <c r="E20" s="18"/>
      <c r="F20" s="18"/>
      <c r="G20" s="18"/>
      <c r="H20" s="18"/>
      <c r="I20" s="18"/>
      <c r="J20" s="18"/>
      <c r="K20" s="18"/>
      <c r="L20" s="18"/>
      <c r="O20" s="23"/>
      <c r="P20" s="18"/>
      <c r="Q20" s="18"/>
      <c r="R20" s="18"/>
      <c r="S20" s="24"/>
      <c r="T20" s="18"/>
      <c r="U20" s="26"/>
    </row>
    <row r="21" spans="1:23" ht="12" customHeight="1">
      <c r="A21" s="15"/>
      <c r="B21" s="23"/>
      <c r="C21" s="18"/>
      <c r="D21" s="18"/>
      <c r="E21" s="18"/>
      <c r="F21" s="18"/>
      <c r="G21" s="18"/>
      <c r="H21" s="18"/>
      <c r="I21" s="18"/>
      <c r="J21" s="18"/>
      <c r="K21" s="18"/>
      <c r="L21" s="18"/>
      <c r="N21" s="16"/>
      <c r="O21" s="23"/>
      <c r="P21" s="18"/>
      <c r="Q21" s="18"/>
      <c r="R21" s="18"/>
      <c r="S21" s="24"/>
      <c r="T21" s="18"/>
      <c r="U21" s="26"/>
    </row>
    <row r="22" spans="1:23">
      <c r="A22" s="15"/>
      <c r="B22" s="23"/>
      <c r="C22" s="18"/>
      <c r="D22" s="18"/>
      <c r="E22" s="18"/>
      <c r="F22" s="18"/>
      <c r="G22" s="18"/>
      <c r="H22" s="18"/>
      <c r="I22" s="18"/>
      <c r="J22" s="18"/>
      <c r="K22" s="18"/>
      <c r="L22" s="18"/>
      <c r="N22" s="16"/>
      <c r="O22" s="23"/>
      <c r="P22" s="18"/>
      <c r="Q22" s="18"/>
      <c r="R22" s="18"/>
      <c r="S22" s="24"/>
      <c r="T22" s="18"/>
      <c r="U22" s="26"/>
    </row>
    <row r="23" spans="1:23" ht="12" customHeight="1">
      <c r="A23" s="15"/>
      <c r="B23" s="27"/>
      <c r="C23" s="18"/>
      <c r="D23" s="18"/>
      <c r="E23" s="18"/>
      <c r="F23" s="18"/>
      <c r="G23" s="18"/>
      <c r="H23" s="18"/>
      <c r="I23" s="18"/>
      <c r="J23" s="18"/>
      <c r="K23" s="18"/>
      <c r="L23" s="18"/>
      <c r="N23" s="34"/>
      <c r="O23" s="23"/>
      <c r="P23" s="18"/>
      <c r="Q23" s="18"/>
      <c r="R23" s="18"/>
      <c r="S23" s="24"/>
      <c r="T23" s="18"/>
      <c r="U23" s="26"/>
    </row>
    <row r="24" spans="1:23">
      <c r="A24" s="1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N24" s="34"/>
      <c r="O24" s="23"/>
      <c r="P24" s="49"/>
      <c r="Q24" s="49"/>
      <c r="R24" s="49"/>
      <c r="S24" s="24"/>
      <c r="T24" s="18"/>
      <c r="U24" s="26"/>
    </row>
    <row r="25" spans="1:23" ht="12" customHeight="1">
      <c r="A25" s="1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N25" s="16"/>
      <c r="O25" s="49"/>
      <c r="P25" s="49"/>
      <c r="Q25" s="49"/>
      <c r="R25" s="49"/>
      <c r="S25" s="24"/>
      <c r="T25" s="18"/>
      <c r="U25" s="26"/>
    </row>
    <row r="26" spans="1:23">
      <c r="A26" s="1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N26" s="16"/>
      <c r="O26" s="23"/>
      <c r="P26" s="18"/>
      <c r="Q26" s="18"/>
      <c r="R26" s="18"/>
      <c r="S26" s="24"/>
      <c r="T26" s="18"/>
      <c r="U26" s="26"/>
    </row>
    <row r="27" spans="1:23" ht="12" customHeight="1">
      <c r="A27" s="15"/>
      <c r="B27" s="18"/>
      <c r="C27" s="18"/>
      <c r="D27" s="18"/>
      <c r="E27" s="18"/>
      <c r="F27" s="35">
        <v>100</v>
      </c>
      <c r="G27" s="27"/>
      <c r="H27" s="36">
        <f>X2</f>
        <v>600</v>
      </c>
      <c r="I27" s="37"/>
      <c r="J27" s="38">
        <v>100</v>
      </c>
      <c r="K27" s="18"/>
      <c r="L27" s="18"/>
      <c r="N27" s="16"/>
      <c r="O27" s="23"/>
      <c r="P27" s="18"/>
      <c r="Q27" s="18"/>
      <c r="R27" s="18"/>
      <c r="S27" s="24"/>
      <c r="T27" s="18"/>
      <c r="U27" s="26"/>
      <c r="W27" s="39"/>
    </row>
    <row r="28" spans="1:23">
      <c r="A28" s="15"/>
      <c r="B28" s="18"/>
      <c r="C28" s="18"/>
      <c r="D28" s="18"/>
      <c r="E28" s="18"/>
      <c r="F28" s="29"/>
      <c r="G28" s="31"/>
      <c r="H28" s="40">
        <f>F27+H27+J27</f>
        <v>800</v>
      </c>
      <c r="I28" s="31"/>
      <c r="J28" s="32"/>
      <c r="K28" s="18"/>
      <c r="L28" s="18"/>
      <c r="N28" s="16"/>
      <c r="O28" s="23"/>
      <c r="P28" s="18"/>
      <c r="Q28" s="18"/>
      <c r="R28" s="18"/>
      <c r="S28" s="24"/>
      <c r="T28" s="18"/>
      <c r="U28" s="26"/>
    </row>
    <row r="29" spans="1:23">
      <c r="A29" s="15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N29" s="16"/>
      <c r="O29" s="23"/>
      <c r="P29" s="18"/>
      <c r="Q29" s="18"/>
      <c r="R29" s="18"/>
      <c r="S29" s="24"/>
      <c r="T29" s="18"/>
      <c r="U29" s="26"/>
    </row>
    <row r="30" spans="1:23" ht="12" customHeight="1">
      <c r="A30" s="15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N30" s="16"/>
      <c r="O30" s="23"/>
      <c r="P30" s="18"/>
      <c r="Q30" s="18"/>
      <c r="R30" s="18"/>
      <c r="S30" s="24"/>
      <c r="T30" s="18"/>
      <c r="U30" s="26"/>
    </row>
    <row r="31" spans="1:23">
      <c r="A31" s="15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N31" s="16"/>
      <c r="O31" s="23"/>
      <c r="P31" s="18"/>
      <c r="Q31" s="18"/>
      <c r="R31" s="18"/>
      <c r="S31" s="24"/>
      <c r="T31" s="18"/>
      <c r="U31" s="26"/>
    </row>
    <row r="32" spans="1:23" ht="12" customHeight="1">
      <c r="A32" s="15"/>
      <c r="N32" s="16"/>
      <c r="O32" s="23"/>
      <c r="P32" s="18"/>
      <c r="Q32" s="18"/>
      <c r="R32" s="18"/>
      <c r="S32" s="24"/>
      <c r="T32" s="18"/>
      <c r="U32" s="26"/>
    </row>
    <row r="33" spans="1:25">
      <c r="A33" s="15"/>
      <c r="N33" s="16"/>
      <c r="O33" s="23"/>
      <c r="P33" s="18"/>
      <c r="Q33" s="41"/>
      <c r="R33" s="18"/>
      <c r="S33" s="24"/>
      <c r="T33" s="18"/>
      <c r="U33" s="26"/>
    </row>
    <row r="34" spans="1:25">
      <c r="A34" s="15"/>
      <c r="N34" s="16"/>
      <c r="O34" s="23"/>
      <c r="P34" s="18"/>
      <c r="Q34" s="41"/>
      <c r="R34" s="18"/>
      <c r="S34" s="24"/>
      <c r="T34" s="18"/>
      <c r="U34" s="26"/>
    </row>
    <row r="35" spans="1: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4"/>
      <c r="O35" s="27"/>
      <c r="P35" s="45"/>
      <c r="Q35" s="46"/>
      <c r="R35" s="45"/>
      <c r="S35" s="37"/>
      <c r="T35" s="45"/>
      <c r="U35" s="47"/>
    </row>
    <row r="36" spans="1:25" ht="24.95" customHeight="1">
      <c r="A36" s="3" t="s">
        <v>282</v>
      </c>
      <c r="B36" s="4">
        <v>16</v>
      </c>
      <c r="C36" s="4" t="s">
        <v>283</v>
      </c>
      <c r="D36" s="4"/>
      <c r="E36" s="4"/>
      <c r="F36" s="4" t="str">
        <f>CONCATENATE("맨홀 (",W37,"x",X37,"x",Y37,")")</f>
        <v>맨홀 (450x450x450)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5" t="s">
        <v>284</v>
      </c>
      <c r="W36" s="6" t="s">
        <v>285</v>
      </c>
      <c r="X36" s="6" t="s">
        <v>286</v>
      </c>
      <c r="Y36" s="6" t="s">
        <v>287</v>
      </c>
    </row>
    <row r="37" spans="1:25" ht="24.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9"/>
      <c r="O37" s="10"/>
      <c r="P37" s="11" t="s">
        <v>288</v>
      </c>
      <c r="Q37" s="12"/>
      <c r="R37" s="11" t="s">
        <v>289</v>
      </c>
      <c r="S37" s="13"/>
      <c r="T37" s="14" t="s">
        <v>21</v>
      </c>
      <c r="U37" s="14" t="s">
        <v>290</v>
      </c>
      <c r="W37" s="6">
        <v>450</v>
      </c>
      <c r="X37" s="6">
        <v>450</v>
      </c>
      <c r="Y37" s="6">
        <v>450</v>
      </c>
    </row>
    <row r="38" spans="1:25">
      <c r="A38" s="15"/>
      <c r="N38" s="16"/>
      <c r="O38" s="17" t="s">
        <v>291</v>
      </c>
      <c r="P38" s="18"/>
      <c r="Q38" s="19"/>
      <c r="R38" s="19"/>
      <c r="S38" s="20"/>
      <c r="T38" s="18"/>
      <c r="U38" s="21"/>
    </row>
    <row r="39" spans="1:25">
      <c r="A39" s="15"/>
      <c r="B39" s="22"/>
      <c r="C39" s="19"/>
      <c r="D39" s="18"/>
      <c r="E39" s="18"/>
      <c r="F39" s="18"/>
      <c r="G39" s="18"/>
      <c r="H39" s="18"/>
      <c r="I39" s="18"/>
      <c r="J39" s="18"/>
      <c r="K39" s="18"/>
      <c r="L39" s="18"/>
      <c r="N39" s="16"/>
      <c r="O39" s="23" t="str">
        <f>CONCATENATE(A55/1000,"/6{(2x",H48/1000,"+",H63/1000,")x",H48/1000,"+(2x",H63/1000,"+",H48/ 1000,")x",H63/1000,"}")</f>
        <v>0.45/6{(2x0.92+0.65)x0.92+(2x0.65+0.92)x0.65}</v>
      </c>
      <c r="P39" s="18"/>
      <c r="Q39" s="18"/>
      <c r="R39" s="18"/>
      <c r="S39" s="24"/>
      <c r="T39" s="25">
        <f>TRUNC((A55/1000/6)*((2*(H48/1000)+(H63/1000))*(H48/1000)+(2*(H63/1000)+(H48/1000))*(H63/1000)),2)</f>
        <v>0.28000000000000003</v>
      </c>
      <c r="U39" s="26"/>
    </row>
    <row r="40" spans="1:25" ht="12" customHeight="1">
      <c r="A40" s="15"/>
      <c r="B40" s="23"/>
      <c r="C40" s="18"/>
      <c r="D40" s="18"/>
      <c r="E40" s="18"/>
      <c r="F40" s="18"/>
      <c r="G40" s="18"/>
      <c r="H40" s="18"/>
      <c r="I40" s="18"/>
      <c r="J40" s="18"/>
      <c r="K40" s="18"/>
      <c r="L40" s="18"/>
      <c r="N40" s="16"/>
      <c r="O40" s="23"/>
      <c r="P40" s="18"/>
      <c r="Q40" s="18"/>
      <c r="R40" s="18"/>
      <c r="S40" s="24"/>
      <c r="T40" s="18"/>
      <c r="U40" s="26"/>
    </row>
    <row r="41" spans="1:25">
      <c r="A41" s="15"/>
      <c r="B41" s="23"/>
      <c r="C41" s="50"/>
      <c r="D41" s="18"/>
      <c r="E41" s="18"/>
      <c r="F41" s="18"/>
      <c r="G41" s="18"/>
      <c r="H41" s="18"/>
      <c r="I41" s="18"/>
      <c r="J41" s="18"/>
      <c r="K41" s="18"/>
      <c r="L41" s="18"/>
      <c r="N41" s="16"/>
      <c r="O41" s="23" t="s">
        <v>357</v>
      </c>
      <c r="P41" s="18"/>
      <c r="Q41" s="18"/>
      <c r="R41" s="18"/>
      <c r="S41" s="24"/>
      <c r="T41" s="18"/>
      <c r="U41" s="26"/>
    </row>
    <row r="42" spans="1:25">
      <c r="A42" s="15">
        <f>X37</f>
        <v>450</v>
      </c>
      <c r="B42" s="23"/>
      <c r="C42" s="18"/>
      <c r="D42" s="18"/>
      <c r="E42" s="18"/>
      <c r="F42" s="18"/>
      <c r="G42" s="18"/>
      <c r="H42" s="18"/>
      <c r="I42" s="18"/>
      <c r="J42" s="18"/>
      <c r="K42" s="18"/>
      <c r="L42" s="18"/>
      <c r="N42" s="16"/>
      <c r="O42" s="23" t="str">
        <f>CONCATENATE(A55/1000,"/6{(2x",H49/1000,"+",H62/1000,")x",H49/1000,"+(2x",H62/1000,"+",H49/1000,")x",H62/1000,"}")</f>
        <v>0.45/6{(2x0.45+0.45)x0.45+(2x0.45+0.45)x0.45}</v>
      </c>
      <c r="P42" s="18"/>
      <c r="Q42" s="18"/>
      <c r="R42" s="18"/>
      <c r="S42" s="24"/>
      <c r="T42" s="25">
        <f>TRUNC((A55/1000)/6*((2*(H49/1000)+(H62/1000))*(H49/1000)+(2*(H62/1000)+(H49/1000))*(H62/1000)),2)</f>
        <v>0.09</v>
      </c>
      <c r="U42" s="26"/>
    </row>
    <row r="43" spans="1:25" ht="12" customHeight="1">
      <c r="A43" s="15"/>
      <c r="B43" s="23"/>
      <c r="C43" s="18"/>
      <c r="D43" s="18"/>
      <c r="E43" s="18"/>
      <c r="F43" s="18"/>
      <c r="G43" s="18"/>
      <c r="H43" s="18"/>
      <c r="I43" s="18"/>
      <c r="J43" s="18"/>
      <c r="K43" s="18"/>
      <c r="L43" s="18"/>
      <c r="N43" s="16"/>
      <c r="O43" s="23"/>
      <c r="P43" s="18"/>
      <c r="Q43" s="18"/>
      <c r="R43" s="18"/>
      <c r="S43" s="24"/>
      <c r="T43" s="18"/>
      <c r="U43" s="26"/>
    </row>
    <row r="44" spans="1:25">
      <c r="A44" s="15"/>
      <c r="B44" s="23"/>
      <c r="C44" s="18"/>
      <c r="D44" s="18"/>
      <c r="E44" s="18"/>
      <c r="F44" s="18"/>
      <c r="G44" s="18"/>
      <c r="H44" s="18"/>
      <c r="I44" s="18"/>
      <c r="J44" s="18"/>
      <c r="K44" s="18"/>
      <c r="L44" s="18"/>
      <c r="N44" s="16"/>
      <c r="O44" s="23" t="s">
        <v>358</v>
      </c>
      <c r="P44" s="18"/>
      <c r="Q44" s="18"/>
      <c r="R44" s="18" t="str">
        <f>CONCATENATE("(",T39,"-",T42,")=")</f>
        <v>(0.28-0.09)=</v>
      </c>
      <c r="S44" s="24"/>
      <c r="T44" s="25">
        <f>T39-T42</f>
        <v>0.19000000000000003</v>
      </c>
      <c r="U44" s="26"/>
    </row>
    <row r="45" spans="1:25" ht="12" customHeight="1">
      <c r="A45" s="15"/>
      <c r="B45" s="23"/>
      <c r="C45" s="18"/>
      <c r="D45" s="18"/>
      <c r="E45" s="18"/>
      <c r="F45" s="18"/>
      <c r="G45" s="18"/>
      <c r="H45" s="18"/>
      <c r="I45" s="18"/>
      <c r="J45" s="18"/>
      <c r="K45" s="18"/>
      <c r="L45" s="18"/>
      <c r="N45" s="16"/>
      <c r="O45" s="23"/>
      <c r="P45" s="18"/>
      <c r="Q45" s="18"/>
      <c r="R45" s="18"/>
      <c r="S45" s="24"/>
      <c r="T45" s="18"/>
      <c r="U45" s="26"/>
    </row>
    <row r="46" spans="1:25">
      <c r="A46" s="15"/>
      <c r="B46" s="27"/>
      <c r="C46" s="45"/>
      <c r="D46" s="18"/>
      <c r="E46" s="18"/>
      <c r="F46" s="18"/>
      <c r="G46" s="18"/>
      <c r="H46" s="18"/>
      <c r="I46" s="18"/>
      <c r="J46" s="18"/>
      <c r="K46" s="18"/>
      <c r="L46" s="18"/>
      <c r="N46" s="16"/>
      <c r="O46" s="23" t="s">
        <v>293</v>
      </c>
      <c r="P46" s="18"/>
      <c r="Q46" s="18" t="str">
        <f>CONCATENATE("(",T39,"-",T44,")=")</f>
        <v>(0.28-0.19)=</v>
      </c>
      <c r="R46" s="18"/>
      <c r="S46" s="24"/>
      <c r="T46" s="25">
        <f>T39-T44</f>
        <v>0.09</v>
      </c>
      <c r="U46" s="26"/>
    </row>
    <row r="47" spans="1:25" ht="12" customHeight="1">
      <c r="A47" s="15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N47" s="16"/>
      <c r="O47" s="23"/>
      <c r="P47" s="18"/>
      <c r="Q47" s="18"/>
      <c r="R47" s="18"/>
      <c r="S47" s="24"/>
      <c r="T47" s="18"/>
      <c r="U47" s="26"/>
    </row>
    <row r="48" spans="1:25">
      <c r="A48" s="15"/>
      <c r="B48" s="18"/>
      <c r="C48" s="18"/>
      <c r="D48" s="18"/>
      <c r="E48" s="18"/>
      <c r="F48" s="18"/>
      <c r="G48" s="18"/>
      <c r="H48" s="28">
        <f>A55*0.3*2+H63</f>
        <v>920</v>
      </c>
      <c r="I48" s="18"/>
      <c r="J48" s="18"/>
      <c r="K48" s="18"/>
      <c r="L48" s="18"/>
      <c r="N48" s="16"/>
      <c r="O48" s="23"/>
      <c r="P48" s="18"/>
      <c r="Q48" s="18"/>
      <c r="R48" s="18"/>
      <c r="S48" s="24"/>
      <c r="T48" s="18"/>
      <c r="U48" s="26"/>
    </row>
    <row r="49" spans="1:23" ht="12" customHeight="1">
      <c r="A49" s="15"/>
      <c r="B49" s="18"/>
      <c r="C49" s="18"/>
      <c r="D49" s="18"/>
      <c r="E49" s="29"/>
      <c r="F49" s="30">
        <f>(H48-H49)/2</f>
        <v>235</v>
      </c>
      <c r="G49" s="31"/>
      <c r="H49" s="30">
        <f>W37</f>
        <v>450</v>
      </c>
      <c r="I49" s="31"/>
      <c r="J49" s="30">
        <f>(H48-H49)/2</f>
        <v>235</v>
      </c>
      <c r="K49" s="32"/>
      <c r="L49" s="18"/>
      <c r="N49" s="16"/>
      <c r="O49" s="23"/>
      <c r="P49" s="18"/>
      <c r="Q49" s="18"/>
      <c r="R49" s="18"/>
      <c r="S49" s="24"/>
      <c r="T49" s="18"/>
      <c r="U49" s="26"/>
    </row>
    <row r="50" spans="1:23" ht="5.25" customHeight="1">
      <c r="A50" s="15"/>
      <c r="B50" s="18"/>
      <c r="C50" s="18"/>
      <c r="D50" s="18"/>
      <c r="E50" s="22"/>
      <c r="F50" s="19"/>
      <c r="G50" s="22"/>
      <c r="H50" s="19"/>
      <c r="I50" s="20"/>
      <c r="J50" s="19"/>
      <c r="K50" s="20"/>
      <c r="L50" s="18"/>
      <c r="N50" s="16"/>
      <c r="O50" s="23"/>
      <c r="P50" s="18"/>
      <c r="Q50" s="18"/>
      <c r="R50" s="18"/>
      <c r="S50" s="24"/>
      <c r="T50" s="18"/>
      <c r="U50" s="26"/>
    </row>
    <row r="51" spans="1:23">
      <c r="A51" s="15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N51" s="16"/>
      <c r="O51" s="23"/>
      <c r="P51" s="18"/>
      <c r="Q51" s="18"/>
      <c r="R51" s="18"/>
      <c r="S51" s="24"/>
      <c r="T51" s="25"/>
      <c r="U51" s="26"/>
    </row>
    <row r="52" spans="1:23" ht="12" customHeight="1">
      <c r="A52" s="15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N52" s="16"/>
      <c r="O52" s="23"/>
      <c r="P52" s="18"/>
      <c r="Q52" s="18"/>
      <c r="R52" s="18"/>
      <c r="S52" s="24"/>
      <c r="T52" s="18"/>
      <c r="U52" s="26"/>
    </row>
    <row r="53" spans="1:23">
      <c r="A53" s="15"/>
      <c r="B53" s="22"/>
      <c r="C53" s="18"/>
      <c r="D53" s="18"/>
      <c r="E53" s="18"/>
      <c r="F53" s="18"/>
      <c r="G53" s="18"/>
      <c r="H53" s="18"/>
      <c r="I53" s="18"/>
      <c r="J53" s="18"/>
      <c r="K53" s="18"/>
      <c r="L53" s="18"/>
      <c r="O53" s="23"/>
      <c r="P53" s="18"/>
      <c r="Q53" s="18"/>
      <c r="R53" s="18"/>
      <c r="S53" s="24"/>
      <c r="T53" s="26"/>
      <c r="U53" s="26"/>
    </row>
    <row r="54" spans="1:23" ht="12" customHeight="1">
      <c r="A54" s="15"/>
      <c r="B54" s="23"/>
      <c r="C54" s="18"/>
      <c r="D54" s="18"/>
      <c r="E54" s="18"/>
      <c r="F54" s="18"/>
      <c r="G54" s="18"/>
      <c r="H54" s="18"/>
      <c r="I54" s="18"/>
      <c r="J54" s="18"/>
      <c r="K54" s="18"/>
      <c r="L54" s="18"/>
      <c r="O54" s="23"/>
      <c r="P54" s="18"/>
      <c r="Q54" s="18"/>
      <c r="R54" s="18"/>
      <c r="S54" s="24"/>
      <c r="T54" s="18"/>
      <c r="U54" s="26"/>
    </row>
    <row r="55" spans="1:23">
      <c r="A55" s="33">
        <f>Y37</f>
        <v>450</v>
      </c>
      <c r="B55" s="23"/>
      <c r="C55" s="18"/>
      <c r="D55" s="18"/>
      <c r="E55" s="18"/>
      <c r="F55" s="18"/>
      <c r="G55" s="18"/>
      <c r="H55" s="18"/>
      <c r="I55" s="18"/>
      <c r="J55" s="18"/>
      <c r="K55" s="18"/>
      <c r="L55" s="18"/>
      <c r="O55" s="23"/>
      <c r="P55" s="18"/>
      <c r="Q55" s="18"/>
      <c r="R55" s="18"/>
      <c r="S55" s="24"/>
      <c r="T55" s="18"/>
      <c r="U55" s="26"/>
    </row>
    <row r="56" spans="1:23" ht="12" customHeight="1">
      <c r="A56" s="15"/>
      <c r="B56" s="23"/>
      <c r="C56" s="18"/>
      <c r="D56" s="18"/>
      <c r="E56" s="18"/>
      <c r="F56" s="18"/>
      <c r="G56" s="18"/>
      <c r="H56" s="18"/>
      <c r="I56" s="18"/>
      <c r="J56" s="18"/>
      <c r="K56" s="18"/>
      <c r="L56" s="18"/>
      <c r="N56" s="16"/>
      <c r="O56" s="23"/>
      <c r="P56" s="18"/>
      <c r="Q56" s="18"/>
      <c r="R56" s="18"/>
      <c r="S56" s="24"/>
      <c r="T56" s="18"/>
      <c r="U56" s="26"/>
    </row>
    <row r="57" spans="1:23">
      <c r="A57" s="15"/>
      <c r="B57" s="23"/>
      <c r="C57" s="18"/>
      <c r="D57" s="18"/>
      <c r="E57" s="18"/>
      <c r="F57" s="18"/>
      <c r="G57" s="18"/>
      <c r="H57" s="18"/>
      <c r="I57" s="18"/>
      <c r="J57" s="18"/>
      <c r="K57" s="18"/>
      <c r="L57" s="18"/>
      <c r="N57" s="16"/>
      <c r="O57" s="23"/>
      <c r="P57" s="18"/>
      <c r="Q57" s="18"/>
      <c r="R57" s="18"/>
      <c r="S57" s="24"/>
      <c r="T57" s="18"/>
      <c r="U57" s="26"/>
    </row>
    <row r="58" spans="1:23" ht="12" customHeight="1">
      <c r="A58" s="15"/>
      <c r="B58" s="27"/>
      <c r="C58" s="18"/>
      <c r="D58" s="18"/>
      <c r="E58" s="18"/>
      <c r="F58" s="18"/>
      <c r="G58" s="18"/>
      <c r="H58" s="18"/>
      <c r="I58" s="18"/>
      <c r="J58" s="18"/>
      <c r="K58" s="18"/>
      <c r="L58" s="18"/>
      <c r="N58" s="34"/>
      <c r="O58" s="23"/>
      <c r="P58" s="18"/>
      <c r="Q58" s="18"/>
      <c r="R58" s="18"/>
      <c r="S58" s="24"/>
      <c r="T58" s="18"/>
      <c r="U58" s="26"/>
    </row>
    <row r="59" spans="1:23">
      <c r="A59" s="15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N59" s="34"/>
      <c r="O59" s="23"/>
      <c r="P59" s="49"/>
      <c r="Q59" s="49"/>
      <c r="R59" s="49"/>
      <c r="S59" s="24"/>
      <c r="T59" s="18"/>
      <c r="U59" s="26"/>
    </row>
    <row r="60" spans="1:23" ht="12" customHeight="1">
      <c r="A60" s="15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N60" s="16"/>
      <c r="O60" s="49"/>
      <c r="P60" s="49"/>
      <c r="Q60" s="49"/>
      <c r="R60" s="49"/>
      <c r="S60" s="24"/>
      <c r="T60" s="18"/>
      <c r="U60" s="26"/>
    </row>
    <row r="61" spans="1:23">
      <c r="A61" s="15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N61" s="16"/>
      <c r="O61" s="23"/>
      <c r="P61" s="18"/>
      <c r="Q61" s="18"/>
      <c r="R61" s="18"/>
      <c r="S61" s="24"/>
      <c r="T61" s="18"/>
      <c r="U61" s="26"/>
    </row>
    <row r="62" spans="1:23" ht="12" customHeight="1">
      <c r="A62" s="15"/>
      <c r="B62" s="18"/>
      <c r="C62" s="18"/>
      <c r="D62" s="18"/>
      <c r="E62" s="18"/>
      <c r="F62" s="35">
        <v>100</v>
      </c>
      <c r="G62" s="27"/>
      <c r="H62" s="36">
        <f>X37</f>
        <v>450</v>
      </c>
      <c r="I62" s="37"/>
      <c r="J62" s="38">
        <v>100</v>
      </c>
      <c r="K62" s="18"/>
      <c r="L62" s="18"/>
      <c r="N62" s="16"/>
      <c r="O62" s="23"/>
      <c r="P62" s="18"/>
      <c r="Q62" s="18"/>
      <c r="R62" s="18"/>
      <c r="S62" s="24"/>
      <c r="T62" s="18"/>
      <c r="U62" s="26"/>
      <c r="W62" s="39"/>
    </row>
    <row r="63" spans="1:23">
      <c r="A63" s="15"/>
      <c r="B63" s="18"/>
      <c r="C63" s="18"/>
      <c r="D63" s="18"/>
      <c r="E63" s="18"/>
      <c r="F63" s="29"/>
      <c r="G63" s="31"/>
      <c r="H63" s="40">
        <f>F62+H62+J62</f>
        <v>650</v>
      </c>
      <c r="I63" s="31"/>
      <c r="J63" s="32"/>
      <c r="K63" s="18"/>
      <c r="L63" s="18"/>
      <c r="N63" s="16"/>
      <c r="O63" s="23"/>
      <c r="P63" s="18"/>
      <c r="Q63" s="18"/>
      <c r="R63" s="18"/>
      <c r="S63" s="24"/>
      <c r="T63" s="18"/>
      <c r="U63" s="26"/>
    </row>
    <row r="64" spans="1:23">
      <c r="A64" s="15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N64" s="16"/>
      <c r="O64" s="23"/>
      <c r="P64" s="18"/>
      <c r="Q64" s="18"/>
      <c r="R64" s="18"/>
      <c r="S64" s="24"/>
      <c r="T64" s="18"/>
      <c r="U64" s="26"/>
    </row>
    <row r="65" spans="1:21" ht="12" customHeight="1">
      <c r="A65" s="1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N65" s="16"/>
      <c r="O65" s="23"/>
      <c r="P65" s="18"/>
      <c r="Q65" s="18"/>
      <c r="R65" s="18"/>
      <c r="S65" s="24"/>
      <c r="T65" s="18"/>
      <c r="U65" s="26"/>
    </row>
    <row r="66" spans="1:21">
      <c r="A66" s="1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N66" s="16"/>
      <c r="O66" s="23"/>
      <c r="P66" s="18"/>
      <c r="Q66" s="18"/>
      <c r="R66" s="18"/>
      <c r="S66" s="24"/>
      <c r="T66" s="18"/>
      <c r="U66" s="26"/>
    </row>
    <row r="67" spans="1:21" ht="12" customHeight="1">
      <c r="A67" s="15"/>
      <c r="N67" s="16"/>
      <c r="O67" s="23"/>
      <c r="P67" s="18"/>
      <c r="Q67" s="18"/>
      <c r="R67" s="18"/>
      <c r="S67" s="24"/>
      <c r="T67" s="18"/>
      <c r="U67" s="26"/>
    </row>
    <row r="68" spans="1:21">
      <c r="A68" s="15"/>
      <c r="N68" s="16"/>
      <c r="O68" s="23"/>
      <c r="P68" s="18"/>
      <c r="Q68" s="41"/>
      <c r="R68" s="18"/>
      <c r="S68" s="24"/>
      <c r="T68" s="18"/>
      <c r="U68" s="26"/>
    </row>
    <row r="69" spans="1:21">
      <c r="A69" s="15"/>
      <c r="N69" s="16"/>
      <c r="O69" s="23"/>
      <c r="P69" s="18"/>
      <c r="Q69" s="41"/>
      <c r="R69" s="18"/>
      <c r="S69" s="24"/>
      <c r="T69" s="18"/>
      <c r="U69" s="26"/>
    </row>
    <row r="70" spans="1:21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4"/>
      <c r="O70" s="27"/>
      <c r="P70" s="45"/>
      <c r="Q70" s="46"/>
      <c r="R70" s="45"/>
      <c r="S70" s="37"/>
      <c r="T70" s="45"/>
      <c r="U70" s="47"/>
    </row>
  </sheetData>
  <phoneticPr fontId="3" type="noConversion"/>
  <pageMargins left="0.90999999999999992" right="0.47" top="0.81" bottom="0.44999999999999996" header="0.51181102362204722" footer="0.33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AutoCAD.Drawing.15" shapeId="10241" r:id="rId4">
          <objectPr defaultSize="0" autoPict="0" r:id="rId5">
            <anchor moveWithCells="1">
              <from>
                <xdr:col>3</xdr:col>
                <xdr:colOff>333375</xdr:colOff>
                <xdr:row>17</xdr:row>
                <xdr:rowOff>9525</xdr:rowOff>
              </from>
              <to>
                <xdr:col>9</xdr:col>
                <xdr:colOff>323850</xdr:colOff>
                <xdr:row>23</xdr:row>
                <xdr:rowOff>0</xdr:rowOff>
              </to>
            </anchor>
          </objectPr>
        </oleObject>
      </mc:Choice>
      <mc:Fallback>
        <oleObject progId="AutoCAD.Drawing.15" shapeId="10241" r:id="rId4"/>
      </mc:Fallback>
    </mc:AlternateContent>
    <mc:AlternateContent xmlns:mc="http://schemas.openxmlformats.org/markup-compatibility/2006">
      <mc:Choice Requires="x14">
        <oleObject progId="AutoCAD.Drawing.15" shapeId="10242" r:id="rId6">
          <objectPr defaultSize="0" autoPict="0" r:id="rId7">
            <anchor moveWithCells="1">
              <from>
                <xdr:col>5</xdr:col>
                <xdr:colOff>19050</xdr:colOff>
                <xdr:row>2</xdr:row>
                <xdr:rowOff>171450</xdr:rowOff>
              </from>
              <to>
                <xdr:col>9</xdr:col>
                <xdr:colOff>323850</xdr:colOff>
                <xdr:row>10</xdr:row>
                <xdr:rowOff>161925</xdr:rowOff>
              </to>
            </anchor>
          </objectPr>
        </oleObject>
      </mc:Choice>
      <mc:Fallback>
        <oleObject progId="AutoCAD.Drawing.15" shapeId="10242" r:id="rId6"/>
      </mc:Fallback>
    </mc:AlternateContent>
    <mc:AlternateContent xmlns:mc="http://schemas.openxmlformats.org/markup-compatibility/2006">
      <mc:Choice Requires="x14">
        <oleObject progId="AutoCAD.Drawing.15" shapeId="10243" r:id="rId8">
          <objectPr defaultSize="0" autoPict="0" r:id="rId5">
            <anchor moveWithCells="1">
              <from>
                <xdr:col>5</xdr:col>
                <xdr:colOff>9525</xdr:colOff>
                <xdr:row>52</xdr:row>
                <xdr:rowOff>9525</xdr:rowOff>
              </from>
              <to>
                <xdr:col>9</xdr:col>
                <xdr:colOff>314325</xdr:colOff>
                <xdr:row>57</xdr:row>
                <xdr:rowOff>142875</xdr:rowOff>
              </to>
            </anchor>
          </objectPr>
        </oleObject>
      </mc:Choice>
      <mc:Fallback>
        <oleObject progId="AutoCAD.Drawing.15" shapeId="10243" r:id="rId8"/>
      </mc:Fallback>
    </mc:AlternateContent>
    <mc:AlternateContent xmlns:mc="http://schemas.openxmlformats.org/markup-compatibility/2006">
      <mc:Choice Requires="x14">
        <oleObject progId="AutoCAD.Drawing.15" shapeId="10244" r:id="rId9">
          <objectPr defaultSize="0" autoPict="0" r:id="rId7">
            <anchor moveWithCells="1">
              <from>
                <xdr:col>5</xdr:col>
                <xdr:colOff>19050</xdr:colOff>
                <xdr:row>37</xdr:row>
                <xdr:rowOff>171450</xdr:rowOff>
              </from>
              <to>
                <xdr:col>9</xdr:col>
                <xdr:colOff>323850</xdr:colOff>
                <xdr:row>45</xdr:row>
                <xdr:rowOff>161925</xdr:rowOff>
              </to>
            </anchor>
          </objectPr>
        </oleObject>
      </mc:Choice>
      <mc:Fallback>
        <oleObject progId="AutoCAD.Drawing.15" shapeId="10244" r:id="rId9"/>
      </mc:Fallback>
    </mc:AlternateContent>
  </oleObjec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239"/>
  <sheetViews>
    <sheetView topLeftCell="A217" workbookViewId="0">
      <selection activeCell="F9" sqref="F9"/>
    </sheetView>
  </sheetViews>
  <sheetFormatPr defaultColWidth="8.88671875" defaultRowHeight="11.25"/>
  <cols>
    <col min="1" max="1" width="6.77734375" style="51" bestFit="1" customWidth="1"/>
    <col min="2" max="2" width="11.21875" style="51" bestFit="1" customWidth="1"/>
    <col min="3" max="3" width="19.21875" style="51" bestFit="1" customWidth="1"/>
    <col min="4" max="4" width="4.44140625" style="51" bestFit="1" customWidth="1"/>
    <col min="5" max="5" width="6.77734375" style="51" bestFit="1" customWidth="1"/>
    <col min="6" max="6" width="7.6640625" style="51" bestFit="1" customWidth="1"/>
    <col min="7" max="7" width="8.109375" style="51" customWidth="1"/>
    <col min="8" max="8" width="10.5546875" style="51" customWidth="1"/>
    <col min="9" max="16384" width="8.88671875" style="51"/>
  </cols>
  <sheetData>
    <row r="1" spans="1:9" ht="25.5">
      <c r="A1" s="2027" t="s">
        <v>46</v>
      </c>
      <c r="B1" s="2027"/>
      <c r="C1" s="2027"/>
      <c r="D1" s="2027"/>
      <c r="E1" s="2027"/>
      <c r="F1" s="2027"/>
      <c r="G1" s="2027"/>
      <c r="H1" s="2027"/>
    </row>
    <row r="2" spans="1:9" s="53" customFormat="1" ht="12">
      <c r="A2" s="52"/>
      <c r="B2" s="52"/>
      <c r="C2" s="52"/>
      <c r="D2" s="52"/>
      <c r="E2" s="52"/>
      <c r="F2" s="52"/>
      <c r="G2" s="52"/>
      <c r="H2" s="52"/>
    </row>
    <row r="3" spans="1:9" s="53" customFormat="1" ht="12"/>
    <row r="4" spans="1:9" s="53" customFormat="1" ht="19.5" customHeight="1">
      <c r="A4" s="53" t="s">
        <v>47</v>
      </c>
      <c r="B4" s="53" t="s">
        <v>48</v>
      </c>
      <c r="C4" s="53" t="s">
        <v>49</v>
      </c>
    </row>
    <row r="5" spans="1:9" s="53" customFormat="1" ht="9.75" customHeight="1"/>
    <row r="6" spans="1:9" s="53" customFormat="1" ht="24.95" customHeight="1">
      <c r="A6" s="2028" t="s">
        <v>50</v>
      </c>
      <c r="B6" s="2028"/>
      <c r="C6" s="54" t="s">
        <v>51</v>
      </c>
      <c r="D6" s="54" t="s">
        <v>52</v>
      </c>
      <c r="E6" s="54" t="s">
        <v>53</v>
      </c>
      <c r="F6" s="54" t="s">
        <v>54</v>
      </c>
      <c r="G6" s="54" t="s">
        <v>56</v>
      </c>
      <c r="H6" s="54" t="s">
        <v>57</v>
      </c>
    </row>
    <row r="7" spans="1:9" s="53" customFormat="1" ht="24.95" customHeight="1">
      <c r="A7" s="2029" t="s">
        <v>58</v>
      </c>
      <c r="B7" s="55" t="s">
        <v>58</v>
      </c>
      <c r="C7" s="55" t="s">
        <v>59</v>
      </c>
      <c r="D7" s="56" t="s">
        <v>60</v>
      </c>
      <c r="E7" s="57">
        <v>1</v>
      </c>
      <c r="F7" s="58">
        <v>66.260000000000005</v>
      </c>
      <c r="G7" s="58">
        <f>F7*E7</f>
        <v>66.260000000000005</v>
      </c>
      <c r="H7" s="59"/>
      <c r="I7" s="60"/>
    </row>
    <row r="8" spans="1:9" s="53" customFormat="1" ht="24.95" customHeight="1">
      <c r="A8" s="2024"/>
      <c r="B8" s="61" t="s">
        <v>61</v>
      </c>
      <c r="C8" s="61" t="s">
        <v>62</v>
      </c>
      <c r="D8" s="62" t="s">
        <v>60</v>
      </c>
      <c r="E8" s="63">
        <v>1</v>
      </c>
      <c r="F8" s="64">
        <v>0.3</v>
      </c>
      <c r="G8" s="64">
        <f t="shared" ref="G8:G13" si="0">F8*E8</f>
        <v>0.3</v>
      </c>
      <c r="H8" s="65"/>
      <c r="I8" s="60"/>
    </row>
    <row r="9" spans="1:9" s="53" customFormat="1" ht="24.95" customHeight="1">
      <c r="A9" s="2024"/>
      <c r="B9" s="61" t="s">
        <v>63</v>
      </c>
      <c r="C9" s="61" t="s">
        <v>64</v>
      </c>
      <c r="D9" s="62" t="s">
        <v>60</v>
      </c>
      <c r="E9" s="63">
        <v>2</v>
      </c>
      <c r="F9" s="64">
        <v>0.22</v>
      </c>
      <c r="G9" s="64">
        <f t="shared" si="0"/>
        <v>0.44</v>
      </c>
      <c r="H9" s="65"/>
      <c r="I9" s="60"/>
    </row>
    <row r="10" spans="1:9" s="53" customFormat="1" ht="24.95" customHeight="1">
      <c r="A10" s="2024"/>
      <c r="B10" s="61" t="s">
        <v>65</v>
      </c>
      <c r="C10" s="61" t="s">
        <v>66</v>
      </c>
      <c r="D10" s="62" t="s">
        <v>60</v>
      </c>
      <c r="E10" s="63">
        <v>4</v>
      </c>
      <c r="F10" s="64">
        <v>0.56999999999999995</v>
      </c>
      <c r="G10" s="64">
        <f t="shared" si="0"/>
        <v>2.2799999999999998</v>
      </c>
      <c r="H10" s="65"/>
      <c r="I10" s="60"/>
    </row>
    <row r="11" spans="1:9" s="53" customFormat="1" ht="24.95" customHeight="1">
      <c r="A11" s="2024"/>
      <c r="B11" s="61" t="s">
        <v>67</v>
      </c>
      <c r="C11" s="61" t="s">
        <v>68</v>
      </c>
      <c r="D11" s="62" t="s">
        <v>60</v>
      </c>
      <c r="E11" s="63">
        <v>1</v>
      </c>
      <c r="F11" s="64">
        <v>7.05</v>
      </c>
      <c r="G11" s="64">
        <f t="shared" si="0"/>
        <v>7.05</v>
      </c>
      <c r="H11" s="65"/>
      <c r="I11" s="60"/>
    </row>
    <row r="12" spans="1:9" s="53" customFormat="1" ht="24.95" customHeight="1">
      <c r="A12" s="2024"/>
      <c r="B12" s="61" t="s">
        <v>69</v>
      </c>
      <c r="C12" s="61" t="s">
        <v>70</v>
      </c>
      <c r="D12" s="62" t="s">
        <v>60</v>
      </c>
      <c r="E12" s="63">
        <v>1</v>
      </c>
      <c r="F12" s="64">
        <v>1.73</v>
      </c>
      <c r="G12" s="64">
        <f t="shared" si="0"/>
        <v>1.73</v>
      </c>
      <c r="H12" s="65"/>
      <c r="I12" s="60"/>
    </row>
    <row r="13" spans="1:9" s="53" customFormat="1" ht="24.95" customHeight="1">
      <c r="A13" s="2024"/>
      <c r="B13" s="61" t="s">
        <v>71</v>
      </c>
      <c r="C13" s="61" t="s">
        <v>72</v>
      </c>
      <c r="D13" s="62" t="s">
        <v>60</v>
      </c>
      <c r="E13" s="66">
        <v>1</v>
      </c>
      <c r="F13" s="64">
        <v>0.01</v>
      </c>
      <c r="G13" s="64">
        <f t="shared" si="0"/>
        <v>0.01</v>
      </c>
      <c r="H13" s="65"/>
      <c r="I13" s="60"/>
    </row>
    <row r="14" spans="1:9" s="53" customFormat="1" ht="24.95" customHeight="1">
      <c r="A14" s="2024"/>
      <c r="B14" s="61"/>
      <c r="C14" s="61"/>
      <c r="D14" s="61"/>
      <c r="E14" s="61"/>
      <c r="F14" s="61"/>
      <c r="G14" s="61"/>
      <c r="H14" s="67"/>
    </row>
    <row r="15" spans="1:9" s="53" customFormat="1" ht="24.95" customHeight="1">
      <c r="A15" s="2025" t="s">
        <v>73</v>
      </c>
      <c r="B15" s="2026"/>
      <c r="C15" s="68"/>
      <c r="D15" s="69" t="s">
        <v>74</v>
      </c>
      <c r="E15" s="70">
        <v>1</v>
      </c>
      <c r="F15" s="68"/>
      <c r="G15" s="71">
        <f>SUM(G7:G13)</f>
        <v>78.070000000000007</v>
      </c>
      <c r="H15" s="72"/>
    </row>
    <row r="16" spans="1:9" s="53" customFormat="1" ht="24.95" customHeight="1">
      <c r="A16" s="2024" t="s">
        <v>75</v>
      </c>
      <c r="B16" s="61" t="s">
        <v>76</v>
      </c>
      <c r="C16" s="61" t="s">
        <v>77</v>
      </c>
      <c r="D16" s="62" t="s">
        <v>60</v>
      </c>
      <c r="E16" s="63">
        <v>2</v>
      </c>
      <c r="F16" s="64">
        <v>0.36</v>
      </c>
      <c r="G16" s="64">
        <f>F16*E16</f>
        <v>0.72</v>
      </c>
      <c r="H16" s="67"/>
    </row>
    <row r="17" spans="1:8" s="53" customFormat="1" ht="24.95" customHeight="1">
      <c r="A17" s="2024"/>
      <c r="B17" s="61" t="s">
        <v>78</v>
      </c>
      <c r="C17" s="61" t="s">
        <v>79</v>
      </c>
      <c r="D17" s="62" t="s">
        <v>60</v>
      </c>
      <c r="E17" s="63">
        <v>1</v>
      </c>
      <c r="F17" s="64">
        <v>0.2</v>
      </c>
      <c r="G17" s="64">
        <f>F17*E17</f>
        <v>0.2</v>
      </c>
      <c r="H17" s="67"/>
    </row>
    <row r="18" spans="1:8" s="53" customFormat="1" ht="24.95" customHeight="1">
      <c r="A18" s="2024"/>
      <c r="B18" s="61"/>
      <c r="C18" s="61"/>
      <c r="D18" s="61"/>
      <c r="E18" s="61"/>
      <c r="F18" s="61"/>
      <c r="G18" s="61"/>
      <c r="H18" s="67"/>
    </row>
    <row r="19" spans="1:8" s="53" customFormat="1" ht="24.95" customHeight="1">
      <c r="A19" s="2025" t="s">
        <v>73</v>
      </c>
      <c r="B19" s="2026"/>
      <c r="C19" s="68"/>
      <c r="D19" s="69" t="s">
        <v>74</v>
      </c>
      <c r="E19" s="69">
        <v>1</v>
      </c>
      <c r="F19" s="68"/>
      <c r="G19" s="71">
        <f>SUM(G16:G17)</f>
        <v>0.91999999999999993</v>
      </c>
      <c r="H19" s="72"/>
    </row>
    <row r="20" spans="1:8" s="53" customFormat="1" ht="24.95" customHeight="1">
      <c r="A20" s="2024" t="s">
        <v>80</v>
      </c>
      <c r="B20" s="61" t="s">
        <v>81</v>
      </c>
      <c r="C20" s="61" t="s">
        <v>82</v>
      </c>
      <c r="D20" s="62" t="s">
        <v>60</v>
      </c>
      <c r="E20" s="73">
        <v>6</v>
      </c>
      <c r="F20" s="61"/>
      <c r="G20" s="61"/>
      <c r="H20" s="67"/>
    </row>
    <row r="21" spans="1:8" s="53" customFormat="1" ht="24.95" customHeight="1">
      <c r="A21" s="2024"/>
      <c r="B21" s="61" t="s">
        <v>83</v>
      </c>
      <c r="C21" s="61" t="s">
        <v>84</v>
      </c>
      <c r="D21" s="62" t="s">
        <v>60</v>
      </c>
      <c r="E21" s="66" t="s">
        <v>85</v>
      </c>
      <c r="F21" s="61"/>
      <c r="G21" s="61"/>
      <c r="H21" s="67"/>
    </row>
    <row r="22" spans="1:8" s="53" customFormat="1" ht="24.95" customHeight="1">
      <c r="A22" s="2024"/>
      <c r="B22" s="61" t="s">
        <v>86</v>
      </c>
      <c r="C22" s="61" t="s">
        <v>87</v>
      </c>
      <c r="D22" s="62" t="s">
        <v>60</v>
      </c>
      <c r="E22" s="66" t="s">
        <v>85</v>
      </c>
      <c r="F22" s="74">
        <v>1.08</v>
      </c>
      <c r="G22" s="74">
        <v>0.154</v>
      </c>
      <c r="H22" s="67"/>
    </row>
    <row r="23" spans="1:8" s="53" customFormat="1" ht="24.95" customHeight="1">
      <c r="A23" s="2024"/>
      <c r="B23" s="61" t="s">
        <v>88</v>
      </c>
      <c r="C23" s="61"/>
      <c r="D23" s="62" t="s">
        <v>60</v>
      </c>
      <c r="E23" s="66" t="s">
        <v>89</v>
      </c>
      <c r="F23" s="61"/>
      <c r="G23" s="61"/>
      <c r="H23" s="67"/>
    </row>
    <row r="24" spans="1:8" s="53" customFormat="1" ht="24.95" customHeight="1">
      <c r="A24" s="2024"/>
      <c r="B24" s="61" t="s">
        <v>90</v>
      </c>
      <c r="C24" s="61" t="s">
        <v>91</v>
      </c>
      <c r="D24" s="62" t="s">
        <v>92</v>
      </c>
      <c r="E24" s="75">
        <v>0.89500000000000002</v>
      </c>
      <c r="F24" s="61"/>
      <c r="G24" s="61"/>
      <c r="H24" s="67"/>
    </row>
    <row r="25" spans="1:8" s="53" customFormat="1" ht="24.95" customHeight="1">
      <c r="A25" s="2024"/>
      <c r="B25" s="61" t="s">
        <v>93</v>
      </c>
      <c r="C25" s="61"/>
      <c r="D25" s="62" t="s">
        <v>60</v>
      </c>
      <c r="E25" s="75">
        <v>1.002</v>
      </c>
      <c r="F25" s="61"/>
      <c r="G25" s="61"/>
      <c r="H25" s="67"/>
    </row>
    <row r="26" spans="1:8" s="53" customFormat="1" ht="24.95" customHeight="1">
      <c r="A26" s="2024"/>
      <c r="B26" s="61" t="s">
        <v>94</v>
      </c>
      <c r="C26" s="61" t="s">
        <v>95</v>
      </c>
      <c r="D26" s="62" t="s">
        <v>60</v>
      </c>
      <c r="E26" s="75">
        <v>0.35599999999999998</v>
      </c>
      <c r="F26" s="61"/>
      <c r="G26" s="61"/>
      <c r="H26" s="67"/>
    </row>
    <row r="27" spans="1:8" s="53" customFormat="1" ht="24.95" customHeight="1">
      <c r="A27" s="2024"/>
      <c r="B27" s="61"/>
      <c r="C27" s="61"/>
      <c r="D27" s="61"/>
      <c r="E27" s="61"/>
      <c r="F27" s="61"/>
      <c r="G27" s="61"/>
      <c r="H27" s="67"/>
    </row>
    <row r="28" spans="1:8" s="53" customFormat="1" ht="24.95" customHeight="1">
      <c r="A28" s="2024"/>
      <c r="B28" s="61"/>
      <c r="C28" s="61"/>
      <c r="D28" s="61"/>
      <c r="E28" s="61"/>
      <c r="F28" s="61"/>
      <c r="G28" s="61"/>
      <c r="H28" s="67"/>
    </row>
    <row r="29" spans="1:8" s="53" customFormat="1" ht="24.95" customHeight="1">
      <c r="A29" s="2024"/>
      <c r="B29" s="61"/>
      <c r="C29" s="61"/>
      <c r="D29" s="61"/>
      <c r="E29" s="61"/>
      <c r="F29" s="61"/>
      <c r="G29" s="61"/>
      <c r="H29" s="67"/>
    </row>
    <row r="30" spans="1:8" s="53" customFormat="1" ht="24.95" customHeight="1">
      <c r="A30" s="2020" t="s">
        <v>96</v>
      </c>
      <c r="B30" s="2021"/>
      <c r="C30" s="76"/>
      <c r="D30" s="76"/>
      <c r="E30" s="76"/>
      <c r="F30" s="76"/>
      <c r="G30" s="77">
        <f>G15+G19+G22</f>
        <v>79.144000000000005</v>
      </c>
      <c r="H30" s="78"/>
    </row>
    <row r="31" spans="1:8" s="53" customFormat="1" ht="24.95" customHeight="1">
      <c r="A31" s="2022" t="s">
        <v>97</v>
      </c>
      <c r="B31" s="2023"/>
      <c r="C31" s="2023"/>
      <c r="D31" s="2023"/>
      <c r="E31" s="2023"/>
      <c r="F31" s="2023"/>
      <c r="G31" s="2023"/>
      <c r="H31" s="2030"/>
    </row>
    <row r="32" spans="1:8" s="53" customFormat="1" ht="24.95" customHeight="1">
      <c r="A32" s="2031"/>
      <c r="B32" s="2032"/>
      <c r="C32" s="2032"/>
      <c r="D32" s="2032"/>
      <c r="E32" s="2032"/>
      <c r="F32" s="2032"/>
      <c r="G32" s="2032"/>
      <c r="H32" s="2033"/>
    </row>
    <row r="33" spans="1:8" s="53" customFormat="1" ht="24.95" customHeight="1">
      <c r="A33" s="2031"/>
      <c r="B33" s="2032"/>
      <c r="C33" s="2032"/>
      <c r="D33" s="2032"/>
      <c r="E33" s="2032"/>
      <c r="F33" s="2032"/>
      <c r="G33" s="2032"/>
      <c r="H33" s="2033"/>
    </row>
    <row r="34" spans="1:8" s="53" customFormat="1" ht="24.95" customHeight="1">
      <c r="A34" s="2031"/>
      <c r="B34" s="2032"/>
      <c r="C34" s="2032"/>
      <c r="D34" s="2032"/>
      <c r="E34" s="2032"/>
      <c r="F34" s="2032"/>
      <c r="G34" s="2032"/>
      <c r="H34" s="2033"/>
    </row>
    <row r="35" spans="1:8" s="53" customFormat="1" ht="24.95" customHeight="1">
      <c r="A35" s="2034"/>
      <c r="B35" s="2035"/>
      <c r="C35" s="2035"/>
      <c r="D35" s="2035"/>
      <c r="E35" s="2035"/>
      <c r="F35" s="2035"/>
      <c r="G35" s="2035"/>
      <c r="H35" s="2036"/>
    </row>
    <row r="36" spans="1:8" s="53" customFormat="1" ht="24.95" customHeight="1"/>
    <row r="37" spans="1:8" s="53" customFormat="1" ht="24.95" customHeight="1"/>
    <row r="38" spans="1:8" s="53" customFormat="1" ht="24.95" customHeight="1">
      <c r="A38" s="53" t="s">
        <v>47</v>
      </c>
      <c r="B38" s="53" t="s">
        <v>48</v>
      </c>
      <c r="C38" s="53" t="s">
        <v>98</v>
      </c>
    </row>
    <row r="39" spans="1:8" s="53" customFormat="1" ht="24.95" customHeight="1"/>
    <row r="40" spans="1:8" s="53" customFormat="1" ht="24.95" customHeight="1">
      <c r="A40" s="2028" t="s">
        <v>50</v>
      </c>
      <c r="B40" s="2028"/>
      <c r="C40" s="54" t="s">
        <v>51</v>
      </c>
      <c r="D40" s="54" t="s">
        <v>52</v>
      </c>
      <c r="E40" s="54" t="s">
        <v>53</v>
      </c>
      <c r="F40" s="54" t="s">
        <v>54</v>
      </c>
      <c r="G40" s="54" t="s">
        <v>56</v>
      </c>
      <c r="H40" s="54" t="s">
        <v>57</v>
      </c>
    </row>
    <row r="41" spans="1:8" s="53" customFormat="1" ht="24.95" customHeight="1">
      <c r="A41" s="2029" t="s">
        <v>58</v>
      </c>
      <c r="B41" s="55" t="s">
        <v>58</v>
      </c>
      <c r="C41" s="55" t="s">
        <v>99</v>
      </c>
      <c r="D41" s="56" t="s">
        <v>60</v>
      </c>
      <c r="E41" s="57">
        <v>1</v>
      </c>
      <c r="F41" s="58">
        <v>76.84</v>
      </c>
      <c r="G41" s="58">
        <f t="shared" ref="G41:G47" si="1">F41*E41</f>
        <v>76.84</v>
      </c>
      <c r="H41" s="59"/>
    </row>
    <row r="42" spans="1:8" s="53" customFormat="1" ht="24.95" customHeight="1">
      <c r="A42" s="2024"/>
      <c r="B42" s="61" t="s">
        <v>61</v>
      </c>
      <c r="C42" s="61" t="s">
        <v>62</v>
      </c>
      <c r="D42" s="62" t="s">
        <v>60</v>
      </c>
      <c r="E42" s="63">
        <v>1</v>
      </c>
      <c r="F42" s="64">
        <v>0.3</v>
      </c>
      <c r="G42" s="64">
        <f t="shared" si="1"/>
        <v>0.3</v>
      </c>
      <c r="H42" s="65"/>
    </row>
    <row r="43" spans="1:8" s="53" customFormat="1" ht="24.95" customHeight="1">
      <c r="A43" s="2024"/>
      <c r="B43" s="61" t="s">
        <v>63</v>
      </c>
      <c r="C43" s="61" t="s">
        <v>64</v>
      </c>
      <c r="D43" s="62" t="s">
        <v>60</v>
      </c>
      <c r="E43" s="63">
        <v>2</v>
      </c>
      <c r="F43" s="64">
        <v>0.22</v>
      </c>
      <c r="G43" s="64">
        <f t="shared" si="1"/>
        <v>0.44</v>
      </c>
      <c r="H43" s="65"/>
    </row>
    <row r="44" spans="1:8" s="53" customFormat="1" ht="24.95" customHeight="1">
      <c r="A44" s="2024"/>
      <c r="B44" s="61" t="s">
        <v>65</v>
      </c>
      <c r="C44" s="61" t="s">
        <v>66</v>
      </c>
      <c r="D44" s="62" t="s">
        <v>60</v>
      </c>
      <c r="E44" s="63">
        <v>4</v>
      </c>
      <c r="F44" s="64">
        <v>0.56999999999999995</v>
      </c>
      <c r="G44" s="64">
        <f t="shared" si="1"/>
        <v>2.2799999999999998</v>
      </c>
      <c r="H44" s="65"/>
    </row>
    <row r="45" spans="1:8" s="53" customFormat="1" ht="24.95" customHeight="1">
      <c r="A45" s="2024"/>
      <c r="B45" s="61" t="s">
        <v>67</v>
      </c>
      <c r="C45" s="61" t="s">
        <v>68</v>
      </c>
      <c r="D45" s="62" t="s">
        <v>60</v>
      </c>
      <c r="E45" s="63">
        <v>1</v>
      </c>
      <c r="F45" s="64">
        <v>7.05</v>
      </c>
      <c r="G45" s="64">
        <f t="shared" si="1"/>
        <v>7.05</v>
      </c>
      <c r="H45" s="65"/>
    </row>
    <row r="46" spans="1:8" s="53" customFormat="1" ht="24.95" customHeight="1">
      <c r="A46" s="2024"/>
      <c r="B46" s="61" t="s">
        <v>69</v>
      </c>
      <c r="C46" s="61" t="s">
        <v>70</v>
      </c>
      <c r="D46" s="62" t="s">
        <v>60</v>
      </c>
      <c r="E46" s="63">
        <v>1</v>
      </c>
      <c r="F46" s="64">
        <v>1.73</v>
      </c>
      <c r="G46" s="64">
        <f t="shared" si="1"/>
        <v>1.73</v>
      </c>
      <c r="H46" s="65"/>
    </row>
    <row r="47" spans="1:8" s="53" customFormat="1" ht="24.95" customHeight="1">
      <c r="A47" s="2024"/>
      <c r="B47" s="61" t="s">
        <v>71</v>
      </c>
      <c r="C47" s="61" t="s">
        <v>72</v>
      </c>
      <c r="D47" s="62" t="s">
        <v>60</v>
      </c>
      <c r="E47" s="66">
        <v>1</v>
      </c>
      <c r="F47" s="64">
        <v>0.01</v>
      </c>
      <c r="G47" s="64">
        <f t="shared" si="1"/>
        <v>0.01</v>
      </c>
      <c r="H47" s="65"/>
    </row>
    <row r="48" spans="1:8" s="53" customFormat="1" ht="24.95" customHeight="1">
      <c r="A48" s="2024"/>
      <c r="B48" s="61"/>
      <c r="C48" s="61"/>
      <c r="D48" s="61"/>
      <c r="E48" s="61"/>
      <c r="F48" s="61"/>
      <c r="G48" s="61"/>
      <c r="H48" s="67"/>
    </row>
    <row r="49" spans="1:8" s="53" customFormat="1" ht="24.95" customHeight="1">
      <c r="A49" s="2025" t="s">
        <v>73</v>
      </c>
      <c r="B49" s="2026"/>
      <c r="C49" s="68"/>
      <c r="D49" s="69" t="s">
        <v>74</v>
      </c>
      <c r="E49" s="70">
        <v>1</v>
      </c>
      <c r="F49" s="68"/>
      <c r="G49" s="71">
        <f>SUM(G41:G47)</f>
        <v>88.65</v>
      </c>
      <c r="H49" s="72"/>
    </row>
    <row r="50" spans="1:8" s="53" customFormat="1" ht="24.95" customHeight="1">
      <c r="A50" s="2024" t="s">
        <v>75</v>
      </c>
      <c r="B50" s="61" t="s">
        <v>76</v>
      </c>
      <c r="C50" s="61" t="s">
        <v>77</v>
      </c>
      <c r="D50" s="62" t="s">
        <v>60</v>
      </c>
      <c r="E50" s="63">
        <v>2</v>
      </c>
      <c r="F50" s="64">
        <v>0.36</v>
      </c>
      <c r="G50" s="64">
        <f>F50*E50</f>
        <v>0.72</v>
      </c>
      <c r="H50" s="67"/>
    </row>
    <row r="51" spans="1:8" s="53" customFormat="1" ht="24.95" customHeight="1">
      <c r="A51" s="2024"/>
      <c r="B51" s="61" t="s">
        <v>78</v>
      </c>
      <c r="C51" s="61" t="s">
        <v>79</v>
      </c>
      <c r="D51" s="62" t="s">
        <v>60</v>
      </c>
      <c r="E51" s="63">
        <v>1</v>
      </c>
      <c r="F51" s="64">
        <v>0.2</v>
      </c>
      <c r="G51" s="64">
        <f>F51*E51</f>
        <v>0.2</v>
      </c>
      <c r="H51" s="67"/>
    </row>
    <row r="52" spans="1:8" s="53" customFormat="1" ht="24.95" customHeight="1">
      <c r="A52" s="2024"/>
      <c r="B52" s="61"/>
      <c r="C52" s="61"/>
      <c r="D52" s="61"/>
      <c r="E52" s="61"/>
      <c r="F52" s="61"/>
      <c r="G52" s="61"/>
      <c r="H52" s="67"/>
    </row>
    <row r="53" spans="1:8" s="53" customFormat="1" ht="24.95" customHeight="1">
      <c r="A53" s="2025" t="s">
        <v>73</v>
      </c>
      <c r="B53" s="2026"/>
      <c r="C53" s="68"/>
      <c r="D53" s="69" t="s">
        <v>74</v>
      </c>
      <c r="E53" s="69">
        <v>1</v>
      </c>
      <c r="F53" s="68"/>
      <c r="G53" s="71">
        <f>SUM(G50:G51)</f>
        <v>0.91999999999999993</v>
      </c>
      <c r="H53" s="72"/>
    </row>
    <row r="54" spans="1:8" s="53" customFormat="1" ht="24.95" customHeight="1">
      <c r="A54" s="2024" t="s">
        <v>80</v>
      </c>
      <c r="B54" s="61" t="s">
        <v>81</v>
      </c>
      <c r="C54" s="61" t="s">
        <v>82</v>
      </c>
      <c r="D54" s="62" t="s">
        <v>60</v>
      </c>
      <c r="E54" s="73">
        <v>6</v>
      </c>
      <c r="F54" s="61"/>
      <c r="G54" s="61"/>
      <c r="H54" s="67"/>
    </row>
    <row r="55" spans="1:8" s="53" customFormat="1" ht="24.95" customHeight="1">
      <c r="A55" s="2024"/>
      <c r="B55" s="61" t="s">
        <v>83</v>
      </c>
      <c r="C55" s="61" t="s">
        <v>84</v>
      </c>
      <c r="D55" s="62" t="s">
        <v>60</v>
      </c>
      <c r="E55" s="66" t="s">
        <v>85</v>
      </c>
      <c r="F55" s="61"/>
      <c r="G55" s="61"/>
      <c r="H55" s="67"/>
    </row>
    <row r="56" spans="1:8" s="53" customFormat="1" ht="24.95" customHeight="1">
      <c r="A56" s="2024"/>
      <c r="B56" s="61" t="s">
        <v>86</v>
      </c>
      <c r="C56" s="61" t="s">
        <v>87</v>
      </c>
      <c r="D56" s="62" t="s">
        <v>60</v>
      </c>
      <c r="E56" s="66" t="s">
        <v>85</v>
      </c>
      <c r="F56" s="74">
        <v>1.08</v>
      </c>
      <c r="G56" s="74">
        <v>0.154</v>
      </c>
      <c r="H56" s="67"/>
    </row>
    <row r="57" spans="1:8" s="53" customFormat="1" ht="24.95" customHeight="1">
      <c r="A57" s="2024"/>
      <c r="B57" s="61" t="s">
        <v>88</v>
      </c>
      <c r="C57" s="61"/>
      <c r="D57" s="62" t="s">
        <v>60</v>
      </c>
      <c r="E57" s="66" t="s">
        <v>89</v>
      </c>
      <c r="F57" s="61"/>
      <c r="G57" s="61"/>
      <c r="H57" s="67"/>
    </row>
    <row r="58" spans="1:8" s="53" customFormat="1" ht="24.95" customHeight="1">
      <c r="A58" s="2024"/>
      <c r="B58" s="61" t="s">
        <v>90</v>
      </c>
      <c r="C58" s="61" t="s">
        <v>91</v>
      </c>
      <c r="D58" s="62" t="s">
        <v>92</v>
      </c>
      <c r="E58" s="75">
        <v>1.0369999999999999</v>
      </c>
      <c r="F58" s="61"/>
      <c r="G58" s="61"/>
      <c r="H58" s="67"/>
    </row>
    <row r="59" spans="1:8" s="53" customFormat="1" ht="24.95" customHeight="1">
      <c r="A59" s="2024"/>
      <c r="B59" s="61" t="s">
        <v>93</v>
      </c>
      <c r="C59" s="61"/>
      <c r="D59" s="62" t="s">
        <v>60</v>
      </c>
      <c r="E59" s="75">
        <v>1.161</v>
      </c>
      <c r="F59" s="61"/>
      <c r="G59" s="61"/>
      <c r="H59" s="67"/>
    </row>
    <row r="60" spans="1:8" s="53" customFormat="1" ht="24.95" customHeight="1">
      <c r="A60" s="2024"/>
      <c r="B60" s="61" t="s">
        <v>94</v>
      </c>
      <c r="C60" s="61" t="s">
        <v>95</v>
      </c>
      <c r="D60" s="62" t="s">
        <v>60</v>
      </c>
      <c r="E60" s="75">
        <v>0.41299999999999998</v>
      </c>
      <c r="F60" s="61"/>
      <c r="G60" s="61"/>
      <c r="H60" s="67"/>
    </row>
    <row r="61" spans="1:8" s="53" customFormat="1" ht="24.95" customHeight="1">
      <c r="A61" s="2024"/>
      <c r="B61" s="61"/>
      <c r="C61" s="61"/>
      <c r="D61" s="61"/>
      <c r="E61" s="61"/>
      <c r="F61" s="61"/>
      <c r="G61" s="61"/>
      <c r="H61" s="67"/>
    </row>
    <row r="62" spans="1:8" s="53" customFormat="1" ht="24.95" customHeight="1">
      <c r="A62" s="2024"/>
      <c r="B62" s="61"/>
      <c r="C62" s="61"/>
      <c r="D62" s="61"/>
      <c r="E62" s="61"/>
      <c r="F62" s="61"/>
      <c r="G62" s="61"/>
      <c r="H62" s="67"/>
    </row>
    <row r="63" spans="1:8" ht="24.95" customHeight="1">
      <c r="A63" s="2024"/>
      <c r="B63" s="61"/>
      <c r="C63" s="61"/>
      <c r="D63" s="61"/>
      <c r="E63" s="61"/>
      <c r="F63" s="61"/>
      <c r="G63" s="61"/>
      <c r="H63" s="67"/>
    </row>
    <row r="64" spans="1:8" ht="24.95" customHeight="1">
      <c r="A64" s="2020" t="s">
        <v>96</v>
      </c>
      <c r="B64" s="2021"/>
      <c r="C64" s="76"/>
      <c r="D64" s="76"/>
      <c r="E64" s="76"/>
      <c r="F64" s="76"/>
      <c r="G64" s="77">
        <f>G49+G53+G56</f>
        <v>89.724000000000004</v>
      </c>
      <c r="H64" s="78"/>
    </row>
    <row r="65" spans="1:8" ht="24.95" customHeight="1">
      <c r="A65" s="2022" t="s">
        <v>97</v>
      </c>
      <c r="B65" s="2023"/>
      <c r="C65" s="2023"/>
      <c r="D65" s="2023"/>
      <c r="E65" s="2023"/>
      <c r="F65" s="2023"/>
      <c r="G65" s="2023"/>
      <c r="H65" s="2030"/>
    </row>
    <row r="66" spans="1:8" ht="24.95" customHeight="1">
      <c r="A66" s="2031"/>
      <c r="B66" s="2032"/>
      <c r="C66" s="2032"/>
      <c r="D66" s="2032"/>
      <c r="E66" s="2032"/>
      <c r="F66" s="2032"/>
      <c r="G66" s="2032"/>
      <c r="H66" s="2033"/>
    </row>
    <row r="67" spans="1:8" ht="24.95" customHeight="1">
      <c r="A67" s="2031"/>
      <c r="B67" s="2032"/>
      <c r="C67" s="2032"/>
      <c r="D67" s="2032"/>
      <c r="E67" s="2032"/>
      <c r="F67" s="2032"/>
      <c r="G67" s="2032"/>
      <c r="H67" s="2033"/>
    </row>
    <row r="68" spans="1:8" ht="24.95" customHeight="1">
      <c r="A68" s="2031"/>
      <c r="B68" s="2032"/>
      <c r="C68" s="2032"/>
      <c r="D68" s="2032"/>
      <c r="E68" s="2032"/>
      <c r="F68" s="2032"/>
      <c r="G68" s="2032"/>
      <c r="H68" s="2033"/>
    </row>
    <row r="69" spans="1:8" ht="24.95" customHeight="1">
      <c r="A69" s="2034"/>
      <c r="B69" s="2035"/>
      <c r="C69" s="2035"/>
      <c r="D69" s="2035"/>
      <c r="E69" s="2035"/>
      <c r="F69" s="2035"/>
      <c r="G69" s="2035"/>
      <c r="H69" s="2036"/>
    </row>
    <row r="70" spans="1:8" ht="24.95" customHeight="1"/>
    <row r="71" spans="1:8" ht="24.95" customHeight="1"/>
    <row r="72" spans="1:8" ht="24.95" customHeight="1">
      <c r="A72" s="53" t="s">
        <v>47</v>
      </c>
      <c r="B72" s="53" t="s">
        <v>48</v>
      </c>
      <c r="C72" s="53" t="s">
        <v>100</v>
      </c>
      <c r="D72" s="53"/>
      <c r="E72" s="53"/>
      <c r="F72" s="53"/>
      <c r="G72" s="53"/>
      <c r="H72" s="53"/>
    </row>
    <row r="73" spans="1:8" ht="24.95" customHeight="1">
      <c r="A73" s="53"/>
      <c r="B73" s="53"/>
      <c r="C73" s="53"/>
      <c r="D73" s="53"/>
      <c r="E73" s="53"/>
      <c r="F73" s="53"/>
      <c r="G73" s="53"/>
      <c r="H73" s="53"/>
    </row>
    <row r="74" spans="1:8" ht="24.95" customHeight="1">
      <c r="A74" s="2028" t="s">
        <v>50</v>
      </c>
      <c r="B74" s="2028"/>
      <c r="C74" s="54" t="s">
        <v>51</v>
      </c>
      <c r="D74" s="54" t="s">
        <v>52</v>
      </c>
      <c r="E74" s="54" t="s">
        <v>53</v>
      </c>
      <c r="F74" s="54" t="s">
        <v>54</v>
      </c>
      <c r="G74" s="54" t="s">
        <v>56</v>
      </c>
      <c r="H74" s="54" t="s">
        <v>57</v>
      </c>
    </row>
    <row r="75" spans="1:8" ht="24.95" customHeight="1">
      <c r="A75" s="2029" t="s">
        <v>58</v>
      </c>
      <c r="B75" s="55" t="s">
        <v>58</v>
      </c>
      <c r="C75" s="55" t="s">
        <v>101</v>
      </c>
      <c r="D75" s="56" t="s">
        <v>60</v>
      </c>
      <c r="E75" s="57">
        <v>1</v>
      </c>
      <c r="F75" s="58">
        <v>82.12</v>
      </c>
      <c r="G75" s="58">
        <f t="shared" ref="G75:G81" si="2">F75*E75</f>
        <v>82.12</v>
      </c>
      <c r="H75" s="59"/>
    </row>
    <row r="76" spans="1:8" ht="24.95" customHeight="1">
      <c r="A76" s="2024"/>
      <c r="B76" s="61" t="s">
        <v>61</v>
      </c>
      <c r="C76" s="61" t="s">
        <v>62</v>
      </c>
      <c r="D76" s="62" t="s">
        <v>60</v>
      </c>
      <c r="E76" s="63">
        <v>1</v>
      </c>
      <c r="F76" s="64">
        <v>0.3</v>
      </c>
      <c r="G76" s="64">
        <f t="shared" si="2"/>
        <v>0.3</v>
      </c>
      <c r="H76" s="65"/>
    </row>
    <row r="77" spans="1:8" ht="24.95" customHeight="1">
      <c r="A77" s="2024"/>
      <c r="B77" s="61" t="s">
        <v>63</v>
      </c>
      <c r="C77" s="61" t="s">
        <v>64</v>
      </c>
      <c r="D77" s="62" t="s">
        <v>60</v>
      </c>
      <c r="E77" s="63">
        <v>2</v>
      </c>
      <c r="F77" s="64">
        <v>0.22</v>
      </c>
      <c r="G77" s="64">
        <f t="shared" si="2"/>
        <v>0.44</v>
      </c>
      <c r="H77" s="65"/>
    </row>
    <row r="78" spans="1:8" ht="24.95" customHeight="1">
      <c r="A78" s="2024"/>
      <c r="B78" s="61" t="s">
        <v>65</v>
      </c>
      <c r="C78" s="61" t="s">
        <v>66</v>
      </c>
      <c r="D78" s="62" t="s">
        <v>60</v>
      </c>
      <c r="E78" s="63">
        <v>4</v>
      </c>
      <c r="F78" s="64">
        <v>0.56999999999999995</v>
      </c>
      <c r="G78" s="64">
        <f t="shared" si="2"/>
        <v>2.2799999999999998</v>
      </c>
      <c r="H78" s="65"/>
    </row>
    <row r="79" spans="1:8" ht="24.95" customHeight="1">
      <c r="A79" s="2024"/>
      <c r="B79" s="61" t="s">
        <v>67</v>
      </c>
      <c r="C79" s="61" t="s">
        <v>68</v>
      </c>
      <c r="D79" s="62" t="s">
        <v>60</v>
      </c>
      <c r="E79" s="63">
        <v>1</v>
      </c>
      <c r="F79" s="64">
        <v>7.05</v>
      </c>
      <c r="G79" s="64">
        <f t="shared" si="2"/>
        <v>7.05</v>
      </c>
      <c r="H79" s="65"/>
    </row>
    <row r="80" spans="1:8" ht="24.95" customHeight="1">
      <c r="A80" s="2024"/>
      <c r="B80" s="61" t="s">
        <v>69</v>
      </c>
      <c r="C80" s="61" t="s">
        <v>70</v>
      </c>
      <c r="D80" s="62" t="s">
        <v>60</v>
      </c>
      <c r="E80" s="63">
        <v>1</v>
      </c>
      <c r="F80" s="64">
        <v>1.73</v>
      </c>
      <c r="G80" s="64">
        <f t="shared" si="2"/>
        <v>1.73</v>
      </c>
      <c r="H80" s="65"/>
    </row>
    <row r="81" spans="1:8" ht="24.95" customHeight="1">
      <c r="A81" s="2024"/>
      <c r="B81" s="61" t="s">
        <v>71</v>
      </c>
      <c r="C81" s="61" t="s">
        <v>72</v>
      </c>
      <c r="D81" s="62" t="s">
        <v>60</v>
      </c>
      <c r="E81" s="66">
        <v>1</v>
      </c>
      <c r="F81" s="64">
        <v>0.01</v>
      </c>
      <c r="G81" s="64">
        <f t="shared" si="2"/>
        <v>0.01</v>
      </c>
      <c r="H81" s="65"/>
    </row>
    <row r="82" spans="1:8" ht="24.95" customHeight="1">
      <c r="A82" s="2024"/>
      <c r="B82" s="61"/>
      <c r="C82" s="61"/>
      <c r="D82" s="61"/>
      <c r="E82" s="61"/>
      <c r="F82" s="61"/>
      <c r="G82" s="61"/>
      <c r="H82" s="67"/>
    </row>
    <row r="83" spans="1:8" ht="24.95" customHeight="1">
      <c r="A83" s="2025" t="s">
        <v>73</v>
      </c>
      <c r="B83" s="2026"/>
      <c r="C83" s="68"/>
      <c r="D83" s="69" t="s">
        <v>74</v>
      </c>
      <c r="E83" s="70">
        <v>1</v>
      </c>
      <c r="F83" s="68"/>
      <c r="G83" s="71">
        <f>SUM(G75:G81)</f>
        <v>93.93</v>
      </c>
      <c r="H83" s="72"/>
    </row>
    <row r="84" spans="1:8" ht="24.95" customHeight="1">
      <c r="A84" s="2024" t="s">
        <v>75</v>
      </c>
      <c r="B84" s="61" t="s">
        <v>76</v>
      </c>
      <c r="C84" s="61" t="s">
        <v>77</v>
      </c>
      <c r="D84" s="62" t="s">
        <v>60</v>
      </c>
      <c r="E84" s="63">
        <v>2</v>
      </c>
      <c r="F84" s="64">
        <v>0.36</v>
      </c>
      <c r="G84" s="64">
        <f>F84*E84</f>
        <v>0.72</v>
      </c>
      <c r="H84" s="67"/>
    </row>
    <row r="85" spans="1:8" ht="24.95" customHeight="1">
      <c r="A85" s="2024"/>
      <c r="B85" s="61" t="s">
        <v>78</v>
      </c>
      <c r="C85" s="61" t="s">
        <v>79</v>
      </c>
      <c r="D85" s="62" t="s">
        <v>60</v>
      </c>
      <c r="E85" s="63">
        <v>1</v>
      </c>
      <c r="F85" s="64">
        <v>0.2</v>
      </c>
      <c r="G85" s="64">
        <f>F85*E85</f>
        <v>0.2</v>
      </c>
      <c r="H85" s="67"/>
    </row>
    <row r="86" spans="1:8" ht="24.95" customHeight="1">
      <c r="A86" s="2024"/>
      <c r="B86" s="61"/>
      <c r="C86" s="61"/>
      <c r="D86" s="61"/>
      <c r="E86" s="61"/>
      <c r="F86" s="61"/>
      <c r="G86" s="61"/>
      <c r="H86" s="67"/>
    </row>
    <row r="87" spans="1:8" ht="24.95" customHeight="1">
      <c r="A87" s="2025" t="s">
        <v>73</v>
      </c>
      <c r="B87" s="2026"/>
      <c r="C87" s="68"/>
      <c r="D87" s="69" t="s">
        <v>74</v>
      </c>
      <c r="E87" s="69">
        <v>1</v>
      </c>
      <c r="F87" s="68"/>
      <c r="G87" s="71">
        <f>SUM(G84:G85)</f>
        <v>0.91999999999999993</v>
      </c>
      <c r="H87" s="72"/>
    </row>
    <row r="88" spans="1:8" ht="24.95" customHeight="1">
      <c r="A88" s="2024" t="s">
        <v>80</v>
      </c>
      <c r="B88" s="61" t="s">
        <v>81</v>
      </c>
      <c r="C88" s="61" t="s">
        <v>82</v>
      </c>
      <c r="D88" s="62" t="s">
        <v>60</v>
      </c>
      <c r="E88" s="73">
        <v>6</v>
      </c>
      <c r="F88" s="61"/>
      <c r="G88" s="61"/>
      <c r="H88" s="67"/>
    </row>
    <row r="89" spans="1:8" ht="24.95" customHeight="1">
      <c r="A89" s="2024"/>
      <c r="B89" s="61" t="s">
        <v>83</v>
      </c>
      <c r="C89" s="61" t="s">
        <v>84</v>
      </c>
      <c r="D89" s="62" t="s">
        <v>60</v>
      </c>
      <c r="E89" s="66" t="s">
        <v>85</v>
      </c>
      <c r="F89" s="61"/>
      <c r="G89" s="61"/>
      <c r="H89" s="67"/>
    </row>
    <row r="90" spans="1:8" ht="24.95" customHeight="1">
      <c r="A90" s="2024"/>
      <c r="B90" s="61" t="s">
        <v>86</v>
      </c>
      <c r="C90" s="61" t="s">
        <v>87</v>
      </c>
      <c r="D90" s="62" t="s">
        <v>60</v>
      </c>
      <c r="E90" s="66" t="s">
        <v>85</v>
      </c>
      <c r="F90" s="74">
        <v>1.08</v>
      </c>
      <c r="G90" s="74">
        <v>0.154</v>
      </c>
      <c r="H90" s="67"/>
    </row>
    <row r="91" spans="1:8" ht="24.95" customHeight="1">
      <c r="A91" s="2024"/>
      <c r="B91" s="61" t="s">
        <v>88</v>
      </c>
      <c r="C91" s="61"/>
      <c r="D91" s="62" t="s">
        <v>60</v>
      </c>
      <c r="E91" s="66" t="s">
        <v>89</v>
      </c>
      <c r="F91" s="61"/>
      <c r="G91" s="61"/>
      <c r="H91" s="67"/>
    </row>
    <row r="92" spans="1:8" ht="24.95" customHeight="1">
      <c r="A92" s="2024"/>
      <c r="B92" s="61" t="s">
        <v>90</v>
      </c>
      <c r="C92" s="61" t="s">
        <v>91</v>
      </c>
      <c r="D92" s="62" t="s">
        <v>92</v>
      </c>
      <c r="E92" s="75">
        <v>1.1080000000000001</v>
      </c>
      <c r="F92" s="61"/>
      <c r="G92" s="61"/>
      <c r="H92" s="67"/>
    </row>
    <row r="93" spans="1:8" ht="24.95" customHeight="1">
      <c r="A93" s="2024"/>
      <c r="B93" s="61" t="s">
        <v>93</v>
      </c>
      <c r="C93" s="61"/>
      <c r="D93" s="62" t="s">
        <v>60</v>
      </c>
      <c r="E93" s="75">
        <v>1.24</v>
      </c>
      <c r="F93" s="61"/>
      <c r="G93" s="61"/>
      <c r="H93" s="67"/>
    </row>
    <row r="94" spans="1:8" ht="24.95" customHeight="1">
      <c r="A94" s="2024"/>
      <c r="B94" s="61" t="s">
        <v>94</v>
      </c>
      <c r="C94" s="61" t="s">
        <v>95</v>
      </c>
      <c r="D94" s="62" t="s">
        <v>60</v>
      </c>
      <c r="E94" s="75">
        <v>0.441</v>
      </c>
      <c r="F94" s="61"/>
      <c r="G94" s="61"/>
      <c r="H94" s="67"/>
    </row>
    <row r="95" spans="1:8" ht="24.95" customHeight="1">
      <c r="A95" s="2024"/>
      <c r="B95" s="61"/>
      <c r="C95" s="61"/>
      <c r="D95" s="61"/>
      <c r="E95" s="61"/>
      <c r="F95" s="61"/>
      <c r="G95" s="61"/>
      <c r="H95" s="67"/>
    </row>
    <row r="96" spans="1:8" ht="24.95" customHeight="1">
      <c r="A96" s="2024"/>
      <c r="B96" s="61"/>
      <c r="C96" s="61"/>
      <c r="D96" s="61"/>
      <c r="E96" s="61"/>
      <c r="F96" s="61"/>
      <c r="G96" s="61"/>
      <c r="H96" s="67"/>
    </row>
    <row r="97" spans="1:8" ht="24.95" customHeight="1">
      <c r="A97" s="2024"/>
      <c r="B97" s="61"/>
      <c r="C97" s="61"/>
      <c r="D97" s="61"/>
      <c r="E97" s="61"/>
      <c r="F97" s="61"/>
      <c r="G97" s="61"/>
      <c r="H97" s="67"/>
    </row>
    <row r="98" spans="1:8" ht="24.95" customHeight="1">
      <c r="A98" s="2020" t="s">
        <v>96</v>
      </c>
      <c r="B98" s="2021"/>
      <c r="C98" s="76"/>
      <c r="D98" s="76"/>
      <c r="E98" s="76"/>
      <c r="F98" s="76"/>
      <c r="G98" s="77">
        <f>G83+G87+G90</f>
        <v>95.004000000000005</v>
      </c>
      <c r="H98" s="78"/>
    </row>
    <row r="99" spans="1:8" ht="24.95" customHeight="1">
      <c r="A99" s="2022" t="s">
        <v>97</v>
      </c>
      <c r="B99" s="2023"/>
      <c r="C99" s="2023"/>
      <c r="D99" s="2023"/>
      <c r="E99" s="2023"/>
      <c r="F99" s="2023"/>
      <c r="G99" s="2023"/>
      <c r="H99" s="2030"/>
    </row>
    <row r="100" spans="1:8" ht="24.95" customHeight="1">
      <c r="A100" s="2031"/>
      <c r="B100" s="2032"/>
      <c r="C100" s="2032"/>
      <c r="D100" s="2032"/>
      <c r="E100" s="2032"/>
      <c r="F100" s="2032"/>
      <c r="G100" s="2032"/>
      <c r="H100" s="2033"/>
    </row>
    <row r="101" spans="1:8" ht="24.95" customHeight="1">
      <c r="A101" s="2031"/>
      <c r="B101" s="2032"/>
      <c r="C101" s="2032"/>
      <c r="D101" s="2032"/>
      <c r="E101" s="2032"/>
      <c r="F101" s="2032"/>
      <c r="G101" s="2032"/>
      <c r="H101" s="2033"/>
    </row>
    <row r="102" spans="1:8" ht="24.95" customHeight="1">
      <c r="A102" s="2031"/>
      <c r="B102" s="2032"/>
      <c r="C102" s="2032"/>
      <c r="D102" s="2032"/>
      <c r="E102" s="2032"/>
      <c r="F102" s="2032"/>
      <c r="G102" s="2032"/>
      <c r="H102" s="2033"/>
    </row>
    <row r="103" spans="1:8" ht="24.95" customHeight="1">
      <c r="A103" s="2034"/>
      <c r="B103" s="2035"/>
      <c r="C103" s="2035"/>
      <c r="D103" s="2035"/>
      <c r="E103" s="2035"/>
      <c r="F103" s="2035"/>
      <c r="G103" s="2035"/>
      <c r="H103" s="2036"/>
    </row>
    <row r="104" spans="1:8" ht="24.95" customHeight="1"/>
    <row r="105" spans="1:8" ht="24.95" customHeight="1"/>
    <row r="106" spans="1:8" ht="24.95" customHeight="1">
      <c r="A106" s="53" t="s">
        <v>47</v>
      </c>
      <c r="B106" s="53" t="s">
        <v>48</v>
      </c>
      <c r="C106" s="53" t="s">
        <v>102</v>
      </c>
      <c r="D106" s="53"/>
      <c r="E106" s="53"/>
      <c r="F106" s="53"/>
      <c r="G106" s="53"/>
      <c r="H106" s="53"/>
    </row>
    <row r="107" spans="1:8" ht="24.95" customHeight="1">
      <c r="A107" s="53"/>
      <c r="B107" s="53"/>
      <c r="C107" s="53"/>
      <c r="D107" s="53"/>
      <c r="E107" s="53"/>
      <c r="F107" s="53"/>
      <c r="G107" s="53"/>
      <c r="H107" s="53"/>
    </row>
    <row r="108" spans="1:8" ht="24.95" customHeight="1">
      <c r="A108" s="2028" t="s">
        <v>50</v>
      </c>
      <c r="B108" s="2028"/>
      <c r="C108" s="54" t="s">
        <v>51</v>
      </c>
      <c r="D108" s="54" t="s">
        <v>52</v>
      </c>
      <c r="E108" s="54" t="s">
        <v>53</v>
      </c>
      <c r="F108" s="54" t="s">
        <v>54</v>
      </c>
      <c r="G108" s="54" t="s">
        <v>56</v>
      </c>
      <c r="H108" s="54" t="s">
        <v>57</v>
      </c>
    </row>
    <row r="109" spans="1:8" ht="24.95" customHeight="1">
      <c r="A109" s="2029" t="s">
        <v>58</v>
      </c>
      <c r="B109" s="55" t="s">
        <v>58</v>
      </c>
      <c r="C109" s="55" t="s">
        <v>103</v>
      </c>
      <c r="D109" s="56" t="s">
        <v>60</v>
      </c>
      <c r="E109" s="57">
        <v>1</v>
      </c>
      <c r="F109" s="58">
        <v>107.63</v>
      </c>
      <c r="G109" s="58">
        <f t="shared" ref="G109:G115" si="3">F109*E109</f>
        <v>107.63</v>
      </c>
      <c r="H109" s="59"/>
    </row>
    <row r="110" spans="1:8" ht="24.95" customHeight="1">
      <c r="A110" s="2024"/>
      <c r="B110" s="61" t="s">
        <v>61</v>
      </c>
      <c r="C110" s="61" t="s">
        <v>62</v>
      </c>
      <c r="D110" s="62" t="s">
        <v>60</v>
      </c>
      <c r="E110" s="63">
        <v>1</v>
      </c>
      <c r="F110" s="64">
        <v>0.3</v>
      </c>
      <c r="G110" s="64">
        <f t="shared" si="3"/>
        <v>0.3</v>
      </c>
      <c r="H110" s="65"/>
    </row>
    <row r="111" spans="1:8" ht="24.95" customHeight="1">
      <c r="A111" s="2024"/>
      <c r="B111" s="61" t="s">
        <v>63</v>
      </c>
      <c r="C111" s="61" t="s">
        <v>64</v>
      </c>
      <c r="D111" s="62" t="s">
        <v>60</v>
      </c>
      <c r="E111" s="63">
        <v>2</v>
      </c>
      <c r="F111" s="64">
        <v>0.22</v>
      </c>
      <c r="G111" s="64">
        <f t="shared" si="3"/>
        <v>0.44</v>
      </c>
      <c r="H111" s="65"/>
    </row>
    <row r="112" spans="1:8" ht="24.95" customHeight="1">
      <c r="A112" s="2024"/>
      <c r="B112" s="61" t="s">
        <v>65</v>
      </c>
      <c r="C112" s="61" t="s">
        <v>66</v>
      </c>
      <c r="D112" s="62" t="s">
        <v>60</v>
      </c>
      <c r="E112" s="63">
        <v>4</v>
      </c>
      <c r="F112" s="64">
        <v>0.56999999999999995</v>
      </c>
      <c r="G112" s="64">
        <f t="shared" si="3"/>
        <v>2.2799999999999998</v>
      </c>
      <c r="H112" s="65"/>
    </row>
    <row r="113" spans="1:8" ht="24.95" customHeight="1">
      <c r="A113" s="2024"/>
      <c r="B113" s="61" t="s">
        <v>67</v>
      </c>
      <c r="C113" s="61" t="s">
        <v>104</v>
      </c>
      <c r="D113" s="62" t="s">
        <v>60</v>
      </c>
      <c r="E113" s="63">
        <v>1</v>
      </c>
      <c r="F113" s="64">
        <v>11.64</v>
      </c>
      <c r="G113" s="64">
        <f t="shared" si="3"/>
        <v>11.64</v>
      </c>
      <c r="H113" s="65"/>
    </row>
    <row r="114" spans="1:8" ht="24.95" customHeight="1">
      <c r="A114" s="2024"/>
      <c r="B114" s="61" t="s">
        <v>69</v>
      </c>
      <c r="C114" s="61" t="s">
        <v>105</v>
      </c>
      <c r="D114" s="62" t="s">
        <v>60</v>
      </c>
      <c r="E114" s="63">
        <v>1</v>
      </c>
      <c r="F114" s="64">
        <v>2.33</v>
      </c>
      <c r="G114" s="64">
        <f t="shared" si="3"/>
        <v>2.33</v>
      </c>
      <c r="H114" s="65"/>
    </row>
    <row r="115" spans="1:8" ht="24.95" customHeight="1">
      <c r="A115" s="2024"/>
      <c r="B115" s="61" t="s">
        <v>71</v>
      </c>
      <c r="C115" s="61" t="s">
        <v>72</v>
      </c>
      <c r="D115" s="62" t="s">
        <v>60</v>
      </c>
      <c r="E115" s="66">
        <v>1</v>
      </c>
      <c r="F115" s="64">
        <v>0.01</v>
      </c>
      <c r="G115" s="64">
        <f t="shared" si="3"/>
        <v>0.01</v>
      </c>
      <c r="H115" s="65"/>
    </row>
    <row r="116" spans="1:8" ht="24.95" customHeight="1">
      <c r="A116" s="2024"/>
      <c r="B116" s="61"/>
      <c r="C116" s="61"/>
      <c r="D116" s="61"/>
      <c r="E116" s="61"/>
      <c r="F116" s="61"/>
      <c r="G116" s="61"/>
      <c r="H116" s="67"/>
    </row>
    <row r="117" spans="1:8" ht="24.95" customHeight="1">
      <c r="A117" s="2025" t="s">
        <v>73</v>
      </c>
      <c r="B117" s="2026"/>
      <c r="C117" s="68"/>
      <c r="D117" s="69" t="s">
        <v>74</v>
      </c>
      <c r="E117" s="70">
        <v>1</v>
      </c>
      <c r="F117" s="68"/>
      <c r="G117" s="71">
        <f>SUM(G109:G115)</f>
        <v>124.63</v>
      </c>
      <c r="H117" s="72"/>
    </row>
    <row r="118" spans="1:8" ht="24.95" customHeight="1">
      <c r="A118" s="2024" t="s">
        <v>75</v>
      </c>
      <c r="B118" s="61" t="s">
        <v>76</v>
      </c>
      <c r="C118" s="61" t="s">
        <v>77</v>
      </c>
      <c r="D118" s="62" t="s">
        <v>60</v>
      </c>
      <c r="E118" s="63">
        <v>2</v>
      </c>
      <c r="F118" s="64">
        <v>0.36</v>
      </c>
      <c r="G118" s="64">
        <f>F118*E118</f>
        <v>0.72</v>
      </c>
      <c r="H118" s="67"/>
    </row>
    <row r="119" spans="1:8" ht="24.95" customHeight="1">
      <c r="A119" s="2024"/>
      <c r="B119" s="61" t="s">
        <v>78</v>
      </c>
      <c r="C119" s="61" t="s">
        <v>79</v>
      </c>
      <c r="D119" s="62" t="s">
        <v>60</v>
      </c>
      <c r="E119" s="63">
        <v>1</v>
      </c>
      <c r="F119" s="64">
        <v>0.2</v>
      </c>
      <c r="G119" s="64">
        <f>F119*E119</f>
        <v>0.2</v>
      </c>
      <c r="H119" s="67"/>
    </row>
    <row r="120" spans="1:8" ht="24.95" customHeight="1">
      <c r="A120" s="2024"/>
      <c r="B120" s="61"/>
      <c r="C120" s="61"/>
      <c r="D120" s="61"/>
      <c r="E120" s="61"/>
      <c r="F120" s="61"/>
      <c r="G120" s="61"/>
      <c r="H120" s="67"/>
    </row>
    <row r="121" spans="1:8" ht="24.95" customHeight="1">
      <c r="A121" s="2025" t="s">
        <v>73</v>
      </c>
      <c r="B121" s="2026"/>
      <c r="C121" s="68"/>
      <c r="D121" s="69" t="s">
        <v>74</v>
      </c>
      <c r="E121" s="69">
        <v>1</v>
      </c>
      <c r="F121" s="68"/>
      <c r="G121" s="71">
        <f>SUM(G118:G119)</f>
        <v>0.91999999999999993</v>
      </c>
      <c r="H121" s="72"/>
    </row>
    <row r="122" spans="1:8" ht="24.95" customHeight="1">
      <c r="A122" s="2024" t="s">
        <v>80</v>
      </c>
      <c r="B122" s="61" t="s">
        <v>81</v>
      </c>
      <c r="C122" s="61" t="s">
        <v>82</v>
      </c>
      <c r="D122" s="62" t="s">
        <v>60</v>
      </c>
      <c r="E122" s="73">
        <v>6</v>
      </c>
      <c r="F122" s="61"/>
      <c r="G122" s="61"/>
      <c r="H122" s="67"/>
    </row>
    <row r="123" spans="1:8" ht="24.95" customHeight="1">
      <c r="A123" s="2024"/>
      <c r="B123" s="61" t="s">
        <v>83</v>
      </c>
      <c r="C123" s="61" t="s">
        <v>84</v>
      </c>
      <c r="D123" s="62" t="s">
        <v>60</v>
      </c>
      <c r="E123" s="79">
        <v>0.16666666666666666</v>
      </c>
      <c r="F123" s="61"/>
      <c r="G123" s="61"/>
      <c r="H123" s="67"/>
    </row>
    <row r="124" spans="1:8" ht="24.95" customHeight="1">
      <c r="A124" s="2024"/>
      <c r="B124" s="61" t="s">
        <v>86</v>
      </c>
      <c r="C124" s="61" t="s">
        <v>87</v>
      </c>
      <c r="D124" s="62" t="s">
        <v>60</v>
      </c>
      <c r="E124" s="79">
        <v>0.16666666666666666</v>
      </c>
      <c r="F124" s="74">
        <v>1.08</v>
      </c>
      <c r="G124" s="74">
        <f>F124*E124</f>
        <v>0.18</v>
      </c>
      <c r="H124" s="67"/>
    </row>
    <row r="125" spans="1:8" ht="24.95" customHeight="1">
      <c r="A125" s="2024"/>
      <c r="B125" s="61" t="s">
        <v>88</v>
      </c>
      <c r="C125" s="61"/>
      <c r="D125" s="62" t="s">
        <v>60</v>
      </c>
      <c r="E125" s="79">
        <v>0.33333333333333331</v>
      </c>
      <c r="F125" s="61"/>
      <c r="G125" s="61"/>
      <c r="H125" s="67"/>
    </row>
    <row r="126" spans="1:8" ht="24.95" customHeight="1">
      <c r="A126" s="2024"/>
      <c r="B126" s="61" t="s">
        <v>90</v>
      </c>
      <c r="C126" s="61" t="s">
        <v>91</v>
      </c>
      <c r="D126" s="62" t="s">
        <v>92</v>
      </c>
      <c r="E126" s="75">
        <v>1.179</v>
      </c>
      <c r="F126" s="61"/>
      <c r="G126" s="61"/>
      <c r="H126" s="67"/>
    </row>
    <row r="127" spans="1:8" ht="24.95" customHeight="1">
      <c r="A127" s="2024"/>
      <c r="B127" s="61" t="s">
        <v>93</v>
      </c>
      <c r="C127" s="61"/>
      <c r="D127" s="62" t="s">
        <v>60</v>
      </c>
      <c r="E127" s="75">
        <v>1.32</v>
      </c>
      <c r="F127" s="61"/>
      <c r="G127" s="61"/>
      <c r="H127" s="67"/>
    </row>
    <row r="128" spans="1:8" ht="24.95" customHeight="1">
      <c r="A128" s="2024"/>
      <c r="B128" s="61" t="s">
        <v>94</v>
      </c>
      <c r="C128" s="61" t="s">
        <v>95</v>
      </c>
      <c r="D128" s="62" t="s">
        <v>60</v>
      </c>
      <c r="E128" s="75">
        <v>0.56799999999999995</v>
      </c>
      <c r="F128" s="61"/>
      <c r="G128" s="61"/>
      <c r="H128" s="67"/>
    </row>
    <row r="129" spans="1:8" ht="24.95" customHeight="1">
      <c r="A129" s="2024"/>
      <c r="B129" s="61"/>
      <c r="C129" s="61"/>
      <c r="D129" s="61"/>
      <c r="E129" s="61"/>
      <c r="F129" s="61"/>
      <c r="G129" s="61"/>
      <c r="H129" s="67"/>
    </row>
    <row r="130" spans="1:8" ht="24.95" customHeight="1">
      <c r="A130" s="2024"/>
      <c r="B130" s="61"/>
      <c r="C130" s="61"/>
      <c r="D130" s="61"/>
      <c r="E130" s="61"/>
      <c r="F130" s="61"/>
      <c r="G130" s="61"/>
      <c r="H130" s="67"/>
    </row>
    <row r="131" spans="1:8" ht="24.95" customHeight="1">
      <c r="A131" s="2024"/>
      <c r="B131" s="61"/>
      <c r="C131" s="61"/>
      <c r="D131" s="61"/>
      <c r="E131" s="61"/>
      <c r="F131" s="61"/>
      <c r="G131" s="61"/>
      <c r="H131" s="67"/>
    </row>
    <row r="132" spans="1:8" ht="24.95" customHeight="1">
      <c r="A132" s="2020" t="s">
        <v>96</v>
      </c>
      <c r="B132" s="2021"/>
      <c r="C132" s="76"/>
      <c r="D132" s="76"/>
      <c r="E132" s="76"/>
      <c r="F132" s="76"/>
      <c r="G132" s="77">
        <f>G117+G121+G124</f>
        <v>125.73</v>
      </c>
      <c r="H132" s="78"/>
    </row>
    <row r="133" spans="1:8" ht="24.95" customHeight="1">
      <c r="A133" s="2022" t="s">
        <v>97</v>
      </c>
      <c r="B133" s="2023"/>
      <c r="C133" s="2023"/>
      <c r="D133" s="2023"/>
      <c r="E133" s="2023"/>
      <c r="F133" s="2023"/>
      <c r="G133" s="2023"/>
      <c r="H133" s="2030"/>
    </row>
    <row r="134" spans="1:8" ht="24.95" customHeight="1">
      <c r="A134" s="2031"/>
      <c r="B134" s="2032"/>
      <c r="C134" s="2032"/>
      <c r="D134" s="2032"/>
      <c r="E134" s="2032"/>
      <c r="F134" s="2032"/>
      <c r="G134" s="2032"/>
      <c r="H134" s="2033"/>
    </row>
    <row r="135" spans="1:8" ht="24.95" customHeight="1">
      <c r="A135" s="2031"/>
      <c r="B135" s="2032"/>
      <c r="C135" s="2032"/>
      <c r="D135" s="2032"/>
      <c r="E135" s="2032"/>
      <c r="F135" s="2032"/>
      <c r="G135" s="2032"/>
      <c r="H135" s="2033"/>
    </row>
    <row r="136" spans="1:8" ht="24.95" customHeight="1">
      <c r="A136" s="2031"/>
      <c r="B136" s="2032"/>
      <c r="C136" s="2032"/>
      <c r="D136" s="2032"/>
      <c r="E136" s="2032"/>
      <c r="F136" s="2032"/>
      <c r="G136" s="2032"/>
      <c r="H136" s="2033"/>
    </row>
    <row r="137" spans="1:8" ht="24.95" customHeight="1">
      <c r="A137" s="2034"/>
      <c r="B137" s="2035"/>
      <c r="C137" s="2035"/>
      <c r="D137" s="2035"/>
      <c r="E137" s="2035"/>
      <c r="F137" s="2035"/>
      <c r="G137" s="2035"/>
      <c r="H137" s="2036"/>
    </row>
    <row r="138" spans="1:8" ht="24.95" customHeight="1"/>
    <row r="139" spans="1:8" ht="24.95" customHeight="1"/>
    <row r="140" spans="1:8" ht="24.95" customHeight="1">
      <c r="A140" s="53" t="s">
        <v>47</v>
      </c>
      <c r="B140" s="53" t="s">
        <v>48</v>
      </c>
      <c r="C140" s="53" t="s">
        <v>106</v>
      </c>
      <c r="D140" s="53"/>
      <c r="E140" s="53"/>
      <c r="F140" s="53"/>
      <c r="G140" s="53"/>
      <c r="H140" s="53"/>
    </row>
    <row r="141" spans="1:8" ht="24.95" customHeight="1">
      <c r="A141" s="53"/>
      <c r="B141" s="53"/>
      <c r="C141" s="53"/>
      <c r="D141" s="53"/>
      <c r="E141" s="53"/>
      <c r="F141" s="53"/>
      <c r="G141" s="53"/>
      <c r="H141" s="53"/>
    </row>
    <row r="142" spans="1:8" ht="24.95" customHeight="1">
      <c r="A142" s="2028" t="s">
        <v>50</v>
      </c>
      <c r="B142" s="2028"/>
      <c r="C142" s="54" t="s">
        <v>51</v>
      </c>
      <c r="D142" s="54" t="s">
        <v>52</v>
      </c>
      <c r="E142" s="54" t="s">
        <v>53</v>
      </c>
      <c r="F142" s="54" t="s">
        <v>54</v>
      </c>
      <c r="G142" s="54" t="s">
        <v>56</v>
      </c>
      <c r="H142" s="54" t="s">
        <v>57</v>
      </c>
    </row>
    <row r="143" spans="1:8" ht="24.95" customHeight="1">
      <c r="A143" s="2029" t="s">
        <v>58</v>
      </c>
      <c r="B143" s="55" t="s">
        <v>58</v>
      </c>
      <c r="C143" s="55" t="s">
        <v>107</v>
      </c>
      <c r="D143" s="56" t="s">
        <v>60</v>
      </c>
      <c r="E143" s="57">
        <v>1</v>
      </c>
      <c r="F143" s="58">
        <v>120.65</v>
      </c>
      <c r="G143" s="58">
        <f t="shared" ref="G143:G149" si="4">F143*E143</f>
        <v>120.65</v>
      </c>
      <c r="H143" s="59"/>
    </row>
    <row r="144" spans="1:8" ht="24.95" customHeight="1">
      <c r="A144" s="2024"/>
      <c r="B144" s="61" t="s">
        <v>61</v>
      </c>
      <c r="C144" s="61" t="s">
        <v>62</v>
      </c>
      <c r="D144" s="62" t="s">
        <v>60</v>
      </c>
      <c r="E144" s="63">
        <v>1</v>
      </c>
      <c r="F144" s="64">
        <v>0.3</v>
      </c>
      <c r="G144" s="64">
        <f t="shared" si="4"/>
        <v>0.3</v>
      </c>
      <c r="H144" s="65"/>
    </row>
    <row r="145" spans="1:8" ht="24.95" customHeight="1">
      <c r="A145" s="2024"/>
      <c r="B145" s="61" t="s">
        <v>63</v>
      </c>
      <c r="C145" s="61" t="s">
        <v>64</v>
      </c>
      <c r="D145" s="62" t="s">
        <v>60</v>
      </c>
      <c r="E145" s="63">
        <v>2</v>
      </c>
      <c r="F145" s="64">
        <v>0.22</v>
      </c>
      <c r="G145" s="64">
        <f t="shared" si="4"/>
        <v>0.44</v>
      </c>
      <c r="H145" s="65"/>
    </row>
    <row r="146" spans="1:8" ht="24.95" customHeight="1">
      <c r="A146" s="2024"/>
      <c r="B146" s="61" t="s">
        <v>65</v>
      </c>
      <c r="C146" s="61" t="s">
        <v>66</v>
      </c>
      <c r="D146" s="62" t="s">
        <v>60</v>
      </c>
      <c r="E146" s="63">
        <v>4</v>
      </c>
      <c r="F146" s="64">
        <v>0.56999999999999995</v>
      </c>
      <c r="G146" s="64">
        <f t="shared" si="4"/>
        <v>2.2799999999999998</v>
      </c>
      <c r="H146" s="65"/>
    </row>
    <row r="147" spans="1:8" ht="24.95" customHeight="1">
      <c r="A147" s="2024"/>
      <c r="B147" s="61" t="s">
        <v>67</v>
      </c>
      <c r="C147" s="61" t="s">
        <v>104</v>
      </c>
      <c r="D147" s="62" t="s">
        <v>60</v>
      </c>
      <c r="E147" s="63">
        <v>1</v>
      </c>
      <c r="F147" s="64">
        <v>11.64</v>
      </c>
      <c r="G147" s="64">
        <f t="shared" si="4"/>
        <v>11.64</v>
      </c>
      <c r="H147" s="65"/>
    </row>
    <row r="148" spans="1:8" ht="24.95" customHeight="1">
      <c r="A148" s="2024"/>
      <c r="B148" s="61" t="s">
        <v>69</v>
      </c>
      <c r="C148" s="61" t="s">
        <v>105</v>
      </c>
      <c r="D148" s="62" t="s">
        <v>60</v>
      </c>
      <c r="E148" s="63">
        <v>1</v>
      </c>
      <c r="F148" s="64">
        <v>2.33</v>
      </c>
      <c r="G148" s="64">
        <f t="shared" si="4"/>
        <v>2.33</v>
      </c>
      <c r="H148" s="65"/>
    </row>
    <row r="149" spans="1:8" ht="24.95" customHeight="1">
      <c r="A149" s="2024"/>
      <c r="B149" s="61" t="s">
        <v>71</v>
      </c>
      <c r="C149" s="61" t="s">
        <v>72</v>
      </c>
      <c r="D149" s="62" t="s">
        <v>60</v>
      </c>
      <c r="E149" s="66">
        <v>1</v>
      </c>
      <c r="F149" s="64">
        <v>0.01</v>
      </c>
      <c r="G149" s="64">
        <f t="shared" si="4"/>
        <v>0.01</v>
      </c>
      <c r="H149" s="65"/>
    </row>
    <row r="150" spans="1:8" ht="24.95" customHeight="1">
      <c r="A150" s="2024"/>
      <c r="B150" s="61"/>
      <c r="C150" s="61"/>
      <c r="D150" s="61"/>
      <c r="E150" s="61"/>
      <c r="F150" s="61"/>
      <c r="G150" s="61"/>
      <c r="H150" s="67"/>
    </row>
    <row r="151" spans="1:8" ht="24.95" customHeight="1">
      <c r="A151" s="2025" t="s">
        <v>73</v>
      </c>
      <c r="B151" s="2026"/>
      <c r="C151" s="68"/>
      <c r="D151" s="69" t="s">
        <v>74</v>
      </c>
      <c r="E151" s="70">
        <v>1</v>
      </c>
      <c r="F151" s="68"/>
      <c r="G151" s="71">
        <f>SUM(G143:G149)</f>
        <v>137.65</v>
      </c>
      <c r="H151" s="72"/>
    </row>
    <row r="152" spans="1:8" ht="24.95" customHeight="1">
      <c r="A152" s="2024" t="s">
        <v>75</v>
      </c>
      <c r="B152" s="61" t="s">
        <v>76</v>
      </c>
      <c r="C152" s="61" t="s">
        <v>77</v>
      </c>
      <c r="D152" s="62" t="s">
        <v>60</v>
      </c>
      <c r="E152" s="63">
        <v>2</v>
      </c>
      <c r="F152" s="64">
        <v>0.36</v>
      </c>
      <c r="G152" s="64">
        <f>F152*E152</f>
        <v>0.72</v>
      </c>
      <c r="H152" s="67"/>
    </row>
    <row r="153" spans="1:8" ht="24.95" customHeight="1">
      <c r="A153" s="2024"/>
      <c r="B153" s="61" t="s">
        <v>78</v>
      </c>
      <c r="C153" s="61" t="s">
        <v>79</v>
      </c>
      <c r="D153" s="62" t="s">
        <v>60</v>
      </c>
      <c r="E153" s="63">
        <v>1</v>
      </c>
      <c r="F153" s="64">
        <v>0.2</v>
      </c>
      <c r="G153" s="64">
        <f>F153*E153</f>
        <v>0.2</v>
      </c>
      <c r="H153" s="67"/>
    </row>
    <row r="154" spans="1:8" ht="24.95" customHeight="1">
      <c r="A154" s="2024"/>
      <c r="B154" s="61"/>
      <c r="C154" s="61"/>
      <c r="D154" s="61"/>
      <c r="E154" s="61"/>
      <c r="F154" s="61"/>
      <c r="G154" s="61"/>
      <c r="H154" s="67"/>
    </row>
    <row r="155" spans="1:8" ht="24.95" customHeight="1">
      <c r="A155" s="2025" t="s">
        <v>73</v>
      </c>
      <c r="B155" s="2026"/>
      <c r="C155" s="68"/>
      <c r="D155" s="69" t="s">
        <v>74</v>
      </c>
      <c r="E155" s="69">
        <v>1</v>
      </c>
      <c r="F155" s="68"/>
      <c r="G155" s="71">
        <f>SUM(G152:G153)</f>
        <v>0.91999999999999993</v>
      </c>
      <c r="H155" s="72"/>
    </row>
    <row r="156" spans="1:8" ht="24.95" customHeight="1">
      <c r="A156" s="2024" t="s">
        <v>80</v>
      </c>
      <c r="B156" s="61" t="s">
        <v>81</v>
      </c>
      <c r="C156" s="61" t="s">
        <v>82</v>
      </c>
      <c r="D156" s="62" t="s">
        <v>60</v>
      </c>
      <c r="E156" s="73">
        <v>6</v>
      </c>
      <c r="F156" s="61"/>
      <c r="G156" s="61"/>
      <c r="H156" s="67"/>
    </row>
    <row r="157" spans="1:8" ht="24.95" customHeight="1">
      <c r="A157" s="2024"/>
      <c r="B157" s="61" t="s">
        <v>83</v>
      </c>
      <c r="C157" s="61" t="s">
        <v>84</v>
      </c>
      <c r="D157" s="62" t="s">
        <v>60</v>
      </c>
      <c r="E157" s="79">
        <v>0.16666666666666666</v>
      </c>
      <c r="F157" s="61"/>
      <c r="G157" s="61"/>
      <c r="H157" s="67"/>
    </row>
    <row r="158" spans="1:8" ht="24.95" customHeight="1">
      <c r="A158" s="2024"/>
      <c r="B158" s="61" t="s">
        <v>86</v>
      </c>
      <c r="C158" s="61" t="s">
        <v>87</v>
      </c>
      <c r="D158" s="62" t="s">
        <v>60</v>
      </c>
      <c r="E158" s="79">
        <v>0.16666666666666666</v>
      </c>
      <c r="F158" s="74">
        <v>1.08</v>
      </c>
      <c r="G158" s="74">
        <f>F158*E158</f>
        <v>0.18</v>
      </c>
      <c r="H158" s="67"/>
    </row>
    <row r="159" spans="1:8" ht="24.95" customHeight="1">
      <c r="A159" s="2024"/>
      <c r="B159" s="61" t="s">
        <v>88</v>
      </c>
      <c r="C159" s="61"/>
      <c r="D159" s="62" t="s">
        <v>60</v>
      </c>
      <c r="E159" s="79">
        <v>0.33333333333333331</v>
      </c>
      <c r="F159" s="61"/>
      <c r="G159" s="61"/>
      <c r="H159" s="67"/>
    </row>
    <row r="160" spans="1:8" ht="24.95" customHeight="1">
      <c r="A160" s="2024"/>
      <c r="B160" s="61" t="s">
        <v>90</v>
      </c>
      <c r="C160" s="61" t="s">
        <v>91</v>
      </c>
      <c r="D160" s="62" t="s">
        <v>92</v>
      </c>
      <c r="E160" s="75">
        <v>1.321</v>
      </c>
      <c r="F160" s="61"/>
      <c r="G160" s="61"/>
      <c r="H160" s="67"/>
    </row>
    <row r="161" spans="1:8" ht="24.95" customHeight="1">
      <c r="A161" s="2024"/>
      <c r="B161" s="61" t="s">
        <v>93</v>
      </c>
      <c r="C161" s="61"/>
      <c r="D161" s="62" t="s">
        <v>60</v>
      </c>
      <c r="E161" s="75">
        <v>1.4790000000000001</v>
      </c>
      <c r="F161" s="61"/>
      <c r="G161" s="61"/>
      <c r="H161" s="67"/>
    </row>
    <row r="162" spans="1:8" ht="24.95" customHeight="1">
      <c r="A162" s="2024"/>
      <c r="B162" s="61" t="s">
        <v>94</v>
      </c>
      <c r="C162" s="61" t="s">
        <v>95</v>
      </c>
      <c r="D162" s="62" t="s">
        <v>60</v>
      </c>
      <c r="E162" s="75">
        <v>0.63600000000000001</v>
      </c>
      <c r="F162" s="61"/>
      <c r="G162" s="61"/>
      <c r="H162" s="67"/>
    </row>
    <row r="163" spans="1:8" ht="24.95" customHeight="1">
      <c r="A163" s="2024"/>
      <c r="B163" s="61"/>
      <c r="C163" s="61"/>
      <c r="D163" s="61"/>
      <c r="E163" s="61"/>
      <c r="F163" s="61"/>
      <c r="G163" s="61"/>
      <c r="H163" s="67"/>
    </row>
    <row r="164" spans="1:8" ht="24.95" customHeight="1">
      <c r="A164" s="2024"/>
      <c r="B164" s="61"/>
      <c r="C164" s="61"/>
      <c r="D164" s="61"/>
      <c r="E164" s="61"/>
      <c r="F164" s="61"/>
      <c r="G164" s="61"/>
      <c r="H164" s="67"/>
    </row>
    <row r="165" spans="1:8" ht="24.95" customHeight="1">
      <c r="A165" s="2024"/>
      <c r="B165" s="61"/>
      <c r="C165" s="61"/>
      <c r="D165" s="61"/>
      <c r="E165" s="61"/>
      <c r="F165" s="61"/>
      <c r="G165" s="61"/>
      <c r="H165" s="67"/>
    </row>
    <row r="166" spans="1:8" ht="24.95" customHeight="1">
      <c r="A166" s="2020" t="s">
        <v>96</v>
      </c>
      <c r="B166" s="2021"/>
      <c r="C166" s="76"/>
      <c r="D166" s="76"/>
      <c r="E166" s="76"/>
      <c r="F166" s="76"/>
      <c r="G166" s="77">
        <f>G151+G155+G158</f>
        <v>138.75</v>
      </c>
      <c r="H166" s="78"/>
    </row>
    <row r="167" spans="1:8" ht="24.95" customHeight="1">
      <c r="A167" s="2022" t="s">
        <v>97</v>
      </c>
      <c r="B167" s="2023"/>
      <c r="C167" s="2023"/>
      <c r="D167" s="2023"/>
      <c r="E167" s="2023"/>
      <c r="F167" s="2023"/>
      <c r="G167" s="2023"/>
      <c r="H167" s="2030"/>
    </row>
    <row r="168" spans="1:8" ht="24.95" customHeight="1">
      <c r="A168" s="2031"/>
      <c r="B168" s="2032"/>
      <c r="C168" s="2032"/>
      <c r="D168" s="2032"/>
      <c r="E168" s="2032"/>
      <c r="F168" s="2032"/>
      <c r="G168" s="2032"/>
      <c r="H168" s="2033"/>
    </row>
    <row r="169" spans="1:8" ht="24.95" customHeight="1">
      <c r="A169" s="2031"/>
      <c r="B169" s="2032"/>
      <c r="C169" s="2032"/>
      <c r="D169" s="2032"/>
      <c r="E169" s="2032"/>
      <c r="F169" s="2032"/>
      <c r="G169" s="2032"/>
      <c r="H169" s="2033"/>
    </row>
    <row r="170" spans="1:8" ht="24.95" customHeight="1">
      <c r="A170" s="2031"/>
      <c r="B170" s="2032"/>
      <c r="C170" s="2032"/>
      <c r="D170" s="2032"/>
      <c r="E170" s="2032"/>
      <c r="F170" s="2032"/>
      <c r="G170" s="2032"/>
      <c r="H170" s="2033"/>
    </row>
    <row r="171" spans="1:8" ht="24.95" customHeight="1">
      <c r="A171" s="2034"/>
      <c r="B171" s="2035"/>
      <c r="C171" s="2035"/>
      <c r="D171" s="2035"/>
      <c r="E171" s="2035"/>
      <c r="F171" s="2035"/>
      <c r="G171" s="2035"/>
      <c r="H171" s="2036"/>
    </row>
    <row r="172" spans="1:8" ht="24.95" customHeight="1"/>
    <row r="173" spans="1:8" ht="24.95" customHeight="1"/>
    <row r="174" spans="1:8" ht="24.95" customHeight="1">
      <c r="A174" s="53" t="s">
        <v>47</v>
      </c>
      <c r="B174" s="53" t="s">
        <v>48</v>
      </c>
      <c r="C174" s="53" t="s">
        <v>108</v>
      </c>
      <c r="D174" s="53"/>
      <c r="E174" s="53"/>
      <c r="F174" s="53"/>
      <c r="G174" s="53"/>
      <c r="H174" s="53"/>
    </row>
    <row r="175" spans="1:8" ht="24.95" customHeight="1">
      <c r="A175" s="53"/>
      <c r="B175" s="53"/>
      <c r="C175" s="53"/>
      <c r="D175" s="53"/>
      <c r="E175" s="53"/>
      <c r="F175" s="53"/>
      <c r="G175" s="53"/>
      <c r="H175" s="53"/>
    </row>
    <row r="176" spans="1:8" ht="24.95" customHeight="1">
      <c r="A176" s="2028" t="s">
        <v>50</v>
      </c>
      <c r="B176" s="2028"/>
      <c r="C176" s="54" t="s">
        <v>51</v>
      </c>
      <c r="D176" s="54" t="s">
        <v>52</v>
      </c>
      <c r="E176" s="54" t="s">
        <v>53</v>
      </c>
      <c r="F176" s="54" t="s">
        <v>54</v>
      </c>
      <c r="G176" s="54" t="s">
        <v>56</v>
      </c>
      <c r="H176" s="54" t="s">
        <v>57</v>
      </c>
    </row>
    <row r="177" spans="1:8" ht="24.95" customHeight="1">
      <c r="A177" s="2029" t="s">
        <v>58</v>
      </c>
      <c r="B177" s="55" t="s">
        <v>58</v>
      </c>
      <c r="C177" s="55" t="s">
        <v>109</v>
      </c>
      <c r="D177" s="56" t="s">
        <v>60</v>
      </c>
      <c r="E177" s="57">
        <v>1</v>
      </c>
      <c r="F177" s="58">
        <v>133.68</v>
      </c>
      <c r="G177" s="58">
        <f t="shared" ref="G177:G183" si="5">F177*E177</f>
        <v>133.68</v>
      </c>
      <c r="H177" s="59"/>
    </row>
    <row r="178" spans="1:8" ht="24.95" customHeight="1">
      <c r="A178" s="2024"/>
      <c r="B178" s="61" t="s">
        <v>61</v>
      </c>
      <c r="C178" s="61" t="s">
        <v>62</v>
      </c>
      <c r="D178" s="62" t="s">
        <v>60</v>
      </c>
      <c r="E178" s="63">
        <v>1</v>
      </c>
      <c r="F178" s="64">
        <v>0.3</v>
      </c>
      <c r="G178" s="64">
        <f t="shared" si="5"/>
        <v>0.3</v>
      </c>
      <c r="H178" s="65"/>
    </row>
    <row r="179" spans="1:8" ht="24.95" customHeight="1">
      <c r="A179" s="2024"/>
      <c r="B179" s="61" t="s">
        <v>63</v>
      </c>
      <c r="C179" s="61" t="s">
        <v>64</v>
      </c>
      <c r="D179" s="62" t="s">
        <v>60</v>
      </c>
      <c r="E179" s="63">
        <v>2</v>
      </c>
      <c r="F179" s="64">
        <v>0.22</v>
      </c>
      <c r="G179" s="64">
        <f t="shared" si="5"/>
        <v>0.44</v>
      </c>
      <c r="H179" s="65"/>
    </row>
    <row r="180" spans="1:8" ht="24.95" customHeight="1">
      <c r="A180" s="2024"/>
      <c r="B180" s="61" t="s">
        <v>65</v>
      </c>
      <c r="C180" s="61" t="s">
        <v>66</v>
      </c>
      <c r="D180" s="62" t="s">
        <v>60</v>
      </c>
      <c r="E180" s="63">
        <v>4</v>
      </c>
      <c r="F180" s="64">
        <v>0.56999999999999995</v>
      </c>
      <c r="G180" s="64">
        <f t="shared" si="5"/>
        <v>2.2799999999999998</v>
      </c>
      <c r="H180" s="65"/>
    </row>
    <row r="181" spans="1:8" ht="24.95" customHeight="1">
      <c r="A181" s="2024"/>
      <c r="B181" s="61" t="s">
        <v>67</v>
      </c>
      <c r="C181" s="61" t="s">
        <v>104</v>
      </c>
      <c r="D181" s="62" t="s">
        <v>60</v>
      </c>
      <c r="E181" s="63">
        <v>1</v>
      </c>
      <c r="F181" s="64">
        <v>11.64</v>
      </c>
      <c r="G181" s="64">
        <f t="shared" si="5"/>
        <v>11.64</v>
      </c>
      <c r="H181" s="65"/>
    </row>
    <row r="182" spans="1:8" ht="24.95" customHeight="1">
      <c r="A182" s="2024"/>
      <c r="B182" s="61" t="s">
        <v>69</v>
      </c>
      <c r="C182" s="61" t="s">
        <v>105</v>
      </c>
      <c r="D182" s="62" t="s">
        <v>60</v>
      </c>
      <c r="E182" s="63">
        <v>1</v>
      </c>
      <c r="F182" s="64">
        <v>2.33</v>
      </c>
      <c r="G182" s="64">
        <f t="shared" si="5"/>
        <v>2.33</v>
      </c>
      <c r="H182" s="65"/>
    </row>
    <row r="183" spans="1:8" ht="24.95" customHeight="1">
      <c r="A183" s="2024"/>
      <c r="B183" s="61" t="s">
        <v>71</v>
      </c>
      <c r="C183" s="61" t="s">
        <v>72</v>
      </c>
      <c r="D183" s="62" t="s">
        <v>60</v>
      </c>
      <c r="E183" s="66">
        <v>1</v>
      </c>
      <c r="F183" s="64">
        <v>0.01</v>
      </c>
      <c r="G183" s="64">
        <f t="shared" si="5"/>
        <v>0.01</v>
      </c>
      <c r="H183" s="65"/>
    </row>
    <row r="184" spans="1:8" ht="24.95" customHeight="1">
      <c r="A184" s="2024"/>
      <c r="B184" s="61"/>
      <c r="C184" s="61"/>
      <c r="D184" s="61"/>
      <c r="E184" s="61"/>
      <c r="F184" s="61"/>
      <c r="G184" s="61"/>
      <c r="H184" s="67"/>
    </row>
    <row r="185" spans="1:8" ht="24.95" customHeight="1">
      <c r="A185" s="2025" t="s">
        <v>73</v>
      </c>
      <c r="B185" s="2026"/>
      <c r="C185" s="68"/>
      <c r="D185" s="69" t="s">
        <v>74</v>
      </c>
      <c r="E185" s="70">
        <v>1</v>
      </c>
      <c r="F185" s="68"/>
      <c r="G185" s="71">
        <f>SUM(G177:G183)</f>
        <v>150.68000000000004</v>
      </c>
      <c r="H185" s="72"/>
    </row>
    <row r="186" spans="1:8" ht="24.95" customHeight="1">
      <c r="A186" s="2024" t="s">
        <v>75</v>
      </c>
      <c r="B186" s="61" t="s">
        <v>76</v>
      </c>
      <c r="C186" s="61" t="s">
        <v>77</v>
      </c>
      <c r="D186" s="62" t="s">
        <v>60</v>
      </c>
      <c r="E186" s="63">
        <v>2</v>
      </c>
      <c r="F186" s="64">
        <v>0.36</v>
      </c>
      <c r="G186" s="64">
        <f>F186*E186</f>
        <v>0.72</v>
      </c>
      <c r="H186" s="67"/>
    </row>
    <row r="187" spans="1:8" ht="24.95" customHeight="1">
      <c r="A187" s="2024"/>
      <c r="B187" s="61" t="s">
        <v>78</v>
      </c>
      <c r="C187" s="61" t="s">
        <v>79</v>
      </c>
      <c r="D187" s="62" t="s">
        <v>60</v>
      </c>
      <c r="E187" s="63">
        <v>1</v>
      </c>
      <c r="F187" s="64">
        <v>0.2</v>
      </c>
      <c r="G187" s="64">
        <f>F187*E187</f>
        <v>0.2</v>
      </c>
      <c r="H187" s="67"/>
    </row>
    <row r="188" spans="1:8" ht="24.95" customHeight="1">
      <c r="A188" s="2024"/>
      <c r="B188" s="61"/>
      <c r="C188" s="61"/>
      <c r="D188" s="61"/>
      <c r="E188" s="61"/>
      <c r="F188" s="61"/>
      <c r="G188" s="61"/>
      <c r="H188" s="67"/>
    </row>
    <row r="189" spans="1:8" ht="24.95" customHeight="1">
      <c r="A189" s="2025" t="s">
        <v>73</v>
      </c>
      <c r="B189" s="2026"/>
      <c r="C189" s="68"/>
      <c r="D189" s="69" t="s">
        <v>74</v>
      </c>
      <c r="E189" s="69">
        <v>1</v>
      </c>
      <c r="F189" s="68"/>
      <c r="G189" s="71">
        <f>SUM(G186:G187)</f>
        <v>0.91999999999999993</v>
      </c>
      <c r="H189" s="72"/>
    </row>
    <row r="190" spans="1:8" ht="24.95" customHeight="1">
      <c r="A190" s="2024" t="s">
        <v>80</v>
      </c>
      <c r="B190" s="61" t="s">
        <v>81</v>
      </c>
      <c r="C190" s="61" t="s">
        <v>82</v>
      </c>
      <c r="D190" s="62" t="s">
        <v>60</v>
      </c>
      <c r="E190" s="73">
        <v>6</v>
      </c>
      <c r="F190" s="61"/>
      <c r="G190" s="61"/>
      <c r="H190" s="67"/>
    </row>
    <row r="191" spans="1:8" ht="24.95" customHeight="1">
      <c r="A191" s="2024"/>
      <c r="B191" s="61" t="s">
        <v>83</v>
      </c>
      <c r="C191" s="61" t="s">
        <v>84</v>
      </c>
      <c r="D191" s="62" t="s">
        <v>60</v>
      </c>
      <c r="E191" s="79">
        <v>0.16666666666666666</v>
      </c>
      <c r="F191" s="61"/>
      <c r="G191" s="61"/>
      <c r="H191" s="67"/>
    </row>
    <row r="192" spans="1:8" ht="24.95" customHeight="1">
      <c r="A192" s="2024"/>
      <c r="B192" s="61" t="s">
        <v>86</v>
      </c>
      <c r="C192" s="61" t="s">
        <v>87</v>
      </c>
      <c r="D192" s="62" t="s">
        <v>60</v>
      </c>
      <c r="E192" s="79">
        <v>0.16666666666666666</v>
      </c>
      <c r="F192" s="74">
        <v>1.08</v>
      </c>
      <c r="G192" s="74">
        <f>F192*E192</f>
        <v>0.18</v>
      </c>
      <c r="H192" s="67"/>
    </row>
    <row r="193" spans="1:8" ht="24.95" customHeight="1">
      <c r="A193" s="2024"/>
      <c r="B193" s="61" t="s">
        <v>88</v>
      </c>
      <c r="C193" s="61"/>
      <c r="D193" s="62" t="s">
        <v>60</v>
      </c>
      <c r="E193" s="79">
        <v>0.33333333333333331</v>
      </c>
      <c r="F193" s="61"/>
      <c r="G193" s="61"/>
      <c r="H193" s="67"/>
    </row>
    <row r="194" spans="1:8" ht="24.95" customHeight="1">
      <c r="A194" s="2024"/>
      <c r="B194" s="61" t="s">
        <v>90</v>
      </c>
      <c r="C194" s="61" t="s">
        <v>91</v>
      </c>
      <c r="D194" s="62" t="s">
        <v>92</v>
      </c>
      <c r="E194" s="75">
        <v>1.4630000000000001</v>
      </c>
      <c r="F194" s="61"/>
      <c r="G194" s="61"/>
      <c r="H194" s="67"/>
    </row>
    <row r="195" spans="1:8" ht="24.95" customHeight="1">
      <c r="A195" s="2024"/>
      <c r="B195" s="61" t="s">
        <v>93</v>
      </c>
      <c r="C195" s="61"/>
      <c r="D195" s="62" t="s">
        <v>60</v>
      </c>
      <c r="E195" s="75">
        <v>1.6379999999999999</v>
      </c>
      <c r="F195" s="61"/>
      <c r="G195" s="61"/>
      <c r="H195" s="67"/>
    </row>
    <row r="196" spans="1:8" ht="24.95" customHeight="1">
      <c r="A196" s="2024"/>
      <c r="B196" s="61" t="s">
        <v>94</v>
      </c>
      <c r="C196" s="61" t="s">
        <v>95</v>
      </c>
      <c r="D196" s="62" t="s">
        <v>60</v>
      </c>
      <c r="E196" s="75">
        <v>0.70499999999999996</v>
      </c>
      <c r="F196" s="61"/>
      <c r="G196" s="61"/>
      <c r="H196" s="67"/>
    </row>
    <row r="197" spans="1:8" ht="24.95" customHeight="1">
      <c r="A197" s="2024"/>
      <c r="B197" s="61"/>
      <c r="C197" s="61"/>
      <c r="D197" s="61"/>
      <c r="E197" s="61"/>
      <c r="F197" s="61"/>
      <c r="G197" s="61"/>
      <c r="H197" s="67"/>
    </row>
    <row r="198" spans="1:8" ht="24.95" customHeight="1">
      <c r="A198" s="2024"/>
      <c r="B198" s="61"/>
      <c r="C198" s="61"/>
      <c r="D198" s="61"/>
      <c r="E198" s="61"/>
      <c r="F198" s="61"/>
      <c r="G198" s="61"/>
      <c r="H198" s="67"/>
    </row>
    <row r="199" spans="1:8" ht="24.95" customHeight="1">
      <c r="A199" s="2024"/>
      <c r="B199" s="61"/>
      <c r="C199" s="61"/>
      <c r="D199" s="61"/>
      <c r="E199" s="61"/>
      <c r="F199" s="61"/>
      <c r="G199" s="61"/>
      <c r="H199" s="67"/>
    </row>
    <row r="200" spans="1:8" ht="24.95" customHeight="1">
      <c r="A200" s="2020" t="s">
        <v>96</v>
      </c>
      <c r="B200" s="2021"/>
      <c r="C200" s="76"/>
      <c r="D200" s="76"/>
      <c r="E200" s="76"/>
      <c r="F200" s="76"/>
      <c r="G200" s="77">
        <f>G185+G189+G192</f>
        <v>151.78000000000003</v>
      </c>
      <c r="H200" s="78"/>
    </row>
    <row r="201" spans="1:8" ht="24.95" customHeight="1">
      <c r="A201" s="2022" t="s">
        <v>97</v>
      </c>
      <c r="B201" s="2023"/>
      <c r="C201" s="2023"/>
      <c r="D201" s="2023"/>
      <c r="E201" s="2023"/>
      <c r="F201" s="2023"/>
      <c r="G201" s="2023"/>
      <c r="H201" s="2030"/>
    </row>
    <row r="202" spans="1:8" ht="24.95" customHeight="1">
      <c r="A202" s="2031"/>
      <c r="B202" s="2032"/>
      <c r="C202" s="2032"/>
      <c r="D202" s="2032"/>
      <c r="E202" s="2032"/>
      <c r="F202" s="2032"/>
      <c r="G202" s="2032"/>
      <c r="H202" s="2033"/>
    </row>
    <row r="203" spans="1:8" ht="24.95" customHeight="1">
      <c r="A203" s="2031"/>
      <c r="B203" s="2032"/>
      <c r="C203" s="2032"/>
      <c r="D203" s="2032"/>
      <c r="E203" s="2032"/>
      <c r="F203" s="2032"/>
      <c r="G203" s="2032"/>
      <c r="H203" s="2033"/>
    </row>
    <row r="204" spans="1:8" ht="24.95" customHeight="1">
      <c r="A204" s="2031"/>
      <c r="B204" s="2032"/>
      <c r="C204" s="2032"/>
      <c r="D204" s="2032"/>
      <c r="E204" s="2032"/>
      <c r="F204" s="2032"/>
      <c r="G204" s="2032"/>
      <c r="H204" s="2033"/>
    </row>
    <row r="205" spans="1:8" ht="24.95" customHeight="1">
      <c r="A205" s="2034"/>
      <c r="B205" s="2035"/>
      <c r="C205" s="2035"/>
      <c r="D205" s="2035"/>
      <c r="E205" s="2035"/>
      <c r="F205" s="2035"/>
      <c r="G205" s="2035"/>
      <c r="H205" s="2036"/>
    </row>
    <row r="206" spans="1:8" ht="24.95" customHeight="1"/>
    <row r="207" spans="1:8" ht="24.95" customHeight="1"/>
    <row r="208" spans="1:8" ht="24.95" customHeight="1">
      <c r="A208" s="53" t="s">
        <v>47</v>
      </c>
      <c r="B208" s="53" t="s">
        <v>48</v>
      </c>
      <c r="C208" s="53" t="s">
        <v>110</v>
      </c>
      <c r="D208" s="53"/>
      <c r="E208" s="53"/>
      <c r="F208" s="53"/>
      <c r="G208" s="53"/>
      <c r="H208" s="53"/>
    </row>
    <row r="209" spans="1:8" ht="24.95" customHeight="1">
      <c r="A209" s="53"/>
      <c r="B209" s="53"/>
      <c r="C209" s="53"/>
      <c r="D209" s="53"/>
      <c r="E209" s="53"/>
      <c r="F209" s="53"/>
      <c r="G209" s="53"/>
      <c r="H209" s="53"/>
    </row>
    <row r="210" spans="1:8" ht="24.95" customHeight="1">
      <c r="A210" s="2028" t="s">
        <v>50</v>
      </c>
      <c r="B210" s="2028"/>
      <c r="C210" s="54" t="s">
        <v>51</v>
      </c>
      <c r="D210" s="54" t="s">
        <v>52</v>
      </c>
      <c r="E210" s="54" t="s">
        <v>53</v>
      </c>
      <c r="F210" s="54" t="s">
        <v>54</v>
      </c>
      <c r="G210" s="54" t="s">
        <v>56</v>
      </c>
      <c r="H210" s="54" t="s">
        <v>57</v>
      </c>
    </row>
    <row r="211" spans="1:8" ht="24.95" customHeight="1">
      <c r="A211" s="2029" t="s">
        <v>58</v>
      </c>
      <c r="B211" s="55" t="s">
        <v>58</v>
      </c>
      <c r="C211" s="55" t="s">
        <v>111</v>
      </c>
      <c r="D211" s="56" t="s">
        <v>60</v>
      </c>
      <c r="E211" s="57">
        <v>1</v>
      </c>
      <c r="F211" s="58">
        <v>146.69</v>
      </c>
      <c r="G211" s="58">
        <f t="shared" ref="G211:G217" si="6">F211*E211</f>
        <v>146.69</v>
      </c>
      <c r="H211" s="59"/>
    </row>
    <row r="212" spans="1:8" ht="24.95" customHeight="1">
      <c r="A212" s="2024"/>
      <c r="B212" s="61" t="s">
        <v>61</v>
      </c>
      <c r="C212" s="61" t="s">
        <v>62</v>
      </c>
      <c r="D212" s="62" t="s">
        <v>60</v>
      </c>
      <c r="E212" s="63">
        <v>1</v>
      </c>
      <c r="F212" s="64">
        <v>0.3</v>
      </c>
      <c r="G212" s="64">
        <f t="shared" si="6"/>
        <v>0.3</v>
      </c>
      <c r="H212" s="65"/>
    </row>
    <row r="213" spans="1:8" ht="24.95" customHeight="1">
      <c r="A213" s="2024"/>
      <c r="B213" s="61" t="s">
        <v>63</v>
      </c>
      <c r="C213" s="61" t="s">
        <v>64</v>
      </c>
      <c r="D213" s="62" t="s">
        <v>60</v>
      </c>
      <c r="E213" s="63">
        <v>2</v>
      </c>
      <c r="F213" s="64">
        <v>0.22</v>
      </c>
      <c r="G213" s="64">
        <f t="shared" si="6"/>
        <v>0.44</v>
      </c>
      <c r="H213" s="65"/>
    </row>
    <row r="214" spans="1:8" ht="24.95" customHeight="1">
      <c r="A214" s="2024"/>
      <c r="B214" s="61" t="s">
        <v>65</v>
      </c>
      <c r="C214" s="61" t="s">
        <v>66</v>
      </c>
      <c r="D214" s="62" t="s">
        <v>60</v>
      </c>
      <c r="E214" s="63">
        <v>4</v>
      </c>
      <c r="F214" s="64">
        <v>0.56999999999999995</v>
      </c>
      <c r="G214" s="64">
        <f t="shared" si="6"/>
        <v>2.2799999999999998</v>
      </c>
      <c r="H214" s="65"/>
    </row>
    <row r="215" spans="1:8" ht="24.95" customHeight="1">
      <c r="A215" s="2024"/>
      <c r="B215" s="61" t="s">
        <v>67</v>
      </c>
      <c r="C215" s="61" t="s">
        <v>104</v>
      </c>
      <c r="D215" s="62" t="s">
        <v>60</v>
      </c>
      <c r="E215" s="63">
        <v>1</v>
      </c>
      <c r="F215" s="64">
        <v>11.64</v>
      </c>
      <c r="G215" s="64">
        <f t="shared" si="6"/>
        <v>11.64</v>
      </c>
      <c r="H215" s="65"/>
    </row>
    <row r="216" spans="1:8" ht="24.95" customHeight="1">
      <c r="A216" s="2024"/>
      <c r="B216" s="61" t="s">
        <v>69</v>
      </c>
      <c r="C216" s="61" t="s">
        <v>105</v>
      </c>
      <c r="D216" s="62" t="s">
        <v>60</v>
      </c>
      <c r="E216" s="63">
        <v>1</v>
      </c>
      <c r="F216" s="64">
        <v>2.33</v>
      </c>
      <c r="G216" s="64">
        <f t="shared" si="6"/>
        <v>2.33</v>
      </c>
      <c r="H216" s="65"/>
    </row>
    <row r="217" spans="1:8" ht="24.95" customHeight="1">
      <c r="A217" s="2024"/>
      <c r="B217" s="61" t="s">
        <v>71</v>
      </c>
      <c r="C217" s="61" t="s">
        <v>72</v>
      </c>
      <c r="D217" s="62" t="s">
        <v>60</v>
      </c>
      <c r="E217" s="66">
        <v>1</v>
      </c>
      <c r="F217" s="64">
        <v>0.01</v>
      </c>
      <c r="G217" s="64">
        <f t="shared" si="6"/>
        <v>0.01</v>
      </c>
      <c r="H217" s="65"/>
    </row>
    <row r="218" spans="1:8" ht="24.95" customHeight="1">
      <c r="A218" s="2024"/>
      <c r="B218" s="61"/>
      <c r="C218" s="61"/>
      <c r="D218" s="61"/>
      <c r="E218" s="61"/>
      <c r="F218" s="61"/>
      <c r="G218" s="61"/>
      <c r="H218" s="67"/>
    </row>
    <row r="219" spans="1:8" ht="24.95" customHeight="1">
      <c r="A219" s="2025" t="s">
        <v>73</v>
      </c>
      <c r="B219" s="2026"/>
      <c r="C219" s="68"/>
      <c r="D219" s="69" t="s">
        <v>74</v>
      </c>
      <c r="E219" s="70">
        <v>1</v>
      </c>
      <c r="F219" s="68"/>
      <c r="G219" s="71">
        <f>SUM(G211:G217)</f>
        <v>163.69000000000003</v>
      </c>
      <c r="H219" s="72"/>
    </row>
    <row r="220" spans="1:8" ht="24.95" customHeight="1">
      <c r="A220" s="2024" t="s">
        <v>75</v>
      </c>
      <c r="B220" s="61" t="s">
        <v>76</v>
      </c>
      <c r="C220" s="61" t="s">
        <v>77</v>
      </c>
      <c r="D220" s="62" t="s">
        <v>60</v>
      </c>
      <c r="E220" s="63">
        <v>2</v>
      </c>
      <c r="F220" s="64">
        <v>0.36</v>
      </c>
      <c r="G220" s="64">
        <f>F220*E220</f>
        <v>0.72</v>
      </c>
      <c r="H220" s="67"/>
    </row>
    <row r="221" spans="1:8" ht="24.95" customHeight="1">
      <c r="A221" s="2024"/>
      <c r="B221" s="61" t="s">
        <v>78</v>
      </c>
      <c r="C221" s="61" t="s">
        <v>79</v>
      </c>
      <c r="D221" s="62" t="s">
        <v>60</v>
      </c>
      <c r="E221" s="63">
        <v>1</v>
      </c>
      <c r="F221" s="64">
        <v>0.2</v>
      </c>
      <c r="G221" s="64">
        <f>F221*E221</f>
        <v>0.2</v>
      </c>
      <c r="H221" s="67"/>
    </row>
    <row r="222" spans="1:8" ht="24.95" customHeight="1">
      <c r="A222" s="2024"/>
      <c r="B222" s="61"/>
      <c r="C222" s="61"/>
      <c r="D222" s="61"/>
      <c r="E222" s="61"/>
      <c r="F222" s="61"/>
      <c r="G222" s="61"/>
      <c r="H222" s="67"/>
    </row>
    <row r="223" spans="1:8" ht="24.95" customHeight="1">
      <c r="A223" s="2025" t="s">
        <v>73</v>
      </c>
      <c r="B223" s="2026"/>
      <c r="C223" s="68"/>
      <c r="D223" s="69" t="s">
        <v>74</v>
      </c>
      <c r="E223" s="69">
        <v>1</v>
      </c>
      <c r="F223" s="68"/>
      <c r="G223" s="71">
        <f>SUM(G220:G221)</f>
        <v>0.91999999999999993</v>
      </c>
      <c r="H223" s="72"/>
    </row>
    <row r="224" spans="1:8" ht="24.95" customHeight="1">
      <c r="A224" s="2024" t="s">
        <v>80</v>
      </c>
      <c r="B224" s="61" t="s">
        <v>81</v>
      </c>
      <c r="C224" s="61" t="s">
        <v>82</v>
      </c>
      <c r="D224" s="62" t="s">
        <v>60</v>
      </c>
      <c r="E224" s="73">
        <v>6</v>
      </c>
      <c r="F224" s="61"/>
      <c r="G224" s="61"/>
      <c r="H224" s="67"/>
    </row>
    <row r="225" spans="1:8" ht="24.95" customHeight="1">
      <c r="A225" s="2024"/>
      <c r="B225" s="61" t="s">
        <v>83</v>
      </c>
      <c r="C225" s="61" t="s">
        <v>84</v>
      </c>
      <c r="D225" s="62" t="s">
        <v>60</v>
      </c>
      <c r="E225" s="79">
        <v>0.16666666666666666</v>
      </c>
      <c r="F225" s="61"/>
      <c r="G225" s="61"/>
      <c r="H225" s="67"/>
    </row>
    <row r="226" spans="1:8" ht="24.95" customHeight="1">
      <c r="A226" s="2024"/>
      <c r="B226" s="61" t="s">
        <v>86</v>
      </c>
      <c r="C226" s="61" t="s">
        <v>87</v>
      </c>
      <c r="D226" s="62" t="s">
        <v>60</v>
      </c>
      <c r="E226" s="79">
        <v>0.16666666666666666</v>
      </c>
      <c r="F226" s="74">
        <v>1.08</v>
      </c>
      <c r="G226" s="74">
        <f>F226*E226</f>
        <v>0.18</v>
      </c>
      <c r="H226" s="67"/>
    </row>
    <row r="227" spans="1:8" ht="24.95" customHeight="1">
      <c r="A227" s="2024"/>
      <c r="B227" s="61" t="s">
        <v>88</v>
      </c>
      <c r="C227" s="61"/>
      <c r="D227" s="62" t="s">
        <v>60</v>
      </c>
      <c r="E227" s="79">
        <v>0.33333333333333331</v>
      </c>
      <c r="F227" s="61"/>
      <c r="G227" s="61"/>
      <c r="H227" s="67"/>
    </row>
    <row r="228" spans="1:8" ht="24.95" customHeight="1">
      <c r="A228" s="2024"/>
      <c r="B228" s="61" t="s">
        <v>90</v>
      </c>
      <c r="C228" s="61" t="s">
        <v>91</v>
      </c>
      <c r="D228" s="62" t="s">
        <v>92</v>
      </c>
      <c r="E228" s="75">
        <v>1.605</v>
      </c>
      <c r="F228" s="61"/>
      <c r="G228" s="61"/>
      <c r="H228" s="67"/>
    </row>
    <row r="229" spans="1:8" ht="24.95" customHeight="1">
      <c r="A229" s="2024"/>
      <c r="B229" s="61" t="s">
        <v>93</v>
      </c>
      <c r="C229" s="61"/>
      <c r="D229" s="62" t="s">
        <v>60</v>
      </c>
      <c r="E229" s="75">
        <v>1.7969999999999999</v>
      </c>
      <c r="F229" s="61"/>
      <c r="G229" s="61"/>
      <c r="H229" s="67"/>
    </row>
    <row r="230" spans="1:8" ht="24.95" customHeight="1">
      <c r="A230" s="2024"/>
      <c r="B230" s="61" t="s">
        <v>94</v>
      </c>
      <c r="C230" s="61" t="s">
        <v>95</v>
      </c>
      <c r="D230" s="62" t="s">
        <v>60</v>
      </c>
      <c r="E230" s="75">
        <v>0.77300000000000002</v>
      </c>
      <c r="F230" s="61"/>
      <c r="G230" s="61"/>
      <c r="H230" s="67"/>
    </row>
    <row r="231" spans="1:8" ht="24.95" customHeight="1">
      <c r="A231" s="2024"/>
      <c r="B231" s="61"/>
      <c r="C231" s="61"/>
      <c r="D231" s="61"/>
      <c r="E231" s="61"/>
      <c r="F231" s="61"/>
      <c r="G231" s="61"/>
      <c r="H231" s="67"/>
    </row>
    <row r="232" spans="1:8" ht="24.95" customHeight="1">
      <c r="A232" s="2024"/>
      <c r="B232" s="61"/>
      <c r="C232" s="61"/>
      <c r="D232" s="61"/>
      <c r="E232" s="61"/>
      <c r="F232" s="61"/>
      <c r="G232" s="61"/>
      <c r="H232" s="67"/>
    </row>
    <row r="233" spans="1:8" ht="24.95" customHeight="1">
      <c r="A233" s="2024"/>
      <c r="B233" s="61"/>
      <c r="C233" s="61"/>
      <c r="D233" s="61"/>
      <c r="E233" s="61"/>
      <c r="F233" s="61"/>
      <c r="G233" s="61"/>
      <c r="H233" s="67"/>
    </row>
    <row r="234" spans="1:8" ht="24.95" customHeight="1">
      <c r="A234" s="2020" t="s">
        <v>96</v>
      </c>
      <c r="B234" s="2021"/>
      <c r="C234" s="76"/>
      <c r="D234" s="76"/>
      <c r="E234" s="76"/>
      <c r="F234" s="76"/>
      <c r="G234" s="77">
        <f>G219+G223+G226</f>
        <v>164.79000000000002</v>
      </c>
      <c r="H234" s="78"/>
    </row>
    <row r="235" spans="1:8" ht="24.95" customHeight="1">
      <c r="A235" s="2022" t="s">
        <v>97</v>
      </c>
      <c r="B235" s="2023"/>
      <c r="C235" s="2023"/>
      <c r="D235" s="2023"/>
      <c r="E235" s="2023"/>
      <c r="F235" s="2023"/>
      <c r="G235" s="2023"/>
      <c r="H235" s="2030"/>
    </row>
    <row r="236" spans="1:8" ht="24.95" customHeight="1">
      <c r="A236" s="2031"/>
      <c r="B236" s="2032"/>
      <c r="C236" s="2032"/>
      <c r="D236" s="2032"/>
      <c r="E236" s="2032"/>
      <c r="F236" s="2032"/>
      <c r="G236" s="2032"/>
      <c r="H236" s="2033"/>
    </row>
    <row r="237" spans="1:8" ht="24.95" customHeight="1">
      <c r="A237" s="2031"/>
      <c r="B237" s="2032"/>
      <c r="C237" s="2032"/>
      <c r="D237" s="2032"/>
      <c r="E237" s="2032"/>
      <c r="F237" s="2032"/>
      <c r="G237" s="2032"/>
      <c r="H237" s="2033"/>
    </row>
    <row r="238" spans="1:8" ht="24.95" customHeight="1">
      <c r="A238" s="2031"/>
      <c r="B238" s="2032"/>
      <c r="C238" s="2032"/>
      <c r="D238" s="2032"/>
      <c r="E238" s="2032"/>
      <c r="F238" s="2032"/>
      <c r="G238" s="2032"/>
      <c r="H238" s="2033"/>
    </row>
    <row r="239" spans="1:8" ht="24.95" customHeight="1">
      <c r="A239" s="2034"/>
      <c r="B239" s="2035"/>
      <c r="C239" s="2035"/>
      <c r="D239" s="2035"/>
      <c r="E239" s="2035"/>
      <c r="F239" s="2035"/>
      <c r="G239" s="2035"/>
      <c r="H239" s="2036"/>
    </row>
  </sheetData>
  <mergeCells count="71">
    <mergeCell ref="A189:B189"/>
    <mergeCell ref="A236:H239"/>
    <mergeCell ref="A202:H205"/>
    <mergeCell ref="A210:B210"/>
    <mergeCell ref="A211:A218"/>
    <mergeCell ref="A219:B219"/>
    <mergeCell ref="C235:H235"/>
    <mergeCell ref="A235:B235"/>
    <mergeCell ref="A200:B200"/>
    <mergeCell ref="A234:B234"/>
    <mergeCell ref="A220:A222"/>
    <mergeCell ref="A223:B223"/>
    <mergeCell ref="A224:A233"/>
    <mergeCell ref="A201:B201"/>
    <mergeCell ref="A88:A97"/>
    <mergeCell ref="A98:B98"/>
    <mergeCell ref="A134:H137"/>
    <mergeCell ref="C201:H201"/>
    <mergeCell ref="A152:A154"/>
    <mergeCell ref="A155:B155"/>
    <mergeCell ref="C167:H167"/>
    <mergeCell ref="A168:H171"/>
    <mergeCell ref="A176:B176"/>
    <mergeCell ref="A177:A184"/>
    <mergeCell ref="A156:A165"/>
    <mergeCell ref="A166:B166"/>
    <mergeCell ref="A190:A199"/>
    <mergeCell ref="A167:B167"/>
    <mergeCell ref="A185:B185"/>
    <mergeCell ref="A186:A188"/>
    <mergeCell ref="C99:H99"/>
    <mergeCell ref="A142:B142"/>
    <mergeCell ref="A100:H103"/>
    <mergeCell ref="A108:B108"/>
    <mergeCell ref="A121:B121"/>
    <mergeCell ref="A122:A131"/>
    <mergeCell ref="A132:B132"/>
    <mergeCell ref="A133:B133"/>
    <mergeCell ref="C133:H133"/>
    <mergeCell ref="A31:B31"/>
    <mergeCell ref="A41:A48"/>
    <mergeCell ref="A49:B49"/>
    <mergeCell ref="A54:A63"/>
    <mergeCell ref="A151:B151"/>
    <mergeCell ref="A109:A116"/>
    <mergeCell ref="A117:B117"/>
    <mergeCell ref="A118:A120"/>
    <mergeCell ref="A99:B99"/>
    <mergeCell ref="A66:H69"/>
    <mergeCell ref="A74:B74"/>
    <mergeCell ref="A75:A82"/>
    <mergeCell ref="A83:B83"/>
    <mergeCell ref="A143:A150"/>
    <mergeCell ref="A84:A86"/>
    <mergeCell ref="A87:B87"/>
    <mergeCell ref="A64:B64"/>
    <mergeCell ref="A65:B65"/>
    <mergeCell ref="A50:A52"/>
    <mergeCell ref="A53:B53"/>
    <mergeCell ref="A1:H1"/>
    <mergeCell ref="A6:B6"/>
    <mergeCell ref="A7:A14"/>
    <mergeCell ref="A15:B15"/>
    <mergeCell ref="A16:A18"/>
    <mergeCell ref="A19:B19"/>
    <mergeCell ref="C31:H31"/>
    <mergeCell ref="A32:H35"/>
    <mergeCell ref="A40:B40"/>
    <mergeCell ref="A20:A29"/>
    <mergeCell ref="A30:B30"/>
    <mergeCell ref="C65:H65"/>
  </mergeCells>
  <phoneticPr fontId="3" type="noConversion"/>
  <printOptions horizontalCentered="1"/>
  <pageMargins left="0.43307086614173229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47315-D162-4632-8BFA-0DC009E76B98}">
  <dimension ref="A1:G36"/>
  <sheetViews>
    <sheetView tabSelected="1" view="pageBreakPreview" zoomScaleNormal="100" zoomScaleSheetLayoutView="100" workbookViewId="0">
      <selection activeCell="I22" sqref="I22"/>
    </sheetView>
  </sheetViews>
  <sheetFormatPr defaultRowHeight="13.5"/>
  <cols>
    <col min="3" max="3" width="20" bestFit="1" customWidth="1"/>
    <col min="4" max="4" width="19.44140625" style="1093" customWidth="1"/>
    <col min="5" max="5" width="37.5546875" bestFit="1" customWidth="1"/>
    <col min="6" max="6" width="19.5546875" style="377" customWidth="1"/>
  </cols>
  <sheetData>
    <row r="1" spans="1:7" ht="36.75" customHeight="1">
      <c r="A1" s="1232" t="s">
        <v>0</v>
      </c>
      <c r="B1" s="1232"/>
      <c r="C1" s="1232"/>
      <c r="D1" s="1232"/>
      <c r="E1" s="1232"/>
      <c r="F1" s="1232"/>
    </row>
    <row r="2" spans="1:7" ht="20.25" customHeight="1">
      <c r="A2" s="1233" t="s">
        <v>2730</v>
      </c>
      <c r="B2" s="1233"/>
      <c r="C2" s="1233"/>
      <c r="D2" s="1233"/>
      <c r="E2" s="1233"/>
      <c r="F2" s="1233"/>
    </row>
    <row r="3" spans="1:7" ht="21" customHeight="1">
      <c r="A3" s="1234" t="s">
        <v>1</v>
      </c>
      <c r="B3" s="1235"/>
      <c r="C3" s="1236"/>
      <c r="D3" s="1137" t="s">
        <v>536</v>
      </c>
      <c r="E3" s="14" t="s">
        <v>658</v>
      </c>
      <c r="F3" s="247" t="s">
        <v>531</v>
      </c>
    </row>
    <row r="4" spans="1:7" ht="21" customHeight="1">
      <c r="A4" s="1237" t="s">
        <v>651</v>
      </c>
      <c r="B4" s="1239" t="s">
        <v>652</v>
      </c>
      <c r="C4" s="347" t="s">
        <v>2</v>
      </c>
      <c r="D4" s="1138"/>
      <c r="E4" s="348"/>
      <c r="F4" s="369"/>
    </row>
    <row r="5" spans="1:7" ht="21" customHeight="1">
      <c r="A5" s="1237"/>
      <c r="B5" s="1239"/>
      <c r="C5" s="349" t="s">
        <v>3</v>
      </c>
      <c r="D5" s="1139"/>
      <c r="E5" s="350"/>
      <c r="F5" s="370"/>
    </row>
    <row r="6" spans="1:7" ht="21" customHeight="1">
      <c r="A6" s="1237"/>
      <c r="B6" s="1239"/>
      <c r="C6" s="351" t="s">
        <v>4</v>
      </c>
      <c r="D6" s="1140"/>
      <c r="E6" s="352"/>
      <c r="F6" s="351"/>
    </row>
    <row r="7" spans="1:7" ht="21" customHeight="1">
      <c r="A7" s="1237"/>
      <c r="B7" s="1239"/>
      <c r="C7" s="353" t="s">
        <v>5</v>
      </c>
      <c r="D7" s="1141"/>
      <c r="E7" s="354"/>
      <c r="F7" s="353"/>
    </row>
    <row r="8" spans="1:7" ht="21" customHeight="1">
      <c r="A8" s="1237"/>
      <c r="B8" s="1239" t="s">
        <v>653</v>
      </c>
      <c r="C8" s="355" t="s">
        <v>6</v>
      </c>
      <c r="D8" s="1142"/>
      <c r="E8" s="356"/>
      <c r="F8" s="371"/>
    </row>
    <row r="9" spans="1:7" ht="21" customHeight="1">
      <c r="A9" s="1237"/>
      <c r="B9" s="1239"/>
      <c r="C9" s="1114" t="s">
        <v>7</v>
      </c>
      <c r="D9" s="1143"/>
      <c r="E9" s="1115">
        <v>19.100000000000001</v>
      </c>
      <c r="F9" s="1116"/>
      <c r="G9" t="s">
        <v>2768</v>
      </c>
    </row>
    <row r="10" spans="1:7" ht="21" customHeight="1">
      <c r="A10" s="1237"/>
      <c r="B10" s="1239"/>
      <c r="C10" s="353" t="s">
        <v>5</v>
      </c>
      <c r="D10" s="1141"/>
      <c r="E10" s="358"/>
      <c r="F10" s="353"/>
    </row>
    <row r="11" spans="1:7" ht="21" customHeight="1">
      <c r="A11" s="1237"/>
      <c r="B11" s="1237" t="s">
        <v>654</v>
      </c>
      <c r="C11" s="1130" t="s">
        <v>8</v>
      </c>
      <c r="D11" s="1144"/>
      <c r="E11" s="1131"/>
      <c r="F11" s="1132"/>
    </row>
    <row r="12" spans="1:7" ht="21" customHeight="1">
      <c r="A12" s="1237"/>
      <c r="B12" s="1237"/>
      <c r="C12" s="349" t="s">
        <v>9</v>
      </c>
      <c r="D12" s="1139"/>
      <c r="E12" s="366">
        <v>3.56</v>
      </c>
      <c r="F12" s="370"/>
    </row>
    <row r="13" spans="1:7" ht="21" customHeight="1">
      <c r="A13" s="1237"/>
      <c r="B13" s="1237"/>
      <c r="C13" s="357" t="s">
        <v>10</v>
      </c>
      <c r="D13" s="1140"/>
      <c r="E13" s="365">
        <v>3.5950000000000002</v>
      </c>
      <c r="F13" s="351"/>
    </row>
    <row r="14" spans="1:7" ht="21" customHeight="1">
      <c r="A14" s="1237"/>
      <c r="B14" s="1237"/>
      <c r="C14" s="357" t="s">
        <v>11</v>
      </c>
      <c r="D14" s="1145"/>
      <c r="E14" s="365">
        <v>4.75</v>
      </c>
      <c r="F14" s="351"/>
    </row>
    <row r="15" spans="1:7" ht="21" customHeight="1">
      <c r="A15" s="1237"/>
      <c r="B15" s="1237"/>
      <c r="C15" s="357" t="s">
        <v>12</v>
      </c>
      <c r="D15" s="1145"/>
      <c r="E15" s="367">
        <v>13.14</v>
      </c>
      <c r="F15" s="351"/>
    </row>
    <row r="16" spans="1:7" ht="21" customHeight="1">
      <c r="A16" s="1237"/>
      <c r="B16" s="1237"/>
      <c r="C16" s="357" t="s">
        <v>13</v>
      </c>
      <c r="D16" s="1146"/>
      <c r="E16" s="385">
        <v>1.01</v>
      </c>
      <c r="F16" s="351"/>
    </row>
    <row r="17" spans="1:7" ht="21" customHeight="1">
      <c r="A17" s="1237"/>
      <c r="B17" s="1237"/>
      <c r="C17" s="357" t="s">
        <v>14</v>
      </c>
      <c r="D17" s="1147"/>
      <c r="E17" s="386">
        <v>2.2999999999999998</v>
      </c>
      <c r="F17" s="351"/>
    </row>
    <row r="18" spans="1:7" ht="21" customHeight="1">
      <c r="A18" s="1237"/>
      <c r="B18" s="1237"/>
      <c r="C18" s="1240" t="s">
        <v>681</v>
      </c>
      <c r="D18" s="1147"/>
      <c r="E18" s="387" t="s">
        <v>2597</v>
      </c>
      <c r="F18" s="351"/>
    </row>
    <row r="19" spans="1:7" ht="21" customHeight="1">
      <c r="A19" s="1237"/>
      <c r="B19" s="1237"/>
      <c r="C19" s="1241"/>
      <c r="D19" s="1148"/>
      <c r="E19" s="387" t="s">
        <v>684</v>
      </c>
      <c r="F19" s="372"/>
    </row>
    <row r="20" spans="1:7" ht="21" customHeight="1">
      <c r="A20" s="1238"/>
      <c r="B20" s="1238"/>
      <c r="C20" s="1112" t="s">
        <v>2727</v>
      </c>
      <c r="D20" s="1149"/>
      <c r="E20" s="366">
        <v>6.0000000000000001E-3</v>
      </c>
      <c r="F20" s="372"/>
    </row>
    <row r="21" spans="1:7" ht="21" customHeight="1">
      <c r="A21" s="1238"/>
      <c r="B21" s="1238"/>
      <c r="C21" s="1113" t="s">
        <v>2728</v>
      </c>
      <c r="D21" s="1149"/>
      <c r="E21" s="366">
        <v>0.09</v>
      </c>
      <c r="F21" s="372"/>
    </row>
    <row r="22" spans="1:7" ht="21" customHeight="1">
      <c r="A22" s="1237"/>
      <c r="B22" s="1237"/>
      <c r="C22" s="359" t="s">
        <v>15</v>
      </c>
      <c r="D22" s="1150"/>
      <c r="E22" s="391">
        <v>5.3</v>
      </c>
      <c r="F22" s="372"/>
    </row>
    <row r="23" spans="1:7" ht="21" customHeight="1">
      <c r="A23" s="1237"/>
      <c r="B23" s="1237"/>
      <c r="C23" s="349" t="s">
        <v>682</v>
      </c>
      <c r="D23" s="1147"/>
      <c r="E23" s="391"/>
      <c r="F23" s="351"/>
    </row>
    <row r="24" spans="1:7" ht="21" customHeight="1">
      <c r="A24" s="1237"/>
      <c r="B24" s="1237"/>
      <c r="C24" s="353" t="s">
        <v>5</v>
      </c>
      <c r="D24" s="1151"/>
      <c r="E24" s="388"/>
      <c r="F24" s="353"/>
    </row>
    <row r="25" spans="1:7" ht="21" customHeight="1">
      <c r="A25" s="1213" t="s">
        <v>16</v>
      </c>
      <c r="B25" s="1214"/>
      <c r="C25" s="1215"/>
      <c r="D25" s="1152"/>
      <c r="E25" s="389"/>
      <c r="F25" s="372"/>
    </row>
    <row r="26" spans="1:7" ht="21" customHeight="1">
      <c r="A26" s="1216" t="s">
        <v>17</v>
      </c>
      <c r="B26" s="1217"/>
      <c r="C26" s="1218"/>
      <c r="D26" s="1153"/>
      <c r="E26" s="390">
        <v>8</v>
      </c>
      <c r="F26" s="351"/>
    </row>
    <row r="27" spans="1:7" ht="21" customHeight="1">
      <c r="A27" s="1219" t="s">
        <v>18</v>
      </c>
      <c r="B27" s="1220"/>
      <c r="C27" s="1221"/>
      <c r="D27" s="1157"/>
      <c r="E27" s="1158">
        <v>8</v>
      </c>
      <c r="F27" s="1116"/>
      <c r="G27" t="s">
        <v>2775</v>
      </c>
    </row>
    <row r="28" spans="1:7" ht="21" customHeight="1">
      <c r="A28" s="1222" t="s">
        <v>655</v>
      </c>
      <c r="B28" s="1223"/>
      <c r="C28" s="1224"/>
      <c r="D28" s="1153"/>
      <c r="E28" s="368"/>
      <c r="F28" s="373"/>
    </row>
    <row r="29" spans="1:7" ht="21" customHeight="1">
      <c r="A29" s="1219" t="s">
        <v>538</v>
      </c>
      <c r="B29" s="1220"/>
      <c r="C29" s="1221"/>
      <c r="D29" s="1157"/>
      <c r="E29" s="1159"/>
      <c r="F29" s="1116"/>
      <c r="G29" t="s">
        <v>2774</v>
      </c>
    </row>
    <row r="30" spans="1:7" ht="21" customHeight="1">
      <c r="A30" s="1216" t="s">
        <v>19</v>
      </c>
      <c r="B30" s="1217"/>
      <c r="C30" s="1218"/>
      <c r="D30" s="1140"/>
      <c r="E30" s="360"/>
      <c r="F30" s="351"/>
    </row>
    <row r="31" spans="1:7" ht="21" customHeight="1">
      <c r="A31" s="1225" t="s">
        <v>2732</v>
      </c>
      <c r="B31" s="1226"/>
      <c r="C31" s="1227"/>
      <c r="D31" s="1154"/>
      <c r="E31" s="1089" t="s">
        <v>2733</v>
      </c>
      <c r="F31" s="374"/>
    </row>
    <row r="32" spans="1:7" ht="21" customHeight="1">
      <c r="A32" s="1228" t="s">
        <v>20</v>
      </c>
      <c r="B32" s="1229"/>
      <c r="C32" s="1230"/>
      <c r="D32" s="1154"/>
      <c r="E32" s="361"/>
      <c r="F32" s="374"/>
    </row>
    <row r="33" spans="1:6" ht="21" customHeight="1">
      <c r="A33" s="1231" t="s">
        <v>656</v>
      </c>
      <c r="B33" s="1231"/>
      <c r="C33" s="1231"/>
      <c r="D33" s="1155"/>
      <c r="E33" s="362"/>
      <c r="F33" s="247"/>
    </row>
    <row r="34" spans="1:6" ht="21" customHeight="1">
      <c r="A34" s="1210" t="s">
        <v>534</v>
      </c>
      <c r="B34" s="1211"/>
      <c r="C34" s="1212"/>
      <c r="D34" s="1156"/>
      <c r="E34" s="363"/>
      <c r="F34" s="375" t="s">
        <v>683</v>
      </c>
    </row>
    <row r="35" spans="1:6" ht="21" hidden="1" customHeight="1">
      <c r="A35" s="1210" t="s">
        <v>535</v>
      </c>
      <c r="B35" s="1211"/>
      <c r="C35" s="1212"/>
      <c r="D35" s="1156"/>
      <c r="E35" s="363"/>
      <c r="F35" s="375" t="s">
        <v>683</v>
      </c>
    </row>
    <row r="36" spans="1:6" ht="21" customHeight="1">
      <c r="A36" s="1210" t="s">
        <v>657</v>
      </c>
      <c r="B36" s="1211"/>
      <c r="C36" s="1212"/>
      <c r="D36" s="1156"/>
      <c r="E36" s="364"/>
      <c r="F36" s="376"/>
    </row>
  </sheetData>
  <mergeCells count="20">
    <mergeCell ref="A1:F1"/>
    <mergeCell ref="A2:F2"/>
    <mergeCell ref="A3:C3"/>
    <mergeCell ref="A4:A24"/>
    <mergeCell ref="B4:B7"/>
    <mergeCell ref="B8:B10"/>
    <mergeCell ref="B11:B24"/>
    <mergeCell ref="C18:C19"/>
    <mergeCell ref="A36:C36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</mergeCells>
  <phoneticPr fontId="3" type="noConversion"/>
  <pageMargins left="0.7" right="0.7" top="0.75" bottom="0.75" header="0.3" footer="0.3"/>
  <pageSetup paperSize="9" scale="67" orientation="landscape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477"/>
  <sheetViews>
    <sheetView zoomScale="85" zoomScaleNormal="85" workbookViewId="0">
      <selection activeCell="K10" sqref="K10"/>
    </sheetView>
  </sheetViews>
  <sheetFormatPr defaultColWidth="8.88671875" defaultRowHeight="11.25"/>
  <cols>
    <col min="1" max="1" width="6.77734375" style="51" bestFit="1" customWidth="1"/>
    <col min="2" max="2" width="11.21875" style="51" bestFit="1" customWidth="1"/>
    <col min="3" max="3" width="19.21875" style="51" bestFit="1" customWidth="1"/>
    <col min="4" max="4" width="4.44140625" style="51" bestFit="1" customWidth="1"/>
    <col min="5" max="5" width="6.77734375" style="51" bestFit="1" customWidth="1"/>
    <col min="6" max="6" width="7.6640625" style="51" bestFit="1" customWidth="1"/>
    <col min="7" max="7" width="8.109375" style="51" customWidth="1"/>
    <col min="8" max="8" width="10.5546875" style="51" customWidth="1"/>
    <col min="9" max="16384" width="8.88671875" style="51"/>
  </cols>
  <sheetData>
    <row r="1" spans="1:9" ht="25.5">
      <c r="A1" s="2027" t="s">
        <v>46</v>
      </c>
      <c r="B1" s="2027"/>
      <c r="C1" s="2027"/>
      <c r="D1" s="2027"/>
      <c r="E1" s="2027"/>
      <c r="F1" s="2027"/>
      <c r="G1" s="2027"/>
      <c r="H1" s="2027"/>
    </row>
    <row r="2" spans="1:9" s="53" customFormat="1" ht="12">
      <c r="A2" s="52"/>
      <c r="B2" s="52"/>
      <c r="C2" s="52"/>
      <c r="D2" s="52"/>
      <c r="E2" s="52"/>
      <c r="F2" s="52"/>
      <c r="G2" s="52"/>
      <c r="H2" s="52"/>
    </row>
    <row r="3" spans="1:9" s="53" customFormat="1" ht="12"/>
    <row r="4" spans="1:9" s="53" customFormat="1" ht="24.95" customHeight="1">
      <c r="A4" s="53" t="s">
        <v>47</v>
      </c>
      <c r="B4" s="53" t="s">
        <v>112</v>
      </c>
    </row>
    <row r="5" spans="1:9" s="53" customFormat="1" ht="24.95" customHeight="1"/>
    <row r="6" spans="1:9" s="53" customFormat="1" ht="24.95" customHeight="1">
      <c r="A6" s="2028" t="s">
        <v>50</v>
      </c>
      <c r="B6" s="2028"/>
      <c r="C6" s="54" t="s">
        <v>51</v>
      </c>
      <c r="D6" s="54" t="s">
        <v>52</v>
      </c>
      <c r="E6" s="54" t="s">
        <v>53</v>
      </c>
      <c r="F6" s="54" t="s">
        <v>54</v>
      </c>
      <c r="G6" s="54" t="s">
        <v>56</v>
      </c>
      <c r="H6" s="54" t="s">
        <v>57</v>
      </c>
    </row>
    <row r="7" spans="1:9" s="53" customFormat="1" ht="24.95" customHeight="1">
      <c r="A7" s="2037" t="s">
        <v>113</v>
      </c>
      <c r="B7" s="55" t="s">
        <v>58</v>
      </c>
      <c r="C7" s="55" t="s">
        <v>114</v>
      </c>
      <c r="D7" s="56" t="s">
        <v>60</v>
      </c>
      <c r="E7" s="57">
        <v>1</v>
      </c>
      <c r="F7" s="58">
        <v>2.76</v>
      </c>
      <c r="G7" s="58">
        <f>F7*E7</f>
        <v>2.76</v>
      </c>
      <c r="H7" s="59"/>
      <c r="I7" s="60"/>
    </row>
    <row r="8" spans="1:9" s="53" customFormat="1" ht="24.95" customHeight="1">
      <c r="A8" s="2038"/>
      <c r="B8" s="61" t="s">
        <v>115</v>
      </c>
      <c r="C8" s="61" t="s">
        <v>116</v>
      </c>
      <c r="D8" s="62" t="s">
        <v>60</v>
      </c>
      <c r="E8" s="63">
        <v>1</v>
      </c>
      <c r="F8" s="64">
        <v>0.22</v>
      </c>
      <c r="G8" s="64">
        <f t="shared" ref="G8:G13" si="0">F8*E8</f>
        <v>0.22</v>
      </c>
      <c r="H8" s="65"/>
      <c r="I8" s="60"/>
    </row>
    <row r="9" spans="1:9" s="53" customFormat="1" ht="24.95" customHeight="1">
      <c r="A9" s="2038"/>
      <c r="B9" s="61" t="s">
        <v>117</v>
      </c>
      <c r="C9" s="61" t="s">
        <v>118</v>
      </c>
      <c r="D9" s="62" t="s">
        <v>60</v>
      </c>
      <c r="E9" s="63">
        <v>2</v>
      </c>
      <c r="F9" s="64">
        <v>1.72</v>
      </c>
      <c r="G9" s="64">
        <f t="shared" si="0"/>
        <v>3.44</v>
      </c>
      <c r="H9" s="65"/>
      <c r="I9" s="60"/>
    </row>
    <row r="10" spans="1:9" s="53" customFormat="1" ht="24.95" customHeight="1">
      <c r="A10" s="2038"/>
      <c r="B10" s="61" t="s">
        <v>119</v>
      </c>
      <c r="C10" s="61" t="s">
        <v>120</v>
      </c>
      <c r="D10" s="62" t="s">
        <v>60</v>
      </c>
      <c r="E10" s="63">
        <v>1</v>
      </c>
      <c r="F10" s="64">
        <v>0.88</v>
      </c>
      <c r="G10" s="64">
        <f t="shared" si="0"/>
        <v>0.88</v>
      </c>
      <c r="H10" s="65"/>
      <c r="I10" s="60"/>
    </row>
    <row r="11" spans="1:9" s="53" customFormat="1" ht="24.95" customHeight="1">
      <c r="A11" s="2038"/>
      <c r="B11" s="61" t="s">
        <v>121</v>
      </c>
      <c r="C11" s="61" t="s">
        <v>122</v>
      </c>
      <c r="D11" s="62" t="s">
        <v>60</v>
      </c>
      <c r="E11" s="63">
        <v>1</v>
      </c>
      <c r="F11" s="64">
        <v>1.01</v>
      </c>
      <c r="G11" s="64">
        <f t="shared" si="0"/>
        <v>1.01</v>
      </c>
      <c r="H11" s="65"/>
      <c r="I11" s="60"/>
    </row>
    <row r="12" spans="1:9" s="53" customFormat="1" ht="24.95" customHeight="1">
      <c r="A12" s="2038"/>
      <c r="B12" s="61" t="s">
        <v>113</v>
      </c>
      <c r="C12" s="61" t="s">
        <v>123</v>
      </c>
      <c r="D12" s="62" t="s">
        <v>60</v>
      </c>
      <c r="E12" s="63">
        <v>1</v>
      </c>
      <c r="F12" s="64">
        <v>7.01</v>
      </c>
      <c r="G12" s="64">
        <f t="shared" si="0"/>
        <v>7.01</v>
      </c>
      <c r="H12" s="65"/>
      <c r="I12" s="60"/>
    </row>
    <row r="13" spans="1:9" s="53" customFormat="1" ht="24.95" customHeight="1">
      <c r="A13" s="2038"/>
      <c r="B13" s="61" t="s">
        <v>124</v>
      </c>
      <c r="C13" s="61" t="s">
        <v>125</v>
      </c>
      <c r="D13" s="62" t="s">
        <v>60</v>
      </c>
      <c r="E13" s="66">
        <v>1</v>
      </c>
      <c r="F13" s="64">
        <v>1.58</v>
      </c>
      <c r="G13" s="64">
        <f t="shared" si="0"/>
        <v>1.58</v>
      </c>
      <c r="H13" s="65"/>
      <c r="I13" s="60"/>
    </row>
    <row r="14" spans="1:9" s="53" customFormat="1" ht="24.95" customHeight="1">
      <c r="A14" s="2038"/>
      <c r="B14" s="61" t="s">
        <v>78</v>
      </c>
      <c r="C14" s="61" t="s">
        <v>126</v>
      </c>
      <c r="D14" s="62" t="s">
        <v>60</v>
      </c>
      <c r="E14" s="63">
        <v>1</v>
      </c>
      <c r="F14" s="64">
        <v>7.0000000000000007E-2</v>
      </c>
      <c r="G14" s="64">
        <f>F14*E14</f>
        <v>7.0000000000000007E-2</v>
      </c>
      <c r="H14" s="67"/>
    </row>
    <row r="15" spans="1:9" s="53" customFormat="1" ht="24.95" customHeight="1">
      <c r="A15" s="2038"/>
      <c r="B15" s="61" t="s">
        <v>127</v>
      </c>
      <c r="C15" s="61" t="s">
        <v>128</v>
      </c>
      <c r="D15" s="62" t="s">
        <v>60</v>
      </c>
      <c r="E15" s="66">
        <v>5</v>
      </c>
      <c r="F15" s="64">
        <v>0.2</v>
      </c>
      <c r="G15" s="64">
        <f>F15*E15</f>
        <v>1</v>
      </c>
      <c r="H15" s="67"/>
    </row>
    <row r="16" spans="1:9" s="53" customFormat="1" ht="24.95" customHeight="1">
      <c r="A16" s="2039"/>
      <c r="B16" s="61"/>
      <c r="C16" s="61"/>
      <c r="D16" s="61"/>
      <c r="E16" s="61"/>
      <c r="F16" s="61"/>
      <c r="G16" s="61"/>
      <c r="H16" s="67"/>
    </row>
    <row r="17" spans="1:8" s="53" customFormat="1" ht="24.95" customHeight="1">
      <c r="A17" s="2025" t="s">
        <v>73</v>
      </c>
      <c r="B17" s="2026"/>
      <c r="C17" s="68"/>
      <c r="D17" s="69" t="s">
        <v>74</v>
      </c>
      <c r="E17" s="70">
        <v>1</v>
      </c>
      <c r="F17" s="68"/>
      <c r="G17" s="71">
        <f>SUM(G7:G15)</f>
        <v>17.97</v>
      </c>
      <c r="H17" s="72"/>
    </row>
    <row r="18" spans="1:8" s="53" customFormat="1" ht="24.95" customHeight="1">
      <c r="A18" s="2040"/>
      <c r="B18" s="61" t="s">
        <v>129</v>
      </c>
      <c r="C18" s="61" t="s">
        <v>130</v>
      </c>
      <c r="D18" s="62" t="s">
        <v>60</v>
      </c>
      <c r="E18" s="66">
        <v>5</v>
      </c>
      <c r="F18" s="74">
        <v>0.35</v>
      </c>
      <c r="G18" s="80">
        <f>F18*E18</f>
        <v>1.75</v>
      </c>
      <c r="H18" s="67"/>
    </row>
    <row r="19" spans="1:8" s="53" customFormat="1" ht="24.95" customHeight="1">
      <c r="A19" s="2038"/>
      <c r="B19" s="61" t="s">
        <v>86</v>
      </c>
      <c r="C19" s="61" t="s">
        <v>131</v>
      </c>
      <c r="D19" s="62" t="s">
        <v>60</v>
      </c>
      <c r="E19" s="81">
        <v>0.1</v>
      </c>
      <c r="F19" s="74">
        <v>0.86</v>
      </c>
      <c r="G19" s="74">
        <f>F19*E19</f>
        <v>8.6000000000000007E-2</v>
      </c>
      <c r="H19" s="67"/>
    </row>
    <row r="20" spans="1:8" s="53" customFormat="1" ht="24.95" customHeight="1">
      <c r="A20" s="2038"/>
      <c r="B20" s="61" t="s">
        <v>132</v>
      </c>
      <c r="C20" s="61"/>
      <c r="D20" s="62" t="s">
        <v>60</v>
      </c>
      <c r="E20" s="81">
        <v>0.2</v>
      </c>
      <c r="F20" s="61"/>
      <c r="G20" s="61"/>
      <c r="H20" s="67"/>
    </row>
    <row r="21" spans="1:8" s="53" customFormat="1" ht="24.95" customHeight="1">
      <c r="A21" s="2038"/>
      <c r="B21" s="61" t="s">
        <v>90</v>
      </c>
      <c r="C21" s="61" t="s">
        <v>91</v>
      </c>
      <c r="D21" s="62" t="s">
        <v>92</v>
      </c>
      <c r="E21" s="75">
        <v>0.27</v>
      </c>
      <c r="F21" s="61"/>
      <c r="G21" s="61"/>
      <c r="H21" s="67"/>
    </row>
    <row r="22" spans="1:8" s="53" customFormat="1" ht="24.95" customHeight="1">
      <c r="A22" s="2038"/>
      <c r="B22" s="61" t="s">
        <v>93</v>
      </c>
      <c r="C22" s="61"/>
      <c r="D22" s="62" t="s">
        <v>60</v>
      </c>
      <c r="E22" s="75">
        <v>0.30199999999999999</v>
      </c>
      <c r="F22" s="61"/>
      <c r="G22" s="61"/>
      <c r="H22" s="67"/>
    </row>
    <row r="23" spans="1:8" s="53" customFormat="1" ht="24.95" customHeight="1">
      <c r="A23" s="2038"/>
      <c r="B23" s="61" t="s">
        <v>94</v>
      </c>
      <c r="C23" s="61" t="s">
        <v>95</v>
      </c>
      <c r="D23" s="62" t="s">
        <v>60</v>
      </c>
      <c r="E23" s="75">
        <v>0.108</v>
      </c>
      <c r="F23" s="61"/>
      <c r="G23" s="61"/>
      <c r="H23" s="67"/>
    </row>
    <row r="24" spans="1:8" s="53" customFormat="1" ht="24.95" customHeight="1">
      <c r="A24" s="2038"/>
      <c r="B24" s="61"/>
      <c r="C24" s="61"/>
      <c r="D24" s="62"/>
      <c r="E24" s="75"/>
      <c r="F24" s="61"/>
      <c r="G24" s="61"/>
      <c r="H24" s="67"/>
    </row>
    <row r="25" spans="1:8" s="53" customFormat="1" ht="24.95" customHeight="1">
      <c r="A25" s="2038"/>
      <c r="B25" s="61"/>
      <c r="C25" s="61"/>
      <c r="D25" s="62"/>
      <c r="E25" s="75"/>
      <c r="F25" s="61"/>
      <c r="G25" s="61"/>
      <c r="H25" s="67"/>
    </row>
    <row r="26" spans="1:8" s="53" customFormat="1" ht="24.95" customHeight="1">
      <c r="A26" s="2038"/>
      <c r="B26" s="61"/>
      <c r="C26" s="61"/>
      <c r="D26" s="62"/>
      <c r="E26" s="75"/>
      <c r="F26" s="61"/>
      <c r="G26" s="61"/>
      <c r="H26" s="67"/>
    </row>
    <row r="27" spans="1:8" s="53" customFormat="1" ht="24.95" customHeight="1">
      <c r="A27" s="2025" t="s">
        <v>73</v>
      </c>
      <c r="B27" s="2026"/>
      <c r="C27" s="68"/>
      <c r="D27" s="69" t="s">
        <v>74</v>
      </c>
      <c r="E27" s="70">
        <v>1</v>
      </c>
      <c r="F27" s="68"/>
      <c r="G27" s="71">
        <f>SUM(G18:G25)</f>
        <v>1.8360000000000001</v>
      </c>
      <c r="H27" s="72"/>
    </row>
    <row r="28" spans="1:8" s="53" customFormat="1" ht="24.95" customHeight="1">
      <c r="A28" s="82"/>
      <c r="B28" s="61"/>
      <c r="C28" s="61"/>
      <c r="D28" s="61"/>
      <c r="E28" s="61"/>
      <c r="F28" s="61"/>
      <c r="G28" s="61"/>
      <c r="H28" s="67"/>
    </row>
    <row r="29" spans="1:8" s="53" customFormat="1" ht="24.95" customHeight="1">
      <c r="A29" s="83"/>
      <c r="B29" s="61"/>
      <c r="C29" s="61"/>
      <c r="D29" s="61"/>
      <c r="E29" s="61"/>
      <c r="F29" s="61"/>
      <c r="G29" s="61"/>
      <c r="H29" s="67"/>
    </row>
    <row r="30" spans="1:8" s="53" customFormat="1" ht="24.95" customHeight="1">
      <c r="A30" s="2020" t="s">
        <v>96</v>
      </c>
      <c r="B30" s="2021"/>
      <c r="C30" s="76"/>
      <c r="D30" s="76"/>
      <c r="E30" s="76"/>
      <c r="F30" s="76"/>
      <c r="G30" s="77">
        <f>G17+G27</f>
        <v>19.805999999999997</v>
      </c>
      <c r="H30" s="78"/>
    </row>
    <row r="31" spans="1:8" s="53" customFormat="1" ht="24.95" customHeight="1">
      <c r="A31" s="2022" t="s">
        <v>97</v>
      </c>
      <c r="B31" s="2023"/>
      <c r="C31" s="2023"/>
      <c r="D31" s="2023"/>
      <c r="E31" s="2023"/>
      <c r="F31" s="2023"/>
      <c r="G31" s="2023"/>
      <c r="H31" s="2030"/>
    </row>
    <row r="32" spans="1:8" s="53" customFormat="1" ht="24.95" customHeight="1">
      <c r="A32" s="2031"/>
      <c r="B32" s="2032"/>
      <c r="C32" s="2032"/>
      <c r="D32" s="2032"/>
      <c r="E32" s="2032"/>
      <c r="F32" s="2032"/>
      <c r="G32" s="2032"/>
      <c r="H32" s="2033"/>
    </row>
    <row r="33" spans="1:8" s="53" customFormat="1" ht="24.95" customHeight="1">
      <c r="A33" s="2031"/>
      <c r="B33" s="2032"/>
      <c r="C33" s="2032"/>
      <c r="D33" s="2032"/>
      <c r="E33" s="2032"/>
      <c r="F33" s="2032"/>
      <c r="G33" s="2032"/>
      <c r="H33" s="2033"/>
    </row>
    <row r="34" spans="1:8" s="53" customFormat="1" ht="24.95" customHeight="1">
      <c r="A34" s="2031"/>
      <c r="B34" s="2032"/>
      <c r="C34" s="2032"/>
      <c r="D34" s="2032"/>
      <c r="E34" s="2032"/>
      <c r="F34" s="2032"/>
      <c r="G34" s="2032"/>
      <c r="H34" s="2033"/>
    </row>
    <row r="35" spans="1:8" s="53" customFormat="1" ht="24.95" customHeight="1">
      <c r="A35" s="2034"/>
      <c r="B35" s="2035"/>
      <c r="C35" s="2035"/>
      <c r="D35" s="2035"/>
      <c r="E35" s="2035"/>
      <c r="F35" s="2035"/>
      <c r="G35" s="2035"/>
      <c r="H35" s="2036"/>
    </row>
    <row r="36" spans="1:8" s="53" customFormat="1" ht="24.95" customHeight="1"/>
    <row r="37" spans="1:8" s="53" customFormat="1" ht="24.95" customHeight="1"/>
    <row r="38" spans="1:8" s="53" customFormat="1" ht="24.95" customHeight="1">
      <c r="A38" s="53" t="s">
        <v>47</v>
      </c>
      <c r="B38" s="53" t="s">
        <v>133</v>
      </c>
    </row>
    <row r="39" spans="1:8" s="53" customFormat="1" ht="24.95" customHeight="1"/>
    <row r="40" spans="1:8" s="53" customFormat="1" ht="24.95" customHeight="1">
      <c r="A40" s="2028" t="s">
        <v>50</v>
      </c>
      <c r="B40" s="2028"/>
      <c r="C40" s="54" t="s">
        <v>51</v>
      </c>
      <c r="D40" s="54" t="s">
        <v>52</v>
      </c>
      <c r="E40" s="54" t="s">
        <v>53</v>
      </c>
      <c r="F40" s="54" t="s">
        <v>54</v>
      </c>
      <c r="G40" s="54" t="s">
        <v>56</v>
      </c>
      <c r="H40" s="54" t="s">
        <v>57</v>
      </c>
    </row>
    <row r="41" spans="1:8" s="53" customFormat="1" ht="24.95" customHeight="1">
      <c r="A41" s="2037" t="s">
        <v>113</v>
      </c>
      <c r="B41" s="55" t="s">
        <v>58</v>
      </c>
      <c r="C41" s="55" t="s">
        <v>114</v>
      </c>
      <c r="D41" s="56" t="s">
        <v>60</v>
      </c>
      <c r="E41" s="57">
        <v>1</v>
      </c>
      <c r="F41" s="58">
        <v>2.76</v>
      </c>
      <c r="G41" s="58">
        <f t="shared" ref="G41:G49" si="1">F41*E41</f>
        <v>2.76</v>
      </c>
      <c r="H41" s="59"/>
    </row>
    <row r="42" spans="1:8" s="53" customFormat="1" ht="24.95" customHeight="1">
      <c r="A42" s="2038"/>
      <c r="B42" s="61" t="s">
        <v>115</v>
      </c>
      <c r="C42" s="61" t="s">
        <v>116</v>
      </c>
      <c r="D42" s="62" t="s">
        <v>60</v>
      </c>
      <c r="E42" s="63">
        <v>1</v>
      </c>
      <c r="F42" s="64">
        <v>0.22</v>
      </c>
      <c r="G42" s="64">
        <f t="shared" si="1"/>
        <v>0.22</v>
      </c>
      <c r="H42" s="65"/>
    </row>
    <row r="43" spans="1:8" s="53" customFormat="1" ht="24.95" customHeight="1">
      <c r="A43" s="2038"/>
      <c r="B43" s="61" t="s">
        <v>117</v>
      </c>
      <c r="C43" s="61" t="s">
        <v>118</v>
      </c>
      <c r="D43" s="62" t="s">
        <v>60</v>
      </c>
      <c r="E43" s="63">
        <v>4</v>
      </c>
      <c r="F43" s="64">
        <v>1.72</v>
      </c>
      <c r="G43" s="64">
        <f t="shared" si="1"/>
        <v>6.88</v>
      </c>
      <c r="H43" s="65"/>
    </row>
    <row r="44" spans="1:8" s="53" customFormat="1" ht="24.95" customHeight="1">
      <c r="A44" s="2038"/>
      <c r="B44" s="61" t="s">
        <v>119</v>
      </c>
      <c r="C44" s="61" t="s">
        <v>120</v>
      </c>
      <c r="D44" s="62" t="s">
        <v>60</v>
      </c>
      <c r="E44" s="63">
        <v>2</v>
      </c>
      <c r="F44" s="64">
        <v>0.88</v>
      </c>
      <c r="G44" s="64">
        <f t="shared" si="1"/>
        <v>1.76</v>
      </c>
      <c r="H44" s="65"/>
    </row>
    <row r="45" spans="1:8" s="53" customFormat="1" ht="24.95" customHeight="1">
      <c r="A45" s="2038"/>
      <c r="B45" s="61" t="s">
        <v>121</v>
      </c>
      <c r="C45" s="61" t="s">
        <v>122</v>
      </c>
      <c r="D45" s="62" t="s">
        <v>60</v>
      </c>
      <c r="E45" s="63">
        <v>2</v>
      </c>
      <c r="F45" s="64">
        <v>1.01</v>
      </c>
      <c r="G45" s="64">
        <f t="shared" si="1"/>
        <v>2.02</v>
      </c>
      <c r="H45" s="65"/>
    </row>
    <row r="46" spans="1:8" s="53" customFormat="1" ht="24.95" customHeight="1">
      <c r="A46" s="2038"/>
      <c r="B46" s="61" t="s">
        <v>113</v>
      </c>
      <c r="C46" s="61" t="s">
        <v>123</v>
      </c>
      <c r="D46" s="62" t="s">
        <v>60</v>
      </c>
      <c r="E46" s="63">
        <v>2</v>
      </c>
      <c r="F46" s="64">
        <v>7.01</v>
      </c>
      <c r="G46" s="64">
        <f t="shared" si="1"/>
        <v>14.02</v>
      </c>
      <c r="H46" s="65"/>
    </row>
    <row r="47" spans="1:8" s="53" customFormat="1" ht="24.95" customHeight="1">
      <c r="A47" s="2038"/>
      <c r="B47" s="61" t="s">
        <v>124</v>
      </c>
      <c r="C47" s="61" t="s">
        <v>125</v>
      </c>
      <c r="D47" s="62" t="s">
        <v>60</v>
      </c>
      <c r="E47" s="66">
        <v>2</v>
      </c>
      <c r="F47" s="64">
        <v>1.58</v>
      </c>
      <c r="G47" s="64">
        <f t="shared" si="1"/>
        <v>3.16</v>
      </c>
      <c r="H47" s="65"/>
    </row>
    <row r="48" spans="1:8" s="53" customFormat="1" ht="24.95" customHeight="1">
      <c r="A48" s="2038"/>
      <c r="B48" s="61" t="s">
        <v>78</v>
      </c>
      <c r="C48" s="61" t="s">
        <v>126</v>
      </c>
      <c r="D48" s="62" t="s">
        <v>60</v>
      </c>
      <c r="E48" s="63">
        <v>2</v>
      </c>
      <c r="F48" s="64">
        <v>7.0000000000000007E-2</v>
      </c>
      <c r="G48" s="64">
        <f t="shared" si="1"/>
        <v>0.14000000000000001</v>
      </c>
      <c r="H48" s="67"/>
    </row>
    <row r="49" spans="1:8" s="53" customFormat="1" ht="24.95" customHeight="1">
      <c r="A49" s="2038"/>
      <c r="B49" s="61" t="s">
        <v>127</v>
      </c>
      <c r="C49" s="61" t="s">
        <v>128</v>
      </c>
      <c r="D49" s="62" t="s">
        <v>60</v>
      </c>
      <c r="E49" s="66">
        <v>4</v>
      </c>
      <c r="F49" s="64">
        <v>0.2</v>
      </c>
      <c r="G49" s="64">
        <f t="shared" si="1"/>
        <v>0.8</v>
      </c>
      <c r="H49" s="67"/>
    </row>
    <row r="50" spans="1:8" s="53" customFormat="1" ht="24.95" customHeight="1">
      <c r="A50" s="2039"/>
      <c r="B50" s="61"/>
      <c r="C50" s="61"/>
      <c r="D50" s="61"/>
      <c r="E50" s="61"/>
      <c r="F50" s="61"/>
      <c r="G50" s="61"/>
      <c r="H50" s="67"/>
    </row>
    <row r="51" spans="1:8" s="53" customFormat="1" ht="24.95" customHeight="1">
      <c r="A51" s="2025" t="s">
        <v>73</v>
      </c>
      <c r="B51" s="2026"/>
      <c r="C51" s="68"/>
      <c r="D51" s="69" t="s">
        <v>74</v>
      </c>
      <c r="E51" s="70">
        <v>1</v>
      </c>
      <c r="F51" s="68"/>
      <c r="G51" s="71">
        <f>SUM(G41:G49)</f>
        <v>31.759999999999998</v>
      </c>
      <c r="H51" s="72"/>
    </row>
    <row r="52" spans="1:8" s="53" customFormat="1" ht="24.95" customHeight="1">
      <c r="A52" s="2040"/>
      <c r="B52" s="61" t="s">
        <v>129</v>
      </c>
      <c r="C52" s="61" t="s">
        <v>130</v>
      </c>
      <c r="D52" s="62" t="s">
        <v>60</v>
      </c>
      <c r="E52" s="66">
        <v>5</v>
      </c>
      <c r="F52" s="74">
        <v>0.35</v>
      </c>
      <c r="G52" s="80">
        <f>F52*E52</f>
        <v>1.75</v>
      </c>
      <c r="H52" s="67"/>
    </row>
    <row r="53" spans="1:8" s="53" customFormat="1" ht="24.95" customHeight="1">
      <c r="A53" s="2038"/>
      <c r="B53" s="61" t="s">
        <v>86</v>
      </c>
      <c r="C53" s="61" t="s">
        <v>131</v>
      </c>
      <c r="D53" s="62" t="s">
        <v>60</v>
      </c>
      <c r="E53" s="81">
        <v>0.1</v>
      </c>
      <c r="F53" s="74">
        <v>0.86</v>
      </c>
      <c r="G53" s="74">
        <f>F53*E53</f>
        <v>8.6000000000000007E-2</v>
      </c>
      <c r="H53" s="67"/>
    </row>
    <row r="54" spans="1:8" s="53" customFormat="1" ht="24.95" customHeight="1">
      <c r="A54" s="2038"/>
      <c r="B54" s="61" t="s">
        <v>132</v>
      </c>
      <c r="C54" s="61"/>
      <c r="D54" s="62" t="s">
        <v>60</v>
      </c>
      <c r="E54" s="81">
        <v>0.2</v>
      </c>
      <c r="F54" s="61"/>
      <c r="G54" s="61"/>
      <c r="H54" s="67"/>
    </row>
    <row r="55" spans="1:8" s="53" customFormat="1" ht="24.95" customHeight="1">
      <c r="A55" s="2038"/>
      <c r="B55" s="61" t="s">
        <v>90</v>
      </c>
      <c r="C55" s="61" t="s">
        <v>91</v>
      </c>
      <c r="D55" s="62" t="s">
        <v>92</v>
      </c>
      <c r="E55" s="75">
        <v>0.27</v>
      </c>
      <c r="F55" s="61"/>
      <c r="G55" s="61"/>
      <c r="H55" s="67"/>
    </row>
    <row r="56" spans="1:8" s="53" customFormat="1" ht="24.95" customHeight="1">
      <c r="A56" s="2038"/>
      <c r="B56" s="61" t="s">
        <v>93</v>
      </c>
      <c r="C56" s="61"/>
      <c r="D56" s="62" t="s">
        <v>60</v>
      </c>
      <c r="E56" s="75">
        <v>0.30199999999999999</v>
      </c>
      <c r="F56" s="61"/>
      <c r="G56" s="61"/>
      <c r="H56" s="67"/>
    </row>
    <row r="57" spans="1:8" s="53" customFormat="1" ht="24.95" customHeight="1">
      <c r="A57" s="2038"/>
      <c r="B57" s="61" t="s">
        <v>94</v>
      </c>
      <c r="C57" s="61" t="s">
        <v>95</v>
      </c>
      <c r="D57" s="62" t="s">
        <v>60</v>
      </c>
      <c r="E57" s="75">
        <v>0.108</v>
      </c>
      <c r="F57" s="61"/>
      <c r="G57" s="61"/>
      <c r="H57" s="67"/>
    </row>
    <row r="58" spans="1:8" s="53" customFormat="1" ht="24.95" customHeight="1">
      <c r="A58" s="2038"/>
      <c r="B58" s="61"/>
      <c r="C58" s="61"/>
      <c r="D58" s="62"/>
      <c r="E58" s="75"/>
      <c r="F58" s="61"/>
      <c r="G58" s="61"/>
      <c r="H58" s="67"/>
    </row>
    <row r="59" spans="1:8" s="53" customFormat="1" ht="24.95" customHeight="1">
      <c r="A59" s="2038"/>
      <c r="B59" s="61"/>
      <c r="C59" s="61"/>
      <c r="D59" s="62"/>
      <c r="E59" s="75"/>
      <c r="F59" s="61"/>
      <c r="G59" s="61"/>
      <c r="H59" s="67"/>
    </row>
    <row r="60" spans="1:8" s="53" customFormat="1" ht="24.95" customHeight="1">
      <c r="A60" s="2038"/>
      <c r="B60" s="61"/>
      <c r="C60" s="61"/>
      <c r="D60" s="62"/>
      <c r="E60" s="75"/>
      <c r="F60" s="61"/>
      <c r="G60" s="61"/>
      <c r="H60" s="67"/>
    </row>
    <row r="61" spans="1:8" s="53" customFormat="1" ht="24.95" customHeight="1">
      <c r="A61" s="2025" t="s">
        <v>73</v>
      </c>
      <c r="B61" s="2026"/>
      <c r="C61" s="68"/>
      <c r="D61" s="69" t="s">
        <v>74</v>
      </c>
      <c r="E61" s="70">
        <v>1</v>
      </c>
      <c r="F61" s="68"/>
      <c r="G61" s="71">
        <f>SUM(G52:G59)</f>
        <v>1.8360000000000001</v>
      </c>
      <c r="H61" s="72"/>
    </row>
    <row r="62" spans="1:8" s="53" customFormat="1" ht="24.95" customHeight="1">
      <c r="A62" s="82"/>
      <c r="B62" s="61"/>
      <c r="C62" s="61"/>
      <c r="D62" s="61"/>
      <c r="E62" s="61"/>
      <c r="F62" s="61"/>
      <c r="G62" s="61"/>
      <c r="H62" s="67"/>
    </row>
    <row r="63" spans="1:8" ht="24.95" customHeight="1">
      <c r="A63" s="83"/>
      <c r="B63" s="61"/>
      <c r="C63" s="61"/>
      <c r="D63" s="61"/>
      <c r="E63" s="61"/>
      <c r="F63" s="61"/>
      <c r="G63" s="61"/>
      <c r="H63" s="67"/>
    </row>
    <row r="64" spans="1:8" ht="24.95" customHeight="1">
      <c r="A64" s="2020" t="s">
        <v>96</v>
      </c>
      <c r="B64" s="2021"/>
      <c r="C64" s="76"/>
      <c r="D64" s="76"/>
      <c r="E64" s="76"/>
      <c r="F64" s="76"/>
      <c r="G64" s="77">
        <f>G51+G61</f>
        <v>33.595999999999997</v>
      </c>
      <c r="H64" s="78"/>
    </row>
    <row r="65" spans="1:8" ht="24.95" customHeight="1">
      <c r="A65" s="2022" t="s">
        <v>97</v>
      </c>
      <c r="B65" s="2023"/>
      <c r="C65" s="2023"/>
      <c r="D65" s="2023"/>
      <c r="E65" s="2023"/>
      <c r="F65" s="2023"/>
      <c r="G65" s="2023"/>
      <c r="H65" s="2030"/>
    </row>
    <row r="66" spans="1:8" ht="24.95" customHeight="1">
      <c r="A66" s="2031"/>
      <c r="B66" s="2032"/>
      <c r="C66" s="2032"/>
      <c r="D66" s="2032"/>
      <c r="E66" s="2032"/>
      <c r="F66" s="2032"/>
      <c r="G66" s="2032"/>
      <c r="H66" s="2033"/>
    </row>
    <row r="67" spans="1:8" ht="24.95" customHeight="1">
      <c r="A67" s="2031"/>
      <c r="B67" s="2032"/>
      <c r="C67" s="2032"/>
      <c r="D67" s="2032"/>
      <c r="E67" s="2032"/>
      <c r="F67" s="2032"/>
      <c r="G67" s="2032"/>
      <c r="H67" s="2033"/>
    </row>
    <row r="68" spans="1:8" ht="24.95" customHeight="1">
      <c r="A68" s="2031"/>
      <c r="B68" s="2032"/>
      <c r="C68" s="2032"/>
      <c r="D68" s="2032"/>
      <c r="E68" s="2032"/>
      <c r="F68" s="2032"/>
      <c r="G68" s="2032"/>
      <c r="H68" s="2033"/>
    </row>
    <row r="69" spans="1:8" ht="24.95" customHeight="1">
      <c r="A69" s="2034"/>
      <c r="B69" s="2035"/>
      <c r="C69" s="2035"/>
      <c r="D69" s="2035"/>
      <c r="E69" s="2035"/>
      <c r="F69" s="2035"/>
      <c r="G69" s="2035"/>
      <c r="H69" s="2036"/>
    </row>
    <row r="70" spans="1:8" ht="24.95" customHeight="1"/>
    <row r="71" spans="1:8" ht="24.95" customHeight="1"/>
    <row r="72" spans="1:8" ht="24.95" customHeight="1">
      <c r="A72" s="53" t="s">
        <v>47</v>
      </c>
      <c r="B72" s="53" t="s">
        <v>134</v>
      </c>
      <c r="C72" s="53"/>
      <c r="D72" s="53"/>
      <c r="E72" s="53"/>
      <c r="F72" s="53"/>
      <c r="G72" s="53"/>
      <c r="H72" s="53"/>
    </row>
    <row r="73" spans="1:8" ht="24.95" customHeight="1">
      <c r="A73" s="53"/>
      <c r="B73" s="53"/>
      <c r="C73" s="53"/>
      <c r="D73" s="53"/>
      <c r="E73" s="53"/>
      <c r="F73" s="53"/>
      <c r="G73" s="53"/>
      <c r="H73" s="53"/>
    </row>
    <row r="74" spans="1:8" ht="24.95" customHeight="1">
      <c r="A74" s="2028" t="s">
        <v>50</v>
      </c>
      <c r="B74" s="2028"/>
      <c r="C74" s="54" t="s">
        <v>51</v>
      </c>
      <c r="D74" s="54" t="s">
        <v>52</v>
      </c>
      <c r="E74" s="54" t="s">
        <v>53</v>
      </c>
      <c r="F74" s="54" t="s">
        <v>54</v>
      </c>
      <c r="G74" s="54" t="s">
        <v>56</v>
      </c>
      <c r="H74" s="54" t="s">
        <v>57</v>
      </c>
    </row>
    <row r="75" spans="1:8" ht="24.95" customHeight="1">
      <c r="A75" s="2037" t="s">
        <v>113</v>
      </c>
      <c r="B75" s="55" t="s">
        <v>58</v>
      </c>
      <c r="C75" s="55" t="s">
        <v>114</v>
      </c>
      <c r="D75" s="56" t="s">
        <v>60</v>
      </c>
      <c r="E75" s="57">
        <v>1</v>
      </c>
      <c r="F75" s="58">
        <v>2.76</v>
      </c>
      <c r="G75" s="58">
        <f t="shared" ref="G75:G83" si="2">F75*E75</f>
        <v>2.76</v>
      </c>
      <c r="H75" s="59"/>
    </row>
    <row r="76" spans="1:8" ht="24.95" customHeight="1">
      <c r="A76" s="2038"/>
      <c r="B76" s="61" t="s">
        <v>115</v>
      </c>
      <c r="C76" s="61" t="s">
        <v>116</v>
      </c>
      <c r="D76" s="62" t="s">
        <v>60</v>
      </c>
      <c r="E76" s="63">
        <v>1</v>
      </c>
      <c r="F76" s="64">
        <v>0.22</v>
      </c>
      <c r="G76" s="64">
        <f t="shared" si="2"/>
        <v>0.22</v>
      </c>
      <c r="H76" s="65"/>
    </row>
    <row r="77" spans="1:8" ht="24.95" customHeight="1">
      <c r="A77" s="2038"/>
      <c r="B77" s="61" t="s">
        <v>117</v>
      </c>
      <c r="C77" s="61" t="s">
        <v>118</v>
      </c>
      <c r="D77" s="62" t="s">
        <v>60</v>
      </c>
      <c r="E77" s="63">
        <v>2</v>
      </c>
      <c r="F77" s="64">
        <v>1.72</v>
      </c>
      <c r="G77" s="64">
        <f t="shared" si="2"/>
        <v>3.44</v>
      </c>
      <c r="H77" s="65"/>
    </row>
    <row r="78" spans="1:8" ht="24.95" customHeight="1">
      <c r="A78" s="2038"/>
      <c r="B78" s="61" t="s">
        <v>119</v>
      </c>
      <c r="C78" s="61" t="s">
        <v>120</v>
      </c>
      <c r="D78" s="62" t="s">
        <v>60</v>
      </c>
      <c r="E78" s="63">
        <v>1</v>
      </c>
      <c r="F78" s="64">
        <v>0.88</v>
      </c>
      <c r="G78" s="64">
        <f t="shared" si="2"/>
        <v>0.88</v>
      </c>
      <c r="H78" s="65"/>
    </row>
    <row r="79" spans="1:8" ht="24.95" customHeight="1">
      <c r="A79" s="2038"/>
      <c r="B79" s="61" t="s">
        <v>121</v>
      </c>
      <c r="C79" s="61" t="s">
        <v>122</v>
      </c>
      <c r="D79" s="62" t="s">
        <v>60</v>
      </c>
      <c r="E79" s="63">
        <v>1</v>
      </c>
      <c r="F79" s="64">
        <v>1.01</v>
      </c>
      <c r="G79" s="64">
        <f t="shared" si="2"/>
        <v>1.01</v>
      </c>
      <c r="H79" s="65"/>
    </row>
    <row r="80" spans="1:8" ht="24.95" customHeight="1">
      <c r="A80" s="2038"/>
      <c r="B80" s="61" t="s">
        <v>113</v>
      </c>
      <c r="C80" s="61" t="s">
        <v>135</v>
      </c>
      <c r="D80" s="62" t="s">
        <v>60</v>
      </c>
      <c r="E80" s="63">
        <v>1</v>
      </c>
      <c r="F80" s="64">
        <v>9.11</v>
      </c>
      <c r="G80" s="64">
        <f t="shared" si="2"/>
        <v>9.11</v>
      </c>
      <c r="H80" s="65"/>
    </row>
    <row r="81" spans="1:8" ht="24.95" customHeight="1">
      <c r="A81" s="2038"/>
      <c r="B81" s="61" t="s">
        <v>124</v>
      </c>
      <c r="C81" s="61" t="s">
        <v>125</v>
      </c>
      <c r="D81" s="62" t="s">
        <v>60</v>
      </c>
      <c r="E81" s="66">
        <v>1</v>
      </c>
      <c r="F81" s="64">
        <v>1.58</v>
      </c>
      <c r="G81" s="64">
        <f t="shared" si="2"/>
        <v>1.58</v>
      </c>
      <c r="H81" s="65"/>
    </row>
    <row r="82" spans="1:8" ht="24.95" customHeight="1">
      <c r="A82" s="2038"/>
      <c r="B82" s="61" t="s">
        <v>78</v>
      </c>
      <c r="C82" s="61" t="s">
        <v>126</v>
      </c>
      <c r="D82" s="62" t="s">
        <v>60</v>
      </c>
      <c r="E82" s="63">
        <v>1</v>
      </c>
      <c r="F82" s="64">
        <v>7.0000000000000007E-2</v>
      </c>
      <c r="G82" s="64">
        <f t="shared" si="2"/>
        <v>7.0000000000000007E-2</v>
      </c>
      <c r="H82" s="67"/>
    </row>
    <row r="83" spans="1:8" ht="24.95" customHeight="1">
      <c r="A83" s="2038"/>
      <c r="B83" s="61" t="s">
        <v>127</v>
      </c>
      <c r="C83" s="61" t="s">
        <v>128</v>
      </c>
      <c r="D83" s="62" t="s">
        <v>60</v>
      </c>
      <c r="E83" s="66">
        <v>5</v>
      </c>
      <c r="F83" s="64">
        <v>0.2</v>
      </c>
      <c r="G83" s="64">
        <f t="shared" si="2"/>
        <v>1</v>
      </c>
      <c r="H83" s="67"/>
    </row>
    <row r="84" spans="1:8" ht="24.95" customHeight="1">
      <c r="A84" s="2039"/>
      <c r="B84" s="61"/>
      <c r="C84" s="61"/>
      <c r="D84" s="61"/>
      <c r="E84" s="61"/>
      <c r="F84" s="61"/>
      <c r="G84" s="61"/>
      <c r="H84" s="67"/>
    </row>
    <row r="85" spans="1:8" ht="24.95" customHeight="1">
      <c r="A85" s="2025" t="s">
        <v>73</v>
      </c>
      <c r="B85" s="2026"/>
      <c r="C85" s="68"/>
      <c r="D85" s="69" t="s">
        <v>74</v>
      </c>
      <c r="E85" s="70">
        <v>1</v>
      </c>
      <c r="F85" s="68"/>
      <c r="G85" s="71">
        <f>SUM(G75:G83)</f>
        <v>20.07</v>
      </c>
      <c r="H85" s="72"/>
    </row>
    <row r="86" spans="1:8" ht="24.95" customHeight="1">
      <c r="A86" s="2040"/>
      <c r="B86" s="61" t="s">
        <v>129</v>
      </c>
      <c r="C86" s="61" t="s">
        <v>130</v>
      </c>
      <c r="D86" s="62" t="s">
        <v>60</v>
      </c>
      <c r="E86" s="66">
        <v>5</v>
      </c>
      <c r="F86" s="74">
        <v>0.35</v>
      </c>
      <c r="G86" s="80">
        <f>F86*E86</f>
        <v>1.75</v>
      </c>
      <c r="H86" s="67"/>
    </row>
    <row r="87" spans="1:8" ht="24.95" customHeight="1">
      <c r="A87" s="2038"/>
      <c r="B87" s="61" t="s">
        <v>86</v>
      </c>
      <c r="C87" s="61" t="s">
        <v>131</v>
      </c>
      <c r="D87" s="62" t="s">
        <v>60</v>
      </c>
      <c r="E87" s="81">
        <v>0.1</v>
      </c>
      <c r="F87" s="74">
        <v>0.86</v>
      </c>
      <c r="G87" s="74">
        <f>F87*E87</f>
        <v>8.6000000000000007E-2</v>
      </c>
      <c r="H87" s="67"/>
    </row>
    <row r="88" spans="1:8" ht="24.95" customHeight="1">
      <c r="A88" s="2038"/>
      <c r="B88" s="61" t="s">
        <v>132</v>
      </c>
      <c r="C88" s="61"/>
      <c r="D88" s="62" t="s">
        <v>60</v>
      </c>
      <c r="E88" s="81">
        <v>0.2</v>
      </c>
      <c r="F88" s="61"/>
      <c r="G88" s="61"/>
      <c r="H88" s="67"/>
    </row>
    <row r="89" spans="1:8" ht="24.95" customHeight="1">
      <c r="A89" s="2038"/>
      <c r="B89" s="61" t="s">
        <v>90</v>
      </c>
      <c r="C89" s="61" t="s">
        <v>91</v>
      </c>
      <c r="D89" s="62" t="s">
        <v>92</v>
      </c>
      <c r="E89" s="75">
        <v>0.312</v>
      </c>
      <c r="F89" s="61"/>
      <c r="G89" s="61"/>
      <c r="H89" s="67"/>
    </row>
    <row r="90" spans="1:8" ht="24.95" customHeight="1">
      <c r="A90" s="2038"/>
      <c r="B90" s="61" t="s">
        <v>93</v>
      </c>
      <c r="C90" s="61"/>
      <c r="D90" s="62" t="s">
        <v>60</v>
      </c>
      <c r="E90" s="75">
        <v>0.35</v>
      </c>
      <c r="F90" s="61"/>
      <c r="G90" s="61"/>
      <c r="H90" s="67"/>
    </row>
    <row r="91" spans="1:8" ht="24.95" customHeight="1">
      <c r="A91" s="2038"/>
      <c r="B91" s="61" t="s">
        <v>94</v>
      </c>
      <c r="C91" s="61" t="s">
        <v>95</v>
      </c>
      <c r="D91" s="62" t="s">
        <v>60</v>
      </c>
      <c r="E91" s="75">
        <v>0.124</v>
      </c>
      <c r="F91" s="61"/>
      <c r="G91" s="61"/>
      <c r="H91" s="67"/>
    </row>
    <row r="92" spans="1:8" ht="24.95" customHeight="1">
      <c r="A92" s="2038"/>
      <c r="B92" s="61"/>
      <c r="C92" s="61"/>
      <c r="D92" s="62"/>
      <c r="E92" s="75"/>
      <c r="F92" s="61"/>
      <c r="G92" s="61"/>
      <c r="H92" s="67"/>
    </row>
    <row r="93" spans="1:8" ht="24.95" customHeight="1">
      <c r="A93" s="2038"/>
      <c r="B93" s="61"/>
      <c r="C93" s="61"/>
      <c r="D93" s="62"/>
      <c r="E93" s="75"/>
      <c r="F93" s="61"/>
      <c r="G93" s="61"/>
      <c r="H93" s="67"/>
    </row>
    <row r="94" spans="1:8" ht="24.95" customHeight="1">
      <c r="A94" s="2038"/>
      <c r="B94" s="61"/>
      <c r="C94" s="61"/>
      <c r="D94" s="62"/>
      <c r="E94" s="75"/>
      <c r="F94" s="61"/>
      <c r="G94" s="61"/>
      <c r="H94" s="67"/>
    </row>
    <row r="95" spans="1:8" ht="24.95" customHeight="1">
      <c r="A95" s="2025" t="s">
        <v>73</v>
      </c>
      <c r="B95" s="2026"/>
      <c r="C95" s="68"/>
      <c r="D95" s="69" t="s">
        <v>74</v>
      </c>
      <c r="E95" s="70">
        <v>1</v>
      </c>
      <c r="F95" s="68"/>
      <c r="G95" s="71">
        <f>SUM(G86:G93)</f>
        <v>1.8360000000000001</v>
      </c>
      <c r="H95" s="72"/>
    </row>
    <row r="96" spans="1:8" ht="24.95" customHeight="1">
      <c r="A96" s="82"/>
      <c r="B96" s="61"/>
      <c r="C96" s="61"/>
      <c r="D96" s="61"/>
      <c r="E96" s="61"/>
      <c r="F96" s="61"/>
      <c r="G96" s="61"/>
      <c r="H96" s="67"/>
    </row>
    <row r="97" spans="1:8" ht="24.95" customHeight="1">
      <c r="A97" s="83"/>
      <c r="B97" s="61"/>
      <c r="C97" s="61"/>
      <c r="D97" s="61"/>
      <c r="E97" s="61"/>
      <c r="F97" s="61"/>
      <c r="G97" s="61"/>
      <c r="H97" s="67"/>
    </row>
    <row r="98" spans="1:8" ht="24.95" customHeight="1">
      <c r="A98" s="2020" t="s">
        <v>96</v>
      </c>
      <c r="B98" s="2021"/>
      <c r="C98" s="76"/>
      <c r="D98" s="76"/>
      <c r="E98" s="76"/>
      <c r="F98" s="76"/>
      <c r="G98" s="77">
        <f>G85+G95</f>
        <v>21.905999999999999</v>
      </c>
      <c r="H98" s="78"/>
    </row>
    <row r="99" spans="1:8" ht="24.95" customHeight="1">
      <c r="A99" s="2022" t="s">
        <v>97</v>
      </c>
      <c r="B99" s="2023"/>
      <c r="C99" s="2023"/>
      <c r="D99" s="2023"/>
      <c r="E99" s="2023"/>
      <c r="F99" s="2023"/>
      <c r="G99" s="2023"/>
      <c r="H99" s="2030"/>
    </row>
    <row r="100" spans="1:8" ht="24.95" customHeight="1">
      <c r="A100" s="2031"/>
      <c r="B100" s="2032"/>
      <c r="C100" s="2032"/>
      <c r="D100" s="2032"/>
      <c r="E100" s="2032"/>
      <c r="F100" s="2032"/>
      <c r="G100" s="2032"/>
      <c r="H100" s="2033"/>
    </row>
    <row r="101" spans="1:8" ht="24.95" customHeight="1">
      <c r="A101" s="2031"/>
      <c r="B101" s="2032"/>
      <c r="C101" s="2032"/>
      <c r="D101" s="2032"/>
      <c r="E101" s="2032"/>
      <c r="F101" s="2032"/>
      <c r="G101" s="2032"/>
      <c r="H101" s="2033"/>
    </row>
    <row r="102" spans="1:8" ht="24.95" customHeight="1">
      <c r="A102" s="2031"/>
      <c r="B102" s="2032"/>
      <c r="C102" s="2032"/>
      <c r="D102" s="2032"/>
      <c r="E102" s="2032"/>
      <c r="F102" s="2032"/>
      <c r="G102" s="2032"/>
      <c r="H102" s="2033"/>
    </row>
    <row r="103" spans="1:8" ht="24.95" customHeight="1">
      <c r="A103" s="2034"/>
      <c r="B103" s="2035"/>
      <c r="C103" s="2035"/>
      <c r="D103" s="2035"/>
      <c r="E103" s="2035"/>
      <c r="F103" s="2035"/>
      <c r="G103" s="2035"/>
      <c r="H103" s="2036"/>
    </row>
    <row r="104" spans="1:8" ht="24.95" customHeight="1"/>
    <row r="105" spans="1:8" ht="24.95" customHeight="1"/>
    <row r="106" spans="1:8" ht="24.95" customHeight="1">
      <c r="A106" s="53" t="s">
        <v>47</v>
      </c>
      <c r="B106" s="53" t="s">
        <v>136</v>
      </c>
      <c r="C106" s="53"/>
      <c r="D106" s="53"/>
      <c r="E106" s="53"/>
      <c r="F106" s="53"/>
      <c r="G106" s="53"/>
      <c r="H106" s="53"/>
    </row>
    <row r="107" spans="1:8" ht="24.95" customHeight="1">
      <c r="A107" s="53"/>
      <c r="B107" s="53"/>
      <c r="C107" s="53"/>
      <c r="D107" s="53"/>
      <c r="E107" s="53"/>
      <c r="F107" s="53"/>
      <c r="G107" s="53"/>
      <c r="H107" s="53"/>
    </row>
    <row r="108" spans="1:8" ht="24.95" customHeight="1">
      <c r="A108" s="2028" t="s">
        <v>50</v>
      </c>
      <c r="B108" s="2028"/>
      <c r="C108" s="54" t="s">
        <v>51</v>
      </c>
      <c r="D108" s="54" t="s">
        <v>52</v>
      </c>
      <c r="E108" s="54" t="s">
        <v>53</v>
      </c>
      <c r="F108" s="54" t="s">
        <v>54</v>
      </c>
      <c r="G108" s="54" t="s">
        <v>56</v>
      </c>
      <c r="H108" s="54" t="s">
        <v>57</v>
      </c>
    </row>
    <row r="109" spans="1:8" ht="24.95" customHeight="1">
      <c r="A109" s="2037" t="s">
        <v>113</v>
      </c>
      <c r="B109" s="55" t="s">
        <v>58</v>
      </c>
      <c r="C109" s="55" t="s">
        <v>114</v>
      </c>
      <c r="D109" s="56" t="s">
        <v>60</v>
      </c>
      <c r="E109" s="57">
        <v>1</v>
      </c>
      <c r="F109" s="58">
        <v>2.76</v>
      </c>
      <c r="G109" s="58">
        <f t="shared" ref="G109:G117" si="3">F109*E109</f>
        <v>2.76</v>
      </c>
      <c r="H109" s="59"/>
    </row>
    <row r="110" spans="1:8" ht="24.95" customHeight="1">
      <c r="A110" s="2038"/>
      <c r="B110" s="61" t="s">
        <v>115</v>
      </c>
      <c r="C110" s="61" t="s">
        <v>116</v>
      </c>
      <c r="D110" s="62" t="s">
        <v>60</v>
      </c>
      <c r="E110" s="63">
        <v>1</v>
      </c>
      <c r="F110" s="64">
        <v>0.22</v>
      </c>
      <c r="G110" s="64">
        <f t="shared" si="3"/>
        <v>0.22</v>
      </c>
      <c r="H110" s="65"/>
    </row>
    <row r="111" spans="1:8" ht="24.95" customHeight="1">
      <c r="A111" s="2038"/>
      <c r="B111" s="61" t="s">
        <v>117</v>
      </c>
      <c r="C111" s="61" t="s">
        <v>118</v>
      </c>
      <c r="D111" s="62" t="s">
        <v>60</v>
      </c>
      <c r="E111" s="63">
        <v>4</v>
      </c>
      <c r="F111" s="64">
        <v>1.72</v>
      </c>
      <c r="G111" s="64">
        <f t="shared" si="3"/>
        <v>6.88</v>
      </c>
      <c r="H111" s="65"/>
    </row>
    <row r="112" spans="1:8" ht="24.95" customHeight="1">
      <c r="A112" s="2038"/>
      <c r="B112" s="61" t="s">
        <v>119</v>
      </c>
      <c r="C112" s="61" t="s">
        <v>120</v>
      </c>
      <c r="D112" s="62" t="s">
        <v>60</v>
      </c>
      <c r="E112" s="63">
        <v>2</v>
      </c>
      <c r="F112" s="64">
        <v>0.88</v>
      </c>
      <c r="G112" s="64">
        <f t="shared" si="3"/>
        <v>1.76</v>
      </c>
      <c r="H112" s="65"/>
    </row>
    <row r="113" spans="1:8" ht="24.95" customHeight="1">
      <c r="A113" s="2038"/>
      <c r="B113" s="61" t="s">
        <v>121</v>
      </c>
      <c r="C113" s="61" t="s">
        <v>122</v>
      </c>
      <c r="D113" s="62" t="s">
        <v>60</v>
      </c>
      <c r="E113" s="63">
        <v>2</v>
      </c>
      <c r="F113" s="64">
        <v>1.01</v>
      </c>
      <c r="G113" s="64">
        <f t="shared" si="3"/>
        <v>2.02</v>
      </c>
      <c r="H113" s="65"/>
    </row>
    <row r="114" spans="1:8" ht="24.95" customHeight="1">
      <c r="A114" s="2038"/>
      <c r="B114" s="61" t="s">
        <v>113</v>
      </c>
      <c r="C114" s="61" t="s">
        <v>135</v>
      </c>
      <c r="D114" s="62" t="s">
        <v>60</v>
      </c>
      <c r="E114" s="63">
        <v>2</v>
      </c>
      <c r="F114" s="64">
        <v>9.11</v>
      </c>
      <c r="G114" s="64">
        <f t="shared" si="3"/>
        <v>18.22</v>
      </c>
      <c r="H114" s="65"/>
    </row>
    <row r="115" spans="1:8" ht="24.95" customHeight="1">
      <c r="A115" s="2038"/>
      <c r="B115" s="61" t="s">
        <v>124</v>
      </c>
      <c r="C115" s="61" t="s">
        <v>125</v>
      </c>
      <c r="D115" s="62" t="s">
        <v>60</v>
      </c>
      <c r="E115" s="66">
        <v>2</v>
      </c>
      <c r="F115" s="64">
        <v>1.58</v>
      </c>
      <c r="G115" s="64">
        <f t="shared" si="3"/>
        <v>3.16</v>
      </c>
      <c r="H115" s="65"/>
    </row>
    <row r="116" spans="1:8" ht="24.95" customHeight="1">
      <c r="A116" s="2038"/>
      <c r="B116" s="61" t="s">
        <v>78</v>
      </c>
      <c r="C116" s="61" t="s">
        <v>126</v>
      </c>
      <c r="D116" s="62" t="s">
        <v>60</v>
      </c>
      <c r="E116" s="63">
        <v>2</v>
      </c>
      <c r="F116" s="64">
        <v>7.0000000000000007E-2</v>
      </c>
      <c r="G116" s="64">
        <f t="shared" si="3"/>
        <v>0.14000000000000001</v>
      </c>
      <c r="H116" s="67"/>
    </row>
    <row r="117" spans="1:8" ht="24.95" customHeight="1">
      <c r="A117" s="2038"/>
      <c r="B117" s="61" t="s">
        <v>127</v>
      </c>
      <c r="C117" s="61" t="s">
        <v>128</v>
      </c>
      <c r="D117" s="62" t="s">
        <v>60</v>
      </c>
      <c r="E117" s="66">
        <v>4</v>
      </c>
      <c r="F117" s="64">
        <v>0.2</v>
      </c>
      <c r="G117" s="64">
        <f t="shared" si="3"/>
        <v>0.8</v>
      </c>
      <c r="H117" s="67"/>
    </row>
    <row r="118" spans="1:8" ht="24.95" customHeight="1">
      <c r="A118" s="2039"/>
      <c r="B118" s="61"/>
      <c r="C118" s="61"/>
      <c r="D118" s="61"/>
      <c r="E118" s="61"/>
      <c r="F118" s="61"/>
      <c r="G118" s="61"/>
      <c r="H118" s="67"/>
    </row>
    <row r="119" spans="1:8" ht="24.95" customHeight="1">
      <c r="A119" s="2025" t="s">
        <v>73</v>
      </c>
      <c r="B119" s="2026"/>
      <c r="C119" s="68"/>
      <c r="D119" s="69" t="s">
        <v>74</v>
      </c>
      <c r="E119" s="70">
        <v>1</v>
      </c>
      <c r="F119" s="68"/>
      <c r="G119" s="71">
        <f>SUM(G109:G117)</f>
        <v>35.959999999999994</v>
      </c>
      <c r="H119" s="72"/>
    </row>
    <row r="120" spans="1:8" ht="24.95" customHeight="1">
      <c r="A120" s="2040"/>
      <c r="B120" s="61" t="s">
        <v>129</v>
      </c>
      <c r="C120" s="61" t="s">
        <v>130</v>
      </c>
      <c r="D120" s="62" t="s">
        <v>60</v>
      </c>
      <c r="E120" s="66">
        <v>5</v>
      </c>
      <c r="F120" s="74">
        <v>0.35</v>
      </c>
      <c r="G120" s="80">
        <f>F120*E120</f>
        <v>1.75</v>
      </c>
      <c r="H120" s="67"/>
    </row>
    <row r="121" spans="1:8" ht="24.95" customHeight="1">
      <c r="A121" s="2038"/>
      <c r="B121" s="61" t="s">
        <v>86</v>
      </c>
      <c r="C121" s="61" t="s">
        <v>131</v>
      </c>
      <c r="D121" s="62" t="s">
        <v>60</v>
      </c>
      <c r="E121" s="81">
        <v>0.1</v>
      </c>
      <c r="F121" s="74">
        <v>0.86</v>
      </c>
      <c r="G121" s="74">
        <f>F121*E121</f>
        <v>8.6000000000000007E-2</v>
      </c>
      <c r="H121" s="67"/>
    </row>
    <row r="122" spans="1:8" ht="24.95" customHeight="1">
      <c r="A122" s="2038"/>
      <c r="B122" s="61" t="s">
        <v>132</v>
      </c>
      <c r="C122" s="61"/>
      <c r="D122" s="62" t="s">
        <v>60</v>
      </c>
      <c r="E122" s="81">
        <v>0.2</v>
      </c>
      <c r="F122" s="61"/>
      <c r="G122" s="61"/>
      <c r="H122" s="67"/>
    </row>
    <row r="123" spans="1:8" ht="24.95" customHeight="1">
      <c r="A123" s="2038"/>
      <c r="B123" s="61" t="s">
        <v>90</v>
      </c>
      <c r="C123" s="61" t="s">
        <v>91</v>
      </c>
      <c r="D123" s="62" t="s">
        <v>92</v>
      </c>
      <c r="E123" s="75">
        <v>0.312</v>
      </c>
      <c r="F123" s="61"/>
      <c r="G123" s="61"/>
      <c r="H123" s="67"/>
    </row>
    <row r="124" spans="1:8" ht="24.95" customHeight="1">
      <c r="A124" s="2038"/>
      <c r="B124" s="61" t="s">
        <v>93</v>
      </c>
      <c r="C124" s="61"/>
      <c r="D124" s="62" t="s">
        <v>60</v>
      </c>
      <c r="E124" s="75">
        <v>0.35</v>
      </c>
      <c r="F124" s="61"/>
      <c r="G124" s="61"/>
      <c r="H124" s="67"/>
    </row>
    <row r="125" spans="1:8" ht="24.95" customHeight="1">
      <c r="A125" s="2038"/>
      <c r="B125" s="61" t="s">
        <v>94</v>
      </c>
      <c r="C125" s="61" t="s">
        <v>95</v>
      </c>
      <c r="D125" s="62" t="s">
        <v>60</v>
      </c>
      <c r="E125" s="75">
        <v>0.124</v>
      </c>
      <c r="F125" s="61"/>
      <c r="G125" s="61"/>
      <c r="H125" s="67"/>
    </row>
    <row r="126" spans="1:8" ht="24.95" customHeight="1">
      <c r="A126" s="2038"/>
      <c r="B126" s="61"/>
      <c r="C126" s="61"/>
      <c r="D126" s="62"/>
      <c r="E126" s="75"/>
      <c r="F126" s="61"/>
      <c r="G126" s="61"/>
      <c r="H126" s="67"/>
    </row>
    <row r="127" spans="1:8" ht="24.95" customHeight="1">
      <c r="A127" s="2038"/>
      <c r="B127" s="61"/>
      <c r="C127" s="61"/>
      <c r="D127" s="62"/>
      <c r="E127" s="75"/>
      <c r="F127" s="61"/>
      <c r="G127" s="61"/>
      <c r="H127" s="67"/>
    </row>
    <row r="128" spans="1:8" ht="24.95" customHeight="1">
      <c r="A128" s="2038"/>
      <c r="B128" s="61"/>
      <c r="C128" s="61"/>
      <c r="D128" s="62"/>
      <c r="E128" s="75"/>
      <c r="F128" s="61"/>
      <c r="G128" s="61"/>
      <c r="H128" s="67"/>
    </row>
    <row r="129" spans="1:8" ht="24.95" customHeight="1">
      <c r="A129" s="2025" t="s">
        <v>73</v>
      </c>
      <c r="B129" s="2026"/>
      <c r="C129" s="68"/>
      <c r="D129" s="69" t="s">
        <v>74</v>
      </c>
      <c r="E129" s="70">
        <v>1</v>
      </c>
      <c r="F129" s="68"/>
      <c r="G129" s="71">
        <f>SUM(G120:G127)</f>
        <v>1.8360000000000001</v>
      </c>
      <c r="H129" s="72"/>
    </row>
    <row r="130" spans="1:8" ht="24.95" customHeight="1">
      <c r="A130" s="82"/>
      <c r="B130" s="61"/>
      <c r="C130" s="61"/>
      <c r="D130" s="61"/>
      <c r="E130" s="61"/>
      <c r="F130" s="61"/>
      <c r="G130" s="61"/>
      <c r="H130" s="67"/>
    </row>
    <row r="131" spans="1:8" ht="24.95" customHeight="1">
      <c r="A131" s="83"/>
      <c r="B131" s="61"/>
      <c r="C131" s="61"/>
      <c r="D131" s="61"/>
      <c r="E131" s="61"/>
      <c r="F131" s="61"/>
      <c r="G131" s="61"/>
      <c r="H131" s="67"/>
    </row>
    <row r="132" spans="1:8" ht="24.95" customHeight="1">
      <c r="A132" s="2020" t="s">
        <v>96</v>
      </c>
      <c r="B132" s="2021"/>
      <c r="C132" s="76"/>
      <c r="D132" s="76"/>
      <c r="E132" s="76"/>
      <c r="F132" s="76"/>
      <c r="G132" s="77">
        <f>G119+G129</f>
        <v>37.795999999999992</v>
      </c>
      <c r="H132" s="78"/>
    </row>
    <row r="133" spans="1:8" ht="24.95" customHeight="1">
      <c r="A133" s="2022" t="s">
        <v>97</v>
      </c>
      <c r="B133" s="2023"/>
      <c r="C133" s="2023"/>
      <c r="D133" s="2023"/>
      <c r="E133" s="2023"/>
      <c r="F133" s="2023"/>
      <c r="G133" s="2023"/>
      <c r="H133" s="2030"/>
    </row>
    <row r="134" spans="1:8" ht="24.95" customHeight="1">
      <c r="A134" s="2031"/>
      <c r="B134" s="2032"/>
      <c r="C134" s="2032"/>
      <c r="D134" s="2032"/>
      <c r="E134" s="2032"/>
      <c r="F134" s="2032"/>
      <c r="G134" s="2032"/>
      <c r="H134" s="2033"/>
    </row>
    <row r="135" spans="1:8" ht="24.95" customHeight="1">
      <c r="A135" s="2031"/>
      <c r="B135" s="2032"/>
      <c r="C135" s="2032"/>
      <c r="D135" s="2032"/>
      <c r="E135" s="2032"/>
      <c r="F135" s="2032"/>
      <c r="G135" s="2032"/>
      <c r="H135" s="2033"/>
    </row>
    <row r="136" spans="1:8" ht="24.95" customHeight="1">
      <c r="A136" s="2031"/>
      <c r="B136" s="2032"/>
      <c r="C136" s="2032"/>
      <c r="D136" s="2032"/>
      <c r="E136" s="2032"/>
      <c r="F136" s="2032"/>
      <c r="G136" s="2032"/>
      <c r="H136" s="2033"/>
    </row>
    <row r="137" spans="1:8" ht="24.95" customHeight="1">
      <c r="A137" s="2034"/>
      <c r="B137" s="2035"/>
      <c r="C137" s="2035"/>
      <c r="D137" s="2035"/>
      <c r="E137" s="2035"/>
      <c r="F137" s="2035"/>
      <c r="G137" s="2035"/>
      <c r="H137" s="2036"/>
    </row>
    <row r="138" spans="1:8" ht="24.95" customHeight="1"/>
    <row r="139" spans="1:8" ht="24.95" customHeight="1"/>
    <row r="140" spans="1:8" ht="24.95" customHeight="1">
      <c r="A140" s="53" t="s">
        <v>47</v>
      </c>
      <c r="B140" s="53" t="s">
        <v>137</v>
      </c>
      <c r="C140" s="53"/>
      <c r="D140" s="53"/>
      <c r="E140" s="53"/>
      <c r="F140" s="53"/>
      <c r="G140" s="53"/>
      <c r="H140" s="53"/>
    </row>
    <row r="141" spans="1:8" ht="24.95" customHeight="1">
      <c r="A141" s="53"/>
      <c r="B141" s="53"/>
      <c r="C141" s="53"/>
      <c r="D141" s="53"/>
      <c r="E141" s="53"/>
      <c r="F141" s="53"/>
      <c r="G141" s="53"/>
      <c r="H141" s="53"/>
    </row>
    <row r="142" spans="1:8" ht="24.95" customHeight="1">
      <c r="A142" s="2028" t="s">
        <v>50</v>
      </c>
      <c r="B142" s="2028"/>
      <c r="C142" s="54" t="s">
        <v>51</v>
      </c>
      <c r="D142" s="54" t="s">
        <v>52</v>
      </c>
      <c r="E142" s="54" t="s">
        <v>53</v>
      </c>
      <c r="F142" s="54" t="s">
        <v>54</v>
      </c>
      <c r="G142" s="54" t="s">
        <v>56</v>
      </c>
      <c r="H142" s="54" t="s">
        <v>57</v>
      </c>
    </row>
    <row r="143" spans="1:8" ht="24.95" customHeight="1">
      <c r="A143" s="2037" t="s">
        <v>113</v>
      </c>
      <c r="B143" s="55" t="s">
        <v>58</v>
      </c>
      <c r="C143" s="55" t="s">
        <v>114</v>
      </c>
      <c r="D143" s="56" t="s">
        <v>60</v>
      </c>
      <c r="E143" s="57">
        <v>1</v>
      </c>
      <c r="F143" s="58">
        <v>2.76</v>
      </c>
      <c r="G143" s="58">
        <f t="shared" ref="G143:G151" si="4">F143*E143</f>
        <v>2.76</v>
      </c>
      <c r="H143" s="59"/>
    </row>
    <row r="144" spans="1:8" ht="24.95" customHeight="1">
      <c r="A144" s="2038"/>
      <c r="B144" s="61" t="s">
        <v>115</v>
      </c>
      <c r="C144" s="61" t="s">
        <v>116</v>
      </c>
      <c r="D144" s="62" t="s">
        <v>60</v>
      </c>
      <c r="E144" s="63">
        <v>1</v>
      </c>
      <c r="F144" s="64">
        <v>0.22</v>
      </c>
      <c r="G144" s="64">
        <f t="shared" si="4"/>
        <v>0.22</v>
      </c>
      <c r="H144" s="65"/>
    </row>
    <row r="145" spans="1:8" ht="24.95" customHeight="1">
      <c r="A145" s="2038"/>
      <c r="B145" s="61" t="s">
        <v>117</v>
      </c>
      <c r="C145" s="61" t="s">
        <v>118</v>
      </c>
      <c r="D145" s="62" t="s">
        <v>60</v>
      </c>
      <c r="E145" s="63">
        <v>2</v>
      </c>
      <c r="F145" s="64">
        <v>1.72</v>
      </c>
      <c r="G145" s="64">
        <f t="shared" si="4"/>
        <v>3.44</v>
      </c>
      <c r="H145" s="65"/>
    </row>
    <row r="146" spans="1:8" ht="24.95" customHeight="1">
      <c r="A146" s="2038"/>
      <c r="B146" s="61" t="s">
        <v>119</v>
      </c>
      <c r="C146" s="61" t="s">
        <v>120</v>
      </c>
      <c r="D146" s="62" t="s">
        <v>60</v>
      </c>
      <c r="E146" s="63">
        <v>1</v>
      </c>
      <c r="F146" s="64">
        <v>0.88</v>
      </c>
      <c r="G146" s="64">
        <f t="shared" si="4"/>
        <v>0.88</v>
      </c>
      <c r="H146" s="65"/>
    </row>
    <row r="147" spans="1:8" ht="24.95" customHeight="1">
      <c r="A147" s="2038"/>
      <c r="B147" s="61" t="s">
        <v>121</v>
      </c>
      <c r="C147" s="61" t="s">
        <v>122</v>
      </c>
      <c r="D147" s="62" t="s">
        <v>60</v>
      </c>
      <c r="E147" s="63">
        <v>1</v>
      </c>
      <c r="F147" s="64">
        <v>1.01</v>
      </c>
      <c r="G147" s="64">
        <f t="shared" si="4"/>
        <v>1.01</v>
      </c>
      <c r="H147" s="65"/>
    </row>
    <row r="148" spans="1:8" ht="24.95" customHeight="1">
      <c r="A148" s="2038"/>
      <c r="B148" s="61" t="s">
        <v>113</v>
      </c>
      <c r="C148" s="61" t="s">
        <v>138</v>
      </c>
      <c r="D148" s="62" t="s">
        <v>60</v>
      </c>
      <c r="E148" s="63">
        <v>1</v>
      </c>
      <c r="F148" s="64">
        <v>10.52</v>
      </c>
      <c r="G148" s="64">
        <f t="shared" si="4"/>
        <v>10.52</v>
      </c>
      <c r="H148" s="65"/>
    </row>
    <row r="149" spans="1:8" ht="24.95" customHeight="1">
      <c r="A149" s="2038"/>
      <c r="B149" s="61" t="s">
        <v>124</v>
      </c>
      <c r="C149" s="61" t="s">
        <v>125</v>
      </c>
      <c r="D149" s="62" t="s">
        <v>60</v>
      </c>
      <c r="E149" s="66">
        <v>1</v>
      </c>
      <c r="F149" s="64">
        <v>1.58</v>
      </c>
      <c r="G149" s="64">
        <f t="shared" si="4"/>
        <v>1.58</v>
      </c>
      <c r="H149" s="65"/>
    </row>
    <row r="150" spans="1:8" ht="24.95" customHeight="1">
      <c r="A150" s="2038"/>
      <c r="B150" s="61" t="s">
        <v>78</v>
      </c>
      <c r="C150" s="61" t="s">
        <v>126</v>
      </c>
      <c r="D150" s="62" t="s">
        <v>60</v>
      </c>
      <c r="E150" s="63">
        <v>1</v>
      </c>
      <c r="F150" s="64">
        <v>7.0000000000000007E-2</v>
      </c>
      <c r="G150" s="64">
        <f t="shared" si="4"/>
        <v>7.0000000000000007E-2</v>
      </c>
      <c r="H150" s="67"/>
    </row>
    <row r="151" spans="1:8" ht="24.95" customHeight="1">
      <c r="A151" s="2038"/>
      <c r="B151" s="61" t="s">
        <v>127</v>
      </c>
      <c r="C151" s="61" t="s">
        <v>128</v>
      </c>
      <c r="D151" s="62" t="s">
        <v>60</v>
      </c>
      <c r="E151" s="66">
        <v>5</v>
      </c>
      <c r="F151" s="64">
        <v>0.2</v>
      </c>
      <c r="G151" s="64">
        <f t="shared" si="4"/>
        <v>1</v>
      </c>
      <c r="H151" s="67"/>
    </row>
    <row r="152" spans="1:8" ht="24.95" customHeight="1">
      <c r="A152" s="2039"/>
      <c r="B152" s="61"/>
      <c r="C152" s="61"/>
      <c r="D152" s="61"/>
      <c r="E152" s="61"/>
      <c r="F152" s="61"/>
      <c r="G152" s="61"/>
      <c r="H152" s="67"/>
    </row>
    <row r="153" spans="1:8" ht="24.95" customHeight="1">
      <c r="A153" s="2025" t="s">
        <v>73</v>
      </c>
      <c r="B153" s="2026"/>
      <c r="C153" s="68"/>
      <c r="D153" s="69" t="s">
        <v>74</v>
      </c>
      <c r="E153" s="70">
        <v>1</v>
      </c>
      <c r="F153" s="68"/>
      <c r="G153" s="71">
        <f>SUM(G143:G151)</f>
        <v>21.479999999999997</v>
      </c>
      <c r="H153" s="72"/>
    </row>
    <row r="154" spans="1:8" ht="24.95" customHeight="1">
      <c r="A154" s="2040"/>
      <c r="B154" s="61" t="s">
        <v>129</v>
      </c>
      <c r="C154" s="61" t="s">
        <v>130</v>
      </c>
      <c r="D154" s="62" t="s">
        <v>60</v>
      </c>
      <c r="E154" s="66">
        <v>5</v>
      </c>
      <c r="F154" s="74">
        <v>0.35</v>
      </c>
      <c r="G154" s="80">
        <f>F154*E154</f>
        <v>1.75</v>
      </c>
      <c r="H154" s="67"/>
    </row>
    <row r="155" spans="1:8" ht="24.95" customHeight="1">
      <c r="A155" s="2038"/>
      <c r="B155" s="61" t="s">
        <v>86</v>
      </c>
      <c r="C155" s="61" t="s">
        <v>131</v>
      </c>
      <c r="D155" s="62" t="s">
        <v>60</v>
      </c>
      <c r="E155" s="81">
        <v>0.1</v>
      </c>
      <c r="F155" s="74">
        <v>0.86</v>
      </c>
      <c r="G155" s="74">
        <f>F155*E155</f>
        <v>8.6000000000000007E-2</v>
      </c>
      <c r="H155" s="67"/>
    </row>
    <row r="156" spans="1:8" ht="24.95" customHeight="1">
      <c r="A156" s="2038"/>
      <c r="B156" s="61" t="s">
        <v>132</v>
      </c>
      <c r="C156" s="61"/>
      <c r="D156" s="62" t="s">
        <v>60</v>
      </c>
      <c r="E156" s="81">
        <v>0.2</v>
      </c>
      <c r="F156" s="61"/>
      <c r="G156" s="61"/>
      <c r="H156" s="67"/>
    </row>
    <row r="157" spans="1:8" ht="24.95" customHeight="1">
      <c r="A157" s="2038"/>
      <c r="B157" s="61" t="s">
        <v>90</v>
      </c>
      <c r="C157" s="61" t="s">
        <v>91</v>
      </c>
      <c r="D157" s="62" t="s">
        <v>92</v>
      </c>
      <c r="E157" s="75">
        <v>0.34100000000000003</v>
      </c>
      <c r="F157" s="61"/>
      <c r="G157" s="61"/>
      <c r="H157" s="67"/>
    </row>
    <row r="158" spans="1:8" ht="24.95" customHeight="1">
      <c r="A158" s="2038"/>
      <c r="B158" s="61" t="s">
        <v>93</v>
      </c>
      <c r="C158" s="61"/>
      <c r="D158" s="62" t="s">
        <v>60</v>
      </c>
      <c r="E158" s="75">
        <v>0.38200000000000001</v>
      </c>
      <c r="F158" s="61"/>
      <c r="G158" s="61"/>
      <c r="H158" s="67"/>
    </row>
    <row r="159" spans="1:8" ht="24.95" customHeight="1">
      <c r="A159" s="2038"/>
      <c r="B159" s="61" t="s">
        <v>94</v>
      </c>
      <c r="C159" s="61" t="s">
        <v>95</v>
      </c>
      <c r="D159" s="62" t="s">
        <v>60</v>
      </c>
      <c r="E159" s="75">
        <v>0.13600000000000001</v>
      </c>
      <c r="F159" s="61"/>
      <c r="G159" s="61"/>
      <c r="H159" s="67"/>
    </row>
    <row r="160" spans="1:8" ht="24.95" customHeight="1">
      <c r="A160" s="2038"/>
      <c r="B160" s="61"/>
      <c r="C160" s="61"/>
      <c r="D160" s="62"/>
      <c r="E160" s="75"/>
      <c r="F160" s="61"/>
      <c r="G160" s="61"/>
      <c r="H160" s="67"/>
    </row>
    <row r="161" spans="1:8" ht="24.95" customHeight="1">
      <c r="A161" s="2038"/>
      <c r="B161" s="61"/>
      <c r="C161" s="61"/>
      <c r="D161" s="62"/>
      <c r="E161" s="75"/>
      <c r="F161" s="61"/>
      <c r="G161" s="61"/>
      <c r="H161" s="67"/>
    </row>
    <row r="162" spans="1:8" ht="24.95" customHeight="1">
      <c r="A162" s="2038"/>
      <c r="B162" s="61"/>
      <c r="C162" s="61"/>
      <c r="D162" s="62"/>
      <c r="E162" s="75"/>
      <c r="F162" s="61"/>
      <c r="G162" s="61"/>
      <c r="H162" s="67"/>
    </row>
    <row r="163" spans="1:8" ht="24.95" customHeight="1">
      <c r="A163" s="2025" t="s">
        <v>73</v>
      </c>
      <c r="B163" s="2026"/>
      <c r="C163" s="68"/>
      <c r="D163" s="69" t="s">
        <v>74</v>
      </c>
      <c r="E163" s="70">
        <v>1</v>
      </c>
      <c r="F163" s="68"/>
      <c r="G163" s="71">
        <f>SUM(G154:G161)</f>
        <v>1.8360000000000001</v>
      </c>
      <c r="H163" s="72"/>
    </row>
    <row r="164" spans="1:8" ht="24.95" customHeight="1">
      <c r="A164" s="82"/>
      <c r="B164" s="61"/>
      <c r="C164" s="61"/>
      <c r="D164" s="61"/>
      <c r="E164" s="61"/>
      <c r="F164" s="61"/>
      <c r="G164" s="61"/>
      <c r="H164" s="67"/>
    </row>
    <row r="165" spans="1:8" ht="24.95" customHeight="1">
      <c r="A165" s="83"/>
      <c r="B165" s="61"/>
      <c r="C165" s="61"/>
      <c r="D165" s="61"/>
      <c r="E165" s="61"/>
      <c r="F165" s="61"/>
      <c r="G165" s="61"/>
      <c r="H165" s="67"/>
    </row>
    <row r="166" spans="1:8" ht="24.95" customHeight="1">
      <c r="A166" s="2020" t="s">
        <v>96</v>
      </c>
      <c r="B166" s="2021"/>
      <c r="C166" s="76"/>
      <c r="D166" s="76"/>
      <c r="E166" s="76"/>
      <c r="F166" s="76"/>
      <c r="G166" s="77">
        <f>G153+G163</f>
        <v>23.315999999999995</v>
      </c>
      <c r="H166" s="78"/>
    </row>
    <row r="167" spans="1:8" ht="24.95" customHeight="1">
      <c r="A167" s="2022" t="s">
        <v>97</v>
      </c>
      <c r="B167" s="2023"/>
      <c r="C167" s="2023"/>
      <c r="D167" s="2023"/>
      <c r="E167" s="2023"/>
      <c r="F167" s="2023"/>
      <c r="G167" s="2023"/>
      <c r="H167" s="2030"/>
    </row>
    <row r="168" spans="1:8" ht="24.95" customHeight="1">
      <c r="A168" s="2031"/>
      <c r="B168" s="2032"/>
      <c r="C168" s="2032"/>
      <c r="D168" s="2032"/>
      <c r="E168" s="2032"/>
      <c r="F168" s="2032"/>
      <c r="G168" s="2032"/>
      <c r="H168" s="2033"/>
    </row>
    <row r="169" spans="1:8" ht="24.95" customHeight="1">
      <c r="A169" s="2031"/>
      <c r="B169" s="2032"/>
      <c r="C169" s="2032"/>
      <c r="D169" s="2032"/>
      <c r="E169" s="2032"/>
      <c r="F169" s="2032"/>
      <c r="G169" s="2032"/>
      <c r="H169" s="2033"/>
    </row>
    <row r="170" spans="1:8" ht="24.95" customHeight="1">
      <c r="A170" s="2031"/>
      <c r="B170" s="2032"/>
      <c r="C170" s="2032"/>
      <c r="D170" s="2032"/>
      <c r="E170" s="2032"/>
      <c r="F170" s="2032"/>
      <c r="G170" s="2032"/>
      <c r="H170" s="2033"/>
    </row>
    <row r="171" spans="1:8" ht="24.95" customHeight="1">
      <c r="A171" s="2034"/>
      <c r="B171" s="2035"/>
      <c r="C171" s="2035"/>
      <c r="D171" s="2035"/>
      <c r="E171" s="2035"/>
      <c r="F171" s="2035"/>
      <c r="G171" s="2035"/>
      <c r="H171" s="2036"/>
    </row>
    <row r="172" spans="1:8" ht="24.95" customHeight="1"/>
    <row r="173" spans="1:8" ht="24.95" customHeight="1"/>
    <row r="174" spans="1:8" ht="24.95" customHeight="1">
      <c r="A174" s="53" t="s">
        <v>47</v>
      </c>
      <c r="B174" s="53" t="s">
        <v>139</v>
      </c>
      <c r="C174" s="53"/>
      <c r="D174" s="53"/>
      <c r="E174" s="53"/>
      <c r="F174" s="53"/>
      <c r="G174" s="53"/>
      <c r="H174" s="53"/>
    </row>
    <row r="175" spans="1:8" ht="24.95" customHeight="1">
      <c r="A175" s="53"/>
      <c r="B175" s="53"/>
      <c r="C175" s="53"/>
      <c r="D175" s="53"/>
      <c r="E175" s="53"/>
      <c r="F175" s="53"/>
      <c r="G175" s="53"/>
      <c r="H175" s="53"/>
    </row>
    <row r="176" spans="1:8" ht="24.95" customHeight="1">
      <c r="A176" s="2028" t="s">
        <v>50</v>
      </c>
      <c r="B176" s="2028"/>
      <c r="C176" s="54" t="s">
        <v>51</v>
      </c>
      <c r="D176" s="54" t="s">
        <v>52</v>
      </c>
      <c r="E176" s="54" t="s">
        <v>53</v>
      </c>
      <c r="F176" s="54" t="s">
        <v>54</v>
      </c>
      <c r="G176" s="54" t="s">
        <v>56</v>
      </c>
      <c r="H176" s="54" t="s">
        <v>57</v>
      </c>
    </row>
    <row r="177" spans="1:8" ht="24.95" customHeight="1">
      <c r="A177" s="2037" t="s">
        <v>113</v>
      </c>
      <c r="B177" s="55" t="s">
        <v>58</v>
      </c>
      <c r="C177" s="55" t="s">
        <v>114</v>
      </c>
      <c r="D177" s="56" t="s">
        <v>60</v>
      </c>
      <c r="E177" s="57">
        <v>1</v>
      </c>
      <c r="F177" s="58">
        <v>2.76</v>
      </c>
      <c r="G177" s="58">
        <f t="shared" ref="G177:G185" si="5">F177*E177</f>
        <v>2.76</v>
      </c>
      <c r="H177" s="59"/>
    </row>
    <row r="178" spans="1:8" ht="24.95" customHeight="1">
      <c r="A178" s="2038"/>
      <c r="B178" s="61" t="s">
        <v>115</v>
      </c>
      <c r="C178" s="61" t="s">
        <v>116</v>
      </c>
      <c r="D178" s="62" t="s">
        <v>60</v>
      </c>
      <c r="E178" s="63">
        <v>1</v>
      </c>
      <c r="F178" s="64">
        <v>0.22</v>
      </c>
      <c r="G178" s="64">
        <f t="shared" si="5"/>
        <v>0.22</v>
      </c>
      <c r="H178" s="65"/>
    </row>
    <row r="179" spans="1:8" ht="24.95" customHeight="1">
      <c r="A179" s="2038"/>
      <c r="B179" s="61" t="s">
        <v>117</v>
      </c>
      <c r="C179" s="61" t="s">
        <v>118</v>
      </c>
      <c r="D179" s="62" t="s">
        <v>60</v>
      </c>
      <c r="E179" s="63">
        <v>4</v>
      </c>
      <c r="F179" s="64">
        <v>1.72</v>
      </c>
      <c r="G179" s="64">
        <f t="shared" si="5"/>
        <v>6.88</v>
      </c>
      <c r="H179" s="65"/>
    </row>
    <row r="180" spans="1:8" ht="24.95" customHeight="1">
      <c r="A180" s="2038"/>
      <c r="B180" s="61" t="s">
        <v>119</v>
      </c>
      <c r="C180" s="61" t="s">
        <v>120</v>
      </c>
      <c r="D180" s="62" t="s">
        <v>60</v>
      </c>
      <c r="E180" s="63">
        <v>2</v>
      </c>
      <c r="F180" s="64">
        <v>0.88</v>
      </c>
      <c r="G180" s="64">
        <f t="shared" si="5"/>
        <v>1.76</v>
      </c>
      <c r="H180" s="65"/>
    </row>
    <row r="181" spans="1:8" ht="24.95" customHeight="1">
      <c r="A181" s="2038"/>
      <c r="B181" s="61" t="s">
        <v>121</v>
      </c>
      <c r="C181" s="61" t="s">
        <v>122</v>
      </c>
      <c r="D181" s="62" t="s">
        <v>60</v>
      </c>
      <c r="E181" s="63">
        <v>2</v>
      </c>
      <c r="F181" s="64">
        <v>1.01</v>
      </c>
      <c r="G181" s="64">
        <f t="shared" si="5"/>
        <v>2.02</v>
      </c>
      <c r="H181" s="65"/>
    </row>
    <row r="182" spans="1:8" ht="24.95" customHeight="1">
      <c r="A182" s="2038"/>
      <c r="B182" s="61" t="s">
        <v>113</v>
      </c>
      <c r="C182" s="61" t="s">
        <v>138</v>
      </c>
      <c r="D182" s="62" t="s">
        <v>60</v>
      </c>
      <c r="E182" s="63">
        <v>2</v>
      </c>
      <c r="F182" s="64">
        <v>10.52</v>
      </c>
      <c r="G182" s="64">
        <f t="shared" si="5"/>
        <v>21.04</v>
      </c>
      <c r="H182" s="65"/>
    </row>
    <row r="183" spans="1:8" ht="24.95" customHeight="1">
      <c r="A183" s="2038"/>
      <c r="B183" s="61" t="s">
        <v>124</v>
      </c>
      <c r="C183" s="61" t="s">
        <v>125</v>
      </c>
      <c r="D183" s="62" t="s">
        <v>60</v>
      </c>
      <c r="E183" s="66">
        <v>2</v>
      </c>
      <c r="F183" s="64">
        <v>1.58</v>
      </c>
      <c r="G183" s="64">
        <f t="shared" si="5"/>
        <v>3.16</v>
      </c>
      <c r="H183" s="65"/>
    </row>
    <row r="184" spans="1:8" ht="24.95" customHeight="1">
      <c r="A184" s="2038"/>
      <c r="B184" s="61" t="s">
        <v>78</v>
      </c>
      <c r="C184" s="61" t="s">
        <v>126</v>
      </c>
      <c r="D184" s="62" t="s">
        <v>60</v>
      </c>
      <c r="E184" s="63">
        <v>2</v>
      </c>
      <c r="F184" s="64">
        <v>7.0000000000000007E-2</v>
      </c>
      <c r="G184" s="64">
        <f t="shared" si="5"/>
        <v>0.14000000000000001</v>
      </c>
      <c r="H184" s="67"/>
    </row>
    <row r="185" spans="1:8" ht="24.95" customHeight="1">
      <c r="A185" s="2038"/>
      <c r="B185" s="61" t="s">
        <v>127</v>
      </c>
      <c r="C185" s="61" t="s">
        <v>128</v>
      </c>
      <c r="D185" s="62" t="s">
        <v>60</v>
      </c>
      <c r="E185" s="66">
        <v>4</v>
      </c>
      <c r="F185" s="64">
        <v>0.2</v>
      </c>
      <c r="G185" s="64">
        <f t="shared" si="5"/>
        <v>0.8</v>
      </c>
      <c r="H185" s="67"/>
    </row>
    <row r="186" spans="1:8" ht="24.95" customHeight="1">
      <c r="A186" s="2039"/>
      <c r="B186" s="61"/>
      <c r="C186" s="61"/>
      <c r="D186" s="61"/>
      <c r="E186" s="61"/>
      <c r="F186" s="61"/>
      <c r="G186" s="61"/>
      <c r="H186" s="67"/>
    </row>
    <row r="187" spans="1:8" ht="24.95" customHeight="1">
      <c r="A187" s="2025" t="s">
        <v>73</v>
      </c>
      <c r="B187" s="2026"/>
      <c r="C187" s="68"/>
      <c r="D187" s="69" t="s">
        <v>74</v>
      </c>
      <c r="E187" s="70">
        <v>1</v>
      </c>
      <c r="F187" s="68"/>
      <c r="G187" s="71">
        <f>SUM(G177:G185)</f>
        <v>38.78</v>
      </c>
      <c r="H187" s="72"/>
    </row>
    <row r="188" spans="1:8" ht="24.95" customHeight="1">
      <c r="A188" s="2040"/>
      <c r="B188" s="61" t="s">
        <v>129</v>
      </c>
      <c r="C188" s="61" t="s">
        <v>130</v>
      </c>
      <c r="D188" s="62" t="s">
        <v>60</v>
      </c>
      <c r="E188" s="66">
        <v>5</v>
      </c>
      <c r="F188" s="74">
        <v>0.35</v>
      </c>
      <c r="G188" s="80">
        <f>F188*E188</f>
        <v>1.75</v>
      </c>
      <c r="H188" s="67"/>
    </row>
    <row r="189" spans="1:8" ht="24.95" customHeight="1">
      <c r="A189" s="2038"/>
      <c r="B189" s="61" t="s">
        <v>86</v>
      </c>
      <c r="C189" s="61" t="s">
        <v>131</v>
      </c>
      <c r="D189" s="62" t="s">
        <v>60</v>
      </c>
      <c r="E189" s="81">
        <v>0.1</v>
      </c>
      <c r="F189" s="74">
        <v>0.86</v>
      </c>
      <c r="G189" s="74">
        <f>F189*E189</f>
        <v>8.6000000000000007E-2</v>
      </c>
      <c r="H189" s="67"/>
    </row>
    <row r="190" spans="1:8" ht="24.95" customHeight="1">
      <c r="A190" s="2038"/>
      <c r="B190" s="61" t="s">
        <v>132</v>
      </c>
      <c r="C190" s="61"/>
      <c r="D190" s="62" t="s">
        <v>60</v>
      </c>
      <c r="E190" s="81">
        <v>0.2</v>
      </c>
      <c r="F190" s="61"/>
      <c r="G190" s="61"/>
      <c r="H190" s="67"/>
    </row>
    <row r="191" spans="1:8" ht="24.95" customHeight="1">
      <c r="A191" s="2038"/>
      <c r="B191" s="61" t="s">
        <v>90</v>
      </c>
      <c r="C191" s="61" t="s">
        <v>91</v>
      </c>
      <c r="D191" s="62" t="s">
        <v>92</v>
      </c>
      <c r="E191" s="75">
        <v>0.34100000000000003</v>
      </c>
      <c r="F191" s="61"/>
      <c r="G191" s="61"/>
      <c r="H191" s="67"/>
    </row>
    <row r="192" spans="1:8" ht="24.95" customHeight="1">
      <c r="A192" s="2038"/>
      <c r="B192" s="61" t="s">
        <v>93</v>
      </c>
      <c r="C192" s="61"/>
      <c r="D192" s="62" t="s">
        <v>60</v>
      </c>
      <c r="E192" s="75">
        <v>0.38200000000000001</v>
      </c>
      <c r="F192" s="61"/>
      <c r="G192" s="61"/>
      <c r="H192" s="67"/>
    </row>
    <row r="193" spans="1:8" ht="24.95" customHeight="1">
      <c r="A193" s="2038"/>
      <c r="B193" s="61" t="s">
        <v>94</v>
      </c>
      <c r="C193" s="61" t="s">
        <v>95</v>
      </c>
      <c r="D193" s="62" t="s">
        <v>60</v>
      </c>
      <c r="E193" s="75">
        <v>0.13600000000000001</v>
      </c>
      <c r="F193" s="61"/>
      <c r="G193" s="61"/>
      <c r="H193" s="67"/>
    </row>
    <row r="194" spans="1:8" ht="24.95" customHeight="1">
      <c r="A194" s="2038"/>
      <c r="B194" s="61"/>
      <c r="C194" s="61"/>
      <c r="D194" s="62"/>
      <c r="E194" s="75"/>
      <c r="F194" s="61"/>
      <c r="G194" s="61"/>
      <c r="H194" s="67"/>
    </row>
    <row r="195" spans="1:8" ht="24.95" customHeight="1">
      <c r="A195" s="2038"/>
      <c r="B195" s="61"/>
      <c r="C195" s="61"/>
      <c r="D195" s="62"/>
      <c r="E195" s="75"/>
      <c r="F195" s="61"/>
      <c r="G195" s="61"/>
      <c r="H195" s="67"/>
    </row>
    <row r="196" spans="1:8" ht="24.95" customHeight="1">
      <c r="A196" s="2038"/>
      <c r="B196" s="61"/>
      <c r="C196" s="61"/>
      <c r="D196" s="62"/>
      <c r="E196" s="75"/>
      <c r="F196" s="61"/>
      <c r="G196" s="61"/>
      <c r="H196" s="67"/>
    </row>
    <row r="197" spans="1:8" ht="24.95" customHeight="1">
      <c r="A197" s="2025" t="s">
        <v>73</v>
      </c>
      <c r="B197" s="2026"/>
      <c r="C197" s="68"/>
      <c r="D197" s="69" t="s">
        <v>74</v>
      </c>
      <c r="E197" s="70">
        <v>1</v>
      </c>
      <c r="F197" s="68"/>
      <c r="G197" s="71">
        <f>SUM(G188:G195)</f>
        <v>1.8360000000000001</v>
      </c>
      <c r="H197" s="72"/>
    </row>
    <row r="198" spans="1:8" ht="24.95" customHeight="1">
      <c r="A198" s="82"/>
      <c r="B198" s="61"/>
      <c r="C198" s="61"/>
      <c r="D198" s="61"/>
      <c r="E198" s="61"/>
      <c r="F198" s="61"/>
      <c r="G198" s="61"/>
      <c r="H198" s="67"/>
    </row>
    <row r="199" spans="1:8" ht="24.95" customHeight="1">
      <c r="A199" s="83"/>
      <c r="B199" s="61"/>
      <c r="C199" s="61"/>
      <c r="D199" s="61"/>
      <c r="E199" s="61"/>
      <c r="F199" s="61"/>
      <c r="G199" s="61"/>
      <c r="H199" s="67"/>
    </row>
    <row r="200" spans="1:8" ht="24.95" customHeight="1">
      <c r="A200" s="2020" t="s">
        <v>96</v>
      </c>
      <c r="B200" s="2021"/>
      <c r="C200" s="76"/>
      <c r="D200" s="76"/>
      <c r="E200" s="76"/>
      <c r="F200" s="76"/>
      <c r="G200" s="77">
        <f>G187+G197</f>
        <v>40.616</v>
      </c>
      <c r="H200" s="78"/>
    </row>
    <row r="201" spans="1:8" ht="24.95" customHeight="1">
      <c r="A201" s="2022" t="s">
        <v>97</v>
      </c>
      <c r="B201" s="2023"/>
      <c r="C201" s="2023"/>
      <c r="D201" s="2023"/>
      <c r="E201" s="2023"/>
      <c r="F201" s="2023"/>
      <c r="G201" s="2023"/>
      <c r="H201" s="2030"/>
    </row>
    <row r="202" spans="1:8" ht="24.95" customHeight="1">
      <c r="A202" s="2031"/>
      <c r="B202" s="2032"/>
      <c r="C202" s="2032"/>
      <c r="D202" s="2032"/>
      <c r="E202" s="2032"/>
      <c r="F202" s="2032"/>
      <c r="G202" s="2032"/>
      <c r="H202" s="2033"/>
    </row>
    <row r="203" spans="1:8" ht="24.95" customHeight="1">
      <c r="A203" s="2031"/>
      <c r="B203" s="2032"/>
      <c r="C203" s="2032"/>
      <c r="D203" s="2032"/>
      <c r="E203" s="2032"/>
      <c r="F203" s="2032"/>
      <c r="G203" s="2032"/>
      <c r="H203" s="2033"/>
    </row>
    <row r="204" spans="1:8" ht="24.95" customHeight="1">
      <c r="A204" s="2031"/>
      <c r="B204" s="2032"/>
      <c r="C204" s="2032"/>
      <c r="D204" s="2032"/>
      <c r="E204" s="2032"/>
      <c r="F204" s="2032"/>
      <c r="G204" s="2032"/>
      <c r="H204" s="2033"/>
    </row>
    <row r="205" spans="1:8" ht="24.95" customHeight="1">
      <c r="A205" s="2034"/>
      <c r="B205" s="2035"/>
      <c r="C205" s="2035"/>
      <c r="D205" s="2035"/>
      <c r="E205" s="2035"/>
      <c r="F205" s="2035"/>
      <c r="G205" s="2035"/>
      <c r="H205" s="2036"/>
    </row>
    <row r="206" spans="1:8" ht="24.95" customHeight="1"/>
    <row r="207" spans="1:8" ht="24.95" customHeight="1"/>
    <row r="208" spans="1:8" ht="24.95" customHeight="1">
      <c r="A208" s="53" t="s">
        <v>47</v>
      </c>
      <c r="B208" s="53" t="s">
        <v>140</v>
      </c>
      <c r="C208" s="53"/>
      <c r="D208" s="53"/>
      <c r="E208" s="53"/>
      <c r="F208" s="53"/>
      <c r="G208" s="53"/>
      <c r="H208" s="53"/>
    </row>
    <row r="209" spans="1:8" ht="24.95" customHeight="1">
      <c r="A209" s="53"/>
      <c r="B209" s="53"/>
      <c r="C209" s="53"/>
      <c r="D209" s="53"/>
      <c r="E209" s="53"/>
      <c r="F209" s="53"/>
      <c r="G209" s="53"/>
      <c r="H209" s="53"/>
    </row>
    <row r="210" spans="1:8" ht="24.95" customHeight="1">
      <c r="A210" s="2028" t="s">
        <v>50</v>
      </c>
      <c r="B210" s="2028"/>
      <c r="C210" s="54" t="s">
        <v>51</v>
      </c>
      <c r="D210" s="54" t="s">
        <v>52</v>
      </c>
      <c r="E210" s="54" t="s">
        <v>53</v>
      </c>
      <c r="F210" s="54" t="s">
        <v>54</v>
      </c>
      <c r="G210" s="54" t="s">
        <v>56</v>
      </c>
      <c r="H210" s="54" t="s">
        <v>57</v>
      </c>
    </row>
    <row r="211" spans="1:8" ht="24.95" customHeight="1">
      <c r="A211" s="2037" t="s">
        <v>113</v>
      </c>
      <c r="B211" s="55" t="s">
        <v>58</v>
      </c>
      <c r="C211" s="55" t="s">
        <v>141</v>
      </c>
      <c r="D211" s="56" t="s">
        <v>60</v>
      </c>
      <c r="E211" s="57">
        <v>1</v>
      </c>
      <c r="F211" s="58">
        <v>3.52</v>
      </c>
      <c r="G211" s="58">
        <f t="shared" ref="G211:G219" si="6">F211*E211</f>
        <v>3.52</v>
      </c>
      <c r="H211" s="59"/>
    </row>
    <row r="212" spans="1:8" ht="24.95" customHeight="1">
      <c r="A212" s="2038"/>
      <c r="B212" s="61" t="s">
        <v>115</v>
      </c>
      <c r="C212" s="61" t="s">
        <v>142</v>
      </c>
      <c r="D212" s="62" t="s">
        <v>60</v>
      </c>
      <c r="E212" s="63">
        <v>1</v>
      </c>
      <c r="F212" s="64">
        <v>0.38</v>
      </c>
      <c r="G212" s="64">
        <f t="shared" si="6"/>
        <v>0.38</v>
      </c>
      <c r="H212" s="65"/>
    </row>
    <row r="213" spans="1:8" ht="24.95" customHeight="1">
      <c r="A213" s="2038"/>
      <c r="B213" s="61" t="s">
        <v>117</v>
      </c>
      <c r="C213" s="61" t="s">
        <v>118</v>
      </c>
      <c r="D213" s="62" t="s">
        <v>60</v>
      </c>
      <c r="E213" s="63">
        <v>2</v>
      </c>
      <c r="F213" s="64">
        <v>1.72</v>
      </c>
      <c r="G213" s="64">
        <f t="shared" si="6"/>
        <v>3.44</v>
      </c>
      <c r="H213" s="65"/>
    </row>
    <row r="214" spans="1:8" ht="24.95" customHeight="1">
      <c r="A214" s="2038"/>
      <c r="B214" s="61" t="s">
        <v>119</v>
      </c>
      <c r="C214" s="61" t="s">
        <v>120</v>
      </c>
      <c r="D214" s="62" t="s">
        <v>60</v>
      </c>
      <c r="E214" s="63">
        <v>1</v>
      </c>
      <c r="F214" s="64">
        <v>0.88</v>
      </c>
      <c r="G214" s="64">
        <f t="shared" si="6"/>
        <v>0.88</v>
      </c>
      <c r="H214" s="65"/>
    </row>
    <row r="215" spans="1:8" ht="24.95" customHeight="1">
      <c r="A215" s="2038"/>
      <c r="B215" s="61" t="s">
        <v>121</v>
      </c>
      <c r="C215" s="61" t="s">
        <v>122</v>
      </c>
      <c r="D215" s="62" t="s">
        <v>60</v>
      </c>
      <c r="E215" s="63">
        <v>1</v>
      </c>
      <c r="F215" s="64">
        <v>1.01</v>
      </c>
      <c r="G215" s="64">
        <f t="shared" si="6"/>
        <v>1.01</v>
      </c>
      <c r="H215" s="65"/>
    </row>
    <row r="216" spans="1:8" ht="24.95" customHeight="1">
      <c r="A216" s="2038"/>
      <c r="B216" s="61" t="s">
        <v>113</v>
      </c>
      <c r="C216" s="61" t="s">
        <v>123</v>
      </c>
      <c r="D216" s="62" t="s">
        <v>60</v>
      </c>
      <c r="E216" s="63">
        <v>1</v>
      </c>
      <c r="F216" s="64">
        <v>7.01</v>
      </c>
      <c r="G216" s="64">
        <f t="shared" si="6"/>
        <v>7.01</v>
      </c>
      <c r="H216" s="65"/>
    </row>
    <row r="217" spans="1:8" ht="24.95" customHeight="1">
      <c r="A217" s="2038"/>
      <c r="B217" s="61" t="s">
        <v>124</v>
      </c>
      <c r="C217" s="61" t="s">
        <v>125</v>
      </c>
      <c r="D217" s="62" t="s">
        <v>60</v>
      </c>
      <c r="E217" s="66">
        <v>1</v>
      </c>
      <c r="F217" s="64">
        <v>1.58</v>
      </c>
      <c r="G217" s="64">
        <f t="shared" si="6"/>
        <v>1.58</v>
      </c>
      <c r="H217" s="65"/>
    </row>
    <row r="218" spans="1:8" ht="24.95" customHeight="1">
      <c r="A218" s="2038"/>
      <c r="B218" s="61" t="s">
        <v>78</v>
      </c>
      <c r="C218" s="61" t="s">
        <v>126</v>
      </c>
      <c r="D218" s="62" t="s">
        <v>60</v>
      </c>
      <c r="E218" s="63">
        <v>1</v>
      </c>
      <c r="F218" s="64">
        <v>7.0000000000000007E-2</v>
      </c>
      <c r="G218" s="64">
        <f t="shared" si="6"/>
        <v>7.0000000000000007E-2</v>
      </c>
      <c r="H218" s="67"/>
    </row>
    <row r="219" spans="1:8" ht="24.95" customHeight="1">
      <c r="A219" s="2038"/>
      <c r="B219" s="61" t="s">
        <v>127</v>
      </c>
      <c r="C219" s="61" t="s">
        <v>128</v>
      </c>
      <c r="D219" s="62" t="s">
        <v>60</v>
      </c>
      <c r="E219" s="66">
        <v>5</v>
      </c>
      <c r="F219" s="64">
        <v>0.2</v>
      </c>
      <c r="G219" s="64">
        <f t="shared" si="6"/>
        <v>1</v>
      </c>
      <c r="H219" s="67"/>
    </row>
    <row r="220" spans="1:8" ht="24.95" customHeight="1">
      <c r="A220" s="2039"/>
      <c r="B220" s="61"/>
      <c r="C220" s="61"/>
      <c r="D220" s="61"/>
      <c r="E220" s="61"/>
      <c r="F220" s="61"/>
      <c r="G220" s="61"/>
      <c r="H220" s="67"/>
    </row>
    <row r="221" spans="1:8" ht="24.95" customHeight="1">
      <c r="A221" s="2025" t="s">
        <v>73</v>
      </c>
      <c r="B221" s="2026"/>
      <c r="C221" s="68"/>
      <c r="D221" s="69" t="s">
        <v>74</v>
      </c>
      <c r="E221" s="70">
        <v>1</v>
      </c>
      <c r="F221" s="68"/>
      <c r="G221" s="71">
        <f>SUM(G211:G219)</f>
        <v>18.89</v>
      </c>
      <c r="H221" s="72"/>
    </row>
    <row r="222" spans="1:8" ht="24.95" customHeight="1">
      <c r="A222" s="2040"/>
      <c r="B222" s="61" t="s">
        <v>129</v>
      </c>
      <c r="C222" s="61" t="s">
        <v>130</v>
      </c>
      <c r="D222" s="62" t="s">
        <v>60</v>
      </c>
      <c r="E222" s="66">
        <v>5</v>
      </c>
      <c r="F222" s="74">
        <v>0.35</v>
      </c>
      <c r="G222" s="80">
        <f>F222*E222</f>
        <v>1.75</v>
      </c>
      <c r="H222" s="67"/>
    </row>
    <row r="223" spans="1:8" ht="24.95" customHeight="1">
      <c r="A223" s="2038"/>
      <c r="B223" s="61" t="s">
        <v>86</v>
      </c>
      <c r="C223" s="61" t="s">
        <v>131</v>
      </c>
      <c r="D223" s="62" t="s">
        <v>60</v>
      </c>
      <c r="E223" s="81">
        <v>0.1</v>
      </c>
      <c r="F223" s="74">
        <v>0.86</v>
      </c>
      <c r="G223" s="74">
        <f>F223*E223</f>
        <v>8.6000000000000007E-2</v>
      </c>
      <c r="H223" s="67"/>
    </row>
    <row r="224" spans="1:8" ht="24.95" customHeight="1">
      <c r="A224" s="2038"/>
      <c r="B224" s="61" t="s">
        <v>132</v>
      </c>
      <c r="C224" s="61"/>
      <c r="D224" s="62" t="s">
        <v>60</v>
      </c>
      <c r="E224" s="81">
        <v>0.2</v>
      </c>
      <c r="F224" s="61"/>
      <c r="G224" s="61"/>
      <c r="H224" s="67"/>
    </row>
    <row r="225" spans="1:8" ht="24.95" customHeight="1">
      <c r="A225" s="2038"/>
      <c r="B225" s="61" t="s">
        <v>90</v>
      </c>
      <c r="C225" s="61" t="s">
        <v>91</v>
      </c>
      <c r="D225" s="62" t="s">
        <v>92</v>
      </c>
      <c r="E225" s="75">
        <v>0.27</v>
      </c>
      <c r="F225" s="61"/>
      <c r="G225" s="61"/>
      <c r="H225" s="67"/>
    </row>
    <row r="226" spans="1:8" ht="24.95" customHeight="1">
      <c r="A226" s="2038"/>
      <c r="B226" s="61" t="s">
        <v>93</v>
      </c>
      <c r="C226" s="61"/>
      <c r="D226" s="62" t="s">
        <v>60</v>
      </c>
      <c r="E226" s="75">
        <v>0.30199999999999999</v>
      </c>
      <c r="F226" s="61"/>
      <c r="G226" s="61"/>
      <c r="H226" s="67"/>
    </row>
    <row r="227" spans="1:8" ht="24.95" customHeight="1">
      <c r="A227" s="2038"/>
      <c r="B227" s="61" t="s">
        <v>94</v>
      </c>
      <c r="C227" s="61" t="s">
        <v>95</v>
      </c>
      <c r="D227" s="62" t="s">
        <v>60</v>
      </c>
      <c r="E227" s="75">
        <v>0.112</v>
      </c>
      <c r="F227" s="61"/>
      <c r="G227" s="61"/>
      <c r="H227" s="67"/>
    </row>
    <row r="228" spans="1:8" ht="24.95" customHeight="1">
      <c r="A228" s="2038"/>
      <c r="B228" s="61"/>
      <c r="C228" s="61"/>
      <c r="D228" s="62"/>
      <c r="E228" s="75"/>
      <c r="F228" s="61"/>
      <c r="G228" s="61"/>
      <c r="H228" s="67"/>
    </row>
    <row r="229" spans="1:8" ht="24.95" customHeight="1">
      <c r="A229" s="2038"/>
      <c r="B229" s="61"/>
      <c r="C229" s="61"/>
      <c r="D229" s="62"/>
      <c r="E229" s="75"/>
      <c r="F229" s="61"/>
      <c r="G229" s="61"/>
      <c r="H229" s="67"/>
    </row>
    <row r="230" spans="1:8" ht="24.95" customHeight="1">
      <c r="A230" s="2038"/>
      <c r="B230" s="61"/>
      <c r="C230" s="61"/>
      <c r="D230" s="62"/>
      <c r="E230" s="75"/>
      <c r="F230" s="61"/>
      <c r="G230" s="61"/>
      <c r="H230" s="67"/>
    </row>
    <row r="231" spans="1:8" ht="24.95" customHeight="1">
      <c r="A231" s="2025" t="s">
        <v>73</v>
      </c>
      <c r="B231" s="2026"/>
      <c r="C231" s="68"/>
      <c r="D231" s="69" t="s">
        <v>74</v>
      </c>
      <c r="E231" s="70">
        <v>1</v>
      </c>
      <c r="F231" s="68"/>
      <c r="G231" s="71">
        <f>SUM(G222:G229)</f>
        <v>1.8360000000000001</v>
      </c>
      <c r="H231" s="72"/>
    </row>
    <row r="232" spans="1:8" ht="24.95" customHeight="1">
      <c r="A232" s="82"/>
      <c r="B232" s="61"/>
      <c r="C232" s="61"/>
      <c r="D232" s="61"/>
      <c r="E232" s="61"/>
      <c r="F232" s="61"/>
      <c r="G232" s="61"/>
      <c r="H232" s="67"/>
    </row>
    <row r="233" spans="1:8" ht="24.95" customHeight="1">
      <c r="A233" s="83"/>
      <c r="B233" s="61"/>
      <c r="C233" s="61"/>
      <c r="D233" s="61"/>
      <c r="E233" s="61"/>
      <c r="F233" s="61"/>
      <c r="G233" s="61"/>
      <c r="H233" s="67"/>
    </row>
    <row r="234" spans="1:8" ht="24.95" customHeight="1">
      <c r="A234" s="2020" t="s">
        <v>96</v>
      </c>
      <c r="B234" s="2021"/>
      <c r="C234" s="76"/>
      <c r="D234" s="76"/>
      <c r="E234" s="76"/>
      <c r="F234" s="76"/>
      <c r="G234" s="77">
        <f>G221+G231</f>
        <v>20.725999999999999</v>
      </c>
      <c r="H234" s="78"/>
    </row>
    <row r="235" spans="1:8" ht="24.95" customHeight="1">
      <c r="A235" s="2022" t="s">
        <v>97</v>
      </c>
      <c r="B235" s="2023"/>
      <c r="C235" s="2023"/>
      <c r="D235" s="2023"/>
      <c r="E235" s="2023"/>
      <c r="F235" s="2023"/>
      <c r="G235" s="2023"/>
      <c r="H235" s="2030"/>
    </row>
    <row r="236" spans="1:8" ht="24.95" customHeight="1">
      <c r="A236" s="2031"/>
      <c r="B236" s="2032"/>
      <c r="C236" s="2032"/>
      <c r="D236" s="2032"/>
      <c r="E236" s="2032"/>
      <c r="F236" s="2032"/>
      <c r="G236" s="2032"/>
      <c r="H236" s="2033"/>
    </row>
    <row r="237" spans="1:8" ht="24.95" customHeight="1">
      <c r="A237" s="2031"/>
      <c r="B237" s="2032"/>
      <c r="C237" s="2032"/>
      <c r="D237" s="2032"/>
      <c r="E237" s="2032"/>
      <c r="F237" s="2032"/>
      <c r="G237" s="2032"/>
      <c r="H237" s="2033"/>
    </row>
    <row r="238" spans="1:8" ht="24.95" customHeight="1">
      <c r="A238" s="2031"/>
      <c r="B238" s="2032"/>
      <c r="C238" s="2032"/>
      <c r="D238" s="2032"/>
      <c r="E238" s="2032"/>
      <c r="F238" s="2032"/>
      <c r="G238" s="2032"/>
      <c r="H238" s="2033"/>
    </row>
    <row r="239" spans="1:8" ht="24.95" customHeight="1">
      <c r="A239" s="2034"/>
      <c r="B239" s="2035"/>
      <c r="C239" s="2035"/>
      <c r="D239" s="2035"/>
      <c r="E239" s="2035"/>
      <c r="F239" s="2035"/>
      <c r="G239" s="2035"/>
      <c r="H239" s="2036"/>
    </row>
    <row r="240" spans="1:8" ht="24.95" customHeight="1"/>
    <row r="241" spans="1:8" ht="24.95" customHeight="1"/>
    <row r="242" spans="1:8" ht="24.95" customHeight="1">
      <c r="A242" s="53" t="s">
        <v>47</v>
      </c>
      <c r="B242" s="53" t="s">
        <v>143</v>
      </c>
      <c r="C242" s="53"/>
      <c r="D242" s="53"/>
      <c r="E242" s="53"/>
      <c r="F242" s="53"/>
      <c r="G242" s="53"/>
      <c r="H242" s="53"/>
    </row>
    <row r="243" spans="1:8" ht="24.95" customHeight="1">
      <c r="A243" s="53"/>
      <c r="B243" s="53"/>
      <c r="C243" s="53"/>
      <c r="D243" s="53"/>
      <c r="E243" s="53"/>
      <c r="F243" s="53"/>
      <c r="G243" s="53"/>
      <c r="H243" s="53"/>
    </row>
    <row r="244" spans="1:8" ht="24.95" customHeight="1">
      <c r="A244" s="2028" t="s">
        <v>50</v>
      </c>
      <c r="B244" s="2028"/>
      <c r="C244" s="54" t="s">
        <v>51</v>
      </c>
      <c r="D244" s="54" t="s">
        <v>52</v>
      </c>
      <c r="E244" s="54" t="s">
        <v>53</v>
      </c>
      <c r="F244" s="54" t="s">
        <v>54</v>
      </c>
      <c r="G244" s="54" t="s">
        <v>56</v>
      </c>
      <c r="H244" s="54" t="s">
        <v>57</v>
      </c>
    </row>
    <row r="245" spans="1:8" ht="24.95" customHeight="1">
      <c r="A245" s="2037" t="s">
        <v>113</v>
      </c>
      <c r="B245" s="55" t="s">
        <v>58</v>
      </c>
      <c r="C245" s="55" t="s">
        <v>141</v>
      </c>
      <c r="D245" s="56" t="s">
        <v>60</v>
      </c>
      <c r="E245" s="57">
        <v>1</v>
      </c>
      <c r="F245" s="58">
        <v>3.52</v>
      </c>
      <c r="G245" s="58">
        <f t="shared" ref="G245:G253" si="7">F245*E245</f>
        <v>3.52</v>
      </c>
      <c r="H245" s="59"/>
    </row>
    <row r="246" spans="1:8" ht="24.95" customHeight="1">
      <c r="A246" s="2038"/>
      <c r="B246" s="61" t="s">
        <v>115</v>
      </c>
      <c r="C246" s="61" t="s">
        <v>142</v>
      </c>
      <c r="D246" s="62" t="s">
        <v>60</v>
      </c>
      <c r="E246" s="63">
        <v>1</v>
      </c>
      <c r="F246" s="64">
        <v>0.38</v>
      </c>
      <c r="G246" s="64">
        <f t="shared" si="7"/>
        <v>0.38</v>
      </c>
      <c r="H246" s="65"/>
    </row>
    <row r="247" spans="1:8" ht="24.95" customHeight="1">
      <c r="A247" s="2038"/>
      <c r="B247" s="61" t="s">
        <v>117</v>
      </c>
      <c r="C247" s="61" t="s">
        <v>118</v>
      </c>
      <c r="D247" s="62" t="s">
        <v>60</v>
      </c>
      <c r="E247" s="63">
        <v>4</v>
      </c>
      <c r="F247" s="64">
        <v>1.72</v>
      </c>
      <c r="G247" s="64">
        <f t="shared" si="7"/>
        <v>6.88</v>
      </c>
      <c r="H247" s="65"/>
    </row>
    <row r="248" spans="1:8" ht="24.95" customHeight="1">
      <c r="A248" s="2038"/>
      <c r="B248" s="61" t="s">
        <v>119</v>
      </c>
      <c r="C248" s="61" t="s">
        <v>120</v>
      </c>
      <c r="D248" s="62" t="s">
        <v>60</v>
      </c>
      <c r="E248" s="63">
        <v>2</v>
      </c>
      <c r="F248" s="64">
        <v>0.88</v>
      </c>
      <c r="G248" s="64">
        <f t="shared" si="7"/>
        <v>1.76</v>
      </c>
      <c r="H248" s="65"/>
    </row>
    <row r="249" spans="1:8" ht="24.95" customHeight="1">
      <c r="A249" s="2038"/>
      <c r="B249" s="61" t="s">
        <v>121</v>
      </c>
      <c r="C249" s="61" t="s">
        <v>122</v>
      </c>
      <c r="D249" s="62" t="s">
        <v>60</v>
      </c>
      <c r="E249" s="63">
        <v>2</v>
      </c>
      <c r="F249" s="64">
        <v>1.01</v>
      </c>
      <c r="G249" s="64">
        <f t="shared" si="7"/>
        <v>2.02</v>
      </c>
      <c r="H249" s="65"/>
    </row>
    <row r="250" spans="1:8" ht="24.95" customHeight="1">
      <c r="A250" s="2038"/>
      <c r="B250" s="61" t="s">
        <v>113</v>
      </c>
      <c r="C250" s="61" t="s">
        <v>123</v>
      </c>
      <c r="D250" s="62" t="s">
        <v>60</v>
      </c>
      <c r="E250" s="63">
        <v>2</v>
      </c>
      <c r="F250" s="64">
        <v>7.01</v>
      </c>
      <c r="G250" s="64">
        <f t="shared" si="7"/>
        <v>14.02</v>
      </c>
      <c r="H250" s="65"/>
    </row>
    <row r="251" spans="1:8" ht="24.95" customHeight="1">
      <c r="A251" s="2038"/>
      <c r="B251" s="61" t="s">
        <v>124</v>
      </c>
      <c r="C251" s="61" t="s">
        <v>125</v>
      </c>
      <c r="D251" s="62" t="s">
        <v>60</v>
      </c>
      <c r="E251" s="66">
        <v>2</v>
      </c>
      <c r="F251" s="64">
        <v>1.58</v>
      </c>
      <c r="G251" s="64">
        <f t="shared" si="7"/>
        <v>3.16</v>
      </c>
      <c r="H251" s="65"/>
    </row>
    <row r="252" spans="1:8" ht="24.95" customHeight="1">
      <c r="A252" s="2038"/>
      <c r="B252" s="61" t="s">
        <v>78</v>
      </c>
      <c r="C252" s="61" t="s">
        <v>126</v>
      </c>
      <c r="D252" s="62" t="s">
        <v>60</v>
      </c>
      <c r="E252" s="63">
        <v>2</v>
      </c>
      <c r="F252" s="64">
        <v>7.0000000000000007E-2</v>
      </c>
      <c r="G252" s="64">
        <f t="shared" si="7"/>
        <v>0.14000000000000001</v>
      </c>
      <c r="H252" s="67"/>
    </row>
    <row r="253" spans="1:8" ht="24.95" customHeight="1">
      <c r="A253" s="2038"/>
      <c r="B253" s="61" t="s">
        <v>127</v>
      </c>
      <c r="C253" s="61" t="s">
        <v>128</v>
      </c>
      <c r="D253" s="62" t="s">
        <v>60</v>
      </c>
      <c r="E253" s="66">
        <v>4</v>
      </c>
      <c r="F253" s="64">
        <v>0.2</v>
      </c>
      <c r="G253" s="64">
        <f t="shared" si="7"/>
        <v>0.8</v>
      </c>
      <c r="H253" s="67"/>
    </row>
    <row r="254" spans="1:8" ht="24.95" customHeight="1">
      <c r="A254" s="2039"/>
      <c r="B254" s="61"/>
      <c r="C254" s="61"/>
      <c r="D254" s="61"/>
      <c r="E254" s="61"/>
      <c r="F254" s="61"/>
      <c r="G254" s="61"/>
      <c r="H254" s="67"/>
    </row>
    <row r="255" spans="1:8" ht="24.95" customHeight="1">
      <c r="A255" s="2025" t="s">
        <v>73</v>
      </c>
      <c r="B255" s="2026"/>
      <c r="C255" s="68"/>
      <c r="D255" s="69" t="s">
        <v>74</v>
      </c>
      <c r="E255" s="70">
        <v>1</v>
      </c>
      <c r="F255" s="68"/>
      <c r="G255" s="71">
        <f>SUM(G245:G253)</f>
        <v>32.68</v>
      </c>
      <c r="H255" s="72"/>
    </row>
    <row r="256" spans="1:8" ht="24.95" customHeight="1">
      <c r="A256" s="2040"/>
      <c r="B256" s="61" t="s">
        <v>129</v>
      </c>
      <c r="C256" s="61" t="s">
        <v>130</v>
      </c>
      <c r="D256" s="62" t="s">
        <v>60</v>
      </c>
      <c r="E256" s="66">
        <v>5</v>
      </c>
      <c r="F256" s="74">
        <v>0.35</v>
      </c>
      <c r="G256" s="80">
        <f>F256*E256</f>
        <v>1.75</v>
      </c>
      <c r="H256" s="67"/>
    </row>
    <row r="257" spans="1:8" ht="24.95" customHeight="1">
      <c r="A257" s="2038"/>
      <c r="B257" s="61" t="s">
        <v>86</v>
      </c>
      <c r="C257" s="61" t="s">
        <v>131</v>
      </c>
      <c r="D257" s="62" t="s">
        <v>60</v>
      </c>
      <c r="E257" s="81">
        <v>0.1</v>
      </c>
      <c r="F257" s="74">
        <v>0.86</v>
      </c>
      <c r="G257" s="74">
        <f>F257*E257</f>
        <v>8.6000000000000007E-2</v>
      </c>
      <c r="H257" s="67"/>
    </row>
    <row r="258" spans="1:8" ht="24.95" customHeight="1">
      <c r="A258" s="2038"/>
      <c r="B258" s="61" t="s">
        <v>132</v>
      </c>
      <c r="C258" s="61"/>
      <c r="D258" s="62" t="s">
        <v>60</v>
      </c>
      <c r="E258" s="81">
        <v>0.2</v>
      </c>
      <c r="F258" s="61"/>
      <c r="G258" s="61"/>
      <c r="H258" s="67"/>
    </row>
    <row r="259" spans="1:8" ht="24.95" customHeight="1">
      <c r="A259" s="2038"/>
      <c r="B259" s="61" t="s">
        <v>90</v>
      </c>
      <c r="C259" s="61" t="s">
        <v>91</v>
      </c>
      <c r="D259" s="62" t="s">
        <v>92</v>
      </c>
      <c r="E259" s="75">
        <v>0.27</v>
      </c>
      <c r="F259" s="61"/>
      <c r="G259" s="61"/>
      <c r="H259" s="67"/>
    </row>
    <row r="260" spans="1:8" ht="24.95" customHeight="1">
      <c r="A260" s="2038"/>
      <c r="B260" s="61" t="s">
        <v>93</v>
      </c>
      <c r="C260" s="61"/>
      <c r="D260" s="62" t="s">
        <v>60</v>
      </c>
      <c r="E260" s="75">
        <v>0.30199999999999999</v>
      </c>
      <c r="F260" s="61"/>
      <c r="G260" s="61"/>
      <c r="H260" s="67"/>
    </row>
    <row r="261" spans="1:8" ht="24.95" customHeight="1">
      <c r="A261" s="2038"/>
      <c r="B261" s="61" t="s">
        <v>94</v>
      </c>
      <c r="C261" s="61" t="s">
        <v>95</v>
      </c>
      <c r="D261" s="62" t="s">
        <v>60</v>
      </c>
      <c r="E261" s="75">
        <v>0.112</v>
      </c>
      <c r="F261" s="61"/>
      <c r="G261" s="61"/>
      <c r="H261" s="67"/>
    </row>
    <row r="262" spans="1:8" ht="24.95" customHeight="1">
      <c r="A262" s="2038"/>
      <c r="B262" s="61"/>
      <c r="C262" s="61"/>
      <c r="D262" s="62"/>
      <c r="E262" s="75"/>
      <c r="F262" s="61"/>
      <c r="G262" s="61"/>
      <c r="H262" s="67"/>
    </row>
    <row r="263" spans="1:8" ht="24.95" customHeight="1">
      <c r="A263" s="2038"/>
      <c r="B263" s="61"/>
      <c r="C263" s="61"/>
      <c r="D263" s="62"/>
      <c r="E263" s="75"/>
      <c r="F263" s="61"/>
      <c r="G263" s="61"/>
      <c r="H263" s="67"/>
    </row>
    <row r="264" spans="1:8" ht="24.95" customHeight="1">
      <c r="A264" s="2038"/>
      <c r="B264" s="61"/>
      <c r="C264" s="61"/>
      <c r="D264" s="62"/>
      <c r="E264" s="75"/>
      <c r="F264" s="61"/>
      <c r="G264" s="61"/>
      <c r="H264" s="67"/>
    </row>
    <row r="265" spans="1:8" ht="24.95" customHeight="1">
      <c r="A265" s="2025" t="s">
        <v>73</v>
      </c>
      <c r="B265" s="2026"/>
      <c r="C265" s="68"/>
      <c r="D265" s="69" t="s">
        <v>74</v>
      </c>
      <c r="E265" s="70">
        <v>1</v>
      </c>
      <c r="F265" s="68"/>
      <c r="G265" s="71">
        <f>SUM(G256:G263)</f>
        <v>1.8360000000000001</v>
      </c>
      <c r="H265" s="72"/>
    </row>
    <row r="266" spans="1:8" ht="24.95" customHeight="1">
      <c r="A266" s="82"/>
      <c r="B266" s="61"/>
      <c r="C266" s="61"/>
      <c r="D266" s="61"/>
      <c r="E266" s="61"/>
      <c r="F266" s="61"/>
      <c r="G266" s="61"/>
      <c r="H266" s="67"/>
    </row>
    <row r="267" spans="1:8" ht="24.95" customHeight="1">
      <c r="A267" s="83"/>
      <c r="B267" s="61"/>
      <c r="C267" s="61"/>
      <c r="D267" s="61"/>
      <c r="E267" s="61"/>
      <c r="F267" s="61"/>
      <c r="G267" s="61"/>
      <c r="H267" s="67"/>
    </row>
    <row r="268" spans="1:8" ht="24.95" customHeight="1">
      <c r="A268" s="2020" t="s">
        <v>96</v>
      </c>
      <c r="B268" s="2021"/>
      <c r="C268" s="76"/>
      <c r="D268" s="76"/>
      <c r="E268" s="76"/>
      <c r="F268" s="76"/>
      <c r="G268" s="77">
        <f>G255+G265</f>
        <v>34.515999999999998</v>
      </c>
      <c r="H268" s="78"/>
    </row>
    <row r="269" spans="1:8" ht="24.95" customHeight="1">
      <c r="A269" s="2022" t="s">
        <v>97</v>
      </c>
      <c r="B269" s="2023"/>
      <c r="C269" s="2023"/>
      <c r="D269" s="2023"/>
      <c r="E269" s="2023"/>
      <c r="F269" s="2023"/>
      <c r="G269" s="2023"/>
      <c r="H269" s="2030"/>
    </row>
    <row r="270" spans="1:8" ht="24.95" customHeight="1">
      <c r="A270" s="2031"/>
      <c r="B270" s="2032"/>
      <c r="C270" s="2032"/>
      <c r="D270" s="2032"/>
      <c r="E270" s="2032"/>
      <c r="F270" s="2032"/>
      <c r="G270" s="2032"/>
      <c r="H270" s="2033"/>
    </row>
    <row r="271" spans="1:8" ht="24.95" customHeight="1">
      <c r="A271" s="2031"/>
      <c r="B271" s="2032"/>
      <c r="C271" s="2032"/>
      <c r="D271" s="2032"/>
      <c r="E271" s="2032"/>
      <c r="F271" s="2032"/>
      <c r="G271" s="2032"/>
      <c r="H271" s="2033"/>
    </row>
    <row r="272" spans="1:8" ht="24.95" customHeight="1">
      <c r="A272" s="2031"/>
      <c r="B272" s="2032"/>
      <c r="C272" s="2032"/>
      <c r="D272" s="2032"/>
      <c r="E272" s="2032"/>
      <c r="F272" s="2032"/>
      <c r="G272" s="2032"/>
      <c r="H272" s="2033"/>
    </row>
    <row r="273" spans="1:8" ht="24.95" customHeight="1">
      <c r="A273" s="2034"/>
      <c r="B273" s="2035"/>
      <c r="C273" s="2035"/>
      <c r="D273" s="2035"/>
      <c r="E273" s="2035"/>
      <c r="F273" s="2035"/>
      <c r="G273" s="2035"/>
      <c r="H273" s="2036"/>
    </row>
    <row r="274" spans="1:8" ht="24.95" customHeight="1"/>
    <row r="275" spans="1:8" ht="24.95" customHeight="1"/>
    <row r="276" spans="1:8" ht="24.95" customHeight="1">
      <c r="A276" s="53" t="s">
        <v>47</v>
      </c>
      <c r="B276" s="53" t="s">
        <v>144</v>
      </c>
      <c r="C276" s="53"/>
      <c r="D276" s="53"/>
      <c r="E276" s="53"/>
      <c r="F276" s="53"/>
      <c r="G276" s="53"/>
      <c r="H276" s="53"/>
    </row>
    <row r="277" spans="1:8" ht="24.95" customHeight="1">
      <c r="A277" s="53"/>
      <c r="B277" s="53"/>
      <c r="C277" s="53"/>
      <c r="D277" s="53"/>
      <c r="E277" s="53"/>
      <c r="F277" s="53"/>
      <c r="G277" s="53"/>
      <c r="H277" s="53"/>
    </row>
    <row r="278" spans="1:8" ht="24.95" customHeight="1">
      <c r="A278" s="2028" t="s">
        <v>50</v>
      </c>
      <c r="B278" s="2028"/>
      <c r="C278" s="54" t="s">
        <v>51</v>
      </c>
      <c r="D278" s="54" t="s">
        <v>52</v>
      </c>
      <c r="E278" s="54" t="s">
        <v>53</v>
      </c>
      <c r="F278" s="54" t="s">
        <v>54</v>
      </c>
      <c r="G278" s="54" t="s">
        <v>56</v>
      </c>
      <c r="H278" s="54" t="s">
        <v>57</v>
      </c>
    </row>
    <row r="279" spans="1:8" ht="24.95" customHeight="1">
      <c r="A279" s="2037" t="s">
        <v>113</v>
      </c>
      <c r="B279" s="55" t="s">
        <v>58</v>
      </c>
      <c r="C279" s="55" t="s">
        <v>141</v>
      </c>
      <c r="D279" s="56" t="s">
        <v>60</v>
      </c>
      <c r="E279" s="57">
        <v>1</v>
      </c>
      <c r="F279" s="58">
        <v>3.52</v>
      </c>
      <c r="G279" s="58">
        <f t="shared" ref="G279:G287" si="8">F279*E279</f>
        <v>3.52</v>
      </c>
      <c r="H279" s="59"/>
    </row>
    <row r="280" spans="1:8" ht="24.95" customHeight="1">
      <c r="A280" s="2038"/>
      <c r="B280" s="61" t="s">
        <v>115</v>
      </c>
      <c r="C280" s="61" t="s">
        <v>142</v>
      </c>
      <c r="D280" s="62" t="s">
        <v>60</v>
      </c>
      <c r="E280" s="63">
        <v>1</v>
      </c>
      <c r="F280" s="64">
        <v>0.38</v>
      </c>
      <c r="G280" s="64">
        <f t="shared" si="8"/>
        <v>0.38</v>
      </c>
      <c r="H280" s="65"/>
    </row>
    <row r="281" spans="1:8" ht="24.95" customHeight="1">
      <c r="A281" s="2038"/>
      <c r="B281" s="61" t="s">
        <v>117</v>
      </c>
      <c r="C281" s="61" t="s">
        <v>118</v>
      </c>
      <c r="D281" s="62" t="s">
        <v>60</v>
      </c>
      <c r="E281" s="63">
        <v>2</v>
      </c>
      <c r="F281" s="64">
        <v>1.72</v>
      </c>
      <c r="G281" s="64">
        <f t="shared" si="8"/>
        <v>3.44</v>
      </c>
      <c r="H281" s="65"/>
    </row>
    <row r="282" spans="1:8" ht="24.95" customHeight="1">
      <c r="A282" s="2038"/>
      <c r="B282" s="61" t="s">
        <v>119</v>
      </c>
      <c r="C282" s="61" t="s">
        <v>120</v>
      </c>
      <c r="D282" s="62" t="s">
        <v>60</v>
      </c>
      <c r="E282" s="63">
        <v>1</v>
      </c>
      <c r="F282" s="64">
        <v>0.88</v>
      </c>
      <c r="G282" s="64">
        <f t="shared" si="8"/>
        <v>0.88</v>
      </c>
      <c r="H282" s="65"/>
    </row>
    <row r="283" spans="1:8" ht="24.95" customHeight="1">
      <c r="A283" s="2038"/>
      <c r="B283" s="61" t="s">
        <v>121</v>
      </c>
      <c r="C283" s="61" t="s">
        <v>122</v>
      </c>
      <c r="D283" s="62" t="s">
        <v>60</v>
      </c>
      <c r="E283" s="63">
        <v>1</v>
      </c>
      <c r="F283" s="64">
        <v>1.01</v>
      </c>
      <c r="G283" s="64">
        <f t="shared" si="8"/>
        <v>1.01</v>
      </c>
      <c r="H283" s="65"/>
    </row>
    <row r="284" spans="1:8" ht="24.95" customHeight="1">
      <c r="A284" s="2038"/>
      <c r="B284" s="61" t="s">
        <v>113</v>
      </c>
      <c r="C284" s="61" t="s">
        <v>138</v>
      </c>
      <c r="D284" s="62" t="s">
        <v>60</v>
      </c>
      <c r="E284" s="63">
        <v>1</v>
      </c>
      <c r="F284" s="64">
        <v>10.52</v>
      </c>
      <c r="G284" s="64">
        <f t="shared" si="8"/>
        <v>10.52</v>
      </c>
      <c r="H284" s="65"/>
    </row>
    <row r="285" spans="1:8" ht="24.95" customHeight="1">
      <c r="A285" s="2038"/>
      <c r="B285" s="61" t="s">
        <v>124</v>
      </c>
      <c r="C285" s="61" t="s">
        <v>125</v>
      </c>
      <c r="D285" s="62" t="s">
        <v>60</v>
      </c>
      <c r="E285" s="66">
        <v>1</v>
      </c>
      <c r="F285" s="64">
        <v>1.58</v>
      </c>
      <c r="G285" s="64">
        <f t="shared" si="8"/>
        <v>1.58</v>
      </c>
      <c r="H285" s="65"/>
    </row>
    <row r="286" spans="1:8" ht="24.95" customHeight="1">
      <c r="A286" s="2038"/>
      <c r="B286" s="61" t="s">
        <v>78</v>
      </c>
      <c r="C286" s="61" t="s">
        <v>126</v>
      </c>
      <c r="D286" s="62" t="s">
        <v>60</v>
      </c>
      <c r="E286" s="63">
        <v>1</v>
      </c>
      <c r="F286" s="64">
        <v>7.0000000000000007E-2</v>
      </c>
      <c r="G286" s="64">
        <f t="shared" si="8"/>
        <v>7.0000000000000007E-2</v>
      </c>
      <c r="H286" s="67"/>
    </row>
    <row r="287" spans="1:8" ht="24.95" customHeight="1">
      <c r="A287" s="2038"/>
      <c r="B287" s="61" t="s">
        <v>127</v>
      </c>
      <c r="C287" s="61" t="s">
        <v>128</v>
      </c>
      <c r="D287" s="62" t="s">
        <v>60</v>
      </c>
      <c r="E287" s="66">
        <v>5</v>
      </c>
      <c r="F287" s="64">
        <v>0.2</v>
      </c>
      <c r="G287" s="64">
        <f t="shared" si="8"/>
        <v>1</v>
      </c>
      <c r="H287" s="67"/>
    </row>
    <row r="288" spans="1:8" ht="24.95" customHeight="1">
      <c r="A288" s="2039"/>
      <c r="B288" s="61"/>
      <c r="C288" s="61"/>
      <c r="D288" s="61"/>
      <c r="E288" s="61"/>
      <c r="F288" s="61"/>
      <c r="G288" s="61"/>
      <c r="H288" s="67"/>
    </row>
    <row r="289" spans="1:8" ht="24.95" customHeight="1">
      <c r="A289" s="2025" t="s">
        <v>73</v>
      </c>
      <c r="B289" s="2026"/>
      <c r="C289" s="68"/>
      <c r="D289" s="69" t="s">
        <v>74</v>
      </c>
      <c r="E289" s="70">
        <v>1</v>
      </c>
      <c r="F289" s="68"/>
      <c r="G289" s="71">
        <f>SUM(G279:G287)</f>
        <v>22.4</v>
      </c>
      <c r="H289" s="72"/>
    </row>
    <row r="290" spans="1:8" ht="24.95" customHeight="1">
      <c r="A290" s="2040"/>
      <c r="B290" s="61" t="s">
        <v>129</v>
      </c>
      <c r="C290" s="61" t="s">
        <v>130</v>
      </c>
      <c r="D290" s="62" t="s">
        <v>60</v>
      </c>
      <c r="E290" s="66">
        <v>5</v>
      </c>
      <c r="F290" s="74">
        <v>0.35</v>
      </c>
      <c r="G290" s="80">
        <f>F290*E290</f>
        <v>1.75</v>
      </c>
      <c r="H290" s="67"/>
    </row>
    <row r="291" spans="1:8" ht="24.95" customHeight="1">
      <c r="A291" s="2038"/>
      <c r="B291" s="61" t="s">
        <v>86</v>
      </c>
      <c r="C291" s="61" t="s">
        <v>131</v>
      </c>
      <c r="D291" s="62" t="s">
        <v>60</v>
      </c>
      <c r="E291" s="81">
        <v>0.1</v>
      </c>
      <c r="F291" s="74">
        <v>0.86</v>
      </c>
      <c r="G291" s="74">
        <f>F291*E291</f>
        <v>8.6000000000000007E-2</v>
      </c>
      <c r="H291" s="67"/>
    </row>
    <row r="292" spans="1:8" ht="24.95" customHeight="1">
      <c r="A292" s="2038"/>
      <c r="B292" s="61" t="s">
        <v>132</v>
      </c>
      <c r="C292" s="61"/>
      <c r="D292" s="62" t="s">
        <v>60</v>
      </c>
      <c r="E292" s="81">
        <v>0.2</v>
      </c>
      <c r="F292" s="61"/>
      <c r="G292" s="61"/>
      <c r="H292" s="67"/>
    </row>
    <row r="293" spans="1:8" ht="24.95" customHeight="1">
      <c r="A293" s="2038"/>
      <c r="B293" s="61" t="s">
        <v>90</v>
      </c>
      <c r="C293" s="61" t="s">
        <v>91</v>
      </c>
      <c r="D293" s="62" t="s">
        <v>92</v>
      </c>
      <c r="E293" s="75">
        <v>0.27</v>
      </c>
      <c r="F293" s="61"/>
      <c r="G293" s="61"/>
      <c r="H293" s="67"/>
    </row>
    <row r="294" spans="1:8" ht="24.95" customHeight="1">
      <c r="A294" s="2038"/>
      <c r="B294" s="61" t="s">
        <v>93</v>
      </c>
      <c r="C294" s="61"/>
      <c r="D294" s="62" t="s">
        <v>60</v>
      </c>
      <c r="E294" s="75">
        <v>0.30199999999999999</v>
      </c>
      <c r="F294" s="61"/>
      <c r="G294" s="61"/>
      <c r="H294" s="67"/>
    </row>
    <row r="295" spans="1:8" ht="24.95" customHeight="1">
      <c r="A295" s="2038"/>
      <c r="B295" s="61" t="s">
        <v>94</v>
      </c>
      <c r="C295" s="61" t="s">
        <v>95</v>
      </c>
      <c r="D295" s="62" t="s">
        <v>60</v>
      </c>
      <c r="E295" s="75">
        <v>0.112</v>
      </c>
      <c r="F295" s="61"/>
      <c r="G295" s="61"/>
      <c r="H295" s="67"/>
    </row>
    <row r="296" spans="1:8" ht="24.95" customHeight="1">
      <c r="A296" s="2038"/>
      <c r="B296" s="61"/>
      <c r="C296" s="61"/>
      <c r="D296" s="62"/>
      <c r="E296" s="75"/>
      <c r="F296" s="61"/>
      <c r="G296" s="61"/>
      <c r="H296" s="67"/>
    </row>
    <row r="297" spans="1:8" ht="24.95" customHeight="1">
      <c r="A297" s="2038"/>
      <c r="B297" s="61"/>
      <c r="C297" s="61"/>
      <c r="D297" s="62"/>
      <c r="E297" s="75"/>
      <c r="F297" s="61"/>
      <c r="G297" s="61"/>
      <c r="H297" s="67"/>
    </row>
    <row r="298" spans="1:8" ht="24.95" customHeight="1">
      <c r="A298" s="2038"/>
      <c r="B298" s="61"/>
      <c r="C298" s="61"/>
      <c r="D298" s="62"/>
      <c r="E298" s="75"/>
      <c r="F298" s="61"/>
      <c r="G298" s="61"/>
      <c r="H298" s="67"/>
    </row>
    <row r="299" spans="1:8" ht="24.95" customHeight="1">
      <c r="A299" s="2025" t="s">
        <v>73</v>
      </c>
      <c r="B299" s="2026"/>
      <c r="C299" s="68"/>
      <c r="D299" s="69" t="s">
        <v>74</v>
      </c>
      <c r="E299" s="70">
        <v>1</v>
      </c>
      <c r="F299" s="68"/>
      <c r="G299" s="71">
        <f>SUM(G290:G297)</f>
        <v>1.8360000000000001</v>
      </c>
      <c r="H299" s="72"/>
    </row>
    <row r="300" spans="1:8" ht="24.95" customHeight="1">
      <c r="A300" s="82"/>
      <c r="B300" s="61"/>
      <c r="C300" s="61"/>
      <c r="D300" s="61"/>
      <c r="E300" s="61"/>
      <c r="F300" s="61"/>
      <c r="G300" s="61"/>
      <c r="H300" s="67"/>
    </row>
    <row r="301" spans="1:8" ht="24.95" customHeight="1">
      <c r="A301" s="83"/>
      <c r="B301" s="61"/>
      <c r="C301" s="61"/>
      <c r="D301" s="61"/>
      <c r="E301" s="61"/>
      <c r="F301" s="61"/>
      <c r="G301" s="61"/>
      <c r="H301" s="67"/>
    </row>
    <row r="302" spans="1:8" ht="24.95" customHeight="1">
      <c r="A302" s="2020" t="s">
        <v>96</v>
      </c>
      <c r="B302" s="2021"/>
      <c r="C302" s="76"/>
      <c r="D302" s="76"/>
      <c r="E302" s="76"/>
      <c r="F302" s="76"/>
      <c r="G302" s="77">
        <f>G289+G299</f>
        <v>24.235999999999997</v>
      </c>
      <c r="H302" s="78"/>
    </row>
    <row r="303" spans="1:8" ht="24.95" customHeight="1">
      <c r="A303" s="2022" t="s">
        <v>97</v>
      </c>
      <c r="B303" s="2023"/>
      <c r="C303" s="2023"/>
      <c r="D303" s="2023"/>
      <c r="E303" s="2023"/>
      <c r="F303" s="2023"/>
      <c r="G303" s="2023"/>
      <c r="H303" s="2030"/>
    </row>
    <row r="304" spans="1:8" ht="24.95" customHeight="1">
      <c r="A304" s="2031"/>
      <c r="B304" s="2032"/>
      <c r="C304" s="2032"/>
      <c r="D304" s="2032"/>
      <c r="E304" s="2032"/>
      <c r="F304" s="2032"/>
      <c r="G304" s="2032"/>
      <c r="H304" s="2033"/>
    </row>
    <row r="305" spans="1:8" ht="24.95" customHeight="1">
      <c r="A305" s="2031"/>
      <c r="B305" s="2032"/>
      <c r="C305" s="2032"/>
      <c r="D305" s="2032"/>
      <c r="E305" s="2032"/>
      <c r="F305" s="2032"/>
      <c r="G305" s="2032"/>
      <c r="H305" s="2033"/>
    </row>
    <row r="306" spans="1:8" ht="24.95" customHeight="1">
      <c r="A306" s="2031"/>
      <c r="B306" s="2032"/>
      <c r="C306" s="2032"/>
      <c r="D306" s="2032"/>
      <c r="E306" s="2032"/>
      <c r="F306" s="2032"/>
      <c r="G306" s="2032"/>
      <c r="H306" s="2033"/>
    </row>
    <row r="307" spans="1:8" ht="24.95" customHeight="1">
      <c r="A307" s="2034"/>
      <c r="B307" s="2035"/>
      <c r="C307" s="2035"/>
      <c r="D307" s="2035"/>
      <c r="E307" s="2035"/>
      <c r="F307" s="2035"/>
      <c r="G307" s="2035"/>
      <c r="H307" s="2036"/>
    </row>
    <row r="308" spans="1:8" ht="24.95" customHeight="1"/>
    <row r="309" spans="1:8" ht="24.95" customHeight="1"/>
    <row r="310" spans="1:8" ht="24.95" customHeight="1">
      <c r="A310" s="53" t="s">
        <v>47</v>
      </c>
      <c r="B310" s="53" t="s">
        <v>145</v>
      </c>
      <c r="C310" s="53"/>
      <c r="D310" s="53"/>
      <c r="E310" s="53"/>
      <c r="F310" s="53"/>
      <c r="G310" s="53"/>
      <c r="H310" s="53"/>
    </row>
    <row r="311" spans="1:8" ht="24.95" customHeight="1">
      <c r="A311" s="53"/>
      <c r="B311" s="53"/>
      <c r="C311" s="53"/>
      <c r="D311" s="53"/>
      <c r="E311" s="53"/>
      <c r="F311" s="53"/>
      <c r="G311" s="53"/>
      <c r="H311" s="53"/>
    </row>
    <row r="312" spans="1:8" ht="24.95" customHeight="1">
      <c r="A312" s="2028" t="s">
        <v>50</v>
      </c>
      <c r="B312" s="2028"/>
      <c r="C312" s="54" t="s">
        <v>51</v>
      </c>
      <c r="D312" s="54" t="s">
        <v>52</v>
      </c>
      <c r="E312" s="54" t="s">
        <v>53</v>
      </c>
      <c r="F312" s="54" t="s">
        <v>54</v>
      </c>
      <c r="G312" s="54" t="s">
        <v>56</v>
      </c>
      <c r="H312" s="54" t="s">
        <v>57</v>
      </c>
    </row>
    <row r="313" spans="1:8" ht="24.95" customHeight="1">
      <c r="A313" s="2037" t="s">
        <v>113</v>
      </c>
      <c r="B313" s="55" t="s">
        <v>58</v>
      </c>
      <c r="C313" s="55" t="s">
        <v>141</v>
      </c>
      <c r="D313" s="56" t="s">
        <v>60</v>
      </c>
      <c r="E313" s="57">
        <v>1</v>
      </c>
      <c r="F313" s="58">
        <v>3.52</v>
      </c>
      <c r="G313" s="58">
        <f t="shared" ref="G313:G321" si="9">F313*E313</f>
        <v>3.52</v>
      </c>
      <c r="H313" s="59"/>
    </row>
    <row r="314" spans="1:8" ht="24.95" customHeight="1">
      <c r="A314" s="2038"/>
      <c r="B314" s="61" t="s">
        <v>115</v>
      </c>
      <c r="C314" s="61" t="s">
        <v>142</v>
      </c>
      <c r="D314" s="62" t="s">
        <v>60</v>
      </c>
      <c r="E314" s="63">
        <v>1</v>
      </c>
      <c r="F314" s="64">
        <v>0.38</v>
      </c>
      <c r="G314" s="64">
        <f t="shared" si="9"/>
        <v>0.38</v>
      </c>
      <c r="H314" s="65"/>
    </row>
    <row r="315" spans="1:8" ht="24.95" customHeight="1">
      <c r="A315" s="2038"/>
      <c r="B315" s="61" t="s">
        <v>117</v>
      </c>
      <c r="C315" s="61" t="s">
        <v>118</v>
      </c>
      <c r="D315" s="62" t="s">
        <v>60</v>
      </c>
      <c r="E315" s="63">
        <v>4</v>
      </c>
      <c r="F315" s="64">
        <v>1.72</v>
      </c>
      <c r="G315" s="64">
        <f t="shared" si="9"/>
        <v>6.88</v>
      </c>
      <c r="H315" s="65"/>
    </row>
    <row r="316" spans="1:8" ht="24.95" customHeight="1">
      <c r="A316" s="2038"/>
      <c r="B316" s="61" t="s">
        <v>119</v>
      </c>
      <c r="C316" s="61" t="s">
        <v>120</v>
      </c>
      <c r="D316" s="62" t="s">
        <v>60</v>
      </c>
      <c r="E316" s="63">
        <v>2</v>
      </c>
      <c r="F316" s="64">
        <v>0.88</v>
      </c>
      <c r="G316" s="64">
        <f t="shared" si="9"/>
        <v>1.76</v>
      </c>
      <c r="H316" s="65"/>
    </row>
    <row r="317" spans="1:8" ht="24.95" customHeight="1">
      <c r="A317" s="2038"/>
      <c r="B317" s="61" t="s">
        <v>121</v>
      </c>
      <c r="C317" s="61" t="s">
        <v>122</v>
      </c>
      <c r="D317" s="62" t="s">
        <v>60</v>
      </c>
      <c r="E317" s="63">
        <v>2</v>
      </c>
      <c r="F317" s="64">
        <v>1.01</v>
      </c>
      <c r="G317" s="64">
        <f t="shared" si="9"/>
        <v>2.02</v>
      </c>
      <c r="H317" s="65"/>
    </row>
    <row r="318" spans="1:8" ht="24.95" customHeight="1">
      <c r="A318" s="2038"/>
      <c r="B318" s="61" t="s">
        <v>113</v>
      </c>
      <c r="C318" s="61" t="s">
        <v>138</v>
      </c>
      <c r="D318" s="62" t="s">
        <v>60</v>
      </c>
      <c r="E318" s="63">
        <v>2</v>
      </c>
      <c r="F318" s="64">
        <v>10.52</v>
      </c>
      <c r="G318" s="64">
        <f t="shared" si="9"/>
        <v>21.04</v>
      </c>
      <c r="H318" s="65"/>
    </row>
    <row r="319" spans="1:8" ht="24.95" customHeight="1">
      <c r="A319" s="2038"/>
      <c r="B319" s="61" t="s">
        <v>124</v>
      </c>
      <c r="C319" s="61" t="s">
        <v>125</v>
      </c>
      <c r="D319" s="62" t="s">
        <v>60</v>
      </c>
      <c r="E319" s="66">
        <v>2</v>
      </c>
      <c r="F319" s="64">
        <v>1.58</v>
      </c>
      <c r="G319" s="64">
        <f t="shared" si="9"/>
        <v>3.16</v>
      </c>
      <c r="H319" s="65"/>
    </row>
    <row r="320" spans="1:8" ht="24.95" customHeight="1">
      <c r="A320" s="2038"/>
      <c r="B320" s="61" t="s">
        <v>78</v>
      </c>
      <c r="C320" s="61" t="s">
        <v>126</v>
      </c>
      <c r="D320" s="62" t="s">
        <v>60</v>
      </c>
      <c r="E320" s="63">
        <v>2</v>
      </c>
      <c r="F320" s="64">
        <v>7.0000000000000007E-2</v>
      </c>
      <c r="G320" s="64">
        <f t="shared" si="9"/>
        <v>0.14000000000000001</v>
      </c>
      <c r="H320" s="67"/>
    </row>
    <row r="321" spans="1:8" ht="24.95" customHeight="1">
      <c r="A321" s="2038"/>
      <c r="B321" s="61" t="s">
        <v>127</v>
      </c>
      <c r="C321" s="61" t="s">
        <v>128</v>
      </c>
      <c r="D321" s="62" t="s">
        <v>60</v>
      </c>
      <c r="E321" s="66">
        <v>4</v>
      </c>
      <c r="F321" s="64">
        <v>0.2</v>
      </c>
      <c r="G321" s="64">
        <f t="shared" si="9"/>
        <v>0.8</v>
      </c>
      <c r="H321" s="67"/>
    </row>
    <row r="322" spans="1:8" ht="24.95" customHeight="1">
      <c r="A322" s="2039"/>
      <c r="B322" s="61"/>
      <c r="C322" s="61"/>
      <c r="D322" s="61"/>
      <c r="E322" s="61"/>
      <c r="F322" s="61"/>
      <c r="G322" s="61"/>
      <c r="H322" s="67"/>
    </row>
    <row r="323" spans="1:8" ht="24.95" customHeight="1">
      <c r="A323" s="2025" t="s">
        <v>73</v>
      </c>
      <c r="B323" s="2026"/>
      <c r="C323" s="68"/>
      <c r="D323" s="69" t="s">
        <v>74</v>
      </c>
      <c r="E323" s="70">
        <v>1</v>
      </c>
      <c r="F323" s="68"/>
      <c r="G323" s="71">
        <f>SUM(G313:G321)</f>
        <v>39.699999999999989</v>
      </c>
      <c r="H323" s="72"/>
    </row>
    <row r="324" spans="1:8" ht="24.95" customHeight="1">
      <c r="A324" s="2040"/>
      <c r="B324" s="61" t="s">
        <v>129</v>
      </c>
      <c r="C324" s="61" t="s">
        <v>130</v>
      </c>
      <c r="D324" s="62" t="s">
        <v>60</v>
      </c>
      <c r="E324" s="66">
        <v>5</v>
      </c>
      <c r="F324" s="74">
        <v>0.35</v>
      </c>
      <c r="G324" s="80">
        <f>F324*E324</f>
        <v>1.75</v>
      </c>
      <c r="H324" s="67"/>
    </row>
    <row r="325" spans="1:8" ht="24.95" customHeight="1">
      <c r="A325" s="2038"/>
      <c r="B325" s="61" t="s">
        <v>86</v>
      </c>
      <c r="C325" s="61" t="s">
        <v>131</v>
      </c>
      <c r="D325" s="62" t="s">
        <v>60</v>
      </c>
      <c r="E325" s="81">
        <v>0.1</v>
      </c>
      <c r="F325" s="74">
        <v>0.86</v>
      </c>
      <c r="G325" s="74">
        <f>F325*E325</f>
        <v>8.6000000000000007E-2</v>
      </c>
      <c r="H325" s="67"/>
    </row>
    <row r="326" spans="1:8" ht="24.95" customHeight="1">
      <c r="A326" s="2038"/>
      <c r="B326" s="61" t="s">
        <v>132</v>
      </c>
      <c r="C326" s="61"/>
      <c r="D326" s="62" t="s">
        <v>60</v>
      </c>
      <c r="E326" s="81">
        <v>0.2</v>
      </c>
      <c r="F326" s="61"/>
      <c r="G326" s="61"/>
      <c r="H326" s="67"/>
    </row>
    <row r="327" spans="1:8" ht="24.95" customHeight="1">
      <c r="A327" s="2038"/>
      <c r="B327" s="61" t="s">
        <v>90</v>
      </c>
      <c r="C327" s="61" t="s">
        <v>91</v>
      </c>
      <c r="D327" s="62" t="s">
        <v>92</v>
      </c>
      <c r="E327" s="75">
        <v>0.27</v>
      </c>
      <c r="F327" s="61"/>
      <c r="G327" s="61"/>
      <c r="H327" s="67"/>
    </row>
    <row r="328" spans="1:8" ht="24.95" customHeight="1">
      <c r="A328" s="2038"/>
      <c r="B328" s="61" t="s">
        <v>93</v>
      </c>
      <c r="C328" s="61"/>
      <c r="D328" s="62" t="s">
        <v>60</v>
      </c>
      <c r="E328" s="75">
        <v>0.30199999999999999</v>
      </c>
      <c r="F328" s="61"/>
      <c r="G328" s="61"/>
      <c r="H328" s="67"/>
    </row>
    <row r="329" spans="1:8" ht="24.95" customHeight="1">
      <c r="A329" s="2038"/>
      <c r="B329" s="61" t="s">
        <v>94</v>
      </c>
      <c r="C329" s="61" t="s">
        <v>95</v>
      </c>
      <c r="D329" s="62" t="s">
        <v>60</v>
      </c>
      <c r="E329" s="75">
        <v>0.112</v>
      </c>
      <c r="F329" s="61"/>
      <c r="G329" s="61"/>
      <c r="H329" s="67"/>
    </row>
    <row r="330" spans="1:8" ht="24.95" customHeight="1">
      <c r="A330" s="2038"/>
      <c r="B330" s="61"/>
      <c r="C330" s="61"/>
      <c r="D330" s="62"/>
      <c r="E330" s="75"/>
      <c r="F330" s="61"/>
      <c r="G330" s="61"/>
      <c r="H330" s="67"/>
    </row>
    <row r="331" spans="1:8" ht="24.95" customHeight="1">
      <c r="A331" s="2038"/>
      <c r="B331" s="61"/>
      <c r="C331" s="61"/>
      <c r="D331" s="62"/>
      <c r="E331" s="75"/>
      <c r="F331" s="61"/>
      <c r="G331" s="61"/>
      <c r="H331" s="67"/>
    </row>
    <row r="332" spans="1:8" ht="24.95" customHeight="1">
      <c r="A332" s="2038"/>
      <c r="B332" s="61"/>
      <c r="C332" s="61"/>
      <c r="D332" s="62"/>
      <c r="E332" s="75"/>
      <c r="F332" s="61"/>
      <c r="G332" s="61"/>
      <c r="H332" s="67"/>
    </row>
    <row r="333" spans="1:8" ht="24.95" customHeight="1">
      <c r="A333" s="2025" t="s">
        <v>73</v>
      </c>
      <c r="B333" s="2026"/>
      <c r="C333" s="68"/>
      <c r="D333" s="69" t="s">
        <v>74</v>
      </c>
      <c r="E333" s="70">
        <v>1</v>
      </c>
      <c r="F333" s="68"/>
      <c r="G333" s="71">
        <f>SUM(G324:G331)</f>
        <v>1.8360000000000001</v>
      </c>
      <c r="H333" s="72"/>
    </row>
    <row r="334" spans="1:8" ht="24.95" customHeight="1">
      <c r="A334" s="82"/>
      <c r="B334" s="61"/>
      <c r="C334" s="61"/>
      <c r="D334" s="61"/>
      <c r="E334" s="61"/>
      <c r="F334" s="61"/>
      <c r="G334" s="61"/>
      <c r="H334" s="67"/>
    </row>
    <row r="335" spans="1:8" ht="24.95" customHeight="1">
      <c r="A335" s="83"/>
      <c r="B335" s="61"/>
      <c r="C335" s="61"/>
      <c r="D335" s="61"/>
      <c r="E335" s="61"/>
      <c r="F335" s="61"/>
      <c r="G335" s="61"/>
      <c r="H335" s="67"/>
    </row>
    <row r="336" spans="1:8" ht="24.95" customHeight="1">
      <c r="A336" s="2020" t="s">
        <v>96</v>
      </c>
      <c r="B336" s="2021"/>
      <c r="C336" s="76"/>
      <c r="D336" s="76"/>
      <c r="E336" s="76"/>
      <c r="F336" s="76"/>
      <c r="G336" s="77">
        <f>G323+G333</f>
        <v>41.535999999999987</v>
      </c>
      <c r="H336" s="78"/>
    </row>
    <row r="337" spans="1:8" ht="24.95" customHeight="1">
      <c r="A337" s="2022" t="s">
        <v>97</v>
      </c>
      <c r="B337" s="2023"/>
      <c r="C337" s="2023"/>
      <c r="D337" s="2023"/>
      <c r="E337" s="2023"/>
      <c r="F337" s="2023"/>
      <c r="G337" s="2023"/>
      <c r="H337" s="2030"/>
    </row>
    <row r="338" spans="1:8" ht="24.95" customHeight="1">
      <c r="A338" s="2031"/>
      <c r="B338" s="2032"/>
      <c r="C338" s="2032"/>
      <c r="D338" s="2032"/>
      <c r="E338" s="2032"/>
      <c r="F338" s="2032"/>
      <c r="G338" s="2032"/>
      <c r="H338" s="2033"/>
    </row>
    <row r="339" spans="1:8" ht="24.95" customHeight="1">
      <c r="A339" s="2031"/>
      <c r="B339" s="2032"/>
      <c r="C339" s="2032"/>
      <c r="D339" s="2032"/>
      <c r="E339" s="2032"/>
      <c r="F339" s="2032"/>
      <c r="G339" s="2032"/>
      <c r="H339" s="2033"/>
    </row>
    <row r="340" spans="1:8" ht="24.95" customHeight="1">
      <c r="A340" s="2031"/>
      <c r="B340" s="2032"/>
      <c r="C340" s="2032"/>
      <c r="D340" s="2032"/>
      <c r="E340" s="2032"/>
      <c r="F340" s="2032"/>
      <c r="G340" s="2032"/>
      <c r="H340" s="2033"/>
    </row>
    <row r="341" spans="1:8" ht="24.95" customHeight="1">
      <c r="A341" s="2034"/>
      <c r="B341" s="2035"/>
      <c r="C341" s="2035"/>
      <c r="D341" s="2035"/>
      <c r="E341" s="2035"/>
      <c r="F341" s="2035"/>
      <c r="G341" s="2035"/>
      <c r="H341" s="2036"/>
    </row>
    <row r="342" spans="1:8" ht="24.95" customHeight="1"/>
    <row r="343" spans="1:8" ht="24.95" customHeight="1"/>
    <row r="344" spans="1:8" ht="24.95" customHeight="1">
      <c r="A344" s="53" t="s">
        <v>47</v>
      </c>
      <c r="B344" s="53" t="s">
        <v>146</v>
      </c>
      <c r="C344" s="53"/>
      <c r="D344" s="53"/>
      <c r="E344" s="53"/>
      <c r="F344" s="53"/>
      <c r="G344" s="53"/>
      <c r="H344" s="53"/>
    </row>
    <row r="345" spans="1:8" ht="24.95" customHeight="1">
      <c r="A345" s="53"/>
      <c r="B345" s="53"/>
      <c r="C345" s="53"/>
      <c r="D345" s="53"/>
      <c r="E345" s="53"/>
      <c r="F345" s="53"/>
      <c r="G345" s="53"/>
      <c r="H345" s="53"/>
    </row>
    <row r="346" spans="1:8" ht="24.95" customHeight="1">
      <c r="A346" s="2028" t="s">
        <v>50</v>
      </c>
      <c r="B346" s="2028"/>
      <c r="C346" s="54" t="s">
        <v>51</v>
      </c>
      <c r="D346" s="54" t="s">
        <v>52</v>
      </c>
      <c r="E346" s="54" t="s">
        <v>53</v>
      </c>
      <c r="F346" s="54" t="s">
        <v>54</v>
      </c>
      <c r="G346" s="54" t="s">
        <v>56</v>
      </c>
      <c r="H346" s="54" t="s">
        <v>57</v>
      </c>
    </row>
    <row r="347" spans="1:8" ht="24.95" customHeight="1">
      <c r="A347" s="2037" t="s">
        <v>113</v>
      </c>
      <c r="B347" s="55" t="s">
        <v>58</v>
      </c>
      <c r="C347" s="55" t="s">
        <v>141</v>
      </c>
      <c r="D347" s="56" t="s">
        <v>60</v>
      </c>
      <c r="E347" s="57">
        <v>1</v>
      </c>
      <c r="F347" s="58">
        <v>3.52</v>
      </c>
      <c r="G347" s="58">
        <f t="shared" ref="G347:G355" si="10">F347*E347</f>
        <v>3.52</v>
      </c>
      <c r="H347" s="59"/>
    </row>
    <row r="348" spans="1:8" ht="24.95" customHeight="1">
      <c r="A348" s="2038"/>
      <c r="B348" s="61" t="s">
        <v>115</v>
      </c>
      <c r="C348" s="61" t="s">
        <v>142</v>
      </c>
      <c r="D348" s="62" t="s">
        <v>60</v>
      </c>
      <c r="E348" s="63">
        <v>1</v>
      </c>
      <c r="F348" s="64">
        <v>0.38</v>
      </c>
      <c r="G348" s="64">
        <f t="shared" si="10"/>
        <v>0.38</v>
      </c>
      <c r="H348" s="65"/>
    </row>
    <row r="349" spans="1:8" ht="24.95" customHeight="1">
      <c r="A349" s="2038"/>
      <c r="B349" s="61" t="s">
        <v>117</v>
      </c>
      <c r="C349" s="61" t="s">
        <v>118</v>
      </c>
      <c r="D349" s="62" t="s">
        <v>60</v>
      </c>
      <c r="E349" s="63">
        <v>2</v>
      </c>
      <c r="F349" s="64">
        <v>1.72</v>
      </c>
      <c r="G349" s="64">
        <f t="shared" si="10"/>
        <v>3.44</v>
      </c>
      <c r="H349" s="65"/>
    </row>
    <row r="350" spans="1:8" ht="24.95" customHeight="1">
      <c r="A350" s="2038"/>
      <c r="B350" s="61" t="s">
        <v>119</v>
      </c>
      <c r="C350" s="61" t="s">
        <v>120</v>
      </c>
      <c r="D350" s="62" t="s">
        <v>60</v>
      </c>
      <c r="E350" s="63">
        <v>1</v>
      </c>
      <c r="F350" s="64">
        <v>0.88</v>
      </c>
      <c r="G350" s="64">
        <f t="shared" si="10"/>
        <v>0.88</v>
      </c>
      <c r="H350" s="65"/>
    </row>
    <row r="351" spans="1:8" ht="24.95" customHeight="1">
      <c r="A351" s="2038"/>
      <c r="B351" s="61" t="s">
        <v>121</v>
      </c>
      <c r="C351" s="61" t="s">
        <v>122</v>
      </c>
      <c r="D351" s="62" t="s">
        <v>60</v>
      </c>
      <c r="E351" s="63">
        <v>1</v>
      </c>
      <c r="F351" s="64">
        <v>1.01</v>
      </c>
      <c r="G351" s="64">
        <f t="shared" si="10"/>
        <v>1.01</v>
      </c>
      <c r="H351" s="65"/>
    </row>
    <row r="352" spans="1:8" ht="24.95" customHeight="1">
      <c r="A352" s="2038"/>
      <c r="B352" s="61" t="s">
        <v>113</v>
      </c>
      <c r="C352" s="61" t="s">
        <v>147</v>
      </c>
      <c r="D352" s="62" t="s">
        <v>60</v>
      </c>
      <c r="E352" s="63">
        <v>1</v>
      </c>
      <c r="F352" s="64">
        <v>14.02</v>
      </c>
      <c r="G352" s="64">
        <f t="shared" si="10"/>
        <v>14.02</v>
      </c>
      <c r="H352" s="65"/>
    </row>
    <row r="353" spans="1:8" ht="24.95" customHeight="1">
      <c r="A353" s="2038"/>
      <c r="B353" s="61" t="s">
        <v>124</v>
      </c>
      <c r="C353" s="61" t="s">
        <v>125</v>
      </c>
      <c r="D353" s="62" t="s">
        <v>60</v>
      </c>
      <c r="E353" s="66">
        <v>1</v>
      </c>
      <c r="F353" s="64">
        <v>1.58</v>
      </c>
      <c r="G353" s="64">
        <f t="shared" si="10"/>
        <v>1.58</v>
      </c>
      <c r="H353" s="65"/>
    </row>
    <row r="354" spans="1:8" ht="24.95" customHeight="1">
      <c r="A354" s="2038"/>
      <c r="B354" s="61" t="s">
        <v>78</v>
      </c>
      <c r="C354" s="61" t="s">
        <v>126</v>
      </c>
      <c r="D354" s="62" t="s">
        <v>60</v>
      </c>
      <c r="E354" s="63">
        <v>1</v>
      </c>
      <c r="F354" s="64">
        <v>7.0000000000000007E-2</v>
      </c>
      <c r="G354" s="64">
        <f t="shared" si="10"/>
        <v>7.0000000000000007E-2</v>
      </c>
      <c r="H354" s="67"/>
    </row>
    <row r="355" spans="1:8" ht="24.95" customHeight="1">
      <c r="A355" s="2038"/>
      <c r="B355" s="61" t="s">
        <v>127</v>
      </c>
      <c r="C355" s="61" t="s">
        <v>128</v>
      </c>
      <c r="D355" s="62" t="s">
        <v>60</v>
      </c>
      <c r="E355" s="66">
        <v>5</v>
      </c>
      <c r="F355" s="64">
        <v>0.2</v>
      </c>
      <c r="G355" s="64">
        <f t="shared" si="10"/>
        <v>1</v>
      </c>
      <c r="H355" s="67"/>
    </row>
    <row r="356" spans="1:8" ht="24.95" customHeight="1">
      <c r="A356" s="2039"/>
      <c r="B356" s="61"/>
      <c r="C356" s="61"/>
      <c r="D356" s="61"/>
      <c r="E356" s="61"/>
      <c r="F356" s="61"/>
      <c r="G356" s="61"/>
      <c r="H356" s="67"/>
    </row>
    <row r="357" spans="1:8" ht="24.95" customHeight="1">
      <c r="A357" s="2025" t="s">
        <v>73</v>
      </c>
      <c r="B357" s="2026"/>
      <c r="C357" s="68"/>
      <c r="D357" s="69" t="s">
        <v>74</v>
      </c>
      <c r="E357" s="70">
        <v>1</v>
      </c>
      <c r="F357" s="68"/>
      <c r="G357" s="71">
        <f>SUM(G347:G355)</f>
        <v>25.9</v>
      </c>
      <c r="H357" s="72"/>
    </row>
    <row r="358" spans="1:8" ht="24.95" customHeight="1">
      <c r="A358" s="2040"/>
      <c r="B358" s="61" t="s">
        <v>129</v>
      </c>
      <c r="C358" s="61" t="s">
        <v>130</v>
      </c>
      <c r="D358" s="62" t="s">
        <v>60</v>
      </c>
      <c r="E358" s="66">
        <v>5</v>
      </c>
      <c r="F358" s="74">
        <v>0.35</v>
      </c>
      <c r="G358" s="80">
        <f>F358*E358</f>
        <v>1.75</v>
      </c>
      <c r="H358" s="67"/>
    </row>
    <row r="359" spans="1:8" ht="24.95" customHeight="1">
      <c r="A359" s="2038"/>
      <c r="B359" s="61" t="s">
        <v>86</v>
      </c>
      <c r="C359" s="61" t="s">
        <v>131</v>
      </c>
      <c r="D359" s="62" t="s">
        <v>60</v>
      </c>
      <c r="E359" s="81">
        <v>0.1</v>
      </c>
      <c r="F359" s="74">
        <v>0.86</v>
      </c>
      <c r="G359" s="74">
        <f>F359*E359</f>
        <v>8.6000000000000007E-2</v>
      </c>
      <c r="H359" s="67"/>
    </row>
    <row r="360" spans="1:8" ht="24.95" customHeight="1">
      <c r="A360" s="2038"/>
      <c r="B360" s="61" t="s">
        <v>132</v>
      </c>
      <c r="C360" s="61"/>
      <c r="D360" s="62" t="s">
        <v>60</v>
      </c>
      <c r="E360" s="81">
        <v>0.2</v>
      </c>
      <c r="F360" s="61"/>
      <c r="G360" s="61"/>
      <c r="H360" s="67"/>
    </row>
    <row r="361" spans="1:8" ht="24.95" customHeight="1">
      <c r="A361" s="2038"/>
      <c r="B361" s="61" t="s">
        <v>90</v>
      </c>
      <c r="C361" s="61" t="s">
        <v>91</v>
      </c>
      <c r="D361" s="62" t="s">
        <v>92</v>
      </c>
      <c r="E361" s="75">
        <v>0.27</v>
      </c>
      <c r="F361" s="61"/>
      <c r="G361" s="61"/>
      <c r="H361" s="67"/>
    </row>
    <row r="362" spans="1:8" ht="24.95" customHeight="1">
      <c r="A362" s="2038"/>
      <c r="B362" s="61" t="s">
        <v>93</v>
      </c>
      <c r="C362" s="61"/>
      <c r="D362" s="62" t="s">
        <v>60</v>
      </c>
      <c r="E362" s="75">
        <v>0.30199999999999999</v>
      </c>
      <c r="F362" s="61"/>
      <c r="G362" s="61"/>
      <c r="H362" s="67"/>
    </row>
    <row r="363" spans="1:8" ht="24.95" customHeight="1">
      <c r="A363" s="2038"/>
      <c r="B363" s="61" t="s">
        <v>94</v>
      </c>
      <c r="C363" s="61" t="s">
        <v>95</v>
      </c>
      <c r="D363" s="62" t="s">
        <v>60</v>
      </c>
      <c r="E363" s="75">
        <v>0.112</v>
      </c>
      <c r="F363" s="61"/>
      <c r="G363" s="61"/>
      <c r="H363" s="67"/>
    </row>
    <row r="364" spans="1:8" ht="24.95" customHeight="1">
      <c r="A364" s="2038"/>
      <c r="B364" s="61"/>
      <c r="C364" s="61"/>
      <c r="D364" s="62"/>
      <c r="E364" s="75"/>
      <c r="F364" s="61"/>
      <c r="G364" s="61"/>
      <c r="H364" s="67"/>
    </row>
    <row r="365" spans="1:8" ht="24.95" customHeight="1">
      <c r="A365" s="2038"/>
      <c r="B365" s="61"/>
      <c r="C365" s="61"/>
      <c r="D365" s="62"/>
      <c r="E365" s="75"/>
      <c r="F365" s="61"/>
      <c r="G365" s="61"/>
      <c r="H365" s="67"/>
    </row>
    <row r="366" spans="1:8" ht="24.95" customHeight="1">
      <c r="A366" s="2038"/>
      <c r="B366" s="61"/>
      <c r="C366" s="61"/>
      <c r="D366" s="62"/>
      <c r="E366" s="75"/>
      <c r="F366" s="61"/>
      <c r="G366" s="61"/>
      <c r="H366" s="67"/>
    </row>
    <row r="367" spans="1:8" ht="24.95" customHeight="1">
      <c r="A367" s="2025" t="s">
        <v>73</v>
      </c>
      <c r="B367" s="2026"/>
      <c r="C367" s="68"/>
      <c r="D367" s="69" t="s">
        <v>74</v>
      </c>
      <c r="E367" s="70">
        <v>1</v>
      </c>
      <c r="F367" s="68"/>
      <c r="G367" s="71">
        <f>SUM(G358:G365)</f>
        <v>1.8360000000000001</v>
      </c>
      <c r="H367" s="72"/>
    </row>
    <row r="368" spans="1:8" ht="24.95" customHeight="1">
      <c r="A368" s="82"/>
      <c r="B368" s="61"/>
      <c r="C368" s="61"/>
      <c r="D368" s="61"/>
      <c r="E368" s="61"/>
      <c r="F368" s="61"/>
      <c r="G368" s="61"/>
      <c r="H368" s="67"/>
    </row>
    <row r="369" spans="1:8" ht="24.95" customHeight="1">
      <c r="A369" s="83"/>
      <c r="B369" s="61"/>
      <c r="C369" s="61"/>
      <c r="D369" s="61"/>
      <c r="E369" s="61"/>
      <c r="F369" s="61"/>
      <c r="G369" s="61"/>
      <c r="H369" s="67"/>
    </row>
    <row r="370" spans="1:8" ht="24.95" customHeight="1">
      <c r="A370" s="2020" t="s">
        <v>96</v>
      </c>
      <c r="B370" s="2021"/>
      <c r="C370" s="76"/>
      <c r="D370" s="76"/>
      <c r="E370" s="76"/>
      <c r="F370" s="76"/>
      <c r="G370" s="77">
        <f>G357+G367</f>
        <v>27.735999999999997</v>
      </c>
      <c r="H370" s="78"/>
    </row>
    <row r="371" spans="1:8" ht="24.95" customHeight="1">
      <c r="A371" s="2022" t="s">
        <v>97</v>
      </c>
      <c r="B371" s="2023"/>
      <c r="C371" s="2023"/>
      <c r="D371" s="2023"/>
      <c r="E371" s="2023"/>
      <c r="F371" s="2023"/>
      <c r="G371" s="2023"/>
      <c r="H371" s="2030"/>
    </row>
    <row r="372" spans="1:8" ht="24.95" customHeight="1">
      <c r="A372" s="2031"/>
      <c r="B372" s="2032"/>
      <c r="C372" s="2032"/>
      <c r="D372" s="2032"/>
      <c r="E372" s="2032"/>
      <c r="F372" s="2032"/>
      <c r="G372" s="2032"/>
      <c r="H372" s="2033"/>
    </row>
    <row r="373" spans="1:8" ht="24.95" customHeight="1">
      <c r="A373" s="2031"/>
      <c r="B373" s="2032"/>
      <c r="C373" s="2032"/>
      <c r="D373" s="2032"/>
      <c r="E373" s="2032"/>
      <c r="F373" s="2032"/>
      <c r="G373" s="2032"/>
      <c r="H373" s="2033"/>
    </row>
    <row r="374" spans="1:8" ht="24.95" customHeight="1">
      <c r="A374" s="2031"/>
      <c r="B374" s="2032"/>
      <c r="C374" s="2032"/>
      <c r="D374" s="2032"/>
      <c r="E374" s="2032"/>
      <c r="F374" s="2032"/>
      <c r="G374" s="2032"/>
      <c r="H374" s="2033"/>
    </row>
    <row r="375" spans="1:8" ht="24.95" customHeight="1">
      <c r="A375" s="2034"/>
      <c r="B375" s="2035"/>
      <c r="C375" s="2035"/>
      <c r="D375" s="2035"/>
      <c r="E375" s="2035"/>
      <c r="F375" s="2035"/>
      <c r="G375" s="2035"/>
      <c r="H375" s="2036"/>
    </row>
    <row r="376" spans="1:8" ht="24.95" customHeight="1"/>
    <row r="377" spans="1:8" ht="24.95" customHeight="1"/>
    <row r="378" spans="1:8" ht="24.95" customHeight="1">
      <c r="A378" s="53" t="s">
        <v>47</v>
      </c>
      <c r="B378" s="53" t="s">
        <v>148</v>
      </c>
      <c r="C378" s="53"/>
      <c r="D378" s="53"/>
      <c r="E378" s="53"/>
      <c r="F378" s="53"/>
      <c r="G378" s="53"/>
      <c r="H378" s="53"/>
    </row>
    <row r="379" spans="1:8" ht="24.95" customHeight="1">
      <c r="A379" s="53"/>
      <c r="B379" s="53"/>
      <c r="C379" s="53"/>
      <c r="D379" s="53"/>
      <c r="E379" s="53"/>
      <c r="F379" s="53"/>
      <c r="G379" s="53"/>
      <c r="H379" s="53"/>
    </row>
    <row r="380" spans="1:8" ht="24.95" customHeight="1">
      <c r="A380" s="2028" t="s">
        <v>50</v>
      </c>
      <c r="B380" s="2028"/>
      <c r="C380" s="54" t="s">
        <v>51</v>
      </c>
      <c r="D380" s="54" t="s">
        <v>52</v>
      </c>
      <c r="E380" s="54" t="s">
        <v>53</v>
      </c>
      <c r="F380" s="54" t="s">
        <v>54</v>
      </c>
      <c r="G380" s="54" t="s">
        <v>56</v>
      </c>
      <c r="H380" s="54" t="s">
        <v>57</v>
      </c>
    </row>
    <row r="381" spans="1:8" ht="24.95" customHeight="1">
      <c r="A381" s="2037" t="s">
        <v>113</v>
      </c>
      <c r="B381" s="55" t="s">
        <v>58</v>
      </c>
      <c r="C381" s="55" t="s">
        <v>141</v>
      </c>
      <c r="D381" s="56" t="s">
        <v>60</v>
      </c>
      <c r="E381" s="57">
        <v>1</v>
      </c>
      <c r="F381" s="58">
        <v>3.52</v>
      </c>
      <c r="G381" s="58">
        <f t="shared" ref="G381:G389" si="11">F381*E381</f>
        <v>3.52</v>
      </c>
      <c r="H381" s="59"/>
    </row>
    <row r="382" spans="1:8" ht="24.95" customHeight="1">
      <c r="A382" s="2038"/>
      <c r="B382" s="61" t="s">
        <v>115</v>
      </c>
      <c r="C382" s="61" t="s">
        <v>142</v>
      </c>
      <c r="D382" s="62" t="s">
        <v>60</v>
      </c>
      <c r="E382" s="63">
        <v>1</v>
      </c>
      <c r="F382" s="64">
        <v>0.38</v>
      </c>
      <c r="G382" s="64">
        <f t="shared" si="11"/>
        <v>0.38</v>
      </c>
      <c r="H382" s="65"/>
    </row>
    <row r="383" spans="1:8" ht="24.95" customHeight="1">
      <c r="A383" s="2038"/>
      <c r="B383" s="61" t="s">
        <v>117</v>
      </c>
      <c r="C383" s="61" t="s">
        <v>118</v>
      </c>
      <c r="D383" s="62" t="s">
        <v>60</v>
      </c>
      <c r="E383" s="63">
        <v>4</v>
      </c>
      <c r="F383" s="64">
        <v>1.72</v>
      </c>
      <c r="G383" s="64">
        <f t="shared" si="11"/>
        <v>6.88</v>
      </c>
      <c r="H383" s="65"/>
    </row>
    <row r="384" spans="1:8" ht="24.95" customHeight="1">
      <c r="A384" s="2038"/>
      <c r="B384" s="61" t="s">
        <v>119</v>
      </c>
      <c r="C384" s="61" t="s">
        <v>120</v>
      </c>
      <c r="D384" s="62" t="s">
        <v>60</v>
      </c>
      <c r="E384" s="63">
        <v>2</v>
      </c>
      <c r="F384" s="64">
        <v>0.88</v>
      </c>
      <c r="G384" s="64">
        <f t="shared" si="11"/>
        <v>1.76</v>
      </c>
      <c r="H384" s="65"/>
    </row>
    <row r="385" spans="1:8" ht="24.95" customHeight="1">
      <c r="A385" s="2038"/>
      <c r="B385" s="61" t="s">
        <v>121</v>
      </c>
      <c r="C385" s="61" t="s">
        <v>122</v>
      </c>
      <c r="D385" s="62" t="s">
        <v>60</v>
      </c>
      <c r="E385" s="63">
        <v>2</v>
      </c>
      <c r="F385" s="64">
        <v>1.01</v>
      </c>
      <c r="G385" s="64">
        <f t="shared" si="11"/>
        <v>2.02</v>
      </c>
      <c r="H385" s="65"/>
    </row>
    <row r="386" spans="1:8" ht="24.95" customHeight="1">
      <c r="A386" s="2038"/>
      <c r="B386" s="61" t="s">
        <v>113</v>
      </c>
      <c r="C386" s="61" t="s">
        <v>147</v>
      </c>
      <c r="D386" s="62" t="s">
        <v>60</v>
      </c>
      <c r="E386" s="63">
        <v>2</v>
      </c>
      <c r="F386" s="64">
        <v>14.02</v>
      </c>
      <c r="G386" s="64">
        <f t="shared" si="11"/>
        <v>28.04</v>
      </c>
      <c r="H386" s="65"/>
    </row>
    <row r="387" spans="1:8" ht="24.95" customHeight="1">
      <c r="A387" s="2038"/>
      <c r="B387" s="61" t="s">
        <v>124</v>
      </c>
      <c r="C387" s="61" t="s">
        <v>125</v>
      </c>
      <c r="D387" s="62" t="s">
        <v>60</v>
      </c>
      <c r="E387" s="66">
        <v>2</v>
      </c>
      <c r="F387" s="64">
        <v>1.58</v>
      </c>
      <c r="G387" s="64">
        <f t="shared" si="11"/>
        <v>3.16</v>
      </c>
      <c r="H387" s="65"/>
    </row>
    <row r="388" spans="1:8" ht="24.95" customHeight="1">
      <c r="A388" s="2038"/>
      <c r="B388" s="61" t="s">
        <v>78</v>
      </c>
      <c r="C388" s="61" t="s">
        <v>126</v>
      </c>
      <c r="D388" s="62" t="s">
        <v>60</v>
      </c>
      <c r="E388" s="63">
        <v>2</v>
      </c>
      <c r="F388" s="64">
        <v>7.0000000000000007E-2</v>
      </c>
      <c r="G388" s="64">
        <f t="shared" si="11"/>
        <v>0.14000000000000001</v>
      </c>
      <c r="H388" s="67"/>
    </row>
    <row r="389" spans="1:8" ht="24.95" customHeight="1">
      <c r="A389" s="2038"/>
      <c r="B389" s="61" t="s">
        <v>127</v>
      </c>
      <c r="C389" s="61" t="s">
        <v>128</v>
      </c>
      <c r="D389" s="62" t="s">
        <v>60</v>
      </c>
      <c r="E389" s="66">
        <v>4</v>
      </c>
      <c r="F389" s="64">
        <v>0.2</v>
      </c>
      <c r="G389" s="64">
        <f t="shared" si="11"/>
        <v>0.8</v>
      </c>
      <c r="H389" s="67"/>
    </row>
    <row r="390" spans="1:8" ht="24.95" customHeight="1">
      <c r="A390" s="2039"/>
      <c r="B390" s="61"/>
      <c r="C390" s="61"/>
      <c r="D390" s="61"/>
      <c r="E390" s="61"/>
      <c r="F390" s="61"/>
      <c r="G390" s="61"/>
      <c r="H390" s="67"/>
    </row>
    <row r="391" spans="1:8" ht="24.95" customHeight="1">
      <c r="A391" s="2025" t="s">
        <v>73</v>
      </c>
      <c r="B391" s="2026"/>
      <c r="C391" s="68"/>
      <c r="D391" s="69" t="s">
        <v>74</v>
      </c>
      <c r="E391" s="70">
        <v>1</v>
      </c>
      <c r="F391" s="68"/>
      <c r="G391" s="71">
        <f>SUM(G381:G389)</f>
        <v>46.699999999999989</v>
      </c>
      <c r="H391" s="72"/>
    </row>
    <row r="392" spans="1:8" ht="24.95" customHeight="1">
      <c r="A392" s="2040"/>
      <c r="B392" s="61" t="s">
        <v>129</v>
      </c>
      <c r="C392" s="61" t="s">
        <v>130</v>
      </c>
      <c r="D392" s="62" t="s">
        <v>60</v>
      </c>
      <c r="E392" s="66">
        <v>5</v>
      </c>
      <c r="F392" s="74">
        <v>0.35</v>
      </c>
      <c r="G392" s="80">
        <f>F392*E392</f>
        <v>1.75</v>
      </c>
      <c r="H392" s="67"/>
    </row>
    <row r="393" spans="1:8" ht="24.95" customHeight="1">
      <c r="A393" s="2038"/>
      <c r="B393" s="61" t="s">
        <v>86</v>
      </c>
      <c r="C393" s="61" t="s">
        <v>131</v>
      </c>
      <c r="D393" s="62" t="s">
        <v>60</v>
      </c>
      <c r="E393" s="81">
        <v>0.1</v>
      </c>
      <c r="F393" s="74">
        <v>0.86</v>
      </c>
      <c r="G393" s="74">
        <f>F393*E393</f>
        <v>8.6000000000000007E-2</v>
      </c>
      <c r="H393" s="67"/>
    </row>
    <row r="394" spans="1:8" ht="24.95" customHeight="1">
      <c r="A394" s="2038"/>
      <c r="B394" s="61" t="s">
        <v>132</v>
      </c>
      <c r="C394" s="61"/>
      <c r="D394" s="62" t="s">
        <v>60</v>
      </c>
      <c r="E394" s="81">
        <v>0.2</v>
      </c>
      <c r="F394" s="61"/>
      <c r="G394" s="61"/>
      <c r="H394" s="67"/>
    </row>
    <row r="395" spans="1:8" ht="24.95" customHeight="1">
      <c r="A395" s="2038"/>
      <c r="B395" s="61" t="s">
        <v>90</v>
      </c>
      <c r="C395" s="61" t="s">
        <v>91</v>
      </c>
      <c r="D395" s="62" t="s">
        <v>92</v>
      </c>
      <c r="E395" s="75">
        <v>0.27</v>
      </c>
      <c r="F395" s="61"/>
      <c r="G395" s="61"/>
      <c r="H395" s="67"/>
    </row>
    <row r="396" spans="1:8" ht="24.95" customHeight="1">
      <c r="A396" s="2038"/>
      <c r="B396" s="61" t="s">
        <v>93</v>
      </c>
      <c r="C396" s="61"/>
      <c r="D396" s="62" t="s">
        <v>60</v>
      </c>
      <c r="E396" s="75">
        <v>0.30199999999999999</v>
      </c>
      <c r="F396" s="61"/>
      <c r="G396" s="61"/>
      <c r="H396" s="67"/>
    </row>
    <row r="397" spans="1:8" ht="24.95" customHeight="1">
      <c r="A397" s="2038"/>
      <c r="B397" s="61" t="s">
        <v>94</v>
      </c>
      <c r="C397" s="61" t="s">
        <v>95</v>
      </c>
      <c r="D397" s="62" t="s">
        <v>60</v>
      </c>
      <c r="E397" s="75">
        <v>0.112</v>
      </c>
      <c r="F397" s="61"/>
      <c r="G397" s="61"/>
      <c r="H397" s="67"/>
    </row>
    <row r="398" spans="1:8" ht="24.95" customHeight="1">
      <c r="A398" s="2038"/>
      <c r="B398" s="61"/>
      <c r="C398" s="61"/>
      <c r="D398" s="62"/>
      <c r="E398" s="75"/>
      <c r="F398" s="61"/>
      <c r="G398" s="61"/>
      <c r="H398" s="67"/>
    </row>
    <row r="399" spans="1:8" ht="24.95" customHeight="1">
      <c r="A399" s="2038"/>
      <c r="B399" s="61"/>
      <c r="C399" s="61"/>
      <c r="D399" s="62"/>
      <c r="E399" s="75"/>
      <c r="F399" s="61"/>
      <c r="G399" s="61"/>
      <c r="H399" s="67"/>
    </row>
    <row r="400" spans="1:8" ht="24.95" customHeight="1">
      <c r="A400" s="2038"/>
      <c r="B400" s="61"/>
      <c r="C400" s="61"/>
      <c r="D400" s="62"/>
      <c r="E400" s="75"/>
      <c r="F400" s="61"/>
      <c r="G400" s="61"/>
      <c r="H400" s="67"/>
    </row>
    <row r="401" spans="1:8" ht="24.95" customHeight="1">
      <c r="A401" s="2025" t="s">
        <v>73</v>
      </c>
      <c r="B401" s="2026"/>
      <c r="C401" s="68"/>
      <c r="D401" s="69" t="s">
        <v>74</v>
      </c>
      <c r="E401" s="70">
        <v>1</v>
      </c>
      <c r="F401" s="68"/>
      <c r="G401" s="71">
        <f>SUM(G392:G399)</f>
        <v>1.8360000000000001</v>
      </c>
      <c r="H401" s="72"/>
    </row>
    <row r="402" spans="1:8" ht="24.95" customHeight="1">
      <c r="A402" s="82"/>
      <c r="B402" s="61"/>
      <c r="C402" s="61"/>
      <c r="D402" s="61"/>
      <c r="E402" s="61"/>
      <c r="F402" s="61"/>
      <c r="G402" s="61"/>
      <c r="H402" s="67"/>
    </row>
    <row r="403" spans="1:8" ht="24.95" customHeight="1">
      <c r="A403" s="83"/>
      <c r="B403" s="61"/>
      <c r="C403" s="61"/>
      <c r="D403" s="61"/>
      <c r="E403" s="61"/>
      <c r="F403" s="61"/>
      <c r="G403" s="61"/>
      <c r="H403" s="67"/>
    </row>
    <row r="404" spans="1:8" ht="24.95" customHeight="1">
      <c r="A404" s="2020" t="s">
        <v>96</v>
      </c>
      <c r="B404" s="2021"/>
      <c r="C404" s="76"/>
      <c r="D404" s="76"/>
      <c r="E404" s="76"/>
      <c r="F404" s="76"/>
      <c r="G404" s="77">
        <f>G391+G401</f>
        <v>48.535999999999987</v>
      </c>
      <c r="H404" s="78"/>
    </row>
    <row r="405" spans="1:8" ht="24.95" customHeight="1">
      <c r="A405" s="2022" t="s">
        <v>97</v>
      </c>
      <c r="B405" s="2023"/>
      <c r="C405" s="2023"/>
      <c r="D405" s="2023"/>
      <c r="E405" s="2023"/>
      <c r="F405" s="2023"/>
      <c r="G405" s="2023"/>
      <c r="H405" s="2030"/>
    </row>
    <row r="406" spans="1:8" ht="24.95" customHeight="1">
      <c r="A406" s="2031"/>
      <c r="B406" s="2032"/>
      <c r="C406" s="2032"/>
      <c r="D406" s="2032"/>
      <c r="E406" s="2032"/>
      <c r="F406" s="2032"/>
      <c r="G406" s="2032"/>
      <c r="H406" s="2033"/>
    </row>
    <row r="407" spans="1:8" ht="24.95" customHeight="1">
      <c r="A407" s="2031"/>
      <c r="B407" s="2032"/>
      <c r="C407" s="2032"/>
      <c r="D407" s="2032"/>
      <c r="E407" s="2032"/>
      <c r="F407" s="2032"/>
      <c r="G407" s="2032"/>
      <c r="H407" s="2033"/>
    </row>
    <row r="408" spans="1:8" ht="24.95" customHeight="1">
      <c r="A408" s="2031"/>
      <c r="B408" s="2032"/>
      <c r="C408" s="2032"/>
      <c r="D408" s="2032"/>
      <c r="E408" s="2032"/>
      <c r="F408" s="2032"/>
      <c r="G408" s="2032"/>
      <c r="H408" s="2033"/>
    </row>
    <row r="409" spans="1:8" ht="24.95" customHeight="1">
      <c r="A409" s="2034"/>
      <c r="B409" s="2035"/>
      <c r="C409" s="2035"/>
      <c r="D409" s="2035"/>
      <c r="E409" s="2035"/>
      <c r="F409" s="2035"/>
      <c r="G409" s="2035"/>
      <c r="H409" s="2036"/>
    </row>
    <row r="410" spans="1:8" ht="24.95" customHeight="1"/>
    <row r="411" spans="1:8" ht="24.95" customHeight="1"/>
    <row r="412" spans="1:8" ht="24.95" customHeight="1">
      <c r="A412" s="53" t="s">
        <v>47</v>
      </c>
      <c r="B412" s="53" t="s">
        <v>149</v>
      </c>
      <c r="C412" s="53"/>
      <c r="D412" s="53"/>
      <c r="E412" s="53"/>
      <c r="F412" s="53"/>
      <c r="G412" s="53"/>
      <c r="H412" s="53"/>
    </row>
    <row r="413" spans="1:8" ht="24.95" customHeight="1">
      <c r="A413" s="53"/>
      <c r="B413" s="53"/>
      <c r="C413" s="53"/>
      <c r="D413" s="53"/>
      <c r="E413" s="53"/>
      <c r="F413" s="53"/>
      <c r="G413" s="53"/>
      <c r="H413" s="53"/>
    </row>
    <row r="414" spans="1:8" ht="24.95" customHeight="1">
      <c r="A414" s="2028" t="s">
        <v>50</v>
      </c>
      <c r="B414" s="2028"/>
      <c r="C414" s="54" t="s">
        <v>51</v>
      </c>
      <c r="D414" s="54" t="s">
        <v>52</v>
      </c>
      <c r="E414" s="54" t="s">
        <v>53</v>
      </c>
      <c r="F414" s="54" t="s">
        <v>54</v>
      </c>
      <c r="G414" s="54" t="s">
        <v>56</v>
      </c>
      <c r="H414" s="54" t="s">
        <v>57</v>
      </c>
    </row>
    <row r="415" spans="1:8" ht="24.95" customHeight="1">
      <c r="A415" s="2037" t="s">
        <v>113</v>
      </c>
      <c r="B415" s="55" t="s">
        <v>58</v>
      </c>
      <c r="C415" s="55" t="s">
        <v>141</v>
      </c>
      <c r="D415" s="56" t="s">
        <v>60</v>
      </c>
      <c r="E415" s="57">
        <v>1</v>
      </c>
      <c r="F415" s="58">
        <v>3.52</v>
      </c>
      <c r="G415" s="58">
        <f t="shared" ref="G415:G423" si="12">F415*E415</f>
        <v>3.52</v>
      </c>
      <c r="H415" s="59"/>
    </row>
    <row r="416" spans="1:8" ht="24.95" customHeight="1">
      <c r="A416" s="2038"/>
      <c r="B416" s="61" t="s">
        <v>115</v>
      </c>
      <c r="C416" s="61" t="s">
        <v>142</v>
      </c>
      <c r="D416" s="62" t="s">
        <v>60</v>
      </c>
      <c r="E416" s="63">
        <v>1</v>
      </c>
      <c r="F416" s="64">
        <v>0.38</v>
      </c>
      <c r="G416" s="64">
        <f t="shared" si="12"/>
        <v>0.38</v>
      </c>
      <c r="H416" s="65"/>
    </row>
    <row r="417" spans="1:8" ht="24.95" customHeight="1">
      <c r="A417" s="2038"/>
      <c r="B417" s="61" t="s">
        <v>117</v>
      </c>
      <c r="C417" s="61" t="s">
        <v>118</v>
      </c>
      <c r="D417" s="62" t="s">
        <v>60</v>
      </c>
      <c r="E417" s="63">
        <v>2</v>
      </c>
      <c r="F417" s="64">
        <v>1.72</v>
      </c>
      <c r="G417" s="64">
        <f t="shared" si="12"/>
        <v>3.44</v>
      </c>
      <c r="H417" s="65"/>
    </row>
    <row r="418" spans="1:8" ht="24.95" customHeight="1">
      <c r="A418" s="2038"/>
      <c r="B418" s="61" t="s">
        <v>119</v>
      </c>
      <c r="C418" s="61" t="s">
        <v>120</v>
      </c>
      <c r="D418" s="62" t="s">
        <v>60</v>
      </c>
      <c r="E418" s="63">
        <v>1</v>
      </c>
      <c r="F418" s="64">
        <v>0.88</v>
      </c>
      <c r="G418" s="64">
        <f t="shared" si="12"/>
        <v>0.88</v>
      </c>
      <c r="H418" s="65"/>
    </row>
    <row r="419" spans="1:8" ht="24.95" customHeight="1">
      <c r="A419" s="2038"/>
      <c r="B419" s="61" t="s">
        <v>121</v>
      </c>
      <c r="C419" s="61" t="s">
        <v>122</v>
      </c>
      <c r="D419" s="62" t="s">
        <v>60</v>
      </c>
      <c r="E419" s="63">
        <v>1</v>
      </c>
      <c r="F419" s="64">
        <v>1.01</v>
      </c>
      <c r="G419" s="64">
        <f t="shared" si="12"/>
        <v>1.01</v>
      </c>
      <c r="H419" s="65"/>
    </row>
    <row r="420" spans="1:8" ht="24.95" customHeight="1">
      <c r="A420" s="2038"/>
      <c r="B420" s="61" t="s">
        <v>113</v>
      </c>
      <c r="C420" s="61" t="s">
        <v>150</v>
      </c>
      <c r="D420" s="62" t="s">
        <v>60</v>
      </c>
      <c r="E420" s="63">
        <v>1</v>
      </c>
      <c r="F420" s="64">
        <v>16.12</v>
      </c>
      <c r="G420" s="64">
        <f t="shared" si="12"/>
        <v>16.12</v>
      </c>
      <c r="H420" s="65"/>
    </row>
    <row r="421" spans="1:8" ht="24.95" customHeight="1">
      <c r="A421" s="2038"/>
      <c r="B421" s="61" t="s">
        <v>124</v>
      </c>
      <c r="C421" s="61" t="s">
        <v>125</v>
      </c>
      <c r="D421" s="62" t="s">
        <v>60</v>
      </c>
      <c r="E421" s="66">
        <v>1</v>
      </c>
      <c r="F421" s="64">
        <v>1.58</v>
      </c>
      <c r="G421" s="64">
        <f t="shared" si="12"/>
        <v>1.58</v>
      </c>
      <c r="H421" s="65"/>
    </row>
    <row r="422" spans="1:8" ht="24.95" customHeight="1">
      <c r="A422" s="2038"/>
      <c r="B422" s="61" t="s">
        <v>78</v>
      </c>
      <c r="C422" s="61" t="s">
        <v>126</v>
      </c>
      <c r="D422" s="62" t="s">
        <v>60</v>
      </c>
      <c r="E422" s="63">
        <v>1</v>
      </c>
      <c r="F422" s="64">
        <v>7.0000000000000007E-2</v>
      </c>
      <c r="G422" s="64">
        <f t="shared" si="12"/>
        <v>7.0000000000000007E-2</v>
      </c>
      <c r="H422" s="67"/>
    </row>
    <row r="423" spans="1:8" ht="24.95" customHeight="1">
      <c r="A423" s="2038"/>
      <c r="B423" s="61" t="s">
        <v>127</v>
      </c>
      <c r="C423" s="61" t="s">
        <v>128</v>
      </c>
      <c r="D423" s="62" t="s">
        <v>60</v>
      </c>
      <c r="E423" s="66">
        <v>5</v>
      </c>
      <c r="F423" s="64">
        <v>0.2</v>
      </c>
      <c r="G423" s="64">
        <f t="shared" si="12"/>
        <v>1</v>
      </c>
      <c r="H423" s="67"/>
    </row>
    <row r="424" spans="1:8" ht="24.95" customHeight="1">
      <c r="A424" s="2039"/>
      <c r="B424" s="61"/>
      <c r="C424" s="61"/>
      <c r="D424" s="61"/>
      <c r="E424" s="61"/>
      <c r="F424" s="61"/>
      <c r="G424" s="61"/>
      <c r="H424" s="67"/>
    </row>
    <row r="425" spans="1:8" ht="24.95" customHeight="1">
      <c r="A425" s="2025" t="s">
        <v>73</v>
      </c>
      <c r="B425" s="2026"/>
      <c r="C425" s="68"/>
      <c r="D425" s="69" t="s">
        <v>74</v>
      </c>
      <c r="E425" s="70">
        <v>1</v>
      </c>
      <c r="F425" s="68"/>
      <c r="G425" s="71">
        <f>SUM(G415:G423)</f>
        <v>28</v>
      </c>
      <c r="H425" s="72"/>
    </row>
    <row r="426" spans="1:8" ht="24.95" customHeight="1">
      <c r="A426" s="2040"/>
      <c r="B426" s="61" t="s">
        <v>129</v>
      </c>
      <c r="C426" s="61" t="s">
        <v>130</v>
      </c>
      <c r="D426" s="62" t="s">
        <v>60</v>
      </c>
      <c r="E426" s="66">
        <v>5</v>
      </c>
      <c r="F426" s="74">
        <v>0.35</v>
      </c>
      <c r="G426" s="80">
        <f>F426*E426</f>
        <v>1.75</v>
      </c>
      <c r="H426" s="67"/>
    </row>
    <row r="427" spans="1:8" ht="24.95" customHeight="1">
      <c r="A427" s="2038"/>
      <c r="B427" s="61" t="s">
        <v>86</v>
      </c>
      <c r="C427" s="61" t="s">
        <v>131</v>
      </c>
      <c r="D427" s="62" t="s">
        <v>60</v>
      </c>
      <c r="E427" s="81">
        <v>0.1</v>
      </c>
      <c r="F427" s="74">
        <v>0.86</v>
      </c>
      <c r="G427" s="74">
        <f>F427*E427</f>
        <v>8.6000000000000007E-2</v>
      </c>
      <c r="H427" s="67"/>
    </row>
    <row r="428" spans="1:8" ht="24.95" customHeight="1">
      <c r="A428" s="2038"/>
      <c r="B428" s="61" t="s">
        <v>132</v>
      </c>
      <c r="C428" s="61"/>
      <c r="D428" s="62" t="s">
        <v>60</v>
      </c>
      <c r="E428" s="81">
        <v>0.2</v>
      </c>
      <c r="F428" s="61"/>
      <c r="G428" s="61"/>
      <c r="H428" s="67"/>
    </row>
    <row r="429" spans="1:8" ht="24.95" customHeight="1">
      <c r="A429" s="2038"/>
      <c r="B429" s="61" t="s">
        <v>90</v>
      </c>
      <c r="C429" s="61" t="s">
        <v>91</v>
      </c>
      <c r="D429" s="62" t="s">
        <v>92</v>
      </c>
      <c r="E429" s="75">
        <v>0.27</v>
      </c>
      <c r="F429" s="61"/>
      <c r="G429" s="61"/>
      <c r="H429" s="67"/>
    </row>
    <row r="430" spans="1:8" ht="24.95" customHeight="1">
      <c r="A430" s="2038"/>
      <c r="B430" s="61" t="s">
        <v>93</v>
      </c>
      <c r="C430" s="61"/>
      <c r="D430" s="62" t="s">
        <v>60</v>
      </c>
      <c r="E430" s="75">
        <v>0.30199999999999999</v>
      </c>
      <c r="F430" s="61"/>
      <c r="G430" s="61"/>
      <c r="H430" s="67"/>
    </row>
    <row r="431" spans="1:8" ht="24.95" customHeight="1">
      <c r="A431" s="2038"/>
      <c r="B431" s="61" t="s">
        <v>94</v>
      </c>
      <c r="C431" s="61" t="s">
        <v>95</v>
      </c>
      <c r="D431" s="62" t="s">
        <v>60</v>
      </c>
      <c r="E431" s="75">
        <v>0.112</v>
      </c>
      <c r="F431" s="61"/>
      <c r="G431" s="61"/>
      <c r="H431" s="67"/>
    </row>
    <row r="432" spans="1:8" ht="24.95" customHeight="1">
      <c r="A432" s="2038"/>
      <c r="B432" s="61"/>
      <c r="C432" s="61"/>
      <c r="D432" s="62"/>
      <c r="E432" s="75"/>
      <c r="F432" s="61"/>
      <c r="G432" s="61"/>
      <c r="H432" s="67"/>
    </row>
    <row r="433" spans="1:8" ht="24.95" customHeight="1">
      <c r="A433" s="2038"/>
      <c r="B433" s="61"/>
      <c r="C433" s="61"/>
      <c r="D433" s="62"/>
      <c r="E433" s="75"/>
      <c r="F433" s="61"/>
      <c r="G433" s="61"/>
      <c r="H433" s="67"/>
    </row>
    <row r="434" spans="1:8" ht="24.95" customHeight="1">
      <c r="A434" s="2038"/>
      <c r="B434" s="61"/>
      <c r="C434" s="61"/>
      <c r="D434" s="62"/>
      <c r="E434" s="75"/>
      <c r="F434" s="61"/>
      <c r="G434" s="61"/>
      <c r="H434" s="67"/>
    </row>
    <row r="435" spans="1:8" ht="24.95" customHeight="1">
      <c r="A435" s="2025" t="s">
        <v>73</v>
      </c>
      <c r="B435" s="2026"/>
      <c r="C435" s="68"/>
      <c r="D435" s="69" t="s">
        <v>74</v>
      </c>
      <c r="E435" s="70">
        <v>1</v>
      </c>
      <c r="F435" s="68"/>
      <c r="G435" s="71">
        <f>SUM(G426:G433)</f>
        <v>1.8360000000000001</v>
      </c>
      <c r="H435" s="72"/>
    </row>
    <row r="436" spans="1:8" ht="24.95" customHeight="1">
      <c r="A436" s="82"/>
      <c r="B436" s="61"/>
      <c r="C436" s="61"/>
      <c r="D436" s="61"/>
      <c r="E436" s="61"/>
      <c r="F436" s="61"/>
      <c r="G436" s="61"/>
      <c r="H436" s="67"/>
    </row>
    <row r="437" spans="1:8" ht="24.95" customHeight="1">
      <c r="A437" s="83"/>
      <c r="B437" s="61"/>
      <c r="C437" s="61"/>
      <c r="D437" s="61"/>
      <c r="E437" s="61"/>
      <c r="F437" s="61"/>
      <c r="G437" s="61"/>
      <c r="H437" s="67"/>
    </row>
    <row r="438" spans="1:8" ht="24.95" customHeight="1">
      <c r="A438" s="2020" t="s">
        <v>96</v>
      </c>
      <c r="B438" s="2021"/>
      <c r="C438" s="76"/>
      <c r="D438" s="76"/>
      <c r="E438" s="76"/>
      <c r="F438" s="76"/>
      <c r="G438" s="77">
        <f>G425+G435</f>
        <v>29.835999999999999</v>
      </c>
      <c r="H438" s="78"/>
    </row>
    <row r="439" spans="1:8" ht="24.95" customHeight="1">
      <c r="A439" s="2022" t="s">
        <v>97</v>
      </c>
      <c r="B439" s="2023"/>
      <c r="C439" s="2023"/>
      <c r="D439" s="2023"/>
      <c r="E439" s="2023"/>
      <c r="F439" s="2023"/>
      <c r="G439" s="2023"/>
      <c r="H439" s="2030"/>
    </row>
    <row r="440" spans="1:8" ht="24.95" customHeight="1">
      <c r="A440" s="2031"/>
      <c r="B440" s="2032"/>
      <c r="C440" s="2032"/>
      <c r="D440" s="2032"/>
      <c r="E440" s="2032"/>
      <c r="F440" s="2032"/>
      <c r="G440" s="2032"/>
      <c r="H440" s="2033"/>
    </row>
    <row r="441" spans="1:8" ht="24.95" customHeight="1">
      <c r="A441" s="2031"/>
      <c r="B441" s="2032"/>
      <c r="C441" s="2032"/>
      <c r="D441" s="2032"/>
      <c r="E441" s="2032"/>
      <c r="F441" s="2032"/>
      <c r="G441" s="2032"/>
      <c r="H441" s="2033"/>
    </row>
    <row r="442" spans="1:8" ht="24.95" customHeight="1">
      <c r="A442" s="2031"/>
      <c r="B442" s="2032"/>
      <c r="C442" s="2032"/>
      <c r="D442" s="2032"/>
      <c r="E442" s="2032"/>
      <c r="F442" s="2032"/>
      <c r="G442" s="2032"/>
      <c r="H442" s="2033"/>
    </row>
    <row r="443" spans="1:8" ht="24.95" customHeight="1">
      <c r="A443" s="2034"/>
      <c r="B443" s="2035"/>
      <c r="C443" s="2035"/>
      <c r="D443" s="2035"/>
      <c r="E443" s="2035"/>
      <c r="F443" s="2035"/>
      <c r="G443" s="2035"/>
      <c r="H443" s="2036"/>
    </row>
    <row r="444" spans="1:8" ht="24.95" customHeight="1">
      <c r="A444" s="53"/>
      <c r="B444" s="53"/>
      <c r="C444" s="53"/>
      <c r="D444" s="53"/>
      <c r="E444" s="53"/>
      <c r="F444" s="53"/>
      <c r="G444" s="53"/>
      <c r="H444" s="53"/>
    </row>
    <row r="445" spans="1:8" ht="24.95" customHeight="1"/>
    <row r="446" spans="1:8" ht="24.95" customHeight="1">
      <c r="A446" s="53" t="s">
        <v>47</v>
      </c>
      <c r="B446" s="53" t="s">
        <v>151</v>
      </c>
      <c r="C446" s="53"/>
      <c r="D446" s="53"/>
      <c r="E446" s="53"/>
      <c r="F446" s="53"/>
      <c r="G446" s="53"/>
      <c r="H446" s="53"/>
    </row>
    <row r="447" spans="1:8" ht="24.95" customHeight="1">
      <c r="A447" s="53"/>
      <c r="B447" s="53"/>
      <c r="C447" s="53"/>
      <c r="D447" s="53"/>
      <c r="E447" s="53"/>
      <c r="F447" s="53"/>
      <c r="G447" s="53"/>
      <c r="H447" s="53"/>
    </row>
    <row r="448" spans="1:8" ht="24.95" customHeight="1">
      <c r="A448" s="2028" t="s">
        <v>50</v>
      </c>
      <c r="B448" s="2028"/>
      <c r="C448" s="54" t="s">
        <v>51</v>
      </c>
      <c r="D448" s="54" t="s">
        <v>52</v>
      </c>
      <c r="E448" s="54" t="s">
        <v>53</v>
      </c>
      <c r="F448" s="54" t="s">
        <v>54</v>
      </c>
      <c r="G448" s="54" t="s">
        <v>56</v>
      </c>
      <c r="H448" s="54" t="s">
        <v>57</v>
      </c>
    </row>
    <row r="449" spans="1:8" ht="24.95" customHeight="1">
      <c r="A449" s="2037" t="s">
        <v>113</v>
      </c>
      <c r="B449" s="55" t="s">
        <v>58</v>
      </c>
      <c r="C449" s="55" t="s">
        <v>141</v>
      </c>
      <c r="D449" s="56" t="s">
        <v>60</v>
      </c>
      <c r="E449" s="57">
        <v>1</v>
      </c>
      <c r="F449" s="58">
        <v>3.52</v>
      </c>
      <c r="G449" s="58">
        <f t="shared" ref="G449:G457" si="13">F449*E449</f>
        <v>3.52</v>
      </c>
      <c r="H449" s="59"/>
    </row>
    <row r="450" spans="1:8" ht="24.95" customHeight="1">
      <c r="A450" s="2038"/>
      <c r="B450" s="61" t="s">
        <v>115</v>
      </c>
      <c r="C450" s="61" t="s">
        <v>142</v>
      </c>
      <c r="D450" s="62" t="s">
        <v>60</v>
      </c>
      <c r="E450" s="63">
        <v>1</v>
      </c>
      <c r="F450" s="64">
        <v>0.38</v>
      </c>
      <c r="G450" s="64">
        <f t="shared" si="13"/>
        <v>0.38</v>
      </c>
      <c r="H450" s="65"/>
    </row>
    <row r="451" spans="1:8" ht="24.95" customHeight="1">
      <c r="A451" s="2038"/>
      <c r="B451" s="61" t="s">
        <v>117</v>
      </c>
      <c r="C451" s="61" t="s">
        <v>118</v>
      </c>
      <c r="D451" s="62" t="s">
        <v>60</v>
      </c>
      <c r="E451" s="63">
        <v>4</v>
      </c>
      <c r="F451" s="64">
        <v>1.72</v>
      </c>
      <c r="G451" s="64">
        <f t="shared" si="13"/>
        <v>6.88</v>
      </c>
      <c r="H451" s="65"/>
    </row>
    <row r="452" spans="1:8" ht="24.95" customHeight="1">
      <c r="A452" s="2038"/>
      <c r="B452" s="61" t="s">
        <v>119</v>
      </c>
      <c r="C452" s="61" t="s">
        <v>120</v>
      </c>
      <c r="D452" s="62" t="s">
        <v>60</v>
      </c>
      <c r="E452" s="63">
        <v>2</v>
      </c>
      <c r="F452" s="64">
        <v>0.88</v>
      </c>
      <c r="G452" s="64">
        <f t="shared" si="13"/>
        <v>1.76</v>
      </c>
      <c r="H452" s="65"/>
    </row>
    <row r="453" spans="1:8" ht="24.95" customHeight="1">
      <c r="A453" s="2038"/>
      <c r="B453" s="61" t="s">
        <v>121</v>
      </c>
      <c r="C453" s="61" t="s">
        <v>122</v>
      </c>
      <c r="D453" s="62" t="s">
        <v>60</v>
      </c>
      <c r="E453" s="63">
        <v>2</v>
      </c>
      <c r="F453" s="64">
        <v>1.01</v>
      </c>
      <c r="G453" s="64">
        <f t="shared" si="13"/>
        <v>2.02</v>
      </c>
      <c r="H453" s="65"/>
    </row>
    <row r="454" spans="1:8" ht="24.95" customHeight="1">
      <c r="A454" s="2038"/>
      <c r="B454" s="61" t="s">
        <v>113</v>
      </c>
      <c r="C454" s="61" t="s">
        <v>150</v>
      </c>
      <c r="D454" s="62" t="s">
        <v>60</v>
      </c>
      <c r="E454" s="63">
        <v>2</v>
      </c>
      <c r="F454" s="64">
        <v>16.12</v>
      </c>
      <c r="G454" s="64">
        <f t="shared" si="13"/>
        <v>32.24</v>
      </c>
      <c r="H454" s="65"/>
    </row>
    <row r="455" spans="1:8" ht="24.95" customHeight="1">
      <c r="A455" s="2038"/>
      <c r="B455" s="61" t="s">
        <v>124</v>
      </c>
      <c r="C455" s="61" t="s">
        <v>125</v>
      </c>
      <c r="D455" s="62" t="s">
        <v>60</v>
      </c>
      <c r="E455" s="66">
        <v>2</v>
      </c>
      <c r="F455" s="64">
        <v>1.58</v>
      </c>
      <c r="G455" s="64">
        <f t="shared" si="13"/>
        <v>3.16</v>
      </c>
      <c r="H455" s="65"/>
    </row>
    <row r="456" spans="1:8" ht="24.95" customHeight="1">
      <c r="A456" s="2038"/>
      <c r="B456" s="61" t="s">
        <v>78</v>
      </c>
      <c r="C456" s="61" t="s">
        <v>126</v>
      </c>
      <c r="D456" s="62" t="s">
        <v>60</v>
      </c>
      <c r="E456" s="63">
        <v>2</v>
      </c>
      <c r="F456" s="64">
        <v>7.0000000000000007E-2</v>
      </c>
      <c r="G456" s="64">
        <f t="shared" si="13"/>
        <v>0.14000000000000001</v>
      </c>
      <c r="H456" s="67"/>
    </row>
    <row r="457" spans="1:8" ht="24.95" customHeight="1">
      <c r="A457" s="2038"/>
      <c r="B457" s="61" t="s">
        <v>127</v>
      </c>
      <c r="C457" s="61" t="s">
        <v>128</v>
      </c>
      <c r="D457" s="62" t="s">
        <v>60</v>
      </c>
      <c r="E457" s="66">
        <v>4</v>
      </c>
      <c r="F457" s="64">
        <v>0.2</v>
      </c>
      <c r="G457" s="64">
        <f t="shared" si="13"/>
        <v>0.8</v>
      </c>
      <c r="H457" s="67"/>
    </row>
    <row r="458" spans="1:8" ht="24.95" customHeight="1">
      <c r="A458" s="2039"/>
      <c r="B458" s="61"/>
      <c r="C458" s="61"/>
      <c r="D458" s="61"/>
      <c r="E458" s="61"/>
      <c r="F458" s="61"/>
      <c r="G458" s="61"/>
      <c r="H458" s="67"/>
    </row>
    <row r="459" spans="1:8" ht="24.95" customHeight="1">
      <c r="A459" s="2025" t="s">
        <v>73</v>
      </c>
      <c r="B459" s="2026"/>
      <c r="C459" s="68"/>
      <c r="D459" s="69" t="s">
        <v>74</v>
      </c>
      <c r="E459" s="70">
        <v>1</v>
      </c>
      <c r="F459" s="68"/>
      <c r="G459" s="71">
        <f>SUM(G449:G457)</f>
        <v>50.899999999999991</v>
      </c>
      <c r="H459" s="72"/>
    </row>
    <row r="460" spans="1:8" ht="24.95" customHeight="1">
      <c r="A460" s="2040"/>
      <c r="B460" s="61" t="s">
        <v>129</v>
      </c>
      <c r="C460" s="61" t="s">
        <v>130</v>
      </c>
      <c r="D460" s="62" t="s">
        <v>60</v>
      </c>
      <c r="E460" s="66">
        <v>5</v>
      </c>
      <c r="F460" s="74">
        <v>0.35</v>
      </c>
      <c r="G460" s="80">
        <f>F460*E460</f>
        <v>1.75</v>
      </c>
      <c r="H460" s="67"/>
    </row>
    <row r="461" spans="1:8" ht="24.95" customHeight="1">
      <c r="A461" s="2038"/>
      <c r="B461" s="61" t="s">
        <v>86</v>
      </c>
      <c r="C461" s="61" t="s">
        <v>131</v>
      </c>
      <c r="D461" s="62" t="s">
        <v>60</v>
      </c>
      <c r="E461" s="81">
        <v>0.1</v>
      </c>
      <c r="F461" s="74">
        <v>0.86</v>
      </c>
      <c r="G461" s="74">
        <f>F461*E461</f>
        <v>8.6000000000000007E-2</v>
      </c>
      <c r="H461" s="67"/>
    </row>
    <row r="462" spans="1:8" ht="24.95" customHeight="1">
      <c r="A462" s="2038"/>
      <c r="B462" s="61" t="s">
        <v>132</v>
      </c>
      <c r="C462" s="61"/>
      <c r="D462" s="62" t="s">
        <v>60</v>
      </c>
      <c r="E462" s="81">
        <v>0.2</v>
      </c>
      <c r="F462" s="61"/>
      <c r="G462" s="61"/>
      <c r="H462" s="67"/>
    </row>
    <row r="463" spans="1:8" ht="24.95" customHeight="1">
      <c r="A463" s="2038"/>
      <c r="B463" s="61" t="s">
        <v>90</v>
      </c>
      <c r="C463" s="61" t="s">
        <v>91</v>
      </c>
      <c r="D463" s="62" t="s">
        <v>92</v>
      </c>
      <c r="E463" s="75">
        <v>0.27</v>
      </c>
      <c r="F463" s="61"/>
      <c r="G463" s="61"/>
      <c r="H463" s="67"/>
    </row>
    <row r="464" spans="1:8" ht="24.95" customHeight="1">
      <c r="A464" s="2038"/>
      <c r="B464" s="61" t="s">
        <v>93</v>
      </c>
      <c r="C464" s="61"/>
      <c r="D464" s="62" t="s">
        <v>60</v>
      </c>
      <c r="E464" s="75">
        <v>0.30199999999999999</v>
      </c>
      <c r="F464" s="61"/>
      <c r="G464" s="61"/>
      <c r="H464" s="67"/>
    </row>
    <row r="465" spans="1:8" ht="24.95" customHeight="1">
      <c r="A465" s="2038"/>
      <c r="B465" s="61" t="s">
        <v>94</v>
      </c>
      <c r="C465" s="61" t="s">
        <v>95</v>
      </c>
      <c r="D465" s="62" t="s">
        <v>60</v>
      </c>
      <c r="E465" s="75">
        <v>0.112</v>
      </c>
      <c r="F465" s="61"/>
      <c r="G465" s="61"/>
      <c r="H465" s="67"/>
    </row>
    <row r="466" spans="1:8" ht="24.95" customHeight="1">
      <c r="A466" s="2038"/>
      <c r="B466" s="61"/>
      <c r="C466" s="61"/>
      <c r="D466" s="62"/>
      <c r="E466" s="75"/>
      <c r="F466" s="61"/>
      <c r="G466" s="61"/>
      <c r="H466" s="67"/>
    </row>
    <row r="467" spans="1:8" ht="24.95" customHeight="1">
      <c r="A467" s="2038"/>
      <c r="B467" s="61"/>
      <c r="C467" s="61"/>
      <c r="D467" s="62"/>
      <c r="E467" s="75"/>
      <c r="F467" s="61"/>
      <c r="G467" s="61"/>
      <c r="H467" s="67"/>
    </row>
    <row r="468" spans="1:8" ht="24.95" customHeight="1">
      <c r="A468" s="2038"/>
      <c r="B468" s="61"/>
      <c r="C468" s="61"/>
      <c r="D468" s="62"/>
      <c r="E468" s="75"/>
      <c r="F468" s="61"/>
      <c r="G468" s="61"/>
      <c r="H468" s="67"/>
    </row>
    <row r="469" spans="1:8" ht="24.95" customHeight="1">
      <c r="A469" s="2025" t="s">
        <v>73</v>
      </c>
      <c r="B469" s="2026"/>
      <c r="C469" s="68"/>
      <c r="D469" s="69" t="s">
        <v>74</v>
      </c>
      <c r="E469" s="70">
        <v>1</v>
      </c>
      <c r="F469" s="68"/>
      <c r="G469" s="71">
        <f>SUM(G460:G467)</f>
        <v>1.8360000000000001</v>
      </c>
      <c r="H469" s="72"/>
    </row>
    <row r="470" spans="1:8" ht="24.95" customHeight="1">
      <c r="A470" s="82"/>
      <c r="B470" s="61"/>
      <c r="C470" s="61"/>
      <c r="D470" s="61"/>
      <c r="E470" s="61"/>
      <c r="F470" s="61"/>
      <c r="G470" s="61"/>
      <c r="H470" s="67"/>
    </row>
    <row r="471" spans="1:8" ht="24.95" customHeight="1">
      <c r="A471" s="83"/>
      <c r="B471" s="61"/>
      <c r="C471" s="61"/>
      <c r="D471" s="61"/>
      <c r="E471" s="61"/>
      <c r="F471" s="61"/>
      <c r="G471" s="61"/>
      <c r="H471" s="67"/>
    </row>
    <row r="472" spans="1:8" ht="24.95" customHeight="1">
      <c r="A472" s="2020" t="s">
        <v>96</v>
      </c>
      <c r="B472" s="2021"/>
      <c r="C472" s="76"/>
      <c r="D472" s="76"/>
      <c r="E472" s="76"/>
      <c r="F472" s="76"/>
      <c r="G472" s="77">
        <f>G459+G469</f>
        <v>52.73599999999999</v>
      </c>
      <c r="H472" s="78"/>
    </row>
    <row r="473" spans="1:8" ht="24.95" customHeight="1">
      <c r="A473" s="2022" t="s">
        <v>97</v>
      </c>
      <c r="B473" s="2023"/>
      <c r="C473" s="2023"/>
      <c r="D473" s="2023"/>
      <c r="E473" s="2023"/>
      <c r="F473" s="2023"/>
      <c r="G473" s="2023"/>
      <c r="H473" s="2030"/>
    </row>
    <row r="474" spans="1:8" ht="24.95" customHeight="1">
      <c r="A474" s="2031"/>
      <c r="B474" s="2032"/>
      <c r="C474" s="2032"/>
      <c r="D474" s="2032"/>
      <c r="E474" s="2032"/>
      <c r="F474" s="2032"/>
      <c r="G474" s="2032"/>
      <c r="H474" s="2033"/>
    </row>
    <row r="475" spans="1:8" ht="24.95" customHeight="1">
      <c r="A475" s="2031"/>
      <c r="B475" s="2032"/>
      <c r="C475" s="2032"/>
      <c r="D475" s="2032"/>
      <c r="E475" s="2032"/>
      <c r="F475" s="2032"/>
      <c r="G475" s="2032"/>
      <c r="H475" s="2033"/>
    </row>
    <row r="476" spans="1:8" ht="24.95" customHeight="1">
      <c r="A476" s="2031"/>
      <c r="B476" s="2032"/>
      <c r="C476" s="2032"/>
      <c r="D476" s="2032"/>
      <c r="E476" s="2032"/>
      <c r="F476" s="2032"/>
      <c r="G476" s="2032"/>
      <c r="H476" s="2033"/>
    </row>
    <row r="477" spans="1:8" ht="24.95" customHeight="1">
      <c r="A477" s="2034"/>
      <c r="B477" s="2035"/>
      <c r="C477" s="2035"/>
      <c r="D477" s="2035"/>
      <c r="E477" s="2035"/>
      <c r="F477" s="2035"/>
      <c r="G477" s="2035"/>
      <c r="H477" s="2036"/>
    </row>
  </sheetData>
  <mergeCells count="127">
    <mergeCell ref="A358:A366"/>
    <mergeCell ref="A367:B367"/>
    <mergeCell ref="A357:B357"/>
    <mergeCell ref="A405:B405"/>
    <mergeCell ref="C405:H405"/>
    <mergeCell ref="A370:B370"/>
    <mergeCell ref="A371:B371"/>
    <mergeCell ref="C371:H371"/>
    <mergeCell ref="A372:H375"/>
    <mergeCell ref="A380:B380"/>
    <mergeCell ref="A381:A390"/>
    <mergeCell ref="A391:B391"/>
    <mergeCell ref="A392:A400"/>
    <mergeCell ref="A401:B401"/>
    <mergeCell ref="A404:B404"/>
    <mergeCell ref="A406:H409"/>
    <mergeCell ref="A414:B414"/>
    <mergeCell ref="A440:H443"/>
    <mergeCell ref="A415:A424"/>
    <mergeCell ref="A425:B425"/>
    <mergeCell ref="A426:A434"/>
    <mergeCell ref="A435:B435"/>
    <mergeCell ref="A438:B438"/>
    <mergeCell ref="A474:H477"/>
    <mergeCell ref="A459:B459"/>
    <mergeCell ref="A460:A468"/>
    <mergeCell ref="A469:B469"/>
    <mergeCell ref="A472:B472"/>
    <mergeCell ref="A439:B439"/>
    <mergeCell ref="C439:H439"/>
    <mergeCell ref="A448:B448"/>
    <mergeCell ref="A449:A458"/>
    <mergeCell ref="A473:B473"/>
    <mergeCell ref="C473:H473"/>
    <mergeCell ref="A303:B303"/>
    <mergeCell ref="C303:H303"/>
    <mergeCell ref="A304:H307"/>
    <mergeCell ref="A312:B312"/>
    <mergeCell ref="A313:A322"/>
    <mergeCell ref="A338:H341"/>
    <mergeCell ref="A346:B346"/>
    <mergeCell ref="A347:A356"/>
    <mergeCell ref="A323:B323"/>
    <mergeCell ref="A324:A332"/>
    <mergeCell ref="A333:B333"/>
    <mergeCell ref="A336:B336"/>
    <mergeCell ref="C337:H337"/>
    <mergeCell ref="A337:B337"/>
    <mergeCell ref="A279:A288"/>
    <mergeCell ref="A289:B289"/>
    <mergeCell ref="A202:H205"/>
    <mergeCell ref="A221:B221"/>
    <mergeCell ref="C269:H269"/>
    <mergeCell ref="A234:B234"/>
    <mergeCell ref="A235:B235"/>
    <mergeCell ref="C235:H235"/>
    <mergeCell ref="A302:B302"/>
    <mergeCell ref="A290:A298"/>
    <mergeCell ref="A299:B299"/>
    <mergeCell ref="A269:B269"/>
    <mergeCell ref="A210:B210"/>
    <mergeCell ref="A211:A220"/>
    <mergeCell ref="A256:A264"/>
    <mergeCell ref="A244:B244"/>
    <mergeCell ref="A245:A254"/>
    <mergeCell ref="A222:A230"/>
    <mergeCell ref="A270:H273"/>
    <mergeCell ref="A278:B278"/>
    <mergeCell ref="A231:B231"/>
    <mergeCell ref="A255:B255"/>
    <mergeCell ref="A120:A128"/>
    <mergeCell ref="A154:A162"/>
    <mergeCell ref="A163:B163"/>
    <mergeCell ref="A187:B187"/>
    <mergeCell ref="A188:A196"/>
    <mergeCell ref="A236:H239"/>
    <mergeCell ref="A265:B265"/>
    <mergeCell ref="A268:B268"/>
    <mergeCell ref="A153:B153"/>
    <mergeCell ref="A133:B133"/>
    <mergeCell ref="A143:A152"/>
    <mergeCell ref="C201:H201"/>
    <mergeCell ref="A166:B166"/>
    <mergeCell ref="A167:B167"/>
    <mergeCell ref="C167:H167"/>
    <mergeCell ref="A168:H171"/>
    <mergeCell ref="A176:B176"/>
    <mergeCell ref="A177:A186"/>
    <mergeCell ref="A197:B197"/>
    <mergeCell ref="A200:B200"/>
    <mergeCell ref="A201:B201"/>
    <mergeCell ref="A142:B142"/>
    <mergeCell ref="C133:H133"/>
    <mergeCell ref="A134:H137"/>
    <mergeCell ref="A129:B129"/>
    <mergeCell ref="A132:B132"/>
    <mergeCell ref="A109:A118"/>
    <mergeCell ref="A18:A26"/>
    <mergeCell ref="A27:B27"/>
    <mergeCell ref="A74:B74"/>
    <mergeCell ref="A75:A84"/>
    <mergeCell ref="A100:H103"/>
    <mergeCell ref="A108:B108"/>
    <mergeCell ref="A61:B61"/>
    <mergeCell ref="A64:B64"/>
    <mergeCell ref="A65:B65"/>
    <mergeCell ref="A66:H69"/>
    <mergeCell ref="C65:H65"/>
    <mergeCell ref="A85:B85"/>
    <mergeCell ref="A86:A94"/>
    <mergeCell ref="A41:A50"/>
    <mergeCell ref="A52:A60"/>
    <mergeCell ref="A51:B51"/>
    <mergeCell ref="A98:B98"/>
    <mergeCell ref="A99:B99"/>
    <mergeCell ref="C99:H99"/>
    <mergeCell ref="A119:B119"/>
    <mergeCell ref="A95:B95"/>
    <mergeCell ref="A1:H1"/>
    <mergeCell ref="A6:B6"/>
    <mergeCell ref="A7:A16"/>
    <mergeCell ref="A17:B17"/>
    <mergeCell ref="A30:B30"/>
    <mergeCell ref="A31:B31"/>
    <mergeCell ref="C31:H31"/>
    <mergeCell ref="A32:H35"/>
    <mergeCell ref="A40:B40"/>
  </mergeCells>
  <phoneticPr fontId="3" type="noConversion"/>
  <printOptions horizontalCentered="1"/>
  <pageMargins left="0.43307086614173229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E9"/>
  <sheetViews>
    <sheetView workbookViewId="0">
      <selection activeCell="D5" sqref="D5"/>
    </sheetView>
  </sheetViews>
  <sheetFormatPr defaultColWidth="8.88671875" defaultRowHeight="13.5"/>
  <cols>
    <col min="1" max="1" width="14.33203125" style="85" customWidth="1"/>
    <col min="2" max="2" width="9.33203125" style="85" customWidth="1"/>
    <col min="3" max="3" width="21.6640625" style="85" customWidth="1"/>
    <col min="4" max="4" width="11.109375" style="85" customWidth="1"/>
    <col min="5" max="5" width="12.6640625" style="85" customWidth="1"/>
    <col min="6" max="16384" width="8.88671875" style="85"/>
  </cols>
  <sheetData>
    <row r="2" spans="1:5" ht="25.5">
      <c r="A2" s="2047" t="s">
        <v>152</v>
      </c>
      <c r="B2" s="2047"/>
      <c r="C2" s="2047"/>
      <c r="D2" s="2047"/>
      <c r="E2" s="2047"/>
    </row>
    <row r="3" spans="1:5" ht="25.5">
      <c r="A3" s="84"/>
      <c r="B3" s="84"/>
      <c r="C3" s="84"/>
      <c r="D3" s="84"/>
      <c r="E3" s="84"/>
    </row>
    <row r="4" spans="1:5" ht="26.25" thickBot="1">
      <c r="A4" s="84"/>
      <c r="B4" s="84"/>
      <c r="C4" s="84"/>
      <c r="D4" s="84"/>
      <c r="E4" s="84"/>
    </row>
    <row r="5" spans="1:5" ht="30" customHeight="1">
      <c r="A5" s="86" t="s">
        <v>153</v>
      </c>
      <c r="B5" s="2048" t="s">
        <v>154</v>
      </c>
      <c r="C5" s="2049"/>
      <c r="D5" s="87" t="s">
        <v>155</v>
      </c>
      <c r="E5" s="88" t="s">
        <v>156</v>
      </c>
    </row>
    <row r="6" spans="1:5" ht="30" customHeight="1">
      <c r="A6" s="2041" t="s">
        <v>157</v>
      </c>
      <c r="B6" s="2043" t="s">
        <v>158</v>
      </c>
      <c r="C6" s="89" t="s">
        <v>159</v>
      </c>
      <c r="D6" s="89" t="s">
        <v>160</v>
      </c>
      <c r="E6" s="2045">
        <v>6.5</v>
      </c>
    </row>
    <row r="7" spans="1:5" ht="30" customHeight="1">
      <c r="A7" s="2050"/>
      <c r="B7" s="2051"/>
      <c r="C7" s="89" t="s">
        <v>161</v>
      </c>
      <c r="D7" s="89" t="s">
        <v>162</v>
      </c>
      <c r="E7" s="2052"/>
    </row>
    <row r="8" spans="1:5" ht="30" customHeight="1">
      <c r="A8" s="2041" t="s">
        <v>163</v>
      </c>
      <c r="B8" s="2043" t="s">
        <v>164</v>
      </c>
      <c r="C8" s="89" t="s">
        <v>159</v>
      </c>
      <c r="D8" s="89" t="s">
        <v>165</v>
      </c>
      <c r="E8" s="2045">
        <v>5.5</v>
      </c>
    </row>
    <row r="9" spans="1:5" ht="30" customHeight="1" thickBot="1">
      <c r="A9" s="2042"/>
      <c r="B9" s="2044"/>
      <c r="C9" s="90" t="s">
        <v>161</v>
      </c>
      <c r="D9" s="90" t="s">
        <v>162</v>
      </c>
      <c r="E9" s="2046"/>
    </row>
  </sheetData>
  <mergeCells count="8">
    <mergeCell ref="A8:A9"/>
    <mergeCell ref="B8:B9"/>
    <mergeCell ref="E8:E9"/>
    <mergeCell ref="A2:E2"/>
    <mergeCell ref="B5:C5"/>
    <mergeCell ref="A6:A7"/>
    <mergeCell ref="B6:B7"/>
    <mergeCell ref="E6:E7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205"/>
  <sheetViews>
    <sheetView view="pageBreakPreview" topLeftCell="A16" zoomScale="85" zoomScaleSheetLayoutView="85" workbookViewId="0">
      <selection activeCell="E70" sqref="E70"/>
    </sheetView>
  </sheetViews>
  <sheetFormatPr defaultColWidth="8.88671875" defaultRowHeight="11.25"/>
  <cols>
    <col min="1" max="1" width="6.6640625" style="51" bestFit="1" customWidth="1"/>
    <col min="2" max="2" width="11.21875" style="51" bestFit="1" customWidth="1"/>
    <col min="3" max="3" width="19.21875" style="51" bestFit="1" customWidth="1"/>
    <col min="4" max="4" width="4.44140625" style="51" bestFit="1" customWidth="1"/>
    <col min="5" max="5" width="7.6640625" style="51" bestFit="1" customWidth="1"/>
    <col min="6" max="6" width="8.44140625" style="51" bestFit="1" customWidth="1"/>
    <col min="7" max="7" width="9" style="51" customWidth="1"/>
    <col min="8" max="8" width="10.5546875" style="51" customWidth="1"/>
    <col min="9" max="16384" width="8.88671875" style="51"/>
  </cols>
  <sheetData>
    <row r="1" spans="1:9" ht="25.5">
      <c r="A1" s="2027" t="s">
        <v>46</v>
      </c>
      <c r="B1" s="2027"/>
      <c r="C1" s="2027"/>
      <c r="D1" s="2027"/>
      <c r="E1" s="2027"/>
      <c r="F1" s="2027"/>
      <c r="G1" s="2027"/>
      <c r="H1" s="2027"/>
    </row>
    <row r="2" spans="1:9" s="53" customFormat="1" ht="19.5" customHeight="1">
      <c r="A2" s="378" t="s">
        <v>47</v>
      </c>
      <c r="B2" s="378" t="s">
        <v>166</v>
      </c>
      <c r="C2" s="378" t="s">
        <v>167</v>
      </c>
    </row>
    <row r="3" spans="1:9" s="53" customFormat="1" ht="9.75" customHeight="1"/>
    <row r="4" spans="1:9" s="53" customFormat="1" ht="24.95" customHeight="1">
      <c r="A4" s="2028" t="s">
        <v>50</v>
      </c>
      <c r="B4" s="2028"/>
      <c r="C4" s="54" t="s">
        <v>51</v>
      </c>
      <c r="D4" s="54" t="s">
        <v>52</v>
      </c>
      <c r="E4" s="54" t="s">
        <v>53</v>
      </c>
      <c r="F4" s="54" t="s">
        <v>54</v>
      </c>
      <c r="G4" s="54" t="s">
        <v>56</v>
      </c>
      <c r="H4" s="54" t="s">
        <v>57</v>
      </c>
    </row>
    <row r="5" spans="1:9" s="53" customFormat="1" ht="24.95" customHeight="1">
      <c r="A5" s="2029" t="s">
        <v>58</v>
      </c>
      <c r="B5" s="55" t="s">
        <v>58</v>
      </c>
      <c r="C5" s="55" t="s">
        <v>168</v>
      </c>
      <c r="D5" s="56" t="s">
        <v>60</v>
      </c>
      <c r="E5" s="57">
        <v>1</v>
      </c>
      <c r="F5" s="58">
        <v>52.28</v>
      </c>
      <c r="G5" s="58">
        <f t="shared" ref="G5:G11" si="0">F5*E5</f>
        <v>52.28</v>
      </c>
      <c r="H5" s="91"/>
      <c r="I5" s="60"/>
    </row>
    <row r="6" spans="1:9" s="53" customFormat="1" ht="24.95" customHeight="1">
      <c r="A6" s="2024"/>
      <c r="B6" s="61" t="s">
        <v>61</v>
      </c>
      <c r="C6" s="61" t="s">
        <v>169</v>
      </c>
      <c r="D6" s="62" t="s">
        <v>60</v>
      </c>
      <c r="E6" s="63">
        <v>1</v>
      </c>
      <c r="F6" s="64">
        <v>0.38</v>
      </c>
      <c r="G6" s="64">
        <f t="shared" si="0"/>
        <v>0.38</v>
      </c>
      <c r="H6" s="92"/>
      <c r="I6" s="60"/>
    </row>
    <row r="7" spans="1:9" s="53" customFormat="1" ht="24.95" customHeight="1">
      <c r="A7" s="2024"/>
      <c r="B7" s="61" t="s">
        <v>63</v>
      </c>
      <c r="C7" s="61" t="s">
        <v>170</v>
      </c>
      <c r="D7" s="62" t="s">
        <v>60</v>
      </c>
      <c r="E7" s="63">
        <v>2</v>
      </c>
      <c r="F7" s="64">
        <v>0.17</v>
      </c>
      <c r="G7" s="64">
        <f t="shared" si="0"/>
        <v>0.34</v>
      </c>
      <c r="H7" s="92"/>
      <c r="I7" s="60"/>
    </row>
    <row r="8" spans="1:9" s="53" customFormat="1" ht="24.95" customHeight="1">
      <c r="A8" s="2024"/>
      <c r="B8" s="61" t="s">
        <v>65</v>
      </c>
      <c r="C8" s="61" t="s">
        <v>66</v>
      </c>
      <c r="D8" s="62" t="s">
        <v>60</v>
      </c>
      <c r="E8" s="63">
        <v>4</v>
      </c>
      <c r="F8" s="64">
        <v>0.57999999999999996</v>
      </c>
      <c r="G8" s="64">
        <f t="shared" si="0"/>
        <v>2.3199999999999998</v>
      </c>
      <c r="H8" s="92"/>
      <c r="I8" s="60"/>
    </row>
    <row r="9" spans="1:9" s="53" customFormat="1" ht="24.95" customHeight="1">
      <c r="A9" s="2024"/>
      <c r="B9" s="61" t="s">
        <v>67</v>
      </c>
      <c r="C9" s="61" t="s">
        <v>68</v>
      </c>
      <c r="D9" s="62" t="s">
        <v>60</v>
      </c>
      <c r="E9" s="63">
        <v>1</v>
      </c>
      <c r="F9" s="64">
        <v>7.12</v>
      </c>
      <c r="G9" s="64">
        <f t="shared" si="0"/>
        <v>7.12</v>
      </c>
      <c r="H9" s="92"/>
      <c r="I9" s="60"/>
    </row>
    <row r="10" spans="1:9" s="53" customFormat="1" ht="24.95" customHeight="1">
      <c r="A10" s="2024"/>
      <c r="B10" s="61" t="s">
        <v>69</v>
      </c>
      <c r="C10" s="61" t="s">
        <v>171</v>
      </c>
      <c r="D10" s="62" t="s">
        <v>60</v>
      </c>
      <c r="E10" s="63">
        <v>1</v>
      </c>
      <c r="F10" s="64">
        <v>1.36</v>
      </c>
      <c r="G10" s="64">
        <f t="shared" si="0"/>
        <v>1.36</v>
      </c>
      <c r="H10" s="92"/>
      <c r="I10" s="60"/>
    </row>
    <row r="11" spans="1:9" s="53" customFormat="1" ht="24.95" customHeight="1">
      <c r="A11" s="2024"/>
      <c r="B11" s="61" t="s">
        <v>71</v>
      </c>
      <c r="C11" s="61" t="s">
        <v>72</v>
      </c>
      <c r="D11" s="62" t="s">
        <v>60</v>
      </c>
      <c r="E11" s="66">
        <v>1</v>
      </c>
      <c r="F11" s="64">
        <v>0.01</v>
      </c>
      <c r="G11" s="64">
        <f t="shared" si="0"/>
        <v>0.01</v>
      </c>
      <c r="H11" s="92"/>
      <c r="I11" s="60"/>
    </row>
    <row r="12" spans="1:9" s="53" customFormat="1" ht="24.95" customHeight="1">
      <c r="A12" s="2024"/>
      <c r="B12" s="61"/>
      <c r="C12" s="61"/>
      <c r="D12" s="61"/>
      <c r="E12" s="61"/>
      <c r="F12" s="61"/>
      <c r="G12" s="61"/>
      <c r="H12" s="67"/>
    </row>
    <row r="13" spans="1:9" s="53" customFormat="1" ht="24.95" customHeight="1">
      <c r="A13" s="2025" t="s">
        <v>73</v>
      </c>
      <c r="B13" s="2026"/>
      <c r="C13" s="68"/>
      <c r="D13" s="69" t="s">
        <v>74</v>
      </c>
      <c r="E13" s="70">
        <v>1</v>
      </c>
      <c r="F13" s="68"/>
      <c r="G13" s="71">
        <f>SUM(G5:G11)</f>
        <v>63.81</v>
      </c>
      <c r="H13" s="72"/>
    </row>
    <row r="14" spans="1:9" s="53" customFormat="1" ht="24.95" customHeight="1">
      <c r="A14" s="2024" t="s">
        <v>75</v>
      </c>
      <c r="B14" s="61" t="s">
        <v>76</v>
      </c>
      <c r="C14" s="61" t="s">
        <v>172</v>
      </c>
      <c r="D14" s="62" t="s">
        <v>60</v>
      </c>
      <c r="E14" s="63">
        <v>2</v>
      </c>
      <c r="F14" s="64">
        <v>0.32</v>
      </c>
      <c r="G14" s="64">
        <f>F14*E14</f>
        <v>0.64</v>
      </c>
      <c r="H14" s="67"/>
    </row>
    <row r="15" spans="1:9" s="53" customFormat="1" ht="24.95" customHeight="1">
      <c r="A15" s="2024"/>
      <c r="B15" s="61" t="s">
        <v>78</v>
      </c>
      <c r="C15" s="61" t="s">
        <v>173</v>
      </c>
      <c r="D15" s="62" t="s">
        <v>60</v>
      </c>
      <c r="E15" s="63">
        <v>1</v>
      </c>
      <c r="F15" s="64">
        <v>0.16</v>
      </c>
      <c r="G15" s="64">
        <f>F15*E15</f>
        <v>0.16</v>
      </c>
      <c r="H15" s="67"/>
    </row>
    <row r="16" spans="1:9" s="53" customFormat="1" ht="24.95" customHeight="1">
      <c r="A16" s="2024"/>
      <c r="B16" s="61"/>
      <c r="C16" s="61"/>
      <c r="D16" s="61"/>
      <c r="E16" s="61"/>
      <c r="F16" s="61"/>
      <c r="G16" s="61"/>
      <c r="H16" s="67"/>
    </row>
    <row r="17" spans="1:8" s="53" customFormat="1" ht="24.95" customHeight="1">
      <c r="A17" s="2025" t="s">
        <v>73</v>
      </c>
      <c r="B17" s="2026"/>
      <c r="C17" s="68"/>
      <c r="D17" s="69" t="s">
        <v>74</v>
      </c>
      <c r="E17" s="69">
        <v>1</v>
      </c>
      <c r="F17" s="68"/>
      <c r="G17" s="71">
        <f>SUM(G14:G15)</f>
        <v>0.8</v>
      </c>
      <c r="H17" s="72"/>
    </row>
    <row r="18" spans="1:8" s="53" customFormat="1" ht="24.95" customHeight="1">
      <c r="A18" s="2024" t="s">
        <v>80</v>
      </c>
      <c r="B18" s="61" t="s">
        <v>81</v>
      </c>
      <c r="C18" s="61" t="s">
        <v>82</v>
      </c>
      <c r="D18" s="62" t="s">
        <v>60</v>
      </c>
      <c r="E18" s="73">
        <v>6</v>
      </c>
      <c r="F18" s="61"/>
      <c r="G18" s="61"/>
      <c r="H18" s="67"/>
    </row>
    <row r="19" spans="1:8" s="53" customFormat="1" ht="24.95" customHeight="1">
      <c r="A19" s="2024"/>
      <c r="B19" s="61" t="s">
        <v>83</v>
      </c>
      <c r="C19" s="61" t="s">
        <v>84</v>
      </c>
      <c r="D19" s="62" t="s">
        <v>60</v>
      </c>
      <c r="E19" s="66" t="s">
        <v>85</v>
      </c>
      <c r="F19" s="61"/>
      <c r="G19" s="61"/>
      <c r="H19" s="67"/>
    </row>
    <row r="20" spans="1:8" s="53" customFormat="1" ht="24.95" customHeight="1">
      <c r="A20" s="2024"/>
      <c r="B20" s="61" t="s">
        <v>86</v>
      </c>
      <c r="C20" s="61" t="s">
        <v>87</v>
      </c>
      <c r="D20" s="62" t="s">
        <v>60</v>
      </c>
      <c r="E20" s="66" t="s">
        <v>85</v>
      </c>
      <c r="F20" s="74"/>
      <c r="G20" s="74"/>
      <c r="H20" s="67"/>
    </row>
    <row r="21" spans="1:8" s="53" customFormat="1" ht="24.95" customHeight="1">
      <c r="A21" s="2024"/>
      <c r="B21" s="61" t="s">
        <v>88</v>
      </c>
      <c r="C21" s="61"/>
      <c r="D21" s="62" t="s">
        <v>60</v>
      </c>
      <c r="E21" s="66" t="s">
        <v>89</v>
      </c>
      <c r="F21" s="61"/>
      <c r="G21" s="61"/>
      <c r="H21" s="67"/>
    </row>
    <row r="22" spans="1:8" s="53" customFormat="1" ht="24.95" customHeight="1">
      <c r="A22" s="2024"/>
      <c r="B22" s="61" t="s">
        <v>90</v>
      </c>
      <c r="C22" s="61" t="s">
        <v>91</v>
      </c>
      <c r="D22" s="62" t="s">
        <v>92</v>
      </c>
      <c r="E22" s="75">
        <v>0.89500000000000002</v>
      </c>
      <c r="F22" s="61"/>
      <c r="G22" s="61"/>
      <c r="H22" s="67"/>
    </row>
    <row r="23" spans="1:8" s="53" customFormat="1" ht="24.95" customHeight="1">
      <c r="A23" s="2024"/>
      <c r="B23" s="61" t="s">
        <v>93</v>
      </c>
      <c r="C23" s="61"/>
      <c r="D23" s="62" t="s">
        <v>60</v>
      </c>
      <c r="E23" s="75">
        <v>1.002</v>
      </c>
      <c r="F23" s="61"/>
      <c r="G23" s="61"/>
      <c r="H23" s="67"/>
    </row>
    <row r="24" spans="1:8" s="53" customFormat="1" ht="24.95" customHeight="1">
      <c r="A24" s="2024"/>
      <c r="B24" s="61" t="s">
        <v>94</v>
      </c>
      <c r="C24" s="61" t="s">
        <v>95</v>
      </c>
      <c r="D24" s="62" t="s">
        <v>60</v>
      </c>
      <c r="E24" s="75">
        <v>0.35599999999999998</v>
      </c>
      <c r="F24" s="61"/>
      <c r="G24" s="61"/>
      <c r="H24" s="67"/>
    </row>
    <row r="25" spans="1:8" s="53" customFormat="1" ht="24.95" customHeight="1">
      <c r="A25" s="2024"/>
      <c r="B25" s="61"/>
      <c r="C25" s="61"/>
      <c r="D25" s="61"/>
      <c r="E25" s="61"/>
      <c r="F25" s="61"/>
      <c r="G25" s="61"/>
      <c r="H25" s="67"/>
    </row>
    <row r="26" spans="1:8" s="53" customFormat="1" ht="24.95" customHeight="1">
      <c r="A26" s="2024"/>
      <c r="B26" s="61"/>
      <c r="C26" s="61"/>
      <c r="D26" s="61"/>
      <c r="E26" s="61"/>
      <c r="F26" s="61"/>
      <c r="G26" s="61"/>
      <c r="H26" s="67"/>
    </row>
    <row r="27" spans="1:8" s="53" customFormat="1" ht="24.95" customHeight="1">
      <c r="A27" s="2024"/>
      <c r="B27" s="61"/>
      <c r="C27" s="61"/>
      <c r="D27" s="61"/>
      <c r="E27" s="61"/>
      <c r="F27" s="61"/>
      <c r="G27" s="61"/>
      <c r="H27" s="67"/>
    </row>
    <row r="28" spans="1:8" s="53" customFormat="1" ht="24.95" customHeight="1">
      <c r="A28" s="2020" t="s">
        <v>96</v>
      </c>
      <c r="B28" s="2021"/>
      <c r="C28" s="76"/>
      <c r="D28" s="76"/>
      <c r="E28" s="76"/>
      <c r="F28" s="76"/>
      <c r="G28" s="77">
        <f>G13+G17+G20</f>
        <v>64.61</v>
      </c>
      <c r="H28" s="78"/>
    </row>
    <row r="29" spans="1:8" s="53" customFormat="1" ht="24.95" customHeight="1">
      <c r="A29" s="2022" t="s">
        <v>97</v>
      </c>
      <c r="B29" s="2023"/>
      <c r="C29" s="2023"/>
      <c r="D29" s="2023"/>
      <c r="E29" s="2023"/>
      <c r="F29" s="2023"/>
      <c r="G29" s="2023"/>
      <c r="H29" s="2030"/>
    </row>
    <row r="30" spans="1:8" s="53" customFormat="1" ht="24.95" customHeight="1">
      <c r="A30" s="2031"/>
      <c r="B30" s="2032"/>
      <c r="C30" s="2032"/>
      <c r="D30" s="2032"/>
      <c r="E30" s="2032"/>
      <c r="F30" s="2032"/>
      <c r="G30" s="2032"/>
      <c r="H30" s="2033"/>
    </row>
    <row r="31" spans="1:8" s="53" customFormat="1" ht="24.95" customHeight="1">
      <c r="A31" s="2034"/>
      <c r="B31" s="2035"/>
      <c r="C31" s="2035"/>
      <c r="D31" s="2035"/>
      <c r="E31" s="2035"/>
      <c r="F31" s="2035"/>
      <c r="G31" s="2035"/>
      <c r="H31" s="2036"/>
    </row>
    <row r="32" spans="1:8" s="53" customFormat="1" ht="24.95" customHeight="1">
      <c r="A32" s="378" t="s">
        <v>47</v>
      </c>
      <c r="B32" s="378" t="s">
        <v>166</v>
      </c>
      <c r="C32" s="378" t="s">
        <v>98</v>
      </c>
    </row>
    <row r="33" spans="1:8" s="53" customFormat="1" ht="24.95" customHeight="1"/>
    <row r="34" spans="1:8" s="53" customFormat="1" ht="24.95" customHeight="1">
      <c r="A34" s="2028" t="s">
        <v>50</v>
      </c>
      <c r="B34" s="2028"/>
      <c r="C34" s="54" t="s">
        <v>51</v>
      </c>
      <c r="D34" s="54" t="s">
        <v>52</v>
      </c>
      <c r="E34" s="54" t="s">
        <v>53</v>
      </c>
      <c r="F34" s="54" t="s">
        <v>54</v>
      </c>
      <c r="G34" s="54" t="s">
        <v>56</v>
      </c>
      <c r="H34" s="54" t="s">
        <v>57</v>
      </c>
    </row>
    <row r="35" spans="1:8" s="53" customFormat="1" ht="24.95" customHeight="1">
      <c r="A35" s="2029" t="s">
        <v>58</v>
      </c>
      <c r="B35" s="55" t="s">
        <v>58</v>
      </c>
      <c r="C35" s="55" t="s">
        <v>174</v>
      </c>
      <c r="D35" s="56" t="s">
        <v>60</v>
      </c>
      <c r="E35" s="57">
        <v>1</v>
      </c>
      <c r="F35" s="58">
        <v>60.63</v>
      </c>
      <c r="G35" s="58">
        <f t="shared" ref="G35:G41" si="1">F35*E35</f>
        <v>60.63</v>
      </c>
      <c r="H35" s="59"/>
    </row>
    <row r="36" spans="1:8" s="53" customFormat="1" ht="24.95" customHeight="1">
      <c r="A36" s="2024"/>
      <c r="B36" s="61" t="s">
        <v>61</v>
      </c>
      <c r="C36" s="61" t="s">
        <v>169</v>
      </c>
      <c r="D36" s="62" t="s">
        <v>60</v>
      </c>
      <c r="E36" s="63">
        <v>1</v>
      </c>
      <c r="F36" s="64">
        <v>0.38</v>
      </c>
      <c r="G36" s="64">
        <f t="shared" si="1"/>
        <v>0.38</v>
      </c>
      <c r="H36" s="65"/>
    </row>
    <row r="37" spans="1:8" s="53" customFormat="1" ht="24.95" customHeight="1">
      <c r="A37" s="2024"/>
      <c r="B37" s="61" t="s">
        <v>63</v>
      </c>
      <c r="C37" s="61" t="s">
        <v>170</v>
      </c>
      <c r="D37" s="62" t="s">
        <v>60</v>
      </c>
      <c r="E37" s="63">
        <v>2</v>
      </c>
      <c r="F37" s="64">
        <v>0.17</v>
      </c>
      <c r="G37" s="64">
        <f t="shared" si="1"/>
        <v>0.34</v>
      </c>
      <c r="H37" s="65"/>
    </row>
    <row r="38" spans="1:8" s="53" customFormat="1" ht="24.95" customHeight="1">
      <c r="A38" s="2024"/>
      <c r="B38" s="61" t="s">
        <v>65</v>
      </c>
      <c r="C38" s="61" t="s">
        <v>66</v>
      </c>
      <c r="D38" s="62" t="s">
        <v>60</v>
      </c>
      <c r="E38" s="63">
        <v>4</v>
      </c>
      <c r="F38" s="64">
        <v>0.57999999999999996</v>
      </c>
      <c r="G38" s="64">
        <f t="shared" si="1"/>
        <v>2.3199999999999998</v>
      </c>
      <c r="H38" s="65"/>
    </row>
    <row r="39" spans="1:8" s="53" customFormat="1" ht="24.95" customHeight="1">
      <c r="A39" s="2024"/>
      <c r="B39" s="61" t="s">
        <v>67</v>
      </c>
      <c r="C39" s="61" t="s">
        <v>68</v>
      </c>
      <c r="D39" s="62" t="s">
        <v>60</v>
      </c>
      <c r="E39" s="63">
        <v>1</v>
      </c>
      <c r="F39" s="64">
        <v>7.12</v>
      </c>
      <c r="G39" s="64">
        <f t="shared" si="1"/>
        <v>7.12</v>
      </c>
      <c r="H39" s="65"/>
    </row>
    <row r="40" spans="1:8" s="53" customFormat="1" ht="24.95" customHeight="1">
      <c r="A40" s="2024"/>
      <c r="B40" s="61" t="s">
        <v>69</v>
      </c>
      <c r="C40" s="61" t="s">
        <v>171</v>
      </c>
      <c r="D40" s="62" t="s">
        <v>60</v>
      </c>
      <c r="E40" s="63">
        <v>1</v>
      </c>
      <c r="F40" s="64">
        <v>1.36</v>
      </c>
      <c r="G40" s="64">
        <f t="shared" si="1"/>
        <v>1.36</v>
      </c>
      <c r="H40" s="65"/>
    </row>
    <row r="41" spans="1:8" s="53" customFormat="1" ht="24.95" customHeight="1">
      <c r="A41" s="2024"/>
      <c r="B41" s="61" t="s">
        <v>71</v>
      </c>
      <c r="C41" s="61" t="s">
        <v>72</v>
      </c>
      <c r="D41" s="62" t="s">
        <v>60</v>
      </c>
      <c r="E41" s="66">
        <v>1</v>
      </c>
      <c r="F41" s="64">
        <v>0.01</v>
      </c>
      <c r="G41" s="64">
        <f t="shared" si="1"/>
        <v>0.01</v>
      </c>
      <c r="H41" s="65"/>
    </row>
    <row r="42" spans="1:8" s="53" customFormat="1" ht="24.95" customHeight="1">
      <c r="A42" s="2024"/>
      <c r="B42" s="61"/>
      <c r="C42" s="61"/>
      <c r="D42" s="61"/>
      <c r="E42" s="61"/>
      <c r="F42" s="61"/>
      <c r="G42" s="61"/>
      <c r="H42" s="67"/>
    </row>
    <row r="43" spans="1:8" s="53" customFormat="1" ht="24.95" customHeight="1">
      <c r="A43" s="2025" t="s">
        <v>73</v>
      </c>
      <c r="B43" s="2026"/>
      <c r="C43" s="68"/>
      <c r="D43" s="69" t="s">
        <v>74</v>
      </c>
      <c r="E43" s="70">
        <v>1</v>
      </c>
      <c r="F43" s="68"/>
      <c r="G43" s="71">
        <f>SUM(G35:G41)</f>
        <v>72.160000000000011</v>
      </c>
      <c r="H43" s="72"/>
    </row>
    <row r="44" spans="1:8" s="53" customFormat="1" ht="24.95" customHeight="1">
      <c r="A44" s="2024" t="s">
        <v>75</v>
      </c>
      <c r="B44" s="61" t="s">
        <v>76</v>
      </c>
      <c r="C44" s="61" t="s">
        <v>172</v>
      </c>
      <c r="D44" s="62" t="s">
        <v>60</v>
      </c>
      <c r="E44" s="63">
        <v>2</v>
      </c>
      <c r="F44" s="64">
        <v>0.32</v>
      </c>
      <c r="G44" s="64">
        <f>F44*E44</f>
        <v>0.64</v>
      </c>
      <c r="H44" s="67"/>
    </row>
    <row r="45" spans="1:8" s="53" customFormat="1" ht="24.95" customHeight="1">
      <c r="A45" s="2024"/>
      <c r="B45" s="61" t="s">
        <v>78</v>
      </c>
      <c r="C45" s="61" t="s">
        <v>173</v>
      </c>
      <c r="D45" s="62" t="s">
        <v>60</v>
      </c>
      <c r="E45" s="63">
        <v>1</v>
      </c>
      <c r="F45" s="64">
        <v>0.16</v>
      </c>
      <c r="G45" s="64">
        <f>F45*E45</f>
        <v>0.16</v>
      </c>
      <c r="H45" s="67"/>
    </row>
    <row r="46" spans="1:8" s="53" customFormat="1" ht="24.95" customHeight="1">
      <c r="A46" s="2024"/>
      <c r="B46" s="61"/>
      <c r="C46" s="61"/>
      <c r="D46" s="61"/>
      <c r="E46" s="61"/>
      <c r="F46" s="61"/>
      <c r="G46" s="61"/>
      <c r="H46" s="67"/>
    </row>
    <row r="47" spans="1:8" s="53" customFormat="1" ht="24.95" customHeight="1">
      <c r="A47" s="2025" t="s">
        <v>73</v>
      </c>
      <c r="B47" s="2026"/>
      <c r="C47" s="68"/>
      <c r="D47" s="69" t="s">
        <v>74</v>
      </c>
      <c r="E47" s="69">
        <v>1</v>
      </c>
      <c r="F47" s="68"/>
      <c r="G47" s="71">
        <f>SUM(G44:G45)</f>
        <v>0.8</v>
      </c>
      <c r="H47" s="72"/>
    </row>
    <row r="48" spans="1:8" s="53" customFormat="1" ht="24.95" customHeight="1">
      <c r="A48" s="2024" t="s">
        <v>80</v>
      </c>
      <c r="B48" s="61" t="s">
        <v>81</v>
      </c>
      <c r="C48" s="61" t="s">
        <v>82</v>
      </c>
      <c r="D48" s="62" t="s">
        <v>60</v>
      </c>
      <c r="E48" s="73">
        <v>6</v>
      </c>
      <c r="F48" s="61"/>
      <c r="G48" s="61"/>
      <c r="H48" s="67"/>
    </row>
    <row r="49" spans="1:8" s="53" customFormat="1" ht="24.95" customHeight="1">
      <c r="A49" s="2024"/>
      <c r="B49" s="61" t="s">
        <v>83</v>
      </c>
      <c r="C49" s="61" t="s">
        <v>84</v>
      </c>
      <c r="D49" s="62" t="s">
        <v>60</v>
      </c>
      <c r="E49" s="66" t="s">
        <v>85</v>
      </c>
      <c r="F49" s="61"/>
      <c r="G49" s="61"/>
      <c r="H49" s="67"/>
    </row>
    <row r="50" spans="1:8" s="53" customFormat="1" ht="24.95" customHeight="1">
      <c r="A50" s="2024"/>
      <c r="B50" s="61" t="s">
        <v>86</v>
      </c>
      <c r="C50" s="61" t="s">
        <v>87</v>
      </c>
      <c r="D50" s="62" t="s">
        <v>60</v>
      </c>
      <c r="E50" s="66" t="s">
        <v>85</v>
      </c>
      <c r="F50" s="74"/>
      <c r="G50" s="74"/>
      <c r="H50" s="67"/>
    </row>
    <row r="51" spans="1:8" s="53" customFormat="1" ht="24.95" customHeight="1">
      <c r="A51" s="2024"/>
      <c r="B51" s="61" t="s">
        <v>88</v>
      </c>
      <c r="C51" s="61"/>
      <c r="D51" s="62" t="s">
        <v>60</v>
      </c>
      <c r="E51" s="66" t="s">
        <v>89</v>
      </c>
      <c r="F51" s="61"/>
      <c r="G51" s="61"/>
      <c r="H51" s="67"/>
    </row>
    <row r="52" spans="1:8" s="53" customFormat="1" ht="24.95" customHeight="1">
      <c r="A52" s="2024"/>
      <c r="B52" s="61" t="s">
        <v>90</v>
      </c>
      <c r="C52" s="61" t="s">
        <v>91</v>
      </c>
      <c r="D52" s="62" t="s">
        <v>92</v>
      </c>
      <c r="E52" s="75">
        <v>1.0369999999999999</v>
      </c>
      <c r="F52" s="61"/>
      <c r="G52" s="61"/>
      <c r="H52" s="67"/>
    </row>
    <row r="53" spans="1:8" s="53" customFormat="1" ht="24.95" customHeight="1">
      <c r="A53" s="2024"/>
      <c r="B53" s="61" t="s">
        <v>93</v>
      </c>
      <c r="C53" s="61"/>
      <c r="D53" s="62" t="s">
        <v>60</v>
      </c>
      <c r="E53" s="75">
        <v>1.161</v>
      </c>
      <c r="F53" s="61"/>
      <c r="G53" s="61"/>
      <c r="H53" s="67"/>
    </row>
    <row r="54" spans="1:8" s="53" customFormat="1" ht="24.95" customHeight="1">
      <c r="A54" s="2024"/>
      <c r="B54" s="61" t="s">
        <v>94</v>
      </c>
      <c r="C54" s="61" t="s">
        <v>95</v>
      </c>
      <c r="D54" s="62" t="s">
        <v>60</v>
      </c>
      <c r="E54" s="75">
        <v>0.41299999999999998</v>
      </c>
      <c r="F54" s="61"/>
      <c r="G54" s="61"/>
      <c r="H54" s="67"/>
    </row>
    <row r="55" spans="1:8" s="53" customFormat="1" ht="24.95" customHeight="1">
      <c r="A55" s="2024"/>
      <c r="B55" s="61"/>
      <c r="C55" s="61"/>
      <c r="D55" s="61"/>
      <c r="E55" s="61"/>
      <c r="F55" s="61"/>
      <c r="G55" s="61"/>
      <c r="H55" s="67"/>
    </row>
    <row r="56" spans="1:8" s="53" customFormat="1" ht="24.95" customHeight="1">
      <c r="A56" s="2024"/>
      <c r="B56" s="61"/>
      <c r="C56" s="61"/>
      <c r="D56" s="61"/>
      <c r="E56" s="61"/>
      <c r="F56" s="61"/>
      <c r="G56" s="61"/>
      <c r="H56" s="67"/>
    </row>
    <row r="57" spans="1:8" ht="24.95" customHeight="1">
      <c r="A57" s="2024"/>
      <c r="B57" s="61"/>
      <c r="C57" s="61"/>
      <c r="D57" s="61"/>
      <c r="E57" s="61"/>
      <c r="F57" s="61"/>
      <c r="G57" s="61"/>
      <c r="H57" s="67"/>
    </row>
    <row r="58" spans="1:8" ht="24.95" customHeight="1">
      <c r="A58" s="2020" t="s">
        <v>96</v>
      </c>
      <c r="B58" s="2021"/>
      <c r="C58" s="76"/>
      <c r="D58" s="76"/>
      <c r="E58" s="76"/>
      <c r="F58" s="76"/>
      <c r="G58" s="77">
        <f>G43+G47+G50</f>
        <v>72.960000000000008</v>
      </c>
      <c r="H58" s="78"/>
    </row>
    <row r="59" spans="1:8" ht="24.95" customHeight="1">
      <c r="A59" s="2022" t="s">
        <v>97</v>
      </c>
      <c r="B59" s="2023"/>
      <c r="C59" s="2023"/>
      <c r="D59" s="2023"/>
      <c r="E59" s="2023"/>
      <c r="F59" s="2023"/>
      <c r="G59" s="2023"/>
      <c r="H59" s="2030"/>
    </row>
    <row r="60" spans="1:8" ht="24.95" customHeight="1">
      <c r="A60" s="2034"/>
      <c r="B60" s="2035"/>
      <c r="C60" s="2035"/>
      <c r="D60" s="2035"/>
      <c r="E60" s="2035"/>
      <c r="F60" s="2035"/>
      <c r="G60" s="2035"/>
      <c r="H60" s="2036"/>
    </row>
    <row r="61" spans="1:8" ht="24.95" customHeight="1">
      <c r="A61" s="378" t="s">
        <v>47</v>
      </c>
      <c r="B61" s="378" t="s">
        <v>166</v>
      </c>
      <c r="C61" s="378" t="s">
        <v>100</v>
      </c>
      <c r="D61" s="53"/>
      <c r="E61" s="53"/>
      <c r="F61" s="53"/>
      <c r="G61" s="53"/>
      <c r="H61" s="53"/>
    </row>
    <row r="62" spans="1:8" ht="24.95" customHeight="1">
      <c r="A62" s="53"/>
      <c r="B62" s="53"/>
      <c r="C62" s="53"/>
      <c r="D62" s="53"/>
      <c r="E62" s="53"/>
      <c r="F62" s="53"/>
      <c r="G62" s="53"/>
      <c r="H62" s="53"/>
    </row>
    <row r="63" spans="1:8" ht="24.95" customHeight="1">
      <c r="A63" s="2028" t="s">
        <v>50</v>
      </c>
      <c r="B63" s="2028"/>
      <c r="C63" s="54" t="s">
        <v>51</v>
      </c>
      <c r="D63" s="54" t="s">
        <v>52</v>
      </c>
      <c r="E63" s="54" t="s">
        <v>53</v>
      </c>
      <c r="F63" s="54" t="s">
        <v>54</v>
      </c>
      <c r="G63" s="54" t="s">
        <v>56</v>
      </c>
      <c r="H63" s="54" t="s">
        <v>57</v>
      </c>
    </row>
    <row r="64" spans="1:8" ht="24.95" customHeight="1">
      <c r="A64" s="2029" t="s">
        <v>58</v>
      </c>
      <c r="B64" s="55" t="s">
        <v>58</v>
      </c>
      <c r="C64" s="55" t="s">
        <v>175</v>
      </c>
      <c r="D64" s="56" t="s">
        <v>60</v>
      </c>
      <c r="E64" s="57">
        <v>1</v>
      </c>
      <c r="F64" s="58">
        <v>64.790000000000006</v>
      </c>
      <c r="G64" s="58">
        <f t="shared" ref="G64:G70" si="2">F64*E64</f>
        <v>64.790000000000006</v>
      </c>
      <c r="H64" s="59"/>
    </row>
    <row r="65" spans="1:8" ht="24.95" customHeight="1">
      <c r="A65" s="2024"/>
      <c r="B65" s="61" t="s">
        <v>61</v>
      </c>
      <c r="C65" s="61" t="s">
        <v>169</v>
      </c>
      <c r="D65" s="62" t="s">
        <v>60</v>
      </c>
      <c r="E65" s="63">
        <v>1</v>
      </c>
      <c r="F65" s="64">
        <v>0.38</v>
      </c>
      <c r="G65" s="64">
        <f t="shared" si="2"/>
        <v>0.38</v>
      </c>
      <c r="H65" s="65"/>
    </row>
    <row r="66" spans="1:8" ht="24.95" customHeight="1">
      <c r="A66" s="2024"/>
      <c r="B66" s="61" t="s">
        <v>63</v>
      </c>
      <c r="C66" s="61" t="s">
        <v>170</v>
      </c>
      <c r="D66" s="62" t="s">
        <v>60</v>
      </c>
      <c r="E66" s="63">
        <v>2</v>
      </c>
      <c r="F66" s="64">
        <v>0.17</v>
      </c>
      <c r="G66" s="64">
        <f t="shared" si="2"/>
        <v>0.34</v>
      </c>
      <c r="H66" s="65"/>
    </row>
    <row r="67" spans="1:8" ht="24.95" customHeight="1">
      <c r="A67" s="2024"/>
      <c r="B67" s="61" t="s">
        <v>65</v>
      </c>
      <c r="C67" s="61" t="s">
        <v>66</v>
      </c>
      <c r="D67" s="62" t="s">
        <v>60</v>
      </c>
      <c r="E67" s="63">
        <v>4</v>
      </c>
      <c r="F67" s="64">
        <v>0.57999999999999996</v>
      </c>
      <c r="G67" s="64">
        <f t="shared" si="2"/>
        <v>2.3199999999999998</v>
      </c>
      <c r="H67" s="65"/>
    </row>
    <row r="68" spans="1:8" ht="24.95" customHeight="1">
      <c r="A68" s="2024"/>
      <c r="B68" s="61" t="s">
        <v>67</v>
      </c>
      <c r="C68" s="61" t="s">
        <v>68</v>
      </c>
      <c r="D68" s="62" t="s">
        <v>60</v>
      </c>
      <c r="E68" s="63">
        <v>1</v>
      </c>
      <c r="F68" s="64">
        <v>7.12</v>
      </c>
      <c r="G68" s="64">
        <f t="shared" si="2"/>
        <v>7.12</v>
      </c>
      <c r="H68" s="65"/>
    </row>
    <row r="69" spans="1:8" ht="24.95" customHeight="1">
      <c r="A69" s="2024"/>
      <c r="B69" s="61" t="s">
        <v>69</v>
      </c>
      <c r="C69" s="61" t="s">
        <v>171</v>
      </c>
      <c r="D69" s="62" t="s">
        <v>60</v>
      </c>
      <c r="E69" s="63">
        <v>1</v>
      </c>
      <c r="F69" s="64">
        <v>1.36</v>
      </c>
      <c r="G69" s="64">
        <f t="shared" si="2"/>
        <v>1.36</v>
      </c>
      <c r="H69" s="65"/>
    </row>
    <row r="70" spans="1:8" ht="24.95" customHeight="1">
      <c r="A70" s="2024"/>
      <c r="B70" s="61" t="s">
        <v>71</v>
      </c>
      <c r="C70" s="61" t="s">
        <v>72</v>
      </c>
      <c r="D70" s="62" t="s">
        <v>60</v>
      </c>
      <c r="E70" s="66">
        <v>1</v>
      </c>
      <c r="F70" s="64">
        <v>0.01</v>
      </c>
      <c r="G70" s="64">
        <f t="shared" si="2"/>
        <v>0.01</v>
      </c>
      <c r="H70" s="65"/>
    </row>
    <row r="71" spans="1:8" ht="24.95" customHeight="1">
      <c r="A71" s="2024"/>
      <c r="B71" s="61"/>
      <c r="C71" s="61"/>
      <c r="D71" s="61"/>
      <c r="E71" s="61"/>
      <c r="F71" s="61"/>
      <c r="G71" s="61"/>
      <c r="H71" s="67"/>
    </row>
    <row r="72" spans="1:8" ht="24.95" customHeight="1">
      <c r="A72" s="2025" t="s">
        <v>73</v>
      </c>
      <c r="B72" s="2026"/>
      <c r="C72" s="68"/>
      <c r="D72" s="69" t="s">
        <v>74</v>
      </c>
      <c r="E72" s="70">
        <v>1</v>
      </c>
      <c r="F72" s="68"/>
      <c r="G72" s="71">
        <f>SUM(G64:G70)</f>
        <v>76.320000000000007</v>
      </c>
      <c r="H72" s="72"/>
    </row>
    <row r="73" spans="1:8" ht="24.95" customHeight="1">
      <c r="A73" s="2024" t="s">
        <v>75</v>
      </c>
      <c r="B73" s="61" t="s">
        <v>76</v>
      </c>
      <c r="C73" s="61" t="s">
        <v>172</v>
      </c>
      <c r="D73" s="62" t="s">
        <v>60</v>
      </c>
      <c r="E73" s="63">
        <v>2</v>
      </c>
      <c r="F73" s="64">
        <v>0.32</v>
      </c>
      <c r="G73" s="64">
        <f>F73*E73</f>
        <v>0.64</v>
      </c>
      <c r="H73" s="67"/>
    </row>
    <row r="74" spans="1:8" ht="24.95" customHeight="1">
      <c r="A74" s="2024"/>
      <c r="B74" s="61" t="s">
        <v>78</v>
      </c>
      <c r="C74" s="61" t="s">
        <v>173</v>
      </c>
      <c r="D74" s="62" t="s">
        <v>60</v>
      </c>
      <c r="E74" s="63">
        <v>1</v>
      </c>
      <c r="F74" s="64">
        <v>0.16</v>
      </c>
      <c r="G74" s="64">
        <f>F74*E74</f>
        <v>0.16</v>
      </c>
      <c r="H74" s="67"/>
    </row>
    <row r="75" spans="1:8" ht="24.95" customHeight="1">
      <c r="A75" s="2024"/>
      <c r="B75" s="61"/>
      <c r="C75" s="61"/>
      <c r="D75" s="61"/>
      <c r="E75" s="61"/>
      <c r="F75" s="61"/>
      <c r="G75" s="61"/>
      <c r="H75" s="67"/>
    </row>
    <row r="76" spans="1:8" ht="24.95" customHeight="1">
      <c r="A76" s="2025" t="s">
        <v>73</v>
      </c>
      <c r="B76" s="2026"/>
      <c r="C76" s="68"/>
      <c r="D76" s="69" t="s">
        <v>74</v>
      </c>
      <c r="E76" s="69">
        <v>1</v>
      </c>
      <c r="F76" s="68"/>
      <c r="G76" s="71">
        <f>SUM(G73:G74)</f>
        <v>0.8</v>
      </c>
      <c r="H76" s="72"/>
    </row>
    <row r="77" spans="1:8" ht="24.95" customHeight="1">
      <c r="A77" s="2024" t="s">
        <v>80</v>
      </c>
      <c r="B77" s="61" t="s">
        <v>81</v>
      </c>
      <c r="C77" s="61" t="s">
        <v>82</v>
      </c>
      <c r="D77" s="62" t="s">
        <v>60</v>
      </c>
      <c r="E77" s="73">
        <v>6</v>
      </c>
      <c r="F77" s="61"/>
      <c r="G77" s="61"/>
      <c r="H77" s="67"/>
    </row>
    <row r="78" spans="1:8" ht="24.95" customHeight="1">
      <c r="A78" s="2024"/>
      <c r="B78" s="61" t="s">
        <v>83</v>
      </c>
      <c r="C78" s="61" t="s">
        <v>84</v>
      </c>
      <c r="D78" s="62" t="s">
        <v>60</v>
      </c>
      <c r="E78" s="66" t="s">
        <v>85</v>
      </c>
      <c r="F78" s="61"/>
      <c r="G78" s="61"/>
      <c r="H78" s="67"/>
    </row>
    <row r="79" spans="1:8" ht="24.95" customHeight="1">
      <c r="A79" s="2024"/>
      <c r="B79" s="61" t="s">
        <v>86</v>
      </c>
      <c r="C79" s="61" t="s">
        <v>87</v>
      </c>
      <c r="D79" s="62" t="s">
        <v>60</v>
      </c>
      <c r="E79" s="66" t="s">
        <v>85</v>
      </c>
      <c r="F79" s="74"/>
      <c r="G79" s="74"/>
      <c r="H79" s="67"/>
    </row>
    <row r="80" spans="1:8" ht="24.95" customHeight="1">
      <c r="A80" s="2024"/>
      <c r="B80" s="61" t="s">
        <v>88</v>
      </c>
      <c r="C80" s="61"/>
      <c r="D80" s="62" t="s">
        <v>60</v>
      </c>
      <c r="E80" s="66" t="s">
        <v>89</v>
      </c>
      <c r="F80" s="61"/>
      <c r="G80" s="61"/>
      <c r="H80" s="67"/>
    </row>
    <row r="81" spans="1:8" ht="24.95" customHeight="1">
      <c r="A81" s="2024"/>
      <c r="B81" s="61" t="s">
        <v>90</v>
      </c>
      <c r="C81" s="61" t="s">
        <v>91</v>
      </c>
      <c r="D81" s="62" t="s">
        <v>92</v>
      </c>
      <c r="E81" s="75">
        <v>1.1080000000000001</v>
      </c>
      <c r="F81" s="61"/>
      <c r="G81" s="61"/>
      <c r="H81" s="67"/>
    </row>
    <row r="82" spans="1:8" ht="24.95" customHeight="1">
      <c r="A82" s="2024"/>
      <c r="B82" s="61" t="s">
        <v>93</v>
      </c>
      <c r="C82" s="61"/>
      <c r="D82" s="62" t="s">
        <v>60</v>
      </c>
      <c r="E82" s="75">
        <v>1.24</v>
      </c>
      <c r="F82" s="61"/>
      <c r="G82" s="61"/>
      <c r="H82" s="67"/>
    </row>
    <row r="83" spans="1:8" ht="24.95" customHeight="1">
      <c r="A83" s="2024"/>
      <c r="B83" s="61" t="s">
        <v>94</v>
      </c>
      <c r="C83" s="61" t="s">
        <v>95</v>
      </c>
      <c r="D83" s="62" t="s">
        <v>60</v>
      </c>
      <c r="E83" s="75">
        <v>0.441</v>
      </c>
      <c r="F83" s="61"/>
      <c r="G83" s="61"/>
      <c r="H83" s="67"/>
    </row>
    <row r="84" spans="1:8" ht="24.95" customHeight="1">
      <c r="A84" s="2024"/>
      <c r="B84" s="61"/>
      <c r="C84" s="61"/>
      <c r="D84" s="61"/>
      <c r="E84" s="61"/>
      <c r="F84" s="61"/>
      <c r="G84" s="61"/>
      <c r="H84" s="67"/>
    </row>
    <row r="85" spans="1:8" ht="24.95" customHeight="1">
      <c r="A85" s="2024"/>
      <c r="B85" s="61"/>
      <c r="C85" s="61"/>
      <c r="D85" s="61"/>
      <c r="E85" s="61"/>
      <c r="F85" s="61"/>
      <c r="G85" s="61"/>
      <c r="H85" s="67"/>
    </row>
    <row r="86" spans="1:8" ht="24.95" customHeight="1">
      <c r="A86" s="2024"/>
      <c r="B86" s="61"/>
      <c r="C86" s="61"/>
      <c r="D86" s="61"/>
      <c r="E86" s="61"/>
      <c r="F86" s="61"/>
      <c r="G86" s="61"/>
      <c r="H86" s="67"/>
    </row>
    <row r="87" spans="1:8" ht="24.95" customHeight="1">
      <c r="A87" s="2020" t="s">
        <v>96</v>
      </c>
      <c r="B87" s="2021"/>
      <c r="C87" s="76"/>
      <c r="D87" s="76"/>
      <c r="E87" s="76"/>
      <c r="F87" s="76"/>
      <c r="G87" s="77">
        <f>G72+G76+G79</f>
        <v>77.12</v>
      </c>
      <c r="H87" s="78"/>
    </row>
    <row r="88" spans="1:8" ht="24.95" customHeight="1">
      <c r="A88" s="2022" t="s">
        <v>97</v>
      </c>
      <c r="B88" s="2023"/>
      <c r="C88" s="2023"/>
      <c r="D88" s="2023"/>
      <c r="E88" s="2023"/>
      <c r="F88" s="2023"/>
      <c r="G88" s="2023"/>
      <c r="H88" s="2030"/>
    </row>
    <row r="89" spans="1:8" ht="24.95" customHeight="1">
      <c r="A89" s="2034"/>
      <c r="B89" s="2035"/>
      <c r="C89" s="2035"/>
      <c r="D89" s="2035"/>
      <c r="E89" s="2035"/>
      <c r="F89" s="2035"/>
      <c r="G89" s="2035"/>
      <c r="H89" s="2036"/>
    </row>
    <row r="90" spans="1:8" ht="24.95" customHeight="1">
      <c r="A90" s="378" t="s">
        <v>47</v>
      </c>
      <c r="B90" s="378" t="s">
        <v>166</v>
      </c>
      <c r="C90" s="378" t="s">
        <v>102</v>
      </c>
      <c r="D90" s="53"/>
      <c r="E90" s="53"/>
      <c r="F90" s="53"/>
      <c r="G90" s="53"/>
      <c r="H90" s="53"/>
    </row>
    <row r="91" spans="1:8" ht="24.95" customHeight="1">
      <c r="A91" s="53"/>
      <c r="B91" s="53"/>
      <c r="C91" s="53"/>
      <c r="D91" s="53"/>
      <c r="E91" s="53"/>
      <c r="F91" s="53"/>
      <c r="G91" s="53"/>
      <c r="H91" s="53"/>
    </row>
    <row r="92" spans="1:8" ht="24.95" customHeight="1">
      <c r="A92" s="2028" t="s">
        <v>50</v>
      </c>
      <c r="B92" s="2028"/>
      <c r="C92" s="54" t="s">
        <v>51</v>
      </c>
      <c r="D92" s="54" t="s">
        <v>52</v>
      </c>
      <c r="E92" s="54" t="s">
        <v>53</v>
      </c>
      <c r="F92" s="54" t="s">
        <v>54</v>
      </c>
      <c r="G92" s="54" t="s">
        <v>56</v>
      </c>
      <c r="H92" s="54" t="s">
        <v>57</v>
      </c>
    </row>
    <row r="93" spans="1:8" ht="24.95" customHeight="1">
      <c r="A93" s="2029" t="s">
        <v>58</v>
      </c>
      <c r="B93" s="55" t="s">
        <v>58</v>
      </c>
      <c r="C93" s="55" t="s">
        <v>176</v>
      </c>
      <c r="D93" s="56" t="s">
        <v>60</v>
      </c>
      <c r="E93" s="57">
        <v>1</v>
      </c>
      <c r="F93" s="58">
        <v>84.92</v>
      </c>
      <c r="G93" s="58">
        <f t="shared" ref="G93:G99" si="3">F93*E93</f>
        <v>84.92</v>
      </c>
      <c r="H93" s="91"/>
    </row>
    <row r="94" spans="1:8" ht="24.95" customHeight="1">
      <c r="A94" s="2024"/>
      <c r="B94" s="61" t="s">
        <v>61</v>
      </c>
      <c r="C94" s="61" t="s">
        <v>169</v>
      </c>
      <c r="D94" s="62" t="s">
        <v>60</v>
      </c>
      <c r="E94" s="63">
        <v>1</v>
      </c>
      <c r="F94" s="64">
        <v>0.38</v>
      </c>
      <c r="G94" s="64">
        <f t="shared" si="3"/>
        <v>0.38</v>
      </c>
      <c r="H94" s="92"/>
    </row>
    <row r="95" spans="1:8" ht="24.95" customHeight="1">
      <c r="A95" s="2024"/>
      <c r="B95" s="61" t="s">
        <v>63</v>
      </c>
      <c r="C95" s="61" t="s">
        <v>170</v>
      </c>
      <c r="D95" s="62" t="s">
        <v>60</v>
      </c>
      <c r="E95" s="63">
        <v>2</v>
      </c>
      <c r="F95" s="64">
        <v>0.17</v>
      </c>
      <c r="G95" s="64">
        <f t="shared" si="3"/>
        <v>0.34</v>
      </c>
      <c r="H95" s="92"/>
    </row>
    <row r="96" spans="1:8" ht="24.95" customHeight="1">
      <c r="A96" s="2024"/>
      <c r="B96" s="61" t="s">
        <v>65</v>
      </c>
      <c r="C96" s="61" t="s">
        <v>66</v>
      </c>
      <c r="D96" s="62" t="s">
        <v>60</v>
      </c>
      <c r="E96" s="63">
        <v>4</v>
      </c>
      <c r="F96" s="64">
        <v>0.57999999999999996</v>
      </c>
      <c r="G96" s="64">
        <f t="shared" si="3"/>
        <v>2.3199999999999998</v>
      </c>
      <c r="H96" s="92"/>
    </row>
    <row r="97" spans="1:8" ht="24.95" customHeight="1">
      <c r="A97" s="2024"/>
      <c r="B97" s="61" t="s">
        <v>67</v>
      </c>
      <c r="C97" s="61" t="s">
        <v>177</v>
      </c>
      <c r="D97" s="62" t="s">
        <v>60</v>
      </c>
      <c r="E97" s="63">
        <v>1</v>
      </c>
      <c r="F97" s="64">
        <v>8.82</v>
      </c>
      <c r="G97" s="64">
        <f t="shared" si="3"/>
        <v>8.82</v>
      </c>
      <c r="H97" s="92"/>
    </row>
    <row r="98" spans="1:8" ht="24.95" customHeight="1">
      <c r="A98" s="2024"/>
      <c r="B98" s="61" t="s">
        <v>69</v>
      </c>
      <c r="C98" s="61" t="s">
        <v>178</v>
      </c>
      <c r="D98" s="62" t="s">
        <v>60</v>
      </c>
      <c r="E98" s="63">
        <v>1</v>
      </c>
      <c r="F98" s="64">
        <v>1.84</v>
      </c>
      <c r="G98" s="64">
        <f t="shared" si="3"/>
        <v>1.84</v>
      </c>
      <c r="H98" s="92"/>
    </row>
    <row r="99" spans="1:8" ht="24.95" customHeight="1">
      <c r="A99" s="2024"/>
      <c r="B99" s="61" t="s">
        <v>71</v>
      </c>
      <c r="C99" s="61" t="s">
        <v>72</v>
      </c>
      <c r="D99" s="62" t="s">
        <v>60</v>
      </c>
      <c r="E99" s="66">
        <v>1</v>
      </c>
      <c r="F99" s="64">
        <v>0.01</v>
      </c>
      <c r="G99" s="64">
        <f t="shared" si="3"/>
        <v>0.01</v>
      </c>
      <c r="H99" s="65"/>
    </row>
    <row r="100" spans="1:8" ht="24.95" customHeight="1">
      <c r="A100" s="2024"/>
      <c r="B100" s="61"/>
      <c r="C100" s="61"/>
      <c r="D100" s="61"/>
      <c r="E100" s="61"/>
      <c r="F100" s="61"/>
      <c r="G100" s="61"/>
      <c r="H100" s="67"/>
    </row>
    <row r="101" spans="1:8" ht="24.95" customHeight="1">
      <c r="A101" s="2025" t="s">
        <v>73</v>
      </c>
      <c r="B101" s="2026"/>
      <c r="C101" s="68"/>
      <c r="D101" s="69" t="s">
        <v>74</v>
      </c>
      <c r="E101" s="70">
        <v>1</v>
      </c>
      <c r="F101" s="68"/>
      <c r="G101" s="71">
        <f>SUM(G93:G99)</f>
        <v>98.63000000000001</v>
      </c>
      <c r="H101" s="72"/>
    </row>
    <row r="102" spans="1:8" ht="24.95" customHeight="1">
      <c r="A102" s="2024" t="s">
        <v>75</v>
      </c>
      <c r="B102" s="61" t="s">
        <v>76</v>
      </c>
      <c r="C102" s="61" t="s">
        <v>172</v>
      </c>
      <c r="D102" s="62" t="s">
        <v>60</v>
      </c>
      <c r="E102" s="63">
        <v>2</v>
      </c>
      <c r="F102" s="64">
        <v>0.32</v>
      </c>
      <c r="G102" s="64">
        <f>F102*E102</f>
        <v>0.64</v>
      </c>
      <c r="H102" s="67"/>
    </row>
    <row r="103" spans="1:8" ht="24.95" customHeight="1">
      <c r="A103" s="2024"/>
      <c r="B103" s="61" t="s">
        <v>78</v>
      </c>
      <c r="C103" s="61" t="s">
        <v>173</v>
      </c>
      <c r="D103" s="62" t="s">
        <v>60</v>
      </c>
      <c r="E103" s="63">
        <v>1</v>
      </c>
      <c r="F103" s="64">
        <v>0.16</v>
      </c>
      <c r="G103" s="64">
        <f>F103*E103</f>
        <v>0.16</v>
      </c>
      <c r="H103" s="67"/>
    </row>
    <row r="104" spans="1:8" ht="24.95" customHeight="1">
      <c r="A104" s="2024"/>
      <c r="B104" s="61"/>
      <c r="C104" s="61"/>
      <c r="D104" s="61"/>
      <c r="E104" s="61"/>
      <c r="F104" s="61"/>
      <c r="G104" s="61"/>
      <c r="H104" s="67"/>
    </row>
    <row r="105" spans="1:8" ht="24.95" customHeight="1">
      <c r="A105" s="2025" t="s">
        <v>73</v>
      </c>
      <c r="B105" s="2026"/>
      <c r="C105" s="68"/>
      <c r="D105" s="69" t="s">
        <v>74</v>
      </c>
      <c r="E105" s="69">
        <v>1</v>
      </c>
      <c r="F105" s="68"/>
      <c r="G105" s="71">
        <f>SUM(G102:G103)</f>
        <v>0.8</v>
      </c>
      <c r="H105" s="72"/>
    </row>
    <row r="106" spans="1:8" ht="24.95" customHeight="1">
      <c r="A106" s="2024" t="s">
        <v>80</v>
      </c>
      <c r="B106" s="61" t="s">
        <v>81</v>
      </c>
      <c r="C106" s="61" t="s">
        <v>82</v>
      </c>
      <c r="D106" s="62" t="s">
        <v>60</v>
      </c>
      <c r="E106" s="73">
        <v>6</v>
      </c>
      <c r="F106" s="61"/>
      <c r="G106" s="61"/>
      <c r="H106" s="67"/>
    </row>
    <row r="107" spans="1:8" ht="24.95" customHeight="1">
      <c r="A107" s="2024"/>
      <c r="B107" s="61" t="s">
        <v>83</v>
      </c>
      <c r="C107" s="61" t="s">
        <v>84</v>
      </c>
      <c r="D107" s="62" t="s">
        <v>60</v>
      </c>
      <c r="E107" s="79">
        <v>0.16666666666666666</v>
      </c>
      <c r="F107" s="61"/>
      <c r="G107" s="61"/>
      <c r="H107" s="67"/>
    </row>
    <row r="108" spans="1:8" ht="24.95" customHeight="1">
      <c r="A108" s="2024"/>
      <c r="B108" s="61" t="s">
        <v>86</v>
      </c>
      <c r="C108" s="61" t="s">
        <v>87</v>
      </c>
      <c r="D108" s="62" t="s">
        <v>60</v>
      </c>
      <c r="E108" s="79">
        <v>0.16666666666666666</v>
      </c>
      <c r="F108" s="74">
        <v>1.08</v>
      </c>
      <c r="G108" s="74">
        <f>F108*E108</f>
        <v>0.18</v>
      </c>
      <c r="H108" s="67"/>
    </row>
    <row r="109" spans="1:8" ht="24.95" customHeight="1">
      <c r="A109" s="2024"/>
      <c r="B109" s="61" t="s">
        <v>88</v>
      </c>
      <c r="C109" s="61"/>
      <c r="D109" s="62" t="s">
        <v>60</v>
      </c>
      <c r="E109" s="79">
        <v>0.33333333333333331</v>
      </c>
      <c r="F109" s="61"/>
      <c r="G109" s="61"/>
      <c r="H109" s="67"/>
    </row>
    <row r="110" spans="1:8" ht="24.95" customHeight="1">
      <c r="A110" s="2024"/>
      <c r="B110" s="61" t="s">
        <v>90</v>
      </c>
      <c r="C110" s="61" t="s">
        <v>91</v>
      </c>
      <c r="D110" s="62" t="s">
        <v>92</v>
      </c>
      <c r="E110" s="75">
        <v>1.179</v>
      </c>
      <c r="F110" s="61"/>
      <c r="G110" s="61"/>
      <c r="H110" s="67"/>
    </row>
    <row r="111" spans="1:8" ht="24.95" customHeight="1">
      <c r="A111" s="2024"/>
      <c r="B111" s="61" t="s">
        <v>93</v>
      </c>
      <c r="C111" s="61"/>
      <c r="D111" s="62" t="s">
        <v>60</v>
      </c>
      <c r="E111" s="75">
        <v>1.32</v>
      </c>
      <c r="F111" s="61"/>
      <c r="G111" s="61"/>
      <c r="H111" s="67"/>
    </row>
    <row r="112" spans="1:8" ht="24.95" customHeight="1">
      <c r="A112" s="2024"/>
      <c r="B112" s="61" t="s">
        <v>94</v>
      </c>
      <c r="C112" s="61" t="s">
        <v>95</v>
      </c>
      <c r="D112" s="62" t="s">
        <v>60</v>
      </c>
      <c r="E112" s="75">
        <v>0.56799999999999995</v>
      </c>
      <c r="F112" s="61"/>
      <c r="G112" s="61"/>
      <c r="H112" s="67"/>
    </row>
    <row r="113" spans="1:8" ht="24.95" customHeight="1">
      <c r="A113" s="2024"/>
      <c r="B113" s="61"/>
      <c r="C113" s="61"/>
      <c r="D113" s="61"/>
      <c r="E113" s="61"/>
      <c r="F113" s="61"/>
      <c r="G113" s="61"/>
      <c r="H113" s="67"/>
    </row>
    <row r="114" spans="1:8" ht="24.95" customHeight="1">
      <c r="A114" s="2024"/>
      <c r="B114" s="61"/>
      <c r="C114" s="61"/>
      <c r="D114" s="61"/>
      <c r="E114" s="61"/>
      <c r="F114" s="61"/>
      <c r="G114" s="61"/>
      <c r="H114" s="67"/>
    </row>
    <row r="115" spans="1:8" ht="24.95" customHeight="1">
      <c r="A115" s="2024"/>
      <c r="B115" s="61"/>
      <c r="C115" s="61"/>
      <c r="D115" s="61"/>
      <c r="E115" s="61"/>
      <c r="F115" s="61"/>
      <c r="G115" s="61"/>
      <c r="H115" s="67"/>
    </row>
    <row r="116" spans="1:8" ht="24.95" customHeight="1">
      <c r="A116" s="2020" t="s">
        <v>96</v>
      </c>
      <c r="B116" s="2021"/>
      <c r="C116" s="76"/>
      <c r="D116" s="76"/>
      <c r="E116" s="76"/>
      <c r="F116" s="76"/>
      <c r="G116" s="77">
        <f>G101+G105+G108</f>
        <v>99.610000000000014</v>
      </c>
      <c r="H116" s="78"/>
    </row>
    <row r="117" spans="1:8" ht="24.95" customHeight="1">
      <c r="A117" s="2022" t="s">
        <v>97</v>
      </c>
      <c r="B117" s="2023"/>
      <c r="C117" s="2023"/>
      <c r="D117" s="2023"/>
      <c r="E117" s="2023"/>
      <c r="F117" s="2023"/>
      <c r="G117" s="2023"/>
      <c r="H117" s="2030"/>
    </row>
    <row r="118" spans="1:8" ht="24.95" customHeight="1">
      <c r="A118" s="2034"/>
      <c r="B118" s="2035"/>
      <c r="C118" s="2035"/>
      <c r="D118" s="2035"/>
      <c r="E118" s="2035"/>
      <c r="F118" s="2035"/>
      <c r="G118" s="2035"/>
      <c r="H118" s="2036"/>
    </row>
    <row r="119" spans="1:8" ht="24.95" customHeight="1">
      <c r="A119" s="378" t="s">
        <v>47</v>
      </c>
      <c r="B119" s="378" t="s">
        <v>166</v>
      </c>
      <c r="C119" s="378" t="s">
        <v>106</v>
      </c>
      <c r="D119" s="53"/>
      <c r="E119" s="53"/>
      <c r="F119" s="53"/>
      <c r="G119" s="53"/>
      <c r="H119" s="53"/>
    </row>
    <row r="120" spans="1:8" ht="24.95" customHeight="1">
      <c r="A120" s="53"/>
      <c r="B120" s="53"/>
      <c r="C120" s="53"/>
      <c r="D120" s="53"/>
      <c r="E120" s="53"/>
      <c r="F120" s="53"/>
      <c r="G120" s="53"/>
      <c r="H120" s="53"/>
    </row>
    <row r="121" spans="1:8" ht="24.95" customHeight="1">
      <c r="A121" s="2028" t="s">
        <v>50</v>
      </c>
      <c r="B121" s="2028"/>
      <c r="C121" s="54" t="s">
        <v>51</v>
      </c>
      <c r="D121" s="54" t="s">
        <v>52</v>
      </c>
      <c r="E121" s="54" t="s">
        <v>53</v>
      </c>
      <c r="F121" s="54" t="s">
        <v>54</v>
      </c>
      <c r="G121" s="54" t="s">
        <v>56</v>
      </c>
      <c r="H121" s="54" t="s">
        <v>57</v>
      </c>
    </row>
    <row r="122" spans="1:8" ht="24.95" customHeight="1">
      <c r="A122" s="2029" t="s">
        <v>58</v>
      </c>
      <c r="B122" s="55" t="s">
        <v>58</v>
      </c>
      <c r="C122" s="55" t="s">
        <v>179</v>
      </c>
      <c r="D122" s="56" t="s">
        <v>60</v>
      </c>
      <c r="E122" s="57">
        <v>1</v>
      </c>
      <c r="F122" s="58">
        <v>95.19</v>
      </c>
      <c r="G122" s="58">
        <f t="shared" ref="G122:G128" si="4">F122*E122</f>
        <v>95.19</v>
      </c>
      <c r="H122" s="59"/>
    </row>
    <row r="123" spans="1:8" ht="24.95" customHeight="1">
      <c r="A123" s="2024"/>
      <c r="B123" s="61" t="s">
        <v>61</v>
      </c>
      <c r="C123" s="61" t="s">
        <v>169</v>
      </c>
      <c r="D123" s="62" t="s">
        <v>60</v>
      </c>
      <c r="E123" s="63">
        <v>1</v>
      </c>
      <c r="F123" s="64">
        <v>0.38</v>
      </c>
      <c r="G123" s="64">
        <f t="shared" si="4"/>
        <v>0.38</v>
      </c>
      <c r="H123" s="65"/>
    </row>
    <row r="124" spans="1:8" ht="24.95" customHeight="1">
      <c r="A124" s="2024"/>
      <c r="B124" s="61" t="s">
        <v>63</v>
      </c>
      <c r="C124" s="61" t="s">
        <v>170</v>
      </c>
      <c r="D124" s="62" t="s">
        <v>60</v>
      </c>
      <c r="E124" s="63">
        <v>2</v>
      </c>
      <c r="F124" s="64">
        <v>0.17</v>
      </c>
      <c r="G124" s="64">
        <f t="shared" si="4"/>
        <v>0.34</v>
      </c>
      <c r="H124" s="65"/>
    </row>
    <row r="125" spans="1:8" ht="24.95" customHeight="1">
      <c r="A125" s="2024"/>
      <c r="B125" s="61" t="s">
        <v>65</v>
      </c>
      <c r="C125" s="61" t="s">
        <v>66</v>
      </c>
      <c r="D125" s="62" t="s">
        <v>60</v>
      </c>
      <c r="E125" s="63">
        <v>4</v>
      </c>
      <c r="F125" s="64">
        <v>0.57999999999999996</v>
      </c>
      <c r="G125" s="64">
        <f t="shared" si="4"/>
        <v>2.3199999999999998</v>
      </c>
      <c r="H125" s="65"/>
    </row>
    <row r="126" spans="1:8" ht="24.95" customHeight="1">
      <c r="A126" s="2024"/>
      <c r="B126" s="61" t="s">
        <v>67</v>
      </c>
      <c r="C126" s="61" t="s">
        <v>177</v>
      </c>
      <c r="D126" s="62" t="s">
        <v>60</v>
      </c>
      <c r="E126" s="63">
        <v>1</v>
      </c>
      <c r="F126" s="64">
        <v>8.82</v>
      </c>
      <c r="G126" s="64">
        <f t="shared" si="4"/>
        <v>8.82</v>
      </c>
      <c r="H126" s="65"/>
    </row>
    <row r="127" spans="1:8" ht="24.95" customHeight="1">
      <c r="A127" s="2024"/>
      <c r="B127" s="61" t="s">
        <v>69</v>
      </c>
      <c r="C127" s="61" t="s">
        <v>178</v>
      </c>
      <c r="D127" s="62" t="s">
        <v>60</v>
      </c>
      <c r="E127" s="63">
        <v>1</v>
      </c>
      <c r="F127" s="64">
        <v>1.84</v>
      </c>
      <c r="G127" s="64">
        <f t="shared" si="4"/>
        <v>1.84</v>
      </c>
      <c r="H127" s="65"/>
    </row>
    <row r="128" spans="1:8" ht="24.95" customHeight="1">
      <c r="A128" s="2024"/>
      <c r="B128" s="61" t="s">
        <v>71</v>
      </c>
      <c r="C128" s="61" t="s">
        <v>72</v>
      </c>
      <c r="D128" s="62" t="s">
        <v>60</v>
      </c>
      <c r="E128" s="66">
        <v>1</v>
      </c>
      <c r="F128" s="64">
        <v>0.01</v>
      </c>
      <c r="G128" s="64">
        <f t="shared" si="4"/>
        <v>0.01</v>
      </c>
      <c r="H128" s="65"/>
    </row>
    <row r="129" spans="1:8" ht="24.95" customHeight="1">
      <c r="A129" s="2024"/>
      <c r="B129" s="61"/>
      <c r="C129" s="61"/>
      <c r="D129" s="61"/>
      <c r="E129" s="61"/>
      <c r="F129" s="61"/>
      <c r="G129" s="61"/>
      <c r="H129" s="67"/>
    </row>
    <row r="130" spans="1:8" ht="24.95" customHeight="1">
      <c r="A130" s="2025" t="s">
        <v>73</v>
      </c>
      <c r="B130" s="2026"/>
      <c r="C130" s="68"/>
      <c r="D130" s="69" t="s">
        <v>74</v>
      </c>
      <c r="E130" s="70">
        <v>1</v>
      </c>
      <c r="F130" s="68"/>
      <c r="G130" s="71">
        <f>SUM(G122:G128)</f>
        <v>108.89999999999999</v>
      </c>
      <c r="H130" s="72"/>
    </row>
    <row r="131" spans="1:8" ht="24.95" customHeight="1">
      <c r="A131" s="2024" t="s">
        <v>75</v>
      </c>
      <c r="B131" s="61" t="s">
        <v>76</v>
      </c>
      <c r="C131" s="61" t="s">
        <v>172</v>
      </c>
      <c r="D131" s="62" t="s">
        <v>60</v>
      </c>
      <c r="E131" s="63">
        <v>2</v>
      </c>
      <c r="F131" s="64">
        <v>0.32</v>
      </c>
      <c r="G131" s="64">
        <f>F131*E131</f>
        <v>0.64</v>
      </c>
      <c r="H131" s="67"/>
    </row>
    <row r="132" spans="1:8" ht="24.95" customHeight="1">
      <c r="A132" s="2024"/>
      <c r="B132" s="61" t="s">
        <v>78</v>
      </c>
      <c r="C132" s="61" t="s">
        <v>173</v>
      </c>
      <c r="D132" s="62" t="s">
        <v>60</v>
      </c>
      <c r="E132" s="63">
        <v>1</v>
      </c>
      <c r="F132" s="64">
        <v>0.16</v>
      </c>
      <c r="G132" s="64">
        <f>F132*E132</f>
        <v>0.16</v>
      </c>
      <c r="H132" s="67"/>
    </row>
    <row r="133" spans="1:8" ht="24.95" customHeight="1">
      <c r="A133" s="2024"/>
      <c r="B133" s="61"/>
      <c r="C133" s="61"/>
      <c r="D133" s="61"/>
      <c r="E133" s="61"/>
      <c r="F133" s="61"/>
      <c r="G133" s="61"/>
      <c r="H133" s="67"/>
    </row>
    <row r="134" spans="1:8" ht="24.95" customHeight="1">
      <c r="A134" s="2025" t="s">
        <v>73</v>
      </c>
      <c r="B134" s="2026"/>
      <c r="C134" s="68"/>
      <c r="D134" s="69" t="s">
        <v>74</v>
      </c>
      <c r="E134" s="69">
        <v>1</v>
      </c>
      <c r="F134" s="68"/>
      <c r="G134" s="71">
        <f>SUM(G131:G132)</f>
        <v>0.8</v>
      </c>
      <c r="H134" s="72"/>
    </row>
    <row r="135" spans="1:8" ht="24.95" customHeight="1">
      <c r="A135" s="2024" t="s">
        <v>80</v>
      </c>
      <c r="B135" s="61" t="s">
        <v>81</v>
      </c>
      <c r="C135" s="61" t="s">
        <v>82</v>
      </c>
      <c r="D135" s="62" t="s">
        <v>60</v>
      </c>
      <c r="E135" s="73">
        <v>6</v>
      </c>
      <c r="F135" s="61"/>
      <c r="G135" s="61"/>
      <c r="H135" s="67"/>
    </row>
    <row r="136" spans="1:8" ht="24.95" customHeight="1">
      <c r="A136" s="2024"/>
      <c r="B136" s="61" t="s">
        <v>83</v>
      </c>
      <c r="C136" s="61" t="s">
        <v>84</v>
      </c>
      <c r="D136" s="62" t="s">
        <v>60</v>
      </c>
      <c r="E136" s="79">
        <v>0.16666666666666666</v>
      </c>
      <c r="F136" s="61"/>
      <c r="G136" s="61"/>
      <c r="H136" s="67"/>
    </row>
    <row r="137" spans="1:8" ht="24.95" customHeight="1">
      <c r="A137" s="2024"/>
      <c r="B137" s="61" t="s">
        <v>86</v>
      </c>
      <c r="C137" s="61" t="s">
        <v>87</v>
      </c>
      <c r="D137" s="62" t="s">
        <v>60</v>
      </c>
      <c r="E137" s="79">
        <v>0.16666666666666666</v>
      </c>
      <c r="F137" s="74"/>
      <c r="G137" s="74"/>
      <c r="H137" s="67"/>
    </row>
    <row r="138" spans="1:8" ht="24.95" customHeight="1">
      <c r="A138" s="2024"/>
      <c r="B138" s="61" t="s">
        <v>88</v>
      </c>
      <c r="C138" s="61"/>
      <c r="D138" s="62" t="s">
        <v>60</v>
      </c>
      <c r="E138" s="79">
        <v>0.33333333333333331</v>
      </c>
      <c r="F138" s="61"/>
      <c r="G138" s="61"/>
      <c r="H138" s="67"/>
    </row>
    <row r="139" spans="1:8" ht="24.95" customHeight="1">
      <c r="A139" s="2024"/>
      <c r="B139" s="61" t="s">
        <v>90</v>
      </c>
      <c r="C139" s="61" t="s">
        <v>91</v>
      </c>
      <c r="D139" s="62" t="s">
        <v>92</v>
      </c>
      <c r="E139" s="75">
        <v>1.321</v>
      </c>
      <c r="F139" s="61"/>
      <c r="G139" s="61"/>
      <c r="H139" s="67"/>
    </row>
    <row r="140" spans="1:8" ht="24.95" customHeight="1">
      <c r="A140" s="2024"/>
      <c r="B140" s="61" t="s">
        <v>93</v>
      </c>
      <c r="C140" s="61"/>
      <c r="D140" s="62" t="s">
        <v>60</v>
      </c>
      <c r="E140" s="75">
        <v>1.4790000000000001</v>
      </c>
      <c r="F140" s="61"/>
      <c r="G140" s="61"/>
      <c r="H140" s="67"/>
    </row>
    <row r="141" spans="1:8" ht="24.95" customHeight="1">
      <c r="A141" s="2024"/>
      <c r="B141" s="61" t="s">
        <v>94</v>
      </c>
      <c r="C141" s="61" t="s">
        <v>95</v>
      </c>
      <c r="D141" s="62" t="s">
        <v>60</v>
      </c>
      <c r="E141" s="75">
        <v>0.63600000000000001</v>
      </c>
      <c r="F141" s="61"/>
      <c r="G141" s="61"/>
      <c r="H141" s="67"/>
    </row>
    <row r="142" spans="1:8" ht="24.95" customHeight="1">
      <c r="A142" s="2024"/>
      <c r="B142" s="61"/>
      <c r="C142" s="61"/>
      <c r="D142" s="61"/>
      <c r="E142" s="61"/>
      <c r="F142" s="61"/>
      <c r="G142" s="61"/>
      <c r="H142" s="67"/>
    </row>
    <row r="143" spans="1:8" ht="24.95" customHeight="1">
      <c r="A143" s="2024"/>
      <c r="B143" s="61"/>
      <c r="C143" s="61"/>
      <c r="D143" s="61"/>
      <c r="E143" s="61"/>
      <c r="F143" s="61"/>
      <c r="G143" s="61"/>
      <c r="H143" s="67"/>
    </row>
    <row r="144" spans="1:8" ht="24.95" customHeight="1">
      <c r="A144" s="2024"/>
      <c r="B144" s="61"/>
      <c r="C144" s="61"/>
      <c r="D144" s="61"/>
      <c r="E144" s="61"/>
      <c r="F144" s="61"/>
      <c r="G144" s="61"/>
      <c r="H144" s="67"/>
    </row>
    <row r="145" spans="1:8" ht="24.95" customHeight="1">
      <c r="A145" s="2020" t="s">
        <v>96</v>
      </c>
      <c r="B145" s="2021"/>
      <c r="C145" s="76"/>
      <c r="D145" s="76"/>
      <c r="E145" s="76"/>
      <c r="F145" s="76"/>
      <c r="G145" s="77">
        <f>G130+G134+G137</f>
        <v>109.69999999999999</v>
      </c>
      <c r="H145" s="78"/>
    </row>
    <row r="146" spans="1:8" ht="24.95" customHeight="1">
      <c r="A146" s="2022" t="s">
        <v>97</v>
      </c>
      <c r="B146" s="2023"/>
      <c r="C146" s="2023"/>
      <c r="D146" s="2023"/>
      <c r="E146" s="2023"/>
      <c r="F146" s="2023"/>
      <c r="G146" s="2023"/>
      <c r="H146" s="2030"/>
    </row>
    <row r="147" spans="1:8" ht="24.95" customHeight="1">
      <c r="A147" s="2034"/>
      <c r="B147" s="2035"/>
      <c r="C147" s="2035"/>
      <c r="D147" s="2035"/>
      <c r="E147" s="2035"/>
      <c r="F147" s="2035"/>
      <c r="G147" s="2035"/>
      <c r="H147" s="2036"/>
    </row>
    <row r="148" spans="1:8" ht="24.95" customHeight="1">
      <c r="A148" s="378" t="s">
        <v>47</v>
      </c>
      <c r="B148" s="378" t="s">
        <v>166</v>
      </c>
      <c r="C148" s="378" t="s">
        <v>108</v>
      </c>
      <c r="D148" s="53"/>
      <c r="E148" s="53"/>
      <c r="F148" s="53"/>
      <c r="G148" s="53"/>
      <c r="H148" s="53"/>
    </row>
    <row r="149" spans="1:8" ht="24.95" customHeight="1">
      <c r="A149" s="53"/>
      <c r="B149" s="53"/>
      <c r="C149" s="53"/>
      <c r="D149" s="53"/>
      <c r="E149" s="53"/>
      <c r="F149" s="53"/>
      <c r="G149" s="53"/>
      <c r="H149" s="53"/>
    </row>
    <row r="150" spans="1:8" ht="24.95" customHeight="1">
      <c r="A150" s="2028" t="s">
        <v>50</v>
      </c>
      <c r="B150" s="2028"/>
      <c r="C150" s="54" t="s">
        <v>51</v>
      </c>
      <c r="D150" s="54" t="s">
        <v>52</v>
      </c>
      <c r="E150" s="54" t="s">
        <v>53</v>
      </c>
      <c r="F150" s="54" t="s">
        <v>54</v>
      </c>
      <c r="G150" s="54" t="s">
        <v>56</v>
      </c>
      <c r="H150" s="54" t="s">
        <v>57</v>
      </c>
    </row>
    <row r="151" spans="1:8" ht="24.95" customHeight="1">
      <c r="A151" s="2029" t="s">
        <v>58</v>
      </c>
      <c r="B151" s="55" t="s">
        <v>58</v>
      </c>
      <c r="C151" s="55" t="s">
        <v>180</v>
      </c>
      <c r="D151" s="56" t="s">
        <v>60</v>
      </c>
      <c r="E151" s="57">
        <v>1</v>
      </c>
      <c r="F151" s="58">
        <v>105.47</v>
      </c>
      <c r="G151" s="58">
        <f t="shared" ref="G151:G157" si="5">F151*E151</f>
        <v>105.47</v>
      </c>
      <c r="H151" s="59"/>
    </row>
    <row r="152" spans="1:8" ht="24.95" customHeight="1">
      <c r="A152" s="2024"/>
      <c r="B152" s="61" t="s">
        <v>61</v>
      </c>
      <c r="C152" s="61" t="s">
        <v>169</v>
      </c>
      <c r="D152" s="62" t="s">
        <v>60</v>
      </c>
      <c r="E152" s="63">
        <v>1</v>
      </c>
      <c r="F152" s="64">
        <v>0.38</v>
      </c>
      <c r="G152" s="64">
        <f t="shared" si="5"/>
        <v>0.38</v>
      </c>
      <c r="H152" s="65"/>
    </row>
    <row r="153" spans="1:8" ht="24.95" customHeight="1">
      <c r="A153" s="2024"/>
      <c r="B153" s="61" t="s">
        <v>63</v>
      </c>
      <c r="C153" s="61" t="s">
        <v>170</v>
      </c>
      <c r="D153" s="62" t="s">
        <v>60</v>
      </c>
      <c r="E153" s="63">
        <v>2</v>
      </c>
      <c r="F153" s="64">
        <v>0.17</v>
      </c>
      <c r="G153" s="64">
        <f t="shared" si="5"/>
        <v>0.34</v>
      </c>
      <c r="H153" s="65"/>
    </row>
    <row r="154" spans="1:8" ht="24.95" customHeight="1">
      <c r="A154" s="2024"/>
      <c r="B154" s="61" t="s">
        <v>65</v>
      </c>
      <c r="C154" s="61" t="s">
        <v>66</v>
      </c>
      <c r="D154" s="62" t="s">
        <v>60</v>
      </c>
      <c r="E154" s="63">
        <v>4</v>
      </c>
      <c r="F154" s="64">
        <v>0.57999999999999996</v>
      </c>
      <c r="G154" s="64">
        <f t="shared" si="5"/>
        <v>2.3199999999999998</v>
      </c>
      <c r="H154" s="65"/>
    </row>
    <row r="155" spans="1:8" ht="24.95" customHeight="1">
      <c r="A155" s="2024"/>
      <c r="B155" s="61" t="s">
        <v>67</v>
      </c>
      <c r="C155" s="61" t="s">
        <v>181</v>
      </c>
      <c r="D155" s="62" t="s">
        <v>60</v>
      </c>
      <c r="E155" s="63">
        <v>1</v>
      </c>
      <c r="F155" s="64">
        <v>11.02</v>
      </c>
      <c r="G155" s="64">
        <f t="shared" si="5"/>
        <v>11.02</v>
      </c>
      <c r="H155" s="92"/>
    </row>
    <row r="156" spans="1:8" ht="24.95" customHeight="1">
      <c r="A156" s="2024"/>
      <c r="B156" s="61" t="s">
        <v>69</v>
      </c>
      <c r="C156" s="61" t="s">
        <v>178</v>
      </c>
      <c r="D156" s="62" t="s">
        <v>60</v>
      </c>
      <c r="E156" s="63">
        <v>1</v>
      </c>
      <c r="F156" s="64">
        <v>1.84</v>
      </c>
      <c r="G156" s="64">
        <f t="shared" si="5"/>
        <v>1.84</v>
      </c>
      <c r="H156" s="65"/>
    </row>
    <row r="157" spans="1:8" ht="24.95" customHeight="1">
      <c r="A157" s="2024"/>
      <c r="B157" s="61" t="s">
        <v>71</v>
      </c>
      <c r="C157" s="61" t="s">
        <v>72</v>
      </c>
      <c r="D157" s="62" t="s">
        <v>60</v>
      </c>
      <c r="E157" s="66">
        <v>1</v>
      </c>
      <c r="F157" s="64">
        <v>0.01</v>
      </c>
      <c r="G157" s="64">
        <f t="shared" si="5"/>
        <v>0.01</v>
      </c>
      <c r="H157" s="65"/>
    </row>
    <row r="158" spans="1:8" ht="24.95" customHeight="1">
      <c r="A158" s="2024"/>
      <c r="B158" s="61"/>
      <c r="C158" s="61"/>
      <c r="D158" s="61"/>
      <c r="E158" s="61"/>
      <c r="F158" s="61"/>
      <c r="G158" s="61"/>
      <c r="H158" s="67"/>
    </row>
    <row r="159" spans="1:8" ht="24.95" customHeight="1">
      <c r="A159" s="2025" t="s">
        <v>73</v>
      </c>
      <c r="B159" s="2026"/>
      <c r="C159" s="68"/>
      <c r="D159" s="69" t="s">
        <v>74</v>
      </c>
      <c r="E159" s="70">
        <v>1</v>
      </c>
      <c r="F159" s="68"/>
      <c r="G159" s="71">
        <f>SUM(G151:G157)</f>
        <v>121.38</v>
      </c>
      <c r="H159" s="72"/>
    </row>
    <row r="160" spans="1:8" ht="24.95" customHeight="1">
      <c r="A160" s="2024" t="s">
        <v>75</v>
      </c>
      <c r="B160" s="61" t="s">
        <v>76</v>
      </c>
      <c r="C160" s="61" t="s">
        <v>172</v>
      </c>
      <c r="D160" s="62" t="s">
        <v>60</v>
      </c>
      <c r="E160" s="63">
        <v>2</v>
      </c>
      <c r="F160" s="64">
        <v>0.32</v>
      </c>
      <c r="G160" s="64">
        <f>F160*E160</f>
        <v>0.64</v>
      </c>
      <c r="H160" s="67"/>
    </row>
    <row r="161" spans="1:8" ht="24.95" customHeight="1">
      <c r="A161" s="2024"/>
      <c r="B161" s="61" t="s">
        <v>78</v>
      </c>
      <c r="C161" s="61" t="s">
        <v>173</v>
      </c>
      <c r="D161" s="62" t="s">
        <v>60</v>
      </c>
      <c r="E161" s="63">
        <v>1</v>
      </c>
      <c r="F161" s="64">
        <v>0.16</v>
      </c>
      <c r="G161" s="64">
        <f>F161*E161</f>
        <v>0.16</v>
      </c>
      <c r="H161" s="67"/>
    </row>
    <row r="162" spans="1:8" ht="24.95" customHeight="1">
      <c r="A162" s="2024"/>
      <c r="B162" s="61"/>
      <c r="C162" s="61"/>
      <c r="D162" s="61"/>
      <c r="E162" s="61"/>
      <c r="F162" s="61"/>
      <c r="G162" s="61"/>
      <c r="H162" s="67"/>
    </row>
    <row r="163" spans="1:8" ht="24.95" customHeight="1">
      <c r="A163" s="2025" t="s">
        <v>73</v>
      </c>
      <c r="B163" s="2026"/>
      <c r="C163" s="68"/>
      <c r="D163" s="69" t="s">
        <v>74</v>
      </c>
      <c r="E163" s="69">
        <v>1</v>
      </c>
      <c r="F163" s="68"/>
      <c r="G163" s="71">
        <f>SUM(G160:G161)</f>
        <v>0.8</v>
      </c>
      <c r="H163" s="72"/>
    </row>
    <row r="164" spans="1:8" ht="24.95" customHeight="1">
      <c r="A164" s="2024" t="s">
        <v>80</v>
      </c>
      <c r="B164" s="61" t="s">
        <v>81</v>
      </c>
      <c r="C164" s="61" t="s">
        <v>82</v>
      </c>
      <c r="D164" s="62" t="s">
        <v>60</v>
      </c>
      <c r="E164" s="73">
        <v>6</v>
      </c>
      <c r="F164" s="61"/>
      <c r="G164" s="61"/>
      <c r="H164" s="67"/>
    </row>
    <row r="165" spans="1:8" ht="24.95" customHeight="1">
      <c r="A165" s="2024"/>
      <c r="B165" s="61" t="s">
        <v>83</v>
      </c>
      <c r="C165" s="61" t="s">
        <v>84</v>
      </c>
      <c r="D165" s="62" t="s">
        <v>60</v>
      </c>
      <c r="E165" s="79">
        <v>0.16666666666666666</v>
      </c>
      <c r="F165" s="61"/>
      <c r="G165" s="61"/>
      <c r="H165" s="67"/>
    </row>
    <row r="166" spans="1:8" ht="24.95" customHeight="1">
      <c r="A166" s="2024"/>
      <c r="B166" s="61" t="s">
        <v>86</v>
      </c>
      <c r="C166" s="61" t="s">
        <v>87</v>
      </c>
      <c r="D166" s="62" t="s">
        <v>60</v>
      </c>
      <c r="E166" s="79">
        <v>0.16666666666666666</v>
      </c>
      <c r="F166" s="74"/>
      <c r="G166" s="74"/>
      <c r="H166" s="67"/>
    </row>
    <row r="167" spans="1:8" ht="24.95" customHeight="1">
      <c r="A167" s="2024"/>
      <c r="B167" s="61" t="s">
        <v>88</v>
      </c>
      <c r="C167" s="61"/>
      <c r="D167" s="62" t="s">
        <v>60</v>
      </c>
      <c r="E167" s="79">
        <v>0.33333333333333331</v>
      </c>
      <c r="F167" s="61"/>
      <c r="G167" s="61"/>
      <c r="H167" s="67"/>
    </row>
    <row r="168" spans="1:8" ht="24.95" customHeight="1">
      <c r="A168" s="2024"/>
      <c r="B168" s="61" t="s">
        <v>90</v>
      </c>
      <c r="C168" s="61" t="s">
        <v>91</v>
      </c>
      <c r="D168" s="62" t="s">
        <v>92</v>
      </c>
      <c r="E168" s="75">
        <v>1.4630000000000001</v>
      </c>
      <c r="F168" s="61"/>
      <c r="G168" s="61"/>
      <c r="H168" s="67"/>
    </row>
    <row r="169" spans="1:8" ht="24.95" customHeight="1">
      <c r="A169" s="2024"/>
      <c r="B169" s="61" t="s">
        <v>93</v>
      </c>
      <c r="C169" s="61"/>
      <c r="D169" s="62" t="s">
        <v>60</v>
      </c>
      <c r="E169" s="75">
        <v>1.6379999999999999</v>
      </c>
      <c r="F169" s="61"/>
      <c r="G169" s="61"/>
      <c r="H169" s="67"/>
    </row>
    <row r="170" spans="1:8" ht="24.95" customHeight="1">
      <c r="A170" s="2024"/>
      <c r="B170" s="61" t="s">
        <v>94</v>
      </c>
      <c r="C170" s="61" t="s">
        <v>95</v>
      </c>
      <c r="D170" s="62" t="s">
        <v>60</v>
      </c>
      <c r="E170" s="75">
        <v>0.70499999999999996</v>
      </c>
      <c r="F170" s="61"/>
      <c r="G170" s="61"/>
      <c r="H170" s="67"/>
    </row>
    <row r="171" spans="1:8" ht="24.95" customHeight="1">
      <c r="A171" s="2024"/>
      <c r="B171" s="61"/>
      <c r="C171" s="61"/>
      <c r="D171" s="61"/>
      <c r="E171" s="61"/>
      <c r="F171" s="61"/>
      <c r="G171" s="61"/>
      <c r="H171" s="67"/>
    </row>
    <row r="172" spans="1:8" ht="24.95" customHeight="1">
      <c r="A172" s="2024"/>
      <c r="B172" s="61"/>
      <c r="C172" s="61"/>
      <c r="D172" s="61"/>
      <c r="E172" s="61"/>
      <c r="F172" s="61"/>
      <c r="G172" s="61"/>
      <c r="H172" s="67"/>
    </row>
    <row r="173" spans="1:8" ht="24.95" customHeight="1">
      <c r="A173" s="2024"/>
      <c r="B173" s="61"/>
      <c r="C173" s="61"/>
      <c r="D173" s="61"/>
      <c r="E173" s="61"/>
      <c r="F173" s="61"/>
      <c r="G173" s="61"/>
      <c r="H173" s="67"/>
    </row>
    <row r="174" spans="1:8" ht="24.95" customHeight="1">
      <c r="A174" s="2020" t="s">
        <v>96</v>
      </c>
      <c r="B174" s="2021"/>
      <c r="C174" s="76"/>
      <c r="D174" s="76"/>
      <c r="E174" s="76"/>
      <c r="F174" s="76"/>
      <c r="G174" s="77">
        <f>G159+G163+G166</f>
        <v>122.17999999999999</v>
      </c>
      <c r="H174" s="78"/>
    </row>
    <row r="175" spans="1:8" ht="24.95" customHeight="1">
      <c r="A175" s="2022" t="s">
        <v>97</v>
      </c>
      <c r="B175" s="2023"/>
      <c r="C175" s="2023"/>
      <c r="D175" s="2023"/>
      <c r="E175" s="2023"/>
      <c r="F175" s="2023"/>
      <c r="G175" s="2023"/>
      <c r="H175" s="2030"/>
    </row>
    <row r="176" spans="1:8" ht="24.95" customHeight="1">
      <c r="A176" s="2034"/>
      <c r="B176" s="2035"/>
      <c r="C176" s="2035"/>
      <c r="D176" s="2035"/>
      <c r="E176" s="2035"/>
      <c r="F176" s="2035"/>
      <c r="G176" s="2035"/>
      <c r="H176" s="2036"/>
    </row>
    <row r="177" spans="1:8" ht="24.95" customHeight="1">
      <c r="A177" s="378" t="s">
        <v>47</v>
      </c>
      <c r="B177" s="378" t="s">
        <v>166</v>
      </c>
      <c r="C177" s="378" t="s">
        <v>110</v>
      </c>
      <c r="D177" s="53"/>
      <c r="E177" s="53"/>
      <c r="F177" s="53"/>
      <c r="G177" s="53"/>
      <c r="H177" s="53"/>
    </row>
    <row r="178" spans="1:8" ht="24.95" customHeight="1">
      <c r="A178" s="53"/>
      <c r="B178" s="53"/>
      <c r="C178" s="53"/>
      <c r="D178" s="53"/>
      <c r="E178" s="53"/>
      <c r="F178" s="53"/>
      <c r="G178" s="53"/>
      <c r="H178" s="53"/>
    </row>
    <row r="179" spans="1:8" ht="24.95" customHeight="1">
      <c r="A179" s="2028" t="s">
        <v>50</v>
      </c>
      <c r="B179" s="2028"/>
      <c r="C179" s="54" t="s">
        <v>51</v>
      </c>
      <c r="D179" s="54" t="s">
        <v>52</v>
      </c>
      <c r="E179" s="54" t="s">
        <v>53</v>
      </c>
      <c r="F179" s="54" t="s">
        <v>54</v>
      </c>
      <c r="G179" s="54" t="s">
        <v>56</v>
      </c>
      <c r="H179" s="54" t="s">
        <v>57</v>
      </c>
    </row>
    <row r="180" spans="1:8" ht="24.95" customHeight="1">
      <c r="A180" s="2029" t="s">
        <v>58</v>
      </c>
      <c r="B180" s="55" t="s">
        <v>58</v>
      </c>
      <c r="C180" s="55" t="s">
        <v>182</v>
      </c>
      <c r="D180" s="56" t="s">
        <v>60</v>
      </c>
      <c r="E180" s="57">
        <v>1</v>
      </c>
      <c r="F180" s="58">
        <v>115.74</v>
      </c>
      <c r="G180" s="58">
        <f t="shared" ref="G180:G186" si="6">F180*E180</f>
        <v>115.74</v>
      </c>
      <c r="H180" s="59"/>
    </row>
    <row r="181" spans="1:8" ht="24.95" customHeight="1">
      <c r="A181" s="2024"/>
      <c r="B181" s="61" t="s">
        <v>61</v>
      </c>
      <c r="C181" s="61" t="s">
        <v>169</v>
      </c>
      <c r="D181" s="62" t="s">
        <v>60</v>
      </c>
      <c r="E181" s="63">
        <v>1</v>
      </c>
      <c r="F181" s="64">
        <v>0.38</v>
      </c>
      <c r="G181" s="64">
        <f t="shared" si="6"/>
        <v>0.38</v>
      </c>
      <c r="H181" s="65"/>
    </row>
    <row r="182" spans="1:8" ht="24.95" customHeight="1">
      <c r="A182" s="2024"/>
      <c r="B182" s="61" t="s">
        <v>63</v>
      </c>
      <c r="C182" s="61" t="s">
        <v>170</v>
      </c>
      <c r="D182" s="62" t="s">
        <v>60</v>
      </c>
      <c r="E182" s="63">
        <v>2</v>
      </c>
      <c r="F182" s="64">
        <v>0.17</v>
      </c>
      <c r="G182" s="64">
        <f t="shared" si="6"/>
        <v>0.34</v>
      </c>
      <c r="H182" s="65"/>
    </row>
    <row r="183" spans="1:8" ht="24.95" customHeight="1">
      <c r="A183" s="2024"/>
      <c r="B183" s="61" t="s">
        <v>65</v>
      </c>
      <c r="C183" s="61" t="s">
        <v>66</v>
      </c>
      <c r="D183" s="62" t="s">
        <v>60</v>
      </c>
      <c r="E183" s="63">
        <v>4</v>
      </c>
      <c r="F183" s="64">
        <v>0.57999999999999996</v>
      </c>
      <c r="G183" s="64">
        <f t="shared" si="6"/>
        <v>2.3199999999999998</v>
      </c>
      <c r="H183" s="65"/>
    </row>
    <row r="184" spans="1:8" ht="24.95" customHeight="1">
      <c r="A184" s="2024"/>
      <c r="B184" s="61" t="s">
        <v>67</v>
      </c>
      <c r="C184" s="61" t="s">
        <v>181</v>
      </c>
      <c r="D184" s="62" t="s">
        <v>60</v>
      </c>
      <c r="E184" s="63">
        <v>1</v>
      </c>
      <c r="F184" s="64">
        <v>11.02</v>
      </c>
      <c r="G184" s="64">
        <f t="shared" si="6"/>
        <v>11.02</v>
      </c>
      <c r="H184" s="65"/>
    </row>
    <row r="185" spans="1:8" ht="24.95" customHeight="1">
      <c r="A185" s="2024"/>
      <c r="B185" s="61" t="s">
        <v>69</v>
      </c>
      <c r="C185" s="61" t="s">
        <v>178</v>
      </c>
      <c r="D185" s="62" t="s">
        <v>60</v>
      </c>
      <c r="E185" s="63">
        <v>1</v>
      </c>
      <c r="F185" s="64">
        <v>1.84</v>
      </c>
      <c r="G185" s="64">
        <f t="shared" si="6"/>
        <v>1.84</v>
      </c>
      <c r="H185" s="65"/>
    </row>
    <row r="186" spans="1:8" ht="24.95" customHeight="1">
      <c r="A186" s="2024"/>
      <c r="B186" s="61" t="s">
        <v>71</v>
      </c>
      <c r="C186" s="61" t="s">
        <v>72</v>
      </c>
      <c r="D186" s="62" t="s">
        <v>60</v>
      </c>
      <c r="E186" s="66">
        <v>1</v>
      </c>
      <c r="F186" s="64">
        <v>0.01</v>
      </c>
      <c r="G186" s="64">
        <f t="shared" si="6"/>
        <v>0.01</v>
      </c>
      <c r="H186" s="65"/>
    </row>
    <row r="187" spans="1:8" ht="24.95" customHeight="1">
      <c r="A187" s="2024"/>
      <c r="B187" s="61"/>
      <c r="C187" s="61"/>
      <c r="D187" s="61"/>
      <c r="E187" s="61"/>
      <c r="F187" s="61"/>
      <c r="G187" s="61"/>
      <c r="H187" s="67"/>
    </row>
    <row r="188" spans="1:8" ht="24.95" customHeight="1">
      <c r="A188" s="2025" t="s">
        <v>73</v>
      </c>
      <c r="B188" s="2026"/>
      <c r="C188" s="68"/>
      <c r="D188" s="69" t="s">
        <v>74</v>
      </c>
      <c r="E188" s="70">
        <v>1</v>
      </c>
      <c r="F188" s="68"/>
      <c r="G188" s="71">
        <f>SUM(G180:G186)</f>
        <v>131.64999999999998</v>
      </c>
      <c r="H188" s="72"/>
    </row>
    <row r="189" spans="1:8" ht="24.95" customHeight="1">
      <c r="A189" s="2024" t="s">
        <v>75</v>
      </c>
      <c r="B189" s="61" t="s">
        <v>76</v>
      </c>
      <c r="C189" s="61" t="s">
        <v>172</v>
      </c>
      <c r="D189" s="62" t="s">
        <v>60</v>
      </c>
      <c r="E189" s="63">
        <v>2</v>
      </c>
      <c r="F189" s="64">
        <v>0.32</v>
      </c>
      <c r="G189" s="64">
        <f>F189*E189</f>
        <v>0.64</v>
      </c>
      <c r="H189" s="67"/>
    </row>
    <row r="190" spans="1:8" ht="24.95" customHeight="1">
      <c r="A190" s="2024"/>
      <c r="B190" s="61" t="s">
        <v>78</v>
      </c>
      <c r="C190" s="61" t="s">
        <v>173</v>
      </c>
      <c r="D190" s="62" t="s">
        <v>60</v>
      </c>
      <c r="E190" s="63">
        <v>1</v>
      </c>
      <c r="F190" s="64">
        <v>0.16</v>
      </c>
      <c r="G190" s="64">
        <f>F190*E190</f>
        <v>0.16</v>
      </c>
      <c r="H190" s="67"/>
    </row>
    <row r="191" spans="1:8" ht="24.95" customHeight="1">
      <c r="A191" s="2024"/>
      <c r="B191" s="61"/>
      <c r="C191" s="61"/>
      <c r="D191" s="61"/>
      <c r="E191" s="61"/>
      <c r="F191" s="61"/>
      <c r="G191" s="61"/>
      <c r="H191" s="67"/>
    </row>
    <row r="192" spans="1:8" ht="24.95" customHeight="1">
      <c r="A192" s="2025" t="s">
        <v>73</v>
      </c>
      <c r="B192" s="2026"/>
      <c r="C192" s="68"/>
      <c r="D192" s="69" t="s">
        <v>74</v>
      </c>
      <c r="E192" s="69">
        <v>1</v>
      </c>
      <c r="F192" s="68"/>
      <c r="G192" s="71">
        <f>SUM(G189:G190)</f>
        <v>0.8</v>
      </c>
      <c r="H192" s="72"/>
    </row>
    <row r="193" spans="1:8" ht="24.95" customHeight="1">
      <c r="A193" s="2024" t="s">
        <v>80</v>
      </c>
      <c r="B193" s="61" t="s">
        <v>81</v>
      </c>
      <c r="C193" s="61" t="s">
        <v>82</v>
      </c>
      <c r="D193" s="62" t="s">
        <v>60</v>
      </c>
      <c r="E193" s="73">
        <v>6</v>
      </c>
      <c r="F193" s="61"/>
      <c r="G193" s="61"/>
      <c r="H193" s="67"/>
    </row>
    <row r="194" spans="1:8" ht="24.95" customHeight="1">
      <c r="A194" s="2024"/>
      <c r="B194" s="61" t="s">
        <v>83</v>
      </c>
      <c r="C194" s="61" t="s">
        <v>84</v>
      </c>
      <c r="D194" s="62" t="s">
        <v>60</v>
      </c>
      <c r="E194" s="79">
        <v>0.16666666666666666</v>
      </c>
      <c r="F194" s="61"/>
      <c r="G194" s="61"/>
      <c r="H194" s="67"/>
    </row>
    <row r="195" spans="1:8" ht="24.95" customHeight="1">
      <c r="A195" s="2024"/>
      <c r="B195" s="61" t="s">
        <v>86</v>
      </c>
      <c r="C195" s="61" t="s">
        <v>87</v>
      </c>
      <c r="D195" s="62" t="s">
        <v>60</v>
      </c>
      <c r="E195" s="79">
        <v>0.16666666666666666</v>
      </c>
      <c r="F195" s="74"/>
      <c r="G195" s="74"/>
      <c r="H195" s="67"/>
    </row>
    <row r="196" spans="1:8" ht="24.95" customHeight="1">
      <c r="A196" s="2024"/>
      <c r="B196" s="61" t="s">
        <v>88</v>
      </c>
      <c r="C196" s="61"/>
      <c r="D196" s="62" t="s">
        <v>60</v>
      </c>
      <c r="E196" s="79">
        <v>0.33333333333333331</v>
      </c>
      <c r="F196" s="61"/>
      <c r="G196" s="61"/>
      <c r="H196" s="67"/>
    </row>
    <row r="197" spans="1:8" ht="24.95" customHeight="1">
      <c r="A197" s="2024"/>
      <c r="B197" s="61" t="s">
        <v>90</v>
      </c>
      <c r="C197" s="61" t="s">
        <v>91</v>
      </c>
      <c r="D197" s="62" t="s">
        <v>92</v>
      </c>
      <c r="E197" s="75">
        <v>1.605</v>
      </c>
      <c r="F197" s="61"/>
      <c r="G197" s="61"/>
      <c r="H197" s="67"/>
    </row>
    <row r="198" spans="1:8" ht="24.95" customHeight="1">
      <c r="A198" s="2024"/>
      <c r="B198" s="61" t="s">
        <v>93</v>
      </c>
      <c r="C198" s="61"/>
      <c r="D198" s="62" t="s">
        <v>60</v>
      </c>
      <c r="E198" s="75">
        <v>1.7969999999999999</v>
      </c>
      <c r="F198" s="61"/>
      <c r="G198" s="61"/>
      <c r="H198" s="67"/>
    </row>
    <row r="199" spans="1:8" ht="24.95" customHeight="1">
      <c r="A199" s="2024"/>
      <c r="B199" s="61" t="s">
        <v>94</v>
      </c>
      <c r="C199" s="61" t="s">
        <v>95</v>
      </c>
      <c r="D199" s="62" t="s">
        <v>60</v>
      </c>
      <c r="E199" s="75">
        <v>0.77300000000000002</v>
      </c>
      <c r="F199" s="61"/>
      <c r="G199" s="61"/>
      <c r="H199" s="67"/>
    </row>
    <row r="200" spans="1:8" ht="24.95" customHeight="1">
      <c r="A200" s="2024"/>
      <c r="B200" s="61"/>
      <c r="C200" s="61"/>
      <c r="D200" s="61"/>
      <c r="E200" s="61"/>
      <c r="F200" s="61"/>
      <c r="G200" s="61"/>
      <c r="H200" s="67"/>
    </row>
    <row r="201" spans="1:8" ht="24.95" customHeight="1">
      <c r="A201" s="2024"/>
      <c r="B201" s="61"/>
      <c r="C201" s="61"/>
      <c r="D201" s="61"/>
      <c r="E201" s="61"/>
      <c r="F201" s="61"/>
      <c r="G201" s="61"/>
      <c r="H201" s="67"/>
    </row>
    <row r="202" spans="1:8" ht="24.95" customHeight="1">
      <c r="A202" s="2024"/>
      <c r="B202" s="61"/>
      <c r="C202" s="61"/>
      <c r="D202" s="61"/>
      <c r="E202" s="61"/>
      <c r="F202" s="61"/>
      <c r="G202" s="61"/>
      <c r="H202" s="67"/>
    </row>
    <row r="203" spans="1:8" ht="24.95" customHeight="1">
      <c r="A203" s="2020" t="s">
        <v>96</v>
      </c>
      <c r="B203" s="2021"/>
      <c r="C203" s="76"/>
      <c r="D203" s="76"/>
      <c r="E203" s="76"/>
      <c r="F203" s="76"/>
      <c r="G203" s="77">
        <f>G188+G192+G195</f>
        <v>132.44999999999999</v>
      </c>
      <c r="H203" s="78"/>
    </row>
    <row r="204" spans="1:8" ht="24.95" customHeight="1">
      <c r="A204" s="2022" t="s">
        <v>97</v>
      </c>
      <c r="B204" s="2023"/>
      <c r="C204" s="2023"/>
      <c r="D204" s="2023"/>
      <c r="E204" s="2023"/>
      <c r="F204" s="2023"/>
      <c r="G204" s="2023"/>
      <c r="H204" s="2030"/>
    </row>
    <row r="205" spans="1:8" ht="24.95" customHeight="1">
      <c r="A205" s="2034"/>
      <c r="B205" s="2035"/>
      <c r="C205" s="2035"/>
      <c r="D205" s="2035"/>
      <c r="E205" s="2035"/>
      <c r="F205" s="2035"/>
      <c r="G205" s="2035"/>
      <c r="H205" s="2036"/>
    </row>
  </sheetData>
  <mergeCells count="71">
    <mergeCell ref="A163:B163"/>
    <mergeCell ref="A205:H205"/>
    <mergeCell ref="A176:H176"/>
    <mergeCell ref="A179:B179"/>
    <mergeCell ref="A180:A187"/>
    <mergeCell ref="A188:B188"/>
    <mergeCell ref="C204:H204"/>
    <mergeCell ref="A204:B204"/>
    <mergeCell ref="A174:B174"/>
    <mergeCell ref="A203:B203"/>
    <mergeCell ref="A189:A191"/>
    <mergeCell ref="A192:B192"/>
    <mergeCell ref="A193:A202"/>
    <mergeCell ref="A175:B175"/>
    <mergeCell ref="A77:A86"/>
    <mergeCell ref="A87:B87"/>
    <mergeCell ref="A118:H118"/>
    <mergeCell ref="C175:H175"/>
    <mergeCell ref="A131:A133"/>
    <mergeCell ref="A134:B134"/>
    <mergeCell ref="C146:H146"/>
    <mergeCell ref="A147:H147"/>
    <mergeCell ref="A150:B150"/>
    <mergeCell ref="A151:A158"/>
    <mergeCell ref="A135:A144"/>
    <mergeCell ref="A145:B145"/>
    <mergeCell ref="A164:A173"/>
    <mergeCell ref="A146:B146"/>
    <mergeCell ref="A159:B159"/>
    <mergeCell ref="A160:A162"/>
    <mergeCell ref="C88:H88"/>
    <mergeCell ref="A121:B121"/>
    <mergeCell ref="A89:H89"/>
    <mergeCell ref="A92:B92"/>
    <mergeCell ref="A105:B105"/>
    <mergeCell ref="A106:A115"/>
    <mergeCell ref="A116:B116"/>
    <mergeCell ref="A117:B117"/>
    <mergeCell ref="C117:H117"/>
    <mergeCell ref="A29:B29"/>
    <mergeCell ref="A35:A42"/>
    <mergeCell ref="A43:B43"/>
    <mergeCell ref="A48:A57"/>
    <mergeCell ref="A130:B130"/>
    <mergeCell ref="A93:A100"/>
    <mergeCell ref="A101:B101"/>
    <mergeCell ref="A102:A104"/>
    <mergeCell ref="A88:B88"/>
    <mergeCell ref="A60:H60"/>
    <mergeCell ref="A63:B63"/>
    <mergeCell ref="A64:A71"/>
    <mergeCell ref="A72:B72"/>
    <mergeCell ref="A122:A129"/>
    <mergeCell ref="A73:A75"/>
    <mergeCell ref="A76:B76"/>
    <mergeCell ref="A58:B58"/>
    <mergeCell ref="A59:B59"/>
    <mergeCell ref="A44:A46"/>
    <mergeCell ref="A47:B47"/>
    <mergeCell ref="A1:H1"/>
    <mergeCell ref="A4:B4"/>
    <mergeCell ref="A5:A12"/>
    <mergeCell ref="A13:B13"/>
    <mergeCell ref="A14:A16"/>
    <mergeCell ref="A17:B17"/>
    <mergeCell ref="C29:H29"/>
    <mergeCell ref="A30:H31"/>
    <mergeCell ref="A34:B34"/>
    <mergeCell ref="A18:A27"/>
    <mergeCell ref="A28:B28"/>
    <mergeCell ref="C59:H59"/>
  </mergeCells>
  <phoneticPr fontId="3" type="noConversion"/>
  <printOptions horizontalCentered="1"/>
  <pageMargins left="0.43307086614173229" right="0.39370078740157483" top="0.78740157480314965" bottom="0.98425196850393704" header="0.51181102362204722" footer="0.51181102362204722"/>
  <pageSetup paperSize="9" orientation="portrait" r:id="rId1"/>
  <headerFooter alignWithMargins="0"/>
  <rowBreaks count="1" manualBreakCount="1">
    <brk id="118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392"/>
  <sheetViews>
    <sheetView view="pageBreakPreview" topLeftCell="A161" zoomScaleSheetLayoutView="100" workbookViewId="0">
      <selection activeCell="C93" sqref="C93"/>
    </sheetView>
  </sheetViews>
  <sheetFormatPr defaultColWidth="8.88671875" defaultRowHeight="11.25"/>
  <cols>
    <col min="1" max="1" width="6.6640625" style="51" bestFit="1" customWidth="1"/>
    <col min="2" max="2" width="11.21875" style="51" bestFit="1" customWidth="1"/>
    <col min="3" max="3" width="19.21875" style="51" bestFit="1" customWidth="1"/>
    <col min="4" max="4" width="4.44140625" style="51" bestFit="1" customWidth="1"/>
    <col min="5" max="5" width="7.6640625" style="51" bestFit="1" customWidth="1"/>
    <col min="6" max="6" width="7.6640625" style="51" customWidth="1"/>
    <col min="7" max="7" width="8.109375" style="51" customWidth="1"/>
    <col min="8" max="8" width="10.5546875" style="51" customWidth="1"/>
    <col min="9" max="10" width="8.88671875" style="51"/>
    <col min="11" max="11" width="9.44140625" style="51" bestFit="1" customWidth="1"/>
    <col min="12" max="12" width="9.6640625" style="51" bestFit="1" customWidth="1"/>
    <col min="13" max="16384" width="8.88671875" style="51"/>
  </cols>
  <sheetData>
    <row r="1" spans="1:11" ht="25.5">
      <c r="A1" s="2027" t="s">
        <v>46</v>
      </c>
      <c r="B1" s="2027"/>
      <c r="C1" s="2027"/>
      <c r="D1" s="2027"/>
      <c r="E1" s="2027"/>
      <c r="F1" s="2027"/>
      <c r="G1" s="2027"/>
      <c r="H1" s="2027"/>
    </row>
    <row r="2" spans="1:11" s="53" customFormat="1" ht="24.95" customHeight="1">
      <c r="A2" s="53" t="s">
        <v>47</v>
      </c>
      <c r="B2" s="53" t="s">
        <v>183</v>
      </c>
    </row>
    <row r="3" spans="1:11" s="53" customFormat="1" ht="24.95" customHeight="1">
      <c r="A3" s="2028" t="s">
        <v>50</v>
      </c>
      <c r="B3" s="2028"/>
      <c r="C3" s="54" t="s">
        <v>51</v>
      </c>
      <c r="D3" s="54" t="s">
        <v>52</v>
      </c>
      <c r="E3" s="54" t="s">
        <v>53</v>
      </c>
      <c r="F3" s="54" t="s">
        <v>54</v>
      </c>
      <c r="G3" s="54" t="s">
        <v>56</v>
      </c>
      <c r="H3" s="54" t="s">
        <v>57</v>
      </c>
    </row>
    <row r="4" spans="1:11" s="53" customFormat="1" ht="24.95" customHeight="1">
      <c r="A4" s="2037" t="s">
        <v>113</v>
      </c>
      <c r="B4" s="55" t="s">
        <v>58</v>
      </c>
      <c r="C4" s="55" t="s">
        <v>184</v>
      </c>
      <c r="D4" s="56" t="s">
        <v>60</v>
      </c>
      <c r="E4" s="57">
        <v>1</v>
      </c>
      <c r="F4" s="58">
        <v>2.1776399999999998</v>
      </c>
      <c r="G4" s="58">
        <f>F4*E4</f>
        <v>2.1776399999999998</v>
      </c>
      <c r="H4" s="91"/>
      <c r="I4" s="93"/>
      <c r="K4" s="94"/>
    </row>
    <row r="5" spans="1:11" s="53" customFormat="1" ht="24.95" customHeight="1">
      <c r="A5" s="2038"/>
      <c r="B5" s="61" t="s">
        <v>115</v>
      </c>
      <c r="C5" s="61" t="s">
        <v>185</v>
      </c>
      <c r="D5" s="62" t="s">
        <v>60</v>
      </c>
      <c r="E5" s="63">
        <v>1</v>
      </c>
      <c r="F5" s="64">
        <v>0.17358000000000001</v>
      </c>
      <c r="G5" s="64">
        <f t="shared" ref="G5:G10" si="0">F5*E5</f>
        <v>0.17358000000000001</v>
      </c>
      <c r="H5" s="92"/>
      <c r="I5" s="93"/>
      <c r="K5" s="94"/>
    </row>
    <row r="6" spans="1:11" s="53" customFormat="1" ht="24.95" customHeight="1">
      <c r="A6" s="2038"/>
      <c r="B6" s="61" t="s">
        <v>117</v>
      </c>
      <c r="C6" s="61" t="s">
        <v>186</v>
      </c>
      <c r="D6" s="62" t="s">
        <v>60</v>
      </c>
      <c r="E6" s="63">
        <v>2</v>
      </c>
      <c r="F6" s="64">
        <v>1.3570800000000001</v>
      </c>
      <c r="G6" s="64">
        <f t="shared" si="0"/>
        <v>2.7141600000000001</v>
      </c>
      <c r="H6" s="92"/>
      <c r="I6" s="93"/>
      <c r="K6" s="94"/>
    </row>
    <row r="7" spans="1:11" s="53" customFormat="1" ht="24.95" customHeight="1">
      <c r="A7" s="2038"/>
      <c r="B7" s="61" t="s">
        <v>119</v>
      </c>
      <c r="C7" s="61" t="s">
        <v>187</v>
      </c>
      <c r="D7" s="62" t="s">
        <v>60</v>
      </c>
      <c r="E7" s="63">
        <v>1</v>
      </c>
      <c r="F7" s="64">
        <v>0.69432000000000005</v>
      </c>
      <c r="G7" s="64">
        <f t="shared" si="0"/>
        <v>0.69432000000000005</v>
      </c>
      <c r="H7" s="92"/>
      <c r="I7" s="93"/>
      <c r="K7" s="94"/>
    </row>
    <row r="8" spans="1:11" s="53" customFormat="1" ht="24.95" customHeight="1">
      <c r="A8" s="2038"/>
      <c r="B8" s="61" t="s">
        <v>121</v>
      </c>
      <c r="C8" s="61" t="s">
        <v>188</v>
      </c>
      <c r="D8" s="62" t="s">
        <v>60</v>
      </c>
      <c r="E8" s="63">
        <v>1</v>
      </c>
      <c r="F8" s="64">
        <v>0.79688999999999999</v>
      </c>
      <c r="G8" s="64">
        <f t="shared" si="0"/>
        <v>0.79688999999999999</v>
      </c>
      <c r="H8" s="92"/>
      <c r="I8" s="93"/>
      <c r="K8" s="94"/>
    </row>
    <row r="9" spans="1:11" s="53" customFormat="1" ht="24.95" customHeight="1">
      <c r="A9" s="2038"/>
      <c r="B9" s="61" t="s">
        <v>113</v>
      </c>
      <c r="C9" s="61" t="s">
        <v>189</v>
      </c>
      <c r="D9" s="62" t="s">
        <v>60</v>
      </c>
      <c r="E9" s="63">
        <v>1</v>
      </c>
      <c r="F9" s="64">
        <v>5.5308900000000003</v>
      </c>
      <c r="G9" s="64">
        <f t="shared" si="0"/>
        <v>5.5308900000000003</v>
      </c>
      <c r="H9" s="92"/>
      <c r="I9" s="93"/>
      <c r="K9" s="94"/>
    </row>
    <row r="10" spans="1:11" s="53" customFormat="1" ht="24.95" customHeight="1">
      <c r="A10" s="2038"/>
      <c r="B10" s="61" t="s">
        <v>124</v>
      </c>
      <c r="C10" s="61" t="s">
        <v>190</v>
      </c>
      <c r="D10" s="62" t="s">
        <v>60</v>
      </c>
      <c r="E10" s="66">
        <v>1</v>
      </c>
      <c r="F10" s="64">
        <v>1.2466200000000001</v>
      </c>
      <c r="G10" s="64">
        <f t="shared" si="0"/>
        <v>1.2466200000000001</v>
      </c>
      <c r="H10" s="92"/>
      <c r="I10" s="93"/>
      <c r="K10" s="94"/>
    </row>
    <row r="11" spans="1:11" s="53" customFormat="1" ht="24.95" customHeight="1">
      <c r="A11" s="2038"/>
      <c r="B11" s="61" t="s">
        <v>78</v>
      </c>
      <c r="C11" s="61" t="s">
        <v>191</v>
      </c>
      <c r="D11" s="62" t="s">
        <v>60</v>
      </c>
      <c r="E11" s="63">
        <v>1</v>
      </c>
      <c r="F11" s="64">
        <v>5.5230000000000008E-2</v>
      </c>
      <c r="G11" s="64">
        <f>F11*E11</f>
        <v>5.5230000000000008E-2</v>
      </c>
      <c r="H11" s="92"/>
      <c r="I11" s="93"/>
      <c r="K11" s="94"/>
    </row>
    <row r="12" spans="1:11" s="53" customFormat="1" ht="24.95" customHeight="1">
      <c r="A12" s="2038"/>
      <c r="B12" s="61" t="s">
        <v>127</v>
      </c>
      <c r="C12" s="61" t="s">
        <v>128</v>
      </c>
      <c r="D12" s="62" t="s">
        <v>60</v>
      </c>
      <c r="E12" s="66">
        <v>5</v>
      </c>
      <c r="F12" s="64">
        <v>0.2</v>
      </c>
      <c r="G12" s="64">
        <f>F12*E12</f>
        <v>1</v>
      </c>
      <c r="H12" s="92"/>
    </row>
    <row r="13" spans="1:11" s="53" customFormat="1" ht="24.95" customHeight="1">
      <c r="A13" s="2039"/>
      <c r="B13" s="61"/>
      <c r="C13" s="61"/>
      <c r="D13" s="61"/>
      <c r="E13" s="61"/>
      <c r="F13" s="61"/>
      <c r="G13" s="61"/>
      <c r="H13" s="67"/>
    </row>
    <row r="14" spans="1:11" s="53" customFormat="1" ht="24.95" customHeight="1">
      <c r="A14" s="2025" t="s">
        <v>73</v>
      </c>
      <c r="B14" s="2026"/>
      <c r="C14" s="68"/>
      <c r="D14" s="69" t="s">
        <v>74</v>
      </c>
      <c r="E14" s="70">
        <v>1</v>
      </c>
      <c r="F14" s="68"/>
      <c r="G14" s="71">
        <f>SUM(G4:G12)</f>
        <v>14.389329999999999</v>
      </c>
      <c r="H14" s="72"/>
    </row>
    <row r="15" spans="1:11" s="53" customFormat="1" ht="24.95" customHeight="1">
      <c r="A15" s="2040"/>
      <c r="B15" s="61" t="s">
        <v>129</v>
      </c>
      <c r="C15" s="61" t="s">
        <v>130</v>
      </c>
      <c r="D15" s="62" t="s">
        <v>60</v>
      </c>
      <c r="E15" s="66">
        <v>5</v>
      </c>
      <c r="F15" s="74">
        <v>0.35</v>
      </c>
      <c r="G15" s="80">
        <f>F15*E15</f>
        <v>1.75</v>
      </c>
      <c r="H15" s="67"/>
    </row>
    <row r="16" spans="1:11" s="53" customFormat="1" ht="24.95" customHeight="1">
      <c r="A16" s="2038"/>
      <c r="B16" s="61" t="s">
        <v>86</v>
      </c>
      <c r="C16" s="61" t="s">
        <v>131</v>
      </c>
      <c r="D16" s="62" t="s">
        <v>60</v>
      </c>
      <c r="E16" s="81">
        <v>0.1</v>
      </c>
      <c r="F16" s="74"/>
      <c r="G16" s="74"/>
      <c r="H16" s="67"/>
    </row>
    <row r="17" spans="1:8" s="53" customFormat="1" ht="24.95" customHeight="1">
      <c r="A17" s="2038"/>
      <c r="B17" s="61" t="s">
        <v>132</v>
      </c>
      <c r="C17" s="61"/>
      <c r="D17" s="62" t="s">
        <v>60</v>
      </c>
      <c r="E17" s="81">
        <v>0.2</v>
      </c>
      <c r="F17" s="61"/>
      <c r="G17" s="61"/>
      <c r="H17" s="67"/>
    </row>
    <row r="18" spans="1:8" s="53" customFormat="1" ht="24.95" customHeight="1">
      <c r="A18" s="2038"/>
      <c r="B18" s="61" t="s">
        <v>90</v>
      </c>
      <c r="C18" s="61" t="s">
        <v>91</v>
      </c>
      <c r="D18" s="62" t="s">
        <v>92</v>
      </c>
      <c r="E18" s="75">
        <v>0.27</v>
      </c>
      <c r="F18" s="61"/>
      <c r="G18" s="61"/>
      <c r="H18" s="67"/>
    </row>
    <row r="19" spans="1:8" s="53" customFormat="1" ht="24.95" customHeight="1">
      <c r="A19" s="2038"/>
      <c r="B19" s="61" t="s">
        <v>93</v>
      </c>
      <c r="C19" s="61"/>
      <c r="D19" s="62" t="s">
        <v>60</v>
      </c>
      <c r="E19" s="75">
        <v>0.30199999999999999</v>
      </c>
      <c r="F19" s="61"/>
      <c r="G19" s="61"/>
      <c r="H19" s="67"/>
    </row>
    <row r="20" spans="1:8" s="53" customFormat="1" ht="24.95" customHeight="1">
      <c r="A20" s="2038"/>
      <c r="B20" s="61" t="s">
        <v>94</v>
      </c>
      <c r="C20" s="61" t="s">
        <v>95</v>
      </c>
      <c r="D20" s="62" t="s">
        <v>60</v>
      </c>
      <c r="E20" s="75">
        <v>0.108</v>
      </c>
      <c r="F20" s="61"/>
      <c r="G20" s="61"/>
      <c r="H20" s="67"/>
    </row>
    <row r="21" spans="1:8" s="53" customFormat="1" ht="24.95" customHeight="1">
      <c r="A21" s="2038"/>
      <c r="B21" s="61"/>
      <c r="C21" s="61"/>
      <c r="D21" s="62"/>
      <c r="E21" s="75"/>
      <c r="F21" s="61"/>
      <c r="G21" s="61"/>
      <c r="H21" s="67"/>
    </row>
    <row r="22" spans="1:8" s="53" customFormat="1" ht="24.95" customHeight="1">
      <c r="A22" s="2038"/>
      <c r="B22" s="61"/>
      <c r="C22" s="61"/>
      <c r="D22" s="62"/>
      <c r="E22" s="75"/>
      <c r="F22" s="61"/>
      <c r="G22" s="61"/>
      <c r="H22" s="67"/>
    </row>
    <row r="23" spans="1:8" s="53" customFormat="1" ht="24.95" customHeight="1">
      <c r="A23" s="2038"/>
      <c r="B23" s="61"/>
      <c r="C23" s="61"/>
      <c r="D23" s="62"/>
      <c r="E23" s="75"/>
      <c r="F23" s="61"/>
      <c r="G23" s="61"/>
      <c r="H23" s="67"/>
    </row>
    <row r="24" spans="1:8" s="53" customFormat="1" ht="24.95" customHeight="1">
      <c r="A24" s="2025" t="s">
        <v>73</v>
      </c>
      <c r="B24" s="2026"/>
      <c r="C24" s="68"/>
      <c r="D24" s="69" t="s">
        <v>74</v>
      </c>
      <c r="E24" s="70">
        <v>1</v>
      </c>
      <c r="F24" s="68"/>
      <c r="G24" s="71">
        <f>SUM(G15:G22)</f>
        <v>1.75</v>
      </c>
      <c r="H24" s="72"/>
    </row>
    <row r="25" spans="1:8" s="53" customFormat="1" ht="24.95" customHeight="1">
      <c r="A25" s="82"/>
      <c r="B25" s="61"/>
      <c r="C25" s="61"/>
      <c r="D25" s="61"/>
      <c r="E25" s="61"/>
      <c r="F25" s="61"/>
      <c r="G25" s="61"/>
      <c r="H25" s="67"/>
    </row>
    <row r="26" spans="1:8" s="53" customFormat="1" ht="24.95" customHeight="1">
      <c r="A26" s="83"/>
      <c r="B26" s="61"/>
      <c r="C26" s="61"/>
      <c r="D26" s="61"/>
      <c r="E26" s="61"/>
      <c r="F26" s="61"/>
      <c r="G26" s="61"/>
      <c r="H26" s="67"/>
    </row>
    <row r="27" spans="1:8" s="53" customFormat="1" ht="24.95" customHeight="1">
      <c r="A27" s="2020" t="s">
        <v>96</v>
      </c>
      <c r="B27" s="2021"/>
      <c r="C27" s="76"/>
      <c r="D27" s="76"/>
      <c r="E27" s="76"/>
      <c r="F27" s="76"/>
      <c r="G27" s="77">
        <f>G14+G24</f>
        <v>16.139330000000001</v>
      </c>
      <c r="H27" s="78"/>
    </row>
    <row r="28" spans="1:8" s="53" customFormat="1" ht="24.95" customHeight="1">
      <c r="A28" s="2022" t="s">
        <v>97</v>
      </c>
      <c r="B28" s="2023"/>
      <c r="C28" s="2023"/>
      <c r="D28" s="2023"/>
      <c r="E28" s="2023"/>
      <c r="F28" s="2023"/>
      <c r="G28" s="2023"/>
      <c r="H28" s="2030"/>
    </row>
    <row r="29" spans="1:8" s="53" customFormat="1" ht="24.95" customHeight="1">
      <c r="A29" s="2034"/>
      <c r="B29" s="2035"/>
      <c r="C29" s="2035"/>
      <c r="D29" s="2035"/>
      <c r="E29" s="2035"/>
      <c r="F29" s="2035"/>
      <c r="G29" s="2035"/>
      <c r="H29" s="2036"/>
    </row>
    <row r="30" spans="1:8" s="53" customFormat="1" ht="24.95" customHeight="1">
      <c r="A30" s="53" t="s">
        <v>47</v>
      </c>
      <c r="B30" s="53" t="s">
        <v>192</v>
      </c>
    </row>
    <row r="31" spans="1:8" s="53" customFormat="1" ht="24.95" customHeight="1">
      <c r="A31" s="2028" t="s">
        <v>50</v>
      </c>
      <c r="B31" s="2028"/>
      <c r="C31" s="54" t="s">
        <v>51</v>
      </c>
      <c r="D31" s="54" t="s">
        <v>52</v>
      </c>
      <c r="E31" s="54" t="s">
        <v>53</v>
      </c>
      <c r="F31" s="54" t="s">
        <v>54</v>
      </c>
      <c r="G31" s="54" t="s">
        <v>56</v>
      </c>
      <c r="H31" s="54" t="s">
        <v>57</v>
      </c>
    </row>
    <row r="32" spans="1:8" s="53" customFormat="1" ht="24.95" customHeight="1">
      <c r="A32" s="2037" t="s">
        <v>113</v>
      </c>
      <c r="B32" s="55" t="s">
        <v>58</v>
      </c>
      <c r="C32" s="55" t="s">
        <v>184</v>
      </c>
      <c r="D32" s="56" t="s">
        <v>60</v>
      </c>
      <c r="E32" s="57">
        <v>1</v>
      </c>
      <c r="F32" s="58">
        <v>2.1776399999999998</v>
      </c>
      <c r="G32" s="58">
        <f t="shared" ref="G32:G40" si="1">F32*E32</f>
        <v>2.1776399999999998</v>
      </c>
      <c r="H32" s="59"/>
    </row>
    <row r="33" spans="1:8" s="53" customFormat="1" ht="24.95" customHeight="1">
      <c r="A33" s="2038"/>
      <c r="B33" s="61" t="s">
        <v>115</v>
      </c>
      <c r="C33" s="61" t="s">
        <v>185</v>
      </c>
      <c r="D33" s="62" t="s">
        <v>60</v>
      </c>
      <c r="E33" s="63">
        <v>1</v>
      </c>
      <c r="F33" s="64">
        <v>0.17358000000000001</v>
      </c>
      <c r="G33" s="64">
        <f t="shared" si="1"/>
        <v>0.17358000000000001</v>
      </c>
      <c r="H33" s="65"/>
    </row>
    <row r="34" spans="1:8" s="53" customFormat="1" ht="24.95" customHeight="1">
      <c r="A34" s="2038"/>
      <c r="B34" s="61" t="s">
        <v>117</v>
      </c>
      <c r="C34" s="61" t="s">
        <v>186</v>
      </c>
      <c r="D34" s="62" t="s">
        <v>60</v>
      </c>
      <c r="E34" s="63">
        <v>4</v>
      </c>
      <c r="F34" s="64">
        <v>1.3570800000000001</v>
      </c>
      <c r="G34" s="64">
        <f t="shared" si="1"/>
        <v>5.4283200000000003</v>
      </c>
      <c r="H34" s="65"/>
    </row>
    <row r="35" spans="1:8" s="53" customFormat="1" ht="24.95" customHeight="1">
      <c r="A35" s="2038"/>
      <c r="B35" s="61" t="s">
        <v>119</v>
      </c>
      <c r="C35" s="61" t="s">
        <v>187</v>
      </c>
      <c r="D35" s="62" t="s">
        <v>60</v>
      </c>
      <c r="E35" s="63">
        <v>2</v>
      </c>
      <c r="F35" s="64">
        <v>0.69432000000000005</v>
      </c>
      <c r="G35" s="64">
        <f t="shared" si="1"/>
        <v>1.3886400000000001</v>
      </c>
      <c r="H35" s="65"/>
    </row>
    <row r="36" spans="1:8" s="53" customFormat="1" ht="24.95" customHeight="1">
      <c r="A36" s="2038"/>
      <c r="B36" s="61" t="s">
        <v>121</v>
      </c>
      <c r="C36" s="61" t="s">
        <v>188</v>
      </c>
      <c r="D36" s="62" t="s">
        <v>60</v>
      </c>
      <c r="E36" s="63">
        <v>2</v>
      </c>
      <c r="F36" s="64">
        <v>0.79688999999999999</v>
      </c>
      <c r="G36" s="64">
        <f t="shared" si="1"/>
        <v>1.59378</v>
      </c>
      <c r="H36" s="65"/>
    </row>
    <row r="37" spans="1:8" s="53" customFormat="1" ht="24.95" customHeight="1">
      <c r="A37" s="2038"/>
      <c r="B37" s="61" t="s">
        <v>113</v>
      </c>
      <c r="C37" s="61" t="s">
        <v>189</v>
      </c>
      <c r="D37" s="62" t="s">
        <v>60</v>
      </c>
      <c r="E37" s="63">
        <v>2</v>
      </c>
      <c r="F37" s="64">
        <v>5.5308900000000003</v>
      </c>
      <c r="G37" s="64">
        <f t="shared" si="1"/>
        <v>11.061780000000001</v>
      </c>
      <c r="H37" s="65"/>
    </row>
    <row r="38" spans="1:8" s="53" customFormat="1" ht="24.95" customHeight="1">
      <c r="A38" s="2038"/>
      <c r="B38" s="61" t="s">
        <v>124</v>
      </c>
      <c r="C38" s="61" t="s">
        <v>190</v>
      </c>
      <c r="D38" s="62" t="s">
        <v>60</v>
      </c>
      <c r="E38" s="66">
        <v>2</v>
      </c>
      <c r="F38" s="64">
        <v>1.2466200000000001</v>
      </c>
      <c r="G38" s="64">
        <f t="shared" si="1"/>
        <v>2.4932400000000001</v>
      </c>
      <c r="H38" s="65"/>
    </row>
    <row r="39" spans="1:8" s="53" customFormat="1" ht="24.95" customHeight="1">
      <c r="A39" s="2038"/>
      <c r="B39" s="61" t="s">
        <v>78</v>
      </c>
      <c r="C39" s="61" t="s">
        <v>191</v>
      </c>
      <c r="D39" s="62" t="s">
        <v>60</v>
      </c>
      <c r="E39" s="63">
        <v>2</v>
      </c>
      <c r="F39" s="64">
        <v>5.5230000000000008E-2</v>
      </c>
      <c r="G39" s="64">
        <f t="shared" si="1"/>
        <v>0.11046000000000002</v>
      </c>
      <c r="H39" s="67"/>
    </row>
    <row r="40" spans="1:8" s="53" customFormat="1" ht="24.95" customHeight="1">
      <c r="A40" s="2038"/>
      <c r="B40" s="61" t="s">
        <v>127</v>
      </c>
      <c r="C40" s="61" t="s">
        <v>128</v>
      </c>
      <c r="D40" s="62" t="s">
        <v>60</v>
      </c>
      <c r="E40" s="66">
        <v>4</v>
      </c>
      <c r="F40" s="64">
        <v>0.2</v>
      </c>
      <c r="G40" s="64">
        <f t="shared" si="1"/>
        <v>0.8</v>
      </c>
      <c r="H40" s="67"/>
    </row>
    <row r="41" spans="1:8" s="53" customFormat="1" ht="24.95" customHeight="1">
      <c r="A41" s="2039"/>
      <c r="B41" s="61"/>
      <c r="C41" s="61"/>
      <c r="D41" s="61"/>
      <c r="E41" s="61"/>
      <c r="F41" s="61"/>
      <c r="G41" s="61"/>
      <c r="H41" s="67"/>
    </row>
    <row r="42" spans="1:8" s="53" customFormat="1" ht="24.95" customHeight="1">
      <c r="A42" s="2025" t="s">
        <v>73</v>
      </c>
      <c r="B42" s="2026"/>
      <c r="C42" s="68"/>
      <c r="D42" s="69" t="s">
        <v>74</v>
      </c>
      <c r="E42" s="70">
        <v>1</v>
      </c>
      <c r="F42" s="68"/>
      <c r="G42" s="71">
        <f>SUM(G32:G40)</f>
        <v>25.227440000000001</v>
      </c>
      <c r="H42" s="72"/>
    </row>
    <row r="43" spans="1:8" s="53" customFormat="1" ht="24.95" customHeight="1">
      <c r="A43" s="2040"/>
      <c r="B43" s="61" t="s">
        <v>129</v>
      </c>
      <c r="C43" s="61" t="s">
        <v>130</v>
      </c>
      <c r="D43" s="62" t="s">
        <v>60</v>
      </c>
      <c r="E43" s="66">
        <v>5</v>
      </c>
      <c r="F43" s="74">
        <v>0.35</v>
      </c>
      <c r="G43" s="80">
        <f>F43*E43</f>
        <v>1.75</v>
      </c>
      <c r="H43" s="67"/>
    </row>
    <row r="44" spans="1:8" s="53" customFormat="1" ht="24.95" customHeight="1">
      <c r="A44" s="2038"/>
      <c r="B44" s="61" t="s">
        <v>86</v>
      </c>
      <c r="C44" s="61" t="s">
        <v>131</v>
      </c>
      <c r="D44" s="62" t="s">
        <v>60</v>
      </c>
      <c r="E44" s="81">
        <v>0.1</v>
      </c>
      <c r="F44" s="74"/>
      <c r="G44" s="74"/>
      <c r="H44" s="67"/>
    </row>
    <row r="45" spans="1:8" s="53" customFormat="1" ht="24.95" customHeight="1">
      <c r="A45" s="2038"/>
      <c r="B45" s="61" t="s">
        <v>132</v>
      </c>
      <c r="C45" s="61"/>
      <c r="D45" s="62" t="s">
        <v>60</v>
      </c>
      <c r="E45" s="81">
        <v>0.2</v>
      </c>
      <c r="F45" s="61"/>
      <c r="G45" s="61"/>
      <c r="H45" s="67"/>
    </row>
    <row r="46" spans="1:8" s="53" customFormat="1" ht="24.95" customHeight="1">
      <c r="A46" s="2038"/>
      <c r="B46" s="61" t="s">
        <v>90</v>
      </c>
      <c r="C46" s="61" t="s">
        <v>91</v>
      </c>
      <c r="D46" s="62" t="s">
        <v>92</v>
      </c>
      <c r="E46" s="75">
        <v>0.27</v>
      </c>
      <c r="F46" s="61"/>
      <c r="G46" s="61"/>
      <c r="H46" s="67"/>
    </row>
    <row r="47" spans="1:8" s="53" customFormat="1" ht="24.95" customHeight="1">
      <c r="A47" s="2038"/>
      <c r="B47" s="61" t="s">
        <v>93</v>
      </c>
      <c r="C47" s="61"/>
      <c r="D47" s="62" t="s">
        <v>60</v>
      </c>
      <c r="E47" s="75">
        <v>0.30199999999999999</v>
      </c>
      <c r="F47" s="61"/>
      <c r="G47" s="61"/>
      <c r="H47" s="67"/>
    </row>
    <row r="48" spans="1:8" s="53" customFormat="1" ht="24.95" customHeight="1">
      <c r="A48" s="2038"/>
      <c r="B48" s="61" t="s">
        <v>94</v>
      </c>
      <c r="C48" s="61" t="s">
        <v>95</v>
      </c>
      <c r="D48" s="62" t="s">
        <v>60</v>
      </c>
      <c r="E48" s="75">
        <v>0.108</v>
      </c>
      <c r="F48" s="61"/>
      <c r="G48" s="61"/>
      <c r="H48" s="67"/>
    </row>
    <row r="49" spans="1:12" s="53" customFormat="1" ht="24.95" customHeight="1">
      <c r="A49" s="2038"/>
      <c r="B49" s="61"/>
      <c r="C49" s="61"/>
      <c r="D49" s="62"/>
      <c r="E49" s="75"/>
      <c r="F49" s="61"/>
      <c r="G49" s="61"/>
      <c r="H49" s="67"/>
    </row>
    <row r="50" spans="1:12" s="53" customFormat="1" ht="24.95" customHeight="1">
      <c r="A50" s="2038"/>
      <c r="B50" s="61"/>
      <c r="C50" s="61"/>
      <c r="D50" s="62"/>
      <c r="E50" s="75"/>
      <c r="F50" s="61"/>
      <c r="G50" s="61"/>
      <c r="H50" s="67"/>
    </row>
    <row r="51" spans="1:12" s="53" customFormat="1" ht="24.95" customHeight="1">
      <c r="A51" s="2038"/>
      <c r="B51" s="61"/>
      <c r="C51" s="61"/>
      <c r="D51" s="62"/>
      <c r="E51" s="75"/>
      <c r="F51" s="61"/>
      <c r="G51" s="61"/>
      <c r="H51" s="67"/>
    </row>
    <row r="52" spans="1:12" s="53" customFormat="1" ht="24.95" customHeight="1">
      <c r="A52" s="2025" t="s">
        <v>73</v>
      </c>
      <c r="B52" s="2026"/>
      <c r="C52" s="68"/>
      <c r="D52" s="69" t="s">
        <v>74</v>
      </c>
      <c r="E52" s="70">
        <v>1</v>
      </c>
      <c r="F52" s="68"/>
      <c r="G52" s="71">
        <f>SUM(G43:G50)</f>
        <v>1.75</v>
      </c>
      <c r="H52" s="72"/>
    </row>
    <row r="53" spans="1:12" s="53" customFormat="1" ht="24.95" customHeight="1">
      <c r="A53" s="82"/>
      <c r="B53" s="61"/>
      <c r="C53" s="61"/>
      <c r="D53" s="61"/>
      <c r="E53" s="61"/>
      <c r="F53" s="61"/>
      <c r="G53" s="61"/>
      <c r="H53" s="67"/>
    </row>
    <row r="54" spans="1:12" ht="24.95" customHeight="1">
      <c r="A54" s="83"/>
      <c r="B54" s="61"/>
      <c r="C54" s="61"/>
      <c r="D54" s="61"/>
      <c r="E54" s="61"/>
      <c r="F54" s="61"/>
      <c r="G54" s="61"/>
      <c r="H54" s="67"/>
    </row>
    <row r="55" spans="1:12" ht="24.95" customHeight="1">
      <c r="A55" s="2020" t="s">
        <v>96</v>
      </c>
      <c r="B55" s="2021"/>
      <c r="C55" s="76"/>
      <c r="D55" s="76"/>
      <c r="E55" s="76"/>
      <c r="F55" s="76"/>
      <c r="G55" s="77">
        <f>G42+G52</f>
        <v>26.977440000000001</v>
      </c>
      <c r="H55" s="78"/>
    </row>
    <row r="56" spans="1:12" ht="24.95" customHeight="1">
      <c r="A56" s="2022" t="s">
        <v>97</v>
      </c>
      <c r="B56" s="2023"/>
      <c r="C56" s="2023"/>
      <c r="D56" s="2023"/>
      <c r="E56" s="2023"/>
      <c r="F56" s="2023"/>
      <c r="G56" s="2023"/>
      <c r="H56" s="2030"/>
    </row>
    <row r="57" spans="1:12" ht="24.95" customHeight="1">
      <c r="A57" s="2034"/>
      <c r="B57" s="2035"/>
      <c r="C57" s="2035"/>
      <c r="D57" s="2035"/>
      <c r="E57" s="2035"/>
      <c r="F57" s="2035"/>
      <c r="G57" s="2035"/>
      <c r="H57" s="2036"/>
    </row>
    <row r="58" spans="1:12" ht="24.95" customHeight="1">
      <c r="A58" s="53" t="s">
        <v>47</v>
      </c>
      <c r="B58" s="53" t="s">
        <v>193</v>
      </c>
      <c r="C58" s="53"/>
      <c r="D58" s="53"/>
      <c r="E58" s="53"/>
      <c r="F58" s="53"/>
      <c r="G58" s="53"/>
      <c r="H58" s="53"/>
    </row>
    <row r="59" spans="1:12" ht="24.95" customHeight="1">
      <c r="A59" s="2028" t="s">
        <v>50</v>
      </c>
      <c r="B59" s="2028"/>
      <c r="C59" s="54" t="s">
        <v>51</v>
      </c>
      <c r="D59" s="54" t="s">
        <v>52</v>
      </c>
      <c r="E59" s="54" t="s">
        <v>53</v>
      </c>
      <c r="F59" s="54" t="s">
        <v>54</v>
      </c>
      <c r="G59" s="54" t="s">
        <v>56</v>
      </c>
      <c r="H59" s="54" t="s">
        <v>57</v>
      </c>
    </row>
    <row r="60" spans="1:12" ht="24.95" customHeight="1">
      <c r="A60" s="2037" t="s">
        <v>113</v>
      </c>
      <c r="B60" s="55" t="s">
        <v>58</v>
      </c>
      <c r="C60" s="55" t="s">
        <v>184</v>
      </c>
      <c r="D60" s="56" t="s">
        <v>60</v>
      </c>
      <c r="E60" s="57">
        <v>1</v>
      </c>
      <c r="F60" s="58">
        <v>2.1776399999999998</v>
      </c>
      <c r="G60" s="58">
        <f t="shared" ref="G60:G68" si="2">F60*E60</f>
        <v>2.1776399999999998</v>
      </c>
      <c r="H60" s="59"/>
      <c r="L60" s="95"/>
    </row>
    <row r="61" spans="1:12" ht="24.95" customHeight="1">
      <c r="A61" s="2038"/>
      <c r="B61" s="61" t="s">
        <v>115</v>
      </c>
      <c r="C61" s="61" t="s">
        <v>185</v>
      </c>
      <c r="D61" s="62" t="s">
        <v>60</v>
      </c>
      <c r="E61" s="63">
        <v>1</v>
      </c>
      <c r="F61" s="64">
        <v>0.17358000000000001</v>
      </c>
      <c r="G61" s="64">
        <f t="shared" si="2"/>
        <v>0.17358000000000001</v>
      </c>
      <c r="H61" s="65"/>
      <c r="L61" s="95"/>
    </row>
    <row r="62" spans="1:12" ht="24.95" customHeight="1">
      <c r="A62" s="2038"/>
      <c r="B62" s="61" t="s">
        <v>117</v>
      </c>
      <c r="C62" s="61" t="s">
        <v>186</v>
      </c>
      <c r="D62" s="62" t="s">
        <v>60</v>
      </c>
      <c r="E62" s="63">
        <v>2</v>
      </c>
      <c r="F62" s="64">
        <v>1.3570800000000001</v>
      </c>
      <c r="G62" s="64">
        <f t="shared" si="2"/>
        <v>2.7141600000000001</v>
      </c>
      <c r="H62" s="65"/>
      <c r="L62" s="95"/>
    </row>
    <row r="63" spans="1:12" ht="24.95" customHeight="1">
      <c r="A63" s="2038"/>
      <c r="B63" s="61" t="s">
        <v>119</v>
      </c>
      <c r="C63" s="61" t="s">
        <v>187</v>
      </c>
      <c r="D63" s="62" t="s">
        <v>60</v>
      </c>
      <c r="E63" s="63">
        <v>1</v>
      </c>
      <c r="F63" s="64">
        <v>0.69432000000000005</v>
      </c>
      <c r="G63" s="64">
        <f t="shared" si="2"/>
        <v>0.69432000000000005</v>
      </c>
      <c r="H63" s="65"/>
      <c r="L63" s="95"/>
    </row>
    <row r="64" spans="1:12" ht="24.95" customHeight="1">
      <c r="A64" s="2038"/>
      <c r="B64" s="61" t="s">
        <v>121</v>
      </c>
      <c r="C64" s="61" t="s">
        <v>188</v>
      </c>
      <c r="D64" s="62" t="s">
        <v>60</v>
      </c>
      <c r="E64" s="63">
        <v>1</v>
      </c>
      <c r="F64" s="64">
        <v>0.79688999999999999</v>
      </c>
      <c r="G64" s="64">
        <f t="shared" si="2"/>
        <v>0.79688999999999999</v>
      </c>
      <c r="H64" s="65"/>
      <c r="L64" s="95"/>
    </row>
    <row r="65" spans="1:12" ht="24.95" customHeight="1">
      <c r="A65" s="2038"/>
      <c r="B65" s="61" t="s">
        <v>113</v>
      </c>
      <c r="C65" s="61" t="s">
        <v>194</v>
      </c>
      <c r="D65" s="62" t="s">
        <v>60</v>
      </c>
      <c r="E65" s="63">
        <v>1</v>
      </c>
      <c r="F65" s="64">
        <v>7.1877899999999997</v>
      </c>
      <c r="G65" s="64">
        <f t="shared" si="2"/>
        <v>7.1877899999999997</v>
      </c>
      <c r="H65" s="65"/>
      <c r="L65" s="95"/>
    </row>
    <row r="66" spans="1:12" ht="24.95" customHeight="1">
      <c r="A66" s="2038"/>
      <c r="B66" s="61" t="s">
        <v>124</v>
      </c>
      <c r="C66" s="61" t="s">
        <v>190</v>
      </c>
      <c r="D66" s="62" t="s">
        <v>60</v>
      </c>
      <c r="E66" s="66">
        <v>1</v>
      </c>
      <c r="F66" s="64">
        <v>1.2466200000000001</v>
      </c>
      <c r="G66" s="64">
        <f t="shared" si="2"/>
        <v>1.2466200000000001</v>
      </c>
      <c r="H66" s="65"/>
      <c r="L66" s="95"/>
    </row>
    <row r="67" spans="1:12" ht="24.95" customHeight="1">
      <c r="A67" s="2038"/>
      <c r="B67" s="61" t="s">
        <v>78</v>
      </c>
      <c r="C67" s="61" t="s">
        <v>191</v>
      </c>
      <c r="D67" s="62" t="s">
        <v>60</v>
      </c>
      <c r="E67" s="63">
        <v>1</v>
      </c>
      <c r="F67" s="64">
        <v>5.5230000000000008E-2</v>
      </c>
      <c r="G67" s="64">
        <f t="shared" si="2"/>
        <v>5.5230000000000008E-2</v>
      </c>
      <c r="H67" s="67"/>
      <c r="L67" s="95"/>
    </row>
    <row r="68" spans="1:12" ht="24.95" customHeight="1">
      <c r="A68" s="2038"/>
      <c r="B68" s="61" t="s">
        <v>127</v>
      </c>
      <c r="C68" s="61" t="s">
        <v>128</v>
      </c>
      <c r="D68" s="62" t="s">
        <v>60</v>
      </c>
      <c r="E68" s="66">
        <v>5</v>
      </c>
      <c r="F68" s="64">
        <v>0.2</v>
      </c>
      <c r="G68" s="64">
        <f t="shared" si="2"/>
        <v>1</v>
      </c>
      <c r="H68" s="67"/>
    </row>
    <row r="69" spans="1:12" ht="24.95" customHeight="1">
      <c r="A69" s="2039"/>
      <c r="B69" s="61"/>
      <c r="C69" s="61"/>
      <c r="D69" s="61"/>
      <c r="E69" s="61"/>
      <c r="F69" s="61"/>
      <c r="G69" s="61"/>
      <c r="H69" s="67"/>
    </row>
    <row r="70" spans="1:12" ht="24.95" customHeight="1">
      <c r="A70" s="2025" t="s">
        <v>73</v>
      </c>
      <c r="B70" s="2026"/>
      <c r="C70" s="68"/>
      <c r="D70" s="69" t="s">
        <v>74</v>
      </c>
      <c r="E70" s="70">
        <v>1</v>
      </c>
      <c r="F70" s="68"/>
      <c r="G70" s="71">
        <f>SUM(G60:G68)</f>
        <v>16.046230000000001</v>
      </c>
      <c r="H70" s="72"/>
    </row>
    <row r="71" spans="1:12" ht="24.95" customHeight="1">
      <c r="A71" s="2040"/>
      <c r="B71" s="61" t="s">
        <v>129</v>
      </c>
      <c r="C71" s="61" t="s">
        <v>130</v>
      </c>
      <c r="D71" s="62" t="s">
        <v>60</v>
      </c>
      <c r="E71" s="66">
        <v>5</v>
      </c>
      <c r="F71" s="74">
        <v>0.35</v>
      </c>
      <c r="G71" s="80">
        <f>F71*E71</f>
        <v>1.75</v>
      </c>
      <c r="H71" s="67"/>
    </row>
    <row r="72" spans="1:12" ht="24.95" customHeight="1">
      <c r="A72" s="2038"/>
      <c r="B72" s="61" t="s">
        <v>86</v>
      </c>
      <c r="C72" s="61" t="s">
        <v>131</v>
      </c>
      <c r="D72" s="62" t="s">
        <v>60</v>
      </c>
      <c r="E72" s="81">
        <v>0.1</v>
      </c>
      <c r="F72" s="74"/>
      <c r="G72" s="74"/>
      <c r="H72" s="67"/>
    </row>
    <row r="73" spans="1:12" ht="24.95" customHeight="1">
      <c r="A73" s="2038"/>
      <c r="B73" s="61" t="s">
        <v>132</v>
      </c>
      <c r="C73" s="61"/>
      <c r="D73" s="62" t="s">
        <v>60</v>
      </c>
      <c r="E73" s="81">
        <v>0.2</v>
      </c>
      <c r="F73" s="61"/>
      <c r="G73" s="61"/>
      <c r="H73" s="67"/>
    </row>
    <row r="74" spans="1:12" ht="24.95" customHeight="1">
      <c r="A74" s="2038"/>
      <c r="B74" s="61" t="s">
        <v>90</v>
      </c>
      <c r="C74" s="61" t="s">
        <v>91</v>
      </c>
      <c r="D74" s="62" t="s">
        <v>92</v>
      </c>
      <c r="E74" s="75">
        <v>0.312</v>
      </c>
      <c r="F74" s="61"/>
      <c r="G74" s="61"/>
      <c r="H74" s="67"/>
    </row>
    <row r="75" spans="1:12" ht="24.95" customHeight="1">
      <c r="A75" s="2038"/>
      <c r="B75" s="61" t="s">
        <v>93</v>
      </c>
      <c r="C75" s="61"/>
      <c r="D75" s="62" t="s">
        <v>60</v>
      </c>
      <c r="E75" s="75">
        <v>0.35</v>
      </c>
      <c r="F75" s="61"/>
      <c r="G75" s="61"/>
      <c r="H75" s="67"/>
    </row>
    <row r="76" spans="1:12" ht="24.95" customHeight="1">
      <c r="A76" s="2038"/>
      <c r="B76" s="61" t="s">
        <v>94</v>
      </c>
      <c r="C76" s="61" t="s">
        <v>95</v>
      </c>
      <c r="D76" s="62" t="s">
        <v>60</v>
      </c>
      <c r="E76" s="75">
        <v>0.124</v>
      </c>
      <c r="F76" s="61"/>
      <c r="G76" s="61"/>
      <c r="H76" s="67"/>
    </row>
    <row r="77" spans="1:12" ht="24.95" customHeight="1">
      <c r="A77" s="2038"/>
      <c r="B77" s="61"/>
      <c r="C77" s="61"/>
      <c r="D77" s="62"/>
      <c r="E77" s="75"/>
      <c r="F77" s="61"/>
      <c r="G77" s="61"/>
      <c r="H77" s="67"/>
    </row>
    <row r="78" spans="1:12" ht="24.95" customHeight="1">
      <c r="A78" s="2038"/>
      <c r="B78" s="61"/>
      <c r="C78" s="61"/>
      <c r="D78" s="62"/>
      <c r="E78" s="75"/>
      <c r="F78" s="61"/>
      <c r="G78" s="61"/>
      <c r="H78" s="67"/>
    </row>
    <row r="79" spans="1:12" ht="24.95" customHeight="1">
      <c r="A79" s="2038"/>
      <c r="B79" s="61"/>
      <c r="C79" s="61"/>
      <c r="D79" s="62"/>
      <c r="E79" s="75"/>
      <c r="F79" s="61"/>
      <c r="G79" s="61"/>
      <c r="H79" s="67"/>
    </row>
    <row r="80" spans="1:12" ht="24.95" customHeight="1">
      <c r="A80" s="2025" t="s">
        <v>73</v>
      </c>
      <c r="B80" s="2026"/>
      <c r="C80" s="68"/>
      <c r="D80" s="69" t="s">
        <v>74</v>
      </c>
      <c r="E80" s="70">
        <v>1</v>
      </c>
      <c r="F80" s="68"/>
      <c r="G80" s="71">
        <f>SUM(G71:G78)</f>
        <v>1.75</v>
      </c>
      <c r="H80" s="72"/>
    </row>
    <row r="81" spans="1:8" ht="24.95" customHeight="1">
      <c r="A81" s="82"/>
      <c r="B81" s="61"/>
      <c r="C81" s="61"/>
      <c r="D81" s="61"/>
      <c r="E81" s="61"/>
      <c r="F81" s="61"/>
      <c r="G81" s="61"/>
      <c r="H81" s="67"/>
    </row>
    <row r="82" spans="1:8" ht="24.95" customHeight="1">
      <c r="A82" s="83"/>
      <c r="B82" s="61"/>
      <c r="C82" s="61"/>
      <c r="D82" s="61"/>
      <c r="E82" s="61"/>
      <c r="F82" s="61"/>
      <c r="G82" s="61"/>
      <c r="H82" s="67"/>
    </row>
    <row r="83" spans="1:8" ht="24.95" customHeight="1">
      <c r="A83" s="2020" t="s">
        <v>96</v>
      </c>
      <c r="B83" s="2021"/>
      <c r="C83" s="76"/>
      <c r="D83" s="76"/>
      <c r="E83" s="76"/>
      <c r="F83" s="76"/>
      <c r="G83" s="77">
        <f>G70+G80</f>
        <v>17.796230000000001</v>
      </c>
      <c r="H83" s="78"/>
    </row>
    <row r="84" spans="1:8" ht="24.95" customHeight="1">
      <c r="A84" s="2022" t="s">
        <v>97</v>
      </c>
      <c r="B84" s="2023"/>
      <c r="C84" s="2023"/>
      <c r="D84" s="2023"/>
      <c r="E84" s="2023"/>
      <c r="F84" s="2023"/>
      <c r="G84" s="2023"/>
      <c r="H84" s="2030"/>
    </row>
    <row r="85" spans="1:8" ht="24.95" customHeight="1">
      <c r="A85" s="2034"/>
      <c r="B85" s="2035"/>
      <c r="C85" s="2035"/>
      <c r="D85" s="2035"/>
      <c r="E85" s="2035"/>
      <c r="F85" s="2035"/>
      <c r="G85" s="2035"/>
      <c r="H85" s="2036"/>
    </row>
    <row r="86" spans="1:8" ht="24.95" customHeight="1">
      <c r="A86" s="53" t="s">
        <v>47</v>
      </c>
      <c r="B86" s="53" t="s">
        <v>195</v>
      </c>
      <c r="C86" s="53"/>
      <c r="D86" s="53"/>
      <c r="E86" s="53"/>
      <c r="F86" s="53"/>
      <c r="G86" s="53"/>
      <c r="H86" s="53"/>
    </row>
    <row r="87" spans="1:8" ht="24.95" customHeight="1">
      <c r="A87" s="2028" t="s">
        <v>50</v>
      </c>
      <c r="B87" s="2028"/>
      <c r="C87" s="54" t="s">
        <v>51</v>
      </c>
      <c r="D87" s="54" t="s">
        <v>52</v>
      </c>
      <c r="E87" s="54" t="s">
        <v>53</v>
      </c>
      <c r="F87" s="54" t="s">
        <v>54</v>
      </c>
      <c r="G87" s="54" t="s">
        <v>56</v>
      </c>
      <c r="H87" s="54" t="s">
        <v>57</v>
      </c>
    </row>
    <row r="88" spans="1:8" ht="24.95" customHeight="1">
      <c r="A88" s="2037" t="s">
        <v>113</v>
      </c>
      <c r="B88" s="55" t="s">
        <v>58</v>
      </c>
      <c r="C88" s="55" t="s">
        <v>184</v>
      </c>
      <c r="D88" s="56" t="s">
        <v>60</v>
      </c>
      <c r="E88" s="57">
        <v>1</v>
      </c>
      <c r="F88" s="58">
        <v>2.1776399999999998</v>
      </c>
      <c r="G88" s="58">
        <f t="shared" ref="G88:G96" si="3">F88*E88</f>
        <v>2.1776399999999998</v>
      </c>
      <c r="H88" s="59"/>
    </row>
    <row r="89" spans="1:8" ht="24.95" customHeight="1">
      <c r="A89" s="2038"/>
      <c r="B89" s="61" t="s">
        <v>115</v>
      </c>
      <c r="C89" s="61" t="s">
        <v>185</v>
      </c>
      <c r="D89" s="62" t="s">
        <v>60</v>
      </c>
      <c r="E89" s="63">
        <v>1</v>
      </c>
      <c r="F89" s="64">
        <v>0.17358000000000001</v>
      </c>
      <c r="G89" s="64">
        <f t="shared" si="3"/>
        <v>0.17358000000000001</v>
      </c>
      <c r="H89" s="65"/>
    </row>
    <row r="90" spans="1:8" ht="24.95" customHeight="1">
      <c r="A90" s="2038"/>
      <c r="B90" s="61" t="s">
        <v>117</v>
      </c>
      <c r="C90" s="61" t="s">
        <v>186</v>
      </c>
      <c r="D90" s="62" t="s">
        <v>60</v>
      </c>
      <c r="E90" s="63">
        <v>4</v>
      </c>
      <c r="F90" s="64">
        <v>1.3570800000000001</v>
      </c>
      <c r="G90" s="64">
        <f t="shared" si="3"/>
        <v>5.4283200000000003</v>
      </c>
      <c r="H90" s="65"/>
    </row>
    <row r="91" spans="1:8" ht="24.95" customHeight="1">
      <c r="A91" s="2038"/>
      <c r="B91" s="61" t="s">
        <v>119</v>
      </c>
      <c r="C91" s="61" t="s">
        <v>187</v>
      </c>
      <c r="D91" s="62" t="s">
        <v>60</v>
      </c>
      <c r="E91" s="63">
        <v>2</v>
      </c>
      <c r="F91" s="64">
        <v>0.69432000000000005</v>
      </c>
      <c r="G91" s="64">
        <f t="shared" si="3"/>
        <v>1.3886400000000001</v>
      </c>
      <c r="H91" s="65"/>
    </row>
    <row r="92" spans="1:8" ht="24.95" customHeight="1">
      <c r="A92" s="2038"/>
      <c r="B92" s="61" t="s">
        <v>121</v>
      </c>
      <c r="C92" s="61" t="s">
        <v>188</v>
      </c>
      <c r="D92" s="62" t="s">
        <v>60</v>
      </c>
      <c r="E92" s="63">
        <v>2</v>
      </c>
      <c r="F92" s="64">
        <v>0.79688999999999999</v>
      </c>
      <c r="G92" s="64">
        <f t="shared" si="3"/>
        <v>1.59378</v>
      </c>
      <c r="H92" s="65"/>
    </row>
    <row r="93" spans="1:8" ht="24.95" customHeight="1">
      <c r="A93" s="2038"/>
      <c r="B93" s="61" t="s">
        <v>113</v>
      </c>
      <c r="C93" s="61" t="s">
        <v>194</v>
      </c>
      <c r="D93" s="62" t="s">
        <v>60</v>
      </c>
      <c r="E93" s="63">
        <v>2</v>
      </c>
      <c r="F93" s="64">
        <v>7.1877899999999997</v>
      </c>
      <c r="G93" s="64">
        <f t="shared" si="3"/>
        <v>14.375579999999999</v>
      </c>
      <c r="H93" s="65"/>
    </row>
    <row r="94" spans="1:8" ht="24.95" customHeight="1">
      <c r="A94" s="2038"/>
      <c r="B94" s="61" t="s">
        <v>124</v>
      </c>
      <c r="C94" s="61" t="s">
        <v>190</v>
      </c>
      <c r="D94" s="62" t="s">
        <v>60</v>
      </c>
      <c r="E94" s="66">
        <v>2</v>
      </c>
      <c r="F94" s="64">
        <v>1.2466200000000001</v>
      </c>
      <c r="G94" s="64">
        <f t="shared" si="3"/>
        <v>2.4932400000000001</v>
      </c>
      <c r="H94" s="65"/>
    </row>
    <row r="95" spans="1:8" ht="24.95" customHeight="1">
      <c r="A95" s="2038"/>
      <c r="B95" s="61" t="s">
        <v>78</v>
      </c>
      <c r="C95" s="61" t="s">
        <v>191</v>
      </c>
      <c r="D95" s="62" t="s">
        <v>60</v>
      </c>
      <c r="E95" s="63">
        <v>2</v>
      </c>
      <c r="F95" s="64">
        <v>5.5230000000000008E-2</v>
      </c>
      <c r="G95" s="64">
        <f t="shared" si="3"/>
        <v>0.11046000000000002</v>
      </c>
      <c r="H95" s="67"/>
    </row>
    <row r="96" spans="1:8" ht="24.95" customHeight="1">
      <c r="A96" s="2038"/>
      <c r="B96" s="61" t="s">
        <v>127</v>
      </c>
      <c r="C96" s="61" t="s">
        <v>128</v>
      </c>
      <c r="D96" s="62" t="s">
        <v>60</v>
      </c>
      <c r="E96" s="66">
        <v>4</v>
      </c>
      <c r="F96" s="64">
        <v>0.2</v>
      </c>
      <c r="G96" s="64">
        <f t="shared" si="3"/>
        <v>0.8</v>
      </c>
      <c r="H96" s="67"/>
    </row>
    <row r="97" spans="1:8" ht="24.95" customHeight="1">
      <c r="A97" s="2039"/>
      <c r="B97" s="61"/>
      <c r="C97" s="61"/>
      <c r="D97" s="61"/>
      <c r="E97" s="61"/>
      <c r="F97" s="61"/>
      <c r="G97" s="61"/>
      <c r="H97" s="67"/>
    </row>
    <row r="98" spans="1:8" ht="24.95" customHeight="1">
      <c r="A98" s="2025" t="s">
        <v>73</v>
      </c>
      <c r="B98" s="2026"/>
      <c r="C98" s="68"/>
      <c r="D98" s="69" t="s">
        <v>74</v>
      </c>
      <c r="E98" s="70">
        <v>1</v>
      </c>
      <c r="F98" s="68"/>
      <c r="G98" s="71">
        <f>SUM(G88:G96)</f>
        <v>28.541240000000002</v>
      </c>
      <c r="H98" s="72"/>
    </row>
    <row r="99" spans="1:8" ht="24.95" customHeight="1">
      <c r="A99" s="2040"/>
      <c r="B99" s="61" t="s">
        <v>129</v>
      </c>
      <c r="C99" s="61" t="s">
        <v>130</v>
      </c>
      <c r="D99" s="62" t="s">
        <v>60</v>
      </c>
      <c r="E99" s="66">
        <v>5</v>
      </c>
      <c r="F99" s="74">
        <v>0.35</v>
      </c>
      <c r="G99" s="80">
        <f>F99*E99</f>
        <v>1.75</v>
      </c>
      <c r="H99" s="67"/>
    </row>
    <row r="100" spans="1:8" ht="24.95" customHeight="1">
      <c r="A100" s="2038"/>
      <c r="B100" s="61" t="s">
        <v>86</v>
      </c>
      <c r="C100" s="61" t="s">
        <v>131</v>
      </c>
      <c r="D100" s="62" t="s">
        <v>60</v>
      </c>
      <c r="E100" s="81">
        <v>0.1</v>
      </c>
      <c r="F100" s="74"/>
      <c r="G100" s="74"/>
      <c r="H100" s="67"/>
    </row>
    <row r="101" spans="1:8" ht="24.95" customHeight="1">
      <c r="A101" s="2038"/>
      <c r="B101" s="61" t="s">
        <v>132</v>
      </c>
      <c r="C101" s="61"/>
      <c r="D101" s="62" t="s">
        <v>60</v>
      </c>
      <c r="E101" s="81">
        <v>0.2</v>
      </c>
      <c r="F101" s="61"/>
      <c r="G101" s="61"/>
      <c r="H101" s="67"/>
    </row>
    <row r="102" spans="1:8" ht="24.95" customHeight="1">
      <c r="A102" s="2038"/>
      <c r="B102" s="61" t="s">
        <v>90</v>
      </c>
      <c r="C102" s="61" t="s">
        <v>91</v>
      </c>
      <c r="D102" s="62" t="s">
        <v>92</v>
      </c>
      <c r="E102" s="75">
        <v>0.312</v>
      </c>
      <c r="F102" s="61"/>
      <c r="G102" s="61"/>
      <c r="H102" s="67"/>
    </row>
    <row r="103" spans="1:8" ht="24.95" customHeight="1">
      <c r="A103" s="2038"/>
      <c r="B103" s="61" t="s">
        <v>93</v>
      </c>
      <c r="C103" s="61"/>
      <c r="D103" s="62" t="s">
        <v>60</v>
      </c>
      <c r="E103" s="75">
        <v>0.35</v>
      </c>
      <c r="F103" s="61"/>
      <c r="G103" s="61"/>
      <c r="H103" s="67"/>
    </row>
    <row r="104" spans="1:8" ht="24.95" customHeight="1">
      <c r="A104" s="2038"/>
      <c r="B104" s="61" t="s">
        <v>94</v>
      </c>
      <c r="C104" s="61" t="s">
        <v>95</v>
      </c>
      <c r="D104" s="62" t="s">
        <v>60</v>
      </c>
      <c r="E104" s="75">
        <v>0.124</v>
      </c>
      <c r="F104" s="61"/>
      <c r="G104" s="61"/>
      <c r="H104" s="67"/>
    </row>
    <row r="105" spans="1:8" ht="24.95" customHeight="1">
      <c r="A105" s="2038"/>
      <c r="B105" s="61"/>
      <c r="C105" s="61"/>
      <c r="D105" s="62"/>
      <c r="E105" s="75"/>
      <c r="F105" s="61"/>
      <c r="G105" s="61"/>
      <c r="H105" s="67"/>
    </row>
    <row r="106" spans="1:8" ht="24.95" customHeight="1">
      <c r="A106" s="2038"/>
      <c r="B106" s="61"/>
      <c r="C106" s="61"/>
      <c r="D106" s="62"/>
      <c r="E106" s="75"/>
      <c r="F106" s="61"/>
      <c r="G106" s="61"/>
      <c r="H106" s="67"/>
    </row>
    <row r="107" spans="1:8" ht="24.95" customHeight="1">
      <c r="A107" s="2038"/>
      <c r="B107" s="61"/>
      <c r="C107" s="61"/>
      <c r="D107" s="62"/>
      <c r="E107" s="75"/>
      <c r="F107" s="61"/>
      <c r="G107" s="61"/>
      <c r="H107" s="67"/>
    </row>
    <row r="108" spans="1:8" ht="24.95" customHeight="1">
      <c r="A108" s="2025" t="s">
        <v>73</v>
      </c>
      <c r="B108" s="2026"/>
      <c r="C108" s="68"/>
      <c r="D108" s="69" t="s">
        <v>74</v>
      </c>
      <c r="E108" s="70">
        <v>1</v>
      </c>
      <c r="F108" s="68"/>
      <c r="G108" s="71">
        <f>SUM(G99:G106)</f>
        <v>1.75</v>
      </c>
      <c r="H108" s="72"/>
    </row>
    <row r="109" spans="1:8" ht="24.95" customHeight="1">
      <c r="A109" s="82"/>
      <c r="B109" s="61"/>
      <c r="C109" s="61"/>
      <c r="D109" s="61"/>
      <c r="E109" s="61"/>
      <c r="F109" s="61"/>
      <c r="G109" s="61"/>
      <c r="H109" s="67"/>
    </row>
    <row r="110" spans="1:8" ht="24.95" customHeight="1">
      <c r="A110" s="83"/>
      <c r="B110" s="61"/>
      <c r="C110" s="61"/>
      <c r="D110" s="61"/>
      <c r="E110" s="61"/>
      <c r="F110" s="61"/>
      <c r="G110" s="61"/>
      <c r="H110" s="67"/>
    </row>
    <row r="111" spans="1:8" ht="24.95" customHeight="1">
      <c r="A111" s="2020" t="s">
        <v>96</v>
      </c>
      <c r="B111" s="2021"/>
      <c r="C111" s="76"/>
      <c r="D111" s="76"/>
      <c r="E111" s="76"/>
      <c r="F111" s="76"/>
      <c r="G111" s="77">
        <f>G98+G108</f>
        <v>30.291240000000002</v>
      </c>
      <c r="H111" s="78"/>
    </row>
    <row r="112" spans="1:8" ht="24.95" customHeight="1">
      <c r="A112" s="2022" t="s">
        <v>97</v>
      </c>
      <c r="B112" s="2023"/>
      <c r="C112" s="2023"/>
      <c r="D112" s="2023"/>
      <c r="E112" s="2023"/>
      <c r="F112" s="2023"/>
      <c r="G112" s="2023"/>
      <c r="H112" s="2030"/>
    </row>
    <row r="113" spans="1:12" ht="24.95" customHeight="1">
      <c r="A113" s="2034"/>
      <c r="B113" s="2035"/>
      <c r="C113" s="2035"/>
      <c r="D113" s="2035"/>
      <c r="E113" s="2035"/>
      <c r="F113" s="2035"/>
      <c r="G113" s="2035"/>
      <c r="H113" s="2036"/>
    </row>
    <row r="114" spans="1:12" ht="24.95" customHeight="1">
      <c r="A114" s="53" t="s">
        <v>47</v>
      </c>
      <c r="B114" s="53" t="s">
        <v>196</v>
      </c>
      <c r="C114" s="53"/>
      <c r="D114" s="53"/>
      <c r="E114" s="53"/>
      <c r="F114" s="53"/>
      <c r="G114" s="53"/>
      <c r="H114" s="53"/>
    </row>
    <row r="115" spans="1:12" ht="24.95" customHeight="1">
      <c r="A115" s="2028" t="s">
        <v>50</v>
      </c>
      <c r="B115" s="2028"/>
      <c r="C115" s="54" t="s">
        <v>51</v>
      </c>
      <c r="D115" s="54" t="s">
        <v>52</v>
      </c>
      <c r="E115" s="54" t="s">
        <v>53</v>
      </c>
      <c r="F115" s="54" t="s">
        <v>54</v>
      </c>
      <c r="G115" s="54" t="s">
        <v>56</v>
      </c>
      <c r="H115" s="54" t="s">
        <v>57</v>
      </c>
    </row>
    <row r="116" spans="1:12" ht="24.95" customHeight="1">
      <c r="A116" s="2037" t="s">
        <v>113</v>
      </c>
      <c r="B116" s="55" t="s">
        <v>58</v>
      </c>
      <c r="C116" s="55" t="s">
        <v>184</v>
      </c>
      <c r="D116" s="56" t="s">
        <v>60</v>
      </c>
      <c r="E116" s="57">
        <v>1</v>
      </c>
      <c r="F116" s="58">
        <v>2.1776399999999998</v>
      </c>
      <c r="G116" s="58">
        <f t="shared" ref="G116:G124" si="4">F116*E116</f>
        <v>2.1776399999999998</v>
      </c>
      <c r="H116" s="59"/>
      <c r="L116" s="95"/>
    </row>
    <row r="117" spans="1:12" ht="24.95" customHeight="1">
      <c r="A117" s="2038"/>
      <c r="B117" s="61" t="s">
        <v>115</v>
      </c>
      <c r="C117" s="61" t="s">
        <v>185</v>
      </c>
      <c r="D117" s="62" t="s">
        <v>60</v>
      </c>
      <c r="E117" s="63">
        <v>1</v>
      </c>
      <c r="F117" s="64">
        <v>0.17358000000000001</v>
      </c>
      <c r="G117" s="64">
        <f t="shared" si="4"/>
        <v>0.17358000000000001</v>
      </c>
      <c r="H117" s="65"/>
      <c r="L117" s="95"/>
    </row>
    <row r="118" spans="1:12" ht="24.95" customHeight="1">
      <c r="A118" s="2038"/>
      <c r="B118" s="61" t="s">
        <v>117</v>
      </c>
      <c r="C118" s="61" t="s">
        <v>186</v>
      </c>
      <c r="D118" s="62" t="s">
        <v>60</v>
      </c>
      <c r="E118" s="63">
        <v>2</v>
      </c>
      <c r="F118" s="64">
        <v>1.3570800000000001</v>
      </c>
      <c r="G118" s="64">
        <f t="shared" si="4"/>
        <v>2.7141600000000001</v>
      </c>
      <c r="H118" s="65"/>
      <c r="L118" s="95"/>
    </row>
    <row r="119" spans="1:12" ht="24.95" customHeight="1">
      <c r="A119" s="2038"/>
      <c r="B119" s="61" t="s">
        <v>119</v>
      </c>
      <c r="C119" s="61" t="s">
        <v>187</v>
      </c>
      <c r="D119" s="62" t="s">
        <v>60</v>
      </c>
      <c r="E119" s="63">
        <v>1</v>
      </c>
      <c r="F119" s="64">
        <v>0.69432000000000005</v>
      </c>
      <c r="G119" s="64">
        <f t="shared" si="4"/>
        <v>0.69432000000000005</v>
      </c>
      <c r="H119" s="65"/>
      <c r="L119" s="95"/>
    </row>
    <row r="120" spans="1:12" ht="24.95" customHeight="1">
      <c r="A120" s="2038"/>
      <c r="B120" s="61" t="s">
        <v>121</v>
      </c>
      <c r="C120" s="61" t="s">
        <v>188</v>
      </c>
      <c r="D120" s="62" t="s">
        <v>60</v>
      </c>
      <c r="E120" s="63">
        <v>1</v>
      </c>
      <c r="F120" s="64">
        <v>0.79688999999999999</v>
      </c>
      <c r="G120" s="64">
        <f t="shared" si="4"/>
        <v>0.79688999999999999</v>
      </c>
      <c r="H120" s="65"/>
      <c r="L120" s="95"/>
    </row>
    <row r="121" spans="1:12" ht="24.95" customHeight="1">
      <c r="A121" s="2038"/>
      <c r="B121" s="61" t="s">
        <v>113</v>
      </c>
      <c r="C121" s="61" t="s">
        <v>197</v>
      </c>
      <c r="D121" s="62" t="s">
        <v>60</v>
      </c>
      <c r="E121" s="63">
        <v>1</v>
      </c>
      <c r="F121" s="64">
        <v>8.3002800000000008</v>
      </c>
      <c r="G121" s="64">
        <f t="shared" si="4"/>
        <v>8.3002800000000008</v>
      </c>
      <c r="H121" s="65"/>
      <c r="L121" s="95"/>
    </row>
    <row r="122" spans="1:12" ht="24.95" customHeight="1">
      <c r="A122" s="2038"/>
      <c r="B122" s="61" t="s">
        <v>124</v>
      </c>
      <c r="C122" s="61" t="s">
        <v>190</v>
      </c>
      <c r="D122" s="62" t="s">
        <v>60</v>
      </c>
      <c r="E122" s="66">
        <v>1</v>
      </c>
      <c r="F122" s="64">
        <v>1.2466200000000001</v>
      </c>
      <c r="G122" s="64">
        <f t="shared" si="4"/>
        <v>1.2466200000000001</v>
      </c>
      <c r="H122" s="65"/>
      <c r="L122" s="95"/>
    </row>
    <row r="123" spans="1:12" ht="24.95" customHeight="1">
      <c r="A123" s="2038"/>
      <c r="B123" s="61" t="s">
        <v>78</v>
      </c>
      <c r="C123" s="61" t="s">
        <v>191</v>
      </c>
      <c r="D123" s="62" t="s">
        <v>60</v>
      </c>
      <c r="E123" s="63">
        <v>1</v>
      </c>
      <c r="F123" s="64">
        <v>5.5230000000000008E-2</v>
      </c>
      <c r="G123" s="64">
        <f t="shared" si="4"/>
        <v>5.5230000000000008E-2</v>
      </c>
      <c r="H123" s="67"/>
      <c r="L123" s="95"/>
    </row>
    <row r="124" spans="1:12" ht="24.95" customHeight="1">
      <c r="A124" s="2038"/>
      <c r="B124" s="61" t="s">
        <v>127</v>
      </c>
      <c r="C124" s="61" t="s">
        <v>128</v>
      </c>
      <c r="D124" s="62" t="s">
        <v>60</v>
      </c>
      <c r="E124" s="66">
        <v>5</v>
      </c>
      <c r="F124" s="64">
        <v>0.2</v>
      </c>
      <c r="G124" s="64">
        <f t="shared" si="4"/>
        <v>1</v>
      </c>
      <c r="H124" s="67"/>
    </row>
    <row r="125" spans="1:12" ht="24.95" customHeight="1">
      <c r="A125" s="2039"/>
      <c r="B125" s="61"/>
      <c r="C125" s="61"/>
      <c r="D125" s="61"/>
      <c r="E125" s="61"/>
      <c r="F125" s="61"/>
      <c r="G125" s="61"/>
      <c r="H125" s="67"/>
    </row>
    <row r="126" spans="1:12" ht="24.95" customHeight="1">
      <c r="A126" s="2025" t="s">
        <v>73</v>
      </c>
      <c r="B126" s="2026"/>
      <c r="C126" s="68"/>
      <c r="D126" s="69" t="s">
        <v>74</v>
      </c>
      <c r="E126" s="70">
        <v>1</v>
      </c>
      <c r="F126" s="68"/>
      <c r="G126" s="71">
        <f>SUM(G116:G124)</f>
        <v>17.158720000000002</v>
      </c>
      <c r="H126" s="72"/>
    </row>
    <row r="127" spans="1:12" ht="24.95" customHeight="1">
      <c r="A127" s="2040"/>
      <c r="B127" s="61" t="s">
        <v>129</v>
      </c>
      <c r="C127" s="61" t="s">
        <v>130</v>
      </c>
      <c r="D127" s="62" t="s">
        <v>60</v>
      </c>
      <c r="E127" s="66">
        <v>5</v>
      </c>
      <c r="F127" s="74">
        <v>0.35</v>
      </c>
      <c r="G127" s="80">
        <f>F127*E127</f>
        <v>1.75</v>
      </c>
      <c r="H127" s="67"/>
    </row>
    <row r="128" spans="1:12" ht="24.95" customHeight="1">
      <c r="A128" s="2038"/>
      <c r="B128" s="61" t="s">
        <v>86</v>
      </c>
      <c r="C128" s="61" t="s">
        <v>131</v>
      </c>
      <c r="D128" s="62" t="s">
        <v>60</v>
      </c>
      <c r="E128" s="81">
        <v>0.1</v>
      </c>
      <c r="F128" s="74"/>
      <c r="G128" s="74"/>
      <c r="H128" s="67"/>
    </row>
    <row r="129" spans="1:8" ht="24.95" customHeight="1">
      <c r="A129" s="2038"/>
      <c r="B129" s="61" t="s">
        <v>132</v>
      </c>
      <c r="C129" s="61"/>
      <c r="D129" s="62" t="s">
        <v>60</v>
      </c>
      <c r="E129" s="81">
        <v>0.2</v>
      </c>
      <c r="F129" s="61"/>
      <c r="G129" s="61"/>
      <c r="H129" s="67"/>
    </row>
    <row r="130" spans="1:8" ht="24.95" customHeight="1">
      <c r="A130" s="2038"/>
      <c r="B130" s="61" t="s">
        <v>90</v>
      </c>
      <c r="C130" s="61" t="s">
        <v>91</v>
      </c>
      <c r="D130" s="62" t="s">
        <v>92</v>
      </c>
      <c r="E130" s="75">
        <v>0.34100000000000003</v>
      </c>
      <c r="F130" s="61"/>
      <c r="G130" s="61"/>
      <c r="H130" s="67"/>
    </row>
    <row r="131" spans="1:8" ht="24.95" customHeight="1">
      <c r="A131" s="2038"/>
      <c r="B131" s="61" t="s">
        <v>93</v>
      </c>
      <c r="C131" s="61"/>
      <c r="D131" s="62" t="s">
        <v>60</v>
      </c>
      <c r="E131" s="75">
        <v>0.38200000000000001</v>
      </c>
      <c r="F131" s="61"/>
      <c r="G131" s="61"/>
      <c r="H131" s="67"/>
    </row>
    <row r="132" spans="1:8" ht="24.95" customHeight="1">
      <c r="A132" s="2038"/>
      <c r="B132" s="61" t="s">
        <v>94</v>
      </c>
      <c r="C132" s="61" t="s">
        <v>95</v>
      </c>
      <c r="D132" s="62" t="s">
        <v>60</v>
      </c>
      <c r="E132" s="75">
        <v>0.13600000000000001</v>
      </c>
      <c r="F132" s="61"/>
      <c r="G132" s="61"/>
      <c r="H132" s="67"/>
    </row>
    <row r="133" spans="1:8" ht="24.95" customHeight="1">
      <c r="A133" s="2038"/>
      <c r="B133" s="61"/>
      <c r="C133" s="61"/>
      <c r="D133" s="62"/>
      <c r="E133" s="75"/>
      <c r="F133" s="61"/>
      <c r="G133" s="61"/>
      <c r="H133" s="67"/>
    </row>
    <row r="134" spans="1:8" ht="24.95" customHeight="1">
      <c r="A134" s="2038"/>
      <c r="B134" s="61"/>
      <c r="C134" s="61"/>
      <c r="D134" s="62"/>
      <c r="E134" s="75"/>
      <c r="F134" s="61"/>
      <c r="G134" s="61"/>
      <c r="H134" s="67"/>
    </row>
    <row r="135" spans="1:8" ht="24.95" customHeight="1">
      <c r="A135" s="2038"/>
      <c r="B135" s="61"/>
      <c r="C135" s="61"/>
      <c r="D135" s="62"/>
      <c r="E135" s="75"/>
      <c r="F135" s="61"/>
      <c r="G135" s="61"/>
      <c r="H135" s="67"/>
    </row>
    <row r="136" spans="1:8" ht="24.95" customHeight="1">
      <c r="A136" s="2025" t="s">
        <v>73</v>
      </c>
      <c r="B136" s="2026"/>
      <c r="C136" s="68"/>
      <c r="D136" s="69" t="s">
        <v>74</v>
      </c>
      <c r="E136" s="70">
        <v>1</v>
      </c>
      <c r="F136" s="68"/>
      <c r="G136" s="71">
        <f>SUM(G127:G134)</f>
        <v>1.75</v>
      </c>
      <c r="H136" s="72"/>
    </row>
    <row r="137" spans="1:8" ht="24.95" customHeight="1">
      <c r="A137" s="82"/>
      <c r="B137" s="61"/>
      <c r="C137" s="61"/>
      <c r="D137" s="61"/>
      <c r="E137" s="61"/>
      <c r="F137" s="61"/>
      <c r="G137" s="61"/>
      <c r="H137" s="67"/>
    </row>
    <row r="138" spans="1:8" ht="24.95" customHeight="1">
      <c r="A138" s="83"/>
      <c r="B138" s="61"/>
      <c r="C138" s="61"/>
      <c r="D138" s="61"/>
      <c r="E138" s="61"/>
      <c r="F138" s="61"/>
      <c r="G138" s="61"/>
      <c r="H138" s="67"/>
    </row>
    <row r="139" spans="1:8" ht="24.95" customHeight="1">
      <c r="A139" s="2020" t="s">
        <v>96</v>
      </c>
      <c r="B139" s="2021"/>
      <c r="C139" s="76"/>
      <c r="D139" s="76"/>
      <c r="E139" s="76"/>
      <c r="F139" s="76"/>
      <c r="G139" s="77">
        <f>G126+G136</f>
        <v>18.908720000000002</v>
      </c>
      <c r="H139" s="78"/>
    </row>
    <row r="140" spans="1:8" ht="24.95" customHeight="1">
      <c r="A140" s="2022" t="s">
        <v>97</v>
      </c>
      <c r="B140" s="2023"/>
      <c r="C140" s="2023"/>
      <c r="D140" s="2023"/>
      <c r="E140" s="2023"/>
      <c r="F140" s="2023"/>
      <c r="G140" s="2023"/>
      <c r="H140" s="2030"/>
    </row>
    <row r="141" spans="1:8" ht="24.95" customHeight="1">
      <c r="A141" s="2034"/>
      <c r="B141" s="2035"/>
      <c r="C141" s="2035"/>
      <c r="D141" s="2035"/>
      <c r="E141" s="2035"/>
      <c r="F141" s="2035"/>
      <c r="G141" s="2035"/>
      <c r="H141" s="2036"/>
    </row>
    <row r="142" spans="1:8" ht="24.95" customHeight="1">
      <c r="A142" s="53" t="s">
        <v>47</v>
      </c>
      <c r="B142" s="53" t="s">
        <v>198</v>
      </c>
      <c r="C142" s="53"/>
      <c r="D142" s="53"/>
      <c r="E142" s="53"/>
      <c r="F142" s="53"/>
      <c r="G142" s="53"/>
      <c r="H142" s="53"/>
    </row>
    <row r="143" spans="1:8" ht="24.95" customHeight="1">
      <c r="A143" s="2028" t="s">
        <v>50</v>
      </c>
      <c r="B143" s="2028"/>
      <c r="C143" s="54" t="s">
        <v>51</v>
      </c>
      <c r="D143" s="54" t="s">
        <v>52</v>
      </c>
      <c r="E143" s="54" t="s">
        <v>53</v>
      </c>
      <c r="F143" s="54" t="s">
        <v>54</v>
      </c>
      <c r="G143" s="54" t="s">
        <v>56</v>
      </c>
      <c r="H143" s="54" t="s">
        <v>57</v>
      </c>
    </row>
    <row r="144" spans="1:8" ht="24.95" customHeight="1">
      <c r="A144" s="2037" t="s">
        <v>113</v>
      </c>
      <c r="B144" s="55" t="s">
        <v>58</v>
      </c>
      <c r="C144" s="55" t="s">
        <v>184</v>
      </c>
      <c r="D144" s="56" t="s">
        <v>60</v>
      </c>
      <c r="E144" s="57">
        <v>1</v>
      </c>
      <c r="F144" s="58">
        <v>2.1776399999999998</v>
      </c>
      <c r="G144" s="58">
        <f t="shared" ref="G144:G152" si="5">F144*E144</f>
        <v>2.1776399999999998</v>
      </c>
      <c r="H144" s="59"/>
    </row>
    <row r="145" spans="1:8" ht="24.95" customHeight="1">
      <c r="A145" s="2038"/>
      <c r="B145" s="61" t="s">
        <v>115</v>
      </c>
      <c r="C145" s="61" t="s">
        <v>185</v>
      </c>
      <c r="D145" s="62" t="s">
        <v>60</v>
      </c>
      <c r="E145" s="63">
        <v>1</v>
      </c>
      <c r="F145" s="64">
        <v>0.17358000000000001</v>
      </c>
      <c r="G145" s="64">
        <f t="shared" si="5"/>
        <v>0.17358000000000001</v>
      </c>
      <c r="H145" s="65"/>
    </row>
    <row r="146" spans="1:8" ht="24.95" customHeight="1">
      <c r="A146" s="2038"/>
      <c r="B146" s="61" t="s">
        <v>117</v>
      </c>
      <c r="C146" s="61" t="s">
        <v>186</v>
      </c>
      <c r="D146" s="62" t="s">
        <v>60</v>
      </c>
      <c r="E146" s="63">
        <v>4</v>
      </c>
      <c r="F146" s="64">
        <v>1.3570800000000001</v>
      </c>
      <c r="G146" s="64">
        <f t="shared" si="5"/>
        <v>5.4283200000000003</v>
      </c>
      <c r="H146" s="65"/>
    </row>
    <row r="147" spans="1:8" ht="24.95" customHeight="1">
      <c r="A147" s="2038"/>
      <c r="B147" s="61" t="s">
        <v>119</v>
      </c>
      <c r="C147" s="61" t="s">
        <v>187</v>
      </c>
      <c r="D147" s="62" t="s">
        <v>60</v>
      </c>
      <c r="E147" s="63">
        <v>2</v>
      </c>
      <c r="F147" s="64">
        <v>0.69432000000000005</v>
      </c>
      <c r="G147" s="64">
        <f t="shared" si="5"/>
        <v>1.3886400000000001</v>
      </c>
      <c r="H147" s="65"/>
    </row>
    <row r="148" spans="1:8" ht="24.95" customHeight="1">
      <c r="A148" s="2038"/>
      <c r="B148" s="61" t="s">
        <v>121</v>
      </c>
      <c r="C148" s="61" t="s">
        <v>188</v>
      </c>
      <c r="D148" s="62" t="s">
        <v>60</v>
      </c>
      <c r="E148" s="63">
        <v>2</v>
      </c>
      <c r="F148" s="64">
        <v>0.79688999999999999</v>
      </c>
      <c r="G148" s="64">
        <f t="shared" si="5"/>
        <v>1.59378</v>
      </c>
      <c r="H148" s="65"/>
    </row>
    <row r="149" spans="1:8" ht="24.95" customHeight="1">
      <c r="A149" s="2038"/>
      <c r="B149" s="61" t="s">
        <v>113</v>
      </c>
      <c r="C149" s="61" t="s">
        <v>197</v>
      </c>
      <c r="D149" s="62" t="s">
        <v>60</v>
      </c>
      <c r="E149" s="63">
        <v>2</v>
      </c>
      <c r="F149" s="64">
        <v>8.3002800000000008</v>
      </c>
      <c r="G149" s="64">
        <f t="shared" si="5"/>
        <v>16.600560000000002</v>
      </c>
      <c r="H149" s="65"/>
    </row>
    <row r="150" spans="1:8" ht="24.95" customHeight="1">
      <c r="A150" s="2038"/>
      <c r="B150" s="61" t="s">
        <v>124</v>
      </c>
      <c r="C150" s="61" t="s">
        <v>190</v>
      </c>
      <c r="D150" s="62" t="s">
        <v>60</v>
      </c>
      <c r="E150" s="66">
        <v>2</v>
      </c>
      <c r="F150" s="64">
        <v>1.2466200000000001</v>
      </c>
      <c r="G150" s="64">
        <f t="shared" si="5"/>
        <v>2.4932400000000001</v>
      </c>
      <c r="H150" s="65"/>
    </row>
    <row r="151" spans="1:8" ht="24.95" customHeight="1">
      <c r="A151" s="2038"/>
      <c r="B151" s="61" t="s">
        <v>78</v>
      </c>
      <c r="C151" s="61" t="s">
        <v>191</v>
      </c>
      <c r="D151" s="62" t="s">
        <v>60</v>
      </c>
      <c r="E151" s="63">
        <v>2</v>
      </c>
      <c r="F151" s="64">
        <v>5.5230000000000008E-2</v>
      </c>
      <c r="G151" s="64">
        <f t="shared" si="5"/>
        <v>0.11046000000000002</v>
      </c>
      <c r="H151" s="67"/>
    </row>
    <row r="152" spans="1:8" ht="24.95" customHeight="1">
      <c r="A152" s="2038"/>
      <c r="B152" s="61" t="s">
        <v>127</v>
      </c>
      <c r="C152" s="61" t="s">
        <v>128</v>
      </c>
      <c r="D152" s="62" t="s">
        <v>60</v>
      </c>
      <c r="E152" s="66">
        <v>4</v>
      </c>
      <c r="F152" s="64">
        <v>0.2</v>
      </c>
      <c r="G152" s="64">
        <f t="shared" si="5"/>
        <v>0.8</v>
      </c>
      <c r="H152" s="67"/>
    </row>
    <row r="153" spans="1:8" ht="24.95" customHeight="1">
      <c r="A153" s="2039"/>
      <c r="B153" s="61"/>
      <c r="C153" s="61"/>
      <c r="D153" s="61"/>
      <c r="E153" s="61"/>
      <c r="F153" s="61"/>
      <c r="G153" s="61"/>
      <c r="H153" s="67"/>
    </row>
    <row r="154" spans="1:8" ht="24.95" customHeight="1">
      <c r="A154" s="2025" t="s">
        <v>73</v>
      </c>
      <c r="B154" s="2026"/>
      <c r="C154" s="68"/>
      <c r="D154" s="69" t="s">
        <v>74</v>
      </c>
      <c r="E154" s="70">
        <v>1</v>
      </c>
      <c r="F154" s="68"/>
      <c r="G154" s="71">
        <f>SUM(G144:G152)</f>
        <v>30.766220000000004</v>
      </c>
      <c r="H154" s="72"/>
    </row>
    <row r="155" spans="1:8" ht="24.95" customHeight="1">
      <c r="A155" s="2040"/>
      <c r="B155" s="61" t="s">
        <v>129</v>
      </c>
      <c r="C155" s="61" t="s">
        <v>130</v>
      </c>
      <c r="D155" s="62" t="s">
        <v>60</v>
      </c>
      <c r="E155" s="66">
        <v>5</v>
      </c>
      <c r="F155" s="74">
        <v>0.35</v>
      </c>
      <c r="G155" s="80">
        <f>F155*E155</f>
        <v>1.75</v>
      </c>
      <c r="H155" s="67"/>
    </row>
    <row r="156" spans="1:8" ht="24.95" customHeight="1">
      <c r="A156" s="2038"/>
      <c r="B156" s="61" t="s">
        <v>86</v>
      </c>
      <c r="C156" s="61" t="s">
        <v>131</v>
      </c>
      <c r="D156" s="62" t="s">
        <v>60</v>
      </c>
      <c r="E156" s="81">
        <v>0.1</v>
      </c>
      <c r="F156" s="74"/>
      <c r="G156" s="74"/>
      <c r="H156" s="67"/>
    </row>
    <row r="157" spans="1:8" ht="24.95" customHeight="1">
      <c r="A157" s="2038"/>
      <c r="B157" s="61" t="s">
        <v>132</v>
      </c>
      <c r="C157" s="61"/>
      <c r="D157" s="62" t="s">
        <v>60</v>
      </c>
      <c r="E157" s="81">
        <v>0.2</v>
      </c>
      <c r="F157" s="61"/>
      <c r="G157" s="61"/>
      <c r="H157" s="67"/>
    </row>
    <row r="158" spans="1:8" ht="24.95" customHeight="1">
      <c r="A158" s="2038"/>
      <c r="B158" s="61" t="s">
        <v>90</v>
      </c>
      <c r="C158" s="61" t="s">
        <v>91</v>
      </c>
      <c r="D158" s="62" t="s">
        <v>92</v>
      </c>
      <c r="E158" s="75">
        <v>0.34100000000000003</v>
      </c>
      <c r="F158" s="61"/>
      <c r="G158" s="61"/>
      <c r="H158" s="67"/>
    </row>
    <row r="159" spans="1:8" ht="24.95" customHeight="1">
      <c r="A159" s="2038"/>
      <c r="B159" s="61" t="s">
        <v>93</v>
      </c>
      <c r="C159" s="61"/>
      <c r="D159" s="62" t="s">
        <v>60</v>
      </c>
      <c r="E159" s="75">
        <v>0.38200000000000001</v>
      </c>
      <c r="F159" s="61"/>
      <c r="G159" s="61"/>
      <c r="H159" s="67"/>
    </row>
    <row r="160" spans="1:8" ht="24.95" customHeight="1">
      <c r="A160" s="2038"/>
      <c r="B160" s="61" t="s">
        <v>94</v>
      </c>
      <c r="C160" s="61" t="s">
        <v>95</v>
      </c>
      <c r="D160" s="62" t="s">
        <v>60</v>
      </c>
      <c r="E160" s="75">
        <v>0.13600000000000001</v>
      </c>
      <c r="F160" s="61"/>
      <c r="G160" s="61"/>
      <c r="H160" s="67"/>
    </row>
    <row r="161" spans="1:12" ht="24.95" customHeight="1">
      <c r="A161" s="2038"/>
      <c r="B161" s="61"/>
      <c r="C161" s="61"/>
      <c r="D161" s="62"/>
      <c r="E161" s="75"/>
      <c r="F161" s="61"/>
      <c r="G161" s="61"/>
      <c r="H161" s="67"/>
    </row>
    <row r="162" spans="1:12" ht="24.95" customHeight="1">
      <c r="A162" s="2038"/>
      <c r="B162" s="61"/>
      <c r="C162" s="61"/>
      <c r="D162" s="62"/>
      <c r="E162" s="75"/>
      <c r="F162" s="61"/>
      <c r="G162" s="61"/>
      <c r="H162" s="67"/>
    </row>
    <row r="163" spans="1:12" ht="24.95" customHeight="1">
      <c r="A163" s="2038"/>
      <c r="B163" s="61"/>
      <c r="C163" s="61"/>
      <c r="D163" s="62"/>
      <c r="E163" s="75"/>
      <c r="F163" s="61"/>
      <c r="G163" s="61"/>
      <c r="H163" s="67"/>
    </row>
    <row r="164" spans="1:12" ht="24.95" customHeight="1">
      <c r="A164" s="2025" t="s">
        <v>73</v>
      </c>
      <c r="B164" s="2026"/>
      <c r="C164" s="68"/>
      <c r="D164" s="69" t="s">
        <v>74</v>
      </c>
      <c r="E164" s="70">
        <v>1</v>
      </c>
      <c r="F164" s="68"/>
      <c r="G164" s="71">
        <f>SUM(G155:G162)</f>
        <v>1.75</v>
      </c>
      <c r="H164" s="72"/>
    </row>
    <row r="165" spans="1:12" ht="24.95" customHeight="1">
      <c r="A165" s="82"/>
      <c r="B165" s="61"/>
      <c r="C165" s="61"/>
      <c r="D165" s="61"/>
      <c r="E165" s="61"/>
      <c r="F165" s="61"/>
      <c r="G165" s="61"/>
      <c r="H165" s="67"/>
    </row>
    <row r="166" spans="1:12" ht="24.95" customHeight="1">
      <c r="A166" s="83"/>
      <c r="B166" s="61"/>
      <c r="C166" s="61"/>
      <c r="D166" s="61"/>
      <c r="E166" s="61"/>
      <c r="F166" s="61"/>
      <c r="G166" s="61"/>
      <c r="H166" s="67"/>
    </row>
    <row r="167" spans="1:12" ht="24.95" customHeight="1">
      <c r="A167" s="2020" t="s">
        <v>96</v>
      </c>
      <c r="B167" s="2021"/>
      <c r="C167" s="76"/>
      <c r="D167" s="76"/>
      <c r="E167" s="76"/>
      <c r="F167" s="76"/>
      <c r="G167" s="77">
        <f>G154+G164</f>
        <v>32.516220000000004</v>
      </c>
      <c r="H167" s="78"/>
    </row>
    <row r="168" spans="1:12" ht="24.95" customHeight="1">
      <c r="A168" s="2022" t="s">
        <v>97</v>
      </c>
      <c r="B168" s="2023"/>
      <c r="C168" s="2023"/>
      <c r="D168" s="2023"/>
      <c r="E168" s="2023"/>
      <c r="F168" s="2023"/>
      <c r="G168" s="2023"/>
      <c r="H168" s="2030"/>
    </row>
    <row r="169" spans="1:12" ht="24.95" customHeight="1">
      <c r="A169" s="2034"/>
      <c r="B169" s="2035"/>
      <c r="C169" s="2035"/>
      <c r="D169" s="2035"/>
      <c r="E169" s="2035"/>
      <c r="F169" s="2035"/>
      <c r="G169" s="2035"/>
      <c r="H169" s="2036"/>
    </row>
    <row r="170" spans="1:12" ht="24.95" customHeight="1">
      <c r="A170" s="53" t="s">
        <v>47</v>
      </c>
      <c r="B170" s="53" t="s">
        <v>199</v>
      </c>
      <c r="C170" s="53"/>
      <c r="D170" s="53"/>
      <c r="E170" s="53"/>
      <c r="F170" s="53"/>
      <c r="G170" s="53"/>
      <c r="H170" s="53"/>
    </row>
    <row r="171" spans="1:12" ht="24.95" customHeight="1">
      <c r="A171" s="2028" t="s">
        <v>50</v>
      </c>
      <c r="B171" s="2028"/>
      <c r="C171" s="54" t="s">
        <v>51</v>
      </c>
      <c r="D171" s="54" t="s">
        <v>52</v>
      </c>
      <c r="E171" s="54" t="s">
        <v>53</v>
      </c>
      <c r="F171" s="54" t="s">
        <v>54</v>
      </c>
      <c r="G171" s="54" t="s">
        <v>56</v>
      </c>
      <c r="H171" s="54" t="s">
        <v>57</v>
      </c>
    </row>
    <row r="172" spans="1:12" ht="24.95" customHeight="1">
      <c r="A172" s="2037" t="s">
        <v>113</v>
      </c>
      <c r="B172" s="55" t="s">
        <v>58</v>
      </c>
      <c r="C172" s="55" t="s">
        <v>200</v>
      </c>
      <c r="D172" s="56" t="s">
        <v>60</v>
      </c>
      <c r="E172" s="57">
        <v>1</v>
      </c>
      <c r="F172" s="58">
        <v>2.7772800000000002</v>
      </c>
      <c r="G172" s="58">
        <f t="shared" ref="G172:G180" si="6">F172*E172</f>
        <v>2.7772800000000002</v>
      </c>
      <c r="H172" s="59"/>
      <c r="L172" s="95"/>
    </row>
    <row r="173" spans="1:12" ht="24.95" customHeight="1">
      <c r="A173" s="2038"/>
      <c r="B173" s="61" t="s">
        <v>115</v>
      </c>
      <c r="C173" s="61" t="s">
        <v>201</v>
      </c>
      <c r="D173" s="62" t="s">
        <v>60</v>
      </c>
      <c r="E173" s="63">
        <v>1</v>
      </c>
      <c r="F173" s="64">
        <v>0.29982000000000003</v>
      </c>
      <c r="G173" s="64">
        <f t="shared" si="6"/>
        <v>0.29982000000000003</v>
      </c>
      <c r="H173" s="65"/>
      <c r="L173" s="95"/>
    </row>
    <row r="174" spans="1:12" ht="24.95" customHeight="1">
      <c r="A174" s="2038"/>
      <c r="B174" s="61" t="s">
        <v>117</v>
      </c>
      <c r="C174" s="61" t="s">
        <v>186</v>
      </c>
      <c r="D174" s="62" t="s">
        <v>60</v>
      </c>
      <c r="E174" s="63">
        <v>2</v>
      </c>
      <c r="F174" s="64">
        <v>1.3570800000000001</v>
      </c>
      <c r="G174" s="64">
        <f t="shared" si="6"/>
        <v>2.7141600000000001</v>
      </c>
      <c r="H174" s="65"/>
      <c r="L174" s="95"/>
    </row>
    <row r="175" spans="1:12" ht="24.95" customHeight="1">
      <c r="A175" s="2038"/>
      <c r="B175" s="61" t="s">
        <v>119</v>
      </c>
      <c r="C175" s="61" t="s">
        <v>187</v>
      </c>
      <c r="D175" s="62" t="s">
        <v>60</v>
      </c>
      <c r="E175" s="63">
        <v>1</v>
      </c>
      <c r="F175" s="64">
        <v>0.69432000000000005</v>
      </c>
      <c r="G175" s="64">
        <f t="shared" si="6"/>
        <v>0.69432000000000005</v>
      </c>
      <c r="H175" s="65"/>
      <c r="L175" s="95"/>
    </row>
    <row r="176" spans="1:12" ht="24.95" customHeight="1">
      <c r="A176" s="2038"/>
      <c r="B176" s="61" t="s">
        <v>121</v>
      </c>
      <c r="C176" s="61" t="s">
        <v>188</v>
      </c>
      <c r="D176" s="62" t="s">
        <v>60</v>
      </c>
      <c r="E176" s="63">
        <v>1</v>
      </c>
      <c r="F176" s="64">
        <v>0.79688999999999999</v>
      </c>
      <c r="G176" s="64">
        <f t="shared" si="6"/>
        <v>0.79688999999999999</v>
      </c>
      <c r="H176" s="65"/>
      <c r="L176" s="95"/>
    </row>
    <row r="177" spans="1:12" ht="24.95" customHeight="1">
      <c r="A177" s="2038"/>
      <c r="B177" s="61" t="s">
        <v>113</v>
      </c>
      <c r="C177" s="61" t="s">
        <v>189</v>
      </c>
      <c r="D177" s="62" t="s">
        <v>60</v>
      </c>
      <c r="E177" s="63">
        <v>1</v>
      </c>
      <c r="F177" s="64">
        <v>5.5308900000000003</v>
      </c>
      <c r="G177" s="64">
        <f t="shared" si="6"/>
        <v>5.5308900000000003</v>
      </c>
      <c r="H177" s="65"/>
      <c r="L177" s="95"/>
    </row>
    <row r="178" spans="1:12" ht="24.95" customHeight="1">
      <c r="A178" s="2038"/>
      <c r="B178" s="61" t="s">
        <v>124</v>
      </c>
      <c r="C178" s="61" t="s">
        <v>190</v>
      </c>
      <c r="D178" s="62" t="s">
        <v>60</v>
      </c>
      <c r="E178" s="66">
        <v>1</v>
      </c>
      <c r="F178" s="64">
        <v>1.2466200000000001</v>
      </c>
      <c r="G178" s="64">
        <f t="shared" si="6"/>
        <v>1.2466200000000001</v>
      </c>
      <c r="H178" s="65"/>
      <c r="L178" s="95"/>
    </row>
    <row r="179" spans="1:12" ht="24.95" customHeight="1">
      <c r="A179" s="2038"/>
      <c r="B179" s="61" t="s">
        <v>78</v>
      </c>
      <c r="C179" s="61" t="s">
        <v>191</v>
      </c>
      <c r="D179" s="62" t="s">
        <v>60</v>
      </c>
      <c r="E179" s="63">
        <v>1</v>
      </c>
      <c r="F179" s="64">
        <v>5.5230000000000008E-2</v>
      </c>
      <c r="G179" s="64">
        <f t="shared" si="6"/>
        <v>5.5230000000000008E-2</v>
      </c>
      <c r="H179" s="67"/>
      <c r="L179" s="95"/>
    </row>
    <row r="180" spans="1:12" ht="24.95" customHeight="1">
      <c r="A180" s="2038"/>
      <c r="B180" s="61" t="s">
        <v>127</v>
      </c>
      <c r="C180" s="61" t="s">
        <v>128</v>
      </c>
      <c r="D180" s="62" t="s">
        <v>60</v>
      </c>
      <c r="E180" s="66">
        <v>5</v>
      </c>
      <c r="F180" s="64">
        <v>0.2</v>
      </c>
      <c r="G180" s="64">
        <f t="shared" si="6"/>
        <v>1</v>
      </c>
      <c r="H180" s="67"/>
    </row>
    <row r="181" spans="1:12" ht="24.95" customHeight="1">
      <c r="A181" s="2039"/>
      <c r="B181" s="61"/>
      <c r="C181" s="61"/>
      <c r="D181" s="61"/>
      <c r="E181" s="61"/>
      <c r="F181" s="61"/>
      <c r="G181" s="61"/>
      <c r="H181" s="67"/>
    </row>
    <row r="182" spans="1:12" ht="24.95" customHeight="1">
      <c r="A182" s="2025" t="s">
        <v>73</v>
      </c>
      <c r="B182" s="2026"/>
      <c r="C182" s="68"/>
      <c r="D182" s="69" t="s">
        <v>74</v>
      </c>
      <c r="E182" s="70">
        <v>1</v>
      </c>
      <c r="F182" s="68"/>
      <c r="G182" s="71">
        <f>SUM(G172:G180)</f>
        <v>15.115210000000001</v>
      </c>
      <c r="H182" s="72"/>
    </row>
    <row r="183" spans="1:12" ht="24.95" customHeight="1">
      <c r="A183" s="2040"/>
      <c r="B183" s="61" t="s">
        <v>129</v>
      </c>
      <c r="C183" s="61" t="s">
        <v>130</v>
      </c>
      <c r="D183" s="62" t="s">
        <v>60</v>
      </c>
      <c r="E183" s="66">
        <v>5</v>
      </c>
      <c r="F183" s="74">
        <v>0.35</v>
      </c>
      <c r="G183" s="80">
        <f>F183*E183</f>
        <v>1.75</v>
      </c>
      <c r="H183" s="67"/>
    </row>
    <row r="184" spans="1:12" ht="24.95" customHeight="1">
      <c r="A184" s="2038"/>
      <c r="B184" s="61" t="s">
        <v>86</v>
      </c>
      <c r="C184" s="61" t="s">
        <v>131</v>
      </c>
      <c r="D184" s="62" t="s">
        <v>60</v>
      </c>
      <c r="E184" s="81">
        <v>0.1</v>
      </c>
      <c r="F184" s="74"/>
      <c r="G184" s="74"/>
      <c r="H184" s="67"/>
    </row>
    <row r="185" spans="1:12" ht="24.95" customHeight="1">
      <c r="A185" s="2038"/>
      <c r="B185" s="61" t="s">
        <v>132</v>
      </c>
      <c r="C185" s="61"/>
      <c r="D185" s="62" t="s">
        <v>60</v>
      </c>
      <c r="E185" s="81">
        <v>0.2</v>
      </c>
      <c r="F185" s="61"/>
      <c r="G185" s="61"/>
      <c r="H185" s="67"/>
    </row>
    <row r="186" spans="1:12" ht="24.95" customHeight="1">
      <c r="A186" s="2038"/>
      <c r="B186" s="61" t="s">
        <v>90</v>
      </c>
      <c r="C186" s="61" t="s">
        <v>91</v>
      </c>
      <c r="D186" s="62" t="s">
        <v>92</v>
      </c>
      <c r="E186" s="75">
        <v>0.27</v>
      </c>
      <c r="F186" s="61"/>
      <c r="G186" s="61"/>
      <c r="H186" s="67"/>
    </row>
    <row r="187" spans="1:12" ht="24.95" customHeight="1">
      <c r="A187" s="2038"/>
      <c r="B187" s="61" t="s">
        <v>93</v>
      </c>
      <c r="C187" s="61"/>
      <c r="D187" s="62" t="s">
        <v>60</v>
      </c>
      <c r="E187" s="75">
        <v>0.30199999999999999</v>
      </c>
      <c r="F187" s="61"/>
      <c r="G187" s="61"/>
      <c r="H187" s="67"/>
    </row>
    <row r="188" spans="1:12" ht="24.95" customHeight="1">
      <c r="A188" s="2038"/>
      <c r="B188" s="61" t="s">
        <v>94</v>
      </c>
      <c r="C188" s="61" t="s">
        <v>95</v>
      </c>
      <c r="D188" s="62" t="s">
        <v>60</v>
      </c>
      <c r="E188" s="75">
        <v>0.112</v>
      </c>
      <c r="F188" s="61"/>
      <c r="G188" s="61"/>
      <c r="H188" s="67"/>
    </row>
    <row r="189" spans="1:12" ht="24.95" customHeight="1">
      <c r="A189" s="2038"/>
      <c r="B189" s="61"/>
      <c r="C189" s="61"/>
      <c r="D189" s="62"/>
      <c r="E189" s="75"/>
      <c r="F189" s="61"/>
      <c r="G189" s="61"/>
      <c r="H189" s="67"/>
    </row>
    <row r="190" spans="1:12" ht="24.95" customHeight="1">
      <c r="A190" s="2038"/>
      <c r="B190" s="61"/>
      <c r="C190" s="61"/>
      <c r="D190" s="62"/>
      <c r="E190" s="75"/>
      <c r="F190" s="61"/>
      <c r="G190" s="61"/>
      <c r="H190" s="67"/>
    </row>
    <row r="191" spans="1:12" ht="24.95" customHeight="1">
      <c r="A191" s="2038"/>
      <c r="B191" s="61"/>
      <c r="C191" s="61"/>
      <c r="D191" s="62"/>
      <c r="E191" s="75"/>
      <c r="F191" s="61"/>
      <c r="G191" s="61"/>
      <c r="H191" s="67"/>
    </row>
    <row r="192" spans="1:12" ht="24.95" customHeight="1">
      <c r="A192" s="2025" t="s">
        <v>73</v>
      </c>
      <c r="B192" s="2026"/>
      <c r="C192" s="68"/>
      <c r="D192" s="69" t="s">
        <v>74</v>
      </c>
      <c r="E192" s="70">
        <v>1</v>
      </c>
      <c r="F192" s="68"/>
      <c r="G192" s="71">
        <f>SUM(G183:G190)</f>
        <v>1.75</v>
      </c>
      <c r="H192" s="72"/>
    </row>
    <row r="193" spans="1:8" ht="24.95" customHeight="1">
      <c r="A193" s="82"/>
      <c r="B193" s="61"/>
      <c r="C193" s="61"/>
      <c r="D193" s="61"/>
      <c r="E193" s="61"/>
      <c r="F193" s="61"/>
      <c r="G193" s="61"/>
      <c r="H193" s="67"/>
    </row>
    <row r="194" spans="1:8" ht="24.95" customHeight="1">
      <c r="A194" s="83"/>
      <c r="B194" s="61"/>
      <c r="C194" s="61"/>
      <c r="D194" s="61"/>
      <c r="E194" s="61"/>
      <c r="F194" s="61"/>
      <c r="G194" s="61"/>
      <c r="H194" s="67"/>
    </row>
    <row r="195" spans="1:8" ht="24.95" customHeight="1">
      <c r="A195" s="2020" t="s">
        <v>96</v>
      </c>
      <c r="B195" s="2021"/>
      <c r="C195" s="76"/>
      <c r="D195" s="76"/>
      <c r="E195" s="76"/>
      <c r="F195" s="76"/>
      <c r="G195" s="77">
        <f>G182+G192</f>
        <v>16.865210000000001</v>
      </c>
      <c r="H195" s="78"/>
    </row>
    <row r="196" spans="1:8" ht="24.95" customHeight="1">
      <c r="A196" s="2022" t="s">
        <v>97</v>
      </c>
      <c r="B196" s="2023"/>
      <c r="C196" s="2023"/>
      <c r="D196" s="2023"/>
      <c r="E196" s="2023"/>
      <c r="F196" s="2023"/>
      <c r="G196" s="2023"/>
      <c r="H196" s="2030"/>
    </row>
    <row r="197" spans="1:8" ht="24.95" customHeight="1">
      <c r="A197" s="2034"/>
      <c r="B197" s="2035"/>
      <c r="C197" s="2035"/>
      <c r="D197" s="2035"/>
      <c r="E197" s="2035"/>
      <c r="F197" s="2035"/>
      <c r="G197" s="2035"/>
      <c r="H197" s="2036"/>
    </row>
    <row r="198" spans="1:8" ht="24.95" customHeight="1">
      <c r="A198" s="53" t="s">
        <v>47</v>
      </c>
      <c r="B198" s="53" t="s">
        <v>202</v>
      </c>
      <c r="C198" s="53"/>
      <c r="D198" s="53"/>
      <c r="E198" s="53"/>
      <c r="F198" s="53"/>
      <c r="G198" s="53"/>
      <c r="H198" s="53"/>
    </row>
    <row r="199" spans="1:8" ht="24.95" customHeight="1">
      <c r="A199" s="2028" t="s">
        <v>50</v>
      </c>
      <c r="B199" s="2028"/>
      <c r="C199" s="54" t="s">
        <v>51</v>
      </c>
      <c r="D199" s="54" t="s">
        <v>52</v>
      </c>
      <c r="E199" s="54" t="s">
        <v>53</v>
      </c>
      <c r="F199" s="54" t="s">
        <v>54</v>
      </c>
      <c r="G199" s="54" t="s">
        <v>56</v>
      </c>
      <c r="H199" s="54" t="s">
        <v>57</v>
      </c>
    </row>
    <row r="200" spans="1:8" ht="24.95" customHeight="1">
      <c r="A200" s="2037" t="s">
        <v>113</v>
      </c>
      <c r="B200" s="55" t="s">
        <v>58</v>
      </c>
      <c r="C200" s="55" t="s">
        <v>200</v>
      </c>
      <c r="D200" s="56" t="s">
        <v>60</v>
      </c>
      <c r="E200" s="57">
        <v>1</v>
      </c>
      <c r="F200" s="58">
        <v>2.7772800000000002</v>
      </c>
      <c r="G200" s="58">
        <f t="shared" ref="G200:G208" si="7">F200*E200</f>
        <v>2.7772800000000002</v>
      </c>
      <c r="H200" s="59"/>
    </row>
    <row r="201" spans="1:8" ht="24.95" customHeight="1">
      <c r="A201" s="2038"/>
      <c r="B201" s="61" t="s">
        <v>115</v>
      </c>
      <c r="C201" s="61" t="s">
        <v>201</v>
      </c>
      <c r="D201" s="62" t="s">
        <v>60</v>
      </c>
      <c r="E201" s="63">
        <v>1</v>
      </c>
      <c r="F201" s="64">
        <v>0.29982000000000003</v>
      </c>
      <c r="G201" s="64">
        <f t="shared" si="7"/>
        <v>0.29982000000000003</v>
      </c>
      <c r="H201" s="65"/>
    </row>
    <row r="202" spans="1:8" ht="24.95" customHeight="1">
      <c r="A202" s="2038"/>
      <c r="B202" s="61" t="s">
        <v>117</v>
      </c>
      <c r="C202" s="61" t="s">
        <v>186</v>
      </c>
      <c r="D202" s="62" t="s">
        <v>60</v>
      </c>
      <c r="E202" s="63">
        <v>4</v>
      </c>
      <c r="F202" s="64">
        <v>1.3570800000000001</v>
      </c>
      <c r="G202" s="64">
        <f t="shared" si="7"/>
        <v>5.4283200000000003</v>
      </c>
      <c r="H202" s="65"/>
    </row>
    <row r="203" spans="1:8" ht="24.95" customHeight="1">
      <c r="A203" s="2038"/>
      <c r="B203" s="61" t="s">
        <v>119</v>
      </c>
      <c r="C203" s="61" t="s">
        <v>187</v>
      </c>
      <c r="D203" s="62" t="s">
        <v>60</v>
      </c>
      <c r="E203" s="63">
        <v>2</v>
      </c>
      <c r="F203" s="64">
        <v>0.69432000000000005</v>
      </c>
      <c r="G203" s="64">
        <f t="shared" si="7"/>
        <v>1.3886400000000001</v>
      </c>
      <c r="H203" s="65"/>
    </row>
    <row r="204" spans="1:8" ht="24.95" customHeight="1">
      <c r="A204" s="2038"/>
      <c r="B204" s="61" t="s">
        <v>121</v>
      </c>
      <c r="C204" s="61" t="s">
        <v>188</v>
      </c>
      <c r="D204" s="62" t="s">
        <v>60</v>
      </c>
      <c r="E204" s="63">
        <v>2</v>
      </c>
      <c r="F204" s="64">
        <v>0.79688999999999999</v>
      </c>
      <c r="G204" s="64">
        <f t="shared" si="7"/>
        <v>1.59378</v>
      </c>
      <c r="H204" s="65"/>
    </row>
    <row r="205" spans="1:8" ht="24.95" customHeight="1">
      <c r="A205" s="2038"/>
      <c r="B205" s="61" t="s">
        <v>113</v>
      </c>
      <c r="C205" s="61" t="s">
        <v>189</v>
      </c>
      <c r="D205" s="62" t="s">
        <v>60</v>
      </c>
      <c r="E205" s="63">
        <v>2</v>
      </c>
      <c r="F205" s="64">
        <v>5.5308900000000003</v>
      </c>
      <c r="G205" s="64">
        <f t="shared" si="7"/>
        <v>11.061780000000001</v>
      </c>
      <c r="H205" s="65"/>
    </row>
    <row r="206" spans="1:8" ht="24.95" customHeight="1">
      <c r="A206" s="2038"/>
      <c r="B206" s="61" t="s">
        <v>124</v>
      </c>
      <c r="C206" s="61" t="s">
        <v>190</v>
      </c>
      <c r="D206" s="62" t="s">
        <v>60</v>
      </c>
      <c r="E206" s="66">
        <v>2</v>
      </c>
      <c r="F206" s="64">
        <v>1.2466200000000001</v>
      </c>
      <c r="G206" s="64">
        <f t="shared" si="7"/>
        <v>2.4932400000000001</v>
      </c>
      <c r="H206" s="65"/>
    </row>
    <row r="207" spans="1:8" ht="24.95" customHeight="1">
      <c r="A207" s="2038"/>
      <c r="B207" s="61" t="s">
        <v>78</v>
      </c>
      <c r="C207" s="61" t="s">
        <v>191</v>
      </c>
      <c r="D207" s="62" t="s">
        <v>60</v>
      </c>
      <c r="E207" s="63">
        <v>2</v>
      </c>
      <c r="F207" s="64">
        <v>5.5230000000000008E-2</v>
      </c>
      <c r="G207" s="64">
        <f t="shared" si="7"/>
        <v>0.11046000000000002</v>
      </c>
      <c r="H207" s="67"/>
    </row>
    <row r="208" spans="1:8" ht="24.95" customHeight="1">
      <c r="A208" s="2038"/>
      <c r="B208" s="61" t="s">
        <v>127</v>
      </c>
      <c r="C208" s="61" t="s">
        <v>128</v>
      </c>
      <c r="D208" s="62" t="s">
        <v>60</v>
      </c>
      <c r="E208" s="66">
        <v>4</v>
      </c>
      <c r="F208" s="64">
        <v>0.2</v>
      </c>
      <c r="G208" s="64">
        <f t="shared" si="7"/>
        <v>0.8</v>
      </c>
      <c r="H208" s="67"/>
    </row>
    <row r="209" spans="1:8" ht="24.95" customHeight="1">
      <c r="A209" s="2039"/>
      <c r="B209" s="61"/>
      <c r="C209" s="61"/>
      <c r="D209" s="61"/>
      <c r="E209" s="61"/>
      <c r="F209" s="61"/>
      <c r="G209" s="61"/>
      <c r="H209" s="67"/>
    </row>
    <row r="210" spans="1:8" ht="24.95" customHeight="1">
      <c r="A210" s="2025" t="s">
        <v>73</v>
      </c>
      <c r="B210" s="2026"/>
      <c r="C210" s="68"/>
      <c r="D210" s="69" t="s">
        <v>74</v>
      </c>
      <c r="E210" s="70">
        <v>1</v>
      </c>
      <c r="F210" s="68"/>
      <c r="G210" s="71">
        <f>SUM(G200:G208)</f>
        <v>25.953320000000005</v>
      </c>
      <c r="H210" s="72"/>
    </row>
    <row r="211" spans="1:8" ht="24.95" customHeight="1">
      <c r="A211" s="2040"/>
      <c r="B211" s="61" t="s">
        <v>129</v>
      </c>
      <c r="C211" s="61" t="s">
        <v>130</v>
      </c>
      <c r="D211" s="62" t="s">
        <v>60</v>
      </c>
      <c r="E211" s="66">
        <v>5</v>
      </c>
      <c r="F211" s="74">
        <v>0.35</v>
      </c>
      <c r="G211" s="80">
        <f>F211*E211</f>
        <v>1.75</v>
      </c>
      <c r="H211" s="67"/>
    </row>
    <row r="212" spans="1:8" ht="24.95" customHeight="1">
      <c r="A212" s="2038"/>
      <c r="B212" s="61" t="s">
        <v>86</v>
      </c>
      <c r="C212" s="61" t="s">
        <v>131</v>
      </c>
      <c r="D212" s="62" t="s">
        <v>60</v>
      </c>
      <c r="E212" s="81">
        <v>0.1</v>
      </c>
      <c r="F212" s="74"/>
      <c r="G212" s="74"/>
      <c r="H212" s="67"/>
    </row>
    <row r="213" spans="1:8" ht="24.95" customHeight="1">
      <c r="A213" s="2038"/>
      <c r="B213" s="61" t="s">
        <v>132</v>
      </c>
      <c r="C213" s="61"/>
      <c r="D213" s="62" t="s">
        <v>60</v>
      </c>
      <c r="E213" s="81">
        <v>0.2</v>
      </c>
      <c r="F213" s="61"/>
      <c r="G213" s="61"/>
      <c r="H213" s="67"/>
    </row>
    <row r="214" spans="1:8" ht="24.95" customHeight="1">
      <c r="A214" s="2038"/>
      <c r="B214" s="61" t="s">
        <v>90</v>
      </c>
      <c r="C214" s="61" t="s">
        <v>91</v>
      </c>
      <c r="D214" s="62" t="s">
        <v>92</v>
      </c>
      <c r="E214" s="75">
        <v>0.27</v>
      </c>
      <c r="F214" s="61"/>
      <c r="G214" s="61"/>
      <c r="H214" s="67"/>
    </row>
    <row r="215" spans="1:8" ht="24.95" customHeight="1">
      <c r="A215" s="2038"/>
      <c r="B215" s="61" t="s">
        <v>93</v>
      </c>
      <c r="C215" s="61"/>
      <c r="D215" s="62" t="s">
        <v>60</v>
      </c>
      <c r="E215" s="75">
        <v>0.30199999999999999</v>
      </c>
      <c r="F215" s="61"/>
      <c r="G215" s="61"/>
      <c r="H215" s="67"/>
    </row>
    <row r="216" spans="1:8" ht="24.95" customHeight="1">
      <c r="A216" s="2038"/>
      <c r="B216" s="61" t="s">
        <v>94</v>
      </c>
      <c r="C216" s="61" t="s">
        <v>95</v>
      </c>
      <c r="D216" s="62" t="s">
        <v>60</v>
      </c>
      <c r="E216" s="75">
        <v>0.112</v>
      </c>
      <c r="F216" s="61"/>
      <c r="G216" s="61"/>
      <c r="H216" s="67"/>
    </row>
    <row r="217" spans="1:8" ht="24.95" customHeight="1">
      <c r="A217" s="2038"/>
      <c r="B217" s="61"/>
      <c r="C217" s="61"/>
      <c r="D217" s="62"/>
      <c r="E217" s="75"/>
      <c r="F217" s="61"/>
      <c r="G217" s="61"/>
      <c r="H217" s="67"/>
    </row>
    <row r="218" spans="1:8" ht="24.95" customHeight="1">
      <c r="A218" s="2038"/>
      <c r="B218" s="61"/>
      <c r="C218" s="61"/>
      <c r="D218" s="62"/>
      <c r="E218" s="75"/>
      <c r="F218" s="61"/>
      <c r="G218" s="61"/>
      <c r="H218" s="67"/>
    </row>
    <row r="219" spans="1:8" ht="24.95" customHeight="1">
      <c r="A219" s="2038"/>
      <c r="B219" s="61"/>
      <c r="C219" s="61"/>
      <c r="D219" s="62"/>
      <c r="E219" s="75"/>
      <c r="F219" s="61"/>
      <c r="G219" s="61"/>
      <c r="H219" s="67"/>
    </row>
    <row r="220" spans="1:8" ht="24.95" customHeight="1">
      <c r="A220" s="2025" t="s">
        <v>73</v>
      </c>
      <c r="B220" s="2026"/>
      <c r="C220" s="68"/>
      <c r="D220" s="69" t="s">
        <v>74</v>
      </c>
      <c r="E220" s="70">
        <v>1</v>
      </c>
      <c r="F220" s="68"/>
      <c r="G220" s="71">
        <f>SUM(G211:G218)</f>
        <v>1.75</v>
      </c>
      <c r="H220" s="72"/>
    </row>
    <row r="221" spans="1:8" ht="24.95" customHeight="1">
      <c r="A221" s="82"/>
      <c r="B221" s="61"/>
      <c r="C221" s="61"/>
      <c r="D221" s="61"/>
      <c r="E221" s="61"/>
      <c r="F221" s="61"/>
      <c r="G221" s="61"/>
      <c r="H221" s="67"/>
    </row>
    <row r="222" spans="1:8" ht="24.95" customHeight="1">
      <c r="A222" s="83"/>
      <c r="B222" s="61"/>
      <c r="C222" s="61"/>
      <c r="D222" s="61"/>
      <c r="E222" s="61"/>
      <c r="F222" s="61"/>
      <c r="G222" s="61"/>
      <c r="H222" s="67"/>
    </row>
    <row r="223" spans="1:8" ht="24.95" customHeight="1">
      <c r="A223" s="2020" t="s">
        <v>96</v>
      </c>
      <c r="B223" s="2021"/>
      <c r="C223" s="76"/>
      <c r="D223" s="76"/>
      <c r="E223" s="76"/>
      <c r="F223" s="76"/>
      <c r="G223" s="77">
        <f>G210+G220</f>
        <v>27.703320000000005</v>
      </c>
      <c r="H223" s="78"/>
    </row>
    <row r="224" spans="1:8" ht="24.95" customHeight="1">
      <c r="A224" s="2022" t="s">
        <v>97</v>
      </c>
      <c r="B224" s="2023"/>
      <c r="C224" s="2023"/>
      <c r="D224" s="2023"/>
      <c r="E224" s="2023"/>
      <c r="F224" s="2023"/>
      <c r="G224" s="2023"/>
      <c r="H224" s="2030"/>
    </row>
    <row r="225" spans="1:12" ht="24.95" customHeight="1">
      <c r="A225" s="2034"/>
      <c r="B225" s="2035"/>
      <c r="C225" s="2035"/>
      <c r="D225" s="2035"/>
      <c r="E225" s="2035"/>
      <c r="F225" s="2035"/>
      <c r="G225" s="2035"/>
      <c r="H225" s="2036"/>
    </row>
    <row r="226" spans="1:12" ht="24.95" customHeight="1">
      <c r="A226" s="53" t="s">
        <v>47</v>
      </c>
      <c r="B226" s="53" t="s">
        <v>203</v>
      </c>
      <c r="C226" s="53"/>
      <c r="D226" s="53"/>
      <c r="E226" s="53"/>
      <c r="F226" s="53"/>
      <c r="G226" s="53"/>
      <c r="H226" s="53"/>
    </row>
    <row r="227" spans="1:12" ht="24.95" customHeight="1">
      <c r="A227" s="2028" t="s">
        <v>50</v>
      </c>
      <c r="B227" s="2028"/>
      <c r="C227" s="54" t="s">
        <v>51</v>
      </c>
      <c r="D227" s="54" t="s">
        <v>52</v>
      </c>
      <c r="E227" s="54" t="s">
        <v>53</v>
      </c>
      <c r="F227" s="54" t="s">
        <v>54</v>
      </c>
      <c r="G227" s="54" t="s">
        <v>56</v>
      </c>
      <c r="H227" s="54" t="s">
        <v>57</v>
      </c>
    </row>
    <row r="228" spans="1:12" ht="24.95" customHeight="1">
      <c r="A228" s="2037" t="s">
        <v>113</v>
      </c>
      <c r="B228" s="55" t="s">
        <v>58</v>
      </c>
      <c r="C228" s="55" t="s">
        <v>200</v>
      </c>
      <c r="D228" s="56" t="s">
        <v>60</v>
      </c>
      <c r="E228" s="57">
        <v>1</v>
      </c>
      <c r="F228" s="58">
        <v>2.7772800000000002</v>
      </c>
      <c r="G228" s="58">
        <f t="shared" ref="G228:G236" si="8">F228*E228</f>
        <v>2.7772800000000002</v>
      </c>
      <c r="H228" s="59"/>
      <c r="L228" s="95"/>
    </row>
    <row r="229" spans="1:12" ht="24.95" customHeight="1">
      <c r="A229" s="2038"/>
      <c r="B229" s="61" t="s">
        <v>115</v>
      </c>
      <c r="C229" s="61" t="s">
        <v>201</v>
      </c>
      <c r="D229" s="62" t="s">
        <v>60</v>
      </c>
      <c r="E229" s="63">
        <v>1</v>
      </c>
      <c r="F229" s="64">
        <v>0.29982000000000003</v>
      </c>
      <c r="G229" s="64">
        <f t="shared" si="8"/>
        <v>0.29982000000000003</v>
      </c>
      <c r="H229" s="65"/>
      <c r="L229" s="95"/>
    </row>
    <row r="230" spans="1:12" ht="24.95" customHeight="1">
      <c r="A230" s="2038"/>
      <c r="B230" s="61" t="s">
        <v>117</v>
      </c>
      <c r="C230" s="61" t="s">
        <v>186</v>
      </c>
      <c r="D230" s="62" t="s">
        <v>60</v>
      </c>
      <c r="E230" s="63">
        <v>2</v>
      </c>
      <c r="F230" s="64">
        <v>1.3570800000000001</v>
      </c>
      <c r="G230" s="64">
        <f t="shared" si="8"/>
        <v>2.7141600000000001</v>
      </c>
      <c r="H230" s="65"/>
      <c r="L230" s="95"/>
    </row>
    <row r="231" spans="1:12" ht="24.95" customHeight="1">
      <c r="A231" s="2038"/>
      <c r="B231" s="61" t="s">
        <v>119</v>
      </c>
      <c r="C231" s="61" t="s">
        <v>187</v>
      </c>
      <c r="D231" s="62" t="s">
        <v>60</v>
      </c>
      <c r="E231" s="63">
        <v>1</v>
      </c>
      <c r="F231" s="64">
        <v>0.69432000000000005</v>
      </c>
      <c r="G231" s="64">
        <f t="shared" si="8"/>
        <v>0.69432000000000005</v>
      </c>
      <c r="H231" s="65"/>
      <c r="L231" s="95"/>
    </row>
    <row r="232" spans="1:12" ht="24.95" customHeight="1">
      <c r="A232" s="2038"/>
      <c r="B232" s="61" t="s">
        <v>121</v>
      </c>
      <c r="C232" s="61" t="s">
        <v>188</v>
      </c>
      <c r="D232" s="62" t="s">
        <v>60</v>
      </c>
      <c r="E232" s="63">
        <v>1</v>
      </c>
      <c r="F232" s="64">
        <v>0.79688999999999999</v>
      </c>
      <c r="G232" s="64">
        <f t="shared" si="8"/>
        <v>0.79688999999999999</v>
      </c>
      <c r="H232" s="65"/>
      <c r="L232" s="95"/>
    </row>
    <row r="233" spans="1:12" ht="24.95" customHeight="1">
      <c r="A233" s="2038"/>
      <c r="B233" s="61" t="s">
        <v>113</v>
      </c>
      <c r="C233" s="61" t="s">
        <v>197</v>
      </c>
      <c r="D233" s="62" t="s">
        <v>60</v>
      </c>
      <c r="E233" s="63">
        <v>1</v>
      </c>
      <c r="F233" s="64">
        <v>8.3002800000000008</v>
      </c>
      <c r="G233" s="64">
        <f t="shared" si="8"/>
        <v>8.3002800000000008</v>
      </c>
      <c r="H233" s="65"/>
      <c r="L233" s="95"/>
    </row>
    <row r="234" spans="1:12" ht="24.95" customHeight="1">
      <c r="A234" s="2038"/>
      <c r="B234" s="61" t="s">
        <v>124</v>
      </c>
      <c r="C234" s="61" t="s">
        <v>190</v>
      </c>
      <c r="D234" s="62" t="s">
        <v>60</v>
      </c>
      <c r="E234" s="66">
        <v>1</v>
      </c>
      <c r="F234" s="64">
        <v>1.2466200000000001</v>
      </c>
      <c r="G234" s="64">
        <f t="shared" si="8"/>
        <v>1.2466200000000001</v>
      </c>
      <c r="H234" s="65"/>
      <c r="L234" s="95"/>
    </row>
    <row r="235" spans="1:12" ht="24.95" customHeight="1">
      <c r="A235" s="2038"/>
      <c r="B235" s="61" t="s">
        <v>78</v>
      </c>
      <c r="C235" s="61" t="s">
        <v>191</v>
      </c>
      <c r="D235" s="62" t="s">
        <v>60</v>
      </c>
      <c r="E235" s="63">
        <v>1</v>
      </c>
      <c r="F235" s="64">
        <v>5.5230000000000008E-2</v>
      </c>
      <c r="G235" s="64">
        <f t="shared" si="8"/>
        <v>5.5230000000000008E-2</v>
      </c>
      <c r="H235" s="67"/>
      <c r="L235" s="95"/>
    </row>
    <row r="236" spans="1:12" ht="24.95" customHeight="1">
      <c r="A236" s="2038"/>
      <c r="B236" s="61" t="s">
        <v>127</v>
      </c>
      <c r="C236" s="61" t="s">
        <v>128</v>
      </c>
      <c r="D236" s="62" t="s">
        <v>60</v>
      </c>
      <c r="E236" s="66">
        <v>5</v>
      </c>
      <c r="F236" s="64">
        <v>0.2</v>
      </c>
      <c r="G236" s="64">
        <f t="shared" si="8"/>
        <v>1</v>
      </c>
      <c r="H236" s="67"/>
    </row>
    <row r="237" spans="1:12" ht="24.95" customHeight="1">
      <c r="A237" s="2039"/>
      <c r="B237" s="61"/>
      <c r="C237" s="61"/>
      <c r="D237" s="61"/>
      <c r="E237" s="61"/>
      <c r="F237" s="61"/>
      <c r="G237" s="61"/>
      <c r="H237" s="67"/>
    </row>
    <row r="238" spans="1:12" ht="24.95" customHeight="1">
      <c r="A238" s="2025" t="s">
        <v>73</v>
      </c>
      <c r="B238" s="2026"/>
      <c r="C238" s="68"/>
      <c r="D238" s="69" t="s">
        <v>74</v>
      </c>
      <c r="E238" s="70">
        <v>1</v>
      </c>
      <c r="F238" s="68"/>
      <c r="G238" s="71">
        <f>SUM(G228:G236)</f>
        <v>17.884600000000002</v>
      </c>
      <c r="H238" s="72"/>
    </row>
    <row r="239" spans="1:12" ht="24.95" customHeight="1">
      <c r="A239" s="2040"/>
      <c r="B239" s="61" t="s">
        <v>129</v>
      </c>
      <c r="C239" s="61" t="s">
        <v>130</v>
      </c>
      <c r="D239" s="62" t="s">
        <v>60</v>
      </c>
      <c r="E239" s="66">
        <v>5</v>
      </c>
      <c r="F239" s="74">
        <v>0.35</v>
      </c>
      <c r="G239" s="80">
        <f>F239*E239</f>
        <v>1.75</v>
      </c>
      <c r="H239" s="67"/>
    </row>
    <row r="240" spans="1:12" ht="24.95" customHeight="1">
      <c r="A240" s="2038"/>
      <c r="B240" s="61" t="s">
        <v>86</v>
      </c>
      <c r="C240" s="61" t="s">
        <v>131</v>
      </c>
      <c r="D240" s="62" t="s">
        <v>60</v>
      </c>
      <c r="E240" s="81">
        <v>0.1</v>
      </c>
      <c r="F240" s="74"/>
      <c r="G240" s="74"/>
      <c r="H240" s="67"/>
    </row>
    <row r="241" spans="1:8" ht="24.95" customHeight="1">
      <c r="A241" s="2038"/>
      <c r="B241" s="61" t="s">
        <v>132</v>
      </c>
      <c r="C241" s="61"/>
      <c r="D241" s="62" t="s">
        <v>60</v>
      </c>
      <c r="E241" s="81">
        <v>0.2</v>
      </c>
      <c r="F241" s="61"/>
      <c r="G241" s="61"/>
      <c r="H241" s="67"/>
    </row>
    <row r="242" spans="1:8" ht="24.95" customHeight="1">
      <c r="A242" s="2038"/>
      <c r="B242" s="61" t="s">
        <v>90</v>
      </c>
      <c r="C242" s="61" t="s">
        <v>91</v>
      </c>
      <c r="D242" s="62" t="s">
        <v>92</v>
      </c>
      <c r="E242" s="75">
        <v>0.27</v>
      </c>
      <c r="F242" s="61"/>
      <c r="G242" s="61"/>
      <c r="H242" s="67"/>
    </row>
    <row r="243" spans="1:8" ht="24.95" customHeight="1">
      <c r="A243" s="2038"/>
      <c r="B243" s="61" t="s">
        <v>93</v>
      </c>
      <c r="C243" s="61"/>
      <c r="D243" s="62" t="s">
        <v>60</v>
      </c>
      <c r="E243" s="75">
        <v>0.30199999999999999</v>
      </c>
      <c r="F243" s="61"/>
      <c r="G243" s="61"/>
      <c r="H243" s="67"/>
    </row>
    <row r="244" spans="1:8" ht="24.95" customHeight="1">
      <c r="A244" s="2038"/>
      <c r="B244" s="61" t="s">
        <v>94</v>
      </c>
      <c r="C244" s="61" t="s">
        <v>95</v>
      </c>
      <c r="D244" s="62" t="s">
        <v>60</v>
      </c>
      <c r="E244" s="75">
        <v>0.112</v>
      </c>
      <c r="F244" s="61"/>
      <c r="G244" s="61"/>
      <c r="H244" s="67"/>
    </row>
    <row r="245" spans="1:8" ht="24.95" customHeight="1">
      <c r="A245" s="2038"/>
      <c r="B245" s="61"/>
      <c r="C245" s="61"/>
      <c r="D245" s="62"/>
      <c r="E245" s="75"/>
      <c r="F245" s="61"/>
      <c r="G245" s="61"/>
      <c r="H245" s="67"/>
    </row>
    <row r="246" spans="1:8" ht="24.95" customHeight="1">
      <c r="A246" s="2038"/>
      <c r="B246" s="61"/>
      <c r="C246" s="61"/>
      <c r="D246" s="62"/>
      <c r="E246" s="75"/>
      <c r="F246" s="61"/>
      <c r="G246" s="61"/>
      <c r="H246" s="67"/>
    </row>
    <row r="247" spans="1:8" ht="24.95" customHeight="1">
      <c r="A247" s="2038"/>
      <c r="B247" s="61"/>
      <c r="C247" s="61"/>
      <c r="D247" s="62"/>
      <c r="E247" s="75"/>
      <c r="F247" s="61"/>
      <c r="G247" s="61"/>
      <c r="H247" s="67"/>
    </row>
    <row r="248" spans="1:8" ht="24.95" customHeight="1">
      <c r="A248" s="2025" t="s">
        <v>73</v>
      </c>
      <c r="B248" s="2026"/>
      <c r="C248" s="68"/>
      <c r="D248" s="69" t="s">
        <v>74</v>
      </c>
      <c r="E248" s="70">
        <v>1</v>
      </c>
      <c r="F248" s="68"/>
      <c r="G248" s="71">
        <f>SUM(G239:G246)</f>
        <v>1.75</v>
      </c>
      <c r="H248" s="72"/>
    </row>
    <row r="249" spans="1:8" ht="24.95" customHeight="1">
      <c r="A249" s="82"/>
      <c r="B249" s="61"/>
      <c r="C249" s="61"/>
      <c r="D249" s="61"/>
      <c r="E249" s="61"/>
      <c r="F249" s="61"/>
      <c r="G249" s="61"/>
      <c r="H249" s="67"/>
    </row>
    <row r="250" spans="1:8" ht="24.95" customHeight="1">
      <c r="A250" s="83"/>
      <c r="B250" s="61"/>
      <c r="C250" s="61"/>
      <c r="D250" s="61"/>
      <c r="E250" s="61"/>
      <c r="F250" s="61"/>
      <c r="G250" s="61"/>
      <c r="H250" s="67"/>
    </row>
    <row r="251" spans="1:8" ht="24.95" customHeight="1">
      <c r="A251" s="2020" t="s">
        <v>96</v>
      </c>
      <c r="B251" s="2021"/>
      <c r="C251" s="76"/>
      <c r="D251" s="76"/>
      <c r="E251" s="76"/>
      <c r="F251" s="76"/>
      <c r="G251" s="77">
        <f>G238+G248</f>
        <v>19.634600000000002</v>
      </c>
      <c r="H251" s="78"/>
    </row>
    <row r="252" spans="1:8" ht="24.95" customHeight="1">
      <c r="A252" s="2022" t="s">
        <v>97</v>
      </c>
      <c r="B252" s="2023"/>
      <c r="C252" s="2023"/>
      <c r="D252" s="2023"/>
      <c r="E252" s="2023"/>
      <c r="F252" s="2023"/>
      <c r="G252" s="2023"/>
      <c r="H252" s="2030"/>
    </row>
    <row r="253" spans="1:8" ht="24.95" customHeight="1">
      <c r="A253" s="2034"/>
      <c r="B253" s="2035"/>
      <c r="C253" s="2035"/>
      <c r="D253" s="2035"/>
      <c r="E253" s="2035"/>
      <c r="F253" s="2035"/>
      <c r="G253" s="2035"/>
      <c r="H253" s="2036"/>
    </row>
    <row r="254" spans="1:8" ht="24.95" customHeight="1">
      <c r="A254" s="53" t="s">
        <v>47</v>
      </c>
      <c r="B254" s="53" t="s">
        <v>204</v>
      </c>
      <c r="C254" s="53"/>
      <c r="D254" s="53"/>
      <c r="E254" s="53"/>
      <c r="F254" s="53"/>
      <c r="G254" s="53"/>
      <c r="H254" s="53"/>
    </row>
    <row r="255" spans="1:8" ht="24.95" customHeight="1">
      <c r="A255" s="2028" t="s">
        <v>50</v>
      </c>
      <c r="B255" s="2028"/>
      <c r="C255" s="54" t="s">
        <v>51</v>
      </c>
      <c r="D255" s="54" t="s">
        <v>52</v>
      </c>
      <c r="E255" s="54" t="s">
        <v>53</v>
      </c>
      <c r="F255" s="54" t="s">
        <v>54</v>
      </c>
      <c r="G255" s="54" t="s">
        <v>56</v>
      </c>
      <c r="H255" s="54" t="s">
        <v>57</v>
      </c>
    </row>
    <row r="256" spans="1:8" ht="24.95" customHeight="1">
      <c r="A256" s="2037" t="s">
        <v>113</v>
      </c>
      <c r="B256" s="55" t="s">
        <v>58</v>
      </c>
      <c r="C256" s="55" t="s">
        <v>200</v>
      </c>
      <c r="D256" s="56" t="s">
        <v>60</v>
      </c>
      <c r="E256" s="57">
        <v>1</v>
      </c>
      <c r="F256" s="58">
        <v>2.7772800000000002</v>
      </c>
      <c r="G256" s="58">
        <f t="shared" ref="G256:G264" si="9">F256*E256</f>
        <v>2.7772800000000002</v>
      </c>
      <c r="H256" s="59"/>
    </row>
    <row r="257" spans="1:8" ht="24.95" customHeight="1">
      <c r="A257" s="2038"/>
      <c r="B257" s="61" t="s">
        <v>115</v>
      </c>
      <c r="C257" s="61" t="s">
        <v>201</v>
      </c>
      <c r="D257" s="62" t="s">
        <v>60</v>
      </c>
      <c r="E257" s="63">
        <v>1</v>
      </c>
      <c r="F257" s="64">
        <v>0.29982000000000003</v>
      </c>
      <c r="G257" s="64">
        <f t="shared" si="9"/>
        <v>0.29982000000000003</v>
      </c>
      <c r="H257" s="65"/>
    </row>
    <row r="258" spans="1:8" ht="24.95" customHeight="1">
      <c r="A258" s="2038"/>
      <c r="B258" s="61" t="s">
        <v>117</v>
      </c>
      <c r="C258" s="61" t="s">
        <v>186</v>
      </c>
      <c r="D258" s="62" t="s">
        <v>60</v>
      </c>
      <c r="E258" s="63">
        <v>4</v>
      </c>
      <c r="F258" s="64">
        <v>1.3570800000000001</v>
      </c>
      <c r="G258" s="64">
        <f t="shared" si="9"/>
        <v>5.4283200000000003</v>
      </c>
      <c r="H258" s="65"/>
    </row>
    <row r="259" spans="1:8" ht="24.95" customHeight="1">
      <c r="A259" s="2038"/>
      <c r="B259" s="61" t="s">
        <v>119</v>
      </c>
      <c r="C259" s="61" t="s">
        <v>187</v>
      </c>
      <c r="D259" s="62" t="s">
        <v>60</v>
      </c>
      <c r="E259" s="63">
        <v>2</v>
      </c>
      <c r="F259" s="64">
        <v>0.69432000000000005</v>
      </c>
      <c r="G259" s="64">
        <f t="shared" si="9"/>
        <v>1.3886400000000001</v>
      </c>
      <c r="H259" s="65"/>
    </row>
    <row r="260" spans="1:8" ht="24.95" customHeight="1">
      <c r="A260" s="2038"/>
      <c r="B260" s="61" t="s">
        <v>121</v>
      </c>
      <c r="C260" s="61" t="s">
        <v>188</v>
      </c>
      <c r="D260" s="62" t="s">
        <v>60</v>
      </c>
      <c r="E260" s="63">
        <v>2</v>
      </c>
      <c r="F260" s="64">
        <v>0.79688999999999999</v>
      </c>
      <c r="G260" s="64">
        <f t="shared" si="9"/>
        <v>1.59378</v>
      </c>
      <c r="H260" s="65"/>
    </row>
    <row r="261" spans="1:8" ht="24.95" customHeight="1">
      <c r="A261" s="2038"/>
      <c r="B261" s="61" t="s">
        <v>113</v>
      </c>
      <c r="C261" s="61" t="s">
        <v>197</v>
      </c>
      <c r="D261" s="62" t="s">
        <v>60</v>
      </c>
      <c r="E261" s="63">
        <v>2</v>
      </c>
      <c r="F261" s="64">
        <v>8.3002800000000008</v>
      </c>
      <c r="G261" s="64">
        <f t="shared" si="9"/>
        <v>16.600560000000002</v>
      </c>
      <c r="H261" s="65"/>
    </row>
    <row r="262" spans="1:8" ht="24.95" customHeight="1">
      <c r="A262" s="2038"/>
      <c r="B262" s="61" t="s">
        <v>124</v>
      </c>
      <c r="C262" s="61" t="s">
        <v>190</v>
      </c>
      <c r="D262" s="62" t="s">
        <v>60</v>
      </c>
      <c r="E262" s="66">
        <v>2</v>
      </c>
      <c r="F262" s="64">
        <v>1.2466200000000001</v>
      </c>
      <c r="G262" s="64">
        <f t="shared" si="9"/>
        <v>2.4932400000000001</v>
      </c>
      <c r="H262" s="65"/>
    </row>
    <row r="263" spans="1:8" ht="24.95" customHeight="1">
      <c r="A263" s="2038"/>
      <c r="B263" s="61" t="s">
        <v>78</v>
      </c>
      <c r="C263" s="61" t="s">
        <v>191</v>
      </c>
      <c r="D263" s="62" t="s">
        <v>60</v>
      </c>
      <c r="E263" s="63">
        <v>2</v>
      </c>
      <c r="F263" s="64">
        <v>5.5230000000000008E-2</v>
      </c>
      <c r="G263" s="64">
        <f t="shared" si="9"/>
        <v>0.11046000000000002</v>
      </c>
      <c r="H263" s="67"/>
    </row>
    <row r="264" spans="1:8" ht="24.95" customHeight="1">
      <c r="A264" s="2038"/>
      <c r="B264" s="61" t="s">
        <v>127</v>
      </c>
      <c r="C264" s="61" t="s">
        <v>128</v>
      </c>
      <c r="D264" s="62" t="s">
        <v>60</v>
      </c>
      <c r="E264" s="66">
        <v>4</v>
      </c>
      <c r="F264" s="64">
        <v>0.2</v>
      </c>
      <c r="G264" s="64">
        <f t="shared" si="9"/>
        <v>0.8</v>
      </c>
      <c r="H264" s="67"/>
    </row>
    <row r="265" spans="1:8" ht="24.95" customHeight="1">
      <c r="A265" s="2039"/>
      <c r="B265" s="61"/>
      <c r="C265" s="61"/>
      <c r="D265" s="61"/>
      <c r="E265" s="61"/>
      <c r="F265" s="61"/>
      <c r="G265" s="61"/>
      <c r="H265" s="67"/>
    </row>
    <row r="266" spans="1:8" ht="24.95" customHeight="1">
      <c r="A266" s="2025" t="s">
        <v>73</v>
      </c>
      <c r="B266" s="2026"/>
      <c r="C266" s="68"/>
      <c r="D266" s="69" t="s">
        <v>74</v>
      </c>
      <c r="E266" s="70">
        <v>1</v>
      </c>
      <c r="F266" s="68"/>
      <c r="G266" s="71">
        <f>SUM(G256:G264)</f>
        <v>31.492100000000004</v>
      </c>
      <c r="H266" s="72"/>
    </row>
    <row r="267" spans="1:8" ht="24.95" customHeight="1">
      <c r="A267" s="2040"/>
      <c r="B267" s="61" t="s">
        <v>129</v>
      </c>
      <c r="C267" s="61" t="s">
        <v>130</v>
      </c>
      <c r="D267" s="62" t="s">
        <v>60</v>
      </c>
      <c r="E267" s="66">
        <v>5</v>
      </c>
      <c r="F267" s="74">
        <v>0.35</v>
      </c>
      <c r="G267" s="80">
        <f>F267*E267</f>
        <v>1.75</v>
      </c>
      <c r="H267" s="67"/>
    </row>
    <row r="268" spans="1:8" ht="24.95" customHeight="1">
      <c r="A268" s="2038"/>
      <c r="B268" s="61" t="s">
        <v>86</v>
      </c>
      <c r="C268" s="61" t="s">
        <v>131</v>
      </c>
      <c r="D268" s="62" t="s">
        <v>60</v>
      </c>
      <c r="E268" s="81">
        <v>0.1</v>
      </c>
      <c r="F268" s="74"/>
      <c r="G268" s="74"/>
      <c r="H268" s="67"/>
    </row>
    <row r="269" spans="1:8" ht="24.95" customHeight="1">
      <c r="A269" s="2038"/>
      <c r="B269" s="61" t="s">
        <v>132</v>
      </c>
      <c r="C269" s="61"/>
      <c r="D269" s="62" t="s">
        <v>60</v>
      </c>
      <c r="E269" s="81">
        <v>0.2</v>
      </c>
      <c r="F269" s="61"/>
      <c r="G269" s="61"/>
      <c r="H269" s="67"/>
    </row>
    <row r="270" spans="1:8" ht="24.95" customHeight="1">
      <c r="A270" s="2038"/>
      <c r="B270" s="61" t="s">
        <v>90</v>
      </c>
      <c r="C270" s="61" t="s">
        <v>91</v>
      </c>
      <c r="D270" s="62" t="s">
        <v>92</v>
      </c>
      <c r="E270" s="75">
        <v>0.27</v>
      </c>
      <c r="F270" s="61"/>
      <c r="G270" s="61"/>
      <c r="H270" s="67"/>
    </row>
    <row r="271" spans="1:8" ht="24.95" customHeight="1">
      <c r="A271" s="2038"/>
      <c r="B271" s="61" t="s">
        <v>93</v>
      </c>
      <c r="C271" s="61"/>
      <c r="D271" s="62" t="s">
        <v>60</v>
      </c>
      <c r="E271" s="75">
        <v>0.30199999999999999</v>
      </c>
      <c r="F271" s="61"/>
      <c r="G271" s="61"/>
      <c r="H271" s="67"/>
    </row>
    <row r="272" spans="1:8" ht="24.95" customHeight="1">
      <c r="A272" s="2038"/>
      <c r="B272" s="61" t="s">
        <v>94</v>
      </c>
      <c r="C272" s="61" t="s">
        <v>95</v>
      </c>
      <c r="D272" s="62" t="s">
        <v>60</v>
      </c>
      <c r="E272" s="75">
        <v>0.112</v>
      </c>
      <c r="F272" s="61"/>
      <c r="G272" s="61"/>
      <c r="H272" s="67"/>
    </row>
    <row r="273" spans="1:12" ht="24.95" customHeight="1">
      <c r="A273" s="2038"/>
      <c r="B273" s="61"/>
      <c r="C273" s="61"/>
      <c r="D273" s="62"/>
      <c r="E273" s="75"/>
      <c r="F273" s="61"/>
      <c r="G273" s="61"/>
      <c r="H273" s="67"/>
    </row>
    <row r="274" spans="1:12" ht="24.95" customHeight="1">
      <c r="A274" s="2038"/>
      <c r="B274" s="61"/>
      <c r="C274" s="61"/>
      <c r="D274" s="62"/>
      <c r="E274" s="75"/>
      <c r="F274" s="61"/>
      <c r="G274" s="61"/>
      <c r="H274" s="67"/>
    </row>
    <row r="275" spans="1:12" ht="24.95" customHeight="1">
      <c r="A275" s="2038"/>
      <c r="B275" s="61"/>
      <c r="C275" s="61"/>
      <c r="D275" s="62"/>
      <c r="E275" s="75"/>
      <c r="F275" s="61"/>
      <c r="G275" s="61"/>
      <c r="H275" s="67"/>
    </row>
    <row r="276" spans="1:12" ht="24.95" customHeight="1">
      <c r="A276" s="2025" t="s">
        <v>73</v>
      </c>
      <c r="B276" s="2026"/>
      <c r="C276" s="68"/>
      <c r="D276" s="69" t="s">
        <v>74</v>
      </c>
      <c r="E276" s="70">
        <v>1</v>
      </c>
      <c r="F276" s="68"/>
      <c r="G276" s="71">
        <f>SUM(G267:G274)</f>
        <v>1.75</v>
      </c>
      <c r="H276" s="72"/>
    </row>
    <row r="277" spans="1:12" ht="24.95" customHeight="1">
      <c r="A277" s="82"/>
      <c r="B277" s="61"/>
      <c r="C277" s="61"/>
      <c r="D277" s="61"/>
      <c r="E277" s="61"/>
      <c r="F277" s="61"/>
      <c r="G277" s="61"/>
      <c r="H277" s="67"/>
    </row>
    <row r="278" spans="1:12" ht="24.95" customHeight="1">
      <c r="A278" s="83"/>
      <c r="B278" s="61"/>
      <c r="C278" s="61"/>
      <c r="D278" s="61"/>
      <c r="E278" s="61"/>
      <c r="F278" s="61"/>
      <c r="G278" s="61"/>
      <c r="H278" s="67"/>
    </row>
    <row r="279" spans="1:12" ht="24.95" customHeight="1">
      <c r="A279" s="2020" t="s">
        <v>96</v>
      </c>
      <c r="B279" s="2021"/>
      <c r="C279" s="76"/>
      <c r="D279" s="76"/>
      <c r="E279" s="76"/>
      <c r="F279" s="76"/>
      <c r="G279" s="77">
        <f>G266+G276</f>
        <v>33.242100000000008</v>
      </c>
      <c r="H279" s="78"/>
    </row>
    <row r="280" spans="1:12" ht="24.95" customHeight="1">
      <c r="A280" s="2022" t="s">
        <v>97</v>
      </c>
      <c r="B280" s="2023"/>
      <c r="C280" s="2023"/>
      <c r="D280" s="2023"/>
      <c r="E280" s="2023"/>
      <c r="F280" s="2023"/>
      <c r="G280" s="2023"/>
      <c r="H280" s="2030"/>
    </row>
    <row r="281" spans="1:12" ht="24.95" customHeight="1">
      <c r="A281" s="2034"/>
      <c r="B281" s="2035"/>
      <c r="C281" s="2035"/>
      <c r="D281" s="2035"/>
      <c r="E281" s="2035"/>
      <c r="F281" s="2035"/>
      <c r="G281" s="2035"/>
      <c r="H281" s="2036"/>
    </row>
    <row r="282" spans="1:12" ht="24.95" customHeight="1">
      <c r="A282" s="53" t="s">
        <v>47</v>
      </c>
      <c r="B282" s="53" t="s">
        <v>205</v>
      </c>
      <c r="C282" s="53"/>
      <c r="D282" s="53"/>
      <c r="E282" s="53"/>
      <c r="F282" s="53"/>
      <c r="G282" s="53"/>
      <c r="H282" s="53"/>
    </row>
    <row r="283" spans="1:12" ht="24.95" customHeight="1">
      <c r="A283" s="2028" t="s">
        <v>50</v>
      </c>
      <c r="B283" s="2028"/>
      <c r="C283" s="54" t="s">
        <v>51</v>
      </c>
      <c r="D283" s="54" t="s">
        <v>52</v>
      </c>
      <c r="E283" s="54" t="s">
        <v>53</v>
      </c>
      <c r="F283" s="54" t="s">
        <v>54</v>
      </c>
      <c r="G283" s="54" t="s">
        <v>56</v>
      </c>
      <c r="H283" s="54" t="s">
        <v>57</v>
      </c>
    </row>
    <row r="284" spans="1:12" ht="24.95" customHeight="1">
      <c r="A284" s="2037" t="s">
        <v>113</v>
      </c>
      <c r="B284" s="55" t="s">
        <v>58</v>
      </c>
      <c r="C284" s="55" t="s">
        <v>200</v>
      </c>
      <c r="D284" s="56" t="s">
        <v>60</v>
      </c>
      <c r="E284" s="57">
        <v>1</v>
      </c>
      <c r="F284" s="58">
        <v>2.7772800000000002</v>
      </c>
      <c r="G284" s="58">
        <f t="shared" ref="G284:G292" si="10">F284*E284</f>
        <v>2.7772800000000002</v>
      </c>
      <c r="H284" s="59"/>
      <c r="L284" s="95"/>
    </row>
    <row r="285" spans="1:12" ht="24.95" customHeight="1">
      <c r="A285" s="2038"/>
      <c r="B285" s="61" t="s">
        <v>115</v>
      </c>
      <c r="C285" s="61" t="s">
        <v>201</v>
      </c>
      <c r="D285" s="62" t="s">
        <v>60</v>
      </c>
      <c r="E285" s="63">
        <v>1</v>
      </c>
      <c r="F285" s="64">
        <v>0.29982000000000003</v>
      </c>
      <c r="G285" s="64">
        <f t="shared" si="10"/>
        <v>0.29982000000000003</v>
      </c>
      <c r="H285" s="65"/>
      <c r="L285" s="95"/>
    </row>
    <row r="286" spans="1:12" ht="24.95" customHeight="1">
      <c r="A286" s="2038"/>
      <c r="B286" s="61" t="s">
        <v>117</v>
      </c>
      <c r="C286" s="61" t="s">
        <v>186</v>
      </c>
      <c r="D286" s="62" t="s">
        <v>60</v>
      </c>
      <c r="E286" s="63">
        <v>2</v>
      </c>
      <c r="F286" s="64">
        <v>1.3570800000000001</v>
      </c>
      <c r="G286" s="64">
        <f t="shared" si="10"/>
        <v>2.7141600000000001</v>
      </c>
      <c r="H286" s="65"/>
      <c r="L286" s="95"/>
    </row>
    <row r="287" spans="1:12" ht="24.95" customHeight="1">
      <c r="A287" s="2038"/>
      <c r="B287" s="61" t="s">
        <v>119</v>
      </c>
      <c r="C287" s="61" t="s">
        <v>187</v>
      </c>
      <c r="D287" s="62" t="s">
        <v>60</v>
      </c>
      <c r="E287" s="63">
        <v>1</v>
      </c>
      <c r="F287" s="64">
        <v>0.69432000000000005</v>
      </c>
      <c r="G287" s="64">
        <f t="shared" si="10"/>
        <v>0.69432000000000005</v>
      </c>
      <c r="H287" s="65"/>
      <c r="L287" s="95"/>
    </row>
    <row r="288" spans="1:12" ht="24.95" customHeight="1">
      <c r="A288" s="2038"/>
      <c r="B288" s="61" t="s">
        <v>121</v>
      </c>
      <c r="C288" s="61" t="s">
        <v>188</v>
      </c>
      <c r="D288" s="62" t="s">
        <v>60</v>
      </c>
      <c r="E288" s="63">
        <v>1</v>
      </c>
      <c r="F288" s="64">
        <v>0.79688999999999999</v>
      </c>
      <c r="G288" s="64">
        <f t="shared" si="10"/>
        <v>0.79688999999999999</v>
      </c>
      <c r="H288" s="65"/>
      <c r="L288" s="95"/>
    </row>
    <row r="289" spans="1:12" ht="24.95" customHeight="1">
      <c r="A289" s="2038"/>
      <c r="B289" s="61" t="s">
        <v>113</v>
      </c>
      <c r="C289" s="61" t="s">
        <v>206</v>
      </c>
      <c r="D289" s="62" t="s">
        <v>60</v>
      </c>
      <c r="E289" s="63">
        <v>1</v>
      </c>
      <c r="F289" s="64">
        <v>11.061780000000001</v>
      </c>
      <c r="G289" s="64">
        <f t="shared" si="10"/>
        <v>11.061780000000001</v>
      </c>
      <c r="H289" s="65"/>
      <c r="L289" s="95"/>
    </row>
    <row r="290" spans="1:12" ht="24.95" customHeight="1">
      <c r="A290" s="2038"/>
      <c r="B290" s="61" t="s">
        <v>124</v>
      </c>
      <c r="C290" s="61" t="s">
        <v>190</v>
      </c>
      <c r="D290" s="62" t="s">
        <v>60</v>
      </c>
      <c r="E290" s="66">
        <v>1</v>
      </c>
      <c r="F290" s="64">
        <v>1.2466200000000001</v>
      </c>
      <c r="G290" s="64">
        <f t="shared" si="10"/>
        <v>1.2466200000000001</v>
      </c>
      <c r="H290" s="65"/>
      <c r="L290" s="95"/>
    </row>
    <row r="291" spans="1:12" ht="24.95" customHeight="1">
      <c r="A291" s="2038"/>
      <c r="B291" s="61" t="s">
        <v>78</v>
      </c>
      <c r="C291" s="61" t="s">
        <v>191</v>
      </c>
      <c r="D291" s="62" t="s">
        <v>60</v>
      </c>
      <c r="E291" s="63">
        <v>1</v>
      </c>
      <c r="F291" s="64">
        <v>5.5230000000000008E-2</v>
      </c>
      <c r="G291" s="64">
        <f t="shared" si="10"/>
        <v>5.5230000000000008E-2</v>
      </c>
      <c r="H291" s="67"/>
      <c r="L291" s="95"/>
    </row>
    <row r="292" spans="1:12" ht="24.95" customHeight="1">
      <c r="A292" s="2038"/>
      <c r="B292" s="61" t="s">
        <v>127</v>
      </c>
      <c r="C292" s="61" t="s">
        <v>128</v>
      </c>
      <c r="D292" s="62" t="s">
        <v>60</v>
      </c>
      <c r="E292" s="66">
        <v>5</v>
      </c>
      <c r="F292" s="64">
        <v>0.2</v>
      </c>
      <c r="G292" s="64">
        <f t="shared" si="10"/>
        <v>1</v>
      </c>
      <c r="H292" s="67"/>
    </row>
    <row r="293" spans="1:12" ht="24.95" customHeight="1">
      <c r="A293" s="2039"/>
      <c r="B293" s="61"/>
      <c r="C293" s="61"/>
      <c r="D293" s="61"/>
      <c r="E293" s="61"/>
      <c r="F293" s="61"/>
      <c r="G293" s="61"/>
      <c r="H293" s="67"/>
    </row>
    <row r="294" spans="1:12" ht="24.95" customHeight="1">
      <c r="A294" s="2025" t="s">
        <v>73</v>
      </c>
      <c r="B294" s="2026"/>
      <c r="C294" s="68"/>
      <c r="D294" s="69" t="s">
        <v>74</v>
      </c>
      <c r="E294" s="70">
        <v>1</v>
      </c>
      <c r="F294" s="68"/>
      <c r="G294" s="71">
        <f>SUM(G284:G292)</f>
        <v>20.646100000000004</v>
      </c>
      <c r="H294" s="72"/>
    </row>
    <row r="295" spans="1:12" ht="24.95" customHeight="1">
      <c r="A295" s="2040"/>
      <c r="B295" s="61" t="s">
        <v>129</v>
      </c>
      <c r="C295" s="61" t="s">
        <v>130</v>
      </c>
      <c r="D295" s="62" t="s">
        <v>60</v>
      </c>
      <c r="E295" s="66">
        <v>5</v>
      </c>
      <c r="F295" s="74">
        <v>0.35</v>
      </c>
      <c r="G295" s="80">
        <f>F295*E295</f>
        <v>1.75</v>
      </c>
      <c r="H295" s="67"/>
    </row>
    <row r="296" spans="1:12" ht="24.95" customHeight="1">
      <c r="A296" s="2038"/>
      <c r="B296" s="61" t="s">
        <v>86</v>
      </c>
      <c r="C296" s="61" t="s">
        <v>131</v>
      </c>
      <c r="D296" s="62" t="s">
        <v>60</v>
      </c>
      <c r="E296" s="81">
        <v>0.1</v>
      </c>
      <c r="F296" s="74"/>
      <c r="G296" s="74"/>
      <c r="H296" s="67"/>
    </row>
    <row r="297" spans="1:12" ht="24.95" customHeight="1">
      <c r="A297" s="2038"/>
      <c r="B297" s="61" t="s">
        <v>132</v>
      </c>
      <c r="C297" s="61"/>
      <c r="D297" s="62" t="s">
        <v>60</v>
      </c>
      <c r="E297" s="81">
        <v>0.2</v>
      </c>
      <c r="F297" s="61"/>
      <c r="G297" s="61"/>
      <c r="H297" s="67"/>
    </row>
    <row r="298" spans="1:12" ht="24.95" customHeight="1">
      <c r="A298" s="2038"/>
      <c r="B298" s="61" t="s">
        <v>90</v>
      </c>
      <c r="C298" s="61" t="s">
        <v>91</v>
      </c>
      <c r="D298" s="62" t="s">
        <v>92</v>
      </c>
      <c r="E298" s="75">
        <v>0.27</v>
      </c>
      <c r="F298" s="61"/>
      <c r="G298" s="61"/>
      <c r="H298" s="67"/>
    </row>
    <row r="299" spans="1:12" ht="24.95" customHeight="1">
      <c r="A299" s="2038"/>
      <c r="B299" s="61" t="s">
        <v>93</v>
      </c>
      <c r="C299" s="61"/>
      <c r="D299" s="62" t="s">
        <v>60</v>
      </c>
      <c r="E299" s="75">
        <v>0.30199999999999999</v>
      </c>
      <c r="F299" s="61"/>
      <c r="G299" s="61"/>
      <c r="H299" s="67"/>
    </row>
    <row r="300" spans="1:12" ht="24.95" customHeight="1">
      <c r="A300" s="2038"/>
      <c r="B300" s="61" t="s">
        <v>94</v>
      </c>
      <c r="C300" s="61" t="s">
        <v>95</v>
      </c>
      <c r="D300" s="62" t="s">
        <v>60</v>
      </c>
      <c r="E300" s="75">
        <v>0.112</v>
      </c>
      <c r="F300" s="61"/>
      <c r="G300" s="61"/>
      <c r="H300" s="67"/>
    </row>
    <row r="301" spans="1:12" ht="24.95" customHeight="1">
      <c r="A301" s="2038"/>
      <c r="B301" s="61"/>
      <c r="C301" s="61"/>
      <c r="D301" s="62"/>
      <c r="E301" s="75"/>
      <c r="F301" s="61"/>
      <c r="G301" s="61"/>
      <c r="H301" s="67"/>
    </row>
    <row r="302" spans="1:12" ht="24.95" customHeight="1">
      <c r="A302" s="2038"/>
      <c r="B302" s="61"/>
      <c r="C302" s="61"/>
      <c r="D302" s="62"/>
      <c r="E302" s="75"/>
      <c r="F302" s="61"/>
      <c r="G302" s="61"/>
      <c r="H302" s="67"/>
    </row>
    <row r="303" spans="1:12" ht="24.95" customHeight="1">
      <c r="A303" s="2025" t="s">
        <v>73</v>
      </c>
      <c r="B303" s="2026"/>
      <c r="C303" s="68"/>
      <c r="D303" s="69" t="s">
        <v>74</v>
      </c>
      <c r="E303" s="70">
        <v>1</v>
      </c>
      <c r="F303" s="68"/>
      <c r="G303" s="71">
        <f>SUM(G295:G301)</f>
        <v>1.75</v>
      </c>
      <c r="H303" s="72"/>
    </row>
    <row r="304" spans="1:12" ht="24.95" customHeight="1">
      <c r="A304" s="82"/>
      <c r="B304" s="61"/>
      <c r="C304" s="61"/>
      <c r="D304" s="61"/>
      <c r="E304" s="61"/>
      <c r="F304" s="61"/>
      <c r="G304" s="61"/>
      <c r="H304" s="67"/>
    </row>
    <row r="305" spans="1:8" ht="24.95" customHeight="1">
      <c r="A305" s="83"/>
      <c r="B305" s="61"/>
      <c r="C305" s="61"/>
      <c r="D305" s="61"/>
      <c r="E305" s="61"/>
      <c r="F305" s="61"/>
      <c r="G305" s="61"/>
      <c r="H305" s="67"/>
    </row>
    <row r="306" spans="1:8" ht="24.95" customHeight="1">
      <c r="A306" s="2020" t="s">
        <v>96</v>
      </c>
      <c r="B306" s="2021"/>
      <c r="C306" s="76"/>
      <c r="D306" s="76"/>
      <c r="E306" s="76"/>
      <c r="F306" s="76"/>
      <c r="G306" s="77">
        <f>G294+G303</f>
        <v>22.396100000000004</v>
      </c>
      <c r="H306" s="78"/>
    </row>
    <row r="307" spans="1:8" ht="24.95" customHeight="1">
      <c r="A307" s="2022" t="s">
        <v>97</v>
      </c>
      <c r="B307" s="2023"/>
      <c r="C307" s="2023"/>
      <c r="D307" s="2023"/>
      <c r="E307" s="2023"/>
      <c r="F307" s="2023"/>
      <c r="G307" s="2023"/>
      <c r="H307" s="2030"/>
    </row>
    <row r="308" spans="1:8" ht="24.95" customHeight="1">
      <c r="A308" s="2034"/>
      <c r="B308" s="2035"/>
      <c r="C308" s="2035"/>
      <c r="D308" s="2035"/>
      <c r="E308" s="2035"/>
      <c r="F308" s="2035"/>
      <c r="G308" s="2035"/>
      <c r="H308" s="2036"/>
    </row>
    <row r="309" spans="1:8" ht="24.95" customHeight="1">
      <c r="A309" s="53" t="s">
        <v>47</v>
      </c>
      <c r="B309" s="53" t="s">
        <v>207</v>
      </c>
      <c r="C309" s="53"/>
      <c r="D309" s="53"/>
      <c r="E309" s="53"/>
      <c r="F309" s="53"/>
      <c r="G309" s="53"/>
      <c r="H309" s="53"/>
    </row>
    <row r="310" spans="1:8" ht="24.95" customHeight="1">
      <c r="A310" s="2028" t="s">
        <v>50</v>
      </c>
      <c r="B310" s="2028"/>
      <c r="C310" s="54" t="s">
        <v>51</v>
      </c>
      <c r="D310" s="54" t="s">
        <v>52</v>
      </c>
      <c r="E310" s="54" t="s">
        <v>53</v>
      </c>
      <c r="F310" s="54" t="s">
        <v>54</v>
      </c>
      <c r="G310" s="54" t="s">
        <v>56</v>
      </c>
      <c r="H310" s="54" t="s">
        <v>57</v>
      </c>
    </row>
    <row r="311" spans="1:8" ht="24.95" customHeight="1">
      <c r="A311" s="2037" t="s">
        <v>113</v>
      </c>
      <c r="B311" s="55" t="s">
        <v>58</v>
      </c>
      <c r="C311" s="55" t="s">
        <v>200</v>
      </c>
      <c r="D311" s="56" t="s">
        <v>60</v>
      </c>
      <c r="E311" s="57">
        <v>1</v>
      </c>
      <c r="F311" s="58">
        <v>2.7772800000000002</v>
      </c>
      <c r="G311" s="58">
        <f t="shared" ref="G311:G319" si="11">F311*E311</f>
        <v>2.7772800000000002</v>
      </c>
      <c r="H311" s="59"/>
    </row>
    <row r="312" spans="1:8" ht="24.95" customHeight="1">
      <c r="A312" s="2038"/>
      <c r="B312" s="61" t="s">
        <v>115</v>
      </c>
      <c r="C312" s="61" t="s">
        <v>201</v>
      </c>
      <c r="D312" s="62" t="s">
        <v>60</v>
      </c>
      <c r="E312" s="63">
        <v>1</v>
      </c>
      <c r="F312" s="64">
        <v>0.29982000000000003</v>
      </c>
      <c r="G312" s="64">
        <f t="shared" si="11"/>
        <v>0.29982000000000003</v>
      </c>
      <c r="H312" s="65"/>
    </row>
    <row r="313" spans="1:8" ht="24.95" customHeight="1">
      <c r="A313" s="2038"/>
      <c r="B313" s="61" t="s">
        <v>117</v>
      </c>
      <c r="C313" s="61" t="s">
        <v>186</v>
      </c>
      <c r="D313" s="62" t="s">
        <v>60</v>
      </c>
      <c r="E313" s="63">
        <v>4</v>
      </c>
      <c r="F313" s="64">
        <v>1.3570800000000001</v>
      </c>
      <c r="G313" s="64">
        <f t="shared" si="11"/>
        <v>5.4283200000000003</v>
      </c>
      <c r="H313" s="65"/>
    </row>
    <row r="314" spans="1:8" ht="24.95" customHeight="1">
      <c r="A314" s="2038"/>
      <c r="B314" s="61" t="s">
        <v>119</v>
      </c>
      <c r="C314" s="61" t="s">
        <v>187</v>
      </c>
      <c r="D314" s="62" t="s">
        <v>60</v>
      </c>
      <c r="E314" s="63">
        <v>2</v>
      </c>
      <c r="F314" s="64">
        <v>0.69432000000000005</v>
      </c>
      <c r="G314" s="64">
        <f t="shared" si="11"/>
        <v>1.3886400000000001</v>
      </c>
      <c r="H314" s="65"/>
    </row>
    <row r="315" spans="1:8" ht="24.95" customHeight="1">
      <c r="A315" s="2038"/>
      <c r="B315" s="61" t="s">
        <v>121</v>
      </c>
      <c r="C315" s="61" t="s">
        <v>188</v>
      </c>
      <c r="D315" s="62" t="s">
        <v>60</v>
      </c>
      <c r="E315" s="63">
        <v>2</v>
      </c>
      <c r="F315" s="64">
        <v>0.79688999999999999</v>
      </c>
      <c r="G315" s="64">
        <f t="shared" si="11"/>
        <v>1.59378</v>
      </c>
      <c r="H315" s="65"/>
    </row>
    <row r="316" spans="1:8" ht="24.95" customHeight="1">
      <c r="A316" s="2038"/>
      <c r="B316" s="61" t="s">
        <v>113</v>
      </c>
      <c r="C316" s="61" t="s">
        <v>206</v>
      </c>
      <c r="D316" s="62" t="s">
        <v>60</v>
      </c>
      <c r="E316" s="63">
        <v>2</v>
      </c>
      <c r="F316" s="64">
        <v>11.061780000000001</v>
      </c>
      <c r="G316" s="64">
        <f t="shared" si="11"/>
        <v>22.123560000000001</v>
      </c>
      <c r="H316" s="65"/>
    </row>
    <row r="317" spans="1:8" ht="24.95" customHeight="1">
      <c r="A317" s="2038"/>
      <c r="B317" s="61" t="s">
        <v>124</v>
      </c>
      <c r="C317" s="61" t="s">
        <v>190</v>
      </c>
      <c r="D317" s="62" t="s">
        <v>60</v>
      </c>
      <c r="E317" s="66">
        <v>2</v>
      </c>
      <c r="F317" s="64">
        <v>1.2466200000000001</v>
      </c>
      <c r="G317" s="64">
        <f t="shared" si="11"/>
        <v>2.4932400000000001</v>
      </c>
      <c r="H317" s="65"/>
    </row>
    <row r="318" spans="1:8" ht="24.95" customHeight="1">
      <c r="A318" s="2038"/>
      <c r="B318" s="61" t="s">
        <v>78</v>
      </c>
      <c r="C318" s="61" t="s">
        <v>191</v>
      </c>
      <c r="D318" s="62" t="s">
        <v>60</v>
      </c>
      <c r="E318" s="63">
        <v>2</v>
      </c>
      <c r="F318" s="64">
        <v>5.5230000000000008E-2</v>
      </c>
      <c r="G318" s="64">
        <f t="shared" si="11"/>
        <v>0.11046000000000002</v>
      </c>
      <c r="H318" s="67"/>
    </row>
    <row r="319" spans="1:8" ht="24.95" customHeight="1">
      <c r="A319" s="2038"/>
      <c r="B319" s="61" t="s">
        <v>127</v>
      </c>
      <c r="C319" s="61" t="s">
        <v>128</v>
      </c>
      <c r="D319" s="62" t="s">
        <v>60</v>
      </c>
      <c r="E319" s="66">
        <v>4</v>
      </c>
      <c r="F319" s="64">
        <v>0.2</v>
      </c>
      <c r="G319" s="64">
        <f t="shared" si="11"/>
        <v>0.8</v>
      </c>
      <c r="H319" s="67"/>
    </row>
    <row r="320" spans="1:8" ht="24.95" customHeight="1">
      <c r="A320" s="2039"/>
      <c r="B320" s="61"/>
      <c r="C320" s="61"/>
      <c r="D320" s="61"/>
      <c r="E320" s="61"/>
      <c r="F320" s="61"/>
      <c r="G320" s="61"/>
      <c r="H320" s="67"/>
    </row>
    <row r="321" spans="1:8" ht="24.95" customHeight="1">
      <c r="A321" s="2025" t="s">
        <v>73</v>
      </c>
      <c r="B321" s="2026"/>
      <c r="C321" s="68"/>
      <c r="D321" s="69" t="s">
        <v>74</v>
      </c>
      <c r="E321" s="70">
        <v>1</v>
      </c>
      <c r="F321" s="68"/>
      <c r="G321" s="71">
        <f>SUM(G311:G319)</f>
        <v>37.015100000000004</v>
      </c>
      <c r="H321" s="72"/>
    </row>
    <row r="322" spans="1:8" ht="24.95" customHeight="1">
      <c r="A322" s="2040"/>
      <c r="B322" s="61" t="s">
        <v>129</v>
      </c>
      <c r="C322" s="61" t="s">
        <v>130</v>
      </c>
      <c r="D322" s="62" t="s">
        <v>60</v>
      </c>
      <c r="E322" s="66">
        <v>5</v>
      </c>
      <c r="F322" s="74">
        <v>0.35</v>
      </c>
      <c r="G322" s="80">
        <f>F322*E322</f>
        <v>1.75</v>
      </c>
      <c r="H322" s="67"/>
    </row>
    <row r="323" spans="1:8" ht="24.95" customHeight="1">
      <c r="A323" s="2038"/>
      <c r="B323" s="61" t="s">
        <v>86</v>
      </c>
      <c r="C323" s="61" t="s">
        <v>131</v>
      </c>
      <c r="D323" s="62" t="s">
        <v>60</v>
      </c>
      <c r="E323" s="81">
        <v>0.1</v>
      </c>
      <c r="F323" s="74"/>
      <c r="G323" s="74"/>
      <c r="H323" s="67"/>
    </row>
    <row r="324" spans="1:8" ht="24.95" customHeight="1">
      <c r="A324" s="2038"/>
      <c r="B324" s="61" t="s">
        <v>132</v>
      </c>
      <c r="C324" s="61"/>
      <c r="D324" s="62" t="s">
        <v>60</v>
      </c>
      <c r="E324" s="81">
        <v>0.2</v>
      </c>
      <c r="F324" s="61"/>
      <c r="G324" s="61"/>
      <c r="H324" s="67"/>
    </row>
    <row r="325" spans="1:8" ht="24.95" customHeight="1">
      <c r="A325" s="2038"/>
      <c r="B325" s="61" t="s">
        <v>90</v>
      </c>
      <c r="C325" s="61" t="s">
        <v>91</v>
      </c>
      <c r="D325" s="62" t="s">
        <v>92</v>
      </c>
      <c r="E325" s="75">
        <v>0.27</v>
      </c>
      <c r="F325" s="61"/>
      <c r="G325" s="61"/>
      <c r="H325" s="67"/>
    </row>
    <row r="326" spans="1:8" ht="24.95" customHeight="1">
      <c r="A326" s="2038"/>
      <c r="B326" s="61" t="s">
        <v>93</v>
      </c>
      <c r="C326" s="61"/>
      <c r="D326" s="62" t="s">
        <v>60</v>
      </c>
      <c r="E326" s="75">
        <v>0.30199999999999999</v>
      </c>
      <c r="F326" s="61"/>
      <c r="G326" s="61"/>
      <c r="H326" s="67"/>
    </row>
    <row r="327" spans="1:8" ht="24.95" customHeight="1">
      <c r="A327" s="2038"/>
      <c r="B327" s="61" t="s">
        <v>94</v>
      </c>
      <c r="C327" s="61" t="s">
        <v>95</v>
      </c>
      <c r="D327" s="62" t="s">
        <v>60</v>
      </c>
      <c r="E327" s="75">
        <v>0.112</v>
      </c>
      <c r="F327" s="61"/>
      <c r="G327" s="61"/>
      <c r="H327" s="67"/>
    </row>
    <row r="328" spans="1:8" ht="24.95" customHeight="1">
      <c r="A328" s="2038"/>
      <c r="B328" s="61"/>
      <c r="C328" s="61"/>
      <c r="D328" s="62"/>
      <c r="E328" s="75"/>
      <c r="F328" s="61"/>
      <c r="G328" s="61"/>
      <c r="H328" s="67"/>
    </row>
    <row r="329" spans="1:8" ht="24.95" customHeight="1">
      <c r="A329" s="2038"/>
      <c r="B329" s="61"/>
      <c r="C329" s="61"/>
      <c r="D329" s="62"/>
      <c r="E329" s="75"/>
      <c r="F329" s="61"/>
      <c r="G329" s="61"/>
      <c r="H329" s="67"/>
    </row>
    <row r="330" spans="1:8" ht="24.95" customHeight="1">
      <c r="A330" s="2038"/>
      <c r="B330" s="61"/>
      <c r="C330" s="61"/>
      <c r="D330" s="62"/>
      <c r="E330" s="75"/>
      <c r="F330" s="61"/>
      <c r="G330" s="61"/>
      <c r="H330" s="67"/>
    </row>
    <row r="331" spans="1:8" ht="24.95" customHeight="1">
      <c r="A331" s="2025" t="s">
        <v>73</v>
      </c>
      <c r="B331" s="2026"/>
      <c r="C331" s="68"/>
      <c r="D331" s="69" t="s">
        <v>74</v>
      </c>
      <c r="E331" s="70">
        <v>1</v>
      </c>
      <c r="F331" s="68"/>
      <c r="G331" s="71">
        <f>SUM(G322:G329)</f>
        <v>1.75</v>
      </c>
      <c r="H331" s="72"/>
    </row>
    <row r="332" spans="1:8" ht="24.95" customHeight="1">
      <c r="A332" s="82"/>
      <c r="B332" s="61"/>
      <c r="C332" s="61"/>
      <c r="D332" s="61"/>
      <c r="E332" s="61"/>
      <c r="F332" s="61"/>
      <c r="G332" s="61"/>
      <c r="H332" s="67"/>
    </row>
    <row r="333" spans="1:8" ht="24.95" customHeight="1">
      <c r="A333" s="83"/>
      <c r="B333" s="61"/>
      <c r="C333" s="61"/>
      <c r="D333" s="61"/>
      <c r="E333" s="61"/>
      <c r="F333" s="61"/>
      <c r="G333" s="61"/>
      <c r="H333" s="67"/>
    </row>
    <row r="334" spans="1:8" ht="24.95" customHeight="1">
      <c r="A334" s="2020" t="s">
        <v>96</v>
      </c>
      <c r="B334" s="2021"/>
      <c r="C334" s="76"/>
      <c r="D334" s="76"/>
      <c r="E334" s="76"/>
      <c r="F334" s="76"/>
      <c r="G334" s="77">
        <f>G321+G331</f>
        <v>38.765100000000004</v>
      </c>
      <c r="H334" s="78"/>
    </row>
    <row r="335" spans="1:8" ht="24.95" customHeight="1">
      <c r="A335" s="2022" t="s">
        <v>97</v>
      </c>
      <c r="B335" s="2023"/>
      <c r="C335" s="2023"/>
      <c r="D335" s="2023"/>
      <c r="E335" s="2023"/>
      <c r="F335" s="2023"/>
      <c r="G335" s="2023"/>
      <c r="H335" s="2030"/>
    </row>
    <row r="336" spans="1:8" ht="24.95" customHeight="1">
      <c r="A336" s="2034"/>
      <c r="B336" s="2035"/>
      <c r="C336" s="2035"/>
      <c r="D336" s="2035"/>
      <c r="E336" s="2035"/>
      <c r="F336" s="2035"/>
      <c r="G336" s="2035"/>
      <c r="H336" s="2036"/>
    </row>
    <row r="337" spans="1:12" ht="24.95" customHeight="1">
      <c r="A337" s="53" t="s">
        <v>47</v>
      </c>
      <c r="B337" s="53" t="s">
        <v>208</v>
      </c>
      <c r="C337" s="53"/>
      <c r="D337" s="53"/>
      <c r="E337" s="53"/>
      <c r="F337" s="53"/>
      <c r="G337" s="53"/>
      <c r="H337" s="53"/>
    </row>
    <row r="338" spans="1:12" ht="24.95" customHeight="1">
      <c r="A338" s="2028" t="s">
        <v>50</v>
      </c>
      <c r="B338" s="2028"/>
      <c r="C338" s="54" t="s">
        <v>51</v>
      </c>
      <c r="D338" s="54" t="s">
        <v>52</v>
      </c>
      <c r="E338" s="54" t="s">
        <v>53</v>
      </c>
      <c r="F338" s="54" t="s">
        <v>54</v>
      </c>
      <c r="G338" s="54" t="s">
        <v>56</v>
      </c>
      <c r="H338" s="54" t="s">
        <v>57</v>
      </c>
    </row>
    <row r="339" spans="1:12" ht="24.95" customHeight="1">
      <c r="A339" s="2037" t="s">
        <v>113</v>
      </c>
      <c r="B339" s="55" t="s">
        <v>58</v>
      </c>
      <c r="C339" s="55" t="s">
        <v>200</v>
      </c>
      <c r="D339" s="56" t="s">
        <v>60</v>
      </c>
      <c r="E339" s="57">
        <v>1</v>
      </c>
      <c r="F339" s="58">
        <v>2.7772800000000002</v>
      </c>
      <c r="G339" s="58">
        <f t="shared" ref="G339:G347" si="12">F339*E339</f>
        <v>2.7772800000000002</v>
      </c>
      <c r="H339" s="59"/>
      <c r="L339" s="95"/>
    </row>
    <row r="340" spans="1:12" ht="24.95" customHeight="1">
      <c r="A340" s="2038"/>
      <c r="B340" s="61" t="s">
        <v>115</v>
      </c>
      <c r="C340" s="61" t="s">
        <v>201</v>
      </c>
      <c r="D340" s="62" t="s">
        <v>60</v>
      </c>
      <c r="E340" s="63">
        <v>1</v>
      </c>
      <c r="F340" s="64">
        <v>0.29982000000000003</v>
      </c>
      <c r="G340" s="64">
        <f t="shared" si="12"/>
        <v>0.29982000000000003</v>
      </c>
      <c r="H340" s="65"/>
      <c r="L340" s="95"/>
    </row>
    <row r="341" spans="1:12" ht="24.95" customHeight="1">
      <c r="A341" s="2038"/>
      <c r="B341" s="61" t="s">
        <v>117</v>
      </c>
      <c r="C341" s="61" t="s">
        <v>186</v>
      </c>
      <c r="D341" s="62" t="s">
        <v>60</v>
      </c>
      <c r="E341" s="63">
        <v>2</v>
      </c>
      <c r="F341" s="64">
        <v>1.3570800000000001</v>
      </c>
      <c r="G341" s="64">
        <f t="shared" si="12"/>
        <v>2.7141600000000001</v>
      </c>
      <c r="H341" s="65"/>
      <c r="L341" s="95"/>
    </row>
    <row r="342" spans="1:12" ht="24.95" customHeight="1">
      <c r="A342" s="2038"/>
      <c r="B342" s="61" t="s">
        <v>119</v>
      </c>
      <c r="C342" s="61" t="s">
        <v>187</v>
      </c>
      <c r="D342" s="62" t="s">
        <v>60</v>
      </c>
      <c r="E342" s="63">
        <v>1</v>
      </c>
      <c r="F342" s="64">
        <v>0.69432000000000005</v>
      </c>
      <c r="G342" s="64">
        <f t="shared" si="12"/>
        <v>0.69432000000000005</v>
      </c>
      <c r="H342" s="65"/>
      <c r="L342" s="95"/>
    </row>
    <row r="343" spans="1:12" ht="24.95" customHeight="1">
      <c r="A343" s="2038"/>
      <c r="B343" s="61" t="s">
        <v>121</v>
      </c>
      <c r="C343" s="61" t="s">
        <v>188</v>
      </c>
      <c r="D343" s="62" t="s">
        <v>60</v>
      </c>
      <c r="E343" s="63">
        <v>1</v>
      </c>
      <c r="F343" s="64">
        <v>0.79688999999999999</v>
      </c>
      <c r="G343" s="64">
        <f t="shared" si="12"/>
        <v>0.79688999999999999</v>
      </c>
      <c r="H343" s="65"/>
      <c r="L343" s="95"/>
    </row>
    <row r="344" spans="1:12" ht="24.95" customHeight="1">
      <c r="A344" s="2038"/>
      <c r="B344" s="61" t="s">
        <v>113</v>
      </c>
      <c r="C344" s="61" t="s">
        <v>209</v>
      </c>
      <c r="D344" s="62" t="s">
        <v>60</v>
      </c>
      <c r="E344" s="63">
        <v>1</v>
      </c>
      <c r="F344" s="64">
        <v>12.718680000000001</v>
      </c>
      <c r="G344" s="64">
        <f t="shared" si="12"/>
        <v>12.718680000000001</v>
      </c>
      <c r="H344" s="65"/>
      <c r="L344" s="95"/>
    </row>
    <row r="345" spans="1:12" ht="24.95" customHeight="1">
      <c r="A345" s="2038"/>
      <c r="B345" s="61" t="s">
        <v>124</v>
      </c>
      <c r="C345" s="61" t="s">
        <v>190</v>
      </c>
      <c r="D345" s="62" t="s">
        <v>60</v>
      </c>
      <c r="E345" s="66">
        <v>1</v>
      </c>
      <c r="F345" s="64">
        <v>1.2466200000000001</v>
      </c>
      <c r="G345" s="64">
        <f t="shared" si="12"/>
        <v>1.2466200000000001</v>
      </c>
      <c r="H345" s="65"/>
      <c r="L345" s="95"/>
    </row>
    <row r="346" spans="1:12" ht="24.95" customHeight="1">
      <c r="A346" s="2038"/>
      <c r="B346" s="61" t="s">
        <v>78</v>
      </c>
      <c r="C346" s="61" t="s">
        <v>191</v>
      </c>
      <c r="D346" s="62" t="s">
        <v>60</v>
      </c>
      <c r="E346" s="63">
        <v>1</v>
      </c>
      <c r="F346" s="64">
        <v>5.5230000000000008E-2</v>
      </c>
      <c r="G346" s="64">
        <f t="shared" si="12"/>
        <v>5.5230000000000008E-2</v>
      </c>
      <c r="H346" s="67"/>
      <c r="L346" s="95"/>
    </row>
    <row r="347" spans="1:12" ht="24.95" customHeight="1">
      <c r="A347" s="2038"/>
      <c r="B347" s="61" t="s">
        <v>127</v>
      </c>
      <c r="C347" s="61" t="s">
        <v>128</v>
      </c>
      <c r="D347" s="62" t="s">
        <v>60</v>
      </c>
      <c r="E347" s="66">
        <v>5</v>
      </c>
      <c r="F347" s="64">
        <v>0.2</v>
      </c>
      <c r="G347" s="64">
        <f t="shared" si="12"/>
        <v>1</v>
      </c>
      <c r="H347" s="67"/>
    </row>
    <row r="348" spans="1:12" ht="24.95" customHeight="1">
      <c r="A348" s="2039"/>
      <c r="B348" s="61"/>
      <c r="C348" s="61"/>
      <c r="D348" s="61"/>
      <c r="E348" s="61"/>
      <c r="F348" s="61"/>
      <c r="G348" s="61"/>
      <c r="H348" s="67"/>
    </row>
    <row r="349" spans="1:12" ht="24.95" customHeight="1">
      <c r="A349" s="2025" t="s">
        <v>73</v>
      </c>
      <c r="B349" s="2026"/>
      <c r="C349" s="68"/>
      <c r="D349" s="69" t="s">
        <v>74</v>
      </c>
      <c r="E349" s="70">
        <v>1</v>
      </c>
      <c r="F349" s="68"/>
      <c r="G349" s="71">
        <f>SUM(G339:G347)</f>
        <v>22.303000000000004</v>
      </c>
      <c r="H349" s="72"/>
    </row>
    <row r="350" spans="1:12" ht="24.95" customHeight="1">
      <c r="A350" s="2040"/>
      <c r="B350" s="61" t="s">
        <v>129</v>
      </c>
      <c r="C350" s="61" t="s">
        <v>130</v>
      </c>
      <c r="D350" s="62" t="s">
        <v>60</v>
      </c>
      <c r="E350" s="66">
        <v>5</v>
      </c>
      <c r="F350" s="74">
        <v>0.35</v>
      </c>
      <c r="G350" s="80">
        <f>F350*E350</f>
        <v>1.75</v>
      </c>
      <c r="H350" s="67"/>
    </row>
    <row r="351" spans="1:12" ht="24.95" customHeight="1">
      <c r="A351" s="2038"/>
      <c r="B351" s="61" t="s">
        <v>86</v>
      </c>
      <c r="C351" s="61" t="s">
        <v>131</v>
      </c>
      <c r="D351" s="62" t="s">
        <v>60</v>
      </c>
      <c r="E351" s="81">
        <v>0.1</v>
      </c>
      <c r="F351" s="74"/>
      <c r="G351" s="74"/>
      <c r="H351" s="67"/>
    </row>
    <row r="352" spans="1:12" ht="24.95" customHeight="1">
      <c r="A352" s="2038"/>
      <c r="B352" s="61" t="s">
        <v>132</v>
      </c>
      <c r="C352" s="61"/>
      <c r="D352" s="62" t="s">
        <v>60</v>
      </c>
      <c r="E352" s="81">
        <v>0.2</v>
      </c>
      <c r="F352" s="61"/>
      <c r="G352" s="61"/>
      <c r="H352" s="67"/>
    </row>
    <row r="353" spans="1:8" ht="24.95" customHeight="1">
      <c r="A353" s="2038"/>
      <c r="B353" s="61" t="s">
        <v>90</v>
      </c>
      <c r="C353" s="61" t="s">
        <v>91</v>
      </c>
      <c r="D353" s="62" t="s">
        <v>92</v>
      </c>
      <c r="E353" s="75">
        <v>0.27</v>
      </c>
      <c r="F353" s="61"/>
      <c r="G353" s="61"/>
      <c r="H353" s="67"/>
    </row>
    <row r="354" spans="1:8" ht="24.95" customHeight="1">
      <c r="A354" s="2038"/>
      <c r="B354" s="61" t="s">
        <v>93</v>
      </c>
      <c r="C354" s="61"/>
      <c r="D354" s="62" t="s">
        <v>60</v>
      </c>
      <c r="E354" s="75">
        <v>0.30199999999999999</v>
      </c>
      <c r="F354" s="61"/>
      <c r="G354" s="61"/>
      <c r="H354" s="67"/>
    </row>
    <row r="355" spans="1:8" ht="24.95" customHeight="1">
      <c r="A355" s="2038"/>
      <c r="B355" s="61" t="s">
        <v>94</v>
      </c>
      <c r="C355" s="61" t="s">
        <v>95</v>
      </c>
      <c r="D355" s="62" t="s">
        <v>60</v>
      </c>
      <c r="E355" s="75">
        <v>0.112</v>
      </c>
      <c r="F355" s="61"/>
      <c r="G355" s="61"/>
      <c r="H355" s="67"/>
    </row>
    <row r="356" spans="1:8" ht="24.95" customHeight="1">
      <c r="A356" s="2038"/>
      <c r="B356" s="61"/>
      <c r="C356" s="61"/>
      <c r="D356" s="62"/>
      <c r="E356" s="75"/>
      <c r="F356" s="61"/>
      <c r="G356" s="61"/>
      <c r="H356" s="67"/>
    </row>
    <row r="357" spans="1:8" ht="24.95" customHeight="1">
      <c r="A357" s="2038"/>
      <c r="B357" s="61"/>
      <c r="C357" s="61"/>
      <c r="D357" s="62"/>
      <c r="E357" s="75"/>
      <c r="F357" s="61"/>
      <c r="G357" s="61"/>
      <c r="H357" s="67"/>
    </row>
    <row r="358" spans="1:8" ht="24.95" customHeight="1">
      <c r="A358" s="2038"/>
      <c r="B358" s="61"/>
      <c r="C358" s="61"/>
      <c r="D358" s="62"/>
      <c r="E358" s="75"/>
      <c r="F358" s="61"/>
      <c r="G358" s="61"/>
      <c r="H358" s="67"/>
    </row>
    <row r="359" spans="1:8" ht="24.95" customHeight="1">
      <c r="A359" s="2025" t="s">
        <v>73</v>
      </c>
      <c r="B359" s="2026"/>
      <c r="C359" s="68"/>
      <c r="D359" s="69" t="s">
        <v>74</v>
      </c>
      <c r="E359" s="70">
        <v>1</v>
      </c>
      <c r="F359" s="68"/>
      <c r="G359" s="71">
        <f>SUM(G350:G357)</f>
        <v>1.75</v>
      </c>
      <c r="H359" s="72"/>
    </row>
    <row r="360" spans="1:8" ht="24.95" customHeight="1">
      <c r="A360" s="82"/>
      <c r="B360" s="61"/>
      <c r="C360" s="61"/>
      <c r="D360" s="61"/>
      <c r="E360" s="61"/>
      <c r="F360" s="61"/>
      <c r="G360" s="61"/>
      <c r="H360" s="67"/>
    </row>
    <row r="361" spans="1:8" ht="24.95" customHeight="1">
      <c r="A361" s="83"/>
      <c r="B361" s="61"/>
      <c r="C361" s="61"/>
      <c r="D361" s="61"/>
      <c r="E361" s="61"/>
      <c r="F361" s="61"/>
      <c r="G361" s="61"/>
      <c r="H361" s="67"/>
    </row>
    <row r="362" spans="1:8" ht="24.95" customHeight="1">
      <c r="A362" s="2020" t="s">
        <v>96</v>
      </c>
      <c r="B362" s="2021"/>
      <c r="C362" s="76"/>
      <c r="D362" s="76"/>
      <c r="E362" s="76"/>
      <c r="F362" s="76"/>
      <c r="G362" s="77">
        <f>G349+G359</f>
        <v>24.053000000000004</v>
      </c>
      <c r="H362" s="78"/>
    </row>
    <row r="363" spans="1:8" ht="24.95" customHeight="1">
      <c r="A363" s="2022" t="s">
        <v>97</v>
      </c>
      <c r="B363" s="2023"/>
      <c r="C363" s="2023"/>
      <c r="D363" s="2023"/>
      <c r="E363" s="2023"/>
      <c r="F363" s="2023"/>
      <c r="G363" s="2023"/>
      <c r="H363" s="2030"/>
    </row>
    <row r="364" spans="1:8" ht="24.95" customHeight="1">
      <c r="A364" s="2034"/>
      <c r="B364" s="2035"/>
      <c r="C364" s="2035"/>
      <c r="D364" s="2035"/>
      <c r="E364" s="2035"/>
      <c r="F364" s="2035"/>
      <c r="G364" s="2035"/>
      <c r="H364" s="2036"/>
    </row>
    <row r="365" spans="1:8" ht="24.95" customHeight="1">
      <c r="A365" s="53" t="s">
        <v>47</v>
      </c>
      <c r="B365" s="53" t="s">
        <v>210</v>
      </c>
      <c r="C365" s="53"/>
      <c r="D365" s="53"/>
      <c r="E365" s="53"/>
      <c r="F365" s="53"/>
      <c r="G365" s="53"/>
      <c r="H365" s="53"/>
    </row>
    <row r="366" spans="1:8" ht="24.95" customHeight="1">
      <c r="A366" s="2028" t="s">
        <v>50</v>
      </c>
      <c r="B366" s="2028"/>
      <c r="C366" s="54" t="s">
        <v>51</v>
      </c>
      <c r="D366" s="54" t="s">
        <v>52</v>
      </c>
      <c r="E366" s="54" t="s">
        <v>53</v>
      </c>
      <c r="F366" s="54" t="s">
        <v>54</v>
      </c>
      <c r="G366" s="54" t="s">
        <v>56</v>
      </c>
      <c r="H366" s="54" t="s">
        <v>57</v>
      </c>
    </row>
    <row r="367" spans="1:8" ht="24.95" customHeight="1">
      <c r="A367" s="2037" t="s">
        <v>113</v>
      </c>
      <c r="B367" s="55" t="s">
        <v>58</v>
      </c>
      <c r="C367" s="55" t="s">
        <v>200</v>
      </c>
      <c r="D367" s="56" t="s">
        <v>60</v>
      </c>
      <c r="E367" s="57">
        <v>1</v>
      </c>
      <c r="F367" s="58">
        <v>2.7772800000000002</v>
      </c>
      <c r="G367" s="58">
        <f t="shared" ref="G367:G375" si="13">F367*E367</f>
        <v>2.7772800000000002</v>
      </c>
      <c r="H367" s="59"/>
    </row>
    <row r="368" spans="1:8" ht="24.95" customHeight="1">
      <c r="A368" s="2038"/>
      <c r="B368" s="61" t="s">
        <v>115</v>
      </c>
      <c r="C368" s="61" t="s">
        <v>201</v>
      </c>
      <c r="D368" s="62" t="s">
        <v>60</v>
      </c>
      <c r="E368" s="63">
        <v>1</v>
      </c>
      <c r="F368" s="64">
        <v>0.29982000000000003</v>
      </c>
      <c r="G368" s="64">
        <f t="shared" si="13"/>
        <v>0.29982000000000003</v>
      </c>
      <c r="H368" s="65"/>
    </row>
    <row r="369" spans="1:8" ht="24.95" customHeight="1">
      <c r="A369" s="2038"/>
      <c r="B369" s="61" t="s">
        <v>117</v>
      </c>
      <c r="C369" s="61" t="s">
        <v>186</v>
      </c>
      <c r="D369" s="62" t="s">
        <v>60</v>
      </c>
      <c r="E369" s="63">
        <v>4</v>
      </c>
      <c r="F369" s="64">
        <v>1.3570800000000001</v>
      </c>
      <c r="G369" s="64">
        <f t="shared" si="13"/>
        <v>5.4283200000000003</v>
      </c>
      <c r="H369" s="65"/>
    </row>
    <row r="370" spans="1:8" ht="24.95" customHeight="1">
      <c r="A370" s="2038"/>
      <c r="B370" s="61" t="s">
        <v>119</v>
      </c>
      <c r="C370" s="61" t="s">
        <v>187</v>
      </c>
      <c r="D370" s="62" t="s">
        <v>60</v>
      </c>
      <c r="E370" s="63">
        <v>2</v>
      </c>
      <c r="F370" s="64">
        <v>0.69432000000000005</v>
      </c>
      <c r="G370" s="64">
        <f t="shared" si="13"/>
        <v>1.3886400000000001</v>
      </c>
      <c r="H370" s="65"/>
    </row>
    <row r="371" spans="1:8" ht="24.95" customHeight="1">
      <c r="A371" s="2038"/>
      <c r="B371" s="61" t="s">
        <v>121</v>
      </c>
      <c r="C371" s="61" t="s">
        <v>188</v>
      </c>
      <c r="D371" s="62" t="s">
        <v>60</v>
      </c>
      <c r="E371" s="63">
        <v>2</v>
      </c>
      <c r="F371" s="64">
        <v>0.79688999999999999</v>
      </c>
      <c r="G371" s="64">
        <f t="shared" si="13"/>
        <v>1.59378</v>
      </c>
      <c r="H371" s="65"/>
    </row>
    <row r="372" spans="1:8" ht="24.95" customHeight="1">
      <c r="A372" s="2038"/>
      <c r="B372" s="61" t="s">
        <v>113</v>
      </c>
      <c r="C372" s="61" t="s">
        <v>209</v>
      </c>
      <c r="D372" s="62" t="s">
        <v>60</v>
      </c>
      <c r="E372" s="63">
        <v>2</v>
      </c>
      <c r="F372" s="64">
        <v>12.718680000000001</v>
      </c>
      <c r="G372" s="64">
        <f t="shared" si="13"/>
        <v>25.437360000000002</v>
      </c>
      <c r="H372" s="65"/>
    </row>
    <row r="373" spans="1:8" ht="24.95" customHeight="1">
      <c r="A373" s="2038"/>
      <c r="B373" s="61" t="s">
        <v>124</v>
      </c>
      <c r="C373" s="61" t="s">
        <v>190</v>
      </c>
      <c r="D373" s="62" t="s">
        <v>60</v>
      </c>
      <c r="E373" s="66">
        <v>2</v>
      </c>
      <c r="F373" s="64">
        <v>1.2466200000000001</v>
      </c>
      <c r="G373" s="64">
        <f t="shared" si="13"/>
        <v>2.4932400000000001</v>
      </c>
      <c r="H373" s="65"/>
    </row>
    <row r="374" spans="1:8" ht="24.95" customHeight="1">
      <c r="A374" s="2038"/>
      <c r="B374" s="61" t="s">
        <v>78</v>
      </c>
      <c r="C374" s="61" t="s">
        <v>191</v>
      </c>
      <c r="D374" s="62" t="s">
        <v>60</v>
      </c>
      <c r="E374" s="63">
        <v>2</v>
      </c>
      <c r="F374" s="64">
        <v>5.5230000000000008E-2</v>
      </c>
      <c r="G374" s="64">
        <f t="shared" si="13"/>
        <v>0.11046000000000002</v>
      </c>
      <c r="H374" s="67"/>
    </row>
    <row r="375" spans="1:8" ht="24.95" customHeight="1">
      <c r="A375" s="2038"/>
      <c r="B375" s="61" t="s">
        <v>127</v>
      </c>
      <c r="C375" s="61" t="s">
        <v>128</v>
      </c>
      <c r="D375" s="62" t="s">
        <v>60</v>
      </c>
      <c r="E375" s="66">
        <v>4</v>
      </c>
      <c r="F375" s="64">
        <v>0.2</v>
      </c>
      <c r="G375" s="64">
        <f t="shared" si="13"/>
        <v>0.8</v>
      </c>
      <c r="H375" s="67"/>
    </row>
    <row r="376" spans="1:8" ht="24.95" customHeight="1">
      <c r="A376" s="2039"/>
      <c r="B376" s="61"/>
      <c r="C376" s="61"/>
      <c r="D376" s="61"/>
      <c r="E376" s="61"/>
      <c r="F376" s="61"/>
      <c r="G376" s="61"/>
      <c r="H376" s="67"/>
    </row>
    <row r="377" spans="1:8" ht="24.95" customHeight="1">
      <c r="A377" s="2025" t="s">
        <v>73</v>
      </c>
      <c r="B377" s="2026"/>
      <c r="C377" s="68"/>
      <c r="D377" s="69" t="s">
        <v>74</v>
      </c>
      <c r="E377" s="70">
        <v>1</v>
      </c>
      <c r="F377" s="68"/>
      <c r="G377" s="71">
        <f>SUM(G367:G375)</f>
        <v>40.328900000000004</v>
      </c>
      <c r="H377" s="72"/>
    </row>
    <row r="378" spans="1:8" ht="24.95" customHeight="1">
      <c r="A378" s="2040"/>
      <c r="B378" s="61" t="s">
        <v>129</v>
      </c>
      <c r="C378" s="61" t="s">
        <v>130</v>
      </c>
      <c r="D378" s="62" t="s">
        <v>60</v>
      </c>
      <c r="E378" s="66">
        <v>5</v>
      </c>
      <c r="F378" s="74">
        <v>0.35</v>
      </c>
      <c r="G378" s="80">
        <f>F378*E378</f>
        <v>1.75</v>
      </c>
      <c r="H378" s="67"/>
    </row>
    <row r="379" spans="1:8" ht="24.95" customHeight="1">
      <c r="A379" s="2038"/>
      <c r="B379" s="61" t="s">
        <v>86</v>
      </c>
      <c r="C379" s="61" t="s">
        <v>131</v>
      </c>
      <c r="D379" s="62" t="s">
        <v>60</v>
      </c>
      <c r="E379" s="81">
        <v>0.1</v>
      </c>
      <c r="F379" s="74"/>
      <c r="G379" s="74"/>
      <c r="H379" s="67"/>
    </row>
    <row r="380" spans="1:8" ht="24.95" customHeight="1">
      <c r="A380" s="2038"/>
      <c r="B380" s="61" t="s">
        <v>132</v>
      </c>
      <c r="C380" s="61"/>
      <c r="D380" s="62" t="s">
        <v>60</v>
      </c>
      <c r="E380" s="81">
        <v>0.2</v>
      </c>
      <c r="F380" s="61"/>
      <c r="G380" s="61"/>
      <c r="H380" s="67"/>
    </row>
    <row r="381" spans="1:8" ht="24.95" customHeight="1">
      <c r="A381" s="2038"/>
      <c r="B381" s="61" t="s">
        <v>90</v>
      </c>
      <c r="C381" s="61" t="s">
        <v>91</v>
      </c>
      <c r="D381" s="62" t="s">
        <v>92</v>
      </c>
      <c r="E381" s="75">
        <v>0.27</v>
      </c>
      <c r="F381" s="61"/>
      <c r="G381" s="61"/>
      <c r="H381" s="67"/>
    </row>
    <row r="382" spans="1:8" ht="24.95" customHeight="1">
      <c r="A382" s="2038"/>
      <c r="B382" s="61" t="s">
        <v>93</v>
      </c>
      <c r="C382" s="61"/>
      <c r="D382" s="62" t="s">
        <v>60</v>
      </c>
      <c r="E382" s="75">
        <v>0.30199999999999999</v>
      </c>
      <c r="F382" s="61"/>
      <c r="G382" s="61"/>
      <c r="H382" s="67"/>
    </row>
    <row r="383" spans="1:8" ht="24.95" customHeight="1">
      <c r="A383" s="2038"/>
      <c r="B383" s="61" t="s">
        <v>94</v>
      </c>
      <c r="C383" s="61" t="s">
        <v>95</v>
      </c>
      <c r="D383" s="62" t="s">
        <v>60</v>
      </c>
      <c r="E383" s="75">
        <v>0.112</v>
      </c>
      <c r="F383" s="61"/>
      <c r="G383" s="61"/>
      <c r="H383" s="67"/>
    </row>
    <row r="384" spans="1:8" ht="24.95" customHeight="1">
      <c r="A384" s="2038"/>
      <c r="B384" s="61"/>
      <c r="C384" s="61"/>
      <c r="D384" s="62"/>
      <c r="E384" s="75"/>
      <c r="F384" s="61"/>
      <c r="G384" s="61"/>
      <c r="H384" s="67"/>
    </row>
    <row r="385" spans="1:8" ht="24.95" customHeight="1">
      <c r="A385" s="2038"/>
      <c r="B385" s="61"/>
      <c r="C385" s="61"/>
      <c r="D385" s="62"/>
      <c r="E385" s="75"/>
      <c r="F385" s="61"/>
      <c r="G385" s="61"/>
      <c r="H385" s="67"/>
    </row>
    <row r="386" spans="1:8" ht="24.95" customHeight="1">
      <c r="A386" s="2038"/>
      <c r="B386" s="61"/>
      <c r="C386" s="61"/>
      <c r="D386" s="62"/>
      <c r="E386" s="75"/>
      <c r="F386" s="61"/>
      <c r="G386" s="61"/>
      <c r="H386" s="67"/>
    </row>
    <row r="387" spans="1:8" ht="24.95" customHeight="1">
      <c r="A387" s="2025" t="s">
        <v>73</v>
      </c>
      <c r="B387" s="2026"/>
      <c r="C387" s="68"/>
      <c r="D387" s="69" t="s">
        <v>74</v>
      </c>
      <c r="E387" s="70">
        <v>1</v>
      </c>
      <c r="F387" s="68"/>
      <c r="G387" s="71">
        <f>SUM(G378:G385)</f>
        <v>1.75</v>
      </c>
      <c r="H387" s="72"/>
    </row>
    <row r="388" spans="1:8" ht="24.95" customHeight="1">
      <c r="A388" s="82"/>
      <c r="B388" s="61"/>
      <c r="C388" s="61"/>
      <c r="D388" s="61"/>
      <c r="E388" s="61"/>
      <c r="F388" s="61"/>
      <c r="G388" s="61"/>
      <c r="H388" s="67"/>
    </row>
    <row r="389" spans="1:8" ht="24.95" customHeight="1">
      <c r="A389" s="83"/>
      <c r="B389" s="61"/>
      <c r="C389" s="61"/>
      <c r="D389" s="61"/>
      <c r="E389" s="61"/>
      <c r="F389" s="61"/>
      <c r="G389" s="61"/>
      <c r="H389" s="67"/>
    </row>
    <row r="390" spans="1:8" ht="24.95" customHeight="1">
      <c r="A390" s="2020" t="s">
        <v>96</v>
      </c>
      <c r="B390" s="2021"/>
      <c r="C390" s="76"/>
      <c r="D390" s="76"/>
      <c r="E390" s="76"/>
      <c r="F390" s="76"/>
      <c r="G390" s="77">
        <f>G377+G387</f>
        <v>42.078900000000004</v>
      </c>
      <c r="H390" s="78"/>
    </row>
    <row r="391" spans="1:8" ht="24.95" customHeight="1">
      <c r="A391" s="2022" t="s">
        <v>97</v>
      </c>
      <c r="B391" s="2023"/>
      <c r="C391" s="2023"/>
      <c r="D391" s="2023"/>
      <c r="E391" s="2023"/>
      <c r="F391" s="2023"/>
      <c r="G391" s="2023"/>
      <c r="H391" s="2030"/>
    </row>
    <row r="392" spans="1:8" ht="24.95" customHeight="1">
      <c r="A392" s="2034"/>
      <c r="B392" s="2035"/>
      <c r="C392" s="2035"/>
      <c r="D392" s="2035"/>
      <c r="E392" s="2035"/>
      <c r="F392" s="2035"/>
      <c r="G392" s="2035"/>
      <c r="H392" s="2036"/>
    </row>
  </sheetData>
  <mergeCells count="127">
    <mergeCell ref="A295:A302"/>
    <mergeCell ref="A303:B303"/>
    <mergeCell ref="A294:B294"/>
    <mergeCell ref="A335:B335"/>
    <mergeCell ref="C335:H335"/>
    <mergeCell ref="A306:B306"/>
    <mergeCell ref="A307:B307"/>
    <mergeCell ref="C307:H307"/>
    <mergeCell ref="A308:H308"/>
    <mergeCell ref="A310:B310"/>
    <mergeCell ref="A311:A320"/>
    <mergeCell ref="A321:B321"/>
    <mergeCell ref="A322:A330"/>
    <mergeCell ref="A331:B331"/>
    <mergeCell ref="A334:B334"/>
    <mergeCell ref="A336:H336"/>
    <mergeCell ref="A338:B338"/>
    <mergeCell ref="A364:H364"/>
    <mergeCell ref="A339:A348"/>
    <mergeCell ref="A349:B349"/>
    <mergeCell ref="A350:A358"/>
    <mergeCell ref="A359:B359"/>
    <mergeCell ref="A362:B362"/>
    <mergeCell ref="A392:H392"/>
    <mergeCell ref="A377:B377"/>
    <mergeCell ref="A378:A386"/>
    <mergeCell ref="A387:B387"/>
    <mergeCell ref="A390:B390"/>
    <mergeCell ref="A363:B363"/>
    <mergeCell ref="C363:H363"/>
    <mergeCell ref="A366:B366"/>
    <mergeCell ref="A367:A376"/>
    <mergeCell ref="A391:B391"/>
    <mergeCell ref="C391:H391"/>
    <mergeCell ref="A252:B252"/>
    <mergeCell ref="C252:H252"/>
    <mergeCell ref="A253:H253"/>
    <mergeCell ref="A255:B255"/>
    <mergeCell ref="A256:A265"/>
    <mergeCell ref="A281:H281"/>
    <mergeCell ref="A283:B283"/>
    <mergeCell ref="A284:A293"/>
    <mergeCell ref="A266:B266"/>
    <mergeCell ref="A267:A275"/>
    <mergeCell ref="A276:B276"/>
    <mergeCell ref="A279:B279"/>
    <mergeCell ref="C280:H280"/>
    <mergeCell ref="A280:B280"/>
    <mergeCell ref="A228:A237"/>
    <mergeCell ref="A238:B238"/>
    <mergeCell ref="A169:H169"/>
    <mergeCell ref="A182:B182"/>
    <mergeCell ref="C224:H224"/>
    <mergeCell ref="A195:B195"/>
    <mergeCell ref="A196:B196"/>
    <mergeCell ref="C196:H196"/>
    <mergeCell ref="A251:B251"/>
    <mergeCell ref="A239:A247"/>
    <mergeCell ref="A248:B248"/>
    <mergeCell ref="A224:B224"/>
    <mergeCell ref="A171:B171"/>
    <mergeCell ref="A172:A181"/>
    <mergeCell ref="A211:A219"/>
    <mergeCell ref="A199:B199"/>
    <mergeCell ref="A200:A209"/>
    <mergeCell ref="A183:A191"/>
    <mergeCell ref="A225:H225"/>
    <mergeCell ref="A227:B227"/>
    <mergeCell ref="A192:B192"/>
    <mergeCell ref="A210:B210"/>
    <mergeCell ref="A99:A107"/>
    <mergeCell ref="A127:A135"/>
    <mergeCell ref="A136:B136"/>
    <mergeCell ref="A154:B154"/>
    <mergeCell ref="A155:A163"/>
    <mergeCell ref="A197:H197"/>
    <mergeCell ref="A220:B220"/>
    <mergeCell ref="A223:B223"/>
    <mergeCell ref="A126:B126"/>
    <mergeCell ref="A112:B112"/>
    <mergeCell ref="A116:A125"/>
    <mergeCell ref="C168:H168"/>
    <mergeCell ref="A139:B139"/>
    <mergeCell ref="A140:B140"/>
    <mergeCell ref="C140:H140"/>
    <mergeCell ref="A141:H141"/>
    <mergeCell ref="A143:B143"/>
    <mergeCell ref="A144:A153"/>
    <mergeCell ref="A164:B164"/>
    <mergeCell ref="A167:B167"/>
    <mergeCell ref="A168:B168"/>
    <mergeCell ref="A115:B115"/>
    <mergeCell ref="C112:H112"/>
    <mergeCell ref="A113:H113"/>
    <mergeCell ref="A108:B108"/>
    <mergeCell ref="A111:B111"/>
    <mergeCell ref="A88:A97"/>
    <mergeCell ref="A15:A23"/>
    <mergeCell ref="A24:B24"/>
    <mergeCell ref="A59:B59"/>
    <mergeCell ref="A60:A69"/>
    <mergeCell ref="A85:H85"/>
    <mergeCell ref="A87:B87"/>
    <mergeCell ref="A52:B52"/>
    <mergeCell ref="A55:B55"/>
    <mergeCell ref="A56:B56"/>
    <mergeCell ref="A57:H57"/>
    <mergeCell ref="C56:H56"/>
    <mergeCell ref="A70:B70"/>
    <mergeCell ref="A71:A79"/>
    <mergeCell ref="A32:A41"/>
    <mergeCell ref="A43:A51"/>
    <mergeCell ref="A42:B42"/>
    <mergeCell ref="A83:B83"/>
    <mergeCell ref="A84:B84"/>
    <mergeCell ref="C84:H84"/>
    <mergeCell ref="A98:B98"/>
    <mergeCell ref="A80:B80"/>
    <mergeCell ref="A1:H1"/>
    <mergeCell ref="A3:B3"/>
    <mergeCell ref="A4:A13"/>
    <mergeCell ref="A14:B14"/>
    <mergeCell ref="A27:B27"/>
    <mergeCell ref="A28:B28"/>
    <mergeCell ref="C28:H28"/>
    <mergeCell ref="A29:H29"/>
    <mergeCell ref="A31:B31"/>
  </mergeCells>
  <phoneticPr fontId="3" type="noConversion"/>
  <printOptions horizontalCentered="1"/>
  <pageMargins left="0.43307086614173229" right="0.39370078740157483" top="0.98425196850393704" bottom="0.98425196850393704" header="0.51181102362204722" footer="0.51181102362204722"/>
  <pageSetup paperSize="9" orientation="portrait" r:id="rId1"/>
  <headerFooter alignWithMargins="0"/>
  <rowBreaks count="1" manualBreakCount="1">
    <brk id="281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E35"/>
  <sheetViews>
    <sheetView zoomScale="85" zoomScaleNormal="85" workbookViewId="0">
      <selection activeCell="D8" sqref="D8:E8"/>
    </sheetView>
  </sheetViews>
  <sheetFormatPr defaultColWidth="8.88671875" defaultRowHeight="13.5"/>
  <cols>
    <col min="1" max="1" width="17.33203125" style="96" customWidth="1"/>
    <col min="2" max="2" width="12.77734375" style="96" customWidth="1"/>
    <col min="3" max="3" width="12.77734375" style="103" customWidth="1"/>
    <col min="4" max="5" width="12.77734375" style="96" customWidth="1"/>
    <col min="6" max="16384" width="8.88671875" style="96"/>
  </cols>
  <sheetData>
    <row r="1" spans="1:5" ht="42" customHeight="1">
      <c r="A1" s="2053" t="s">
        <v>211</v>
      </c>
      <c r="B1" s="2053"/>
      <c r="C1" s="2053"/>
      <c r="D1" s="2053"/>
      <c r="E1" s="2053"/>
    </row>
    <row r="2" spans="1:5">
      <c r="A2" s="97"/>
      <c r="B2" s="97"/>
      <c r="C2" s="97"/>
      <c r="D2" s="97"/>
      <c r="E2" s="97"/>
    </row>
    <row r="3" spans="1:5" ht="20.100000000000001" customHeight="1">
      <c r="A3" s="2054" t="s">
        <v>212</v>
      </c>
      <c r="B3" s="2054" t="s">
        <v>213</v>
      </c>
      <c r="C3" s="2055" t="s">
        <v>214</v>
      </c>
      <c r="D3" s="2055"/>
      <c r="E3" s="2055"/>
    </row>
    <row r="4" spans="1:5" ht="20.100000000000001" customHeight="1">
      <c r="A4" s="2054"/>
      <c r="B4" s="2054"/>
      <c r="C4" s="99" t="s">
        <v>215</v>
      </c>
      <c r="D4" s="98" t="s">
        <v>216</v>
      </c>
      <c r="E4" s="98" t="s">
        <v>217</v>
      </c>
    </row>
    <row r="5" spans="1:5" ht="20.100000000000001" customHeight="1">
      <c r="A5" s="100" t="s">
        <v>218</v>
      </c>
      <c r="B5" s="101">
        <v>2.5</v>
      </c>
      <c r="C5" s="102">
        <v>280</v>
      </c>
      <c r="D5" s="101">
        <v>1240</v>
      </c>
      <c r="E5" s="101">
        <v>280</v>
      </c>
    </row>
    <row r="6" spans="1:5" ht="20.100000000000001" customHeight="1">
      <c r="A6" s="100" t="s">
        <v>219</v>
      </c>
      <c r="B6" s="101">
        <v>2.5</v>
      </c>
      <c r="C6" s="102">
        <v>300</v>
      </c>
      <c r="D6" s="101">
        <v>1240</v>
      </c>
      <c r="E6" s="101">
        <v>280</v>
      </c>
    </row>
    <row r="7" spans="1:5" ht="20.100000000000001" customHeight="1">
      <c r="A7" s="100" t="s">
        <v>220</v>
      </c>
      <c r="B7" s="101">
        <v>2.9</v>
      </c>
      <c r="C7" s="102">
        <v>420</v>
      </c>
      <c r="D7" s="101">
        <v>1600</v>
      </c>
      <c r="E7" s="101">
        <v>280</v>
      </c>
    </row>
    <row r="8" spans="1:5" ht="20.100000000000001" customHeight="1">
      <c r="A8" s="100" t="s">
        <v>221</v>
      </c>
      <c r="B8" s="101">
        <v>3.4</v>
      </c>
      <c r="C8" s="102">
        <v>550</v>
      </c>
      <c r="D8" s="101">
        <v>1680</v>
      </c>
      <c r="E8" s="101">
        <v>340</v>
      </c>
    </row>
    <row r="9" spans="1:5" ht="20.100000000000001" customHeight="1">
      <c r="A9" s="100" t="s">
        <v>222</v>
      </c>
      <c r="B9" s="101">
        <v>3.9</v>
      </c>
      <c r="C9" s="102">
        <v>620</v>
      </c>
      <c r="D9" s="101">
        <v>2180</v>
      </c>
      <c r="E9" s="101">
        <v>340</v>
      </c>
    </row>
    <row r="10" spans="1:5" ht="20.100000000000001" customHeight="1">
      <c r="A10" s="100" t="s">
        <v>223</v>
      </c>
      <c r="B10" s="101">
        <v>6.2</v>
      </c>
      <c r="C10" s="102">
        <v>860</v>
      </c>
      <c r="D10" s="101">
        <v>3520</v>
      </c>
      <c r="E10" s="101">
        <v>460</v>
      </c>
    </row>
    <row r="11" spans="1:5" ht="20.100000000000001" customHeight="1">
      <c r="A11" s="100" t="s">
        <v>224</v>
      </c>
      <c r="B11" s="101">
        <v>13.5</v>
      </c>
      <c r="C11" s="102">
        <v>2000</v>
      </c>
      <c r="D11" s="101">
        <v>7860</v>
      </c>
      <c r="E11" s="101">
        <v>980</v>
      </c>
    </row>
    <row r="12" spans="1:5" ht="20.100000000000001" customHeight="1">
      <c r="A12" s="100" t="s">
        <v>225</v>
      </c>
      <c r="B12" s="101">
        <v>2.5</v>
      </c>
      <c r="C12" s="102">
        <v>340</v>
      </c>
      <c r="D12" s="101">
        <v>1240</v>
      </c>
      <c r="E12" s="101">
        <v>280</v>
      </c>
    </row>
    <row r="13" spans="1:5" ht="20.100000000000001" customHeight="1">
      <c r="A13" s="100" t="s">
        <v>219</v>
      </c>
      <c r="B13" s="101">
        <v>2.6</v>
      </c>
      <c r="C13" s="102">
        <v>300</v>
      </c>
      <c r="D13" s="101">
        <v>1240</v>
      </c>
      <c r="E13" s="101">
        <v>280</v>
      </c>
    </row>
    <row r="14" spans="1:5" ht="20.100000000000001" customHeight="1">
      <c r="A14" s="100" t="s">
        <v>226</v>
      </c>
      <c r="B14" s="101">
        <v>2.9</v>
      </c>
      <c r="C14" s="102">
        <v>420</v>
      </c>
      <c r="D14" s="101">
        <v>1600</v>
      </c>
      <c r="E14" s="101">
        <v>280</v>
      </c>
    </row>
    <row r="15" spans="1:5" ht="20.100000000000001" customHeight="1">
      <c r="A15" s="100" t="s">
        <v>227</v>
      </c>
      <c r="B15" s="101">
        <v>2.6</v>
      </c>
      <c r="C15" s="102">
        <v>380</v>
      </c>
      <c r="D15" s="101">
        <v>1240</v>
      </c>
      <c r="E15" s="101">
        <v>280</v>
      </c>
    </row>
    <row r="16" spans="1:5" ht="20.100000000000001" customHeight="1">
      <c r="A16" s="100" t="s">
        <v>228</v>
      </c>
      <c r="B16" s="101">
        <v>2.9</v>
      </c>
      <c r="C16" s="102">
        <v>400</v>
      </c>
      <c r="D16" s="101">
        <v>1600</v>
      </c>
      <c r="E16" s="101">
        <v>280</v>
      </c>
    </row>
    <row r="17" spans="1:5" ht="20.100000000000001" customHeight="1">
      <c r="A17" s="100" t="s">
        <v>229</v>
      </c>
      <c r="B17" s="101">
        <v>3.6</v>
      </c>
      <c r="C17" s="102">
        <v>460</v>
      </c>
      <c r="D17" s="101">
        <v>1680</v>
      </c>
      <c r="E17" s="101">
        <v>340</v>
      </c>
    </row>
    <row r="18" spans="1:5" ht="20.100000000000001" customHeight="1">
      <c r="A18" s="100" t="s">
        <v>230</v>
      </c>
      <c r="B18" s="101">
        <v>3.9</v>
      </c>
      <c r="C18" s="102">
        <v>580</v>
      </c>
      <c r="D18" s="101">
        <v>2180</v>
      </c>
      <c r="E18" s="101">
        <v>340</v>
      </c>
    </row>
    <row r="19" spans="1:5" ht="20.100000000000001" customHeight="1">
      <c r="A19" s="100" t="s">
        <v>231</v>
      </c>
      <c r="B19" s="101">
        <v>3.8</v>
      </c>
      <c r="C19" s="102">
        <v>560</v>
      </c>
      <c r="D19" s="101">
        <v>2180</v>
      </c>
      <c r="E19" s="101">
        <v>340</v>
      </c>
    </row>
    <row r="20" spans="1:5" ht="20.100000000000001" customHeight="1">
      <c r="A20" s="100" t="s">
        <v>232</v>
      </c>
      <c r="B20" s="101">
        <v>11.1</v>
      </c>
      <c r="C20" s="102">
        <v>1560</v>
      </c>
      <c r="D20" s="101">
        <v>5960</v>
      </c>
      <c r="E20" s="101">
        <v>980</v>
      </c>
    </row>
    <row r="21" spans="1:5" ht="20.100000000000001" customHeight="1">
      <c r="A21" s="100" t="s">
        <v>233</v>
      </c>
      <c r="B21" s="101">
        <v>22</v>
      </c>
      <c r="C21" s="102">
        <v>3120</v>
      </c>
      <c r="D21" s="101">
        <v>11920</v>
      </c>
      <c r="E21" s="101">
        <v>1840</v>
      </c>
    </row>
    <row r="22" spans="1:5" ht="20.100000000000001" customHeight="1">
      <c r="A22" s="100" t="s">
        <v>234</v>
      </c>
      <c r="B22" s="101">
        <v>7</v>
      </c>
      <c r="C22" s="102">
        <v>1400</v>
      </c>
      <c r="D22" s="101">
        <v>3640</v>
      </c>
      <c r="E22" s="101">
        <v>500</v>
      </c>
    </row>
    <row r="23" spans="1:5" ht="20.100000000000001" customHeight="1">
      <c r="A23" s="100" t="s">
        <v>235</v>
      </c>
      <c r="B23" s="101">
        <v>7.7</v>
      </c>
      <c r="C23" s="102">
        <v>1660</v>
      </c>
      <c r="D23" s="101">
        <v>4060</v>
      </c>
      <c r="E23" s="101">
        <v>500</v>
      </c>
    </row>
    <row r="24" spans="1:5" ht="20.100000000000001" customHeight="1">
      <c r="A24" s="100" t="s">
        <v>236</v>
      </c>
      <c r="B24" s="101">
        <v>10.3</v>
      </c>
      <c r="C24" s="102">
        <v>1800</v>
      </c>
      <c r="D24" s="101">
        <v>5800</v>
      </c>
      <c r="E24" s="101">
        <v>600</v>
      </c>
    </row>
    <row r="25" spans="1:5" ht="20.100000000000001" customHeight="1">
      <c r="A25" s="100" t="s">
        <v>237</v>
      </c>
      <c r="B25" s="101">
        <v>22.6</v>
      </c>
      <c r="C25" s="102">
        <v>3740</v>
      </c>
      <c r="D25" s="101">
        <v>11680</v>
      </c>
      <c r="E25" s="101">
        <v>1840</v>
      </c>
    </row>
    <row r="26" spans="1:5" ht="20.100000000000001" customHeight="1">
      <c r="A26" s="100" t="s">
        <v>238</v>
      </c>
      <c r="B26" s="101">
        <v>26.9</v>
      </c>
      <c r="C26" s="102">
        <v>4960</v>
      </c>
      <c r="D26" s="101">
        <v>15380</v>
      </c>
      <c r="E26" s="101">
        <v>1840</v>
      </c>
    </row>
    <row r="27" spans="1:5" ht="20.100000000000001" customHeight="1">
      <c r="A27" s="100" t="s">
        <v>239</v>
      </c>
      <c r="B27" s="101">
        <v>3.6</v>
      </c>
      <c r="C27" s="102">
        <v>700</v>
      </c>
      <c r="D27" s="101">
        <v>2540</v>
      </c>
      <c r="E27" s="101">
        <v>340</v>
      </c>
    </row>
    <row r="28" spans="1:5" ht="20.100000000000001" customHeight="1">
      <c r="A28" s="100" t="s">
        <v>240</v>
      </c>
      <c r="B28" s="101">
        <v>4.5999999999999996</v>
      </c>
      <c r="C28" s="102">
        <v>740</v>
      </c>
      <c r="D28" s="101">
        <v>2540</v>
      </c>
      <c r="E28" s="101">
        <v>340</v>
      </c>
    </row>
    <row r="29" spans="1:5" ht="20.100000000000001" customHeight="1">
      <c r="A29" s="100" t="s">
        <v>241</v>
      </c>
      <c r="B29" s="101">
        <v>4.5999999999999996</v>
      </c>
      <c r="C29" s="102">
        <v>680</v>
      </c>
      <c r="D29" s="101">
        <v>2300</v>
      </c>
      <c r="E29" s="101">
        <v>340</v>
      </c>
    </row>
    <row r="30" spans="1:5" ht="20.100000000000001" customHeight="1">
      <c r="A30" s="100" t="s">
        <v>242</v>
      </c>
      <c r="B30" s="101">
        <v>4.5999999999999996</v>
      </c>
      <c r="C30" s="102">
        <v>720</v>
      </c>
      <c r="D30" s="101">
        <v>2540</v>
      </c>
      <c r="E30" s="101">
        <v>340</v>
      </c>
    </row>
    <row r="31" spans="1:5" ht="20.100000000000001" customHeight="1">
      <c r="A31" s="100" t="s">
        <v>243</v>
      </c>
      <c r="B31" s="101">
        <v>2.5</v>
      </c>
      <c r="C31" s="102">
        <v>340</v>
      </c>
      <c r="D31" s="101">
        <v>1240</v>
      </c>
      <c r="E31" s="101">
        <v>280</v>
      </c>
    </row>
    <row r="32" spans="1:5" ht="20.100000000000001" customHeight="1">
      <c r="A32" s="100" t="s">
        <v>244</v>
      </c>
      <c r="B32" s="101">
        <v>2.6</v>
      </c>
      <c r="C32" s="102">
        <v>300</v>
      </c>
      <c r="D32" s="101">
        <v>1240</v>
      </c>
      <c r="E32" s="101">
        <v>280</v>
      </c>
    </row>
    <row r="33" spans="1:5" ht="20.100000000000001" customHeight="1">
      <c r="A33" s="100" t="s">
        <v>245</v>
      </c>
      <c r="B33" s="101">
        <v>2.9</v>
      </c>
      <c r="C33" s="102">
        <v>420</v>
      </c>
      <c r="D33" s="101">
        <v>1600</v>
      </c>
      <c r="E33" s="101">
        <v>280</v>
      </c>
    </row>
    <row r="34" spans="1:5" ht="20.100000000000001" customHeight="1">
      <c r="A34" s="100" t="s">
        <v>246</v>
      </c>
      <c r="B34" s="101">
        <v>3.9</v>
      </c>
      <c r="C34" s="102">
        <v>640</v>
      </c>
      <c r="D34" s="101">
        <v>2180</v>
      </c>
      <c r="E34" s="101">
        <v>340</v>
      </c>
    </row>
    <row r="35" spans="1:5" ht="20.100000000000001" customHeight="1">
      <c r="A35" s="100" t="s">
        <v>247</v>
      </c>
      <c r="B35" s="101">
        <v>6.2</v>
      </c>
      <c r="C35" s="102">
        <v>860</v>
      </c>
      <c r="D35" s="101">
        <v>3520</v>
      </c>
      <c r="E35" s="101">
        <v>460</v>
      </c>
    </row>
  </sheetData>
  <mergeCells count="4">
    <mergeCell ref="A1:E1"/>
    <mergeCell ref="A3:A4"/>
    <mergeCell ref="B3:B4"/>
    <mergeCell ref="C3:E3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C6B25-CC13-4B6B-87CE-1EA87F1A4BB8}">
  <dimension ref="A1:Q130"/>
  <sheetViews>
    <sheetView showZeros="0" view="pageBreakPreview" topLeftCell="B1" zoomScale="85" zoomScaleNormal="90" zoomScaleSheetLayoutView="85" workbookViewId="0">
      <pane ySplit="3" topLeftCell="A4" activePane="bottomLeft" state="frozen"/>
      <selection sqref="A1:G1"/>
      <selection pane="bottomLeft" activeCell="J8" sqref="J8"/>
    </sheetView>
  </sheetViews>
  <sheetFormatPr defaultColWidth="8.88671875" defaultRowHeight="24" customHeight="1"/>
  <cols>
    <col min="1" max="1" width="3" style="139" hidden="1" customWidth="1"/>
    <col min="2" max="2" width="6" style="139" bestFit="1" customWidth="1"/>
    <col min="3" max="3" width="31.77734375" style="139" customWidth="1"/>
    <col min="4" max="4" width="56" style="135" bestFit="1" customWidth="1"/>
    <col min="5" max="5" width="7.21875" style="147" customWidth="1"/>
    <col min="6" max="6" width="5.77734375" style="136" customWidth="1"/>
    <col min="7" max="7" width="11.77734375" style="141" customWidth="1"/>
    <col min="8" max="14" width="11.77734375" style="107" customWidth="1"/>
    <col min="15" max="15" width="10.5546875" style="136" customWidth="1"/>
    <col min="16" max="16" width="20.44140625" style="135" customWidth="1"/>
    <col min="17" max="17" width="9.109375" style="135" bestFit="1" customWidth="1"/>
    <col min="18" max="16384" width="8.88671875" style="135"/>
  </cols>
  <sheetData>
    <row r="1" spans="1:17" ht="35.1" customHeight="1">
      <c r="B1" s="1245" t="s">
        <v>649</v>
      </c>
      <c r="C1" s="1245"/>
      <c r="D1" s="1245"/>
      <c r="E1" s="1245"/>
      <c r="F1" s="1245"/>
      <c r="G1" s="1245"/>
      <c r="H1" s="1245"/>
      <c r="I1" s="1245"/>
      <c r="J1" s="1245"/>
      <c r="K1" s="1245"/>
      <c r="L1" s="1245"/>
      <c r="M1" s="1245"/>
      <c r="N1" s="1245"/>
      <c r="O1" s="1245"/>
    </row>
    <row r="2" spans="1:17" ht="12.6" customHeight="1">
      <c r="B2" s="1246" t="s">
        <v>545</v>
      </c>
      <c r="C2" s="1246" t="s">
        <v>31</v>
      </c>
      <c r="D2" s="1246" t="s">
        <v>32</v>
      </c>
      <c r="E2" s="1248" t="s">
        <v>33</v>
      </c>
      <c r="F2" s="1248" t="s">
        <v>22</v>
      </c>
      <c r="G2" s="179" t="s">
        <v>23</v>
      </c>
      <c r="H2" s="180"/>
      <c r="I2" s="180" t="s">
        <v>24</v>
      </c>
      <c r="J2" s="180"/>
      <c r="K2" s="180" t="s">
        <v>25</v>
      </c>
      <c r="L2" s="180"/>
      <c r="M2" s="1250" t="s">
        <v>26</v>
      </c>
      <c r="N2" s="1250"/>
      <c r="O2" s="1251" t="s">
        <v>29</v>
      </c>
      <c r="P2" s="146"/>
    </row>
    <row r="3" spans="1:17" ht="12.6" customHeight="1">
      <c r="A3" s="110"/>
      <c r="B3" s="1247"/>
      <c r="C3" s="1247"/>
      <c r="D3" s="1247"/>
      <c r="E3" s="1249"/>
      <c r="F3" s="1249"/>
      <c r="G3" s="181" t="s">
        <v>27</v>
      </c>
      <c r="H3" s="182" t="s">
        <v>28</v>
      </c>
      <c r="I3" s="182" t="s">
        <v>27</v>
      </c>
      <c r="J3" s="182" t="s">
        <v>28</v>
      </c>
      <c r="K3" s="182" t="s">
        <v>27</v>
      </c>
      <c r="L3" s="182" t="s">
        <v>28</v>
      </c>
      <c r="M3" s="182" t="s">
        <v>27</v>
      </c>
      <c r="N3" s="182" t="s">
        <v>28</v>
      </c>
      <c r="O3" s="1251"/>
      <c r="P3" s="146"/>
    </row>
    <row r="4" spans="1:17" s="136" customFormat="1" ht="21.95" customHeight="1">
      <c r="A4" s="139">
        <v>1</v>
      </c>
      <c r="B4" s="337" t="s">
        <v>2776</v>
      </c>
      <c r="C4" s="983" t="s">
        <v>2842</v>
      </c>
      <c r="D4" s="983" t="s">
        <v>2843</v>
      </c>
      <c r="E4" s="983">
        <v>120</v>
      </c>
      <c r="F4" s="983" t="s">
        <v>659</v>
      </c>
      <c r="G4" s="983"/>
      <c r="H4" s="1094"/>
      <c r="I4" s="983"/>
      <c r="J4" s="1094"/>
      <c r="K4" s="983"/>
      <c r="L4" s="1094"/>
      <c r="M4" s="1094"/>
      <c r="N4" s="1094"/>
      <c r="O4" s="2"/>
      <c r="P4" s="206"/>
      <c r="Q4" s="206"/>
    </row>
    <row r="5" spans="1:17" s="136" customFormat="1" ht="21.95" customHeight="1">
      <c r="A5" s="139">
        <v>2</v>
      </c>
      <c r="B5" s="337" t="s">
        <v>2777</v>
      </c>
      <c r="C5" s="983" t="s">
        <v>2844</v>
      </c>
      <c r="D5" s="983" t="s">
        <v>2843</v>
      </c>
      <c r="E5" s="983">
        <v>120</v>
      </c>
      <c r="F5" s="983" t="s">
        <v>659</v>
      </c>
      <c r="G5" s="983"/>
      <c r="H5" s="1094"/>
      <c r="I5" s="983"/>
      <c r="J5" s="1094"/>
      <c r="K5" s="983"/>
      <c r="L5" s="1094"/>
      <c r="M5" s="1094"/>
      <c r="N5" s="1094"/>
      <c r="O5" s="2"/>
    </row>
    <row r="6" spans="1:17" s="136" customFormat="1" ht="21.95" customHeight="1">
      <c r="A6" s="139">
        <v>3</v>
      </c>
      <c r="B6" s="337" t="s">
        <v>2778</v>
      </c>
      <c r="C6" s="983" t="s">
        <v>2845</v>
      </c>
      <c r="D6" s="983" t="s">
        <v>2843</v>
      </c>
      <c r="E6" s="983">
        <v>42</v>
      </c>
      <c r="F6" s="983" t="s">
        <v>659</v>
      </c>
      <c r="G6" s="983"/>
      <c r="H6" s="1094"/>
      <c r="I6" s="983"/>
      <c r="J6" s="1094"/>
      <c r="K6" s="983"/>
      <c r="L6" s="1094"/>
      <c r="M6" s="1094"/>
      <c r="N6" s="1094"/>
      <c r="O6" s="2"/>
      <c r="P6" s="206"/>
      <c r="Q6" s="206"/>
    </row>
    <row r="7" spans="1:17" s="136" customFormat="1" ht="21.95" customHeight="1">
      <c r="A7" s="139">
        <v>4</v>
      </c>
      <c r="B7" s="337" t="s">
        <v>2779</v>
      </c>
      <c r="C7" s="983" t="s">
        <v>2846</v>
      </c>
      <c r="D7" s="983" t="s">
        <v>2847</v>
      </c>
      <c r="E7" s="983">
        <v>117</v>
      </c>
      <c r="F7" s="983" t="s">
        <v>45</v>
      </c>
      <c r="G7" s="983"/>
      <c r="H7" s="1094"/>
      <c r="I7" s="983"/>
      <c r="J7" s="1094"/>
      <c r="K7" s="983"/>
      <c r="L7" s="1094"/>
      <c r="M7" s="1094"/>
      <c r="N7" s="1094"/>
      <c r="O7" s="2"/>
      <c r="P7" s="206"/>
      <c r="Q7" s="206"/>
    </row>
    <row r="8" spans="1:17" s="136" customFormat="1" ht="21.95" customHeight="1">
      <c r="A8" s="139">
        <v>5</v>
      </c>
      <c r="B8" s="337" t="s">
        <v>2780</v>
      </c>
      <c r="C8" s="983" t="s">
        <v>2848</v>
      </c>
      <c r="D8" s="983" t="s">
        <v>2849</v>
      </c>
      <c r="E8" s="983">
        <v>184</v>
      </c>
      <c r="F8" s="983" t="s">
        <v>45</v>
      </c>
      <c r="G8" s="983"/>
      <c r="H8" s="1094"/>
      <c r="I8" s="983"/>
      <c r="J8" s="1094"/>
      <c r="K8" s="983"/>
      <c r="L8" s="1094"/>
      <c r="M8" s="1094"/>
      <c r="N8" s="1094"/>
      <c r="O8" s="2"/>
    </row>
    <row r="9" spans="1:17" s="136" customFormat="1" ht="21.95" customHeight="1">
      <c r="A9" s="139">
        <v>6</v>
      </c>
      <c r="B9" s="337" t="s">
        <v>2781</v>
      </c>
      <c r="C9" s="983" t="s">
        <v>2850</v>
      </c>
      <c r="D9" s="983" t="s">
        <v>2851</v>
      </c>
      <c r="E9" s="983">
        <v>48</v>
      </c>
      <c r="F9" s="983" t="s">
        <v>45</v>
      </c>
      <c r="G9" s="983"/>
      <c r="H9" s="1094"/>
      <c r="I9" s="983"/>
      <c r="J9" s="1094"/>
      <c r="K9" s="983"/>
      <c r="L9" s="1094"/>
      <c r="M9" s="1094"/>
      <c r="N9" s="1094"/>
      <c r="O9" s="2"/>
    </row>
    <row r="10" spans="1:17" s="136" customFormat="1" ht="21.95" customHeight="1">
      <c r="A10" s="139">
        <v>7</v>
      </c>
      <c r="B10" s="337" t="s">
        <v>2782</v>
      </c>
      <c r="C10" s="983" t="s">
        <v>2852</v>
      </c>
      <c r="D10" s="983" t="s">
        <v>2853</v>
      </c>
      <c r="E10" s="983">
        <v>187</v>
      </c>
      <c r="F10" s="983" t="s">
        <v>45</v>
      </c>
      <c r="G10" s="983"/>
      <c r="H10" s="1094"/>
      <c r="I10" s="983"/>
      <c r="J10" s="1094"/>
      <c r="K10" s="983"/>
      <c r="L10" s="1094"/>
      <c r="M10" s="1094"/>
      <c r="N10" s="1094"/>
      <c r="O10" s="2"/>
    </row>
    <row r="11" spans="1:17" s="136" customFormat="1" ht="21.95" customHeight="1">
      <c r="A11" s="139">
        <v>8</v>
      </c>
      <c r="B11" s="337" t="s">
        <v>2783</v>
      </c>
      <c r="C11" s="983" t="s">
        <v>2854</v>
      </c>
      <c r="D11" s="983" t="s">
        <v>2855</v>
      </c>
      <c r="E11" s="983">
        <v>69</v>
      </c>
      <c r="F11" s="983" t="s">
        <v>45</v>
      </c>
      <c r="G11" s="983"/>
      <c r="H11" s="1094"/>
      <c r="I11" s="983"/>
      <c r="J11" s="1094"/>
      <c r="K11" s="983"/>
      <c r="L11" s="1094"/>
      <c r="M11" s="1094"/>
      <c r="N11" s="1094"/>
      <c r="O11" s="2"/>
    </row>
    <row r="12" spans="1:17" s="136" customFormat="1" ht="21.95" customHeight="1">
      <c r="A12" s="139">
        <v>9</v>
      </c>
      <c r="B12" s="337" t="s">
        <v>2784</v>
      </c>
      <c r="C12" s="983" t="s">
        <v>2856</v>
      </c>
      <c r="D12" s="983" t="s">
        <v>2857</v>
      </c>
      <c r="E12" s="983">
        <v>301</v>
      </c>
      <c r="F12" s="983" t="s">
        <v>45</v>
      </c>
      <c r="G12" s="983"/>
      <c r="H12" s="1094"/>
      <c r="I12" s="983"/>
      <c r="J12" s="1094"/>
      <c r="K12" s="983"/>
      <c r="L12" s="1094"/>
      <c r="M12" s="1094"/>
      <c r="N12" s="1094"/>
      <c r="O12" s="2"/>
    </row>
    <row r="13" spans="1:17" s="136" customFormat="1" ht="21.95" hidden="1" customHeight="1">
      <c r="A13" s="139">
        <v>10</v>
      </c>
      <c r="B13" s="337" t="s">
        <v>2785</v>
      </c>
      <c r="C13" s="983" t="s">
        <v>2858</v>
      </c>
      <c r="D13" s="983" t="s">
        <v>2859</v>
      </c>
      <c r="E13" s="983"/>
      <c r="F13" s="983" t="s">
        <v>45</v>
      </c>
      <c r="G13" s="983"/>
      <c r="H13" s="1094"/>
      <c r="I13" s="983"/>
      <c r="J13" s="1094"/>
      <c r="K13" s="983"/>
      <c r="L13" s="1094"/>
      <c r="M13" s="1094"/>
      <c r="N13" s="1094"/>
      <c r="O13" s="2"/>
    </row>
    <row r="14" spans="1:17" s="136" customFormat="1" ht="21.95" hidden="1" customHeight="1">
      <c r="A14" s="139">
        <v>11</v>
      </c>
      <c r="B14" s="337" t="s">
        <v>2786</v>
      </c>
      <c r="C14" s="983" t="s">
        <v>2860</v>
      </c>
      <c r="D14" s="983" t="s">
        <v>2861</v>
      </c>
      <c r="E14" s="983">
        <v>0</v>
      </c>
      <c r="F14" s="983" t="s">
        <v>45</v>
      </c>
      <c r="G14" s="983"/>
      <c r="H14" s="1094"/>
      <c r="I14" s="983"/>
      <c r="J14" s="1094"/>
      <c r="K14" s="983"/>
      <c r="L14" s="1094"/>
      <c r="M14" s="1094"/>
      <c r="N14" s="1094"/>
      <c r="O14" s="2"/>
      <c r="P14" s="206"/>
      <c r="Q14" s="206"/>
    </row>
    <row r="15" spans="1:17" s="136" customFormat="1" ht="21.95" customHeight="1">
      <c r="A15" s="139">
        <v>12</v>
      </c>
      <c r="B15" s="337" t="s">
        <v>2787</v>
      </c>
      <c r="C15" s="983" t="s">
        <v>2862</v>
      </c>
      <c r="D15" s="983" t="s">
        <v>2863</v>
      </c>
      <c r="E15" s="983">
        <v>5</v>
      </c>
      <c r="F15" s="983" t="s">
        <v>712</v>
      </c>
      <c r="G15" s="983"/>
      <c r="H15" s="1094"/>
      <c r="I15" s="983"/>
      <c r="J15" s="1094"/>
      <c r="K15" s="983"/>
      <c r="L15" s="1094"/>
      <c r="M15" s="1094"/>
      <c r="N15" s="1094"/>
      <c r="O15" s="2"/>
    </row>
    <row r="16" spans="1:17" s="136" customFormat="1" ht="21.95" customHeight="1">
      <c r="A16" s="139">
        <v>13</v>
      </c>
      <c r="B16" s="337" t="s">
        <v>2788</v>
      </c>
      <c r="C16" s="983" t="s">
        <v>2864</v>
      </c>
      <c r="D16" s="983" t="s">
        <v>2865</v>
      </c>
      <c r="E16" s="983">
        <v>5</v>
      </c>
      <c r="F16" s="983" t="s">
        <v>712</v>
      </c>
      <c r="G16" s="983"/>
      <c r="H16" s="1094"/>
      <c r="I16" s="983"/>
      <c r="J16" s="1094"/>
      <c r="K16" s="983"/>
      <c r="L16" s="1094"/>
      <c r="M16" s="1094"/>
      <c r="N16" s="1094"/>
      <c r="O16" s="2"/>
    </row>
    <row r="17" spans="1:17" s="136" customFormat="1" ht="21.95" hidden="1" customHeight="1">
      <c r="A17" s="139">
        <v>14</v>
      </c>
      <c r="B17" s="337" t="s">
        <v>2789</v>
      </c>
      <c r="C17" s="983" t="s">
        <v>2866</v>
      </c>
      <c r="D17" s="983" t="s">
        <v>2867</v>
      </c>
      <c r="E17" s="983"/>
      <c r="F17" s="983" t="s">
        <v>2490</v>
      </c>
      <c r="G17" s="983"/>
      <c r="H17" s="1094"/>
      <c r="I17" s="983"/>
      <c r="J17" s="1094"/>
      <c r="K17" s="983"/>
      <c r="L17" s="1094"/>
      <c r="M17" s="1094"/>
      <c r="N17" s="1094"/>
      <c r="O17" s="2"/>
    </row>
    <row r="18" spans="1:17" s="136" customFormat="1" ht="21.95" hidden="1" customHeight="1">
      <c r="A18" s="139">
        <v>15</v>
      </c>
      <c r="B18" s="337" t="s">
        <v>2790</v>
      </c>
      <c r="C18" s="983" t="s">
        <v>2868</v>
      </c>
      <c r="D18" s="983" t="s">
        <v>2867</v>
      </c>
      <c r="E18" s="983"/>
      <c r="F18" s="983" t="s">
        <v>2490</v>
      </c>
      <c r="G18" s="983"/>
      <c r="H18" s="1094"/>
      <c r="I18" s="983"/>
      <c r="J18" s="1094"/>
      <c r="K18" s="983"/>
      <c r="L18" s="1094"/>
      <c r="M18" s="1094"/>
      <c r="N18" s="1094"/>
      <c r="O18" s="2"/>
    </row>
    <row r="19" spans="1:17" s="136" customFormat="1" ht="21.95" hidden="1" customHeight="1">
      <c r="A19" s="139">
        <v>16</v>
      </c>
      <c r="B19" s="337" t="s">
        <v>2791</v>
      </c>
      <c r="C19" s="983" t="s">
        <v>2869</v>
      </c>
      <c r="D19" s="983" t="s">
        <v>2870</v>
      </c>
      <c r="E19" s="983"/>
      <c r="F19" s="983" t="s">
        <v>2490</v>
      </c>
      <c r="G19" s="983"/>
      <c r="H19" s="1094"/>
      <c r="I19" s="983"/>
      <c r="J19" s="1094"/>
      <c r="K19" s="983"/>
      <c r="L19" s="1094"/>
      <c r="M19" s="1094"/>
      <c r="N19" s="1094"/>
      <c r="O19" s="2"/>
    </row>
    <row r="20" spans="1:17" s="136" customFormat="1" ht="21.95" hidden="1" customHeight="1">
      <c r="A20" s="139">
        <v>17</v>
      </c>
      <c r="B20" s="337" t="s">
        <v>2792</v>
      </c>
      <c r="C20" s="983" t="s">
        <v>2871</v>
      </c>
      <c r="D20" s="983" t="s">
        <v>2865</v>
      </c>
      <c r="E20" s="983"/>
      <c r="F20" s="983" t="s">
        <v>2490</v>
      </c>
      <c r="G20" s="983"/>
      <c r="H20" s="1094"/>
      <c r="I20" s="983"/>
      <c r="J20" s="1094"/>
      <c r="K20" s="983"/>
      <c r="L20" s="1094"/>
      <c r="M20" s="1094"/>
      <c r="N20" s="1094"/>
      <c r="O20" s="2"/>
    </row>
    <row r="21" spans="1:17" s="136" customFormat="1" ht="21.95" hidden="1" customHeight="1">
      <c r="A21" s="139">
        <v>18</v>
      </c>
      <c r="B21" s="337" t="s">
        <v>2793</v>
      </c>
      <c r="C21" s="983" t="s">
        <v>2872</v>
      </c>
      <c r="D21" s="983">
        <v>0</v>
      </c>
      <c r="E21" s="983"/>
      <c r="F21" s="983" t="s">
        <v>55</v>
      </c>
      <c r="G21" s="983"/>
      <c r="H21" s="1094"/>
      <c r="I21" s="983"/>
      <c r="J21" s="1094"/>
      <c r="K21" s="983"/>
      <c r="L21" s="1094"/>
      <c r="M21" s="1094"/>
      <c r="N21" s="1094"/>
      <c r="O21" s="2"/>
    </row>
    <row r="22" spans="1:17" s="136" customFormat="1" ht="21.95" hidden="1" customHeight="1">
      <c r="A22" s="139">
        <v>19</v>
      </c>
      <c r="B22" s="337" t="s">
        <v>2794</v>
      </c>
      <c r="C22" s="983" t="s">
        <v>2873</v>
      </c>
      <c r="D22" s="983" t="s">
        <v>2874</v>
      </c>
      <c r="E22" s="983"/>
      <c r="F22" s="983" t="s">
        <v>627</v>
      </c>
      <c r="G22" s="983"/>
      <c r="H22" s="1094"/>
      <c r="I22" s="983"/>
      <c r="J22" s="1094"/>
      <c r="K22" s="983"/>
      <c r="L22" s="1094"/>
      <c r="M22" s="1094"/>
      <c r="N22" s="1094"/>
      <c r="O22" s="2"/>
    </row>
    <row r="23" spans="1:17" s="136" customFormat="1" ht="21.95" hidden="1" customHeight="1">
      <c r="A23" s="139">
        <v>20</v>
      </c>
      <c r="B23" s="337" t="s">
        <v>2795</v>
      </c>
      <c r="C23" s="983" t="s">
        <v>2875</v>
      </c>
      <c r="D23" s="983" t="s">
        <v>2876</v>
      </c>
      <c r="E23" s="983"/>
      <c r="F23" s="983" t="s">
        <v>627</v>
      </c>
      <c r="G23" s="983"/>
      <c r="H23" s="1094"/>
      <c r="I23" s="983"/>
      <c r="J23" s="1094"/>
      <c r="K23" s="983"/>
      <c r="L23" s="1094"/>
      <c r="M23" s="1094"/>
      <c r="N23" s="1094"/>
      <c r="O23" s="2"/>
    </row>
    <row r="24" spans="1:17" s="136" customFormat="1" ht="21.95" hidden="1" customHeight="1">
      <c r="A24" s="139">
        <v>21</v>
      </c>
      <c r="B24" s="337" t="s">
        <v>2796</v>
      </c>
      <c r="C24" s="983" t="s">
        <v>2877</v>
      </c>
      <c r="D24" s="983" t="s">
        <v>2878</v>
      </c>
      <c r="E24" s="983"/>
      <c r="F24" s="983" t="s">
        <v>904</v>
      </c>
      <c r="G24" s="983"/>
      <c r="H24" s="1094"/>
      <c r="I24" s="983"/>
      <c r="J24" s="1094"/>
      <c r="K24" s="983"/>
      <c r="L24" s="1094"/>
      <c r="M24" s="1094"/>
      <c r="N24" s="1094"/>
      <c r="O24" s="2"/>
    </row>
    <row r="25" spans="1:17" s="136" customFormat="1" ht="21.95" hidden="1" customHeight="1">
      <c r="A25" s="139">
        <v>22</v>
      </c>
      <c r="B25" s="337" t="s">
        <v>2797</v>
      </c>
      <c r="C25" s="983" t="s">
        <v>2879</v>
      </c>
      <c r="D25" s="983" t="s">
        <v>1679</v>
      </c>
      <c r="E25" s="983"/>
      <c r="F25" s="983" t="s">
        <v>904</v>
      </c>
      <c r="G25" s="983"/>
      <c r="H25" s="1094"/>
      <c r="I25" s="983"/>
      <c r="J25" s="1094"/>
      <c r="K25" s="983"/>
      <c r="L25" s="1094"/>
      <c r="M25" s="1094"/>
      <c r="N25" s="1094"/>
      <c r="O25" s="2"/>
    </row>
    <row r="26" spans="1:17" s="136" customFormat="1" ht="21.95" hidden="1" customHeight="1">
      <c r="A26" s="139">
        <v>23</v>
      </c>
      <c r="B26" s="337" t="s">
        <v>2798</v>
      </c>
      <c r="C26" s="983" t="s">
        <v>1680</v>
      </c>
      <c r="D26" s="983" t="s">
        <v>2876</v>
      </c>
      <c r="E26" s="983"/>
      <c r="F26" s="983" t="s">
        <v>904</v>
      </c>
      <c r="G26" s="983"/>
      <c r="H26" s="1094"/>
      <c r="I26" s="983"/>
      <c r="J26" s="1094"/>
      <c r="K26" s="983"/>
      <c r="L26" s="1094"/>
      <c r="M26" s="1094"/>
      <c r="N26" s="1094"/>
      <c r="O26" s="2"/>
    </row>
    <row r="27" spans="1:17" s="136" customFormat="1" ht="21.95" hidden="1" customHeight="1">
      <c r="A27" s="139">
        <v>24</v>
      </c>
      <c r="B27" s="337" t="s">
        <v>2799</v>
      </c>
      <c r="C27" s="983" t="s">
        <v>2880</v>
      </c>
      <c r="D27" s="983" t="s">
        <v>2881</v>
      </c>
      <c r="E27" s="983"/>
      <c r="F27" s="983" t="s">
        <v>297</v>
      </c>
      <c r="G27" s="983"/>
      <c r="H27" s="1094"/>
      <c r="I27" s="983"/>
      <c r="J27" s="1094"/>
      <c r="K27" s="983"/>
      <c r="L27" s="1094"/>
      <c r="M27" s="1094"/>
      <c r="N27" s="1094"/>
      <c r="O27" s="2"/>
    </row>
    <row r="28" spans="1:17" s="136" customFormat="1" ht="21.95" hidden="1" customHeight="1">
      <c r="A28" s="139">
        <v>25</v>
      </c>
      <c r="B28" s="337" t="s">
        <v>2800</v>
      </c>
      <c r="C28" s="983" t="s">
        <v>2882</v>
      </c>
      <c r="D28" s="983" t="s">
        <v>2881</v>
      </c>
      <c r="E28" s="983"/>
      <c r="F28" s="983" t="s">
        <v>297</v>
      </c>
      <c r="G28" s="983"/>
      <c r="H28" s="1094"/>
      <c r="I28" s="983"/>
      <c r="J28" s="1094"/>
      <c r="K28" s="983"/>
      <c r="L28" s="1094"/>
      <c r="M28" s="1094"/>
      <c r="N28" s="1094"/>
      <c r="O28" s="2"/>
      <c r="P28" s="206"/>
      <c r="Q28" s="206"/>
    </row>
    <row r="29" spans="1:17" s="136" customFormat="1" ht="21.95" customHeight="1">
      <c r="A29" s="139">
        <v>26</v>
      </c>
      <c r="B29" s="337" t="s">
        <v>2801</v>
      </c>
      <c r="C29" s="983" t="s">
        <v>2883</v>
      </c>
      <c r="D29" s="983" t="s">
        <v>2884</v>
      </c>
      <c r="E29" s="983">
        <v>287</v>
      </c>
      <c r="F29" s="983" t="s">
        <v>297</v>
      </c>
      <c r="G29" s="983"/>
      <c r="H29" s="1094"/>
      <c r="I29" s="983"/>
      <c r="J29" s="1094"/>
      <c r="K29" s="983"/>
      <c r="L29" s="1094"/>
      <c r="M29" s="1094"/>
      <c r="N29" s="1094"/>
      <c r="O29" s="2"/>
      <c r="Q29" s="183"/>
    </row>
    <row r="30" spans="1:17" s="136" customFormat="1" ht="21.95" customHeight="1">
      <c r="A30" s="139">
        <v>27</v>
      </c>
      <c r="B30" s="337" t="s">
        <v>2802</v>
      </c>
      <c r="C30" s="983" t="s">
        <v>2883</v>
      </c>
      <c r="D30" s="983" t="s">
        <v>2885</v>
      </c>
      <c r="E30" s="983">
        <v>1575</v>
      </c>
      <c r="F30" s="983" t="s">
        <v>297</v>
      </c>
      <c r="G30" s="983"/>
      <c r="H30" s="1094"/>
      <c r="I30" s="983"/>
      <c r="J30" s="1094"/>
      <c r="K30" s="983"/>
      <c r="L30" s="1094"/>
      <c r="M30" s="1094"/>
      <c r="N30" s="1094"/>
      <c r="O30" s="2"/>
      <c r="Q30" s="183"/>
    </row>
    <row r="31" spans="1:17" s="136" customFormat="1" ht="21.95" customHeight="1">
      <c r="A31" s="139">
        <v>28</v>
      </c>
      <c r="B31" s="337" t="s">
        <v>2803</v>
      </c>
      <c r="C31" s="983" t="s">
        <v>2883</v>
      </c>
      <c r="D31" s="983" t="s">
        <v>2886</v>
      </c>
      <c r="E31" s="983">
        <v>684</v>
      </c>
      <c r="F31" s="983" t="s">
        <v>297</v>
      </c>
      <c r="G31" s="983"/>
      <c r="H31" s="1094"/>
      <c r="I31" s="983"/>
      <c r="J31" s="1094"/>
      <c r="K31" s="983"/>
      <c r="L31" s="1094"/>
      <c r="M31" s="1094"/>
      <c r="N31" s="1094"/>
      <c r="O31" s="2"/>
      <c r="Q31" s="183"/>
    </row>
    <row r="32" spans="1:17" s="136" customFormat="1" ht="21.95" customHeight="1">
      <c r="A32" s="139">
        <v>29</v>
      </c>
      <c r="B32" s="337" t="s">
        <v>2804</v>
      </c>
      <c r="C32" s="983" t="s">
        <v>2887</v>
      </c>
      <c r="D32" s="983" t="s">
        <v>2888</v>
      </c>
      <c r="E32" s="983">
        <v>2823</v>
      </c>
      <c r="F32" s="983" t="s">
        <v>297</v>
      </c>
      <c r="G32" s="983"/>
      <c r="H32" s="1094"/>
      <c r="I32" s="983"/>
      <c r="J32" s="1094"/>
      <c r="K32" s="983"/>
      <c r="L32" s="1094"/>
      <c r="M32" s="1094"/>
      <c r="N32" s="1094"/>
      <c r="O32" s="2"/>
      <c r="P32" s="206"/>
      <c r="Q32" s="183"/>
    </row>
    <row r="33" spans="1:17" s="136" customFormat="1" ht="21.95" customHeight="1">
      <c r="A33" s="139">
        <v>30</v>
      </c>
      <c r="B33" s="337" t="s">
        <v>2805</v>
      </c>
      <c r="C33" s="983" t="s">
        <v>2887</v>
      </c>
      <c r="D33" s="983" t="s">
        <v>2889</v>
      </c>
      <c r="E33" s="983">
        <v>933</v>
      </c>
      <c r="F33" s="983" t="s">
        <v>297</v>
      </c>
      <c r="G33" s="983"/>
      <c r="H33" s="1094"/>
      <c r="I33" s="983"/>
      <c r="J33" s="1094"/>
      <c r="K33" s="983"/>
      <c r="L33" s="1094"/>
      <c r="M33" s="1094"/>
      <c r="N33" s="1094"/>
      <c r="O33" s="2"/>
      <c r="Q33" s="183"/>
    </row>
    <row r="34" spans="1:17" s="136" customFormat="1" ht="21.95" customHeight="1">
      <c r="A34" s="139">
        <v>31</v>
      </c>
      <c r="B34" s="337" t="s">
        <v>2806</v>
      </c>
      <c r="C34" s="983" t="s">
        <v>2890</v>
      </c>
      <c r="D34" s="983" t="s">
        <v>2884</v>
      </c>
      <c r="E34" s="983">
        <v>287</v>
      </c>
      <c r="F34" s="983" t="s">
        <v>297</v>
      </c>
      <c r="G34" s="983"/>
      <c r="H34" s="1094"/>
      <c r="I34" s="983"/>
      <c r="J34" s="1094"/>
      <c r="K34" s="983"/>
      <c r="L34" s="1094"/>
      <c r="M34" s="1094"/>
      <c r="N34" s="1094"/>
      <c r="O34" s="2"/>
      <c r="Q34" s="183"/>
    </row>
    <row r="35" spans="1:17" s="136" customFormat="1" ht="21.95" customHeight="1">
      <c r="A35" s="139">
        <v>32</v>
      </c>
      <c r="B35" s="337" t="s">
        <v>2807</v>
      </c>
      <c r="C35" s="983" t="s">
        <v>2890</v>
      </c>
      <c r="D35" s="983" t="s">
        <v>2885</v>
      </c>
      <c r="E35" s="983">
        <v>1575</v>
      </c>
      <c r="F35" s="983" t="s">
        <v>297</v>
      </c>
      <c r="G35" s="983"/>
      <c r="H35" s="1094"/>
      <c r="I35" s="983"/>
      <c r="J35" s="1094"/>
      <c r="K35" s="983"/>
      <c r="L35" s="1094"/>
      <c r="M35" s="1094"/>
      <c r="N35" s="1094"/>
      <c r="O35" s="2"/>
      <c r="Q35" s="183"/>
    </row>
    <row r="36" spans="1:17" s="136" customFormat="1" ht="21.95" customHeight="1">
      <c r="A36" s="139">
        <v>33</v>
      </c>
      <c r="B36" s="337" t="s">
        <v>2808</v>
      </c>
      <c r="C36" s="983" t="s">
        <v>2890</v>
      </c>
      <c r="D36" s="983" t="s">
        <v>2886</v>
      </c>
      <c r="E36" s="983">
        <v>684</v>
      </c>
      <c r="F36" s="983" t="s">
        <v>297</v>
      </c>
      <c r="G36" s="983"/>
      <c r="H36" s="1094"/>
      <c r="I36" s="983"/>
      <c r="J36" s="1094"/>
      <c r="K36" s="983"/>
      <c r="L36" s="1094"/>
      <c r="M36" s="1094"/>
      <c r="N36" s="1094"/>
      <c r="O36" s="2"/>
      <c r="Q36" s="183"/>
    </row>
    <row r="37" spans="1:17" s="136" customFormat="1" ht="21.95" customHeight="1">
      <c r="A37" s="139">
        <v>34</v>
      </c>
      <c r="B37" s="337" t="s">
        <v>2809</v>
      </c>
      <c r="C37" s="983" t="s">
        <v>2891</v>
      </c>
      <c r="D37" s="983" t="s">
        <v>2888</v>
      </c>
      <c r="E37" s="337">
        <v>2823</v>
      </c>
      <c r="F37" s="983" t="s">
        <v>297</v>
      </c>
      <c r="G37" s="983"/>
      <c r="H37" s="344"/>
      <c r="I37" s="983"/>
      <c r="J37" s="344"/>
      <c r="K37" s="983"/>
      <c r="L37" s="344"/>
      <c r="M37" s="344"/>
      <c r="N37" s="344"/>
      <c r="O37" s="2"/>
      <c r="Q37" s="183"/>
    </row>
    <row r="38" spans="1:17" s="136" customFormat="1" ht="21.95" customHeight="1">
      <c r="A38" s="139">
        <v>35</v>
      </c>
      <c r="B38" s="337" t="s">
        <v>2810</v>
      </c>
      <c r="C38" s="983" t="s">
        <v>2891</v>
      </c>
      <c r="D38" s="983" t="s">
        <v>2889</v>
      </c>
      <c r="E38" s="337">
        <v>933</v>
      </c>
      <c r="F38" s="983" t="s">
        <v>297</v>
      </c>
      <c r="G38" s="983"/>
      <c r="H38" s="344"/>
      <c r="I38" s="983"/>
      <c r="J38" s="344"/>
      <c r="K38" s="983"/>
      <c r="L38" s="344"/>
      <c r="M38" s="344"/>
      <c r="N38" s="344"/>
      <c r="O38" s="2"/>
      <c r="Q38" s="183"/>
    </row>
    <row r="39" spans="1:17" s="136" customFormat="1" ht="21.95" customHeight="1">
      <c r="A39" s="139">
        <v>36</v>
      </c>
      <c r="B39" s="337" t="s">
        <v>2811</v>
      </c>
      <c r="C39" s="983" t="s">
        <v>2883</v>
      </c>
      <c r="D39" s="983" t="s">
        <v>2892</v>
      </c>
      <c r="E39" s="337">
        <v>87</v>
      </c>
      <c r="F39" s="983" t="s">
        <v>297</v>
      </c>
      <c r="G39" s="983"/>
      <c r="H39" s="344"/>
      <c r="I39" s="983"/>
      <c r="J39" s="344"/>
      <c r="K39" s="983"/>
      <c r="L39" s="344"/>
      <c r="M39" s="344"/>
      <c r="N39" s="344"/>
      <c r="O39" s="2"/>
      <c r="Q39" s="183"/>
    </row>
    <row r="40" spans="1:17" s="136" customFormat="1" ht="21.95" customHeight="1">
      <c r="A40" s="139">
        <v>37</v>
      </c>
      <c r="B40" s="337" t="s">
        <v>2812</v>
      </c>
      <c r="C40" s="983" t="s">
        <v>2883</v>
      </c>
      <c r="D40" s="983" t="s">
        <v>2893</v>
      </c>
      <c r="E40" s="337">
        <v>874</v>
      </c>
      <c r="F40" s="983" t="s">
        <v>297</v>
      </c>
      <c r="G40" s="983"/>
      <c r="H40" s="344"/>
      <c r="I40" s="983"/>
      <c r="J40" s="344"/>
      <c r="K40" s="983"/>
      <c r="L40" s="344"/>
      <c r="M40" s="344"/>
      <c r="N40" s="344"/>
      <c r="O40" s="2"/>
      <c r="Q40" s="183"/>
    </row>
    <row r="41" spans="1:17" s="136" customFormat="1" ht="21.95" customHeight="1">
      <c r="A41" s="139">
        <v>38</v>
      </c>
      <c r="B41" s="337" t="s">
        <v>2813</v>
      </c>
      <c r="C41" s="983" t="s">
        <v>2883</v>
      </c>
      <c r="D41" s="983" t="s">
        <v>2894</v>
      </c>
      <c r="E41" s="337">
        <v>249</v>
      </c>
      <c r="F41" s="983" t="s">
        <v>297</v>
      </c>
      <c r="G41" s="983"/>
      <c r="H41" s="344"/>
      <c r="I41" s="983"/>
      <c r="J41" s="344"/>
      <c r="K41" s="983"/>
      <c r="L41" s="344"/>
      <c r="M41" s="344"/>
      <c r="N41" s="344"/>
      <c r="O41" s="2"/>
      <c r="Q41" s="183"/>
    </row>
    <row r="42" spans="1:17" s="136" customFormat="1" ht="21.95" customHeight="1">
      <c r="A42" s="139">
        <v>46</v>
      </c>
      <c r="B42" s="1133" t="s">
        <v>2821</v>
      </c>
      <c r="C42" s="1134" t="s">
        <v>2895</v>
      </c>
      <c r="D42" s="1134" t="s">
        <v>2896</v>
      </c>
      <c r="E42" s="1133">
        <v>0</v>
      </c>
      <c r="F42" s="1134" t="s">
        <v>533</v>
      </c>
      <c r="G42" s="1134"/>
      <c r="H42" s="1135"/>
      <c r="I42" s="1134"/>
      <c r="J42" s="1135"/>
      <c r="K42" s="1134"/>
      <c r="L42" s="1135"/>
      <c r="M42" s="1135"/>
      <c r="N42" s="1135"/>
      <c r="O42" s="1136"/>
      <c r="P42" s="136" t="s">
        <v>2773</v>
      </c>
      <c r="Q42" s="183"/>
    </row>
    <row r="43" spans="1:17" s="136" customFormat="1" ht="21.95" hidden="1" customHeight="1">
      <c r="A43" s="139">
        <v>49</v>
      </c>
      <c r="B43" s="337" t="s">
        <v>2824</v>
      </c>
      <c r="C43" s="983" t="s">
        <v>2897</v>
      </c>
      <c r="D43" s="983" t="s">
        <v>2898</v>
      </c>
      <c r="E43" s="337"/>
      <c r="F43" s="983" t="s">
        <v>45</v>
      </c>
      <c r="G43" s="983"/>
      <c r="H43" s="344"/>
      <c r="I43" s="983"/>
      <c r="J43" s="344"/>
      <c r="K43" s="983"/>
      <c r="L43" s="344"/>
      <c r="M43" s="344"/>
      <c r="N43" s="344"/>
      <c r="O43" s="2"/>
      <c r="Q43" s="183"/>
    </row>
    <row r="44" spans="1:17" s="136" customFormat="1" ht="21.95" customHeight="1">
      <c r="A44" s="139">
        <v>50</v>
      </c>
      <c r="B44" s="337" t="s">
        <v>2825</v>
      </c>
      <c r="C44" s="983" t="s">
        <v>2899</v>
      </c>
      <c r="D44" s="983" t="s">
        <v>2900</v>
      </c>
      <c r="E44" s="337">
        <v>43</v>
      </c>
      <c r="F44" s="983" t="s">
        <v>45</v>
      </c>
      <c r="G44" s="983"/>
      <c r="H44" s="344"/>
      <c r="I44" s="983"/>
      <c r="J44" s="344"/>
      <c r="K44" s="983"/>
      <c r="L44" s="344"/>
      <c r="M44" s="344"/>
      <c r="N44" s="344"/>
      <c r="O44" s="2"/>
      <c r="Q44" s="183"/>
    </row>
    <row r="45" spans="1:17" s="136" customFormat="1" ht="21.95" customHeight="1">
      <c r="A45" s="139">
        <v>51</v>
      </c>
      <c r="B45" s="337" t="s">
        <v>2826</v>
      </c>
      <c r="C45" s="983" t="s">
        <v>2753</v>
      </c>
      <c r="D45" s="983">
        <v>0</v>
      </c>
      <c r="E45" s="337">
        <v>850</v>
      </c>
      <c r="F45" s="983" t="s">
        <v>297</v>
      </c>
      <c r="G45" s="983"/>
      <c r="H45" s="344"/>
      <c r="I45" s="983"/>
      <c r="J45" s="344"/>
      <c r="K45" s="983"/>
      <c r="L45" s="344"/>
      <c r="M45" s="344"/>
      <c r="N45" s="344"/>
      <c r="O45" s="2"/>
      <c r="Q45" s="183"/>
    </row>
    <row r="46" spans="1:17" s="136" customFormat="1" ht="21.95" customHeight="1">
      <c r="A46" s="139">
        <v>52</v>
      </c>
      <c r="B46" s="337" t="s">
        <v>2827</v>
      </c>
      <c r="C46" s="983" t="s">
        <v>2760</v>
      </c>
      <c r="D46" s="983">
        <v>0</v>
      </c>
      <c r="E46" s="337">
        <v>46</v>
      </c>
      <c r="F46" s="983" t="s">
        <v>45</v>
      </c>
      <c r="G46" s="983"/>
      <c r="H46" s="344"/>
      <c r="I46" s="983"/>
      <c r="J46" s="344"/>
      <c r="K46" s="983"/>
      <c r="L46" s="344"/>
      <c r="M46" s="344"/>
      <c r="N46" s="344"/>
      <c r="O46" s="2"/>
      <c r="Q46" s="183"/>
    </row>
    <row r="47" spans="1:17" s="136" customFormat="1" ht="21.95" customHeight="1">
      <c r="A47" s="139">
        <v>64</v>
      </c>
      <c r="B47" s="337" t="s">
        <v>2839</v>
      </c>
      <c r="C47" s="983" t="s">
        <v>2901</v>
      </c>
      <c r="D47" s="983">
        <v>0</v>
      </c>
      <c r="E47" s="337">
        <v>1</v>
      </c>
      <c r="F47" s="983" t="s">
        <v>2902</v>
      </c>
      <c r="G47" s="983"/>
      <c r="H47" s="344"/>
      <c r="I47" s="983"/>
      <c r="J47" s="344"/>
      <c r="K47" s="983"/>
      <c r="L47" s="344"/>
      <c r="M47" s="344"/>
      <c r="N47" s="344"/>
      <c r="O47" s="2"/>
      <c r="Q47" s="183"/>
    </row>
    <row r="48" spans="1:17" s="136" customFormat="1" ht="21.95" customHeight="1">
      <c r="A48" s="139"/>
      <c r="B48" s="337"/>
      <c r="C48" s="983"/>
      <c r="D48" s="983"/>
      <c r="E48" s="337"/>
      <c r="F48" s="983"/>
      <c r="G48" s="983"/>
      <c r="H48" s="344"/>
      <c r="I48" s="983"/>
      <c r="J48" s="344"/>
      <c r="K48" s="983"/>
      <c r="L48" s="344"/>
      <c r="M48" s="344"/>
      <c r="N48" s="344"/>
      <c r="O48" s="2"/>
      <c r="Q48" s="183"/>
    </row>
    <row r="49" spans="1:17" s="136" customFormat="1" ht="21.95" customHeight="1">
      <c r="A49" s="139"/>
      <c r="B49" s="337"/>
      <c r="C49" s="983"/>
      <c r="D49" s="983"/>
      <c r="E49" s="337"/>
      <c r="F49" s="983"/>
      <c r="G49" s="983"/>
      <c r="H49" s="344"/>
      <c r="I49" s="983"/>
      <c r="J49" s="344"/>
      <c r="K49" s="983"/>
      <c r="L49" s="344"/>
      <c r="M49" s="344"/>
      <c r="N49" s="344"/>
      <c r="O49" s="2"/>
      <c r="Q49" s="183"/>
    </row>
    <row r="50" spans="1:17" s="136" customFormat="1" ht="21.95" customHeight="1">
      <c r="A50" s="139"/>
      <c r="B50" s="337"/>
      <c r="C50" s="983"/>
      <c r="D50" s="983"/>
      <c r="E50" s="337"/>
      <c r="F50" s="983"/>
      <c r="G50" s="983"/>
      <c r="H50" s="344"/>
      <c r="I50" s="983"/>
      <c r="J50" s="344"/>
      <c r="K50" s="983"/>
      <c r="L50" s="344"/>
      <c r="M50" s="344"/>
      <c r="N50" s="344"/>
      <c r="O50" s="2"/>
      <c r="Q50" s="183"/>
    </row>
    <row r="51" spans="1:17" s="136" customFormat="1" ht="21.95" customHeight="1">
      <c r="A51" s="139"/>
      <c r="B51" s="337"/>
      <c r="C51" s="983"/>
      <c r="D51" s="983"/>
      <c r="E51" s="337"/>
      <c r="F51" s="983"/>
      <c r="G51" s="983"/>
      <c r="H51" s="344"/>
      <c r="I51" s="983"/>
      <c r="J51" s="344"/>
      <c r="K51" s="983"/>
      <c r="L51" s="344"/>
      <c r="M51" s="344"/>
      <c r="N51" s="344"/>
      <c r="O51" s="2"/>
      <c r="Q51" s="183"/>
    </row>
    <row r="52" spans="1:17" s="136" customFormat="1" ht="21.95" customHeight="1">
      <c r="A52" s="139"/>
      <c r="B52" s="337"/>
      <c r="C52" s="983"/>
      <c r="D52" s="983"/>
      <c r="E52" s="337"/>
      <c r="F52" s="983"/>
      <c r="G52" s="983"/>
      <c r="H52" s="344"/>
      <c r="I52" s="983"/>
      <c r="J52" s="344"/>
      <c r="K52" s="983"/>
      <c r="L52" s="344"/>
      <c r="M52" s="344"/>
      <c r="N52" s="344"/>
      <c r="O52" s="2"/>
      <c r="Q52" s="183"/>
    </row>
    <row r="53" spans="1:17" s="136" customFormat="1" ht="21.95" customHeight="1">
      <c r="A53" s="139"/>
      <c r="B53" s="1242" t="s">
        <v>650</v>
      </c>
      <c r="C53" s="1243"/>
      <c r="D53" s="1244"/>
      <c r="E53" s="345">
        <v>15012</v>
      </c>
      <c r="F53" s="345"/>
      <c r="G53" s="345"/>
      <c r="H53" s="345"/>
      <c r="I53" s="346"/>
      <c r="J53" s="345"/>
      <c r="K53" s="346"/>
      <c r="L53" s="345"/>
      <c r="M53" s="346"/>
      <c r="N53" s="345"/>
      <c r="O53" s="2"/>
      <c r="P53" s="206"/>
      <c r="Q53" s="183"/>
    </row>
    <row r="54" spans="1:17" s="136" customFormat="1" ht="21.95" customHeight="1">
      <c r="A54" s="139"/>
      <c r="B54" s="337"/>
      <c r="C54" s="337"/>
      <c r="D54" s="337"/>
      <c r="E54" s="337"/>
      <c r="F54" s="337"/>
      <c r="G54" s="337"/>
      <c r="H54" s="344"/>
      <c r="I54" s="337"/>
      <c r="J54" s="344"/>
      <c r="K54" s="337"/>
      <c r="L54" s="344"/>
      <c r="M54" s="344"/>
      <c r="N54" s="344"/>
      <c r="O54" s="2"/>
      <c r="Q54" s="183"/>
    </row>
    <row r="55" spans="1:17" s="136" customFormat="1" ht="21.95" customHeight="1">
      <c r="A55" s="139"/>
      <c r="B55" s="194"/>
      <c r="C55" s="194"/>
      <c r="D55" s="138"/>
      <c r="E55" s="184"/>
      <c r="F55" s="104"/>
      <c r="G55" s="149"/>
      <c r="H55" s="150"/>
      <c r="I55" s="151"/>
      <c r="J55" s="150"/>
      <c r="K55" s="151"/>
      <c r="L55" s="150"/>
      <c r="M55" s="150"/>
      <c r="N55" s="150"/>
      <c r="O55" s="2"/>
      <c r="Q55" s="183"/>
    </row>
    <row r="56" spans="1:17" s="136" customFormat="1" ht="21.95" customHeight="1">
      <c r="A56" s="139"/>
      <c r="B56" s="194"/>
      <c r="C56" s="194"/>
      <c r="D56" s="138"/>
      <c r="E56" s="184"/>
      <c r="F56" s="104"/>
      <c r="G56" s="149"/>
      <c r="H56" s="150"/>
      <c r="I56" s="151"/>
      <c r="J56" s="150"/>
      <c r="K56" s="151"/>
      <c r="L56" s="150"/>
      <c r="M56" s="150"/>
      <c r="N56" s="150"/>
      <c r="O56" s="2"/>
      <c r="Q56" s="183"/>
    </row>
    <row r="57" spans="1:17" s="136" customFormat="1" ht="21.95" customHeight="1">
      <c r="A57" s="139"/>
      <c r="B57" s="194"/>
      <c r="C57" s="194"/>
      <c r="D57" s="138"/>
      <c r="E57" s="184"/>
      <c r="F57" s="104"/>
      <c r="G57" s="149"/>
      <c r="H57" s="150"/>
      <c r="I57" s="151"/>
      <c r="J57" s="150"/>
      <c r="K57" s="151"/>
      <c r="L57" s="150"/>
      <c r="M57" s="150"/>
      <c r="N57" s="150"/>
      <c r="O57" s="2"/>
      <c r="Q57" s="183"/>
    </row>
    <row r="58" spans="1:17" s="136" customFormat="1" ht="21.95" customHeight="1">
      <c r="A58" s="139"/>
      <c r="B58" s="194"/>
      <c r="C58" s="194"/>
      <c r="D58" s="138"/>
      <c r="E58" s="184"/>
      <c r="F58" s="104"/>
      <c r="G58" s="149"/>
      <c r="H58" s="150"/>
      <c r="I58" s="151"/>
      <c r="J58" s="150"/>
      <c r="K58" s="151"/>
      <c r="L58" s="150"/>
      <c r="M58" s="150"/>
      <c r="N58" s="150"/>
      <c r="O58" s="2"/>
      <c r="Q58" s="183"/>
    </row>
    <row r="59" spans="1:17" s="136" customFormat="1" ht="21.95" customHeight="1">
      <c r="A59" s="139"/>
      <c r="B59" s="194"/>
      <c r="C59" s="194"/>
      <c r="D59" s="138"/>
      <c r="E59" s="184"/>
      <c r="F59" s="104"/>
      <c r="G59" s="149"/>
      <c r="H59" s="150"/>
      <c r="I59" s="151"/>
      <c r="J59" s="150"/>
      <c r="K59" s="151"/>
      <c r="L59" s="150"/>
      <c r="M59" s="150"/>
      <c r="N59" s="150"/>
      <c r="O59" s="2"/>
      <c r="Q59" s="183"/>
    </row>
    <row r="60" spans="1:17" s="136" customFormat="1" ht="21.95" customHeight="1">
      <c r="A60" s="139"/>
      <c r="B60" s="194"/>
      <c r="C60" s="194"/>
      <c r="D60" s="138"/>
      <c r="E60" s="184"/>
      <c r="F60" s="104"/>
      <c r="G60" s="149"/>
      <c r="H60" s="150"/>
      <c r="I60" s="151"/>
      <c r="J60" s="150"/>
      <c r="K60" s="151"/>
      <c r="L60" s="150"/>
      <c r="M60" s="150"/>
      <c r="N60" s="150"/>
      <c r="O60" s="2"/>
      <c r="Q60" s="183"/>
    </row>
    <row r="61" spans="1:17" s="136" customFormat="1" ht="21.95" customHeight="1">
      <c r="A61" s="139"/>
      <c r="B61" s="194"/>
      <c r="C61" s="194"/>
      <c r="D61" s="138"/>
      <c r="E61" s="184"/>
      <c r="F61" s="104"/>
      <c r="G61" s="149"/>
      <c r="H61" s="150"/>
      <c r="I61" s="151"/>
      <c r="J61" s="150"/>
      <c r="K61" s="151"/>
      <c r="L61" s="150"/>
      <c r="M61" s="150"/>
      <c r="N61" s="150"/>
      <c r="O61" s="2"/>
      <c r="Q61" s="183"/>
    </row>
    <row r="62" spans="1:17" s="136" customFormat="1" ht="21.95" customHeight="1">
      <c r="A62" s="139"/>
      <c r="B62" s="194"/>
      <c r="C62" s="194"/>
      <c r="D62" s="138"/>
      <c r="E62" s="184"/>
      <c r="F62" s="104"/>
      <c r="G62" s="149"/>
      <c r="H62" s="150"/>
      <c r="I62" s="151"/>
      <c r="J62" s="150"/>
      <c r="K62" s="151"/>
      <c r="L62" s="150"/>
      <c r="M62" s="150"/>
      <c r="N62" s="150"/>
      <c r="O62" s="2"/>
      <c r="Q62" s="183"/>
    </row>
    <row r="63" spans="1:17" s="136" customFormat="1" ht="21.95" customHeight="1">
      <c r="A63" s="139"/>
      <c r="B63" s="194"/>
      <c r="C63" s="194"/>
      <c r="D63" s="138"/>
      <c r="E63" s="184"/>
      <c r="F63" s="104"/>
      <c r="G63" s="149"/>
      <c r="H63" s="150"/>
      <c r="I63" s="151"/>
      <c r="J63" s="150"/>
      <c r="K63" s="151"/>
      <c r="L63" s="150"/>
      <c r="M63" s="150"/>
      <c r="N63" s="150"/>
      <c r="O63" s="2"/>
      <c r="Q63" s="183"/>
    </row>
    <row r="64" spans="1:17" s="136" customFormat="1" ht="21.95" customHeight="1">
      <c r="A64" s="139"/>
      <c r="B64" s="194"/>
      <c r="C64" s="194"/>
      <c r="D64" s="138"/>
      <c r="E64" s="184"/>
      <c r="F64" s="104"/>
      <c r="G64" s="149"/>
      <c r="H64" s="150"/>
      <c r="I64" s="151"/>
      <c r="J64" s="150"/>
      <c r="K64" s="151"/>
      <c r="L64" s="150"/>
      <c r="M64" s="150"/>
      <c r="N64" s="150"/>
      <c r="O64" s="2"/>
      <c r="Q64" s="183"/>
    </row>
    <row r="65" spans="1:17" s="136" customFormat="1" ht="21.95" customHeight="1">
      <c r="A65" s="139"/>
      <c r="B65" s="194"/>
      <c r="C65" s="194"/>
      <c r="D65" s="138"/>
      <c r="E65" s="184"/>
      <c r="F65" s="104"/>
      <c r="G65" s="149"/>
      <c r="H65" s="150"/>
      <c r="I65" s="151"/>
      <c r="J65" s="150"/>
      <c r="K65" s="151"/>
      <c r="L65" s="150"/>
      <c r="M65" s="150"/>
      <c r="N65" s="150"/>
      <c r="O65" s="2"/>
      <c r="Q65" s="183"/>
    </row>
    <row r="66" spans="1:17" s="136" customFormat="1" ht="21.95" customHeight="1">
      <c r="A66" s="139"/>
      <c r="B66" s="194"/>
      <c r="C66" s="194"/>
      <c r="D66" s="138"/>
      <c r="E66" s="184"/>
      <c r="F66" s="104"/>
      <c r="G66" s="149"/>
      <c r="H66" s="150"/>
      <c r="I66" s="151"/>
      <c r="J66" s="150"/>
      <c r="K66" s="151"/>
      <c r="L66" s="150"/>
      <c r="M66" s="150"/>
      <c r="N66" s="150"/>
      <c r="O66" s="2"/>
      <c r="Q66" s="183"/>
    </row>
    <row r="67" spans="1:17" s="136" customFormat="1" ht="21.95" customHeight="1">
      <c r="A67" s="139"/>
      <c r="B67" s="194"/>
      <c r="C67" s="194"/>
      <c r="D67" s="138"/>
      <c r="E67" s="184"/>
      <c r="F67" s="104"/>
      <c r="G67" s="149"/>
      <c r="H67" s="150"/>
      <c r="I67" s="151"/>
      <c r="J67" s="150"/>
      <c r="K67" s="151"/>
      <c r="L67" s="150"/>
      <c r="M67" s="150"/>
      <c r="N67" s="150"/>
      <c r="O67" s="2"/>
      <c r="Q67" s="183"/>
    </row>
    <row r="68" spans="1:17" s="136" customFormat="1" ht="21.95" customHeight="1">
      <c r="A68" s="139"/>
      <c r="B68" s="194"/>
      <c r="C68" s="194"/>
      <c r="D68" s="138"/>
      <c r="E68" s="184"/>
      <c r="F68" s="104"/>
      <c r="G68" s="149"/>
      <c r="H68" s="150"/>
      <c r="I68" s="151"/>
      <c r="J68" s="150"/>
      <c r="K68" s="151"/>
      <c r="L68" s="150"/>
      <c r="M68" s="150"/>
      <c r="N68" s="150"/>
      <c r="O68" s="2"/>
      <c r="Q68" s="183"/>
    </row>
    <row r="69" spans="1:17" s="191" customFormat="1" ht="21.95" customHeight="1">
      <c r="A69" s="193"/>
      <c r="B69" s="195"/>
      <c r="C69" s="195"/>
      <c r="D69" s="190"/>
      <c r="E69" s="184"/>
      <c r="F69" s="192"/>
      <c r="G69" s="189"/>
      <c r="H69" s="188"/>
      <c r="I69" s="187"/>
      <c r="J69" s="188"/>
      <c r="K69" s="187"/>
      <c r="L69" s="188"/>
      <c r="M69" s="188"/>
      <c r="N69" s="188"/>
      <c r="O69" s="2"/>
      <c r="Q69" s="185"/>
    </row>
    <row r="70" spans="1:17" s="191" customFormat="1" ht="21.95" customHeight="1">
      <c r="A70" s="193"/>
      <c r="B70" s="195"/>
      <c r="C70" s="195"/>
      <c r="D70" s="190"/>
      <c r="E70" s="184"/>
      <c r="F70" s="192"/>
      <c r="G70" s="189"/>
      <c r="H70" s="188"/>
      <c r="I70" s="187"/>
      <c r="J70" s="188"/>
      <c r="K70" s="187"/>
      <c r="L70" s="188"/>
      <c r="M70" s="188"/>
      <c r="N70" s="188"/>
      <c r="O70" s="2"/>
    </row>
    <row r="71" spans="1:17" s="191" customFormat="1" ht="21.95" customHeight="1">
      <c r="A71" s="193"/>
      <c r="B71" s="195"/>
      <c r="C71" s="195"/>
      <c r="D71" s="190"/>
      <c r="E71" s="184"/>
      <c r="F71" s="192"/>
      <c r="G71" s="189"/>
      <c r="H71" s="188"/>
      <c r="I71" s="187"/>
      <c r="J71" s="188"/>
      <c r="K71" s="187"/>
      <c r="L71" s="188"/>
      <c r="M71" s="188"/>
      <c r="N71" s="188"/>
      <c r="O71" s="2"/>
      <c r="Q71" s="185"/>
    </row>
    <row r="72" spans="1:17" s="191" customFormat="1" ht="21.95" customHeight="1">
      <c r="A72" s="186"/>
      <c r="B72" s="195"/>
      <c r="C72" s="195"/>
      <c r="D72" s="190"/>
      <c r="E72" s="184"/>
      <c r="F72" s="192"/>
      <c r="G72" s="189"/>
      <c r="H72" s="188"/>
      <c r="I72" s="187"/>
      <c r="J72" s="188"/>
      <c r="K72" s="187"/>
      <c r="L72" s="188"/>
      <c r="M72" s="188"/>
      <c r="N72" s="188"/>
      <c r="O72" s="2"/>
    </row>
    <row r="73" spans="1:17" s="191" customFormat="1" ht="21.95" customHeight="1">
      <c r="A73" s="193"/>
      <c r="B73" s="252"/>
      <c r="C73" s="252"/>
      <c r="D73" s="190"/>
      <c r="E73" s="184"/>
      <c r="F73" s="192"/>
      <c r="G73" s="189"/>
      <c r="H73" s="188"/>
      <c r="I73" s="187"/>
      <c r="J73" s="188"/>
      <c r="K73" s="187"/>
      <c r="L73" s="188"/>
      <c r="M73" s="188"/>
      <c r="N73" s="188"/>
      <c r="O73" s="2"/>
      <c r="Q73" s="185"/>
    </row>
    <row r="74" spans="1:17" s="191" customFormat="1" ht="21.95" customHeight="1">
      <c r="A74" s="193"/>
      <c r="B74" s="252"/>
      <c r="C74" s="252"/>
      <c r="D74" s="190"/>
      <c r="E74" s="184"/>
      <c r="F74" s="192"/>
      <c r="G74" s="189"/>
      <c r="H74" s="188"/>
      <c r="I74" s="187"/>
      <c r="J74" s="188"/>
      <c r="K74" s="187"/>
      <c r="L74" s="188"/>
      <c r="M74" s="188"/>
      <c r="N74" s="188"/>
      <c r="O74" s="2"/>
      <c r="Q74" s="185"/>
    </row>
    <row r="75" spans="1:17" s="191" customFormat="1" ht="21.95" customHeight="1">
      <c r="A75" s="193"/>
      <c r="B75" s="252"/>
      <c r="C75" s="252"/>
      <c r="D75" s="190"/>
      <c r="E75" s="184"/>
      <c r="F75" s="192"/>
      <c r="G75" s="189"/>
      <c r="H75" s="188"/>
      <c r="I75" s="187"/>
      <c r="J75" s="188"/>
      <c r="K75" s="187"/>
      <c r="L75" s="188"/>
      <c r="M75" s="188"/>
      <c r="N75" s="188"/>
      <c r="O75" s="2"/>
      <c r="Q75" s="185"/>
    </row>
    <row r="76" spans="1:17" s="191" customFormat="1" ht="21.95" customHeight="1">
      <c r="A76" s="193"/>
      <c r="B76" s="252"/>
      <c r="C76" s="252"/>
      <c r="D76" s="190"/>
      <c r="E76" s="184"/>
      <c r="F76" s="192"/>
      <c r="G76" s="189"/>
      <c r="H76" s="188"/>
      <c r="I76" s="187"/>
      <c r="J76" s="188"/>
      <c r="K76" s="187"/>
      <c r="L76" s="188"/>
      <c r="M76" s="188"/>
      <c r="N76" s="188"/>
      <c r="O76" s="2"/>
      <c r="Q76" s="185"/>
    </row>
    <row r="77" spans="1:17" s="191" customFormat="1" ht="21.95" customHeight="1">
      <c r="A77" s="193"/>
      <c r="B77" s="252"/>
      <c r="C77" s="252"/>
      <c r="D77" s="190"/>
      <c r="E77" s="184"/>
      <c r="F77" s="192"/>
      <c r="G77" s="189"/>
      <c r="H77" s="188"/>
      <c r="I77" s="187"/>
      <c r="J77" s="188"/>
      <c r="K77" s="187"/>
      <c r="L77" s="188"/>
      <c r="M77" s="188"/>
      <c r="N77" s="188"/>
      <c r="O77" s="2"/>
      <c r="Q77" s="185"/>
    </row>
    <row r="78" spans="1:17" s="191" customFormat="1" ht="21.95" customHeight="1">
      <c r="A78" s="193"/>
      <c r="B78" s="252"/>
      <c r="C78" s="252"/>
      <c r="D78" s="190"/>
      <c r="E78" s="184"/>
      <c r="F78" s="192"/>
      <c r="G78" s="189"/>
      <c r="H78" s="188"/>
      <c r="I78" s="187"/>
      <c r="J78" s="188"/>
      <c r="K78" s="187"/>
      <c r="L78" s="188"/>
      <c r="M78" s="188"/>
      <c r="N78" s="188"/>
      <c r="O78" s="2"/>
      <c r="Q78" s="185"/>
    </row>
    <row r="79" spans="1:17" s="191" customFormat="1" ht="21.95" customHeight="1">
      <c r="A79" s="193"/>
      <c r="B79" s="252"/>
      <c r="C79" s="252"/>
      <c r="D79" s="190"/>
      <c r="E79" s="184"/>
      <c r="F79" s="192"/>
      <c r="G79" s="189"/>
      <c r="H79" s="188"/>
      <c r="I79" s="187"/>
      <c r="J79" s="188"/>
      <c r="K79" s="187"/>
      <c r="L79" s="188"/>
      <c r="M79" s="188"/>
      <c r="N79" s="188"/>
      <c r="O79" s="2"/>
      <c r="Q79" s="185"/>
    </row>
    <row r="80" spans="1:17" s="191" customFormat="1" ht="21.95" customHeight="1">
      <c r="A80" s="193"/>
      <c r="B80" s="252"/>
      <c r="C80" s="252"/>
      <c r="D80" s="190"/>
      <c r="E80" s="184"/>
      <c r="F80" s="192"/>
      <c r="G80" s="189"/>
      <c r="H80" s="188"/>
      <c r="I80" s="187"/>
      <c r="J80" s="188"/>
      <c r="K80" s="187"/>
      <c r="L80" s="188"/>
      <c r="M80" s="188"/>
      <c r="N80" s="188"/>
      <c r="O80" s="2"/>
      <c r="Q80" s="185"/>
    </row>
    <row r="81" spans="1:17" s="191" customFormat="1" ht="21.95" customHeight="1">
      <c r="A81" s="193"/>
      <c r="B81" s="252"/>
      <c r="C81" s="252"/>
      <c r="D81" s="190"/>
      <c r="E81" s="184"/>
      <c r="F81" s="192"/>
      <c r="G81" s="189"/>
      <c r="H81" s="188"/>
      <c r="I81" s="187"/>
      <c r="J81" s="188"/>
      <c r="K81" s="187"/>
      <c r="L81" s="188"/>
      <c r="M81" s="188"/>
      <c r="N81" s="188"/>
      <c r="O81" s="2"/>
      <c r="Q81" s="185"/>
    </row>
    <row r="82" spans="1:17" s="191" customFormat="1" ht="21.95" customHeight="1">
      <c r="A82" s="193"/>
      <c r="B82" s="252"/>
      <c r="C82" s="252"/>
      <c r="D82" s="190"/>
      <c r="E82" s="184"/>
      <c r="F82" s="192"/>
      <c r="G82" s="189"/>
      <c r="H82" s="188"/>
      <c r="I82" s="187"/>
      <c r="J82" s="188"/>
      <c r="K82" s="187"/>
      <c r="L82" s="188"/>
      <c r="M82" s="188"/>
      <c r="N82" s="188"/>
      <c r="O82" s="2"/>
      <c r="Q82" s="185"/>
    </row>
    <row r="83" spans="1:17" s="191" customFormat="1" ht="21.95" customHeight="1">
      <c r="A83" s="193"/>
      <c r="B83" s="252"/>
      <c r="C83" s="252"/>
      <c r="D83" s="190"/>
      <c r="E83" s="184"/>
      <c r="F83" s="192"/>
      <c r="G83" s="189"/>
      <c r="H83" s="188"/>
      <c r="I83" s="187"/>
      <c r="J83" s="188"/>
      <c r="K83" s="187"/>
      <c r="L83" s="188"/>
      <c r="M83" s="188"/>
      <c r="N83" s="188"/>
      <c r="O83" s="2"/>
      <c r="Q83" s="185"/>
    </row>
    <row r="84" spans="1:17" s="191" customFormat="1" ht="21.95" customHeight="1">
      <c r="A84" s="193"/>
      <c r="B84" s="252"/>
      <c r="C84" s="252"/>
      <c r="D84" s="190"/>
      <c r="E84" s="184"/>
      <c r="F84" s="192"/>
      <c r="G84" s="189"/>
      <c r="H84" s="188"/>
      <c r="I84" s="187"/>
      <c r="J84" s="188"/>
      <c r="K84" s="187"/>
      <c r="L84" s="188"/>
      <c r="M84" s="188"/>
      <c r="N84" s="188"/>
      <c r="O84" s="2"/>
      <c r="Q84" s="185"/>
    </row>
    <row r="85" spans="1:17" s="191" customFormat="1" ht="21.95" customHeight="1">
      <c r="A85" s="193"/>
      <c r="B85" s="252"/>
      <c r="C85" s="252"/>
      <c r="D85" s="190"/>
      <c r="E85" s="184"/>
      <c r="F85" s="192"/>
      <c r="G85" s="189"/>
      <c r="H85" s="188"/>
      <c r="I85" s="187"/>
      <c r="J85" s="188"/>
      <c r="K85" s="187"/>
      <c r="L85" s="188"/>
      <c r="M85" s="188"/>
      <c r="N85" s="188"/>
      <c r="O85" s="2"/>
      <c r="Q85" s="185"/>
    </row>
    <row r="86" spans="1:17" s="191" customFormat="1" ht="21.95" customHeight="1">
      <c r="A86" s="193"/>
      <c r="B86" s="252"/>
      <c r="C86" s="252"/>
      <c r="D86" s="190"/>
      <c r="E86" s="184"/>
      <c r="F86" s="192"/>
      <c r="G86" s="189"/>
      <c r="H86" s="188"/>
      <c r="I86" s="187"/>
      <c r="J86" s="188"/>
      <c r="K86" s="187"/>
      <c r="L86" s="188"/>
      <c r="M86" s="188"/>
      <c r="N86" s="188"/>
      <c r="O86" s="2"/>
      <c r="Q86" s="185"/>
    </row>
    <row r="87" spans="1:17" s="191" customFormat="1" ht="21.95" customHeight="1">
      <c r="A87" s="193"/>
      <c r="B87" s="252"/>
      <c r="C87" s="252"/>
      <c r="D87" s="190"/>
      <c r="E87" s="184"/>
      <c r="F87" s="192"/>
      <c r="G87" s="189"/>
      <c r="H87" s="188"/>
      <c r="I87" s="187"/>
      <c r="J87" s="188"/>
      <c r="K87" s="187"/>
      <c r="L87" s="188"/>
      <c r="M87" s="188"/>
      <c r="N87" s="188"/>
      <c r="O87" s="2"/>
      <c r="Q87" s="185"/>
    </row>
    <row r="88" spans="1:17" s="191" customFormat="1" ht="21.95" customHeight="1">
      <c r="A88" s="193"/>
      <c r="B88" s="252"/>
      <c r="C88" s="252"/>
      <c r="D88" s="190"/>
      <c r="E88" s="184"/>
      <c r="F88" s="192"/>
      <c r="G88" s="189"/>
      <c r="H88" s="188"/>
      <c r="I88" s="187"/>
      <c r="J88" s="188"/>
      <c r="K88" s="187"/>
      <c r="L88" s="188"/>
      <c r="M88" s="188"/>
      <c r="N88" s="188"/>
      <c r="O88" s="2"/>
      <c r="Q88" s="185"/>
    </row>
    <row r="89" spans="1:17" s="191" customFormat="1" ht="21.95" customHeight="1">
      <c r="A89" s="193"/>
      <c r="B89" s="252"/>
      <c r="C89" s="252"/>
      <c r="D89" s="190"/>
      <c r="E89" s="184"/>
      <c r="F89" s="192"/>
      <c r="G89" s="189"/>
      <c r="H89" s="188"/>
      <c r="I89" s="187"/>
      <c r="J89" s="188"/>
      <c r="K89" s="187"/>
      <c r="L89" s="188"/>
      <c r="M89" s="188"/>
      <c r="N89" s="188"/>
      <c r="O89" s="2"/>
      <c r="Q89" s="185"/>
    </row>
    <row r="90" spans="1:17" s="191" customFormat="1" ht="21.95" customHeight="1">
      <c r="A90" s="193"/>
      <c r="B90" s="252"/>
      <c r="C90" s="252"/>
      <c r="D90" s="190"/>
      <c r="E90" s="184"/>
      <c r="F90" s="192"/>
      <c r="G90" s="189"/>
      <c r="H90" s="188"/>
      <c r="I90" s="187"/>
      <c r="J90" s="188"/>
      <c r="K90" s="187"/>
      <c r="L90" s="188"/>
      <c r="M90" s="188"/>
      <c r="N90" s="188"/>
      <c r="O90" s="2"/>
      <c r="Q90" s="185"/>
    </row>
    <row r="91" spans="1:17" s="191" customFormat="1" ht="21.95" customHeight="1">
      <c r="A91" s="193"/>
      <c r="B91" s="252"/>
      <c r="C91" s="252"/>
      <c r="D91" s="190"/>
      <c r="E91" s="184"/>
      <c r="F91" s="192"/>
      <c r="G91" s="189"/>
      <c r="H91" s="188"/>
      <c r="I91" s="187"/>
      <c r="J91" s="188"/>
      <c r="K91" s="187"/>
      <c r="L91" s="188"/>
      <c r="M91" s="188"/>
      <c r="N91" s="188"/>
      <c r="O91" s="2"/>
      <c r="Q91" s="185"/>
    </row>
    <row r="92" spans="1:17" s="191" customFormat="1" ht="21.95" customHeight="1">
      <c r="A92" s="193"/>
      <c r="B92" s="252"/>
      <c r="C92" s="252"/>
      <c r="D92" s="190"/>
      <c r="E92" s="184"/>
      <c r="F92" s="192"/>
      <c r="G92" s="189"/>
      <c r="H92" s="188"/>
      <c r="I92" s="187"/>
      <c r="J92" s="188"/>
      <c r="K92" s="187"/>
      <c r="L92" s="188"/>
      <c r="M92" s="188"/>
      <c r="N92" s="188"/>
      <c r="O92" s="2"/>
      <c r="Q92" s="185"/>
    </row>
    <row r="93" spans="1:17" s="191" customFormat="1" ht="21.95" customHeight="1">
      <c r="A93" s="193"/>
      <c r="B93" s="252"/>
      <c r="C93" s="252"/>
      <c r="D93" s="190"/>
      <c r="E93" s="184"/>
      <c r="F93" s="192"/>
      <c r="G93" s="189"/>
      <c r="H93" s="188"/>
      <c r="I93" s="187"/>
      <c r="J93" s="188"/>
      <c r="K93" s="187"/>
      <c r="L93" s="188"/>
      <c r="M93" s="188"/>
      <c r="N93" s="188"/>
      <c r="O93" s="2"/>
      <c r="Q93" s="185"/>
    </row>
    <row r="94" spans="1:17" s="191" customFormat="1" ht="21.95" customHeight="1">
      <c r="A94" s="193"/>
      <c r="B94" s="252"/>
      <c r="C94" s="252"/>
      <c r="D94" s="190"/>
      <c r="E94" s="184"/>
      <c r="F94" s="192"/>
      <c r="G94" s="189"/>
      <c r="H94" s="188"/>
      <c r="I94" s="187"/>
      <c r="J94" s="188"/>
      <c r="K94" s="187"/>
      <c r="L94" s="188"/>
      <c r="M94" s="188"/>
      <c r="N94" s="188"/>
      <c r="O94" s="2"/>
      <c r="Q94" s="185"/>
    </row>
    <row r="95" spans="1:17" s="191" customFormat="1" ht="21.95" customHeight="1">
      <c r="A95" s="193"/>
      <c r="B95" s="252"/>
      <c r="C95" s="252"/>
      <c r="D95" s="190"/>
      <c r="E95" s="184"/>
      <c r="F95" s="192"/>
      <c r="G95" s="189"/>
      <c r="H95" s="188"/>
      <c r="I95" s="187"/>
      <c r="J95" s="188"/>
      <c r="K95" s="187"/>
      <c r="L95" s="188"/>
      <c r="M95" s="188"/>
      <c r="N95" s="188"/>
      <c r="O95" s="2"/>
      <c r="Q95" s="185"/>
    </row>
    <row r="96" spans="1:17" s="191" customFormat="1" ht="21.95" customHeight="1">
      <c r="A96" s="193"/>
      <c r="B96" s="252"/>
      <c r="C96" s="252"/>
      <c r="D96" s="190"/>
      <c r="E96" s="184"/>
      <c r="F96" s="192"/>
      <c r="G96" s="189"/>
      <c r="H96" s="188"/>
      <c r="I96" s="187"/>
      <c r="J96" s="188"/>
      <c r="K96" s="187"/>
      <c r="L96" s="188"/>
      <c r="M96" s="188"/>
      <c r="N96" s="188"/>
      <c r="O96" s="2"/>
      <c r="Q96" s="185"/>
    </row>
    <row r="97" spans="1:17" s="191" customFormat="1" ht="21.95" customHeight="1">
      <c r="A97" s="193"/>
      <c r="B97" s="252"/>
      <c r="C97" s="252"/>
      <c r="D97" s="190"/>
      <c r="E97" s="184"/>
      <c r="F97" s="192"/>
      <c r="G97" s="189"/>
      <c r="H97" s="188"/>
      <c r="I97" s="187"/>
      <c r="J97" s="188"/>
      <c r="K97" s="187"/>
      <c r="L97" s="188"/>
      <c r="M97" s="188"/>
      <c r="N97" s="188"/>
      <c r="O97" s="2"/>
      <c r="Q97" s="185"/>
    </row>
    <row r="98" spans="1:17" s="191" customFormat="1" ht="21.95" customHeight="1">
      <c r="A98" s="193"/>
      <c r="B98" s="252"/>
      <c r="C98" s="252"/>
      <c r="D98" s="190"/>
      <c r="E98" s="184"/>
      <c r="F98" s="192"/>
      <c r="G98" s="189"/>
      <c r="H98" s="188"/>
      <c r="I98" s="187"/>
      <c r="J98" s="188"/>
      <c r="K98" s="187"/>
      <c r="L98" s="188"/>
      <c r="M98" s="188"/>
      <c r="N98" s="188"/>
      <c r="O98" s="2"/>
      <c r="Q98" s="185"/>
    </row>
    <row r="99" spans="1:17" s="191" customFormat="1" ht="21.95" customHeight="1">
      <c r="A99" s="193"/>
      <c r="B99" s="252"/>
      <c r="C99" s="252"/>
      <c r="D99" s="190"/>
      <c r="E99" s="184"/>
      <c r="F99" s="192"/>
      <c r="G99" s="189"/>
      <c r="H99" s="188"/>
      <c r="I99" s="187"/>
      <c r="J99" s="188"/>
      <c r="K99" s="187"/>
      <c r="L99" s="188"/>
      <c r="M99" s="188"/>
      <c r="N99" s="188"/>
      <c r="O99" s="2"/>
      <c r="Q99" s="185"/>
    </row>
    <row r="100" spans="1:17" s="191" customFormat="1" ht="21.95" customHeight="1">
      <c r="A100" s="193"/>
      <c r="B100" s="252"/>
      <c r="C100" s="252"/>
      <c r="D100" s="190"/>
      <c r="E100" s="184"/>
      <c r="F100" s="192"/>
      <c r="G100" s="189"/>
      <c r="H100" s="188"/>
      <c r="I100" s="187"/>
      <c r="J100" s="188"/>
      <c r="K100" s="187"/>
      <c r="L100" s="188"/>
      <c r="M100" s="188"/>
      <c r="N100" s="188"/>
      <c r="O100" s="2"/>
      <c r="Q100" s="185"/>
    </row>
    <row r="101" spans="1:17" s="191" customFormat="1" ht="21.95" customHeight="1">
      <c r="A101" s="193"/>
      <c r="B101" s="252"/>
      <c r="C101" s="252"/>
      <c r="D101" s="190"/>
      <c r="E101" s="184"/>
      <c r="F101" s="192"/>
      <c r="G101" s="189"/>
      <c r="H101" s="188"/>
      <c r="I101" s="187"/>
      <c r="J101" s="188"/>
      <c r="K101" s="187"/>
      <c r="L101" s="188"/>
      <c r="M101" s="188"/>
      <c r="N101" s="188"/>
      <c r="O101" s="2"/>
      <c r="Q101" s="185"/>
    </row>
    <row r="102" spans="1:17" s="191" customFormat="1" ht="21.95" customHeight="1">
      <c r="A102" s="193"/>
      <c r="B102" s="252"/>
      <c r="C102" s="252"/>
      <c r="D102" s="190"/>
      <c r="E102" s="184"/>
      <c r="F102" s="192"/>
      <c r="G102" s="189"/>
      <c r="H102" s="188"/>
      <c r="I102" s="187"/>
      <c r="J102" s="188"/>
      <c r="K102" s="187"/>
      <c r="L102" s="188"/>
      <c r="M102" s="188"/>
      <c r="N102" s="188"/>
      <c r="O102" s="2"/>
      <c r="Q102" s="185"/>
    </row>
    <row r="103" spans="1:17" s="191" customFormat="1" ht="21.95" customHeight="1">
      <c r="A103" s="193"/>
      <c r="B103" s="252"/>
      <c r="C103" s="252"/>
      <c r="D103" s="190"/>
      <c r="E103" s="184"/>
      <c r="F103" s="192"/>
      <c r="G103" s="189"/>
      <c r="H103" s="188"/>
      <c r="I103" s="187"/>
      <c r="J103" s="188"/>
      <c r="K103" s="187"/>
      <c r="L103" s="188"/>
      <c r="M103" s="188"/>
      <c r="N103" s="188"/>
      <c r="O103" s="2"/>
      <c r="Q103" s="185"/>
    </row>
    <row r="104" spans="1:17" s="191" customFormat="1" ht="21.95" customHeight="1">
      <c r="A104" s="193"/>
      <c r="B104" s="252"/>
      <c r="C104" s="252"/>
      <c r="D104" s="190"/>
      <c r="E104" s="184"/>
      <c r="F104" s="192"/>
      <c r="G104" s="189"/>
      <c r="H104" s="188"/>
      <c r="I104" s="187"/>
      <c r="J104" s="188"/>
      <c r="K104" s="187"/>
      <c r="L104" s="188"/>
      <c r="M104" s="188"/>
      <c r="N104" s="188"/>
      <c r="O104" s="2"/>
      <c r="Q104" s="185"/>
    </row>
    <row r="105" spans="1:17" s="191" customFormat="1" ht="21.95" customHeight="1">
      <c r="A105" s="193"/>
      <c r="B105" s="252"/>
      <c r="C105" s="252"/>
      <c r="D105" s="190"/>
      <c r="E105" s="184"/>
      <c r="F105" s="192"/>
      <c r="G105" s="189"/>
      <c r="H105" s="188"/>
      <c r="I105" s="187"/>
      <c r="J105" s="188"/>
      <c r="K105" s="187"/>
      <c r="L105" s="188"/>
      <c r="M105" s="188"/>
      <c r="N105" s="188"/>
      <c r="O105" s="2"/>
      <c r="Q105" s="185"/>
    </row>
    <row r="106" spans="1:17" s="191" customFormat="1" ht="21.95" customHeight="1">
      <c r="A106" s="193"/>
      <c r="B106" s="252"/>
      <c r="C106" s="252"/>
      <c r="D106" s="190"/>
      <c r="E106" s="184"/>
      <c r="F106" s="192"/>
      <c r="G106" s="189"/>
      <c r="H106" s="188"/>
      <c r="I106" s="187"/>
      <c r="J106" s="188"/>
      <c r="K106" s="187"/>
      <c r="L106" s="188"/>
      <c r="M106" s="188"/>
      <c r="N106" s="188"/>
      <c r="O106" s="2"/>
      <c r="Q106" s="185"/>
    </row>
    <row r="107" spans="1:17" s="191" customFormat="1" ht="21.95" customHeight="1">
      <c r="A107" s="193"/>
      <c r="B107" s="252"/>
      <c r="C107" s="252"/>
      <c r="D107" s="190"/>
      <c r="E107" s="184"/>
      <c r="F107" s="192"/>
      <c r="G107" s="189"/>
      <c r="H107" s="188"/>
      <c r="I107" s="187"/>
      <c r="J107" s="188"/>
      <c r="K107" s="187"/>
      <c r="L107" s="188"/>
      <c r="M107" s="188"/>
      <c r="N107" s="188"/>
      <c r="O107" s="2"/>
      <c r="Q107" s="185"/>
    </row>
    <row r="108" spans="1:17" s="191" customFormat="1" ht="21.95" customHeight="1">
      <c r="A108" s="193"/>
      <c r="B108" s="252"/>
      <c r="C108" s="252"/>
      <c r="D108" s="190"/>
      <c r="E108" s="184"/>
      <c r="F108" s="192"/>
      <c r="G108" s="189"/>
      <c r="H108" s="188"/>
      <c r="I108" s="187"/>
      <c r="J108" s="188"/>
      <c r="K108" s="187"/>
      <c r="L108" s="188"/>
      <c r="M108" s="188"/>
      <c r="N108" s="188"/>
      <c r="O108" s="2"/>
      <c r="Q108" s="185"/>
    </row>
    <row r="109" spans="1:17" s="191" customFormat="1" ht="21.95" customHeight="1">
      <c r="A109" s="193"/>
      <c r="B109" s="252"/>
      <c r="C109" s="252"/>
      <c r="D109" s="190"/>
      <c r="E109" s="184"/>
      <c r="F109" s="192"/>
      <c r="G109" s="189"/>
      <c r="H109" s="188"/>
      <c r="I109" s="187"/>
      <c r="J109" s="188"/>
      <c r="K109" s="187"/>
      <c r="L109" s="188"/>
      <c r="M109" s="188"/>
      <c r="N109" s="188"/>
      <c r="O109" s="2"/>
      <c r="Q109" s="185"/>
    </row>
    <row r="110" spans="1:17" s="191" customFormat="1" ht="21.95" customHeight="1">
      <c r="A110" s="193"/>
      <c r="B110" s="252"/>
      <c r="C110" s="252"/>
      <c r="D110" s="190"/>
      <c r="E110" s="184"/>
      <c r="F110" s="192"/>
      <c r="G110" s="189"/>
      <c r="H110" s="188"/>
      <c r="I110" s="187"/>
      <c r="J110" s="188"/>
      <c r="K110" s="187"/>
      <c r="L110" s="188"/>
      <c r="M110" s="188"/>
      <c r="N110" s="188"/>
      <c r="O110" s="2"/>
      <c r="Q110" s="185"/>
    </row>
    <row r="111" spans="1:17" s="191" customFormat="1" ht="21.95" customHeight="1">
      <c r="A111" s="193"/>
      <c r="B111" s="252"/>
      <c r="C111" s="252"/>
      <c r="D111" s="190"/>
      <c r="E111" s="184"/>
      <c r="F111" s="192"/>
      <c r="G111" s="189"/>
      <c r="H111" s="188"/>
      <c r="I111" s="187"/>
      <c r="J111" s="188"/>
      <c r="K111" s="187"/>
      <c r="L111" s="188"/>
      <c r="M111" s="188"/>
      <c r="N111" s="188"/>
      <c r="O111" s="2"/>
      <c r="Q111" s="185"/>
    </row>
    <row r="112" spans="1:17" s="191" customFormat="1" ht="21.95" customHeight="1">
      <c r="A112" s="193"/>
      <c r="B112" s="252"/>
      <c r="C112" s="252"/>
      <c r="D112" s="190"/>
      <c r="E112" s="184"/>
      <c r="F112" s="192"/>
      <c r="G112" s="189"/>
      <c r="H112" s="188"/>
      <c r="I112" s="187"/>
      <c r="J112" s="188"/>
      <c r="K112" s="187"/>
      <c r="L112" s="188"/>
      <c r="M112" s="188"/>
      <c r="N112" s="188"/>
      <c r="O112" s="2"/>
      <c r="Q112" s="185"/>
    </row>
    <row r="113" spans="1:17" s="191" customFormat="1" ht="21.95" customHeight="1">
      <c r="A113" s="193"/>
      <c r="B113" s="252"/>
      <c r="C113" s="252"/>
      <c r="D113" s="190"/>
      <c r="E113" s="184"/>
      <c r="F113" s="192"/>
      <c r="G113" s="189"/>
      <c r="H113" s="188"/>
      <c r="I113" s="187"/>
      <c r="J113" s="188"/>
      <c r="K113" s="187"/>
      <c r="L113" s="188"/>
      <c r="M113" s="188"/>
      <c r="N113" s="188"/>
      <c r="O113" s="2"/>
      <c r="Q113" s="185"/>
    </row>
    <row r="114" spans="1:17" s="191" customFormat="1" ht="21.95" customHeight="1">
      <c r="A114" s="193"/>
      <c r="B114" s="252"/>
      <c r="C114" s="252"/>
      <c r="D114" s="190"/>
      <c r="E114" s="184"/>
      <c r="F114" s="192"/>
      <c r="G114" s="189"/>
      <c r="H114" s="188"/>
      <c r="I114" s="187"/>
      <c r="J114" s="188"/>
      <c r="K114" s="187"/>
      <c r="L114" s="188"/>
      <c r="M114" s="188"/>
      <c r="N114" s="188"/>
      <c r="O114" s="2"/>
      <c r="Q114" s="185"/>
    </row>
    <row r="115" spans="1:17" s="191" customFormat="1" ht="21.95" customHeight="1">
      <c r="A115" s="193"/>
      <c r="B115" s="252"/>
      <c r="C115" s="252"/>
      <c r="D115" s="190"/>
      <c r="E115" s="184"/>
      <c r="F115" s="192"/>
      <c r="G115" s="189"/>
      <c r="H115" s="188"/>
      <c r="I115" s="187"/>
      <c r="J115" s="188"/>
      <c r="K115" s="187"/>
      <c r="L115" s="188"/>
      <c r="M115" s="188"/>
      <c r="N115" s="188"/>
      <c r="O115" s="2"/>
      <c r="Q115" s="185"/>
    </row>
    <row r="116" spans="1:17" s="191" customFormat="1" ht="21.95" customHeight="1">
      <c r="A116" s="193"/>
      <c r="B116" s="252"/>
      <c r="C116" s="252"/>
      <c r="D116" s="190"/>
      <c r="E116" s="184"/>
      <c r="F116" s="192"/>
      <c r="G116" s="189"/>
      <c r="H116" s="188"/>
      <c r="I116" s="187"/>
      <c r="J116" s="188"/>
      <c r="K116" s="187"/>
      <c r="L116" s="188"/>
      <c r="M116" s="188"/>
      <c r="N116" s="188"/>
      <c r="O116" s="2"/>
      <c r="Q116" s="185"/>
    </row>
    <row r="117" spans="1:17" s="191" customFormat="1" ht="21.95" customHeight="1">
      <c r="A117" s="193"/>
      <c r="B117" s="252"/>
      <c r="C117" s="252"/>
      <c r="D117" s="190"/>
      <c r="E117" s="184"/>
      <c r="F117" s="192"/>
      <c r="G117" s="189"/>
      <c r="H117" s="188"/>
      <c r="I117" s="187"/>
      <c r="J117" s="188"/>
      <c r="K117" s="187"/>
      <c r="L117" s="188"/>
      <c r="M117" s="188"/>
      <c r="N117" s="188"/>
      <c r="O117" s="2"/>
      <c r="Q117" s="185"/>
    </row>
    <row r="118" spans="1:17" s="191" customFormat="1" ht="21.95" customHeight="1">
      <c r="A118" s="193"/>
      <c r="B118" s="252"/>
      <c r="C118" s="252"/>
      <c r="D118" s="190"/>
      <c r="E118" s="184"/>
      <c r="F118" s="192"/>
      <c r="G118" s="189"/>
      <c r="H118" s="188"/>
      <c r="I118" s="187"/>
      <c r="J118" s="188"/>
      <c r="K118" s="187"/>
      <c r="L118" s="188"/>
      <c r="M118" s="188"/>
      <c r="N118" s="188"/>
      <c r="O118" s="2"/>
      <c r="Q118" s="185"/>
    </row>
    <row r="119" spans="1:17" s="191" customFormat="1" ht="21.95" customHeight="1">
      <c r="A119" s="193"/>
      <c r="B119" s="252"/>
      <c r="C119" s="252"/>
      <c r="D119" s="190"/>
      <c r="E119" s="184"/>
      <c r="F119" s="192"/>
      <c r="G119" s="189"/>
      <c r="H119" s="188"/>
      <c r="I119" s="187"/>
      <c r="J119" s="188"/>
      <c r="K119" s="187"/>
      <c r="L119" s="188"/>
      <c r="M119" s="188"/>
      <c r="N119" s="188"/>
      <c r="O119" s="2"/>
      <c r="Q119" s="185"/>
    </row>
    <row r="120" spans="1:17" s="191" customFormat="1" ht="21.95" customHeight="1">
      <c r="A120" s="193"/>
      <c r="B120" s="252"/>
      <c r="C120" s="252"/>
      <c r="D120" s="190"/>
      <c r="E120" s="184"/>
      <c r="F120" s="192"/>
      <c r="G120" s="189"/>
      <c r="H120" s="188"/>
      <c r="I120" s="187"/>
      <c r="J120" s="188"/>
      <c r="K120" s="187"/>
      <c r="L120" s="188"/>
      <c r="M120" s="188"/>
      <c r="N120" s="188"/>
      <c r="O120" s="2"/>
      <c r="Q120" s="185"/>
    </row>
    <row r="121" spans="1:17" s="191" customFormat="1" ht="21.95" customHeight="1">
      <c r="A121" s="193"/>
      <c r="B121" s="252"/>
      <c r="C121" s="252"/>
      <c r="D121" s="190"/>
      <c r="E121" s="184"/>
      <c r="F121" s="192"/>
      <c r="G121" s="189"/>
      <c r="H121" s="188"/>
      <c r="I121" s="187"/>
      <c r="J121" s="188"/>
      <c r="K121" s="187"/>
      <c r="L121" s="188"/>
      <c r="M121" s="188"/>
      <c r="N121" s="188"/>
      <c r="O121" s="2"/>
      <c r="Q121" s="185"/>
    </row>
    <row r="122" spans="1:17" s="191" customFormat="1" ht="21.95" customHeight="1">
      <c r="A122" s="193"/>
      <c r="B122" s="252"/>
      <c r="C122" s="252"/>
      <c r="D122" s="190"/>
      <c r="E122" s="184"/>
      <c r="F122" s="192"/>
      <c r="G122" s="189"/>
      <c r="H122" s="188"/>
      <c r="I122" s="187"/>
      <c r="J122" s="188"/>
      <c r="K122" s="187"/>
      <c r="L122" s="188"/>
      <c r="M122" s="188"/>
      <c r="N122" s="188"/>
      <c r="O122" s="2"/>
      <c r="Q122" s="185"/>
    </row>
    <row r="123" spans="1:17" s="191" customFormat="1" ht="21.95" customHeight="1">
      <c r="A123" s="193"/>
      <c r="B123" s="252"/>
      <c r="C123" s="252"/>
      <c r="D123" s="190"/>
      <c r="E123" s="184"/>
      <c r="F123" s="192"/>
      <c r="G123" s="189"/>
      <c r="H123" s="188"/>
      <c r="I123" s="187"/>
      <c r="J123" s="188"/>
      <c r="K123" s="187"/>
      <c r="L123" s="188"/>
      <c r="M123" s="188"/>
      <c r="N123" s="188"/>
      <c r="O123" s="2"/>
      <c r="Q123" s="185"/>
    </row>
    <row r="124" spans="1:17" s="191" customFormat="1" ht="21.95" customHeight="1">
      <c r="A124" s="193"/>
      <c r="B124" s="252"/>
      <c r="C124" s="252"/>
      <c r="D124" s="190"/>
      <c r="E124" s="184"/>
      <c r="F124" s="192"/>
      <c r="G124" s="189"/>
      <c r="H124" s="188"/>
      <c r="I124" s="187"/>
      <c r="J124" s="188"/>
      <c r="K124" s="187"/>
      <c r="L124" s="188"/>
      <c r="M124" s="188"/>
      <c r="N124" s="188"/>
      <c r="O124" s="2"/>
      <c r="Q124" s="185"/>
    </row>
    <row r="125" spans="1:17" s="191" customFormat="1" ht="21.95" customHeight="1">
      <c r="A125" s="193"/>
      <c r="B125" s="252"/>
      <c r="C125" s="252"/>
      <c r="D125" s="190"/>
      <c r="E125" s="184"/>
      <c r="F125" s="192"/>
      <c r="G125" s="189"/>
      <c r="H125" s="188"/>
      <c r="I125" s="187"/>
      <c r="J125" s="188"/>
      <c r="K125" s="187"/>
      <c r="L125" s="188"/>
      <c r="M125" s="188"/>
      <c r="N125" s="188"/>
      <c r="O125" s="2"/>
      <c r="Q125" s="185"/>
    </row>
    <row r="126" spans="1:17" ht="21.95" customHeight="1">
      <c r="A126" s="197"/>
      <c r="B126" s="253"/>
      <c r="C126" s="253"/>
      <c r="D126" s="198"/>
      <c r="E126" s="199"/>
      <c r="F126" s="199"/>
      <c r="G126" s="200"/>
      <c r="H126" s="201"/>
      <c r="I126" s="200"/>
      <c r="J126" s="201"/>
      <c r="K126" s="200"/>
      <c r="L126" s="201"/>
      <c r="M126" s="200"/>
      <c r="N126" s="201"/>
      <c r="O126" s="202"/>
      <c r="P126" s="196"/>
      <c r="Q126" s="203"/>
    </row>
    <row r="128" spans="1:17" ht="24" customHeight="1">
      <c r="G128" s="107"/>
    </row>
    <row r="129" spans="7:11" ht="24" customHeight="1">
      <c r="I129" s="141"/>
      <c r="K129" s="141"/>
    </row>
    <row r="130" spans="7:11" ht="24" customHeight="1">
      <c r="G130" s="148"/>
      <c r="I130" s="148"/>
      <c r="K130" s="148"/>
    </row>
  </sheetData>
  <autoFilter ref="B2:O53" xr:uid="{00000000-0009-0000-0000-000003000000}">
    <filterColumn colId="11" showButton="0"/>
  </autoFilter>
  <mergeCells count="9">
    <mergeCell ref="B53:D53"/>
    <mergeCell ref="B1:O1"/>
    <mergeCell ref="B2:B3"/>
    <mergeCell ref="C2:C3"/>
    <mergeCell ref="D2:D3"/>
    <mergeCell ref="E2:E3"/>
    <mergeCell ref="F2:F3"/>
    <mergeCell ref="M2:N2"/>
    <mergeCell ref="O2:O3"/>
  </mergeCells>
  <phoneticPr fontId="3" type="noConversion"/>
  <printOptions horizontalCentered="1"/>
  <pageMargins left="0.70866141732283472" right="0.19685039370078741" top="0.98425196850393704" bottom="0.59055118110236227" header="0.39370078740157483" footer="0.39370078740157483"/>
  <pageSetup paperSize="9" scale="41" orientation="landscape" r:id="rId1"/>
  <headerFooter alignWithMargins="0">
    <oddHeader>&amp;C&amp;"돋움,굵게"&amp;20내      역      서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907"/>
  <sheetViews>
    <sheetView showZeros="0" view="pageBreakPreview" topLeftCell="C1" zoomScale="70" zoomScaleNormal="85" zoomScaleSheetLayoutView="70" workbookViewId="0">
      <pane ySplit="3" topLeftCell="A4" activePane="bottomLeft" state="frozen"/>
      <selection sqref="A1:G1"/>
      <selection pane="bottomLeft" activeCell="E14" sqref="E14"/>
    </sheetView>
  </sheetViews>
  <sheetFormatPr defaultColWidth="8.88671875" defaultRowHeight="24" customHeight="1"/>
  <cols>
    <col min="1" max="1" width="4.109375" style="207" hidden="1" customWidth="1"/>
    <col min="2" max="2" width="5.44140625" style="207" hidden="1" customWidth="1"/>
    <col min="3" max="3" width="11.21875" style="266" customWidth="1"/>
    <col min="4" max="4" width="29" style="136" bestFit="1" customWidth="1"/>
    <col min="5" max="5" width="63.109375" style="136" bestFit="1" customWidth="1"/>
    <col min="6" max="6" width="9.5546875" style="248" bestFit="1" customWidth="1"/>
    <col min="7" max="7" width="6.33203125" style="135" bestFit="1" customWidth="1"/>
    <col min="8" max="8" width="7.77734375" style="246" customWidth="1"/>
    <col min="9" max="9" width="10.5546875" style="135" customWidth="1"/>
    <col min="10" max="10" width="7.77734375" style="135" customWidth="1"/>
    <col min="11" max="11" width="11.21875" style="135" customWidth="1"/>
    <col min="12" max="12" width="11.6640625" style="135" bestFit="1" customWidth="1"/>
    <col min="13" max="13" width="10.44140625" style="135" customWidth="1"/>
    <col min="14" max="14" width="11.21875" style="135" customWidth="1"/>
    <col min="15" max="15" width="31.5546875" style="310" customWidth="1"/>
    <col min="16" max="16" width="11.21875" style="207" bestFit="1" customWidth="1"/>
    <col min="17" max="17" width="10" style="207" customWidth="1"/>
    <col min="18" max="18" width="9.33203125" style="207" bestFit="1" customWidth="1"/>
    <col min="19" max="16384" width="8.88671875" style="207"/>
  </cols>
  <sheetData>
    <row r="1" spans="1:21" ht="35.1" customHeight="1">
      <c r="C1" s="1252" t="s">
        <v>648</v>
      </c>
      <c r="D1" s="1253"/>
      <c r="E1" s="1253"/>
      <c r="F1" s="1253"/>
      <c r="G1" s="1253"/>
      <c r="H1" s="1253"/>
      <c r="I1" s="1253"/>
      <c r="J1" s="1253"/>
      <c r="K1" s="1253"/>
      <c r="L1" s="1253"/>
      <c r="M1" s="1253"/>
      <c r="N1" s="1253"/>
      <c r="O1" s="1253"/>
      <c r="P1" s="1079"/>
    </row>
    <row r="2" spans="1:21" s="208" customFormat="1" ht="13.5" customHeight="1">
      <c r="C2" s="1254" t="s">
        <v>545</v>
      </c>
      <c r="D2" s="1257" t="s">
        <v>31</v>
      </c>
      <c r="E2" s="1258" t="s">
        <v>32</v>
      </c>
      <c r="F2" s="1260" t="s">
        <v>33</v>
      </c>
      <c r="G2" s="1260" t="s">
        <v>22</v>
      </c>
      <c r="H2" s="904" t="s">
        <v>23</v>
      </c>
      <c r="I2" s="905"/>
      <c r="J2" s="905" t="s">
        <v>24</v>
      </c>
      <c r="K2" s="905"/>
      <c r="L2" s="1255" t="s">
        <v>25</v>
      </c>
      <c r="M2" s="1256"/>
      <c r="N2" s="905" t="s">
        <v>560</v>
      </c>
      <c r="O2" s="1261" t="s">
        <v>36</v>
      </c>
    </row>
    <row r="3" spans="1:21" ht="13.5" customHeight="1">
      <c r="B3" s="209"/>
      <c r="C3" s="1254"/>
      <c r="D3" s="1257"/>
      <c r="E3" s="1259"/>
      <c r="F3" s="1260"/>
      <c r="G3" s="1260"/>
      <c r="H3" s="192" t="s">
        <v>27</v>
      </c>
      <c r="I3" s="906" t="s">
        <v>34</v>
      </c>
      <c r="J3" s="906" t="s">
        <v>27</v>
      </c>
      <c r="K3" s="906" t="s">
        <v>34</v>
      </c>
      <c r="L3" s="273" t="s">
        <v>27</v>
      </c>
      <c r="M3" s="907" t="s">
        <v>34</v>
      </c>
      <c r="N3" s="906" t="s">
        <v>35</v>
      </c>
      <c r="O3" s="1261"/>
      <c r="P3" s="209"/>
      <c r="Q3" s="209"/>
      <c r="R3" s="209"/>
      <c r="S3" s="209"/>
      <c r="T3" s="209"/>
      <c r="U3" s="209"/>
    </row>
    <row r="4" spans="1:21" ht="24" customHeight="1">
      <c r="A4" s="207">
        <v>1</v>
      </c>
      <c r="B4" s="210">
        <v>1</v>
      </c>
      <c r="C4" s="292" t="s">
        <v>2776</v>
      </c>
      <c r="D4" s="282" t="s">
        <v>573</v>
      </c>
      <c r="E4" s="294" t="s">
        <v>2621</v>
      </c>
      <c r="F4" s="294">
        <v>1</v>
      </c>
      <c r="G4" s="294" t="s">
        <v>37</v>
      </c>
      <c r="H4" s="295"/>
      <c r="I4" s="296"/>
      <c r="J4" s="296"/>
      <c r="K4" s="296"/>
      <c r="L4" s="296"/>
      <c r="M4" s="296"/>
      <c r="N4" s="296"/>
      <c r="O4" s="294" t="s">
        <v>559</v>
      </c>
      <c r="P4" s="210"/>
    </row>
    <row r="5" spans="1:21" ht="24" customHeight="1">
      <c r="B5" s="210"/>
      <c r="C5" s="292"/>
      <c r="D5" s="298" t="s">
        <v>38</v>
      </c>
      <c r="E5" s="273"/>
      <c r="F5" s="273">
        <v>0.504</v>
      </c>
      <c r="G5" s="273" t="s">
        <v>39</v>
      </c>
      <c r="H5" s="256"/>
      <c r="I5" s="257"/>
      <c r="J5" s="257"/>
      <c r="K5" s="257"/>
      <c r="L5" s="257"/>
      <c r="M5" s="257"/>
      <c r="N5" s="257"/>
      <c r="O5" s="294"/>
      <c r="P5" s="210"/>
    </row>
    <row r="6" spans="1:21" ht="24" customHeight="1">
      <c r="B6" s="210"/>
      <c r="C6" s="292"/>
      <c r="D6" s="1119" t="s">
        <v>546</v>
      </c>
      <c r="E6" s="1119" t="s">
        <v>2638</v>
      </c>
      <c r="F6" s="1129">
        <v>0.8666666666666667</v>
      </c>
      <c r="G6" s="1128" t="s">
        <v>558</v>
      </c>
      <c r="H6" s="1120"/>
      <c r="I6" s="1122"/>
      <c r="J6" s="1122"/>
      <c r="K6" s="1121"/>
      <c r="L6" s="1122"/>
      <c r="M6" s="1122"/>
      <c r="N6" s="1122"/>
      <c r="O6" s="1123"/>
      <c r="P6" s="210"/>
    </row>
    <row r="7" spans="1:21" ht="24" customHeight="1">
      <c r="B7" s="210"/>
      <c r="C7" s="292"/>
      <c r="D7" s="298" t="s">
        <v>40</v>
      </c>
      <c r="E7" s="317" t="s">
        <v>2776</v>
      </c>
      <c r="F7" s="273"/>
      <c r="G7" s="273"/>
      <c r="H7" s="256"/>
      <c r="I7" s="257"/>
      <c r="J7" s="257"/>
      <c r="K7" s="257"/>
      <c r="L7" s="257"/>
      <c r="M7" s="257"/>
      <c r="N7" s="257"/>
      <c r="O7" s="294"/>
      <c r="P7" s="210"/>
      <c r="Q7" s="215"/>
    </row>
    <row r="8" spans="1:21" ht="24" customHeight="1">
      <c r="B8" s="210"/>
      <c r="C8" s="908"/>
      <c r="D8" s="333"/>
      <c r="E8" s="342"/>
      <c r="F8" s="334"/>
      <c r="G8" s="334"/>
      <c r="H8" s="335"/>
      <c r="I8" s="260"/>
      <c r="J8" s="260"/>
      <c r="K8" s="260"/>
      <c r="L8" s="260"/>
      <c r="M8" s="260"/>
      <c r="N8" s="260"/>
      <c r="O8" s="381"/>
      <c r="P8" s="210"/>
      <c r="Q8" s="215"/>
    </row>
    <row r="9" spans="1:21" ht="24" customHeight="1">
      <c r="A9" s="207">
        <v>2</v>
      </c>
      <c r="B9" s="210">
        <v>2</v>
      </c>
      <c r="C9" s="292" t="s">
        <v>2777</v>
      </c>
      <c r="D9" s="282" t="s">
        <v>574</v>
      </c>
      <c r="E9" s="294" t="s">
        <v>2621</v>
      </c>
      <c r="F9" s="294">
        <v>1</v>
      </c>
      <c r="G9" s="294" t="s">
        <v>37</v>
      </c>
      <c r="H9" s="295"/>
      <c r="I9" s="296"/>
      <c r="J9" s="296"/>
      <c r="K9" s="296"/>
      <c r="L9" s="296"/>
      <c r="M9" s="296"/>
      <c r="N9" s="296"/>
      <c r="O9" s="294"/>
      <c r="P9" s="210"/>
    </row>
    <row r="10" spans="1:21" ht="24" customHeight="1">
      <c r="B10" s="210"/>
      <c r="C10" s="292"/>
      <c r="D10" s="298" t="s">
        <v>38</v>
      </c>
      <c r="E10" s="273"/>
      <c r="F10" s="1091">
        <v>0.21</v>
      </c>
      <c r="G10" s="273" t="s">
        <v>39</v>
      </c>
      <c r="H10" s="256"/>
      <c r="I10" s="257"/>
      <c r="J10" s="257"/>
      <c r="K10" s="257"/>
      <c r="L10" s="257"/>
      <c r="M10" s="257"/>
      <c r="N10" s="257"/>
      <c r="O10" s="294" t="s">
        <v>559</v>
      </c>
      <c r="P10" s="210"/>
      <c r="Q10" s="215"/>
    </row>
    <row r="11" spans="1:21" ht="24" customHeight="1">
      <c r="B11" s="210"/>
      <c r="C11" s="292"/>
      <c r="D11" s="1119" t="s">
        <v>546</v>
      </c>
      <c r="E11" s="1119" t="s">
        <v>548</v>
      </c>
      <c r="F11" s="1127">
        <v>0.36099999999999999</v>
      </c>
      <c r="G11" s="1128" t="s">
        <v>558</v>
      </c>
      <c r="H11" s="1120"/>
      <c r="I11" s="1122"/>
      <c r="J11" s="1122"/>
      <c r="K11" s="1121"/>
      <c r="L11" s="1122"/>
      <c r="M11" s="1122"/>
      <c r="N11" s="1122"/>
      <c r="O11" s="1123"/>
      <c r="P11" s="210"/>
      <c r="Q11" s="215"/>
    </row>
    <row r="12" spans="1:21" ht="24" customHeight="1">
      <c r="B12" s="210"/>
      <c r="C12" s="292"/>
      <c r="D12" s="298" t="s">
        <v>40</v>
      </c>
      <c r="E12" s="317" t="s">
        <v>2777</v>
      </c>
      <c r="F12" s="273"/>
      <c r="G12" s="273"/>
      <c r="H12" s="256"/>
      <c r="I12" s="257"/>
      <c r="J12" s="257"/>
      <c r="K12" s="257"/>
      <c r="L12" s="257"/>
      <c r="M12" s="257"/>
      <c r="N12" s="257"/>
      <c r="O12" s="294"/>
      <c r="P12" s="210"/>
      <c r="Q12" s="215"/>
    </row>
    <row r="13" spans="1:21" ht="24" customHeight="1">
      <c r="B13" s="210"/>
      <c r="C13" s="908"/>
      <c r="D13" s="333"/>
      <c r="E13" s="342"/>
      <c r="F13" s="334"/>
      <c r="G13" s="334"/>
      <c r="H13" s="335"/>
      <c r="I13" s="260"/>
      <c r="J13" s="260"/>
      <c r="K13" s="260"/>
      <c r="L13" s="260"/>
      <c r="M13" s="260"/>
      <c r="N13" s="260"/>
      <c r="O13" s="381"/>
      <c r="P13" s="210"/>
      <c r="Q13" s="215"/>
    </row>
    <row r="14" spans="1:21" ht="24" customHeight="1">
      <c r="A14" s="207">
        <v>3</v>
      </c>
      <c r="B14" s="210">
        <v>3</v>
      </c>
      <c r="C14" s="292" t="s">
        <v>2778</v>
      </c>
      <c r="D14" s="282" t="s">
        <v>2738</v>
      </c>
      <c r="E14" s="294" t="s">
        <v>2621</v>
      </c>
      <c r="F14" s="294">
        <v>1</v>
      </c>
      <c r="G14" s="294" t="s">
        <v>37</v>
      </c>
      <c r="H14" s="295"/>
      <c r="I14" s="296"/>
      <c r="J14" s="296"/>
      <c r="K14" s="296"/>
      <c r="L14" s="296"/>
      <c r="M14" s="296"/>
      <c r="N14" s="296"/>
      <c r="O14" s="294"/>
      <c r="P14" s="210"/>
    </row>
    <row r="15" spans="1:21" ht="24" customHeight="1">
      <c r="B15" s="210"/>
      <c r="C15" s="292"/>
      <c r="D15" s="298" t="s">
        <v>38</v>
      </c>
      <c r="E15" s="273"/>
      <c r="F15" s="1091">
        <v>0.75600000000000001</v>
      </c>
      <c r="G15" s="273" t="s">
        <v>39</v>
      </c>
      <c r="H15" s="256"/>
      <c r="I15" s="257"/>
      <c r="J15" s="257"/>
      <c r="K15" s="257"/>
      <c r="L15" s="257"/>
      <c r="M15" s="257"/>
      <c r="N15" s="257"/>
      <c r="O15" s="294" t="s">
        <v>559</v>
      </c>
      <c r="P15" s="210"/>
      <c r="Q15" s="215"/>
    </row>
    <row r="16" spans="1:21" ht="24" customHeight="1">
      <c r="B16" s="210"/>
      <c r="C16" s="292"/>
      <c r="D16" s="1119" t="s">
        <v>546</v>
      </c>
      <c r="E16" s="1119" t="s">
        <v>548</v>
      </c>
      <c r="F16" s="1127">
        <v>0.65</v>
      </c>
      <c r="G16" s="1128" t="s">
        <v>418</v>
      </c>
      <c r="H16" s="1120"/>
      <c r="I16" s="1122"/>
      <c r="J16" s="1122"/>
      <c r="K16" s="1121"/>
      <c r="L16" s="1122"/>
      <c r="M16" s="1122"/>
      <c r="N16" s="1122"/>
      <c r="O16" s="1123"/>
      <c r="P16" s="210"/>
      <c r="Q16" s="249"/>
    </row>
    <row r="17" spans="1:17" ht="24" customHeight="1">
      <c r="B17" s="210"/>
      <c r="C17" s="292"/>
      <c r="D17" s="298" t="s">
        <v>40</v>
      </c>
      <c r="E17" s="317" t="s">
        <v>2778</v>
      </c>
      <c r="F17" s="273"/>
      <c r="G17" s="273"/>
      <c r="H17" s="256"/>
      <c r="I17" s="257"/>
      <c r="J17" s="257"/>
      <c r="K17" s="257"/>
      <c r="L17" s="257"/>
      <c r="M17" s="257"/>
      <c r="N17" s="257"/>
      <c r="O17" s="294"/>
      <c r="P17" s="210"/>
      <c r="Q17" s="215"/>
    </row>
    <row r="18" spans="1:17" ht="24" customHeight="1">
      <c r="B18" s="210"/>
      <c r="C18" s="908"/>
      <c r="D18" s="333"/>
      <c r="E18" s="340"/>
      <c r="F18" s="334"/>
      <c r="G18" s="334"/>
      <c r="H18" s="335"/>
      <c r="I18" s="260"/>
      <c r="J18" s="260"/>
      <c r="K18" s="260"/>
      <c r="L18" s="260"/>
      <c r="M18" s="260"/>
      <c r="N18" s="260"/>
      <c r="O18" s="381"/>
      <c r="P18" s="210"/>
    </row>
    <row r="19" spans="1:17" ht="24" customHeight="1">
      <c r="A19" s="207">
        <v>1</v>
      </c>
      <c r="B19" s="210">
        <v>4</v>
      </c>
      <c r="C19" s="292" t="s">
        <v>2779</v>
      </c>
      <c r="D19" s="283" t="s">
        <v>565</v>
      </c>
      <c r="E19" s="294" t="s">
        <v>2636</v>
      </c>
      <c r="F19" s="294">
        <v>1</v>
      </c>
      <c r="G19" s="294" t="s">
        <v>562</v>
      </c>
      <c r="H19" s="295"/>
      <c r="I19" s="296"/>
      <c r="J19" s="296"/>
      <c r="K19" s="296"/>
      <c r="L19" s="296"/>
      <c r="M19" s="296"/>
      <c r="N19" s="296"/>
      <c r="O19" s="294"/>
      <c r="P19" s="210"/>
    </row>
    <row r="20" spans="1:17" ht="24" customHeight="1">
      <c r="B20" s="210"/>
      <c r="C20" s="292"/>
      <c r="D20" s="298" t="s">
        <v>38</v>
      </c>
      <c r="E20" s="273"/>
      <c r="F20" s="1091">
        <v>0.183</v>
      </c>
      <c r="G20" s="273" t="s">
        <v>39</v>
      </c>
      <c r="H20" s="256"/>
      <c r="I20" s="257"/>
      <c r="J20" s="257"/>
      <c r="K20" s="257"/>
      <c r="L20" s="257"/>
      <c r="M20" s="257"/>
      <c r="N20" s="257"/>
      <c r="O20" s="294" t="s">
        <v>561</v>
      </c>
      <c r="P20" s="210"/>
    </row>
    <row r="21" spans="1:17" ht="24" customHeight="1">
      <c r="B21" s="210"/>
      <c r="C21" s="292"/>
      <c r="D21" s="1119" t="s">
        <v>2573</v>
      </c>
      <c r="E21" s="1117"/>
      <c r="F21" s="1117">
        <v>0.39999999999999997</v>
      </c>
      <c r="G21" s="1117" t="s">
        <v>2574</v>
      </c>
      <c r="H21" s="1120"/>
      <c r="I21" s="1122"/>
      <c r="J21" s="1122"/>
      <c r="K21" s="1121"/>
      <c r="L21" s="1122"/>
      <c r="M21" s="1122"/>
      <c r="N21" s="1122"/>
      <c r="O21" s="1123" t="s">
        <v>2769</v>
      </c>
      <c r="P21" s="210"/>
    </row>
    <row r="22" spans="1:17" ht="24" customHeight="1">
      <c r="B22" s="210"/>
      <c r="C22" s="292"/>
      <c r="D22" s="298" t="s">
        <v>40</v>
      </c>
      <c r="E22" s="317" t="s">
        <v>2779</v>
      </c>
      <c r="F22" s="273"/>
      <c r="G22" s="273"/>
      <c r="H22" s="256"/>
      <c r="I22" s="257"/>
      <c r="J22" s="257"/>
      <c r="K22" s="257"/>
      <c r="L22" s="257"/>
      <c r="M22" s="257"/>
      <c r="N22" s="257"/>
      <c r="O22" s="294"/>
      <c r="P22" s="210"/>
    </row>
    <row r="23" spans="1:17" ht="24" customHeight="1">
      <c r="B23" s="210"/>
      <c r="C23" s="908"/>
      <c r="D23" s="333"/>
      <c r="E23" s="340"/>
      <c r="F23" s="334"/>
      <c r="G23" s="334"/>
      <c r="H23" s="335"/>
      <c r="I23" s="260"/>
      <c r="J23" s="260"/>
      <c r="K23" s="260"/>
      <c r="L23" s="260"/>
      <c r="M23" s="260"/>
      <c r="N23" s="260"/>
      <c r="O23" s="381"/>
      <c r="P23" s="210"/>
    </row>
    <row r="24" spans="1:17" s="210" customFormat="1" ht="24" customHeight="1">
      <c r="A24" s="210">
        <v>2</v>
      </c>
      <c r="B24" s="210">
        <v>5</v>
      </c>
      <c r="C24" s="292" t="s">
        <v>2780</v>
      </c>
      <c r="D24" s="283" t="s">
        <v>564</v>
      </c>
      <c r="E24" s="294" t="s">
        <v>2637</v>
      </c>
      <c r="F24" s="294">
        <v>1</v>
      </c>
      <c r="G24" s="294" t="s">
        <v>562</v>
      </c>
      <c r="H24" s="295"/>
      <c r="I24" s="296"/>
      <c r="J24" s="296"/>
      <c r="K24" s="296"/>
      <c r="L24" s="296"/>
      <c r="M24" s="296"/>
      <c r="N24" s="296"/>
      <c r="O24" s="294"/>
    </row>
    <row r="25" spans="1:17" ht="24" customHeight="1">
      <c r="B25" s="210"/>
      <c r="C25" s="292"/>
      <c r="D25" s="298" t="s">
        <v>38</v>
      </c>
      <c r="E25" s="273"/>
      <c r="F25" s="1091">
        <v>0.20399999999999999</v>
      </c>
      <c r="G25" s="273" t="s">
        <v>39</v>
      </c>
      <c r="H25" s="256"/>
      <c r="I25" s="257"/>
      <c r="J25" s="257"/>
      <c r="K25" s="257"/>
      <c r="L25" s="257"/>
      <c r="M25" s="257"/>
      <c r="N25" s="257"/>
      <c r="O25" s="294" t="s">
        <v>527</v>
      </c>
      <c r="P25" s="210"/>
    </row>
    <row r="26" spans="1:17" ht="24" customHeight="1">
      <c r="B26" s="210"/>
      <c r="C26" s="292"/>
      <c r="D26" s="1119" t="s">
        <v>2573</v>
      </c>
      <c r="E26" s="1117"/>
      <c r="F26" s="1126">
        <v>0.39999999999999997</v>
      </c>
      <c r="G26" s="1117" t="s">
        <v>2574</v>
      </c>
      <c r="H26" s="1120"/>
      <c r="I26" s="1122"/>
      <c r="J26" s="1122"/>
      <c r="K26" s="1121"/>
      <c r="L26" s="1122"/>
      <c r="M26" s="1122"/>
      <c r="N26" s="1122"/>
      <c r="O26" s="1123" t="s">
        <v>2769</v>
      </c>
      <c r="P26" s="210"/>
    </row>
    <row r="27" spans="1:17" ht="24" customHeight="1">
      <c r="B27" s="210"/>
      <c r="C27" s="292"/>
      <c r="D27" s="298" t="s">
        <v>40</v>
      </c>
      <c r="E27" s="317" t="s">
        <v>2780</v>
      </c>
      <c r="F27" s="273"/>
      <c r="G27" s="273"/>
      <c r="H27" s="256"/>
      <c r="I27" s="257"/>
      <c r="J27" s="257"/>
      <c r="K27" s="257"/>
      <c r="L27" s="257"/>
      <c r="M27" s="257"/>
      <c r="N27" s="257"/>
      <c r="O27" s="294"/>
      <c r="P27" s="210"/>
    </row>
    <row r="28" spans="1:17" ht="24" customHeight="1">
      <c r="B28" s="210"/>
      <c r="C28" s="332"/>
      <c r="D28" s="333"/>
      <c r="E28" s="334"/>
      <c r="F28" s="334"/>
      <c r="G28" s="334"/>
      <c r="H28" s="335"/>
      <c r="I28" s="260"/>
      <c r="J28" s="260"/>
      <c r="K28" s="260"/>
      <c r="L28" s="260"/>
      <c r="M28" s="260"/>
      <c r="N28" s="260"/>
      <c r="O28" s="336"/>
      <c r="P28" s="210"/>
      <c r="Q28" s="215"/>
    </row>
    <row r="29" spans="1:17" ht="24" customHeight="1">
      <c r="A29" s="207">
        <v>3</v>
      </c>
      <c r="B29" s="210">
        <v>6</v>
      </c>
      <c r="C29" s="292" t="s">
        <v>2781</v>
      </c>
      <c r="D29" s="909" t="s">
        <v>691</v>
      </c>
      <c r="E29" s="294" t="s">
        <v>2572</v>
      </c>
      <c r="F29" s="294">
        <v>1</v>
      </c>
      <c r="G29" s="294" t="s">
        <v>30</v>
      </c>
      <c r="H29" s="295"/>
      <c r="I29" s="296"/>
      <c r="J29" s="296"/>
      <c r="K29" s="296"/>
      <c r="L29" s="296"/>
      <c r="M29" s="296"/>
      <c r="N29" s="296"/>
      <c r="O29" s="294" t="s">
        <v>710</v>
      </c>
      <c r="P29" s="210"/>
      <c r="Q29" s="215"/>
    </row>
    <row r="30" spans="1:17" ht="24" customHeight="1">
      <c r="B30" s="210"/>
      <c r="C30" s="292"/>
      <c r="D30" s="298" t="s">
        <v>38</v>
      </c>
      <c r="E30" s="273"/>
      <c r="F30" s="273">
        <v>0.105</v>
      </c>
      <c r="G30" s="273" t="s">
        <v>39</v>
      </c>
      <c r="H30" s="256"/>
      <c r="I30" s="257"/>
      <c r="J30" s="257"/>
      <c r="K30" s="257"/>
      <c r="L30" s="257"/>
      <c r="M30" s="257"/>
      <c r="N30" s="257"/>
      <c r="O30" s="294" t="s">
        <v>711</v>
      </c>
      <c r="P30" s="210"/>
      <c r="Q30" s="215"/>
    </row>
    <row r="31" spans="1:17" ht="24" customHeight="1">
      <c r="B31" s="210"/>
      <c r="C31" s="292"/>
      <c r="D31" s="298" t="s">
        <v>40</v>
      </c>
      <c r="E31" s="317" t="s">
        <v>2781</v>
      </c>
      <c r="F31" s="273"/>
      <c r="G31" s="273"/>
      <c r="H31" s="256"/>
      <c r="I31" s="257"/>
      <c r="J31" s="257"/>
      <c r="K31" s="257"/>
      <c r="L31" s="257"/>
      <c r="M31" s="257"/>
      <c r="N31" s="257"/>
      <c r="O31" s="294"/>
      <c r="P31" s="210"/>
      <c r="Q31" s="215"/>
    </row>
    <row r="32" spans="1:17" ht="24" customHeight="1">
      <c r="B32" s="210"/>
      <c r="C32" s="332"/>
      <c r="D32" s="333"/>
      <c r="E32" s="340"/>
      <c r="F32" s="334"/>
      <c r="G32" s="334"/>
      <c r="H32" s="335"/>
      <c r="I32" s="260"/>
      <c r="J32" s="260"/>
      <c r="K32" s="260"/>
      <c r="L32" s="260"/>
      <c r="M32" s="260"/>
      <c r="N32" s="260"/>
      <c r="O32" s="336"/>
      <c r="P32" s="210"/>
    </row>
    <row r="33" spans="1:16" ht="24" customHeight="1">
      <c r="A33" s="207">
        <v>4</v>
      </c>
      <c r="B33" s="210">
        <v>7</v>
      </c>
      <c r="C33" s="292" t="s">
        <v>2782</v>
      </c>
      <c r="D33" s="283" t="s">
        <v>567</v>
      </c>
      <c r="E33" s="294" t="s">
        <v>563</v>
      </c>
      <c r="F33" s="294">
        <v>1</v>
      </c>
      <c r="G33" s="294" t="s">
        <v>562</v>
      </c>
      <c r="H33" s="295"/>
      <c r="I33" s="296"/>
      <c r="J33" s="296"/>
      <c r="K33" s="296"/>
      <c r="L33" s="296"/>
      <c r="M33" s="296"/>
      <c r="N33" s="296"/>
      <c r="O33" s="294"/>
      <c r="P33" s="210"/>
    </row>
    <row r="34" spans="1:16" ht="24" customHeight="1">
      <c r="B34" s="210"/>
      <c r="C34" s="292"/>
      <c r="D34" s="298" t="s">
        <v>38</v>
      </c>
      <c r="E34" s="273"/>
      <c r="F34" s="273">
        <v>6.1199999999999991E-2</v>
      </c>
      <c r="G34" s="273" t="s">
        <v>39</v>
      </c>
      <c r="H34" s="256"/>
      <c r="I34" s="257"/>
      <c r="J34" s="257"/>
      <c r="K34" s="257"/>
      <c r="L34" s="257"/>
      <c r="M34" s="257"/>
      <c r="N34" s="257"/>
      <c r="O34" s="294" t="s">
        <v>527</v>
      </c>
      <c r="P34" s="210"/>
    </row>
    <row r="35" spans="1:16" ht="24" customHeight="1">
      <c r="B35" s="210"/>
      <c r="C35" s="292"/>
      <c r="D35" s="298" t="s">
        <v>40</v>
      </c>
      <c r="E35" s="317" t="s">
        <v>2782</v>
      </c>
      <c r="F35" s="273"/>
      <c r="G35" s="273"/>
      <c r="H35" s="256"/>
      <c r="I35" s="257"/>
      <c r="J35" s="257"/>
      <c r="K35" s="257"/>
      <c r="L35" s="257"/>
      <c r="M35" s="257"/>
      <c r="N35" s="257"/>
      <c r="O35" s="294"/>
      <c r="P35" s="210"/>
    </row>
    <row r="36" spans="1:16" ht="24" customHeight="1">
      <c r="B36" s="210"/>
      <c r="C36" s="332"/>
      <c r="D36" s="333"/>
      <c r="E36" s="340"/>
      <c r="F36" s="334"/>
      <c r="G36" s="334"/>
      <c r="H36" s="335"/>
      <c r="I36" s="260"/>
      <c r="J36" s="260"/>
      <c r="K36" s="260"/>
      <c r="L36" s="260"/>
      <c r="M36" s="260"/>
      <c r="N36" s="260"/>
      <c r="O36" s="336"/>
      <c r="P36" s="210"/>
    </row>
    <row r="37" spans="1:16" ht="24" customHeight="1">
      <c r="A37" s="207">
        <v>5</v>
      </c>
      <c r="B37" s="210">
        <v>8</v>
      </c>
      <c r="C37" s="292" t="s">
        <v>2783</v>
      </c>
      <c r="D37" s="283" t="s">
        <v>2563</v>
      </c>
      <c r="E37" s="294" t="s">
        <v>566</v>
      </c>
      <c r="F37" s="294">
        <v>1</v>
      </c>
      <c r="G37" s="294" t="s">
        <v>30</v>
      </c>
      <c r="H37" s="295"/>
      <c r="I37" s="296"/>
      <c r="J37" s="296"/>
      <c r="K37" s="296"/>
      <c r="L37" s="296"/>
      <c r="M37" s="296"/>
      <c r="N37" s="296"/>
      <c r="O37" s="294"/>
      <c r="P37" s="210"/>
    </row>
    <row r="38" spans="1:16" ht="24" customHeight="1">
      <c r="B38" s="210"/>
      <c r="C38" s="292"/>
      <c r="D38" s="298" t="s">
        <v>38</v>
      </c>
      <c r="E38" s="273"/>
      <c r="F38" s="273">
        <v>5.4899999999999997E-2</v>
      </c>
      <c r="G38" s="273" t="s">
        <v>39</v>
      </c>
      <c r="H38" s="256"/>
      <c r="I38" s="257"/>
      <c r="J38" s="257"/>
      <c r="K38" s="257"/>
      <c r="L38" s="257"/>
      <c r="M38" s="257"/>
      <c r="N38" s="257"/>
      <c r="O38" s="294" t="s">
        <v>561</v>
      </c>
      <c r="P38" s="210"/>
    </row>
    <row r="39" spans="1:16" ht="24" customHeight="1">
      <c r="B39" s="210"/>
      <c r="C39" s="292"/>
      <c r="D39" s="298" t="s">
        <v>40</v>
      </c>
      <c r="E39" s="317" t="s">
        <v>2783</v>
      </c>
      <c r="F39" s="273"/>
      <c r="G39" s="273"/>
      <c r="H39" s="256"/>
      <c r="I39" s="257"/>
      <c r="J39" s="257"/>
      <c r="K39" s="257"/>
      <c r="L39" s="257"/>
      <c r="M39" s="257"/>
      <c r="N39" s="257"/>
      <c r="O39" s="294"/>
      <c r="P39" s="210"/>
    </row>
    <row r="40" spans="1:16" ht="24" customHeight="1">
      <c r="B40" s="210"/>
      <c r="C40" s="910"/>
      <c r="D40" s="910"/>
      <c r="E40" s="910"/>
      <c r="F40" s="910"/>
      <c r="G40" s="910"/>
      <c r="H40" s="910"/>
      <c r="I40" s="910"/>
      <c r="J40" s="910"/>
      <c r="K40" s="910"/>
      <c r="L40" s="910"/>
      <c r="M40" s="910"/>
      <c r="N40" s="910"/>
      <c r="O40" s="910"/>
      <c r="P40" s="210"/>
    </row>
    <row r="41" spans="1:16" ht="24" customHeight="1">
      <c r="A41" s="207">
        <v>6</v>
      </c>
      <c r="B41" s="210">
        <v>9</v>
      </c>
      <c r="C41" s="292" t="s">
        <v>2784</v>
      </c>
      <c r="D41" s="909" t="s">
        <v>689</v>
      </c>
      <c r="E41" s="911" t="s">
        <v>690</v>
      </c>
      <c r="F41" s="294">
        <v>1</v>
      </c>
      <c r="G41" s="294" t="s">
        <v>30</v>
      </c>
      <c r="H41" s="256"/>
      <c r="I41" s="257"/>
      <c r="J41" s="257"/>
      <c r="K41" s="257"/>
      <c r="L41" s="257"/>
      <c r="M41" s="257"/>
      <c r="N41" s="257"/>
      <c r="O41" s="294"/>
      <c r="P41" s="210"/>
    </row>
    <row r="42" spans="1:16" ht="24" customHeight="1">
      <c r="B42" s="210"/>
      <c r="C42" s="292"/>
      <c r="D42" s="298" t="s">
        <v>578</v>
      </c>
      <c r="E42" s="317"/>
      <c r="F42" s="1091">
        <v>5.3999999999999999E-2</v>
      </c>
      <c r="G42" s="273" t="s">
        <v>696</v>
      </c>
      <c r="H42" s="256"/>
      <c r="I42" s="257"/>
      <c r="J42" s="257"/>
      <c r="K42" s="329"/>
      <c r="L42" s="257"/>
      <c r="M42" s="257"/>
      <c r="N42" s="257"/>
      <c r="O42" s="294" t="s">
        <v>694</v>
      </c>
      <c r="P42" s="210"/>
    </row>
    <row r="43" spans="1:16" ht="24" customHeight="1">
      <c r="B43" s="210"/>
      <c r="C43" s="292"/>
      <c r="D43" s="298" t="s">
        <v>686</v>
      </c>
      <c r="E43" s="317" t="s">
        <v>2784</v>
      </c>
      <c r="F43" s="273"/>
      <c r="G43" s="273"/>
      <c r="H43" s="256"/>
      <c r="I43" s="257"/>
      <c r="J43" s="257"/>
      <c r="K43" s="257"/>
      <c r="L43" s="257"/>
      <c r="M43" s="257"/>
      <c r="N43" s="257"/>
      <c r="O43" s="294"/>
      <c r="P43" s="210"/>
    </row>
    <row r="44" spans="1:16" ht="24" customHeight="1">
      <c r="B44" s="210"/>
      <c r="C44" s="910"/>
      <c r="D44" s="910"/>
      <c r="E44" s="910"/>
      <c r="F44" s="910"/>
      <c r="G44" s="910"/>
      <c r="H44" s="910"/>
      <c r="I44" s="910"/>
      <c r="J44" s="910"/>
      <c r="K44" s="910"/>
      <c r="L44" s="910"/>
      <c r="M44" s="910"/>
      <c r="N44" s="910"/>
      <c r="O44" s="910"/>
      <c r="P44" s="210"/>
    </row>
    <row r="45" spans="1:16" ht="24" customHeight="1">
      <c r="A45" s="207">
        <v>7</v>
      </c>
      <c r="B45" s="210">
        <v>10</v>
      </c>
      <c r="C45" s="292" t="s">
        <v>2785</v>
      </c>
      <c r="D45" s="283" t="s">
        <v>2641</v>
      </c>
      <c r="E45" s="911" t="s">
        <v>2642</v>
      </c>
      <c r="F45" s="294">
        <v>1</v>
      </c>
      <c r="G45" s="294" t="s">
        <v>695</v>
      </c>
      <c r="H45" s="256"/>
      <c r="I45" s="257"/>
      <c r="J45" s="257"/>
      <c r="K45" s="257"/>
      <c r="L45" s="257"/>
      <c r="M45" s="257"/>
      <c r="N45" s="257"/>
      <c r="O45" s="294"/>
      <c r="P45" s="210"/>
    </row>
    <row r="46" spans="1:16" ht="24" customHeight="1">
      <c r="B46" s="210"/>
      <c r="C46" s="292"/>
      <c r="D46" s="298" t="s">
        <v>692</v>
      </c>
      <c r="E46" s="317"/>
      <c r="F46" s="137">
        <v>6.2399999999999997E-2</v>
      </c>
      <c r="G46" s="273" t="s">
        <v>696</v>
      </c>
      <c r="H46" s="256"/>
      <c r="I46" s="257"/>
      <c r="J46" s="257"/>
      <c r="K46" s="257"/>
      <c r="L46" s="257"/>
      <c r="M46" s="257"/>
      <c r="N46" s="257"/>
      <c r="O46" s="294" t="s">
        <v>2643</v>
      </c>
      <c r="P46" s="210"/>
    </row>
    <row r="47" spans="1:16" ht="24" customHeight="1">
      <c r="B47" s="210"/>
      <c r="C47" s="292"/>
      <c r="D47" s="1119" t="s">
        <v>693</v>
      </c>
      <c r="E47" s="1125" t="s">
        <v>687</v>
      </c>
      <c r="F47" s="1117">
        <v>0.39999999999999997</v>
      </c>
      <c r="G47" s="1117" t="s">
        <v>688</v>
      </c>
      <c r="H47" s="1120"/>
      <c r="I47" s="1122"/>
      <c r="J47" s="1122"/>
      <c r="K47" s="1121"/>
      <c r="L47" s="1122"/>
      <c r="M47" s="1122"/>
      <c r="N47" s="1122"/>
      <c r="O47" s="1123"/>
      <c r="P47" s="210"/>
    </row>
    <row r="48" spans="1:16" ht="24" customHeight="1">
      <c r="B48" s="210"/>
      <c r="C48" s="292"/>
      <c r="D48" s="298" t="s">
        <v>686</v>
      </c>
      <c r="E48" s="317" t="s">
        <v>2785</v>
      </c>
      <c r="F48" s="273"/>
      <c r="G48" s="273"/>
      <c r="H48" s="256"/>
      <c r="I48" s="257"/>
      <c r="J48" s="257"/>
      <c r="K48" s="257"/>
      <c r="L48" s="257"/>
      <c r="M48" s="257"/>
      <c r="N48" s="257"/>
      <c r="O48" s="294"/>
      <c r="P48" s="210"/>
    </row>
    <row r="49" spans="1:17" ht="24" customHeight="1">
      <c r="B49" s="210"/>
      <c r="C49" s="332"/>
      <c r="D49" s="333"/>
      <c r="E49" s="912"/>
      <c r="F49" s="334"/>
      <c r="G49" s="334"/>
      <c r="H49" s="335"/>
      <c r="I49" s="260"/>
      <c r="J49" s="260"/>
      <c r="K49" s="260"/>
      <c r="L49" s="260"/>
      <c r="M49" s="260"/>
      <c r="N49" s="260"/>
      <c r="O49" s="336"/>
      <c r="P49" s="210"/>
    </row>
    <row r="50" spans="1:17" ht="24" customHeight="1">
      <c r="A50" s="207">
        <v>8</v>
      </c>
      <c r="B50" s="210">
        <v>11</v>
      </c>
      <c r="C50" s="292" t="s">
        <v>2786</v>
      </c>
      <c r="D50" s="909" t="s">
        <v>2739</v>
      </c>
      <c r="E50" s="294" t="s">
        <v>2735</v>
      </c>
      <c r="F50" s="294">
        <v>1</v>
      </c>
      <c r="G50" s="294" t="s">
        <v>30</v>
      </c>
      <c r="H50" s="295"/>
      <c r="I50" s="296"/>
      <c r="J50" s="296"/>
      <c r="K50" s="296"/>
      <c r="L50" s="296"/>
      <c r="M50" s="296"/>
      <c r="N50" s="296"/>
      <c r="O50" s="294" t="s">
        <v>2736</v>
      </c>
      <c r="P50" s="210"/>
    </row>
    <row r="51" spans="1:17" ht="24" customHeight="1">
      <c r="B51" s="210"/>
      <c r="C51" s="292"/>
      <c r="D51" s="298" t="s">
        <v>38</v>
      </c>
      <c r="E51" s="273"/>
      <c r="F51" s="273">
        <v>0.13500000000000001</v>
      </c>
      <c r="G51" s="273" t="s">
        <v>39</v>
      </c>
      <c r="H51" s="256"/>
      <c r="I51" s="257"/>
      <c r="J51" s="257"/>
      <c r="K51" s="257"/>
      <c r="L51" s="257"/>
      <c r="M51" s="257"/>
      <c r="N51" s="257"/>
      <c r="O51" s="294" t="s">
        <v>711</v>
      </c>
      <c r="P51" s="210"/>
    </row>
    <row r="52" spans="1:17" ht="24" customHeight="1">
      <c r="B52" s="210"/>
      <c r="C52" s="292"/>
      <c r="D52" s="298" t="s">
        <v>40</v>
      </c>
      <c r="E52" s="317" t="s">
        <v>2786</v>
      </c>
      <c r="F52" s="273"/>
      <c r="G52" s="273"/>
      <c r="H52" s="256"/>
      <c r="I52" s="257"/>
      <c r="J52" s="257"/>
      <c r="K52" s="257"/>
      <c r="L52" s="257"/>
      <c r="M52" s="257"/>
      <c r="N52" s="257"/>
      <c r="O52" s="294"/>
      <c r="P52" s="210"/>
    </row>
    <row r="53" spans="1:17" ht="24" customHeight="1">
      <c r="B53" s="210"/>
      <c r="C53" s="332"/>
      <c r="D53" s="333"/>
      <c r="E53" s="912"/>
      <c r="F53" s="334"/>
      <c r="G53" s="334"/>
      <c r="H53" s="335"/>
      <c r="I53" s="260"/>
      <c r="J53" s="260"/>
      <c r="K53" s="260"/>
      <c r="L53" s="260"/>
      <c r="M53" s="260"/>
      <c r="N53" s="260"/>
      <c r="O53" s="336"/>
      <c r="P53" s="210"/>
    </row>
    <row r="54" spans="1:17" s="210" customFormat="1" ht="24" customHeight="1">
      <c r="A54" s="207">
        <v>1</v>
      </c>
      <c r="B54" s="210">
        <v>12</v>
      </c>
      <c r="C54" s="292" t="s">
        <v>2787</v>
      </c>
      <c r="D54" s="283" t="s">
        <v>568</v>
      </c>
      <c r="E54" s="294" t="s">
        <v>2731</v>
      </c>
      <c r="F54" s="294">
        <v>1</v>
      </c>
      <c r="G54" s="294" t="s">
        <v>569</v>
      </c>
      <c r="H54" s="295"/>
      <c r="I54" s="296"/>
      <c r="J54" s="296"/>
      <c r="K54" s="296"/>
      <c r="L54" s="296"/>
      <c r="M54" s="296"/>
      <c r="N54" s="296"/>
      <c r="O54" s="294"/>
    </row>
    <row r="55" spans="1:17" ht="24" customHeight="1">
      <c r="B55" s="210"/>
      <c r="C55" s="292"/>
      <c r="D55" s="298" t="s">
        <v>38</v>
      </c>
      <c r="E55" s="273"/>
      <c r="F55" s="1117">
        <v>1.02</v>
      </c>
      <c r="G55" s="273" t="s">
        <v>39</v>
      </c>
      <c r="H55" s="256"/>
      <c r="I55" s="257"/>
      <c r="J55" s="257"/>
      <c r="K55" s="257"/>
      <c r="L55" s="257"/>
      <c r="M55" s="257"/>
      <c r="N55" s="257"/>
      <c r="O55" s="294" t="s">
        <v>570</v>
      </c>
      <c r="P55" s="210"/>
    </row>
    <row r="56" spans="1:17" ht="24" customHeight="1">
      <c r="B56" s="210"/>
      <c r="C56" s="292"/>
      <c r="D56" s="298" t="s">
        <v>40</v>
      </c>
      <c r="E56" s="317" t="s">
        <v>2787</v>
      </c>
      <c r="F56" s="273"/>
      <c r="G56" s="273"/>
      <c r="H56" s="256"/>
      <c r="I56" s="257"/>
      <c r="J56" s="257"/>
      <c r="K56" s="257"/>
      <c r="L56" s="257"/>
      <c r="M56" s="257"/>
      <c r="N56" s="257"/>
      <c r="O56" s="294"/>
      <c r="P56" s="210"/>
    </row>
    <row r="57" spans="1:17" ht="24" customHeight="1">
      <c r="B57" s="210"/>
      <c r="C57" s="332"/>
      <c r="D57" s="333"/>
      <c r="E57" s="334"/>
      <c r="F57" s="334"/>
      <c r="G57" s="334"/>
      <c r="H57" s="335"/>
      <c r="I57" s="260"/>
      <c r="J57" s="335"/>
      <c r="K57" s="260"/>
      <c r="L57" s="335"/>
      <c r="M57" s="260"/>
      <c r="N57" s="260"/>
      <c r="O57" s="336"/>
      <c r="P57" s="210"/>
    </row>
    <row r="58" spans="1:17" ht="24" customHeight="1">
      <c r="A58" s="207">
        <v>2</v>
      </c>
      <c r="B58" s="210">
        <v>13</v>
      </c>
      <c r="C58" s="292" t="s">
        <v>2788</v>
      </c>
      <c r="D58" s="283" t="s">
        <v>571</v>
      </c>
      <c r="E58" s="294" t="s">
        <v>572</v>
      </c>
      <c r="F58" s="294">
        <v>1</v>
      </c>
      <c r="G58" s="294" t="s">
        <v>569</v>
      </c>
      <c r="H58" s="295"/>
      <c r="I58" s="296"/>
      <c r="J58" s="296"/>
      <c r="K58" s="296"/>
      <c r="L58" s="296"/>
      <c r="M58" s="296"/>
      <c r="N58" s="296"/>
      <c r="O58" s="294"/>
      <c r="P58" s="210"/>
      <c r="Q58" s="215"/>
    </row>
    <row r="59" spans="1:17" ht="24" customHeight="1">
      <c r="B59" s="210"/>
      <c r="C59" s="292"/>
      <c r="D59" s="298" t="s">
        <v>38</v>
      </c>
      <c r="E59" s="273"/>
      <c r="F59" s="1117">
        <v>0.51</v>
      </c>
      <c r="G59" s="273" t="s">
        <v>39</v>
      </c>
      <c r="H59" s="256"/>
      <c r="I59" s="257"/>
      <c r="J59" s="257"/>
      <c r="K59" s="257"/>
      <c r="L59" s="257"/>
      <c r="M59" s="257"/>
      <c r="N59" s="257"/>
      <c r="O59" s="294" t="s">
        <v>570</v>
      </c>
      <c r="P59" s="210"/>
      <c r="Q59" s="215"/>
    </row>
    <row r="60" spans="1:17" ht="24" customHeight="1">
      <c r="B60" s="210"/>
      <c r="C60" s="292"/>
      <c r="D60" s="298" t="s">
        <v>40</v>
      </c>
      <c r="E60" s="317" t="s">
        <v>2788</v>
      </c>
      <c r="F60" s="273"/>
      <c r="G60" s="273"/>
      <c r="H60" s="256"/>
      <c r="I60" s="257"/>
      <c r="J60" s="257"/>
      <c r="K60" s="257"/>
      <c r="L60" s="257"/>
      <c r="M60" s="257"/>
      <c r="N60" s="257"/>
      <c r="O60" s="294"/>
      <c r="P60" s="210"/>
    </row>
    <row r="61" spans="1:17" ht="24" customHeight="1">
      <c r="B61" s="210"/>
      <c r="C61" s="332"/>
      <c r="D61" s="333"/>
      <c r="E61" s="334"/>
      <c r="F61" s="334"/>
      <c r="G61" s="334"/>
      <c r="H61" s="335"/>
      <c r="I61" s="260"/>
      <c r="J61" s="260"/>
      <c r="K61" s="260"/>
      <c r="L61" s="260"/>
      <c r="M61" s="260"/>
      <c r="N61" s="260"/>
      <c r="O61" s="336"/>
      <c r="P61" s="210"/>
    </row>
    <row r="62" spans="1:17" ht="24" customHeight="1">
      <c r="A62" s="207">
        <v>1</v>
      </c>
      <c r="B62" s="210">
        <v>14</v>
      </c>
      <c r="C62" s="292" t="s">
        <v>2789</v>
      </c>
      <c r="D62" s="283" t="s">
        <v>576</v>
      </c>
      <c r="E62" s="318" t="s">
        <v>588</v>
      </c>
      <c r="F62" s="294">
        <v>1</v>
      </c>
      <c r="G62" s="294" t="s">
        <v>575</v>
      </c>
      <c r="H62" s="295"/>
      <c r="I62" s="296"/>
      <c r="J62" s="296"/>
      <c r="K62" s="296"/>
      <c r="L62" s="296"/>
      <c r="M62" s="296"/>
      <c r="N62" s="296"/>
      <c r="O62" s="294" t="s">
        <v>587</v>
      </c>
      <c r="P62" s="210"/>
    </row>
    <row r="63" spans="1:17" ht="24" customHeight="1">
      <c r="B63" s="210"/>
      <c r="C63" s="292"/>
      <c r="D63" s="298" t="s">
        <v>577</v>
      </c>
      <c r="E63" s="273" t="s">
        <v>588</v>
      </c>
      <c r="F63" s="273">
        <v>1</v>
      </c>
      <c r="G63" s="273" t="s">
        <v>562</v>
      </c>
      <c r="H63" s="256"/>
      <c r="I63" s="257"/>
      <c r="J63" s="257"/>
      <c r="K63" s="257"/>
      <c r="L63" s="257"/>
      <c r="M63" s="257"/>
      <c r="N63" s="257"/>
      <c r="O63" s="294"/>
      <c r="P63" s="210"/>
    </row>
    <row r="64" spans="1:17" ht="24" customHeight="1">
      <c r="B64" s="210"/>
      <c r="C64" s="292"/>
      <c r="D64" s="298" t="s">
        <v>38</v>
      </c>
      <c r="E64" s="273"/>
      <c r="F64" s="1091">
        <v>0.08</v>
      </c>
      <c r="G64" s="273" t="s">
        <v>39</v>
      </c>
      <c r="H64" s="256"/>
      <c r="I64" s="257"/>
      <c r="J64" s="257"/>
      <c r="K64" s="257"/>
      <c r="L64" s="257"/>
      <c r="M64" s="257"/>
      <c r="N64" s="257"/>
      <c r="O64" s="294"/>
      <c r="P64" s="210"/>
    </row>
    <row r="65" spans="1:17" ht="24" customHeight="1">
      <c r="B65" s="210"/>
      <c r="C65" s="292"/>
      <c r="D65" s="298" t="s">
        <v>579</v>
      </c>
      <c r="E65" s="273"/>
      <c r="F65" s="1118">
        <v>0.19</v>
      </c>
      <c r="G65" s="273" t="s">
        <v>580</v>
      </c>
      <c r="H65" s="256"/>
      <c r="I65" s="257"/>
      <c r="J65" s="257"/>
      <c r="K65" s="257"/>
      <c r="L65" s="257"/>
      <c r="M65" s="257"/>
      <c r="N65" s="257"/>
      <c r="O65" s="294"/>
      <c r="P65" s="210"/>
    </row>
    <row r="66" spans="1:17" ht="24" customHeight="1">
      <c r="B66" s="210"/>
      <c r="C66" s="292"/>
      <c r="D66" s="1119" t="s">
        <v>581</v>
      </c>
      <c r="E66" s="1117" t="s">
        <v>582</v>
      </c>
      <c r="F66" s="1118">
        <v>0.47799999999999998</v>
      </c>
      <c r="G66" s="1117" t="s">
        <v>558</v>
      </c>
      <c r="H66" s="1120"/>
      <c r="I66" s="1122"/>
      <c r="J66" s="1122"/>
      <c r="K66" s="1121"/>
      <c r="L66" s="1122"/>
      <c r="M66" s="1122"/>
      <c r="N66" s="1122"/>
      <c r="O66" s="1123"/>
      <c r="P66" s="210"/>
    </row>
    <row r="67" spans="1:17" ht="24" customHeight="1">
      <c r="B67" s="210"/>
      <c r="C67" s="292"/>
      <c r="D67" s="298" t="s">
        <v>583</v>
      </c>
      <c r="E67" s="273" t="s">
        <v>584</v>
      </c>
      <c r="F67" s="1091">
        <v>0.115</v>
      </c>
      <c r="G67" s="273" t="s">
        <v>558</v>
      </c>
      <c r="H67" s="256"/>
      <c r="I67" s="257"/>
      <c r="J67" s="257"/>
      <c r="K67" s="257"/>
      <c r="L67" s="257"/>
      <c r="M67" s="257"/>
      <c r="N67" s="257"/>
      <c r="O67" s="294"/>
      <c r="P67" s="210"/>
    </row>
    <row r="68" spans="1:17" ht="24" customHeight="1">
      <c r="B68" s="210"/>
      <c r="C68" s="292"/>
      <c r="D68" s="298" t="s">
        <v>40</v>
      </c>
      <c r="E68" s="317" t="s">
        <v>2789</v>
      </c>
      <c r="F68" s="273"/>
      <c r="G68" s="273"/>
      <c r="H68" s="256"/>
      <c r="I68" s="257"/>
      <c r="J68" s="257"/>
      <c r="K68" s="257"/>
      <c r="L68" s="257"/>
      <c r="M68" s="257"/>
      <c r="N68" s="257"/>
      <c r="O68" s="294"/>
      <c r="P68" s="210"/>
    </row>
    <row r="69" spans="1:17" ht="24" customHeight="1">
      <c r="B69" s="210"/>
      <c r="C69" s="332"/>
      <c r="D69" s="333"/>
      <c r="E69" s="334"/>
      <c r="F69" s="334"/>
      <c r="G69" s="334"/>
      <c r="H69" s="335"/>
      <c r="I69" s="260"/>
      <c r="J69" s="260"/>
      <c r="K69" s="260"/>
      <c r="L69" s="260"/>
      <c r="M69" s="260"/>
      <c r="N69" s="260"/>
      <c r="O69" s="336"/>
      <c r="P69" s="210"/>
    </row>
    <row r="70" spans="1:17" ht="24" customHeight="1">
      <c r="A70" s="207">
        <v>2</v>
      </c>
      <c r="B70" s="210">
        <v>15</v>
      </c>
      <c r="C70" s="292" t="s">
        <v>2790</v>
      </c>
      <c r="D70" s="283" t="s">
        <v>2564</v>
      </c>
      <c r="E70" s="318" t="s">
        <v>588</v>
      </c>
      <c r="F70" s="294">
        <v>1</v>
      </c>
      <c r="G70" s="294" t="s">
        <v>575</v>
      </c>
      <c r="H70" s="295"/>
      <c r="I70" s="296"/>
      <c r="J70" s="296"/>
      <c r="K70" s="296"/>
      <c r="L70" s="296"/>
      <c r="M70" s="296"/>
      <c r="N70" s="296"/>
      <c r="O70" s="294" t="s">
        <v>587</v>
      </c>
      <c r="P70" s="210"/>
    </row>
    <row r="71" spans="1:17" ht="24" customHeight="1">
      <c r="B71" s="210"/>
      <c r="C71" s="292"/>
      <c r="D71" s="298" t="s">
        <v>38</v>
      </c>
      <c r="E71" s="273"/>
      <c r="F71" s="1091">
        <v>0.04</v>
      </c>
      <c r="G71" s="273" t="s">
        <v>39</v>
      </c>
      <c r="H71" s="256"/>
      <c r="I71" s="257"/>
      <c r="J71" s="257"/>
      <c r="K71" s="257"/>
      <c r="L71" s="257"/>
      <c r="M71" s="257"/>
      <c r="N71" s="257"/>
      <c r="O71" s="294"/>
      <c r="P71" s="210"/>
      <c r="Q71" s="215"/>
    </row>
    <row r="72" spans="1:17" ht="24" customHeight="1">
      <c r="B72" s="210"/>
      <c r="C72" s="292"/>
      <c r="D72" s="298" t="s">
        <v>248</v>
      </c>
      <c r="E72" s="273"/>
      <c r="F72" s="1118">
        <v>9.5000000000000001E-2</v>
      </c>
      <c r="G72" s="273" t="s">
        <v>366</v>
      </c>
      <c r="H72" s="256"/>
      <c r="I72" s="257"/>
      <c r="J72" s="257"/>
      <c r="K72" s="257"/>
      <c r="L72" s="257"/>
      <c r="M72" s="257"/>
      <c r="N72" s="257"/>
      <c r="O72" s="294"/>
      <c r="P72" s="210"/>
      <c r="Q72" s="215"/>
    </row>
    <row r="73" spans="1:17" ht="24" customHeight="1">
      <c r="B73" s="210"/>
      <c r="C73" s="292"/>
      <c r="D73" s="1119" t="s">
        <v>277</v>
      </c>
      <c r="E73" s="1117" t="s">
        <v>582</v>
      </c>
      <c r="F73" s="1118">
        <v>0.23899999999999999</v>
      </c>
      <c r="G73" s="1117" t="s">
        <v>418</v>
      </c>
      <c r="H73" s="1120"/>
      <c r="I73" s="1122"/>
      <c r="J73" s="1122"/>
      <c r="K73" s="1121"/>
      <c r="L73" s="1122"/>
      <c r="M73" s="1122"/>
      <c r="N73" s="1122"/>
      <c r="O73" s="1123"/>
      <c r="P73" s="210"/>
      <c r="Q73" s="215"/>
    </row>
    <row r="74" spans="1:17" ht="24" customHeight="1">
      <c r="B74" s="210"/>
      <c r="C74" s="292"/>
      <c r="D74" s="298" t="s">
        <v>40</v>
      </c>
      <c r="E74" s="317" t="s">
        <v>2790</v>
      </c>
      <c r="F74" s="273"/>
      <c r="G74" s="273"/>
      <c r="H74" s="256"/>
      <c r="I74" s="257"/>
      <c r="J74" s="257"/>
      <c r="K74" s="257"/>
      <c r="L74" s="257"/>
      <c r="M74" s="257"/>
      <c r="N74" s="257"/>
      <c r="O74" s="294"/>
      <c r="P74" s="210"/>
    </row>
    <row r="75" spans="1:17" s="216" customFormat="1" ht="24" customHeight="1">
      <c r="B75" s="210"/>
      <c r="C75" s="332"/>
      <c r="D75" s="382"/>
      <c r="E75" s="913"/>
      <c r="F75" s="336"/>
      <c r="G75" s="336"/>
      <c r="H75" s="383"/>
      <c r="I75" s="384"/>
      <c r="J75" s="384"/>
      <c r="K75" s="384"/>
      <c r="L75" s="384"/>
      <c r="M75" s="384"/>
      <c r="N75" s="384"/>
      <c r="O75" s="336"/>
      <c r="P75" s="210"/>
    </row>
    <row r="76" spans="1:17" s="216" customFormat="1" ht="24" customHeight="1">
      <c r="A76" s="216">
        <v>3</v>
      </c>
      <c r="B76" s="210">
        <v>16</v>
      </c>
      <c r="C76" s="292" t="s">
        <v>2791</v>
      </c>
      <c r="D76" s="283" t="s">
        <v>586</v>
      </c>
      <c r="E76" s="318" t="s">
        <v>541</v>
      </c>
      <c r="F76" s="294">
        <v>1</v>
      </c>
      <c r="G76" s="294" t="s">
        <v>575</v>
      </c>
      <c r="H76" s="256"/>
      <c r="I76" s="257"/>
      <c r="J76" s="257"/>
      <c r="K76" s="257"/>
      <c r="L76" s="257"/>
      <c r="M76" s="257"/>
      <c r="N76" s="257"/>
      <c r="O76" s="294" t="s">
        <v>587</v>
      </c>
      <c r="P76" s="210"/>
    </row>
    <row r="77" spans="1:17" s="216" customFormat="1" ht="24" customHeight="1">
      <c r="B77" s="210"/>
      <c r="C77" s="319"/>
      <c r="D77" s="298" t="s">
        <v>522</v>
      </c>
      <c r="E77" s="320" t="s">
        <v>541</v>
      </c>
      <c r="F77" s="273">
        <v>1</v>
      </c>
      <c r="G77" s="273" t="s">
        <v>30</v>
      </c>
      <c r="H77" s="256"/>
      <c r="I77" s="257"/>
      <c r="J77" s="257"/>
      <c r="K77" s="257"/>
      <c r="L77" s="257"/>
      <c r="M77" s="257"/>
      <c r="N77" s="257"/>
      <c r="O77" s="294"/>
      <c r="P77" s="210"/>
    </row>
    <row r="78" spans="1:17" s="216" customFormat="1" ht="24" customHeight="1">
      <c r="B78" s="210"/>
      <c r="C78" s="319"/>
      <c r="D78" s="298" t="s">
        <v>38</v>
      </c>
      <c r="E78" s="273"/>
      <c r="F78" s="1091">
        <v>0.08</v>
      </c>
      <c r="G78" s="273" t="s">
        <v>39</v>
      </c>
      <c r="H78" s="256"/>
      <c r="I78" s="257"/>
      <c r="J78" s="257"/>
      <c r="K78" s="257"/>
      <c r="L78" s="257"/>
      <c r="M78" s="257"/>
      <c r="N78" s="257"/>
      <c r="O78" s="294"/>
      <c r="P78" s="210"/>
    </row>
    <row r="79" spans="1:17" s="216" customFormat="1" ht="24" customHeight="1">
      <c r="B79" s="210"/>
      <c r="C79" s="319"/>
      <c r="D79" s="298" t="s">
        <v>248</v>
      </c>
      <c r="E79" s="273"/>
      <c r="F79" s="1118">
        <v>0.19</v>
      </c>
      <c r="G79" s="273" t="s">
        <v>366</v>
      </c>
      <c r="H79" s="256"/>
      <c r="I79" s="257"/>
      <c r="J79" s="257"/>
      <c r="K79" s="257"/>
      <c r="L79" s="257"/>
      <c r="M79" s="257"/>
      <c r="N79" s="257"/>
      <c r="O79" s="294"/>
      <c r="P79" s="210"/>
    </row>
    <row r="80" spans="1:17" s="216" customFormat="1" ht="24" customHeight="1">
      <c r="B80" s="210"/>
      <c r="C80" s="319"/>
      <c r="D80" s="1119" t="s">
        <v>277</v>
      </c>
      <c r="E80" s="1117" t="s">
        <v>582</v>
      </c>
      <c r="F80" s="1118">
        <v>0.47799999999999998</v>
      </c>
      <c r="G80" s="1117" t="s">
        <v>418</v>
      </c>
      <c r="H80" s="1120"/>
      <c r="I80" s="1122"/>
      <c r="J80" s="1122"/>
      <c r="K80" s="1121"/>
      <c r="L80" s="1122"/>
      <c r="M80" s="1122"/>
      <c r="N80" s="1122"/>
      <c r="O80" s="1123"/>
      <c r="P80" s="210"/>
    </row>
    <row r="81" spans="1:17" s="216" customFormat="1" ht="24" customHeight="1">
      <c r="B81" s="210"/>
      <c r="C81" s="319"/>
      <c r="D81" s="298" t="s">
        <v>583</v>
      </c>
      <c r="E81" s="273" t="s">
        <v>249</v>
      </c>
      <c r="F81" s="1091">
        <v>0.115</v>
      </c>
      <c r="G81" s="273" t="s">
        <v>418</v>
      </c>
      <c r="H81" s="256"/>
      <c r="I81" s="257"/>
      <c r="J81" s="257"/>
      <c r="K81" s="257"/>
      <c r="L81" s="257"/>
      <c r="M81" s="257"/>
      <c r="N81" s="257"/>
      <c r="O81" s="294"/>
      <c r="P81" s="210"/>
    </row>
    <row r="82" spans="1:17" s="216" customFormat="1" ht="24" customHeight="1">
      <c r="B82" s="210"/>
      <c r="C82" s="319"/>
      <c r="D82" s="298" t="s">
        <v>40</v>
      </c>
      <c r="E82" s="317" t="s">
        <v>2791</v>
      </c>
      <c r="F82" s="273"/>
      <c r="G82" s="273"/>
      <c r="H82" s="256"/>
      <c r="I82" s="257"/>
      <c r="J82" s="257"/>
      <c r="K82" s="257"/>
      <c r="L82" s="257"/>
      <c r="M82" s="257"/>
      <c r="N82" s="257"/>
      <c r="O82" s="294"/>
      <c r="P82" s="210"/>
    </row>
    <row r="83" spans="1:17" s="216" customFormat="1" ht="24" customHeight="1">
      <c r="B83" s="210"/>
      <c r="C83" s="332"/>
      <c r="D83" s="382"/>
      <c r="E83" s="913"/>
      <c r="F83" s="336"/>
      <c r="G83" s="336"/>
      <c r="H83" s="383"/>
      <c r="I83" s="384"/>
      <c r="J83" s="384"/>
      <c r="K83" s="384"/>
      <c r="L83" s="384"/>
      <c r="M83" s="384"/>
      <c r="N83" s="384"/>
      <c r="O83" s="336"/>
      <c r="P83" s="210"/>
    </row>
    <row r="84" spans="1:17" s="216" customFormat="1" ht="24" customHeight="1">
      <c r="A84" s="216">
        <v>4</v>
      </c>
      <c r="B84" s="210">
        <v>17</v>
      </c>
      <c r="C84" s="292" t="s">
        <v>2792</v>
      </c>
      <c r="D84" s="283" t="s">
        <v>2571</v>
      </c>
      <c r="E84" s="318" t="s">
        <v>572</v>
      </c>
      <c r="F84" s="294">
        <v>1</v>
      </c>
      <c r="G84" s="294" t="s">
        <v>575</v>
      </c>
      <c r="H84" s="256"/>
      <c r="I84" s="257"/>
      <c r="J84" s="257"/>
      <c r="K84" s="257"/>
      <c r="L84" s="257"/>
      <c r="M84" s="257"/>
      <c r="N84" s="257"/>
      <c r="O84" s="294" t="s">
        <v>587</v>
      </c>
      <c r="P84" s="210"/>
    </row>
    <row r="85" spans="1:17" s="216" customFormat="1" ht="24" customHeight="1">
      <c r="B85" s="210"/>
      <c r="C85" s="319"/>
      <c r="D85" s="298" t="s">
        <v>38</v>
      </c>
      <c r="E85" s="273"/>
      <c r="F85" s="1091">
        <v>0.04</v>
      </c>
      <c r="G85" s="273" t="s">
        <v>39</v>
      </c>
      <c r="H85" s="256"/>
      <c r="I85" s="257"/>
      <c r="J85" s="257"/>
      <c r="K85" s="257"/>
      <c r="L85" s="257"/>
      <c r="M85" s="257"/>
      <c r="N85" s="257"/>
      <c r="O85" s="294"/>
      <c r="P85" s="210"/>
    </row>
    <row r="86" spans="1:17" s="216" customFormat="1" ht="24" customHeight="1">
      <c r="B86" s="210"/>
      <c r="C86" s="319"/>
      <c r="D86" s="298" t="s">
        <v>579</v>
      </c>
      <c r="E86" s="273"/>
      <c r="F86" s="1118">
        <v>9.5000000000000001E-2</v>
      </c>
      <c r="G86" s="273" t="s">
        <v>580</v>
      </c>
      <c r="H86" s="256"/>
      <c r="I86" s="257"/>
      <c r="J86" s="257"/>
      <c r="K86" s="257"/>
      <c r="L86" s="257"/>
      <c r="M86" s="257"/>
      <c r="N86" s="257"/>
      <c r="O86" s="294"/>
      <c r="P86" s="210"/>
    </row>
    <row r="87" spans="1:17" s="216" customFormat="1" ht="24" customHeight="1">
      <c r="B87" s="210"/>
      <c r="C87" s="319"/>
      <c r="D87" s="1119" t="s">
        <v>581</v>
      </c>
      <c r="E87" s="1117" t="s">
        <v>582</v>
      </c>
      <c r="F87" s="1118">
        <v>0.23899999999999999</v>
      </c>
      <c r="G87" s="1117" t="s">
        <v>558</v>
      </c>
      <c r="H87" s="1120"/>
      <c r="I87" s="1122"/>
      <c r="J87" s="1122"/>
      <c r="K87" s="1121"/>
      <c r="L87" s="1122"/>
      <c r="M87" s="1122"/>
      <c r="N87" s="1122"/>
      <c r="O87" s="1123"/>
      <c r="P87" s="210"/>
    </row>
    <row r="88" spans="1:17" s="216" customFormat="1" ht="24" customHeight="1">
      <c r="B88" s="210"/>
      <c r="C88" s="319"/>
      <c r="D88" s="298" t="s">
        <v>40</v>
      </c>
      <c r="E88" s="317" t="s">
        <v>2792</v>
      </c>
      <c r="F88" s="273"/>
      <c r="G88" s="273"/>
      <c r="H88" s="256"/>
      <c r="I88" s="257"/>
      <c r="J88" s="257"/>
      <c r="K88" s="257"/>
      <c r="L88" s="257"/>
      <c r="M88" s="257"/>
      <c r="N88" s="257"/>
      <c r="O88" s="294"/>
      <c r="P88" s="210"/>
    </row>
    <row r="89" spans="1:17" s="216" customFormat="1" ht="24" customHeight="1">
      <c r="B89" s="210"/>
      <c r="C89" s="332"/>
      <c r="D89" s="382"/>
      <c r="E89" s="913"/>
      <c r="F89" s="336"/>
      <c r="G89" s="336"/>
      <c r="H89" s="383"/>
      <c r="I89" s="384"/>
      <c r="J89" s="384"/>
      <c r="K89" s="384"/>
      <c r="L89" s="384"/>
      <c r="M89" s="384"/>
      <c r="N89" s="384"/>
      <c r="O89" s="336"/>
      <c r="P89" s="210"/>
    </row>
    <row r="90" spans="1:17" s="210" customFormat="1" ht="24" customHeight="1">
      <c r="A90" s="210">
        <v>3</v>
      </c>
      <c r="B90" s="210">
        <v>18</v>
      </c>
      <c r="C90" s="292" t="s">
        <v>2793</v>
      </c>
      <c r="D90" s="315" t="s">
        <v>635</v>
      </c>
      <c r="E90" s="315"/>
      <c r="F90" s="315">
        <v>1</v>
      </c>
      <c r="G90" s="315" t="s">
        <v>55</v>
      </c>
      <c r="H90" s="315"/>
      <c r="I90" s="914"/>
      <c r="J90" s="914"/>
      <c r="K90" s="914"/>
      <c r="L90" s="914"/>
      <c r="M90" s="914"/>
      <c r="N90" s="296"/>
      <c r="O90" s="294" t="s">
        <v>2569</v>
      </c>
    </row>
    <row r="91" spans="1:17" ht="24" customHeight="1">
      <c r="B91" s="210"/>
      <c r="C91" s="292"/>
      <c r="D91" s="316" t="s">
        <v>280</v>
      </c>
      <c r="E91" s="316"/>
      <c r="F91" s="316">
        <v>0.2</v>
      </c>
      <c r="G91" s="316" t="s">
        <v>580</v>
      </c>
      <c r="H91" s="316"/>
      <c r="I91" s="915"/>
      <c r="J91" s="257"/>
      <c r="K91" s="257"/>
      <c r="L91" s="915"/>
      <c r="M91" s="915"/>
      <c r="N91" s="257"/>
      <c r="O91" s="294"/>
      <c r="P91" s="210"/>
    </row>
    <row r="92" spans="1:17" ht="24" customHeight="1">
      <c r="B92" s="210"/>
      <c r="C92" s="292"/>
      <c r="D92" s="298" t="s">
        <v>40</v>
      </c>
      <c r="E92" s="317" t="s">
        <v>2793</v>
      </c>
      <c r="F92" s="273"/>
      <c r="G92" s="273"/>
      <c r="H92" s="256"/>
      <c r="I92" s="257"/>
      <c r="J92" s="257"/>
      <c r="K92" s="257"/>
      <c r="L92" s="257"/>
      <c r="M92" s="257"/>
      <c r="N92" s="257"/>
      <c r="O92" s="294"/>
      <c r="P92" s="210"/>
      <c r="Q92" s="215"/>
    </row>
    <row r="93" spans="1:17" ht="24" customHeight="1">
      <c r="B93" s="210"/>
      <c r="C93" s="332"/>
      <c r="D93" s="333"/>
      <c r="E93" s="334"/>
      <c r="F93" s="334"/>
      <c r="G93" s="334"/>
      <c r="H93" s="335"/>
      <c r="I93" s="260"/>
      <c r="J93" s="260"/>
      <c r="K93" s="260"/>
      <c r="L93" s="260"/>
      <c r="M93" s="260"/>
      <c r="N93" s="260"/>
      <c r="O93" s="336"/>
      <c r="P93" s="210"/>
      <c r="Q93" s="215"/>
    </row>
    <row r="94" spans="1:17" ht="24" customHeight="1">
      <c r="A94" s="207">
        <v>4</v>
      </c>
      <c r="B94" s="210">
        <v>19</v>
      </c>
      <c r="C94" s="321" t="s">
        <v>2794</v>
      </c>
      <c r="D94" s="283" t="s">
        <v>626</v>
      </c>
      <c r="E94" s="294" t="s">
        <v>646</v>
      </c>
      <c r="F94" s="327">
        <v>1</v>
      </c>
      <c r="G94" s="328" t="s">
        <v>627</v>
      </c>
      <c r="H94" s="295"/>
      <c r="I94" s="296"/>
      <c r="J94" s="296"/>
      <c r="K94" s="296"/>
      <c r="L94" s="296"/>
      <c r="M94" s="296"/>
      <c r="N94" s="296"/>
      <c r="O94" s="294"/>
      <c r="P94" s="210"/>
      <c r="Q94" s="215"/>
    </row>
    <row r="95" spans="1:17" ht="24" customHeight="1">
      <c r="B95" s="210"/>
      <c r="C95" s="321"/>
      <c r="D95" s="1119" t="s">
        <v>481</v>
      </c>
      <c r="E95" s="1117" t="s">
        <v>401</v>
      </c>
      <c r="F95" s="1117">
        <v>1.2870000000000001E-2</v>
      </c>
      <c r="G95" s="1117" t="s">
        <v>418</v>
      </c>
      <c r="H95" s="1120"/>
      <c r="I95" s="1121"/>
      <c r="J95" s="1122"/>
      <c r="K95" s="1121"/>
      <c r="L95" s="1122"/>
      <c r="M95" s="1121"/>
      <c r="N95" s="1122"/>
      <c r="O95" s="1123" t="s">
        <v>2567</v>
      </c>
      <c r="P95" s="210"/>
      <c r="Q95" s="215"/>
    </row>
    <row r="96" spans="1:17" ht="24" customHeight="1">
      <c r="B96" s="210"/>
      <c r="C96" s="321"/>
      <c r="D96" s="330" t="s">
        <v>628</v>
      </c>
      <c r="E96" s="273" t="s">
        <v>585</v>
      </c>
      <c r="F96" s="273">
        <v>2.8000000000000004E-2</v>
      </c>
      <c r="G96" s="330" t="s">
        <v>366</v>
      </c>
      <c r="H96" s="256"/>
      <c r="I96" s="257"/>
      <c r="J96" s="257"/>
      <c r="K96" s="257"/>
      <c r="L96" s="257"/>
      <c r="M96" s="257"/>
      <c r="N96" s="257"/>
      <c r="O96" s="294" t="s">
        <v>2568</v>
      </c>
      <c r="P96" s="210"/>
      <c r="Q96" s="215"/>
    </row>
    <row r="97" spans="1:17" ht="24" customHeight="1">
      <c r="B97" s="210"/>
      <c r="C97" s="321"/>
      <c r="D97" s="298" t="s">
        <v>40</v>
      </c>
      <c r="E97" s="331" t="s">
        <v>2794</v>
      </c>
      <c r="F97" s="273"/>
      <c r="G97" s="273"/>
      <c r="H97" s="257"/>
      <c r="I97" s="257"/>
      <c r="J97" s="257"/>
      <c r="K97" s="257"/>
      <c r="L97" s="257"/>
      <c r="M97" s="257"/>
      <c r="N97" s="257"/>
      <c r="O97" s="294"/>
      <c r="P97" s="210"/>
      <c r="Q97" s="215"/>
    </row>
    <row r="98" spans="1:17" ht="24" customHeight="1">
      <c r="B98" s="210"/>
      <c r="C98" s="338"/>
      <c r="D98" s="333"/>
      <c r="E98" s="339"/>
      <c r="F98" s="339"/>
      <c r="G98" s="334"/>
      <c r="H98" s="335"/>
      <c r="I98" s="260"/>
      <c r="J98" s="260"/>
      <c r="K98" s="260"/>
      <c r="L98" s="260"/>
      <c r="M98" s="260"/>
      <c r="N98" s="260"/>
      <c r="O98" s="336"/>
      <c r="P98" s="210"/>
      <c r="Q98" s="215"/>
    </row>
    <row r="99" spans="1:17" ht="24" customHeight="1">
      <c r="A99" s="207">
        <v>5</v>
      </c>
      <c r="B99" s="210">
        <v>20</v>
      </c>
      <c r="C99" s="321" t="s">
        <v>2795</v>
      </c>
      <c r="D99" s="283" t="s">
        <v>2598</v>
      </c>
      <c r="E99" s="294" t="s">
        <v>1380</v>
      </c>
      <c r="F99" s="327">
        <v>1</v>
      </c>
      <c r="G99" s="328" t="s">
        <v>627</v>
      </c>
      <c r="H99" s="256"/>
      <c r="I99" s="257"/>
      <c r="J99" s="257"/>
      <c r="K99" s="257"/>
      <c r="L99" s="257"/>
      <c r="M99" s="257"/>
      <c r="N99" s="257"/>
      <c r="O99" s="294"/>
      <c r="P99" s="210"/>
      <c r="Q99" s="215"/>
    </row>
    <row r="100" spans="1:17" ht="24" customHeight="1">
      <c r="B100" s="210"/>
      <c r="C100" s="321"/>
      <c r="D100" s="1119" t="s">
        <v>1399</v>
      </c>
      <c r="E100" s="1117" t="s">
        <v>2570</v>
      </c>
      <c r="F100" s="1117">
        <v>1</v>
      </c>
      <c r="G100" s="1117" t="s">
        <v>2213</v>
      </c>
      <c r="H100" s="1120"/>
      <c r="I100" s="1122"/>
      <c r="J100" s="1122"/>
      <c r="K100" s="1122"/>
      <c r="L100" s="1122"/>
      <c r="M100" s="1122"/>
      <c r="N100" s="1122"/>
      <c r="O100" s="1123" t="s">
        <v>2770</v>
      </c>
      <c r="P100" s="210"/>
      <c r="Q100" s="215"/>
    </row>
    <row r="101" spans="1:17" ht="24" customHeight="1">
      <c r="B101" s="210"/>
      <c r="C101" s="321"/>
      <c r="D101" s="1119" t="s">
        <v>583</v>
      </c>
      <c r="E101" s="1117" t="s">
        <v>249</v>
      </c>
      <c r="F101" s="1117">
        <v>0.1032</v>
      </c>
      <c r="G101" s="1117" t="s">
        <v>418</v>
      </c>
      <c r="H101" s="1120"/>
      <c r="I101" s="1122"/>
      <c r="J101" s="1122"/>
      <c r="K101" s="1122"/>
      <c r="L101" s="1122"/>
      <c r="M101" s="1122"/>
      <c r="N101" s="1122"/>
      <c r="O101" s="1123" t="s">
        <v>2599</v>
      </c>
      <c r="P101" s="210"/>
      <c r="Q101" s="215"/>
    </row>
    <row r="102" spans="1:17" ht="24" customHeight="1">
      <c r="B102" s="210"/>
      <c r="C102" s="321"/>
      <c r="D102" s="298" t="s">
        <v>40</v>
      </c>
      <c r="E102" s="331" t="s">
        <v>2795</v>
      </c>
      <c r="F102" s="273"/>
      <c r="G102" s="273"/>
      <c r="H102" s="257"/>
      <c r="I102" s="257"/>
      <c r="J102" s="257"/>
      <c r="K102" s="257"/>
      <c r="L102" s="257"/>
      <c r="M102" s="257"/>
      <c r="N102" s="257"/>
      <c r="O102" s="294"/>
      <c r="P102" s="210"/>
      <c r="Q102" s="215"/>
    </row>
    <row r="103" spans="1:17" ht="24" customHeight="1">
      <c r="B103" s="210"/>
      <c r="C103" s="338"/>
      <c r="D103" s="333"/>
      <c r="E103" s="340"/>
      <c r="F103" s="334"/>
      <c r="G103" s="334"/>
      <c r="H103" s="335"/>
      <c r="I103" s="260"/>
      <c r="J103" s="260"/>
      <c r="K103" s="260"/>
      <c r="L103" s="260"/>
      <c r="M103" s="260"/>
      <c r="N103" s="260"/>
      <c r="O103" s="336"/>
      <c r="P103" s="210"/>
      <c r="Q103" s="215"/>
    </row>
    <row r="104" spans="1:17" ht="24" customHeight="1">
      <c r="A104" s="207">
        <v>6</v>
      </c>
      <c r="B104" s="210">
        <v>21</v>
      </c>
      <c r="C104" s="321" t="s">
        <v>2796</v>
      </c>
      <c r="D104" s="283" t="s">
        <v>637</v>
      </c>
      <c r="E104" s="294" t="s">
        <v>638</v>
      </c>
      <c r="F104" s="294">
        <v>1</v>
      </c>
      <c r="G104" s="294" t="s">
        <v>645</v>
      </c>
      <c r="H104" s="295"/>
      <c r="I104" s="296"/>
      <c r="J104" s="296"/>
      <c r="K104" s="296"/>
      <c r="L104" s="296"/>
      <c r="M104" s="296"/>
      <c r="N104" s="296"/>
      <c r="O104" s="294" t="s">
        <v>2566</v>
      </c>
      <c r="P104" s="210"/>
      <c r="Q104" s="215"/>
    </row>
    <row r="105" spans="1:17" ht="24" customHeight="1">
      <c r="B105" s="210"/>
      <c r="C105" s="297"/>
      <c r="D105" s="298" t="s">
        <v>639</v>
      </c>
      <c r="E105" s="273"/>
      <c r="F105" s="273">
        <v>7.7000000000000002E-3</v>
      </c>
      <c r="G105" s="273" t="s">
        <v>643</v>
      </c>
      <c r="H105" s="256"/>
      <c r="I105" s="257"/>
      <c r="J105" s="257"/>
      <c r="K105" s="257"/>
      <c r="L105" s="257"/>
      <c r="M105" s="257"/>
      <c r="N105" s="257"/>
      <c r="O105" s="294"/>
      <c r="P105" s="210"/>
      <c r="Q105" s="215"/>
    </row>
    <row r="106" spans="1:17" ht="24" customHeight="1">
      <c r="B106" s="210"/>
      <c r="C106" s="297"/>
      <c r="D106" s="298" t="s">
        <v>640</v>
      </c>
      <c r="E106" s="192"/>
      <c r="F106" s="192">
        <v>3.8E-3</v>
      </c>
      <c r="G106" s="273" t="s">
        <v>643</v>
      </c>
      <c r="H106" s="256"/>
      <c r="I106" s="257"/>
      <c r="J106" s="257"/>
      <c r="K106" s="257"/>
      <c r="L106" s="257"/>
      <c r="M106" s="257"/>
      <c r="N106" s="257"/>
      <c r="O106" s="294"/>
      <c r="P106" s="210"/>
      <c r="Q106" s="215"/>
    </row>
    <row r="107" spans="1:17" ht="24" customHeight="1">
      <c r="B107" s="210"/>
      <c r="C107" s="297"/>
      <c r="D107" s="1119" t="s">
        <v>641</v>
      </c>
      <c r="E107" s="1124" t="s">
        <v>642</v>
      </c>
      <c r="F107" s="1124">
        <v>3.0800000000000001E-2</v>
      </c>
      <c r="G107" s="1117" t="s">
        <v>644</v>
      </c>
      <c r="H107" s="1120"/>
      <c r="I107" s="1122"/>
      <c r="J107" s="1122"/>
      <c r="K107" s="1122"/>
      <c r="L107" s="1122"/>
      <c r="M107" s="1122"/>
      <c r="N107" s="1122"/>
      <c r="O107" s="1123"/>
      <c r="P107" s="210"/>
      <c r="Q107" s="215"/>
    </row>
    <row r="108" spans="1:17" ht="24" customHeight="1">
      <c r="B108" s="210"/>
      <c r="C108" s="297"/>
      <c r="D108" s="298" t="s">
        <v>40</v>
      </c>
      <c r="E108" s="331" t="s">
        <v>2796</v>
      </c>
      <c r="F108" s="273"/>
      <c r="G108" s="273"/>
      <c r="H108" s="257"/>
      <c r="I108" s="257"/>
      <c r="J108" s="257"/>
      <c r="K108" s="257"/>
      <c r="L108" s="257"/>
      <c r="M108" s="257"/>
      <c r="N108" s="257"/>
      <c r="O108" s="294"/>
      <c r="P108" s="210"/>
      <c r="Q108" s="215"/>
    </row>
    <row r="109" spans="1:17" ht="24" customHeight="1">
      <c r="B109" s="210"/>
      <c r="C109" s="332"/>
      <c r="D109" s="333"/>
      <c r="E109" s="334"/>
      <c r="F109" s="334"/>
      <c r="G109" s="334"/>
      <c r="H109" s="335"/>
      <c r="I109" s="260"/>
      <c r="J109" s="260"/>
      <c r="K109" s="260"/>
      <c r="L109" s="260"/>
      <c r="M109" s="260"/>
      <c r="N109" s="260"/>
      <c r="O109" s="336"/>
      <c r="P109" s="210"/>
      <c r="Q109" s="215"/>
    </row>
    <row r="110" spans="1:17" ht="24" customHeight="1">
      <c r="A110" s="207">
        <v>7</v>
      </c>
      <c r="B110" s="210">
        <v>22</v>
      </c>
      <c r="C110" s="965" t="s">
        <v>2797</v>
      </c>
      <c r="D110" s="280" t="s">
        <v>2609</v>
      </c>
      <c r="E110" s="214" t="s">
        <v>1442</v>
      </c>
      <c r="F110" s="214">
        <v>1</v>
      </c>
      <c r="G110" s="214" t="s">
        <v>645</v>
      </c>
      <c r="H110" s="212"/>
      <c r="I110" s="213"/>
      <c r="J110" s="213"/>
      <c r="K110" s="213"/>
      <c r="L110" s="213"/>
      <c r="M110" s="213"/>
      <c r="N110" s="213"/>
      <c r="O110" s="214" t="s">
        <v>2606</v>
      </c>
      <c r="P110" s="210"/>
      <c r="Q110" s="215"/>
    </row>
    <row r="111" spans="1:17" ht="24" customHeight="1">
      <c r="B111" s="210"/>
      <c r="D111" s="279" t="s">
        <v>299</v>
      </c>
      <c r="E111" s="137"/>
      <c r="F111" s="137">
        <v>2E-3</v>
      </c>
      <c r="G111" s="137" t="s">
        <v>533</v>
      </c>
      <c r="H111" s="152"/>
      <c r="I111" s="140"/>
      <c r="J111" s="140"/>
      <c r="K111" s="140"/>
      <c r="L111" s="140"/>
      <c r="M111" s="140"/>
      <c r="N111" s="140"/>
      <c r="O111" s="214"/>
      <c r="P111" s="210"/>
      <c r="Q111" s="215"/>
    </row>
    <row r="112" spans="1:17" ht="24" customHeight="1">
      <c r="B112" s="210"/>
      <c r="D112" s="279" t="s">
        <v>280</v>
      </c>
      <c r="E112" s="104"/>
      <c r="F112" s="104">
        <v>2E-3</v>
      </c>
      <c r="G112" s="137" t="s">
        <v>533</v>
      </c>
      <c r="H112" s="152"/>
      <c r="I112" s="140"/>
      <c r="J112" s="140"/>
      <c r="K112" s="140"/>
      <c r="L112" s="140"/>
      <c r="M112" s="140"/>
      <c r="N112" s="140"/>
      <c r="O112" s="214"/>
      <c r="P112" s="210"/>
      <c r="Q112" s="215"/>
    </row>
    <row r="113" spans="1:17" ht="24" customHeight="1">
      <c r="B113" s="210"/>
      <c r="D113" s="279" t="s">
        <v>2602</v>
      </c>
      <c r="E113" s="104" t="s">
        <v>2604</v>
      </c>
      <c r="F113" s="104">
        <v>1.6E-2</v>
      </c>
      <c r="G113" s="137" t="s">
        <v>557</v>
      </c>
      <c r="H113" s="152"/>
      <c r="I113" s="140"/>
      <c r="J113" s="140"/>
      <c r="K113" s="140"/>
      <c r="L113" s="140"/>
      <c r="M113" s="140"/>
      <c r="N113" s="140"/>
      <c r="O113" s="214"/>
      <c r="P113" s="210"/>
      <c r="Q113" s="215"/>
    </row>
    <row r="114" spans="1:17" ht="24" customHeight="1">
      <c r="B114" s="210"/>
      <c r="D114" s="279" t="s">
        <v>2603</v>
      </c>
      <c r="E114" s="104" t="s">
        <v>2605</v>
      </c>
      <c r="F114" s="104">
        <v>8.0000000000000002E-3</v>
      </c>
      <c r="G114" s="137" t="s">
        <v>557</v>
      </c>
      <c r="H114" s="152"/>
      <c r="I114" s="140"/>
      <c r="J114" s="140"/>
      <c r="K114" s="140"/>
      <c r="L114" s="140"/>
      <c r="M114" s="140"/>
      <c r="N114" s="140"/>
      <c r="O114" s="214"/>
      <c r="P114" s="210"/>
      <c r="Q114" s="215"/>
    </row>
    <row r="115" spans="1:17" ht="24" customHeight="1">
      <c r="B115" s="210"/>
      <c r="D115" s="279" t="s">
        <v>40</v>
      </c>
      <c r="E115" s="966" t="s">
        <v>2797</v>
      </c>
      <c r="F115" s="137"/>
      <c r="G115" s="137"/>
      <c r="H115" s="140"/>
      <c r="I115" s="140"/>
      <c r="J115" s="140"/>
      <c r="K115" s="140"/>
      <c r="L115" s="140"/>
      <c r="M115" s="140"/>
      <c r="N115" s="140"/>
      <c r="O115" s="214"/>
      <c r="P115" s="210"/>
      <c r="Q115" s="215"/>
    </row>
    <row r="116" spans="1:17" ht="24" customHeight="1">
      <c r="B116" s="210"/>
      <c r="C116" s="967"/>
      <c r="D116" s="968"/>
      <c r="E116" s="969"/>
      <c r="F116" s="969"/>
      <c r="G116" s="969"/>
      <c r="H116" s="970"/>
      <c r="I116" s="259"/>
      <c r="J116" s="259"/>
      <c r="K116" s="259"/>
      <c r="L116" s="259"/>
      <c r="M116" s="259"/>
      <c r="N116" s="259"/>
      <c r="O116" s="971"/>
      <c r="P116" s="210"/>
      <c r="Q116" s="215"/>
    </row>
    <row r="117" spans="1:17" ht="24" customHeight="1">
      <c r="A117" s="207">
        <v>8</v>
      </c>
      <c r="B117" s="210">
        <v>23</v>
      </c>
      <c r="C117" s="965" t="s">
        <v>2798</v>
      </c>
      <c r="D117" s="280" t="s">
        <v>1452</v>
      </c>
      <c r="E117" s="214" t="s">
        <v>1380</v>
      </c>
      <c r="F117" s="214">
        <v>1</v>
      </c>
      <c r="G117" s="214" t="s">
        <v>645</v>
      </c>
      <c r="H117" s="212"/>
      <c r="I117" s="213"/>
      <c r="J117" s="213"/>
      <c r="K117" s="213"/>
      <c r="L117" s="213"/>
      <c r="M117" s="213"/>
      <c r="N117" s="213"/>
      <c r="O117" s="214" t="s">
        <v>2608</v>
      </c>
      <c r="P117" s="210"/>
      <c r="Q117" s="215"/>
    </row>
    <row r="118" spans="1:17" ht="24" customHeight="1">
      <c r="B118" s="210"/>
      <c r="D118" s="279" t="s">
        <v>1455</v>
      </c>
      <c r="E118" s="137" t="s">
        <v>2607</v>
      </c>
      <c r="F118" s="137">
        <v>1</v>
      </c>
      <c r="G118" s="137" t="s">
        <v>418</v>
      </c>
      <c r="H118" s="152"/>
      <c r="I118" s="140"/>
      <c r="J118" s="140"/>
      <c r="K118" s="140"/>
      <c r="L118" s="140"/>
      <c r="M118" s="140"/>
      <c r="N118" s="140"/>
      <c r="O118" s="214"/>
      <c r="P118" s="210"/>
      <c r="Q118" s="215"/>
    </row>
    <row r="119" spans="1:17" ht="24" customHeight="1">
      <c r="B119" s="210"/>
      <c r="D119" s="279" t="s">
        <v>40</v>
      </c>
      <c r="E119" s="966" t="s">
        <v>2798</v>
      </c>
      <c r="F119" s="137"/>
      <c r="G119" s="137"/>
      <c r="H119" s="140"/>
      <c r="I119" s="140"/>
      <c r="J119" s="140"/>
      <c r="K119" s="140"/>
      <c r="L119" s="140"/>
      <c r="M119" s="140"/>
      <c r="N119" s="140"/>
      <c r="O119" s="214"/>
      <c r="P119" s="210"/>
      <c r="Q119" s="215"/>
    </row>
    <row r="120" spans="1:17" ht="24" customHeight="1">
      <c r="B120" s="210"/>
      <c r="C120" s="332"/>
      <c r="D120" s="333"/>
      <c r="E120" s="334"/>
      <c r="F120" s="334"/>
      <c r="G120" s="334"/>
      <c r="H120" s="335"/>
      <c r="I120" s="260"/>
      <c r="J120" s="260"/>
      <c r="K120" s="260"/>
      <c r="L120" s="260"/>
      <c r="M120" s="260"/>
      <c r="N120" s="260"/>
      <c r="O120" s="336"/>
      <c r="P120" s="210"/>
      <c r="Q120" s="215"/>
    </row>
    <row r="121" spans="1:17" s="210" customFormat="1" ht="24" customHeight="1">
      <c r="A121" s="210">
        <v>1</v>
      </c>
      <c r="B121" s="210">
        <v>24</v>
      </c>
      <c r="C121" s="292" t="s">
        <v>2799</v>
      </c>
      <c r="D121" s="283" t="s">
        <v>589</v>
      </c>
      <c r="E121" s="916" t="s">
        <v>298</v>
      </c>
      <c r="F121" s="294">
        <v>1</v>
      </c>
      <c r="G121" s="294" t="s">
        <v>592</v>
      </c>
      <c r="H121" s="295"/>
      <c r="I121" s="296"/>
      <c r="J121" s="296"/>
      <c r="K121" s="296"/>
      <c r="L121" s="296"/>
      <c r="M121" s="296"/>
      <c r="N121" s="296"/>
      <c r="O121" s="294" t="s">
        <v>595</v>
      </c>
      <c r="Q121" s="291"/>
    </row>
    <row r="122" spans="1:17" s="210" customFormat="1" ht="24" customHeight="1">
      <c r="C122" s="292"/>
      <c r="D122" s="298" t="s">
        <v>594</v>
      </c>
      <c r="E122" s="312" t="s">
        <v>298</v>
      </c>
      <c r="F122" s="273">
        <v>1</v>
      </c>
      <c r="G122" s="273" t="s">
        <v>592</v>
      </c>
      <c r="H122" s="256"/>
      <c r="I122" s="257"/>
      <c r="J122" s="257"/>
      <c r="K122" s="257"/>
      <c r="L122" s="257"/>
      <c r="M122" s="257"/>
      <c r="N122" s="257"/>
      <c r="O122" s="294"/>
      <c r="Q122" s="291"/>
    </row>
    <row r="123" spans="1:17" ht="24" customHeight="1">
      <c r="B123" s="210"/>
      <c r="C123" s="292"/>
      <c r="D123" s="298" t="s">
        <v>590</v>
      </c>
      <c r="E123" s="314"/>
      <c r="F123" s="273">
        <v>9.0000000000000011E-3</v>
      </c>
      <c r="G123" s="273" t="s">
        <v>593</v>
      </c>
      <c r="H123" s="256"/>
      <c r="I123" s="257"/>
      <c r="J123" s="257"/>
      <c r="K123" s="257"/>
      <c r="L123" s="257"/>
      <c r="M123" s="257"/>
      <c r="N123" s="257"/>
      <c r="O123" s="294"/>
      <c r="P123" s="210"/>
    </row>
    <row r="124" spans="1:17" ht="24" customHeight="1">
      <c r="B124" s="210"/>
      <c r="C124" s="292"/>
      <c r="D124" s="298" t="s">
        <v>591</v>
      </c>
      <c r="E124" s="314"/>
      <c r="F124" s="273">
        <v>2.1000000000000001E-2</v>
      </c>
      <c r="G124" s="273" t="s">
        <v>593</v>
      </c>
      <c r="H124" s="256"/>
      <c r="I124" s="257"/>
      <c r="J124" s="257"/>
      <c r="K124" s="257"/>
      <c r="L124" s="257"/>
      <c r="M124" s="257"/>
      <c r="N124" s="257"/>
      <c r="O124" s="294"/>
      <c r="P124" s="210"/>
    </row>
    <row r="125" spans="1:17" s="216" customFormat="1" ht="24" customHeight="1">
      <c r="B125" s="210"/>
      <c r="C125" s="292"/>
      <c r="D125" s="298" t="s">
        <v>40</v>
      </c>
      <c r="E125" s="331" t="s">
        <v>2799</v>
      </c>
      <c r="F125" s="273"/>
      <c r="G125" s="273"/>
      <c r="H125" s="256"/>
      <c r="I125" s="257"/>
      <c r="J125" s="257"/>
      <c r="K125" s="257"/>
      <c r="L125" s="257"/>
      <c r="M125" s="257"/>
      <c r="N125" s="257"/>
      <c r="O125" s="294"/>
      <c r="P125" s="210"/>
    </row>
    <row r="126" spans="1:17" s="216" customFormat="1" ht="24" customHeight="1">
      <c r="B126" s="210"/>
      <c r="C126" s="917"/>
      <c r="D126" s="918"/>
      <c r="E126" s="919"/>
      <c r="F126" s="191"/>
      <c r="G126" s="191"/>
      <c r="H126" s="920"/>
      <c r="I126" s="921"/>
      <c r="J126" s="921"/>
      <c r="K126" s="921"/>
      <c r="L126" s="921"/>
      <c r="M126" s="921"/>
      <c r="N126" s="921"/>
      <c r="O126" s="922"/>
      <c r="P126" s="210"/>
    </row>
    <row r="127" spans="1:17" s="216" customFormat="1" ht="24" customHeight="1">
      <c r="A127" s="210">
        <v>2</v>
      </c>
      <c r="B127" s="210">
        <v>25</v>
      </c>
      <c r="C127" s="292" t="s">
        <v>2800</v>
      </c>
      <c r="D127" s="283" t="s">
        <v>697</v>
      </c>
      <c r="E127" s="916" t="s">
        <v>298</v>
      </c>
      <c r="F127" s="294">
        <v>1</v>
      </c>
      <c r="G127" s="294" t="s">
        <v>272</v>
      </c>
      <c r="H127" s="295"/>
      <c r="I127" s="296"/>
      <c r="J127" s="296"/>
      <c r="K127" s="296"/>
      <c r="L127" s="296"/>
      <c r="M127" s="296"/>
      <c r="N127" s="296"/>
      <c r="O127" s="294" t="s">
        <v>595</v>
      </c>
      <c r="P127" s="210"/>
    </row>
    <row r="128" spans="1:17" s="216" customFormat="1" ht="24" customHeight="1">
      <c r="B128" s="210"/>
      <c r="C128" s="292"/>
      <c r="D128" s="298" t="s">
        <v>590</v>
      </c>
      <c r="E128" s="314"/>
      <c r="F128" s="273">
        <v>4.5000000000000005E-3</v>
      </c>
      <c r="G128" s="273" t="s">
        <v>366</v>
      </c>
      <c r="H128" s="256"/>
      <c r="I128" s="257"/>
      <c r="J128" s="257"/>
      <c r="K128" s="257"/>
      <c r="L128" s="257"/>
      <c r="M128" s="257"/>
      <c r="N128" s="257"/>
      <c r="O128" s="294"/>
      <c r="P128" s="210"/>
    </row>
    <row r="129" spans="1:17" s="216" customFormat="1" ht="24" customHeight="1">
      <c r="B129" s="210"/>
      <c r="C129" s="292"/>
      <c r="D129" s="298" t="s">
        <v>248</v>
      </c>
      <c r="E129" s="314"/>
      <c r="F129" s="1117">
        <v>1.0500000000000001E-2</v>
      </c>
      <c r="G129" s="273" t="s">
        <v>366</v>
      </c>
      <c r="H129" s="256"/>
      <c r="I129" s="257"/>
      <c r="J129" s="257"/>
      <c r="K129" s="257"/>
      <c r="L129" s="257"/>
      <c r="M129" s="257"/>
      <c r="N129" s="257"/>
      <c r="O129" s="294"/>
      <c r="P129" s="210"/>
    </row>
    <row r="130" spans="1:17" s="216" customFormat="1" ht="24" customHeight="1">
      <c r="B130" s="210"/>
      <c r="C130" s="292"/>
      <c r="D130" s="298" t="s">
        <v>40</v>
      </c>
      <c r="E130" s="331" t="s">
        <v>2800</v>
      </c>
      <c r="F130" s="273"/>
      <c r="G130" s="273"/>
      <c r="H130" s="256"/>
      <c r="I130" s="257"/>
      <c r="J130" s="257"/>
      <c r="K130" s="257"/>
      <c r="L130" s="257"/>
      <c r="M130" s="257"/>
      <c r="N130" s="257"/>
      <c r="O130" s="294"/>
      <c r="P130" s="210"/>
    </row>
    <row r="131" spans="1:17" s="216" customFormat="1" ht="24" customHeight="1">
      <c r="B131" s="210"/>
      <c r="C131" s="917"/>
      <c r="D131" s="918"/>
      <c r="E131" s="919"/>
      <c r="F131" s="191"/>
      <c r="G131" s="191"/>
      <c r="H131" s="920"/>
      <c r="I131" s="921"/>
      <c r="J131" s="921"/>
      <c r="K131" s="921"/>
      <c r="L131" s="921"/>
      <c r="M131" s="921"/>
      <c r="N131" s="921"/>
      <c r="O131" s="922"/>
      <c r="P131" s="210"/>
    </row>
    <row r="132" spans="1:17" ht="24" customHeight="1">
      <c r="A132" s="207">
        <v>1</v>
      </c>
      <c r="B132" s="210">
        <v>26</v>
      </c>
      <c r="C132" s="292" t="s">
        <v>2801</v>
      </c>
      <c r="D132" s="283" t="s">
        <v>597</v>
      </c>
      <c r="E132" s="293" t="s">
        <v>602</v>
      </c>
      <c r="F132" s="294">
        <v>1</v>
      </c>
      <c r="G132" s="294" t="s">
        <v>592</v>
      </c>
      <c r="H132" s="295"/>
      <c r="I132" s="296"/>
      <c r="J132" s="296"/>
      <c r="K132" s="296"/>
      <c r="L132" s="296"/>
      <c r="M132" s="296"/>
      <c r="N132" s="296"/>
      <c r="O132" s="294" t="s">
        <v>601</v>
      </c>
      <c r="P132" s="210"/>
    </row>
    <row r="133" spans="1:17" ht="24" customHeight="1">
      <c r="B133" s="210"/>
      <c r="C133" s="297"/>
      <c r="D133" s="298" t="s">
        <v>599</v>
      </c>
      <c r="E133" s="273" t="s">
        <v>598</v>
      </c>
      <c r="F133" s="273">
        <v>2.1</v>
      </c>
      <c r="G133" s="273" t="s">
        <v>592</v>
      </c>
      <c r="H133" s="256"/>
      <c r="I133" s="257"/>
      <c r="J133" s="257"/>
      <c r="K133" s="257"/>
      <c r="L133" s="257"/>
      <c r="M133" s="257"/>
      <c r="N133" s="257"/>
      <c r="O133" s="294"/>
      <c r="P133" s="210"/>
    </row>
    <row r="134" spans="1:17" ht="24" customHeight="1">
      <c r="B134" s="210"/>
      <c r="C134" s="297"/>
      <c r="D134" s="273" t="s">
        <v>600</v>
      </c>
      <c r="E134" s="273"/>
      <c r="F134" s="273">
        <v>1.2474000000000001E-2</v>
      </c>
      <c r="G134" s="273" t="s">
        <v>593</v>
      </c>
      <c r="H134" s="256"/>
      <c r="I134" s="257"/>
      <c r="J134" s="257"/>
      <c r="K134" s="257"/>
      <c r="L134" s="257"/>
      <c r="M134" s="257"/>
      <c r="N134" s="257"/>
      <c r="O134" s="294"/>
      <c r="P134" s="210"/>
    </row>
    <row r="135" spans="1:17" ht="24" customHeight="1">
      <c r="B135" s="210"/>
      <c r="C135" s="297"/>
      <c r="D135" s="299" t="s">
        <v>280</v>
      </c>
      <c r="E135" s="273"/>
      <c r="F135" s="273">
        <v>1.2474000000000001E-2</v>
      </c>
      <c r="G135" s="300" t="s">
        <v>593</v>
      </c>
      <c r="H135" s="256"/>
      <c r="I135" s="257"/>
      <c r="J135" s="257"/>
      <c r="K135" s="257"/>
      <c r="L135" s="256"/>
      <c r="M135" s="257"/>
      <c r="N135" s="257"/>
      <c r="O135" s="923"/>
      <c r="P135" s="210"/>
      <c r="Q135" s="250"/>
    </row>
    <row r="136" spans="1:17" ht="24" customHeight="1">
      <c r="B136" s="210"/>
      <c r="C136" s="297"/>
      <c r="D136" s="298" t="s">
        <v>40</v>
      </c>
      <c r="E136" s="331" t="s">
        <v>2801</v>
      </c>
      <c r="F136" s="273"/>
      <c r="G136" s="273"/>
      <c r="H136" s="256"/>
      <c r="I136" s="257"/>
      <c r="J136" s="256"/>
      <c r="K136" s="257"/>
      <c r="L136" s="256"/>
      <c r="M136" s="257"/>
      <c r="N136" s="257"/>
      <c r="O136" s="924"/>
      <c r="P136" s="210"/>
    </row>
    <row r="137" spans="1:17" s="216" customFormat="1" ht="24" customHeight="1">
      <c r="B137" s="210"/>
      <c r="C137" s="917"/>
      <c r="D137" s="918"/>
      <c r="E137" s="919"/>
      <c r="F137" s="191"/>
      <c r="G137" s="191"/>
      <c r="H137" s="920"/>
      <c r="I137" s="921"/>
      <c r="J137" s="921"/>
      <c r="K137" s="921"/>
      <c r="L137" s="921"/>
      <c r="M137" s="921"/>
      <c r="N137" s="921"/>
      <c r="O137" s="922"/>
      <c r="P137" s="210"/>
    </row>
    <row r="138" spans="1:17" ht="24" customHeight="1">
      <c r="A138" s="207">
        <v>2</v>
      </c>
      <c r="B138" s="210">
        <v>27</v>
      </c>
      <c r="C138" s="292" t="s">
        <v>2802</v>
      </c>
      <c r="D138" s="283" t="s">
        <v>597</v>
      </c>
      <c r="E138" s="293" t="s">
        <v>2740</v>
      </c>
      <c r="F138" s="294">
        <v>1</v>
      </c>
      <c r="G138" s="294" t="s">
        <v>272</v>
      </c>
      <c r="H138" s="295"/>
      <c r="I138" s="296"/>
      <c r="J138" s="296"/>
      <c r="K138" s="296"/>
      <c r="L138" s="296"/>
      <c r="M138" s="296"/>
      <c r="N138" s="296"/>
      <c r="O138" s="294" t="s">
        <v>601</v>
      </c>
      <c r="P138" s="210"/>
    </row>
    <row r="139" spans="1:17" ht="24" customHeight="1">
      <c r="B139" s="210"/>
      <c r="C139" s="297"/>
      <c r="D139" s="298" t="s">
        <v>599</v>
      </c>
      <c r="E139" s="273" t="s">
        <v>598</v>
      </c>
      <c r="F139" s="273">
        <v>4.2</v>
      </c>
      <c r="G139" s="273" t="s">
        <v>272</v>
      </c>
      <c r="H139" s="256"/>
      <c r="I139" s="257"/>
      <c r="J139" s="257"/>
      <c r="K139" s="257"/>
      <c r="L139" s="257"/>
      <c r="M139" s="257"/>
      <c r="N139" s="257"/>
      <c r="O139" s="294"/>
      <c r="P139" s="210"/>
    </row>
    <row r="140" spans="1:17" ht="24" customHeight="1">
      <c r="B140" s="210"/>
      <c r="C140" s="297"/>
      <c r="D140" s="273" t="s">
        <v>600</v>
      </c>
      <c r="E140" s="273"/>
      <c r="F140" s="273">
        <v>2.3562E-2</v>
      </c>
      <c r="G140" s="273" t="s">
        <v>366</v>
      </c>
      <c r="H140" s="256"/>
      <c r="I140" s="257"/>
      <c r="J140" s="257"/>
      <c r="K140" s="257"/>
      <c r="L140" s="257"/>
      <c r="M140" s="257"/>
      <c r="N140" s="257"/>
      <c r="O140" s="294"/>
      <c r="P140" s="210"/>
    </row>
    <row r="141" spans="1:17" ht="24" customHeight="1">
      <c r="B141" s="210"/>
      <c r="C141" s="297"/>
      <c r="D141" s="299" t="s">
        <v>280</v>
      </c>
      <c r="E141" s="273"/>
      <c r="F141" s="273">
        <v>2.3562E-2</v>
      </c>
      <c r="G141" s="300" t="s">
        <v>366</v>
      </c>
      <c r="H141" s="256"/>
      <c r="I141" s="257"/>
      <c r="J141" s="257"/>
      <c r="K141" s="257"/>
      <c r="L141" s="256"/>
      <c r="M141" s="257"/>
      <c r="N141" s="257"/>
      <c r="O141" s="923"/>
      <c r="P141" s="210"/>
      <c r="Q141" s="250"/>
    </row>
    <row r="142" spans="1:17" ht="24" customHeight="1">
      <c r="B142" s="210"/>
      <c r="C142" s="297"/>
      <c r="D142" s="298" t="s">
        <v>40</v>
      </c>
      <c r="E142" s="331" t="s">
        <v>2802</v>
      </c>
      <c r="F142" s="273"/>
      <c r="G142" s="273"/>
      <c r="H142" s="256"/>
      <c r="I142" s="257"/>
      <c r="J142" s="256"/>
      <c r="K142" s="257"/>
      <c r="L142" s="256"/>
      <c r="M142" s="257"/>
      <c r="N142" s="257"/>
      <c r="O142" s="924"/>
      <c r="P142" s="210"/>
    </row>
    <row r="143" spans="1:17" s="216" customFormat="1" ht="24" customHeight="1">
      <c r="B143" s="210"/>
      <c r="C143" s="917"/>
      <c r="D143" s="918"/>
      <c r="E143" s="919"/>
      <c r="F143" s="191"/>
      <c r="G143" s="191"/>
      <c r="H143" s="920"/>
      <c r="I143" s="921"/>
      <c r="J143" s="921"/>
      <c r="K143" s="921"/>
      <c r="L143" s="921"/>
      <c r="M143" s="921"/>
      <c r="N143" s="921"/>
      <c r="O143" s="922"/>
      <c r="P143" s="210"/>
    </row>
    <row r="144" spans="1:17" ht="24" customHeight="1">
      <c r="A144" s="207">
        <v>3</v>
      </c>
      <c r="B144" s="210">
        <v>28</v>
      </c>
      <c r="C144" s="292" t="s">
        <v>2803</v>
      </c>
      <c r="D144" s="283" t="s">
        <v>597</v>
      </c>
      <c r="E144" s="293" t="s">
        <v>2741</v>
      </c>
      <c r="F144" s="294">
        <v>1</v>
      </c>
      <c r="G144" s="294" t="s">
        <v>272</v>
      </c>
      <c r="H144" s="295"/>
      <c r="I144" s="296"/>
      <c r="J144" s="296"/>
      <c r="K144" s="296"/>
      <c r="L144" s="296"/>
      <c r="M144" s="296"/>
      <c r="N144" s="296"/>
      <c r="O144" s="294" t="s">
        <v>601</v>
      </c>
      <c r="P144" s="210"/>
    </row>
    <row r="145" spans="1:17" ht="24" customHeight="1">
      <c r="B145" s="210"/>
      <c r="C145" s="297"/>
      <c r="D145" s="298" t="s">
        <v>599</v>
      </c>
      <c r="E145" s="273" t="s">
        <v>2742</v>
      </c>
      <c r="F145" s="273">
        <v>4.2</v>
      </c>
      <c r="G145" s="273" t="s">
        <v>272</v>
      </c>
      <c r="H145" s="256"/>
      <c r="I145" s="257"/>
      <c r="J145" s="257"/>
      <c r="K145" s="257"/>
      <c r="L145" s="257"/>
      <c r="M145" s="257"/>
      <c r="N145" s="257"/>
      <c r="O145" s="294"/>
      <c r="P145" s="210"/>
    </row>
    <row r="146" spans="1:17" ht="24" customHeight="1">
      <c r="B146" s="210"/>
      <c r="C146" s="297"/>
      <c r="D146" s="273" t="s">
        <v>600</v>
      </c>
      <c r="E146" s="273"/>
      <c r="F146" s="273">
        <v>2.4683999999999998E-2</v>
      </c>
      <c r="G146" s="273" t="s">
        <v>366</v>
      </c>
      <c r="H146" s="256"/>
      <c r="I146" s="257"/>
      <c r="J146" s="257"/>
      <c r="K146" s="257"/>
      <c r="L146" s="257"/>
      <c r="M146" s="257"/>
      <c r="N146" s="257"/>
      <c r="O146" s="294"/>
      <c r="P146" s="210"/>
    </row>
    <row r="147" spans="1:17" ht="24" customHeight="1">
      <c r="B147" s="210"/>
      <c r="C147" s="297"/>
      <c r="D147" s="299" t="s">
        <v>280</v>
      </c>
      <c r="E147" s="273"/>
      <c r="F147" s="273">
        <v>2.4683999999999998E-2</v>
      </c>
      <c r="G147" s="300" t="s">
        <v>366</v>
      </c>
      <c r="H147" s="256"/>
      <c r="I147" s="257"/>
      <c r="J147" s="257"/>
      <c r="K147" s="257"/>
      <c r="L147" s="256"/>
      <c r="M147" s="257"/>
      <c r="N147" s="257"/>
      <c r="O147" s="923"/>
      <c r="P147" s="210"/>
      <c r="Q147" s="250"/>
    </row>
    <row r="148" spans="1:17" ht="24" customHeight="1">
      <c r="B148" s="210"/>
      <c r="C148" s="297"/>
      <c r="D148" s="298" t="s">
        <v>40</v>
      </c>
      <c r="E148" s="331" t="s">
        <v>2803</v>
      </c>
      <c r="F148" s="273"/>
      <c r="G148" s="273"/>
      <c r="H148" s="256"/>
      <c r="I148" s="257"/>
      <c r="J148" s="256"/>
      <c r="K148" s="257"/>
      <c r="L148" s="256"/>
      <c r="M148" s="257"/>
      <c r="N148" s="257"/>
      <c r="O148" s="924"/>
      <c r="P148" s="210"/>
    </row>
    <row r="149" spans="1:17" ht="24" customHeight="1">
      <c r="B149" s="210"/>
      <c r="C149" s="341"/>
      <c r="D149" s="333"/>
      <c r="E149" s="334"/>
      <c r="F149" s="334"/>
      <c r="G149" s="334"/>
      <c r="H149" s="335"/>
      <c r="I149" s="260"/>
      <c r="J149" s="260"/>
      <c r="K149" s="260"/>
      <c r="L149" s="260"/>
      <c r="M149" s="260"/>
      <c r="N149" s="260"/>
      <c r="O149" s="336"/>
      <c r="P149" s="210"/>
    </row>
    <row r="150" spans="1:17" ht="24" customHeight="1">
      <c r="A150" s="207">
        <v>4</v>
      </c>
      <c r="B150" s="210">
        <v>29</v>
      </c>
      <c r="C150" s="292" t="s">
        <v>2804</v>
      </c>
      <c r="D150" s="283" t="s">
        <v>606</v>
      </c>
      <c r="E150" s="293" t="s">
        <v>604</v>
      </c>
      <c r="F150" s="294">
        <v>1</v>
      </c>
      <c r="G150" s="294" t="s">
        <v>592</v>
      </c>
      <c r="H150" s="295"/>
      <c r="I150" s="296"/>
      <c r="J150" s="296"/>
      <c r="K150" s="296"/>
      <c r="L150" s="296"/>
      <c r="M150" s="296"/>
      <c r="N150" s="296"/>
      <c r="O150" s="294" t="s">
        <v>607</v>
      </c>
      <c r="P150" s="210"/>
    </row>
    <row r="151" spans="1:17" ht="24" customHeight="1">
      <c r="B151" s="210"/>
      <c r="C151" s="297"/>
      <c r="D151" s="298" t="s">
        <v>605</v>
      </c>
      <c r="E151" s="273" t="s">
        <v>604</v>
      </c>
      <c r="F151" s="273">
        <v>1</v>
      </c>
      <c r="G151" s="273" t="s">
        <v>592</v>
      </c>
      <c r="H151" s="256"/>
      <c r="I151" s="257"/>
      <c r="J151" s="257"/>
      <c r="K151" s="257"/>
      <c r="L151" s="257"/>
      <c r="M151" s="257"/>
      <c r="N151" s="257"/>
      <c r="O151" s="294"/>
      <c r="P151" s="210"/>
    </row>
    <row r="152" spans="1:17" s="210" customFormat="1" ht="24" customHeight="1">
      <c r="C152" s="297"/>
      <c r="D152" s="273" t="s">
        <v>596</v>
      </c>
      <c r="E152" s="273"/>
      <c r="F152" s="273">
        <v>6.0000000000000001E-3</v>
      </c>
      <c r="G152" s="273" t="s">
        <v>593</v>
      </c>
      <c r="H152" s="256"/>
      <c r="I152" s="257"/>
      <c r="J152" s="257"/>
      <c r="K152" s="257"/>
      <c r="L152" s="257"/>
      <c r="M152" s="257"/>
      <c r="N152" s="257"/>
      <c r="O152" s="294"/>
    </row>
    <row r="153" spans="1:17" ht="24" customHeight="1">
      <c r="B153" s="210"/>
      <c r="C153" s="297"/>
      <c r="D153" s="298" t="s">
        <v>40</v>
      </c>
      <c r="E153" s="331" t="s">
        <v>2804</v>
      </c>
      <c r="F153" s="273"/>
      <c r="G153" s="273"/>
      <c r="H153" s="256"/>
      <c r="I153" s="257"/>
      <c r="J153" s="256"/>
      <c r="K153" s="257"/>
      <c r="L153" s="256"/>
      <c r="M153" s="257"/>
      <c r="N153" s="257"/>
      <c r="O153" s="924"/>
      <c r="P153" s="210"/>
    </row>
    <row r="154" spans="1:17" ht="24" customHeight="1">
      <c r="B154" s="210"/>
      <c r="C154" s="341"/>
      <c r="D154" s="333"/>
      <c r="E154" s="334"/>
      <c r="F154" s="334"/>
      <c r="G154" s="334"/>
      <c r="H154" s="335"/>
      <c r="I154" s="260"/>
      <c r="J154" s="260"/>
      <c r="K154" s="260"/>
      <c r="L154" s="260"/>
      <c r="M154" s="260"/>
      <c r="N154" s="260"/>
      <c r="O154" s="336"/>
      <c r="P154" s="210"/>
    </row>
    <row r="155" spans="1:17" ht="24" customHeight="1">
      <c r="A155" s="207">
        <v>5</v>
      </c>
      <c r="B155" s="210">
        <v>30</v>
      </c>
      <c r="C155" s="292" t="s">
        <v>2805</v>
      </c>
      <c r="D155" s="283" t="s">
        <v>606</v>
      </c>
      <c r="E155" s="293" t="s">
        <v>2737</v>
      </c>
      <c r="F155" s="294">
        <v>1</v>
      </c>
      <c r="G155" s="294" t="s">
        <v>272</v>
      </c>
      <c r="H155" s="295"/>
      <c r="I155" s="296"/>
      <c r="J155" s="296"/>
      <c r="K155" s="296"/>
      <c r="L155" s="296"/>
      <c r="M155" s="296"/>
      <c r="N155" s="296"/>
      <c r="O155" s="294" t="s">
        <v>607</v>
      </c>
      <c r="P155" s="210"/>
    </row>
    <row r="156" spans="1:17" ht="24" customHeight="1">
      <c r="B156" s="210"/>
      <c r="C156" s="297"/>
      <c r="D156" s="298" t="s">
        <v>605</v>
      </c>
      <c r="E156" s="273" t="s">
        <v>2737</v>
      </c>
      <c r="F156" s="273">
        <v>1</v>
      </c>
      <c r="G156" s="273" t="s">
        <v>272</v>
      </c>
      <c r="H156" s="256"/>
      <c r="I156" s="257"/>
      <c r="J156" s="257"/>
      <c r="K156" s="257"/>
      <c r="L156" s="257"/>
      <c r="M156" s="257"/>
      <c r="N156" s="257"/>
      <c r="O156" s="294"/>
      <c r="P156" s="210"/>
    </row>
    <row r="157" spans="1:17" s="210" customFormat="1" ht="24" customHeight="1">
      <c r="C157" s="297"/>
      <c r="D157" s="273" t="s">
        <v>578</v>
      </c>
      <c r="E157" s="273"/>
      <c r="F157" s="273">
        <v>6.0000000000000001E-3</v>
      </c>
      <c r="G157" s="273" t="s">
        <v>366</v>
      </c>
      <c r="H157" s="256"/>
      <c r="I157" s="257"/>
      <c r="J157" s="257"/>
      <c r="K157" s="257"/>
      <c r="L157" s="257"/>
      <c r="M157" s="257"/>
      <c r="N157" s="257"/>
      <c r="O157" s="294"/>
    </row>
    <row r="158" spans="1:17" ht="24" customHeight="1">
      <c r="B158" s="210"/>
      <c r="C158" s="297"/>
      <c r="D158" s="298" t="s">
        <v>40</v>
      </c>
      <c r="E158" s="331" t="s">
        <v>2805</v>
      </c>
      <c r="F158" s="273"/>
      <c r="G158" s="273"/>
      <c r="H158" s="256"/>
      <c r="I158" s="257"/>
      <c r="J158" s="256"/>
      <c r="K158" s="257"/>
      <c r="L158" s="256"/>
      <c r="M158" s="257"/>
      <c r="N158" s="257"/>
      <c r="O158" s="924"/>
      <c r="P158" s="210"/>
    </row>
    <row r="159" spans="1:17" ht="24" customHeight="1">
      <c r="B159" s="210"/>
      <c r="C159" s="341"/>
      <c r="D159" s="333"/>
      <c r="E159" s="334"/>
      <c r="F159" s="334"/>
      <c r="G159" s="334"/>
      <c r="H159" s="335"/>
      <c r="I159" s="260"/>
      <c r="J159" s="260"/>
      <c r="K159" s="260"/>
      <c r="L159" s="260"/>
      <c r="M159" s="260"/>
      <c r="N159" s="260"/>
      <c r="O159" s="336"/>
      <c r="P159" s="210"/>
    </row>
    <row r="160" spans="1:17" ht="24" customHeight="1">
      <c r="A160" s="207">
        <v>6</v>
      </c>
      <c r="B160" s="210">
        <v>31</v>
      </c>
      <c r="C160" s="292" t="s">
        <v>2806</v>
      </c>
      <c r="D160" s="283" t="s">
        <v>608</v>
      </c>
      <c r="E160" s="293" t="s">
        <v>602</v>
      </c>
      <c r="F160" s="294">
        <v>1</v>
      </c>
      <c r="G160" s="294" t="s">
        <v>272</v>
      </c>
      <c r="H160" s="295"/>
      <c r="I160" s="296"/>
      <c r="J160" s="296"/>
      <c r="K160" s="296"/>
      <c r="L160" s="296"/>
      <c r="M160" s="296"/>
      <c r="N160" s="296"/>
      <c r="O160" s="294" t="s">
        <v>601</v>
      </c>
      <c r="P160" s="210"/>
    </row>
    <row r="161" spans="1:16" ht="24" customHeight="1">
      <c r="B161" s="210"/>
      <c r="C161" s="297"/>
      <c r="D161" s="273" t="s">
        <v>600</v>
      </c>
      <c r="E161" s="273"/>
      <c r="F161" s="273">
        <v>6.2370000000000004E-3</v>
      </c>
      <c r="G161" s="273" t="s">
        <v>366</v>
      </c>
      <c r="H161" s="256"/>
      <c r="I161" s="257"/>
      <c r="J161" s="257"/>
      <c r="K161" s="257"/>
      <c r="L161" s="257"/>
      <c r="M161" s="257"/>
      <c r="N161" s="257"/>
      <c r="O161" s="294"/>
      <c r="P161" s="210"/>
    </row>
    <row r="162" spans="1:16" ht="24" customHeight="1">
      <c r="B162" s="210"/>
      <c r="C162" s="297"/>
      <c r="D162" s="299" t="s">
        <v>280</v>
      </c>
      <c r="E162" s="273"/>
      <c r="F162" s="273">
        <v>6.2370000000000004E-3</v>
      </c>
      <c r="G162" s="300" t="s">
        <v>366</v>
      </c>
      <c r="H162" s="256"/>
      <c r="I162" s="257"/>
      <c r="J162" s="257"/>
      <c r="K162" s="257"/>
      <c r="L162" s="256"/>
      <c r="M162" s="257"/>
      <c r="N162" s="257"/>
      <c r="O162" s="923"/>
      <c r="P162" s="210"/>
    </row>
    <row r="163" spans="1:16" ht="24" customHeight="1">
      <c r="B163" s="210"/>
      <c r="C163" s="297"/>
      <c r="D163" s="298" t="s">
        <v>40</v>
      </c>
      <c r="E163" s="331" t="s">
        <v>2806</v>
      </c>
      <c r="F163" s="273"/>
      <c r="G163" s="273"/>
      <c r="H163" s="256"/>
      <c r="I163" s="257"/>
      <c r="J163" s="256"/>
      <c r="K163" s="257"/>
      <c r="L163" s="256"/>
      <c r="M163" s="257"/>
      <c r="N163" s="257"/>
      <c r="O163" s="924"/>
      <c r="P163" s="210"/>
    </row>
    <row r="164" spans="1:16" ht="24" customHeight="1">
      <c r="B164" s="210"/>
      <c r="C164" s="341"/>
      <c r="D164" s="333"/>
      <c r="E164" s="334"/>
      <c r="F164" s="334"/>
      <c r="G164" s="334"/>
      <c r="H164" s="335"/>
      <c r="I164" s="260"/>
      <c r="J164" s="260"/>
      <c r="K164" s="260"/>
      <c r="L164" s="260"/>
      <c r="M164" s="260"/>
      <c r="N164" s="260"/>
      <c r="O164" s="336"/>
      <c r="P164" s="210"/>
    </row>
    <row r="165" spans="1:16" ht="24" customHeight="1">
      <c r="A165" s="207">
        <v>7</v>
      </c>
      <c r="B165" s="210">
        <v>32</v>
      </c>
      <c r="C165" s="292" t="s">
        <v>2807</v>
      </c>
      <c r="D165" s="283" t="s">
        <v>608</v>
      </c>
      <c r="E165" s="293" t="s">
        <v>2740</v>
      </c>
      <c r="F165" s="294">
        <v>1</v>
      </c>
      <c r="G165" s="294" t="s">
        <v>272</v>
      </c>
      <c r="H165" s="295"/>
      <c r="I165" s="296"/>
      <c r="J165" s="296"/>
      <c r="K165" s="296"/>
      <c r="L165" s="296"/>
      <c r="M165" s="296"/>
      <c r="N165" s="296"/>
      <c r="O165" s="294" t="s">
        <v>601</v>
      </c>
      <c r="P165" s="210"/>
    </row>
    <row r="166" spans="1:16" ht="24" customHeight="1">
      <c r="B166" s="210"/>
      <c r="C166" s="297"/>
      <c r="D166" s="273" t="s">
        <v>600</v>
      </c>
      <c r="E166" s="273"/>
      <c r="F166" s="273">
        <v>1.1781E-2</v>
      </c>
      <c r="G166" s="273" t="s">
        <v>366</v>
      </c>
      <c r="H166" s="256"/>
      <c r="I166" s="257"/>
      <c r="J166" s="257"/>
      <c r="K166" s="257"/>
      <c r="L166" s="257"/>
      <c r="M166" s="257"/>
      <c r="N166" s="257"/>
      <c r="O166" s="294"/>
      <c r="P166" s="210"/>
    </row>
    <row r="167" spans="1:16" ht="24" customHeight="1">
      <c r="B167" s="210"/>
      <c r="C167" s="297"/>
      <c r="D167" s="299" t="s">
        <v>280</v>
      </c>
      <c r="E167" s="273"/>
      <c r="F167" s="273">
        <v>1.1781E-2</v>
      </c>
      <c r="G167" s="300" t="s">
        <v>366</v>
      </c>
      <c r="H167" s="256"/>
      <c r="I167" s="257"/>
      <c r="J167" s="257"/>
      <c r="K167" s="257"/>
      <c r="L167" s="256"/>
      <c r="M167" s="257"/>
      <c r="N167" s="257"/>
      <c r="O167" s="923"/>
      <c r="P167" s="210"/>
    </row>
    <row r="168" spans="1:16" ht="24" customHeight="1">
      <c r="B168" s="210"/>
      <c r="C168" s="297"/>
      <c r="D168" s="298" t="s">
        <v>40</v>
      </c>
      <c r="E168" s="331" t="s">
        <v>2807</v>
      </c>
      <c r="F168" s="273"/>
      <c r="G168" s="273"/>
      <c r="H168" s="256"/>
      <c r="I168" s="257"/>
      <c r="J168" s="256"/>
      <c r="K168" s="257"/>
      <c r="L168" s="256"/>
      <c r="M168" s="257"/>
      <c r="N168" s="257"/>
      <c r="O168" s="924"/>
      <c r="P168" s="210"/>
    </row>
    <row r="169" spans="1:16" ht="24" customHeight="1">
      <c r="B169" s="210"/>
      <c r="C169" s="341"/>
      <c r="D169" s="333"/>
      <c r="E169" s="334"/>
      <c r="F169" s="334"/>
      <c r="G169" s="334"/>
      <c r="H169" s="335"/>
      <c r="I169" s="260"/>
      <c r="J169" s="260"/>
      <c r="K169" s="260"/>
      <c r="L169" s="260"/>
      <c r="M169" s="260"/>
      <c r="N169" s="260"/>
      <c r="O169" s="336"/>
      <c r="P169" s="210"/>
    </row>
    <row r="170" spans="1:16" ht="24" customHeight="1">
      <c r="A170" s="207">
        <v>8</v>
      </c>
      <c r="B170" s="210">
        <v>33</v>
      </c>
      <c r="C170" s="292" t="s">
        <v>2808</v>
      </c>
      <c r="D170" s="283" t="s">
        <v>608</v>
      </c>
      <c r="E170" s="293" t="s">
        <v>2741</v>
      </c>
      <c r="F170" s="294">
        <v>1</v>
      </c>
      <c r="G170" s="294" t="s">
        <v>272</v>
      </c>
      <c r="H170" s="295"/>
      <c r="I170" s="296"/>
      <c r="J170" s="296"/>
      <c r="K170" s="296"/>
      <c r="L170" s="296"/>
      <c r="M170" s="296"/>
      <c r="N170" s="296"/>
      <c r="O170" s="294" t="s">
        <v>601</v>
      </c>
      <c r="P170" s="210"/>
    </row>
    <row r="171" spans="1:16" ht="24" customHeight="1">
      <c r="B171" s="210"/>
      <c r="C171" s="297"/>
      <c r="D171" s="273" t="s">
        <v>600</v>
      </c>
      <c r="E171" s="273"/>
      <c r="F171" s="273">
        <v>1.2341999999999999E-2</v>
      </c>
      <c r="G171" s="273" t="s">
        <v>366</v>
      </c>
      <c r="H171" s="256"/>
      <c r="I171" s="257"/>
      <c r="J171" s="257"/>
      <c r="K171" s="257"/>
      <c r="L171" s="257"/>
      <c r="M171" s="257"/>
      <c r="N171" s="257"/>
      <c r="O171" s="294"/>
      <c r="P171" s="210"/>
    </row>
    <row r="172" spans="1:16" ht="24" customHeight="1">
      <c r="B172" s="210"/>
      <c r="C172" s="297"/>
      <c r="D172" s="299" t="s">
        <v>280</v>
      </c>
      <c r="E172" s="273"/>
      <c r="F172" s="273">
        <v>1.2341999999999999E-2</v>
      </c>
      <c r="G172" s="300" t="s">
        <v>366</v>
      </c>
      <c r="H172" s="256"/>
      <c r="I172" s="257"/>
      <c r="J172" s="257"/>
      <c r="K172" s="257"/>
      <c r="L172" s="256"/>
      <c r="M172" s="257"/>
      <c r="N172" s="257"/>
      <c r="O172" s="923"/>
      <c r="P172" s="210"/>
    </row>
    <row r="173" spans="1:16" ht="24" customHeight="1">
      <c r="B173" s="210"/>
      <c r="C173" s="297"/>
      <c r="D173" s="298" t="s">
        <v>40</v>
      </c>
      <c r="E173" s="331" t="s">
        <v>2808</v>
      </c>
      <c r="F173" s="273"/>
      <c r="G173" s="273"/>
      <c r="H173" s="256"/>
      <c r="I173" s="257"/>
      <c r="J173" s="256"/>
      <c r="K173" s="257"/>
      <c r="L173" s="256"/>
      <c r="M173" s="257"/>
      <c r="N173" s="257"/>
      <c r="O173" s="924"/>
      <c r="P173" s="210"/>
    </row>
    <row r="174" spans="1:16" s="210" customFormat="1" ht="24" customHeight="1">
      <c r="C174" s="341"/>
      <c r="D174" s="333"/>
      <c r="E174" s="342"/>
      <c r="F174" s="334"/>
      <c r="G174" s="334"/>
      <c r="H174" s="335"/>
      <c r="I174" s="260"/>
      <c r="J174" s="260"/>
      <c r="K174" s="260"/>
      <c r="L174" s="260"/>
      <c r="M174" s="260"/>
      <c r="N174" s="260"/>
      <c r="O174" s="336"/>
    </row>
    <row r="175" spans="1:16" ht="24" customHeight="1">
      <c r="A175" s="207">
        <v>9</v>
      </c>
      <c r="B175" s="210">
        <v>34</v>
      </c>
      <c r="C175" s="292" t="s">
        <v>2809</v>
      </c>
      <c r="D175" s="283" t="s">
        <v>609</v>
      </c>
      <c r="E175" s="293" t="s">
        <v>604</v>
      </c>
      <c r="F175" s="294">
        <v>1</v>
      </c>
      <c r="G175" s="294" t="s">
        <v>272</v>
      </c>
      <c r="H175" s="295"/>
      <c r="I175" s="296"/>
      <c r="J175" s="296"/>
      <c r="K175" s="296"/>
      <c r="L175" s="296"/>
      <c r="M175" s="296"/>
      <c r="N175" s="296"/>
      <c r="O175" s="294" t="s">
        <v>607</v>
      </c>
      <c r="P175" s="210"/>
    </row>
    <row r="176" spans="1:16" ht="24" customHeight="1">
      <c r="B176" s="210"/>
      <c r="C176" s="297"/>
      <c r="D176" s="273" t="s">
        <v>578</v>
      </c>
      <c r="E176" s="273"/>
      <c r="F176" s="273">
        <v>3.0000000000000001E-3</v>
      </c>
      <c r="G176" s="273" t="s">
        <v>366</v>
      </c>
      <c r="H176" s="256"/>
      <c r="I176" s="257"/>
      <c r="J176" s="257"/>
      <c r="K176" s="257"/>
      <c r="L176" s="257"/>
      <c r="M176" s="257"/>
      <c r="N176" s="257"/>
      <c r="O176" s="294"/>
      <c r="P176" s="210"/>
    </row>
    <row r="177" spans="1:16" s="210" customFormat="1" ht="24" customHeight="1">
      <c r="A177" s="207"/>
      <c r="C177" s="297"/>
      <c r="D177" s="298" t="s">
        <v>40</v>
      </c>
      <c r="E177" s="331" t="s">
        <v>2809</v>
      </c>
      <c r="F177" s="273"/>
      <c r="G177" s="273"/>
      <c r="H177" s="256"/>
      <c r="I177" s="257"/>
      <c r="J177" s="256"/>
      <c r="K177" s="257"/>
      <c r="L177" s="256"/>
      <c r="M177" s="257"/>
      <c r="N177" s="257"/>
      <c r="O177" s="924"/>
    </row>
    <row r="178" spans="1:16" s="210" customFormat="1" ht="24" customHeight="1">
      <c r="C178" s="341"/>
      <c r="D178" s="333"/>
      <c r="E178" s="342"/>
      <c r="F178" s="334"/>
      <c r="G178" s="334"/>
      <c r="H178" s="335"/>
      <c r="I178" s="260"/>
      <c r="J178" s="260"/>
      <c r="K178" s="260"/>
      <c r="L178" s="260"/>
      <c r="M178" s="260"/>
      <c r="N178" s="260"/>
      <c r="O178" s="336"/>
    </row>
    <row r="179" spans="1:16" ht="24" customHeight="1">
      <c r="A179" s="207">
        <v>10</v>
      </c>
      <c r="B179" s="210">
        <v>35</v>
      </c>
      <c r="C179" s="292" t="s">
        <v>2810</v>
      </c>
      <c r="D179" s="283" t="s">
        <v>609</v>
      </c>
      <c r="E179" s="293" t="s">
        <v>2737</v>
      </c>
      <c r="F179" s="294">
        <v>1</v>
      </c>
      <c r="G179" s="294" t="s">
        <v>272</v>
      </c>
      <c r="H179" s="295"/>
      <c r="I179" s="296"/>
      <c r="J179" s="296"/>
      <c r="K179" s="296"/>
      <c r="L179" s="296"/>
      <c r="M179" s="296"/>
      <c r="N179" s="296"/>
      <c r="O179" s="294" t="s">
        <v>607</v>
      </c>
      <c r="P179" s="210"/>
    </row>
    <row r="180" spans="1:16" ht="24" customHeight="1">
      <c r="B180" s="210"/>
      <c r="C180" s="297"/>
      <c r="D180" s="273" t="s">
        <v>578</v>
      </c>
      <c r="E180" s="273"/>
      <c r="F180" s="273">
        <v>3.0000000000000001E-3</v>
      </c>
      <c r="G180" s="273" t="s">
        <v>366</v>
      </c>
      <c r="H180" s="256"/>
      <c r="I180" s="257"/>
      <c r="J180" s="257"/>
      <c r="K180" s="257"/>
      <c r="L180" s="257"/>
      <c r="M180" s="257"/>
      <c r="N180" s="257"/>
      <c r="O180" s="294"/>
      <c r="P180" s="210"/>
    </row>
    <row r="181" spans="1:16" s="210" customFormat="1" ht="24" customHeight="1">
      <c r="A181" s="207"/>
      <c r="C181" s="297"/>
      <c r="D181" s="298" t="s">
        <v>40</v>
      </c>
      <c r="E181" s="331" t="s">
        <v>2810</v>
      </c>
      <c r="F181" s="273"/>
      <c r="G181" s="273"/>
      <c r="H181" s="256"/>
      <c r="I181" s="257"/>
      <c r="J181" s="256"/>
      <c r="K181" s="257"/>
      <c r="L181" s="256"/>
      <c r="M181" s="257"/>
      <c r="N181" s="257"/>
      <c r="O181" s="924"/>
    </row>
    <row r="182" spans="1:16" s="210" customFormat="1" ht="24" customHeight="1">
      <c r="A182" s="207"/>
      <c r="C182" s="341"/>
      <c r="D182" s="333"/>
      <c r="E182" s="379"/>
      <c r="F182" s="334"/>
      <c r="G182" s="334"/>
      <c r="H182" s="335"/>
      <c r="I182" s="260"/>
      <c r="J182" s="335"/>
      <c r="K182" s="260"/>
      <c r="L182" s="335"/>
      <c r="M182" s="260"/>
      <c r="N182" s="260"/>
      <c r="O182" s="1095"/>
    </row>
    <row r="183" spans="1:16" s="210" customFormat="1" ht="24" customHeight="1">
      <c r="A183" s="207">
        <v>11</v>
      </c>
      <c r="B183" s="210">
        <v>36</v>
      </c>
      <c r="C183" s="292" t="s">
        <v>2811</v>
      </c>
      <c r="D183" s="283" t="s">
        <v>597</v>
      </c>
      <c r="E183" s="293" t="s">
        <v>603</v>
      </c>
      <c r="F183" s="294">
        <v>1</v>
      </c>
      <c r="G183" s="294" t="s">
        <v>272</v>
      </c>
      <c r="H183" s="295"/>
      <c r="I183" s="296"/>
      <c r="J183" s="296"/>
      <c r="K183" s="296"/>
      <c r="L183" s="296"/>
      <c r="M183" s="296"/>
      <c r="N183" s="296"/>
      <c r="O183" s="294" t="s">
        <v>601</v>
      </c>
    </row>
    <row r="184" spans="1:16" s="210" customFormat="1" ht="24" customHeight="1">
      <c r="A184" s="207"/>
      <c r="C184" s="297"/>
      <c r="D184" s="298" t="s">
        <v>599</v>
      </c>
      <c r="E184" s="273" t="s">
        <v>2743</v>
      </c>
      <c r="F184" s="273">
        <v>1.05</v>
      </c>
      <c r="G184" s="273" t="s">
        <v>272</v>
      </c>
      <c r="H184" s="256"/>
      <c r="I184" s="257"/>
      <c r="J184" s="257"/>
      <c r="K184" s="257"/>
      <c r="L184" s="257"/>
      <c r="M184" s="257"/>
      <c r="N184" s="257"/>
      <c r="O184" s="294"/>
    </row>
    <row r="185" spans="1:16" s="210" customFormat="1" ht="24" customHeight="1">
      <c r="A185" s="207"/>
      <c r="C185" s="297"/>
      <c r="D185" s="273" t="s">
        <v>600</v>
      </c>
      <c r="E185" s="273"/>
      <c r="F185" s="273">
        <v>1.2612600000000002E-2</v>
      </c>
      <c r="G185" s="273" t="s">
        <v>366</v>
      </c>
      <c r="H185" s="256"/>
      <c r="I185" s="257"/>
      <c r="J185" s="257"/>
      <c r="K185" s="257"/>
      <c r="L185" s="257"/>
      <c r="M185" s="257"/>
      <c r="N185" s="257"/>
      <c r="O185" s="294"/>
    </row>
    <row r="186" spans="1:16" s="210" customFormat="1" ht="24" customHeight="1">
      <c r="A186" s="207"/>
      <c r="C186" s="297"/>
      <c r="D186" s="299" t="s">
        <v>280</v>
      </c>
      <c r="E186" s="273"/>
      <c r="F186" s="273">
        <v>1.2612600000000002E-2</v>
      </c>
      <c r="G186" s="300" t="s">
        <v>366</v>
      </c>
      <c r="H186" s="256"/>
      <c r="I186" s="257"/>
      <c r="J186" s="257"/>
      <c r="K186" s="257"/>
      <c r="L186" s="256"/>
      <c r="M186" s="257"/>
      <c r="N186" s="257"/>
      <c r="O186" s="923"/>
    </row>
    <row r="187" spans="1:16" s="210" customFormat="1" ht="24" customHeight="1">
      <c r="A187" s="207"/>
      <c r="C187" s="297"/>
      <c r="D187" s="298" t="s">
        <v>40</v>
      </c>
      <c r="E187" s="331" t="s">
        <v>2811</v>
      </c>
      <c r="F187" s="273"/>
      <c r="G187" s="273"/>
      <c r="H187" s="256"/>
      <c r="I187" s="257"/>
      <c r="J187" s="256"/>
      <c r="K187" s="257"/>
      <c r="L187" s="256"/>
      <c r="M187" s="257"/>
      <c r="N187" s="257"/>
      <c r="O187" s="924"/>
    </row>
    <row r="188" spans="1:16" s="210" customFormat="1" ht="24" customHeight="1">
      <c r="A188" s="207"/>
      <c r="C188" s="341"/>
      <c r="D188" s="333"/>
      <c r="E188" s="379"/>
      <c r="F188" s="334"/>
      <c r="G188" s="334"/>
      <c r="H188" s="335"/>
      <c r="I188" s="260"/>
      <c r="J188" s="335"/>
      <c r="K188" s="260"/>
      <c r="L188" s="335"/>
      <c r="M188" s="260"/>
      <c r="N188" s="260"/>
      <c r="O188" s="1095"/>
    </row>
    <row r="189" spans="1:16" s="210" customFormat="1" ht="24" customHeight="1">
      <c r="A189" s="207">
        <v>13</v>
      </c>
      <c r="B189" s="210">
        <v>37</v>
      </c>
      <c r="C189" s="292" t="s">
        <v>2812</v>
      </c>
      <c r="D189" s="283" t="s">
        <v>597</v>
      </c>
      <c r="E189" s="293" t="s">
        <v>2744</v>
      </c>
      <c r="F189" s="294">
        <v>1</v>
      </c>
      <c r="G189" s="294" t="s">
        <v>272</v>
      </c>
      <c r="H189" s="295"/>
      <c r="I189" s="296"/>
      <c r="J189" s="296"/>
      <c r="K189" s="296"/>
      <c r="L189" s="296"/>
      <c r="M189" s="296"/>
      <c r="N189" s="296"/>
      <c r="O189" s="294" t="s">
        <v>601</v>
      </c>
    </row>
    <row r="190" spans="1:16" s="210" customFormat="1" ht="24" customHeight="1">
      <c r="A190" s="207"/>
      <c r="C190" s="297"/>
      <c r="D190" s="298" t="s">
        <v>599</v>
      </c>
      <c r="E190" s="273" t="s">
        <v>2745</v>
      </c>
      <c r="F190" s="273">
        <v>1.05</v>
      </c>
      <c r="G190" s="273" t="s">
        <v>272</v>
      </c>
      <c r="H190" s="256"/>
      <c r="I190" s="257"/>
      <c r="J190" s="257"/>
      <c r="K190" s="257"/>
      <c r="L190" s="257"/>
      <c r="M190" s="257"/>
      <c r="N190" s="257"/>
      <c r="O190" s="294"/>
    </row>
    <row r="191" spans="1:16" s="210" customFormat="1" ht="24" customHeight="1">
      <c r="A191" s="207"/>
      <c r="C191" s="297"/>
      <c r="D191" s="273" t="s">
        <v>600</v>
      </c>
      <c r="E191" s="273"/>
      <c r="F191" s="273">
        <v>2.3423400000000004E-2</v>
      </c>
      <c r="G191" s="273" t="s">
        <v>366</v>
      </c>
      <c r="H191" s="256"/>
      <c r="I191" s="257"/>
      <c r="J191" s="257"/>
      <c r="K191" s="257"/>
      <c r="L191" s="257"/>
      <c r="M191" s="257"/>
      <c r="N191" s="257"/>
      <c r="O191" s="294"/>
    </row>
    <row r="192" spans="1:16" s="210" customFormat="1" ht="24" customHeight="1">
      <c r="A192" s="207"/>
      <c r="C192" s="297"/>
      <c r="D192" s="299" t="s">
        <v>280</v>
      </c>
      <c r="E192" s="273"/>
      <c r="F192" s="273">
        <v>1.2612600000000002E-2</v>
      </c>
      <c r="G192" s="300" t="s">
        <v>366</v>
      </c>
      <c r="H192" s="256"/>
      <c r="I192" s="257"/>
      <c r="J192" s="257"/>
      <c r="K192" s="257"/>
      <c r="L192" s="256"/>
      <c r="M192" s="257"/>
      <c r="N192" s="257"/>
      <c r="O192" s="923"/>
    </row>
    <row r="193" spans="1:15" s="210" customFormat="1" ht="24" customHeight="1">
      <c r="A193" s="207"/>
      <c r="C193" s="297"/>
      <c r="D193" s="298" t="s">
        <v>40</v>
      </c>
      <c r="E193" s="331" t="s">
        <v>2812</v>
      </c>
      <c r="F193" s="273"/>
      <c r="G193" s="273"/>
      <c r="H193" s="256"/>
      <c r="I193" s="257"/>
      <c r="J193" s="256"/>
      <c r="K193" s="257"/>
      <c r="L193" s="256"/>
      <c r="M193" s="257"/>
      <c r="N193" s="257"/>
      <c r="O193" s="924"/>
    </row>
    <row r="194" spans="1:15" s="210" customFormat="1" ht="24" customHeight="1">
      <c r="A194" s="207"/>
      <c r="C194" s="341"/>
      <c r="D194" s="333"/>
      <c r="E194" s="379"/>
      <c r="F194" s="334"/>
      <c r="G194" s="334"/>
      <c r="H194" s="335"/>
      <c r="I194" s="260"/>
      <c r="J194" s="335"/>
      <c r="K194" s="260"/>
      <c r="L194" s="335"/>
      <c r="M194" s="260"/>
      <c r="N194" s="260"/>
      <c r="O194" s="1095"/>
    </row>
    <row r="195" spans="1:15" s="210" customFormat="1" ht="24" customHeight="1">
      <c r="A195" s="207">
        <v>14</v>
      </c>
      <c r="B195" s="210">
        <v>38</v>
      </c>
      <c r="C195" s="292" t="s">
        <v>2813</v>
      </c>
      <c r="D195" s="283" t="s">
        <v>597</v>
      </c>
      <c r="E195" s="293" t="s">
        <v>2748</v>
      </c>
      <c r="F195" s="294">
        <v>1</v>
      </c>
      <c r="G195" s="294" t="s">
        <v>272</v>
      </c>
      <c r="H195" s="295"/>
      <c r="I195" s="296"/>
      <c r="J195" s="296"/>
      <c r="K195" s="296"/>
      <c r="L195" s="296"/>
      <c r="M195" s="296"/>
      <c r="N195" s="296"/>
      <c r="O195" s="294" t="s">
        <v>601</v>
      </c>
    </row>
    <row r="196" spans="1:15" s="210" customFormat="1" ht="24" customHeight="1">
      <c r="A196" s="207"/>
      <c r="C196" s="297"/>
      <c r="D196" s="298" t="s">
        <v>599</v>
      </c>
      <c r="E196" s="273" t="s">
        <v>2749</v>
      </c>
      <c r="F196" s="273">
        <v>1.05</v>
      </c>
      <c r="G196" s="273" t="s">
        <v>272</v>
      </c>
      <c r="H196" s="256"/>
      <c r="I196" s="257"/>
      <c r="J196" s="257"/>
      <c r="K196" s="257"/>
      <c r="L196" s="257"/>
      <c r="M196" s="257"/>
      <c r="N196" s="257"/>
      <c r="O196" s="294"/>
    </row>
    <row r="197" spans="1:15" s="210" customFormat="1" ht="24" customHeight="1">
      <c r="A197" s="207"/>
      <c r="C197" s="297"/>
      <c r="D197" s="273" t="s">
        <v>600</v>
      </c>
      <c r="E197" s="273"/>
      <c r="F197" s="273">
        <v>2.4538799999999996E-2</v>
      </c>
      <c r="G197" s="273" t="s">
        <v>366</v>
      </c>
      <c r="H197" s="256"/>
      <c r="I197" s="257"/>
      <c r="J197" s="257"/>
      <c r="K197" s="257"/>
      <c r="L197" s="257"/>
      <c r="M197" s="257"/>
      <c r="N197" s="257"/>
      <c r="O197" s="294"/>
    </row>
    <row r="198" spans="1:15" s="210" customFormat="1" ht="24" customHeight="1">
      <c r="A198" s="207"/>
      <c r="C198" s="297"/>
      <c r="D198" s="299" t="s">
        <v>280</v>
      </c>
      <c r="E198" s="273"/>
      <c r="F198" s="273">
        <v>2.4538799999999996E-2</v>
      </c>
      <c r="G198" s="300" t="s">
        <v>366</v>
      </c>
      <c r="H198" s="256"/>
      <c r="I198" s="257"/>
      <c r="J198" s="257"/>
      <c r="K198" s="257"/>
      <c r="L198" s="256"/>
      <c r="M198" s="257"/>
      <c r="N198" s="257"/>
      <c r="O198" s="923"/>
    </row>
    <row r="199" spans="1:15" s="210" customFormat="1" ht="24" customHeight="1">
      <c r="A199" s="207"/>
      <c r="C199" s="297"/>
      <c r="D199" s="298" t="s">
        <v>40</v>
      </c>
      <c r="E199" s="331" t="s">
        <v>2813</v>
      </c>
      <c r="F199" s="273"/>
      <c r="G199" s="273"/>
      <c r="H199" s="256"/>
      <c r="I199" s="257"/>
      <c r="J199" s="256"/>
      <c r="K199" s="257"/>
      <c r="L199" s="256"/>
      <c r="M199" s="257"/>
      <c r="N199" s="257"/>
      <c r="O199" s="924"/>
    </row>
    <row r="200" spans="1:15" s="210" customFormat="1" ht="24" customHeight="1">
      <c r="A200" s="207"/>
      <c r="C200" s="341"/>
      <c r="D200" s="333"/>
      <c r="E200" s="379"/>
      <c r="F200" s="334"/>
      <c r="G200" s="334"/>
      <c r="H200" s="335"/>
      <c r="I200" s="260"/>
      <c r="J200" s="335"/>
      <c r="K200" s="260"/>
      <c r="L200" s="335"/>
      <c r="M200" s="260"/>
      <c r="N200" s="260"/>
      <c r="O200" s="1095"/>
    </row>
    <row r="201" spans="1:15" s="210" customFormat="1" ht="24" customHeight="1">
      <c r="A201" s="207">
        <v>15</v>
      </c>
      <c r="B201" s="210">
        <v>39</v>
      </c>
      <c r="C201" s="292" t="s">
        <v>2814</v>
      </c>
      <c r="D201" s="283" t="s">
        <v>608</v>
      </c>
      <c r="E201" s="293" t="s">
        <v>603</v>
      </c>
      <c r="F201" s="294">
        <v>1</v>
      </c>
      <c r="G201" s="294" t="s">
        <v>272</v>
      </c>
      <c r="H201" s="295"/>
      <c r="I201" s="296"/>
      <c r="J201" s="296"/>
      <c r="K201" s="296"/>
      <c r="L201" s="296"/>
      <c r="M201" s="296"/>
      <c r="N201" s="296"/>
      <c r="O201" s="294" t="s">
        <v>601</v>
      </c>
    </row>
    <row r="202" spans="1:15" s="210" customFormat="1" ht="24" customHeight="1">
      <c r="A202" s="207"/>
      <c r="C202" s="297"/>
      <c r="D202" s="273" t="s">
        <v>600</v>
      </c>
      <c r="E202" s="273"/>
      <c r="F202" s="273">
        <v>6.3062999999999999E-3</v>
      </c>
      <c r="G202" s="273" t="s">
        <v>366</v>
      </c>
      <c r="H202" s="256"/>
      <c r="I202" s="257"/>
      <c r="J202" s="257"/>
      <c r="K202" s="257"/>
      <c r="L202" s="257"/>
      <c r="M202" s="257"/>
      <c r="N202" s="257"/>
      <c r="O202" s="294"/>
    </row>
    <row r="203" spans="1:15" s="210" customFormat="1" ht="24" customHeight="1">
      <c r="A203" s="207"/>
      <c r="C203" s="297"/>
      <c r="D203" s="299" t="s">
        <v>280</v>
      </c>
      <c r="E203" s="273"/>
      <c r="F203" s="273">
        <v>6.3062999999999999E-3</v>
      </c>
      <c r="G203" s="300" t="s">
        <v>366</v>
      </c>
      <c r="H203" s="256"/>
      <c r="I203" s="257"/>
      <c r="J203" s="257"/>
      <c r="K203" s="257"/>
      <c r="L203" s="256"/>
      <c r="M203" s="257"/>
      <c r="N203" s="257"/>
      <c r="O203" s="923"/>
    </row>
    <row r="204" spans="1:15" s="210" customFormat="1" ht="24" customHeight="1">
      <c r="A204" s="207"/>
      <c r="C204" s="297"/>
      <c r="D204" s="298" t="s">
        <v>40</v>
      </c>
      <c r="E204" s="331" t="s">
        <v>2814</v>
      </c>
      <c r="F204" s="273"/>
      <c r="G204" s="273"/>
      <c r="H204" s="256"/>
      <c r="I204" s="257"/>
      <c r="J204" s="256"/>
      <c r="K204" s="257"/>
      <c r="L204" s="256"/>
      <c r="M204" s="257"/>
      <c r="N204" s="257"/>
      <c r="O204" s="924"/>
    </row>
    <row r="205" spans="1:15" s="210" customFormat="1" ht="24" customHeight="1">
      <c r="A205" s="207"/>
      <c r="C205" s="341"/>
      <c r="D205" s="333"/>
      <c r="E205" s="379"/>
      <c r="F205" s="334"/>
      <c r="G205" s="334"/>
      <c r="H205" s="335"/>
      <c r="I205" s="260"/>
      <c r="J205" s="335"/>
      <c r="K205" s="260"/>
      <c r="L205" s="335"/>
      <c r="M205" s="260"/>
      <c r="N205" s="260"/>
      <c r="O205" s="1095"/>
    </row>
    <row r="206" spans="1:15" s="210" customFormat="1" ht="24" customHeight="1">
      <c r="A206" s="207">
        <v>16</v>
      </c>
      <c r="B206" s="210">
        <v>40</v>
      </c>
      <c r="C206" s="292" t="s">
        <v>2815</v>
      </c>
      <c r="D206" s="283" t="s">
        <v>608</v>
      </c>
      <c r="E206" s="293" t="s">
        <v>2744</v>
      </c>
      <c r="F206" s="294">
        <v>1</v>
      </c>
      <c r="G206" s="294" t="s">
        <v>272</v>
      </c>
      <c r="H206" s="295"/>
      <c r="I206" s="296"/>
      <c r="J206" s="296"/>
      <c r="K206" s="296"/>
      <c r="L206" s="296"/>
      <c r="M206" s="296"/>
      <c r="N206" s="296"/>
      <c r="O206" s="294" t="s">
        <v>601</v>
      </c>
    </row>
    <row r="207" spans="1:15" s="210" customFormat="1" ht="24" customHeight="1">
      <c r="A207" s="207"/>
      <c r="C207" s="297"/>
      <c r="D207" s="273" t="s">
        <v>600</v>
      </c>
      <c r="E207" s="273"/>
      <c r="F207" s="273">
        <v>1.17117E-2</v>
      </c>
      <c r="G207" s="273" t="s">
        <v>366</v>
      </c>
      <c r="H207" s="256"/>
      <c r="I207" s="257"/>
      <c r="J207" s="257"/>
      <c r="K207" s="257"/>
      <c r="L207" s="257"/>
      <c r="M207" s="257"/>
      <c r="N207" s="257"/>
      <c r="O207" s="294"/>
    </row>
    <row r="208" spans="1:15" s="210" customFormat="1" ht="24" customHeight="1">
      <c r="A208" s="207"/>
      <c r="C208" s="297"/>
      <c r="D208" s="299" t="s">
        <v>280</v>
      </c>
      <c r="E208" s="273"/>
      <c r="F208" s="273">
        <v>1.17117E-2</v>
      </c>
      <c r="G208" s="300" t="s">
        <v>366</v>
      </c>
      <c r="H208" s="256"/>
      <c r="I208" s="257"/>
      <c r="J208" s="257"/>
      <c r="K208" s="257"/>
      <c r="L208" s="256"/>
      <c r="M208" s="257"/>
      <c r="N208" s="257"/>
      <c r="O208" s="923"/>
    </row>
    <row r="209" spans="1:16" s="210" customFormat="1" ht="24" customHeight="1">
      <c r="A209" s="207"/>
      <c r="C209" s="297"/>
      <c r="D209" s="298" t="s">
        <v>40</v>
      </c>
      <c r="E209" s="331" t="s">
        <v>2815</v>
      </c>
      <c r="F209" s="273"/>
      <c r="G209" s="273"/>
      <c r="H209" s="256"/>
      <c r="I209" s="257"/>
      <c r="J209" s="256"/>
      <c r="K209" s="257"/>
      <c r="L209" s="256"/>
      <c r="M209" s="257"/>
      <c r="N209" s="257"/>
      <c r="O209" s="924"/>
    </row>
    <row r="210" spans="1:16" s="210" customFormat="1" ht="24" customHeight="1">
      <c r="A210" s="207"/>
      <c r="C210" s="341"/>
      <c r="D210" s="333"/>
      <c r="E210" s="379"/>
      <c r="F210" s="334"/>
      <c r="G210" s="334"/>
      <c r="H210" s="335"/>
      <c r="I210" s="260"/>
      <c r="J210" s="335"/>
      <c r="K210" s="260"/>
      <c r="L210" s="335"/>
      <c r="M210" s="260"/>
      <c r="N210" s="260"/>
      <c r="O210" s="1095"/>
    </row>
    <row r="211" spans="1:16" s="210" customFormat="1" ht="24" customHeight="1">
      <c r="A211" s="207">
        <v>17</v>
      </c>
      <c r="B211" s="210">
        <v>41</v>
      </c>
      <c r="C211" s="292" t="s">
        <v>2816</v>
      </c>
      <c r="D211" s="283" t="s">
        <v>608</v>
      </c>
      <c r="E211" s="293" t="s">
        <v>2748</v>
      </c>
      <c r="F211" s="294">
        <v>1</v>
      </c>
      <c r="G211" s="294" t="s">
        <v>272</v>
      </c>
      <c r="H211" s="295"/>
      <c r="I211" s="296"/>
      <c r="J211" s="296"/>
      <c r="K211" s="296"/>
      <c r="L211" s="296"/>
      <c r="M211" s="296"/>
      <c r="N211" s="296"/>
      <c r="O211" s="294" t="s">
        <v>601</v>
      </c>
    </row>
    <row r="212" spans="1:16" s="210" customFormat="1" ht="24" customHeight="1">
      <c r="A212" s="207"/>
      <c r="C212" s="297"/>
      <c r="D212" s="273" t="s">
        <v>600</v>
      </c>
      <c r="E212" s="273"/>
      <c r="F212" s="273">
        <v>1.22694E-2</v>
      </c>
      <c r="G212" s="273" t="s">
        <v>366</v>
      </c>
      <c r="H212" s="256"/>
      <c r="I212" s="257"/>
      <c r="J212" s="257"/>
      <c r="K212" s="257"/>
      <c r="L212" s="257"/>
      <c r="M212" s="257"/>
      <c r="N212" s="257"/>
      <c r="O212" s="294"/>
    </row>
    <row r="213" spans="1:16" s="210" customFormat="1" ht="24" customHeight="1">
      <c r="A213" s="207"/>
      <c r="C213" s="297"/>
      <c r="D213" s="299" t="s">
        <v>280</v>
      </c>
      <c r="E213" s="273"/>
      <c r="F213" s="273">
        <v>1.22694E-2</v>
      </c>
      <c r="G213" s="300" t="s">
        <v>366</v>
      </c>
      <c r="H213" s="256"/>
      <c r="I213" s="257"/>
      <c r="J213" s="257"/>
      <c r="K213" s="257"/>
      <c r="L213" s="256"/>
      <c r="M213" s="257"/>
      <c r="N213" s="257"/>
      <c r="O213" s="923"/>
    </row>
    <row r="214" spans="1:16" s="210" customFormat="1" ht="24" customHeight="1">
      <c r="A214" s="207"/>
      <c r="C214" s="297"/>
      <c r="D214" s="298" t="s">
        <v>40</v>
      </c>
      <c r="E214" s="331" t="s">
        <v>2816</v>
      </c>
      <c r="F214" s="273"/>
      <c r="G214" s="273"/>
      <c r="H214" s="256"/>
      <c r="I214" s="257"/>
      <c r="J214" s="256"/>
      <c r="K214" s="257"/>
      <c r="L214" s="256"/>
      <c r="M214" s="257"/>
      <c r="N214" s="257"/>
      <c r="O214" s="924"/>
    </row>
    <row r="215" spans="1:16" ht="24" customHeight="1">
      <c r="B215" s="210"/>
      <c r="C215" s="341"/>
      <c r="D215" s="333"/>
      <c r="E215" s="334"/>
      <c r="F215" s="334"/>
      <c r="G215" s="334"/>
      <c r="H215" s="335"/>
      <c r="I215" s="260"/>
      <c r="J215" s="260"/>
      <c r="K215" s="260"/>
      <c r="L215" s="260"/>
      <c r="M215" s="260"/>
      <c r="N215" s="260"/>
      <c r="O215" s="336"/>
      <c r="P215" s="210"/>
    </row>
    <row r="216" spans="1:16" ht="24" customHeight="1">
      <c r="A216" s="207">
        <v>1</v>
      </c>
      <c r="B216" s="210">
        <v>42</v>
      </c>
      <c r="C216" s="396" t="s">
        <v>2817</v>
      </c>
      <c r="D216" s="283" t="s">
        <v>2640</v>
      </c>
      <c r="E216" s="294" t="s">
        <v>2628</v>
      </c>
      <c r="F216" s="294">
        <v>1</v>
      </c>
      <c r="G216" s="294" t="s">
        <v>610</v>
      </c>
      <c r="H216" s="925"/>
      <c r="I216" s="924"/>
      <c r="J216" s="924"/>
      <c r="K216" s="924"/>
      <c r="L216" s="924"/>
      <c r="M216" s="924"/>
      <c r="N216" s="924"/>
      <c r="O216" s="294" t="s">
        <v>616</v>
      </c>
      <c r="P216" s="210"/>
    </row>
    <row r="217" spans="1:16" ht="24" customHeight="1">
      <c r="B217" s="210"/>
      <c r="C217" s="926"/>
      <c r="D217" s="927" t="s">
        <v>615</v>
      </c>
      <c r="E217" s="273" t="s">
        <v>614</v>
      </c>
      <c r="F217" s="313">
        <v>1</v>
      </c>
      <c r="G217" s="313" t="s">
        <v>610</v>
      </c>
      <c r="H217" s="256"/>
      <c r="I217" s="329"/>
      <c r="J217" s="329"/>
      <c r="K217" s="329"/>
      <c r="L217" s="329"/>
      <c r="M217" s="329"/>
      <c r="N217" s="257"/>
      <c r="O217" s="294"/>
      <c r="P217" s="210"/>
    </row>
    <row r="218" spans="1:16" ht="24" customHeight="1">
      <c r="B218" s="210"/>
      <c r="C218" s="297"/>
      <c r="D218" s="298" t="s">
        <v>611</v>
      </c>
      <c r="E218" s="314"/>
      <c r="F218" s="273">
        <v>0.13299999999999998</v>
      </c>
      <c r="G218" s="273" t="s">
        <v>612</v>
      </c>
      <c r="H218" s="256"/>
      <c r="I218" s="257"/>
      <c r="J218" s="257"/>
      <c r="K218" s="257"/>
      <c r="L218" s="257"/>
      <c r="M218" s="257"/>
      <c r="N218" s="257"/>
      <c r="O218" s="294"/>
      <c r="P218" s="210"/>
    </row>
    <row r="219" spans="1:16" s="210" customFormat="1" ht="24" customHeight="1">
      <c r="C219" s="297"/>
      <c r="D219" s="298" t="s">
        <v>40</v>
      </c>
      <c r="E219" s="331" t="s">
        <v>2817</v>
      </c>
      <c r="F219" s="273"/>
      <c r="G219" s="273"/>
      <c r="H219" s="257"/>
      <c r="I219" s="257"/>
      <c r="J219" s="257"/>
      <c r="K219" s="257"/>
      <c r="L219" s="256"/>
      <c r="M219" s="257"/>
      <c r="N219" s="257"/>
      <c r="O219" s="294"/>
    </row>
    <row r="220" spans="1:16" ht="24" customHeight="1">
      <c r="B220" s="210"/>
      <c r="C220" s="341"/>
      <c r="D220" s="333"/>
      <c r="E220" s="334"/>
      <c r="F220" s="334"/>
      <c r="G220" s="334"/>
      <c r="H220" s="335"/>
      <c r="I220" s="260"/>
      <c r="J220" s="260"/>
      <c r="K220" s="260"/>
      <c r="L220" s="260"/>
      <c r="M220" s="260"/>
      <c r="N220" s="260"/>
      <c r="O220" s="336"/>
      <c r="P220" s="210"/>
    </row>
    <row r="221" spans="1:16" ht="24" customHeight="1">
      <c r="A221" s="207">
        <v>2</v>
      </c>
      <c r="B221" s="210">
        <v>43</v>
      </c>
      <c r="C221" s="396" t="s">
        <v>2818</v>
      </c>
      <c r="D221" s="283" t="s">
        <v>617</v>
      </c>
      <c r="E221" s="294" t="s">
        <v>613</v>
      </c>
      <c r="F221" s="294">
        <v>1</v>
      </c>
      <c r="G221" s="294" t="s">
        <v>610</v>
      </c>
      <c r="H221" s="925"/>
      <c r="I221" s="924"/>
      <c r="J221" s="924"/>
      <c r="K221" s="924"/>
      <c r="L221" s="924"/>
      <c r="M221" s="924"/>
      <c r="N221" s="924"/>
      <c r="O221" s="294" t="s">
        <v>616</v>
      </c>
      <c r="P221" s="210"/>
    </row>
    <row r="222" spans="1:16" ht="24" customHeight="1">
      <c r="B222" s="210"/>
      <c r="C222" s="297"/>
      <c r="D222" s="298" t="s">
        <v>611</v>
      </c>
      <c r="E222" s="314"/>
      <c r="F222" s="273">
        <v>6.649999999999999E-2</v>
      </c>
      <c r="G222" s="273" t="s">
        <v>612</v>
      </c>
      <c r="H222" s="256"/>
      <c r="I222" s="257"/>
      <c r="J222" s="257"/>
      <c r="K222" s="257"/>
      <c r="L222" s="257"/>
      <c r="M222" s="257"/>
      <c r="N222" s="257"/>
      <c r="O222" s="294"/>
      <c r="P222" s="210"/>
    </row>
    <row r="223" spans="1:16" s="210" customFormat="1" ht="24" customHeight="1">
      <c r="C223" s="297"/>
      <c r="D223" s="298" t="s">
        <v>40</v>
      </c>
      <c r="E223" s="331" t="s">
        <v>2818</v>
      </c>
      <c r="F223" s="273"/>
      <c r="G223" s="273"/>
      <c r="H223" s="257"/>
      <c r="I223" s="257"/>
      <c r="J223" s="257"/>
      <c r="K223" s="257"/>
      <c r="L223" s="256"/>
      <c r="M223" s="257"/>
      <c r="N223" s="257"/>
      <c r="O223" s="294"/>
    </row>
    <row r="224" spans="1:16" ht="24" customHeight="1">
      <c r="B224" s="210"/>
      <c r="C224" s="341"/>
      <c r="D224" s="333"/>
      <c r="E224" s="340"/>
      <c r="F224" s="334"/>
      <c r="G224" s="334"/>
      <c r="H224" s="335"/>
      <c r="I224" s="260"/>
      <c r="J224" s="260"/>
      <c r="K224" s="260"/>
      <c r="L224" s="260"/>
      <c r="M224" s="260"/>
      <c r="N224" s="260"/>
      <c r="O224" s="336"/>
      <c r="P224" s="210"/>
    </row>
    <row r="225" spans="1:16" s="216" customFormat="1" ht="24" customHeight="1">
      <c r="A225" s="135">
        <v>3</v>
      </c>
      <c r="B225" s="210">
        <v>44</v>
      </c>
      <c r="C225" s="396" t="s">
        <v>2819</v>
      </c>
      <c r="D225" s="294" t="s">
        <v>618</v>
      </c>
      <c r="E225" s="294" t="s">
        <v>619</v>
      </c>
      <c r="F225" s="294">
        <v>1</v>
      </c>
      <c r="G225" s="294" t="s">
        <v>620</v>
      </c>
      <c r="H225" s="295"/>
      <c r="I225" s="296"/>
      <c r="J225" s="296"/>
      <c r="K225" s="296"/>
      <c r="L225" s="296"/>
      <c r="M225" s="296"/>
      <c r="N225" s="296"/>
      <c r="O225" s="294" t="s">
        <v>647</v>
      </c>
      <c r="P225" s="210"/>
    </row>
    <row r="226" spans="1:16" ht="24" customHeight="1">
      <c r="B226" s="210"/>
      <c r="C226" s="297"/>
      <c r="D226" s="298" t="s">
        <v>621</v>
      </c>
      <c r="E226" s="273" t="s">
        <v>622</v>
      </c>
      <c r="F226" s="273">
        <v>1</v>
      </c>
      <c r="G226" s="273" t="s">
        <v>620</v>
      </c>
      <c r="H226" s="256"/>
      <c r="I226" s="329"/>
      <c r="J226" s="257"/>
      <c r="K226" s="257"/>
      <c r="L226" s="257"/>
      <c r="M226" s="257"/>
      <c r="N226" s="257"/>
      <c r="O226" s="294"/>
      <c r="P226" s="210"/>
    </row>
    <row r="227" spans="1:16" ht="24" customHeight="1">
      <c r="B227" s="210"/>
      <c r="C227" s="297"/>
      <c r="D227" s="298" t="s">
        <v>623</v>
      </c>
      <c r="E227" s="192"/>
      <c r="F227" s="273">
        <v>5.0000000000000001E-4</v>
      </c>
      <c r="G227" s="273" t="s">
        <v>612</v>
      </c>
      <c r="H227" s="256"/>
      <c r="I227" s="257"/>
      <c r="J227" s="257"/>
      <c r="K227" s="257"/>
      <c r="L227" s="257"/>
      <c r="M227" s="257"/>
      <c r="N227" s="257"/>
      <c r="O227" s="294"/>
      <c r="P227" s="210"/>
    </row>
    <row r="228" spans="1:16" ht="24" customHeight="1">
      <c r="B228" s="210"/>
      <c r="C228" s="297"/>
      <c r="D228" s="298" t="s">
        <v>624</v>
      </c>
      <c r="E228" s="192"/>
      <c r="F228" s="273">
        <v>1E-3</v>
      </c>
      <c r="G228" s="273" t="s">
        <v>612</v>
      </c>
      <c r="H228" s="256"/>
      <c r="I228" s="257"/>
      <c r="J228" s="257"/>
      <c r="K228" s="257"/>
      <c r="L228" s="257"/>
      <c r="M228" s="257"/>
      <c r="N228" s="257"/>
      <c r="O228" s="294"/>
      <c r="P228" s="210"/>
    </row>
    <row r="229" spans="1:16" ht="24" customHeight="1">
      <c r="B229" s="210"/>
      <c r="C229" s="297"/>
      <c r="D229" s="298" t="s">
        <v>40</v>
      </c>
      <c r="E229" s="331" t="s">
        <v>2819</v>
      </c>
      <c r="F229" s="273"/>
      <c r="G229" s="273"/>
      <c r="H229" s="257"/>
      <c r="I229" s="257"/>
      <c r="J229" s="257"/>
      <c r="K229" s="257"/>
      <c r="L229" s="257"/>
      <c r="M229" s="257"/>
      <c r="N229" s="257"/>
      <c r="O229" s="294"/>
      <c r="P229" s="210"/>
    </row>
    <row r="230" spans="1:16" ht="24" customHeight="1">
      <c r="B230" s="210"/>
      <c r="C230" s="341"/>
      <c r="D230" s="333"/>
      <c r="E230" s="343"/>
      <c r="F230" s="334"/>
      <c r="G230" s="334"/>
      <c r="H230" s="260"/>
      <c r="I230" s="260"/>
      <c r="J230" s="260"/>
      <c r="K230" s="260"/>
      <c r="L230" s="260"/>
      <c r="M230" s="260"/>
      <c r="N230" s="260"/>
      <c r="O230" s="336"/>
      <c r="P230" s="210"/>
    </row>
    <row r="231" spans="1:16" ht="24" customHeight="1">
      <c r="A231" s="207">
        <v>4</v>
      </c>
      <c r="B231" s="210">
        <v>45</v>
      </c>
      <c r="C231" s="321" t="s">
        <v>2820</v>
      </c>
      <c r="D231" s="305" t="s">
        <v>631</v>
      </c>
      <c r="E231" s="294" t="s">
        <v>625</v>
      </c>
      <c r="F231" s="928">
        <v>1</v>
      </c>
      <c r="G231" s="293" t="s">
        <v>620</v>
      </c>
      <c r="H231" s="929"/>
      <c r="I231" s="930"/>
      <c r="J231" s="930"/>
      <c r="K231" s="257"/>
      <c r="L231" s="257"/>
      <c r="M231" s="257"/>
      <c r="N231" s="257"/>
      <c r="O231" s="294" t="s">
        <v>634</v>
      </c>
      <c r="P231" s="210"/>
    </row>
    <row r="232" spans="1:16" ht="24" customHeight="1">
      <c r="B232" s="210"/>
      <c r="C232" s="297"/>
      <c r="D232" s="931" t="s">
        <v>281</v>
      </c>
      <c r="E232" s="273" t="s">
        <v>632</v>
      </c>
      <c r="F232" s="273">
        <v>1</v>
      </c>
      <c r="G232" s="273" t="s">
        <v>610</v>
      </c>
      <c r="H232" s="256"/>
      <c r="I232" s="329"/>
      <c r="J232" s="257"/>
      <c r="K232" s="257"/>
      <c r="L232" s="257"/>
      <c r="M232" s="257"/>
      <c r="N232" s="257"/>
      <c r="O232" s="294"/>
      <c r="P232" s="210"/>
    </row>
    <row r="233" spans="1:16" ht="24" customHeight="1">
      <c r="B233" s="210"/>
      <c r="C233" s="297"/>
      <c r="D233" s="392" t="s">
        <v>578</v>
      </c>
      <c r="E233" s="301"/>
      <c r="F233" s="273">
        <v>0.11</v>
      </c>
      <c r="G233" s="273" t="s">
        <v>39</v>
      </c>
      <c r="H233" s="257"/>
      <c r="I233" s="257"/>
      <c r="J233" s="257"/>
      <c r="K233" s="257"/>
      <c r="L233" s="257"/>
      <c r="M233" s="257"/>
      <c r="N233" s="257"/>
      <c r="O233" s="294"/>
      <c r="P233" s="210"/>
    </row>
    <row r="234" spans="1:16" ht="24" customHeight="1">
      <c r="B234" s="210"/>
      <c r="C234" s="297"/>
      <c r="D234" s="392" t="s">
        <v>633</v>
      </c>
      <c r="E234" s="301"/>
      <c r="F234" s="273">
        <v>0.08</v>
      </c>
      <c r="G234" s="273" t="s">
        <v>39</v>
      </c>
      <c r="H234" s="257"/>
      <c r="I234" s="257"/>
      <c r="J234" s="257"/>
      <c r="K234" s="257"/>
      <c r="L234" s="257"/>
      <c r="M234" s="257"/>
      <c r="N234" s="257"/>
      <c r="O234" s="294"/>
      <c r="P234" s="210"/>
    </row>
    <row r="235" spans="1:16" ht="24" customHeight="1">
      <c r="B235" s="210"/>
      <c r="C235" s="297"/>
      <c r="D235" s="298" t="s">
        <v>40</v>
      </c>
      <c r="E235" s="331" t="s">
        <v>2820</v>
      </c>
      <c r="F235" s="273"/>
      <c r="G235" s="273"/>
      <c r="H235" s="257"/>
      <c r="I235" s="257"/>
      <c r="J235" s="257"/>
      <c r="K235" s="257"/>
      <c r="L235" s="257"/>
      <c r="M235" s="257"/>
      <c r="N235" s="257"/>
      <c r="O235" s="294"/>
      <c r="P235" s="210"/>
    </row>
    <row r="236" spans="1:16" ht="24" customHeight="1">
      <c r="B236" s="210"/>
      <c r="C236" s="380"/>
      <c r="D236" s="333"/>
      <c r="E236" s="379"/>
      <c r="F236" s="334"/>
      <c r="G236" s="334"/>
      <c r="H236" s="260"/>
      <c r="I236" s="260"/>
      <c r="J236" s="260"/>
      <c r="K236" s="260"/>
      <c r="L236" s="260"/>
      <c r="M236" s="260"/>
      <c r="N236" s="260"/>
      <c r="O236" s="381"/>
      <c r="P236" s="210"/>
    </row>
    <row r="237" spans="1:16" ht="24" customHeight="1">
      <c r="A237" s="207">
        <v>5</v>
      </c>
      <c r="B237" s="210">
        <v>46</v>
      </c>
      <c r="C237" s="321" t="s">
        <v>2821</v>
      </c>
      <c r="D237" s="283" t="s">
        <v>2497</v>
      </c>
      <c r="E237" s="311" t="s">
        <v>2771</v>
      </c>
      <c r="F237" s="294">
        <v>1</v>
      </c>
      <c r="G237" s="1123" t="s">
        <v>366</v>
      </c>
      <c r="H237" s="257"/>
      <c r="I237" s="257"/>
      <c r="J237" s="257"/>
      <c r="K237" s="257"/>
      <c r="L237" s="257"/>
      <c r="M237" s="257"/>
      <c r="N237" s="257"/>
      <c r="O237" s="294" t="s">
        <v>685</v>
      </c>
      <c r="P237" s="210"/>
    </row>
    <row r="238" spans="1:16" ht="24" customHeight="1">
      <c r="B238" s="210"/>
      <c r="C238" s="297"/>
      <c r="D238" s="298" t="s">
        <v>248</v>
      </c>
      <c r="E238" s="301"/>
      <c r="F238" s="273">
        <v>0.13</v>
      </c>
      <c r="G238" s="273" t="s">
        <v>366</v>
      </c>
      <c r="H238" s="257"/>
      <c r="I238" s="257"/>
      <c r="J238" s="257"/>
      <c r="K238" s="257"/>
      <c r="L238" s="257"/>
      <c r="M238" s="257"/>
      <c r="N238" s="257"/>
      <c r="O238" s="1081" t="s">
        <v>2772</v>
      </c>
      <c r="P238" s="210"/>
    </row>
    <row r="239" spans="1:16" ht="24" customHeight="1">
      <c r="B239" s="210"/>
      <c r="C239" s="297"/>
      <c r="D239" s="298" t="s">
        <v>40</v>
      </c>
      <c r="E239" s="1092" t="s">
        <v>2821</v>
      </c>
      <c r="F239" s="273">
        <v>1</v>
      </c>
      <c r="G239" s="273" t="s">
        <v>2724</v>
      </c>
      <c r="H239" s="257"/>
      <c r="I239" s="1080"/>
      <c r="J239" s="257"/>
      <c r="K239" s="257"/>
      <c r="L239" s="257"/>
      <c r="M239" s="257"/>
      <c r="N239" s="257"/>
      <c r="O239" s="294"/>
      <c r="P239" s="210"/>
    </row>
    <row r="240" spans="1:16" ht="24" customHeight="1">
      <c r="B240" s="210"/>
      <c r="C240" s="380"/>
      <c r="D240" s="333"/>
      <c r="E240" s="379"/>
      <c r="F240" s="334"/>
      <c r="G240" s="334"/>
      <c r="H240" s="260"/>
      <c r="I240" s="260"/>
      <c r="J240" s="260"/>
      <c r="K240" s="260"/>
      <c r="L240" s="260"/>
      <c r="M240" s="260"/>
      <c r="N240" s="260"/>
      <c r="O240" s="381"/>
      <c r="P240" s="210"/>
    </row>
    <row r="241" spans="1:16" ht="24" customHeight="1">
      <c r="A241" s="207">
        <v>6</v>
      </c>
      <c r="B241" s="210">
        <v>47</v>
      </c>
      <c r="C241" s="321" t="s">
        <v>2822</v>
      </c>
      <c r="D241" s="393" t="s">
        <v>2626</v>
      </c>
      <c r="E241" s="394" t="s">
        <v>2627</v>
      </c>
      <c r="F241" s="294">
        <v>1</v>
      </c>
      <c r="G241" s="294" t="s">
        <v>45</v>
      </c>
      <c r="H241" s="257"/>
      <c r="I241" s="257"/>
      <c r="J241" s="257"/>
      <c r="K241" s="257"/>
      <c r="L241" s="257"/>
      <c r="M241" s="257"/>
      <c r="N241" s="257"/>
      <c r="O241" s="294"/>
      <c r="P241" s="210"/>
    </row>
    <row r="242" spans="1:16" ht="24" customHeight="1">
      <c r="B242" s="210"/>
      <c r="C242" s="297"/>
      <c r="D242" s="392" t="s">
        <v>280</v>
      </c>
      <c r="E242" s="331"/>
      <c r="F242" s="273">
        <v>6.8000000000000005E-2</v>
      </c>
      <c r="G242" s="273" t="s">
        <v>533</v>
      </c>
      <c r="H242" s="257"/>
      <c r="I242" s="257"/>
      <c r="J242" s="257"/>
      <c r="K242" s="257"/>
      <c r="L242" s="257"/>
      <c r="M242" s="257"/>
      <c r="N242" s="257"/>
      <c r="O242" s="294" t="s">
        <v>701</v>
      </c>
      <c r="P242" s="210"/>
    </row>
    <row r="243" spans="1:16" ht="24" customHeight="1">
      <c r="B243" s="210"/>
      <c r="C243" s="297"/>
      <c r="D243" s="392" t="s">
        <v>698</v>
      </c>
      <c r="E243" s="331" t="s">
        <v>2822</v>
      </c>
      <c r="F243" s="273"/>
      <c r="G243" s="273"/>
      <c r="H243" s="257"/>
      <c r="I243" s="257"/>
      <c r="J243" s="257"/>
      <c r="K243" s="257"/>
      <c r="L243" s="257"/>
      <c r="M243" s="257"/>
      <c r="N243" s="257"/>
      <c r="O243" s="294"/>
      <c r="P243" s="210"/>
    </row>
    <row r="244" spans="1:16" ht="24" customHeight="1">
      <c r="B244" s="210"/>
      <c r="C244" s="380"/>
      <c r="D244" s="333"/>
      <c r="E244" s="379"/>
      <c r="F244" s="334"/>
      <c r="G244" s="334"/>
      <c r="H244" s="260"/>
      <c r="I244" s="260"/>
      <c r="J244" s="260"/>
      <c r="K244" s="260"/>
      <c r="L244" s="260"/>
      <c r="M244" s="260"/>
      <c r="N244" s="260"/>
      <c r="O244" s="381"/>
      <c r="P244" s="210"/>
    </row>
    <row r="245" spans="1:16" ht="24" customHeight="1">
      <c r="A245" s="207">
        <v>7</v>
      </c>
      <c r="B245" s="210">
        <v>48</v>
      </c>
      <c r="C245" s="321" t="s">
        <v>2823</v>
      </c>
      <c r="D245" s="393" t="s">
        <v>2629</v>
      </c>
      <c r="E245" s="394" t="s">
        <v>2639</v>
      </c>
      <c r="F245" s="294">
        <v>1</v>
      </c>
      <c r="G245" s="294" t="s">
        <v>45</v>
      </c>
      <c r="H245" s="257"/>
      <c r="I245" s="257"/>
      <c r="J245" s="257"/>
      <c r="K245" s="257"/>
      <c r="L245" s="257"/>
      <c r="M245" s="257"/>
      <c r="N245" s="257"/>
      <c r="O245" s="294"/>
      <c r="P245" s="210"/>
    </row>
    <row r="246" spans="1:16" ht="24" customHeight="1">
      <c r="B246" s="210"/>
      <c r="C246" s="297"/>
      <c r="D246" s="392" t="s">
        <v>2631</v>
      </c>
      <c r="E246" s="395"/>
      <c r="F246" s="273">
        <v>1</v>
      </c>
      <c r="G246" s="273" t="s">
        <v>45</v>
      </c>
      <c r="H246" s="256"/>
      <c r="I246" s="329"/>
      <c r="J246" s="257"/>
      <c r="K246" s="257"/>
      <c r="L246" s="257"/>
      <c r="M246" s="257"/>
      <c r="N246" s="257"/>
      <c r="O246" s="294"/>
      <c r="P246" s="210"/>
    </row>
    <row r="247" spans="1:16" ht="24" customHeight="1">
      <c r="B247" s="210"/>
      <c r="C247" s="297"/>
      <c r="D247" s="392" t="s">
        <v>2634</v>
      </c>
      <c r="E247" s="395" t="s">
        <v>2638</v>
      </c>
      <c r="F247" s="273">
        <v>0.15</v>
      </c>
      <c r="G247" s="273" t="s">
        <v>2635</v>
      </c>
      <c r="H247" s="256"/>
      <c r="I247" s="329"/>
      <c r="J247" s="257"/>
      <c r="K247" s="257"/>
      <c r="L247" s="257"/>
      <c r="M247" s="257"/>
      <c r="N247" s="257"/>
      <c r="O247" s="294"/>
      <c r="P247" s="210"/>
    </row>
    <row r="248" spans="1:16" ht="24" customHeight="1">
      <c r="B248" s="210"/>
      <c r="C248" s="297"/>
      <c r="D248" s="392" t="s">
        <v>300</v>
      </c>
      <c r="E248" s="331"/>
      <c r="F248" s="273">
        <v>0.05</v>
      </c>
      <c r="G248" s="273" t="s">
        <v>533</v>
      </c>
      <c r="H248" s="257"/>
      <c r="I248" s="257"/>
      <c r="J248" s="257"/>
      <c r="K248" s="257"/>
      <c r="L248" s="257"/>
      <c r="M248" s="257"/>
      <c r="N248" s="257"/>
      <c r="O248" s="294" t="s">
        <v>2633</v>
      </c>
      <c r="P248" s="210"/>
    </row>
    <row r="249" spans="1:16" ht="24" customHeight="1">
      <c r="B249" s="210"/>
      <c r="C249" s="297"/>
      <c r="D249" s="392" t="s">
        <v>698</v>
      </c>
      <c r="E249" s="331" t="s">
        <v>2823</v>
      </c>
      <c r="F249" s="273"/>
      <c r="G249" s="273"/>
      <c r="H249" s="257"/>
      <c r="I249" s="257"/>
      <c r="J249" s="257"/>
      <c r="K249" s="257"/>
      <c r="L249" s="257"/>
      <c r="M249" s="257"/>
      <c r="N249" s="257"/>
      <c r="O249" s="294"/>
      <c r="P249" s="210"/>
    </row>
    <row r="250" spans="1:16" ht="24" customHeight="1">
      <c r="B250" s="210"/>
      <c r="C250" s="380"/>
      <c r="D250" s="333"/>
      <c r="E250" s="379"/>
      <c r="F250" s="334"/>
      <c r="G250" s="334"/>
      <c r="H250" s="260"/>
      <c r="I250" s="260"/>
      <c r="J250" s="260"/>
      <c r="K250" s="260"/>
      <c r="L250" s="260"/>
      <c r="M250" s="260"/>
      <c r="N250" s="260"/>
      <c r="O250" s="381"/>
      <c r="P250" s="210"/>
    </row>
    <row r="251" spans="1:16" ht="24" customHeight="1">
      <c r="A251" s="207">
        <v>8</v>
      </c>
      <c r="B251" s="210">
        <v>49</v>
      </c>
      <c r="C251" s="321" t="s">
        <v>2824</v>
      </c>
      <c r="D251" s="393" t="s">
        <v>2630</v>
      </c>
      <c r="E251" s="394" t="s">
        <v>2639</v>
      </c>
      <c r="F251" s="294">
        <v>1</v>
      </c>
      <c r="G251" s="294" t="s">
        <v>45</v>
      </c>
      <c r="H251" s="257"/>
      <c r="I251" s="257"/>
      <c r="J251" s="257"/>
      <c r="K251" s="257"/>
      <c r="L251" s="257"/>
      <c r="M251" s="257"/>
      <c r="N251" s="257"/>
      <c r="O251" s="294"/>
      <c r="P251" s="210"/>
    </row>
    <row r="252" spans="1:16" ht="24" customHeight="1">
      <c r="B252" s="210"/>
      <c r="C252" s="297"/>
      <c r="D252" s="392" t="s">
        <v>2632</v>
      </c>
      <c r="E252" s="395"/>
      <c r="F252" s="273">
        <v>1</v>
      </c>
      <c r="G252" s="273" t="s">
        <v>45</v>
      </c>
      <c r="H252" s="256"/>
      <c r="I252" s="329"/>
      <c r="J252" s="257"/>
      <c r="K252" s="257"/>
      <c r="L252" s="257"/>
      <c r="M252" s="257"/>
      <c r="N252" s="257"/>
      <c r="O252" s="294"/>
      <c r="P252" s="210"/>
    </row>
    <row r="253" spans="1:16" ht="24" customHeight="1">
      <c r="B253" s="210"/>
      <c r="C253" s="297"/>
      <c r="D253" s="392" t="s">
        <v>2634</v>
      </c>
      <c r="E253" s="395" t="s">
        <v>2638</v>
      </c>
      <c r="F253" s="273">
        <v>0.08</v>
      </c>
      <c r="G253" s="273" t="s">
        <v>2635</v>
      </c>
      <c r="H253" s="256"/>
      <c r="I253" s="329"/>
      <c r="J253" s="257"/>
      <c r="K253" s="257"/>
      <c r="L253" s="257"/>
      <c r="M253" s="257"/>
      <c r="N253" s="257"/>
      <c r="O253" s="294"/>
      <c r="P253" s="210"/>
    </row>
    <row r="254" spans="1:16" ht="24" customHeight="1">
      <c r="B254" s="210"/>
      <c r="C254" s="297"/>
      <c r="D254" s="392" t="s">
        <v>300</v>
      </c>
      <c r="E254" s="331"/>
      <c r="F254" s="273">
        <v>0.02</v>
      </c>
      <c r="G254" s="273" t="s">
        <v>533</v>
      </c>
      <c r="H254" s="257"/>
      <c r="I254" s="257"/>
      <c r="J254" s="257"/>
      <c r="K254" s="257"/>
      <c r="L254" s="257"/>
      <c r="M254" s="257"/>
      <c r="N254" s="257"/>
      <c r="O254" s="294" t="s">
        <v>2633</v>
      </c>
      <c r="P254" s="210"/>
    </row>
    <row r="255" spans="1:16" ht="24" customHeight="1">
      <c r="B255" s="210"/>
      <c r="C255" s="297"/>
      <c r="D255" s="392" t="s">
        <v>698</v>
      </c>
      <c r="E255" s="331" t="s">
        <v>2824</v>
      </c>
      <c r="F255" s="273"/>
      <c r="G255" s="273"/>
      <c r="H255" s="257"/>
      <c r="I255" s="257"/>
      <c r="J255" s="257"/>
      <c r="K255" s="257"/>
      <c r="L255" s="257"/>
      <c r="M255" s="257"/>
      <c r="N255" s="257"/>
      <c r="O255" s="294"/>
      <c r="P255" s="210"/>
    </row>
    <row r="256" spans="1:16" ht="24" customHeight="1">
      <c r="B256" s="210"/>
      <c r="C256" s="380"/>
      <c r="D256" s="333"/>
      <c r="E256" s="379"/>
      <c r="F256" s="334"/>
      <c r="G256" s="334"/>
      <c r="H256" s="260"/>
      <c r="I256" s="260"/>
      <c r="J256" s="260"/>
      <c r="K256" s="260"/>
      <c r="L256" s="260"/>
      <c r="M256" s="260"/>
      <c r="N256" s="260"/>
      <c r="O256" s="381"/>
      <c r="P256" s="210"/>
    </row>
    <row r="257" spans="1:17" ht="24" customHeight="1">
      <c r="B257" s="210"/>
      <c r="C257" s="380"/>
      <c r="D257" s="333"/>
      <c r="E257" s="379"/>
      <c r="F257" s="334"/>
      <c r="G257" s="334"/>
      <c r="H257" s="260"/>
      <c r="I257" s="260"/>
      <c r="J257" s="260"/>
      <c r="K257" s="260"/>
      <c r="L257" s="260"/>
      <c r="M257" s="260"/>
      <c r="N257" s="260"/>
      <c r="O257" s="381"/>
      <c r="P257" s="210"/>
    </row>
    <row r="258" spans="1:17" ht="24" customHeight="1">
      <c r="A258" s="207">
        <v>9</v>
      </c>
      <c r="B258" s="210">
        <v>50</v>
      </c>
      <c r="C258" s="321" t="s">
        <v>2825</v>
      </c>
      <c r="D258" s="393" t="s">
        <v>2565</v>
      </c>
      <c r="E258" s="394" t="s">
        <v>2625</v>
      </c>
      <c r="F258" s="294">
        <v>1</v>
      </c>
      <c r="G258" s="294" t="s">
        <v>45</v>
      </c>
      <c r="H258" s="257"/>
      <c r="I258" s="257"/>
      <c r="J258" s="257"/>
      <c r="K258" s="257"/>
      <c r="L258" s="257"/>
      <c r="M258" s="257"/>
      <c r="N258" s="257"/>
      <c r="O258" s="294"/>
      <c r="P258" s="210"/>
    </row>
    <row r="259" spans="1:17" ht="24" customHeight="1">
      <c r="B259" s="210"/>
      <c r="C259" s="297"/>
      <c r="D259" s="392" t="s">
        <v>703</v>
      </c>
      <c r="E259" s="395" t="s">
        <v>700</v>
      </c>
      <c r="F259" s="273">
        <v>1</v>
      </c>
      <c r="G259" s="273" t="s">
        <v>45</v>
      </c>
      <c r="H259" s="256"/>
      <c r="I259" s="329"/>
      <c r="J259" s="257"/>
      <c r="K259" s="257"/>
      <c r="L259" s="257"/>
      <c r="M259" s="257"/>
      <c r="N259" s="257"/>
      <c r="O259" s="294"/>
      <c r="P259" s="210"/>
    </row>
    <row r="260" spans="1:17" ht="24" customHeight="1">
      <c r="B260" s="210"/>
      <c r="C260" s="297"/>
      <c r="D260" s="392" t="s">
        <v>300</v>
      </c>
      <c r="E260" s="331"/>
      <c r="F260" s="273">
        <v>3.3000000000000002E-2</v>
      </c>
      <c r="G260" s="273" t="s">
        <v>533</v>
      </c>
      <c r="H260" s="257"/>
      <c r="I260" s="257"/>
      <c r="J260" s="257"/>
      <c r="K260" s="257"/>
      <c r="L260" s="257"/>
      <c r="M260" s="257"/>
      <c r="N260" s="257"/>
      <c r="O260" s="294" t="s">
        <v>702</v>
      </c>
      <c r="P260" s="210"/>
    </row>
    <row r="261" spans="1:17" ht="24" customHeight="1">
      <c r="B261" s="210"/>
      <c r="C261" s="297"/>
      <c r="D261" s="392" t="s">
        <v>698</v>
      </c>
      <c r="E261" s="331" t="s">
        <v>2825</v>
      </c>
      <c r="F261" s="273"/>
      <c r="G261" s="273"/>
      <c r="H261" s="257"/>
      <c r="I261" s="257"/>
      <c r="J261" s="257"/>
      <c r="K261" s="257"/>
      <c r="L261" s="257"/>
      <c r="M261" s="257"/>
      <c r="N261" s="257"/>
      <c r="O261" s="294"/>
      <c r="P261" s="210"/>
    </row>
    <row r="262" spans="1:17" ht="24" customHeight="1">
      <c r="B262" s="210"/>
      <c r="C262" s="967"/>
      <c r="D262" s="968"/>
      <c r="E262" s="969"/>
      <c r="F262" s="969"/>
      <c r="G262" s="969"/>
      <c r="H262" s="970"/>
      <c r="I262" s="259"/>
      <c r="J262" s="259"/>
      <c r="K262" s="259"/>
      <c r="L262" s="259"/>
      <c r="M262" s="259"/>
      <c r="N262" s="259"/>
      <c r="O262" s="971"/>
      <c r="P262" s="210"/>
      <c r="Q262" s="215"/>
    </row>
    <row r="263" spans="1:17" ht="24" customHeight="1">
      <c r="A263" s="207">
        <v>10</v>
      </c>
      <c r="B263" s="210">
        <v>51</v>
      </c>
      <c r="C263" s="292" t="s">
        <v>2826</v>
      </c>
      <c r="D263" s="282" t="s">
        <v>2750</v>
      </c>
      <c r="E263" s="1097">
        <v>0</v>
      </c>
      <c r="F263" s="294">
        <v>1</v>
      </c>
      <c r="G263" s="294" t="s">
        <v>2751</v>
      </c>
      <c r="H263" s="295"/>
      <c r="I263" s="296"/>
      <c r="J263" s="296"/>
      <c r="K263" s="296"/>
      <c r="L263" s="296"/>
      <c r="M263" s="296"/>
      <c r="N263" s="296"/>
      <c r="O263" s="294" t="s">
        <v>2752</v>
      </c>
      <c r="P263" s="210"/>
    </row>
    <row r="264" spans="1:17" ht="24" customHeight="1">
      <c r="B264" s="210"/>
      <c r="C264" s="292"/>
      <c r="D264" s="1098" t="s">
        <v>2753</v>
      </c>
      <c r="E264" s="1099" t="s">
        <v>2746</v>
      </c>
      <c r="F264" s="273">
        <v>1</v>
      </c>
      <c r="G264" s="273" t="s">
        <v>272</v>
      </c>
      <c r="H264" s="256"/>
      <c r="I264" s="257"/>
      <c r="J264" s="257"/>
      <c r="K264" s="257"/>
      <c r="L264" s="257"/>
      <c r="M264" s="257"/>
      <c r="N264" s="140"/>
      <c r="O264" s="294"/>
      <c r="P264" s="210"/>
    </row>
    <row r="265" spans="1:17" s="1100" customFormat="1" ht="24" customHeight="1">
      <c r="B265" s="1101"/>
      <c r="C265" s="1102"/>
      <c r="D265" s="279" t="s">
        <v>2754</v>
      </c>
      <c r="E265" s="137" t="s">
        <v>2755</v>
      </c>
      <c r="F265" s="137">
        <v>4.8300000000000001E-3</v>
      </c>
      <c r="G265" s="137" t="s">
        <v>39</v>
      </c>
      <c r="H265" s="152"/>
      <c r="I265" s="140"/>
      <c r="J265" s="257"/>
      <c r="K265" s="140"/>
      <c r="L265" s="140"/>
      <c r="M265" s="140"/>
      <c r="N265" s="140"/>
      <c r="O265" s="214"/>
      <c r="P265" s="1101"/>
    </row>
    <row r="266" spans="1:17" ht="24" customHeight="1">
      <c r="B266" s="210"/>
      <c r="C266" s="1102"/>
      <c r="D266" s="279" t="s">
        <v>248</v>
      </c>
      <c r="E266" s="279" t="s">
        <v>2756</v>
      </c>
      <c r="F266" s="1103">
        <v>3.2200000000000002E-3</v>
      </c>
      <c r="G266" s="1104" t="s">
        <v>366</v>
      </c>
      <c r="H266" s="152"/>
      <c r="I266" s="140"/>
      <c r="J266" s="257"/>
      <c r="K266" s="140"/>
      <c r="L266" s="140"/>
      <c r="M266" s="140"/>
      <c r="N266" s="140"/>
      <c r="O266" s="214"/>
      <c r="P266" s="210"/>
    </row>
    <row r="267" spans="1:17" ht="24" customHeight="1">
      <c r="B267" s="210"/>
      <c r="C267" s="1102"/>
      <c r="D267" s="279" t="s">
        <v>40</v>
      </c>
      <c r="E267" s="1105" t="s">
        <v>2826</v>
      </c>
      <c r="F267" s="137"/>
      <c r="G267" s="137"/>
      <c r="H267" s="152"/>
      <c r="I267" s="140"/>
      <c r="J267" s="140"/>
      <c r="K267" s="140"/>
      <c r="L267" s="140"/>
      <c r="M267" s="140"/>
      <c r="N267" s="140"/>
      <c r="O267" s="214"/>
      <c r="P267" s="210"/>
      <c r="Q267" s="215"/>
    </row>
    <row r="268" spans="1:17" ht="24" customHeight="1">
      <c r="B268" s="210"/>
      <c r="C268" s="1106"/>
      <c r="D268" s="968"/>
      <c r="E268" s="1107"/>
      <c r="F268" s="969"/>
      <c r="G268" s="969"/>
      <c r="H268" s="970"/>
      <c r="I268" s="259"/>
      <c r="J268" s="259"/>
      <c r="K268" s="259"/>
      <c r="L268" s="259"/>
      <c r="M268" s="259"/>
      <c r="N268" s="259"/>
      <c r="O268" s="265"/>
      <c r="P268" s="210"/>
      <c r="Q268" s="215"/>
    </row>
    <row r="269" spans="1:17" ht="24" customHeight="1">
      <c r="A269" s="207">
        <v>11</v>
      </c>
      <c r="B269" s="210">
        <v>52</v>
      </c>
      <c r="C269" s="292" t="s">
        <v>2827</v>
      </c>
      <c r="D269" s="1108" t="s">
        <v>2757</v>
      </c>
      <c r="E269" s="278">
        <v>0</v>
      </c>
      <c r="F269" s="214">
        <v>1</v>
      </c>
      <c r="G269" s="214" t="s">
        <v>2758</v>
      </c>
      <c r="H269" s="212"/>
      <c r="I269" s="213"/>
      <c r="J269" s="213"/>
      <c r="K269" s="213"/>
      <c r="L269" s="213"/>
      <c r="M269" s="213"/>
      <c r="N269" s="213"/>
      <c r="O269" s="214" t="s">
        <v>2759</v>
      </c>
      <c r="P269" s="210"/>
    </row>
    <row r="270" spans="1:17" ht="24" customHeight="1">
      <c r="B270" s="210"/>
      <c r="C270" s="319"/>
      <c r="D270" s="1109" t="s">
        <v>2760</v>
      </c>
      <c r="E270" s="1110" t="s">
        <v>2747</v>
      </c>
      <c r="F270" s="137">
        <v>1</v>
      </c>
      <c r="G270" s="137" t="s">
        <v>30</v>
      </c>
      <c r="H270" s="256"/>
      <c r="I270" s="257"/>
      <c r="J270" s="140"/>
      <c r="K270" s="140"/>
      <c r="L270" s="140"/>
      <c r="M270" s="140"/>
      <c r="N270" s="140"/>
      <c r="O270" s="137"/>
      <c r="P270" s="210"/>
    </row>
    <row r="271" spans="1:17" s="1100" customFormat="1" ht="24" customHeight="1">
      <c r="B271" s="1101"/>
      <c r="C271" s="1102"/>
      <c r="D271" s="279" t="s">
        <v>2761</v>
      </c>
      <c r="E271" s="137"/>
      <c r="F271" s="137">
        <v>0.02</v>
      </c>
      <c r="G271" s="137" t="s">
        <v>39</v>
      </c>
      <c r="H271" s="152"/>
      <c r="I271" s="140"/>
      <c r="J271" s="257"/>
      <c r="K271" s="140"/>
      <c r="L271" s="140"/>
      <c r="M271" s="140"/>
      <c r="N271" s="140"/>
      <c r="O271" s="214"/>
      <c r="P271" s="1101"/>
      <c r="Q271" s="1111"/>
    </row>
    <row r="272" spans="1:17" ht="24" customHeight="1">
      <c r="B272" s="210"/>
      <c r="C272" s="1102"/>
      <c r="D272" s="279" t="s">
        <v>40</v>
      </c>
      <c r="E272" s="1105" t="s">
        <v>2827</v>
      </c>
      <c r="F272" s="137"/>
      <c r="G272" s="137"/>
      <c r="H272" s="152"/>
      <c r="I272" s="140"/>
      <c r="J272" s="140"/>
      <c r="K272" s="140"/>
      <c r="L272" s="140"/>
      <c r="M272" s="140"/>
      <c r="N272" s="140"/>
      <c r="O272" s="214"/>
      <c r="P272" s="210"/>
      <c r="Q272" s="215"/>
    </row>
    <row r="273" spans="1:16" ht="24" customHeight="1">
      <c r="B273" s="210"/>
      <c r="C273" s="380"/>
      <c r="D273" s="333"/>
      <c r="E273" s="379"/>
      <c r="F273" s="334"/>
      <c r="G273" s="334"/>
      <c r="H273" s="260"/>
      <c r="I273" s="260"/>
      <c r="J273" s="260"/>
      <c r="K273" s="260"/>
      <c r="L273" s="260"/>
      <c r="M273" s="260"/>
      <c r="N273" s="260"/>
      <c r="O273" s="381"/>
      <c r="P273" s="210"/>
    </row>
    <row r="274" spans="1:16" ht="24" customHeight="1">
      <c r="A274" s="207">
        <v>1</v>
      </c>
      <c r="B274" s="210">
        <v>53</v>
      </c>
      <c r="C274" s="321" t="s">
        <v>2828</v>
      </c>
      <c r="D274" s="283" t="s">
        <v>663</v>
      </c>
      <c r="E274" s="311" t="s">
        <v>2622</v>
      </c>
      <c r="F274" s="294">
        <v>1</v>
      </c>
      <c r="G274" s="294" t="s">
        <v>278</v>
      </c>
      <c r="H274" s="257"/>
      <c r="I274" s="257"/>
      <c r="J274" s="257"/>
      <c r="K274" s="257"/>
      <c r="L274" s="257"/>
      <c r="M274" s="257"/>
      <c r="N274" s="257"/>
      <c r="O274" s="294"/>
    </row>
    <row r="275" spans="1:16" ht="24" customHeight="1">
      <c r="C275" s="297"/>
      <c r="D275" s="298" t="s">
        <v>665</v>
      </c>
      <c r="E275" s="301"/>
      <c r="F275" s="273">
        <v>65</v>
      </c>
      <c r="G275" s="273" t="s">
        <v>661</v>
      </c>
      <c r="H275" s="256"/>
      <c r="I275" s="329"/>
      <c r="J275" s="257"/>
      <c r="K275" s="257"/>
      <c r="L275" s="257"/>
      <c r="M275" s="257"/>
      <c r="N275" s="257"/>
      <c r="O275" s="294"/>
    </row>
    <row r="276" spans="1:16" ht="24" customHeight="1">
      <c r="C276" s="297"/>
      <c r="D276" s="298" t="s">
        <v>40</v>
      </c>
      <c r="E276" s="331" t="s">
        <v>2828</v>
      </c>
      <c r="F276" s="273"/>
      <c r="G276" s="273"/>
      <c r="H276" s="257"/>
      <c r="I276" s="257"/>
      <c r="J276" s="257"/>
      <c r="K276" s="257"/>
      <c r="L276" s="257"/>
      <c r="M276" s="257"/>
      <c r="N276" s="257"/>
      <c r="O276" s="294"/>
    </row>
    <row r="277" spans="1:16" s="210" customFormat="1" ht="24" customHeight="1">
      <c r="C277" s="932"/>
      <c r="D277" s="382"/>
      <c r="E277" s="336"/>
      <c r="F277" s="336"/>
      <c r="G277" s="336"/>
      <c r="H277" s="383"/>
      <c r="I277" s="384"/>
      <c r="J277" s="384"/>
      <c r="K277" s="384"/>
      <c r="L277" s="384"/>
      <c r="M277" s="384"/>
      <c r="N277" s="384"/>
      <c r="O277" s="336"/>
    </row>
    <row r="278" spans="1:16" ht="24" customHeight="1">
      <c r="A278" s="207">
        <v>2</v>
      </c>
      <c r="B278" s="210">
        <v>54</v>
      </c>
      <c r="C278" s="321" t="s">
        <v>2829</v>
      </c>
      <c r="D278" s="283" t="s">
        <v>666</v>
      </c>
      <c r="E278" s="311" t="s">
        <v>664</v>
      </c>
      <c r="F278" s="294">
        <v>1</v>
      </c>
      <c r="G278" s="294" t="s">
        <v>30</v>
      </c>
      <c r="H278" s="257"/>
      <c r="I278" s="257"/>
      <c r="J278" s="257"/>
      <c r="K278" s="257"/>
      <c r="L278" s="257"/>
      <c r="M278" s="257"/>
      <c r="N278" s="257"/>
      <c r="O278" s="294"/>
    </row>
    <row r="279" spans="1:16" ht="24" customHeight="1">
      <c r="C279" s="297"/>
      <c r="D279" s="298" t="s">
        <v>660</v>
      </c>
      <c r="E279" s="301"/>
      <c r="F279" s="273">
        <v>2.02</v>
      </c>
      <c r="G279" s="273" t="s">
        <v>661</v>
      </c>
      <c r="H279" s="256"/>
      <c r="I279" s="329"/>
      <c r="J279" s="257"/>
      <c r="K279" s="257"/>
      <c r="L279" s="257"/>
      <c r="M279" s="257"/>
      <c r="N279" s="257"/>
      <c r="O279" s="933"/>
    </row>
    <row r="280" spans="1:16" ht="24" customHeight="1">
      <c r="C280" s="297"/>
      <c r="D280" s="298" t="s">
        <v>667</v>
      </c>
      <c r="E280" s="301"/>
      <c r="F280" s="273">
        <v>0.55000000000000004</v>
      </c>
      <c r="G280" s="273" t="s">
        <v>661</v>
      </c>
      <c r="H280" s="256"/>
      <c r="I280" s="329"/>
      <c r="J280" s="257"/>
      <c r="K280" s="257"/>
      <c r="L280" s="257"/>
      <c r="M280" s="257"/>
      <c r="N280" s="257"/>
      <c r="O280" s="933"/>
    </row>
    <row r="281" spans="1:16" ht="24" customHeight="1">
      <c r="C281" s="297"/>
      <c r="D281" s="298" t="s">
        <v>40</v>
      </c>
      <c r="E281" s="331" t="s">
        <v>2829</v>
      </c>
      <c r="F281" s="273"/>
      <c r="G281" s="273"/>
      <c r="H281" s="257"/>
      <c r="I281" s="257"/>
      <c r="J281" s="257"/>
      <c r="K281" s="257"/>
      <c r="L281" s="257"/>
      <c r="M281" s="257"/>
      <c r="N281" s="257"/>
      <c r="O281" s="294"/>
    </row>
    <row r="282" spans="1:16" ht="24" customHeight="1">
      <c r="C282" s="341"/>
      <c r="D282" s="333"/>
      <c r="E282" s="340"/>
      <c r="F282" s="334"/>
      <c r="G282" s="334"/>
      <c r="H282" s="335"/>
      <c r="I282" s="260"/>
      <c r="J282" s="260"/>
      <c r="K282" s="260"/>
      <c r="L282" s="260"/>
      <c r="M282" s="260"/>
      <c r="N282" s="260"/>
      <c r="O282" s="336"/>
    </row>
    <row r="283" spans="1:16" s="210" customFormat="1" ht="24" customHeight="1">
      <c r="A283" s="207">
        <v>4</v>
      </c>
      <c r="B283" s="210">
        <v>55</v>
      </c>
      <c r="C283" s="321" t="s">
        <v>2830</v>
      </c>
      <c r="D283" s="283" t="s">
        <v>668</v>
      </c>
      <c r="E283" s="311" t="s">
        <v>669</v>
      </c>
      <c r="F283" s="294">
        <v>1</v>
      </c>
      <c r="G283" s="294" t="s">
        <v>272</v>
      </c>
      <c r="H283" s="257"/>
      <c r="I283" s="257"/>
      <c r="J283" s="257"/>
      <c r="K283" s="257"/>
      <c r="L283" s="257"/>
      <c r="M283" s="257"/>
      <c r="N283" s="257"/>
      <c r="O283" s="294"/>
    </row>
    <row r="284" spans="1:16" ht="24" customHeight="1">
      <c r="C284" s="297"/>
      <c r="D284" s="298" t="s">
        <v>667</v>
      </c>
      <c r="E284" s="301"/>
      <c r="F284" s="273">
        <v>5.3519999999999998E-2</v>
      </c>
      <c r="G284" s="273" t="s">
        <v>661</v>
      </c>
      <c r="H284" s="256"/>
      <c r="I284" s="329"/>
      <c r="J284" s="257"/>
      <c r="K284" s="257"/>
      <c r="L284" s="257"/>
      <c r="M284" s="257"/>
      <c r="N284" s="257"/>
      <c r="O284" s="294"/>
    </row>
    <row r="285" spans="1:16" ht="24" customHeight="1">
      <c r="C285" s="297"/>
      <c r="D285" s="298" t="s">
        <v>40</v>
      </c>
      <c r="E285" s="331" t="s">
        <v>2830</v>
      </c>
      <c r="F285" s="273"/>
      <c r="G285" s="273"/>
      <c r="H285" s="257"/>
      <c r="I285" s="257"/>
      <c r="J285" s="257"/>
      <c r="K285" s="257"/>
      <c r="L285" s="257"/>
      <c r="M285" s="257"/>
      <c r="N285" s="257"/>
      <c r="O285" s="933"/>
    </row>
    <row r="286" spans="1:16" ht="24" customHeight="1">
      <c r="C286" s="341"/>
      <c r="D286" s="333"/>
      <c r="E286" s="340"/>
      <c r="F286" s="334"/>
      <c r="G286" s="334"/>
      <c r="H286" s="335"/>
      <c r="I286" s="260"/>
      <c r="J286" s="260"/>
      <c r="K286" s="260"/>
      <c r="L286" s="260"/>
      <c r="M286" s="260"/>
      <c r="N286" s="260"/>
      <c r="O286" s="336"/>
    </row>
    <row r="287" spans="1:16" s="210" customFormat="1" ht="24" customHeight="1">
      <c r="A287" s="207">
        <v>5</v>
      </c>
      <c r="B287" s="210">
        <v>56</v>
      </c>
      <c r="C287" s="321" t="s">
        <v>2831</v>
      </c>
      <c r="D287" s="283" t="s">
        <v>668</v>
      </c>
      <c r="E287" s="311" t="s">
        <v>2742</v>
      </c>
      <c r="F287" s="294">
        <v>1</v>
      </c>
      <c r="G287" s="294" t="s">
        <v>272</v>
      </c>
      <c r="H287" s="257"/>
      <c r="I287" s="257"/>
      <c r="J287" s="257"/>
      <c r="K287" s="257"/>
      <c r="L287" s="257"/>
      <c r="M287" s="257"/>
      <c r="N287" s="257"/>
      <c r="O287" s="294"/>
    </row>
    <row r="288" spans="1:16" ht="24" customHeight="1">
      <c r="C288" s="297"/>
      <c r="D288" s="298" t="s">
        <v>667</v>
      </c>
      <c r="E288" s="301"/>
      <c r="F288" s="273">
        <v>8.9200000000000002E-2</v>
      </c>
      <c r="G288" s="273" t="s">
        <v>661</v>
      </c>
      <c r="H288" s="256"/>
      <c r="I288" s="329"/>
      <c r="J288" s="257"/>
      <c r="K288" s="257"/>
      <c r="L288" s="257"/>
      <c r="M288" s="257"/>
      <c r="N288" s="257"/>
      <c r="O288" s="294"/>
    </row>
    <row r="289" spans="1:15" ht="24" customHeight="1">
      <c r="C289" s="297"/>
      <c r="D289" s="298" t="s">
        <v>40</v>
      </c>
      <c r="E289" s="331" t="s">
        <v>2831</v>
      </c>
      <c r="F289" s="273"/>
      <c r="G289" s="273"/>
      <c r="H289" s="257"/>
      <c r="I289" s="257"/>
      <c r="J289" s="257"/>
      <c r="K289" s="257"/>
      <c r="L289" s="257"/>
      <c r="M289" s="257"/>
      <c r="N289" s="257"/>
      <c r="O289" s="933"/>
    </row>
    <row r="290" spans="1:15" ht="24" customHeight="1">
      <c r="C290" s="341"/>
      <c r="D290" s="333"/>
      <c r="E290" s="379"/>
      <c r="F290" s="334"/>
      <c r="G290" s="334"/>
      <c r="H290" s="260"/>
      <c r="I290" s="260"/>
      <c r="J290" s="260"/>
      <c r="K290" s="260"/>
      <c r="L290" s="260"/>
      <c r="M290" s="260"/>
      <c r="N290" s="260"/>
      <c r="O290" s="336"/>
    </row>
    <row r="291" spans="1:15" ht="24" customHeight="1">
      <c r="A291" s="207">
        <v>6</v>
      </c>
      <c r="B291" s="210">
        <v>57</v>
      </c>
      <c r="C291" s="321" t="s">
        <v>2832</v>
      </c>
      <c r="D291" s="393" t="s">
        <v>704</v>
      </c>
      <c r="E291" s="394" t="s">
        <v>2762</v>
      </c>
      <c r="F291" s="294">
        <v>1</v>
      </c>
      <c r="G291" s="294" t="s">
        <v>659</v>
      </c>
      <c r="H291" s="257"/>
      <c r="I291" s="257"/>
      <c r="J291" s="257"/>
      <c r="K291" s="257"/>
      <c r="L291" s="257"/>
      <c r="M291" s="257"/>
      <c r="N291" s="257"/>
      <c r="O291" s="294"/>
    </row>
    <row r="292" spans="1:15" ht="24" customHeight="1">
      <c r="C292" s="297"/>
      <c r="D292" s="392" t="s">
        <v>660</v>
      </c>
      <c r="E292" s="395"/>
      <c r="F292" s="397">
        <v>164.79000000000002</v>
      </c>
      <c r="G292" s="273" t="s">
        <v>709</v>
      </c>
      <c r="H292" s="257"/>
      <c r="I292" s="257"/>
      <c r="J292" s="257"/>
      <c r="K292" s="257"/>
      <c r="L292" s="257"/>
      <c r="M292" s="257"/>
      <c r="N292" s="257"/>
      <c r="O292" s="294"/>
    </row>
    <row r="293" spans="1:15" ht="24" customHeight="1">
      <c r="C293" s="297"/>
      <c r="D293" s="392" t="s">
        <v>698</v>
      </c>
      <c r="E293" s="331" t="s">
        <v>2832</v>
      </c>
      <c r="F293" s="273"/>
      <c r="G293" s="273"/>
      <c r="H293" s="257"/>
      <c r="I293" s="257"/>
      <c r="J293" s="257"/>
      <c r="K293" s="257"/>
      <c r="L293" s="257"/>
      <c r="M293" s="257"/>
      <c r="N293" s="257"/>
      <c r="O293" s="294"/>
    </row>
    <row r="294" spans="1:15" ht="24" customHeight="1">
      <c r="C294" s="341"/>
      <c r="D294" s="333"/>
      <c r="E294" s="903"/>
      <c r="F294" s="334"/>
      <c r="G294" s="334"/>
      <c r="H294" s="335"/>
      <c r="I294" s="260"/>
      <c r="J294" s="260"/>
      <c r="K294" s="260"/>
      <c r="L294" s="260"/>
      <c r="M294" s="260"/>
      <c r="N294" s="260"/>
      <c r="O294" s="336"/>
    </row>
    <row r="295" spans="1:15" ht="24" customHeight="1">
      <c r="A295" s="207">
        <v>7</v>
      </c>
      <c r="B295" s="210">
        <v>58</v>
      </c>
      <c r="C295" s="321" t="s">
        <v>2833</v>
      </c>
      <c r="D295" s="393" t="s">
        <v>704</v>
      </c>
      <c r="E295" s="394" t="s">
        <v>2623</v>
      </c>
      <c r="F295" s="294">
        <v>1</v>
      </c>
      <c r="G295" s="294" t="s">
        <v>659</v>
      </c>
      <c r="H295" s="257"/>
      <c r="I295" s="257"/>
      <c r="J295" s="257"/>
      <c r="K295" s="257"/>
      <c r="L295" s="257"/>
      <c r="M295" s="257"/>
      <c r="N295" s="257"/>
      <c r="O295" s="294"/>
    </row>
    <row r="296" spans="1:15" ht="24" customHeight="1">
      <c r="C296" s="297"/>
      <c r="D296" s="392" t="s">
        <v>2624</v>
      </c>
      <c r="E296" s="395"/>
      <c r="F296" s="397">
        <v>132.44999999999999</v>
      </c>
      <c r="G296" s="273" t="s">
        <v>709</v>
      </c>
      <c r="H296" s="257"/>
      <c r="I296" s="257"/>
      <c r="J296" s="257"/>
      <c r="K296" s="257"/>
      <c r="L296" s="257"/>
      <c r="M296" s="257"/>
      <c r="N296" s="257"/>
      <c r="O296" s="294"/>
    </row>
    <row r="297" spans="1:15" ht="24" customHeight="1">
      <c r="C297" s="297"/>
      <c r="D297" s="392" t="s">
        <v>698</v>
      </c>
      <c r="E297" s="331" t="s">
        <v>2833</v>
      </c>
      <c r="F297" s="273"/>
      <c r="G297" s="273"/>
      <c r="H297" s="257"/>
      <c r="I297" s="257"/>
      <c r="J297" s="257"/>
      <c r="K297" s="257"/>
      <c r="L297" s="257"/>
      <c r="M297" s="257"/>
      <c r="N297" s="257"/>
      <c r="O297" s="294"/>
    </row>
    <row r="298" spans="1:15" ht="24" customHeight="1">
      <c r="C298" s="341"/>
      <c r="D298" s="333"/>
      <c r="E298" s="903"/>
      <c r="F298" s="334"/>
      <c r="G298" s="334"/>
      <c r="H298" s="335"/>
      <c r="I298" s="260"/>
      <c r="J298" s="260"/>
      <c r="K298" s="260"/>
      <c r="L298" s="260"/>
      <c r="M298" s="260"/>
      <c r="N298" s="260"/>
      <c r="O298" s="336"/>
    </row>
    <row r="299" spans="1:15" ht="24" customHeight="1">
      <c r="A299" s="207">
        <v>8</v>
      </c>
      <c r="B299" s="210">
        <v>59</v>
      </c>
      <c r="C299" s="321" t="s">
        <v>2834</v>
      </c>
      <c r="D299" s="393" t="s">
        <v>705</v>
      </c>
      <c r="E299" s="394" t="s">
        <v>707</v>
      </c>
      <c r="F299" s="294">
        <v>1</v>
      </c>
      <c r="G299" s="294" t="s">
        <v>659</v>
      </c>
      <c r="H299" s="257"/>
      <c r="I299" s="257"/>
      <c r="J299" s="257"/>
      <c r="K299" s="257"/>
      <c r="L299" s="257"/>
      <c r="M299" s="257"/>
      <c r="N299" s="257"/>
      <c r="O299" s="294"/>
    </row>
    <row r="300" spans="1:15" ht="24" customHeight="1">
      <c r="C300" s="297"/>
      <c r="D300" s="392" t="s">
        <v>699</v>
      </c>
      <c r="E300" s="395"/>
      <c r="F300" s="397">
        <v>24.235999999999997</v>
      </c>
      <c r="G300" s="273" t="s">
        <v>709</v>
      </c>
      <c r="H300" s="257"/>
      <c r="I300" s="257"/>
      <c r="J300" s="257"/>
      <c r="K300" s="257"/>
      <c r="L300" s="257"/>
      <c r="M300" s="257"/>
      <c r="N300" s="257"/>
      <c r="O300" s="294"/>
    </row>
    <row r="301" spans="1:15" ht="24" customHeight="1">
      <c r="C301" s="297"/>
      <c r="D301" s="392" t="s">
        <v>698</v>
      </c>
      <c r="E301" s="331" t="s">
        <v>2834</v>
      </c>
      <c r="F301" s="273"/>
      <c r="G301" s="273"/>
      <c r="H301" s="257"/>
      <c r="I301" s="257"/>
      <c r="J301" s="257"/>
      <c r="K301" s="257"/>
      <c r="L301" s="257"/>
      <c r="M301" s="257"/>
      <c r="N301" s="257"/>
      <c r="O301" s="294"/>
    </row>
    <row r="302" spans="1:15" ht="24" customHeight="1">
      <c r="C302" s="341"/>
      <c r="D302" s="333"/>
      <c r="E302" s="903"/>
      <c r="F302" s="334"/>
      <c r="G302" s="334"/>
      <c r="H302" s="335"/>
      <c r="I302" s="260"/>
      <c r="J302" s="260"/>
      <c r="K302" s="260"/>
      <c r="L302" s="260"/>
      <c r="M302" s="260"/>
      <c r="N302" s="260"/>
      <c r="O302" s="336"/>
    </row>
    <row r="303" spans="1:15" ht="24" customHeight="1">
      <c r="A303" s="207">
        <v>9</v>
      </c>
      <c r="B303" s="210">
        <v>60</v>
      </c>
      <c r="C303" s="321" t="s">
        <v>2835</v>
      </c>
      <c r="D303" s="393" t="s">
        <v>2764</v>
      </c>
      <c r="E303" s="394" t="s">
        <v>2765</v>
      </c>
      <c r="F303" s="294">
        <v>1</v>
      </c>
      <c r="G303" s="294" t="s">
        <v>30</v>
      </c>
      <c r="H303" s="257"/>
      <c r="I303" s="257"/>
      <c r="J303" s="257"/>
      <c r="K303" s="257"/>
      <c r="L303" s="257"/>
      <c r="M303" s="257"/>
      <c r="N303" s="257"/>
      <c r="O303" s="294"/>
    </row>
    <row r="304" spans="1:15" ht="24" customHeight="1">
      <c r="C304" s="297"/>
      <c r="D304" s="392" t="s">
        <v>2763</v>
      </c>
      <c r="E304" s="395"/>
      <c r="F304" s="273">
        <v>4.5</v>
      </c>
      <c r="G304" s="273" t="s">
        <v>709</v>
      </c>
      <c r="H304" s="257"/>
      <c r="I304" s="257"/>
      <c r="J304" s="257"/>
      <c r="K304" s="257"/>
      <c r="L304" s="257"/>
      <c r="M304" s="257"/>
      <c r="N304" s="257"/>
      <c r="O304" s="294"/>
    </row>
    <row r="305" spans="1:15" ht="24" customHeight="1">
      <c r="C305" s="297"/>
      <c r="D305" s="392" t="s">
        <v>698</v>
      </c>
      <c r="E305" s="331" t="s">
        <v>2835</v>
      </c>
      <c r="F305" s="273"/>
      <c r="G305" s="273"/>
      <c r="H305" s="257"/>
      <c r="I305" s="257"/>
      <c r="J305" s="257"/>
      <c r="K305" s="257"/>
      <c r="L305" s="257"/>
      <c r="M305" s="257"/>
      <c r="N305" s="257"/>
      <c r="O305" s="294"/>
    </row>
    <row r="306" spans="1:15" ht="24" customHeight="1">
      <c r="C306" s="341"/>
      <c r="D306" s="333"/>
      <c r="E306" s="903"/>
      <c r="F306" s="334"/>
      <c r="G306" s="334"/>
      <c r="H306" s="335"/>
      <c r="I306" s="260"/>
      <c r="J306" s="260"/>
      <c r="K306" s="260"/>
      <c r="L306" s="260"/>
      <c r="M306" s="260"/>
      <c r="N306" s="260"/>
      <c r="O306" s="336"/>
    </row>
    <row r="307" spans="1:15" ht="24" customHeight="1">
      <c r="A307" s="207">
        <v>10</v>
      </c>
      <c r="B307" s="210">
        <v>61</v>
      </c>
      <c r="C307" s="321" t="s">
        <v>2836</v>
      </c>
      <c r="D307" s="393" t="s">
        <v>2764</v>
      </c>
      <c r="E307" s="394" t="s">
        <v>2766</v>
      </c>
      <c r="F307" s="294">
        <v>1</v>
      </c>
      <c r="G307" s="294" t="s">
        <v>30</v>
      </c>
      <c r="H307" s="257"/>
      <c r="I307" s="257"/>
      <c r="J307" s="257"/>
      <c r="K307" s="257"/>
      <c r="L307" s="257"/>
      <c r="M307" s="257"/>
      <c r="N307" s="257"/>
      <c r="O307" s="294"/>
    </row>
    <row r="308" spans="1:15" ht="24" customHeight="1">
      <c r="C308" s="297"/>
      <c r="D308" s="392" t="s">
        <v>2763</v>
      </c>
      <c r="E308" s="395"/>
      <c r="F308" s="273">
        <v>3</v>
      </c>
      <c r="G308" s="273" t="s">
        <v>709</v>
      </c>
      <c r="H308" s="257"/>
      <c r="I308" s="257"/>
      <c r="J308" s="257"/>
      <c r="K308" s="257"/>
      <c r="L308" s="257"/>
      <c r="M308" s="257"/>
      <c r="N308" s="257"/>
      <c r="O308" s="294"/>
    </row>
    <row r="309" spans="1:15" ht="24" customHeight="1">
      <c r="C309" s="297"/>
      <c r="D309" s="392" t="s">
        <v>698</v>
      </c>
      <c r="E309" s="331" t="s">
        <v>2836</v>
      </c>
      <c r="F309" s="273"/>
      <c r="G309" s="273"/>
      <c r="H309" s="257"/>
      <c r="I309" s="257"/>
      <c r="J309" s="257"/>
      <c r="K309" s="257"/>
      <c r="L309" s="257"/>
      <c r="M309" s="257"/>
      <c r="N309" s="257"/>
      <c r="O309" s="294"/>
    </row>
    <row r="310" spans="1:15" ht="24" customHeight="1">
      <c r="C310" s="341"/>
      <c r="D310" s="333"/>
      <c r="E310" s="903"/>
      <c r="F310" s="334"/>
      <c r="G310" s="334"/>
      <c r="H310" s="335"/>
      <c r="I310" s="260"/>
      <c r="J310" s="260"/>
      <c r="K310" s="260"/>
      <c r="L310" s="260"/>
      <c r="M310" s="260"/>
      <c r="N310" s="260"/>
      <c r="O310" s="336"/>
    </row>
    <row r="311" spans="1:15" ht="24" customHeight="1">
      <c r="A311" s="207">
        <v>11</v>
      </c>
      <c r="B311" s="210">
        <v>62</v>
      </c>
      <c r="C311" s="321" t="s">
        <v>2837</v>
      </c>
      <c r="D311" s="393" t="s">
        <v>2764</v>
      </c>
      <c r="E311" s="394" t="s">
        <v>2767</v>
      </c>
      <c r="F311" s="294">
        <v>1</v>
      </c>
      <c r="G311" s="294" t="s">
        <v>30</v>
      </c>
      <c r="H311" s="257"/>
      <c r="I311" s="257"/>
      <c r="J311" s="257"/>
      <c r="K311" s="257"/>
      <c r="L311" s="257"/>
      <c r="M311" s="257"/>
      <c r="N311" s="257"/>
      <c r="O311" s="294"/>
    </row>
    <row r="312" spans="1:15" ht="24" customHeight="1">
      <c r="C312" s="297"/>
      <c r="D312" s="392" t="s">
        <v>665</v>
      </c>
      <c r="E312" s="395"/>
      <c r="F312" s="273">
        <v>3</v>
      </c>
      <c r="G312" s="273" t="s">
        <v>709</v>
      </c>
      <c r="H312" s="257"/>
      <c r="I312" s="257"/>
      <c r="J312" s="257"/>
      <c r="K312" s="257"/>
      <c r="L312" s="257"/>
      <c r="M312" s="257"/>
      <c r="N312" s="257"/>
      <c r="O312" s="294"/>
    </row>
    <row r="313" spans="1:15" ht="24" customHeight="1">
      <c r="C313" s="297"/>
      <c r="D313" s="392" t="s">
        <v>698</v>
      </c>
      <c r="E313" s="331" t="s">
        <v>2837</v>
      </c>
      <c r="F313" s="273"/>
      <c r="G313" s="273"/>
      <c r="H313" s="257"/>
      <c r="I313" s="257"/>
      <c r="J313" s="257"/>
      <c r="K313" s="257"/>
      <c r="L313" s="257"/>
      <c r="M313" s="257"/>
      <c r="N313" s="257"/>
      <c r="O313" s="294"/>
    </row>
    <row r="314" spans="1:15" ht="24" customHeight="1">
      <c r="C314" s="341"/>
      <c r="D314" s="333"/>
      <c r="E314" s="903"/>
      <c r="F314" s="334"/>
      <c r="G314" s="334"/>
      <c r="H314" s="335"/>
      <c r="I314" s="260"/>
      <c r="J314" s="260"/>
      <c r="K314" s="260"/>
      <c r="L314" s="260"/>
      <c r="M314" s="260"/>
      <c r="N314" s="260"/>
      <c r="O314" s="336"/>
    </row>
    <row r="315" spans="1:15" ht="24" customHeight="1">
      <c r="A315" s="207">
        <v>12</v>
      </c>
      <c r="B315" s="210">
        <v>63</v>
      </c>
      <c r="C315" s="321" t="s">
        <v>2838</v>
      </c>
      <c r="D315" s="393" t="s">
        <v>706</v>
      </c>
      <c r="E315" s="394" t="s">
        <v>708</v>
      </c>
      <c r="F315" s="294">
        <v>1</v>
      </c>
      <c r="G315" s="294" t="s">
        <v>45</v>
      </c>
      <c r="H315" s="257"/>
      <c r="I315" s="257"/>
      <c r="J315" s="257"/>
      <c r="K315" s="257"/>
      <c r="L315" s="257"/>
      <c r="M315" s="257"/>
      <c r="N315" s="257"/>
      <c r="O315" s="294"/>
    </row>
    <row r="316" spans="1:15" ht="24" customHeight="1">
      <c r="C316" s="297"/>
      <c r="D316" s="392" t="s">
        <v>699</v>
      </c>
      <c r="E316" s="395"/>
      <c r="F316" s="273">
        <v>4.5</v>
      </c>
      <c r="G316" s="273" t="s">
        <v>709</v>
      </c>
      <c r="H316" s="257"/>
      <c r="I316" s="257"/>
      <c r="J316" s="257"/>
      <c r="K316" s="257"/>
      <c r="L316" s="257"/>
      <c r="M316" s="257"/>
      <c r="N316" s="257"/>
      <c r="O316" s="294"/>
    </row>
    <row r="317" spans="1:15" ht="24" customHeight="1">
      <c r="C317" s="297"/>
      <c r="D317" s="392" t="s">
        <v>698</v>
      </c>
      <c r="E317" s="331" t="s">
        <v>2838</v>
      </c>
      <c r="F317" s="273"/>
      <c r="G317" s="273"/>
      <c r="H317" s="257"/>
      <c r="I317" s="257"/>
      <c r="J317" s="257"/>
      <c r="K317" s="257"/>
      <c r="L317" s="257"/>
      <c r="M317" s="257"/>
      <c r="N317" s="257"/>
      <c r="O317" s="294"/>
    </row>
    <row r="318" spans="1:15" ht="24" customHeight="1">
      <c r="C318" s="341"/>
      <c r="D318" s="333"/>
      <c r="E318" s="340"/>
      <c r="F318" s="334"/>
      <c r="G318" s="334"/>
      <c r="H318" s="335"/>
      <c r="I318" s="260"/>
      <c r="J318" s="260"/>
      <c r="K318" s="260"/>
      <c r="L318" s="260"/>
      <c r="M318" s="260"/>
      <c r="N318" s="260"/>
      <c r="O318" s="336"/>
    </row>
    <row r="319" spans="1:15" s="210" customFormat="1" ht="24" customHeight="1">
      <c r="A319" s="207">
        <v>1</v>
      </c>
      <c r="B319" s="210">
        <v>64</v>
      </c>
      <c r="C319" s="321" t="s">
        <v>2839</v>
      </c>
      <c r="D319" s="283" t="s">
        <v>670</v>
      </c>
      <c r="E319" s="294"/>
      <c r="F319" s="294">
        <v>1</v>
      </c>
      <c r="G319" s="294" t="s">
        <v>672</v>
      </c>
      <c r="H319" s="295"/>
      <c r="I319" s="296"/>
      <c r="J319" s="296"/>
      <c r="K319" s="296"/>
      <c r="L319" s="296"/>
      <c r="M319" s="296"/>
      <c r="N319" s="296"/>
      <c r="O319" s="294"/>
    </row>
    <row r="320" spans="1:15" ht="24" customHeight="1">
      <c r="C320" s="297"/>
      <c r="D320" s="298" t="s">
        <v>671</v>
      </c>
      <c r="E320" s="273"/>
      <c r="F320" s="273">
        <v>0.125</v>
      </c>
      <c r="G320" s="273" t="s">
        <v>673</v>
      </c>
      <c r="H320" s="256"/>
      <c r="I320" s="257"/>
      <c r="J320" s="257"/>
      <c r="K320" s="257"/>
      <c r="L320" s="1080"/>
      <c r="M320" s="257"/>
      <c r="N320" s="257"/>
      <c r="O320" s="294"/>
    </row>
    <row r="321" spans="1:15" ht="24" customHeight="1">
      <c r="C321" s="297"/>
      <c r="D321" s="298" t="s">
        <v>40</v>
      </c>
      <c r="E321" s="331" t="s">
        <v>2839</v>
      </c>
      <c r="F321" s="273"/>
      <c r="G321" s="273"/>
      <c r="H321" s="256"/>
      <c r="I321" s="257"/>
      <c r="J321" s="256"/>
      <c r="K321" s="257"/>
      <c r="L321" s="256"/>
      <c r="M321" s="257"/>
      <c r="N321" s="257"/>
      <c r="O321" s="933"/>
    </row>
    <row r="322" spans="1:15" ht="24" customHeight="1">
      <c r="C322" s="341"/>
      <c r="D322" s="333"/>
      <c r="E322" s="339"/>
      <c r="F322" s="339"/>
      <c r="G322" s="334"/>
      <c r="H322" s="335"/>
      <c r="I322" s="260"/>
      <c r="J322" s="260"/>
      <c r="K322" s="260"/>
      <c r="L322" s="260"/>
      <c r="M322" s="260"/>
      <c r="N322" s="260"/>
      <c r="O322" s="902"/>
    </row>
    <row r="323" spans="1:15" ht="24" customHeight="1">
      <c r="A323" s="207">
        <v>2</v>
      </c>
      <c r="B323" s="210">
        <v>65</v>
      </c>
      <c r="C323" s="321" t="s">
        <v>2840</v>
      </c>
      <c r="D323" s="393" t="s">
        <v>674</v>
      </c>
      <c r="E323" s="294"/>
      <c r="F323" s="294">
        <v>1</v>
      </c>
      <c r="G323" s="294" t="s">
        <v>672</v>
      </c>
      <c r="H323" s="295"/>
      <c r="I323" s="296"/>
      <c r="J323" s="296"/>
      <c r="K323" s="296"/>
      <c r="L323" s="296"/>
      <c r="M323" s="296"/>
      <c r="N323" s="296"/>
      <c r="O323" s="294"/>
    </row>
    <row r="324" spans="1:15" ht="24" customHeight="1">
      <c r="B324" s="210"/>
      <c r="C324" s="297"/>
      <c r="D324" s="316" t="s">
        <v>675</v>
      </c>
      <c r="E324" s="316" t="s">
        <v>676</v>
      </c>
      <c r="F324" s="273">
        <v>1</v>
      </c>
      <c r="G324" s="273" t="s">
        <v>680</v>
      </c>
      <c r="H324" s="256"/>
      <c r="I324" s="257"/>
      <c r="J324" s="257"/>
      <c r="K324" s="257"/>
      <c r="L324" s="964"/>
      <c r="M324" s="964"/>
      <c r="N324" s="257"/>
      <c r="O324" s="294"/>
    </row>
    <row r="325" spans="1:15" s="210" customFormat="1" ht="24" customHeight="1">
      <c r="C325" s="297"/>
      <c r="D325" s="316" t="s">
        <v>677</v>
      </c>
      <c r="E325" s="316" t="s">
        <v>677</v>
      </c>
      <c r="F325" s="273">
        <v>1</v>
      </c>
      <c r="G325" s="273" t="s">
        <v>680</v>
      </c>
      <c r="H325" s="256"/>
      <c r="I325" s="257"/>
      <c r="J325" s="256"/>
      <c r="K325" s="257"/>
      <c r="L325" s="964"/>
      <c r="M325" s="964"/>
      <c r="N325" s="257"/>
      <c r="O325" s="294"/>
    </row>
    <row r="326" spans="1:15" ht="24" customHeight="1">
      <c r="B326" s="210"/>
      <c r="C326" s="297"/>
      <c r="D326" s="316" t="s">
        <v>678</v>
      </c>
      <c r="E326" s="316" t="s">
        <v>679</v>
      </c>
      <c r="F326" s="273">
        <v>1</v>
      </c>
      <c r="G326" s="273" t="s">
        <v>680</v>
      </c>
      <c r="H326" s="256"/>
      <c r="I326" s="257"/>
      <c r="J326" s="256"/>
      <c r="K326" s="257"/>
      <c r="L326" s="964"/>
      <c r="M326" s="964"/>
      <c r="N326" s="257"/>
      <c r="O326" s="933"/>
    </row>
    <row r="327" spans="1:15" ht="24" customHeight="1">
      <c r="B327" s="210"/>
      <c r="C327" s="297"/>
      <c r="D327" s="392" t="s">
        <v>40</v>
      </c>
      <c r="E327" s="331" t="s">
        <v>2840</v>
      </c>
      <c r="F327" s="192"/>
      <c r="G327" s="273"/>
      <c r="H327" s="256"/>
      <c r="I327" s="257"/>
      <c r="J327" s="256"/>
      <c r="K327" s="257"/>
      <c r="L327" s="256"/>
      <c r="M327" s="257"/>
      <c r="N327" s="257"/>
      <c r="O327" s="933"/>
    </row>
    <row r="328" spans="1:15" s="210" customFormat="1" ht="24" customHeight="1">
      <c r="C328" s="960"/>
      <c r="D328" s="961"/>
      <c r="E328" s="922"/>
      <c r="F328" s="922"/>
      <c r="G328" s="922"/>
      <c r="H328" s="962"/>
      <c r="I328" s="963"/>
      <c r="J328" s="963"/>
      <c r="K328" s="963"/>
      <c r="L328" s="963"/>
      <c r="M328" s="963"/>
      <c r="N328" s="963"/>
      <c r="O328" s="922"/>
    </row>
    <row r="329" spans="1:15" ht="24" customHeight="1">
      <c r="A329" s="207">
        <v>1</v>
      </c>
      <c r="B329" s="210">
        <v>66</v>
      </c>
      <c r="C329" s="321" t="s">
        <v>2841</v>
      </c>
      <c r="D329" s="393" t="s">
        <v>2615</v>
      </c>
      <c r="E329" s="294" t="s">
        <v>2616</v>
      </c>
      <c r="F329" s="294">
        <v>1</v>
      </c>
      <c r="G329" s="294" t="s">
        <v>2617</v>
      </c>
      <c r="H329" s="256"/>
      <c r="I329" s="257"/>
      <c r="J329" s="257"/>
      <c r="K329" s="257"/>
      <c r="L329" s="257"/>
      <c r="M329" s="257"/>
      <c r="N329" s="257"/>
      <c r="O329" s="294" t="s">
        <v>2618</v>
      </c>
    </row>
    <row r="330" spans="1:15" ht="24" customHeight="1">
      <c r="C330" s="973"/>
      <c r="D330" s="949" t="s">
        <v>2616</v>
      </c>
      <c r="E330" s="1096" t="s">
        <v>2841</v>
      </c>
      <c r="F330" s="974">
        <v>1</v>
      </c>
      <c r="G330" s="949" t="s">
        <v>2617</v>
      </c>
      <c r="H330" s="256"/>
      <c r="I330" s="257"/>
      <c r="J330" s="256"/>
      <c r="K330" s="257"/>
      <c r="L330" s="964"/>
      <c r="M330" s="964"/>
      <c r="N330" s="257"/>
      <c r="O330" s="975"/>
    </row>
    <row r="331" spans="1:15" ht="24" customHeight="1">
      <c r="C331" s="380"/>
      <c r="D331" s="333"/>
      <c r="E331" s="342"/>
      <c r="F331" s="334"/>
      <c r="G331" s="334"/>
      <c r="H331" s="335"/>
      <c r="I331" s="260"/>
      <c r="J331" s="260"/>
      <c r="K331" s="260"/>
      <c r="L331" s="260"/>
      <c r="M331" s="260"/>
      <c r="N331" s="260"/>
      <c r="O331" s="381"/>
    </row>
    <row r="332" spans="1:15" ht="24" customHeight="1">
      <c r="C332" s="956"/>
      <c r="D332" s="976"/>
      <c r="E332" s="977"/>
      <c r="F332" s="950"/>
      <c r="G332" s="950"/>
      <c r="H332" s="957"/>
      <c r="I332" s="958"/>
      <c r="J332" s="958"/>
      <c r="K332" s="958"/>
      <c r="L332" s="958"/>
      <c r="M332" s="958"/>
      <c r="N332" s="958"/>
      <c r="O332" s="959"/>
    </row>
    <row r="333" spans="1:15" s="216" customFormat="1" ht="24" customHeight="1">
      <c r="C333" s="267"/>
      <c r="D333" s="281"/>
      <c r="E333" s="214"/>
      <c r="F333" s="214"/>
      <c r="G333" s="214"/>
      <c r="H333" s="212"/>
      <c r="I333" s="213"/>
      <c r="J333" s="213"/>
      <c r="K333" s="213"/>
      <c r="L333" s="213"/>
      <c r="M333" s="213"/>
      <c r="N333" s="213"/>
      <c r="O333" s="214"/>
    </row>
    <row r="334" spans="1:15" ht="24" customHeight="1">
      <c r="D334" s="972"/>
      <c r="E334" s="137"/>
      <c r="F334" s="137"/>
      <c r="G334" s="137"/>
      <c r="H334" s="152"/>
      <c r="I334" s="140"/>
      <c r="J334" s="140"/>
      <c r="K334" s="140"/>
      <c r="L334" s="140"/>
      <c r="M334" s="140"/>
      <c r="N334" s="140"/>
      <c r="O334" s="214"/>
    </row>
    <row r="335" spans="1:15" ht="24" customHeight="1">
      <c r="D335" s="972"/>
      <c r="E335" s="137"/>
      <c r="F335" s="137"/>
      <c r="G335" s="137"/>
      <c r="H335" s="152"/>
      <c r="I335" s="140"/>
      <c r="J335" s="152"/>
      <c r="K335" s="140"/>
      <c r="L335" s="152"/>
      <c r="M335" s="140"/>
      <c r="N335" s="140"/>
      <c r="O335" s="214"/>
    </row>
    <row r="336" spans="1:15" ht="24" customHeight="1">
      <c r="D336" s="279"/>
      <c r="E336" s="137"/>
      <c r="F336" s="137"/>
      <c r="G336" s="137"/>
      <c r="H336" s="152"/>
      <c r="I336" s="140"/>
      <c r="J336" s="140"/>
      <c r="K336" s="140"/>
      <c r="L336" s="140"/>
      <c r="M336" s="140"/>
      <c r="N336" s="140"/>
      <c r="O336" s="214"/>
    </row>
    <row r="337" spans="3:15" ht="24" customHeight="1">
      <c r="D337" s="279"/>
      <c r="E337" s="137"/>
      <c r="F337" s="137"/>
      <c r="G337" s="137"/>
      <c r="H337" s="152"/>
      <c r="I337" s="140"/>
      <c r="J337" s="140"/>
      <c r="K337" s="140"/>
      <c r="L337" s="257"/>
      <c r="M337" s="257"/>
      <c r="N337" s="140"/>
      <c r="O337" s="214"/>
    </row>
    <row r="338" spans="3:15" ht="24" customHeight="1">
      <c r="D338" s="279"/>
      <c r="E338" s="270"/>
      <c r="F338" s="137"/>
      <c r="G338" s="137"/>
      <c r="H338" s="152"/>
      <c r="I338" s="140"/>
      <c r="J338" s="140"/>
      <c r="K338" s="140"/>
      <c r="L338" s="140"/>
      <c r="M338" s="140"/>
      <c r="N338" s="140"/>
      <c r="O338" s="214"/>
    </row>
    <row r="339" spans="3:15" ht="24" customHeight="1">
      <c r="D339" s="279"/>
      <c r="E339" s="271"/>
      <c r="F339" s="137"/>
      <c r="G339" s="137"/>
      <c r="H339" s="152"/>
      <c r="I339" s="140"/>
      <c r="J339" s="140"/>
      <c r="K339" s="140"/>
      <c r="L339" s="140"/>
      <c r="M339" s="140"/>
      <c r="N339" s="140"/>
      <c r="O339" s="214"/>
    </row>
    <row r="340" spans="3:15" s="216" customFormat="1" ht="24" customHeight="1">
      <c r="C340" s="267"/>
      <c r="D340" s="280"/>
      <c r="E340" s="214"/>
      <c r="F340" s="214"/>
      <c r="G340" s="214"/>
      <c r="H340" s="212"/>
      <c r="I340" s="213"/>
      <c r="J340" s="213"/>
      <c r="K340" s="213"/>
      <c r="L340" s="213"/>
      <c r="M340" s="213"/>
      <c r="N340" s="213"/>
      <c r="O340" s="214"/>
    </row>
    <row r="341" spans="3:15" ht="24" customHeight="1">
      <c r="D341" s="279"/>
      <c r="E341" s="137"/>
      <c r="F341" s="137"/>
      <c r="G341" s="137"/>
      <c r="H341" s="152"/>
      <c r="I341" s="140"/>
      <c r="J341" s="140"/>
      <c r="K341" s="140"/>
      <c r="L341" s="140"/>
      <c r="M341" s="140"/>
      <c r="N341" s="140"/>
      <c r="O341" s="214"/>
    </row>
    <row r="342" spans="3:15" ht="24" customHeight="1">
      <c r="D342" s="279"/>
      <c r="E342" s="137"/>
      <c r="F342" s="137"/>
      <c r="G342" s="137"/>
      <c r="H342" s="152"/>
      <c r="I342" s="140"/>
      <c r="J342" s="152"/>
      <c r="K342" s="140"/>
      <c r="L342" s="152"/>
      <c r="M342" s="140"/>
      <c r="N342" s="140"/>
      <c r="O342" s="214"/>
    </row>
    <row r="343" spans="3:15" ht="24" customHeight="1">
      <c r="D343" s="279"/>
      <c r="E343" s="137"/>
      <c r="F343" s="137"/>
      <c r="G343" s="137"/>
      <c r="H343" s="152"/>
      <c r="I343" s="140"/>
      <c r="J343" s="140"/>
      <c r="K343" s="140"/>
      <c r="L343" s="140"/>
      <c r="M343" s="140"/>
      <c r="N343" s="140"/>
      <c r="O343" s="214"/>
    </row>
    <row r="344" spans="3:15" ht="24" customHeight="1">
      <c r="D344" s="279"/>
      <c r="E344" s="137"/>
      <c r="F344" s="137"/>
      <c r="G344" s="137"/>
      <c r="H344" s="152"/>
      <c r="I344" s="140"/>
      <c r="J344" s="140"/>
      <c r="K344" s="140"/>
      <c r="L344" s="140"/>
      <c r="M344" s="140"/>
      <c r="N344" s="140"/>
      <c r="O344" s="214"/>
    </row>
    <row r="345" spans="3:15" ht="24" customHeight="1">
      <c r="D345" s="279"/>
      <c r="E345" s="270"/>
      <c r="F345" s="137"/>
      <c r="G345" s="137"/>
      <c r="H345" s="152"/>
      <c r="I345" s="140"/>
      <c r="J345" s="140"/>
      <c r="K345" s="140"/>
      <c r="L345" s="140"/>
      <c r="M345" s="140"/>
      <c r="N345" s="140"/>
      <c r="O345" s="214"/>
    </row>
    <row r="346" spans="3:15" ht="24" customHeight="1">
      <c r="D346" s="279"/>
      <c r="E346" s="271"/>
      <c r="F346" s="137"/>
      <c r="G346" s="137"/>
      <c r="H346" s="152"/>
      <c r="I346" s="140"/>
      <c r="J346" s="140"/>
      <c r="K346" s="140"/>
      <c r="L346" s="140"/>
      <c r="M346" s="140"/>
      <c r="N346" s="140"/>
      <c r="O346" s="214"/>
    </row>
    <row r="347" spans="3:15" s="216" customFormat="1" ht="24" customHeight="1">
      <c r="C347" s="267"/>
      <c r="D347" s="280"/>
      <c r="E347" s="214"/>
      <c r="F347" s="214"/>
      <c r="G347" s="214"/>
      <c r="H347" s="212"/>
      <c r="I347" s="213"/>
      <c r="J347" s="213"/>
      <c r="K347" s="213"/>
      <c r="L347" s="213"/>
      <c r="M347" s="213"/>
      <c r="N347" s="213"/>
      <c r="O347" s="214"/>
    </row>
    <row r="348" spans="3:15" ht="24" customHeight="1">
      <c r="D348" s="279"/>
      <c r="E348" s="137"/>
      <c r="F348" s="137"/>
      <c r="G348" s="137"/>
      <c r="H348" s="152"/>
      <c r="I348" s="140"/>
      <c r="J348" s="140"/>
      <c r="K348" s="140"/>
      <c r="L348" s="140"/>
      <c r="M348" s="140"/>
      <c r="N348" s="140"/>
      <c r="O348" s="214"/>
    </row>
    <row r="349" spans="3:15" ht="24" customHeight="1">
      <c r="D349" s="279"/>
      <c r="E349" s="137"/>
      <c r="F349" s="137"/>
      <c r="G349" s="137"/>
      <c r="H349" s="152"/>
      <c r="I349" s="140"/>
      <c r="J349" s="140"/>
      <c r="K349" s="140"/>
      <c r="L349" s="140"/>
      <c r="M349" s="140"/>
      <c r="N349" s="140"/>
      <c r="O349" s="214"/>
    </row>
    <row r="350" spans="3:15" ht="24" customHeight="1">
      <c r="D350" s="279"/>
      <c r="E350" s="270"/>
      <c r="F350" s="137"/>
      <c r="G350" s="137"/>
      <c r="H350" s="152"/>
      <c r="I350" s="140"/>
      <c r="J350" s="140"/>
      <c r="K350" s="140"/>
      <c r="L350" s="140"/>
      <c r="M350" s="140"/>
      <c r="N350" s="140"/>
      <c r="O350" s="214"/>
    </row>
    <row r="351" spans="3:15" ht="24" customHeight="1">
      <c r="D351" s="279"/>
      <c r="E351" s="271"/>
      <c r="F351" s="137"/>
      <c r="G351" s="137"/>
      <c r="H351" s="152"/>
      <c r="I351" s="140"/>
      <c r="J351" s="140"/>
      <c r="K351" s="140"/>
      <c r="L351" s="140"/>
      <c r="M351" s="140"/>
      <c r="N351" s="140"/>
      <c r="O351" s="214"/>
    </row>
    <row r="352" spans="3:15" s="210" customFormat="1" ht="24" customHeight="1">
      <c r="C352" s="267"/>
      <c r="D352" s="283"/>
      <c r="E352" s="214"/>
      <c r="F352" s="302"/>
      <c r="G352" s="214"/>
      <c r="H352" s="228"/>
      <c r="I352" s="211"/>
      <c r="J352" s="211"/>
      <c r="K352" s="211"/>
      <c r="L352" s="211"/>
      <c r="M352" s="211"/>
      <c r="N352" s="211"/>
      <c r="O352" s="222"/>
    </row>
    <row r="353" spans="3:15" ht="24" customHeight="1">
      <c r="D353" s="279"/>
      <c r="E353" s="137"/>
      <c r="F353" s="14"/>
      <c r="G353" s="137"/>
      <c r="H353" s="152"/>
      <c r="I353" s="140"/>
      <c r="J353" s="140"/>
      <c r="K353" s="140"/>
      <c r="L353" s="140"/>
      <c r="M353" s="140"/>
      <c r="N353" s="140"/>
      <c r="O353" s="222"/>
    </row>
    <row r="354" spans="3:15" ht="24" customHeight="1">
      <c r="D354" s="279"/>
      <c r="E354" s="137"/>
      <c r="F354" s="14"/>
      <c r="G354" s="137"/>
      <c r="H354" s="153"/>
      <c r="I354" s="229"/>
      <c r="J354" s="140"/>
      <c r="K354" s="140"/>
      <c r="L354" s="229"/>
      <c r="M354" s="229"/>
      <c r="N354" s="140"/>
      <c r="O354" s="263"/>
    </row>
    <row r="355" spans="3:15" ht="24" customHeight="1">
      <c r="D355" s="279"/>
      <c r="E355" s="137"/>
      <c r="F355" s="137"/>
      <c r="G355" s="137"/>
      <c r="H355" s="152"/>
      <c r="I355" s="140"/>
      <c r="J355" s="152"/>
      <c r="K355" s="140"/>
      <c r="L355" s="152"/>
      <c r="M355" s="140"/>
      <c r="N355" s="140"/>
      <c r="O355" s="214"/>
    </row>
    <row r="356" spans="3:15" ht="24" customHeight="1">
      <c r="D356" s="279"/>
      <c r="E356" s="137"/>
      <c r="F356" s="137"/>
      <c r="G356" s="137"/>
      <c r="H356" s="152"/>
      <c r="I356" s="140"/>
      <c r="J356" s="152"/>
      <c r="K356" s="140"/>
      <c r="L356" s="256"/>
      <c r="M356" s="257"/>
      <c r="N356" s="140"/>
      <c r="O356" s="214"/>
    </row>
    <row r="357" spans="3:15" ht="24" customHeight="1">
      <c r="D357" s="279"/>
      <c r="E357" s="270"/>
      <c r="F357" s="137"/>
      <c r="G357" s="137"/>
      <c r="H357" s="152"/>
      <c r="I357" s="140"/>
      <c r="J357" s="140"/>
      <c r="K357" s="140"/>
      <c r="L357" s="140"/>
      <c r="M357" s="140"/>
      <c r="N357" s="140"/>
      <c r="O357" s="214"/>
    </row>
    <row r="358" spans="3:15" s="210" customFormat="1" ht="24" customHeight="1">
      <c r="C358" s="267"/>
      <c r="D358" s="265"/>
      <c r="E358" s="214"/>
      <c r="F358" s="302"/>
      <c r="G358" s="211"/>
      <c r="H358" s="228"/>
      <c r="I358" s="211"/>
      <c r="J358" s="211"/>
      <c r="K358" s="211"/>
      <c r="L358" s="211"/>
      <c r="M358" s="211"/>
      <c r="N358" s="211"/>
      <c r="O358" s="214"/>
    </row>
    <row r="359" spans="3:15" s="216" customFormat="1" ht="24" customHeight="1">
      <c r="C359" s="267"/>
      <c r="D359" s="280"/>
      <c r="E359" s="214"/>
      <c r="F359" s="214"/>
      <c r="G359" s="214"/>
      <c r="H359" s="212"/>
      <c r="I359" s="213"/>
      <c r="J359" s="213"/>
      <c r="K359" s="213"/>
      <c r="L359" s="213"/>
      <c r="M359" s="213"/>
      <c r="N359" s="213"/>
      <c r="O359" s="214"/>
    </row>
    <row r="360" spans="3:15" ht="24" customHeight="1">
      <c r="D360" s="279"/>
      <c r="E360" s="137"/>
      <c r="F360" s="137"/>
      <c r="G360" s="137"/>
      <c r="H360" s="152"/>
      <c r="I360" s="140"/>
      <c r="J360" s="140"/>
      <c r="K360" s="140"/>
      <c r="L360" s="140"/>
      <c r="M360" s="140"/>
      <c r="N360" s="140"/>
      <c r="O360" s="214"/>
    </row>
    <row r="361" spans="3:15" ht="24" customHeight="1">
      <c r="D361" s="279"/>
      <c r="E361" s="270"/>
      <c r="F361" s="137"/>
      <c r="G361" s="137"/>
      <c r="H361" s="152"/>
      <c r="I361" s="140"/>
      <c r="J361" s="140"/>
      <c r="K361" s="140"/>
      <c r="L361" s="140"/>
      <c r="M361" s="140"/>
      <c r="N361" s="140"/>
      <c r="O361" s="214"/>
    </row>
    <row r="362" spans="3:15" ht="24" customHeight="1">
      <c r="D362" s="279"/>
      <c r="E362" s="271"/>
      <c r="F362" s="137"/>
      <c r="G362" s="137"/>
      <c r="H362" s="152"/>
      <c r="I362" s="140"/>
      <c r="J362" s="140"/>
      <c r="K362" s="140"/>
      <c r="L362" s="140"/>
      <c r="M362" s="140"/>
      <c r="N362" s="140"/>
      <c r="O362" s="214"/>
    </row>
    <row r="363" spans="3:15" s="216" customFormat="1" ht="24" customHeight="1">
      <c r="C363" s="267"/>
      <c r="D363" s="280"/>
      <c r="E363" s="214"/>
      <c r="F363" s="214"/>
      <c r="G363" s="214"/>
      <c r="H363" s="212"/>
      <c r="I363" s="213"/>
      <c r="J363" s="213"/>
      <c r="K363" s="213"/>
      <c r="L363" s="213"/>
      <c r="M363" s="213"/>
      <c r="N363" s="213"/>
      <c r="O363" s="214"/>
    </row>
    <row r="364" spans="3:15" ht="24" customHeight="1">
      <c r="D364" s="279"/>
      <c r="E364" s="137"/>
      <c r="F364" s="137"/>
      <c r="G364" s="137"/>
      <c r="H364" s="152"/>
      <c r="I364" s="140"/>
      <c r="J364" s="140"/>
      <c r="K364" s="140"/>
      <c r="L364" s="140"/>
      <c r="M364" s="140"/>
      <c r="N364" s="140"/>
      <c r="O364" s="214"/>
    </row>
    <row r="365" spans="3:15" ht="24" customHeight="1">
      <c r="D365" s="279"/>
      <c r="E365" s="270"/>
      <c r="F365" s="137"/>
      <c r="G365" s="137"/>
      <c r="H365" s="152"/>
      <c r="I365" s="140"/>
      <c r="J365" s="140"/>
      <c r="K365" s="140"/>
      <c r="L365" s="140"/>
      <c r="M365" s="140"/>
      <c r="N365" s="140"/>
      <c r="O365" s="214"/>
    </row>
    <row r="366" spans="3:15" ht="24" customHeight="1">
      <c r="D366" s="279"/>
      <c r="E366" s="271"/>
      <c r="F366" s="137"/>
      <c r="G366" s="137"/>
      <c r="H366" s="152"/>
      <c r="I366" s="140"/>
      <c r="J366" s="140"/>
      <c r="K366" s="140"/>
      <c r="L366" s="140"/>
      <c r="M366" s="140"/>
      <c r="N366" s="140"/>
      <c r="O366" s="214"/>
    </row>
    <row r="367" spans="3:15" s="216" customFormat="1" ht="24" customHeight="1">
      <c r="C367" s="267"/>
      <c r="D367" s="286"/>
      <c r="E367" s="219"/>
      <c r="F367" s="214"/>
      <c r="G367" s="214"/>
      <c r="H367" s="212"/>
      <c r="I367" s="213"/>
      <c r="J367" s="213"/>
      <c r="K367" s="213"/>
      <c r="L367" s="213"/>
      <c r="M367" s="213"/>
      <c r="N367" s="213"/>
      <c r="O367" s="222"/>
    </row>
    <row r="368" spans="3:15" ht="24" customHeight="1">
      <c r="D368" s="284"/>
      <c r="E368" s="218"/>
      <c r="F368" s="322"/>
      <c r="G368" s="137"/>
      <c r="H368" s="152"/>
      <c r="I368" s="140"/>
      <c r="J368" s="152"/>
      <c r="K368" s="140"/>
      <c r="L368" s="152"/>
      <c r="M368" s="140"/>
      <c r="N368" s="140"/>
      <c r="O368" s="304"/>
    </row>
    <row r="369" spans="3:15" ht="24" customHeight="1">
      <c r="D369" s="284"/>
      <c r="E369" s="218"/>
      <c r="F369" s="322"/>
      <c r="G369" s="137"/>
      <c r="H369" s="152"/>
      <c r="I369" s="140"/>
      <c r="J369" s="152"/>
      <c r="K369" s="140"/>
      <c r="L369" s="152"/>
      <c r="M369" s="140"/>
      <c r="N369" s="140"/>
      <c r="O369" s="214"/>
    </row>
    <row r="370" spans="3:15" ht="24" customHeight="1">
      <c r="D370" s="284"/>
      <c r="E370" s="218"/>
      <c r="F370" s="322"/>
      <c r="G370" s="137"/>
      <c r="H370" s="152"/>
      <c r="I370" s="140"/>
      <c r="J370" s="152"/>
      <c r="K370" s="140"/>
      <c r="L370" s="152"/>
      <c r="M370" s="140"/>
      <c r="N370" s="140"/>
      <c r="O370" s="214"/>
    </row>
    <row r="371" spans="3:15" ht="24" customHeight="1">
      <c r="D371" s="279"/>
      <c r="E371" s="270"/>
      <c r="F371" s="137"/>
      <c r="G371" s="137"/>
      <c r="H371" s="152"/>
      <c r="I371" s="140"/>
      <c r="J371" s="140"/>
      <c r="K371" s="140"/>
      <c r="L371" s="140"/>
      <c r="M371" s="140"/>
      <c r="N371" s="140"/>
      <c r="O371" s="214"/>
    </row>
    <row r="372" spans="3:15" ht="24" customHeight="1">
      <c r="D372" s="284"/>
      <c r="E372" s="218"/>
      <c r="F372" s="137"/>
      <c r="G372" s="137"/>
      <c r="H372" s="152"/>
      <c r="I372" s="140"/>
      <c r="J372" s="140"/>
      <c r="K372" s="140"/>
      <c r="L372" s="140"/>
      <c r="M372" s="140"/>
      <c r="N372" s="140"/>
      <c r="O372" s="214"/>
    </row>
    <row r="373" spans="3:15" s="216" customFormat="1" ht="24" customHeight="1">
      <c r="C373" s="267"/>
      <c r="D373" s="286"/>
      <c r="E373" s="219"/>
      <c r="F373" s="214"/>
      <c r="G373" s="214"/>
      <c r="H373" s="212"/>
      <c r="I373" s="213"/>
      <c r="J373" s="213"/>
      <c r="K373" s="213"/>
      <c r="L373" s="213"/>
      <c r="M373" s="213"/>
      <c r="N373" s="213"/>
      <c r="O373" s="222"/>
    </row>
    <row r="374" spans="3:15" ht="24" customHeight="1">
      <c r="D374" s="284"/>
      <c r="E374" s="218"/>
      <c r="F374" s="322"/>
      <c r="G374" s="137"/>
      <c r="H374" s="152"/>
      <c r="I374" s="140"/>
      <c r="J374" s="152"/>
      <c r="K374" s="140"/>
      <c r="L374" s="152"/>
      <c r="M374" s="140"/>
      <c r="N374" s="140"/>
      <c r="O374" s="304"/>
    </row>
    <row r="375" spans="3:15" ht="24" customHeight="1">
      <c r="D375" s="284"/>
      <c r="E375" s="137"/>
      <c r="F375" s="322"/>
      <c r="G375" s="137"/>
      <c r="H375" s="152"/>
      <c r="I375" s="140"/>
      <c r="J375" s="152"/>
      <c r="K375" s="140"/>
      <c r="L375" s="152"/>
      <c r="M375" s="140"/>
      <c r="N375" s="140"/>
      <c r="O375" s="214"/>
    </row>
    <row r="376" spans="3:15" ht="24" customHeight="1">
      <c r="D376" s="279"/>
      <c r="E376" s="137"/>
      <c r="F376" s="322"/>
      <c r="G376" s="137"/>
      <c r="H376" s="152"/>
      <c r="I376" s="140"/>
      <c r="J376" s="152"/>
      <c r="K376" s="140"/>
      <c r="L376" s="152"/>
      <c r="M376" s="140"/>
      <c r="N376" s="140"/>
      <c r="O376" s="214"/>
    </row>
    <row r="377" spans="3:15" ht="24" customHeight="1">
      <c r="D377" s="279"/>
      <c r="E377" s="270"/>
      <c r="F377" s="137"/>
      <c r="G377" s="137"/>
      <c r="H377" s="152"/>
      <c r="I377" s="140"/>
      <c r="J377" s="140"/>
      <c r="K377" s="140"/>
      <c r="L377" s="140"/>
      <c r="M377" s="140"/>
      <c r="N377" s="140"/>
      <c r="O377" s="214"/>
    </row>
    <row r="378" spans="3:15" ht="24" customHeight="1">
      <c r="D378" s="279"/>
      <c r="E378" s="271"/>
      <c r="F378" s="137"/>
      <c r="G378" s="137"/>
      <c r="H378" s="152"/>
      <c r="I378" s="140"/>
      <c r="J378" s="140"/>
      <c r="K378" s="140"/>
      <c r="L378" s="140"/>
      <c r="M378" s="140"/>
      <c r="N378" s="140"/>
      <c r="O378" s="214"/>
    </row>
    <row r="379" spans="3:15" s="210" customFormat="1" ht="24" customHeight="1">
      <c r="C379" s="267"/>
      <c r="D379" s="280"/>
      <c r="E379" s="214"/>
      <c r="F379" s="214"/>
      <c r="G379" s="214"/>
      <c r="H379" s="212"/>
      <c r="I379" s="213"/>
      <c r="J379" s="213"/>
      <c r="K379" s="213"/>
      <c r="L379" s="213"/>
      <c r="M379" s="213"/>
      <c r="N379" s="213"/>
      <c r="O379" s="214"/>
    </row>
    <row r="380" spans="3:15" ht="24" customHeight="1">
      <c r="D380" s="279"/>
      <c r="E380" s="137"/>
      <c r="F380" s="137"/>
      <c r="G380" s="137"/>
      <c r="H380" s="152"/>
      <c r="I380" s="140"/>
      <c r="J380" s="152"/>
      <c r="K380" s="140"/>
      <c r="L380" s="152"/>
      <c r="M380" s="140"/>
      <c r="N380" s="140"/>
      <c r="O380" s="214"/>
    </row>
    <row r="381" spans="3:15" ht="24" customHeight="1">
      <c r="D381" s="279"/>
      <c r="E381" s="270"/>
      <c r="F381" s="137"/>
      <c r="G381" s="137"/>
      <c r="H381" s="152"/>
      <c r="I381" s="140"/>
      <c r="J381" s="140"/>
      <c r="K381" s="140"/>
      <c r="L381" s="140"/>
      <c r="M381" s="140"/>
      <c r="N381" s="140"/>
      <c r="O381" s="214"/>
    </row>
    <row r="382" spans="3:15" ht="24" customHeight="1">
      <c r="D382" s="279"/>
      <c r="E382" s="271"/>
      <c r="F382" s="137"/>
      <c r="G382" s="137"/>
      <c r="H382" s="152"/>
      <c r="I382" s="140"/>
      <c r="J382" s="140"/>
      <c r="K382" s="140"/>
      <c r="L382" s="140"/>
      <c r="M382" s="140"/>
      <c r="N382" s="140"/>
      <c r="O382" s="214"/>
    </row>
    <row r="383" spans="3:15" s="216" customFormat="1" ht="24" customHeight="1">
      <c r="C383" s="267"/>
      <c r="D383" s="280"/>
      <c r="E383" s="214"/>
      <c r="F383" s="214"/>
      <c r="G383" s="214"/>
      <c r="H383" s="212"/>
      <c r="I383" s="213"/>
      <c r="J383" s="213"/>
      <c r="K383" s="213"/>
      <c r="L383" s="213"/>
      <c r="M383" s="213"/>
      <c r="N383" s="213"/>
      <c r="O383" s="214"/>
    </row>
    <row r="384" spans="3:15" ht="24" customHeight="1">
      <c r="D384" s="279"/>
      <c r="E384" s="104"/>
      <c r="F384" s="104"/>
      <c r="G384" s="137"/>
      <c r="H384" s="152"/>
      <c r="I384" s="140"/>
      <c r="J384" s="140"/>
      <c r="K384" s="140"/>
      <c r="L384" s="140"/>
      <c r="M384" s="140"/>
      <c r="N384" s="140"/>
      <c r="O384" s="263"/>
    </row>
    <row r="385" spans="3:15" ht="24" customHeight="1">
      <c r="D385" s="279"/>
      <c r="E385" s="104"/>
      <c r="F385" s="104"/>
      <c r="G385" s="137"/>
      <c r="H385" s="152"/>
      <c r="I385" s="140"/>
      <c r="J385" s="140"/>
      <c r="K385" s="140"/>
      <c r="L385" s="140"/>
      <c r="M385" s="140"/>
      <c r="N385" s="140"/>
      <c r="O385" s="263"/>
    </row>
    <row r="386" spans="3:15" ht="24" customHeight="1">
      <c r="D386" s="279"/>
      <c r="E386" s="270"/>
      <c r="F386" s="137"/>
      <c r="G386" s="137"/>
      <c r="H386" s="152"/>
      <c r="I386" s="140"/>
      <c r="J386" s="140"/>
      <c r="K386" s="140"/>
      <c r="L386" s="140"/>
      <c r="M386" s="140"/>
      <c r="N386" s="140"/>
      <c r="O386" s="214"/>
    </row>
    <row r="387" spans="3:15" ht="24" customHeight="1">
      <c r="D387" s="279"/>
      <c r="E387" s="271"/>
      <c r="F387" s="137"/>
      <c r="G387" s="137"/>
      <c r="H387" s="152"/>
      <c r="I387" s="140"/>
      <c r="J387" s="140"/>
      <c r="K387" s="140"/>
      <c r="L387" s="140"/>
      <c r="M387" s="140"/>
      <c r="N387" s="140"/>
      <c r="O387" s="214"/>
    </row>
    <row r="388" spans="3:15" s="216" customFormat="1" ht="24" customHeight="1">
      <c r="C388" s="267"/>
      <c r="D388" s="280"/>
      <c r="E388" s="214"/>
      <c r="F388" s="214"/>
      <c r="G388" s="214"/>
      <c r="H388" s="212"/>
      <c r="I388" s="213"/>
      <c r="J388" s="213"/>
      <c r="K388" s="213"/>
      <c r="L388" s="213"/>
      <c r="M388" s="213"/>
      <c r="N388" s="213"/>
      <c r="O388" s="214"/>
    </row>
    <row r="389" spans="3:15" ht="24" customHeight="1">
      <c r="D389" s="279"/>
      <c r="E389" s="137"/>
      <c r="F389" s="137"/>
      <c r="G389" s="137"/>
      <c r="H389" s="152"/>
      <c r="I389" s="140"/>
      <c r="J389" s="140"/>
      <c r="K389" s="140"/>
      <c r="L389" s="140"/>
      <c r="M389" s="140"/>
      <c r="N389" s="140"/>
      <c r="O389" s="214"/>
    </row>
    <row r="390" spans="3:15" ht="24" customHeight="1">
      <c r="D390" s="279"/>
      <c r="E390" s="137"/>
      <c r="F390" s="137"/>
      <c r="G390" s="137"/>
      <c r="H390" s="152"/>
      <c r="I390" s="140"/>
      <c r="J390" s="140"/>
      <c r="K390" s="140"/>
      <c r="L390" s="140"/>
      <c r="M390" s="140"/>
      <c r="N390" s="140"/>
      <c r="O390" s="214"/>
    </row>
    <row r="391" spans="3:15" ht="24" customHeight="1">
      <c r="D391" s="279"/>
      <c r="E391" s="270"/>
      <c r="F391" s="137"/>
      <c r="G391" s="137"/>
      <c r="H391" s="152"/>
      <c r="I391" s="140"/>
      <c r="J391" s="140"/>
      <c r="K391" s="140"/>
      <c r="L391" s="140"/>
      <c r="M391" s="140"/>
      <c r="N391" s="140"/>
      <c r="O391" s="214"/>
    </row>
    <row r="392" spans="3:15" ht="24" customHeight="1">
      <c r="D392" s="279"/>
      <c r="E392" s="271"/>
      <c r="F392" s="137"/>
      <c r="G392" s="137"/>
      <c r="H392" s="152"/>
      <c r="I392" s="140"/>
      <c r="J392" s="140"/>
      <c r="K392" s="140"/>
      <c r="L392" s="140"/>
      <c r="M392" s="140"/>
      <c r="N392" s="140"/>
      <c r="O392" s="214"/>
    </row>
    <row r="393" spans="3:15" s="210" customFormat="1" ht="24" customHeight="1">
      <c r="C393" s="267"/>
      <c r="D393" s="280"/>
      <c r="E393" s="214"/>
      <c r="F393" s="214"/>
      <c r="G393" s="214"/>
      <c r="H393" s="212"/>
      <c r="I393" s="213"/>
      <c r="J393" s="213"/>
      <c r="K393" s="213"/>
      <c r="L393" s="213"/>
      <c r="M393" s="213"/>
      <c r="N393" s="213"/>
      <c r="O393" s="230"/>
    </row>
    <row r="394" spans="3:15" ht="24" customHeight="1">
      <c r="D394" s="279"/>
      <c r="E394" s="137"/>
      <c r="F394" s="137"/>
      <c r="G394" s="137"/>
      <c r="H394" s="152"/>
      <c r="I394" s="140"/>
      <c r="J394" s="140"/>
      <c r="K394" s="140"/>
      <c r="L394" s="140"/>
      <c r="M394" s="140"/>
      <c r="N394" s="140"/>
      <c r="O394" s="307"/>
    </row>
    <row r="395" spans="3:15" ht="24" customHeight="1">
      <c r="D395" s="279"/>
      <c r="E395" s="270"/>
      <c r="F395" s="137"/>
      <c r="G395" s="137"/>
      <c r="H395" s="152"/>
      <c r="I395" s="140"/>
      <c r="J395" s="140"/>
      <c r="K395" s="140"/>
      <c r="L395" s="140"/>
      <c r="M395" s="140"/>
      <c r="N395" s="140"/>
      <c r="O395" s="214"/>
    </row>
    <row r="396" spans="3:15" ht="24" customHeight="1">
      <c r="D396" s="279"/>
      <c r="E396" s="271"/>
      <c r="F396" s="137"/>
      <c r="G396" s="137"/>
      <c r="H396" s="152"/>
      <c r="I396" s="140"/>
      <c r="J396" s="140"/>
      <c r="K396" s="140"/>
      <c r="L396" s="140"/>
      <c r="M396" s="140"/>
      <c r="N396" s="140"/>
      <c r="O396" s="214"/>
    </row>
    <row r="397" spans="3:15" s="210" customFormat="1" ht="24" customHeight="1">
      <c r="C397" s="267"/>
      <c r="D397" s="280"/>
      <c r="E397" s="214"/>
      <c r="F397" s="214"/>
      <c r="G397" s="214"/>
      <c r="H397" s="212"/>
      <c r="I397" s="213"/>
      <c r="J397" s="213"/>
      <c r="K397" s="213"/>
      <c r="L397" s="213"/>
      <c r="M397" s="213"/>
      <c r="N397" s="213"/>
      <c r="O397" s="231"/>
    </row>
    <row r="398" spans="3:15" ht="24" customHeight="1">
      <c r="D398" s="279"/>
      <c r="E398" s="137"/>
      <c r="F398" s="137"/>
      <c r="G398" s="137"/>
      <c r="H398" s="152"/>
      <c r="I398" s="140"/>
      <c r="J398" s="140"/>
      <c r="K398" s="140"/>
      <c r="L398" s="140"/>
      <c r="M398" s="140"/>
      <c r="N398" s="140"/>
      <c r="O398" s="307"/>
    </row>
    <row r="399" spans="3:15" ht="24" customHeight="1">
      <c r="D399" s="279"/>
      <c r="E399" s="270"/>
      <c r="F399" s="137"/>
      <c r="G399" s="137"/>
      <c r="H399" s="152"/>
      <c r="I399" s="140"/>
      <c r="J399" s="140"/>
      <c r="K399" s="140"/>
      <c r="L399" s="140"/>
      <c r="M399" s="140"/>
      <c r="N399" s="140"/>
      <c r="O399" s="214"/>
    </row>
    <row r="400" spans="3:15" ht="24" customHeight="1">
      <c r="D400" s="279"/>
      <c r="E400" s="271"/>
      <c r="F400" s="137"/>
      <c r="G400" s="137"/>
      <c r="H400" s="152"/>
      <c r="I400" s="140"/>
      <c r="J400" s="140"/>
      <c r="K400" s="140"/>
      <c r="L400" s="140"/>
      <c r="M400" s="140"/>
      <c r="N400" s="140"/>
      <c r="O400" s="214"/>
    </row>
    <row r="401" spans="3:15" s="210" customFormat="1" ht="24" customHeight="1">
      <c r="C401" s="267"/>
      <c r="D401" s="280"/>
      <c r="E401" s="214"/>
      <c r="F401" s="214"/>
      <c r="G401" s="214"/>
      <c r="H401" s="212"/>
      <c r="I401" s="213"/>
      <c r="J401" s="213"/>
      <c r="K401" s="213"/>
      <c r="L401" s="213"/>
      <c r="M401" s="213"/>
      <c r="N401" s="213"/>
      <c r="O401" s="214"/>
    </row>
    <row r="402" spans="3:15" ht="24" customHeight="1">
      <c r="D402" s="279"/>
      <c r="E402" s="137"/>
      <c r="F402" s="137"/>
      <c r="G402" s="137"/>
      <c r="H402" s="152"/>
      <c r="I402" s="140"/>
      <c r="J402" s="140"/>
      <c r="K402" s="140"/>
      <c r="L402" s="140"/>
      <c r="M402" s="140"/>
      <c r="N402" s="140"/>
      <c r="O402" s="214"/>
    </row>
    <row r="403" spans="3:15" ht="24" customHeight="1">
      <c r="D403" s="279"/>
      <c r="E403" s="137"/>
      <c r="F403" s="137"/>
      <c r="G403" s="137"/>
      <c r="H403" s="152"/>
      <c r="I403" s="140"/>
      <c r="J403" s="140"/>
      <c r="K403" s="140"/>
      <c r="L403" s="140"/>
      <c r="M403" s="140"/>
      <c r="N403" s="140"/>
      <c r="O403" s="214"/>
    </row>
    <row r="404" spans="3:15" ht="24" customHeight="1">
      <c r="D404" s="279"/>
      <c r="E404" s="270"/>
      <c r="F404" s="137"/>
      <c r="G404" s="137"/>
      <c r="H404" s="152"/>
      <c r="I404" s="140"/>
      <c r="J404" s="140"/>
      <c r="K404" s="140"/>
      <c r="L404" s="140"/>
      <c r="M404" s="140"/>
      <c r="N404" s="140"/>
      <c r="O404" s="214"/>
    </row>
    <row r="405" spans="3:15" ht="24" customHeight="1">
      <c r="D405" s="279"/>
      <c r="E405" s="271"/>
      <c r="F405" s="137"/>
      <c r="G405" s="137"/>
      <c r="H405" s="152"/>
      <c r="I405" s="140"/>
      <c r="J405" s="140"/>
      <c r="K405" s="140"/>
      <c r="L405" s="140"/>
      <c r="M405" s="140"/>
      <c r="N405" s="140"/>
      <c r="O405" s="214"/>
    </row>
    <row r="406" spans="3:15" s="210" customFormat="1" ht="24" customHeight="1">
      <c r="C406" s="267"/>
      <c r="D406" s="280"/>
      <c r="E406" s="214"/>
      <c r="F406" s="214"/>
      <c r="G406" s="214"/>
      <c r="H406" s="212"/>
      <c r="I406" s="213"/>
      <c r="J406" s="213"/>
      <c r="K406" s="213"/>
      <c r="L406" s="213"/>
      <c r="M406" s="213"/>
      <c r="N406" s="213"/>
      <c r="O406" s="214"/>
    </row>
    <row r="407" spans="3:15" ht="24" customHeight="1">
      <c r="D407" s="279"/>
      <c r="E407" s="137"/>
      <c r="F407" s="137"/>
      <c r="G407" s="137"/>
      <c r="H407" s="152"/>
      <c r="I407" s="140"/>
      <c r="J407" s="140"/>
      <c r="K407" s="140"/>
      <c r="L407" s="140"/>
      <c r="M407" s="140"/>
      <c r="N407" s="140"/>
      <c r="O407" s="307"/>
    </row>
    <row r="408" spans="3:15" ht="24" customHeight="1">
      <c r="D408" s="279"/>
      <c r="E408" s="270"/>
      <c r="F408" s="137"/>
      <c r="G408" s="137"/>
      <c r="H408" s="152"/>
      <c r="I408" s="140"/>
      <c r="J408" s="140"/>
      <c r="K408" s="140"/>
      <c r="L408" s="140"/>
      <c r="M408" s="140"/>
      <c r="N408" s="140"/>
      <c r="O408" s="214"/>
    </row>
    <row r="409" spans="3:15" ht="24" customHeight="1">
      <c r="D409" s="279"/>
      <c r="E409" s="271"/>
      <c r="F409" s="137"/>
      <c r="G409" s="137"/>
      <c r="H409" s="152"/>
      <c r="I409" s="140"/>
      <c r="J409" s="140"/>
      <c r="K409" s="140"/>
      <c r="L409" s="140"/>
      <c r="M409" s="140"/>
      <c r="N409" s="140"/>
      <c r="O409" s="214"/>
    </row>
    <row r="410" spans="3:15" s="210" customFormat="1" ht="24" customHeight="1">
      <c r="C410" s="267"/>
      <c r="D410" s="280"/>
      <c r="E410" s="214"/>
      <c r="F410" s="214"/>
      <c r="G410" s="214"/>
      <c r="H410" s="212"/>
      <c r="I410" s="213"/>
      <c r="J410" s="213"/>
      <c r="K410" s="213"/>
      <c r="L410" s="213"/>
      <c r="M410" s="213"/>
      <c r="N410" s="213"/>
      <c r="O410" s="231"/>
    </row>
    <row r="411" spans="3:15" ht="24" customHeight="1">
      <c r="D411" s="279"/>
      <c r="E411" s="137"/>
      <c r="F411" s="137"/>
      <c r="G411" s="137"/>
      <c r="H411" s="152"/>
      <c r="I411" s="140"/>
      <c r="J411" s="140"/>
      <c r="K411" s="140"/>
      <c r="L411" s="140"/>
      <c r="M411" s="140"/>
      <c r="N411" s="140"/>
      <c r="O411" s="307"/>
    </row>
    <row r="412" spans="3:15" ht="24" customHeight="1">
      <c r="D412" s="279"/>
      <c r="E412" s="270"/>
      <c r="F412" s="137"/>
      <c r="G412" s="137"/>
      <c r="H412" s="152"/>
      <c r="I412" s="140"/>
      <c r="J412" s="140"/>
      <c r="K412" s="140"/>
      <c r="L412" s="140"/>
      <c r="M412" s="140"/>
      <c r="N412" s="140"/>
      <c r="O412" s="214"/>
    </row>
    <row r="413" spans="3:15" ht="24" customHeight="1">
      <c r="D413" s="279"/>
      <c r="E413" s="271"/>
      <c r="F413" s="137"/>
      <c r="G413" s="137"/>
      <c r="H413" s="152"/>
      <c r="I413" s="140"/>
      <c r="J413" s="140"/>
      <c r="K413" s="140"/>
      <c r="L413" s="140"/>
      <c r="M413" s="140"/>
      <c r="N413" s="140"/>
      <c r="O413" s="214"/>
    </row>
    <row r="414" spans="3:15" s="210" customFormat="1" ht="24" customHeight="1">
      <c r="C414" s="267"/>
      <c r="D414" s="280"/>
      <c r="E414" s="214"/>
      <c r="F414" s="214"/>
      <c r="G414" s="214"/>
      <c r="H414" s="212"/>
      <c r="I414" s="213"/>
      <c r="J414" s="213"/>
      <c r="K414" s="213"/>
      <c r="L414" s="213"/>
      <c r="M414" s="213"/>
      <c r="N414" s="213"/>
      <c r="O414" s="214"/>
    </row>
    <row r="415" spans="3:15" ht="24" customHeight="1">
      <c r="D415" s="279"/>
      <c r="E415" s="137"/>
      <c r="F415" s="137"/>
      <c r="G415" s="137"/>
      <c r="H415" s="152"/>
      <c r="I415" s="140"/>
      <c r="J415" s="140"/>
      <c r="K415" s="140"/>
      <c r="L415" s="152"/>
      <c r="M415" s="140"/>
      <c r="N415" s="140"/>
      <c r="O415" s="214"/>
    </row>
    <row r="416" spans="3:15" ht="24" customHeight="1">
      <c r="D416" s="279"/>
      <c r="E416" s="137"/>
      <c r="F416" s="137"/>
      <c r="G416" s="137"/>
      <c r="H416" s="152"/>
      <c r="I416" s="140"/>
      <c r="J416" s="152"/>
      <c r="K416" s="140"/>
      <c r="L416" s="152"/>
      <c r="M416" s="140"/>
      <c r="N416" s="140"/>
      <c r="O416" s="214"/>
    </row>
    <row r="417" spans="2:16" ht="24" customHeight="1">
      <c r="D417" s="279"/>
      <c r="E417" s="270"/>
      <c r="F417" s="137"/>
      <c r="G417" s="137"/>
      <c r="H417" s="152"/>
      <c r="I417" s="140"/>
      <c r="J417" s="140"/>
      <c r="K417" s="140"/>
      <c r="L417" s="140"/>
      <c r="M417" s="140"/>
      <c r="N417" s="140"/>
      <c r="O417" s="214"/>
    </row>
    <row r="418" spans="2:16" ht="24" customHeight="1">
      <c r="D418" s="279"/>
      <c r="E418" s="271"/>
      <c r="F418" s="137"/>
      <c r="G418" s="137"/>
      <c r="H418" s="152"/>
      <c r="I418" s="140"/>
      <c r="J418" s="140"/>
      <c r="K418" s="140"/>
      <c r="L418" s="140"/>
      <c r="M418" s="140"/>
      <c r="N418" s="140"/>
      <c r="O418" s="214"/>
    </row>
    <row r="419" spans="2:16" s="210" customFormat="1" ht="24" customHeight="1">
      <c r="C419" s="267"/>
      <c r="D419" s="280"/>
      <c r="E419" s="214"/>
      <c r="F419" s="214"/>
      <c r="G419" s="214"/>
      <c r="H419" s="212"/>
      <c r="I419" s="213"/>
      <c r="J419" s="213"/>
      <c r="K419" s="213"/>
      <c r="L419" s="213"/>
      <c r="M419" s="213"/>
      <c r="N419" s="213"/>
      <c r="O419" s="214"/>
    </row>
    <row r="420" spans="2:16" ht="24" customHeight="1">
      <c r="D420" s="279"/>
      <c r="E420" s="137"/>
      <c r="F420" s="137"/>
      <c r="G420" s="137"/>
      <c r="H420" s="152"/>
      <c r="I420" s="140"/>
      <c r="J420" s="140"/>
      <c r="K420" s="140"/>
      <c r="L420" s="140"/>
      <c r="M420" s="140"/>
      <c r="N420" s="140"/>
      <c r="O420" s="307"/>
    </row>
    <row r="421" spans="2:16" ht="24" customHeight="1">
      <c r="D421" s="279"/>
      <c r="E421" s="271"/>
      <c r="F421" s="137"/>
      <c r="G421" s="137"/>
      <c r="H421" s="152"/>
      <c r="I421" s="140"/>
      <c r="J421" s="140"/>
      <c r="K421" s="140"/>
      <c r="L421" s="140"/>
      <c r="M421" s="140"/>
      <c r="N421" s="140"/>
      <c r="O421" s="214"/>
    </row>
    <row r="422" spans="2:16" ht="24" customHeight="1">
      <c r="D422" s="279"/>
      <c r="E422" s="271"/>
      <c r="F422" s="137"/>
      <c r="G422" s="137"/>
      <c r="H422" s="152"/>
      <c r="I422" s="140"/>
      <c r="J422" s="140"/>
      <c r="K422" s="140"/>
      <c r="L422" s="140"/>
      <c r="M422" s="140"/>
      <c r="N422" s="140"/>
      <c r="O422" s="214"/>
    </row>
    <row r="423" spans="2:16" s="232" customFormat="1" ht="24" customHeight="1">
      <c r="B423" s="236"/>
      <c r="C423" s="268"/>
      <c r="D423" s="287"/>
      <c r="E423" s="261"/>
      <c r="F423" s="261"/>
      <c r="G423" s="261"/>
      <c r="H423" s="233"/>
      <c r="I423" s="234"/>
      <c r="J423" s="234"/>
      <c r="K423" s="234"/>
      <c r="L423" s="234"/>
      <c r="M423" s="234"/>
      <c r="N423" s="234"/>
      <c r="O423" s="235"/>
      <c r="P423" s="236"/>
    </row>
    <row r="424" spans="2:16" s="237" customFormat="1" ht="24" customHeight="1">
      <c r="C424" s="269"/>
      <c r="D424" s="288"/>
      <c r="E424" s="205"/>
      <c r="F424" s="205"/>
      <c r="G424" s="205"/>
      <c r="H424" s="238"/>
      <c r="I424" s="204"/>
      <c r="J424" s="204"/>
      <c r="K424" s="204"/>
      <c r="L424" s="204"/>
      <c r="M424" s="204"/>
      <c r="N424" s="204"/>
      <c r="O424" s="307"/>
    </row>
    <row r="425" spans="2:16" s="237" customFormat="1" ht="24" customHeight="1">
      <c r="C425" s="269"/>
      <c r="D425" s="288"/>
      <c r="E425" s="275"/>
      <c r="F425" s="205"/>
      <c r="G425" s="205"/>
      <c r="H425" s="238"/>
      <c r="I425" s="204"/>
      <c r="J425" s="204"/>
      <c r="K425" s="204"/>
      <c r="L425" s="204"/>
      <c r="M425" s="204"/>
      <c r="N425" s="204"/>
      <c r="O425" s="261"/>
    </row>
    <row r="426" spans="2:16" ht="24" customHeight="1">
      <c r="D426" s="279"/>
      <c r="E426" s="271"/>
      <c r="F426" s="137"/>
      <c r="G426" s="137"/>
      <c r="H426" s="152"/>
      <c r="I426" s="140"/>
      <c r="J426" s="140"/>
      <c r="K426" s="140"/>
      <c r="L426" s="140"/>
      <c r="M426" s="140"/>
      <c r="N426" s="140"/>
      <c r="O426" s="214"/>
    </row>
    <row r="427" spans="2:16" s="210" customFormat="1" ht="24" customHeight="1">
      <c r="C427" s="267"/>
      <c r="D427" s="280"/>
      <c r="E427" s="214"/>
      <c r="F427" s="214"/>
      <c r="G427" s="214"/>
      <c r="H427" s="212"/>
      <c r="I427" s="213"/>
      <c r="J427" s="213"/>
      <c r="K427" s="213"/>
      <c r="L427" s="213"/>
      <c r="M427" s="213"/>
      <c r="N427" s="213"/>
      <c r="O427" s="231"/>
    </row>
    <row r="428" spans="2:16" s="241" customFormat="1" ht="24" customHeight="1">
      <c r="C428" s="266"/>
      <c r="D428" s="289"/>
      <c r="E428" s="218"/>
      <c r="F428" s="262"/>
      <c r="G428" s="218"/>
      <c r="H428" s="239"/>
      <c r="I428" s="140"/>
      <c r="J428" s="240"/>
      <c r="K428" s="140"/>
      <c r="L428" s="240"/>
      <c r="M428" s="140"/>
      <c r="N428" s="140"/>
      <c r="O428" s="307"/>
    </row>
    <row r="429" spans="2:16" ht="24" customHeight="1">
      <c r="D429" s="279"/>
      <c r="E429" s="270"/>
      <c r="F429" s="137"/>
      <c r="G429" s="137"/>
      <c r="H429" s="152"/>
      <c r="I429" s="140"/>
      <c r="J429" s="140"/>
      <c r="K429" s="140"/>
      <c r="L429" s="140"/>
      <c r="M429" s="140"/>
      <c r="N429" s="140"/>
      <c r="O429" s="214"/>
    </row>
    <row r="430" spans="2:16" ht="24" customHeight="1">
      <c r="D430" s="279"/>
      <c r="E430" s="271"/>
      <c r="F430" s="137"/>
      <c r="G430" s="137"/>
      <c r="H430" s="152"/>
      <c r="I430" s="140"/>
      <c r="J430" s="140"/>
      <c r="K430" s="140"/>
      <c r="L430" s="140"/>
      <c r="M430" s="140"/>
      <c r="N430" s="140"/>
      <c r="O430" s="214"/>
    </row>
    <row r="431" spans="2:16" s="232" customFormat="1" ht="24" customHeight="1">
      <c r="B431" s="236"/>
      <c r="C431" s="268"/>
      <c r="D431" s="287"/>
      <c r="E431" s="261"/>
      <c r="F431" s="261"/>
      <c r="G431" s="261"/>
      <c r="H431" s="233"/>
      <c r="I431" s="234"/>
      <c r="J431" s="234"/>
      <c r="K431" s="234"/>
      <c r="L431" s="234"/>
      <c r="M431" s="234"/>
      <c r="N431" s="234"/>
      <c r="O431" s="235"/>
      <c r="P431" s="236"/>
    </row>
    <row r="432" spans="2:16" s="237" customFormat="1" ht="24" customHeight="1">
      <c r="C432" s="269"/>
      <c r="D432" s="288"/>
      <c r="E432" s="205"/>
      <c r="F432" s="205"/>
      <c r="G432" s="205"/>
      <c r="H432" s="238"/>
      <c r="I432" s="204"/>
      <c r="J432" s="204"/>
      <c r="K432" s="204"/>
      <c r="L432" s="204"/>
      <c r="M432" s="204"/>
      <c r="N432" s="204"/>
      <c r="O432" s="307"/>
    </row>
    <row r="433" spans="3:15" s="237" customFormat="1" ht="24" customHeight="1">
      <c r="C433" s="269"/>
      <c r="D433" s="288"/>
      <c r="E433" s="275"/>
      <c r="F433" s="205"/>
      <c r="G433" s="205"/>
      <c r="H433" s="238"/>
      <c r="I433" s="204"/>
      <c r="J433" s="204"/>
      <c r="K433" s="204"/>
      <c r="L433" s="204"/>
      <c r="M433" s="204"/>
      <c r="N433" s="204"/>
      <c r="O433" s="261"/>
    </row>
    <row r="434" spans="3:15" ht="24" customHeight="1">
      <c r="D434" s="279"/>
      <c r="E434" s="271"/>
      <c r="F434" s="137"/>
      <c r="G434" s="137"/>
      <c r="H434" s="152"/>
      <c r="I434" s="140"/>
      <c r="J434" s="140"/>
      <c r="K434" s="140"/>
      <c r="L434" s="140"/>
      <c r="M434" s="140"/>
      <c r="N434" s="140"/>
      <c r="O434" s="214"/>
    </row>
    <row r="435" spans="3:15" s="210" customFormat="1" ht="24" customHeight="1">
      <c r="C435" s="267"/>
      <c r="D435" s="280"/>
      <c r="E435" s="214"/>
      <c r="F435" s="214"/>
      <c r="G435" s="214"/>
      <c r="H435" s="212"/>
      <c r="I435" s="213"/>
      <c r="J435" s="213"/>
      <c r="K435" s="213"/>
      <c r="L435" s="213"/>
      <c r="M435" s="213"/>
      <c r="N435" s="213"/>
      <c r="O435" s="231"/>
    </row>
    <row r="436" spans="3:15" s="241" customFormat="1" ht="24" customHeight="1">
      <c r="C436" s="266"/>
      <c r="D436" s="289"/>
      <c r="E436" s="218"/>
      <c r="F436" s="262"/>
      <c r="G436" s="262"/>
      <c r="H436" s="239"/>
      <c r="I436" s="140"/>
      <c r="J436" s="240"/>
      <c r="K436" s="140"/>
      <c r="L436" s="240"/>
      <c r="M436" s="140"/>
      <c r="N436" s="140"/>
      <c r="O436" s="307"/>
    </row>
    <row r="437" spans="3:15" ht="24" customHeight="1">
      <c r="D437" s="279"/>
      <c r="E437" s="270"/>
      <c r="F437" s="137"/>
      <c r="G437" s="137"/>
      <c r="H437" s="152"/>
      <c r="I437" s="140"/>
      <c r="J437" s="140"/>
      <c r="K437" s="140"/>
      <c r="L437" s="140"/>
      <c r="M437" s="140"/>
      <c r="N437" s="140"/>
      <c r="O437" s="214"/>
    </row>
    <row r="438" spans="3:15" ht="24" customHeight="1">
      <c r="D438" s="279"/>
      <c r="E438" s="271"/>
      <c r="F438" s="137"/>
      <c r="G438" s="137"/>
      <c r="H438" s="152"/>
      <c r="I438" s="140"/>
      <c r="J438" s="140"/>
      <c r="K438" s="140"/>
      <c r="L438" s="140"/>
      <c r="M438" s="140"/>
      <c r="N438" s="140"/>
      <c r="O438" s="214"/>
    </row>
    <row r="439" spans="3:15" s="210" customFormat="1" ht="24" customHeight="1">
      <c r="C439" s="267"/>
      <c r="D439" s="280"/>
      <c r="E439" s="214"/>
      <c r="F439" s="214"/>
      <c r="G439" s="214"/>
      <c r="H439" s="212"/>
      <c r="I439" s="213"/>
      <c r="J439" s="213"/>
      <c r="K439" s="213"/>
      <c r="L439" s="213"/>
      <c r="M439" s="213"/>
      <c r="N439" s="213"/>
      <c r="O439" s="230"/>
    </row>
    <row r="440" spans="3:15" ht="24" customHeight="1">
      <c r="D440" s="279"/>
      <c r="E440" s="137"/>
      <c r="F440" s="137"/>
      <c r="G440" s="137"/>
      <c r="H440" s="152"/>
      <c r="I440" s="140"/>
      <c r="J440" s="140"/>
      <c r="K440" s="140"/>
      <c r="L440" s="140"/>
      <c r="M440" s="140"/>
      <c r="N440" s="140"/>
      <c r="O440" s="214"/>
    </row>
    <row r="441" spans="3:15" ht="24" customHeight="1">
      <c r="D441" s="279"/>
      <c r="E441" s="137"/>
      <c r="F441" s="137"/>
      <c r="G441" s="137"/>
      <c r="H441" s="152"/>
      <c r="I441" s="140"/>
      <c r="J441" s="140"/>
      <c r="K441" s="140"/>
      <c r="L441" s="140"/>
      <c r="M441" s="140"/>
      <c r="N441" s="140"/>
      <c r="O441" s="214"/>
    </row>
    <row r="442" spans="3:15" ht="24" customHeight="1">
      <c r="D442" s="279"/>
      <c r="E442" s="137"/>
      <c r="F442" s="137"/>
      <c r="G442" s="137"/>
      <c r="H442" s="152"/>
      <c r="I442" s="140"/>
      <c r="J442" s="140"/>
      <c r="K442" s="140"/>
      <c r="L442" s="140"/>
      <c r="M442" s="140"/>
      <c r="N442" s="140"/>
      <c r="O442" s="214"/>
    </row>
    <row r="443" spans="3:15" ht="24" customHeight="1">
      <c r="D443" s="279"/>
      <c r="E443" s="137"/>
      <c r="F443" s="137"/>
      <c r="G443" s="137"/>
      <c r="H443" s="152"/>
      <c r="I443" s="140"/>
      <c r="J443" s="140"/>
      <c r="K443" s="140"/>
      <c r="L443" s="140"/>
      <c r="M443" s="140"/>
      <c r="N443" s="140"/>
      <c r="O443" s="214"/>
    </row>
    <row r="444" spans="3:15" ht="24" customHeight="1">
      <c r="D444" s="279"/>
      <c r="E444" s="270"/>
      <c r="F444" s="137"/>
      <c r="G444" s="137"/>
      <c r="H444" s="152"/>
      <c r="I444" s="140"/>
      <c r="J444" s="140"/>
      <c r="K444" s="140"/>
      <c r="L444" s="140"/>
      <c r="M444" s="140"/>
      <c r="N444" s="140"/>
      <c r="O444" s="214"/>
    </row>
    <row r="445" spans="3:15" ht="24" customHeight="1">
      <c r="D445" s="279"/>
      <c r="E445" s="271"/>
      <c r="F445" s="137"/>
      <c r="G445" s="137"/>
      <c r="H445" s="152"/>
      <c r="I445" s="140"/>
      <c r="J445" s="140"/>
      <c r="K445" s="140"/>
      <c r="L445" s="140"/>
      <c r="M445" s="140"/>
      <c r="N445" s="140"/>
      <c r="O445" s="214"/>
    </row>
    <row r="446" spans="3:15" s="210" customFormat="1" ht="24" customHeight="1">
      <c r="C446" s="267"/>
      <c r="D446" s="280"/>
      <c r="E446" s="214"/>
      <c r="F446" s="214"/>
      <c r="G446" s="214"/>
      <c r="H446" s="212"/>
      <c r="I446" s="213"/>
      <c r="J446" s="213"/>
      <c r="K446" s="213"/>
      <c r="L446" s="213"/>
      <c r="M446" s="213"/>
      <c r="N446" s="213"/>
      <c r="O446" s="230"/>
    </row>
    <row r="447" spans="3:15" ht="24" customHeight="1">
      <c r="D447" s="279"/>
      <c r="E447" s="137"/>
      <c r="F447" s="137"/>
      <c r="G447" s="137"/>
      <c r="H447" s="152"/>
      <c r="I447" s="140"/>
      <c r="J447" s="140"/>
      <c r="K447" s="140"/>
      <c r="L447" s="140"/>
      <c r="M447" s="140"/>
      <c r="N447" s="140"/>
      <c r="O447" s="307"/>
    </row>
    <row r="448" spans="3:15" ht="24" customHeight="1">
      <c r="D448" s="279"/>
      <c r="E448" s="270"/>
      <c r="F448" s="137"/>
      <c r="G448" s="137"/>
      <c r="H448" s="152"/>
      <c r="I448" s="140"/>
      <c r="J448" s="140"/>
      <c r="K448" s="140"/>
      <c r="L448" s="140"/>
      <c r="M448" s="140"/>
      <c r="N448" s="140"/>
      <c r="O448" s="214"/>
    </row>
    <row r="449" spans="3:15" ht="24" customHeight="1">
      <c r="D449" s="279"/>
      <c r="E449" s="271"/>
      <c r="F449" s="137"/>
      <c r="G449" s="137"/>
      <c r="H449" s="152"/>
      <c r="I449" s="140"/>
      <c r="J449" s="140"/>
      <c r="K449" s="140"/>
      <c r="L449" s="140"/>
      <c r="M449" s="140"/>
      <c r="N449" s="140"/>
      <c r="O449" s="214"/>
    </row>
    <row r="450" spans="3:15" s="210" customFormat="1" ht="24" customHeight="1">
      <c r="C450" s="267"/>
      <c r="D450" s="280"/>
      <c r="E450" s="214"/>
      <c r="F450" s="214"/>
      <c r="G450" s="214"/>
      <c r="H450" s="212"/>
      <c r="I450" s="213"/>
      <c r="J450" s="213"/>
      <c r="K450" s="213"/>
      <c r="L450" s="213"/>
      <c r="M450" s="213"/>
      <c r="N450" s="213"/>
      <c r="O450" s="230"/>
    </row>
    <row r="451" spans="3:15" ht="24" customHeight="1">
      <c r="D451" s="279"/>
      <c r="E451" s="137"/>
      <c r="F451" s="137"/>
      <c r="G451" s="137"/>
      <c r="H451" s="152"/>
      <c r="I451" s="140"/>
      <c r="J451" s="140"/>
      <c r="K451" s="140"/>
      <c r="L451" s="140"/>
      <c r="M451" s="140"/>
      <c r="N451" s="140"/>
      <c r="O451" s="214"/>
    </row>
    <row r="452" spans="3:15" ht="24" customHeight="1">
      <c r="D452" s="279"/>
      <c r="E452" s="270"/>
      <c r="F452" s="137"/>
      <c r="G452" s="137"/>
      <c r="H452" s="152"/>
      <c r="I452" s="140"/>
      <c r="J452" s="140"/>
      <c r="K452" s="140"/>
      <c r="L452" s="140"/>
      <c r="M452" s="140"/>
      <c r="N452" s="140"/>
      <c r="O452" s="214"/>
    </row>
    <row r="453" spans="3:15" ht="24" customHeight="1">
      <c r="D453" s="279"/>
      <c r="E453" s="271"/>
      <c r="F453" s="137"/>
      <c r="G453" s="137"/>
      <c r="H453" s="152"/>
      <c r="I453" s="140"/>
      <c r="J453" s="140"/>
      <c r="K453" s="140"/>
      <c r="L453" s="140"/>
      <c r="M453" s="140"/>
      <c r="N453" s="140"/>
      <c r="O453" s="214"/>
    </row>
    <row r="454" spans="3:15" s="210" customFormat="1" ht="24" customHeight="1">
      <c r="C454" s="267"/>
      <c r="D454" s="280"/>
      <c r="E454" s="214"/>
      <c r="F454" s="214"/>
      <c r="G454" s="263"/>
      <c r="H454" s="242"/>
      <c r="I454" s="242"/>
      <c r="J454" s="242"/>
      <c r="K454" s="242"/>
      <c r="L454" s="242"/>
      <c r="M454" s="242"/>
      <c r="N454" s="242"/>
      <c r="O454" s="214"/>
    </row>
    <row r="455" spans="3:15" ht="24" customHeight="1">
      <c r="D455" s="290"/>
      <c r="E455" s="137"/>
      <c r="F455" s="137"/>
      <c r="G455" s="104"/>
      <c r="H455" s="152"/>
      <c r="I455" s="140"/>
      <c r="J455" s="152"/>
      <c r="K455" s="140"/>
      <c r="L455" s="152"/>
      <c r="M455" s="140"/>
      <c r="N455" s="140"/>
      <c r="O455" s="304"/>
    </row>
    <row r="456" spans="3:15" ht="24" customHeight="1">
      <c r="D456" s="279"/>
      <c r="E456" s="137"/>
      <c r="F456" s="137"/>
      <c r="G456" s="137"/>
      <c r="H456" s="152"/>
      <c r="I456" s="152"/>
      <c r="J456" s="140"/>
      <c r="K456" s="140"/>
      <c r="L456" s="152"/>
      <c r="M456" s="152"/>
      <c r="N456" s="140"/>
      <c r="O456" s="304"/>
    </row>
    <row r="457" spans="3:15" ht="24" customHeight="1">
      <c r="D457" s="279"/>
      <c r="E457" s="137"/>
      <c r="F457" s="137"/>
      <c r="G457" s="137"/>
      <c r="H457" s="152"/>
      <c r="I457" s="152"/>
      <c r="J457" s="140"/>
      <c r="K457" s="140"/>
      <c r="L457" s="152"/>
      <c r="M457" s="152"/>
      <c r="N457" s="140"/>
      <c r="O457" s="304"/>
    </row>
    <row r="458" spans="3:15" ht="24" customHeight="1">
      <c r="D458" s="279"/>
      <c r="E458" s="270"/>
      <c r="F458" s="137"/>
      <c r="G458" s="104"/>
      <c r="H458" s="152"/>
      <c r="I458" s="152"/>
      <c r="J458" s="152"/>
      <c r="K458" s="152"/>
      <c r="L458" s="152"/>
      <c r="M458" s="152"/>
      <c r="N458" s="140"/>
      <c r="O458" s="304"/>
    </row>
    <row r="459" spans="3:15" ht="24" customHeight="1">
      <c r="D459" s="279"/>
      <c r="E459" s="271"/>
      <c r="F459" s="137"/>
      <c r="G459" s="137"/>
      <c r="H459" s="152"/>
      <c r="I459" s="140"/>
      <c r="J459" s="140"/>
      <c r="K459" s="140"/>
      <c r="L459" s="140"/>
      <c r="M459" s="140"/>
      <c r="N459" s="140"/>
      <c r="O459" s="304"/>
    </row>
    <row r="460" spans="3:15" s="210" customFormat="1" ht="24" customHeight="1">
      <c r="C460" s="267"/>
      <c r="D460" s="280"/>
      <c r="E460" s="214"/>
      <c r="F460" s="214"/>
      <c r="G460" s="263"/>
      <c r="H460" s="242"/>
      <c r="I460" s="242"/>
      <c r="J460" s="242"/>
      <c r="K460" s="242"/>
      <c r="L460" s="242"/>
      <c r="M460" s="242"/>
      <c r="N460" s="242"/>
      <c r="O460" s="214"/>
    </row>
    <row r="461" spans="3:15" ht="24" customHeight="1">
      <c r="D461" s="279"/>
      <c r="E461" s="137"/>
      <c r="F461" s="137"/>
      <c r="G461" s="104"/>
      <c r="H461" s="152"/>
      <c r="I461" s="140"/>
      <c r="J461" s="152"/>
      <c r="K461" s="140"/>
      <c r="L461" s="152"/>
      <c r="M461" s="140"/>
      <c r="N461" s="140"/>
      <c r="O461" s="214"/>
    </row>
    <row r="462" spans="3:15" ht="24" customHeight="1">
      <c r="D462" s="290"/>
      <c r="E462" s="137"/>
      <c r="F462" s="137"/>
      <c r="G462" s="137"/>
      <c r="H462" s="152"/>
      <c r="I462" s="152"/>
      <c r="J462" s="140"/>
      <c r="K462" s="140"/>
      <c r="L462" s="152"/>
      <c r="M462" s="152"/>
      <c r="N462" s="140"/>
      <c r="O462" s="304"/>
    </row>
    <row r="463" spans="3:15" ht="24" customHeight="1">
      <c r="D463" s="279"/>
      <c r="E463" s="270"/>
      <c r="F463" s="137"/>
      <c r="G463" s="104"/>
      <c r="H463" s="152"/>
      <c r="I463" s="152"/>
      <c r="J463" s="152"/>
      <c r="K463" s="152"/>
      <c r="L463" s="152"/>
      <c r="M463" s="152"/>
      <c r="N463" s="140"/>
      <c r="O463" s="304"/>
    </row>
    <row r="464" spans="3:15" ht="24" customHeight="1">
      <c r="D464" s="279"/>
      <c r="E464" s="271"/>
      <c r="F464" s="137"/>
      <c r="G464" s="104"/>
      <c r="H464" s="152"/>
      <c r="I464" s="152"/>
      <c r="J464" s="152"/>
      <c r="K464" s="152"/>
      <c r="L464" s="152"/>
      <c r="M464" s="152"/>
      <c r="N464" s="152"/>
      <c r="O464" s="304"/>
    </row>
    <row r="465" spans="3:15" s="210" customFormat="1" ht="24" customHeight="1">
      <c r="C465" s="267"/>
      <c r="D465" s="280"/>
      <c r="E465" s="214"/>
      <c r="F465" s="214"/>
      <c r="G465" s="263"/>
      <c r="H465" s="242"/>
      <c r="I465" s="242"/>
      <c r="J465" s="242"/>
      <c r="K465" s="242"/>
      <c r="L465" s="242"/>
      <c r="M465" s="242"/>
      <c r="N465" s="242"/>
      <c r="O465" s="214"/>
    </row>
    <row r="466" spans="3:15" ht="24" customHeight="1">
      <c r="D466" s="279"/>
      <c r="E466" s="137"/>
      <c r="F466" s="137"/>
      <c r="G466" s="104"/>
      <c r="H466" s="152"/>
      <c r="I466" s="140"/>
      <c r="J466" s="152"/>
      <c r="K466" s="152"/>
      <c r="L466" s="152"/>
      <c r="M466" s="152"/>
      <c r="N466" s="152"/>
      <c r="O466" s="214"/>
    </row>
    <row r="467" spans="3:15" ht="24" customHeight="1">
      <c r="D467" s="290"/>
      <c r="E467" s="137"/>
      <c r="F467" s="137"/>
      <c r="G467" s="137"/>
      <c r="H467" s="152"/>
      <c r="I467" s="152"/>
      <c r="J467" s="140"/>
      <c r="K467" s="140"/>
      <c r="L467" s="152"/>
      <c r="M467" s="152"/>
      <c r="N467" s="140"/>
      <c r="O467" s="304"/>
    </row>
    <row r="468" spans="3:15" ht="24" customHeight="1">
      <c r="D468" s="279"/>
      <c r="E468" s="270"/>
      <c r="F468" s="137"/>
      <c r="G468" s="104"/>
      <c r="H468" s="152"/>
      <c r="I468" s="152"/>
      <c r="J468" s="152"/>
      <c r="K468" s="152"/>
      <c r="L468" s="152"/>
      <c r="M468" s="152"/>
      <c r="N468" s="140"/>
      <c r="O468" s="304"/>
    </row>
    <row r="469" spans="3:15" ht="24" customHeight="1">
      <c r="D469" s="279"/>
      <c r="E469" s="271"/>
      <c r="F469" s="137"/>
      <c r="G469" s="104"/>
      <c r="H469" s="152"/>
      <c r="I469" s="152"/>
      <c r="J469" s="152"/>
      <c r="K469" s="152"/>
      <c r="L469" s="152"/>
      <c r="M469" s="152"/>
      <c r="N469" s="152"/>
      <c r="O469" s="304"/>
    </row>
    <row r="470" spans="3:15" s="210" customFormat="1" ht="24" customHeight="1">
      <c r="C470" s="267"/>
      <c r="D470" s="280"/>
      <c r="E470" s="214"/>
      <c r="F470" s="214"/>
      <c r="G470" s="263"/>
      <c r="H470" s="242"/>
      <c r="I470" s="242"/>
      <c r="J470" s="242"/>
      <c r="K470" s="242"/>
      <c r="L470" s="242"/>
      <c r="M470" s="242"/>
      <c r="N470" s="242"/>
      <c r="O470" s="214"/>
    </row>
    <row r="471" spans="3:15" ht="24" customHeight="1">
      <c r="D471" s="290"/>
      <c r="E471" s="137"/>
      <c r="F471" s="137"/>
      <c r="G471" s="104"/>
      <c r="H471" s="152"/>
      <c r="I471" s="140"/>
      <c r="J471" s="140"/>
      <c r="K471" s="140"/>
      <c r="L471" s="152"/>
      <c r="M471" s="140"/>
      <c r="N471" s="140"/>
      <c r="O471" s="304"/>
    </row>
    <row r="472" spans="3:15" ht="24" customHeight="1">
      <c r="D472" s="279"/>
      <c r="E472" s="270"/>
      <c r="F472" s="137"/>
      <c r="G472" s="104"/>
      <c r="H472" s="152"/>
      <c r="I472" s="152"/>
      <c r="J472" s="152"/>
      <c r="K472" s="152"/>
      <c r="L472" s="152"/>
      <c r="M472" s="152"/>
      <c r="N472" s="140"/>
      <c r="O472" s="304"/>
    </row>
    <row r="473" spans="3:15" ht="24" customHeight="1">
      <c r="D473" s="279"/>
      <c r="E473" s="271"/>
      <c r="F473" s="137"/>
      <c r="G473" s="104"/>
      <c r="H473" s="152"/>
      <c r="I473" s="152"/>
      <c r="J473" s="152"/>
      <c r="K473" s="152"/>
      <c r="L473" s="152"/>
      <c r="M473" s="152"/>
      <c r="N473" s="152"/>
      <c r="O473" s="304"/>
    </row>
    <row r="474" spans="3:15" s="210" customFormat="1" ht="24" customHeight="1">
      <c r="C474" s="267"/>
      <c r="D474" s="280"/>
      <c r="E474" s="214"/>
      <c r="F474" s="214"/>
      <c r="G474" s="263"/>
      <c r="H474" s="242"/>
      <c r="I474" s="242"/>
      <c r="J474" s="242"/>
      <c r="K474" s="242"/>
      <c r="L474" s="242"/>
      <c r="M474" s="242"/>
      <c r="N474" s="242"/>
      <c r="O474" s="214"/>
    </row>
    <row r="475" spans="3:15" ht="24" customHeight="1">
      <c r="D475" s="290"/>
      <c r="E475" s="137"/>
      <c r="F475" s="137"/>
      <c r="G475" s="104"/>
      <c r="H475" s="152"/>
      <c r="I475" s="140"/>
      <c r="J475" s="140"/>
      <c r="K475" s="140"/>
      <c r="L475" s="152"/>
      <c r="M475" s="140"/>
      <c r="N475" s="140"/>
      <c r="O475" s="304"/>
    </row>
    <row r="476" spans="3:15" ht="24" customHeight="1">
      <c r="D476" s="279"/>
      <c r="E476" s="270"/>
      <c r="F476" s="137"/>
      <c r="G476" s="104"/>
      <c r="H476" s="152"/>
      <c r="I476" s="152"/>
      <c r="J476" s="152"/>
      <c r="K476" s="152"/>
      <c r="L476" s="152"/>
      <c r="M476" s="152"/>
      <c r="N476" s="140"/>
      <c r="O476" s="304"/>
    </row>
    <row r="477" spans="3:15" ht="24" customHeight="1">
      <c r="D477" s="279"/>
      <c r="E477" s="271"/>
      <c r="F477" s="137"/>
      <c r="G477" s="104"/>
      <c r="H477" s="152"/>
      <c r="I477" s="152"/>
      <c r="J477" s="152"/>
      <c r="K477" s="152"/>
      <c r="L477" s="152"/>
      <c r="M477" s="152"/>
      <c r="N477" s="152"/>
      <c r="O477" s="304"/>
    </row>
    <row r="478" spans="3:15" s="210" customFormat="1" ht="24" customHeight="1">
      <c r="C478" s="267"/>
      <c r="D478" s="280"/>
      <c r="E478" s="214"/>
      <c r="F478" s="214"/>
      <c r="G478" s="263"/>
      <c r="H478" s="242"/>
      <c r="I478" s="242"/>
      <c r="J478" s="242"/>
      <c r="K478" s="242"/>
      <c r="L478" s="242"/>
      <c r="M478" s="242"/>
      <c r="N478" s="242"/>
      <c r="O478" s="214"/>
    </row>
    <row r="479" spans="3:15" ht="24" customHeight="1">
      <c r="D479" s="290"/>
      <c r="E479" s="137"/>
      <c r="F479" s="137"/>
      <c r="G479" s="104"/>
      <c r="H479" s="152"/>
      <c r="I479" s="140"/>
      <c r="J479" s="140"/>
      <c r="K479" s="140"/>
      <c r="L479" s="152"/>
      <c r="M479" s="140"/>
      <c r="N479" s="140"/>
      <c r="O479" s="304"/>
    </row>
    <row r="480" spans="3:15" ht="24" customHeight="1">
      <c r="D480" s="279"/>
      <c r="E480" s="270"/>
      <c r="F480" s="137"/>
      <c r="G480" s="104"/>
      <c r="H480" s="152"/>
      <c r="I480" s="152"/>
      <c r="J480" s="152"/>
      <c r="K480" s="152"/>
      <c r="L480" s="152"/>
      <c r="M480" s="152"/>
      <c r="N480" s="140"/>
      <c r="O480" s="304"/>
    </row>
    <row r="481" spans="2:17" ht="24" customHeight="1">
      <c r="D481" s="279"/>
      <c r="E481" s="271"/>
      <c r="F481" s="137"/>
      <c r="G481" s="104"/>
      <c r="H481" s="152"/>
      <c r="I481" s="152"/>
      <c r="J481" s="152"/>
      <c r="K481" s="152"/>
      <c r="L481" s="152"/>
      <c r="M481" s="152"/>
      <c r="N481" s="152"/>
      <c r="O481" s="304"/>
    </row>
    <row r="482" spans="2:17" s="210" customFormat="1" ht="24" customHeight="1">
      <c r="C482" s="267"/>
      <c r="D482" s="280"/>
      <c r="E482" s="214"/>
      <c r="F482" s="214"/>
      <c r="G482" s="263"/>
      <c r="H482" s="242"/>
      <c r="I482" s="242"/>
      <c r="J482" s="242"/>
      <c r="K482" s="242"/>
      <c r="L482" s="242"/>
      <c r="M482" s="242"/>
      <c r="N482" s="242"/>
      <c r="O482" s="214"/>
    </row>
    <row r="483" spans="2:17" ht="24" customHeight="1">
      <c r="D483" s="290"/>
      <c r="E483" s="137"/>
      <c r="F483" s="137"/>
      <c r="G483" s="104"/>
      <c r="H483" s="152"/>
      <c r="I483" s="140"/>
      <c r="J483" s="140"/>
      <c r="K483" s="140"/>
      <c r="L483" s="152"/>
      <c r="M483" s="140"/>
      <c r="N483" s="140"/>
      <c r="O483" s="304"/>
    </row>
    <row r="484" spans="2:17" ht="24" customHeight="1">
      <c r="D484" s="279"/>
      <c r="E484" s="270"/>
      <c r="F484" s="137"/>
      <c r="G484" s="104"/>
      <c r="H484" s="152"/>
      <c r="I484" s="152"/>
      <c r="J484" s="152"/>
      <c r="K484" s="152"/>
      <c r="L484" s="152"/>
      <c r="M484" s="152"/>
      <c r="N484" s="140"/>
      <c r="O484" s="304"/>
    </row>
    <row r="485" spans="2:17" ht="24" customHeight="1">
      <c r="D485" s="279"/>
      <c r="E485" s="271"/>
      <c r="F485" s="137"/>
      <c r="G485" s="104"/>
      <c r="H485" s="152"/>
      <c r="I485" s="152"/>
      <c r="J485" s="152"/>
      <c r="K485" s="152"/>
      <c r="L485" s="152"/>
      <c r="M485" s="152"/>
      <c r="N485" s="152"/>
      <c r="O485" s="304"/>
    </row>
    <row r="486" spans="2:17" s="210" customFormat="1" ht="24" customHeight="1">
      <c r="C486" s="267"/>
      <c r="D486" s="280"/>
      <c r="E486" s="214"/>
      <c r="F486" s="263"/>
      <c r="G486" s="214"/>
      <c r="H486" s="212"/>
      <c r="I486" s="213"/>
      <c r="J486" s="213"/>
      <c r="K486" s="213"/>
      <c r="L486" s="213"/>
      <c r="M486" s="213"/>
      <c r="N486" s="213"/>
      <c r="O486" s="214"/>
    </row>
    <row r="487" spans="2:17" ht="24" customHeight="1">
      <c r="D487" s="279"/>
      <c r="E487" s="137"/>
      <c r="F487" s="104"/>
      <c r="G487" s="137"/>
      <c r="H487" s="152"/>
      <c r="I487" s="140"/>
      <c r="J487" s="140"/>
      <c r="K487" s="140"/>
      <c r="L487" s="140"/>
      <c r="M487" s="140"/>
      <c r="N487" s="140"/>
      <c r="O487" s="222"/>
    </row>
    <row r="488" spans="2:17" ht="24" customHeight="1">
      <c r="D488" s="279"/>
      <c r="E488" s="137"/>
      <c r="F488" s="104"/>
      <c r="G488" s="137"/>
      <c r="H488" s="152"/>
      <c r="I488" s="140"/>
      <c r="J488" s="152"/>
      <c r="K488" s="140"/>
      <c r="L488" s="152"/>
      <c r="M488" s="140"/>
      <c r="N488" s="140"/>
      <c r="O488" s="214"/>
    </row>
    <row r="489" spans="2:17" ht="24" customHeight="1">
      <c r="D489" s="279"/>
      <c r="E489" s="137"/>
      <c r="F489" s="104"/>
      <c r="G489" s="137"/>
      <c r="H489" s="152"/>
      <c r="I489" s="140"/>
      <c r="J489" s="152"/>
      <c r="K489" s="140"/>
      <c r="L489" s="152"/>
      <c r="M489" s="140"/>
      <c r="N489" s="140"/>
      <c r="O489" s="304"/>
    </row>
    <row r="490" spans="2:17" ht="24" customHeight="1">
      <c r="D490" s="279"/>
      <c r="E490" s="137"/>
      <c r="F490" s="104"/>
      <c r="G490" s="137"/>
      <c r="H490" s="152"/>
      <c r="I490" s="140"/>
      <c r="J490" s="140"/>
      <c r="K490" s="140"/>
      <c r="L490" s="140"/>
      <c r="M490" s="140"/>
      <c r="N490" s="140"/>
      <c r="O490" s="214"/>
    </row>
    <row r="491" spans="2:17" ht="24" customHeight="1">
      <c r="D491" s="279"/>
      <c r="E491" s="137"/>
      <c r="F491" s="104"/>
      <c r="G491" s="137"/>
      <c r="H491" s="152"/>
      <c r="I491" s="140"/>
      <c r="J491" s="140"/>
      <c r="K491" s="140"/>
      <c r="L491" s="140"/>
      <c r="M491" s="140"/>
      <c r="N491" s="140"/>
      <c r="O491" s="214"/>
    </row>
    <row r="492" spans="2:17" ht="24" customHeight="1">
      <c r="D492" s="284"/>
      <c r="E492" s="137"/>
      <c r="F492" s="104"/>
      <c r="G492" s="137"/>
      <c r="H492" s="152"/>
      <c r="I492" s="140"/>
      <c r="J492" s="152"/>
      <c r="K492" s="140"/>
      <c r="L492" s="152"/>
      <c r="M492" s="140"/>
      <c r="N492" s="140"/>
      <c r="O492" s="214"/>
    </row>
    <row r="493" spans="2:17" ht="24" customHeight="1">
      <c r="D493" s="279"/>
      <c r="E493" s="137"/>
      <c r="F493" s="218"/>
      <c r="G493" s="218"/>
      <c r="H493" s="152"/>
      <c r="I493" s="140"/>
      <c r="J493" s="152"/>
      <c r="K493" s="140"/>
      <c r="L493" s="152"/>
      <c r="M493" s="140"/>
      <c r="N493" s="140"/>
      <c r="O493" s="214"/>
    </row>
    <row r="494" spans="2:17" ht="24" customHeight="1">
      <c r="B494" s="251"/>
      <c r="D494" s="279"/>
      <c r="E494" s="137"/>
      <c r="F494" s="137"/>
      <c r="G494" s="137"/>
      <c r="H494" s="152"/>
      <c r="I494" s="140"/>
      <c r="J494" s="140"/>
      <c r="K494" s="140"/>
      <c r="L494" s="140"/>
      <c r="M494" s="140"/>
      <c r="N494" s="140"/>
      <c r="O494" s="306"/>
      <c r="P494" s="251"/>
      <c r="Q494" s="250"/>
    </row>
    <row r="495" spans="2:17" ht="24" customHeight="1">
      <c r="D495" s="279"/>
      <c r="E495" s="273"/>
      <c r="F495" s="137"/>
      <c r="G495" s="137"/>
      <c r="H495" s="152"/>
      <c r="I495" s="140"/>
      <c r="J495" s="140"/>
      <c r="K495" s="140"/>
      <c r="L495" s="140"/>
      <c r="M495" s="140"/>
      <c r="N495" s="140"/>
      <c r="O495" s="306"/>
    </row>
    <row r="496" spans="2:17" ht="24" customHeight="1">
      <c r="D496" s="279"/>
      <c r="E496" s="270"/>
      <c r="F496" s="264"/>
      <c r="G496" s="218"/>
      <c r="H496" s="221"/>
      <c r="I496" s="217"/>
      <c r="J496" s="217"/>
      <c r="K496" s="217"/>
      <c r="L496" s="217"/>
      <c r="M496" s="217"/>
      <c r="N496" s="140"/>
      <c r="O496" s="219"/>
    </row>
    <row r="497" spans="2:17" ht="24" customHeight="1">
      <c r="D497" s="284"/>
      <c r="E497" s="218"/>
      <c r="F497" s="218"/>
      <c r="G497" s="264"/>
      <c r="H497" s="221"/>
      <c r="I497" s="221"/>
      <c r="J497" s="221"/>
      <c r="K497" s="221"/>
      <c r="L497" s="221"/>
      <c r="M497" s="221"/>
      <c r="N497" s="221"/>
      <c r="O497" s="308"/>
    </row>
    <row r="498" spans="2:17" s="210" customFormat="1" ht="24" customHeight="1">
      <c r="C498" s="267"/>
      <c r="D498" s="285"/>
      <c r="E498" s="219"/>
      <c r="F498" s="309"/>
      <c r="G498" s="214"/>
      <c r="H498" s="226"/>
      <c r="I498" s="227"/>
      <c r="J498" s="227"/>
      <c r="K498" s="227"/>
      <c r="L498" s="227"/>
      <c r="M498" s="227"/>
      <c r="N498" s="227"/>
      <c r="O498" s="222"/>
    </row>
    <row r="499" spans="2:17" ht="24" customHeight="1">
      <c r="D499" s="284"/>
      <c r="E499" s="218"/>
      <c r="F499" s="264"/>
      <c r="G499" s="218"/>
      <c r="H499" s="152"/>
      <c r="I499" s="140"/>
      <c r="J499" s="217"/>
      <c r="K499" s="140"/>
      <c r="L499" s="217"/>
      <c r="M499" s="140"/>
      <c r="N499" s="140"/>
      <c r="O499" s="219"/>
    </row>
    <row r="500" spans="2:17" ht="24" customHeight="1">
      <c r="D500" s="279"/>
      <c r="E500" s="137"/>
      <c r="F500" s="264"/>
      <c r="G500" s="218"/>
      <c r="H500" s="152"/>
      <c r="I500" s="140"/>
      <c r="J500" s="152"/>
      <c r="K500" s="140"/>
      <c r="L500" s="152"/>
      <c r="M500" s="140"/>
      <c r="N500" s="140"/>
      <c r="O500" s="219"/>
    </row>
    <row r="501" spans="2:17" ht="24" customHeight="1">
      <c r="D501" s="284"/>
      <c r="E501" s="218"/>
      <c r="F501" s="264"/>
      <c r="G501" s="218"/>
      <c r="H501" s="152"/>
      <c r="I501" s="140"/>
      <c r="J501" s="152"/>
      <c r="K501" s="140"/>
      <c r="L501" s="152"/>
      <c r="M501" s="140"/>
      <c r="N501" s="140"/>
      <c r="O501" s="304"/>
    </row>
    <row r="502" spans="2:17" ht="24" customHeight="1">
      <c r="D502" s="284"/>
      <c r="E502" s="218"/>
      <c r="F502" s="264"/>
      <c r="G502" s="218"/>
      <c r="H502" s="152"/>
      <c r="I502" s="140"/>
      <c r="J502" s="217"/>
      <c r="K502" s="140"/>
      <c r="L502" s="217"/>
      <c r="M502" s="140"/>
      <c r="N502" s="140"/>
      <c r="O502" s="219"/>
    </row>
    <row r="503" spans="2:17" ht="24" customHeight="1">
      <c r="D503" s="284"/>
      <c r="E503" s="218"/>
      <c r="F503" s="264"/>
      <c r="G503" s="218"/>
      <c r="H503" s="152"/>
      <c r="I503" s="140"/>
      <c r="J503" s="217"/>
      <c r="K503" s="140"/>
      <c r="L503" s="217"/>
      <c r="M503" s="140"/>
      <c r="N503" s="140"/>
      <c r="O503" s="219"/>
    </row>
    <row r="504" spans="2:17" ht="24" customHeight="1">
      <c r="D504" s="284"/>
      <c r="E504" s="218"/>
      <c r="F504" s="264"/>
      <c r="G504" s="218"/>
      <c r="H504" s="152"/>
      <c r="I504" s="140"/>
      <c r="J504" s="152"/>
      <c r="K504" s="140"/>
      <c r="L504" s="152"/>
      <c r="M504" s="140"/>
      <c r="N504" s="140"/>
      <c r="O504" s="214"/>
    </row>
    <row r="505" spans="2:17" ht="24" customHeight="1">
      <c r="D505" s="279"/>
      <c r="E505" s="137"/>
      <c r="F505" s="218"/>
      <c r="G505" s="218"/>
      <c r="H505" s="152"/>
      <c r="I505" s="140"/>
      <c r="J505" s="152"/>
      <c r="K505" s="140"/>
      <c r="L505" s="152"/>
      <c r="M505" s="140"/>
      <c r="N505" s="140"/>
      <c r="O505" s="214"/>
    </row>
    <row r="506" spans="2:17" ht="24" customHeight="1">
      <c r="B506" s="251"/>
      <c r="D506" s="279"/>
      <c r="E506" s="137"/>
      <c r="F506" s="137"/>
      <c r="G506" s="137"/>
      <c r="H506" s="152"/>
      <c r="I506" s="140"/>
      <c r="J506" s="140"/>
      <c r="K506" s="140"/>
      <c r="L506" s="140"/>
      <c r="M506" s="140"/>
      <c r="N506" s="140"/>
      <c r="O506" s="306"/>
      <c r="P506" s="251"/>
      <c r="Q506" s="250"/>
    </row>
    <row r="507" spans="2:17" ht="24" customHeight="1">
      <c r="D507" s="279"/>
      <c r="E507" s="273"/>
      <c r="F507" s="137"/>
      <c r="G507" s="137"/>
      <c r="H507" s="152"/>
      <c r="I507" s="140"/>
      <c r="J507" s="140"/>
      <c r="K507" s="140"/>
      <c r="L507" s="140"/>
      <c r="M507" s="140"/>
      <c r="N507" s="140"/>
      <c r="O507" s="306"/>
    </row>
    <row r="508" spans="2:17" ht="24" customHeight="1">
      <c r="D508" s="279"/>
      <c r="E508" s="270"/>
      <c r="F508" s="104"/>
      <c r="G508" s="137"/>
      <c r="H508" s="152"/>
      <c r="I508" s="140"/>
      <c r="J508" s="140"/>
      <c r="K508" s="140"/>
      <c r="L508" s="140"/>
      <c r="M508" s="140"/>
      <c r="N508" s="140"/>
      <c r="O508" s="214"/>
    </row>
    <row r="509" spans="2:17" ht="24" customHeight="1">
      <c r="D509" s="284"/>
      <c r="E509" s="218"/>
      <c r="F509" s="218"/>
      <c r="G509" s="264"/>
      <c r="H509" s="221"/>
      <c r="I509" s="221"/>
      <c r="J509" s="221"/>
      <c r="K509" s="221"/>
      <c r="L509" s="221"/>
      <c r="M509" s="221"/>
      <c r="N509" s="221"/>
      <c r="O509" s="308"/>
    </row>
    <row r="510" spans="2:17" s="210" customFormat="1" ht="24" customHeight="1">
      <c r="C510" s="267"/>
      <c r="D510" s="280"/>
      <c r="E510" s="214"/>
      <c r="F510" s="214"/>
      <c r="G510" s="214"/>
      <c r="H510" s="224"/>
      <c r="I510" s="213"/>
      <c r="J510" s="213"/>
      <c r="K510" s="213"/>
      <c r="L510" s="213"/>
      <c r="M510" s="213"/>
      <c r="N510" s="213"/>
      <c r="O510" s="243"/>
    </row>
    <row r="511" spans="2:17" ht="24" customHeight="1">
      <c r="D511" s="279"/>
      <c r="E511" s="137"/>
      <c r="F511" s="137"/>
      <c r="G511" s="137"/>
      <c r="H511" s="152"/>
      <c r="I511" s="140"/>
      <c r="J511" s="140"/>
      <c r="K511" s="140"/>
      <c r="L511" s="140"/>
      <c r="M511" s="140"/>
      <c r="N511" s="140"/>
      <c r="O511" s="212"/>
    </row>
    <row r="512" spans="2:17" ht="24" customHeight="1">
      <c r="D512" s="279"/>
      <c r="E512" s="104"/>
      <c r="F512" s="104"/>
      <c r="G512" s="137"/>
      <c r="H512" s="225"/>
      <c r="I512" s="140"/>
      <c r="J512" s="140"/>
      <c r="K512" s="140"/>
      <c r="L512" s="140"/>
      <c r="M512" s="140"/>
      <c r="N512" s="140"/>
      <c r="O512" s="303"/>
    </row>
    <row r="513" spans="3:15" s="210" customFormat="1" ht="24" customHeight="1">
      <c r="C513" s="266"/>
      <c r="D513" s="279"/>
      <c r="E513" s="274"/>
      <c r="F513" s="137"/>
      <c r="G513" s="137"/>
      <c r="H513" s="225"/>
      <c r="I513" s="140"/>
      <c r="J513" s="140"/>
      <c r="K513" s="140"/>
      <c r="L513" s="140"/>
      <c r="M513" s="140"/>
      <c r="N513" s="140"/>
      <c r="O513" s="212"/>
    </row>
    <row r="514" spans="3:15" ht="24" customHeight="1">
      <c r="D514" s="284"/>
      <c r="E514" s="271"/>
      <c r="F514" s="219"/>
      <c r="G514" s="219"/>
      <c r="H514" s="220"/>
      <c r="I514" s="223"/>
      <c r="J514" s="223"/>
      <c r="K514" s="223"/>
      <c r="L514" s="223"/>
      <c r="M514" s="223"/>
      <c r="N514" s="223"/>
      <c r="O514" s="309"/>
    </row>
    <row r="515" spans="3:15" s="210" customFormat="1" ht="24" customHeight="1">
      <c r="C515" s="267"/>
      <c r="D515" s="280"/>
      <c r="E515" s="214"/>
      <c r="F515" s="214"/>
      <c r="G515" s="214"/>
      <c r="H515" s="224"/>
      <c r="I515" s="213"/>
      <c r="J515" s="213"/>
      <c r="K515" s="213"/>
      <c r="L515" s="213"/>
      <c r="M515" s="213"/>
      <c r="N515" s="213"/>
      <c r="O515" s="243"/>
    </row>
    <row r="516" spans="3:15" ht="24" customHeight="1">
      <c r="D516" s="279"/>
      <c r="E516" s="137"/>
      <c r="F516" s="137"/>
      <c r="G516" s="137"/>
      <c r="H516" s="152"/>
      <c r="I516" s="140"/>
      <c r="J516" s="140"/>
      <c r="K516" s="140"/>
      <c r="L516" s="140"/>
      <c r="M516" s="140"/>
      <c r="N516" s="140"/>
      <c r="O516" s="212"/>
    </row>
    <row r="517" spans="3:15" ht="24" customHeight="1">
      <c r="D517" s="279"/>
      <c r="E517" s="104"/>
      <c r="F517" s="104"/>
      <c r="G517" s="137"/>
      <c r="H517" s="225"/>
      <c r="I517" s="140"/>
      <c r="J517" s="140"/>
      <c r="K517" s="140"/>
      <c r="L517" s="140"/>
      <c r="M517" s="140"/>
      <c r="N517" s="140"/>
      <c r="O517" s="303"/>
    </row>
    <row r="518" spans="3:15" s="210" customFormat="1" ht="24" customHeight="1">
      <c r="C518" s="266"/>
      <c r="D518" s="279"/>
      <c r="E518" s="274"/>
      <c r="F518" s="137"/>
      <c r="G518" s="137"/>
      <c r="H518" s="225"/>
      <c r="I518" s="140"/>
      <c r="J518" s="140"/>
      <c r="K518" s="140"/>
      <c r="L518" s="140"/>
      <c r="M518" s="140"/>
      <c r="N518" s="140"/>
      <c r="O518" s="212"/>
    </row>
    <row r="519" spans="3:15" ht="24" customHeight="1">
      <c r="D519" s="284"/>
      <c r="E519" s="271"/>
      <c r="F519" s="219"/>
      <c r="G519" s="219"/>
      <c r="H519" s="220"/>
      <c r="I519" s="223"/>
      <c r="J519" s="223"/>
      <c r="K519" s="223"/>
      <c r="L519" s="223"/>
      <c r="M519" s="223"/>
      <c r="N519" s="223"/>
      <c r="O519" s="309"/>
    </row>
    <row r="520" spans="3:15" s="210" customFormat="1" ht="24" customHeight="1">
      <c r="C520" s="267"/>
      <c r="D520" s="280"/>
      <c r="E520" s="214"/>
      <c r="F520" s="214"/>
      <c r="G520" s="214"/>
      <c r="H520" s="224"/>
      <c r="I520" s="213"/>
      <c r="J520" s="213"/>
      <c r="K520" s="213"/>
      <c r="L520" s="213"/>
      <c r="M520" s="213"/>
      <c r="N520" s="213"/>
      <c r="O520" s="243"/>
    </row>
    <row r="521" spans="3:15" ht="24" customHeight="1">
      <c r="D521" s="279"/>
      <c r="E521" s="137"/>
      <c r="F521" s="137"/>
      <c r="G521" s="137"/>
      <c r="H521" s="152"/>
      <c r="I521" s="140"/>
      <c r="J521" s="140"/>
      <c r="K521" s="140"/>
      <c r="L521" s="140"/>
      <c r="M521" s="140"/>
      <c r="N521" s="140"/>
      <c r="O521" s="212"/>
    </row>
    <row r="522" spans="3:15" ht="24" customHeight="1">
      <c r="D522" s="279"/>
      <c r="E522" s="104"/>
      <c r="F522" s="104"/>
      <c r="G522" s="137"/>
      <c r="H522" s="225"/>
      <c r="I522" s="140"/>
      <c r="J522" s="140"/>
      <c r="K522" s="140"/>
      <c r="L522" s="140"/>
      <c r="M522" s="140"/>
      <c r="N522" s="140"/>
      <c r="O522" s="303"/>
    </row>
    <row r="523" spans="3:15" s="210" customFormat="1" ht="24" customHeight="1">
      <c r="C523" s="266"/>
      <c r="D523" s="279"/>
      <c r="E523" s="274"/>
      <c r="F523" s="137"/>
      <c r="G523" s="137"/>
      <c r="H523" s="225"/>
      <c r="I523" s="140"/>
      <c r="J523" s="140"/>
      <c r="K523" s="140"/>
      <c r="L523" s="140"/>
      <c r="M523" s="140"/>
      <c r="N523" s="140"/>
      <c r="O523" s="212"/>
    </row>
    <row r="524" spans="3:15" ht="24" customHeight="1">
      <c r="D524" s="284"/>
      <c r="E524" s="271"/>
      <c r="F524" s="219"/>
      <c r="G524" s="219"/>
      <c r="H524" s="220"/>
      <c r="I524" s="223"/>
      <c r="J524" s="223"/>
      <c r="K524" s="223"/>
      <c r="L524" s="223"/>
      <c r="M524" s="223"/>
      <c r="N524" s="223"/>
      <c r="O524" s="309"/>
    </row>
    <row r="525" spans="3:15" s="210" customFormat="1" ht="24" customHeight="1">
      <c r="C525" s="267"/>
      <c r="D525" s="280"/>
      <c r="E525" s="214"/>
      <c r="F525" s="302"/>
      <c r="G525" s="214"/>
      <c r="H525" s="228"/>
      <c r="I525" s="211"/>
      <c r="J525" s="211"/>
      <c r="K525" s="211"/>
      <c r="L525" s="211"/>
      <c r="M525" s="211"/>
      <c r="N525" s="211"/>
      <c r="O525" s="222"/>
    </row>
    <row r="526" spans="3:15" ht="24" customHeight="1">
      <c r="D526" s="279"/>
      <c r="E526" s="137"/>
      <c r="F526" s="14"/>
      <c r="G526" s="137"/>
      <c r="H526" s="152"/>
      <c r="I526" s="140"/>
      <c r="J526" s="229"/>
      <c r="K526" s="140"/>
      <c r="L526" s="229"/>
      <c r="M526" s="140"/>
      <c r="N526" s="140"/>
      <c r="O526" s="263"/>
    </row>
    <row r="527" spans="3:15" ht="24" customHeight="1">
      <c r="D527" s="279"/>
      <c r="E527" s="137"/>
      <c r="F527" s="14"/>
      <c r="G527" s="137"/>
      <c r="H527" s="152"/>
      <c r="I527" s="140"/>
      <c r="J527" s="229"/>
      <c r="K527" s="140"/>
      <c r="L527" s="229"/>
      <c r="M527" s="140"/>
      <c r="N527" s="140"/>
      <c r="O527" s="263"/>
    </row>
    <row r="528" spans="3:15" ht="24" customHeight="1">
      <c r="D528" s="279"/>
      <c r="E528" s="137"/>
      <c r="F528" s="14"/>
      <c r="G528" s="137"/>
      <c r="H528" s="152"/>
      <c r="I528" s="140"/>
      <c r="J528" s="152"/>
      <c r="K528" s="140"/>
      <c r="L528" s="152"/>
      <c r="M528" s="140"/>
      <c r="N528" s="140"/>
      <c r="O528" s="263"/>
    </row>
    <row r="529" spans="2:17" ht="24" customHeight="1">
      <c r="D529" s="279"/>
      <c r="E529" s="137"/>
      <c r="F529" s="14"/>
      <c r="G529" s="137"/>
      <c r="H529" s="152"/>
      <c r="I529" s="140"/>
      <c r="J529" s="152"/>
      <c r="K529" s="140"/>
      <c r="L529" s="152"/>
      <c r="M529" s="140"/>
      <c r="N529" s="140"/>
      <c r="O529" s="304"/>
    </row>
    <row r="530" spans="2:17" ht="24" customHeight="1">
      <c r="D530" s="284"/>
      <c r="E530" s="137"/>
      <c r="F530" s="14"/>
      <c r="G530" s="137"/>
      <c r="H530" s="152"/>
      <c r="I530" s="140"/>
      <c r="J530" s="152"/>
      <c r="K530" s="140"/>
      <c r="L530" s="152"/>
      <c r="M530" s="140"/>
      <c r="N530" s="140"/>
      <c r="O530" s="214"/>
    </row>
    <row r="531" spans="2:17" ht="24" customHeight="1">
      <c r="D531" s="279"/>
      <c r="E531" s="137"/>
      <c r="F531" s="14"/>
      <c r="G531" s="137"/>
      <c r="H531" s="152"/>
      <c r="I531" s="140"/>
      <c r="J531" s="152"/>
      <c r="K531" s="140"/>
      <c r="L531" s="152"/>
      <c r="M531" s="140"/>
      <c r="N531" s="140"/>
      <c r="O531" s="214"/>
    </row>
    <row r="532" spans="2:17" ht="24" customHeight="1">
      <c r="B532" s="251"/>
      <c r="D532" s="279"/>
      <c r="E532" s="137"/>
      <c r="F532" s="137"/>
      <c r="G532" s="137"/>
      <c r="H532" s="152"/>
      <c r="I532" s="140"/>
      <c r="J532" s="140"/>
      <c r="K532" s="140"/>
      <c r="L532" s="140"/>
      <c r="M532" s="140"/>
      <c r="N532" s="140"/>
      <c r="O532" s="306"/>
      <c r="P532" s="251"/>
      <c r="Q532" s="250"/>
    </row>
    <row r="533" spans="2:17" ht="24" customHeight="1">
      <c r="D533" s="279"/>
      <c r="E533" s="273"/>
      <c r="F533" s="137"/>
      <c r="G533" s="137"/>
      <c r="H533" s="152"/>
      <c r="I533" s="140"/>
      <c r="J533" s="140"/>
      <c r="K533" s="140"/>
      <c r="L533" s="140"/>
      <c r="M533" s="140"/>
      <c r="N533" s="140"/>
      <c r="O533" s="306"/>
    </row>
    <row r="534" spans="2:17" ht="24" customHeight="1">
      <c r="D534" s="279"/>
      <c r="E534" s="274"/>
      <c r="F534" s="14"/>
      <c r="G534" s="137"/>
      <c r="H534" s="225"/>
      <c r="I534" s="140"/>
      <c r="J534" s="140"/>
      <c r="K534" s="140"/>
      <c r="L534" s="140"/>
      <c r="M534" s="140"/>
      <c r="N534" s="140"/>
      <c r="O534" s="263"/>
    </row>
    <row r="535" spans="2:17" ht="24" customHeight="1">
      <c r="D535" s="284"/>
      <c r="E535" s="271"/>
      <c r="F535" s="219"/>
      <c r="G535" s="219"/>
      <c r="H535" s="220"/>
      <c r="I535" s="223"/>
      <c r="J535" s="223"/>
      <c r="K535" s="223"/>
      <c r="L535" s="223"/>
      <c r="M535" s="223"/>
      <c r="N535" s="223"/>
      <c r="O535" s="309"/>
    </row>
    <row r="536" spans="2:17" s="210" customFormat="1" ht="24" customHeight="1">
      <c r="C536" s="267"/>
      <c r="D536" s="280"/>
      <c r="E536" s="214"/>
      <c r="F536" s="302"/>
      <c r="G536" s="214"/>
      <c r="H536" s="228"/>
      <c r="I536" s="211"/>
      <c r="J536" s="211"/>
      <c r="K536" s="211"/>
      <c r="L536" s="211"/>
      <c r="M536" s="211"/>
      <c r="N536" s="211"/>
      <c r="O536" s="222"/>
    </row>
    <row r="537" spans="2:17" ht="24" customHeight="1">
      <c r="D537" s="279"/>
      <c r="E537" s="137"/>
      <c r="F537" s="14"/>
      <c r="G537" s="137"/>
      <c r="H537" s="152"/>
      <c r="I537" s="140"/>
      <c r="J537" s="152"/>
      <c r="K537" s="140"/>
      <c r="L537" s="152"/>
      <c r="M537" s="140"/>
      <c r="N537" s="140"/>
      <c r="O537" s="263"/>
    </row>
    <row r="538" spans="2:17" ht="24" customHeight="1">
      <c r="D538" s="279"/>
      <c r="E538" s="137"/>
      <c r="F538" s="14"/>
      <c r="G538" s="137"/>
      <c r="H538" s="152"/>
      <c r="I538" s="140"/>
      <c r="J538" s="152"/>
      <c r="K538" s="140"/>
      <c r="L538" s="152"/>
      <c r="M538" s="140"/>
      <c r="N538" s="140"/>
      <c r="O538" s="304"/>
    </row>
    <row r="539" spans="2:17" ht="24" customHeight="1">
      <c r="D539" s="284"/>
      <c r="E539" s="137"/>
      <c r="F539" s="14"/>
      <c r="G539" s="137"/>
      <c r="H539" s="152"/>
      <c r="I539" s="140"/>
      <c r="J539" s="152"/>
      <c r="K539" s="140"/>
      <c r="L539" s="152"/>
      <c r="M539" s="140"/>
      <c r="N539" s="140"/>
      <c r="O539" s="214"/>
    </row>
    <row r="540" spans="2:17" ht="24" customHeight="1">
      <c r="D540" s="279"/>
      <c r="E540" s="137"/>
      <c r="F540" s="14"/>
      <c r="G540" s="137"/>
      <c r="H540" s="152"/>
      <c r="I540" s="140"/>
      <c r="J540" s="152"/>
      <c r="K540" s="140"/>
      <c r="L540" s="152"/>
      <c r="M540" s="140"/>
      <c r="N540" s="140"/>
      <c r="O540" s="214"/>
    </row>
    <row r="541" spans="2:17" ht="24" customHeight="1">
      <c r="D541" s="279"/>
      <c r="E541" s="137"/>
      <c r="F541" s="14"/>
      <c r="G541" s="137"/>
      <c r="H541" s="153"/>
      <c r="I541" s="229"/>
      <c r="J541" s="140"/>
      <c r="K541" s="140"/>
      <c r="L541" s="229"/>
      <c r="M541" s="229"/>
      <c r="N541" s="140"/>
      <c r="O541" s="281"/>
    </row>
    <row r="542" spans="2:17" ht="24" customHeight="1">
      <c r="D542" s="279"/>
      <c r="E542" s="273"/>
      <c r="F542" s="14"/>
      <c r="G542" s="137"/>
      <c r="H542" s="152"/>
      <c r="I542" s="140"/>
      <c r="J542" s="140"/>
      <c r="K542" s="140"/>
      <c r="L542" s="229"/>
      <c r="M542" s="229"/>
      <c r="N542" s="140"/>
      <c r="O542" s="281"/>
    </row>
    <row r="543" spans="2:17" ht="24" customHeight="1">
      <c r="D543" s="279"/>
      <c r="E543" s="274"/>
      <c r="F543" s="14"/>
      <c r="G543" s="137"/>
      <c r="H543" s="225"/>
      <c r="I543" s="140"/>
      <c r="J543" s="140"/>
      <c r="K543" s="140"/>
      <c r="L543" s="140"/>
      <c r="M543" s="140"/>
      <c r="N543" s="140"/>
      <c r="O543" s="263"/>
    </row>
    <row r="544" spans="2:17" ht="24" customHeight="1">
      <c r="D544" s="284"/>
      <c r="E544" s="271"/>
      <c r="F544" s="219"/>
      <c r="G544" s="219"/>
      <c r="H544" s="220"/>
      <c r="I544" s="223"/>
      <c r="J544" s="223"/>
      <c r="K544" s="223"/>
      <c r="L544" s="223"/>
      <c r="M544" s="223"/>
      <c r="N544" s="223"/>
      <c r="O544" s="309"/>
    </row>
    <row r="545" spans="2:16" s="216" customFormat="1" ht="24" customHeight="1">
      <c r="C545" s="267"/>
      <c r="D545" s="280"/>
      <c r="E545" s="214"/>
      <c r="F545" s="214"/>
      <c r="G545" s="214"/>
      <c r="H545" s="212"/>
      <c r="I545" s="213"/>
      <c r="J545" s="213"/>
      <c r="K545" s="213"/>
      <c r="L545" s="213"/>
      <c r="M545" s="213"/>
      <c r="N545" s="213"/>
      <c r="O545" s="214"/>
    </row>
    <row r="546" spans="2:16" ht="24" customHeight="1">
      <c r="D546" s="279"/>
      <c r="E546" s="137"/>
      <c r="F546" s="137"/>
      <c r="G546" s="137"/>
      <c r="H546" s="152"/>
      <c r="I546" s="140"/>
      <c r="J546" s="140"/>
      <c r="K546" s="140"/>
      <c r="L546" s="140"/>
      <c r="M546" s="140"/>
      <c r="N546" s="140"/>
      <c r="O546" s="214"/>
    </row>
    <row r="547" spans="2:16" ht="24" customHeight="1">
      <c r="D547" s="279"/>
      <c r="E547" s="137"/>
      <c r="F547" s="137"/>
      <c r="G547" s="137"/>
      <c r="H547" s="152"/>
      <c r="I547" s="140"/>
      <c r="J547" s="140"/>
      <c r="K547" s="140"/>
      <c r="L547" s="140"/>
      <c r="M547" s="140"/>
      <c r="N547" s="140"/>
      <c r="O547" s="214"/>
    </row>
    <row r="548" spans="2:16" ht="24" customHeight="1">
      <c r="D548" s="279"/>
      <c r="E548" s="270"/>
      <c r="F548" s="137"/>
      <c r="G548" s="137"/>
      <c r="H548" s="152"/>
      <c r="I548" s="140"/>
      <c r="J548" s="140"/>
      <c r="K548" s="140"/>
      <c r="L548" s="140"/>
      <c r="M548" s="140"/>
      <c r="N548" s="140"/>
      <c r="O548" s="214"/>
    </row>
    <row r="549" spans="2:16" ht="24" customHeight="1">
      <c r="D549" s="279"/>
      <c r="E549" s="271"/>
      <c r="F549" s="137"/>
      <c r="G549" s="137"/>
      <c r="H549" s="152"/>
      <c r="I549" s="140"/>
      <c r="J549" s="140"/>
      <c r="K549" s="140"/>
      <c r="L549" s="140"/>
      <c r="M549" s="140"/>
      <c r="N549" s="140"/>
      <c r="O549" s="214"/>
    </row>
    <row r="550" spans="2:16" s="216" customFormat="1" ht="24" customHeight="1">
      <c r="C550" s="267"/>
      <c r="D550" s="280"/>
      <c r="E550" s="214"/>
      <c r="F550" s="214"/>
      <c r="G550" s="214"/>
      <c r="H550" s="212"/>
      <c r="I550" s="213"/>
      <c r="J550" s="213"/>
      <c r="K550" s="213"/>
      <c r="L550" s="213"/>
      <c r="M550" s="213"/>
      <c r="N550" s="213"/>
      <c r="O550" s="214"/>
    </row>
    <row r="551" spans="2:16" ht="24" customHeight="1">
      <c r="D551" s="279"/>
      <c r="E551" s="137"/>
      <c r="F551" s="137"/>
      <c r="G551" s="137"/>
      <c r="H551" s="152"/>
      <c r="I551" s="140"/>
      <c r="J551" s="140"/>
      <c r="K551" s="140"/>
      <c r="L551" s="140"/>
      <c r="M551" s="140"/>
      <c r="N551" s="140"/>
      <c r="O551" s="214"/>
    </row>
    <row r="552" spans="2:16" ht="24" customHeight="1">
      <c r="D552" s="279"/>
      <c r="E552" s="137"/>
      <c r="F552" s="137"/>
      <c r="G552" s="137"/>
      <c r="H552" s="152"/>
      <c r="I552" s="140"/>
      <c r="J552" s="140"/>
      <c r="K552" s="140"/>
      <c r="L552" s="140"/>
      <c r="M552" s="140"/>
      <c r="N552" s="140"/>
      <c r="O552" s="214"/>
    </row>
    <row r="553" spans="2:16" ht="24" customHeight="1">
      <c r="D553" s="279"/>
      <c r="E553" s="270"/>
      <c r="F553" s="137"/>
      <c r="G553" s="137"/>
      <c r="H553" s="152"/>
      <c r="I553" s="140"/>
      <c r="J553" s="140"/>
      <c r="K553" s="140"/>
      <c r="L553" s="140"/>
      <c r="M553" s="140"/>
      <c r="N553" s="140"/>
      <c r="O553" s="214"/>
    </row>
    <row r="554" spans="2:16" ht="24" customHeight="1">
      <c r="D554" s="279"/>
      <c r="E554" s="271"/>
      <c r="F554" s="137"/>
      <c r="G554" s="137"/>
      <c r="H554" s="152"/>
      <c r="I554" s="140"/>
      <c r="J554" s="140"/>
      <c r="K554" s="140"/>
      <c r="L554" s="140"/>
      <c r="M554" s="140"/>
      <c r="N554" s="140"/>
      <c r="O554" s="214"/>
    </row>
    <row r="555" spans="2:16" s="216" customFormat="1" ht="24" customHeight="1">
      <c r="C555" s="267"/>
      <c r="D555" s="280"/>
      <c r="E555" s="214"/>
      <c r="F555" s="214"/>
      <c r="G555" s="214"/>
      <c r="H555" s="212"/>
      <c r="I555" s="213"/>
      <c r="J555" s="213"/>
      <c r="K555" s="213"/>
      <c r="L555" s="213"/>
      <c r="M555" s="213"/>
      <c r="N555" s="213"/>
      <c r="O555" s="214"/>
    </row>
    <row r="556" spans="2:16" ht="24" customHeight="1">
      <c r="B556" s="249"/>
      <c r="D556" s="279"/>
      <c r="E556" s="137"/>
      <c r="F556" s="137"/>
      <c r="G556" s="137"/>
      <c r="H556" s="152"/>
      <c r="I556" s="140"/>
      <c r="J556" s="140"/>
      <c r="K556" s="140"/>
      <c r="L556" s="140"/>
      <c r="M556" s="140"/>
      <c r="N556" s="140"/>
      <c r="O556" s="214"/>
      <c r="P556" s="249"/>
    </row>
    <row r="557" spans="2:16" ht="24" customHeight="1">
      <c r="D557" s="279"/>
      <c r="E557" s="104"/>
      <c r="F557" s="137"/>
      <c r="G557" s="137"/>
      <c r="H557" s="152"/>
      <c r="I557" s="140"/>
      <c r="J557" s="140"/>
      <c r="K557" s="140"/>
      <c r="L557" s="140"/>
      <c r="M557" s="140"/>
      <c r="N557" s="140"/>
      <c r="O557" s="214"/>
    </row>
    <row r="558" spans="2:16" ht="24" customHeight="1">
      <c r="D558" s="279"/>
      <c r="E558" s="104"/>
      <c r="F558" s="137"/>
      <c r="G558" s="137"/>
      <c r="H558" s="152"/>
      <c r="I558" s="140"/>
      <c r="J558" s="140"/>
      <c r="K558" s="140"/>
      <c r="L558" s="140"/>
      <c r="M558" s="140"/>
      <c r="N558" s="140"/>
      <c r="O558" s="214"/>
    </row>
    <row r="559" spans="2:16" ht="24" customHeight="1">
      <c r="D559" s="279"/>
      <c r="E559" s="270"/>
      <c r="F559" s="137"/>
      <c r="G559" s="137"/>
      <c r="H559" s="152"/>
      <c r="I559" s="140"/>
      <c r="J559" s="140"/>
      <c r="K559" s="140"/>
      <c r="L559" s="140"/>
      <c r="M559" s="140"/>
      <c r="N559" s="140"/>
      <c r="O559" s="214"/>
    </row>
    <row r="560" spans="2:16" ht="24" customHeight="1">
      <c r="D560" s="279"/>
      <c r="E560" s="271"/>
      <c r="F560" s="137"/>
      <c r="G560" s="137"/>
      <c r="H560" s="152"/>
      <c r="I560" s="140"/>
      <c r="J560" s="140"/>
      <c r="K560" s="140"/>
      <c r="L560" s="140"/>
      <c r="M560" s="140"/>
      <c r="N560" s="140"/>
      <c r="O560" s="214"/>
    </row>
    <row r="561" spans="2:15" s="216" customFormat="1" ht="24" customHeight="1">
      <c r="C561" s="267"/>
      <c r="D561" s="280"/>
      <c r="E561" s="214"/>
      <c r="F561" s="214"/>
      <c r="G561" s="214"/>
      <c r="H561" s="212"/>
      <c r="I561" s="213"/>
      <c r="J561" s="213"/>
      <c r="K561" s="213"/>
      <c r="L561" s="213"/>
      <c r="M561" s="213"/>
      <c r="N561" s="213"/>
      <c r="O561" s="214"/>
    </row>
    <row r="562" spans="2:15" ht="24" customHeight="1">
      <c r="D562" s="279"/>
      <c r="E562" s="137"/>
      <c r="F562" s="137"/>
      <c r="G562" s="137"/>
      <c r="H562" s="152"/>
      <c r="I562" s="140"/>
      <c r="J562" s="140"/>
      <c r="K562" s="140"/>
      <c r="L562" s="140"/>
      <c r="M562" s="140"/>
      <c r="N562" s="140"/>
      <c r="O562" s="214"/>
    </row>
    <row r="563" spans="2:15" ht="24" customHeight="1">
      <c r="D563" s="279"/>
      <c r="E563" s="270"/>
      <c r="F563" s="137"/>
      <c r="G563" s="137"/>
      <c r="H563" s="152"/>
      <c r="I563" s="140"/>
      <c r="J563" s="140"/>
      <c r="K563" s="140"/>
      <c r="L563" s="140"/>
      <c r="M563" s="140"/>
      <c r="N563" s="140"/>
      <c r="O563" s="214"/>
    </row>
    <row r="564" spans="2:15" s="216" customFormat="1" ht="24" customHeight="1">
      <c r="C564" s="267"/>
      <c r="D564" s="280"/>
      <c r="E564" s="214"/>
      <c r="F564" s="214"/>
      <c r="G564" s="214"/>
      <c r="H564" s="212"/>
      <c r="I564" s="213"/>
      <c r="J564" s="213"/>
      <c r="K564" s="213"/>
      <c r="L564" s="213"/>
      <c r="M564" s="213"/>
      <c r="N564" s="213"/>
      <c r="O564" s="214"/>
    </row>
    <row r="565" spans="2:15" s="216" customFormat="1" ht="24" customHeight="1">
      <c r="C565" s="267"/>
      <c r="D565" s="280"/>
      <c r="E565" s="214"/>
      <c r="F565" s="214"/>
      <c r="G565" s="214"/>
      <c r="H565" s="212"/>
      <c r="I565" s="213"/>
      <c r="J565" s="213"/>
      <c r="K565" s="213"/>
      <c r="L565" s="213"/>
      <c r="M565" s="213"/>
      <c r="N565" s="213"/>
      <c r="O565" s="214"/>
    </row>
    <row r="566" spans="2:15" ht="24" customHeight="1">
      <c r="B566" s="207" t="s">
        <v>532</v>
      </c>
      <c r="D566" s="255"/>
      <c r="E566" s="137"/>
      <c r="F566" s="323"/>
      <c r="G566" s="137"/>
      <c r="H566" s="152"/>
      <c r="I566" s="140"/>
      <c r="J566" s="152"/>
      <c r="K566" s="140"/>
      <c r="L566" s="152"/>
      <c r="M566" s="140"/>
      <c r="N566" s="140"/>
      <c r="O566" s="306"/>
    </row>
    <row r="567" spans="2:15" ht="24" customHeight="1">
      <c r="D567" s="279"/>
      <c r="E567" s="270"/>
      <c r="F567" s="137"/>
      <c r="G567" s="137"/>
      <c r="H567" s="152"/>
      <c r="I567" s="140"/>
      <c r="J567" s="140"/>
      <c r="K567" s="140"/>
      <c r="L567" s="140"/>
      <c r="M567" s="140"/>
      <c r="N567" s="140"/>
      <c r="O567" s="214"/>
    </row>
    <row r="568" spans="2:15" ht="24" customHeight="1">
      <c r="D568" s="279"/>
      <c r="E568" s="137"/>
      <c r="F568" s="137"/>
      <c r="G568" s="137"/>
      <c r="H568" s="152"/>
      <c r="I568" s="140"/>
      <c r="J568" s="140"/>
      <c r="K568" s="140"/>
      <c r="L568" s="140"/>
      <c r="M568" s="140"/>
      <c r="N568" s="140"/>
      <c r="O568" s="214"/>
    </row>
    <row r="569" spans="2:15" s="216" customFormat="1" ht="24" customHeight="1">
      <c r="C569" s="267"/>
      <c r="D569" s="280"/>
      <c r="E569" s="214"/>
      <c r="F569" s="214"/>
      <c r="G569" s="214"/>
      <c r="H569" s="212"/>
      <c r="I569" s="213"/>
      <c r="J569" s="213"/>
      <c r="K569" s="213"/>
      <c r="L569" s="213"/>
      <c r="M569" s="213"/>
      <c r="N569" s="213"/>
      <c r="O569" s="214"/>
    </row>
    <row r="570" spans="2:15" ht="24" customHeight="1">
      <c r="D570" s="279"/>
      <c r="E570" s="137"/>
      <c r="F570" s="137"/>
      <c r="G570" s="137"/>
      <c r="H570" s="152"/>
      <c r="I570" s="140"/>
      <c r="J570" s="140"/>
      <c r="K570" s="140"/>
      <c r="L570" s="140"/>
      <c r="M570" s="140"/>
      <c r="N570" s="140"/>
      <c r="O570" s="214"/>
    </row>
    <row r="571" spans="2:15" ht="24" customHeight="1">
      <c r="D571" s="279"/>
      <c r="E571" s="270"/>
      <c r="F571" s="137"/>
      <c r="G571" s="137"/>
      <c r="H571" s="152"/>
      <c r="I571" s="140"/>
      <c r="J571" s="140"/>
      <c r="K571" s="140"/>
      <c r="L571" s="140"/>
      <c r="M571" s="140"/>
      <c r="N571" s="140"/>
      <c r="O571" s="214"/>
    </row>
    <row r="572" spans="2:15" ht="24" customHeight="1">
      <c r="D572" s="279"/>
      <c r="E572" s="271"/>
      <c r="F572" s="137"/>
      <c r="G572" s="137"/>
      <c r="H572" s="152"/>
      <c r="I572" s="140"/>
      <c r="J572" s="140"/>
      <c r="K572" s="140"/>
      <c r="L572" s="140"/>
      <c r="M572" s="140"/>
      <c r="N572" s="140"/>
      <c r="O572" s="214"/>
    </row>
    <row r="573" spans="2:15" s="245" customFormat="1" ht="24" customHeight="1">
      <c r="C573" s="267"/>
      <c r="D573" s="280"/>
      <c r="E573" s="214"/>
      <c r="F573" s="214"/>
      <c r="G573" s="214"/>
      <c r="H573" s="212"/>
      <c r="I573" s="213"/>
      <c r="J573" s="213"/>
      <c r="K573" s="213"/>
      <c r="L573" s="213"/>
      <c r="M573" s="213"/>
      <c r="N573" s="213"/>
      <c r="O573" s="214"/>
    </row>
    <row r="574" spans="2:15" s="245" customFormat="1" ht="24" customHeight="1">
      <c r="C574" s="266"/>
      <c r="D574" s="279"/>
      <c r="E574" s="214"/>
      <c r="F574" s="137"/>
      <c r="G574" s="137"/>
      <c r="H574" s="152"/>
      <c r="I574" s="140"/>
      <c r="J574" s="213"/>
      <c r="K574" s="140"/>
      <c r="L574" s="213"/>
      <c r="M574" s="244"/>
      <c r="N574" s="244"/>
      <c r="O574" s="214"/>
    </row>
    <row r="575" spans="2:15" s="245" customFormat="1" ht="24" customHeight="1">
      <c r="C575" s="266"/>
      <c r="D575" s="279"/>
      <c r="E575" s="137"/>
      <c r="F575" s="137"/>
      <c r="G575" s="137"/>
      <c r="H575" s="152"/>
      <c r="I575" s="140"/>
      <c r="J575" s="140"/>
      <c r="K575" s="140"/>
      <c r="L575" s="140"/>
      <c r="M575" s="140"/>
      <c r="N575" s="140"/>
      <c r="O575" s="214"/>
    </row>
    <row r="576" spans="2:15" s="245" customFormat="1" ht="24" customHeight="1">
      <c r="C576" s="266"/>
      <c r="D576" s="279"/>
      <c r="E576" s="270"/>
      <c r="F576" s="137"/>
      <c r="G576" s="137"/>
      <c r="H576" s="152"/>
      <c r="I576" s="140"/>
      <c r="J576" s="140"/>
      <c r="K576" s="140"/>
      <c r="L576" s="140"/>
      <c r="M576" s="140"/>
      <c r="N576" s="140"/>
      <c r="O576" s="214"/>
    </row>
    <row r="577" spans="3:15" s="245" customFormat="1" ht="24" customHeight="1">
      <c r="C577" s="266"/>
      <c r="D577" s="279"/>
      <c r="E577" s="270"/>
      <c r="F577" s="137"/>
      <c r="G577" s="137"/>
      <c r="H577" s="152"/>
      <c r="I577" s="140"/>
      <c r="J577" s="140"/>
      <c r="K577" s="140"/>
      <c r="L577" s="140"/>
      <c r="M577" s="140"/>
      <c r="N577" s="140"/>
      <c r="O577" s="214"/>
    </row>
    <row r="578" spans="3:15" s="245" customFormat="1" ht="24" customHeight="1">
      <c r="C578" s="266"/>
      <c r="D578" s="280"/>
      <c r="E578" s="272"/>
      <c r="F578" s="214"/>
      <c r="G578" s="214"/>
      <c r="H578" s="212"/>
      <c r="I578" s="213"/>
      <c r="J578" s="213"/>
      <c r="K578" s="213"/>
      <c r="L578" s="213"/>
      <c r="M578" s="213"/>
      <c r="N578" s="213"/>
      <c r="O578" s="214"/>
    </row>
    <row r="579" spans="3:15" ht="24" customHeight="1">
      <c r="D579" s="279"/>
      <c r="E579" s="137"/>
      <c r="F579" s="137"/>
      <c r="G579" s="137"/>
      <c r="H579" s="152"/>
      <c r="I579" s="140"/>
      <c r="J579" s="140"/>
      <c r="K579" s="140"/>
      <c r="L579" s="140"/>
      <c r="M579" s="140"/>
      <c r="N579" s="140"/>
      <c r="O579" s="214"/>
    </row>
    <row r="580" spans="3:15" ht="24" customHeight="1">
      <c r="D580" s="279"/>
      <c r="E580" s="137"/>
      <c r="F580" s="137"/>
      <c r="G580" s="137"/>
      <c r="H580" s="152"/>
      <c r="I580" s="140"/>
      <c r="J580" s="140"/>
      <c r="K580" s="140"/>
      <c r="L580" s="140"/>
      <c r="M580" s="140"/>
      <c r="N580" s="140"/>
      <c r="O580" s="214"/>
    </row>
    <row r="581" spans="3:15" ht="24" customHeight="1">
      <c r="D581" s="279"/>
      <c r="E581" s="137"/>
      <c r="F581" s="137"/>
      <c r="G581" s="137"/>
      <c r="H581" s="152"/>
      <c r="I581" s="140"/>
      <c r="J581" s="152"/>
      <c r="K581" s="140"/>
      <c r="L581" s="152"/>
      <c r="M581" s="140"/>
      <c r="N581" s="140"/>
      <c r="O581" s="214"/>
    </row>
    <row r="582" spans="3:15" ht="24" customHeight="1">
      <c r="D582" s="279"/>
      <c r="E582" s="137"/>
      <c r="F582" s="324"/>
      <c r="G582" s="137"/>
      <c r="H582" s="152"/>
      <c r="I582" s="140"/>
      <c r="J582" s="140"/>
      <c r="K582" s="140"/>
      <c r="L582" s="140"/>
      <c r="M582" s="140"/>
      <c r="N582" s="140"/>
      <c r="O582" s="214"/>
    </row>
    <row r="583" spans="3:15" ht="24" customHeight="1">
      <c r="D583" s="279"/>
      <c r="E583" s="137"/>
      <c r="F583" s="137"/>
      <c r="G583" s="137"/>
      <c r="H583" s="152"/>
      <c r="I583" s="140"/>
      <c r="J583" s="140"/>
      <c r="K583" s="140"/>
      <c r="L583" s="140"/>
      <c r="M583" s="140"/>
      <c r="N583" s="140"/>
      <c r="O583" s="214"/>
    </row>
    <row r="584" spans="3:15" ht="24" customHeight="1">
      <c r="D584" s="279"/>
      <c r="E584" s="137"/>
      <c r="F584" s="137"/>
      <c r="G584" s="137"/>
      <c r="H584" s="152"/>
      <c r="I584" s="140"/>
      <c r="J584" s="140"/>
      <c r="K584" s="140"/>
      <c r="L584" s="140"/>
      <c r="M584" s="140"/>
      <c r="N584" s="140"/>
      <c r="O584" s="214"/>
    </row>
    <row r="585" spans="3:15" ht="24" customHeight="1">
      <c r="D585" s="279"/>
      <c r="E585" s="271"/>
      <c r="F585" s="137"/>
      <c r="G585" s="137"/>
      <c r="H585" s="152"/>
      <c r="I585" s="140"/>
      <c r="J585" s="140"/>
      <c r="K585" s="140"/>
      <c r="L585" s="140"/>
      <c r="M585" s="140"/>
      <c r="N585" s="140"/>
      <c r="O585" s="214"/>
    </row>
    <row r="586" spans="3:15" ht="24" customHeight="1">
      <c r="D586" s="279"/>
      <c r="E586" s="271"/>
      <c r="F586" s="137"/>
      <c r="G586" s="137"/>
      <c r="H586" s="152"/>
      <c r="I586" s="140"/>
      <c r="J586" s="140"/>
      <c r="K586" s="140"/>
      <c r="L586" s="140"/>
      <c r="M586" s="140"/>
      <c r="N586" s="140"/>
      <c r="O586" s="214"/>
    </row>
    <row r="587" spans="3:15" ht="24" customHeight="1">
      <c r="D587" s="280"/>
      <c r="E587" s="214"/>
      <c r="F587" s="214"/>
      <c r="G587" s="214"/>
      <c r="H587" s="212"/>
      <c r="I587" s="213"/>
      <c r="J587" s="213"/>
      <c r="K587" s="213"/>
      <c r="L587" s="213"/>
      <c r="M587" s="213"/>
      <c r="N587" s="213"/>
      <c r="O587" s="214"/>
    </row>
    <row r="588" spans="3:15" ht="24" customHeight="1">
      <c r="D588" s="279"/>
      <c r="E588" s="137"/>
      <c r="F588" s="137"/>
      <c r="G588" s="137"/>
      <c r="H588" s="152"/>
      <c r="I588" s="140"/>
      <c r="J588" s="140"/>
      <c r="K588" s="140"/>
      <c r="L588" s="140"/>
      <c r="M588" s="140"/>
      <c r="N588" s="140"/>
      <c r="O588" s="214"/>
    </row>
    <row r="589" spans="3:15" ht="24" customHeight="1">
      <c r="D589" s="279"/>
      <c r="E589" s="137"/>
      <c r="F589" s="137"/>
      <c r="G589" s="137"/>
      <c r="H589" s="152"/>
      <c r="I589" s="140"/>
      <c r="J589" s="152"/>
      <c r="K589" s="140"/>
      <c r="L589" s="152"/>
      <c r="M589" s="140"/>
      <c r="N589" s="140"/>
      <c r="O589" s="214"/>
    </row>
    <row r="590" spans="3:15" ht="24" customHeight="1">
      <c r="D590" s="279"/>
      <c r="E590" s="137"/>
      <c r="F590" s="137"/>
      <c r="G590" s="137"/>
      <c r="H590" s="152"/>
      <c r="I590" s="140"/>
      <c r="J590" s="140"/>
      <c r="K590" s="140"/>
      <c r="L590" s="140"/>
      <c r="M590" s="140"/>
      <c r="N590" s="140"/>
      <c r="O590" s="214"/>
    </row>
    <row r="591" spans="3:15" ht="24" customHeight="1">
      <c r="D591" s="279"/>
      <c r="E591" s="273"/>
      <c r="F591" s="137"/>
      <c r="G591" s="137"/>
      <c r="H591" s="152"/>
      <c r="I591" s="140"/>
      <c r="J591" s="140"/>
      <c r="K591" s="140"/>
      <c r="L591" s="140"/>
      <c r="M591" s="140"/>
      <c r="N591" s="140"/>
      <c r="O591" s="214"/>
    </row>
    <row r="592" spans="3:15" ht="24" customHeight="1">
      <c r="D592" s="279"/>
      <c r="E592" s="271"/>
      <c r="F592" s="137"/>
      <c r="G592" s="137"/>
      <c r="H592" s="152"/>
      <c r="I592" s="140"/>
      <c r="J592" s="140"/>
      <c r="K592" s="140"/>
      <c r="L592" s="140"/>
      <c r="M592" s="140"/>
      <c r="N592" s="140"/>
      <c r="O592" s="214"/>
    </row>
    <row r="593" spans="4:15" ht="24" customHeight="1">
      <c r="D593" s="279"/>
      <c r="E593" s="271"/>
      <c r="F593" s="137"/>
      <c r="G593" s="137"/>
      <c r="H593" s="152"/>
      <c r="I593" s="140"/>
      <c r="J593" s="140"/>
      <c r="K593" s="140"/>
      <c r="L593" s="140"/>
      <c r="M593" s="140"/>
      <c r="N593" s="140"/>
      <c r="O593" s="214"/>
    </row>
    <row r="594" spans="4:15" ht="24" customHeight="1">
      <c r="D594" s="280"/>
      <c r="E594" s="214"/>
      <c r="F594" s="214"/>
      <c r="G594" s="214"/>
      <c r="H594" s="212"/>
      <c r="I594" s="213"/>
      <c r="J594" s="213"/>
      <c r="K594" s="213"/>
      <c r="L594" s="213"/>
      <c r="M594" s="213"/>
      <c r="N594" s="213"/>
      <c r="O594" s="214"/>
    </row>
    <row r="595" spans="4:15" ht="24" customHeight="1">
      <c r="D595" s="279"/>
      <c r="E595" s="137"/>
      <c r="F595" s="137"/>
      <c r="G595" s="137"/>
      <c r="H595" s="152"/>
      <c r="I595" s="140"/>
      <c r="J595" s="140"/>
      <c r="K595" s="140"/>
      <c r="L595" s="140"/>
      <c r="M595" s="140"/>
      <c r="N595" s="140"/>
      <c r="O595" s="214"/>
    </row>
    <row r="596" spans="4:15" ht="24" customHeight="1">
      <c r="D596" s="279"/>
      <c r="E596" s="271"/>
      <c r="F596" s="137"/>
      <c r="G596" s="137"/>
      <c r="H596" s="152"/>
      <c r="I596" s="140"/>
      <c r="J596" s="140"/>
      <c r="K596" s="140"/>
      <c r="L596" s="140"/>
      <c r="M596" s="140"/>
      <c r="N596" s="140"/>
      <c r="O596" s="214"/>
    </row>
    <row r="597" spans="4:15" ht="24" customHeight="1">
      <c r="D597" s="279"/>
      <c r="E597" s="271"/>
      <c r="F597" s="137"/>
      <c r="G597" s="137"/>
      <c r="H597" s="152"/>
      <c r="I597" s="140"/>
      <c r="J597" s="140"/>
      <c r="K597" s="140"/>
      <c r="L597" s="140"/>
      <c r="M597" s="140"/>
      <c r="N597" s="140"/>
      <c r="O597" s="214"/>
    </row>
    <row r="598" spans="4:15" ht="24" customHeight="1">
      <c r="D598" s="280"/>
      <c r="E598" s="272"/>
      <c r="F598" s="214"/>
      <c r="G598" s="214"/>
      <c r="H598" s="212"/>
      <c r="I598" s="213"/>
      <c r="J598" s="213"/>
      <c r="K598" s="213"/>
      <c r="L598" s="213"/>
      <c r="M598" s="213"/>
      <c r="N598" s="213"/>
      <c r="O598" s="214"/>
    </row>
    <row r="599" spans="4:15" ht="24" customHeight="1">
      <c r="D599" s="279"/>
      <c r="E599" s="137"/>
      <c r="F599" s="137"/>
      <c r="G599" s="137"/>
      <c r="H599" s="152"/>
      <c r="I599" s="140"/>
      <c r="J599" s="140"/>
      <c r="K599" s="140"/>
      <c r="L599" s="140"/>
      <c r="M599" s="140"/>
      <c r="N599" s="140"/>
      <c r="O599" s="214"/>
    </row>
    <row r="600" spans="4:15" ht="24" customHeight="1">
      <c r="D600" s="279"/>
      <c r="E600" s="137"/>
      <c r="F600" s="137"/>
      <c r="G600" s="137"/>
      <c r="H600" s="152"/>
      <c r="I600" s="140"/>
      <c r="J600" s="140"/>
      <c r="K600" s="140"/>
      <c r="L600" s="140"/>
      <c r="M600" s="140"/>
      <c r="N600" s="140"/>
      <c r="O600" s="214"/>
    </row>
    <row r="601" spans="4:15" ht="24" customHeight="1">
      <c r="D601" s="279"/>
      <c r="E601" s="271"/>
      <c r="F601" s="137"/>
      <c r="G601" s="137"/>
      <c r="H601" s="152"/>
      <c r="I601" s="140"/>
      <c r="J601" s="140"/>
      <c r="K601" s="140"/>
      <c r="L601" s="140"/>
      <c r="M601" s="140"/>
      <c r="N601" s="140"/>
      <c r="O601" s="214"/>
    </row>
    <row r="602" spans="4:15" ht="24" customHeight="1">
      <c r="D602" s="279"/>
      <c r="E602" s="271"/>
      <c r="F602" s="137"/>
      <c r="G602" s="137"/>
      <c r="H602" s="152"/>
      <c r="I602" s="140"/>
      <c r="J602" s="140"/>
      <c r="K602" s="140"/>
      <c r="L602" s="140"/>
      <c r="M602" s="140"/>
      <c r="N602" s="140"/>
      <c r="O602" s="214"/>
    </row>
    <row r="603" spans="4:15" ht="24" customHeight="1">
      <c r="D603" s="280"/>
      <c r="E603" s="214"/>
      <c r="F603" s="214"/>
      <c r="G603" s="214"/>
      <c r="H603" s="212"/>
      <c r="I603" s="213"/>
      <c r="J603" s="213"/>
      <c r="K603" s="213"/>
      <c r="L603" s="213"/>
      <c r="M603" s="213"/>
      <c r="N603" s="213"/>
      <c r="O603" s="214"/>
    </row>
    <row r="604" spans="4:15" ht="24" customHeight="1">
      <c r="D604" s="279"/>
      <c r="E604" s="137"/>
      <c r="F604" s="137"/>
      <c r="G604" s="137"/>
      <c r="H604" s="152"/>
      <c r="I604" s="140"/>
      <c r="J604" s="140"/>
      <c r="K604" s="140"/>
      <c r="L604" s="140"/>
      <c r="M604" s="140"/>
      <c r="N604" s="140"/>
      <c r="O604" s="214"/>
    </row>
    <row r="605" spans="4:15" ht="24" customHeight="1">
      <c r="D605" s="279"/>
      <c r="E605" s="137"/>
      <c r="F605" s="137"/>
      <c r="G605" s="137"/>
      <c r="H605" s="152"/>
      <c r="I605" s="140"/>
      <c r="J605" s="152"/>
      <c r="K605" s="140"/>
      <c r="L605" s="152"/>
      <c r="M605" s="140"/>
      <c r="N605" s="140"/>
      <c r="O605" s="214"/>
    </row>
    <row r="606" spans="4:15" ht="24" customHeight="1">
      <c r="D606" s="279"/>
      <c r="E606" s="137"/>
      <c r="F606" s="137"/>
      <c r="G606" s="137"/>
      <c r="H606" s="152"/>
      <c r="I606" s="140"/>
      <c r="J606" s="140"/>
      <c r="K606" s="140"/>
      <c r="L606" s="140"/>
      <c r="M606" s="140"/>
      <c r="N606" s="140"/>
      <c r="O606" s="214"/>
    </row>
    <row r="607" spans="4:15" ht="24" customHeight="1">
      <c r="D607" s="279"/>
      <c r="E607" s="137"/>
      <c r="F607" s="137"/>
      <c r="G607" s="137"/>
      <c r="H607" s="152"/>
      <c r="I607" s="140"/>
      <c r="J607" s="140"/>
      <c r="K607" s="140"/>
      <c r="L607" s="140"/>
      <c r="M607" s="140"/>
      <c r="N607" s="140"/>
      <c r="O607" s="214"/>
    </row>
    <row r="608" spans="4:15" ht="24" customHeight="1">
      <c r="D608" s="279"/>
      <c r="E608" s="271"/>
      <c r="F608" s="137"/>
      <c r="G608" s="137"/>
      <c r="H608" s="152"/>
      <c r="I608" s="140"/>
      <c r="J608" s="140"/>
      <c r="K608" s="140"/>
      <c r="L608" s="140"/>
      <c r="M608" s="140"/>
      <c r="N608" s="140"/>
      <c r="O608" s="214"/>
    </row>
    <row r="609" spans="4:15" ht="24" customHeight="1">
      <c r="D609" s="279"/>
      <c r="E609" s="271"/>
      <c r="F609" s="137"/>
      <c r="G609" s="137"/>
      <c r="H609" s="152"/>
      <c r="I609" s="140"/>
      <c r="J609" s="140"/>
      <c r="K609" s="140"/>
      <c r="L609" s="140"/>
      <c r="M609" s="140"/>
      <c r="N609" s="140"/>
      <c r="O609" s="214"/>
    </row>
    <row r="610" spans="4:15" ht="24" customHeight="1">
      <c r="D610" s="280"/>
      <c r="E610" s="214"/>
      <c r="F610" s="214"/>
      <c r="G610" s="214"/>
      <c r="H610" s="212"/>
      <c r="I610" s="213"/>
      <c r="J610" s="213"/>
      <c r="K610" s="213"/>
      <c r="L610" s="213"/>
      <c r="M610" s="213"/>
      <c r="N610" s="213"/>
      <c r="O610" s="214"/>
    </row>
    <row r="611" spans="4:15" ht="24" customHeight="1">
      <c r="D611" s="279"/>
      <c r="E611" s="137"/>
      <c r="F611" s="137"/>
      <c r="G611" s="137"/>
      <c r="H611" s="152"/>
      <c r="I611" s="140"/>
      <c r="J611" s="140"/>
      <c r="K611" s="140"/>
      <c r="L611" s="140"/>
      <c r="M611" s="140"/>
      <c r="N611" s="140"/>
      <c r="O611" s="214"/>
    </row>
    <row r="612" spans="4:15" ht="24" customHeight="1">
      <c r="D612" s="279"/>
      <c r="E612" s="137"/>
      <c r="F612" s="137"/>
      <c r="G612" s="137"/>
      <c r="H612" s="152"/>
      <c r="I612" s="140"/>
      <c r="J612" s="140"/>
      <c r="K612" s="140"/>
      <c r="L612" s="140"/>
      <c r="M612" s="140"/>
      <c r="N612" s="140"/>
      <c r="O612" s="214"/>
    </row>
    <row r="613" spans="4:15" ht="24" customHeight="1">
      <c r="D613" s="279"/>
      <c r="E613" s="137"/>
      <c r="F613" s="137"/>
      <c r="G613" s="137"/>
      <c r="H613" s="152"/>
      <c r="I613" s="140"/>
      <c r="J613" s="152"/>
      <c r="K613" s="140"/>
      <c r="L613" s="152"/>
      <c r="M613" s="140"/>
      <c r="N613" s="140"/>
      <c r="O613" s="214"/>
    </row>
    <row r="614" spans="4:15" ht="24" customHeight="1">
      <c r="D614" s="279"/>
      <c r="E614" s="137"/>
      <c r="F614" s="137"/>
      <c r="G614" s="137"/>
      <c r="H614" s="152"/>
      <c r="I614" s="140"/>
      <c r="J614" s="140"/>
      <c r="K614" s="140"/>
      <c r="L614" s="140"/>
      <c r="M614" s="140"/>
      <c r="N614" s="140"/>
      <c r="O614" s="214"/>
    </row>
    <row r="615" spans="4:15" ht="24" customHeight="1">
      <c r="D615" s="279"/>
      <c r="E615" s="137"/>
      <c r="F615" s="137"/>
      <c r="G615" s="137"/>
      <c r="H615" s="152"/>
      <c r="I615" s="140"/>
      <c r="J615" s="140"/>
      <c r="K615" s="140"/>
      <c r="L615" s="140"/>
      <c r="M615" s="140"/>
      <c r="N615" s="140"/>
      <c r="O615" s="214"/>
    </row>
    <row r="616" spans="4:15" ht="24" customHeight="1">
      <c r="D616" s="279"/>
      <c r="E616" s="137"/>
      <c r="F616" s="137"/>
      <c r="G616" s="137"/>
      <c r="H616" s="152"/>
      <c r="I616" s="140"/>
      <c r="J616" s="140"/>
      <c r="K616" s="140"/>
      <c r="L616" s="140"/>
      <c r="M616" s="140"/>
      <c r="N616" s="140"/>
      <c r="O616" s="214"/>
    </row>
    <row r="617" spans="4:15" ht="24" customHeight="1">
      <c r="D617" s="279"/>
      <c r="E617" s="271"/>
      <c r="F617" s="137"/>
      <c r="G617" s="137"/>
      <c r="H617" s="152"/>
      <c r="I617" s="140"/>
      <c r="J617" s="140"/>
      <c r="K617" s="140"/>
      <c r="L617" s="140"/>
      <c r="M617" s="140"/>
      <c r="N617" s="140"/>
      <c r="O617" s="214"/>
    </row>
    <row r="618" spans="4:15" ht="24" customHeight="1">
      <c r="D618" s="279"/>
      <c r="E618" s="271"/>
      <c r="F618" s="137"/>
      <c r="G618" s="137"/>
      <c r="H618" s="152"/>
      <c r="I618" s="140"/>
      <c r="J618" s="140"/>
      <c r="K618" s="140"/>
      <c r="L618" s="140"/>
      <c r="M618" s="140"/>
      <c r="N618" s="140"/>
      <c r="O618" s="214"/>
    </row>
    <row r="619" spans="4:15" ht="24" customHeight="1">
      <c r="D619" s="280"/>
      <c r="E619" s="214"/>
      <c r="F619" s="214"/>
      <c r="G619" s="214"/>
      <c r="H619" s="212"/>
      <c r="I619" s="213"/>
      <c r="J619" s="213"/>
      <c r="K619" s="213"/>
      <c r="L619" s="213"/>
      <c r="M619" s="213"/>
      <c r="N619" s="213"/>
      <c r="O619" s="214"/>
    </row>
    <row r="620" spans="4:15" ht="24" customHeight="1">
      <c r="D620" s="279"/>
      <c r="E620" s="137"/>
      <c r="F620" s="137"/>
      <c r="G620" s="137"/>
      <c r="H620" s="152"/>
      <c r="I620" s="140"/>
      <c r="J620" s="140"/>
      <c r="K620" s="140"/>
      <c r="L620" s="140"/>
      <c r="M620" s="140"/>
      <c r="N620" s="140"/>
      <c r="O620" s="214"/>
    </row>
    <row r="621" spans="4:15" ht="24" customHeight="1">
      <c r="D621" s="279"/>
      <c r="E621" s="137"/>
      <c r="F621" s="137"/>
      <c r="G621" s="137"/>
      <c r="H621" s="152"/>
      <c r="I621" s="140"/>
      <c r="J621" s="140"/>
      <c r="K621" s="140"/>
      <c r="L621" s="140"/>
      <c r="M621" s="140"/>
      <c r="N621" s="140"/>
      <c r="O621" s="214"/>
    </row>
    <row r="622" spans="4:15" ht="24" customHeight="1">
      <c r="D622" s="279"/>
      <c r="E622" s="137"/>
      <c r="F622" s="137"/>
      <c r="G622" s="137"/>
      <c r="H622" s="152"/>
      <c r="I622" s="140"/>
      <c r="J622" s="152"/>
      <c r="K622" s="140"/>
      <c r="L622" s="152"/>
      <c r="M622" s="140"/>
      <c r="N622" s="140"/>
      <c r="O622" s="214"/>
    </row>
    <row r="623" spans="4:15" ht="24" customHeight="1">
      <c r="D623" s="279"/>
      <c r="E623" s="137"/>
      <c r="F623" s="137"/>
      <c r="G623" s="137"/>
      <c r="H623" s="152"/>
      <c r="I623" s="140"/>
      <c r="J623" s="140"/>
      <c r="K623" s="140"/>
      <c r="L623" s="140"/>
      <c r="M623" s="140"/>
      <c r="N623" s="140"/>
      <c r="O623" s="214"/>
    </row>
    <row r="624" spans="4:15" ht="24" customHeight="1">
      <c r="D624" s="279"/>
      <c r="E624" s="137"/>
      <c r="F624" s="137"/>
      <c r="G624" s="137"/>
      <c r="H624" s="152"/>
      <c r="I624" s="140"/>
      <c r="J624" s="140"/>
      <c r="K624" s="140"/>
      <c r="L624" s="140"/>
      <c r="M624" s="140"/>
      <c r="N624" s="140"/>
      <c r="O624" s="214"/>
    </row>
    <row r="625" spans="4:15" ht="24" customHeight="1">
      <c r="D625" s="279"/>
      <c r="E625" s="137"/>
      <c r="F625" s="137"/>
      <c r="G625" s="137"/>
      <c r="H625" s="152"/>
      <c r="I625" s="140"/>
      <c r="J625" s="140"/>
      <c r="K625" s="140"/>
      <c r="L625" s="140"/>
      <c r="M625" s="140"/>
      <c r="N625" s="140"/>
      <c r="O625" s="214"/>
    </row>
    <row r="626" spans="4:15" ht="24" customHeight="1">
      <c r="D626" s="279"/>
      <c r="E626" s="271"/>
      <c r="F626" s="137"/>
      <c r="G626" s="137"/>
      <c r="H626" s="152"/>
      <c r="I626" s="140"/>
      <c r="J626" s="140"/>
      <c r="K626" s="140"/>
      <c r="L626" s="140"/>
      <c r="M626" s="140"/>
      <c r="N626" s="140"/>
      <c r="O626" s="214"/>
    </row>
    <row r="627" spans="4:15" ht="24" customHeight="1">
      <c r="D627" s="279"/>
      <c r="E627" s="271"/>
      <c r="F627" s="137"/>
      <c r="G627" s="137"/>
      <c r="H627" s="152"/>
      <c r="I627" s="140"/>
      <c r="J627" s="140"/>
      <c r="K627" s="140"/>
      <c r="L627" s="140"/>
      <c r="M627" s="140"/>
      <c r="N627" s="140"/>
      <c r="O627" s="214"/>
    </row>
    <row r="628" spans="4:15" ht="24" customHeight="1">
      <c r="D628" s="280"/>
      <c r="E628" s="214"/>
      <c r="F628" s="214"/>
      <c r="G628" s="214"/>
      <c r="H628" s="212"/>
      <c r="I628" s="213"/>
      <c r="J628" s="213"/>
      <c r="K628" s="213"/>
      <c r="L628" s="213"/>
      <c r="M628" s="213"/>
      <c r="N628" s="213"/>
      <c r="O628" s="214"/>
    </row>
    <row r="629" spans="4:15" ht="24" customHeight="1">
      <c r="D629" s="279"/>
      <c r="E629" s="137"/>
      <c r="F629" s="137"/>
      <c r="G629" s="137"/>
      <c r="H629" s="152"/>
      <c r="I629" s="140"/>
      <c r="J629" s="140"/>
      <c r="K629" s="140"/>
      <c r="L629" s="140"/>
      <c r="M629" s="140"/>
      <c r="N629" s="140"/>
      <c r="O629" s="214"/>
    </row>
    <row r="630" spans="4:15" ht="24" customHeight="1">
      <c r="D630" s="279"/>
      <c r="E630" s="137"/>
      <c r="F630" s="137"/>
      <c r="G630" s="137"/>
      <c r="H630" s="152"/>
      <c r="I630" s="140"/>
      <c r="J630" s="152"/>
      <c r="K630" s="140"/>
      <c r="L630" s="152"/>
      <c r="M630" s="140"/>
      <c r="N630" s="140"/>
      <c r="O630" s="214"/>
    </row>
    <row r="631" spans="4:15" ht="24" customHeight="1">
      <c r="D631" s="279"/>
      <c r="E631" s="137"/>
      <c r="F631" s="137"/>
      <c r="G631" s="137"/>
      <c r="H631" s="152"/>
      <c r="I631" s="140"/>
      <c r="J631" s="140"/>
      <c r="K631" s="140"/>
      <c r="L631" s="140"/>
      <c r="M631" s="140"/>
      <c r="N631" s="140"/>
      <c r="O631" s="214"/>
    </row>
    <row r="632" spans="4:15" ht="24" customHeight="1">
      <c r="D632" s="279"/>
      <c r="E632" s="137"/>
      <c r="F632" s="137"/>
      <c r="G632" s="137"/>
      <c r="H632" s="152"/>
      <c r="I632" s="140"/>
      <c r="J632" s="140"/>
      <c r="K632" s="140"/>
      <c r="L632" s="140"/>
      <c r="M632" s="140"/>
      <c r="N632" s="140"/>
      <c r="O632" s="214"/>
    </row>
    <row r="633" spans="4:15" ht="24" customHeight="1">
      <c r="D633" s="279"/>
      <c r="E633" s="271"/>
      <c r="F633" s="137"/>
      <c r="G633" s="137"/>
      <c r="H633" s="152"/>
      <c r="I633" s="140"/>
      <c r="J633" s="140"/>
      <c r="K633" s="140"/>
      <c r="L633" s="140"/>
      <c r="M633" s="140"/>
      <c r="N633" s="140"/>
      <c r="O633" s="214"/>
    </row>
    <row r="634" spans="4:15" ht="24" customHeight="1">
      <c r="D634" s="279"/>
      <c r="E634" s="271"/>
      <c r="F634" s="137"/>
      <c r="G634" s="137"/>
      <c r="H634" s="152"/>
      <c r="I634" s="140"/>
      <c r="J634" s="140"/>
      <c r="K634" s="140"/>
      <c r="L634" s="140"/>
      <c r="M634" s="140"/>
      <c r="N634" s="140"/>
      <c r="O634" s="214"/>
    </row>
    <row r="635" spans="4:15" ht="24" customHeight="1">
      <c r="D635" s="280"/>
      <c r="E635" s="214"/>
      <c r="F635" s="214"/>
      <c r="G635" s="214"/>
      <c r="H635" s="212"/>
      <c r="I635" s="213"/>
      <c r="J635" s="213"/>
      <c r="K635" s="213"/>
      <c r="L635" s="213"/>
      <c r="M635" s="213"/>
      <c r="N635" s="213"/>
      <c r="O635" s="214"/>
    </row>
    <row r="636" spans="4:15" ht="24" customHeight="1">
      <c r="D636" s="279"/>
      <c r="E636" s="137"/>
      <c r="F636" s="137"/>
      <c r="G636" s="137"/>
      <c r="H636" s="152"/>
      <c r="I636" s="140"/>
      <c r="J636" s="140"/>
      <c r="K636" s="140"/>
      <c r="L636" s="140"/>
      <c r="M636" s="140"/>
      <c r="N636" s="140"/>
      <c r="O636" s="214"/>
    </row>
    <row r="637" spans="4:15" ht="24" customHeight="1">
      <c r="D637" s="279"/>
      <c r="E637" s="137"/>
      <c r="F637" s="137"/>
      <c r="G637" s="137"/>
      <c r="H637" s="152"/>
      <c r="I637" s="140"/>
      <c r="J637" s="140"/>
      <c r="K637" s="140"/>
      <c r="L637" s="140"/>
      <c r="M637" s="140"/>
      <c r="N637" s="140"/>
      <c r="O637" s="214"/>
    </row>
    <row r="638" spans="4:15" ht="24" customHeight="1">
      <c r="D638" s="279"/>
      <c r="E638" s="137"/>
      <c r="F638" s="137"/>
      <c r="G638" s="137"/>
      <c r="H638" s="152"/>
      <c r="I638" s="140"/>
      <c r="J638" s="152"/>
      <c r="K638" s="140"/>
      <c r="L638" s="152"/>
      <c r="M638" s="140"/>
      <c r="N638" s="140"/>
      <c r="O638" s="214"/>
    </row>
    <row r="639" spans="4:15" ht="24" customHeight="1">
      <c r="D639" s="279"/>
      <c r="E639" s="137"/>
      <c r="F639" s="137"/>
      <c r="G639" s="137"/>
      <c r="H639" s="152"/>
      <c r="I639" s="140"/>
      <c r="J639" s="140"/>
      <c r="K639" s="140"/>
      <c r="L639" s="140"/>
      <c r="M639" s="140"/>
      <c r="N639" s="140"/>
      <c r="O639" s="214"/>
    </row>
    <row r="640" spans="4:15" ht="24" customHeight="1">
      <c r="D640" s="279"/>
      <c r="E640" s="137"/>
      <c r="F640" s="137"/>
      <c r="G640" s="137"/>
      <c r="H640" s="152"/>
      <c r="I640" s="140"/>
      <c r="J640" s="140"/>
      <c r="K640" s="140"/>
      <c r="L640" s="140"/>
      <c r="M640" s="140"/>
      <c r="N640" s="140"/>
      <c r="O640" s="214"/>
    </row>
    <row r="641" spans="4:15" ht="24" customHeight="1">
      <c r="D641" s="279"/>
      <c r="E641" s="137"/>
      <c r="F641" s="137"/>
      <c r="G641" s="137"/>
      <c r="H641" s="152"/>
      <c r="I641" s="140"/>
      <c r="J641" s="140"/>
      <c r="K641" s="140"/>
      <c r="L641" s="140"/>
      <c r="M641" s="140"/>
      <c r="N641" s="140"/>
      <c r="O641" s="214"/>
    </row>
    <row r="642" spans="4:15" ht="24" customHeight="1">
      <c r="D642" s="279"/>
      <c r="E642" s="271"/>
      <c r="F642" s="137"/>
      <c r="G642" s="137"/>
      <c r="H642" s="152"/>
      <c r="I642" s="140"/>
      <c r="J642" s="140"/>
      <c r="K642" s="140"/>
      <c r="L642" s="140"/>
      <c r="M642" s="140"/>
      <c r="N642" s="140"/>
      <c r="O642" s="214"/>
    </row>
    <row r="643" spans="4:15" ht="24" customHeight="1">
      <c r="D643" s="279"/>
      <c r="E643" s="271"/>
      <c r="F643" s="137"/>
      <c r="G643" s="137"/>
      <c r="H643" s="152"/>
      <c r="I643" s="140"/>
      <c r="J643" s="140"/>
      <c r="K643" s="140"/>
      <c r="L643" s="140"/>
      <c r="M643" s="140"/>
      <c r="N643" s="140"/>
      <c r="O643" s="214"/>
    </row>
    <row r="644" spans="4:15" ht="24" customHeight="1">
      <c r="D644" s="280"/>
      <c r="E644" s="214"/>
      <c r="F644" s="214"/>
      <c r="G644" s="214"/>
      <c r="H644" s="212"/>
      <c r="I644" s="213"/>
      <c r="J644" s="213"/>
      <c r="K644" s="213"/>
      <c r="L644" s="213"/>
      <c r="M644" s="213"/>
      <c r="N644" s="213"/>
      <c r="O644" s="214"/>
    </row>
    <row r="645" spans="4:15" ht="24" customHeight="1">
      <c r="D645" s="279"/>
      <c r="E645" s="137"/>
      <c r="F645" s="137"/>
      <c r="G645" s="137"/>
      <c r="H645" s="152"/>
      <c r="I645" s="140"/>
      <c r="J645" s="140"/>
      <c r="K645" s="140"/>
      <c r="L645" s="140"/>
      <c r="M645" s="140"/>
      <c r="N645" s="140"/>
      <c r="O645" s="214"/>
    </row>
    <row r="646" spans="4:15" ht="24" customHeight="1">
      <c r="D646" s="279"/>
      <c r="E646" s="137"/>
      <c r="F646" s="137"/>
      <c r="G646" s="137"/>
      <c r="H646" s="152"/>
      <c r="I646" s="140"/>
      <c r="J646" s="152"/>
      <c r="K646" s="140"/>
      <c r="L646" s="152"/>
      <c r="M646" s="140"/>
      <c r="N646" s="140"/>
      <c r="O646" s="214"/>
    </row>
    <row r="647" spans="4:15" ht="24" customHeight="1">
      <c r="D647" s="279"/>
      <c r="E647" s="137"/>
      <c r="F647" s="137"/>
      <c r="G647" s="137"/>
      <c r="H647" s="152"/>
      <c r="I647" s="140"/>
      <c r="J647" s="140"/>
      <c r="K647" s="140"/>
      <c r="L647" s="140"/>
      <c r="M647" s="140"/>
      <c r="N647" s="140"/>
      <c r="O647" s="214"/>
    </row>
    <row r="648" spans="4:15" ht="24" customHeight="1">
      <c r="D648" s="279"/>
      <c r="E648" s="137"/>
      <c r="F648" s="137"/>
      <c r="G648" s="137"/>
      <c r="H648" s="152"/>
      <c r="I648" s="140"/>
      <c r="J648" s="140"/>
      <c r="K648" s="140"/>
      <c r="L648" s="140"/>
      <c r="M648" s="140"/>
      <c r="N648" s="140"/>
      <c r="O648" s="214"/>
    </row>
    <row r="649" spans="4:15" ht="24" customHeight="1">
      <c r="D649" s="279"/>
      <c r="E649" s="137"/>
      <c r="F649" s="137"/>
      <c r="G649" s="137"/>
      <c r="H649" s="152"/>
      <c r="I649" s="140"/>
      <c r="J649" s="140"/>
      <c r="K649" s="140"/>
      <c r="L649" s="140"/>
      <c r="M649" s="140"/>
      <c r="N649" s="140"/>
      <c r="O649" s="214"/>
    </row>
    <row r="650" spans="4:15" ht="24" customHeight="1">
      <c r="D650" s="279"/>
      <c r="E650" s="271"/>
      <c r="F650" s="137"/>
      <c r="G650" s="137"/>
      <c r="H650" s="152"/>
      <c r="I650" s="140"/>
      <c r="J650" s="140"/>
      <c r="K650" s="140"/>
      <c r="L650" s="140"/>
      <c r="M650" s="140"/>
      <c r="N650" s="140"/>
      <c r="O650" s="214"/>
    </row>
    <row r="651" spans="4:15" ht="24" customHeight="1">
      <c r="D651" s="279"/>
      <c r="E651" s="271"/>
      <c r="F651" s="137"/>
      <c r="G651" s="137"/>
      <c r="H651" s="152"/>
      <c r="I651" s="140"/>
      <c r="J651" s="140"/>
      <c r="K651" s="140"/>
      <c r="L651" s="140"/>
      <c r="M651" s="140"/>
      <c r="N651" s="140"/>
      <c r="O651" s="214"/>
    </row>
    <row r="652" spans="4:15" ht="24" customHeight="1">
      <c r="D652" s="280"/>
      <c r="E652" s="214"/>
      <c r="F652" s="214"/>
      <c r="G652" s="214"/>
      <c r="H652" s="212"/>
      <c r="I652" s="213"/>
      <c r="J652" s="213"/>
      <c r="K652" s="213"/>
      <c r="L652" s="213"/>
      <c r="M652" s="213"/>
      <c r="N652" s="213"/>
      <c r="O652" s="214"/>
    </row>
    <row r="653" spans="4:15" ht="24" customHeight="1">
      <c r="D653" s="279"/>
      <c r="E653" s="137"/>
      <c r="F653" s="137"/>
      <c r="G653" s="137"/>
      <c r="H653" s="152"/>
      <c r="I653" s="140"/>
      <c r="J653" s="140"/>
      <c r="K653" s="140"/>
      <c r="L653" s="140"/>
      <c r="M653" s="140"/>
      <c r="N653" s="140"/>
      <c r="O653" s="214"/>
    </row>
    <row r="654" spans="4:15" ht="24" customHeight="1">
      <c r="D654" s="279"/>
      <c r="E654" s="271"/>
      <c r="F654" s="137"/>
      <c r="G654" s="137"/>
      <c r="H654" s="152"/>
      <c r="I654" s="140"/>
      <c r="J654" s="140"/>
      <c r="K654" s="140"/>
      <c r="L654" s="140"/>
      <c r="M654" s="140"/>
      <c r="N654" s="140"/>
      <c r="O654" s="214"/>
    </row>
    <row r="655" spans="4:15" ht="24" customHeight="1">
      <c r="D655" s="279"/>
      <c r="E655" s="271"/>
      <c r="F655" s="137"/>
      <c r="G655" s="137"/>
      <c r="H655" s="152"/>
      <c r="I655" s="140"/>
      <c r="J655" s="140"/>
      <c r="K655" s="140"/>
      <c r="L655" s="140"/>
      <c r="M655" s="140"/>
      <c r="N655" s="140"/>
      <c r="O655" s="214"/>
    </row>
    <row r="656" spans="4:15" ht="24" customHeight="1">
      <c r="D656" s="280"/>
      <c r="E656" s="214"/>
      <c r="F656" s="214"/>
      <c r="G656" s="214"/>
      <c r="H656" s="212"/>
      <c r="I656" s="213"/>
      <c r="J656" s="213"/>
      <c r="K656" s="213"/>
      <c r="L656" s="213"/>
      <c r="M656" s="213"/>
      <c r="N656" s="213"/>
      <c r="O656" s="214"/>
    </row>
    <row r="657" spans="4:15" ht="24" customHeight="1">
      <c r="D657" s="279"/>
      <c r="E657" s="137"/>
      <c r="F657" s="137"/>
      <c r="G657" s="137"/>
      <c r="H657" s="152"/>
      <c r="I657" s="140"/>
      <c r="J657" s="140"/>
      <c r="K657" s="140"/>
      <c r="L657" s="140"/>
      <c r="M657" s="140"/>
      <c r="N657" s="140"/>
      <c r="O657" s="214"/>
    </row>
    <row r="658" spans="4:15" ht="24" customHeight="1">
      <c r="D658" s="279"/>
      <c r="E658" s="104"/>
      <c r="F658" s="104"/>
      <c r="G658" s="137"/>
      <c r="H658" s="152"/>
      <c r="I658" s="140"/>
      <c r="J658" s="140"/>
      <c r="K658" s="140"/>
      <c r="L658" s="140"/>
      <c r="M658" s="140"/>
      <c r="N658" s="140"/>
      <c r="O658" s="263"/>
    </row>
    <row r="659" spans="4:15" ht="24" customHeight="1">
      <c r="D659" s="279"/>
      <c r="E659" s="271"/>
      <c r="F659" s="137"/>
      <c r="G659" s="137"/>
      <c r="H659" s="152"/>
      <c r="I659" s="140"/>
      <c r="J659" s="140"/>
      <c r="K659" s="140"/>
      <c r="L659" s="140"/>
      <c r="M659" s="140"/>
      <c r="N659" s="140"/>
      <c r="O659" s="214"/>
    </row>
    <row r="660" spans="4:15" ht="24" customHeight="1">
      <c r="D660" s="279"/>
      <c r="E660" s="271"/>
      <c r="F660" s="137"/>
      <c r="G660" s="137"/>
      <c r="H660" s="152"/>
      <c r="I660" s="140"/>
      <c r="J660" s="140"/>
      <c r="K660" s="140"/>
      <c r="L660" s="140"/>
      <c r="M660" s="140"/>
      <c r="N660" s="140"/>
      <c r="O660" s="214"/>
    </row>
    <row r="661" spans="4:15" ht="24" customHeight="1">
      <c r="D661" s="280"/>
      <c r="E661" s="272"/>
      <c r="F661" s="214"/>
      <c r="G661" s="214"/>
      <c r="H661" s="212"/>
      <c r="I661" s="213"/>
      <c r="J661" s="213"/>
      <c r="K661" s="213"/>
      <c r="L661" s="213"/>
      <c r="M661" s="213"/>
      <c r="N661" s="213"/>
      <c r="O661" s="214"/>
    </row>
    <row r="662" spans="4:15" ht="24" customHeight="1">
      <c r="D662" s="279"/>
      <c r="E662" s="137"/>
      <c r="F662" s="137"/>
      <c r="G662" s="137"/>
      <c r="H662" s="152"/>
      <c r="I662" s="140"/>
      <c r="J662" s="140"/>
      <c r="K662" s="140"/>
      <c r="L662" s="140"/>
      <c r="M662" s="140"/>
      <c r="N662" s="140"/>
      <c r="O662" s="214"/>
    </row>
    <row r="663" spans="4:15" ht="24" customHeight="1">
      <c r="D663" s="279"/>
      <c r="E663" s="137"/>
      <c r="F663" s="137"/>
      <c r="G663" s="137"/>
      <c r="H663" s="152"/>
      <c r="I663" s="140"/>
      <c r="J663" s="140"/>
      <c r="K663" s="140"/>
      <c r="L663" s="140"/>
      <c r="M663" s="140"/>
      <c r="N663" s="140"/>
      <c r="O663" s="214"/>
    </row>
    <row r="664" spans="4:15" ht="24" customHeight="1">
      <c r="D664" s="279"/>
      <c r="E664" s="271"/>
      <c r="F664" s="137"/>
      <c r="G664" s="137"/>
      <c r="H664" s="152"/>
      <c r="I664" s="140"/>
      <c r="J664" s="140"/>
      <c r="K664" s="140"/>
      <c r="L664" s="140"/>
      <c r="M664" s="140"/>
      <c r="N664" s="140"/>
      <c r="O664" s="214"/>
    </row>
    <row r="665" spans="4:15" ht="24" customHeight="1">
      <c r="D665" s="279"/>
      <c r="E665" s="271"/>
      <c r="F665" s="137"/>
      <c r="G665" s="137"/>
      <c r="H665" s="152"/>
      <c r="I665" s="140"/>
      <c r="J665" s="140"/>
      <c r="K665" s="140"/>
      <c r="L665" s="140"/>
      <c r="M665" s="140"/>
      <c r="N665" s="140"/>
      <c r="O665" s="214"/>
    </row>
    <row r="666" spans="4:15" ht="24" customHeight="1">
      <c r="D666" s="280"/>
      <c r="E666" s="214"/>
      <c r="F666" s="214"/>
      <c r="G666" s="214"/>
      <c r="H666" s="212"/>
      <c r="I666" s="213"/>
      <c r="J666" s="213"/>
      <c r="K666" s="213"/>
      <c r="L666" s="213"/>
      <c r="M666" s="213"/>
      <c r="N666" s="213"/>
      <c r="O666" s="214"/>
    </row>
    <row r="667" spans="4:15" ht="24" customHeight="1">
      <c r="D667" s="279"/>
      <c r="E667" s="137"/>
      <c r="F667" s="137"/>
      <c r="G667" s="137"/>
      <c r="H667" s="152"/>
      <c r="I667" s="140"/>
      <c r="J667" s="140"/>
      <c r="K667" s="140"/>
      <c r="L667" s="140"/>
      <c r="M667" s="140"/>
      <c r="N667" s="140"/>
      <c r="O667" s="214"/>
    </row>
    <row r="668" spans="4:15" ht="24" customHeight="1">
      <c r="D668" s="279"/>
      <c r="E668" s="137"/>
      <c r="F668" s="137"/>
      <c r="G668" s="137"/>
      <c r="H668" s="152"/>
      <c r="I668" s="140"/>
      <c r="J668" s="140"/>
      <c r="K668" s="140"/>
      <c r="L668" s="140"/>
      <c r="M668" s="140"/>
      <c r="N668" s="140"/>
      <c r="O668" s="214"/>
    </row>
    <row r="669" spans="4:15" ht="24" customHeight="1">
      <c r="D669" s="279"/>
      <c r="E669" s="137"/>
      <c r="F669" s="137"/>
      <c r="G669" s="137"/>
      <c r="H669" s="152"/>
      <c r="I669" s="140"/>
      <c r="J669" s="152"/>
      <c r="K669" s="140"/>
      <c r="L669" s="152"/>
      <c r="M669" s="140"/>
      <c r="N669" s="140"/>
      <c r="O669" s="214"/>
    </row>
    <row r="670" spans="4:15" ht="24" customHeight="1">
      <c r="D670" s="279"/>
      <c r="E670" s="137"/>
      <c r="F670" s="137"/>
      <c r="G670" s="137"/>
      <c r="H670" s="152"/>
      <c r="I670" s="140"/>
      <c r="J670" s="140"/>
      <c r="K670" s="140"/>
      <c r="L670" s="140"/>
      <c r="M670" s="140"/>
      <c r="N670" s="140"/>
      <c r="O670" s="214"/>
    </row>
    <row r="671" spans="4:15" ht="24" customHeight="1">
      <c r="D671" s="279"/>
      <c r="E671" s="137"/>
      <c r="F671" s="137"/>
      <c r="G671" s="137"/>
      <c r="H671" s="152"/>
      <c r="I671" s="140"/>
      <c r="J671" s="140"/>
      <c r="K671" s="140"/>
      <c r="L671" s="140"/>
      <c r="M671" s="140"/>
      <c r="N671" s="140"/>
      <c r="O671" s="214"/>
    </row>
    <row r="672" spans="4:15" ht="24" customHeight="1">
      <c r="D672" s="279"/>
      <c r="E672" s="137"/>
      <c r="F672" s="137"/>
      <c r="G672" s="137"/>
      <c r="H672" s="152"/>
      <c r="I672" s="140"/>
      <c r="J672" s="140"/>
      <c r="K672" s="140"/>
      <c r="L672" s="140"/>
      <c r="M672" s="140"/>
      <c r="N672" s="140"/>
      <c r="O672" s="214"/>
    </row>
    <row r="673" spans="4:15" ht="24" customHeight="1">
      <c r="D673" s="279"/>
      <c r="E673" s="271"/>
      <c r="F673" s="137"/>
      <c r="G673" s="137"/>
      <c r="H673" s="152"/>
      <c r="I673" s="140"/>
      <c r="J673" s="140"/>
      <c r="K673" s="140"/>
      <c r="L673" s="140"/>
      <c r="M673" s="140"/>
      <c r="N673" s="140"/>
      <c r="O673" s="214"/>
    </row>
    <row r="674" spans="4:15" ht="24" customHeight="1">
      <c r="D674" s="279"/>
      <c r="E674" s="271"/>
      <c r="F674" s="137"/>
      <c r="G674" s="137"/>
      <c r="H674" s="152"/>
      <c r="I674" s="140"/>
      <c r="J674" s="140"/>
      <c r="K674" s="140"/>
      <c r="L674" s="140"/>
      <c r="M674" s="140"/>
      <c r="N674" s="140"/>
      <c r="O674" s="214"/>
    </row>
    <row r="675" spans="4:15" ht="24" customHeight="1">
      <c r="D675" s="280"/>
      <c r="E675" s="214"/>
      <c r="F675" s="214"/>
      <c r="G675" s="214"/>
      <c r="H675" s="212"/>
      <c r="I675" s="213"/>
      <c r="J675" s="213"/>
      <c r="K675" s="213"/>
      <c r="L675" s="213"/>
      <c r="M675" s="213"/>
      <c r="N675" s="213"/>
      <c r="O675" s="214"/>
    </row>
    <row r="676" spans="4:15" ht="24" customHeight="1">
      <c r="D676" s="279"/>
      <c r="E676" s="137"/>
      <c r="F676" s="137"/>
      <c r="G676" s="137"/>
      <c r="H676" s="152"/>
      <c r="I676" s="140"/>
      <c r="J676" s="140"/>
      <c r="K676" s="140"/>
      <c r="L676" s="140"/>
      <c r="M676" s="140"/>
      <c r="N676" s="140"/>
      <c r="O676" s="214"/>
    </row>
    <row r="677" spans="4:15" ht="24" customHeight="1">
      <c r="D677" s="279"/>
      <c r="E677" s="137"/>
      <c r="F677" s="137"/>
      <c r="G677" s="137"/>
      <c r="H677" s="152"/>
      <c r="I677" s="140"/>
      <c r="J677" s="140"/>
      <c r="K677" s="140"/>
      <c r="L677" s="140"/>
      <c r="M677" s="140"/>
      <c r="N677" s="140"/>
      <c r="O677" s="214"/>
    </row>
    <row r="678" spans="4:15" ht="24" customHeight="1">
      <c r="D678" s="279"/>
      <c r="E678" s="137"/>
      <c r="F678" s="137"/>
      <c r="G678" s="137"/>
      <c r="H678" s="152"/>
      <c r="I678" s="140"/>
      <c r="J678" s="152"/>
      <c r="K678" s="140"/>
      <c r="L678" s="152"/>
      <c r="M678" s="140"/>
      <c r="N678" s="140"/>
      <c r="O678" s="214"/>
    </row>
    <row r="679" spans="4:15" ht="24" customHeight="1">
      <c r="D679" s="279"/>
      <c r="E679" s="137"/>
      <c r="F679" s="137"/>
      <c r="G679" s="137"/>
      <c r="H679" s="152"/>
      <c r="I679" s="140"/>
      <c r="J679" s="140"/>
      <c r="K679" s="140"/>
      <c r="L679" s="140"/>
      <c r="M679" s="140"/>
      <c r="N679" s="140"/>
      <c r="O679" s="214"/>
    </row>
    <row r="680" spans="4:15" ht="24" customHeight="1">
      <c r="D680" s="279"/>
      <c r="E680" s="137"/>
      <c r="F680" s="137"/>
      <c r="G680" s="137"/>
      <c r="H680" s="152"/>
      <c r="I680" s="140"/>
      <c r="J680" s="140"/>
      <c r="K680" s="140"/>
      <c r="L680" s="140"/>
      <c r="M680" s="140"/>
      <c r="N680" s="140"/>
      <c r="O680" s="214"/>
    </row>
    <row r="681" spans="4:15" ht="24" customHeight="1">
      <c r="D681" s="279"/>
      <c r="E681" s="271"/>
      <c r="F681" s="137"/>
      <c r="G681" s="137"/>
      <c r="H681" s="152"/>
      <c r="I681" s="140"/>
      <c r="J681" s="140"/>
      <c r="K681" s="140"/>
      <c r="L681" s="140"/>
      <c r="M681" s="140"/>
      <c r="N681" s="140"/>
      <c r="O681" s="214"/>
    </row>
    <row r="682" spans="4:15" ht="24" customHeight="1">
      <c r="D682" s="279"/>
      <c r="E682" s="271"/>
      <c r="F682" s="137"/>
      <c r="G682" s="137"/>
      <c r="H682" s="152"/>
      <c r="I682" s="140"/>
      <c r="J682" s="140"/>
      <c r="K682" s="140"/>
      <c r="L682" s="140"/>
      <c r="M682" s="140"/>
      <c r="N682" s="140"/>
      <c r="O682" s="214"/>
    </row>
    <row r="683" spans="4:15" ht="24" customHeight="1">
      <c r="D683" s="280"/>
      <c r="E683" s="214"/>
      <c r="F683" s="214"/>
      <c r="G683" s="214"/>
      <c r="H683" s="212"/>
      <c r="I683" s="213"/>
      <c r="J683" s="213"/>
      <c r="K683" s="213"/>
      <c r="L683" s="213"/>
      <c r="M683" s="213"/>
      <c r="N683" s="213"/>
      <c r="O683" s="214"/>
    </row>
    <row r="684" spans="4:15" ht="24" customHeight="1">
      <c r="D684" s="279"/>
      <c r="E684" s="137"/>
      <c r="F684" s="137"/>
      <c r="G684" s="137"/>
      <c r="H684" s="152"/>
      <c r="I684" s="140"/>
      <c r="J684" s="140"/>
      <c r="K684" s="140"/>
      <c r="L684" s="140"/>
      <c r="M684" s="140"/>
      <c r="N684" s="140"/>
      <c r="O684" s="214"/>
    </row>
    <row r="685" spans="4:15" ht="24" customHeight="1">
      <c r="D685" s="279"/>
      <c r="E685" s="137"/>
      <c r="F685" s="137"/>
      <c r="G685" s="137"/>
      <c r="H685" s="152"/>
      <c r="I685" s="140"/>
      <c r="J685" s="140"/>
      <c r="K685" s="140"/>
      <c r="L685" s="140"/>
      <c r="M685" s="140"/>
      <c r="N685" s="140"/>
      <c r="O685" s="214"/>
    </row>
    <row r="686" spans="4:15" ht="24" customHeight="1">
      <c r="D686" s="279"/>
      <c r="E686" s="137"/>
      <c r="F686" s="137"/>
      <c r="G686" s="137"/>
      <c r="H686" s="152"/>
      <c r="I686" s="140"/>
      <c r="J686" s="152"/>
      <c r="K686" s="140"/>
      <c r="L686" s="152"/>
      <c r="M686" s="140"/>
      <c r="N686" s="140"/>
      <c r="O686" s="214"/>
    </row>
    <row r="687" spans="4:15" ht="24" customHeight="1">
      <c r="D687" s="279"/>
      <c r="E687" s="137"/>
      <c r="F687" s="137"/>
      <c r="G687" s="137"/>
      <c r="H687" s="152"/>
      <c r="I687" s="140"/>
      <c r="J687" s="140"/>
      <c r="K687" s="140"/>
      <c r="L687" s="140"/>
      <c r="M687" s="140"/>
      <c r="N687" s="140"/>
      <c r="O687" s="214"/>
    </row>
    <row r="688" spans="4:15" ht="24" customHeight="1">
      <c r="D688" s="279"/>
      <c r="E688" s="137"/>
      <c r="F688" s="137"/>
      <c r="G688" s="137"/>
      <c r="H688" s="152"/>
      <c r="I688" s="140"/>
      <c r="J688" s="140"/>
      <c r="K688" s="140"/>
      <c r="L688" s="140"/>
      <c r="M688" s="140"/>
      <c r="N688" s="140"/>
      <c r="O688" s="214"/>
    </row>
    <row r="689" spans="4:15" ht="24" customHeight="1">
      <c r="D689" s="279"/>
      <c r="E689" s="271"/>
      <c r="F689" s="137"/>
      <c r="G689" s="137"/>
      <c r="H689" s="152"/>
      <c r="I689" s="140"/>
      <c r="J689" s="140"/>
      <c r="K689" s="140"/>
      <c r="L689" s="140"/>
      <c r="M689" s="140"/>
      <c r="N689" s="140"/>
      <c r="O689" s="214"/>
    </row>
    <row r="690" spans="4:15" ht="24" customHeight="1">
      <c r="D690" s="279"/>
      <c r="E690" s="271"/>
      <c r="F690" s="137"/>
      <c r="G690" s="137"/>
      <c r="H690" s="152"/>
      <c r="I690" s="140"/>
      <c r="J690" s="140"/>
      <c r="K690" s="140"/>
      <c r="L690" s="140"/>
      <c r="M690" s="140"/>
      <c r="N690" s="140"/>
      <c r="O690" s="214"/>
    </row>
    <row r="691" spans="4:15" ht="24" customHeight="1">
      <c r="D691" s="280"/>
      <c r="E691" s="214"/>
      <c r="F691" s="214"/>
      <c r="G691" s="214"/>
      <c r="H691" s="212"/>
      <c r="I691" s="213"/>
      <c r="J691" s="213"/>
      <c r="K691" s="213"/>
      <c r="L691" s="213"/>
      <c r="M691" s="213"/>
      <c r="N691" s="213"/>
      <c r="O691" s="214"/>
    </row>
    <row r="692" spans="4:15" ht="24" customHeight="1">
      <c r="D692" s="279"/>
      <c r="E692" s="137"/>
      <c r="F692" s="137"/>
      <c r="G692" s="137"/>
      <c r="H692" s="152"/>
      <c r="I692" s="140"/>
      <c r="J692" s="140"/>
      <c r="K692" s="140"/>
      <c r="L692" s="140"/>
      <c r="M692" s="140"/>
      <c r="N692" s="140"/>
      <c r="O692" s="214"/>
    </row>
    <row r="693" spans="4:15" ht="24" customHeight="1">
      <c r="D693" s="279"/>
      <c r="E693" s="258"/>
      <c r="F693" s="137"/>
      <c r="G693" s="137"/>
      <c r="H693" s="152"/>
      <c r="I693" s="140"/>
      <c r="J693" s="140"/>
      <c r="K693" s="140"/>
      <c r="L693" s="140"/>
      <c r="M693" s="140"/>
      <c r="N693" s="140"/>
      <c r="O693" s="214"/>
    </row>
    <row r="694" spans="4:15" ht="24" customHeight="1">
      <c r="D694" s="279"/>
      <c r="E694" s="258"/>
      <c r="F694" s="137"/>
      <c r="G694" s="137"/>
      <c r="H694" s="152"/>
      <c r="I694" s="140"/>
      <c r="J694" s="140"/>
      <c r="K694" s="140"/>
      <c r="L694" s="140"/>
      <c r="M694" s="140"/>
      <c r="N694" s="140"/>
      <c r="O694" s="214"/>
    </row>
    <row r="695" spans="4:15" ht="24" customHeight="1">
      <c r="D695" s="279"/>
      <c r="E695" s="271"/>
      <c r="F695" s="137"/>
      <c r="G695" s="137"/>
      <c r="H695" s="152"/>
      <c r="I695" s="140"/>
      <c r="J695" s="140"/>
      <c r="K695" s="140"/>
      <c r="L695" s="140"/>
      <c r="M695" s="140"/>
      <c r="N695" s="140"/>
      <c r="O695" s="214"/>
    </row>
    <row r="696" spans="4:15" ht="24" customHeight="1">
      <c r="D696" s="279"/>
      <c r="E696" s="271"/>
      <c r="F696" s="137"/>
      <c r="G696" s="137"/>
      <c r="H696" s="152"/>
      <c r="I696" s="140"/>
      <c r="J696" s="140"/>
      <c r="K696" s="140"/>
      <c r="L696" s="140"/>
      <c r="M696" s="140"/>
      <c r="N696" s="140"/>
      <c r="O696" s="214"/>
    </row>
    <row r="697" spans="4:15" ht="24" customHeight="1">
      <c r="D697" s="280"/>
      <c r="E697" s="214"/>
      <c r="F697" s="214"/>
      <c r="G697" s="214"/>
      <c r="H697" s="212"/>
      <c r="I697" s="213"/>
      <c r="J697" s="213"/>
      <c r="K697" s="213"/>
      <c r="L697" s="213"/>
      <c r="M697" s="213"/>
      <c r="N697" s="213"/>
      <c r="O697" s="214"/>
    </row>
    <row r="698" spans="4:15" ht="24" customHeight="1">
      <c r="D698" s="279"/>
      <c r="E698" s="137"/>
      <c r="F698" s="137"/>
      <c r="G698" s="137"/>
      <c r="H698" s="152"/>
      <c r="I698" s="140"/>
      <c r="J698" s="140"/>
      <c r="K698" s="140"/>
      <c r="L698" s="140"/>
      <c r="M698" s="140"/>
      <c r="N698" s="140"/>
      <c r="O698" s="214"/>
    </row>
    <row r="699" spans="4:15" ht="24" customHeight="1">
      <c r="D699" s="279"/>
      <c r="E699" s="104"/>
      <c r="F699" s="104"/>
      <c r="G699" s="137"/>
      <c r="H699" s="152"/>
      <c r="I699" s="140"/>
      <c r="J699" s="140"/>
      <c r="K699" s="140"/>
      <c r="L699" s="140"/>
      <c r="M699" s="140"/>
      <c r="N699" s="140"/>
      <c r="O699" s="263"/>
    </row>
    <row r="700" spans="4:15" ht="24" customHeight="1">
      <c r="D700" s="279"/>
      <c r="E700" s="271"/>
      <c r="F700" s="137"/>
      <c r="G700" s="137"/>
      <c r="H700" s="152"/>
      <c r="I700" s="140"/>
      <c r="J700" s="140"/>
      <c r="K700" s="140"/>
      <c r="L700" s="140"/>
      <c r="M700" s="140"/>
      <c r="N700" s="140"/>
      <c r="O700" s="214"/>
    </row>
    <row r="701" spans="4:15" ht="24" customHeight="1">
      <c r="D701" s="279"/>
      <c r="E701" s="271"/>
      <c r="F701" s="137"/>
      <c r="G701" s="137"/>
      <c r="H701" s="152"/>
      <c r="I701" s="140"/>
      <c r="J701" s="140"/>
      <c r="K701" s="140"/>
      <c r="L701" s="140"/>
      <c r="M701" s="140"/>
      <c r="N701" s="140"/>
      <c r="O701" s="214"/>
    </row>
    <row r="702" spans="4:15" ht="24" customHeight="1">
      <c r="D702" s="280"/>
      <c r="E702" s="214"/>
      <c r="F702" s="214"/>
      <c r="G702" s="214"/>
      <c r="H702" s="212"/>
      <c r="I702" s="213"/>
      <c r="J702" s="213"/>
      <c r="K702" s="213"/>
      <c r="L702" s="213"/>
      <c r="M702" s="213"/>
      <c r="N702" s="213"/>
      <c r="O702" s="214"/>
    </row>
    <row r="703" spans="4:15" ht="24" customHeight="1">
      <c r="D703" s="279"/>
      <c r="E703" s="137"/>
      <c r="F703" s="137"/>
      <c r="G703" s="137"/>
      <c r="H703" s="152"/>
      <c r="I703" s="140"/>
      <c r="J703" s="140"/>
      <c r="K703" s="140"/>
      <c r="L703" s="140"/>
      <c r="M703" s="140"/>
      <c r="N703" s="140"/>
      <c r="O703" s="214"/>
    </row>
    <row r="704" spans="4:15" ht="24" customHeight="1">
      <c r="D704" s="279"/>
      <c r="E704" s="104"/>
      <c r="F704" s="104"/>
      <c r="G704" s="137"/>
      <c r="H704" s="152"/>
      <c r="I704" s="140"/>
      <c r="J704" s="140"/>
      <c r="K704" s="140"/>
      <c r="L704" s="140"/>
      <c r="M704" s="140"/>
      <c r="N704" s="140"/>
      <c r="O704" s="214"/>
    </row>
    <row r="705" spans="4:15" ht="24" customHeight="1">
      <c r="D705" s="279"/>
      <c r="E705" s="104"/>
      <c r="F705" s="104"/>
      <c r="G705" s="137"/>
      <c r="H705" s="152"/>
      <c r="I705" s="140"/>
      <c r="J705" s="140"/>
      <c r="K705" s="140"/>
      <c r="L705" s="140"/>
      <c r="M705" s="140"/>
      <c r="N705" s="140"/>
      <c r="O705" s="214"/>
    </row>
    <row r="706" spans="4:15" ht="24" customHeight="1">
      <c r="D706" s="279"/>
      <c r="E706" s="271"/>
      <c r="F706" s="137"/>
      <c r="G706" s="137"/>
      <c r="H706" s="152"/>
      <c r="I706" s="140"/>
      <c r="J706" s="140"/>
      <c r="K706" s="140"/>
      <c r="L706" s="140"/>
      <c r="M706" s="140"/>
      <c r="N706" s="140"/>
      <c r="O706" s="214"/>
    </row>
    <row r="707" spans="4:15" ht="24" customHeight="1">
      <c r="D707" s="279"/>
      <c r="E707" s="271"/>
      <c r="F707" s="137"/>
      <c r="G707" s="137"/>
      <c r="H707" s="152"/>
      <c r="I707" s="140"/>
      <c r="J707" s="140"/>
      <c r="K707" s="140"/>
      <c r="L707" s="140"/>
      <c r="M707" s="140"/>
      <c r="N707" s="140"/>
      <c r="O707" s="214"/>
    </row>
    <row r="708" spans="4:15" ht="24" customHeight="1">
      <c r="D708" s="280"/>
      <c r="E708" s="214"/>
      <c r="F708" s="214"/>
      <c r="G708" s="214"/>
      <c r="H708" s="212"/>
      <c r="I708" s="213"/>
      <c r="J708" s="213"/>
      <c r="K708" s="213"/>
      <c r="L708" s="213"/>
      <c r="M708" s="213"/>
      <c r="N708" s="213"/>
      <c r="O708" s="214"/>
    </row>
    <row r="709" spans="4:15" ht="24" customHeight="1">
      <c r="D709" s="279"/>
      <c r="E709" s="137"/>
      <c r="F709" s="137"/>
      <c r="G709" s="137"/>
      <c r="H709" s="152"/>
      <c r="I709" s="140"/>
      <c r="J709" s="140"/>
      <c r="K709" s="140"/>
      <c r="L709" s="140"/>
      <c r="M709" s="140"/>
      <c r="N709" s="140"/>
      <c r="O709" s="214"/>
    </row>
    <row r="710" spans="4:15" ht="24" customHeight="1">
      <c r="D710" s="279"/>
      <c r="E710" s="104"/>
      <c r="F710" s="104"/>
      <c r="G710" s="137"/>
      <c r="H710" s="152"/>
      <c r="I710" s="140"/>
      <c r="J710" s="140"/>
      <c r="K710" s="140"/>
      <c r="L710" s="140"/>
      <c r="M710" s="140"/>
      <c r="N710" s="140"/>
      <c r="O710" s="214"/>
    </row>
    <row r="711" spans="4:15" ht="24" customHeight="1">
      <c r="D711" s="279"/>
      <c r="E711" s="104"/>
      <c r="F711" s="104"/>
      <c r="G711" s="137"/>
      <c r="H711" s="152"/>
      <c r="I711" s="140"/>
      <c r="J711" s="140"/>
      <c r="K711" s="140"/>
      <c r="L711" s="140"/>
      <c r="M711" s="140"/>
      <c r="N711" s="140"/>
      <c r="O711" s="214"/>
    </row>
    <row r="712" spans="4:15" ht="24" customHeight="1">
      <c r="D712" s="279"/>
      <c r="E712" s="271"/>
      <c r="F712" s="137"/>
      <c r="G712" s="137"/>
      <c r="H712" s="152"/>
      <c r="I712" s="140"/>
      <c r="J712" s="140"/>
      <c r="K712" s="140"/>
      <c r="L712" s="140"/>
      <c r="M712" s="140"/>
      <c r="N712" s="140"/>
      <c r="O712" s="214"/>
    </row>
    <row r="713" spans="4:15" ht="24" customHeight="1">
      <c r="D713" s="279"/>
      <c r="E713" s="271"/>
      <c r="F713" s="137"/>
      <c r="G713" s="137"/>
      <c r="H713" s="152"/>
      <c r="I713" s="140"/>
      <c r="J713" s="140"/>
      <c r="K713" s="140"/>
      <c r="L713" s="140"/>
      <c r="M713" s="140"/>
      <c r="N713" s="140"/>
      <c r="O713" s="214"/>
    </row>
    <row r="714" spans="4:15" ht="24" customHeight="1">
      <c r="D714" s="280"/>
      <c r="E714" s="214"/>
      <c r="F714" s="214"/>
      <c r="G714" s="214"/>
      <c r="H714" s="212"/>
      <c r="I714" s="213"/>
      <c r="J714" s="213"/>
      <c r="K714" s="213"/>
      <c r="L714" s="213"/>
      <c r="M714" s="213"/>
      <c r="N714" s="213"/>
      <c r="O714" s="214"/>
    </row>
    <row r="715" spans="4:15" ht="24" customHeight="1">
      <c r="D715" s="279"/>
      <c r="E715" s="137"/>
      <c r="F715" s="137"/>
      <c r="G715" s="137"/>
      <c r="H715" s="152"/>
      <c r="I715" s="140"/>
      <c r="J715" s="140"/>
      <c r="K715" s="140"/>
      <c r="L715" s="140"/>
      <c r="M715" s="140"/>
      <c r="N715" s="140"/>
      <c r="O715" s="214"/>
    </row>
    <row r="716" spans="4:15" ht="24" customHeight="1">
      <c r="D716" s="279"/>
      <c r="E716" s="104"/>
      <c r="F716" s="104"/>
      <c r="G716" s="137"/>
      <c r="H716" s="152"/>
      <c r="I716" s="140"/>
      <c r="J716" s="140"/>
      <c r="K716" s="140"/>
      <c r="L716" s="140"/>
      <c r="M716" s="140"/>
      <c r="N716" s="140"/>
      <c r="O716" s="214"/>
    </row>
    <row r="717" spans="4:15" ht="24" customHeight="1">
      <c r="D717" s="279"/>
      <c r="E717" s="104"/>
      <c r="F717" s="104"/>
      <c r="G717" s="137"/>
      <c r="H717" s="152"/>
      <c r="I717" s="140"/>
      <c r="J717" s="140"/>
      <c r="K717" s="140"/>
      <c r="L717" s="140"/>
      <c r="M717" s="140"/>
      <c r="N717" s="140"/>
      <c r="O717" s="214"/>
    </row>
    <row r="718" spans="4:15" ht="24" customHeight="1">
      <c r="D718" s="279"/>
      <c r="E718" s="271"/>
      <c r="F718" s="137"/>
      <c r="G718" s="137"/>
      <c r="H718" s="152"/>
      <c r="I718" s="140"/>
      <c r="J718" s="140"/>
      <c r="K718" s="140"/>
      <c r="L718" s="140"/>
      <c r="M718" s="140"/>
      <c r="N718" s="140"/>
      <c r="O718" s="214"/>
    </row>
    <row r="719" spans="4:15" ht="24" customHeight="1">
      <c r="D719" s="279"/>
      <c r="E719" s="271"/>
      <c r="F719" s="137"/>
      <c r="G719" s="137"/>
      <c r="H719" s="152"/>
      <c r="I719" s="140"/>
      <c r="J719" s="140"/>
      <c r="K719" s="140"/>
      <c r="L719" s="140"/>
      <c r="M719" s="140"/>
      <c r="N719" s="140"/>
      <c r="O719" s="214"/>
    </row>
    <row r="720" spans="4:15" ht="24" customHeight="1">
      <c r="D720" s="280"/>
      <c r="E720" s="214"/>
      <c r="F720" s="214"/>
      <c r="G720" s="214"/>
      <c r="H720" s="212"/>
      <c r="I720" s="213"/>
      <c r="J720" s="213"/>
      <c r="K720" s="213"/>
      <c r="L720" s="213"/>
      <c r="M720" s="213"/>
      <c r="N720" s="213"/>
      <c r="O720" s="214"/>
    </row>
    <row r="721" spans="4:15" ht="24" customHeight="1">
      <c r="D721" s="279"/>
      <c r="E721" s="137"/>
      <c r="F721" s="137"/>
      <c r="G721" s="137"/>
      <c r="H721" s="152"/>
      <c r="I721" s="140"/>
      <c r="J721" s="140"/>
      <c r="K721" s="140"/>
      <c r="L721" s="140"/>
      <c r="M721" s="140"/>
      <c r="N721" s="140"/>
      <c r="O721" s="214"/>
    </row>
    <row r="722" spans="4:15" ht="24" customHeight="1">
      <c r="D722" s="279"/>
      <c r="E722" s="104"/>
      <c r="F722" s="104"/>
      <c r="G722" s="137"/>
      <c r="H722" s="152"/>
      <c r="I722" s="140"/>
      <c r="J722" s="140"/>
      <c r="K722" s="140"/>
      <c r="L722" s="140"/>
      <c r="M722" s="140"/>
      <c r="N722" s="140"/>
      <c r="O722" s="214"/>
    </row>
    <row r="723" spans="4:15" ht="24" customHeight="1">
      <c r="D723" s="279"/>
      <c r="E723" s="104"/>
      <c r="F723" s="104"/>
      <c r="G723" s="137"/>
      <c r="H723" s="152"/>
      <c r="I723" s="140"/>
      <c r="J723" s="140"/>
      <c r="K723" s="140"/>
      <c r="L723" s="140"/>
      <c r="M723" s="140"/>
      <c r="N723" s="140"/>
      <c r="O723" s="214"/>
    </row>
    <row r="724" spans="4:15" ht="24" customHeight="1">
      <c r="D724" s="279"/>
      <c r="E724" s="271"/>
      <c r="F724" s="137"/>
      <c r="G724" s="137"/>
      <c r="H724" s="152"/>
      <c r="I724" s="140"/>
      <c r="J724" s="140"/>
      <c r="K724" s="140"/>
      <c r="L724" s="140"/>
      <c r="M724" s="140"/>
      <c r="N724" s="140"/>
      <c r="O724" s="214"/>
    </row>
    <row r="725" spans="4:15" ht="24" customHeight="1">
      <c r="D725" s="279"/>
      <c r="E725" s="271"/>
      <c r="F725" s="137"/>
      <c r="G725" s="137"/>
      <c r="H725" s="152"/>
      <c r="I725" s="140"/>
      <c r="J725" s="140"/>
      <c r="K725" s="140"/>
      <c r="L725" s="140"/>
      <c r="M725" s="140"/>
      <c r="N725" s="140"/>
      <c r="O725" s="214"/>
    </row>
    <row r="726" spans="4:15" ht="24" customHeight="1">
      <c r="D726" s="280"/>
      <c r="E726" s="214"/>
      <c r="F726" s="214"/>
      <c r="G726" s="214"/>
      <c r="H726" s="212"/>
      <c r="I726" s="213"/>
      <c r="J726" s="213"/>
      <c r="K726" s="213"/>
      <c r="L726" s="213"/>
      <c r="M726" s="213"/>
      <c r="N726" s="213"/>
      <c r="O726" s="214"/>
    </row>
    <row r="727" spans="4:15" ht="24" customHeight="1">
      <c r="D727" s="279"/>
      <c r="E727" s="137"/>
      <c r="F727" s="137"/>
      <c r="G727" s="137"/>
      <c r="H727" s="152"/>
      <c r="I727" s="140"/>
      <c r="J727" s="140"/>
      <c r="K727" s="140"/>
      <c r="L727" s="140"/>
      <c r="M727" s="140"/>
      <c r="N727" s="140"/>
      <c r="O727" s="214"/>
    </row>
    <row r="728" spans="4:15" ht="24" customHeight="1">
      <c r="D728" s="279"/>
      <c r="E728" s="104"/>
      <c r="F728" s="104"/>
      <c r="G728" s="137"/>
      <c r="H728" s="152"/>
      <c r="I728" s="140"/>
      <c r="J728" s="140"/>
      <c r="K728" s="140"/>
      <c r="L728" s="140"/>
      <c r="M728" s="140"/>
      <c r="N728" s="140"/>
      <c r="O728" s="214"/>
    </row>
    <row r="729" spans="4:15" ht="24" customHeight="1">
      <c r="D729" s="279"/>
      <c r="E729" s="104"/>
      <c r="F729" s="104"/>
      <c r="G729" s="137"/>
      <c r="H729" s="152"/>
      <c r="I729" s="140"/>
      <c r="J729" s="140"/>
      <c r="K729" s="140"/>
      <c r="L729" s="140"/>
      <c r="M729" s="140"/>
      <c r="N729" s="140"/>
      <c r="O729" s="214"/>
    </row>
    <row r="730" spans="4:15" ht="24" customHeight="1">
      <c r="D730" s="279"/>
      <c r="E730" s="271"/>
      <c r="F730" s="137"/>
      <c r="G730" s="137"/>
      <c r="H730" s="152"/>
      <c r="I730" s="140"/>
      <c r="J730" s="140"/>
      <c r="K730" s="140"/>
      <c r="L730" s="140"/>
      <c r="M730" s="140"/>
      <c r="N730" s="140"/>
      <c r="O730" s="214"/>
    </row>
    <row r="731" spans="4:15" ht="24" customHeight="1">
      <c r="D731" s="279"/>
      <c r="E731" s="271"/>
      <c r="F731" s="137"/>
      <c r="G731" s="137"/>
      <c r="H731" s="152"/>
      <c r="I731" s="140"/>
      <c r="J731" s="140"/>
      <c r="K731" s="140"/>
      <c r="L731" s="140"/>
      <c r="M731" s="140"/>
      <c r="N731" s="140"/>
      <c r="O731" s="304"/>
    </row>
    <row r="732" spans="4:15" ht="24" customHeight="1">
      <c r="D732" s="280"/>
      <c r="E732" s="214"/>
      <c r="F732" s="214"/>
      <c r="G732" s="263"/>
      <c r="H732" s="242"/>
      <c r="I732" s="242"/>
      <c r="J732" s="242"/>
      <c r="K732" s="242"/>
      <c r="L732" s="242"/>
      <c r="M732" s="242"/>
      <c r="N732" s="242"/>
      <c r="O732" s="214"/>
    </row>
    <row r="733" spans="4:15" ht="24" customHeight="1">
      <c r="D733" s="279"/>
      <c r="E733" s="137"/>
      <c r="F733" s="137"/>
      <c r="G733" s="104"/>
      <c r="H733" s="152"/>
      <c r="I733" s="140"/>
      <c r="J733" s="152"/>
      <c r="K733" s="140"/>
      <c r="L733" s="152"/>
      <c r="M733" s="140"/>
      <c r="N733" s="140"/>
      <c r="O733" s="214"/>
    </row>
    <row r="734" spans="4:15" ht="24" customHeight="1">
      <c r="D734" s="290"/>
      <c r="E734" s="273"/>
      <c r="F734" s="137"/>
      <c r="G734" s="137"/>
      <c r="H734" s="152"/>
      <c r="I734" s="152"/>
      <c r="J734" s="140"/>
      <c r="K734" s="140"/>
      <c r="L734" s="152"/>
      <c r="M734" s="152"/>
      <c r="N734" s="140"/>
      <c r="O734" s="304"/>
    </row>
    <row r="735" spans="4:15" ht="24" customHeight="1">
      <c r="D735" s="279"/>
      <c r="E735" s="271"/>
      <c r="F735" s="137"/>
      <c r="G735" s="104"/>
      <c r="H735" s="152"/>
      <c r="I735" s="152"/>
      <c r="J735" s="152"/>
      <c r="K735" s="152"/>
      <c r="L735" s="152"/>
      <c r="M735" s="152"/>
      <c r="N735" s="140"/>
      <c r="O735" s="304"/>
    </row>
    <row r="736" spans="4:15" ht="24" customHeight="1">
      <c r="D736" s="279"/>
      <c r="E736" s="271"/>
      <c r="F736" s="137"/>
      <c r="G736" s="137"/>
      <c r="H736" s="152"/>
      <c r="I736" s="140"/>
      <c r="J736" s="140"/>
      <c r="K736" s="140"/>
      <c r="L736" s="140"/>
      <c r="M736" s="140"/>
      <c r="N736" s="140"/>
      <c r="O736" s="214"/>
    </row>
    <row r="737" spans="4:15" ht="24" customHeight="1">
      <c r="D737" s="280"/>
      <c r="E737" s="214"/>
      <c r="F737" s="214"/>
      <c r="G737" s="214"/>
      <c r="H737" s="212"/>
      <c r="I737" s="213"/>
      <c r="J737" s="213"/>
      <c r="K737" s="213"/>
      <c r="L737" s="213"/>
      <c r="M737" s="213"/>
      <c r="N737" s="213"/>
      <c r="O737" s="214"/>
    </row>
    <row r="738" spans="4:15" ht="24" customHeight="1">
      <c r="D738" s="279"/>
      <c r="E738" s="137"/>
      <c r="F738" s="137"/>
      <c r="G738" s="137"/>
      <c r="H738" s="152"/>
      <c r="I738" s="140"/>
      <c r="J738" s="140"/>
      <c r="K738" s="140"/>
      <c r="L738" s="140"/>
      <c r="M738" s="140"/>
      <c r="N738" s="140"/>
      <c r="O738" s="214"/>
    </row>
    <row r="739" spans="4:15" ht="24" customHeight="1">
      <c r="D739" s="279"/>
      <c r="E739" s="137"/>
      <c r="F739" s="137"/>
      <c r="G739" s="137"/>
      <c r="H739" s="152"/>
      <c r="I739" s="140"/>
      <c r="J739" s="152"/>
      <c r="K739" s="140"/>
      <c r="L739" s="152"/>
      <c r="M739" s="140"/>
      <c r="N739" s="140"/>
      <c r="O739" s="214"/>
    </row>
    <row r="740" spans="4:15" ht="24" customHeight="1">
      <c r="D740" s="279"/>
      <c r="E740" s="137"/>
      <c r="F740" s="137"/>
      <c r="G740" s="137"/>
      <c r="H740" s="152"/>
      <c r="I740" s="140"/>
      <c r="J740" s="140"/>
      <c r="K740" s="140"/>
      <c r="L740" s="140"/>
      <c r="M740" s="140"/>
      <c r="N740" s="140"/>
      <c r="O740" s="214"/>
    </row>
    <row r="741" spans="4:15" ht="24" customHeight="1">
      <c r="D741" s="279"/>
      <c r="E741" s="271"/>
      <c r="F741" s="137"/>
      <c r="G741" s="137"/>
      <c r="H741" s="152"/>
      <c r="I741" s="140"/>
      <c r="J741" s="140"/>
      <c r="K741" s="140"/>
      <c r="L741" s="140"/>
      <c r="M741" s="140"/>
      <c r="N741" s="140"/>
      <c r="O741" s="214"/>
    </row>
    <row r="742" spans="4:15" ht="24" customHeight="1">
      <c r="D742" s="279"/>
      <c r="E742" s="271"/>
      <c r="F742" s="137"/>
      <c r="G742" s="137"/>
      <c r="H742" s="152"/>
      <c r="I742" s="140"/>
      <c r="J742" s="140"/>
      <c r="K742" s="140"/>
      <c r="L742" s="140"/>
      <c r="M742" s="140"/>
      <c r="N742" s="140"/>
      <c r="O742" s="214"/>
    </row>
    <row r="743" spans="4:15" ht="24" customHeight="1">
      <c r="D743" s="280"/>
      <c r="E743" s="214"/>
      <c r="F743" s="214"/>
      <c r="G743" s="214"/>
      <c r="H743" s="212"/>
      <c r="I743" s="213"/>
      <c r="J743" s="213"/>
      <c r="K743" s="213"/>
      <c r="L743" s="213"/>
      <c r="M743" s="213"/>
      <c r="N743" s="213"/>
      <c r="O743" s="214"/>
    </row>
    <row r="744" spans="4:15" ht="24" customHeight="1">
      <c r="D744" s="279"/>
      <c r="E744" s="137"/>
      <c r="F744" s="137"/>
      <c r="G744" s="137"/>
      <c r="H744" s="152"/>
      <c r="I744" s="140"/>
      <c r="J744" s="140"/>
      <c r="K744" s="140"/>
      <c r="L744" s="140"/>
      <c r="M744" s="140"/>
      <c r="N744" s="140"/>
      <c r="O744" s="214"/>
    </row>
    <row r="745" spans="4:15" ht="24" customHeight="1">
      <c r="D745" s="279"/>
      <c r="E745" s="137"/>
      <c r="F745" s="137"/>
      <c r="G745" s="137"/>
      <c r="H745" s="152"/>
      <c r="I745" s="140"/>
      <c r="J745" s="152"/>
      <c r="K745" s="140"/>
      <c r="L745" s="152"/>
      <c r="M745" s="140"/>
      <c r="N745" s="140"/>
      <c r="O745" s="214"/>
    </row>
    <row r="746" spans="4:15" ht="24" customHeight="1">
      <c r="D746" s="279"/>
      <c r="E746" s="137"/>
      <c r="F746" s="137"/>
      <c r="G746" s="137"/>
      <c r="H746" s="152"/>
      <c r="I746" s="140"/>
      <c r="J746" s="140"/>
      <c r="K746" s="140"/>
      <c r="L746" s="140"/>
      <c r="M746" s="140"/>
      <c r="N746" s="140"/>
      <c r="O746" s="214"/>
    </row>
    <row r="747" spans="4:15" ht="24" customHeight="1">
      <c r="D747" s="279"/>
      <c r="E747" s="271"/>
      <c r="F747" s="137"/>
      <c r="G747" s="137"/>
      <c r="H747" s="152"/>
      <c r="I747" s="140"/>
      <c r="J747" s="140"/>
      <c r="K747" s="140"/>
      <c r="L747" s="140"/>
      <c r="M747" s="140"/>
      <c r="N747" s="140"/>
      <c r="O747" s="214"/>
    </row>
    <row r="748" spans="4:15" ht="24" customHeight="1">
      <c r="D748" s="279"/>
      <c r="E748" s="271"/>
      <c r="F748" s="137"/>
      <c r="G748" s="137"/>
      <c r="H748" s="152"/>
      <c r="I748" s="140"/>
      <c r="J748" s="140"/>
      <c r="K748" s="140"/>
      <c r="L748" s="140"/>
      <c r="M748" s="140"/>
      <c r="N748" s="140"/>
      <c r="O748" s="214"/>
    </row>
    <row r="749" spans="4:15" ht="24" customHeight="1">
      <c r="D749" s="280"/>
      <c r="E749" s="214"/>
      <c r="F749" s="214"/>
      <c r="G749" s="214"/>
      <c r="H749" s="212"/>
      <c r="I749" s="213"/>
      <c r="J749" s="213"/>
      <c r="K749" s="213"/>
      <c r="L749" s="213"/>
      <c r="M749" s="213"/>
      <c r="N749" s="213"/>
      <c r="O749" s="214"/>
    </row>
    <row r="750" spans="4:15" ht="24" customHeight="1">
      <c r="D750" s="279"/>
      <c r="E750" s="137"/>
      <c r="F750" s="137"/>
      <c r="G750" s="137"/>
      <c r="H750" s="152"/>
      <c r="I750" s="140"/>
      <c r="J750" s="140"/>
      <c r="K750" s="140"/>
      <c r="L750" s="140"/>
      <c r="M750" s="140"/>
      <c r="N750" s="140"/>
      <c r="O750" s="214"/>
    </row>
    <row r="751" spans="4:15" ht="24" customHeight="1">
      <c r="D751" s="279"/>
      <c r="E751" s="137"/>
      <c r="F751" s="137"/>
      <c r="G751" s="137"/>
      <c r="H751" s="152"/>
      <c r="I751" s="140"/>
      <c r="J751" s="152"/>
      <c r="K751" s="140"/>
      <c r="L751" s="152"/>
      <c r="M751" s="140"/>
      <c r="N751" s="140"/>
      <c r="O751" s="214"/>
    </row>
    <row r="752" spans="4:15" ht="24" customHeight="1">
      <c r="D752" s="279"/>
      <c r="E752" s="137"/>
      <c r="F752" s="137"/>
      <c r="G752" s="137"/>
      <c r="H752" s="152"/>
      <c r="I752" s="140"/>
      <c r="J752" s="140"/>
      <c r="K752" s="140"/>
      <c r="L752" s="140"/>
      <c r="M752" s="140"/>
      <c r="N752" s="140"/>
      <c r="O752" s="214"/>
    </row>
    <row r="753" spans="4:15" ht="24" customHeight="1">
      <c r="D753" s="279"/>
      <c r="E753" s="271"/>
      <c r="F753" s="137"/>
      <c r="G753" s="137"/>
      <c r="H753" s="152"/>
      <c r="I753" s="140"/>
      <c r="J753" s="140"/>
      <c r="K753" s="140"/>
      <c r="L753" s="140"/>
      <c r="M753" s="140"/>
      <c r="N753" s="140"/>
      <c r="O753" s="214"/>
    </row>
    <row r="754" spans="4:15" ht="24" customHeight="1">
      <c r="D754" s="279"/>
      <c r="E754" s="271"/>
      <c r="F754" s="137"/>
      <c r="G754" s="137"/>
      <c r="H754" s="152"/>
      <c r="I754" s="140"/>
      <c r="J754" s="140"/>
      <c r="K754" s="140"/>
      <c r="L754" s="140"/>
      <c r="M754" s="140"/>
      <c r="N754" s="140"/>
      <c r="O754" s="214"/>
    </row>
    <row r="755" spans="4:15" ht="24" customHeight="1">
      <c r="D755" s="280"/>
      <c r="E755" s="214"/>
      <c r="F755" s="214"/>
      <c r="G755" s="214"/>
      <c r="H755" s="212"/>
      <c r="I755" s="213"/>
      <c r="J755" s="213"/>
      <c r="K755" s="213"/>
      <c r="L755" s="213"/>
      <c r="M755" s="213"/>
      <c r="N755" s="213"/>
      <c r="O755" s="214"/>
    </row>
    <row r="756" spans="4:15" ht="24" customHeight="1">
      <c r="D756" s="279"/>
      <c r="E756" s="137"/>
      <c r="F756" s="137"/>
      <c r="G756" s="137"/>
      <c r="H756" s="152"/>
      <c r="I756" s="140"/>
      <c r="J756" s="140"/>
      <c r="K756" s="140"/>
      <c r="L756" s="140"/>
      <c r="M756" s="140"/>
      <c r="N756" s="140"/>
      <c r="O756" s="214"/>
    </row>
    <row r="757" spans="4:15" ht="24" customHeight="1">
      <c r="D757" s="279"/>
      <c r="E757" s="271"/>
      <c r="F757" s="137"/>
      <c r="G757" s="137"/>
      <c r="H757" s="152"/>
      <c r="I757" s="140"/>
      <c r="J757" s="140"/>
      <c r="K757" s="140"/>
      <c r="L757" s="140"/>
      <c r="M757" s="140"/>
      <c r="N757" s="140"/>
      <c r="O757" s="214"/>
    </row>
    <row r="758" spans="4:15" ht="24" customHeight="1">
      <c r="D758" s="279"/>
      <c r="E758" s="271"/>
      <c r="F758" s="137"/>
      <c r="G758" s="137"/>
      <c r="H758" s="152"/>
      <c r="I758" s="140"/>
      <c r="J758" s="140"/>
      <c r="K758" s="140"/>
      <c r="L758" s="140"/>
      <c r="M758" s="140"/>
      <c r="N758" s="140"/>
      <c r="O758" s="214"/>
    </row>
    <row r="759" spans="4:15" ht="24" customHeight="1">
      <c r="D759" s="280"/>
      <c r="E759" s="272"/>
      <c r="F759" s="214"/>
      <c r="G759" s="214"/>
      <c r="H759" s="212"/>
      <c r="I759" s="213"/>
      <c r="J759" s="213"/>
      <c r="K759" s="213"/>
      <c r="L759" s="213"/>
      <c r="M759" s="213"/>
      <c r="N759" s="213"/>
      <c r="O759" s="214"/>
    </row>
    <row r="760" spans="4:15" ht="24" customHeight="1">
      <c r="D760" s="279"/>
      <c r="E760" s="137"/>
      <c r="F760" s="137"/>
      <c r="G760" s="137"/>
      <c r="H760" s="152"/>
      <c r="I760" s="140"/>
      <c r="J760" s="140"/>
      <c r="K760" s="140"/>
      <c r="L760" s="140"/>
      <c r="M760" s="140"/>
      <c r="N760" s="140"/>
      <c r="O760" s="214"/>
    </row>
    <row r="761" spans="4:15" ht="24" customHeight="1">
      <c r="D761" s="279"/>
      <c r="E761" s="137"/>
      <c r="F761" s="137"/>
      <c r="G761" s="137"/>
      <c r="H761" s="152"/>
      <c r="I761" s="140"/>
      <c r="J761" s="140"/>
      <c r="K761" s="140"/>
      <c r="L761" s="140"/>
      <c r="M761" s="140"/>
      <c r="N761" s="140"/>
      <c r="O761" s="214"/>
    </row>
    <row r="762" spans="4:15" ht="24" customHeight="1">
      <c r="D762" s="279"/>
      <c r="E762" s="137"/>
      <c r="F762" s="137"/>
      <c r="G762" s="137"/>
      <c r="H762" s="152"/>
      <c r="I762" s="140"/>
      <c r="J762" s="152"/>
      <c r="K762" s="140"/>
      <c r="L762" s="152"/>
      <c r="M762" s="140"/>
      <c r="N762" s="140"/>
      <c r="O762" s="214"/>
    </row>
    <row r="763" spans="4:15" ht="24" customHeight="1">
      <c r="D763" s="279"/>
      <c r="E763" s="137"/>
      <c r="F763" s="137"/>
      <c r="G763" s="137"/>
      <c r="H763" s="152"/>
      <c r="I763" s="140"/>
      <c r="J763" s="140"/>
      <c r="K763" s="140"/>
      <c r="L763" s="140"/>
      <c r="M763" s="140"/>
      <c r="N763" s="140"/>
      <c r="O763" s="306"/>
    </row>
    <row r="764" spans="4:15" ht="24" customHeight="1">
      <c r="D764" s="279"/>
      <c r="E764" s="271"/>
      <c r="F764" s="137"/>
      <c r="G764" s="137"/>
      <c r="H764" s="152"/>
      <c r="I764" s="140"/>
      <c r="J764" s="140"/>
      <c r="K764" s="140"/>
      <c r="L764" s="140"/>
      <c r="M764" s="140"/>
      <c r="N764" s="140"/>
      <c r="O764" s="214"/>
    </row>
    <row r="765" spans="4:15" ht="24" customHeight="1">
      <c r="D765" s="279"/>
      <c r="E765" s="271"/>
      <c r="F765" s="137"/>
      <c r="G765" s="137"/>
      <c r="H765" s="152"/>
      <c r="I765" s="140"/>
      <c r="J765" s="140"/>
      <c r="K765" s="140"/>
      <c r="L765" s="140"/>
      <c r="M765" s="140"/>
      <c r="N765" s="140"/>
      <c r="O765" s="214"/>
    </row>
    <row r="766" spans="4:15" ht="24" customHeight="1">
      <c r="D766" s="280"/>
      <c r="E766" s="272"/>
      <c r="F766" s="214"/>
      <c r="G766" s="214"/>
      <c r="H766" s="212"/>
      <c r="I766" s="213"/>
      <c r="J766" s="213"/>
      <c r="K766" s="213"/>
      <c r="L766" s="213"/>
      <c r="M766" s="213"/>
      <c r="N766" s="213"/>
      <c r="O766" s="214"/>
    </row>
    <row r="767" spans="4:15" ht="24" customHeight="1">
      <c r="D767" s="279"/>
      <c r="E767" s="137"/>
      <c r="F767" s="137"/>
      <c r="G767" s="137"/>
      <c r="H767" s="152"/>
      <c r="I767" s="140"/>
      <c r="J767" s="140"/>
      <c r="K767" s="140"/>
      <c r="L767" s="140"/>
      <c r="M767" s="140"/>
      <c r="N767" s="140"/>
      <c r="O767" s="214"/>
    </row>
    <row r="768" spans="4:15" ht="24" customHeight="1">
      <c r="D768" s="279"/>
      <c r="E768" s="137"/>
      <c r="F768" s="137"/>
      <c r="G768" s="137"/>
      <c r="H768" s="152"/>
      <c r="I768" s="140"/>
      <c r="J768" s="152"/>
      <c r="K768" s="140"/>
      <c r="L768" s="152"/>
      <c r="M768" s="140"/>
      <c r="N768" s="140"/>
      <c r="O768" s="214"/>
    </row>
    <row r="769" spans="4:15" ht="24" customHeight="1">
      <c r="D769" s="279"/>
      <c r="E769" s="137"/>
      <c r="F769" s="137"/>
      <c r="G769" s="137"/>
      <c r="H769" s="152"/>
      <c r="I769" s="140"/>
      <c r="J769" s="140"/>
      <c r="K769" s="140"/>
      <c r="L769" s="140"/>
      <c r="M769" s="140"/>
      <c r="N769" s="140"/>
      <c r="O769" s="214"/>
    </row>
    <row r="770" spans="4:15" ht="24" customHeight="1">
      <c r="D770" s="279"/>
      <c r="E770" s="137"/>
      <c r="F770" s="137"/>
      <c r="G770" s="137"/>
      <c r="H770" s="152"/>
      <c r="I770" s="140"/>
      <c r="J770" s="140"/>
      <c r="K770" s="140"/>
      <c r="L770" s="140"/>
      <c r="M770" s="140"/>
      <c r="N770" s="140"/>
      <c r="O770" s="214"/>
    </row>
    <row r="771" spans="4:15" ht="24" customHeight="1">
      <c r="D771" s="279"/>
      <c r="E771" s="271"/>
      <c r="F771" s="137"/>
      <c r="G771" s="137"/>
      <c r="H771" s="152"/>
      <c r="I771" s="140"/>
      <c r="J771" s="140"/>
      <c r="K771" s="140"/>
      <c r="L771" s="140"/>
      <c r="M771" s="140"/>
      <c r="N771" s="140"/>
      <c r="O771" s="214"/>
    </row>
    <row r="772" spans="4:15" ht="24" customHeight="1">
      <c r="D772" s="279"/>
      <c r="E772" s="271"/>
      <c r="F772" s="137"/>
      <c r="G772" s="137"/>
      <c r="H772" s="152"/>
      <c r="I772" s="140"/>
      <c r="J772" s="140"/>
      <c r="K772" s="140"/>
      <c r="L772" s="140"/>
      <c r="M772" s="140"/>
      <c r="N772" s="140"/>
      <c r="O772" s="214"/>
    </row>
    <row r="773" spans="4:15" ht="24" customHeight="1">
      <c r="D773" s="280"/>
      <c r="E773" s="272"/>
      <c r="F773" s="214"/>
      <c r="G773" s="214"/>
      <c r="H773" s="212"/>
      <c r="I773" s="213"/>
      <c r="J773" s="213"/>
      <c r="K773" s="213"/>
      <c r="L773" s="213"/>
      <c r="M773" s="213"/>
      <c r="N773" s="213"/>
      <c r="O773" s="214"/>
    </row>
    <row r="774" spans="4:15" ht="24" customHeight="1">
      <c r="D774" s="279"/>
      <c r="E774" s="137"/>
      <c r="F774" s="137"/>
      <c r="G774" s="137"/>
      <c r="H774" s="152"/>
      <c r="I774" s="140"/>
      <c r="J774" s="140"/>
      <c r="K774" s="140"/>
      <c r="L774" s="140"/>
      <c r="M774" s="140"/>
      <c r="N774" s="140"/>
      <c r="O774" s="214"/>
    </row>
    <row r="775" spans="4:15" ht="24" customHeight="1">
      <c r="D775" s="279"/>
      <c r="E775" s="137"/>
      <c r="F775" s="137"/>
      <c r="G775" s="137"/>
      <c r="H775" s="152"/>
      <c r="I775" s="140"/>
      <c r="J775" s="152"/>
      <c r="K775" s="140"/>
      <c r="L775" s="152"/>
      <c r="M775" s="140"/>
      <c r="N775" s="140"/>
      <c r="O775" s="214"/>
    </row>
    <row r="776" spans="4:15" ht="24" customHeight="1">
      <c r="D776" s="279"/>
      <c r="E776" s="137"/>
      <c r="F776" s="137"/>
      <c r="G776" s="137"/>
      <c r="H776" s="152"/>
      <c r="I776" s="140"/>
      <c r="J776" s="140"/>
      <c r="K776" s="140"/>
      <c r="L776" s="140"/>
      <c r="M776" s="140"/>
      <c r="N776" s="140"/>
      <c r="O776" s="306"/>
    </row>
    <row r="777" spans="4:15" ht="24" customHeight="1">
      <c r="D777" s="279"/>
      <c r="E777" s="137"/>
      <c r="F777" s="137"/>
      <c r="G777" s="137"/>
      <c r="H777" s="152"/>
      <c r="I777" s="140"/>
      <c r="J777" s="140"/>
      <c r="K777" s="140"/>
      <c r="L777" s="140"/>
      <c r="M777" s="140"/>
      <c r="N777" s="140"/>
      <c r="O777" s="214"/>
    </row>
    <row r="778" spans="4:15" ht="24" customHeight="1">
      <c r="D778" s="279"/>
      <c r="E778" s="271"/>
      <c r="F778" s="137"/>
      <c r="G778" s="137"/>
      <c r="H778" s="152"/>
      <c r="I778" s="140"/>
      <c r="J778" s="140"/>
      <c r="K778" s="140"/>
      <c r="L778" s="140"/>
      <c r="M778" s="140"/>
      <c r="N778" s="140"/>
      <c r="O778" s="214"/>
    </row>
    <row r="779" spans="4:15" ht="24" customHeight="1">
      <c r="D779" s="279"/>
      <c r="E779" s="271"/>
      <c r="F779" s="137"/>
      <c r="G779" s="137"/>
      <c r="H779" s="152"/>
      <c r="I779" s="140"/>
      <c r="J779" s="140"/>
      <c r="K779" s="140"/>
      <c r="L779" s="140"/>
      <c r="M779" s="140"/>
      <c r="N779" s="140"/>
      <c r="O779" s="214"/>
    </row>
    <row r="780" spans="4:15" ht="24" customHeight="1">
      <c r="D780" s="280"/>
      <c r="E780" s="214"/>
      <c r="F780" s="214"/>
      <c r="G780" s="214"/>
      <c r="H780" s="212"/>
      <c r="I780" s="213"/>
      <c r="J780" s="213"/>
      <c r="K780" s="213"/>
      <c r="L780" s="213"/>
      <c r="M780" s="213"/>
      <c r="N780" s="213"/>
      <c r="O780" s="214"/>
    </row>
    <row r="781" spans="4:15" ht="24" customHeight="1">
      <c r="D781" s="279"/>
      <c r="E781" s="137"/>
      <c r="F781" s="137"/>
      <c r="G781" s="137"/>
      <c r="H781" s="152"/>
      <c r="I781" s="140"/>
      <c r="J781" s="140"/>
      <c r="K781" s="140"/>
      <c r="L781" s="140"/>
      <c r="M781" s="140"/>
      <c r="N781" s="140"/>
      <c r="O781" s="214"/>
    </row>
    <row r="782" spans="4:15" ht="24" customHeight="1">
      <c r="D782" s="279"/>
      <c r="E782" s="104"/>
      <c r="F782" s="104"/>
      <c r="G782" s="137"/>
      <c r="H782" s="152"/>
      <c r="I782" s="140"/>
      <c r="J782" s="140"/>
      <c r="K782" s="140"/>
      <c r="L782" s="140"/>
      <c r="M782" s="140"/>
      <c r="N782" s="140"/>
      <c r="O782" s="214"/>
    </row>
    <row r="783" spans="4:15" ht="24" customHeight="1">
      <c r="D783" s="279"/>
      <c r="E783" s="104"/>
      <c r="F783" s="104"/>
      <c r="G783" s="137"/>
      <c r="H783" s="152"/>
      <c r="I783" s="140"/>
      <c r="J783" s="140"/>
      <c r="K783" s="140"/>
      <c r="L783" s="140"/>
      <c r="M783" s="140"/>
      <c r="N783" s="140"/>
      <c r="O783" s="214"/>
    </row>
    <row r="784" spans="4:15" ht="24" customHeight="1">
      <c r="D784" s="279"/>
      <c r="E784" s="271"/>
      <c r="F784" s="137"/>
      <c r="G784" s="137"/>
      <c r="H784" s="152"/>
      <c r="I784" s="140"/>
      <c r="J784" s="140"/>
      <c r="K784" s="140"/>
      <c r="L784" s="140"/>
      <c r="M784" s="140"/>
      <c r="N784" s="140"/>
      <c r="O784" s="214"/>
    </row>
    <row r="785" spans="4:15" ht="24" customHeight="1">
      <c r="D785" s="279"/>
      <c r="E785" s="271"/>
      <c r="F785" s="137"/>
      <c r="G785" s="137"/>
      <c r="H785" s="152"/>
      <c r="I785" s="140"/>
      <c r="J785" s="140"/>
      <c r="K785" s="140"/>
      <c r="L785" s="140"/>
      <c r="M785" s="140"/>
      <c r="N785" s="140"/>
      <c r="O785" s="214"/>
    </row>
    <row r="786" spans="4:15" ht="24" customHeight="1">
      <c r="D786" s="280"/>
      <c r="E786" s="214"/>
      <c r="F786" s="214"/>
      <c r="G786" s="214"/>
      <c r="H786" s="212"/>
      <c r="I786" s="213"/>
      <c r="J786" s="213"/>
      <c r="K786" s="213"/>
      <c r="L786" s="213"/>
      <c r="M786" s="213"/>
      <c r="N786" s="213"/>
      <c r="O786" s="214"/>
    </row>
    <row r="787" spans="4:15" ht="24" customHeight="1">
      <c r="D787" s="279"/>
      <c r="E787" s="137"/>
      <c r="F787" s="137"/>
      <c r="G787" s="137"/>
      <c r="H787" s="152"/>
      <c r="I787" s="140"/>
      <c r="J787" s="140"/>
      <c r="K787" s="140"/>
      <c r="L787" s="140"/>
      <c r="M787" s="140"/>
      <c r="N787" s="140"/>
      <c r="O787" s="214"/>
    </row>
    <row r="788" spans="4:15" ht="24" customHeight="1">
      <c r="D788" s="279"/>
      <c r="E788" s="137"/>
      <c r="F788" s="137"/>
      <c r="G788" s="137"/>
      <c r="H788" s="152"/>
      <c r="I788" s="140"/>
      <c r="J788" s="152"/>
      <c r="K788" s="140"/>
      <c r="L788" s="152"/>
      <c r="M788" s="140"/>
      <c r="N788" s="140"/>
      <c r="O788" s="214"/>
    </row>
    <row r="789" spans="4:15" ht="24" customHeight="1">
      <c r="D789" s="279"/>
      <c r="E789" s="137"/>
      <c r="F789" s="137"/>
      <c r="G789" s="137"/>
      <c r="H789" s="152"/>
      <c r="I789" s="140"/>
      <c r="J789" s="140"/>
      <c r="K789" s="140"/>
      <c r="L789" s="140"/>
      <c r="M789" s="140"/>
      <c r="N789" s="140"/>
      <c r="O789" s="214"/>
    </row>
    <row r="790" spans="4:15" ht="24" customHeight="1">
      <c r="D790" s="279"/>
      <c r="E790" s="271"/>
      <c r="F790" s="137"/>
      <c r="G790" s="137"/>
      <c r="H790" s="152"/>
      <c r="I790" s="140"/>
      <c r="J790" s="140"/>
      <c r="K790" s="140"/>
      <c r="L790" s="140"/>
      <c r="M790" s="140"/>
      <c r="N790" s="140"/>
      <c r="O790" s="214"/>
    </row>
    <row r="791" spans="4:15" ht="24" customHeight="1">
      <c r="D791" s="279"/>
      <c r="E791" s="271"/>
      <c r="F791" s="137"/>
      <c r="G791" s="137"/>
      <c r="H791" s="152"/>
      <c r="I791" s="140"/>
      <c r="J791" s="140"/>
      <c r="K791" s="140"/>
      <c r="L791" s="140"/>
      <c r="M791" s="140"/>
      <c r="N791" s="140"/>
      <c r="O791" s="214"/>
    </row>
    <row r="792" spans="4:15" ht="24" customHeight="1">
      <c r="D792" s="280"/>
      <c r="E792" s="214"/>
      <c r="F792" s="214"/>
      <c r="G792" s="214"/>
      <c r="H792" s="212"/>
      <c r="I792" s="213"/>
      <c r="J792" s="213"/>
      <c r="K792" s="213"/>
      <c r="L792" s="213"/>
      <c r="M792" s="213"/>
      <c r="N792" s="213"/>
      <c r="O792" s="214"/>
    </row>
    <row r="793" spans="4:15" ht="24" customHeight="1">
      <c r="D793" s="279"/>
      <c r="E793" s="137"/>
      <c r="F793" s="137"/>
      <c r="G793" s="137"/>
      <c r="H793" s="152"/>
      <c r="I793" s="140"/>
      <c r="J793" s="140"/>
      <c r="K793" s="140"/>
      <c r="L793" s="140"/>
      <c r="M793" s="140"/>
      <c r="N793" s="140"/>
      <c r="O793" s="214"/>
    </row>
    <row r="794" spans="4:15" ht="24" customHeight="1">
      <c r="D794" s="279"/>
      <c r="E794" s="137"/>
      <c r="F794" s="137"/>
      <c r="G794" s="137"/>
      <c r="H794" s="152"/>
      <c r="I794" s="140"/>
      <c r="J794" s="140"/>
      <c r="K794" s="140"/>
      <c r="L794" s="140"/>
      <c r="M794" s="140"/>
      <c r="N794" s="140"/>
      <c r="O794" s="214"/>
    </row>
    <row r="795" spans="4:15" ht="24" customHeight="1">
      <c r="D795" s="279"/>
      <c r="E795" s="271"/>
      <c r="F795" s="137"/>
      <c r="G795" s="137"/>
      <c r="H795" s="152"/>
      <c r="I795" s="140"/>
      <c r="J795" s="140"/>
      <c r="K795" s="140"/>
      <c r="L795" s="140"/>
      <c r="M795" s="140"/>
      <c r="N795" s="140"/>
      <c r="O795" s="214"/>
    </row>
    <row r="796" spans="4:15" ht="24" customHeight="1">
      <c r="D796" s="279"/>
      <c r="E796" s="271"/>
      <c r="F796" s="137"/>
      <c r="G796" s="137"/>
      <c r="H796" s="152"/>
      <c r="I796" s="140"/>
      <c r="J796" s="140"/>
      <c r="K796" s="140"/>
      <c r="L796" s="140"/>
      <c r="M796" s="140"/>
      <c r="N796" s="140"/>
      <c r="O796" s="214"/>
    </row>
    <row r="797" spans="4:15" ht="24" customHeight="1">
      <c r="D797" s="280"/>
      <c r="E797" s="214"/>
      <c r="F797" s="214"/>
      <c r="G797" s="214"/>
      <c r="H797" s="212"/>
      <c r="I797" s="213"/>
      <c r="J797" s="213"/>
      <c r="K797" s="213"/>
      <c r="L797" s="213"/>
      <c r="M797" s="213"/>
      <c r="N797" s="213"/>
      <c r="O797" s="214"/>
    </row>
    <row r="798" spans="4:15" ht="24" customHeight="1">
      <c r="D798" s="279"/>
      <c r="E798" s="137"/>
      <c r="F798" s="137"/>
      <c r="G798" s="137"/>
      <c r="H798" s="152"/>
      <c r="I798" s="140"/>
      <c r="J798" s="140"/>
      <c r="K798" s="140"/>
      <c r="L798" s="140"/>
      <c r="M798" s="140"/>
      <c r="N798" s="140"/>
      <c r="O798" s="214"/>
    </row>
    <row r="799" spans="4:15" ht="24" customHeight="1">
      <c r="D799" s="279"/>
      <c r="E799" s="104"/>
      <c r="F799" s="104"/>
      <c r="G799" s="137"/>
      <c r="H799" s="152"/>
      <c r="I799" s="140"/>
      <c r="J799" s="140"/>
      <c r="K799" s="140"/>
      <c r="L799" s="140"/>
      <c r="M799" s="140"/>
      <c r="N799" s="140"/>
      <c r="O799" s="214"/>
    </row>
    <row r="800" spans="4:15" ht="24" customHeight="1">
      <c r="D800" s="279"/>
      <c r="E800" s="104"/>
      <c r="F800" s="104"/>
      <c r="G800" s="137"/>
      <c r="H800" s="152"/>
      <c r="I800" s="140"/>
      <c r="J800" s="140"/>
      <c r="K800" s="140"/>
      <c r="L800" s="140"/>
      <c r="M800" s="140"/>
      <c r="N800" s="140"/>
      <c r="O800" s="214"/>
    </row>
    <row r="801" spans="4:15" ht="24" customHeight="1">
      <c r="D801" s="279"/>
      <c r="E801" s="271"/>
      <c r="F801" s="137"/>
      <c r="G801" s="137"/>
      <c r="H801" s="152"/>
      <c r="I801" s="140"/>
      <c r="J801" s="140"/>
      <c r="K801" s="140"/>
      <c r="L801" s="140"/>
      <c r="M801" s="140"/>
      <c r="N801" s="140"/>
      <c r="O801" s="214"/>
    </row>
    <row r="802" spans="4:15" ht="24" customHeight="1">
      <c r="D802" s="279"/>
      <c r="E802" s="271"/>
      <c r="F802" s="137"/>
      <c r="G802" s="137"/>
      <c r="H802" s="152"/>
      <c r="I802" s="140"/>
      <c r="J802" s="140"/>
      <c r="K802" s="140"/>
      <c r="L802" s="140"/>
      <c r="M802" s="140"/>
      <c r="N802" s="140"/>
      <c r="O802" s="214"/>
    </row>
    <row r="803" spans="4:15" ht="24" customHeight="1">
      <c r="D803" s="280"/>
      <c r="E803" s="214"/>
      <c r="F803" s="214"/>
      <c r="G803" s="214"/>
      <c r="H803" s="212"/>
      <c r="I803" s="213"/>
      <c r="J803" s="213"/>
      <c r="K803" s="213"/>
      <c r="L803" s="213"/>
      <c r="M803" s="213"/>
      <c r="N803" s="213"/>
      <c r="O803" s="214"/>
    </row>
    <row r="804" spans="4:15" ht="24" customHeight="1">
      <c r="D804" s="279"/>
      <c r="E804" s="137"/>
      <c r="F804" s="137"/>
      <c r="G804" s="137"/>
      <c r="H804" s="152"/>
      <c r="I804" s="140"/>
      <c r="J804" s="152"/>
      <c r="K804" s="140"/>
      <c r="L804" s="152"/>
      <c r="M804" s="140"/>
      <c r="N804" s="140"/>
      <c r="O804" s="214"/>
    </row>
    <row r="805" spans="4:15" ht="24" customHeight="1">
      <c r="D805" s="279"/>
      <c r="E805" s="137"/>
      <c r="F805" s="137"/>
      <c r="G805" s="137"/>
      <c r="H805" s="152"/>
      <c r="I805" s="140"/>
      <c r="J805" s="140"/>
      <c r="K805" s="140"/>
      <c r="L805" s="140"/>
      <c r="M805" s="140"/>
      <c r="N805" s="140"/>
      <c r="O805" s="214"/>
    </row>
    <row r="806" spans="4:15" ht="24" customHeight="1">
      <c r="D806" s="279"/>
      <c r="E806" s="137"/>
      <c r="F806" s="137"/>
      <c r="G806" s="137"/>
      <c r="H806" s="152"/>
      <c r="I806" s="140"/>
      <c r="J806" s="140"/>
      <c r="K806" s="140"/>
      <c r="L806" s="140"/>
      <c r="M806" s="140"/>
      <c r="N806" s="140"/>
      <c r="O806" s="214"/>
    </row>
    <row r="807" spans="4:15" ht="24" customHeight="1">
      <c r="D807" s="279"/>
      <c r="E807" s="271"/>
      <c r="F807" s="137"/>
      <c r="G807" s="137"/>
      <c r="H807" s="152"/>
      <c r="I807" s="140"/>
      <c r="J807" s="140"/>
      <c r="K807" s="140"/>
      <c r="L807" s="140"/>
      <c r="M807" s="140"/>
      <c r="N807" s="140"/>
      <c r="O807" s="214"/>
    </row>
    <row r="808" spans="4:15" ht="24" customHeight="1">
      <c r="D808" s="279"/>
      <c r="E808" s="271"/>
      <c r="F808" s="137"/>
      <c r="G808" s="137"/>
      <c r="H808" s="152"/>
      <c r="I808" s="140"/>
      <c r="J808" s="140"/>
      <c r="K808" s="140"/>
      <c r="L808" s="140"/>
      <c r="M808" s="140"/>
      <c r="N808" s="140"/>
      <c r="O808" s="214"/>
    </row>
    <row r="809" spans="4:15" ht="24" customHeight="1">
      <c r="D809" s="280"/>
      <c r="E809" s="214"/>
      <c r="F809" s="214"/>
      <c r="G809" s="214"/>
      <c r="H809" s="212"/>
      <c r="I809" s="213"/>
      <c r="J809" s="213"/>
      <c r="K809" s="213"/>
      <c r="L809" s="213"/>
      <c r="M809" s="213"/>
      <c r="N809" s="213"/>
      <c r="O809" s="214"/>
    </row>
    <row r="810" spans="4:15" ht="24" customHeight="1">
      <c r="D810" s="279"/>
      <c r="E810" s="276"/>
      <c r="F810" s="137"/>
      <c r="G810" s="137"/>
      <c r="H810" s="152"/>
      <c r="I810" s="140"/>
      <c r="J810" s="140"/>
      <c r="K810" s="140"/>
      <c r="L810" s="140"/>
      <c r="M810" s="140"/>
      <c r="N810" s="140"/>
      <c r="O810" s="214"/>
    </row>
    <row r="811" spans="4:15" ht="24" customHeight="1">
      <c r="D811" s="279"/>
      <c r="E811" s="137"/>
      <c r="F811" s="137"/>
      <c r="G811" s="137"/>
      <c r="H811" s="152"/>
      <c r="I811" s="140"/>
      <c r="J811" s="140"/>
      <c r="K811" s="140"/>
      <c r="L811" s="140"/>
      <c r="M811" s="140"/>
      <c r="N811" s="140"/>
      <c r="O811" s="214"/>
    </row>
    <row r="812" spans="4:15" ht="24" customHeight="1">
      <c r="D812" s="279"/>
      <c r="E812" s="271"/>
      <c r="F812" s="137"/>
      <c r="G812" s="137"/>
      <c r="H812" s="152"/>
      <c r="I812" s="140"/>
      <c r="J812" s="140"/>
      <c r="K812" s="140"/>
      <c r="L812" s="140"/>
      <c r="M812" s="140"/>
      <c r="N812" s="140"/>
      <c r="O812" s="214"/>
    </row>
    <row r="813" spans="4:15" ht="24" customHeight="1">
      <c r="D813" s="279"/>
      <c r="E813" s="271"/>
      <c r="F813" s="137"/>
      <c r="G813" s="137"/>
      <c r="H813" s="152"/>
      <c r="I813" s="140"/>
      <c r="J813" s="140"/>
      <c r="K813" s="140"/>
      <c r="L813" s="140"/>
      <c r="M813" s="140"/>
      <c r="N813" s="140"/>
      <c r="O813" s="214"/>
    </row>
    <row r="814" spans="4:15" ht="24" customHeight="1">
      <c r="D814" s="280"/>
      <c r="E814" s="214"/>
      <c r="F814" s="214"/>
      <c r="G814" s="214"/>
      <c r="H814" s="212"/>
      <c r="I814" s="213"/>
      <c r="J814" s="213"/>
      <c r="K814" s="213"/>
      <c r="L814" s="213"/>
      <c r="M814" s="213"/>
      <c r="N814" s="213"/>
      <c r="O814" s="214"/>
    </row>
    <row r="815" spans="4:15" ht="24" customHeight="1">
      <c r="D815" s="279"/>
      <c r="E815" s="137"/>
      <c r="F815" s="137"/>
      <c r="G815" s="137"/>
      <c r="H815" s="152"/>
      <c r="I815" s="140"/>
      <c r="J815" s="140"/>
      <c r="K815" s="140"/>
      <c r="L815" s="140"/>
      <c r="M815" s="140"/>
      <c r="N815" s="140"/>
      <c r="O815" s="214"/>
    </row>
    <row r="816" spans="4:15" ht="24" customHeight="1">
      <c r="D816" s="279"/>
      <c r="E816" s="137"/>
      <c r="F816" s="137"/>
      <c r="G816" s="137"/>
      <c r="H816" s="152"/>
      <c r="I816" s="140"/>
      <c r="J816" s="140"/>
      <c r="K816" s="140"/>
      <c r="L816" s="140"/>
      <c r="M816" s="140"/>
      <c r="N816" s="140"/>
      <c r="O816" s="214"/>
    </row>
    <row r="817" spans="4:15" ht="24" customHeight="1">
      <c r="D817" s="279"/>
      <c r="E817" s="271"/>
      <c r="F817" s="137"/>
      <c r="G817" s="137"/>
      <c r="H817" s="152"/>
      <c r="I817" s="140"/>
      <c r="J817" s="140"/>
      <c r="K817" s="140"/>
      <c r="L817" s="140"/>
      <c r="M817" s="140"/>
      <c r="N817" s="140"/>
      <c r="O817" s="214"/>
    </row>
    <row r="818" spans="4:15" ht="24" customHeight="1">
      <c r="D818" s="279"/>
      <c r="E818" s="271"/>
      <c r="F818" s="137"/>
      <c r="G818" s="137"/>
      <c r="H818" s="152"/>
      <c r="I818" s="140"/>
      <c r="J818" s="140"/>
      <c r="K818" s="140"/>
      <c r="L818" s="140"/>
      <c r="M818" s="140"/>
      <c r="N818" s="140"/>
      <c r="O818" s="214"/>
    </row>
    <row r="819" spans="4:15" ht="24" customHeight="1">
      <c r="D819" s="280"/>
      <c r="E819" s="214"/>
      <c r="F819" s="214"/>
      <c r="G819" s="214"/>
      <c r="H819" s="212"/>
      <c r="I819" s="213"/>
      <c r="J819" s="213"/>
      <c r="K819" s="213"/>
      <c r="L819" s="213"/>
      <c r="M819" s="213"/>
      <c r="N819" s="213"/>
      <c r="O819" s="214"/>
    </row>
    <row r="820" spans="4:15" ht="24" customHeight="1">
      <c r="D820" s="279"/>
      <c r="E820" s="137"/>
      <c r="F820" s="137"/>
      <c r="G820" s="137"/>
      <c r="H820" s="152"/>
      <c r="I820" s="140"/>
      <c r="J820" s="140"/>
      <c r="K820" s="140"/>
      <c r="L820" s="140"/>
      <c r="M820" s="140"/>
      <c r="N820" s="140"/>
      <c r="O820" s="214"/>
    </row>
    <row r="821" spans="4:15" ht="24" customHeight="1">
      <c r="D821" s="279"/>
      <c r="E821" s="137"/>
      <c r="F821" s="137"/>
      <c r="G821" s="137"/>
      <c r="H821" s="152"/>
      <c r="I821" s="140"/>
      <c r="J821" s="140"/>
      <c r="K821" s="140"/>
      <c r="L821" s="140"/>
      <c r="M821" s="140"/>
      <c r="N821" s="140"/>
      <c r="O821" s="214"/>
    </row>
    <row r="822" spans="4:15" ht="24" customHeight="1">
      <c r="D822" s="279"/>
      <c r="E822" s="271"/>
      <c r="F822" s="137"/>
      <c r="G822" s="137"/>
      <c r="H822" s="152"/>
      <c r="I822" s="140"/>
      <c r="J822" s="140"/>
      <c r="K822" s="140"/>
      <c r="L822" s="140"/>
      <c r="M822" s="140"/>
      <c r="N822" s="140"/>
      <c r="O822" s="214"/>
    </row>
    <row r="823" spans="4:15" ht="24" customHeight="1">
      <c r="D823" s="279"/>
      <c r="E823" s="271"/>
      <c r="F823" s="137"/>
      <c r="G823" s="137"/>
      <c r="H823" s="152"/>
      <c r="I823" s="140"/>
      <c r="J823" s="140"/>
      <c r="K823" s="140"/>
      <c r="L823" s="140"/>
      <c r="M823" s="140"/>
      <c r="N823" s="140"/>
      <c r="O823" s="214"/>
    </row>
    <row r="824" spans="4:15" ht="24" customHeight="1">
      <c r="D824" s="280"/>
      <c r="E824" s="214"/>
      <c r="F824" s="214"/>
      <c r="G824" s="214"/>
      <c r="H824" s="212"/>
      <c r="I824" s="213"/>
      <c r="J824" s="213"/>
      <c r="K824" s="213"/>
      <c r="L824" s="213"/>
      <c r="M824" s="213"/>
      <c r="N824" s="213"/>
      <c r="O824" s="214"/>
    </row>
    <row r="825" spans="4:15" ht="24" customHeight="1">
      <c r="D825" s="279"/>
      <c r="E825" s="137"/>
      <c r="F825" s="137"/>
      <c r="G825" s="137"/>
      <c r="H825" s="152"/>
      <c r="I825" s="140"/>
      <c r="J825" s="140"/>
      <c r="K825" s="140"/>
      <c r="L825" s="140"/>
      <c r="M825" s="140"/>
      <c r="N825" s="140"/>
      <c r="O825" s="214"/>
    </row>
    <row r="826" spans="4:15" ht="24" customHeight="1">
      <c r="D826" s="279"/>
      <c r="E826" s="137"/>
      <c r="F826" s="137"/>
      <c r="G826" s="137"/>
      <c r="H826" s="152"/>
      <c r="I826" s="140"/>
      <c r="J826" s="140"/>
      <c r="K826" s="140"/>
      <c r="L826" s="140"/>
      <c r="M826" s="140"/>
      <c r="N826" s="140"/>
      <c r="O826" s="214"/>
    </row>
    <row r="827" spans="4:15" ht="24" customHeight="1">
      <c r="D827" s="279"/>
      <c r="E827" s="137"/>
      <c r="F827" s="137"/>
      <c r="G827" s="137"/>
      <c r="H827" s="152"/>
      <c r="I827" s="140"/>
      <c r="J827" s="140"/>
      <c r="K827" s="140"/>
      <c r="L827" s="140"/>
      <c r="M827" s="140"/>
      <c r="N827" s="140"/>
      <c r="O827" s="306"/>
    </row>
    <row r="828" spans="4:15" ht="24" customHeight="1">
      <c r="D828" s="279"/>
      <c r="E828" s="271"/>
      <c r="F828" s="137"/>
      <c r="G828" s="137"/>
      <c r="H828" s="152"/>
      <c r="I828" s="140"/>
      <c r="J828" s="140"/>
      <c r="K828" s="140"/>
      <c r="L828" s="140"/>
      <c r="M828" s="140"/>
      <c r="N828" s="140"/>
      <c r="O828" s="214"/>
    </row>
    <row r="829" spans="4:15" ht="24" customHeight="1">
      <c r="D829" s="279"/>
      <c r="E829" s="271"/>
      <c r="F829" s="137"/>
      <c r="G829" s="137"/>
      <c r="H829" s="152"/>
      <c r="I829" s="140"/>
      <c r="J829" s="140"/>
      <c r="K829" s="140"/>
      <c r="L829" s="140"/>
      <c r="M829" s="140"/>
      <c r="N829" s="140"/>
      <c r="O829" s="214"/>
    </row>
    <row r="830" spans="4:15" ht="24" customHeight="1">
      <c r="D830" s="280"/>
      <c r="E830" s="214"/>
      <c r="F830" s="214"/>
      <c r="G830" s="214"/>
      <c r="H830" s="212"/>
      <c r="I830" s="213"/>
      <c r="J830" s="213"/>
      <c r="K830" s="213"/>
      <c r="L830" s="213"/>
      <c r="M830" s="213"/>
      <c r="N830" s="213"/>
      <c r="O830" s="214"/>
    </row>
    <row r="831" spans="4:15" ht="24" customHeight="1">
      <c r="D831" s="279"/>
      <c r="E831" s="137"/>
      <c r="F831" s="137"/>
      <c r="G831" s="137"/>
      <c r="H831" s="152"/>
      <c r="I831" s="140"/>
      <c r="J831" s="140"/>
      <c r="K831" s="140"/>
      <c r="L831" s="140"/>
      <c r="M831" s="140"/>
      <c r="N831" s="140"/>
      <c r="O831" s="214"/>
    </row>
    <row r="832" spans="4:15" ht="24" customHeight="1">
      <c r="D832" s="279"/>
      <c r="E832" s="104"/>
      <c r="F832" s="325"/>
      <c r="G832" s="137"/>
      <c r="H832" s="152"/>
      <c r="I832" s="140"/>
      <c r="J832" s="140"/>
      <c r="K832" s="140"/>
      <c r="L832" s="140"/>
      <c r="M832" s="140"/>
      <c r="N832" s="140"/>
      <c r="O832" s="214"/>
    </row>
    <row r="833" spans="2:16" ht="24" customHeight="1">
      <c r="D833" s="279"/>
      <c r="E833" s="104"/>
      <c r="F833" s="326"/>
      <c r="G833" s="137"/>
      <c r="H833" s="152"/>
      <c r="I833" s="140"/>
      <c r="J833" s="140"/>
      <c r="K833" s="140"/>
      <c r="L833" s="140"/>
      <c r="M833" s="140"/>
      <c r="N833" s="140"/>
      <c r="O833" s="214"/>
    </row>
    <row r="834" spans="2:16" ht="24" customHeight="1">
      <c r="D834" s="279"/>
      <c r="E834" s="271"/>
      <c r="F834" s="137"/>
      <c r="G834" s="137"/>
      <c r="H834" s="152"/>
      <c r="I834" s="140"/>
      <c r="J834" s="140"/>
      <c r="K834" s="140"/>
      <c r="L834" s="140"/>
      <c r="M834" s="140"/>
      <c r="N834" s="140"/>
      <c r="O834" s="214"/>
    </row>
    <row r="835" spans="2:16" ht="24" customHeight="1">
      <c r="D835" s="279"/>
      <c r="E835" s="271"/>
      <c r="F835" s="137"/>
      <c r="G835" s="137"/>
      <c r="H835" s="152"/>
      <c r="I835" s="140"/>
      <c r="J835" s="140"/>
      <c r="K835" s="140"/>
      <c r="L835" s="140"/>
      <c r="M835" s="140"/>
      <c r="N835" s="140"/>
      <c r="O835" s="214"/>
    </row>
    <row r="836" spans="2:16" ht="24" customHeight="1">
      <c r="D836" s="280"/>
      <c r="E836" s="214"/>
      <c r="F836" s="214"/>
      <c r="G836" s="214"/>
      <c r="H836" s="212"/>
      <c r="I836" s="213"/>
      <c r="J836" s="213"/>
      <c r="K836" s="213"/>
      <c r="L836" s="213"/>
      <c r="M836" s="213"/>
      <c r="N836" s="213"/>
      <c r="O836" s="214"/>
    </row>
    <row r="837" spans="2:16" ht="24" customHeight="1">
      <c r="D837" s="279"/>
      <c r="E837" s="137"/>
      <c r="F837" s="137"/>
      <c r="G837" s="137"/>
      <c r="H837" s="152"/>
      <c r="I837" s="140"/>
      <c r="J837" s="140"/>
      <c r="K837" s="140"/>
      <c r="L837" s="140"/>
      <c r="M837" s="140"/>
      <c r="N837" s="140"/>
      <c r="O837" s="214"/>
    </row>
    <row r="838" spans="2:16" ht="24" customHeight="1">
      <c r="D838" s="279"/>
      <c r="E838" s="104"/>
      <c r="F838" s="325"/>
      <c r="G838" s="137"/>
      <c r="H838" s="152"/>
      <c r="I838" s="140"/>
      <c r="J838" s="140"/>
      <c r="K838" s="140"/>
      <c r="L838" s="140"/>
      <c r="M838" s="140"/>
      <c r="N838" s="140"/>
      <c r="O838" s="214"/>
    </row>
    <row r="839" spans="2:16" ht="24" customHeight="1">
      <c r="D839" s="279"/>
      <c r="E839" s="104"/>
      <c r="F839" s="325"/>
      <c r="G839" s="137"/>
      <c r="H839" s="152"/>
      <c r="I839" s="140"/>
      <c r="J839" s="140"/>
      <c r="K839" s="140"/>
      <c r="L839" s="140"/>
      <c r="M839" s="140"/>
      <c r="N839" s="140"/>
      <c r="O839" s="214"/>
    </row>
    <row r="840" spans="2:16" ht="24" customHeight="1">
      <c r="D840" s="279"/>
      <c r="E840" s="271"/>
      <c r="F840" s="137"/>
      <c r="G840" s="137"/>
      <c r="H840" s="152"/>
      <c r="I840" s="140"/>
      <c r="J840" s="140"/>
      <c r="K840" s="140"/>
      <c r="L840" s="140"/>
      <c r="M840" s="140"/>
      <c r="N840" s="140"/>
      <c r="O840" s="214"/>
    </row>
    <row r="841" spans="2:16" ht="24" customHeight="1">
      <c r="D841" s="279"/>
      <c r="E841" s="271"/>
      <c r="F841" s="137"/>
      <c r="G841" s="137"/>
      <c r="H841" s="152"/>
      <c r="I841" s="140"/>
      <c r="J841" s="140"/>
      <c r="K841" s="140"/>
      <c r="L841" s="140"/>
      <c r="M841" s="140"/>
      <c r="N841" s="140"/>
      <c r="O841" s="214"/>
    </row>
    <row r="842" spans="2:16" ht="24" customHeight="1">
      <c r="B842" s="215">
        <v>0.14336000000000002</v>
      </c>
      <c r="D842" s="280"/>
      <c r="E842" s="214"/>
      <c r="F842" s="214"/>
      <c r="G842" s="214"/>
      <c r="H842" s="212"/>
      <c r="I842" s="213"/>
      <c r="J842" s="213"/>
      <c r="K842" s="213"/>
      <c r="L842" s="213"/>
      <c r="M842" s="213"/>
      <c r="N842" s="213"/>
      <c r="O842" s="214"/>
      <c r="P842" s="215"/>
    </row>
    <row r="843" spans="2:16" ht="24" customHeight="1">
      <c r="D843" s="279"/>
      <c r="E843" s="137"/>
      <c r="F843" s="137"/>
      <c r="G843" s="137"/>
      <c r="H843" s="152"/>
      <c r="I843" s="140"/>
      <c r="J843" s="140"/>
      <c r="K843" s="140"/>
      <c r="L843" s="140"/>
      <c r="M843" s="140"/>
      <c r="N843" s="140"/>
      <c r="O843" s="214"/>
    </row>
    <row r="844" spans="2:16" ht="24" customHeight="1">
      <c r="D844" s="279"/>
      <c r="E844" s="104"/>
      <c r="F844" s="325"/>
      <c r="G844" s="137"/>
      <c r="H844" s="152"/>
      <c r="I844" s="140"/>
      <c r="J844" s="140"/>
      <c r="K844" s="140"/>
      <c r="L844" s="140"/>
      <c r="M844" s="140"/>
      <c r="N844" s="140"/>
      <c r="O844" s="214"/>
    </row>
    <row r="845" spans="2:16" ht="24" customHeight="1">
      <c r="D845" s="279"/>
      <c r="E845" s="104"/>
      <c r="F845" s="325"/>
      <c r="G845" s="137"/>
      <c r="H845" s="152"/>
      <c r="I845" s="140"/>
      <c r="J845" s="140"/>
      <c r="K845" s="140"/>
      <c r="L845" s="140"/>
      <c r="M845" s="140"/>
      <c r="N845" s="140"/>
      <c r="O845" s="214"/>
    </row>
    <row r="846" spans="2:16" ht="24" customHeight="1">
      <c r="D846" s="279"/>
      <c r="E846" s="271"/>
      <c r="F846" s="137"/>
      <c r="G846" s="137"/>
      <c r="H846" s="152"/>
      <c r="I846" s="140"/>
      <c r="J846" s="140"/>
      <c r="K846" s="140"/>
      <c r="L846" s="140"/>
      <c r="M846" s="140"/>
      <c r="N846" s="140"/>
      <c r="O846" s="214"/>
    </row>
    <row r="847" spans="2:16" ht="24" customHeight="1">
      <c r="D847" s="279"/>
      <c r="E847" s="271"/>
      <c r="F847" s="137"/>
      <c r="G847" s="137"/>
      <c r="H847" s="152"/>
      <c r="I847" s="140"/>
      <c r="J847" s="140"/>
      <c r="K847" s="140"/>
      <c r="L847" s="140"/>
      <c r="M847" s="140"/>
      <c r="N847" s="140"/>
      <c r="O847" s="214"/>
    </row>
    <row r="848" spans="2:16" ht="24" customHeight="1">
      <c r="D848" s="280"/>
      <c r="E848" s="214"/>
      <c r="F848" s="137"/>
      <c r="G848" s="214"/>
      <c r="H848" s="152"/>
      <c r="I848" s="140"/>
      <c r="J848" s="140"/>
      <c r="K848" s="140"/>
      <c r="L848" s="140"/>
      <c r="M848" s="140"/>
      <c r="N848" s="140"/>
      <c r="O848" s="214"/>
    </row>
    <row r="849" spans="4:15" ht="24" customHeight="1">
      <c r="D849" s="279"/>
      <c r="E849" s="137"/>
      <c r="F849" s="322"/>
      <c r="G849" s="137"/>
      <c r="H849" s="152"/>
      <c r="I849" s="140"/>
      <c r="J849" s="152"/>
      <c r="K849" s="140"/>
      <c r="L849" s="152"/>
      <c r="M849" s="140"/>
      <c r="N849" s="140"/>
      <c r="O849" s="214"/>
    </row>
    <row r="850" spans="4:15" ht="24" customHeight="1">
      <c r="D850" s="279"/>
      <c r="E850" s="137"/>
      <c r="F850" s="322"/>
      <c r="G850" s="137"/>
      <c r="H850" s="152"/>
      <c r="I850" s="140"/>
      <c r="J850" s="152"/>
      <c r="K850" s="140"/>
      <c r="L850" s="152"/>
      <c r="M850" s="140"/>
      <c r="N850" s="140"/>
      <c r="O850" s="214"/>
    </row>
    <row r="851" spans="4:15" ht="24" customHeight="1">
      <c r="D851" s="279"/>
      <c r="E851" s="137"/>
      <c r="F851" s="322"/>
      <c r="G851" s="137"/>
      <c r="H851" s="152"/>
      <c r="I851" s="140"/>
      <c r="J851" s="152"/>
      <c r="K851" s="140"/>
      <c r="L851" s="152"/>
      <c r="M851" s="140"/>
      <c r="N851" s="140"/>
      <c r="O851" s="214"/>
    </row>
    <row r="852" spans="4:15" ht="24" customHeight="1">
      <c r="D852" s="279"/>
      <c r="E852" s="137"/>
      <c r="F852" s="137"/>
      <c r="G852" s="137"/>
      <c r="H852" s="152"/>
      <c r="I852" s="140"/>
      <c r="J852" s="152"/>
      <c r="K852" s="140"/>
      <c r="L852" s="152"/>
      <c r="M852" s="140"/>
      <c r="N852" s="140"/>
      <c r="O852" s="214"/>
    </row>
    <row r="853" spans="4:15" ht="24" customHeight="1">
      <c r="D853" s="279"/>
      <c r="E853" s="137"/>
      <c r="F853" s="322"/>
      <c r="G853" s="137"/>
      <c r="H853" s="152"/>
      <c r="I853" s="140"/>
      <c r="J853" s="152"/>
      <c r="K853" s="140"/>
      <c r="L853" s="152"/>
      <c r="M853" s="140"/>
      <c r="N853" s="140"/>
      <c r="O853" s="214"/>
    </row>
    <row r="854" spans="4:15" ht="24" customHeight="1">
      <c r="D854" s="279"/>
      <c r="E854" s="137"/>
      <c r="F854" s="322"/>
      <c r="G854" s="137"/>
      <c r="H854" s="152"/>
      <c r="I854" s="140"/>
      <c r="J854" s="152"/>
      <c r="K854" s="140"/>
      <c r="L854" s="152"/>
      <c r="M854" s="140"/>
      <c r="N854" s="140"/>
      <c r="O854" s="214"/>
    </row>
    <row r="855" spans="4:15" ht="24" customHeight="1">
      <c r="D855" s="279"/>
      <c r="E855" s="137"/>
      <c r="F855" s="322"/>
      <c r="G855" s="137"/>
      <c r="H855" s="152"/>
      <c r="I855" s="140"/>
      <c r="J855" s="152"/>
      <c r="K855" s="140"/>
      <c r="L855" s="152"/>
      <c r="M855" s="140"/>
      <c r="N855" s="140"/>
      <c r="O855" s="214"/>
    </row>
    <row r="856" spans="4:15" ht="24" customHeight="1">
      <c r="D856" s="279"/>
      <c r="E856" s="137"/>
      <c r="F856" s="137"/>
      <c r="G856" s="137"/>
      <c r="H856" s="152"/>
      <c r="I856" s="140"/>
      <c r="J856" s="152"/>
      <c r="K856" s="140"/>
      <c r="L856" s="152"/>
      <c r="M856" s="140"/>
      <c r="N856" s="140"/>
      <c r="O856" s="214"/>
    </row>
    <row r="857" spans="4:15" ht="24" customHeight="1">
      <c r="D857" s="279"/>
      <c r="E857" s="271"/>
      <c r="F857" s="137"/>
      <c r="G857" s="137"/>
      <c r="H857" s="152"/>
      <c r="I857" s="140"/>
      <c r="J857" s="152"/>
      <c r="K857" s="140"/>
      <c r="L857" s="152"/>
      <c r="M857" s="140"/>
      <c r="N857" s="140"/>
      <c r="O857" s="214"/>
    </row>
    <row r="858" spans="4:15" ht="24" customHeight="1">
      <c r="D858" s="279"/>
      <c r="E858" s="271"/>
      <c r="F858" s="137"/>
      <c r="G858" s="137"/>
      <c r="H858" s="152"/>
      <c r="I858" s="140"/>
      <c r="J858" s="140"/>
      <c r="K858" s="140"/>
      <c r="L858" s="152"/>
      <c r="M858" s="140"/>
      <c r="N858" s="140"/>
      <c r="O858" s="214"/>
    </row>
    <row r="859" spans="4:15" ht="24" customHeight="1">
      <c r="D859" s="279"/>
      <c r="E859" s="271"/>
      <c r="F859" s="137"/>
      <c r="G859" s="137"/>
      <c r="H859" s="152"/>
      <c r="I859" s="140"/>
      <c r="J859" s="140"/>
      <c r="K859" s="140"/>
      <c r="L859" s="140"/>
      <c r="M859" s="140"/>
      <c r="N859" s="140"/>
      <c r="O859" s="214"/>
    </row>
    <row r="860" spans="4:15" ht="24" customHeight="1">
      <c r="D860" s="279"/>
      <c r="E860" s="271"/>
      <c r="F860" s="137"/>
      <c r="G860" s="137"/>
      <c r="H860" s="152"/>
      <c r="I860" s="140"/>
      <c r="J860" s="140"/>
      <c r="K860" s="140"/>
      <c r="L860" s="140"/>
      <c r="M860" s="140"/>
      <c r="N860" s="140"/>
      <c r="O860" s="214"/>
    </row>
    <row r="861" spans="4:15" ht="24" customHeight="1">
      <c r="D861" s="280"/>
      <c r="E861" s="214"/>
      <c r="F861" s="137"/>
      <c r="G861" s="214"/>
      <c r="H861" s="152"/>
      <c r="I861" s="140"/>
      <c r="J861" s="140"/>
      <c r="K861" s="140"/>
      <c r="L861" s="140"/>
      <c r="M861" s="140"/>
      <c r="N861" s="140"/>
      <c r="O861" s="214"/>
    </row>
    <row r="862" spans="4:15" ht="24" customHeight="1">
      <c r="D862" s="279"/>
      <c r="E862" s="137"/>
      <c r="F862" s="322"/>
      <c r="G862" s="137"/>
      <c r="H862" s="152"/>
      <c r="I862" s="140"/>
      <c r="J862" s="152"/>
      <c r="K862" s="140"/>
      <c r="L862" s="152"/>
      <c r="M862" s="140"/>
      <c r="N862" s="140"/>
      <c r="O862" s="214"/>
    </row>
    <row r="863" spans="4:15" ht="24" customHeight="1">
      <c r="D863" s="279"/>
      <c r="E863" s="137"/>
      <c r="F863" s="322"/>
      <c r="G863" s="137"/>
      <c r="H863" s="152"/>
      <c r="I863" s="140"/>
      <c r="J863" s="152"/>
      <c r="K863" s="140"/>
      <c r="L863" s="152"/>
      <c r="M863" s="140"/>
      <c r="N863" s="140"/>
      <c r="O863" s="214"/>
    </row>
    <row r="864" spans="4:15" ht="24" customHeight="1">
      <c r="D864" s="279"/>
      <c r="E864" s="137"/>
      <c r="F864" s="322"/>
      <c r="G864" s="137"/>
      <c r="H864" s="152"/>
      <c r="I864" s="140"/>
      <c r="J864" s="152"/>
      <c r="K864" s="140"/>
      <c r="L864" s="152"/>
      <c r="M864" s="140"/>
      <c r="N864" s="140"/>
      <c r="O864" s="214"/>
    </row>
    <row r="865" spans="4:15" ht="24" customHeight="1">
      <c r="D865" s="279"/>
      <c r="E865" s="137"/>
      <c r="F865" s="137"/>
      <c r="G865" s="137"/>
      <c r="H865" s="152"/>
      <c r="I865" s="140"/>
      <c r="J865" s="140"/>
      <c r="K865" s="140"/>
      <c r="L865" s="152"/>
      <c r="M865" s="140"/>
      <c r="N865" s="140"/>
      <c r="O865" s="214"/>
    </row>
    <row r="866" spans="4:15" ht="24" customHeight="1">
      <c r="D866" s="279"/>
      <c r="E866" s="137"/>
      <c r="F866" s="322"/>
      <c r="G866" s="137"/>
      <c r="H866" s="152"/>
      <c r="I866" s="140"/>
      <c r="J866" s="140"/>
      <c r="K866" s="140"/>
      <c r="L866" s="152"/>
      <c r="M866" s="140"/>
      <c r="N866" s="140"/>
      <c r="O866" s="214"/>
    </row>
    <row r="867" spans="4:15" ht="24" customHeight="1">
      <c r="D867" s="279"/>
      <c r="E867" s="271"/>
      <c r="F867" s="137"/>
      <c r="G867" s="137"/>
      <c r="H867" s="152"/>
      <c r="I867" s="140"/>
      <c r="J867" s="140"/>
      <c r="K867" s="140"/>
      <c r="L867" s="140"/>
      <c r="M867" s="140"/>
      <c r="N867" s="140"/>
      <c r="O867" s="214"/>
    </row>
    <row r="868" spans="4:15" ht="24" customHeight="1">
      <c r="D868" s="279"/>
      <c r="E868" s="271"/>
      <c r="F868" s="137"/>
      <c r="G868" s="214"/>
      <c r="H868" s="152"/>
      <c r="I868" s="140"/>
      <c r="J868" s="140"/>
      <c r="K868" s="140"/>
      <c r="L868" s="140"/>
      <c r="M868" s="140"/>
      <c r="N868" s="140"/>
      <c r="O868" s="214"/>
    </row>
    <row r="869" spans="4:15" ht="24" customHeight="1">
      <c r="D869" s="280"/>
      <c r="E869" s="214"/>
      <c r="F869" s="214"/>
      <c r="G869" s="214"/>
      <c r="H869" s="212"/>
      <c r="I869" s="213"/>
      <c r="J869" s="213"/>
      <c r="K869" s="213"/>
      <c r="L869" s="213"/>
      <c r="M869" s="213"/>
      <c r="N869" s="213"/>
      <c r="O869" s="214"/>
    </row>
    <row r="870" spans="4:15" ht="24" customHeight="1">
      <c r="D870" s="279"/>
      <c r="E870" s="137"/>
      <c r="F870" s="137"/>
      <c r="G870" s="137"/>
      <c r="H870" s="152"/>
      <c r="I870" s="140"/>
      <c r="J870" s="140"/>
      <c r="K870" s="140"/>
      <c r="L870" s="140"/>
      <c r="M870" s="140"/>
      <c r="N870" s="140"/>
      <c r="O870" s="214"/>
    </row>
    <row r="871" spans="4:15" ht="24" customHeight="1">
      <c r="D871" s="279"/>
      <c r="E871" s="104"/>
      <c r="F871" s="104"/>
      <c r="G871" s="137"/>
      <c r="H871" s="152"/>
      <c r="I871" s="140"/>
      <c r="J871" s="140"/>
      <c r="K871" s="140"/>
      <c r="L871" s="140"/>
      <c r="M871" s="140"/>
      <c r="N871" s="140"/>
      <c r="O871" s="263"/>
    </row>
    <row r="872" spans="4:15" ht="24" customHeight="1">
      <c r="D872" s="279"/>
      <c r="E872" s="271"/>
      <c r="F872" s="137"/>
      <c r="G872" s="137"/>
      <c r="H872" s="152"/>
      <c r="I872" s="140"/>
      <c r="J872" s="140"/>
      <c r="K872" s="140"/>
      <c r="L872" s="140"/>
      <c r="M872" s="140"/>
      <c r="N872" s="140"/>
      <c r="O872" s="214"/>
    </row>
    <row r="873" spans="4:15" ht="24" customHeight="1">
      <c r="D873" s="279"/>
      <c r="E873" s="271"/>
      <c r="F873" s="137"/>
      <c r="G873" s="137"/>
      <c r="H873" s="152"/>
      <c r="I873" s="140"/>
      <c r="J873" s="140"/>
      <c r="K873" s="140"/>
      <c r="L873" s="140"/>
      <c r="M873" s="140"/>
      <c r="N873" s="140"/>
      <c r="O873" s="214"/>
    </row>
    <row r="874" spans="4:15" ht="24" customHeight="1">
      <c r="D874" s="280"/>
      <c r="E874" s="214"/>
      <c r="F874" s="214"/>
      <c r="G874" s="214"/>
      <c r="H874" s="212"/>
      <c r="I874" s="213"/>
      <c r="J874" s="213"/>
      <c r="K874" s="213"/>
      <c r="L874" s="213"/>
      <c r="M874" s="213"/>
      <c r="N874" s="213"/>
      <c r="O874" s="214"/>
    </row>
    <row r="875" spans="4:15" ht="24" customHeight="1">
      <c r="D875" s="279"/>
      <c r="E875" s="137"/>
      <c r="F875" s="137"/>
      <c r="G875" s="137"/>
      <c r="H875" s="152"/>
      <c r="I875" s="140"/>
      <c r="J875" s="140"/>
      <c r="K875" s="140"/>
      <c r="L875" s="140"/>
      <c r="M875" s="140"/>
      <c r="N875" s="140"/>
      <c r="O875" s="214"/>
    </row>
    <row r="876" spans="4:15" ht="24" customHeight="1">
      <c r="D876" s="279"/>
      <c r="E876" s="137"/>
      <c r="F876" s="137"/>
      <c r="G876" s="137"/>
      <c r="H876" s="152"/>
      <c r="I876" s="140"/>
      <c r="J876" s="140"/>
      <c r="K876" s="140"/>
      <c r="L876" s="140"/>
      <c r="M876" s="140"/>
      <c r="N876" s="140"/>
      <c r="O876" s="214"/>
    </row>
    <row r="877" spans="4:15" ht="24" customHeight="1">
      <c r="D877" s="279"/>
      <c r="E877" s="137"/>
      <c r="F877" s="137"/>
      <c r="G877" s="137"/>
      <c r="H877" s="152"/>
      <c r="I877" s="140"/>
      <c r="J877" s="140"/>
      <c r="K877" s="140"/>
      <c r="L877" s="140"/>
      <c r="M877" s="140"/>
      <c r="N877" s="140"/>
      <c r="O877" s="214"/>
    </row>
    <row r="878" spans="4:15" ht="24" customHeight="1">
      <c r="D878" s="279"/>
      <c r="E878" s="137"/>
      <c r="F878" s="137"/>
      <c r="G878" s="137"/>
      <c r="H878" s="152"/>
      <c r="I878" s="140"/>
      <c r="J878" s="152"/>
      <c r="K878" s="140"/>
      <c r="L878" s="152"/>
      <c r="M878" s="140"/>
      <c r="N878" s="140"/>
      <c r="O878" s="214"/>
    </row>
    <row r="879" spans="4:15" ht="24" customHeight="1">
      <c r="D879" s="279"/>
      <c r="E879" s="137"/>
      <c r="F879" s="137"/>
      <c r="G879" s="137"/>
      <c r="H879" s="152"/>
      <c r="I879" s="140"/>
      <c r="J879" s="140"/>
      <c r="K879" s="140"/>
      <c r="L879" s="140"/>
      <c r="M879" s="140"/>
      <c r="N879" s="140"/>
      <c r="O879" s="214"/>
    </row>
    <row r="880" spans="4:15" ht="24" customHeight="1">
      <c r="D880" s="279"/>
      <c r="E880" s="271"/>
      <c r="F880" s="137"/>
      <c r="G880" s="137"/>
      <c r="H880" s="152"/>
      <c r="I880" s="140"/>
      <c r="J880" s="140"/>
      <c r="K880" s="140"/>
      <c r="L880" s="140"/>
      <c r="M880" s="140"/>
      <c r="N880" s="140"/>
      <c r="O880" s="214"/>
    </row>
    <row r="881" spans="4:15" ht="24" customHeight="1">
      <c r="D881" s="284"/>
      <c r="E881" s="218"/>
      <c r="F881" s="218"/>
      <c r="G881" s="264"/>
      <c r="H881" s="221"/>
      <c r="I881" s="221"/>
      <c r="J881" s="221"/>
      <c r="K881" s="221"/>
      <c r="L881" s="221"/>
      <c r="M881" s="221"/>
      <c r="N881" s="221"/>
      <c r="O881" s="308"/>
    </row>
    <row r="882" spans="4:15" ht="24" customHeight="1">
      <c r="D882" s="280"/>
      <c r="E882" s="214"/>
      <c r="F882" s="214"/>
      <c r="G882" s="214"/>
      <c r="H882" s="224"/>
      <c r="I882" s="213"/>
      <c r="J882" s="213"/>
      <c r="K882" s="213"/>
      <c r="L882" s="213"/>
      <c r="M882" s="213"/>
      <c r="N882" s="213"/>
      <c r="O882" s="243"/>
    </row>
    <row r="883" spans="4:15" ht="24" customHeight="1">
      <c r="D883" s="279"/>
      <c r="E883" s="137"/>
      <c r="F883" s="137"/>
      <c r="G883" s="137"/>
      <c r="H883" s="152"/>
      <c r="I883" s="140"/>
      <c r="J883" s="140"/>
      <c r="K883" s="140"/>
      <c r="L883" s="140"/>
      <c r="M883" s="140"/>
      <c r="N883" s="140"/>
      <c r="O883" s="212"/>
    </row>
    <row r="884" spans="4:15" ht="24" customHeight="1">
      <c r="D884" s="279"/>
      <c r="E884" s="104"/>
      <c r="F884" s="104"/>
      <c r="G884" s="137"/>
      <c r="H884" s="225"/>
      <c r="I884" s="140"/>
      <c r="J884" s="140"/>
      <c r="K884" s="140"/>
      <c r="L884" s="140"/>
      <c r="M884" s="140"/>
      <c r="N884" s="140"/>
      <c r="O884" s="303"/>
    </row>
    <row r="885" spans="4:15" ht="24" customHeight="1">
      <c r="D885" s="279"/>
      <c r="E885" s="277"/>
      <c r="F885" s="137"/>
      <c r="G885" s="137"/>
      <c r="H885" s="225"/>
      <c r="I885" s="140"/>
      <c r="J885" s="140"/>
      <c r="K885" s="140"/>
      <c r="L885" s="140"/>
      <c r="M885" s="140"/>
      <c r="N885" s="140"/>
      <c r="O885" s="212"/>
    </row>
    <row r="886" spans="4:15" ht="24" customHeight="1">
      <c r="D886" s="284"/>
      <c r="E886" s="218"/>
      <c r="F886" s="218"/>
      <c r="G886" s="264"/>
      <c r="H886" s="221"/>
      <c r="I886" s="221"/>
      <c r="J886" s="221"/>
      <c r="K886" s="221"/>
      <c r="L886" s="221"/>
      <c r="M886" s="221"/>
      <c r="N886" s="221"/>
      <c r="O886" s="308"/>
    </row>
    <row r="887" spans="4:15" ht="24" customHeight="1">
      <c r="D887" s="280"/>
      <c r="E887" s="278"/>
      <c r="F887" s="214"/>
      <c r="G887" s="214"/>
      <c r="H887" s="224"/>
      <c r="I887" s="213"/>
      <c r="J887" s="213"/>
      <c r="K887" s="213"/>
      <c r="L887" s="213"/>
      <c r="M887" s="213"/>
      <c r="N887" s="213"/>
      <c r="O887" s="243"/>
    </row>
    <row r="888" spans="4:15" ht="24" customHeight="1">
      <c r="D888" s="279"/>
      <c r="E888" s="137"/>
      <c r="F888" s="137"/>
      <c r="G888" s="137"/>
      <c r="H888" s="152"/>
      <c r="I888" s="140"/>
      <c r="J888" s="140"/>
      <c r="K888" s="140"/>
      <c r="L888" s="140"/>
      <c r="M888" s="140"/>
      <c r="N888" s="140"/>
      <c r="O888" s="214"/>
    </row>
    <row r="889" spans="4:15" ht="24" customHeight="1">
      <c r="D889" s="279"/>
      <c r="E889" s="137"/>
      <c r="F889" s="137"/>
      <c r="G889" s="137"/>
      <c r="H889" s="152"/>
      <c r="I889" s="140"/>
      <c r="J889" s="140"/>
      <c r="K889" s="140"/>
      <c r="L889" s="140"/>
      <c r="M889" s="140"/>
      <c r="N889" s="140"/>
      <c r="O889" s="214"/>
    </row>
    <row r="890" spans="4:15" ht="24" customHeight="1">
      <c r="D890" s="279"/>
      <c r="E890" s="137"/>
      <c r="F890" s="137"/>
      <c r="G890" s="137"/>
      <c r="H890" s="152"/>
      <c r="I890" s="140"/>
      <c r="J890" s="140"/>
      <c r="K890" s="140"/>
      <c r="L890" s="140"/>
      <c r="M890" s="140"/>
      <c r="N890" s="140"/>
      <c r="O890" s="214"/>
    </row>
    <row r="891" spans="4:15" ht="24" customHeight="1">
      <c r="D891" s="279"/>
      <c r="E891" s="277"/>
      <c r="F891" s="137"/>
      <c r="G891" s="137"/>
      <c r="H891" s="225"/>
      <c r="I891" s="140"/>
      <c r="J891" s="140"/>
      <c r="K891" s="140"/>
      <c r="L891" s="140"/>
      <c r="M891" s="140"/>
      <c r="N891" s="140"/>
      <c r="O891" s="212"/>
    </row>
    <row r="892" spans="4:15" ht="24" customHeight="1">
      <c r="D892" s="279"/>
      <c r="E892" s="271"/>
      <c r="F892" s="137"/>
      <c r="G892" s="137"/>
      <c r="H892" s="152"/>
      <c r="I892" s="140"/>
      <c r="J892" s="140"/>
      <c r="K892" s="140"/>
      <c r="L892" s="140"/>
      <c r="M892" s="140"/>
      <c r="N892" s="140"/>
      <c r="O892" s="214"/>
    </row>
    <row r="893" spans="4:15" ht="24" customHeight="1">
      <c r="D893" s="280"/>
      <c r="E893" s="214"/>
      <c r="F893" s="214"/>
      <c r="G893" s="214"/>
      <c r="H893" s="212"/>
      <c r="I893" s="213"/>
      <c r="J893" s="213"/>
      <c r="K893" s="213"/>
      <c r="L893" s="213"/>
      <c r="M893" s="213"/>
      <c r="N893" s="213"/>
      <c r="O893" s="214"/>
    </row>
    <row r="894" spans="4:15" ht="24" customHeight="1">
      <c r="D894" s="279"/>
      <c r="E894" s="137"/>
      <c r="F894" s="137"/>
      <c r="G894" s="137"/>
      <c r="H894" s="152"/>
      <c r="I894" s="140"/>
      <c r="J894" s="140"/>
      <c r="K894" s="140"/>
      <c r="L894" s="140"/>
      <c r="M894" s="140"/>
      <c r="N894" s="140"/>
      <c r="O894" s="214"/>
    </row>
    <row r="895" spans="4:15" ht="24" customHeight="1">
      <c r="D895" s="279"/>
      <c r="E895" s="137"/>
      <c r="F895" s="137"/>
      <c r="G895" s="137"/>
      <c r="H895" s="152"/>
      <c r="I895" s="140"/>
      <c r="J895" s="140"/>
      <c r="K895" s="140"/>
      <c r="L895" s="140"/>
      <c r="M895" s="140"/>
      <c r="N895" s="140"/>
      <c r="O895" s="214"/>
    </row>
    <row r="896" spans="4:15" ht="24" customHeight="1">
      <c r="D896" s="279"/>
      <c r="E896" s="137"/>
      <c r="F896" s="137"/>
      <c r="G896" s="137"/>
      <c r="H896" s="152"/>
      <c r="I896" s="140"/>
      <c r="J896" s="140"/>
      <c r="K896" s="140"/>
      <c r="L896" s="140"/>
      <c r="M896" s="140"/>
      <c r="N896" s="140"/>
      <c r="O896" s="214"/>
    </row>
    <row r="897" spans="4:15" ht="24" customHeight="1">
      <c r="D897" s="279"/>
      <c r="E897" s="137"/>
      <c r="F897" s="137"/>
      <c r="G897" s="137"/>
      <c r="H897" s="152"/>
      <c r="I897" s="140"/>
      <c r="J897" s="140"/>
      <c r="K897" s="140"/>
      <c r="L897" s="140"/>
      <c r="M897" s="140"/>
      <c r="N897" s="140"/>
      <c r="O897" s="214"/>
    </row>
    <row r="898" spans="4:15" ht="24" customHeight="1">
      <c r="D898" s="279"/>
      <c r="E898" s="137"/>
      <c r="F898" s="137"/>
      <c r="G898" s="137"/>
      <c r="H898" s="152"/>
      <c r="I898" s="140"/>
      <c r="J898" s="140"/>
      <c r="K898" s="140"/>
      <c r="L898" s="140"/>
      <c r="M898" s="140"/>
      <c r="N898" s="140"/>
      <c r="O898" s="214"/>
    </row>
    <row r="899" spans="4:15" ht="24" customHeight="1">
      <c r="D899" s="279"/>
      <c r="E899" s="137"/>
      <c r="F899" s="137"/>
      <c r="G899" s="137"/>
      <c r="H899" s="152"/>
      <c r="I899" s="140"/>
      <c r="J899" s="140"/>
      <c r="K899" s="140"/>
      <c r="L899" s="140"/>
      <c r="M899" s="140"/>
      <c r="N899" s="140"/>
      <c r="O899" s="306"/>
    </row>
    <row r="900" spans="4:15" ht="24" customHeight="1">
      <c r="D900" s="279"/>
      <c r="E900" s="137"/>
      <c r="F900" s="137"/>
      <c r="G900" s="137"/>
      <c r="H900" s="152"/>
      <c r="I900" s="140"/>
      <c r="J900" s="140"/>
      <c r="K900" s="140"/>
      <c r="L900" s="140"/>
      <c r="M900" s="140"/>
      <c r="N900" s="140"/>
      <c r="O900" s="214"/>
    </row>
    <row r="901" spans="4:15" ht="24" customHeight="1">
      <c r="D901" s="279"/>
      <c r="E901" s="271"/>
      <c r="F901" s="137"/>
      <c r="G901" s="137"/>
      <c r="H901" s="152"/>
      <c r="I901" s="140"/>
      <c r="J901" s="140"/>
      <c r="K901" s="140"/>
      <c r="L901" s="140"/>
      <c r="M901" s="140"/>
      <c r="N901" s="140"/>
      <c r="O901" s="214"/>
    </row>
    <row r="902" spans="4:15" ht="24" customHeight="1">
      <c r="D902" s="279"/>
      <c r="E902" s="271"/>
      <c r="F902" s="137"/>
      <c r="G902" s="214"/>
      <c r="H902" s="152"/>
      <c r="I902" s="140"/>
      <c r="J902" s="140"/>
      <c r="K902" s="140"/>
      <c r="L902" s="140"/>
      <c r="M902" s="140"/>
      <c r="N902" s="140"/>
      <c r="O902" s="214"/>
    </row>
    <row r="903" spans="4:15" ht="24" customHeight="1">
      <c r="D903" s="280"/>
      <c r="E903" s="214"/>
      <c r="F903" s="214"/>
      <c r="G903" s="214"/>
      <c r="H903" s="212"/>
      <c r="I903" s="213"/>
      <c r="J903" s="213"/>
      <c r="K903" s="213"/>
      <c r="L903" s="213"/>
      <c r="M903" s="213"/>
      <c r="N903" s="213"/>
      <c r="O903" s="214"/>
    </row>
    <row r="904" spans="4:15" ht="24" customHeight="1">
      <c r="D904" s="279"/>
      <c r="E904" s="137"/>
      <c r="F904" s="137"/>
      <c r="G904" s="137"/>
      <c r="H904" s="152"/>
      <c r="I904" s="140"/>
      <c r="J904" s="140"/>
      <c r="K904" s="140"/>
      <c r="L904" s="140"/>
      <c r="M904" s="140"/>
      <c r="N904" s="140"/>
      <c r="O904" s="214"/>
    </row>
    <row r="905" spans="4:15" ht="24" customHeight="1">
      <c r="D905" s="279"/>
      <c r="E905" s="104"/>
      <c r="F905" s="104"/>
      <c r="G905" s="137"/>
      <c r="H905" s="152"/>
      <c r="I905" s="140"/>
      <c r="J905" s="140"/>
      <c r="K905" s="140"/>
      <c r="L905" s="140"/>
      <c r="M905" s="140"/>
      <c r="N905" s="140"/>
      <c r="O905" s="263"/>
    </row>
    <row r="906" spans="4:15" ht="24" customHeight="1">
      <c r="D906" s="279"/>
      <c r="E906" s="271"/>
      <c r="F906" s="137"/>
      <c r="G906" s="137"/>
      <c r="H906" s="152"/>
      <c r="I906" s="140"/>
      <c r="J906" s="140"/>
      <c r="K906" s="140"/>
      <c r="L906" s="140"/>
      <c r="M906" s="140"/>
      <c r="N906" s="140"/>
      <c r="O906" s="214"/>
    </row>
    <row r="907" spans="4:15" ht="24" customHeight="1">
      <c r="D907" s="279"/>
      <c r="E907" s="271"/>
      <c r="F907" s="137"/>
      <c r="G907" s="137"/>
      <c r="H907" s="152"/>
      <c r="I907" s="140"/>
      <c r="J907" s="140"/>
      <c r="K907" s="140"/>
      <c r="L907" s="140"/>
      <c r="M907" s="140"/>
      <c r="N907" s="140"/>
      <c r="O907" s="214"/>
    </row>
  </sheetData>
  <autoFilter ref="C3:U578" xr:uid="{00000000-0009-0000-0000-00000E000000}"/>
  <mergeCells count="8">
    <mergeCell ref="C1:O1"/>
    <mergeCell ref="C2:C3"/>
    <mergeCell ref="L2:M2"/>
    <mergeCell ref="D2:D3"/>
    <mergeCell ref="E2:E3"/>
    <mergeCell ref="F2:F3"/>
    <mergeCell ref="G2:G3"/>
    <mergeCell ref="O2:O3"/>
  </mergeCells>
  <phoneticPr fontId="3" type="noConversion"/>
  <pageMargins left="0.78740157480314965" right="0.43307086614173229" top="0.68" bottom="0.19685039370078741" header="0.31" footer="0.15748031496062992"/>
  <pageSetup paperSize="9" scale="43" orientation="landscape" r:id="rId1"/>
  <headerFooter alignWithMargins="0">
    <oddHeader xml:space="preserve">&amp;C&amp;"바탕체,굵게"&amp;18일   위   대   가&amp;R&amp;"바탕,굵게"&amp;14 </oddHeader>
  </headerFooter>
  <rowBreaks count="14" manualBreakCount="14">
    <brk id="52" min="2" max="14" man="1"/>
    <brk id="74" min="2" max="14" man="1"/>
    <brk id="108" min="2" max="14" man="1"/>
    <brk id="158" min="2" max="14" man="1"/>
    <brk id="272" min="2" max="14" man="1"/>
    <brk id="331" min="2" max="14" man="1"/>
    <brk id="357" min="2" max="15" man="1"/>
    <brk id="386" min="2" max="15" man="1"/>
    <brk id="415" min="2" max="15" man="1"/>
    <brk id="444" min="2" max="15" man="1"/>
    <brk id="472" min="2" max="15" man="1"/>
    <brk id="501" min="2" max="15" man="1"/>
    <brk id="529" min="2" max="15" man="1"/>
    <brk id="559" min="2" max="1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8"/>
  <sheetViews>
    <sheetView view="pageBreakPreview" zoomScale="130" zoomScaleNormal="100" zoomScaleSheetLayoutView="130" workbookViewId="0">
      <selection activeCell="D5" sqref="D5"/>
    </sheetView>
  </sheetViews>
  <sheetFormatPr defaultRowHeight="13.5"/>
  <cols>
    <col min="1" max="1" width="9" bestFit="1" customWidth="1"/>
    <col min="2" max="2" width="35.21875" customWidth="1"/>
    <col min="3" max="3" width="25.6640625" bestFit="1" customWidth="1"/>
    <col min="4" max="4" width="9" bestFit="1" customWidth="1"/>
    <col min="6" max="6" width="9" bestFit="1" customWidth="1"/>
    <col min="8" max="9" width="9" bestFit="1" customWidth="1"/>
    <col min="10" max="10" width="13.77734375" bestFit="1" customWidth="1"/>
  </cols>
  <sheetData>
    <row r="1" spans="1:11" ht="25.5">
      <c r="A1" s="1262" t="s">
        <v>2614</v>
      </c>
      <c r="B1" s="1262"/>
      <c r="C1" s="1262"/>
      <c r="D1" s="1262"/>
      <c r="E1" s="1262"/>
      <c r="F1" s="1262"/>
      <c r="G1" s="1262"/>
      <c r="H1" s="1262"/>
      <c r="I1" s="1262"/>
      <c r="J1" s="1262"/>
      <c r="K1" s="1262"/>
    </row>
    <row r="2" spans="1:11" ht="14.25" thickBot="1">
      <c r="A2" s="934" t="e">
        <f>#REF!</f>
        <v>#REF!</v>
      </c>
      <c r="B2" s="935"/>
      <c r="C2" s="935"/>
      <c r="D2" s="936"/>
      <c r="E2" s="937"/>
      <c r="F2" s="935"/>
      <c r="G2" s="935"/>
      <c r="H2" s="935"/>
      <c r="I2" s="935"/>
      <c r="J2" s="935"/>
      <c r="K2" s="935"/>
    </row>
    <row r="3" spans="1:11">
      <c r="A3" s="1263" t="s">
        <v>547</v>
      </c>
      <c r="B3" s="1265" t="s">
        <v>2586</v>
      </c>
      <c r="C3" s="1265" t="s">
        <v>2587</v>
      </c>
      <c r="D3" s="1267" t="s">
        <v>2575</v>
      </c>
      <c r="E3" s="1267" t="s">
        <v>2576</v>
      </c>
      <c r="F3" s="1269" t="s">
        <v>2577</v>
      </c>
      <c r="G3" s="1269"/>
      <c r="H3" s="1269"/>
      <c r="I3" s="1269"/>
      <c r="J3" s="1269"/>
      <c r="K3" s="1270" t="s">
        <v>2578</v>
      </c>
    </row>
    <row r="4" spans="1:11">
      <c r="A4" s="1264"/>
      <c r="B4" s="1266"/>
      <c r="C4" s="1266"/>
      <c r="D4" s="1268"/>
      <c r="E4" s="1268"/>
      <c r="F4" s="938" t="s">
        <v>2579</v>
      </c>
      <c r="G4" s="938" t="s">
        <v>2580</v>
      </c>
      <c r="H4" s="938" t="s">
        <v>2581</v>
      </c>
      <c r="I4" s="938" t="s">
        <v>2582</v>
      </c>
      <c r="J4" s="938" t="s">
        <v>2583</v>
      </c>
      <c r="K4" s="1271"/>
    </row>
    <row r="5" spans="1:11">
      <c r="A5" s="939">
        <v>1</v>
      </c>
      <c r="B5" s="940" t="s">
        <v>2584</v>
      </c>
      <c r="C5" s="941" t="s">
        <v>2588</v>
      </c>
      <c r="D5" s="940" t="e">
        <f>SUM(#REF!)</f>
        <v>#REF!</v>
      </c>
      <c r="E5" s="942" t="e">
        <f>D5*1.2</f>
        <v>#REF!</v>
      </c>
      <c r="F5" s="940">
        <v>92739</v>
      </c>
      <c r="G5" s="940"/>
      <c r="H5" s="940">
        <v>10902</v>
      </c>
      <c r="I5" s="940">
        <f>SUM(F5:H5)</f>
        <v>103641</v>
      </c>
      <c r="J5" s="940" t="e">
        <f>E5*I5</f>
        <v>#REF!</v>
      </c>
      <c r="K5" s="943"/>
    </row>
    <row r="6" spans="1:11">
      <c r="A6" s="978">
        <v>2</v>
      </c>
      <c r="B6" s="979" t="s">
        <v>2619</v>
      </c>
      <c r="C6" s="980" t="s">
        <v>2620</v>
      </c>
      <c r="D6" s="979" t="e">
        <f>SUM(#REF!)</f>
        <v>#REF!</v>
      </c>
      <c r="E6" s="942" t="e">
        <f>D6*1.2</f>
        <v>#REF!</v>
      </c>
      <c r="F6" s="979">
        <v>166661</v>
      </c>
      <c r="G6" s="981"/>
      <c r="H6" s="981">
        <v>21340</v>
      </c>
      <c r="I6" s="940">
        <f>SUM(F6:H6)</f>
        <v>188001</v>
      </c>
      <c r="J6" s="940" t="e">
        <f>E6*I6</f>
        <v>#REF!</v>
      </c>
      <c r="K6" s="982"/>
    </row>
    <row r="7" spans="1:11">
      <c r="A7" s="978">
        <v>3</v>
      </c>
      <c r="B7" s="979" t="s">
        <v>2734</v>
      </c>
      <c r="C7" s="980"/>
      <c r="D7" s="979">
        <v>15</v>
      </c>
      <c r="E7" s="1090">
        <v>200000</v>
      </c>
      <c r="F7" s="979"/>
      <c r="G7" s="981"/>
      <c r="H7" s="981"/>
      <c r="I7" s="981"/>
      <c r="J7" s="981">
        <f>D7*E7</f>
        <v>3000000</v>
      </c>
      <c r="K7" s="982"/>
    </row>
    <row r="8" spans="1:11" ht="14.25" thickBot="1">
      <c r="A8" s="944" t="s">
        <v>2585</v>
      </c>
      <c r="B8" s="945"/>
      <c r="C8" s="946"/>
      <c r="D8" s="945"/>
      <c r="E8" s="945"/>
      <c r="F8" s="945"/>
      <c r="G8" s="947"/>
      <c r="H8" s="947"/>
      <c r="I8" s="947"/>
      <c r="J8" s="947" t="e">
        <f>SUM(J5:J7)</f>
        <v>#REF!</v>
      </c>
      <c r="K8" s="948"/>
    </row>
  </sheetData>
  <mergeCells count="8">
    <mergeCell ref="A1:K1"/>
    <mergeCell ref="A3:A4"/>
    <mergeCell ref="B3:B4"/>
    <mergeCell ref="C3:C4"/>
    <mergeCell ref="D3:D4"/>
    <mergeCell ref="E3:E4"/>
    <mergeCell ref="F3:J3"/>
    <mergeCell ref="K3:K4"/>
  </mergeCells>
  <phoneticPr fontId="3" type="noConversion"/>
  <pageMargins left="0.7" right="0.7" top="0.75" bottom="0.75" header="0.3" footer="0.3"/>
  <pageSetup paperSize="9" scale="5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11"/>
  <sheetViews>
    <sheetView view="pageBreakPreview" topLeftCell="A13" zoomScaleSheetLayoutView="100" workbookViewId="0">
      <selection activeCell="T79" sqref="T79"/>
    </sheetView>
  </sheetViews>
  <sheetFormatPr defaultColWidth="8" defaultRowHeight="14.25"/>
  <cols>
    <col min="1" max="1" width="6.77734375" style="6" customWidth="1"/>
    <col min="2" max="2" width="3.77734375" style="6" customWidth="1"/>
    <col min="3" max="3" width="2.109375" style="6" customWidth="1"/>
    <col min="4" max="4" width="4" style="6" customWidth="1"/>
    <col min="5" max="5" width="0.77734375" style="6" customWidth="1"/>
    <col min="6" max="6" width="4.44140625" style="6" customWidth="1"/>
    <col min="7" max="7" width="1.6640625" style="6" customWidth="1"/>
    <col min="8" max="8" width="5.21875" style="6" customWidth="1"/>
    <col min="9" max="9" width="1.77734375" style="6" customWidth="1"/>
    <col min="10" max="10" width="3.77734375" style="6" customWidth="1"/>
    <col min="11" max="11" width="1.5546875" style="6" customWidth="1"/>
    <col min="12" max="12" width="5.77734375" style="6" customWidth="1"/>
    <col min="13" max="13" width="1.21875" style="6" customWidth="1"/>
    <col min="14" max="14" width="0.88671875" style="6" customWidth="1"/>
    <col min="15" max="15" width="8" style="6" customWidth="1"/>
    <col min="16" max="16" width="13.77734375" style="6" customWidth="1"/>
    <col min="17" max="18" width="8" style="6" customWidth="1"/>
    <col min="19" max="19" width="5.5546875" style="6" customWidth="1"/>
    <col min="20" max="20" width="6.6640625" style="178" bestFit="1" customWidth="1"/>
    <col min="21" max="21" width="19.33203125" style="6" customWidth="1"/>
    <col min="22" max="16384" width="8" style="6"/>
  </cols>
  <sheetData>
    <row r="1" spans="1:27" ht="24.95" customHeight="1">
      <c r="A1" s="164" t="s">
        <v>337</v>
      </c>
      <c r="B1" s="4">
        <v>1</v>
      </c>
      <c r="C1" s="4" t="s">
        <v>338</v>
      </c>
      <c r="D1" s="4"/>
      <c r="E1" s="4"/>
      <c r="F1" s="4" t="str">
        <f>CONCATENATE("가로등 기초 (",W2,"x",Y2,"x",Z2,"x",AA2,")")</f>
        <v>가로등 기초 (500x1050x1050x1100)</v>
      </c>
      <c r="G1" s="4"/>
      <c r="H1" s="4"/>
      <c r="I1" s="4"/>
      <c r="J1" s="4"/>
      <c r="K1" s="4"/>
      <c r="L1" s="4"/>
      <c r="M1" s="165"/>
      <c r="N1" s="4"/>
      <c r="O1" s="4"/>
      <c r="P1" s="4"/>
      <c r="Q1" s="4"/>
      <c r="R1" s="4"/>
      <c r="S1" s="4"/>
      <c r="T1" s="166"/>
      <c r="U1" s="5" t="s">
        <v>284</v>
      </c>
      <c r="W1" s="6" t="s">
        <v>341</v>
      </c>
      <c r="X1" s="6" t="s">
        <v>342</v>
      </c>
      <c r="Y1" s="6" t="s">
        <v>343</v>
      </c>
      <c r="Z1" s="6" t="s">
        <v>344</v>
      </c>
      <c r="AA1" s="6" t="s">
        <v>287</v>
      </c>
    </row>
    <row r="2" spans="1:27" ht="24.95" customHeight="1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10"/>
      <c r="P2" s="11" t="s">
        <v>288</v>
      </c>
      <c r="Q2" s="12"/>
      <c r="R2" s="11" t="s">
        <v>289</v>
      </c>
      <c r="S2" s="13"/>
      <c r="T2" s="167" t="s">
        <v>21</v>
      </c>
      <c r="U2" s="14" t="s">
        <v>290</v>
      </c>
      <c r="W2" s="6">
        <v>500</v>
      </c>
      <c r="X2" s="6">
        <v>500</v>
      </c>
      <c r="Y2" s="6">
        <v>1050</v>
      </c>
      <c r="Z2" s="6">
        <v>1050</v>
      </c>
      <c r="AA2" s="6">
        <v>1100</v>
      </c>
    </row>
    <row r="3" spans="1:27">
      <c r="N3" s="16"/>
      <c r="O3" s="17" t="s">
        <v>291</v>
      </c>
      <c r="P3" s="18"/>
      <c r="Q3" s="19"/>
      <c r="R3" s="19"/>
      <c r="S3" s="20"/>
      <c r="T3" s="48"/>
      <c r="U3" s="21"/>
    </row>
    <row r="4" spans="1:27">
      <c r="E4" s="18"/>
      <c r="F4" s="18"/>
      <c r="G4" s="18"/>
      <c r="H4" s="169">
        <f>Z2</f>
        <v>1050</v>
      </c>
      <c r="I4" s="18"/>
      <c r="J4" s="18"/>
      <c r="K4" s="18"/>
      <c r="N4" s="16"/>
      <c r="O4" s="23" t="str">
        <f>CONCATENATE(A25/1000,"/6{(2x",H18/1000,"+",H32/1000,")x",H18/1000,"+(2x",H32/1000,"+",H18/ 1000,")x",H32/1000,"}")</f>
        <v>1.1/6{(2x1.81+1.15)x1.81+(2x1.15+1.81)x1.15}</v>
      </c>
      <c r="P4" s="18"/>
      <c r="Q4" s="18"/>
      <c r="R4" s="18"/>
      <c r="S4" s="24"/>
      <c r="T4" s="48">
        <f>TRUNC((A25/1000/6)*((2*(H18/1000)+(H32/1000))*(H18/1000)+(2*(H32/1000)+(H18/1000))*(H32/1000)),2)</f>
        <v>2.44</v>
      </c>
      <c r="U4" s="26"/>
    </row>
    <row r="5" spans="1:27" ht="12" customHeight="1">
      <c r="E5" s="29"/>
      <c r="F5" s="31">
        <f>(H4-H5)/2</f>
        <v>275</v>
      </c>
      <c r="G5" s="31"/>
      <c r="H5" s="31">
        <f>X2</f>
        <v>500</v>
      </c>
      <c r="I5" s="31"/>
      <c r="J5" s="31">
        <f>(H4-H5)/2</f>
        <v>275</v>
      </c>
      <c r="K5" s="32"/>
      <c r="N5" s="16"/>
      <c r="O5" s="23"/>
      <c r="P5" s="18"/>
      <c r="Q5" s="18"/>
      <c r="R5" s="18"/>
      <c r="S5" s="24"/>
      <c r="T5" s="48"/>
      <c r="U5" s="26"/>
    </row>
    <row r="6" spans="1:27">
      <c r="E6" s="22"/>
      <c r="F6" s="19"/>
      <c r="G6" s="20"/>
      <c r="H6" s="21"/>
      <c r="I6" s="19"/>
      <c r="J6" s="19"/>
      <c r="K6" s="20"/>
      <c r="N6" s="16"/>
      <c r="O6" s="23" t="s">
        <v>292</v>
      </c>
      <c r="P6" s="18"/>
      <c r="Q6" s="18"/>
      <c r="R6" s="18"/>
      <c r="S6" s="24"/>
      <c r="T6" s="48"/>
      <c r="U6" s="26"/>
    </row>
    <row r="7" spans="1:27">
      <c r="A7" s="23"/>
      <c r="B7" s="18"/>
      <c r="C7" s="18"/>
      <c r="D7" s="18"/>
      <c r="E7" s="18"/>
      <c r="F7" s="18"/>
      <c r="G7" s="18"/>
      <c r="H7" s="18"/>
      <c r="I7" s="18"/>
      <c r="J7" s="18"/>
      <c r="K7" s="18"/>
      <c r="N7" s="16"/>
      <c r="O7" s="23" t="str">
        <f>CONCATENATE(AA2/1000,"/6{(2x",W2/1000,"+",Y2/1000,")x",X2/1000,"+(2x",Y2/1000,"+",W2/1000,")x",Z2/1000,"}")</f>
        <v>1.1/6{(2x0.5+1.05)x0.5+(2x1.05+0.5)x1.05}</v>
      </c>
      <c r="P7" s="18"/>
      <c r="Q7" s="18"/>
      <c r="R7" s="18"/>
      <c r="S7" s="24"/>
      <c r="T7" s="48">
        <f>ROUND((A25/1000)/6*((2*(H19/1000)+(H31/1000))*(H19/1000)+(2*(H31/1000)+(H19/1000))*(H31/1000)),2)</f>
        <v>0.69</v>
      </c>
      <c r="U7" s="26"/>
    </row>
    <row r="8" spans="1:27" ht="12" customHeight="1">
      <c r="A8" s="23"/>
      <c r="B8" s="22"/>
      <c r="C8" s="22"/>
      <c r="D8" s="18"/>
      <c r="E8" s="18"/>
      <c r="F8" s="18"/>
      <c r="G8" s="18"/>
      <c r="H8" s="18"/>
      <c r="I8" s="18"/>
      <c r="J8" s="18"/>
      <c r="K8" s="18"/>
      <c r="N8" s="16"/>
      <c r="O8" s="23"/>
      <c r="P8" s="18"/>
      <c r="Q8" s="18"/>
      <c r="R8" s="18"/>
      <c r="S8" s="24"/>
      <c r="T8" s="48"/>
      <c r="U8" s="26"/>
    </row>
    <row r="9" spans="1:27">
      <c r="A9" s="23"/>
      <c r="B9" s="23">
        <f>(A11-B11)/2</f>
        <v>275</v>
      </c>
      <c r="C9" s="23"/>
      <c r="D9" s="18"/>
      <c r="E9" s="18"/>
      <c r="F9" s="18"/>
      <c r="G9" s="18"/>
      <c r="H9" s="18"/>
      <c r="I9" s="18"/>
      <c r="J9" s="18"/>
      <c r="K9" s="18"/>
      <c r="N9" s="16"/>
      <c r="O9" s="23" t="s">
        <v>2601</v>
      </c>
      <c r="P9" s="18"/>
      <c r="Q9" s="18"/>
      <c r="R9" s="18" t="str">
        <f>CONCATENATE("(",T4,"-",T7,")=")</f>
        <v>(2.44-0.69)=</v>
      </c>
      <c r="S9" s="24"/>
      <c r="T9" s="48">
        <f>T4-T7</f>
        <v>1.75</v>
      </c>
      <c r="U9" s="26"/>
    </row>
    <row r="10" spans="1:27" ht="12" customHeight="1">
      <c r="A10" s="23"/>
      <c r="B10" s="23"/>
      <c r="C10" s="168"/>
      <c r="D10" s="18"/>
      <c r="E10" s="18"/>
      <c r="F10" s="18"/>
      <c r="G10" s="18"/>
      <c r="H10" s="18"/>
      <c r="I10" s="18"/>
      <c r="J10" s="18"/>
      <c r="K10" s="18"/>
      <c r="N10" s="16"/>
      <c r="O10" s="23"/>
      <c r="P10" s="18"/>
      <c r="Q10" s="18"/>
      <c r="R10" s="18"/>
      <c r="S10" s="24"/>
      <c r="T10" s="48"/>
      <c r="U10" s="26"/>
    </row>
    <row r="11" spans="1:27">
      <c r="A11" s="23">
        <f>Y2</f>
        <v>1050</v>
      </c>
      <c r="B11" s="23">
        <f>W2</f>
        <v>500</v>
      </c>
      <c r="C11" s="23"/>
      <c r="D11" s="18"/>
      <c r="E11" s="18"/>
      <c r="F11" s="18"/>
      <c r="G11" s="18"/>
      <c r="H11" s="18"/>
      <c r="I11" s="18"/>
      <c r="J11" s="18"/>
      <c r="K11" s="18"/>
      <c r="N11" s="16"/>
      <c r="O11" s="23" t="s">
        <v>345</v>
      </c>
      <c r="P11" s="18"/>
      <c r="Q11" s="18" t="str">
        <f>CONCATENATE("(",H18/1000,"x",H18/1000,")=")</f>
        <v>(1.81x1.81)=</v>
      </c>
      <c r="R11" s="18"/>
      <c r="S11" s="24"/>
      <c r="T11" s="48">
        <f>TRUNC((H18/1000*H18/1000),2)</f>
        <v>3.27</v>
      </c>
      <c r="U11" s="26"/>
    </row>
    <row r="12" spans="1:27" ht="12" customHeight="1">
      <c r="A12" s="23"/>
      <c r="B12" s="23"/>
      <c r="C12" s="23"/>
      <c r="D12" s="18"/>
      <c r="E12" s="18"/>
      <c r="F12" s="18"/>
      <c r="G12" s="18"/>
      <c r="H12" s="18"/>
      <c r="I12" s="18"/>
      <c r="J12" s="18"/>
      <c r="K12" s="18"/>
      <c r="N12" s="16"/>
      <c r="O12" s="23"/>
      <c r="P12" s="18"/>
      <c r="Q12" s="18"/>
      <c r="R12" s="18"/>
      <c r="S12" s="24"/>
      <c r="T12" s="48"/>
      <c r="U12" s="26"/>
    </row>
    <row r="13" spans="1:27">
      <c r="A13" s="23"/>
      <c r="B13" s="23"/>
      <c r="C13" s="27"/>
      <c r="D13" s="18"/>
      <c r="E13" s="18"/>
      <c r="F13" s="18"/>
      <c r="G13" s="18"/>
      <c r="H13" s="18"/>
      <c r="I13" s="18"/>
      <c r="J13" s="18"/>
      <c r="K13" s="18"/>
      <c r="N13" s="16"/>
      <c r="O13" s="23" t="s">
        <v>2596</v>
      </c>
      <c r="P13" s="18"/>
      <c r="Q13" s="18"/>
      <c r="R13" s="18"/>
      <c r="S13" s="24"/>
      <c r="T13" s="48">
        <f>T4-T9</f>
        <v>0.69</v>
      </c>
      <c r="U13" s="26"/>
    </row>
    <row r="14" spans="1:27" ht="12" customHeight="1">
      <c r="A14" s="23"/>
      <c r="B14" s="23">
        <f>(A11-B11)/2</f>
        <v>275</v>
      </c>
      <c r="C14" s="23"/>
      <c r="D14" s="18"/>
      <c r="E14" s="18"/>
      <c r="F14" s="18"/>
      <c r="G14" s="18"/>
      <c r="H14" s="18"/>
      <c r="I14" s="18"/>
      <c r="J14" s="18"/>
      <c r="K14" s="18"/>
      <c r="N14" s="16"/>
      <c r="O14" s="23"/>
      <c r="P14" s="18"/>
      <c r="Q14" s="18"/>
      <c r="R14" s="18"/>
      <c r="S14" s="24"/>
      <c r="T14" s="48"/>
      <c r="U14" s="26"/>
    </row>
    <row r="15" spans="1:27" ht="5.25" customHeight="1">
      <c r="A15" s="23"/>
      <c r="B15" s="27"/>
      <c r="C15" s="27"/>
      <c r="D15" s="18"/>
      <c r="E15" s="18"/>
      <c r="F15" s="18"/>
      <c r="G15" s="18"/>
      <c r="H15" s="18"/>
      <c r="I15" s="18"/>
      <c r="J15" s="18"/>
      <c r="K15" s="18"/>
      <c r="N15" s="16"/>
      <c r="O15" s="23"/>
      <c r="P15" s="18"/>
      <c r="Q15" s="18"/>
      <c r="R15" s="18"/>
      <c r="S15" s="24"/>
      <c r="T15" s="48"/>
      <c r="U15" s="26"/>
    </row>
    <row r="16" spans="1:27">
      <c r="A16" s="23"/>
      <c r="B16" s="18"/>
      <c r="C16" s="18"/>
      <c r="D16" s="18"/>
      <c r="E16" s="18"/>
      <c r="F16" s="18"/>
      <c r="G16" s="18"/>
      <c r="H16" s="18"/>
      <c r="I16" s="18"/>
      <c r="J16" s="18"/>
      <c r="K16" s="18"/>
      <c r="N16" s="16"/>
      <c r="O16" s="23"/>
      <c r="P16" s="18"/>
      <c r="Q16" s="18"/>
      <c r="R16" s="18"/>
      <c r="S16" s="24"/>
      <c r="T16" s="48"/>
      <c r="U16" s="26"/>
    </row>
    <row r="17" spans="1:23" ht="12" customHeight="1">
      <c r="N17" s="16"/>
      <c r="O17" s="170"/>
      <c r="P17" s="18"/>
      <c r="Q17" s="18"/>
      <c r="R17" s="18"/>
      <c r="S17" s="24"/>
      <c r="T17" s="48"/>
      <c r="U17" s="26"/>
    </row>
    <row r="18" spans="1:23">
      <c r="A18" s="23"/>
      <c r="B18" s="18"/>
      <c r="C18" s="18"/>
      <c r="D18" s="18"/>
      <c r="E18" s="18"/>
      <c r="F18" s="18"/>
      <c r="G18" s="18"/>
      <c r="H18" s="169">
        <f>A25*0.3*2+H32</f>
        <v>1810</v>
      </c>
      <c r="I18" s="18"/>
      <c r="J18" s="18"/>
      <c r="K18" s="18"/>
      <c r="O18" s="23"/>
      <c r="P18" s="18"/>
      <c r="Q18" s="18"/>
      <c r="R18" s="18"/>
      <c r="S18" s="24"/>
      <c r="T18" s="171"/>
      <c r="U18" s="26"/>
    </row>
    <row r="19" spans="1:23" ht="12" customHeight="1">
      <c r="A19" s="23"/>
      <c r="B19" s="18"/>
      <c r="C19" s="18"/>
      <c r="D19" s="18"/>
      <c r="E19" s="29"/>
      <c r="F19" s="31">
        <f>F5</f>
        <v>275</v>
      </c>
      <c r="G19" s="31"/>
      <c r="H19" s="31">
        <f>W2</f>
        <v>500</v>
      </c>
      <c r="I19" s="31"/>
      <c r="J19" s="31">
        <f>J5</f>
        <v>275</v>
      </c>
      <c r="K19" s="32"/>
      <c r="O19" s="23"/>
      <c r="P19" s="18"/>
      <c r="Q19" s="18"/>
      <c r="R19" s="18"/>
      <c r="S19" s="24"/>
      <c r="T19" s="48"/>
      <c r="U19" s="26"/>
    </row>
    <row r="20" spans="1:23">
      <c r="A20" s="23"/>
      <c r="B20" s="18"/>
      <c r="C20" s="18"/>
      <c r="D20" s="18"/>
      <c r="E20" s="22"/>
      <c r="F20" s="19"/>
      <c r="G20" s="20"/>
      <c r="H20" s="21"/>
      <c r="I20" s="19"/>
      <c r="J20" s="19"/>
      <c r="K20" s="20"/>
      <c r="O20" s="23"/>
      <c r="P20" s="18"/>
      <c r="Q20" s="18"/>
      <c r="R20" s="18"/>
      <c r="S20" s="24"/>
      <c r="T20" s="48"/>
      <c r="U20" s="26"/>
    </row>
    <row r="21" spans="1:23" ht="12" customHeight="1">
      <c r="A21" s="23"/>
      <c r="B21" s="18"/>
      <c r="C21" s="18"/>
      <c r="D21" s="18"/>
      <c r="E21" s="18"/>
      <c r="F21" s="18"/>
      <c r="G21" s="18"/>
      <c r="H21" s="18"/>
      <c r="I21" s="18"/>
      <c r="J21" s="18"/>
      <c r="K21" s="18"/>
      <c r="N21" s="16"/>
      <c r="O21" s="23"/>
      <c r="P21" s="18"/>
      <c r="Q21" s="18"/>
      <c r="R21" s="18"/>
      <c r="S21" s="24"/>
      <c r="T21" s="48"/>
      <c r="U21" s="26"/>
    </row>
    <row r="22" spans="1:23">
      <c r="A22" s="23"/>
      <c r="B22" s="18"/>
      <c r="C22" s="18"/>
      <c r="D22" s="18"/>
      <c r="E22" s="18"/>
      <c r="F22" s="18"/>
      <c r="G22" s="18"/>
      <c r="H22" s="18"/>
      <c r="I22" s="18"/>
      <c r="J22" s="18"/>
      <c r="K22" s="18"/>
      <c r="N22" s="16"/>
      <c r="O22" s="173"/>
      <c r="P22" s="18"/>
      <c r="Q22" s="18"/>
      <c r="R22" s="18"/>
      <c r="S22" s="24"/>
      <c r="T22" s="48"/>
      <c r="U22" s="26"/>
    </row>
    <row r="23" spans="1:23" ht="12" customHeight="1">
      <c r="A23" s="23"/>
      <c r="B23" s="22"/>
      <c r="C23" s="18"/>
      <c r="D23" s="18"/>
      <c r="E23" s="18"/>
      <c r="F23" s="18"/>
      <c r="G23" s="18"/>
      <c r="H23" s="18"/>
      <c r="I23" s="18"/>
      <c r="J23" s="18"/>
      <c r="K23" s="18"/>
      <c r="N23" s="34"/>
      <c r="O23" s="23"/>
      <c r="P23" s="18"/>
      <c r="Q23" s="18"/>
      <c r="R23" s="18"/>
      <c r="S23" s="24"/>
      <c r="T23" s="48"/>
      <c r="U23" s="26"/>
    </row>
    <row r="24" spans="1:23">
      <c r="A24" s="23"/>
      <c r="B24" s="23"/>
      <c r="C24" s="18"/>
      <c r="D24" s="18"/>
      <c r="E24" s="18"/>
      <c r="F24" s="18"/>
      <c r="G24" s="18"/>
      <c r="H24" s="18"/>
      <c r="I24" s="18"/>
      <c r="J24" s="18"/>
      <c r="K24" s="18"/>
      <c r="N24" s="16"/>
      <c r="O24" s="173"/>
      <c r="P24" s="18"/>
      <c r="Q24" s="18"/>
      <c r="R24" s="18"/>
      <c r="S24" s="24"/>
      <c r="T24" s="48"/>
      <c r="U24" s="26"/>
    </row>
    <row r="25" spans="1:23" ht="12" customHeight="1">
      <c r="A25" s="172">
        <f>AA2</f>
        <v>1100</v>
      </c>
      <c r="B25" s="23"/>
      <c r="C25" s="18"/>
      <c r="D25" s="18"/>
      <c r="E25" s="18"/>
      <c r="F25" s="18"/>
      <c r="G25" s="18"/>
      <c r="H25" s="18"/>
      <c r="I25" s="18"/>
      <c r="J25" s="18"/>
      <c r="K25" s="18"/>
      <c r="N25" s="16"/>
      <c r="O25" s="23"/>
      <c r="P25" s="18"/>
      <c r="Q25" s="18"/>
      <c r="R25" s="18"/>
      <c r="S25" s="24"/>
      <c r="T25" s="48"/>
      <c r="U25" s="26"/>
    </row>
    <row r="26" spans="1:23">
      <c r="A26" s="23"/>
      <c r="B26" s="23"/>
      <c r="C26" s="18"/>
      <c r="D26" s="18"/>
      <c r="E26" s="18"/>
      <c r="F26" s="18"/>
      <c r="G26" s="18"/>
      <c r="H26" s="18"/>
      <c r="I26" s="18"/>
      <c r="J26" s="18"/>
      <c r="K26" s="18"/>
      <c r="N26" s="16"/>
      <c r="O26" s="23"/>
      <c r="P26" s="18"/>
      <c r="Q26" s="18"/>
      <c r="R26" s="18"/>
      <c r="S26" s="24"/>
      <c r="T26" s="48"/>
      <c r="U26" s="26"/>
      <c r="W26" s="39"/>
    </row>
    <row r="27" spans="1:23">
      <c r="A27" s="23"/>
      <c r="B27" s="23"/>
      <c r="C27" s="18"/>
      <c r="D27" s="18"/>
      <c r="E27" s="18"/>
      <c r="F27" s="18"/>
      <c r="G27" s="18"/>
      <c r="H27" s="18"/>
      <c r="I27" s="18"/>
      <c r="J27" s="18"/>
      <c r="K27" s="18"/>
      <c r="N27" s="16"/>
      <c r="O27" s="23"/>
      <c r="P27" s="175"/>
      <c r="Q27" s="18"/>
      <c r="R27" s="18"/>
      <c r="S27" s="24"/>
      <c r="T27" s="48"/>
      <c r="U27" s="26"/>
    </row>
    <row r="28" spans="1:23" ht="12" customHeight="1">
      <c r="A28" s="23"/>
      <c r="B28" s="27"/>
      <c r="C28" s="18"/>
      <c r="D28" s="18"/>
      <c r="E28" s="18"/>
      <c r="F28" s="18"/>
      <c r="G28" s="18"/>
      <c r="H28" s="18"/>
      <c r="I28" s="18"/>
      <c r="J28" s="18"/>
      <c r="K28" s="18"/>
      <c r="N28" s="16"/>
      <c r="O28" s="23"/>
      <c r="P28" s="18"/>
      <c r="Q28" s="18"/>
      <c r="R28" s="18"/>
      <c r="S28" s="24"/>
      <c r="T28" s="48"/>
      <c r="U28" s="26"/>
    </row>
    <row r="29" spans="1:23">
      <c r="A29" s="23"/>
      <c r="B29" s="18"/>
      <c r="C29" s="18"/>
      <c r="D29" s="18"/>
      <c r="E29" s="18"/>
      <c r="F29" s="18"/>
      <c r="G29" s="18"/>
      <c r="H29" s="18"/>
      <c r="I29" s="18"/>
      <c r="J29" s="18"/>
      <c r="K29" s="18"/>
      <c r="N29" s="16"/>
      <c r="O29" s="23"/>
      <c r="P29" s="18"/>
      <c r="Q29" s="18"/>
      <c r="R29" s="18"/>
      <c r="S29" s="24"/>
      <c r="T29" s="48"/>
      <c r="U29" s="26"/>
    </row>
    <row r="30" spans="1:23" ht="12" customHeight="1">
      <c r="A30" s="23"/>
      <c r="B30" s="18"/>
      <c r="C30" s="18"/>
      <c r="D30" s="18"/>
      <c r="E30" s="18"/>
      <c r="F30" s="18"/>
      <c r="G30" s="18"/>
      <c r="H30" s="18"/>
      <c r="I30" s="18"/>
      <c r="J30" s="18"/>
      <c r="K30" s="18"/>
      <c r="N30" s="16"/>
      <c r="O30" s="23"/>
      <c r="P30" s="18"/>
      <c r="Q30" s="18"/>
      <c r="R30" s="18"/>
      <c r="S30" s="24"/>
      <c r="T30" s="48"/>
      <c r="U30" s="26"/>
    </row>
    <row r="31" spans="1:23">
      <c r="A31" s="23"/>
      <c r="B31" s="18"/>
      <c r="C31" s="18"/>
      <c r="D31" s="18"/>
      <c r="E31" s="18"/>
      <c r="F31" s="27">
        <v>50</v>
      </c>
      <c r="G31" s="27"/>
      <c r="H31" s="45">
        <f>Z2</f>
        <v>1050</v>
      </c>
      <c r="I31" s="37"/>
      <c r="J31" s="37">
        <v>50</v>
      </c>
      <c r="K31" s="18"/>
      <c r="N31" s="16"/>
      <c r="O31" s="23"/>
      <c r="P31" s="18"/>
      <c r="Q31" s="41"/>
      <c r="R31" s="18"/>
      <c r="S31" s="24"/>
      <c r="T31" s="48"/>
      <c r="U31" s="26"/>
    </row>
    <row r="32" spans="1:23">
      <c r="A32" s="23"/>
      <c r="B32" s="18"/>
      <c r="C32" s="18"/>
      <c r="D32" s="18"/>
      <c r="E32" s="18"/>
      <c r="F32" s="29"/>
      <c r="G32" s="31"/>
      <c r="H32" s="174">
        <f>F31+H31+J31</f>
        <v>1150</v>
      </c>
      <c r="I32" s="31"/>
      <c r="J32" s="32"/>
      <c r="K32" s="18"/>
      <c r="N32" s="16"/>
      <c r="O32" s="23"/>
      <c r="P32" s="175"/>
      <c r="Q32" s="41"/>
      <c r="R32" s="18"/>
      <c r="S32" s="24"/>
      <c r="T32" s="48"/>
      <c r="U32" s="26"/>
    </row>
    <row r="33" spans="1:27">
      <c r="A33" s="15"/>
      <c r="N33" s="16"/>
      <c r="O33" s="23"/>
      <c r="P33" s="175"/>
      <c r="Q33" s="41"/>
      <c r="R33" s="18"/>
      <c r="S33" s="24"/>
      <c r="T33" s="48"/>
      <c r="U33" s="26"/>
    </row>
    <row r="34" spans="1:27">
      <c r="A34" s="15"/>
      <c r="N34" s="16"/>
      <c r="O34" s="23"/>
      <c r="P34" s="175"/>
      <c r="Q34" s="41"/>
      <c r="R34" s="18"/>
      <c r="S34" s="24"/>
      <c r="T34" s="48"/>
      <c r="U34" s="26"/>
    </row>
    <row r="35" spans="1:27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4"/>
      <c r="O35" s="27"/>
      <c r="P35" s="176"/>
      <c r="Q35" s="46"/>
      <c r="R35" s="45"/>
      <c r="S35" s="37"/>
      <c r="T35" s="177"/>
      <c r="U35" s="47"/>
    </row>
    <row r="36" spans="1:27" ht="24.95" customHeight="1">
      <c r="A36" s="164" t="s">
        <v>337</v>
      </c>
      <c r="B36" s="4">
        <v>2</v>
      </c>
      <c r="C36" s="4" t="s">
        <v>338</v>
      </c>
      <c r="D36" s="4"/>
      <c r="E36" s="4"/>
      <c r="F36" s="4" t="str">
        <f>CONCATENATE("분전반 기초 (",W37,"x",Y37,"x",AA37,")")</f>
        <v>분전반 기초 (500x500x800)</v>
      </c>
      <c r="G36" s="4"/>
      <c r="H36" s="4"/>
      <c r="I36" s="4"/>
      <c r="J36" s="4"/>
      <c r="K36" s="4"/>
      <c r="L36" s="4"/>
      <c r="M36" s="165"/>
      <c r="N36" s="4"/>
      <c r="O36" s="4"/>
      <c r="P36" s="4"/>
      <c r="Q36" s="4"/>
      <c r="R36" s="4"/>
      <c r="S36" s="4"/>
      <c r="T36" s="166"/>
      <c r="U36" s="5" t="s">
        <v>284</v>
      </c>
      <c r="W36" s="6" t="s">
        <v>341</v>
      </c>
      <c r="X36" s="6" t="s">
        <v>342</v>
      </c>
      <c r="Y36" s="6" t="s">
        <v>343</v>
      </c>
      <c r="Z36" s="6" t="s">
        <v>344</v>
      </c>
      <c r="AA36" s="6" t="s">
        <v>287</v>
      </c>
    </row>
    <row r="37" spans="1:27" ht="24.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9"/>
      <c r="O37" s="10"/>
      <c r="P37" s="11" t="s">
        <v>288</v>
      </c>
      <c r="Q37" s="12"/>
      <c r="R37" s="11" t="s">
        <v>289</v>
      </c>
      <c r="S37" s="13"/>
      <c r="T37" s="167" t="s">
        <v>21</v>
      </c>
      <c r="U37" s="14" t="s">
        <v>290</v>
      </c>
      <c r="W37" s="6">
        <v>500</v>
      </c>
      <c r="X37" s="6">
        <v>500</v>
      </c>
      <c r="Y37" s="6">
        <v>500</v>
      </c>
      <c r="Z37" s="6">
        <v>500</v>
      </c>
      <c r="AA37" s="6">
        <v>800</v>
      </c>
    </row>
    <row r="38" spans="1:27">
      <c r="N38" s="16"/>
      <c r="O38" s="17" t="s">
        <v>291</v>
      </c>
      <c r="P38" s="18"/>
      <c r="Q38" s="19"/>
      <c r="R38" s="19"/>
      <c r="S38" s="20"/>
      <c r="T38" s="48"/>
      <c r="U38" s="21"/>
    </row>
    <row r="39" spans="1:27">
      <c r="E39" s="18"/>
      <c r="F39" s="18"/>
      <c r="G39" s="18"/>
      <c r="H39" s="169">
        <f>Z37</f>
        <v>500</v>
      </c>
      <c r="I39" s="18"/>
      <c r="J39" s="18"/>
      <c r="K39" s="18"/>
      <c r="N39" s="16"/>
      <c r="O39" s="23" t="str">
        <f>CONCATENATE(A60/1000,"/6{(2x",H53/1000,"+",H67/1000,")x",H53/1000,"+(2x",H67/1000,"+",H53/ 1000,")x",H67/1000,"}")</f>
        <v>0.8/6{(2x1.18+0.7)x1.18+(2x0.7+1.18)x0.7}</v>
      </c>
      <c r="P39" s="18"/>
      <c r="Q39" s="18"/>
      <c r="R39" s="18"/>
      <c r="S39" s="24"/>
      <c r="T39" s="48">
        <f>TRUNC((A60/1000/6)*((2*(H53/1000)+(H67/1000))*(H53/1000)+(2*(H67/1000)+(H53/1000))*(H67/1000)),2)</f>
        <v>0.72</v>
      </c>
      <c r="U39" s="26"/>
    </row>
    <row r="40" spans="1:27" ht="12" customHeight="1">
      <c r="E40" s="29"/>
      <c r="F40" s="31">
        <f>(H39-H40)/2</f>
        <v>0</v>
      </c>
      <c r="G40" s="31"/>
      <c r="H40" s="31">
        <f>X37</f>
        <v>500</v>
      </c>
      <c r="I40" s="31"/>
      <c r="J40" s="31">
        <f>(H39-H40)/2</f>
        <v>0</v>
      </c>
      <c r="K40" s="32"/>
      <c r="N40" s="16"/>
      <c r="O40" s="23"/>
      <c r="P40" s="18"/>
      <c r="Q40" s="18"/>
      <c r="R40" s="18"/>
      <c r="S40" s="24"/>
      <c r="T40" s="48"/>
      <c r="U40" s="26"/>
    </row>
    <row r="41" spans="1:27">
      <c r="E41" s="22"/>
      <c r="F41" s="19"/>
      <c r="G41" s="20"/>
      <c r="H41" s="21"/>
      <c r="I41" s="19"/>
      <c r="J41" s="19"/>
      <c r="K41" s="20"/>
      <c r="N41" s="16"/>
      <c r="O41" s="23" t="s">
        <v>292</v>
      </c>
      <c r="P41" s="18"/>
      <c r="Q41" s="18"/>
      <c r="R41" s="18"/>
      <c r="S41" s="24"/>
      <c r="T41" s="48"/>
      <c r="U41" s="26"/>
    </row>
    <row r="42" spans="1:27">
      <c r="A42" s="23"/>
      <c r="B42" s="18"/>
      <c r="C42" s="18"/>
      <c r="D42" s="18"/>
      <c r="E42" s="18"/>
      <c r="F42" s="18"/>
      <c r="G42" s="18"/>
      <c r="H42" s="18"/>
      <c r="I42" s="18"/>
      <c r="J42" s="18"/>
      <c r="K42" s="18"/>
      <c r="N42" s="16"/>
      <c r="O42" s="23" t="str">
        <f>CONCATENATE(A60/1000,"/6{(2x",H54/1000,"+",H66/1000,")x",H54/1000,"+(2x",H66/1000,"+",H54/1000,")x",H66/1000,"}")</f>
        <v>0.8/6{(2x0.5+0.5)x0.5+(2x0.5+0.5)x0.5}</v>
      </c>
      <c r="P42" s="18"/>
      <c r="Q42" s="18"/>
      <c r="R42" s="18"/>
      <c r="S42" s="24"/>
      <c r="T42" s="48">
        <f>ROUND((A60/1000)/6*((2*(H54/1000)+(H66/1000))*(H54/1000)+(2*(H66/1000)+(H54/1000))*(H66/1000)),2)</f>
        <v>0.2</v>
      </c>
      <c r="U42" s="26"/>
    </row>
    <row r="43" spans="1:27" ht="12" customHeight="1">
      <c r="A43" s="23"/>
      <c r="B43" s="22"/>
      <c r="C43" s="22"/>
      <c r="D43" s="18"/>
      <c r="E43" s="18"/>
      <c r="F43" s="18"/>
      <c r="G43" s="18"/>
      <c r="H43" s="18"/>
      <c r="I43" s="18"/>
      <c r="J43" s="18"/>
      <c r="K43" s="18"/>
      <c r="N43" s="16"/>
      <c r="O43" s="23"/>
      <c r="P43" s="18"/>
      <c r="Q43" s="18"/>
      <c r="R43" s="18"/>
      <c r="S43" s="24"/>
      <c r="T43" s="48"/>
      <c r="U43" s="26"/>
    </row>
    <row r="44" spans="1:27">
      <c r="A44" s="23"/>
      <c r="B44" s="23">
        <f>(A46-B46)/2</f>
        <v>0</v>
      </c>
      <c r="C44" s="23"/>
      <c r="D44" s="18"/>
      <c r="E44" s="18"/>
      <c r="F44" s="18"/>
      <c r="G44" s="18"/>
      <c r="H44" s="18"/>
      <c r="I44" s="18"/>
      <c r="J44" s="18"/>
      <c r="K44" s="18"/>
      <c r="N44" s="16"/>
      <c r="O44" s="23" t="s">
        <v>2601</v>
      </c>
      <c r="P44" s="18"/>
      <c r="Q44" s="18"/>
      <c r="R44" s="18" t="str">
        <f>CONCATENATE("(",T39,"-",T42,")=")</f>
        <v>(0.72-0.2)=</v>
      </c>
      <c r="S44" s="24"/>
      <c r="T44" s="48">
        <f>T39-T42</f>
        <v>0.52</v>
      </c>
      <c r="U44" s="26"/>
    </row>
    <row r="45" spans="1:27" ht="12" customHeight="1">
      <c r="A45" s="23"/>
      <c r="B45" s="23"/>
      <c r="C45" s="168"/>
      <c r="D45" s="18"/>
      <c r="E45" s="18"/>
      <c r="F45" s="18"/>
      <c r="G45" s="18"/>
      <c r="H45" s="18"/>
      <c r="I45" s="18"/>
      <c r="J45" s="18"/>
      <c r="K45" s="18"/>
      <c r="N45" s="16"/>
      <c r="O45" s="23"/>
      <c r="P45" s="18"/>
      <c r="Q45" s="18"/>
      <c r="R45" s="18"/>
      <c r="S45" s="24"/>
      <c r="T45" s="48"/>
      <c r="U45" s="26"/>
    </row>
    <row r="46" spans="1:27">
      <c r="A46" s="23">
        <f>Y37</f>
        <v>500</v>
      </c>
      <c r="B46" s="23">
        <f>W37</f>
        <v>500</v>
      </c>
      <c r="C46" s="23"/>
      <c r="D46" s="18"/>
      <c r="E46" s="18"/>
      <c r="F46" s="18"/>
      <c r="G46" s="18"/>
      <c r="H46" s="18"/>
      <c r="I46" s="18"/>
      <c r="J46" s="18"/>
      <c r="K46" s="18"/>
      <c r="N46" s="16"/>
      <c r="O46" s="23" t="s">
        <v>345</v>
      </c>
      <c r="P46" s="18"/>
      <c r="Q46" s="18" t="str">
        <f>CONCATENATE("(",H53/1000,"x",H53/1000,")=")</f>
        <v>(1.18x1.18)=</v>
      </c>
      <c r="R46" s="18"/>
      <c r="S46" s="24"/>
      <c r="T46" s="48">
        <f>TRUNC((H53/1000*H53/1000),2)</f>
        <v>1.39</v>
      </c>
      <c r="U46" s="26"/>
    </row>
    <row r="47" spans="1:27" ht="12" customHeight="1">
      <c r="A47" s="23"/>
      <c r="B47" s="23"/>
      <c r="C47" s="23"/>
      <c r="D47" s="18"/>
      <c r="E47" s="18"/>
      <c r="F47" s="18"/>
      <c r="G47" s="18"/>
      <c r="H47" s="18"/>
      <c r="I47" s="18"/>
      <c r="J47" s="18"/>
      <c r="K47" s="18"/>
      <c r="N47" s="16"/>
      <c r="O47" s="23"/>
      <c r="P47" s="18"/>
      <c r="Q47" s="18"/>
      <c r="R47" s="18"/>
      <c r="S47" s="24"/>
      <c r="T47" s="48"/>
      <c r="U47" s="26"/>
    </row>
    <row r="48" spans="1:27">
      <c r="A48" s="23"/>
      <c r="B48" s="23"/>
      <c r="C48" s="27"/>
      <c r="D48" s="18"/>
      <c r="E48" s="18"/>
      <c r="F48" s="18"/>
      <c r="G48" s="18"/>
      <c r="H48" s="18"/>
      <c r="I48" s="18"/>
      <c r="J48" s="18"/>
      <c r="K48" s="18"/>
      <c r="N48" s="16"/>
      <c r="O48" s="23" t="s">
        <v>2596</v>
      </c>
      <c r="P48" s="18"/>
      <c r="Q48" s="18"/>
      <c r="R48" s="18"/>
      <c r="S48" s="24"/>
      <c r="T48" s="48">
        <f>T39-T44</f>
        <v>0.19999999999999996</v>
      </c>
      <c r="U48" s="26"/>
    </row>
    <row r="49" spans="1:23" ht="12" customHeight="1">
      <c r="A49" s="23"/>
      <c r="B49" s="23">
        <f>(A46-B46)/2</f>
        <v>0</v>
      </c>
      <c r="C49" s="23"/>
      <c r="D49" s="18"/>
      <c r="E49" s="18"/>
      <c r="F49" s="18"/>
      <c r="G49" s="18"/>
      <c r="H49" s="18"/>
      <c r="I49" s="18"/>
      <c r="J49" s="18"/>
      <c r="K49" s="18"/>
      <c r="N49" s="16"/>
      <c r="O49" s="23"/>
      <c r="P49" s="18"/>
      <c r="Q49" s="18"/>
      <c r="R49" s="18"/>
      <c r="S49" s="24"/>
      <c r="T49" s="48"/>
      <c r="U49" s="26"/>
    </row>
    <row r="50" spans="1:23" ht="5.25" customHeight="1">
      <c r="A50" s="23"/>
      <c r="B50" s="27"/>
      <c r="C50" s="27"/>
      <c r="D50" s="18"/>
      <c r="E50" s="18"/>
      <c r="F50" s="18"/>
      <c r="G50" s="18"/>
      <c r="H50" s="18"/>
      <c r="I50" s="18"/>
      <c r="J50" s="18"/>
      <c r="K50" s="18"/>
      <c r="N50" s="16"/>
      <c r="O50" s="23"/>
      <c r="P50" s="18"/>
      <c r="Q50" s="18"/>
      <c r="R50" s="18"/>
      <c r="S50" s="24"/>
      <c r="T50" s="48"/>
      <c r="U50" s="26"/>
    </row>
    <row r="51" spans="1:23">
      <c r="A51" s="23"/>
      <c r="B51" s="18"/>
      <c r="C51" s="18"/>
      <c r="D51" s="18"/>
      <c r="E51" s="18"/>
      <c r="F51" s="18"/>
      <c r="G51" s="18"/>
      <c r="H51" s="18"/>
      <c r="I51" s="18"/>
      <c r="J51" s="18"/>
      <c r="K51" s="18"/>
      <c r="N51" s="16"/>
      <c r="O51" s="23"/>
      <c r="P51" s="18"/>
      <c r="Q51" s="18"/>
      <c r="R51" s="18"/>
      <c r="S51" s="24"/>
      <c r="T51" s="48"/>
      <c r="U51" s="26"/>
    </row>
    <row r="52" spans="1:23" ht="12" customHeight="1">
      <c r="N52" s="16"/>
      <c r="O52" s="170"/>
      <c r="P52" s="18"/>
      <c r="Q52" s="18"/>
      <c r="R52" s="18"/>
      <c r="S52" s="24"/>
      <c r="T52" s="48"/>
      <c r="U52" s="26"/>
    </row>
    <row r="53" spans="1:23">
      <c r="A53" s="23"/>
      <c r="B53" s="18"/>
      <c r="C53" s="18"/>
      <c r="D53" s="18"/>
      <c r="E53" s="18"/>
      <c r="F53" s="18"/>
      <c r="G53" s="18"/>
      <c r="H53" s="169">
        <f>A60*0.3*2+H67</f>
        <v>1180</v>
      </c>
      <c r="I53" s="18"/>
      <c r="J53" s="18"/>
      <c r="K53" s="18"/>
      <c r="O53" s="23"/>
      <c r="P53" s="18"/>
      <c r="Q53" s="18"/>
      <c r="R53" s="18"/>
      <c r="S53" s="24"/>
      <c r="T53" s="171"/>
      <c r="U53" s="26"/>
    </row>
    <row r="54" spans="1:23" ht="12" customHeight="1">
      <c r="A54" s="23"/>
      <c r="B54" s="18"/>
      <c r="C54" s="18"/>
      <c r="D54" s="18"/>
      <c r="E54" s="29"/>
      <c r="F54" s="31">
        <f>(H53-H54)/2</f>
        <v>340</v>
      </c>
      <c r="G54" s="31"/>
      <c r="H54" s="31">
        <f>W37</f>
        <v>500</v>
      </c>
      <c r="I54" s="31"/>
      <c r="J54" s="31">
        <f>(H53-H54)/2</f>
        <v>340</v>
      </c>
      <c r="K54" s="32"/>
      <c r="O54" s="23"/>
      <c r="P54" s="18"/>
      <c r="Q54" s="18"/>
      <c r="R54" s="18"/>
      <c r="S54" s="24"/>
      <c r="T54" s="48"/>
      <c r="U54" s="26"/>
    </row>
    <row r="55" spans="1:23">
      <c r="A55" s="23"/>
      <c r="B55" s="18"/>
      <c r="C55" s="18"/>
      <c r="D55" s="18"/>
      <c r="E55" s="22"/>
      <c r="F55" s="19"/>
      <c r="G55" s="20"/>
      <c r="H55" s="21"/>
      <c r="I55" s="19"/>
      <c r="J55" s="19"/>
      <c r="K55" s="20"/>
      <c r="O55" s="23"/>
      <c r="P55" s="18"/>
      <c r="Q55" s="18"/>
      <c r="R55" s="18"/>
      <c r="S55" s="24"/>
      <c r="T55" s="48"/>
      <c r="U55" s="26"/>
    </row>
    <row r="56" spans="1:23" ht="12" customHeight="1">
      <c r="A56" s="23"/>
      <c r="B56" s="18"/>
      <c r="C56" s="18"/>
      <c r="D56" s="18"/>
      <c r="E56" s="18"/>
      <c r="F56" s="18"/>
      <c r="G56" s="18"/>
      <c r="H56" s="18"/>
      <c r="I56" s="18"/>
      <c r="J56" s="18"/>
      <c r="K56" s="18"/>
      <c r="N56" s="16"/>
      <c r="O56" s="23"/>
      <c r="P56" s="18"/>
      <c r="Q56" s="18"/>
      <c r="R56" s="18"/>
      <c r="S56" s="24"/>
      <c r="T56" s="48"/>
      <c r="U56" s="26"/>
    </row>
    <row r="57" spans="1:23">
      <c r="A57" s="23"/>
      <c r="B57" s="18"/>
      <c r="C57" s="18"/>
      <c r="D57" s="18"/>
      <c r="E57" s="18"/>
      <c r="F57" s="18"/>
      <c r="G57" s="18"/>
      <c r="H57" s="18"/>
      <c r="I57" s="18"/>
      <c r="J57" s="18"/>
      <c r="K57" s="18"/>
      <c r="N57" s="16"/>
      <c r="O57" s="173"/>
      <c r="P57" s="18"/>
      <c r="Q57" s="18"/>
      <c r="R57" s="18"/>
      <c r="S57" s="24"/>
      <c r="T57" s="48"/>
      <c r="U57" s="26"/>
    </row>
    <row r="58" spans="1:23" ht="12" customHeight="1">
      <c r="A58" s="23"/>
      <c r="B58" s="22"/>
      <c r="C58" s="18"/>
      <c r="D58" s="18"/>
      <c r="E58" s="18"/>
      <c r="F58" s="18"/>
      <c r="G58" s="18"/>
      <c r="H58" s="18"/>
      <c r="I58" s="18"/>
      <c r="J58" s="18"/>
      <c r="K58" s="18"/>
      <c r="N58" s="34"/>
      <c r="O58" s="23"/>
      <c r="P58" s="18"/>
      <c r="Q58" s="18"/>
      <c r="R58" s="18"/>
      <c r="S58" s="24"/>
      <c r="T58" s="48"/>
      <c r="U58" s="26"/>
    </row>
    <row r="59" spans="1:23">
      <c r="A59" s="23"/>
      <c r="B59" s="23"/>
      <c r="C59" s="18"/>
      <c r="D59" s="18"/>
      <c r="E59" s="18"/>
      <c r="F59" s="18"/>
      <c r="G59" s="18"/>
      <c r="H59" s="18"/>
      <c r="I59" s="18"/>
      <c r="J59" s="18"/>
      <c r="K59" s="18"/>
      <c r="N59" s="16"/>
      <c r="O59" s="173"/>
      <c r="P59" s="18"/>
      <c r="Q59" s="18"/>
      <c r="R59" s="18"/>
      <c r="S59" s="24"/>
      <c r="T59" s="48"/>
      <c r="U59" s="26"/>
    </row>
    <row r="60" spans="1:23" ht="12" customHeight="1">
      <c r="A60" s="172">
        <f>AA37</f>
        <v>800</v>
      </c>
      <c r="B60" s="23"/>
      <c r="C60" s="18"/>
      <c r="D60" s="18"/>
      <c r="E60" s="18"/>
      <c r="F60" s="18"/>
      <c r="G60" s="18"/>
      <c r="H60" s="18"/>
      <c r="I60" s="18"/>
      <c r="J60" s="18"/>
      <c r="K60" s="18"/>
      <c r="N60" s="16"/>
      <c r="O60" s="23"/>
      <c r="P60" s="18"/>
      <c r="Q60" s="18"/>
      <c r="R60" s="18"/>
      <c r="S60" s="24"/>
      <c r="T60" s="48"/>
      <c r="U60" s="26"/>
    </row>
    <row r="61" spans="1:23">
      <c r="A61" s="23"/>
      <c r="B61" s="23"/>
      <c r="C61" s="18"/>
      <c r="D61" s="18"/>
      <c r="E61" s="18"/>
      <c r="F61" s="18"/>
      <c r="G61" s="18"/>
      <c r="H61" s="18"/>
      <c r="I61" s="18"/>
      <c r="J61" s="18"/>
      <c r="K61" s="18"/>
      <c r="N61" s="16"/>
      <c r="O61" s="23"/>
      <c r="P61" s="18"/>
      <c r="Q61" s="18"/>
      <c r="R61" s="18"/>
      <c r="S61" s="24"/>
      <c r="T61" s="48"/>
      <c r="U61" s="26"/>
      <c r="W61" s="39"/>
    </row>
    <row r="62" spans="1:23">
      <c r="A62" s="23"/>
      <c r="B62" s="23"/>
      <c r="C62" s="18"/>
      <c r="D62" s="18"/>
      <c r="E62" s="18"/>
      <c r="F62" s="18"/>
      <c r="G62" s="18"/>
      <c r="H62" s="18"/>
      <c r="I62" s="18"/>
      <c r="J62" s="18"/>
      <c r="K62" s="18"/>
      <c r="N62" s="16"/>
      <c r="O62" s="23"/>
      <c r="P62" s="175"/>
      <c r="Q62" s="18"/>
      <c r="R62" s="18"/>
      <c r="S62" s="24"/>
      <c r="T62" s="48"/>
      <c r="U62" s="26"/>
    </row>
    <row r="63" spans="1:23" ht="12" customHeight="1">
      <c r="A63" s="23"/>
      <c r="B63" s="27"/>
      <c r="C63" s="18"/>
      <c r="D63" s="18"/>
      <c r="E63" s="18"/>
      <c r="F63" s="18"/>
      <c r="G63" s="18"/>
      <c r="H63" s="18"/>
      <c r="I63" s="18"/>
      <c r="J63" s="18"/>
      <c r="K63" s="18"/>
      <c r="N63" s="16"/>
      <c r="O63" s="23"/>
      <c r="P63" s="18"/>
      <c r="Q63" s="18"/>
      <c r="R63" s="18"/>
      <c r="S63" s="24"/>
      <c r="T63" s="48"/>
      <c r="U63" s="26"/>
    </row>
    <row r="64" spans="1:23">
      <c r="A64" s="23"/>
      <c r="B64" s="18"/>
      <c r="C64" s="18"/>
      <c r="D64" s="18"/>
      <c r="E64" s="18"/>
      <c r="F64" s="18"/>
      <c r="G64" s="18"/>
      <c r="H64" s="18"/>
      <c r="I64" s="18"/>
      <c r="J64" s="18"/>
      <c r="K64" s="18"/>
      <c r="N64" s="16"/>
      <c r="O64" s="23"/>
      <c r="P64" s="18"/>
      <c r="Q64" s="18"/>
      <c r="R64" s="18"/>
      <c r="S64" s="24"/>
      <c r="T64" s="48"/>
      <c r="U64" s="26"/>
    </row>
    <row r="65" spans="1:21" ht="12" customHeight="1">
      <c r="A65" s="23"/>
      <c r="B65" s="18"/>
      <c r="C65" s="18"/>
      <c r="D65" s="18"/>
      <c r="E65" s="18"/>
      <c r="F65" s="18"/>
      <c r="G65" s="18"/>
      <c r="H65" s="18"/>
      <c r="I65" s="18"/>
      <c r="J65" s="18"/>
      <c r="K65" s="18"/>
      <c r="N65" s="16"/>
      <c r="O65" s="23"/>
      <c r="P65" s="18"/>
      <c r="Q65" s="18"/>
      <c r="R65" s="18"/>
      <c r="S65" s="24"/>
      <c r="T65" s="48"/>
      <c r="U65" s="26"/>
    </row>
    <row r="66" spans="1:21">
      <c r="A66" s="23"/>
      <c r="B66" s="18"/>
      <c r="C66" s="18"/>
      <c r="D66" s="18"/>
      <c r="E66" s="18"/>
      <c r="F66" s="27">
        <v>100</v>
      </c>
      <c r="G66" s="27"/>
      <c r="H66" s="45">
        <f>Z37</f>
        <v>500</v>
      </c>
      <c r="I66" s="37"/>
      <c r="J66" s="37">
        <v>100</v>
      </c>
      <c r="K66" s="18"/>
      <c r="N66" s="16"/>
      <c r="O66" s="23"/>
      <c r="P66" s="18"/>
      <c r="Q66" s="41"/>
      <c r="R66" s="18"/>
      <c r="S66" s="24"/>
      <c r="T66" s="48"/>
      <c r="U66" s="26"/>
    </row>
    <row r="67" spans="1:21">
      <c r="A67" s="23"/>
      <c r="B67" s="18"/>
      <c r="C67" s="18"/>
      <c r="D67" s="18"/>
      <c r="E67" s="18"/>
      <c r="F67" s="29"/>
      <c r="G67" s="31"/>
      <c r="H67" s="174">
        <f>F66+H66+J66</f>
        <v>700</v>
      </c>
      <c r="I67" s="31"/>
      <c r="J67" s="32"/>
      <c r="K67" s="18"/>
      <c r="N67" s="16"/>
      <c r="O67" s="23"/>
      <c r="P67" s="175"/>
      <c r="Q67" s="41"/>
      <c r="R67" s="18"/>
      <c r="S67" s="24"/>
      <c r="T67" s="48"/>
      <c r="U67" s="26"/>
    </row>
    <row r="68" spans="1:21">
      <c r="A68" s="15"/>
      <c r="N68" s="16"/>
      <c r="O68" s="23"/>
      <c r="P68" s="175"/>
      <c r="Q68" s="41"/>
      <c r="R68" s="18"/>
      <c r="S68" s="24"/>
      <c r="T68" s="48"/>
      <c r="U68" s="26"/>
    </row>
    <row r="69" spans="1:21">
      <c r="A69" s="15"/>
      <c r="N69" s="16"/>
      <c r="O69" s="23"/>
      <c r="P69" s="175"/>
      <c r="Q69" s="41"/>
      <c r="R69" s="18"/>
      <c r="S69" s="24"/>
      <c r="T69" s="48"/>
      <c r="U69" s="26"/>
    </row>
    <row r="70" spans="1:21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4"/>
      <c r="O70" s="27"/>
      <c r="P70" s="176"/>
      <c r="Q70" s="46"/>
      <c r="R70" s="45"/>
      <c r="S70" s="37"/>
      <c r="T70" s="177"/>
      <c r="U70" s="47"/>
    </row>
    <row r="71" spans="1:21">
      <c r="A71" s="164" t="s">
        <v>337</v>
      </c>
      <c r="B71" s="4">
        <v>3</v>
      </c>
      <c r="C71" s="4" t="s">
        <v>338</v>
      </c>
      <c r="D71" s="4"/>
      <c r="E71" s="4"/>
      <c r="F71" s="4" t="str">
        <f>CONCATENATE("보도관로굴착 ELP 30")</f>
        <v>보도관로굴착 ELP 30</v>
      </c>
      <c r="G71" s="4"/>
      <c r="H71" s="4"/>
      <c r="I71" s="4"/>
      <c r="J71" s="4"/>
      <c r="K71" s="4"/>
      <c r="L71" s="4"/>
      <c r="M71" s="165"/>
      <c r="N71" s="4"/>
      <c r="O71" s="4"/>
      <c r="P71" s="4"/>
      <c r="Q71" s="4"/>
      <c r="R71" s="4"/>
      <c r="S71" s="4"/>
      <c r="T71" s="166"/>
      <c r="U71" s="5" t="s">
        <v>2593</v>
      </c>
    </row>
    <row r="72" spans="1:21">
      <c r="A72" s="7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9"/>
      <c r="O72" s="10"/>
      <c r="P72" s="11" t="s">
        <v>288</v>
      </c>
      <c r="Q72" s="12"/>
      <c r="R72" s="11" t="s">
        <v>289</v>
      </c>
      <c r="S72" s="13"/>
      <c r="T72" s="167" t="s">
        <v>21</v>
      </c>
      <c r="U72" s="14" t="s">
        <v>290</v>
      </c>
    </row>
    <row r="73" spans="1:21">
      <c r="A73" s="23"/>
      <c r="B73" s="18"/>
      <c r="C73" s="18"/>
      <c r="D73" s="18"/>
      <c r="E73" s="18"/>
      <c r="F73" s="18"/>
      <c r="G73" s="18"/>
      <c r="H73" s="169"/>
      <c r="I73" s="18"/>
      <c r="J73" s="18"/>
      <c r="K73" s="18"/>
      <c r="O73" s="23" t="s">
        <v>2589</v>
      </c>
      <c r="P73" s="18"/>
      <c r="Q73" s="18" t="str">
        <f>CONCATENATE("(",1.2,"x",1,")=")</f>
        <v>(1.2x1)=</v>
      </c>
      <c r="R73" s="18"/>
      <c r="S73" s="24"/>
      <c r="T73" s="171">
        <f>TRUNC((1.2*1),2)</f>
        <v>1.2</v>
      </c>
      <c r="U73" s="26"/>
    </row>
    <row r="74" spans="1:21">
      <c r="A74" s="23"/>
      <c r="B74" s="18"/>
      <c r="C74" s="18"/>
      <c r="D74" s="18"/>
      <c r="E74" s="29"/>
      <c r="F74" s="31"/>
      <c r="G74" s="31"/>
      <c r="H74" s="31"/>
      <c r="I74" s="31"/>
      <c r="J74" s="31"/>
      <c r="K74" s="32"/>
      <c r="O74" s="23"/>
      <c r="P74" s="18"/>
      <c r="Q74" s="18"/>
      <c r="R74" s="18"/>
      <c r="S74" s="24"/>
      <c r="T74" s="48"/>
      <c r="U74" s="26"/>
    </row>
    <row r="75" spans="1:21">
      <c r="A75" s="23"/>
      <c r="B75" s="18"/>
      <c r="C75" s="18"/>
      <c r="D75" s="18"/>
      <c r="E75" s="22"/>
      <c r="F75" s="19"/>
      <c r="G75" s="20"/>
      <c r="H75" s="21"/>
      <c r="I75" s="19"/>
      <c r="J75" s="19"/>
      <c r="K75" s="20"/>
      <c r="O75" s="23" t="s">
        <v>2591</v>
      </c>
      <c r="P75" s="18"/>
      <c r="Q75" s="18" t="s">
        <v>2590</v>
      </c>
      <c r="R75" s="18"/>
      <c r="S75" s="24"/>
      <c r="T75" s="954">
        <f>TRUNC((1.2+0.4)/2*0.94,3)</f>
        <v>0.752</v>
      </c>
      <c r="U75" s="26"/>
    </row>
    <row r="76" spans="1:21">
      <c r="A76" s="23"/>
      <c r="B76" s="18"/>
      <c r="C76" s="18"/>
      <c r="D76" s="18"/>
      <c r="E76" s="18"/>
      <c r="F76" s="18"/>
      <c r="G76" s="18"/>
      <c r="H76" s="18"/>
      <c r="I76" s="18"/>
      <c r="J76" s="18"/>
      <c r="K76" s="18"/>
      <c r="N76" s="16"/>
      <c r="O76" s="23"/>
      <c r="P76" s="18"/>
      <c r="Q76" s="18"/>
      <c r="R76" s="18"/>
      <c r="S76" s="24"/>
      <c r="T76" s="6"/>
      <c r="U76" s="26"/>
    </row>
    <row r="77" spans="1:21">
      <c r="A77" s="23"/>
      <c r="B77" s="18"/>
      <c r="C77" s="18"/>
      <c r="D77" s="18"/>
      <c r="E77" s="18"/>
      <c r="F77" s="18"/>
      <c r="G77" s="18"/>
      <c r="H77" s="18"/>
      <c r="I77" s="18"/>
      <c r="J77" s="18"/>
      <c r="K77" s="18"/>
      <c r="N77" s="16"/>
      <c r="O77" s="173" t="s">
        <v>2600</v>
      </c>
      <c r="P77" s="18"/>
      <c r="Q77" s="18" t="s">
        <v>2592</v>
      </c>
      <c r="R77" s="18"/>
      <c r="S77" s="24"/>
      <c r="T77" s="955">
        <f>TRUNC(T75-(3.18*0.015*0.015),2)</f>
        <v>0.75</v>
      </c>
      <c r="U77" s="26"/>
    </row>
    <row r="78" spans="1:21">
      <c r="A78" s="23"/>
      <c r="B78" s="22"/>
      <c r="C78" s="18"/>
      <c r="D78" s="18"/>
      <c r="E78" s="18"/>
      <c r="F78" s="18"/>
      <c r="G78" s="18"/>
      <c r="H78" s="18"/>
      <c r="I78" s="18"/>
      <c r="J78" s="18"/>
      <c r="K78" s="18"/>
      <c r="N78" s="34"/>
      <c r="O78" s="23"/>
      <c r="P78" s="18"/>
      <c r="Q78" s="18"/>
      <c r="R78" s="18"/>
      <c r="S78" s="24"/>
      <c r="T78" s="48"/>
      <c r="U78" s="26"/>
    </row>
    <row r="79" spans="1:21">
      <c r="A79" s="23"/>
      <c r="B79" s="23"/>
      <c r="C79" s="18"/>
      <c r="D79" s="18"/>
      <c r="E79" s="18"/>
      <c r="F79" s="18"/>
      <c r="G79" s="18"/>
      <c r="H79" s="18"/>
      <c r="I79" s="18"/>
      <c r="J79" s="18"/>
      <c r="K79" s="18"/>
      <c r="N79" s="16"/>
      <c r="O79" s="173" t="s">
        <v>2594</v>
      </c>
      <c r="P79" s="18"/>
      <c r="Q79" s="18" t="s">
        <v>2595</v>
      </c>
      <c r="R79" s="18"/>
      <c r="S79" s="24"/>
      <c r="T79" s="954">
        <f>T75-T77</f>
        <v>2.0000000000000018E-3</v>
      </c>
      <c r="U79" s="26"/>
    </row>
    <row r="80" spans="1:21">
      <c r="A80" s="172"/>
      <c r="B80" s="23"/>
      <c r="C80" s="18"/>
      <c r="D80" s="18"/>
      <c r="E80" s="18"/>
      <c r="F80" s="18"/>
      <c r="G80" s="18"/>
      <c r="H80" s="18"/>
      <c r="I80" s="18"/>
      <c r="J80" s="18"/>
      <c r="K80" s="18"/>
      <c r="N80" s="16"/>
      <c r="O80" s="23"/>
      <c r="P80" s="18"/>
      <c r="Q80" s="18"/>
      <c r="R80" s="18"/>
      <c r="S80" s="24"/>
      <c r="T80" s="48"/>
      <c r="U80" s="26"/>
    </row>
    <row r="81" spans="1:23">
      <c r="A81" s="23"/>
      <c r="B81" s="23"/>
      <c r="C81" s="18"/>
      <c r="D81" s="18"/>
      <c r="E81" s="18"/>
      <c r="F81" s="18"/>
      <c r="G81" s="18"/>
      <c r="H81" s="18"/>
      <c r="I81" s="18"/>
      <c r="J81" s="18"/>
      <c r="K81" s="18"/>
      <c r="N81" s="16"/>
      <c r="O81" s="23"/>
      <c r="P81" s="18"/>
      <c r="Q81" s="18"/>
      <c r="R81" s="18"/>
      <c r="S81" s="24"/>
      <c r="T81" s="48"/>
      <c r="U81" s="26"/>
      <c r="W81" s="39"/>
    </row>
    <row r="82" spans="1:23">
      <c r="A82" s="23"/>
      <c r="B82" s="23"/>
      <c r="C82" s="18"/>
      <c r="D82" s="18"/>
      <c r="E82" s="18"/>
      <c r="F82" s="18"/>
      <c r="G82" s="18"/>
      <c r="H82" s="18"/>
      <c r="I82" s="18"/>
      <c r="J82" s="18"/>
      <c r="K82" s="18"/>
      <c r="N82" s="16"/>
      <c r="O82" s="23"/>
      <c r="P82" s="175"/>
      <c r="Q82" s="18"/>
      <c r="R82" s="18"/>
      <c r="S82" s="24"/>
      <c r="T82" s="48"/>
      <c r="U82" s="26"/>
    </row>
    <row r="83" spans="1:23">
      <c r="A83" s="23"/>
      <c r="B83" s="27"/>
      <c r="C83" s="18"/>
      <c r="D83" s="18"/>
      <c r="E83" s="18"/>
      <c r="F83" s="18"/>
      <c r="G83" s="18"/>
      <c r="H83" s="18"/>
      <c r="I83" s="18"/>
      <c r="J83" s="18"/>
      <c r="K83" s="18"/>
      <c r="N83" s="16"/>
      <c r="O83" s="23"/>
      <c r="P83" s="18"/>
      <c r="Q83" s="18"/>
      <c r="R83" s="18"/>
      <c r="S83" s="24"/>
      <c r="T83" s="48"/>
      <c r="U83" s="26"/>
    </row>
    <row r="84" spans="1:23">
      <c r="A84" s="23"/>
      <c r="B84" s="18"/>
      <c r="C84" s="18"/>
      <c r="D84" s="18"/>
      <c r="E84" s="18"/>
      <c r="F84" s="18"/>
      <c r="G84" s="18"/>
      <c r="H84" s="18"/>
      <c r="I84" s="18"/>
      <c r="J84" s="18"/>
      <c r="K84" s="18"/>
      <c r="N84" s="16"/>
      <c r="O84" s="23"/>
      <c r="P84" s="18"/>
      <c r="Q84" s="18"/>
      <c r="R84" s="18"/>
      <c r="S84" s="24"/>
      <c r="T84" s="48"/>
      <c r="U84" s="26"/>
    </row>
    <row r="85" spans="1:23">
      <c r="A85" s="23"/>
      <c r="B85" s="18"/>
      <c r="C85" s="18"/>
      <c r="D85" s="18"/>
      <c r="E85" s="18"/>
      <c r="F85" s="18"/>
      <c r="G85" s="18"/>
      <c r="H85" s="18"/>
      <c r="I85" s="18"/>
      <c r="J85" s="18"/>
      <c r="K85" s="18"/>
      <c r="N85" s="16"/>
      <c r="O85" s="23"/>
      <c r="P85" s="18"/>
      <c r="Q85" s="18"/>
      <c r="R85" s="18"/>
      <c r="S85" s="24"/>
      <c r="T85" s="48"/>
      <c r="U85" s="26"/>
    </row>
    <row r="86" spans="1:23">
      <c r="A86" s="23"/>
      <c r="B86" s="18"/>
      <c r="C86" s="18"/>
      <c r="D86" s="18"/>
      <c r="E86" s="18"/>
      <c r="F86" s="27"/>
      <c r="G86" s="27"/>
      <c r="H86" s="951"/>
      <c r="I86" s="37"/>
      <c r="J86" s="37"/>
      <c r="K86" s="18"/>
      <c r="N86" s="16"/>
      <c r="O86" s="23"/>
      <c r="P86" s="18"/>
      <c r="Q86" s="41"/>
      <c r="R86" s="18"/>
      <c r="S86" s="24"/>
      <c r="T86" s="48"/>
      <c r="U86" s="26"/>
    </row>
    <row r="87" spans="1:23">
      <c r="A87" s="23"/>
      <c r="B87" s="18"/>
      <c r="C87" s="18"/>
      <c r="D87" s="18"/>
      <c r="E87" s="18"/>
      <c r="F87" s="29"/>
      <c r="G87" s="31"/>
      <c r="H87" s="174"/>
      <c r="I87" s="31"/>
      <c r="J87" s="32"/>
      <c r="K87" s="18"/>
      <c r="N87" s="16"/>
      <c r="O87" s="23"/>
      <c r="P87" s="175"/>
      <c r="Q87" s="41"/>
      <c r="R87" s="18"/>
      <c r="S87" s="24"/>
      <c r="T87" s="48"/>
      <c r="U87" s="26"/>
    </row>
    <row r="88" spans="1:23">
      <c r="A88" s="15"/>
      <c r="N88" s="16"/>
      <c r="O88" s="23"/>
      <c r="P88" s="175"/>
      <c r="Q88" s="41"/>
      <c r="R88" s="18"/>
      <c r="S88" s="24"/>
      <c r="T88" s="48"/>
      <c r="U88" s="26"/>
    </row>
    <row r="89" spans="1:23">
      <c r="A89" s="15"/>
      <c r="N89" s="16"/>
      <c r="O89" s="23"/>
      <c r="P89" s="175"/>
      <c r="Q89" s="41"/>
      <c r="R89" s="18"/>
      <c r="S89" s="24"/>
      <c r="T89" s="48"/>
      <c r="U89" s="26"/>
    </row>
    <row r="90" spans="1:23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4"/>
      <c r="O90" s="27"/>
      <c r="P90" s="176"/>
      <c r="Q90" s="46"/>
      <c r="R90" s="45"/>
      <c r="S90" s="37"/>
      <c r="T90" s="177"/>
      <c r="U90" s="47"/>
    </row>
    <row r="92" spans="1:23">
      <c r="A92" s="164" t="s">
        <v>337</v>
      </c>
      <c r="B92" s="4">
        <v>4</v>
      </c>
      <c r="C92" s="4" t="s">
        <v>338</v>
      </c>
      <c r="D92" s="4"/>
      <c r="E92" s="4"/>
      <c r="F92" s="4" t="str">
        <f>CONCATENATE("아스팔트관로굴착 ELP 30")</f>
        <v>아스팔트관로굴착 ELP 30</v>
      </c>
      <c r="G92" s="4"/>
      <c r="H92" s="4"/>
      <c r="I92" s="4"/>
      <c r="J92" s="4"/>
      <c r="K92" s="4"/>
      <c r="L92" s="4"/>
      <c r="M92" s="165"/>
      <c r="N92" s="4"/>
      <c r="O92" s="4"/>
      <c r="P92" s="4"/>
      <c r="Q92" s="4"/>
      <c r="R92" s="4"/>
      <c r="S92" s="4"/>
      <c r="T92" s="166"/>
      <c r="U92" s="5" t="s">
        <v>2593</v>
      </c>
    </row>
    <row r="93" spans="1:23">
      <c r="A93" s="7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9"/>
      <c r="O93" s="10"/>
      <c r="P93" s="11" t="s">
        <v>288</v>
      </c>
      <c r="Q93" s="12"/>
      <c r="R93" s="11" t="s">
        <v>289</v>
      </c>
      <c r="S93" s="13"/>
      <c r="T93" s="167" t="s">
        <v>21</v>
      </c>
      <c r="U93" s="14" t="s">
        <v>290</v>
      </c>
    </row>
    <row r="94" spans="1:23">
      <c r="A94" s="23"/>
      <c r="B94" s="18"/>
      <c r="C94" s="18"/>
      <c r="D94" s="18"/>
      <c r="E94" s="18"/>
      <c r="F94" s="18"/>
      <c r="G94" s="18"/>
      <c r="H94" s="169"/>
      <c r="I94" s="18"/>
      <c r="J94" s="18"/>
      <c r="K94" s="18"/>
      <c r="O94" s="23" t="s">
        <v>2610</v>
      </c>
      <c r="P94" s="18"/>
      <c r="Q94" s="18" t="str">
        <f>CONCATENATE("(",1.2,"x",1,")=")</f>
        <v>(1.2x1)=</v>
      </c>
      <c r="R94" s="18"/>
      <c r="S94" s="24"/>
      <c r="T94" s="171">
        <f>TRUNC((1.2*1),2)</f>
        <v>1.2</v>
      </c>
      <c r="U94" s="26"/>
    </row>
    <row r="95" spans="1:23">
      <c r="A95" s="23"/>
      <c r="B95" s="18"/>
      <c r="C95" s="18"/>
      <c r="D95" s="18"/>
      <c r="E95" s="29"/>
      <c r="F95" s="31"/>
      <c r="G95" s="31"/>
      <c r="H95" s="31"/>
      <c r="I95" s="31"/>
      <c r="J95" s="31"/>
      <c r="K95" s="32"/>
      <c r="O95" s="23"/>
      <c r="P95" s="18"/>
      <c r="Q95" s="18"/>
      <c r="R95" s="18"/>
      <c r="S95" s="24"/>
      <c r="T95" s="48"/>
      <c r="U95" s="26"/>
    </row>
    <row r="96" spans="1:23">
      <c r="A96" s="23"/>
      <c r="B96" s="18"/>
      <c r="C96" s="18"/>
      <c r="D96" s="18"/>
      <c r="E96" s="22"/>
      <c r="F96" s="19"/>
      <c r="G96" s="20"/>
      <c r="H96" s="21"/>
      <c r="I96" s="19"/>
      <c r="J96" s="19"/>
      <c r="K96" s="20"/>
      <c r="O96" s="23" t="s">
        <v>2591</v>
      </c>
      <c r="P96" s="18"/>
      <c r="Q96" s="18" t="s">
        <v>2611</v>
      </c>
      <c r="R96" s="18"/>
      <c r="S96" s="24"/>
      <c r="T96" s="952">
        <f>TRUNC((1.2+0.6)/2,3)</f>
        <v>0.9</v>
      </c>
      <c r="U96" s="26"/>
    </row>
    <row r="97" spans="1:21">
      <c r="A97" s="23"/>
      <c r="B97" s="18"/>
      <c r="C97" s="18"/>
      <c r="D97" s="18"/>
      <c r="E97" s="18"/>
      <c r="F97" s="18"/>
      <c r="G97" s="18"/>
      <c r="H97" s="18"/>
      <c r="I97" s="18"/>
      <c r="J97" s="18"/>
      <c r="K97" s="18"/>
      <c r="N97" s="16"/>
      <c r="O97" s="23"/>
      <c r="P97" s="18"/>
      <c r="Q97" s="18"/>
      <c r="R97" s="18"/>
      <c r="S97" s="24"/>
      <c r="T97" s="6"/>
      <c r="U97" s="26"/>
    </row>
    <row r="98" spans="1:21">
      <c r="A98" s="23"/>
      <c r="B98" s="18"/>
      <c r="C98" s="18"/>
      <c r="D98" s="18"/>
      <c r="E98" s="18"/>
      <c r="F98" s="18"/>
      <c r="G98" s="18"/>
      <c r="H98" s="18"/>
      <c r="I98" s="18"/>
      <c r="J98" s="18"/>
      <c r="K98" s="18"/>
      <c r="N98" s="16"/>
      <c r="O98" s="173" t="s">
        <v>2600</v>
      </c>
      <c r="P98" s="18"/>
      <c r="Q98" s="18" t="s">
        <v>2612</v>
      </c>
      <c r="R98" s="18"/>
      <c r="S98" s="24"/>
      <c r="T98" s="955">
        <f>TRUNC(T96-(3.18*0.015*0.015),2)</f>
        <v>0.89</v>
      </c>
      <c r="U98" s="26"/>
    </row>
    <row r="99" spans="1:21">
      <c r="A99" s="23"/>
      <c r="B99" s="22"/>
      <c r="C99" s="18"/>
      <c r="D99" s="18"/>
      <c r="E99" s="18"/>
      <c r="F99" s="18"/>
      <c r="G99" s="18"/>
      <c r="H99" s="18"/>
      <c r="I99" s="18"/>
      <c r="J99" s="18"/>
      <c r="K99" s="18"/>
      <c r="N99" s="34"/>
      <c r="O99" s="23"/>
      <c r="P99" s="18"/>
      <c r="Q99" s="18"/>
      <c r="R99" s="18"/>
      <c r="S99" s="24"/>
      <c r="T99" s="48"/>
      <c r="U99" s="26"/>
    </row>
    <row r="100" spans="1:21">
      <c r="A100" s="23"/>
      <c r="B100" s="23"/>
      <c r="C100" s="18"/>
      <c r="D100" s="18"/>
      <c r="E100" s="18"/>
      <c r="F100" s="18"/>
      <c r="G100" s="18"/>
      <c r="H100" s="18"/>
      <c r="I100" s="18"/>
      <c r="J100" s="18"/>
      <c r="K100" s="18"/>
      <c r="N100" s="16"/>
      <c r="O100" s="173" t="s">
        <v>2594</v>
      </c>
      <c r="P100" s="18"/>
      <c r="Q100" s="18" t="s">
        <v>2613</v>
      </c>
      <c r="R100" s="18"/>
      <c r="S100" s="24"/>
      <c r="T100" s="953">
        <f>T96-T98</f>
        <v>1.0000000000000009E-2</v>
      </c>
      <c r="U100" s="26"/>
    </row>
    <row r="101" spans="1:21">
      <c r="A101" s="172"/>
      <c r="B101" s="23"/>
      <c r="C101" s="18"/>
      <c r="D101" s="18"/>
      <c r="E101" s="18"/>
      <c r="F101" s="18"/>
      <c r="G101" s="18"/>
      <c r="H101" s="18"/>
      <c r="I101" s="18"/>
      <c r="J101" s="18"/>
      <c r="K101" s="18"/>
      <c r="N101" s="16"/>
      <c r="O101" s="23"/>
      <c r="P101" s="18"/>
      <c r="Q101" s="18"/>
      <c r="R101" s="18"/>
      <c r="S101" s="24"/>
      <c r="T101" s="48"/>
      <c r="U101" s="26"/>
    </row>
    <row r="102" spans="1:21">
      <c r="A102" s="23"/>
      <c r="B102" s="23"/>
      <c r="C102" s="18"/>
      <c r="D102" s="18"/>
      <c r="E102" s="18"/>
      <c r="F102" s="18"/>
      <c r="G102" s="18"/>
      <c r="H102" s="18"/>
      <c r="I102" s="18"/>
      <c r="J102" s="18"/>
      <c r="K102" s="18"/>
      <c r="N102" s="16"/>
      <c r="O102" s="23"/>
      <c r="P102" s="18"/>
      <c r="Q102" s="18"/>
      <c r="R102" s="18"/>
      <c r="S102" s="24"/>
      <c r="T102" s="48"/>
      <c r="U102" s="26"/>
    </row>
    <row r="103" spans="1:21">
      <c r="A103" s="23"/>
      <c r="B103" s="23"/>
      <c r="C103" s="18"/>
      <c r="D103" s="18"/>
      <c r="E103" s="18"/>
      <c r="F103" s="18"/>
      <c r="G103" s="18"/>
      <c r="H103" s="18"/>
      <c r="I103" s="18"/>
      <c r="J103" s="18"/>
      <c r="K103" s="18"/>
      <c r="N103" s="16"/>
      <c r="O103" s="23"/>
      <c r="P103" s="175"/>
      <c r="Q103" s="18"/>
      <c r="R103" s="18"/>
      <c r="S103" s="24"/>
      <c r="T103" s="48"/>
      <c r="U103" s="26"/>
    </row>
    <row r="104" spans="1:21">
      <c r="A104" s="23"/>
      <c r="B104" s="27"/>
      <c r="C104" s="18"/>
      <c r="D104" s="18"/>
      <c r="E104" s="18"/>
      <c r="F104" s="18"/>
      <c r="G104" s="18"/>
      <c r="H104" s="18"/>
      <c r="I104" s="18"/>
      <c r="J104" s="18"/>
      <c r="K104" s="18"/>
      <c r="N104" s="16"/>
      <c r="O104" s="23"/>
      <c r="P104" s="18"/>
      <c r="Q104" s="18"/>
      <c r="R104" s="18"/>
      <c r="S104" s="24"/>
      <c r="T104" s="48"/>
      <c r="U104" s="26"/>
    </row>
    <row r="105" spans="1:21">
      <c r="A105" s="23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N105" s="16"/>
      <c r="O105" s="23"/>
      <c r="P105" s="18"/>
      <c r="Q105" s="18"/>
      <c r="R105" s="18"/>
      <c r="S105" s="24"/>
      <c r="T105" s="48"/>
      <c r="U105" s="26"/>
    </row>
    <row r="106" spans="1:21">
      <c r="A106" s="23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N106" s="16"/>
      <c r="O106" s="23"/>
      <c r="P106" s="18"/>
      <c r="Q106" s="18"/>
      <c r="R106" s="18"/>
      <c r="S106" s="24"/>
      <c r="T106" s="48"/>
      <c r="U106" s="26"/>
    </row>
    <row r="107" spans="1:21">
      <c r="A107" s="23"/>
      <c r="B107" s="18"/>
      <c r="C107" s="18"/>
      <c r="D107" s="18"/>
      <c r="E107" s="18"/>
      <c r="F107" s="27"/>
      <c r="G107" s="27"/>
      <c r="H107" s="951"/>
      <c r="I107" s="37"/>
      <c r="J107" s="37"/>
      <c r="K107" s="18"/>
      <c r="N107" s="16"/>
      <c r="O107" s="23"/>
      <c r="P107" s="18"/>
      <c r="Q107" s="41"/>
      <c r="R107" s="18"/>
      <c r="S107" s="24"/>
      <c r="T107" s="48"/>
      <c r="U107" s="26"/>
    </row>
    <row r="108" spans="1:21">
      <c r="A108" s="23"/>
      <c r="B108" s="18"/>
      <c r="C108" s="18"/>
      <c r="D108" s="18"/>
      <c r="E108" s="18"/>
      <c r="F108" s="29"/>
      <c r="G108" s="31"/>
      <c r="H108" s="174"/>
      <c r="I108" s="31"/>
      <c r="J108" s="32"/>
      <c r="K108" s="18"/>
      <c r="N108" s="16"/>
      <c r="O108" s="23"/>
      <c r="P108" s="175"/>
      <c r="Q108" s="41"/>
      <c r="R108" s="18"/>
      <c r="S108" s="24"/>
      <c r="T108" s="48"/>
      <c r="U108" s="26"/>
    </row>
    <row r="109" spans="1:21">
      <c r="A109" s="15"/>
      <c r="N109" s="16"/>
      <c r="O109" s="23"/>
      <c r="P109" s="175"/>
      <c r="Q109" s="41"/>
      <c r="R109" s="18"/>
      <c r="S109" s="24"/>
      <c r="T109" s="48"/>
      <c r="U109" s="26"/>
    </row>
    <row r="110" spans="1:21">
      <c r="A110" s="15"/>
      <c r="N110" s="16"/>
      <c r="O110" s="23"/>
      <c r="P110" s="175"/>
      <c r="Q110" s="41"/>
      <c r="R110" s="18"/>
      <c r="S110" s="24"/>
      <c r="T110" s="48"/>
      <c r="U110" s="26"/>
    </row>
    <row r="111" spans="1:21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4"/>
      <c r="O111" s="27"/>
      <c r="P111" s="176"/>
      <c r="Q111" s="46"/>
      <c r="R111" s="45"/>
      <c r="S111" s="37"/>
      <c r="T111" s="177"/>
      <c r="U111" s="47"/>
    </row>
  </sheetData>
  <phoneticPr fontId="3" type="noConversion"/>
  <pageMargins left="0.90999999999999992" right="0.47" top="0.90999999999999992" bottom="0.44999999999999996" header="0.51181102362204722" footer="0.33"/>
  <pageSetup paperSize="9" scale="84" orientation="landscape" r:id="rId1"/>
  <headerFooter alignWithMargins="0"/>
  <rowBreaks count="2" manualBreakCount="2">
    <brk id="70" max="20" man="1"/>
    <brk id="111" max="20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L322"/>
  <sheetViews>
    <sheetView view="pageBreakPreview" topLeftCell="A217" zoomScaleSheetLayoutView="100" workbookViewId="0">
      <selection activeCell="AG254" sqref="AG254"/>
    </sheetView>
  </sheetViews>
  <sheetFormatPr defaultColWidth="8" defaultRowHeight="15" customHeight="1"/>
  <cols>
    <col min="1" max="2" width="2.33203125" style="135" customWidth="1"/>
    <col min="3" max="3" width="3.44140625" style="135" customWidth="1"/>
    <col min="4" max="5" width="2.33203125" style="135" customWidth="1"/>
    <col min="6" max="6" width="2.44140625" style="135" customWidth="1"/>
    <col min="7" max="7" width="2.33203125" style="135" customWidth="1"/>
    <col min="8" max="8" width="3.33203125" style="135" customWidth="1"/>
    <col min="9" max="9" width="2.33203125" style="135" customWidth="1"/>
    <col min="10" max="11" width="2.88671875" style="135" customWidth="1"/>
    <col min="12" max="12" width="3.109375" style="135" customWidth="1"/>
    <col min="13" max="13" width="2.77734375" style="135" customWidth="1"/>
    <col min="14" max="14" width="3.109375" style="135" customWidth="1"/>
    <col min="15" max="16" width="2.33203125" style="135" customWidth="1"/>
    <col min="17" max="17" width="3" style="135" customWidth="1"/>
    <col min="18" max="18" width="3.109375" style="135" customWidth="1"/>
    <col min="19" max="19" width="2.33203125" style="135" customWidth="1"/>
    <col min="20" max="20" width="2.77734375" style="135" customWidth="1"/>
    <col min="21" max="21" width="2.88671875" style="135" customWidth="1"/>
    <col min="22" max="25" width="2.33203125" style="135" customWidth="1"/>
    <col min="26" max="26" width="3.33203125" style="135" customWidth="1"/>
    <col min="27" max="28" width="3" style="135" customWidth="1"/>
    <col min="29" max="30" width="2.33203125" style="135" customWidth="1"/>
    <col min="31" max="31" width="3.88671875" style="135" customWidth="1"/>
    <col min="32" max="32" width="2.109375" style="135" bestFit="1" customWidth="1"/>
    <col min="33" max="35" width="2.33203125" style="135" customWidth="1"/>
    <col min="36" max="16384" width="8" style="135"/>
  </cols>
  <sheetData>
    <row r="1" spans="1:37" ht="24.95" customHeight="1">
      <c r="A1" s="1160" t="s">
        <v>301</v>
      </c>
      <c r="B1" s="1161"/>
      <c r="C1" s="1161"/>
      <c r="D1" s="1161"/>
      <c r="E1" s="1161"/>
      <c r="F1" s="1161"/>
      <c r="G1" s="1161"/>
      <c r="H1" s="1161"/>
      <c r="I1" s="1161"/>
      <c r="J1" s="1161"/>
      <c r="K1" s="1161"/>
      <c r="L1" s="1161"/>
      <c r="M1" s="1161"/>
      <c r="N1" s="1161"/>
      <c r="O1" s="1161"/>
      <c r="P1" s="1161"/>
      <c r="Q1" s="1161"/>
      <c r="R1" s="1161"/>
      <c r="S1" s="1161"/>
      <c r="T1" s="1161"/>
      <c r="U1" s="1161"/>
      <c r="V1" s="1161"/>
      <c r="W1" s="1161"/>
      <c r="X1" s="1161"/>
      <c r="Y1" s="1161"/>
      <c r="Z1" s="1161"/>
      <c r="AA1" s="1161"/>
      <c r="AB1" s="1161"/>
      <c r="AC1" s="1161"/>
      <c r="AD1" s="1161"/>
      <c r="AE1" s="1161"/>
      <c r="AF1" s="1161"/>
      <c r="AG1" s="1161"/>
      <c r="AH1" s="1161"/>
      <c r="AI1" s="1161"/>
      <c r="AJ1" s="1161"/>
      <c r="AK1" s="1162"/>
    </row>
    <row r="2" spans="1:37" ht="6.95" customHeight="1">
      <c r="A2" s="133"/>
      <c r="AK2" s="132"/>
    </row>
    <row r="3" spans="1:37" ht="15" customHeight="1">
      <c r="A3" s="133" t="s">
        <v>273</v>
      </c>
      <c r="AK3" s="132"/>
    </row>
    <row r="4" spans="1:37" ht="6.95" customHeight="1">
      <c r="A4" s="133"/>
      <c r="AK4" s="132"/>
    </row>
    <row r="5" spans="1:37" ht="15" customHeight="1">
      <c r="A5" s="133" t="s">
        <v>302</v>
      </c>
      <c r="AK5" s="132"/>
    </row>
    <row r="6" spans="1:37" ht="15" customHeight="1">
      <c r="A6" s="131"/>
      <c r="B6" s="6"/>
      <c r="C6" s="6"/>
      <c r="D6" s="6"/>
      <c r="E6" s="130" t="s">
        <v>303</v>
      </c>
      <c r="F6" s="129"/>
      <c r="H6" s="6"/>
      <c r="I6" s="130">
        <v>33</v>
      </c>
      <c r="J6" s="129"/>
      <c r="AK6" s="132"/>
    </row>
    <row r="7" spans="1:37" ht="15" customHeight="1">
      <c r="A7" s="131" t="s">
        <v>304</v>
      </c>
      <c r="B7" s="6"/>
      <c r="C7" s="6"/>
      <c r="D7" s="6"/>
      <c r="F7" s="6"/>
      <c r="G7" s="128" t="s">
        <v>305</v>
      </c>
      <c r="H7" s="6"/>
      <c r="J7" s="6"/>
      <c r="K7" s="135" t="s">
        <v>306</v>
      </c>
      <c r="L7" s="127">
        <f>I6/I8</f>
        <v>47.142857142857146</v>
      </c>
      <c r="M7" s="106"/>
      <c r="O7" s="135" t="s">
        <v>307</v>
      </c>
      <c r="AK7" s="132"/>
    </row>
    <row r="8" spans="1:37" ht="15" customHeight="1">
      <c r="A8" s="133"/>
      <c r="B8" s="6"/>
      <c r="C8" s="6"/>
      <c r="D8" s="6"/>
      <c r="E8" s="126" t="s">
        <v>308</v>
      </c>
      <c r="F8" s="129"/>
      <c r="G8" s="125"/>
      <c r="H8" s="6"/>
      <c r="I8" s="126">
        <v>0.7</v>
      </c>
      <c r="J8" s="129"/>
      <c r="AK8" s="132"/>
    </row>
    <row r="9" spans="1:37" ht="15" customHeight="1">
      <c r="A9" s="131" t="s">
        <v>309</v>
      </c>
      <c r="B9" s="135" t="s">
        <v>251</v>
      </c>
      <c r="R9" s="1291">
        <f>L7</f>
        <v>47.142857142857146</v>
      </c>
      <c r="S9" s="1285"/>
      <c r="AK9" s="132"/>
    </row>
    <row r="10" spans="1:37" ht="15" customHeight="1">
      <c r="A10" s="131" t="s">
        <v>311</v>
      </c>
      <c r="B10" s="135" t="s">
        <v>252</v>
      </c>
      <c r="O10" s="1312">
        <f>I8</f>
        <v>0.7</v>
      </c>
      <c r="P10" s="1312"/>
      <c r="AK10" s="132"/>
    </row>
    <row r="11" spans="1:37" ht="15" customHeight="1">
      <c r="A11" s="131" t="s">
        <v>313</v>
      </c>
      <c r="B11" s="135" t="s">
        <v>314</v>
      </c>
      <c r="AK11" s="132"/>
    </row>
    <row r="12" spans="1:37" ht="15" customHeight="1">
      <c r="A12" s="131"/>
      <c r="B12" s="135" t="s">
        <v>253</v>
      </c>
      <c r="F12" s="1305">
        <f>R9/60</f>
        <v>0.78571428571428581</v>
      </c>
      <c r="G12" s="1305"/>
      <c r="AK12" s="132"/>
    </row>
    <row r="13" spans="1:37" ht="6.95" customHeight="1">
      <c r="A13" s="133"/>
      <c r="AK13" s="132"/>
    </row>
    <row r="14" spans="1:37" ht="15" customHeight="1">
      <c r="A14" s="133" t="s">
        <v>315</v>
      </c>
      <c r="AK14" s="132"/>
    </row>
    <row r="15" spans="1:37" ht="15" customHeight="1">
      <c r="A15" s="131"/>
      <c r="C15" s="154" t="e">
        <f>#REF!</f>
        <v>#REF!</v>
      </c>
      <c r="D15" s="154"/>
      <c r="E15" s="154"/>
      <c r="F15" s="154"/>
      <c r="G15" s="128" t="s">
        <v>316</v>
      </c>
      <c r="I15" s="135" t="s">
        <v>317</v>
      </c>
      <c r="J15" s="1280">
        <f>(2598/10000000)</f>
        <v>2.5980000000000003E-4</v>
      </c>
      <c r="K15" s="1280"/>
      <c r="L15" s="1280"/>
      <c r="M15" s="1280"/>
      <c r="N15" s="124"/>
      <c r="O15" s="1313"/>
      <c r="P15" s="1313"/>
      <c r="Q15" s="1313"/>
      <c r="R15" s="1313"/>
      <c r="S15" s="155"/>
      <c r="T15" s="155"/>
      <c r="U15" s="155"/>
      <c r="V15" s="155"/>
      <c r="W15" s="124"/>
      <c r="X15" s="106"/>
      <c r="Y15" s="106"/>
      <c r="Z15" s="135" t="s">
        <v>41</v>
      </c>
      <c r="AA15" s="1275" t="e">
        <f>INT(C15*J15)</f>
        <v>#REF!</v>
      </c>
      <c r="AB15" s="1281"/>
      <c r="AC15" s="1281"/>
      <c r="AD15" s="1277" t="s">
        <v>275</v>
      </c>
      <c r="AE15" s="1277"/>
      <c r="AK15" s="132"/>
    </row>
    <row r="16" spans="1:37" ht="6.95" customHeight="1">
      <c r="A16" s="133"/>
      <c r="AA16" s="123"/>
      <c r="AB16" s="123"/>
      <c r="AC16" s="123"/>
      <c r="AD16" s="139"/>
      <c r="AE16" s="139"/>
      <c r="AK16" s="132"/>
    </row>
    <row r="17" spans="1:38" ht="15" customHeight="1">
      <c r="A17" s="133" t="s">
        <v>254</v>
      </c>
      <c r="G17" s="139"/>
      <c r="AA17" s="123"/>
      <c r="AB17" s="123"/>
      <c r="AC17" s="123"/>
      <c r="AD17" s="139"/>
      <c r="AE17" s="139"/>
      <c r="AK17" s="132"/>
    </row>
    <row r="18" spans="1:38" ht="15" customHeight="1">
      <c r="A18" s="122"/>
      <c r="C18" s="139" t="s">
        <v>319</v>
      </c>
      <c r="H18" s="121">
        <v>5.0999999999999996</v>
      </c>
      <c r="I18" s="106"/>
      <c r="J18" s="139" t="s">
        <v>320</v>
      </c>
      <c r="M18" s="135" t="s">
        <v>317</v>
      </c>
      <c r="N18" s="1279" t="e">
        <f>#REF!</f>
        <v>#REF!</v>
      </c>
      <c r="O18" s="1279"/>
      <c r="P18" s="139" t="s">
        <v>255</v>
      </c>
      <c r="S18" s="135" t="s">
        <v>317</v>
      </c>
      <c r="T18" s="1296">
        <f>F12</f>
        <v>0.78571428571428581</v>
      </c>
      <c r="U18" s="1297"/>
      <c r="Z18" s="135" t="s">
        <v>41</v>
      </c>
      <c r="AA18" s="1284" t="e">
        <f>INT(H18*N18*T18)</f>
        <v>#REF!</v>
      </c>
      <c r="AB18" s="1281"/>
      <c r="AC18" s="1281"/>
      <c r="AD18" s="1277" t="s">
        <v>318</v>
      </c>
      <c r="AE18" s="1277"/>
      <c r="AK18" s="132"/>
    </row>
    <row r="19" spans="1:38" ht="15" customHeight="1">
      <c r="A19" s="122"/>
      <c r="C19" s="139" t="s">
        <v>321</v>
      </c>
      <c r="H19" s="135" t="s">
        <v>322</v>
      </c>
      <c r="K19" s="135">
        <v>20</v>
      </c>
      <c r="L19" s="139" t="s">
        <v>250</v>
      </c>
      <c r="M19" s="135" t="s">
        <v>306</v>
      </c>
      <c r="N19" s="1279" t="e">
        <f>AA18</f>
        <v>#REF!</v>
      </c>
      <c r="O19" s="1279"/>
      <c r="P19" s="135" t="s">
        <v>318</v>
      </c>
      <c r="R19" s="135" t="s">
        <v>317</v>
      </c>
      <c r="S19" s="106">
        <f>K19/100</f>
        <v>0.2</v>
      </c>
      <c r="T19" s="106"/>
      <c r="U19" s="135" t="s">
        <v>317</v>
      </c>
      <c r="V19" s="1296">
        <f>F12</f>
        <v>0.78571428571428581</v>
      </c>
      <c r="W19" s="1297"/>
      <c r="Z19" s="135" t="s">
        <v>41</v>
      </c>
      <c r="AA19" s="1286" t="e">
        <f>INT(N19*S19*V19)</f>
        <v>#REF!</v>
      </c>
      <c r="AB19" s="1286"/>
      <c r="AC19" s="1286"/>
      <c r="AD19" s="1277" t="s">
        <v>318</v>
      </c>
      <c r="AE19" s="1277"/>
      <c r="AK19" s="132"/>
    </row>
    <row r="20" spans="1:38" ht="6.95" customHeight="1">
      <c r="A20" s="133"/>
      <c r="C20" s="139"/>
      <c r="AA20" s="123"/>
      <c r="AB20" s="123"/>
      <c r="AC20" s="123"/>
      <c r="AD20" s="139"/>
      <c r="AE20" s="139"/>
      <c r="AK20" s="132"/>
    </row>
    <row r="21" spans="1:38" ht="15" customHeight="1">
      <c r="A21" s="133" t="s">
        <v>256</v>
      </c>
      <c r="AA21" s="123"/>
      <c r="AB21" s="123"/>
      <c r="AC21" s="123"/>
      <c r="AD21" s="139"/>
      <c r="AE21" s="139"/>
      <c r="AK21" s="132"/>
    </row>
    <row r="22" spans="1:38" ht="15" customHeight="1">
      <c r="A22" s="131"/>
      <c r="C22" s="135" t="s">
        <v>257</v>
      </c>
      <c r="H22" s="120">
        <v>1</v>
      </c>
      <c r="I22" s="119" t="s">
        <v>323</v>
      </c>
      <c r="J22" s="119"/>
      <c r="K22" s="119"/>
      <c r="L22" s="119" t="s">
        <v>317</v>
      </c>
      <c r="M22" s="119">
        <f>(1/8)</f>
        <v>0.125</v>
      </c>
      <c r="N22" s="118"/>
      <c r="O22" s="119"/>
      <c r="P22" s="119" t="s">
        <v>317</v>
      </c>
      <c r="Q22" s="119">
        <f>(16/12)</f>
        <v>1.3333333333333333</v>
      </c>
      <c r="R22" s="119"/>
      <c r="S22" s="119" t="s">
        <v>317</v>
      </c>
      <c r="T22" s="1274">
        <f>(25/20)</f>
        <v>1.25</v>
      </c>
      <c r="U22" s="1274"/>
      <c r="V22" s="106" t="s">
        <v>317</v>
      </c>
      <c r="W22" s="1279" t="e">
        <f>#REF!</f>
        <v>#REF!</v>
      </c>
      <c r="X22" s="1279"/>
      <c r="Y22" s="1279"/>
      <c r="Z22" s="106" t="s">
        <v>317</v>
      </c>
      <c r="AA22" s="1299">
        <f>F12</f>
        <v>0.78571428571428581</v>
      </c>
      <c r="AB22" s="1300"/>
      <c r="AC22" s="156" t="s">
        <v>41</v>
      </c>
      <c r="AD22" s="1288" t="e">
        <f>INT(H22*M22*Q22*T22*W22*AA22)</f>
        <v>#REF!</v>
      </c>
      <c r="AE22" s="1288"/>
      <c r="AF22" s="1288"/>
      <c r="AG22" s="1277" t="s">
        <v>275</v>
      </c>
      <c r="AH22" s="1278"/>
      <c r="AK22" s="132"/>
    </row>
    <row r="23" spans="1:38" ht="6.95" customHeight="1">
      <c r="A23" s="131"/>
      <c r="H23" s="106"/>
      <c r="I23" s="106"/>
      <c r="J23" s="106"/>
      <c r="K23" s="106"/>
      <c r="L23" s="106"/>
      <c r="M23" s="106"/>
      <c r="N23" s="117"/>
      <c r="O23" s="106"/>
      <c r="P23" s="106"/>
      <c r="Q23" s="127"/>
      <c r="R23" s="106"/>
      <c r="S23" s="106"/>
      <c r="T23" s="106"/>
      <c r="U23" s="106"/>
      <c r="V23" s="124"/>
      <c r="W23" s="106"/>
      <c r="X23" s="106"/>
      <c r="Y23" s="106"/>
      <c r="Z23" s="106"/>
      <c r="AB23" s="124"/>
      <c r="AC23" s="124"/>
      <c r="AD23" s="106"/>
      <c r="AE23" s="106"/>
      <c r="AK23" s="132"/>
    </row>
    <row r="24" spans="1:38" ht="15" customHeight="1">
      <c r="A24" s="133" t="s">
        <v>258</v>
      </c>
      <c r="AA24" s="123"/>
      <c r="AB24" s="123"/>
      <c r="AC24" s="123"/>
      <c r="AD24" s="139"/>
      <c r="AE24" s="139"/>
      <c r="AK24" s="132"/>
    </row>
    <row r="25" spans="1:38" ht="15" customHeight="1">
      <c r="A25" s="131"/>
      <c r="C25" s="135" t="s">
        <v>259</v>
      </c>
      <c r="H25" s="1272" t="e">
        <f>AA15</f>
        <v>#REF!</v>
      </c>
      <c r="I25" s="1273"/>
      <c r="J25" s="1273"/>
      <c r="K25" s="119" t="s">
        <v>275</v>
      </c>
      <c r="L25" s="119" t="s">
        <v>317</v>
      </c>
      <c r="M25" s="161">
        <f>F12</f>
        <v>0.78571428571428581</v>
      </c>
      <c r="N25" s="162"/>
      <c r="O25" s="161"/>
      <c r="P25" s="161"/>
      <c r="Q25" s="161"/>
      <c r="R25" s="161"/>
      <c r="S25" s="161"/>
      <c r="T25" s="1274"/>
      <c r="U25" s="1274"/>
      <c r="V25" s="116"/>
      <c r="W25" s="106"/>
      <c r="X25" s="124"/>
      <c r="Y25" s="124"/>
      <c r="Z25" s="106" t="s">
        <v>41</v>
      </c>
      <c r="AA25" s="1275" t="e">
        <f>INT(H25*M25)</f>
        <v>#REF!</v>
      </c>
      <c r="AB25" s="1276"/>
      <c r="AC25" s="1276"/>
      <c r="AD25" s="1277" t="s">
        <v>318</v>
      </c>
      <c r="AE25" s="1278"/>
      <c r="AK25" s="132"/>
    </row>
    <row r="26" spans="1:38" ht="6.95" customHeight="1">
      <c r="A26" s="133"/>
      <c r="AK26" s="132"/>
    </row>
    <row r="27" spans="1:38" ht="15" customHeight="1">
      <c r="A27" s="133" t="s">
        <v>324</v>
      </c>
      <c r="AK27" s="132"/>
    </row>
    <row r="28" spans="1:38" ht="15" customHeight="1">
      <c r="A28" s="122"/>
      <c r="C28" s="139" t="s">
        <v>325</v>
      </c>
      <c r="H28" s="254">
        <v>0.31</v>
      </c>
      <c r="I28" s="254"/>
      <c r="J28" s="135" t="s">
        <v>326</v>
      </c>
      <c r="M28" s="135" t="s">
        <v>317</v>
      </c>
      <c r="N28" s="1279" t="e">
        <f>#REF!</f>
        <v>#REF!</v>
      </c>
      <c r="O28" s="1279"/>
      <c r="P28" s="1279"/>
      <c r="Q28" s="135" t="s">
        <v>327</v>
      </c>
      <c r="T28" s="135" t="s">
        <v>306</v>
      </c>
      <c r="U28" s="124" t="e">
        <f>INT(H28*N28)</f>
        <v>#REF!</v>
      </c>
      <c r="V28" s="106"/>
      <c r="W28" s="106"/>
      <c r="X28" s="135" t="s">
        <v>318</v>
      </c>
      <c r="AK28" s="132"/>
    </row>
    <row r="29" spans="1:38" ht="6.95" customHeight="1">
      <c r="A29" s="122"/>
      <c r="C29" s="139"/>
      <c r="H29" s="106"/>
      <c r="I29" s="106"/>
      <c r="N29" s="124"/>
      <c r="O29" s="124"/>
      <c r="P29" s="124"/>
      <c r="U29" s="124"/>
      <c r="V29" s="106"/>
      <c r="W29" s="106"/>
      <c r="AK29" s="132"/>
    </row>
    <row r="30" spans="1:38" ht="15" customHeight="1">
      <c r="A30" s="133" t="s">
        <v>328</v>
      </c>
      <c r="K30" s="135" t="s">
        <v>329</v>
      </c>
      <c r="U30" s="135" t="s">
        <v>330</v>
      </c>
      <c r="AE30" s="135" t="s">
        <v>331</v>
      </c>
      <c r="AK30" s="132"/>
      <c r="AL30" s="121"/>
    </row>
    <row r="31" spans="1:38" ht="15" customHeight="1">
      <c r="A31" s="134" t="s">
        <v>332</v>
      </c>
      <c r="F31" s="145" t="e">
        <f>AA18+AA19</f>
        <v>#REF!</v>
      </c>
      <c r="G31" s="106"/>
      <c r="H31" s="106"/>
      <c r="I31" s="135" t="s">
        <v>318</v>
      </c>
      <c r="K31" s="139" t="s">
        <v>332</v>
      </c>
      <c r="P31" s="124" t="e">
        <f>INT(F31*1.2)</f>
        <v>#REF!</v>
      </c>
      <c r="Q31" s="106"/>
      <c r="R31" s="106"/>
      <c r="S31" s="135" t="s">
        <v>318</v>
      </c>
      <c r="U31" s="139" t="s">
        <v>332</v>
      </c>
      <c r="Z31" s="124" t="e">
        <f>INT(F31*1.8)</f>
        <v>#REF!</v>
      </c>
      <c r="AA31" s="106"/>
      <c r="AB31" s="121"/>
      <c r="AC31" s="135" t="s">
        <v>318</v>
      </c>
      <c r="AE31" s="139" t="s">
        <v>332</v>
      </c>
      <c r="AJ31" s="143" t="e">
        <f>INT(F31*0.5)</f>
        <v>#REF!</v>
      </c>
      <c r="AK31" s="132" t="s">
        <v>318</v>
      </c>
      <c r="AL31" s="121"/>
    </row>
    <row r="32" spans="1:38" ht="15" customHeight="1">
      <c r="A32" s="134" t="s">
        <v>333</v>
      </c>
      <c r="F32" s="145" t="e">
        <f>AD22+U28</f>
        <v>#REF!</v>
      </c>
      <c r="G32" s="106"/>
      <c r="H32" s="106"/>
      <c r="I32" s="135" t="s">
        <v>318</v>
      </c>
      <c r="K32" s="139" t="s">
        <v>333</v>
      </c>
      <c r="P32" s="124" t="e">
        <f>INT(F32*1.2)</f>
        <v>#REF!</v>
      </c>
      <c r="Q32" s="106"/>
      <c r="R32" s="106"/>
      <c r="S32" s="135" t="s">
        <v>318</v>
      </c>
      <c r="U32" s="139" t="s">
        <v>333</v>
      </c>
      <c r="Z32" s="124" t="e">
        <f>INT(F32*1.8)</f>
        <v>#REF!</v>
      </c>
      <c r="AA32" s="106"/>
      <c r="AB32" s="121"/>
      <c r="AC32" s="135" t="s">
        <v>318</v>
      </c>
      <c r="AE32" s="139" t="s">
        <v>333</v>
      </c>
      <c r="AJ32" s="143" t="e">
        <f>INT(F32*0.5)</f>
        <v>#REF!</v>
      </c>
      <c r="AK32" s="132" t="s">
        <v>318</v>
      </c>
      <c r="AL32" s="121"/>
    </row>
    <row r="33" spans="1:38" ht="15" customHeight="1">
      <c r="A33" s="133" t="s">
        <v>334</v>
      </c>
      <c r="F33" s="145" t="e">
        <f>AA25</f>
        <v>#REF!</v>
      </c>
      <c r="G33" s="106"/>
      <c r="H33" s="106"/>
      <c r="I33" s="135" t="s">
        <v>318</v>
      </c>
      <c r="K33" s="135" t="s">
        <v>334</v>
      </c>
      <c r="P33" s="124" t="e">
        <f>INT(F33*1.2)</f>
        <v>#REF!</v>
      </c>
      <c r="Q33" s="106"/>
      <c r="R33" s="106"/>
      <c r="S33" s="135" t="s">
        <v>318</v>
      </c>
      <c r="U33" s="135" t="s">
        <v>334</v>
      </c>
      <c r="Z33" s="124" t="e">
        <f>INT(F33*1.8)</f>
        <v>#REF!</v>
      </c>
      <c r="AA33" s="106"/>
      <c r="AB33" s="121"/>
      <c r="AC33" s="135" t="s">
        <v>318</v>
      </c>
      <c r="AE33" s="135" t="s">
        <v>334</v>
      </c>
      <c r="AJ33" s="143" t="e">
        <f>INT(F33*0.5)</f>
        <v>#REF!</v>
      </c>
      <c r="AK33" s="132" t="s">
        <v>318</v>
      </c>
      <c r="AL33" s="121"/>
    </row>
    <row r="34" spans="1:38" ht="15" customHeight="1">
      <c r="A34" s="134" t="s">
        <v>335</v>
      </c>
      <c r="F34" s="124" t="e">
        <f>F31+F32+F33</f>
        <v>#REF!</v>
      </c>
      <c r="G34" s="106"/>
      <c r="H34" s="106"/>
      <c r="I34" s="135" t="s">
        <v>318</v>
      </c>
      <c r="K34" s="139" t="s">
        <v>335</v>
      </c>
      <c r="P34" s="124" t="e">
        <f>P31+P32+P33</f>
        <v>#REF!</v>
      </c>
      <c r="Q34" s="106"/>
      <c r="R34" s="106"/>
      <c r="S34" s="135" t="s">
        <v>318</v>
      </c>
      <c r="U34" s="139" t="s">
        <v>335</v>
      </c>
      <c r="Z34" s="124" t="e">
        <f>INT(F34*1.8)</f>
        <v>#REF!</v>
      </c>
      <c r="AA34" s="106"/>
      <c r="AB34" s="121"/>
      <c r="AC34" s="135" t="s">
        <v>318</v>
      </c>
      <c r="AE34" s="139" t="s">
        <v>335</v>
      </c>
      <c r="AJ34" s="143" t="e">
        <f>INT(F34*0.5)</f>
        <v>#REF!</v>
      </c>
      <c r="AK34" s="132" t="s">
        <v>318</v>
      </c>
    </row>
    <row r="35" spans="1:38" ht="15" customHeight="1">
      <c r="A35" s="105"/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4"/>
    </row>
    <row r="36" spans="1:38" ht="24.95" customHeight="1">
      <c r="A36" s="1160" t="s">
        <v>260</v>
      </c>
      <c r="B36" s="1161"/>
      <c r="C36" s="1161"/>
      <c r="D36" s="1161"/>
      <c r="E36" s="1161"/>
      <c r="F36" s="1161"/>
      <c r="G36" s="1161"/>
      <c r="H36" s="1161"/>
      <c r="I36" s="1161"/>
      <c r="J36" s="1161"/>
      <c r="K36" s="1161"/>
      <c r="L36" s="1161"/>
      <c r="M36" s="1161"/>
      <c r="N36" s="1161"/>
      <c r="O36" s="1161"/>
      <c r="P36" s="1161"/>
      <c r="Q36" s="1161"/>
      <c r="R36" s="1161"/>
      <c r="S36" s="1161"/>
      <c r="T36" s="1161"/>
      <c r="U36" s="1161"/>
      <c r="V36" s="1161"/>
      <c r="W36" s="1161"/>
      <c r="X36" s="1161"/>
      <c r="Y36" s="1161"/>
      <c r="Z36" s="1161"/>
      <c r="AA36" s="1161"/>
      <c r="AB36" s="1161"/>
      <c r="AC36" s="1161"/>
      <c r="AD36" s="1161"/>
      <c r="AE36" s="1161"/>
      <c r="AF36" s="1161"/>
      <c r="AG36" s="1161"/>
      <c r="AH36" s="1161"/>
      <c r="AI36" s="1161"/>
      <c r="AJ36" s="1161"/>
      <c r="AK36" s="1162"/>
    </row>
    <row r="37" spans="1:38" ht="6.95" customHeight="1">
      <c r="A37" s="133"/>
      <c r="AK37" s="132"/>
    </row>
    <row r="38" spans="1:38" ht="15" customHeight="1">
      <c r="A38" s="133" t="s">
        <v>273</v>
      </c>
      <c r="AK38" s="132"/>
    </row>
    <row r="39" spans="1:38" ht="6.95" customHeight="1">
      <c r="A39" s="133"/>
      <c r="AK39" s="132"/>
    </row>
    <row r="40" spans="1:38" ht="15" customHeight="1">
      <c r="A40" s="133" t="s">
        <v>302</v>
      </c>
      <c r="AK40" s="132"/>
    </row>
    <row r="41" spans="1:38" ht="15" customHeight="1">
      <c r="A41" s="131"/>
      <c r="B41" s="6"/>
      <c r="C41" s="6"/>
      <c r="D41" s="6"/>
      <c r="E41" s="130" t="s">
        <v>303</v>
      </c>
      <c r="F41" s="129"/>
      <c r="H41" s="6"/>
      <c r="I41" s="130">
        <v>36</v>
      </c>
      <c r="J41" s="129"/>
      <c r="AK41" s="132"/>
    </row>
    <row r="42" spans="1:38" ht="15" customHeight="1">
      <c r="A42" s="131" t="s">
        <v>304</v>
      </c>
      <c r="B42" s="6"/>
      <c r="C42" s="6"/>
      <c r="D42" s="6"/>
      <c r="F42" s="6"/>
      <c r="G42" s="128" t="s">
        <v>305</v>
      </c>
      <c r="H42" s="6"/>
      <c r="J42" s="6"/>
      <c r="K42" s="135" t="s">
        <v>306</v>
      </c>
      <c r="L42" s="127">
        <f>I41/I43</f>
        <v>51.428571428571431</v>
      </c>
      <c r="M42" s="106"/>
      <c r="O42" s="135" t="s">
        <v>307</v>
      </c>
      <c r="AK42" s="132"/>
    </row>
    <row r="43" spans="1:38" ht="15" customHeight="1">
      <c r="A43" s="133"/>
      <c r="B43" s="6"/>
      <c r="C43" s="6"/>
      <c r="D43" s="6"/>
      <c r="E43" s="126" t="s">
        <v>308</v>
      </c>
      <c r="F43" s="129"/>
      <c r="G43" s="125"/>
      <c r="H43" s="6"/>
      <c r="I43" s="126">
        <v>0.7</v>
      </c>
      <c r="J43" s="129"/>
      <c r="AK43" s="132"/>
    </row>
    <row r="44" spans="1:38" ht="15" customHeight="1">
      <c r="A44" s="131" t="s">
        <v>309</v>
      </c>
      <c r="B44" s="135" t="s">
        <v>261</v>
      </c>
      <c r="R44" s="1291">
        <f>L42</f>
        <v>51.428571428571431</v>
      </c>
      <c r="S44" s="1285"/>
      <c r="AK44" s="132"/>
    </row>
    <row r="45" spans="1:38" ht="15" customHeight="1">
      <c r="A45" s="131" t="s">
        <v>311</v>
      </c>
      <c r="B45" s="135" t="s">
        <v>274</v>
      </c>
      <c r="AK45" s="132"/>
    </row>
    <row r="46" spans="1:38" ht="15" customHeight="1">
      <c r="A46" s="131" t="s">
        <v>313</v>
      </c>
      <c r="B46" s="135" t="s">
        <v>314</v>
      </c>
      <c r="AK46" s="132"/>
    </row>
    <row r="47" spans="1:38" ht="15" customHeight="1">
      <c r="A47" s="131"/>
      <c r="B47" s="135" t="s">
        <v>253</v>
      </c>
      <c r="F47" s="1305">
        <f>R44/60</f>
        <v>0.85714285714285721</v>
      </c>
      <c r="G47" s="1305"/>
      <c r="AK47" s="132"/>
    </row>
    <row r="48" spans="1:38" ht="6.95" customHeight="1">
      <c r="A48" s="133"/>
      <c r="AK48" s="132"/>
    </row>
    <row r="49" spans="1:37" ht="15" customHeight="1">
      <c r="A49" s="133" t="s">
        <v>315</v>
      </c>
      <c r="AK49" s="132"/>
    </row>
    <row r="50" spans="1:37" ht="15" customHeight="1">
      <c r="A50" s="131"/>
      <c r="C50" s="1279" t="e">
        <f>#REF!</f>
        <v>#REF!</v>
      </c>
      <c r="D50" s="1279"/>
      <c r="E50" s="1279"/>
      <c r="F50" s="1279"/>
      <c r="G50" s="128" t="s">
        <v>316</v>
      </c>
      <c r="I50" s="135" t="s">
        <v>317</v>
      </c>
      <c r="J50" s="1280">
        <f>(2598/10000000)</f>
        <v>2.5980000000000003E-4</v>
      </c>
      <c r="K50" s="1280"/>
      <c r="L50" s="1280"/>
      <c r="M50" s="1280"/>
      <c r="N50" s="124"/>
      <c r="O50" s="124"/>
      <c r="P50" s="124"/>
      <c r="S50" s="155"/>
      <c r="T50" s="155"/>
      <c r="U50" s="155"/>
      <c r="V50" s="155"/>
      <c r="W50" s="124"/>
      <c r="X50" s="106"/>
      <c r="Y50" s="106"/>
      <c r="Z50" s="135" t="s">
        <v>41</v>
      </c>
      <c r="AA50" s="1275" t="e">
        <f>INT(C50*J50)</f>
        <v>#REF!</v>
      </c>
      <c r="AB50" s="1281"/>
      <c r="AC50" s="1281"/>
      <c r="AD50" s="1277" t="s">
        <v>275</v>
      </c>
      <c r="AE50" s="1277"/>
      <c r="AK50" s="132"/>
    </row>
    <row r="51" spans="1:37" ht="6.95" customHeight="1">
      <c r="A51" s="133"/>
      <c r="AA51" s="123"/>
      <c r="AB51" s="123"/>
      <c r="AC51" s="123"/>
      <c r="AD51" s="139"/>
      <c r="AE51" s="139"/>
      <c r="AK51" s="132"/>
    </row>
    <row r="52" spans="1:37" ht="15" customHeight="1">
      <c r="A52" s="133" t="s">
        <v>254</v>
      </c>
      <c r="G52" s="139"/>
      <c r="AA52" s="123"/>
      <c r="AB52" s="123"/>
      <c r="AC52" s="123"/>
      <c r="AD52" s="139"/>
      <c r="AE52" s="139"/>
      <c r="AK52" s="132"/>
    </row>
    <row r="53" spans="1:37" ht="15" customHeight="1">
      <c r="A53" s="122"/>
      <c r="C53" s="139" t="s">
        <v>319</v>
      </c>
      <c r="H53" s="121">
        <v>5.0999999999999996</v>
      </c>
      <c r="I53" s="106"/>
      <c r="J53" s="139" t="s">
        <v>320</v>
      </c>
      <c r="M53" s="135" t="s">
        <v>317</v>
      </c>
      <c r="N53" s="1279" t="e">
        <f>#REF!</f>
        <v>#REF!</v>
      </c>
      <c r="O53" s="1279"/>
      <c r="P53" s="139" t="s">
        <v>255</v>
      </c>
      <c r="S53" s="135" t="s">
        <v>317</v>
      </c>
      <c r="T53" s="1296">
        <f>F47</f>
        <v>0.85714285714285721</v>
      </c>
      <c r="U53" s="1297"/>
      <c r="Z53" s="135" t="s">
        <v>41</v>
      </c>
      <c r="AA53" s="1284" t="e">
        <f>INT(H53*N53*T53)</f>
        <v>#REF!</v>
      </c>
      <c r="AB53" s="1281"/>
      <c r="AC53" s="1281"/>
      <c r="AD53" s="1277" t="s">
        <v>318</v>
      </c>
      <c r="AE53" s="1277"/>
      <c r="AK53" s="132"/>
    </row>
    <row r="54" spans="1:37" ht="15" customHeight="1">
      <c r="A54" s="122"/>
      <c r="C54" s="139" t="s">
        <v>321</v>
      </c>
      <c r="H54" s="135" t="s">
        <v>322</v>
      </c>
      <c r="K54" s="135">
        <v>20</v>
      </c>
      <c r="L54" s="139" t="s">
        <v>250</v>
      </c>
      <c r="M54" s="135" t="s">
        <v>306</v>
      </c>
      <c r="N54" s="1279" t="e">
        <f>AA53</f>
        <v>#REF!</v>
      </c>
      <c r="O54" s="1279"/>
      <c r="P54" s="135" t="s">
        <v>318</v>
      </c>
      <c r="R54" s="135" t="s">
        <v>317</v>
      </c>
      <c r="S54" s="106">
        <f>K54/100</f>
        <v>0.2</v>
      </c>
      <c r="T54" s="106"/>
      <c r="U54" s="135" t="s">
        <v>317</v>
      </c>
      <c r="V54" s="1296">
        <f>F47</f>
        <v>0.85714285714285721</v>
      </c>
      <c r="W54" s="1297"/>
      <c r="Z54" s="135" t="s">
        <v>41</v>
      </c>
      <c r="AA54" s="1286" t="e">
        <f>INT(N54*S54*V54)</f>
        <v>#REF!</v>
      </c>
      <c r="AB54" s="1286"/>
      <c r="AC54" s="1286"/>
      <c r="AD54" s="1277" t="s">
        <v>318</v>
      </c>
      <c r="AE54" s="1277"/>
      <c r="AK54" s="132"/>
    </row>
    <row r="55" spans="1:37" ht="6.95" customHeight="1">
      <c r="A55" s="133"/>
      <c r="C55" s="139"/>
      <c r="AA55" s="123"/>
      <c r="AB55" s="123"/>
      <c r="AC55" s="123"/>
      <c r="AD55" s="139"/>
      <c r="AE55" s="139"/>
      <c r="AK55" s="132"/>
    </row>
    <row r="56" spans="1:37" ht="15" customHeight="1">
      <c r="A56" s="133" t="s">
        <v>256</v>
      </c>
      <c r="AA56" s="123"/>
      <c r="AB56" s="123"/>
      <c r="AC56" s="123"/>
      <c r="AD56" s="139"/>
      <c r="AE56" s="139"/>
      <c r="AK56" s="132"/>
    </row>
    <row r="57" spans="1:37" ht="15" customHeight="1">
      <c r="A57" s="131"/>
      <c r="C57" s="135" t="s">
        <v>257</v>
      </c>
      <c r="H57" s="120">
        <v>1</v>
      </c>
      <c r="I57" s="119" t="s">
        <v>323</v>
      </c>
      <c r="J57" s="119"/>
      <c r="K57" s="119"/>
      <c r="L57" s="119" t="s">
        <v>317</v>
      </c>
      <c r="M57" s="119">
        <f>(1/8)</f>
        <v>0.125</v>
      </c>
      <c r="N57" s="118"/>
      <c r="O57" s="119"/>
      <c r="P57" s="119" t="s">
        <v>317</v>
      </c>
      <c r="Q57" s="119">
        <f>(16/12)</f>
        <v>1.3333333333333333</v>
      </c>
      <c r="R57" s="119"/>
      <c r="S57" s="119" t="s">
        <v>317</v>
      </c>
      <c r="T57" s="1274">
        <f>(25/20)</f>
        <v>1.25</v>
      </c>
      <c r="U57" s="1274"/>
      <c r="V57" s="106" t="s">
        <v>317</v>
      </c>
      <c r="W57" s="1279" t="e">
        <f>#REF!</f>
        <v>#REF!</v>
      </c>
      <c r="X57" s="1279"/>
      <c r="Y57" s="1279"/>
      <c r="Z57" s="106" t="s">
        <v>317</v>
      </c>
      <c r="AA57" s="1299">
        <f>F47</f>
        <v>0.85714285714285721</v>
      </c>
      <c r="AB57" s="1300"/>
      <c r="AC57" s="156" t="s">
        <v>41</v>
      </c>
      <c r="AD57" s="1288" t="e">
        <f>INT(H57*M57*Q57*T57*W57*AA57)</f>
        <v>#REF!</v>
      </c>
      <c r="AE57" s="1288"/>
      <c r="AF57" s="1288"/>
      <c r="AG57" s="1277" t="s">
        <v>275</v>
      </c>
      <c r="AH57" s="1278"/>
      <c r="AK57" s="132"/>
    </row>
    <row r="58" spans="1:37" ht="6.95" customHeight="1">
      <c r="A58" s="131"/>
      <c r="H58" s="106"/>
      <c r="I58" s="106"/>
      <c r="J58" s="106"/>
      <c r="K58" s="106"/>
      <c r="L58" s="106"/>
      <c r="M58" s="106"/>
      <c r="N58" s="117"/>
      <c r="O58" s="106"/>
      <c r="P58" s="106"/>
      <c r="Q58" s="127"/>
      <c r="R58" s="106"/>
      <c r="S58" s="106"/>
      <c r="T58" s="106"/>
      <c r="U58" s="106"/>
      <c r="V58" s="124"/>
      <c r="W58" s="106"/>
      <c r="X58" s="106"/>
      <c r="Y58" s="106"/>
      <c r="Z58" s="106"/>
      <c r="AB58" s="124"/>
      <c r="AC58" s="124"/>
      <c r="AD58" s="106"/>
      <c r="AE58" s="106"/>
      <c r="AK58" s="132"/>
    </row>
    <row r="59" spans="1:37" ht="15" customHeight="1">
      <c r="A59" s="133" t="s">
        <v>258</v>
      </c>
      <c r="AA59" s="123"/>
      <c r="AB59" s="123"/>
      <c r="AC59" s="123"/>
      <c r="AD59" s="139"/>
      <c r="AE59" s="139"/>
      <c r="AK59" s="132"/>
    </row>
    <row r="60" spans="1:37" ht="15" customHeight="1">
      <c r="A60" s="131"/>
      <c r="C60" s="135" t="s">
        <v>259</v>
      </c>
      <c r="H60" s="1272" t="e">
        <f>AA50</f>
        <v>#REF!</v>
      </c>
      <c r="I60" s="1273"/>
      <c r="J60" s="1273"/>
      <c r="K60" s="119" t="s">
        <v>275</v>
      </c>
      <c r="L60" s="119" t="s">
        <v>317</v>
      </c>
      <c r="M60" s="161">
        <f>F47</f>
        <v>0.85714285714285721</v>
      </c>
      <c r="N60" s="162"/>
      <c r="O60" s="161"/>
      <c r="P60" s="161"/>
      <c r="Q60" s="119"/>
      <c r="R60" s="119"/>
      <c r="S60" s="119"/>
      <c r="T60" s="1274"/>
      <c r="U60" s="1274"/>
      <c r="V60" s="116"/>
      <c r="W60" s="106"/>
      <c r="X60" s="124"/>
      <c r="Y60" s="124"/>
      <c r="Z60" s="106" t="s">
        <v>41</v>
      </c>
      <c r="AA60" s="1275" t="e">
        <f>INT(H60*M60)</f>
        <v>#REF!</v>
      </c>
      <c r="AB60" s="1276"/>
      <c r="AC60" s="1276"/>
      <c r="AD60" s="1277" t="s">
        <v>318</v>
      </c>
      <c r="AE60" s="1278"/>
      <c r="AK60" s="132"/>
    </row>
    <row r="61" spans="1:37" ht="6.95" customHeight="1">
      <c r="A61" s="133"/>
      <c r="AK61" s="132"/>
    </row>
    <row r="62" spans="1:37" ht="15" customHeight="1">
      <c r="A62" s="133" t="s">
        <v>324</v>
      </c>
      <c r="AK62" s="132"/>
    </row>
    <row r="63" spans="1:37" ht="15" customHeight="1">
      <c r="A63" s="122"/>
      <c r="C63" s="139" t="s">
        <v>325</v>
      </c>
      <c r="H63" s="106">
        <v>0.36</v>
      </c>
      <c r="I63" s="106"/>
      <c r="J63" s="135" t="s">
        <v>326</v>
      </c>
      <c r="M63" s="135" t="s">
        <v>317</v>
      </c>
      <c r="N63" s="1279" t="e">
        <f>#REF!</f>
        <v>#REF!</v>
      </c>
      <c r="O63" s="1279"/>
      <c r="P63" s="1279"/>
      <c r="Q63" s="135" t="s">
        <v>327</v>
      </c>
      <c r="T63" s="135" t="s">
        <v>306</v>
      </c>
      <c r="U63" s="124" t="e">
        <f>INT(H63*N63)</f>
        <v>#REF!</v>
      </c>
      <c r="V63" s="106"/>
      <c r="W63" s="106"/>
      <c r="X63" s="135" t="s">
        <v>318</v>
      </c>
      <c r="AK63" s="132"/>
    </row>
    <row r="64" spans="1:37" ht="6.95" customHeight="1">
      <c r="A64" s="122"/>
      <c r="C64" s="139"/>
      <c r="H64" s="106"/>
      <c r="I64" s="106"/>
      <c r="N64" s="124"/>
      <c r="O64" s="124"/>
      <c r="P64" s="124"/>
      <c r="U64" s="124"/>
      <c r="V64" s="106"/>
      <c r="W64" s="106"/>
      <c r="AK64" s="132"/>
    </row>
    <row r="65" spans="1:38" ht="15" customHeight="1">
      <c r="A65" s="133" t="s">
        <v>328</v>
      </c>
      <c r="K65" s="135" t="s">
        <v>329</v>
      </c>
      <c r="U65" s="135" t="s">
        <v>330</v>
      </c>
      <c r="AE65" s="135" t="s">
        <v>331</v>
      </c>
      <c r="AK65" s="132"/>
      <c r="AL65" s="121"/>
    </row>
    <row r="66" spans="1:38" ht="15" customHeight="1">
      <c r="A66" s="134" t="s">
        <v>332</v>
      </c>
      <c r="F66" s="124" t="e">
        <f>AA53+AA54</f>
        <v>#REF!</v>
      </c>
      <c r="G66" s="106"/>
      <c r="H66" s="106"/>
      <c r="I66" s="135" t="s">
        <v>318</v>
      </c>
      <c r="K66" s="139" t="s">
        <v>332</v>
      </c>
      <c r="P66" s="124" t="e">
        <f>INT(F66*1.2)</f>
        <v>#REF!</v>
      </c>
      <c r="Q66" s="106"/>
      <c r="R66" s="106"/>
      <c r="S66" s="135" t="s">
        <v>318</v>
      </c>
      <c r="U66" s="139" t="s">
        <v>332</v>
      </c>
      <c r="Z66" s="124" t="e">
        <f>INT(F66*1.8)</f>
        <v>#REF!</v>
      </c>
      <c r="AA66" s="106"/>
      <c r="AB66" s="121"/>
      <c r="AC66" s="135" t="s">
        <v>318</v>
      </c>
      <c r="AE66" s="139" t="s">
        <v>332</v>
      </c>
      <c r="AJ66" s="143" t="e">
        <f>INT(F66*0.5)</f>
        <v>#REF!</v>
      </c>
      <c r="AK66" s="132" t="s">
        <v>318</v>
      </c>
      <c r="AL66" s="121"/>
    </row>
    <row r="67" spans="1:38" ht="15" customHeight="1">
      <c r="A67" s="134" t="s">
        <v>333</v>
      </c>
      <c r="F67" s="124" t="e">
        <f>AD57+U63</f>
        <v>#REF!</v>
      </c>
      <c r="G67" s="106"/>
      <c r="H67" s="106"/>
      <c r="I67" s="135" t="s">
        <v>318</v>
      </c>
      <c r="K67" s="139" t="s">
        <v>333</v>
      </c>
      <c r="P67" s="124" t="e">
        <f>INT(F67*1.2)</f>
        <v>#REF!</v>
      </c>
      <c r="Q67" s="106"/>
      <c r="R67" s="106"/>
      <c r="S67" s="135" t="s">
        <v>318</v>
      </c>
      <c r="U67" s="139" t="s">
        <v>333</v>
      </c>
      <c r="Z67" s="124" t="e">
        <f>INT(F67*1.8)</f>
        <v>#REF!</v>
      </c>
      <c r="AA67" s="106"/>
      <c r="AB67" s="121"/>
      <c r="AC67" s="135" t="s">
        <v>318</v>
      </c>
      <c r="AE67" s="139" t="s">
        <v>333</v>
      </c>
      <c r="AJ67" s="143" t="e">
        <f>INT(F67*0.5)</f>
        <v>#REF!</v>
      </c>
      <c r="AK67" s="132" t="s">
        <v>318</v>
      </c>
      <c r="AL67" s="121"/>
    </row>
    <row r="68" spans="1:38" ht="15" customHeight="1">
      <c r="A68" s="133" t="s">
        <v>334</v>
      </c>
      <c r="F68" s="124" t="e">
        <f>AA60</f>
        <v>#REF!</v>
      </c>
      <c r="G68" s="106"/>
      <c r="H68" s="106"/>
      <c r="I68" s="135" t="s">
        <v>318</v>
      </c>
      <c r="K68" s="135" t="s">
        <v>334</v>
      </c>
      <c r="P68" s="124" t="e">
        <f>INT(F68*1.2)</f>
        <v>#REF!</v>
      </c>
      <c r="Q68" s="106"/>
      <c r="R68" s="106"/>
      <c r="S68" s="135" t="s">
        <v>318</v>
      </c>
      <c r="U68" s="135" t="s">
        <v>334</v>
      </c>
      <c r="Z68" s="124" t="e">
        <f>INT(F68*1.8)</f>
        <v>#REF!</v>
      </c>
      <c r="AA68" s="106"/>
      <c r="AB68" s="121"/>
      <c r="AC68" s="135" t="s">
        <v>318</v>
      </c>
      <c r="AE68" s="135" t="s">
        <v>334</v>
      </c>
      <c r="AJ68" s="143" t="e">
        <f>INT(F68*0.5)</f>
        <v>#REF!</v>
      </c>
      <c r="AK68" s="132" t="s">
        <v>318</v>
      </c>
      <c r="AL68" s="121"/>
    </row>
    <row r="69" spans="1:38" ht="15" customHeight="1">
      <c r="A69" s="134" t="s">
        <v>335</v>
      </c>
      <c r="F69" s="124" t="e">
        <f>F66+F67+F68</f>
        <v>#REF!</v>
      </c>
      <c r="G69" s="106"/>
      <c r="H69" s="106"/>
      <c r="I69" s="135" t="s">
        <v>318</v>
      </c>
      <c r="K69" s="139" t="s">
        <v>335</v>
      </c>
      <c r="P69" s="124" t="e">
        <f>P66+P67+P68</f>
        <v>#REF!</v>
      </c>
      <c r="Q69" s="106"/>
      <c r="R69" s="106"/>
      <c r="S69" s="135" t="s">
        <v>318</v>
      </c>
      <c r="U69" s="139" t="s">
        <v>335</v>
      </c>
      <c r="Z69" s="124" t="e">
        <f>INT(F69*1.8)</f>
        <v>#REF!</v>
      </c>
      <c r="AA69" s="106"/>
      <c r="AB69" s="121"/>
      <c r="AC69" s="135" t="s">
        <v>318</v>
      </c>
      <c r="AE69" s="139" t="s">
        <v>335</v>
      </c>
      <c r="AJ69" s="143" t="e">
        <f>INT(F69*0.5)</f>
        <v>#REF!</v>
      </c>
      <c r="AK69" s="132" t="s">
        <v>318</v>
      </c>
    </row>
    <row r="70" spans="1:38" ht="15" customHeight="1">
      <c r="A70" s="105"/>
      <c r="B70" s="115"/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  <c r="AI70" s="115"/>
      <c r="AJ70" s="115"/>
      <c r="AK70" s="114"/>
    </row>
    <row r="71" spans="1:38" ht="24.95" customHeight="1">
      <c r="A71" s="1160" t="s">
        <v>262</v>
      </c>
      <c r="B71" s="1161"/>
      <c r="C71" s="1161"/>
      <c r="D71" s="1161"/>
      <c r="E71" s="1161"/>
      <c r="F71" s="1161"/>
      <c r="G71" s="1161"/>
      <c r="H71" s="1161"/>
      <c r="I71" s="1161"/>
      <c r="J71" s="1161"/>
      <c r="K71" s="1161"/>
      <c r="L71" s="1161"/>
      <c r="M71" s="1161"/>
      <c r="N71" s="1161"/>
      <c r="O71" s="1161"/>
      <c r="P71" s="1161"/>
      <c r="Q71" s="1161"/>
      <c r="R71" s="1161"/>
      <c r="S71" s="1161"/>
      <c r="T71" s="1161"/>
      <c r="U71" s="1161"/>
      <c r="V71" s="1161"/>
      <c r="W71" s="1161"/>
      <c r="X71" s="1161"/>
      <c r="Y71" s="1161"/>
      <c r="Z71" s="1161"/>
      <c r="AA71" s="1161"/>
      <c r="AB71" s="1161"/>
      <c r="AC71" s="1161"/>
      <c r="AD71" s="1161"/>
      <c r="AE71" s="1161"/>
      <c r="AF71" s="1161"/>
      <c r="AG71" s="1161"/>
      <c r="AH71" s="1161"/>
      <c r="AI71" s="1161"/>
      <c r="AJ71" s="1161"/>
      <c r="AK71" s="1162"/>
    </row>
    <row r="72" spans="1:38" ht="6.95" customHeight="1">
      <c r="A72" s="133"/>
      <c r="AK72" s="132"/>
    </row>
    <row r="73" spans="1:38" ht="15" customHeight="1">
      <c r="A73" s="133" t="s">
        <v>273</v>
      </c>
      <c r="AK73" s="132"/>
    </row>
    <row r="74" spans="1:38" ht="6.95" customHeight="1">
      <c r="A74" s="133"/>
      <c r="AK74" s="132"/>
    </row>
    <row r="75" spans="1:38" ht="15" customHeight="1">
      <c r="A75" s="133" t="s">
        <v>302</v>
      </c>
      <c r="AK75" s="132"/>
    </row>
    <row r="76" spans="1:38" ht="15" customHeight="1">
      <c r="A76" s="131"/>
      <c r="B76" s="6"/>
      <c r="C76" s="6"/>
      <c r="D76" s="6"/>
      <c r="E76" s="130" t="s">
        <v>303</v>
      </c>
      <c r="F76" s="129"/>
      <c r="H76" s="6"/>
      <c r="I76" s="130">
        <v>39</v>
      </c>
      <c r="J76" s="129"/>
      <c r="AK76" s="132"/>
    </row>
    <row r="77" spans="1:38" ht="15" customHeight="1">
      <c r="A77" s="131" t="s">
        <v>304</v>
      </c>
      <c r="B77" s="6"/>
      <c r="C77" s="6"/>
      <c r="D77" s="6"/>
      <c r="F77" s="6"/>
      <c r="G77" s="128" t="s">
        <v>305</v>
      </c>
      <c r="H77" s="6"/>
      <c r="J77" s="6"/>
      <c r="K77" s="135" t="s">
        <v>306</v>
      </c>
      <c r="L77" s="127">
        <f>I76/I78</f>
        <v>55.714285714285715</v>
      </c>
      <c r="M77" s="106"/>
      <c r="O77" s="135" t="s">
        <v>307</v>
      </c>
      <c r="AK77" s="132"/>
    </row>
    <row r="78" spans="1:38" ht="15" customHeight="1">
      <c r="A78" s="133"/>
      <c r="B78" s="6"/>
      <c r="C78" s="6"/>
      <c r="D78" s="6"/>
      <c r="E78" s="126" t="s">
        <v>308</v>
      </c>
      <c r="F78" s="129"/>
      <c r="G78" s="125"/>
      <c r="H78" s="6"/>
      <c r="I78" s="126">
        <v>0.7</v>
      </c>
      <c r="J78" s="129"/>
      <c r="AK78" s="132"/>
    </row>
    <row r="79" spans="1:38" ht="15" customHeight="1">
      <c r="A79" s="131" t="s">
        <v>309</v>
      </c>
      <c r="B79" s="135" t="s">
        <v>261</v>
      </c>
      <c r="R79" s="1291">
        <f>L77</f>
        <v>55.714285714285715</v>
      </c>
      <c r="S79" s="1285"/>
      <c r="AK79" s="132"/>
    </row>
    <row r="80" spans="1:38" ht="15" customHeight="1">
      <c r="A80" s="131" t="s">
        <v>311</v>
      </c>
      <c r="B80" s="135" t="s">
        <v>274</v>
      </c>
      <c r="AK80" s="132"/>
    </row>
    <row r="81" spans="1:37" ht="15" customHeight="1">
      <c r="A81" s="131" t="s">
        <v>313</v>
      </c>
      <c r="B81" s="135" t="s">
        <v>314</v>
      </c>
      <c r="AK81" s="132"/>
    </row>
    <row r="82" spans="1:37" ht="15" customHeight="1">
      <c r="A82" s="131"/>
      <c r="B82" s="135" t="s">
        <v>253</v>
      </c>
      <c r="F82" s="1305">
        <f>R79/60</f>
        <v>0.9285714285714286</v>
      </c>
      <c r="G82" s="1305"/>
      <c r="AK82" s="132"/>
    </row>
    <row r="83" spans="1:37" ht="6.95" customHeight="1">
      <c r="A83" s="133"/>
      <c r="AK83" s="132"/>
    </row>
    <row r="84" spans="1:37" ht="15" customHeight="1">
      <c r="A84" s="133" t="s">
        <v>315</v>
      </c>
      <c r="AK84" s="132"/>
    </row>
    <row r="85" spans="1:37" ht="15" customHeight="1">
      <c r="A85" s="131"/>
      <c r="C85" s="1279" t="e">
        <f>#REF!</f>
        <v>#REF!</v>
      </c>
      <c r="D85" s="1279"/>
      <c r="E85" s="1279"/>
      <c r="F85" s="1279"/>
      <c r="G85" s="128" t="s">
        <v>316</v>
      </c>
      <c r="I85" s="135" t="s">
        <v>317</v>
      </c>
      <c r="J85" s="1280">
        <f>(2598/10000000)</f>
        <v>2.5980000000000003E-4</v>
      </c>
      <c r="K85" s="1280"/>
      <c r="L85" s="1280"/>
      <c r="M85" s="1280"/>
      <c r="N85" s="124"/>
      <c r="O85" s="124"/>
      <c r="P85" s="124"/>
      <c r="S85" s="155"/>
      <c r="T85" s="155"/>
      <c r="U85" s="155"/>
      <c r="V85" s="155"/>
      <c r="W85" s="124"/>
      <c r="X85" s="106"/>
      <c r="Y85" s="106"/>
      <c r="Z85" s="135" t="s">
        <v>41</v>
      </c>
      <c r="AA85" s="1275" t="e">
        <f>INT(C85*J85)</f>
        <v>#REF!</v>
      </c>
      <c r="AB85" s="1281"/>
      <c r="AC85" s="1281"/>
      <c r="AD85" s="1277" t="s">
        <v>275</v>
      </c>
      <c r="AE85" s="1277"/>
      <c r="AK85" s="132"/>
    </row>
    <row r="86" spans="1:37" ht="6.95" customHeight="1">
      <c r="A86" s="133"/>
      <c r="AA86" s="123"/>
      <c r="AB86" s="123"/>
      <c r="AC86" s="123"/>
      <c r="AD86" s="139"/>
      <c r="AE86" s="139"/>
      <c r="AK86" s="132"/>
    </row>
    <row r="87" spans="1:37" ht="15" customHeight="1">
      <c r="A87" s="133" t="s">
        <v>254</v>
      </c>
      <c r="G87" s="139"/>
      <c r="AA87" s="123"/>
      <c r="AB87" s="123"/>
      <c r="AC87" s="123"/>
      <c r="AD87" s="139"/>
      <c r="AE87" s="139"/>
      <c r="AK87" s="132"/>
    </row>
    <row r="88" spans="1:37" ht="15" customHeight="1">
      <c r="A88" s="122"/>
      <c r="C88" s="139" t="s">
        <v>319</v>
      </c>
      <c r="H88" s="121">
        <v>5.0999999999999996</v>
      </c>
      <c r="I88" s="106"/>
      <c r="J88" s="139" t="s">
        <v>320</v>
      </c>
      <c r="M88" s="135" t="s">
        <v>317</v>
      </c>
      <c r="N88" s="1279" t="e">
        <f>#REF!</f>
        <v>#REF!</v>
      </c>
      <c r="O88" s="1279"/>
      <c r="P88" s="139" t="s">
        <v>255</v>
      </c>
      <c r="S88" s="135" t="s">
        <v>317</v>
      </c>
      <c r="T88" s="1296">
        <f>F82</f>
        <v>0.9285714285714286</v>
      </c>
      <c r="U88" s="1297"/>
      <c r="Z88" s="135" t="s">
        <v>41</v>
      </c>
      <c r="AA88" s="1284" t="e">
        <f>INT(H88*N88*T88)</f>
        <v>#REF!</v>
      </c>
      <c r="AB88" s="1281"/>
      <c r="AC88" s="1281"/>
      <c r="AD88" s="1277" t="s">
        <v>318</v>
      </c>
      <c r="AE88" s="1277"/>
      <c r="AK88" s="132"/>
    </row>
    <row r="89" spans="1:37" ht="15" customHeight="1">
      <c r="A89" s="122"/>
      <c r="C89" s="139" t="s">
        <v>321</v>
      </c>
      <c r="H89" s="135" t="s">
        <v>322</v>
      </c>
      <c r="K89" s="135">
        <v>20</v>
      </c>
      <c r="L89" s="139" t="s">
        <v>250</v>
      </c>
      <c r="M89" s="135" t="s">
        <v>306</v>
      </c>
      <c r="N89" s="1279" t="e">
        <f>AA88</f>
        <v>#REF!</v>
      </c>
      <c r="O89" s="1279"/>
      <c r="P89" s="135" t="s">
        <v>318</v>
      </c>
      <c r="R89" s="135" t="s">
        <v>317</v>
      </c>
      <c r="S89" s="106">
        <f>K89/100</f>
        <v>0.2</v>
      </c>
      <c r="T89" s="106"/>
      <c r="U89" s="135" t="s">
        <v>317</v>
      </c>
      <c r="V89" s="1296">
        <f>F82</f>
        <v>0.9285714285714286</v>
      </c>
      <c r="W89" s="1297"/>
      <c r="Z89" s="135" t="s">
        <v>41</v>
      </c>
      <c r="AA89" s="1286" t="e">
        <f>INT(N89*S89*V89)</f>
        <v>#REF!</v>
      </c>
      <c r="AB89" s="1286"/>
      <c r="AC89" s="1286"/>
      <c r="AD89" s="1277" t="s">
        <v>318</v>
      </c>
      <c r="AE89" s="1277"/>
      <c r="AK89" s="132"/>
    </row>
    <row r="90" spans="1:37" ht="6.95" customHeight="1">
      <c r="A90" s="133"/>
      <c r="C90" s="139"/>
      <c r="AA90" s="123"/>
      <c r="AB90" s="123"/>
      <c r="AC90" s="123"/>
      <c r="AD90" s="139"/>
      <c r="AE90" s="139"/>
      <c r="AK90" s="132"/>
    </row>
    <row r="91" spans="1:37" ht="15" customHeight="1">
      <c r="A91" s="133" t="s">
        <v>256</v>
      </c>
      <c r="AA91" s="123"/>
      <c r="AB91" s="123"/>
      <c r="AC91" s="123"/>
      <c r="AD91" s="139"/>
      <c r="AE91" s="139"/>
      <c r="AK91" s="132"/>
    </row>
    <row r="92" spans="1:37" ht="15" customHeight="1">
      <c r="A92" s="131"/>
      <c r="C92" s="135" t="s">
        <v>257</v>
      </c>
      <c r="H92" s="120">
        <v>1</v>
      </c>
      <c r="I92" s="119" t="s">
        <v>323</v>
      </c>
      <c r="J92" s="119"/>
      <c r="K92" s="119"/>
      <c r="L92" s="119" t="s">
        <v>317</v>
      </c>
      <c r="M92" s="119">
        <f>(1/8)</f>
        <v>0.125</v>
      </c>
      <c r="N92" s="118"/>
      <c r="O92" s="119"/>
      <c r="P92" s="119" t="s">
        <v>317</v>
      </c>
      <c r="Q92" s="119">
        <f>(16/12)</f>
        <v>1.3333333333333333</v>
      </c>
      <c r="R92" s="119"/>
      <c r="S92" s="119" t="s">
        <v>317</v>
      </c>
      <c r="T92" s="1274">
        <f>(25/20)</f>
        <v>1.25</v>
      </c>
      <c r="U92" s="1274"/>
      <c r="V92" s="106" t="s">
        <v>317</v>
      </c>
      <c r="W92" s="1279" t="e">
        <f>#REF!</f>
        <v>#REF!</v>
      </c>
      <c r="X92" s="1279"/>
      <c r="Y92" s="1279"/>
      <c r="Z92" s="106" t="s">
        <v>317</v>
      </c>
      <c r="AA92" s="1299">
        <f>F82</f>
        <v>0.9285714285714286</v>
      </c>
      <c r="AB92" s="1300"/>
      <c r="AC92" s="156" t="s">
        <v>41</v>
      </c>
      <c r="AD92" s="1288" t="e">
        <f>INT(H92*M92*Q92*T92*W92*AA92)</f>
        <v>#REF!</v>
      </c>
      <c r="AE92" s="1288"/>
      <c r="AF92" s="1288"/>
      <c r="AG92" s="1277" t="s">
        <v>275</v>
      </c>
      <c r="AH92" s="1278"/>
      <c r="AK92" s="132"/>
    </row>
    <row r="93" spans="1:37" ht="6.95" customHeight="1">
      <c r="A93" s="131"/>
      <c r="H93" s="106"/>
      <c r="I93" s="106"/>
      <c r="J93" s="106"/>
      <c r="K93" s="106"/>
      <c r="L93" s="106"/>
      <c r="M93" s="106"/>
      <c r="N93" s="117"/>
      <c r="O93" s="106"/>
      <c r="P93" s="106"/>
      <c r="Q93" s="127"/>
      <c r="R93" s="106"/>
      <c r="S93" s="106"/>
      <c r="T93" s="106"/>
      <c r="U93" s="106"/>
      <c r="V93" s="124"/>
      <c r="W93" s="106"/>
      <c r="X93" s="106"/>
      <c r="Y93" s="106"/>
      <c r="Z93" s="106"/>
      <c r="AB93" s="124"/>
      <c r="AC93" s="124"/>
      <c r="AD93" s="106"/>
      <c r="AE93" s="106"/>
      <c r="AK93" s="132"/>
    </row>
    <row r="94" spans="1:37" ht="15" customHeight="1">
      <c r="A94" s="133" t="s">
        <v>258</v>
      </c>
      <c r="AA94" s="123"/>
      <c r="AB94" s="123"/>
      <c r="AC94" s="123"/>
      <c r="AD94" s="139"/>
      <c r="AE94" s="139"/>
      <c r="AK94" s="132"/>
    </row>
    <row r="95" spans="1:37" ht="15" customHeight="1">
      <c r="A95" s="131"/>
      <c r="C95" s="135" t="s">
        <v>259</v>
      </c>
      <c r="H95" s="1272" t="e">
        <f>AA85</f>
        <v>#REF!</v>
      </c>
      <c r="I95" s="1273"/>
      <c r="J95" s="1273"/>
      <c r="K95" s="119" t="s">
        <v>275</v>
      </c>
      <c r="L95" s="119" t="s">
        <v>317</v>
      </c>
      <c r="M95" s="161">
        <f>F82</f>
        <v>0.9285714285714286</v>
      </c>
      <c r="N95" s="162"/>
      <c r="O95" s="161"/>
      <c r="P95" s="161"/>
      <c r="Q95" s="161"/>
      <c r="R95" s="119"/>
      <c r="S95" s="119"/>
      <c r="T95" s="1274"/>
      <c r="U95" s="1274"/>
      <c r="V95" s="116"/>
      <c r="W95" s="106"/>
      <c r="X95" s="124"/>
      <c r="Y95" s="124"/>
      <c r="Z95" s="106" t="s">
        <v>41</v>
      </c>
      <c r="AA95" s="1275" t="e">
        <f>INT(H95*M95)</f>
        <v>#REF!</v>
      </c>
      <c r="AB95" s="1276"/>
      <c r="AC95" s="1276"/>
      <c r="AD95" s="1277" t="s">
        <v>318</v>
      </c>
      <c r="AE95" s="1278"/>
      <c r="AK95" s="132"/>
    </row>
    <row r="96" spans="1:37" ht="6.95" customHeight="1">
      <c r="A96" s="133"/>
      <c r="AK96" s="132"/>
    </row>
    <row r="97" spans="1:38" ht="15" customHeight="1">
      <c r="A97" s="133" t="s">
        <v>324</v>
      </c>
      <c r="AK97" s="132"/>
    </row>
    <row r="98" spans="1:38" ht="15" customHeight="1">
      <c r="A98" s="122"/>
      <c r="C98" s="139" t="s">
        <v>325</v>
      </c>
      <c r="H98" s="106">
        <v>0.42</v>
      </c>
      <c r="I98" s="106"/>
      <c r="J98" s="135" t="s">
        <v>326</v>
      </c>
      <c r="M98" s="135" t="s">
        <v>317</v>
      </c>
      <c r="N98" s="1279" t="e">
        <f>#REF!</f>
        <v>#REF!</v>
      </c>
      <c r="O98" s="1279"/>
      <c r="P98" s="1279"/>
      <c r="Q98" s="135" t="s">
        <v>327</v>
      </c>
      <c r="T98" s="135" t="s">
        <v>306</v>
      </c>
      <c r="U98" s="124" t="e">
        <f>INT(H98*N98)</f>
        <v>#REF!</v>
      </c>
      <c r="V98" s="106"/>
      <c r="W98" s="106"/>
      <c r="X98" s="135" t="s">
        <v>318</v>
      </c>
      <c r="AK98" s="132"/>
    </row>
    <row r="99" spans="1:38" ht="6.95" customHeight="1">
      <c r="A99" s="122"/>
      <c r="C99" s="139"/>
      <c r="H99" s="106"/>
      <c r="I99" s="106"/>
      <c r="N99" s="124"/>
      <c r="O99" s="124"/>
      <c r="P99" s="124"/>
      <c r="U99" s="124"/>
      <c r="V99" s="106"/>
      <c r="W99" s="106"/>
      <c r="AK99" s="132"/>
    </row>
    <row r="100" spans="1:38" ht="15" customHeight="1">
      <c r="A100" s="133" t="s">
        <v>328</v>
      </c>
      <c r="K100" s="135" t="s">
        <v>329</v>
      </c>
      <c r="U100" s="135" t="s">
        <v>330</v>
      </c>
      <c r="AE100" s="135" t="s">
        <v>331</v>
      </c>
      <c r="AK100" s="132"/>
      <c r="AL100" s="121"/>
    </row>
    <row r="101" spans="1:38" ht="15" customHeight="1">
      <c r="A101" s="134" t="s">
        <v>332</v>
      </c>
      <c r="F101" s="124" t="e">
        <f>AA88+AA89</f>
        <v>#REF!</v>
      </c>
      <c r="G101" s="106"/>
      <c r="H101" s="106"/>
      <c r="I101" s="135" t="s">
        <v>318</v>
      </c>
      <c r="K101" s="139" t="s">
        <v>332</v>
      </c>
      <c r="P101" s="124" t="e">
        <f>INT(F101*1.2)</f>
        <v>#REF!</v>
      </c>
      <c r="Q101" s="106"/>
      <c r="R101" s="106"/>
      <c r="S101" s="135" t="s">
        <v>318</v>
      </c>
      <c r="U101" s="139" t="s">
        <v>332</v>
      </c>
      <c r="Z101" s="124" t="e">
        <f>INT(F101*1.8)</f>
        <v>#REF!</v>
      </c>
      <c r="AA101" s="106"/>
      <c r="AB101" s="121"/>
      <c r="AC101" s="135" t="s">
        <v>318</v>
      </c>
      <c r="AE101" s="139" t="s">
        <v>332</v>
      </c>
      <c r="AJ101" s="143" t="e">
        <f>INT(F101*0.5)</f>
        <v>#REF!</v>
      </c>
      <c r="AK101" s="132" t="s">
        <v>318</v>
      </c>
      <c r="AL101" s="121"/>
    </row>
    <row r="102" spans="1:38" ht="15" customHeight="1">
      <c r="A102" s="134" t="s">
        <v>333</v>
      </c>
      <c r="F102" s="124" t="e">
        <f>AD92+U98</f>
        <v>#REF!</v>
      </c>
      <c r="G102" s="106"/>
      <c r="H102" s="106"/>
      <c r="I102" s="135" t="s">
        <v>318</v>
      </c>
      <c r="K102" s="139" t="s">
        <v>333</v>
      </c>
      <c r="P102" s="124" t="e">
        <f>INT(F102*1.2)</f>
        <v>#REF!</v>
      </c>
      <c r="Q102" s="106"/>
      <c r="R102" s="106"/>
      <c r="S102" s="135" t="s">
        <v>318</v>
      </c>
      <c r="U102" s="139" t="s">
        <v>333</v>
      </c>
      <c r="Z102" s="124" t="e">
        <f>INT(F102*1.8)</f>
        <v>#REF!</v>
      </c>
      <c r="AA102" s="106"/>
      <c r="AB102" s="121"/>
      <c r="AC102" s="135" t="s">
        <v>318</v>
      </c>
      <c r="AE102" s="139" t="s">
        <v>333</v>
      </c>
      <c r="AJ102" s="143" t="e">
        <f>INT(F102*0.5)</f>
        <v>#REF!</v>
      </c>
      <c r="AK102" s="132" t="s">
        <v>318</v>
      </c>
      <c r="AL102" s="121"/>
    </row>
    <row r="103" spans="1:38" ht="15" customHeight="1">
      <c r="A103" s="133" t="s">
        <v>334</v>
      </c>
      <c r="F103" s="124" t="e">
        <f>AA95</f>
        <v>#REF!</v>
      </c>
      <c r="G103" s="106"/>
      <c r="H103" s="106"/>
      <c r="I103" s="135" t="s">
        <v>318</v>
      </c>
      <c r="K103" s="135" t="s">
        <v>334</v>
      </c>
      <c r="P103" s="124" t="e">
        <f>INT(F103*1.2)</f>
        <v>#REF!</v>
      </c>
      <c r="Q103" s="106"/>
      <c r="R103" s="106"/>
      <c r="S103" s="135" t="s">
        <v>318</v>
      </c>
      <c r="U103" s="135" t="s">
        <v>334</v>
      </c>
      <c r="Z103" s="124" t="e">
        <f>INT(F103*1.8)</f>
        <v>#REF!</v>
      </c>
      <c r="AA103" s="106"/>
      <c r="AB103" s="121"/>
      <c r="AC103" s="135" t="s">
        <v>318</v>
      </c>
      <c r="AE103" s="135" t="s">
        <v>334</v>
      </c>
      <c r="AJ103" s="143" t="e">
        <f>INT(F103*0.5)</f>
        <v>#REF!</v>
      </c>
      <c r="AK103" s="132" t="s">
        <v>318</v>
      </c>
      <c r="AL103" s="121"/>
    </row>
    <row r="104" spans="1:38" ht="15" customHeight="1">
      <c r="A104" s="134" t="s">
        <v>335</v>
      </c>
      <c r="F104" s="124" t="e">
        <f>F101+F102+F103</f>
        <v>#REF!</v>
      </c>
      <c r="G104" s="106"/>
      <c r="H104" s="106"/>
      <c r="I104" s="135" t="s">
        <v>318</v>
      </c>
      <c r="K104" s="139" t="s">
        <v>335</v>
      </c>
      <c r="P104" s="124" t="e">
        <f>P101+P102+P103</f>
        <v>#REF!</v>
      </c>
      <c r="Q104" s="106"/>
      <c r="R104" s="106"/>
      <c r="S104" s="135" t="s">
        <v>318</v>
      </c>
      <c r="U104" s="139" t="s">
        <v>335</v>
      </c>
      <c r="Z104" s="124" t="e">
        <f>INT(F104*1.8)</f>
        <v>#REF!</v>
      </c>
      <c r="AA104" s="106"/>
      <c r="AB104" s="121"/>
      <c r="AC104" s="135" t="s">
        <v>318</v>
      </c>
      <c r="AE104" s="139" t="s">
        <v>335</v>
      </c>
      <c r="AJ104" s="143" t="e">
        <f>INT(F104*0.5)</f>
        <v>#REF!</v>
      </c>
      <c r="AK104" s="132" t="s">
        <v>318</v>
      </c>
    </row>
    <row r="105" spans="1:38" ht="15" customHeight="1">
      <c r="A105" s="105"/>
      <c r="B105" s="115"/>
      <c r="C105" s="115"/>
      <c r="D105" s="115"/>
      <c r="E105" s="115"/>
      <c r="F105" s="115"/>
      <c r="G105" s="115"/>
      <c r="H105" s="115"/>
      <c r="I105" s="115"/>
      <c r="J105" s="115"/>
      <c r="K105" s="115"/>
      <c r="L105" s="115"/>
      <c r="M105" s="115"/>
      <c r="N105" s="115"/>
      <c r="O105" s="11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  <c r="AB105" s="115"/>
      <c r="AC105" s="115"/>
      <c r="AD105" s="115"/>
      <c r="AE105" s="115"/>
      <c r="AF105" s="115"/>
      <c r="AG105" s="115"/>
      <c r="AH105" s="115"/>
      <c r="AI105" s="115"/>
      <c r="AJ105" s="115"/>
      <c r="AK105" s="114"/>
    </row>
    <row r="106" spans="1:38" ht="24.95" customHeight="1">
      <c r="A106" s="1160" t="s">
        <v>518</v>
      </c>
      <c r="B106" s="1161"/>
      <c r="C106" s="1161"/>
      <c r="D106" s="1161"/>
      <c r="E106" s="1161"/>
      <c r="F106" s="1161"/>
      <c r="G106" s="1161"/>
      <c r="H106" s="1161"/>
      <c r="I106" s="1161"/>
      <c r="J106" s="1161"/>
      <c r="K106" s="1161"/>
      <c r="L106" s="1161"/>
      <c r="M106" s="1161"/>
      <c r="N106" s="1161"/>
      <c r="O106" s="1161"/>
      <c r="P106" s="1161"/>
      <c r="Q106" s="1161"/>
      <c r="R106" s="1161"/>
      <c r="S106" s="1161"/>
      <c r="T106" s="1161"/>
      <c r="U106" s="1161"/>
      <c r="V106" s="1161"/>
      <c r="W106" s="1161"/>
      <c r="X106" s="1161"/>
      <c r="Y106" s="1161"/>
      <c r="Z106" s="1161"/>
      <c r="AA106" s="1161"/>
      <c r="AB106" s="1161"/>
      <c r="AC106" s="1161"/>
      <c r="AD106" s="1161"/>
      <c r="AE106" s="1161"/>
      <c r="AF106" s="1161"/>
      <c r="AG106" s="1161"/>
      <c r="AH106" s="1161"/>
      <c r="AI106" s="1161"/>
      <c r="AJ106" s="1161"/>
      <c r="AK106" s="1162"/>
    </row>
    <row r="107" spans="1:38" ht="6.95" customHeight="1">
      <c r="A107" s="133"/>
      <c r="AK107" s="132"/>
    </row>
    <row r="108" spans="1:38" ht="15" customHeight="1">
      <c r="A108" s="133" t="s">
        <v>273</v>
      </c>
      <c r="AK108" s="132"/>
    </row>
    <row r="109" spans="1:38" ht="6.95" customHeight="1">
      <c r="A109" s="133"/>
      <c r="AK109" s="132"/>
    </row>
    <row r="110" spans="1:38" ht="15" customHeight="1">
      <c r="A110" s="133" t="s">
        <v>302</v>
      </c>
      <c r="AK110" s="132"/>
    </row>
    <row r="111" spans="1:38" ht="15" customHeight="1">
      <c r="A111" s="131"/>
      <c r="B111" s="6"/>
      <c r="C111" s="6"/>
      <c r="D111" s="6"/>
      <c r="E111" s="130" t="s">
        <v>303</v>
      </c>
      <c r="F111" s="129"/>
      <c r="H111" s="6"/>
      <c r="I111" s="130">
        <f>33*0.6</f>
        <v>19.8</v>
      </c>
      <c r="J111" s="129"/>
      <c r="AK111" s="132"/>
    </row>
    <row r="112" spans="1:38" ht="15" customHeight="1">
      <c r="A112" s="131" t="s">
        <v>304</v>
      </c>
      <c r="B112" s="6"/>
      <c r="C112" s="6"/>
      <c r="D112" s="6"/>
      <c r="F112" s="6"/>
      <c r="G112" s="128" t="s">
        <v>305</v>
      </c>
      <c r="H112" s="6"/>
      <c r="J112" s="6"/>
      <c r="K112" s="135" t="s">
        <v>306</v>
      </c>
      <c r="L112" s="127">
        <f>I111/I113</f>
        <v>28.285714285714288</v>
      </c>
      <c r="M112" s="106"/>
      <c r="O112" s="135" t="s">
        <v>307</v>
      </c>
      <c r="AK112" s="132"/>
    </row>
    <row r="113" spans="1:37" ht="15" customHeight="1">
      <c r="A113" s="133"/>
      <c r="B113" s="6"/>
      <c r="C113" s="6"/>
      <c r="D113" s="6"/>
      <c r="E113" s="126" t="s">
        <v>308</v>
      </c>
      <c r="F113" s="129"/>
      <c r="G113" s="125"/>
      <c r="H113" s="6"/>
      <c r="I113" s="126">
        <v>0.7</v>
      </c>
      <c r="J113" s="129"/>
      <c r="AK113" s="132"/>
    </row>
    <row r="114" spans="1:37" ht="15" customHeight="1">
      <c r="A114" s="131" t="s">
        <v>309</v>
      </c>
      <c r="B114" s="135" t="s">
        <v>310</v>
      </c>
      <c r="Q114" s="1291">
        <f>L112</f>
        <v>28.285714285714288</v>
      </c>
      <c r="R114" s="1285"/>
      <c r="AK114" s="132"/>
    </row>
    <row r="115" spans="1:37" ht="15" customHeight="1">
      <c r="A115" s="131" t="s">
        <v>311</v>
      </c>
      <c r="B115" s="135" t="s">
        <v>312</v>
      </c>
      <c r="O115" s="135" t="s">
        <v>41</v>
      </c>
      <c r="P115" s="1311">
        <v>0.7</v>
      </c>
      <c r="Q115" s="1285"/>
      <c r="AK115" s="132"/>
    </row>
    <row r="116" spans="1:37" ht="15" customHeight="1">
      <c r="A116" s="131" t="s">
        <v>313</v>
      </c>
      <c r="B116" s="135" t="s">
        <v>314</v>
      </c>
      <c r="AK116" s="132"/>
    </row>
    <row r="117" spans="1:37" ht="15" customHeight="1">
      <c r="A117" s="131"/>
      <c r="B117" s="135" t="s">
        <v>253</v>
      </c>
      <c r="F117" s="1305">
        <f>Q114/60</f>
        <v>0.47142857142857147</v>
      </c>
      <c r="G117" s="1305"/>
      <c r="AK117" s="132"/>
    </row>
    <row r="118" spans="1:37" ht="6.95" customHeight="1">
      <c r="A118" s="133"/>
      <c r="AK118" s="132"/>
    </row>
    <row r="119" spans="1:37" ht="15" customHeight="1">
      <c r="A119" s="133" t="s">
        <v>315</v>
      </c>
      <c r="AK119" s="132"/>
    </row>
    <row r="120" spans="1:37" ht="15" customHeight="1">
      <c r="A120" s="131"/>
      <c r="C120" s="1279" t="e">
        <f>#REF!</f>
        <v>#REF!</v>
      </c>
      <c r="D120" s="1279"/>
      <c r="E120" s="1279"/>
      <c r="F120" s="1279"/>
      <c r="G120" s="128" t="s">
        <v>316</v>
      </c>
      <c r="I120" s="135" t="s">
        <v>317</v>
      </c>
      <c r="J120" s="1280">
        <f>(2598/10000000)</f>
        <v>2.5980000000000003E-4</v>
      </c>
      <c r="K120" s="1280"/>
      <c r="L120" s="1280"/>
      <c r="M120" s="1280"/>
      <c r="N120" s="124"/>
      <c r="O120" s="124"/>
      <c r="P120" s="124"/>
      <c r="S120" s="155"/>
      <c r="T120" s="155"/>
      <c r="U120" s="155"/>
      <c r="V120" s="155"/>
      <c r="W120" s="124"/>
      <c r="X120" s="106"/>
      <c r="Y120" s="106"/>
      <c r="Z120" s="135" t="s">
        <v>41</v>
      </c>
      <c r="AA120" s="1275" t="e">
        <f>INT(C120*J120)</f>
        <v>#REF!</v>
      </c>
      <c r="AB120" s="1281"/>
      <c r="AC120" s="1281"/>
      <c r="AD120" s="1277" t="s">
        <v>275</v>
      </c>
      <c r="AE120" s="1277"/>
      <c r="AK120" s="132"/>
    </row>
    <row r="121" spans="1:37" ht="6.95" customHeight="1">
      <c r="A121" s="133"/>
      <c r="AA121" s="123"/>
      <c r="AB121" s="123"/>
      <c r="AC121" s="123"/>
      <c r="AD121" s="139"/>
      <c r="AE121" s="139"/>
      <c r="AK121" s="132"/>
    </row>
    <row r="122" spans="1:37" ht="15" customHeight="1">
      <c r="A122" s="133" t="s">
        <v>254</v>
      </c>
      <c r="G122" s="139"/>
      <c r="AA122" s="123"/>
      <c r="AB122" s="123"/>
      <c r="AC122" s="123"/>
      <c r="AD122" s="139"/>
      <c r="AE122" s="139"/>
      <c r="AK122" s="132"/>
    </row>
    <row r="123" spans="1:37" ht="15" customHeight="1">
      <c r="A123" s="122"/>
      <c r="C123" s="139" t="s">
        <v>319</v>
      </c>
      <c r="H123" s="121">
        <v>5.0999999999999996</v>
      </c>
      <c r="I123" s="106"/>
      <c r="J123" s="139" t="s">
        <v>320</v>
      </c>
      <c r="M123" s="135" t="s">
        <v>317</v>
      </c>
      <c r="N123" s="1279" t="e">
        <f>#REF!</f>
        <v>#REF!</v>
      </c>
      <c r="O123" s="1279"/>
      <c r="P123" s="139" t="s">
        <v>255</v>
      </c>
      <c r="S123" s="135" t="s">
        <v>317</v>
      </c>
      <c r="T123" s="1296">
        <f>F117</f>
        <v>0.47142857142857147</v>
      </c>
      <c r="U123" s="1297"/>
      <c r="Z123" s="135" t="s">
        <v>41</v>
      </c>
      <c r="AA123" s="1284" t="e">
        <f>INT(H123*N123*T123)</f>
        <v>#REF!</v>
      </c>
      <c r="AB123" s="1281"/>
      <c r="AC123" s="1281"/>
      <c r="AD123" s="1277" t="s">
        <v>318</v>
      </c>
      <c r="AE123" s="1277"/>
      <c r="AK123" s="132"/>
    </row>
    <row r="124" spans="1:37" ht="15" customHeight="1">
      <c r="A124" s="122"/>
      <c r="C124" s="139" t="s">
        <v>321</v>
      </c>
      <c r="H124" s="135" t="s">
        <v>322</v>
      </c>
      <c r="K124" s="135">
        <v>20</v>
      </c>
      <c r="L124" s="139" t="s">
        <v>250</v>
      </c>
      <c r="M124" s="135" t="s">
        <v>306</v>
      </c>
      <c r="N124" s="1279" t="e">
        <f>AA123</f>
        <v>#REF!</v>
      </c>
      <c r="O124" s="1279"/>
      <c r="P124" s="135" t="s">
        <v>318</v>
      </c>
      <c r="R124" s="135" t="s">
        <v>317</v>
      </c>
      <c r="S124" s="106">
        <f>K124/100</f>
        <v>0.2</v>
      </c>
      <c r="T124" s="106"/>
      <c r="U124" s="135" t="s">
        <v>317</v>
      </c>
      <c r="V124" s="1296">
        <f>F117</f>
        <v>0.47142857142857147</v>
      </c>
      <c r="W124" s="1297"/>
      <c r="Z124" s="135" t="s">
        <v>41</v>
      </c>
      <c r="AA124" s="1286" t="e">
        <f>INT(N124*S124*V124)</f>
        <v>#REF!</v>
      </c>
      <c r="AB124" s="1286"/>
      <c r="AC124" s="1286"/>
      <c r="AD124" s="1277" t="s">
        <v>318</v>
      </c>
      <c r="AE124" s="1277"/>
      <c r="AK124" s="132"/>
    </row>
    <row r="125" spans="1:37" ht="6.95" customHeight="1">
      <c r="A125" s="133"/>
      <c r="C125" s="139"/>
      <c r="AA125" s="123"/>
      <c r="AB125" s="123"/>
      <c r="AC125" s="123"/>
      <c r="AD125" s="139"/>
      <c r="AE125" s="139"/>
      <c r="AK125" s="132"/>
    </row>
    <row r="126" spans="1:37" ht="15" customHeight="1">
      <c r="A126" s="133" t="s">
        <v>256</v>
      </c>
      <c r="AA126" s="123"/>
      <c r="AB126" s="123"/>
      <c r="AC126" s="123"/>
      <c r="AD126" s="139"/>
      <c r="AE126" s="139"/>
      <c r="AK126" s="132"/>
    </row>
    <row r="127" spans="1:37" ht="15" customHeight="1">
      <c r="A127" s="131"/>
      <c r="C127" s="135" t="s">
        <v>276</v>
      </c>
      <c r="H127" s="120">
        <v>1</v>
      </c>
      <c r="I127" s="119" t="s">
        <v>323</v>
      </c>
      <c r="J127" s="119"/>
      <c r="K127" s="119"/>
      <c r="L127" s="119" t="s">
        <v>317</v>
      </c>
      <c r="M127" s="119">
        <f>(1/8)</f>
        <v>0.125</v>
      </c>
      <c r="N127" s="118"/>
      <c r="O127" s="119"/>
      <c r="P127" s="119" t="s">
        <v>317</v>
      </c>
      <c r="Q127" s="119">
        <f>(16/12)</f>
        <v>1.3333333333333333</v>
      </c>
      <c r="R127" s="119"/>
      <c r="S127" s="119" t="s">
        <v>317</v>
      </c>
      <c r="T127" s="1274">
        <f>(25/20)</f>
        <v>1.25</v>
      </c>
      <c r="U127" s="1274"/>
      <c r="V127" s="106" t="s">
        <v>317</v>
      </c>
      <c r="W127" s="1279" t="e">
        <f>#REF!</f>
        <v>#REF!</v>
      </c>
      <c r="X127" s="1279"/>
      <c r="Y127" s="1279"/>
      <c r="Z127" s="106" t="s">
        <v>317</v>
      </c>
      <c r="AA127" s="1299">
        <f>F117</f>
        <v>0.47142857142857147</v>
      </c>
      <c r="AB127" s="1300"/>
      <c r="AC127" s="156" t="s">
        <v>41</v>
      </c>
      <c r="AD127" s="1288" t="e">
        <f>INT(H127*M127*Q127*T127*W127*AA127)</f>
        <v>#REF!</v>
      </c>
      <c r="AE127" s="1288"/>
      <c r="AF127" s="1288"/>
      <c r="AG127" s="1277" t="s">
        <v>275</v>
      </c>
      <c r="AH127" s="1278"/>
      <c r="AK127" s="132"/>
    </row>
    <row r="128" spans="1:37" ht="6.95" customHeight="1">
      <c r="A128" s="131"/>
      <c r="H128" s="106"/>
      <c r="I128" s="106"/>
      <c r="J128" s="106"/>
      <c r="K128" s="106"/>
      <c r="L128" s="106"/>
      <c r="M128" s="106"/>
      <c r="N128" s="117"/>
      <c r="O128" s="106"/>
      <c r="P128" s="106"/>
      <c r="Q128" s="127"/>
      <c r="R128" s="106"/>
      <c r="S128" s="106"/>
      <c r="T128" s="106"/>
      <c r="U128" s="106"/>
      <c r="V128" s="124"/>
      <c r="W128" s="106"/>
      <c r="X128" s="106"/>
      <c r="Y128" s="106"/>
      <c r="Z128" s="106"/>
      <c r="AB128" s="124"/>
      <c r="AC128" s="124"/>
      <c r="AD128" s="106"/>
      <c r="AE128" s="106"/>
      <c r="AK128" s="132"/>
    </row>
    <row r="129" spans="1:38" ht="15" customHeight="1">
      <c r="A129" s="133" t="s">
        <v>258</v>
      </c>
      <c r="AA129" s="123"/>
      <c r="AB129" s="123"/>
      <c r="AC129" s="123"/>
      <c r="AD129" s="139"/>
      <c r="AE129" s="139"/>
      <c r="AK129" s="132"/>
    </row>
    <row r="130" spans="1:38" ht="15" customHeight="1">
      <c r="A130" s="131"/>
      <c r="C130" s="135" t="s">
        <v>259</v>
      </c>
      <c r="H130" s="1272" t="e">
        <f>AA120</f>
        <v>#REF!</v>
      </c>
      <c r="I130" s="1273"/>
      <c r="J130" s="1273"/>
      <c r="K130" s="119" t="s">
        <v>275</v>
      </c>
      <c r="L130" s="119" t="s">
        <v>317</v>
      </c>
      <c r="M130" s="161">
        <f>F117</f>
        <v>0.47142857142857147</v>
      </c>
      <c r="N130" s="162"/>
      <c r="O130" s="161"/>
      <c r="P130" s="161"/>
      <c r="Q130" s="161"/>
      <c r="R130" s="119"/>
      <c r="S130" s="119"/>
      <c r="T130" s="1274"/>
      <c r="U130" s="1274"/>
      <c r="V130" s="116"/>
      <c r="W130" s="106"/>
      <c r="X130" s="124"/>
      <c r="Y130" s="124"/>
      <c r="Z130" s="106" t="s">
        <v>41</v>
      </c>
      <c r="AA130" s="1275" t="e">
        <f>INT(H130*M130)</f>
        <v>#REF!</v>
      </c>
      <c r="AB130" s="1276"/>
      <c r="AC130" s="1276"/>
      <c r="AD130" s="1277" t="s">
        <v>318</v>
      </c>
      <c r="AE130" s="1278"/>
      <c r="AK130" s="132"/>
    </row>
    <row r="131" spans="1:38" ht="6.95" customHeight="1">
      <c r="A131" s="133"/>
      <c r="AK131" s="132"/>
    </row>
    <row r="132" spans="1:38" ht="15" customHeight="1">
      <c r="A132" s="133" t="s">
        <v>328</v>
      </c>
      <c r="AK132" s="132"/>
      <c r="AL132" s="121"/>
    </row>
    <row r="133" spans="1:38" ht="15" customHeight="1">
      <c r="A133" s="134" t="s">
        <v>332</v>
      </c>
      <c r="F133" s="124" t="e">
        <f>AA123+AA124</f>
        <v>#REF!</v>
      </c>
      <c r="G133" s="106"/>
      <c r="H133" s="106"/>
      <c r="I133" s="135" t="s">
        <v>318</v>
      </c>
      <c r="K133" s="139"/>
      <c r="P133" s="124"/>
      <c r="Q133" s="106"/>
      <c r="R133" s="106"/>
      <c r="U133" s="139"/>
      <c r="Z133" s="124"/>
      <c r="AA133" s="106"/>
      <c r="AB133" s="121"/>
      <c r="AE133" s="139"/>
      <c r="AJ133" s="143"/>
      <c r="AK133" s="132"/>
      <c r="AL133" s="121"/>
    </row>
    <row r="134" spans="1:38" ht="15" customHeight="1">
      <c r="A134" s="134" t="s">
        <v>333</v>
      </c>
      <c r="F134" s="124" t="e">
        <f>AD127</f>
        <v>#REF!</v>
      </c>
      <c r="G134" s="106"/>
      <c r="H134" s="106"/>
      <c r="I134" s="135" t="s">
        <v>318</v>
      </c>
      <c r="K134" s="139"/>
      <c r="P134" s="124"/>
      <c r="Q134" s="106"/>
      <c r="R134" s="106"/>
      <c r="U134" s="139"/>
      <c r="Z134" s="124"/>
      <c r="AA134" s="106"/>
      <c r="AB134" s="121"/>
      <c r="AE134" s="139"/>
      <c r="AJ134" s="143"/>
      <c r="AK134" s="132"/>
      <c r="AL134" s="121"/>
    </row>
    <row r="135" spans="1:38" ht="15" customHeight="1">
      <c r="A135" s="133" t="s">
        <v>334</v>
      </c>
      <c r="F135" s="124" t="e">
        <f>AA130</f>
        <v>#REF!</v>
      </c>
      <c r="G135" s="106"/>
      <c r="H135" s="106"/>
      <c r="I135" s="135" t="s">
        <v>318</v>
      </c>
      <c r="P135" s="124"/>
      <c r="Q135" s="106"/>
      <c r="R135" s="106"/>
      <c r="Z135" s="124"/>
      <c r="AA135" s="106"/>
      <c r="AB135" s="121"/>
      <c r="AJ135" s="143"/>
      <c r="AK135" s="132"/>
      <c r="AL135" s="121"/>
    </row>
    <row r="136" spans="1:38" ht="15" customHeight="1">
      <c r="A136" s="134" t="s">
        <v>335</v>
      </c>
      <c r="F136" s="124" t="e">
        <f>F133+F134+F135</f>
        <v>#REF!</v>
      </c>
      <c r="G136" s="106"/>
      <c r="H136" s="106"/>
      <c r="I136" s="135" t="s">
        <v>318</v>
      </c>
      <c r="K136" s="139"/>
      <c r="P136" s="124"/>
      <c r="Q136" s="106"/>
      <c r="R136" s="106"/>
      <c r="U136" s="139"/>
      <c r="Z136" s="124"/>
      <c r="AA136" s="106"/>
      <c r="AB136" s="121"/>
      <c r="AE136" s="139"/>
      <c r="AJ136" s="143"/>
      <c r="AK136" s="132"/>
    </row>
    <row r="137" spans="1:38" ht="15" customHeight="1">
      <c r="A137" s="113"/>
      <c r="B137" s="115"/>
      <c r="C137" s="115"/>
      <c r="D137" s="115"/>
      <c r="E137" s="115"/>
      <c r="F137" s="112"/>
      <c r="G137" s="111"/>
      <c r="H137" s="111"/>
      <c r="I137" s="115"/>
      <c r="J137" s="115"/>
      <c r="K137" s="110"/>
      <c r="L137" s="115"/>
      <c r="M137" s="115"/>
      <c r="N137" s="115"/>
      <c r="O137" s="115"/>
      <c r="P137" s="112"/>
      <c r="Q137" s="111"/>
      <c r="R137" s="111"/>
      <c r="S137" s="115"/>
      <c r="T137" s="115"/>
      <c r="U137" s="110"/>
      <c r="V137" s="115"/>
      <c r="W137" s="115"/>
      <c r="X137" s="115"/>
      <c r="Y137" s="115"/>
      <c r="Z137" s="112"/>
      <c r="AA137" s="111"/>
      <c r="AB137" s="109"/>
      <c r="AC137" s="115"/>
      <c r="AD137" s="115"/>
      <c r="AE137" s="110"/>
      <c r="AF137" s="115"/>
      <c r="AG137" s="115"/>
      <c r="AH137" s="115"/>
      <c r="AI137" s="115"/>
      <c r="AJ137" s="108"/>
      <c r="AK137" s="114"/>
    </row>
    <row r="138" spans="1:38" ht="24.95" customHeight="1">
      <c r="A138" s="1160" t="s">
        <v>519</v>
      </c>
      <c r="B138" s="1161"/>
      <c r="C138" s="1161"/>
      <c r="D138" s="1161"/>
      <c r="E138" s="1161"/>
      <c r="F138" s="1161"/>
      <c r="G138" s="1161"/>
      <c r="H138" s="1161"/>
      <c r="I138" s="1161"/>
      <c r="J138" s="1161"/>
      <c r="K138" s="1161"/>
      <c r="L138" s="1161"/>
      <c r="M138" s="1161"/>
      <c r="N138" s="1161"/>
      <c r="O138" s="1161"/>
      <c r="P138" s="1161"/>
      <c r="Q138" s="1161"/>
      <c r="R138" s="1161"/>
      <c r="S138" s="1161"/>
      <c r="T138" s="1161"/>
      <c r="U138" s="1161"/>
      <c r="V138" s="1161"/>
      <c r="W138" s="1161"/>
      <c r="X138" s="1161"/>
      <c r="Y138" s="1161"/>
      <c r="Z138" s="1161"/>
      <c r="AA138" s="1161"/>
      <c r="AB138" s="1161"/>
      <c r="AC138" s="1161"/>
      <c r="AD138" s="1161"/>
      <c r="AE138" s="1161"/>
      <c r="AF138" s="1161"/>
      <c r="AG138" s="1161"/>
      <c r="AH138" s="1161"/>
      <c r="AI138" s="1161"/>
      <c r="AJ138" s="1161"/>
      <c r="AK138" s="1162"/>
    </row>
    <row r="139" spans="1:38" ht="6.95" customHeight="1">
      <c r="A139" s="133"/>
      <c r="AK139" s="132"/>
    </row>
    <row r="140" spans="1:38" ht="15" customHeight="1">
      <c r="A140" s="133" t="s">
        <v>273</v>
      </c>
      <c r="AK140" s="132"/>
    </row>
    <row r="141" spans="1:38" ht="6.95" customHeight="1">
      <c r="A141" s="133"/>
      <c r="AK141" s="132"/>
    </row>
    <row r="142" spans="1:38" ht="15" customHeight="1">
      <c r="A142" s="133" t="s">
        <v>302</v>
      </c>
      <c r="AK142" s="132"/>
    </row>
    <row r="143" spans="1:38" ht="15" customHeight="1">
      <c r="A143" s="131"/>
      <c r="B143" s="6"/>
      <c r="C143" s="6"/>
      <c r="D143" s="6"/>
      <c r="E143" s="130" t="s">
        <v>303</v>
      </c>
      <c r="F143" s="129"/>
      <c r="H143" s="6"/>
      <c r="I143" s="130">
        <f>36*0.6</f>
        <v>21.599999999999998</v>
      </c>
      <c r="J143" s="129"/>
      <c r="AK143" s="132"/>
    </row>
    <row r="144" spans="1:38" ht="15" customHeight="1">
      <c r="A144" s="131" t="s">
        <v>304</v>
      </c>
      <c r="B144" s="6"/>
      <c r="C144" s="6"/>
      <c r="D144" s="6"/>
      <c r="F144" s="6"/>
      <c r="G144" s="128" t="s">
        <v>305</v>
      </c>
      <c r="H144" s="6"/>
      <c r="J144" s="6"/>
      <c r="K144" s="135" t="s">
        <v>306</v>
      </c>
      <c r="L144" s="127">
        <f>I143/I145</f>
        <v>30.857142857142858</v>
      </c>
      <c r="M144" s="106"/>
      <c r="O144" s="135" t="s">
        <v>307</v>
      </c>
      <c r="AK144" s="132"/>
    </row>
    <row r="145" spans="1:37" ht="15" customHeight="1">
      <c r="A145" s="133"/>
      <c r="B145" s="6"/>
      <c r="C145" s="6"/>
      <c r="D145" s="6"/>
      <c r="E145" s="126" t="s">
        <v>308</v>
      </c>
      <c r="F145" s="129"/>
      <c r="G145" s="125"/>
      <c r="H145" s="6"/>
      <c r="I145" s="126">
        <v>0.7</v>
      </c>
      <c r="J145" s="129"/>
      <c r="AK145" s="132"/>
    </row>
    <row r="146" spans="1:37" ht="15" customHeight="1">
      <c r="A146" s="131" t="s">
        <v>309</v>
      </c>
      <c r="B146" s="135" t="s">
        <v>310</v>
      </c>
      <c r="Q146" s="1291">
        <f>L144</f>
        <v>30.857142857142858</v>
      </c>
      <c r="R146" s="1285"/>
      <c r="AK146" s="132"/>
    </row>
    <row r="147" spans="1:37" ht="15" customHeight="1">
      <c r="A147" s="131" t="s">
        <v>311</v>
      </c>
      <c r="B147" s="135" t="s">
        <v>312</v>
      </c>
      <c r="O147" s="135" t="s">
        <v>41</v>
      </c>
      <c r="P147" s="1311">
        <v>0.7</v>
      </c>
      <c r="Q147" s="1285"/>
      <c r="AK147" s="132"/>
    </row>
    <row r="148" spans="1:37" ht="15" customHeight="1">
      <c r="A148" s="131" t="s">
        <v>313</v>
      </c>
      <c r="B148" s="135" t="s">
        <v>314</v>
      </c>
      <c r="AK148" s="132"/>
    </row>
    <row r="149" spans="1:37" ht="15" customHeight="1">
      <c r="A149" s="131"/>
      <c r="B149" s="135" t="s">
        <v>253</v>
      </c>
      <c r="F149" s="1305">
        <f>Q146/60</f>
        <v>0.51428571428571435</v>
      </c>
      <c r="G149" s="1305"/>
      <c r="AK149" s="132"/>
    </row>
    <row r="150" spans="1:37" ht="6.95" customHeight="1">
      <c r="A150" s="133"/>
      <c r="AK150" s="132"/>
    </row>
    <row r="151" spans="1:37" ht="15" customHeight="1">
      <c r="A151" s="133" t="s">
        <v>315</v>
      </c>
      <c r="AK151" s="132"/>
    </row>
    <row r="152" spans="1:37" ht="15" customHeight="1">
      <c r="A152" s="131"/>
      <c r="C152" s="1279" t="e">
        <f>#REF!</f>
        <v>#REF!</v>
      </c>
      <c r="D152" s="1279"/>
      <c r="E152" s="1279"/>
      <c r="F152" s="1279"/>
      <c r="G152" s="128" t="s">
        <v>316</v>
      </c>
      <c r="I152" s="135" t="s">
        <v>317</v>
      </c>
      <c r="J152" s="1280">
        <f>(2598/10000000)</f>
        <v>2.5980000000000003E-4</v>
      </c>
      <c r="K152" s="1280"/>
      <c r="L152" s="1280"/>
      <c r="M152" s="1280"/>
      <c r="N152" s="124"/>
      <c r="O152" s="124"/>
      <c r="P152" s="124"/>
      <c r="S152" s="155"/>
      <c r="T152" s="155"/>
      <c r="U152" s="155"/>
      <c r="V152" s="155"/>
      <c r="W152" s="124"/>
      <c r="X152" s="106"/>
      <c r="Y152" s="106"/>
      <c r="Z152" s="135" t="s">
        <v>41</v>
      </c>
      <c r="AA152" s="1275" t="e">
        <f>INT(C152*J152)</f>
        <v>#REF!</v>
      </c>
      <c r="AB152" s="1281"/>
      <c r="AC152" s="1281"/>
      <c r="AD152" s="1277" t="s">
        <v>275</v>
      </c>
      <c r="AE152" s="1277"/>
      <c r="AK152" s="132"/>
    </row>
    <row r="153" spans="1:37" ht="6.95" customHeight="1">
      <c r="A153" s="133"/>
      <c r="AA153" s="123"/>
      <c r="AB153" s="123"/>
      <c r="AC153" s="123"/>
      <c r="AD153" s="139"/>
      <c r="AE153" s="139"/>
      <c r="AK153" s="132"/>
    </row>
    <row r="154" spans="1:37" ht="15" customHeight="1">
      <c r="A154" s="133" t="s">
        <v>254</v>
      </c>
      <c r="G154" s="139"/>
      <c r="AA154" s="123"/>
      <c r="AB154" s="123"/>
      <c r="AC154" s="123"/>
      <c r="AD154" s="139"/>
      <c r="AE154" s="139"/>
      <c r="AK154" s="132"/>
    </row>
    <row r="155" spans="1:37" ht="15" customHeight="1">
      <c r="A155" s="122"/>
      <c r="C155" s="139" t="s">
        <v>319</v>
      </c>
      <c r="H155" s="121">
        <v>5.0999999999999996</v>
      </c>
      <c r="I155" s="106"/>
      <c r="J155" s="139" t="s">
        <v>320</v>
      </c>
      <c r="M155" s="135" t="s">
        <v>317</v>
      </c>
      <c r="N155" s="1279" t="e">
        <f>#REF!</f>
        <v>#REF!</v>
      </c>
      <c r="O155" s="1279"/>
      <c r="P155" s="139" t="s">
        <v>255</v>
      </c>
      <c r="S155" s="135" t="s">
        <v>317</v>
      </c>
      <c r="T155" s="1296">
        <f>F149</f>
        <v>0.51428571428571435</v>
      </c>
      <c r="U155" s="1297"/>
      <c r="Z155" s="135" t="s">
        <v>41</v>
      </c>
      <c r="AA155" s="1284" t="e">
        <f>INT(H155*N155*T155)</f>
        <v>#REF!</v>
      </c>
      <c r="AB155" s="1281"/>
      <c r="AC155" s="1281"/>
      <c r="AD155" s="1277" t="s">
        <v>318</v>
      </c>
      <c r="AE155" s="1277"/>
      <c r="AK155" s="132"/>
    </row>
    <row r="156" spans="1:37" ht="15" customHeight="1">
      <c r="A156" s="122"/>
      <c r="C156" s="139" t="s">
        <v>321</v>
      </c>
      <c r="H156" s="135" t="s">
        <v>322</v>
      </c>
      <c r="K156" s="135">
        <v>20</v>
      </c>
      <c r="L156" s="139" t="s">
        <v>250</v>
      </c>
      <c r="M156" s="135" t="s">
        <v>306</v>
      </c>
      <c r="N156" s="1279" t="e">
        <f>AA155</f>
        <v>#REF!</v>
      </c>
      <c r="O156" s="1279"/>
      <c r="P156" s="135" t="s">
        <v>318</v>
      </c>
      <c r="R156" s="135" t="s">
        <v>317</v>
      </c>
      <c r="S156" s="106">
        <f>K156/100</f>
        <v>0.2</v>
      </c>
      <c r="T156" s="106"/>
      <c r="U156" s="135" t="s">
        <v>317</v>
      </c>
      <c r="V156" s="1296">
        <f>F149</f>
        <v>0.51428571428571435</v>
      </c>
      <c r="W156" s="1297"/>
      <c r="Z156" s="135" t="s">
        <v>41</v>
      </c>
      <c r="AA156" s="1286" t="e">
        <f>INT(N156*S156*V156)</f>
        <v>#REF!</v>
      </c>
      <c r="AB156" s="1286"/>
      <c r="AC156" s="1286"/>
      <c r="AD156" s="1277" t="s">
        <v>318</v>
      </c>
      <c r="AE156" s="1277"/>
      <c r="AK156" s="132"/>
    </row>
    <row r="157" spans="1:37" ht="6.95" customHeight="1">
      <c r="A157" s="133"/>
      <c r="C157" s="139"/>
      <c r="AA157" s="123"/>
      <c r="AB157" s="123"/>
      <c r="AC157" s="123"/>
      <c r="AD157" s="139"/>
      <c r="AE157" s="139"/>
      <c r="AK157" s="132"/>
    </row>
    <row r="158" spans="1:37" ht="15" customHeight="1">
      <c r="A158" s="133" t="s">
        <v>256</v>
      </c>
      <c r="AA158" s="123"/>
      <c r="AB158" s="123"/>
      <c r="AC158" s="123"/>
      <c r="AD158" s="139"/>
      <c r="AE158" s="139"/>
      <c r="AK158" s="132"/>
    </row>
    <row r="159" spans="1:37" ht="15" customHeight="1">
      <c r="A159" s="131"/>
      <c r="C159" s="135" t="s">
        <v>276</v>
      </c>
      <c r="H159" s="120">
        <v>1</v>
      </c>
      <c r="I159" s="119" t="s">
        <v>323</v>
      </c>
      <c r="J159" s="119"/>
      <c r="K159" s="119"/>
      <c r="L159" s="119" t="s">
        <v>317</v>
      </c>
      <c r="M159" s="119">
        <f>(1/8)</f>
        <v>0.125</v>
      </c>
      <c r="N159" s="118"/>
      <c r="O159" s="119"/>
      <c r="P159" s="119" t="s">
        <v>317</v>
      </c>
      <c r="Q159" s="119">
        <f>(16/12)</f>
        <v>1.3333333333333333</v>
      </c>
      <c r="R159" s="119"/>
      <c r="S159" s="119" t="s">
        <v>317</v>
      </c>
      <c r="T159" s="1274">
        <f>(25/20)</f>
        <v>1.25</v>
      </c>
      <c r="U159" s="1274"/>
      <c r="V159" s="106" t="s">
        <v>317</v>
      </c>
      <c r="W159" s="1279" t="e">
        <f>#REF!</f>
        <v>#REF!</v>
      </c>
      <c r="X159" s="1279"/>
      <c r="Y159" s="1279"/>
      <c r="Z159" s="106" t="s">
        <v>317</v>
      </c>
      <c r="AA159" s="1299">
        <f>F149</f>
        <v>0.51428571428571435</v>
      </c>
      <c r="AB159" s="1300"/>
      <c r="AC159" s="156" t="s">
        <v>41</v>
      </c>
      <c r="AD159" s="1288" t="e">
        <f>INT(H159*M159*Q159*T159*W159*AA159)</f>
        <v>#REF!</v>
      </c>
      <c r="AE159" s="1288"/>
      <c r="AF159" s="1288"/>
      <c r="AG159" s="1277" t="s">
        <v>275</v>
      </c>
      <c r="AH159" s="1278"/>
      <c r="AK159" s="132"/>
    </row>
    <row r="160" spans="1:37" ht="6.95" customHeight="1">
      <c r="A160" s="131"/>
      <c r="H160" s="106"/>
      <c r="I160" s="106"/>
      <c r="J160" s="106"/>
      <c r="K160" s="106"/>
      <c r="L160" s="106"/>
      <c r="M160" s="106"/>
      <c r="N160" s="117"/>
      <c r="O160" s="106"/>
      <c r="P160" s="106"/>
      <c r="Q160" s="127"/>
      <c r="R160" s="106"/>
      <c r="S160" s="106"/>
      <c r="T160" s="106"/>
      <c r="U160" s="106"/>
      <c r="V160" s="124"/>
      <c r="W160" s="106"/>
      <c r="X160" s="106"/>
      <c r="Y160" s="106"/>
      <c r="Z160" s="106"/>
      <c r="AB160" s="124"/>
      <c r="AC160" s="124"/>
      <c r="AD160" s="106"/>
      <c r="AE160" s="106"/>
      <c r="AK160" s="132"/>
    </row>
    <row r="161" spans="1:38" ht="15" customHeight="1">
      <c r="A161" s="133" t="s">
        <v>258</v>
      </c>
      <c r="AA161" s="123"/>
      <c r="AB161" s="123"/>
      <c r="AC161" s="123"/>
      <c r="AD161" s="139"/>
      <c r="AE161" s="139"/>
      <c r="AK161" s="132"/>
    </row>
    <row r="162" spans="1:38" ht="15" customHeight="1">
      <c r="A162" s="131"/>
      <c r="C162" s="135" t="s">
        <v>259</v>
      </c>
      <c r="H162" s="1272" t="e">
        <f>AA152</f>
        <v>#REF!</v>
      </c>
      <c r="I162" s="1273"/>
      <c r="J162" s="1273"/>
      <c r="K162" s="119" t="s">
        <v>275</v>
      </c>
      <c r="L162" s="119" t="s">
        <v>317</v>
      </c>
      <c r="M162" s="161">
        <f>F149</f>
        <v>0.51428571428571435</v>
      </c>
      <c r="N162" s="162"/>
      <c r="O162" s="161"/>
      <c r="P162" s="161"/>
      <c r="Q162" s="161"/>
      <c r="R162" s="119"/>
      <c r="S162" s="119"/>
      <c r="T162" s="1274"/>
      <c r="U162" s="1274"/>
      <c r="V162" s="116"/>
      <c r="W162" s="106"/>
      <c r="X162" s="124"/>
      <c r="Y162" s="124"/>
      <c r="Z162" s="106" t="s">
        <v>41</v>
      </c>
      <c r="AA162" s="1275" t="e">
        <f>INT(H162*M162)</f>
        <v>#REF!</v>
      </c>
      <c r="AB162" s="1276"/>
      <c r="AC162" s="1276"/>
      <c r="AD162" s="1277" t="s">
        <v>318</v>
      </c>
      <c r="AE162" s="1278"/>
      <c r="AK162" s="132"/>
    </row>
    <row r="163" spans="1:38" ht="6.95" customHeight="1">
      <c r="A163" s="133"/>
      <c r="AK163" s="132"/>
    </row>
    <row r="164" spans="1:38" ht="15" customHeight="1">
      <c r="A164" s="133" t="s">
        <v>328</v>
      </c>
      <c r="AK164" s="132"/>
      <c r="AL164" s="121"/>
    </row>
    <row r="165" spans="1:38" ht="15" customHeight="1">
      <c r="A165" s="134" t="s">
        <v>332</v>
      </c>
      <c r="F165" s="124" t="e">
        <f>AA155+AA156</f>
        <v>#REF!</v>
      </c>
      <c r="G165" s="106"/>
      <c r="H165" s="106"/>
      <c r="I165" s="135" t="s">
        <v>318</v>
      </c>
      <c r="K165" s="139"/>
      <c r="P165" s="124"/>
      <c r="Q165" s="106"/>
      <c r="R165" s="106"/>
      <c r="U165" s="139"/>
      <c r="Z165" s="124"/>
      <c r="AA165" s="106"/>
      <c r="AB165" s="121"/>
      <c r="AE165" s="139"/>
      <c r="AJ165" s="143"/>
      <c r="AK165" s="132"/>
      <c r="AL165" s="121"/>
    </row>
    <row r="166" spans="1:38" ht="15" customHeight="1">
      <c r="A166" s="134" t="s">
        <v>333</v>
      </c>
      <c r="F166" s="124" t="e">
        <f>AD159</f>
        <v>#REF!</v>
      </c>
      <c r="G166" s="106"/>
      <c r="H166" s="106"/>
      <c r="I166" s="135" t="s">
        <v>318</v>
      </c>
      <c r="K166" s="139"/>
      <c r="P166" s="124"/>
      <c r="Q166" s="106"/>
      <c r="R166" s="106"/>
      <c r="U166" s="139"/>
      <c r="Z166" s="124"/>
      <c r="AA166" s="106"/>
      <c r="AB166" s="121"/>
      <c r="AE166" s="139"/>
      <c r="AJ166" s="143"/>
      <c r="AK166" s="132"/>
      <c r="AL166" s="121"/>
    </row>
    <row r="167" spans="1:38" ht="15" customHeight="1">
      <c r="A167" s="133" t="s">
        <v>334</v>
      </c>
      <c r="F167" s="124" t="e">
        <f>AA162</f>
        <v>#REF!</v>
      </c>
      <c r="G167" s="106"/>
      <c r="H167" s="106"/>
      <c r="I167" s="135" t="s">
        <v>318</v>
      </c>
      <c r="P167" s="124"/>
      <c r="Q167" s="106"/>
      <c r="R167" s="106"/>
      <c r="Z167" s="124"/>
      <c r="AA167" s="106"/>
      <c r="AB167" s="121"/>
      <c r="AJ167" s="143"/>
      <c r="AK167" s="132"/>
      <c r="AL167" s="121"/>
    </row>
    <row r="168" spans="1:38" ht="15" customHeight="1">
      <c r="A168" s="134" t="s">
        <v>335</v>
      </c>
      <c r="F168" s="124" t="e">
        <f>F165+F166+F167</f>
        <v>#REF!</v>
      </c>
      <c r="G168" s="106"/>
      <c r="H168" s="106"/>
      <c r="I168" s="135" t="s">
        <v>318</v>
      </c>
      <c r="K168" s="139"/>
      <c r="P168" s="124"/>
      <c r="Q168" s="106"/>
      <c r="R168" s="106"/>
      <c r="U168" s="139"/>
      <c r="Z168" s="124"/>
      <c r="AA168" s="106"/>
      <c r="AB168" s="121"/>
      <c r="AE168" s="139"/>
      <c r="AJ168" s="143"/>
      <c r="AK168" s="132"/>
    </row>
    <row r="169" spans="1:38" ht="15" customHeight="1">
      <c r="A169" s="113"/>
      <c r="B169" s="115"/>
      <c r="C169" s="115"/>
      <c r="D169" s="115"/>
      <c r="E169" s="115"/>
      <c r="F169" s="112"/>
      <c r="G169" s="111"/>
      <c r="H169" s="111"/>
      <c r="I169" s="115"/>
      <c r="J169" s="115"/>
      <c r="K169" s="110"/>
      <c r="L169" s="115"/>
      <c r="M169" s="115"/>
      <c r="N169" s="115"/>
      <c r="O169" s="115"/>
      <c r="P169" s="112"/>
      <c r="Q169" s="111"/>
      <c r="R169" s="111"/>
      <c r="S169" s="115"/>
      <c r="T169" s="115"/>
      <c r="U169" s="110"/>
      <c r="V169" s="115"/>
      <c r="W169" s="115"/>
      <c r="X169" s="115"/>
      <c r="Y169" s="115"/>
      <c r="Z169" s="112"/>
      <c r="AA169" s="111"/>
      <c r="AB169" s="109"/>
      <c r="AC169" s="115"/>
      <c r="AD169" s="115"/>
      <c r="AE169" s="110"/>
      <c r="AF169" s="115"/>
      <c r="AG169" s="115"/>
      <c r="AH169" s="115"/>
      <c r="AI169" s="115"/>
      <c r="AJ169" s="108"/>
      <c r="AK169" s="114"/>
    </row>
    <row r="170" spans="1:38" ht="24.95" customHeight="1">
      <c r="A170" s="1160" t="s">
        <v>520</v>
      </c>
      <c r="B170" s="1161"/>
      <c r="C170" s="1161"/>
      <c r="D170" s="1161"/>
      <c r="E170" s="1161"/>
      <c r="F170" s="1161"/>
      <c r="G170" s="1161"/>
      <c r="H170" s="1161"/>
      <c r="I170" s="1161"/>
      <c r="J170" s="1161"/>
      <c r="K170" s="1161"/>
      <c r="L170" s="1161"/>
      <c r="M170" s="1161"/>
      <c r="N170" s="1161"/>
      <c r="O170" s="1161"/>
      <c r="P170" s="1161"/>
      <c r="Q170" s="1161"/>
      <c r="R170" s="1161"/>
      <c r="S170" s="1161"/>
      <c r="T170" s="1161"/>
      <c r="U170" s="1161"/>
      <c r="V170" s="1161"/>
      <c r="W170" s="1161"/>
      <c r="X170" s="1161"/>
      <c r="Y170" s="1161"/>
      <c r="Z170" s="1161"/>
      <c r="AA170" s="1161"/>
      <c r="AB170" s="1161"/>
      <c r="AC170" s="1161"/>
      <c r="AD170" s="1161"/>
      <c r="AE170" s="1161"/>
      <c r="AF170" s="1161"/>
      <c r="AG170" s="1161"/>
      <c r="AH170" s="1161"/>
      <c r="AI170" s="1161"/>
      <c r="AJ170" s="1161"/>
      <c r="AK170" s="1162"/>
    </row>
    <row r="171" spans="1:38" ht="6.95" customHeight="1">
      <c r="A171" s="133"/>
      <c r="AK171" s="132"/>
    </row>
    <row r="172" spans="1:38" ht="15" customHeight="1">
      <c r="A172" s="133" t="s">
        <v>273</v>
      </c>
      <c r="AK172" s="132"/>
    </row>
    <row r="173" spans="1:38" ht="6.95" customHeight="1">
      <c r="A173" s="133"/>
      <c r="AK173" s="132"/>
    </row>
    <row r="174" spans="1:38" ht="15" customHeight="1">
      <c r="A174" s="133" t="s">
        <v>302</v>
      </c>
      <c r="AK174" s="132"/>
    </row>
    <row r="175" spans="1:38" ht="15" customHeight="1">
      <c r="A175" s="131"/>
      <c r="B175" s="6"/>
      <c r="C175" s="6"/>
      <c r="D175" s="6"/>
      <c r="E175" s="130" t="s">
        <v>303</v>
      </c>
      <c r="F175" s="129"/>
      <c r="H175" s="6"/>
      <c r="I175" s="130">
        <f>39*0.6</f>
        <v>23.4</v>
      </c>
      <c r="J175" s="129"/>
      <c r="AK175" s="132"/>
    </row>
    <row r="176" spans="1:38" ht="15" customHeight="1">
      <c r="A176" s="131" t="s">
        <v>304</v>
      </c>
      <c r="B176" s="6"/>
      <c r="C176" s="6"/>
      <c r="D176" s="6"/>
      <c r="F176" s="6"/>
      <c r="G176" s="128" t="s">
        <v>305</v>
      </c>
      <c r="H176" s="6"/>
      <c r="J176" s="6"/>
      <c r="K176" s="135" t="s">
        <v>306</v>
      </c>
      <c r="L176" s="127">
        <f>I175/I177</f>
        <v>33.428571428571431</v>
      </c>
      <c r="M176" s="106"/>
      <c r="O176" s="135" t="s">
        <v>307</v>
      </c>
      <c r="AK176" s="132"/>
    </row>
    <row r="177" spans="1:37" ht="15" customHeight="1">
      <c r="A177" s="133"/>
      <c r="B177" s="6"/>
      <c r="C177" s="6"/>
      <c r="D177" s="6"/>
      <c r="E177" s="126" t="s">
        <v>308</v>
      </c>
      <c r="F177" s="129"/>
      <c r="G177" s="125"/>
      <c r="H177" s="6"/>
      <c r="I177" s="126">
        <v>0.7</v>
      </c>
      <c r="J177" s="129"/>
      <c r="AK177" s="132"/>
    </row>
    <row r="178" spans="1:37" ht="15" customHeight="1">
      <c r="A178" s="131" t="s">
        <v>309</v>
      </c>
      <c r="B178" s="135" t="s">
        <v>310</v>
      </c>
      <c r="Q178" s="1291">
        <f>L176</f>
        <v>33.428571428571431</v>
      </c>
      <c r="R178" s="1285"/>
      <c r="AK178" s="132"/>
    </row>
    <row r="179" spans="1:37" ht="15" customHeight="1">
      <c r="A179" s="131" t="s">
        <v>311</v>
      </c>
      <c r="B179" s="135" t="s">
        <v>312</v>
      </c>
      <c r="O179" s="135" t="s">
        <v>41</v>
      </c>
      <c r="P179" s="1311">
        <v>0.7</v>
      </c>
      <c r="Q179" s="1285"/>
      <c r="AK179" s="132"/>
    </row>
    <row r="180" spans="1:37" ht="15" customHeight="1">
      <c r="A180" s="131" t="s">
        <v>313</v>
      </c>
      <c r="B180" s="135" t="s">
        <v>314</v>
      </c>
      <c r="AK180" s="132"/>
    </row>
    <row r="181" spans="1:37" ht="15" customHeight="1">
      <c r="A181" s="131"/>
      <c r="B181" s="135" t="s">
        <v>253</v>
      </c>
      <c r="F181" s="1305">
        <f>Q178/60</f>
        <v>0.55714285714285716</v>
      </c>
      <c r="G181" s="1305"/>
      <c r="AK181" s="132"/>
    </row>
    <row r="182" spans="1:37" ht="6.95" customHeight="1">
      <c r="A182" s="133"/>
      <c r="AK182" s="132"/>
    </row>
    <row r="183" spans="1:37" ht="15" customHeight="1">
      <c r="A183" s="133" t="s">
        <v>315</v>
      </c>
      <c r="AK183" s="132"/>
    </row>
    <row r="184" spans="1:37" ht="15" customHeight="1">
      <c r="A184" s="131"/>
      <c r="C184" s="1279" t="e">
        <f>#REF!</f>
        <v>#REF!</v>
      </c>
      <c r="D184" s="1279"/>
      <c r="E184" s="1279"/>
      <c r="F184" s="1279"/>
      <c r="G184" s="128" t="s">
        <v>316</v>
      </c>
      <c r="I184" s="135" t="s">
        <v>317</v>
      </c>
      <c r="J184" s="1280">
        <f>(2598/10000000)</f>
        <v>2.5980000000000003E-4</v>
      </c>
      <c r="K184" s="1280"/>
      <c r="L184" s="1280"/>
      <c r="M184" s="1280"/>
      <c r="N184" s="124"/>
      <c r="O184" s="124"/>
      <c r="P184" s="124"/>
      <c r="S184" s="155"/>
      <c r="T184" s="155"/>
      <c r="U184" s="155"/>
      <c r="V184" s="155"/>
      <c r="W184" s="124"/>
      <c r="X184" s="106"/>
      <c r="Y184" s="106"/>
      <c r="Z184" s="135" t="s">
        <v>41</v>
      </c>
      <c r="AA184" s="1275" t="e">
        <f>INT(C184*J184)</f>
        <v>#REF!</v>
      </c>
      <c r="AB184" s="1281"/>
      <c r="AC184" s="1281"/>
      <c r="AD184" s="1277" t="s">
        <v>275</v>
      </c>
      <c r="AE184" s="1277"/>
      <c r="AK184" s="132"/>
    </row>
    <row r="185" spans="1:37" ht="6.95" customHeight="1">
      <c r="A185" s="133"/>
      <c r="AA185" s="123"/>
      <c r="AB185" s="123"/>
      <c r="AC185" s="123"/>
      <c r="AD185" s="139"/>
      <c r="AE185" s="139"/>
      <c r="AK185" s="132"/>
    </row>
    <row r="186" spans="1:37" ht="15" customHeight="1">
      <c r="A186" s="133" t="s">
        <v>254</v>
      </c>
      <c r="G186" s="139"/>
      <c r="AA186" s="123"/>
      <c r="AB186" s="123"/>
      <c r="AC186" s="123"/>
      <c r="AD186" s="139"/>
      <c r="AE186" s="139"/>
      <c r="AK186" s="132"/>
    </row>
    <row r="187" spans="1:37" ht="15" customHeight="1">
      <c r="A187" s="122"/>
      <c r="C187" s="139" t="s">
        <v>319</v>
      </c>
      <c r="H187" s="121">
        <v>5.0999999999999996</v>
      </c>
      <c r="I187" s="106"/>
      <c r="J187" s="139" t="s">
        <v>320</v>
      </c>
      <c r="M187" s="135" t="s">
        <v>317</v>
      </c>
      <c r="N187" s="1279" t="e">
        <f>#REF!</f>
        <v>#REF!</v>
      </c>
      <c r="O187" s="1279"/>
      <c r="P187" s="139" t="s">
        <v>255</v>
      </c>
      <c r="S187" s="135" t="s">
        <v>317</v>
      </c>
      <c r="T187" s="1296">
        <f>F181</f>
        <v>0.55714285714285716</v>
      </c>
      <c r="U187" s="1297"/>
      <c r="Z187" s="135" t="s">
        <v>41</v>
      </c>
      <c r="AA187" s="1284" t="e">
        <f>INT(H187*N187*T187)</f>
        <v>#REF!</v>
      </c>
      <c r="AB187" s="1281"/>
      <c r="AC187" s="1281"/>
      <c r="AD187" s="1277" t="s">
        <v>318</v>
      </c>
      <c r="AE187" s="1277"/>
      <c r="AK187" s="132"/>
    </row>
    <row r="188" spans="1:37" ht="15" customHeight="1">
      <c r="A188" s="122"/>
      <c r="C188" s="139" t="s">
        <v>321</v>
      </c>
      <c r="H188" s="135" t="s">
        <v>322</v>
      </c>
      <c r="K188" s="135">
        <v>20</v>
      </c>
      <c r="L188" s="139" t="s">
        <v>250</v>
      </c>
      <c r="M188" s="135" t="s">
        <v>306</v>
      </c>
      <c r="N188" s="1279" t="e">
        <f>AA187</f>
        <v>#REF!</v>
      </c>
      <c r="O188" s="1279"/>
      <c r="P188" s="135" t="s">
        <v>318</v>
      </c>
      <c r="R188" s="135" t="s">
        <v>317</v>
      </c>
      <c r="S188" s="106">
        <f>K188/100</f>
        <v>0.2</v>
      </c>
      <c r="T188" s="106"/>
      <c r="U188" s="135" t="s">
        <v>317</v>
      </c>
      <c r="V188" s="1296">
        <f>F181</f>
        <v>0.55714285714285716</v>
      </c>
      <c r="W188" s="1297"/>
      <c r="Z188" s="135" t="s">
        <v>41</v>
      </c>
      <c r="AA188" s="1286" t="e">
        <f>INT(N188*S188*V188)</f>
        <v>#REF!</v>
      </c>
      <c r="AB188" s="1286"/>
      <c r="AC188" s="1286"/>
      <c r="AD188" s="1277" t="s">
        <v>318</v>
      </c>
      <c r="AE188" s="1277"/>
      <c r="AK188" s="132"/>
    </row>
    <row r="189" spans="1:37" ht="6.95" customHeight="1">
      <c r="A189" s="133"/>
      <c r="C189" s="139"/>
      <c r="AA189" s="123"/>
      <c r="AB189" s="123"/>
      <c r="AC189" s="123"/>
      <c r="AD189" s="139"/>
      <c r="AE189" s="139"/>
      <c r="AK189" s="132"/>
    </row>
    <row r="190" spans="1:37" ht="15" customHeight="1">
      <c r="A190" s="133" t="s">
        <v>256</v>
      </c>
      <c r="AA190" s="123"/>
      <c r="AB190" s="123"/>
      <c r="AC190" s="123"/>
      <c r="AD190" s="139"/>
      <c r="AE190" s="139"/>
      <c r="AK190" s="132"/>
    </row>
    <row r="191" spans="1:37" ht="15" customHeight="1">
      <c r="A191" s="131"/>
      <c r="C191" s="135" t="s">
        <v>276</v>
      </c>
      <c r="H191" s="120">
        <v>1</v>
      </c>
      <c r="I191" s="119" t="s">
        <v>323</v>
      </c>
      <c r="J191" s="119"/>
      <c r="K191" s="119"/>
      <c r="L191" s="119" t="s">
        <v>317</v>
      </c>
      <c r="M191" s="119">
        <f>(1/8)</f>
        <v>0.125</v>
      </c>
      <c r="N191" s="118"/>
      <c r="O191" s="119"/>
      <c r="P191" s="119" t="s">
        <v>317</v>
      </c>
      <c r="Q191" s="119">
        <f>(16/12)</f>
        <v>1.3333333333333333</v>
      </c>
      <c r="R191" s="119"/>
      <c r="S191" s="119" t="s">
        <v>317</v>
      </c>
      <c r="T191" s="1274">
        <f>(25/20)</f>
        <v>1.25</v>
      </c>
      <c r="U191" s="1274"/>
      <c r="V191" s="106" t="s">
        <v>317</v>
      </c>
      <c r="W191" s="1279" t="e">
        <f>#REF!</f>
        <v>#REF!</v>
      </c>
      <c r="X191" s="1279"/>
      <c r="Y191" s="1279"/>
      <c r="Z191" s="106" t="s">
        <v>317</v>
      </c>
      <c r="AA191" s="1299">
        <f>F181</f>
        <v>0.55714285714285716</v>
      </c>
      <c r="AB191" s="1300"/>
      <c r="AC191" s="156" t="s">
        <v>41</v>
      </c>
      <c r="AD191" s="1288" t="e">
        <f>INT(H191*M191*Q191*T191*W191*AA191)</f>
        <v>#REF!</v>
      </c>
      <c r="AE191" s="1288"/>
      <c r="AF191" s="1288"/>
      <c r="AG191" s="1277" t="s">
        <v>275</v>
      </c>
      <c r="AH191" s="1278"/>
      <c r="AK191" s="132"/>
    </row>
    <row r="192" spans="1:37" ht="6.95" customHeight="1">
      <c r="A192" s="131"/>
      <c r="H192" s="106"/>
      <c r="I192" s="106"/>
      <c r="J192" s="106"/>
      <c r="K192" s="106"/>
      <c r="L192" s="106"/>
      <c r="M192" s="106"/>
      <c r="N192" s="117"/>
      <c r="O192" s="106"/>
      <c r="P192" s="106"/>
      <c r="Q192" s="127"/>
      <c r="R192" s="106"/>
      <c r="S192" s="106"/>
      <c r="T192" s="106"/>
      <c r="U192" s="106"/>
      <c r="V192" s="124"/>
      <c r="W192" s="106"/>
      <c r="X192" s="106"/>
      <c r="Y192" s="106"/>
      <c r="Z192" s="106"/>
      <c r="AB192" s="124"/>
      <c r="AC192" s="124"/>
      <c r="AD192" s="106"/>
      <c r="AE192" s="106"/>
      <c r="AK192" s="132"/>
    </row>
    <row r="193" spans="1:38" ht="15" customHeight="1">
      <c r="A193" s="133" t="s">
        <v>258</v>
      </c>
      <c r="AA193" s="123"/>
      <c r="AB193" s="123"/>
      <c r="AC193" s="123"/>
      <c r="AD193" s="139"/>
      <c r="AE193" s="139"/>
      <c r="AK193" s="132"/>
    </row>
    <row r="194" spans="1:38" ht="15" customHeight="1">
      <c r="A194" s="131"/>
      <c r="C194" s="135" t="s">
        <v>259</v>
      </c>
      <c r="H194" s="1272" t="e">
        <f>AA184</f>
        <v>#REF!</v>
      </c>
      <c r="I194" s="1273"/>
      <c r="J194" s="1273"/>
      <c r="K194" s="119" t="s">
        <v>275</v>
      </c>
      <c r="L194" s="119" t="s">
        <v>317</v>
      </c>
      <c r="M194" s="161">
        <f>F181</f>
        <v>0.55714285714285716</v>
      </c>
      <c r="N194" s="162"/>
      <c r="O194" s="161"/>
      <c r="P194" s="161"/>
      <c r="Q194" s="161"/>
      <c r="R194" s="161"/>
      <c r="S194" s="161"/>
      <c r="T194" s="1274"/>
      <c r="U194" s="1274"/>
      <c r="V194" s="116"/>
      <c r="W194" s="106"/>
      <c r="X194" s="124"/>
      <c r="Y194" s="124"/>
      <c r="Z194" s="106" t="s">
        <v>41</v>
      </c>
      <c r="AA194" s="1275" t="e">
        <f>INT(H194*M194)</f>
        <v>#REF!</v>
      </c>
      <c r="AB194" s="1276"/>
      <c r="AC194" s="1276"/>
      <c r="AD194" s="1277" t="s">
        <v>318</v>
      </c>
      <c r="AE194" s="1278"/>
      <c r="AK194" s="132"/>
    </row>
    <row r="195" spans="1:38" ht="6.95" customHeight="1">
      <c r="A195" s="133"/>
      <c r="AK195" s="132"/>
    </row>
    <row r="196" spans="1:38" ht="15" customHeight="1">
      <c r="A196" s="133" t="s">
        <v>328</v>
      </c>
      <c r="AK196" s="132"/>
      <c r="AL196" s="121"/>
    </row>
    <row r="197" spans="1:38" ht="15" customHeight="1">
      <c r="A197" s="134" t="s">
        <v>332</v>
      </c>
      <c r="F197" s="124" t="e">
        <f>AA187+AA188</f>
        <v>#REF!</v>
      </c>
      <c r="G197" s="106"/>
      <c r="H197" s="106"/>
      <c r="I197" s="135" t="s">
        <v>318</v>
      </c>
      <c r="K197" s="139"/>
      <c r="P197" s="124"/>
      <c r="Q197" s="106"/>
      <c r="R197" s="106"/>
      <c r="U197" s="139"/>
      <c r="Z197" s="124"/>
      <c r="AA197" s="106"/>
      <c r="AB197" s="121"/>
      <c r="AE197" s="139"/>
      <c r="AJ197" s="143"/>
      <c r="AK197" s="132"/>
      <c r="AL197" s="121"/>
    </row>
    <row r="198" spans="1:38" ht="15" customHeight="1">
      <c r="A198" s="134" t="s">
        <v>333</v>
      </c>
      <c r="F198" s="124" t="e">
        <f>AD191</f>
        <v>#REF!</v>
      </c>
      <c r="G198" s="106"/>
      <c r="H198" s="106"/>
      <c r="I198" s="135" t="s">
        <v>318</v>
      </c>
      <c r="K198" s="139"/>
      <c r="P198" s="124"/>
      <c r="Q198" s="106"/>
      <c r="R198" s="106"/>
      <c r="U198" s="139"/>
      <c r="Z198" s="124"/>
      <c r="AA198" s="106"/>
      <c r="AB198" s="121"/>
      <c r="AE198" s="139"/>
      <c r="AJ198" s="143"/>
      <c r="AK198" s="132"/>
      <c r="AL198" s="121"/>
    </row>
    <row r="199" spans="1:38" ht="15" customHeight="1">
      <c r="A199" s="133" t="s">
        <v>334</v>
      </c>
      <c r="F199" s="124" t="e">
        <f>AA194</f>
        <v>#REF!</v>
      </c>
      <c r="G199" s="106"/>
      <c r="H199" s="106"/>
      <c r="I199" s="135" t="s">
        <v>318</v>
      </c>
      <c r="P199" s="124"/>
      <c r="Q199" s="106"/>
      <c r="R199" s="106"/>
      <c r="Z199" s="124"/>
      <c r="AA199" s="106"/>
      <c r="AB199" s="121"/>
      <c r="AJ199" s="143"/>
      <c r="AK199" s="132"/>
      <c r="AL199" s="121"/>
    </row>
    <row r="200" spans="1:38" ht="15" customHeight="1">
      <c r="A200" s="134" t="s">
        <v>335</v>
      </c>
      <c r="F200" s="124" t="e">
        <f>F197+F198+F199</f>
        <v>#REF!</v>
      </c>
      <c r="G200" s="106"/>
      <c r="H200" s="106"/>
      <c r="I200" s="135" t="s">
        <v>318</v>
      </c>
      <c r="K200" s="139"/>
      <c r="P200" s="124"/>
      <c r="Q200" s="106"/>
      <c r="R200" s="106"/>
      <c r="U200" s="139"/>
      <c r="Z200" s="124"/>
      <c r="AA200" s="106"/>
      <c r="AB200" s="121"/>
      <c r="AE200" s="139"/>
      <c r="AJ200" s="143"/>
      <c r="AK200" s="132"/>
    </row>
    <row r="201" spans="1:38" ht="15" customHeight="1">
      <c r="A201" s="113"/>
      <c r="B201" s="115"/>
      <c r="C201" s="115"/>
      <c r="D201" s="115"/>
      <c r="E201" s="115"/>
      <c r="F201" s="112"/>
      <c r="G201" s="111"/>
      <c r="H201" s="111"/>
      <c r="I201" s="115"/>
      <c r="J201" s="115"/>
      <c r="K201" s="110"/>
      <c r="L201" s="115"/>
      <c r="M201" s="115"/>
      <c r="N201" s="115"/>
      <c r="O201" s="115"/>
      <c r="P201" s="112"/>
      <c r="Q201" s="111"/>
      <c r="R201" s="111"/>
      <c r="S201" s="115"/>
      <c r="T201" s="115"/>
      <c r="U201" s="110"/>
      <c r="V201" s="115"/>
      <c r="W201" s="115"/>
      <c r="X201" s="115"/>
      <c r="Y201" s="115"/>
      <c r="Z201" s="112"/>
      <c r="AA201" s="111"/>
      <c r="AB201" s="109"/>
      <c r="AC201" s="115"/>
      <c r="AD201" s="115"/>
      <c r="AE201" s="110"/>
      <c r="AF201" s="115"/>
      <c r="AG201" s="115"/>
      <c r="AH201" s="115"/>
      <c r="AI201" s="115"/>
      <c r="AJ201" s="108"/>
      <c r="AK201" s="114"/>
    </row>
    <row r="202" spans="1:38" ht="24.95" customHeight="1">
      <c r="A202" s="1160" t="s">
        <v>521</v>
      </c>
      <c r="B202" s="1161"/>
      <c r="C202" s="1161"/>
      <c r="D202" s="1161"/>
      <c r="E202" s="1161"/>
      <c r="F202" s="1161"/>
      <c r="G202" s="1161"/>
      <c r="H202" s="1161"/>
      <c r="I202" s="1161"/>
      <c r="J202" s="1161"/>
      <c r="K202" s="1161"/>
      <c r="L202" s="1161"/>
      <c r="M202" s="1161"/>
      <c r="N202" s="1161"/>
      <c r="O202" s="1161"/>
      <c r="P202" s="1161"/>
      <c r="Q202" s="1161"/>
      <c r="R202" s="1161"/>
      <c r="S202" s="1161"/>
      <c r="T202" s="1161"/>
      <c r="U202" s="1161"/>
      <c r="V202" s="1161"/>
      <c r="W202" s="1161"/>
      <c r="X202" s="1161"/>
      <c r="Y202" s="1161"/>
      <c r="Z202" s="1161"/>
      <c r="AA202" s="1161"/>
      <c r="AB202" s="1161"/>
      <c r="AC202" s="1161"/>
      <c r="AD202" s="1161"/>
      <c r="AE202" s="1161"/>
      <c r="AF202" s="1161"/>
      <c r="AG202" s="1161"/>
      <c r="AH202" s="1161"/>
      <c r="AI202" s="1161"/>
      <c r="AJ202" s="1161"/>
      <c r="AK202" s="1162"/>
    </row>
    <row r="203" spans="1:38" ht="6.95" customHeight="1">
      <c r="A203" s="133"/>
      <c r="AK203" s="132"/>
    </row>
    <row r="204" spans="1:38" ht="15" customHeight="1">
      <c r="A204" s="133" t="s">
        <v>273</v>
      </c>
      <c r="AK204" s="132"/>
    </row>
    <row r="205" spans="1:38" ht="6.95" customHeight="1">
      <c r="A205" s="133"/>
      <c r="AK205" s="132"/>
    </row>
    <row r="206" spans="1:38" ht="15" customHeight="1">
      <c r="A206" s="133" t="s">
        <v>302</v>
      </c>
      <c r="AK206" s="132"/>
    </row>
    <row r="207" spans="1:38" ht="15" customHeight="1">
      <c r="A207" s="131"/>
      <c r="B207" s="6"/>
      <c r="C207" s="6"/>
      <c r="D207" s="6"/>
      <c r="E207" s="130" t="s">
        <v>303</v>
      </c>
      <c r="F207" s="129"/>
      <c r="H207" s="6"/>
      <c r="I207" s="130">
        <v>4.8</v>
      </c>
      <c r="J207" s="129"/>
      <c r="AK207" s="132"/>
    </row>
    <row r="208" spans="1:38" ht="15" customHeight="1">
      <c r="A208" s="131" t="s">
        <v>304</v>
      </c>
      <c r="B208" s="6"/>
      <c r="C208" s="6"/>
      <c r="D208" s="6"/>
      <c r="F208" s="6"/>
      <c r="G208" s="128" t="s">
        <v>305</v>
      </c>
      <c r="H208" s="6"/>
      <c r="J208" s="6"/>
      <c r="K208" s="135" t="s">
        <v>306</v>
      </c>
      <c r="L208" s="127">
        <f>I207/I209</f>
        <v>6.8571428571428577</v>
      </c>
      <c r="M208" s="106"/>
      <c r="O208" s="135" t="s">
        <v>307</v>
      </c>
      <c r="AK208" s="132"/>
    </row>
    <row r="209" spans="1:37" ht="15" customHeight="1">
      <c r="A209" s="133"/>
      <c r="B209" s="6"/>
      <c r="C209" s="6"/>
      <c r="D209" s="6"/>
      <c r="E209" s="126" t="s">
        <v>308</v>
      </c>
      <c r="F209" s="129"/>
      <c r="G209" s="125"/>
      <c r="H209" s="6"/>
      <c r="I209" s="126">
        <v>0.7</v>
      </c>
      <c r="J209" s="129"/>
      <c r="AK209" s="132"/>
    </row>
    <row r="210" spans="1:37" ht="15" customHeight="1">
      <c r="A210" s="131" t="s">
        <v>309</v>
      </c>
      <c r="B210" s="135" t="s">
        <v>261</v>
      </c>
      <c r="R210" s="1291">
        <f>L208</f>
        <v>6.8571428571428577</v>
      </c>
      <c r="S210" s="1285"/>
      <c r="AK210" s="132"/>
    </row>
    <row r="211" spans="1:37" ht="15" customHeight="1">
      <c r="A211" s="131" t="s">
        <v>311</v>
      </c>
      <c r="B211" s="135" t="s">
        <v>274</v>
      </c>
      <c r="AK211" s="132"/>
    </row>
    <row r="212" spans="1:37" ht="15" customHeight="1">
      <c r="A212" s="131" t="s">
        <v>313</v>
      </c>
      <c r="B212" s="135" t="s">
        <v>314</v>
      </c>
      <c r="AK212" s="132"/>
    </row>
    <row r="213" spans="1:37" ht="15" customHeight="1">
      <c r="A213" s="131"/>
      <c r="B213" s="135" t="s">
        <v>253</v>
      </c>
      <c r="F213" s="1292">
        <f>R210/60</f>
        <v>0.1142857142857143</v>
      </c>
      <c r="G213" s="1292"/>
      <c r="H213" s="1285"/>
      <c r="AK213" s="132"/>
    </row>
    <row r="214" spans="1:37" ht="6.95" customHeight="1">
      <c r="A214" s="133"/>
      <c r="AK214" s="132"/>
    </row>
    <row r="215" spans="1:37" ht="15" customHeight="1">
      <c r="A215" s="133" t="s">
        <v>315</v>
      </c>
      <c r="AK215" s="132"/>
    </row>
    <row r="216" spans="1:37" ht="15" customHeight="1">
      <c r="A216" s="131"/>
      <c r="C216" s="1279" t="e">
        <f>#REF!</f>
        <v>#REF!</v>
      </c>
      <c r="D216" s="1279"/>
      <c r="E216" s="1279"/>
      <c r="F216" s="1279"/>
      <c r="G216" s="128" t="s">
        <v>316</v>
      </c>
      <c r="I216" s="135" t="s">
        <v>317</v>
      </c>
      <c r="J216" s="1280">
        <f>(2598/10000000)</f>
        <v>2.5980000000000003E-4</v>
      </c>
      <c r="K216" s="1280"/>
      <c r="L216" s="1280"/>
      <c r="M216" s="1280"/>
      <c r="N216" s="124"/>
      <c r="O216" s="124"/>
      <c r="P216" s="124"/>
      <c r="S216" s="155"/>
      <c r="T216" s="155"/>
      <c r="U216" s="155"/>
      <c r="V216" s="155"/>
      <c r="W216" s="124"/>
      <c r="X216" s="106"/>
      <c r="Y216" s="106"/>
      <c r="Z216" s="135" t="s">
        <v>41</v>
      </c>
      <c r="AA216" s="1275" t="e">
        <f>INT(C216*J216)</f>
        <v>#REF!</v>
      </c>
      <c r="AB216" s="1281"/>
      <c r="AC216" s="1281"/>
      <c r="AD216" s="1277" t="s">
        <v>275</v>
      </c>
      <c r="AE216" s="1277"/>
      <c r="AK216" s="132"/>
    </row>
    <row r="217" spans="1:37" ht="6.95" customHeight="1">
      <c r="A217" s="133"/>
      <c r="AA217" s="123"/>
      <c r="AB217" s="123"/>
      <c r="AC217" s="123"/>
      <c r="AD217" s="139"/>
      <c r="AE217" s="139"/>
      <c r="AK217" s="132"/>
    </row>
    <row r="218" spans="1:37" ht="15" customHeight="1">
      <c r="A218" s="133" t="s">
        <v>254</v>
      </c>
      <c r="G218" s="139"/>
      <c r="AA218" s="123"/>
      <c r="AB218" s="123"/>
      <c r="AC218" s="123"/>
      <c r="AD218" s="139"/>
      <c r="AE218" s="139"/>
      <c r="AK218" s="132"/>
    </row>
    <row r="219" spans="1:37" ht="15" customHeight="1">
      <c r="A219" s="122"/>
      <c r="C219" s="139" t="s">
        <v>319</v>
      </c>
      <c r="H219" s="121">
        <v>5.0999999999999996</v>
      </c>
      <c r="I219" s="106"/>
      <c r="J219" s="139" t="s">
        <v>320</v>
      </c>
      <c r="M219" s="135" t="s">
        <v>317</v>
      </c>
      <c r="N219" s="1279" t="e">
        <f>#REF!</f>
        <v>#REF!</v>
      </c>
      <c r="O219" s="1279"/>
      <c r="P219" s="139" t="s">
        <v>255</v>
      </c>
      <c r="S219" s="135" t="s">
        <v>317</v>
      </c>
      <c r="T219" s="1282">
        <f>F213</f>
        <v>0.1142857142857143</v>
      </c>
      <c r="U219" s="1283"/>
      <c r="Z219" s="135" t="s">
        <v>41</v>
      </c>
      <c r="AA219" s="1284" t="e">
        <f>INT(H219*N219*T219)</f>
        <v>#REF!</v>
      </c>
      <c r="AB219" s="1281"/>
      <c r="AC219" s="1281"/>
      <c r="AD219" s="1277" t="s">
        <v>318</v>
      </c>
      <c r="AE219" s="1277"/>
      <c r="AK219" s="132"/>
    </row>
    <row r="220" spans="1:37" ht="15" customHeight="1">
      <c r="A220" s="122"/>
      <c r="C220" s="139" t="s">
        <v>321</v>
      </c>
      <c r="H220" s="135" t="s">
        <v>322</v>
      </c>
      <c r="K220" s="135">
        <v>20</v>
      </c>
      <c r="L220" s="139" t="s">
        <v>250</v>
      </c>
      <c r="M220" s="135" t="s">
        <v>306</v>
      </c>
      <c r="N220" s="1279" t="e">
        <f>AA219</f>
        <v>#REF!</v>
      </c>
      <c r="O220" s="1279"/>
      <c r="P220" s="135" t="s">
        <v>318</v>
      </c>
      <c r="R220" s="135" t="s">
        <v>317</v>
      </c>
      <c r="S220" s="106">
        <f>K220/100</f>
        <v>0.2</v>
      </c>
      <c r="T220" s="106"/>
      <c r="U220" s="135" t="s">
        <v>317</v>
      </c>
      <c r="V220" s="1282">
        <f>F213</f>
        <v>0.1142857142857143</v>
      </c>
      <c r="W220" s="1283"/>
      <c r="X220" s="1285"/>
      <c r="Z220" s="135" t="s">
        <v>41</v>
      </c>
      <c r="AA220" s="1286" t="e">
        <f>INT(N220*S220*V220)</f>
        <v>#REF!</v>
      </c>
      <c r="AB220" s="1286"/>
      <c r="AC220" s="1286"/>
      <c r="AD220" s="1277" t="s">
        <v>318</v>
      </c>
      <c r="AE220" s="1277"/>
      <c r="AK220" s="132"/>
    </row>
    <row r="221" spans="1:37" ht="6.95" customHeight="1">
      <c r="A221" s="133"/>
      <c r="C221" s="139"/>
      <c r="AA221" s="123"/>
      <c r="AB221" s="123"/>
      <c r="AC221" s="123"/>
      <c r="AD221" s="139"/>
      <c r="AE221" s="139"/>
      <c r="AK221" s="132"/>
    </row>
    <row r="222" spans="1:37" ht="15" customHeight="1">
      <c r="A222" s="133" t="s">
        <v>256</v>
      </c>
      <c r="AA222" s="123"/>
      <c r="AB222" s="123"/>
      <c r="AC222" s="123"/>
      <c r="AD222" s="139"/>
      <c r="AE222" s="139"/>
      <c r="AK222" s="132"/>
    </row>
    <row r="223" spans="1:37" ht="15" customHeight="1">
      <c r="A223" s="131"/>
      <c r="C223" s="135" t="s">
        <v>257</v>
      </c>
      <c r="H223" s="120">
        <v>1</v>
      </c>
      <c r="I223" s="119" t="s">
        <v>323</v>
      </c>
      <c r="J223" s="119"/>
      <c r="K223" s="119"/>
      <c r="L223" s="119" t="s">
        <v>317</v>
      </c>
      <c r="M223" s="119">
        <f>(1/8)</f>
        <v>0.125</v>
      </c>
      <c r="N223" s="118"/>
      <c r="O223" s="119"/>
      <c r="P223" s="119" t="s">
        <v>317</v>
      </c>
      <c r="Q223" s="119">
        <f>(16/12)</f>
        <v>1.3333333333333333</v>
      </c>
      <c r="R223" s="119"/>
      <c r="S223" s="119" t="s">
        <v>317</v>
      </c>
      <c r="T223" s="1274">
        <f>(25/20)</f>
        <v>1.25</v>
      </c>
      <c r="U223" s="1274"/>
      <c r="V223" s="106" t="s">
        <v>317</v>
      </c>
      <c r="W223" s="1279" t="e">
        <f>#REF!</f>
        <v>#REF!</v>
      </c>
      <c r="X223" s="1279"/>
      <c r="Y223" s="1279"/>
      <c r="Z223" s="106" t="s">
        <v>317</v>
      </c>
      <c r="AA223" s="1287">
        <f>F213</f>
        <v>0.1142857142857143</v>
      </c>
      <c r="AB223" s="1287"/>
      <c r="AC223" s="156" t="s">
        <v>41</v>
      </c>
      <c r="AD223" s="1288" t="e">
        <f>INT(H223*M223*Q223*T223*W223*AA223)</f>
        <v>#REF!</v>
      </c>
      <c r="AE223" s="1288"/>
      <c r="AF223" s="1288"/>
      <c r="AG223" s="1277" t="s">
        <v>275</v>
      </c>
      <c r="AH223" s="1278"/>
      <c r="AK223" s="132"/>
    </row>
    <row r="224" spans="1:37" ht="6.95" customHeight="1">
      <c r="A224" s="131"/>
      <c r="H224" s="106"/>
      <c r="I224" s="106"/>
      <c r="J224" s="106"/>
      <c r="K224" s="106"/>
      <c r="L224" s="106"/>
      <c r="M224" s="106"/>
      <c r="N224" s="117"/>
      <c r="O224" s="106"/>
      <c r="P224" s="106"/>
      <c r="Q224" s="127"/>
      <c r="R224" s="106"/>
      <c r="S224" s="106"/>
      <c r="T224" s="106"/>
      <c r="U224" s="106"/>
      <c r="V224" s="124"/>
      <c r="W224" s="106"/>
      <c r="X224" s="106"/>
      <c r="Y224" s="106"/>
      <c r="Z224" s="106"/>
      <c r="AB224" s="124"/>
      <c r="AC224" s="124"/>
      <c r="AD224" s="106"/>
      <c r="AE224" s="106"/>
      <c r="AK224" s="132"/>
    </row>
    <row r="225" spans="1:38" ht="15" customHeight="1">
      <c r="A225" s="133" t="s">
        <v>258</v>
      </c>
      <c r="AA225" s="123"/>
      <c r="AB225" s="123"/>
      <c r="AC225" s="123"/>
      <c r="AD225" s="139"/>
      <c r="AE225" s="139"/>
      <c r="AK225" s="132"/>
    </row>
    <row r="226" spans="1:38" ht="15" customHeight="1">
      <c r="A226" s="131"/>
      <c r="C226" s="135" t="s">
        <v>259</v>
      </c>
      <c r="H226" s="1272" t="e">
        <f>AA216</f>
        <v>#REF!</v>
      </c>
      <c r="I226" s="1273"/>
      <c r="J226" s="1273"/>
      <c r="K226" s="119" t="s">
        <v>275</v>
      </c>
      <c r="L226" s="119" t="s">
        <v>317</v>
      </c>
      <c r="M226" s="163">
        <f>F213</f>
        <v>0.1142857142857143</v>
      </c>
      <c r="N226" s="162"/>
      <c r="O226" s="161"/>
      <c r="P226" s="161"/>
      <c r="Q226" s="161"/>
      <c r="R226" s="119"/>
      <c r="S226" s="119"/>
      <c r="T226" s="1274"/>
      <c r="U226" s="1274"/>
      <c r="V226" s="116"/>
      <c r="W226" s="106"/>
      <c r="X226" s="124"/>
      <c r="Y226" s="124"/>
      <c r="Z226" s="106" t="s">
        <v>41</v>
      </c>
      <c r="AA226" s="1275" t="e">
        <f>INT(H226*M226)</f>
        <v>#REF!</v>
      </c>
      <c r="AB226" s="1276"/>
      <c r="AC226" s="1276"/>
      <c r="AD226" s="1277" t="s">
        <v>318</v>
      </c>
      <c r="AE226" s="1278"/>
      <c r="AK226" s="132"/>
    </row>
    <row r="227" spans="1:38" ht="6.95" customHeight="1">
      <c r="A227" s="133"/>
      <c r="AK227" s="132"/>
    </row>
    <row r="228" spans="1:38" ht="15" customHeight="1">
      <c r="A228" s="133" t="s">
        <v>328</v>
      </c>
      <c r="AK228" s="132"/>
      <c r="AL228" s="121"/>
    </row>
    <row r="229" spans="1:38" ht="15" customHeight="1">
      <c r="A229" s="134" t="s">
        <v>332</v>
      </c>
      <c r="F229" s="124" t="e">
        <f>AA219+AA220</f>
        <v>#REF!</v>
      </c>
      <c r="G229" s="106"/>
      <c r="H229" s="106"/>
      <c r="I229" s="135" t="s">
        <v>318</v>
      </c>
      <c r="K229" s="139"/>
      <c r="P229" s="124"/>
      <c r="Q229" s="106"/>
      <c r="R229" s="106"/>
      <c r="U229" s="139"/>
      <c r="Z229" s="124"/>
      <c r="AA229" s="106"/>
      <c r="AB229" s="121"/>
      <c r="AE229" s="139"/>
      <c r="AJ229" s="143"/>
      <c r="AK229" s="132"/>
      <c r="AL229" s="121"/>
    </row>
    <row r="230" spans="1:38" ht="15" customHeight="1">
      <c r="A230" s="134" t="s">
        <v>333</v>
      </c>
      <c r="F230" s="124" t="e">
        <f>AD223</f>
        <v>#REF!</v>
      </c>
      <c r="G230" s="106"/>
      <c r="H230" s="106"/>
      <c r="I230" s="135" t="s">
        <v>318</v>
      </c>
      <c r="K230" s="139"/>
      <c r="P230" s="124"/>
      <c r="Q230" s="106"/>
      <c r="R230" s="106"/>
      <c r="U230" s="139"/>
      <c r="Z230" s="124"/>
      <c r="AA230" s="106"/>
      <c r="AB230" s="121"/>
      <c r="AE230" s="139"/>
      <c r="AJ230" s="143"/>
      <c r="AK230" s="132"/>
      <c r="AL230" s="121"/>
    </row>
    <row r="231" spans="1:38" ht="15" customHeight="1">
      <c r="A231" s="133" t="s">
        <v>334</v>
      </c>
      <c r="F231" s="124" t="e">
        <f>AA226</f>
        <v>#REF!</v>
      </c>
      <c r="G231" s="106"/>
      <c r="H231" s="106"/>
      <c r="I231" s="135" t="s">
        <v>318</v>
      </c>
      <c r="P231" s="124"/>
      <c r="Q231" s="106"/>
      <c r="R231" s="106"/>
      <c r="Z231" s="124"/>
      <c r="AA231" s="106"/>
      <c r="AB231" s="121"/>
      <c r="AJ231" s="143"/>
      <c r="AK231" s="132"/>
      <c r="AL231" s="121"/>
    </row>
    <row r="232" spans="1:38" ht="15" customHeight="1">
      <c r="A232" s="134" t="s">
        <v>335</v>
      </c>
      <c r="F232" s="124" t="e">
        <f>F229+F230+F231</f>
        <v>#REF!</v>
      </c>
      <c r="G232" s="106"/>
      <c r="H232" s="106"/>
      <c r="I232" s="135" t="s">
        <v>318</v>
      </c>
      <c r="K232" s="139"/>
      <c r="P232" s="124"/>
      <c r="Q232" s="106"/>
      <c r="R232" s="106"/>
      <c r="U232" s="139"/>
      <c r="Z232" s="124"/>
      <c r="AA232" s="106"/>
      <c r="AB232" s="121"/>
      <c r="AE232" s="139"/>
      <c r="AJ232" s="143"/>
      <c r="AK232" s="132"/>
    </row>
    <row r="233" spans="1:38" ht="15" customHeight="1">
      <c r="A233" s="113"/>
      <c r="B233" s="115"/>
      <c r="C233" s="115"/>
      <c r="D233" s="115"/>
      <c r="E233" s="115"/>
      <c r="F233" s="112"/>
      <c r="G233" s="111"/>
      <c r="H233" s="111"/>
      <c r="I233" s="115"/>
      <c r="J233" s="115"/>
      <c r="K233" s="110"/>
      <c r="L233" s="115"/>
      <c r="M233" s="115"/>
      <c r="N233" s="115"/>
      <c r="O233" s="115"/>
      <c r="P233" s="112"/>
      <c r="Q233" s="111"/>
      <c r="R233" s="111"/>
      <c r="S233" s="115"/>
      <c r="T233" s="115"/>
      <c r="U233" s="110"/>
      <c r="V233" s="115"/>
      <c r="W233" s="115"/>
      <c r="X233" s="115"/>
      <c r="Y233" s="115"/>
      <c r="Z233" s="112"/>
      <c r="AA233" s="111"/>
      <c r="AB233" s="109"/>
      <c r="AC233" s="115"/>
      <c r="AD233" s="115"/>
      <c r="AE233" s="110"/>
      <c r="AF233" s="115"/>
      <c r="AG233" s="115"/>
      <c r="AH233" s="115"/>
      <c r="AI233" s="115"/>
      <c r="AJ233" s="108"/>
      <c r="AK233" s="114"/>
    </row>
    <row r="234" spans="1:38" ht="24.95" customHeight="1">
      <c r="A234" s="1160" t="s">
        <v>336</v>
      </c>
      <c r="B234" s="1161"/>
      <c r="C234" s="1161"/>
      <c r="D234" s="1161"/>
      <c r="E234" s="1161"/>
      <c r="F234" s="1161"/>
      <c r="G234" s="1161"/>
      <c r="H234" s="1161"/>
      <c r="I234" s="1161"/>
      <c r="J234" s="1161"/>
      <c r="K234" s="1161"/>
      <c r="L234" s="1161"/>
      <c r="M234" s="1161"/>
      <c r="N234" s="1161"/>
      <c r="O234" s="1161"/>
      <c r="P234" s="1161"/>
      <c r="Q234" s="1161"/>
      <c r="R234" s="1161"/>
      <c r="S234" s="1161"/>
      <c r="T234" s="1161"/>
      <c r="U234" s="1161"/>
      <c r="V234" s="1161"/>
      <c r="W234" s="1161"/>
      <c r="X234" s="1161"/>
      <c r="Y234" s="1161"/>
      <c r="Z234" s="1161"/>
      <c r="AA234" s="1161"/>
      <c r="AB234" s="1161"/>
      <c r="AC234" s="1161"/>
      <c r="AD234" s="1161"/>
      <c r="AE234" s="1161"/>
      <c r="AF234" s="1161"/>
      <c r="AG234" s="1161"/>
      <c r="AH234" s="1161"/>
      <c r="AI234" s="1161"/>
      <c r="AJ234" s="1161"/>
      <c r="AK234" s="1162"/>
    </row>
    <row r="235" spans="1:38" ht="6.95" customHeight="1">
      <c r="A235" s="133"/>
      <c r="AK235" s="132"/>
    </row>
    <row r="236" spans="1:38" ht="15" customHeight="1">
      <c r="A236" s="133" t="s">
        <v>273</v>
      </c>
      <c r="AK236" s="132"/>
    </row>
    <row r="237" spans="1:38" ht="6.95" customHeight="1">
      <c r="A237" s="133"/>
      <c r="AK237" s="132"/>
    </row>
    <row r="238" spans="1:38" ht="15" customHeight="1">
      <c r="A238" s="133" t="s">
        <v>302</v>
      </c>
      <c r="AK238" s="132"/>
    </row>
    <row r="239" spans="1:38" ht="15" customHeight="1">
      <c r="A239" s="131"/>
      <c r="B239" s="6"/>
      <c r="C239" s="6"/>
      <c r="D239" s="6"/>
      <c r="E239" s="130" t="s">
        <v>303</v>
      </c>
      <c r="F239" s="129"/>
      <c r="H239" s="6"/>
      <c r="I239" s="130">
        <v>9</v>
      </c>
      <c r="J239" s="129"/>
      <c r="AK239" s="132"/>
    </row>
    <row r="240" spans="1:38" ht="15" customHeight="1">
      <c r="A240" s="131" t="s">
        <v>304</v>
      </c>
      <c r="B240" s="6"/>
      <c r="C240" s="6"/>
      <c r="D240" s="6"/>
      <c r="F240" s="6"/>
      <c r="G240" s="128" t="s">
        <v>305</v>
      </c>
      <c r="H240" s="6"/>
      <c r="J240" s="6"/>
      <c r="K240" s="135" t="s">
        <v>306</v>
      </c>
      <c r="L240" s="127">
        <f>I239/I241</f>
        <v>12.857142857142858</v>
      </c>
      <c r="M240" s="106"/>
      <c r="O240" s="135" t="s">
        <v>307</v>
      </c>
      <c r="AK240" s="132"/>
    </row>
    <row r="241" spans="1:37" ht="15" customHeight="1">
      <c r="A241" s="133"/>
      <c r="B241" s="6"/>
      <c r="C241" s="6"/>
      <c r="D241" s="6"/>
      <c r="E241" s="126" t="s">
        <v>308</v>
      </c>
      <c r="F241" s="129"/>
      <c r="G241" s="125"/>
      <c r="H241" s="6"/>
      <c r="I241" s="126">
        <v>0.7</v>
      </c>
      <c r="J241" s="129"/>
      <c r="AK241" s="132"/>
    </row>
    <row r="242" spans="1:37" ht="15" customHeight="1">
      <c r="A242" s="131" t="s">
        <v>309</v>
      </c>
      <c r="B242" s="135" t="s">
        <v>261</v>
      </c>
      <c r="R242" s="1291">
        <f>L240</f>
        <v>12.857142857142858</v>
      </c>
      <c r="S242" s="1285"/>
      <c r="AK242" s="132"/>
    </row>
    <row r="243" spans="1:37" ht="15" customHeight="1">
      <c r="A243" s="131" t="s">
        <v>311</v>
      </c>
      <c r="B243" s="135" t="s">
        <v>274</v>
      </c>
      <c r="AK243" s="132"/>
    </row>
    <row r="244" spans="1:37" ht="15" customHeight="1">
      <c r="A244" s="131" t="s">
        <v>313</v>
      </c>
      <c r="B244" s="135" t="s">
        <v>314</v>
      </c>
      <c r="AK244" s="132"/>
    </row>
    <row r="245" spans="1:37" ht="15" customHeight="1">
      <c r="A245" s="131"/>
      <c r="B245" s="135" t="s">
        <v>253</v>
      </c>
      <c r="F245" s="1292">
        <f>R242/60</f>
        <v>0.2142857142857143</v>
      </c>
      <c r="G245" s="1292"/>
      <c r="H245" s="1285"/>
      <c r="AK245" s="132"/>
    </row>
    <row r="246" spans="1:37" ht="6.95" customHeight="1">
      <c r="A246" s="133"/>
      <c r="AK246" s="132"/>
    </row>
    <row r="247" spans="1:37" ht="15" customHeight="1">
      <c r="A247" s="133" t="s">
        <v>315</v>
      </c>
      <c r="AK247" s="132"/>
    </row>
    <row r="248" spans="1:37" ht="15" customHeight="1">
      <c r="A248" s="131"/>
      <c r="C248" s="1279" t="e">
        <f>#REF!</f>
        <v>#REF!</v>
      </c>
      <c r="D248" s="1279"/>
      <c r="E248" s="1279"/>
      <c r="F248" s="1279"/>
      <c r="G248" s="128" t="s">
        <v>316</v>
      </c>
      <c r="I248" s="135" t="s">
        <v>317</v>
      </c>
      <c r="J248" s="1280">
        <f>(2598/10000000)</f>
        <v>2.5980000000000003E-4</v>
      </c>
      <c r="K248" s="1280"/>
      <c r="L248" s="1280"/>
      <c r="M248" s="1280"/>
      <c r="N248" s="124"/>
      <c r="O248" s="124"/>
      <c r="P248" s="124"/>
      <c r="S248" s="155"/>
      <c r="T248" s="155"/>
      <c r="U248" s="155"/>
      <c r="V248" s="155"/>
      <c r="W248" s="124"/>
      <c r="X248" s="106"/>
      <c r="Y248" s="106"/>
      <c r="Z248" s="135" t="s">
        <v>41</v>
      </c>
      <c r="AA248" s="1275" t="e">
        <f>INT(C248*J248)</f>
        <v>#REF!</v>
      </c>
      <c r="AB248" s="1281"/>
      <c r="AC248" s="1281"/>
      <c r="AD248" s="1277" t="s">
        <v>275</v>
      </c>
      <c r="AE248" s="1277"/>
      <c r="AK248" s="132"/>
    </row>
    <row r="249" spans="1:37" ht="6.95" customHeight="1">
      <c r="A249" s="133"/>
      <c r="AA249" s="123"/>
      <c r="AB249" s="123"/>
      <c r="AC249" s="123"/>
      <c r="AD249" s="139"/>
      <c r="AE249" s="139"/>
      <c r="AK249" s="132"/>
    </row>
    <row r="250" spans="1:37" ht="15" customHeight="1">
      <c r="A250" s="133" t="s">
        <v>254</v>
      </c>
      <c r="G250" s="139"/>
      <c r="AA250" s="123"/>
      <c r="AB250" s="123"/>
      <c r="AC250" s="123"/>
      <c r="AD250" s="139"/>
      <c r="AE250" s="139"/>
      <c r="AK250" s="132"/>
    </row>
    <row r="251" spans="1:37" ht="15" customHeight="1">
      <c r="A251" s="122"/>
      <c r="C251" s="139" t="s">
        <v>319</v>
      </c>
      <c r="H251" s="121">
        <v>5.0999999999999996</v>
      </c>
      <c r="I251" s="106"/>
      <c r="J251" s="139" t="s">
        <v>320</v>
      </c>
      <c r="M251" s="135" t="s">
        <v>317</v>
      </c>
      <c r="N251" s="1279" t="e">
        <f>#REF!</f>
        <v>#REF!</v>
      </c>
      <c r="O251" s="1279"/>
      <c r="P251" s="139" t="s">
        <v>255</v>
      </c>
      <c r="S251" s="135" t="s">
        <v>317</v>
      </c>
      <c r="T251" s="1282">
        <f>F245</f>
        <v>0.2142857142857143</v>
      </c>
      <c r="U251" s="1283"/>
      <c r="Z251" s="135" t="s">
        <v>41</v>
      </c>
      <c r="AA251" s="1284" t="e">
        <f>INT(H251*N251*T251)</f>
        <v>#REF!</v>
      </c>
      <c r="AB251" s="1281"/>
      <c r="AC251" s="1281"/>
      <c r="AD251" s="1277" t="s">
        <v>318</v>
      </c>
      <c r="AE251" s="1277"/>
      <c r="AK251" s="132"/>
    </row>
    <row r="252" spans="1:37" ht="15" customHeight="1">
      <c r="A252" s="122"/>
      <c r="C252" s="139" t="s">
        <v>321</v>
      </c>
      <c r="H252" s="135" t="s">
        <v>322</v>
      </c>
      <c r="K252" s="135">
        <v>20</v>
      </c>
      <c r="L252" s="139" t="s">
        <v>250</v>
      </c>
      <c r="M252" s="135" t="s">
        <v>306</v>
      </c>
      <c r="N252" s="1279" t="e">
        <f>AA251</f>
        <v>#REF!</v>
      </c>
      <c r="O252" s="1279"/>
      <c r="P252" s="135" t="s">
        <v>318</v>
      </c>
      <c r="R252" s="135" t="s">
        <v>317</v>
      </c>
      <c r="S252" s="106">
        <f>K252/100</f>
        <v>0.2</v>
      </c>
      <c r="T252" s="106"/>
      <c r="U252" s="135" t="s">
        <v>317</v>
      </c>
      <c r="V252" s="1301">
        <f>F245</f>
        <v>0.2142857142857143</v>
      </c>
      <c r="W252" s="1302"/>
      <c r="X252" s="1285"/>
      <c r="Z252" s="135" t="s">
        <v>41</v>
      </c>
      <c r="AA252" s="1286" t="e">
        <f>INT(N252*S252*V252)</f>
        <v>#REF!</v>
      </c>
      <c r="AB252" s="1286"/>
      <c r="AC252" s="1286"/>
      <c r="AD252" s="1277" t="s">
        <v>318</v>
      </c>
      <c r="AE252" s="1277"/>
      <c r="AK252" s="132"/>
    </row>
    <row r="253" spans="1:37" ht="6.95" customHeight="1">
      <c r="A253" s="133"/>
      <c r="C253" s="139"/>
      <c r="AA253" s="123"/>
      <c r="AB253" s="123"/>
      <c r="AC253" s="123"/>
      <c r="AD253" s="139"/>
      <c r="AE253" s="139"/>
      <c r="AK253" s="132"/>
    </row>
    <row r="254" spans="1:37" ht="15" customHeight="1">
      <c r="A254" s="133" t="s">
        <v>256</v>
      </c>
      <c r="AA254" s="123"/>
      <c r="AB254" s="123"/>
      <c r="AC254" s="123"/>
      <c r="AD254" s="139"/>
      <c r="AE254" s="139"/>
      <c r="AK254" s="132"/>
    </row>
    <row r="255" spans="1:37" ht="15" customHeight="1">
      <c r="A255" s="131"/>
      <c r="C255" s="135" t="s">
        <v>257</v>
      </c>
      <c r="H255" s="120">
        <v>1</v>
      </c>
      <c r="I255" s="119" t="s">
        <v>323</v>
      </c>
      <c r="J255" s="119"/>
      <c r="K255" s="119"/>
      <c r="L255" s="119" t="s">
        <v>317</v>
      </c>
      <c r="M255" s="119">
        <f>(1/8)</f>
        <v>0.125</v>
      </c>
      <c r="N255" s="118"/>
      <c r="O255" s="119"/>
      <c r="P255" s="119" t="s">
        <v>317</v>
      </c>
      <c r="Q255" s="119">
        <f>(16/12)</f>
        <v>1.3333333333333333</v>
      </c>
      <c r="R255" s="119"/>
      <c r="S255" s="119" t="s">
        <v>317</v>
      </c>
      <c r="T255" s="1274">
        <f>(25/20)</f>
        <v>1.25</v>
      </c>
      <c r="U255" s="1274"/>
      <c r="V255" s="106" t="s">
        <v>317</v>
      </c>
      <c r="W255" s="1279" t="e">
        <f>#REF!</f>
        <v>#REF!</v>
      </c>
      <c r="X255" s="1279"/>
      <c r="Y255" s="1279"/>
      <c r="Z255" s="106" t="s">
        <v>317</v>
      </c>
      <c r="AA255" s="1287">
        <f>F245</f>
        <v>0.2142857142857143</v>
      </c>
      <c r="AB255" s="1287"/>
      <c r="AC255" s="156" t="s">
        <v>41</v>
      </c>
      <c r="AD255" s="1288" t="e">
        <f>INT(H255*M255*Q255*T255*W255*AA255)</f>
        <v>#REF!</v>
      </c>
      <c r="AE255" s="1288"/>
      <c r="AF255" s="1288"/>
      <c r="AG255" s="1277" t="s">
        <v>275</v>
      </c>
      <c r="AH255" s="1278"/>
      <c r="AK255" s="132"/>
    </row>
    <row r="256" spans="1:37" ht="6.95" customHeight="1">
      <c r="A256" s="131"/>
      <c r="H256" s="106"/>
      <c r="I256" s="106"/>
      <c r="J256" s="106"/>
      <c r="K256" s="106"/>
      <c r="L256" s="106"/>
      <c r="M256" s="106"/>
      <c r="N256" s="117"/>
      <c r="O256" s="106"/>
      <c r="P256" s="106"/>
      <c r="Q256" s="127"/>
      <c r="R256" s="106"/>
      <c r="S256" s="106"/>
      <c r="T256" s="106"/>
      <c r="U256" s="106"/>
      <c r="V256" s="124"/>
      <c r="W256" s="106"/>
      <c r="X256" s="106"/>
      <c r="Y256" s="106"/>
      <c r="Z256" s="106"/>
      <c r="AB256" s="124"/>
      <c r="AC256" s="124"/>
      <c r="AD256" s="106"/>
      <c r="AE256" s="106"/>
      <c r="AK256" s="132"/>
    </row>
    <row r="257" spans="1:38" ht="15" customHeight="1">
      <c r="A257" s="133" t="s">
        <v>258</v>
      </c>
      <c r="AA257" s="123"/>
      <c r="AB257" s="123"/>
      <c r="AC257" s="123"/>
      <c r="AD257" s="139"/>
      <c r="AE257" s="139"/>
      <c r="AK257" s="132"/>
    </row>
    <row r="258" spans="1:38" ht="15" customHeight="1">
      <c r="A258" s="131"/>
      <c r="C258" s="135" t="s">
        <v>259</v>
      </c>
      <c r="H258" s="1272" t="e">
        <f>AA248</f>
        <v>#REF!</v>
      </c>
      <c r="I258" s="1273"/>
      <c r="J258" s="1273"/>
      <c r="K258" s="119" t="s">
        <v>275</v>
      </c>
      <c r="L258" s="119" t="s">
        <v>317</v>
      </c>
      <c r="M258" s="163">
        <f>F245</f>
        <v>0.2142857142857143</v>
      </c>
      <c r="N258" s="162"/>
      <c r="O258" s="161"/>
      <c r="P258" s="161"/>
      <c r="Q258" s="161"/>
      <c r="R258" s="161"/>
      <c r="S258" s="119"/>
      <c r="T258" s="1274"/>
      <c r="U258" s="1274"/>
      <c r="V258" s="116"/>
      <c r="W258" s="106"/>
      <c r="X258" s="124"/>
      <c r="Y258" s="124"/>
      <c r="Z258" s="106" t="s">
        <v>41</v>
      </c>
      <c r="AA258" s="1275" t="e">
        <f>INT(H258*M258)</f>
        <v>#REF!</v>
      </c>
      <c r="AB258" s="1276"/>
      <c r="AC258" s="1276"/>
      <c r="AD258" s="1277" t="s">
        <v>318</v>
      </c>
      <c r="AE258" s="1278"/>
      <c r="AK258" s="132"/>
    </row>
    <row r="259" spans="1:38" ht="6.95" customHeight="1">
      <c r="A259" s="133"/>
      <c r="AK259" s="132"/>
    </row>
    <row r="260" spans="1:38" ht="15" customHeight="1">
      <c r="A260" s="133" t="s">
        <v>328</v>
      </c>
      <c r="AK260" s="132"/>
      <c r="AL260" s="121"/>
    </row>
    <row r="261" spans="1:38" ht="15" customHeight="1">
      <c r="A261" s="134" t="s">
        <v>332</v>
      </c>
      <c r="F261" s="124" t="e">
        <f>AA251+AA252</f>
        <v>#REF!</v>
      </c>
      <c r="G261" s="106"/>
      <c r="H261" s="106"/>
      <c r="I261" s="135" t="s">
        <v>318</v>
      </c>
      <c r="K261" s="139"/>
      <c r="P261" s="124"/>
      <c r="Q261" s="106"/>
      <c r="R261" s="106"/>
      <c r="U261" s="139"/>
      <c r="Z261" s="124"/>
      <c r="AA261" s="106"/>
      <c r="AB261" s="121"/>
      <c r="AE261" s="139"/>
      <c r="AJ261" s="143"/>
      <c r="AK261" s="132"/>
      <c r="AL261" s="121"/>
    </row>
    <row r="262" spans="1:38" ht="15" customHeight="1">
      <c r="A262" s="134" t="s">
        <v>333</v>
      </c>
      <c r="F262" s="124" t="e">
        <f>AD255</f>
        <v>#REF!</v>
      </c>
      <c r="G262" s="106"/>
      <c r="H262" s="106"/>
      <c r="I262" s="135" t="s">
        <v>318</v>
      </c>
      <c r="K262" s="139"/>
      <c r="P262" s="124"/>
      <c r="Q262" s="106"/>
      <c r="R262" s="106"/>
      <c r="U262" s="139"/>
      <c r="Z262" s="124"/>
      <c r="AA262" s="106"/>
      <c r="AB262" s="121"/>
      <c r="AE262" s="139"/>
      <c r="AJ262" s="143"/>
      <c r="AK262" s="132"/>
      <c r="AL262" s="121"/>
    </row>
    <row r="263" spans="1:38" ht="15" customHeight="1">
      <c r="A263" s="133" t="s">
        <v>334</v>
      </c>
      <c r="F263" s="124" t="e">
        <f>AA258</f>
        <v>#REF!</v>
      </c>
      <c r="G263" s="106"/>
      <c r="H263" s="106"/>
      <c r="I263" s="135" t="s">
        <v>318</v>
      </c>
      <c r="P263" s="124"/>
      <c r="Q263" s="106"/>
      <c r="R263" s="106"/>
      <c r="Z263" s="124"/>
      <c r="AA263" s="106"/>
      <c r="AB263" s="121"/>
      <c r="AJ263" s="143"/>
      <c r="AK263" s="132"/>
      <c r="AL263" s="121"/>
    </row>
    <row r="264" spans="1:38" ht="15" customHeight="1">
      <c r="A264" s="134" t="s">
        <v>335</v>
      </c>
      <c r="F264" s="124" t="e">
        <f>F261+F262+F263</f>
        <v>#REF!</v>
      </c>
      <c r="G264" s="106"/>
      <c r="H264" s="106"/>
      <c r="I264" s="135" t="s">
        <v>318</v>
      </c>
      <c r="K264" s="139"/>
      <c r="P264" s="124"/>
      <c r="Q264" s="106"/>
      <c r="R264" s="106"/>
      <c r="U264" s="139"/>
      <c r="Z264" s="124"/>
      <c r="AA264" s="106"/>
      <c r="AB264" s="121"/>
      <c r="AE264" s="139"/>
      <c r="AJ264" s="143"/>
      <c r="AK264" s="132"/>
    </row>
    <row r="265" spans="1:38" ht="15" customHeight="1">
      <c r="A265" s="113"/>
      <c r="B265" s="115"/>
      <c r="C265" s="115"/>
      <c r="D265" s="115"/>
      <c r="E265" s="115"/>
      <c r="F265" s="112"/>
      <c r="G265" s="111"/>
      <c r="H265" s="111"/>
      <c r="I265" s="115"/>
      <c r="J265" s="115"/>
      <c r="K265" s="110"/>
      <c r="L265" s="115"/>
      <c r="M265" s="115"/>
      <c r="N265" s="115"/>
      <c r="O265" s="115"/>
      <c r="P265" s="112"/>
      <c r="Q265" s="111"/>
      <c r="R265" s="111"/>
      <c r="S265" s="115"/>
      <c r="T265" s="115"/>
      <c r="U265" s="110"/>
      <c r="V265" s="115"/>
      <c r="W265" s="115"/>
      <c r="X265" s="115"/>
      <c r="Y265" s="115"/>
      <c r="Z265" s="112"/>
      <c r="AA265" s="111"/>
      <c r="AB265" s="109"/>
      <c r="AC265" s="115"/>
      <c r="AD265" s="115"/>
      <c r="AE265" s="110"/>
      <c r="AF265" s="115"/>
      <c r="AG265" s="115"/>
      <c r="AH265" s="115"/>
      <c r="AI265" s="115"/>
      <c r="AJ265" s="108"/>
      <c r="AK265" s="114"/>
    </row>
    <row r="266" spans="1:38" ht="24.95" customHeight="1">
      <c r="A266" s="1160" t="s">
        <v>263</v>
      </c>
      <c r="B266" s="1161"/>
      <c r="C266" s="1161"/>
      <c r="D266" s="1161"/>
      <c r="E266" s="1161"/>
      <c r="F266" s="1161"/>
      <c r="G266" s="1161"/>
      <c r="H266" s="1161"/>
      <c r="I266" s="1161"/>
      <c r="J266" s="1161"/>
      <c r="K266" s="1161"/>
      <c r="L266" s="1161"/>
      <c r="M266" s="1161"/>
      <c r="N266" s="1161"/>
      <c r="O266" s="1161"/>
      <c r="P266" s="1161"/>
      <c r="Q266" s="1161"/>
      <c r="R266" s="1161"/>
      <c r="S266" s="1161"/>
      <c r="T266" s="1161"/>
      <c r="U266" s="1161"/>
      <c r="V266" s="1161"/>
      <c r="W266" s="1161"/>
      <c r="X266" s="1161"/>
      <c r="Y266" s="1161"/>
      <c r="Z266" s="1161"/>
      <c r="AA266" s="1161"/>
      <c r="AB266" s="1161"/>
      <c r="AC266" s="1161"/>
      <c r="AD266" s="1161"/>
      <c r="AE266" s="1161"/>
      <c r="AF266" s="1161"/>
      <c r="AG266" s="1161"/>
      <c r="AH266" s="1161"/>
      <c r="AI266" s="1161"/>
      <c r="AJ266" s="1161"/>
      <c r="AK266" s="1162"/>
    </row>
    <row r="267" spans="1:38" ht="6.95" customHeight="1">
      <c r="A267" s="133"/>
      <c r="AK267" s="132"/>
    </row>
    <row r="268" spans="1:38" ht="15" customHeight="1">
      <c r="A268" s="133" t="s">
        <v>264</v>
      </c>
      <c r="AK268" s="132"/>
    </row>
    <row r="269" spans="1:38" ht="6.95" customHeight="1">
      <c r="A269" s="133"/>
      <c r="AK269" s="132"/>
    </row>
    <row r="270" spans="1:38" ht="15" customHeight="1">
      <c r="A270" s="133" t="s">
        <v>265</v>
      </c>
      <c r="AK270" s="132"/>
    </row>
    <row r="271" spans="1:38" ht="6.95" customHeight="1">
      <c r="A271" s="131"/>
      <c r="B271" s="6"/>
      <c r="C271" s="6"/>
      <c r="D271" s="6"/>
      <c r="E271" s="130"/>
      <c r="F271" s="129"/>
      <c r="H271" s="6"/>
      <c r="I271" s="130"/>
      <c r="J271" s="129"/>
      <c r="AK271" s="132"/>
    </row>
    <row r="272" spans="1:38" ht="15" customHeight="1">
      <c r="A272" s="131" t="s">
        <v>304</v>
      </c>
      <c r="B272" s="1293" t="s">
        <v>266</v>
      </c>
      <c r="C272" s="1294"/>
      <c r="D272" s="1294"/>
      <c r="E272" s="1307"/>
      <c r="F272" s="1285"/>
      <c r="G272" s="1285"/>
      <c r="H272" s="1285"/>
      <c r="J272" s="1308" t="e">
        <f>#REF!</f>
        <v>#REF!</v>
      </c>
      <c r="K272" s="1308"/>
      <c r="L272" s="1308"/>
      <c r="M272" s="1308"/>
      <c r="O272" s="6" t="s">
        <v>279</v>
      </c>
      <c r="P272" s="1306">
        <f>(2085*0.0000001)*0.43</f>
        <v>8.9654999999999995E-5</v>
      </c>
      <c r="Q272" s="1285"/>
      <c r="R272" s="1285"/>
      <c r="S272" s="1285"/>
      <c r="T272" s="1" t="s">
        <v>41</v>
      </c>
      <c r="U272" s="1295" t="e">
        <f>J272*P272</f>
        <v>#REF!</v>
      </c>
      <c r="V272" s="1295"/>
      <c r="W272" s="1295"/>
      <c r="X272" s="1298"/>
      <c r="Y272" s="1285"/>
      <c r="Z272" s="1285"/>
      <c r="AA272" s="1285"/>
      <c r="AB272" s="157"/>
      <c r="AK272" s="132"/>
    </row>
    <row r="273" spans="1:38" ht="6.95" customHeight="1">
      <c r="A273" s="133"/>
      <c r="B273" s="6"/>
      <c r="C273" s="6"/>
      <c r="D273" s="6"/>
      <c r="E273" s="126"/>
      <c r="F273" s="129"/>
      <c r="G273" s="125"/>
      <c r="H273" s="6"/>
      <c r="I273" s="126"/>
      <c r="J273" s="129"/>
      <c r="AK273" s="132"/>
    </row>
    <row r="274" spans="1:38" ht="15" customHeight="1">
      <c r="A274" s="133" t="s">
        <v>267</v>
      </c>
      <c r="AK274" s="132"/>
    </row>
    <row r="275" spans="1:38" ht="6.95" customHeight="1">
      <c r="A275" s="131"/>
      <c r="B275" s="6"/>
      <c r="C275" s="6"/>
      <c r="D275" s="6"/>
      <c r="E275" s="130"/>
      <c r="F275" s="129"/>
      <c r="H275" s="6"/>
      <c r="I275" s="130"/>
      <c r="J275" s="129"/>
      <c r="AK275" s="132"/>
    </row>
    <row r="276" spans="1:38" ht="15" customHeight="1">
      <c r="A276" s="131" t="s">
        <v>304</v>
      </c>
      <c r="B276" s="1293" t="s">
        <v>268</v>
      </c>
      <c r="C276" s="1285"/>
      <c r="D276" s="1285"/>
      <c r="E276" s="1285"/>
      <c r="F276" s="1285"/>
      <c r="G276" s="1"/>
      <c r="H276" s="1"/>
      <c r="J276" s="6"/>
      <c r="K276" s="1308" t="e">
        <f>#REF!</f>
        <v>#REF!</v>
      </c>
      <c r="L276" s="1273"/>
      <c r="M276" s="1273"/>
      <c r="N276" s="158"/>
      <c r="O276" s="158" t="s">
        <v>279</v>
      </c>
      <c r="P276" s="158"/>
      <c r="Q276" s="1304">
        <f>(1/8)</f>
        <v>0.125</v>
      </c>
      <c r="R276" s="1304"/>
      <c r="S276" s="1304"/>
      <c r="T276" s="157" t="s">
        <v>279</v>
      </c>
      <c r="U276" s="1304">
        <f>(16/12)</f>
        <v>1.3333333333333333</v>
      </c>
      <c r="V276" s="1304"/>
      <c r="W276" s="1304"/>
      <c r="Y276" s="135" t="s">
        <v>279</v>
      </c>
      <c r="Z276" s="1289">
        <f>(25/20)</f>
        <v>1.25</v>
      </c>
      <c r="AA276" s="1289"/>
      <c r="AB276" s="142" t="s">
        <v>524</v>
      </c>
      <c r="AC276" s="1290">
        <v>0.6</v>
      </c>
      <c r="AD276" s="1290"/>
      <c r="AE276" s="135" t="s">
        <v>279</v>
      </c>
      <c r="AF276" s="135">
        <v>1</v>
      </c>
      <c r="AG276" s="135" t="s">
        <v>41</v>
      </c>
      <c r="AI276" s="1303" t="e">
        <f>INT(K276*Q276*U276*Z276*AC276*AF276)</f>
        <v>#REF!</v>
      </c>
      <c r="AJ276" s="1303"/>
      <c r="AK276" s="132"/>
    </row>
    <row r="277" spans="1:38" ht="6.95" customHeight="1">
      <c r="A277" s="131"/>
      <c r="AK277" s="132"/>
    </row>
    <row r="278" spans="1:38" ht="15" customHeight="1">
      <c r="A278" s="133" t="s">
        <v>269</v>
      </c>
      <c r="AK278" s="132"/>
    </row>
    <row r="279" spans="1:38" ht="6.95" customHeight="1">
      <c r="A279" s="131"/>
      <c r="B279" s="6"/>
      <c r="C279" s="6"/>
      <c r="D279" s="6"/>
      <c r="E279" s="130"/>
      <c r="F279" s="129"/>
      <c r="H279" s="6"/>
      <c r="I279" s="130"/>
      <c r="J279" s="129"/>
      <c r="AK279" s="132"/>
    </row>
    <row r="280" spans="1:38" ht="15" customHeight="1">
      <c r="A280" s="131" t="s">
        <v>304</v>
      </c>
      <c r="B280" s="1293" t="s">
        <v>43</v>
      </c>
      <c r="C280" s="1294"/>
      <c r="D280" s="1294"/>
      <c r="E280" s="1307"/>
      <c r="F280" s="1285"/>
      <c r="G280" s="1285"/>
      <c r="H280" s="1285"/>
      <c r="J280" s="1308" t="e">
        <f>#REF!</f>
        <v>#REF!</v>
      </c>
      <c r="K280" s="1308"/>
      <c r="L280" s="1308"/>
      <c r="M280" s="1308"/>
      <c r="O280" s="6" t="s">
        <v>279</v>
      </c>
      <c r="P280" s="1309">
        <f>9.9*0.6</f>
        <v>5.94</v>
      </c>
      <c r="Q280" s="1310"/>
      <c r="R280" s="1310"/>
      <c r="S280" s="1310"/>
      <c r="T280" s="1" t="s">
        <v>41</v>
      </c>
      <c r="U280" s="1295" t="e">
        <f>J280*P280</f>
        <v>#REF!</v>
      </c>
      <c r="V280" s="1295"/>
      <c r="W280" s="1295"/>
      <c r="X280" s="1298"/>
      <c r="Y280" s="1285"/>
      <c r="Z280" s="1285"/>
      <c r="AA280" s="1285"/>
      <c r="AB280" s="157"/>
      <c r="AK280" s="132"/>
    </row>
    <row r="281" spans="1:38" ht="15" customHeight="1">
      <c r="A281" s="131"/>
      <c r="B281" s="1293" t="s">
        <v>270</v>
      </c>
      <c r="C281" s="1294"/>
      <c r="D281" s="1294"/>
      <c r="E281" s="1285"/>
      <c r="F281" s="1285"/>
      <c r="G281" s="1285"/>
      <c r="H281" s="1285"/>
      <c r="J281" s="1308" t="e">
        <f>U280</f>
        <v>#REF!</v>
      </c>
      <c r="K281" s="1308"/>
      <c r="L281" s="1308"/>
      <c r="M281" s="1308"/>
      <c r="O281" s="6" t="s">
        <v>279</v>
      </c>
      <c r="P281" s="1314">
        <v>0.22</v>
      </c>
      <c r="Q281" s="1315"/>
      <c r="R281" s="1315"/>
      <c r="S281" s="1315"/>
      <c r="T281" s="1" t="s">
        <v>41</v>
      </c>
      <c r="U281" s="1295" t="e">
        <f>INT(J281*P281)</f>
        <v>#REF!</v>
      </c>
      <c r="V281" s="1295"/>
      <c r="W281" s="1295"/>
      <c r="AK281" s="132"/>
    </row>
    <row r="282" spans="1:38" ht="15" customHeight="1">
      <c r="A282" s="131"/>
      <c r="B282" s="6" t="s">
        <v>271</v>
      </c>
      <c r="C282" s="159"/>
      <c r="D282" s="159"/>
      <c r="E282" s="1"/>
      <c r="F282" s="1"/>
      <c r="G282" s="1"/>
      <c r="H282" s="1"/>
      <c r="J282" s="143"/>
      <c r="K282" s="1"/>
      <c r="L282" s="1"/>
      <c r="M282" s="1"/>
      <c r="O282" s="6"/>
      <c r="P282" s="144"/>
      <c r="Q282" s="160"/>
      <c r="R282" s="160"/>
      <c r="S282" s="160"/>
      <c r="T282" s="1"/>
      <c r="U282" s="1295" t="e">
        <f>U280+U281</f>
        <v>#REF!</v>
      </c>
      <c r="V282" s="1295"/>
      <c r="W282" s="1295"/>
      <c r="AK282" s="132"/>
    </row>
    <row r="283" spans="1:38" ht="15" customHeight="1">
      <c r="A283" s="133" t="s">
        <v>523</v>
      </c>
      <c r="AA283" s="123"/>
      <c r="AB283" s="123"/>
      <c r="AC283" s="123"/>
      <c r="AD283" s="139"/>
      <c r="AE283" s="139"/>
      <c r="AK283" s="132"/>
    </row>
    <row r="284" spans="1:38" ht="15" customHeight="1">
      <c r="A284" s="131"/>
      <c r="C284" s="135" t="s">
        <v>259</v>
      </c>
      <c r="H284" s="1272" t="e">
        <f>U272</f>
        <v>#REF!</v>
      </c>
      <c r="I284" s="1273"/>
      <c r="J284" s="1273"/>
      <c r="K284" s="119" t="s">
        <v>275</v>
      </c>
      <c r="L284" s="119" t="s">
        <v>317</v>
      </c>
      <c r="M284" s="163">
        <v>0.6</v>
      </c>
      <c r="N284" s="162"/>
      <c r="O284" s="161"/>
      <c r="P284" s="161"/>
      <c r="Q284" s="161"/>
      <c r="R284" s="119"/>
      <c r="S284" s="119"/>
      <c r="T284" s="1274"/>
      <c r="U284" s="1274"/>
      <c r="V284" s="116"/>
      <c r="W284" s="106"/>
      <c r="X284" s="124"/>
      <c r="Y284" s="124"/>
      <c r="Z284" s="106" t="s">
        <v>41</v>
      </c>
      <c r="AA284" s="1275" t="e">
        <f>INT(H284*M284)</f>
        <v>#REF!</v>
      </c>
      <c r="AB284" s="1276"/>
      <c r="AC284" s="1276"/>
      <c r="AD284" s="1277" t="s">
        <v>318</v>
      </c>
      <c r="AE284" s="1278"/>
      <c r="AK284" s="132"/>
    </row>
    <row r="285" spans="1:38" ht="6.95" customHeight="1">
      <c r="A285" s="131"/>
      <c r="AK285" s="132"/>
    </row>
    <row r="286" spans="1:38" ht="15" customHeight="1">
      <c r="A286" s="134" t="s">
        <v>332</v>
      </c>
      <c r="F286" s="124" t="e">
        <f>U282</f>
        <v>#REF!</v>
      </c>
      <c r="G286" s="120"/>
      <c r="H286" s="106"/>
      <c r="I286" s="135" t="s">
        <v>318</v>
      </c>
      <c r="K286" s="139"/>
      <c r="P286" s="124"/>
      <c r="Q286" s="106"/>
      <c r="R286" s="106"/>
      <c r="U286" s="139"/>
      <c r="Z286" s="124"/>
      <c r="AA286" s="106"/>
      <c r="AB286" s="121"/>
      <c r="AE286" s="139"/>
      <c r="AJ286" s="143"/>
      <c r="AK286" s="132"/>
      <c r="AL286" s="121"/>
    </row>
    <row r="287" spans="1:38" ht="15" customHeight="1">
      <c r="A287" s="134" t="s">
        <v>333</v>
      </c>
      <c r="F287" s="124" t="e">
        <f>AI276</f>
        <v>#REF!</v>
      </c>
      <c r="G287" s="106"/>
      <c r="H287" s="106"/>
      <c r="I287" s="135" t="s">
        <v>318</v>
      </c>
      <c r="K287" s="139"/>
      <c r="P287" s="124"/>
      <c r="Q287" s="106"/>
      <c r="R287" s="106"/>
      <c r="U287" s="139"/>
      <c r="Z287" s="124"/>
      <c r="AA287" s="106"/>
      <c r="AB287" s="121"/>
      <c r="AE287" s="139"/>
      <c r="AJ287" s="143"/>
      <c r="AK287" s="132"/>
      <c r="AL287" s="121"/>
    </row>
    <row r="288" spans="1:38" ht="15" customHeight="1">
      <c r="A288" s="133" t="s">
        <v>334</v>
      </c>
      <c r="F288" s="124" t="e">
        <f>AA284</f>
        <v>#REF!</v>
      </c>
      <c r="G288" s="106"/>
      <c r="H288" s="106"/>
      <c r="I288" s="135" t="s">
        <v>318</v>
      </c>
      <c r="P288" s="124"/>
      <c r="Q288" s="106"/>
      <c r="R288" s="106"/>
      <c r="Z288" s="124"/>
      <c r="AA288" s="106"/>
      <c r="AB288" s="121"/>
      <c r="AJ288" s="143"/>
      <c r="AK288" s="132"/>
      <c r="AL288" s="121"/>
    </row>
    <row r="289" spans="1:37" ht="15" customHeight="1">
      <c r="A289" s="134" t="s">
        <v>335</v>
      </c>
      <c r="F289" s="124" t="e">
        <f>F286+F287+F288</f>
        <v>#REF!</v>
      </c>
      <c r="G289" s="106"/>
      <c r="H289" s="106"/>
      <c r="I289" s="135" t="s">
        <v>318</v>
      </c>
      <c r="K289" s="139"/>
      <c r="P289" s="124"/>
      <c r="Q289" s="106"/>
      <c r="R289" s="106"/>
      <c r="U289" s="139"/>
      <c r="Z289" s="124"/>
      <c r="AA289" s="106"/>
      <c r="AB289" s="121"/>
      <c r="AE289" s="139"/>
      <c r="AJ289" s="143"/>
      <c r="AK289" s="132"/>
    </row>
    <row r="290" spans="1:37" ht="15" customHeight="1">
      <c r="A290" s="113"/>
      <c r="B290" s="115"/>
      <c r="C290" s="115"/>
      <c r="D290" s="115"/>
      <c r="E290" s="115"/>
      <c r="F290" s="112"/>
      <c r="G290" s="111"/>
      <c r="H290" s="111"/>
      <c r="I290" s="115"/>
      <c r="J290" s="115"/>
      <c r="K290" s="110"/>
      <c r="L290" s="115"/>
      <c r="M290" s="115"/>
      <c r="N290" s="115"/>
      <c r="O290" s="115"/>
      <c r="P290" s="112"/>
      <c r="Q290" s="111"/>
      <c r="R290" s="111"/>
      <c r="S290" s="115"/>
      <c r="T290" s="115"/>
      <c r="U290" s="110"/>
      <c r="V290" s="115"/>
      <c r="W290" s="115"/>
      <c r="X290" s="115"/>
      <c r="Y290" s="115"/>
      <c r="Z290" s="112"/>
      <c r="AA290" s="111"/>
      <c r="AB290" s="109"/>
      <c r="AC290" s="115"/>
      <c r="AD290" s="115"/>
      <c r="AE290" s="110"/>
      <c r="AF290" s="115"/>
      <c r="AG290" s="115"/>
      <c r="AH290" s="115"/>
      <c r="AI290" s="115"/>
      <c r="AJ290" s="108"/>
      <c r="AK290" s="114"/>
    </row>
    <row r="291" spans="1:37" ht="24.95" customHeight="1">
      <c r="A291" s="1160" t="s">
        <v>526</v>
      </c>
      <c r="B291" s="1161"/>
      <c r="C291" s="1161"/>
      <c r="D291" s="1161"/>
      <c r="E291" s="1161"/>
      <c r="F291" s="1161"/>
      <c r="G291" s="1161"/>
      <c r="H291" s="1161"/>
      <c r="I291" s="1161"/>
      <c r="J291" s="1161"/>
      <c r="K291" s="1161"/>
      <c r="L291" s="1161"/>
      <c r="M291" s="1161"/>
      <c r="N291" s="1161"/>
      <c r="O291" s="1161"/>
      <c r="P291" s="1161"/>
      <c r="Q291" s="1161"/>
      <c r="R291" s="1161"/>
      <c r="S291" s="1161"/>
      <c r="T291" s="1161"/>
      <c r="U291" s="1161"/>
      <c r="V291" s="1161"/>
      <c r="W291" s="1161"/>
      <c r="X291" s="1161"/>
      <c r="Y291" s="1161"/>
      <c r="Z291" s="1161"/>
      <c r="AA291" s="1161"/>
      <c r="AB291" s="1161"/>
      <c r="AC291" s="1161"/>
      <c r="AD291" s="1161"/>
      <c r="AE291" s="1161"/>
      <c r="AF291" s="1161"/>
      <c r="AG291" s="1161"/>
      <c r="AH291" s="1161"/>
      <c r="AI291" s="1161"/>
      <c r="AJ291" s="1161"/>
      <c r="AK291" s="1162"/>
    </row>
    <row r="292" spans="1:37" ht="6.95" customHeight="1">
      <c r="A292" s="133"/>
      <c r="AK292" s="132"/>
    </row>
    <row r="293" spans="1:37" ht="15" customHeight="1">
      <c r="A293" s="133" t="s">
        <v>273</v>
      </c>
      <c r="AK293" s="132"/>
    </row>
    <row r="294" spans="1:37" ht="6.95" customHeight="1">
      <c r="A294" s="133"/>
      <c r="AK294" s="132"/>
    </row>
    <row r="295" spans="1:37" ht="15" customHeight="1">
      <c r="A295" s="133" t="s">
        <v>302</v>
      </c>
      <c r="AK295" s="132"/>
    </row>
    <row r="296" spans="1:37" ht="15" customHeight="1">
      <c r="A296" s="131"/>
      <c r="B296" s="6"/>
      <c r="C296" s="6"/>
      <c r="D296" s="6"/>
      <c r="E296" s="130" t="s">
        <v>303</v>
      </c>
      <c r="F296" s="129"/>
      <c r="H296" s="6"/>
      <c r="I296" s="130">
        <v>139</v>
      </c>
      <c r="J296" s="129"/>
      <c r="AK296" s="132"/>
    </row>
    <row r="297" spans="1:37" ht="15" customHeight="1">
      <c r="A297" s="131" t="s">
        <v>304</v>
      </c>
      <c r="B297" s="6"/>
      <c r="C297" s="6"/>
      <c r="D297" s="6"/>
      <c r="F297" s="6"/>
      <c r="G297" s="128" t="s">
        <v>305</v>
      </c>
      <c r="H297" s="6"/>
      <c r="J297" s="6"/>
      <c r="K297" s="135" t="s">
        <v>306</v>
      </c>
      <c r="L297" s="127">
        <f>I296/I298</f>
        <v>198.57142857142858</v>
      </c>
      <c r="M297" s="106"/>
      <c r="O297" s="135" t="s">
        <v>307</v>
      </c>
      <c r="AK297" s="132"/>
    </row>
    <row r="298" spans="1:37" ht="15" customHeight="1">
      <c r="A298" s="133"/>
      <c r="B298" s="6"/>
      <c r="C298" s="6"/>
      <c r="D298" s="6"/>
      <c r="E298" s="126" t="s">
        <v>308</v>
      </c>
      <c r="F298" s="129"/>
      <c r="G298" s="125"/>
      <c r="H298" s="6"/>
      <c r="I298" s="126">
        <v>0.7</v>
      </c>
      <c r="J298" s="129"/>
      <c r="AK298" s="132"/>
    </row>
    <row r="299" spans="1:37" ht="15" customHeight="1">
      <c r="A299" s="131" t="s">
        <v>309</v>
      </c>
      <c r="B299" s="135" t="s">
        <v>261</v>
      </c>
      <c r="R299" s="1291">
        <f>L297</f>
        <v>198.57142857142858</v>
      </c>
      <c r="S299" s="1285"/>
      <c r="AK299" s="132"/>
    </row>
    <row r="300" spans="1:37" ht="15" customHeight="1">
      <c r="A300" s="131" t="s">
        <v>311</v>
      </c>
      <c r="B300" s="135" t="s">
        <v>274</v>
      </c>
      <c r="AK300" s="132"/>
    </row>
    <row r="301" spans="1:37" ht="15" customHeight="1">
      <c r="A301" s="131" t="s">
        <v>313</v>
      </c>
      <c r="B301" s="135" t="s">
        <v>314</v>
      </c>
      <c r="AK301" s="132"/>
    </row>
    <row r="302" spans="1:37" ht="15" customHeight="1">
      <c r="A302" s="131"/>
      <c r="B302" s="135" t="s">
        <v>253</v>
      </c>
      <c r="F302" s="1292">
        <f>R299/60</f>
        <v>3.3095238095238098</v>
      </c>
      <c r="G302" s="1292"/>
      <c r="H302" s="1285"/>
      <c r="AK302" s="132"/>
    </row>
    <row r="303" spans="1:37" ht="6.95" customHeight="1">
      <c r="A303" s="133"/>
      <c r="AK303" s="132"/>
    </row>
    <row r="304" spans="1:37" ht="15" customHeight="1">
      <c r="A304" s="133" t="s">
        <v>315</v>
      </c>
      <c r="AK304" s="132"/>
    </row>
    <row r="305" spans="1:38" ht="15" customHeight="1">
      <c r="A305" s="131"/>
      <c r="C305" s="1279" t="e">
        <f>#REF!</f>
        <v>#REF!</v>
      </c>
      <c r="D305" s="1279"/>
      <c r="E305" s="1279"/>
      <c r="F305" s="1279"/>
      <c r="G305" s="128" t="s">
        <v>316</v>
      </c>
      <c r="I305" s="135" t="s">
        <v>317</v>
      </c>
      <c r="J305" s="1280">
        <f>(2598/10000000)</f>
        <v>2.5980000000000003E-4</v>
      </c>
      <c r="K305" s="1280"/>
      <c r="L305" s="1280"/>
      <c r="M305" s="1280"/>
      <c r="N305" s="124"/>
      <c r="O305" s="124"/>
      <c r="P305" s="124"/>
      <c r="S305" s="155"/>
      <c r="T305" s="155"/>
      <c r="U305" s="155"/>
      <c r="V305" s="155"/>
      <c r="W305" s="124"/>
      <c r="X305" s="106"/>
      <c r="Y305" s="106"/>
      <c r="Z305" s="135" t="s">
        <v>41</v>
      </c>
      <c r="AA305" s="1275" t="e">
        <f>INT(C305*J305)</f>
        <v>#REF!</v>
      </c>
      <c r="AB305" s="1281"/>
      <c r="AC305" s="1281"/>
      <c r="AD305" s="1277" t="s">
        <v>275</v>
      </c>
      <c r="AE305" s="1277"/>
      <c r="AK305" s="132"/>
    </row>
    <row r="306" spans="1:38" ht="6.95" customHeight="1">
      <c r="A306" s="133"/>
      <c r="AA306" s="123"/>
      <c r="AB306" s="123"/>
      <c r="AC306" s="123"/>
      <c r="AD306" s="139"/>
      <c r="AE306" s="139"/>
      <c r="AK306" s="132"/>
    </row>
    <row r="307" spans="1:38" ht="15" customHeight="1">
      <c r="A307" s="133" t="s">
        <v>254</v>
      </c>
      <c r="G307" s="139"/>
      <c r="AA307" s="123"/>
      <c r="AB307" s="123"/>
      <c r="AC307" s="123"/>
      <c r="AD307" s="139"/>
      <c r="AE307" s="139"/>
      <c r="AK307" s="132"/>
    </row>
    <row r="308" spans="1:38" ht="15" customHeight="1">
      <c r="A308" s="122"/>
      <c r="C308" s="139" t="s">
        <v>319</v>
      </c>
      <c r="H308" s="121">
        <v>5.0999999999999996</v>
      </c>
      <c r="I308" s="106"/>
      <c r="J308" s="139" t="s">
        <v>320</v>
      </c>
      <c r="M308" s="135" t="s">
        <v>317</v>
      </c>
      <c r="N308" s="1279" t="e">
        <f>#REF!</f>
        <v>#REF!</v>
      </c>
      <c r="O308" s="1279"/>
      <c r="P308" s="139" t="s">
        <v>255</v>
      </c>
      <c r="S308" s="135" t="s">
        <v>317</v>
      </c>
      <c r="T308" s="1282">
        <f>F302</f>
        <v>3.3095238095238098</v>
      </c>
      <c r="U308" s="1283"/>
      <c r="Z308" s="135" t="s">
        <v>41</v>
      </c>
      <c r="AA308" s="1284" t="e">
        <f>INT(H308*N308*T308)</f>
        <v>#REF!</v>
      </c>
      <c r="AB308" s="1281"/>
      <c r="AC308" s="1281"/>
      <c r="AD308" s="1277" t="s">
        <v>318</v>
      </c>
      <c r="AE308" s="1277"/>
      <c r="AK308" s="132"/>
    </row>
    <row r="309" spans="1:38" ht="15" customHeight="1">
      <c r="A309" s="122"/>
      <c r="C309" s="139" t="s">
        <v>321</v>
      </c>
      <c r="H309" s="135" t="s">
        <v>322</v>
      </c>
      <c r="K309" s="135">
        <v>20</v>
      </c>
      <c r="L309" s="139" t="s">
        <v>250</v>
      </c>
      <c r="M309" s="135" t="s">
        <v>306</v>
      </c>
      <c r="N309" s="1279" t="e">
        <f>AA308</f>
        <v>#REF!</v>
      </c>
      <c r="O309" s="1279"/>
      <c r="P309" s="135" t="s">
        <v>318</v>
      </c>
      <c r="R309" s="135" t="s">
        <v>317</v>
      </c>
      <c r="S309" s="106">
        <f>K309/100</f>
        <v>0.2</v>
      </c>
      <c r="T309" s="106"/>
      <c r="U309" s="135" t="s">
        <v>317</v>
      </c>
      <c r="V309" s="1282">
        <f>F302</f>
        <v>3.3095238095238098</v>
      </c>
      <c r="W309" s="1283"/>
      <c r="X309" s="1285"/>
      <c r="Z309" s="135" t="s">
        <v>41</v>
      </c>
      <c r="AA309" s="1286" t="e">
        <f>INT(N309*S309*V309)</f>
        <v>#REF!</v>
      </c>
      <c r="AB309" s="1286"/>
      <c r="AC309" s="1286"/>
      <c r="AD309" s="1277" t="s">
        <v>318</v>
      </c>
      <c r="AE309" s="1277"/>
      <c r="AK309" s="132"/>
    </row>
    <row r="310" spans="1:38" ht="6.95" customHeight="1">
      <c r="A310" s="133"/>
      <c r="C310" s="139"/>
      <c r="AA310" s="123"/>
      <c r="AB310" s="123"/>
      <c r="AC310" s="123"/>
      <c r="AD310" s="139"/>
      <c r="AE310" s="139"/>
      <c r="AK310" s="132"/>
    </row>
    <row r="311" spans="1:38" ht="15" customHeight="1">
      <c r="A311" s="133" t="s">
        <v>256</v>
      </c>
      <c r="AA311" s="123"/>
      <c r="AB311" s="123"/>
      <c r="AC311" s="123"/>
      <c r="AD311" s="139"/>
      <c r="AE311" s="139"/>
      <c r="AK311" s="132"/>
    </row>
    <row r="312" spans="1:38" ht="15" customHeight="1">
      <c r="A312" s="131"/>
      <c r="C312" s="135" t="s">
        <v>257</v>
      </c>
      <c r="H312" s="120">
        <v>1</v>
      </c>
      <c r="I312" s="119" t="s">
        <v>323</v>
      </c>
      <c r="J312" s="119"/>
      <c r="K312" s="119"/>
      <c r="L312" s="119" t="s">
        <v>317</v>
      </c>
      <c r="M312" s="119">
        <f>(1/8)</f>
        <v>0.125</v>
      </c>
      <c r="N312" s="118"/>
      <c r="O312" s="119"/>
      <c r="P312" s="119" t="s">
        <v>317</v>
      </c>
      <c r="Q312" s="119">
        <f>(16/12)</f>
        <v>1.3333333333333333</v>
      </c>
      <c r="R312" s="119"/>
      <c r="S312" s="119" t="s">
        <v>317</v>
      </c>
      <c r="T312" s="1274">
        <f>(25/20)</f>
        <v>1.25</v>
      </c>
      <c r="U312" s="1274"/>
      <c r="V312" s="106" t="s">
        <v>317</v>
      </c>
      <c r="W312" s="1279" t="e">
        <f>#REF!</f>
        <v>#REF!</v>
      </c>
      <c r="X312" s="1279"/>
      <c r="Y312" s="1279"/>
      <c r="Z312" s="106" t="s">
        <v>317</v>
      </c>
      <c r="AA312" s="1287">
        <f>F302</f>
        <v>3.3095238095238098</v>
      </c>
      <c r="AB312" s="1287"/>
      <c r="AC312" s="156" t="s">
        <v>41</v>
      </c>
      <c r="AD312" s="1288" t="e">
        <f>INT(H312*M312*Q312*T312*W312*AA312)</f>
        <v>#REF!</v>
      </c>
      <c r="AE312" s="1288"/>
      <c r="AF312" s="1288"/>
      <c r="AG312" s="1277" t="s">
        <v>275</v>
      </c>
      <c r="AH312" s="1278"/>
      <c r="AK312" s="132"/>
    </row>
    <row r="313" spans="1:38" ht="6.95" customHeight="1">
      <c r="A313" s="131"/>
      <c r="H313" s="106"/>
      <c r="I313" s="106"/>
      <c r="J313" s="106"/>
      <c r="K313" s="106"/>
      <c r="L313" s="106"/>
      <c r="M313" s="106"/>
      <c r="N313" s="117"/>
      <c r="O313" s="106"/>
      <c r="P313" s="106"/>
      <c r="Q313" s="127"/>
      <c r="R313" s="106"/>
      <c r="S313" s="106"/>
      <c r="T313" s="106"/>
      <c r="U313" s="106"/>
      <c r="V313" s="124"/>
      <c r="W313" s="106"/>
      <c r="X313" s="106"/>
      <c r="Y313" s="106"/>
      <c r="Z313" s="106"/>
      <c r="AB313" s="124"/>
      <c r="AC313" s="124"/>
      <c r="AD313" s="106"/>
      <c r="AE313" s="106"/>
      <c r="AK313" s="132"/>
    </row>
    <row r="314" spans="1:38" ht="15" customHeight="1">
      <c r="A314" s="133" t="s">
        <v>258</v>
      </c>
      <c r="AA314" s="123"/>
      <c r="AB314" s="123"/>
      <c r="AC314" s="123"/>
      <c r="AD314" s="139"/>
      <c r="AE314" s="139"/>
      <c r="AK314" s="132"/>
    </row>
    <row r="315" spans="1:38" ht="15" customHeight="1">
      <c r="A315" s="131"/>
      <c r="C315" s="135" t="s">
        <v>259</v>
      </c>
      <c r="H315" s="1272" t="e">
        <f>AA305</f>
        <v>#REF!</v>
      </c>
      <c r="I315" s="1273"/>
      <c r="J315" s="1273"/>
      <c r="K315" s="119" t="s">
        <v>275</v>
      </c>
      <c r="L315" s="119" t="s">
        <v>317</v>
      </c>
      <c r="M315" s="163">
        <f>F302</f>
        <v>3.3095238095238098</v>
      </c>
      <c r="N315" s="162"/>
      <c r="O315" s="161"/>
      <c r="P315" s="161"/>
      <c r="Q315" s="161"/>
      <c r="R315" s="119"/>
      <c r="S315" s="119"/>
      <c r="T315" s="1274"/>
      <c r="U315" s="1274"/>
      <c r="V315" s="116"/>
      <c r="W315" s="106"/>
      <c r="X315" s="124"/>
      <c r="Y315" s="124"/>
      <c r="Z315" s="106" t="s">
        <v>41</v>
      </c>
      <c r="AA315" s="1275" t="e">
        <f>INT(H315*M315)</f>
        <v>#REF!</v>
      </c>
      <c r="AB315" s="1276"/>
      <c r="AC315" s="1276"/>
      <c r="AD315" s="1277" t="s">
        <v>318</v>
      </c>
      <c r="AE315" s="1278"/>
      <c r="AK315" s="132"/>
    </row>
    <row r="316" spans="1:38" ht="6.95" customHeight="1">
      <c r="A316" s="133"/>
      <c r="AK316" s="132"/>
    </row>
    <row r="317" spans="1:38" ht="15" customHeight="1">
      <c r="A317" s="133" t="s">
        <v>328</v>
      </c>
      <c r="AK317" s="132"/>
      <c r="AL317" s="121"/>
    </row>
    <row r="318" spans="1:38" ht="15" customHeight="1">
      <c r="A318" s="134" t="s">
        <v>332</v>
      </c>
      <c r="F318" s="124" t="e">
        <f>AA308+AA309</f>
        <v>#REF!</v>
      </c>
      <c r="G318" s="106"/>
      <c r="H318" s="106"/>
      <c r="I318" s="135" t="s">
        <v>318</v>
      </c>
      <c r="K318" s="139"/>
      <c r="P318" s="124"/>
      <c r="Q318" s="106"/>
      <c r="R318" s="106"/>
      <c r="U318" s="139"/>
      <c r="Z318" s="124"/>
      <c r="AA318" s="106"/>
      <c r="AB318" s="121"/>
      <c r="AE318" s="139"/>
      <c r="AJ318" s="143"/>
      <c r="AK318" s="132"/>
      <c r="AL318" s="121"/>
    </row>
    <row r="319" spans="1:38" ht="15" customHeight="1">
      <c r="A319" s="134" t="s">
        <v>333</v>
      </c>
      <c r="F319" s="124" t="e">
        <f>AD312</f>
        <v>#REF!</v>
      </c>
      <c r="G319" s="106"/>
      <c r="H319" s="106"/>
      <c r="I319" s="135" t="s">
        <v>318</v>
      </c>
      <c r="K319" s="139"/>
      <c r="P319" s="124"/>
      <c r="Q319" s="106"/>
      <c r="R319" s="106"/>
      <c r="U319" s="139"/>
      <c r="Z319" s="124"/>
      <c r="AA319" s="106"/>
      <c r="AB319" s="121"/>
      <c r="AE319" s="139"/>
      <c r="AJ319" s="143"/>
      <c r="AK319" s="132"/>
      <c r="AL319" s="121"/>
    </row>
    <row r="320" spans="1:38" ht="15" customHeight="1">
      <c r="A320" s="133" t="s">
        <v>334</v>
      </c>
      <c r="F320" s="124" t="e">
        <f>AA315</f>
        <v>#REF!</v>
      </c>
      <c r="G320" s="106"/>
      <c r="H320" s="106"/>
      <c r="I320" s="135" t="s">
        <v>318</v>
      </c>
      <c r="P320" s="124"/>
      <c r="Q320" s="106"/>
      <c r="R320" s="106"/>
      <c r="Z320" s="124"/>
      <c r="AA320" s="106"/>
      <c r="AB320" s="121"/>
      <c r="AJ320" s="143"/>
      <c r="AK320" s="132"/>
      <c r="AL320" s="121"/>
    </row>
    <row r="321" spans="1:37" ht="15" customHeight="1">
      <c r="A321" s="134" t="s">
        <v>335</v>
      </c>
      <c r="F321" s="124" t="e">
        <f>F318+F319+F320</f>
        <v>#REF!</v>
      </c>
      <c r="G321" s="106"/>
      <c r="H321" s="106"/>
      <c r="I321" s="135" t="s">
        <v>318</v>
      </c>
      <c r="K321" s="139"/>
      <c r="P321" s="124"/>
      <c r="Q321" s="106"/>
      <c r="R321" s="106"/>
      <c r="U321" s="139"/>
      <c r="Z321" s="124"/>
      <c r="AA321" s="106"/>
      <c r="AB321" s="121"/>
      <c r="AE321" s="139"/>
      <c r="AJ321" s="143"/>
      <c r="AK321" s="132"/>
    </row>
    <row r="322" spans="1:37" ht="15" customHeight="1">
      <c r="A322" s="113"/>
      <c r="B322" s="115"/>
      <c r="C322" s="115"/>
      <c r="D322" s="115"/>
      <c r="E322" s="115"/>
      <c r="F322" s="112"/>
      <c r="G322" s="111"/>
      <c r="H322" s="111"/>
      <c r="I322" s="115"/>
      <c r="J322" s="115"/>
      <c r="K322" s="110"/>
      <c r="L322" s="115"/>
      <c r="M322" s="115"/>
      <c r="N322" s="115"/>
      <c r="O322" s="115"/>
      <c r="P322" s="112"/>
      <c r="Q322" s="111"/>
      <c r="R322" s="111"/>
      <c r="S322" s="115"/>
      <c r="T322" s="115"/>
      <c r="U322" s="110"/>
      <c r="V322" s="115"/>
      <c r="W322" s="115"/>
      <c r="X322" s="115"/>
      <c r="Y322" s="115"/>
      <c r="Z322" s="112"/>
      <c r="AA322" s="111"/>
      <c r="AB322" s="109"/>
      <c r="AC322" s="115"/>
      <c r="AD322" s="115"/>
      <c r="AE322" s="110"/>
      <c r="AF322" s="115"/>
      <c r="AG322" s="115"/>
      <c r="AH322" s="115"/>
      <c r="AI322" s="115"/>
      <c r="AJ322" s="108"/>
      <c r="AK322" s="114"/>
    </row>
  </sheetData>
  <mergeCells count="252">
    <mergeCell ref="AG312:AH312"/>
    <mergeCell ref="J184:M184"/>
    <mergeCell ref="H162:J162"/>
    <mergeCell ref="AD152:AE152"/>
    <mergeCell ref="N155:O155"/>
    <mergeCell ref="U282:W282"/>
    <mergeCell ref="J281:M281"/>
    <mergeCell ref="P281:S281"/>
    <mergeCell ref="AA124:AC124"/>
    <mergeCell ref="AD124:AE124"/>
    <mergeCell ref="AD127:AF127"/>
    <mergeCell ref="F245:H245"/>
    <mergeCell ref="J248:M248"/>
    <mergeCell ref="N251:O251"/>
    <mergeCell ref="H226:J226"/>
    <mergeCell ref="T255:U255"/>
    <mergeCell ref="B276:F276"/>
    <mergeCell ref="K276:M276"/>
    <mergeCell ref="E272:H272"/>
    <mergeCell ref="F149:G149"/>
    <mergeCell ref="T159:U159"/>
    <mergeCell ref="F213:H213"/>
    <mergeCell ref="H194:J194"/>
    <mergeCell ref="T194:U194"/>
    <mergeCell ref="AG92:AH92"/>
    <mergeCell ref="T57:U57"/>
    <mergeCell ref="AA88:AC88"/>
    <mergeCell ref="O15:R15"/>
    <mergeCell ref="H25:J25"/>
    <mergeCell ref="H258:J258"/>
    <mergeCell ref="T258:U258"/>
    <mergeCell ref="AA258:AC258"/>
    <mergeCell ref="AD258:AE258"/>
    <mergeCell ref="AD255:AF255"/>
    <mergeCell ref="T162:U162"/>
    <mergeCell ref="AA159:AB159"/>
    <mergeCell ref="AD159:AF159"/>
    <mergeCell ref="Q178:R178"/>
    <mergeCell ref="P179:Q179"/>
    <mergeCell ref="AG255:AH255"/>
    <mergeCell ref="AG22:AH22"/>
    <mergeCell ref="AG57:AH57"/>
    <mergeCell ref="AD248:AE248"/>
    <mergeCell ref="AD88:AE88"/>
    <mergeCell ref="AD85:AE85"/>
    <mergeCell ref="J120:M120"/>
    <mergeCell ref="N123:O123"/>
    <mergeCell ref="T95:U95"/>
    <mergeCell ref="O10:P10"/>
    <mergeCell ref="R44:S44"/>
    <mergeCell ref="R79:S79"/>
    <mergeCell ref="J50:M50"/>
    <mergeCell ref="H60:J60"/>
    <mergeCell ref="AD156:AE156"/>
    <mergeCell ref="V156:W156"/>
    <mergeCell ref="AD95:AE95"/>
    <mergeCell ref="AA120:AC120"/>
    <mergeCell ref="AD120:AE120"/>
    <mergeCell ref="AD22:AF22"/>
    <mergeCell ref="P147:Q147"/>
    <mergeCell ref="H95:J95"/>
    <mergeCell ref="N18:O18"/>
    <mergeCell ref="Q146:R146"/>
    <mergeCell ref="AA155:AC155"/>
    <mergeCell ref="AD155:AE155"/>
    <mergeCell ref="AA156:AC156"/>
    <mergeCell ref="N53:O53"/>
    <mergeCell ref="H130:J130"/>
    <mergeCell ref="T130:U130"/>
    <mergeCell ref="J152:M152"/>
    <mergeCell ref="AD130:AE130"/>
    <mergeCell ref="V124:W124"/>
    <mergeCell ref="R9:S9"/>
    <mergeCell ref="AD60:AE60"/>
    <mergeCell ref="AA54:AC54"/>
    <mergeCell ref="AD54:AE54"/>
    <mergeCell ref="T22:U22"/>
    <mergeCell ref="AD92:AF92"/>
    <mergeCell ref="AD15:AE15"/>
    <mergeCell ref="AA53:AC53"/>
    <mergeCell ref="AD53:AE53"/>
    <mergeCell ref="V54:W54"/>
    <mergeCell ref="AD18:AE18"/>
    <mergeCell ref="AD19:AE19"/>
    <mergeCell ref="AA18:AC18"/>
    <mergeCell ref="AA19:AC19"/>
    <mergeCell ref="T53:U53"/>
    <mergeCell ref="T60:U60"/>
    <mergeCell ref="AD25:AE25"/>
    <mergeCell ref="AD50:AE50"/>
    <mergeCell ref="AD89:AE89"/>
    <mergeCell ref="AA57:AB57"/>
    <mergeCell ref="AD57:AF57"/>
    <mergeCell ref="F12:G12"/>
    <mergeCell ref="AA22:AB22"/>
    <mergeCell ref="T18:U18"/>
    <mergeCell ref="V19:W19"/>
    <mergeCell ref="F47:G47"/>
    <mergeCell ref="J15:M15"/>
    <mergeCell ref="AA15:AC15"/>
    <mergeCell ref="F117:G117"/>
    <mergeCell ref="T88:U88"/>
    <mergeCell ref="T92:U92"/>
    <mergeCell ref="Q114:R114"/>
    <mergeCell ref="N88:O88"/>
    <mergeCell ref="V89:W89"/>
    <mergeCell ref="F82:G82"/>
    <mergeCell ref="J85:M85"/>
    <mergeCell ref="P115:Q115"/>
    <mergeCell ref="AA50:AC50"/>
    <mergeCell ref="AA25:AC25"/>
    <mergeCell ref="AA85:AC85"/>
    <mergeCell ref="AA60:AC60"/>
    <mergeCell ref="T25:U25"/>
    <mergeCell ref="AA92:AB92"/>
    <mergeCell ref="AA89:AC89"/>
    <mergeCell ref="AA95:AC95"/>
    <mergeCell ref="C184:F184"/>
    <mergeCell ref="F181:G181"/>
    <mergeCell ref="B272:D272"/>
    <mergeCell ref="Q276:S276"/>
    <mergeCell ref="P272:S272"/>
    <mergeCell ref="U272:W272"/>
    <mergeCell ref="B280:D280"/>
    <mergeCell ref="E280:H280"/>
    <mergeCell ref="J280:M280"/>
    <mergeCell ref="P280:S280"/>
    <mergeCell ref="U280:W280"/>
    <mergeCell ref="J272:M272"/>
    <mergeCell ref="N219:O219"/>
    <mergeCell ref="T219:U219"/>
    <mergeCell ref="N187:O187"/>
    <mergeCell ref="T187:U187"/>
    <mergeCell ref="J216:M216"/>
    <mergeCell ref="R242:S242"/>
    <mergeCell ref="T251:U251"/>
    <mergeCell ref="T223:U223"/>
    <mergeCell ref="T226:U226"/>
    <mergeCell ref="R210:S210"/>
    <mergeCell ref="N220:O220"/>
    <mergeCell ref="AD188:AE188"/>
    <mergeCell ref="AG159:AH159"/>
    <mergeCell ref="AA184:AC184"/>
    <mergeCell ref="AD184:AE184"/>
    <mergeCell ref="AA162:AC162"/>
    <mergeCell ref="AD162:AE162"/>
    <mergeCell ref="AI276:AJ276"/>
    <mergeCell ref="U276:W276"/>
    <mergeCell ref="AA188:AC188"/>
    <mergeCell ref="V188:W188"/>
    <mergeCell ref="AA187:AC187"/>
    <mergeCell ref="AD187:AE187"/>
    <mergeCell ref="AG191:AH191"/>
    <mergeCell ref="AA216:AC216"/>
    <mergeCell ref="AD216:AE216"/>
    <mergeCell ref="AD220:AE220"/>
    <mergeCell ref="AA194:AC194"/>
    <mergeCell ref="AA191:AB191"/>
    <mergeCell ref="AD191:AF191"/>
    <mergeCell ref="AD194:AE194"/>
    <mergeCell ref="AA219:AC219"/>
    <mergeCell ref="AD219:AE219"/>
    <mergeCell ref="AD251:AE251"/>
    <mergeCell ref="AG223:AH223"/>
    <mergeCell ref="T155:U155"/>
    <mergeCell ref="X280:AA280"/>
    <mergeCell ref="V220:X220"/>
    <mergeCell ref="X272:AA272"/>
    <mergeCell ref="AA220:AC220"/>
    <mergeCell ref="AA251:AC251"/>
    <mergeCell ref="AA255:AB255"/>
    <mergeCell ref="AG127:AH127"/>
    <mergeCell ref="AD123:AE123"/>
    <mergeCell ref="T191:U191"/>
    <mergeCell ref="T123:U123"/>
    <mergeCell ref="AA152:AC152"/>
    <mergeCell ref="AA127:AB127"/>
    <mergeCell ref="AA130:AC130"/>
    <mergeCell ref="AA123:AC123"/>
    <mergeCell ref="T127:U127"/>
    <mergeCell ref="AA248:AC248"/>
    <mergeCell ref="AD226:AE226"/>
    <mergeCell ref="AA223:AB223"/>
    <mergeCell ref="AD223:AF223"/>
    <mergeCell ref="AA226:AC226"/>
    <mergeCell ref="AA252:AC252"/>
    <mergeCell ref="V252:X252"/>
    <mergeCell ref="AD252:AE252"/>
    <mergeCell ref="N19:O19"/>
    <mergeCell ref="W22:Y22"/>
    <mergeCell ref="N28:P28"/>
    <mergeCell ref="C50:F50"/>
    <mergeCell ref="N54:O54"/>
    <mergeCell ref="W57:Y57"/>
    <mergeCell ref="N63:P63"/>
    <mergeCell ref="C85:F85"/>
    <mergeCell ref="N89:O89"/>
    <mergeCell ref="A1:AK1"/>
    <mergeCell ref="A36:AK36"/>
    <mergeCell ref="A71:AK71"/>
    <mergeCell ref="A106:AK106"/>
    <mergeCell ref="A138:AK138"/>
    <mergeCell ref="A170:AK170"/>
    <mergeCell ref="A202:AK202"/>
    <mergeCell ref="A234:AK234"/>
    <mergeCell ref="A266:AK266"/>
    <mergeCell ref="W223:Y223"/>
    <mergeCell ref="C216:F216"/>
    <mergeCell ref="N252:O252"/>
    <mergeCell ref="W255:Y255"/>
    <mergeCell ref="C248:F248"/>
    <mergeCell ref="W92:Y92"/>
    <mergeCell ref="N98:P98"/>
    <mergeCell ref="C120:F120"/>
    <mergeCell ref="N124:O124"/>
    <mergeCell ref="W127:Y127"/>
    <mergeCell ref="C152:F152"/>
    <mergeCell ref="N156:O156"/>
    <mergeCell ref="W159:Y159"/>
    <mergeCell ref="W191:Y191"/>
    <mergeCell ref="N188:O188"/>
    <mergeCell ref="H284:J284"/>
    <mergeCell ref="T284:U284"/>
    <mergeCell ref="AA284:AC284"/>
    <mergeCell ref="AD284:AE284"/>
    <mergeCell ref="Z276:AA276"/>
    <mergeCell ref="AC276:AD276"/>
    <mergeCell ref="A291:AK291"/>
    <mergeCell ref="R299:S299"/>
    <mergeCell ref="F302:H302"/>
    <mergeCell ref="B281:H281"/>
    <mergeCell ref="U281:W281"/>
    <mergeCell ref="H315:J315"/>
    <mergeCell ref="T315:U315"/>
    <mergeCell ref="AA315:AC315"/>
    <mergeCell ref="AD315:AE315"/>
    <mergeCell ref="C305:F305"/>
    <mergeCell ref="J305:M305"/>
    <mergeCell ref="AA305:AC305"/>
    <mergeCell ref="AD305:AE305"/>
    <mergeCell ref="N308:O308"/>
    <mergeCell ref="T308:U308"/>
    <mergeCell ref="AA308:AC308"/>
    <mergeCell ref="AD308:AE308"/>
    <mergeCell ref="N309:O309"/>
    <mergeCell ref="V309:X309"/>
    <mergeCell ref="AA309:AC309"/>
    <mergeCell ref="AD309:AE309"/>
    <mergeCell ref="T312:U312"/>
    <mergeCell ref="W312:Y312"/>
    <mergeCell ref="AA312:AB312"/>
    <mergeCell ref="AD312:AF312"/>
  </mergeCells>
  <phoneticPr fontId="3" type="noConversion"/>
  <printOptions horizontalCentered="1"/>
  <pageMargins left="0.59055118110236227" right="0.59055118110236227" top="0.9055118110236221" bottom="0.59055118110236227" header="0.31496062992125984" footer="0.31496062992125984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/>
    <pageSetUpPr fitToPage="1"/>
  </sheetPr>
  <dimension ref="A1:Z4151"/>
  <sheetViews>
    <sheetView view="pageBreakPreview" zoomScale="115" zoomScaleNormal="100" zoomScaleSheetLayoutView="115" workbookViewId="0">
      <pane ySplit="2" topLeftCell="A579" activePane="bottomLeft" state="frozen"/>
      <selection activeCell="CW139" sqref="CW139"/>
      <selection pane="bottomLeft" activeCell="D12" sqref="D12:E12"/>
    </sheetView>
  </sheetViews>
  <sheetFormatPr defaultColWidth="8.88671875" defaultRowHeight="17.100000000000001" customHeight="1"/>
  <cols>
    <col min="1" max="1" width="7.21875" style="828" customWidth="1"/>
    <col min="2" max="2" width="6.33203125" style="828" customWidth="1"/>
    <col min="3" max="3" width="7.21875" style="828" customWidth="1"/>
    <col min="4" max="4" width="6.33203125" style="828" customWidth="1"/>
    <col min="5" max="5" width="7.44140625" style="828" customWidth="1"/>
    <col min="6" max="6" width="3.77734375" style="828" customWidth="1"/>
    <col min="7" max="7" width="7.77734375" style="828" customWidth="1"/>
    <col min="8" max="8" width="8.77734375" style="828" customWidth="1"/>
    <col min="9" max="9" width="7.77734375" style="828" customWidth="1"/>
    <col min="10" max="10" width="8.77734375" style="828" customWidth="1"/>
    <col min="11" max="11" width="7.77734375" style="828" customWidth="1"/>
    <col min="12" max="12" width="8.77734375" style="828" customWidth="1"/>
    <col min="13" max="13" width="7.77734375" style="828" customWidth="1"/>
    <col min="14" max="14" width="8.77734375" style="828" customWidth="1"/>
    <col min="15" max="15" width="7.5546875" style="894" customWidth="1"/>
    <col min="16" max="16" width="8.88671875" style="828"/>
    <col min="17" max="17" width="17" style="828" customWidth="1"/>
    <col min="18" max="18" width="11.33203125" style="828" bestFit="1" customWidth="1"/>
    <col min="19" max="19" width="10.33203125" style="828" bestFit="1" customWidth="1"/>
    <col min="20" max="20" width="9.109375" style="828" bestFit="1" customWidth="1"/>
    <col min="21" max="22" width="8.88671875" style="828"/>
    <col min="23" max="23" width="15.88671875" style="828" bestFit="1" customWidth="1"/>
    <col min="24" max="16384" width="8.88671875" style="828"/>
  </cols>
  <sheetData>
    <row r="1" spans="1:21" s="665" customFormat="1" ht="17.100000000000001" customHeight="1">
      <c r="A1" s="1406" t="s">
        <v>1306</v>
      </c>
      <c r="B1" s="1407"/>
      <c r="C1" s="1406" t="s">
        <v>786</v>
      </c>
      <c r="D1" s="1407"/>
      <c r="E1" s="1405" t="s">
        <v>363</v>
      </c>
      <c r="F1" s="1405" t="s">
        <v>362</v>
      </c>
      <c r="G1" s="1410" t="s">
        <v>1307</v>
      </c>
      <c r="H1" s="1410"/>
      <c r="I1" s="1405" t="s">
        <v>1308</v>
      </c>
      <c r="J1" s="1405"/>
      <c r="K1" s="1405" t="s">
        <v>1309</v>
      </c>
      <c r="L1" s="1405"/>
      <c r="M1" s="1354" t="s">
        <v>1310</v>
      </c>
      <c r="N1" s="1354"/>
      <c r="O1" s="1405" t="s">
        <v>1311</v>
      </c>
    </row>
    <row r="2" spans="1:21" s="665" customFormat="1" ht="17.100000000000001" customHeight="1">
      <c r="A2" s="1408"/>
      <c r="B2" s="1409"/>
      <c r="C2" s="1408"/>
      <c r="D2" s="1409"/>
      <c r="E2" s="1405"/>
      <c r="F2" s="1405"/>
      <c r="G2" s="666" t="s">
        <v>1312</v>
      </c>
      <c r="H2" s="666" t="s">
        <v>364</v>
      </c>
      <c r="I2" s="666" t="s">
        <v>1312</v>
      </c>
      <c r="J2" s="667" t="s">
        <v>364</v>
      </c>
      <c r="K2" s="666" t="s">
        <v>1312</v>
      </c>
      <c r="L2" s="667" t="s">
        <v>364</v>
      </c>
      <c r="M2" s="667" t="s">
        <v>1312</v>
      </c>
      <c r="N2" s="667" t="s">
        <v>364</v>
      </c>
      <c r="O2" s="1405"/>
    </row>
    <row r="3" spans="1:21" s="665" customFormat="1" ht="17.100000000000001" customHeight="1">
      <c r="A3" s="668">
        <v>1</v>
      </c>
      <c r="B3" s="1320" t="s">
        <v>1313</v>
      </c>
      <c r="C3" s="1320"/>
      <c r="D3" s="1320" t="s">
        <v>1314</v>
      </c>
      <c r="E3" s="1320"/>
      <c r="F3" s="669" t="s">
        <v>850</v>
      </c>
      <c r="G3" s="670"/>
      <c r="H3" s="670"/>
      <c r="I3" s="670"/>
      <c r="J3" s="670"/>
      <c r="K3" s="670"/>
      <c r="L3" s="670"/>
      <c r="M3" s="670"/>
      <c r="N3" s="670"/>
      <c r="O3" s="671"/>
      <c r="P3" s="672" t="s">
        <v>1315</v>
      </c>
      <c r="Q3" s="673" t="s">
        <v>1316</v>
      </c>
      <c r="R3" s="673" t="s">
        <v>1317</v>
      </c>
      <c r="S3" s="674" t="s">
        <v>1318</v>
      </c>
    </row>
    <row r="4" spans="1:21" s="665" customFormat="1" ht="17.100000000000001" customHeight="1">
      <c r="A4" s="1316" t="s">
        <v>628</v>
      </c>
      <c r="B4" s="1317"/>
      <c r="C4" s="1316"/>
      <c r="D4" s="1317"/>
      <c r="E4" s="675" t="e">
        <f>#REF!</f>
        <v>#REF!</v>
      </c>
      <c r="F4" s="676" t="s">
        <v>366</v>
      </c>
      <c r="G4" s="670"/>
      <c r="H4" s="670"/>
      <c r="I4" s="670">
        <f>[53]노임단가!T6</f>
        <v>226122</v>
      </c>
      <c r="J4" s="670" t="e">
        <f>INT(E4*I4)</f>
        <v>#REF!</v>
      </c>
      <c r="K4" s="670"/>
      <c r="L4" s="670"/>
      <c r="M4" s="670">
        <f>G4+I4+K4</f>
        <v>226122</v>
      </c>
      <c r="N4" s="670" t="e">
        <f>H4+J4+L4</f>
        <v>#REF!</v>
      </c>
      <c r="O4" s="671"/>
      <c r="P4" s="672" t="s">
        <v>1319</v>
      </c>
    </row>
    <row r="5" spans="1:21" s="665" customFormat="1" ht="17.100000000000001" customHeight="1">
      <c r="A5" s="1318" t="s">
        <v>1320</v>
      </c>
      <c r="B5" s="1319"/>
      <c r="C5" s="1371"/>
      <c r="D5" s="1372"/>
      <c r="E5" s="677"/>
      <c r="F5" s="676"/>
      <c r="G5" s="670"/>
      <c r="H5" s="670"/>
      <c r="I5" s="670"/>
      <c r="J5" s="670" t="e">
        <f>SUM(J4:J4)</f>
        <v>#REF!</v>
      </c>
      <c r="K5" s="670"/>
      <c r="L5" s="670"/>
      <c r="M5" s="670"/>
      <c r="N5" s="670" t="e">
        <f>SUM(N4:N4)</f>
        <v>#REF!</v>
      </c>
      <c r="O5" s="671"/>
      <c r="P5" s="672" t="s">
        <v>1319</v>
      </c>
      <c r="R5" s="665" t="s">
        <v>1321</v>
      </c>
      <c r="S5" s="665" t="s">
        <v>628</v>
      </c>
      <c r="T5" s="665">
        <v>3.6</v>
      </c>
      <c r="U5" s="665">
        <f>ROUND(1/T5,2)</f>
        <v>0.28000000000000003</v>
      </c>
    </row>
    <row r="6" spans="1:21" s="665" customFormat="1" ht="17.100000000000001" customHeight="1">
      <c r="A6" s="668">
        <f>A3+1</f>
        <v>2</v>
      </c>
      <c r="B6" s="1320" t="s">
        <v>1313</v>
      </c>
      <c r="C6" s="1320"/>
      <c r="D6" s="1320" t="s">
        <v>1322</v>
      </c>
      <c r="E6" s="1320"/>
      <c r="F6" s="669" t="s">
        <v>850</v>
      </c>
      <c r="G6" s="670"/>
      <c r="H6" s="670"/>
      <c r="I6" s="670"/>
      <c r="J6" s="670"/>
      <c r="K6" s="670"/>
      <c r="L6" s="670"/>
      <c r="M6" s="670"/>
      <c r="N6" s="670"/>
      <c r="O6" s="671"/>
      <c r="P6" s="672" t="s">
        <v>1319</v>
      </c>
      <c r="Q6" s="673" t="s">
        <v>1323</v>
      </c>
      <c r="R6" s="665" t="s">
        <v>1324</v>
      </c>
      <c r="S6" s="665" t="s">
        <v>628</v>
      </c>
      <c r="T6" s="665">
        <v>2.7</v>
      </c>
      <c r="U6" s="665">
        <f>ROUND(1/T6,2)</f>
        <v>0.37</v>
      </c>
    </row>
    <row r="7" spans="1:21" s="665" customFormat="1" ht="17.100000000000001" customHeight="1">
      <c r="A7" s="1316" t="s">
        <v>628</v>
      </c>
      <c r="B7" s="1317"/>
      <c r="C7" s="1316"/>
      <c r="D7" s="1317"/>
      <c r="E7" s="675" t="e">
        <f>#REF!</f>
        <v>#REF!</v>
      </c>
      <c r="F7" s="676" t="s">
        <v>366</v>
      </c>
      <c r="G7" s="670"/>
      <c r="H7" s="670"/>
      <c r="I7" s="670">
        <f>[53]노임단가!T6</f>
        <v>226122</v>
      </c>
      <c r="J7" s="670" t="e">
        <f>INT(E7*I7)</f>
        <v>#REF!</v>
      </c>
      <c r="K7" s="670"/>
      <c r="L7" s="670"/>
      <c r="M7" s="670">
        <f>G7+I7+K7</f>
        <v>226122</v>
      </c>
      <c r="N7" s="670" t="e">
        <f>H7+J7+L7</f>
        <v>#REF!</v>
      </c>
      <c r="O7" s="671"/>
      <c r="P7" s="672" t="s">
        <v>1319</v>
      </c>
      <c r="R7" s="665" t="s">
        <v>779</v>
      </c>
      <c r="S7" s="665" t="s">
        <v>628</v>
      </c>
      <c r="T7" s="665">
        <v>2.2000000000000002</v>
      </c>
      <c r="U7" s="665">
        <f>ROUND(1/T7,2)</f>
        <v>0.45</v>
      </c>
    </row>
    <row r="8" spans="1:21" s="665" customFormat="1" ht="17.100000000000001" customHeight="1">
      <c r="A8" s="1318" t="s">
        <v>1320</v>
      </c>
      <c r="B8" s="1319"/>
      <c r="C8" s="1371"/>
      <c r="D8" s="1372"/>
      <c r="E8" s="677"/>
      <c r="F8" s="676"/>
      <c r="G8" s="670"/>
      <c r="H8" s="670"/>
      <c r="I8" s="670"/>
      <c r="J8" s="670" t="e">
        <f>SUM(J7:J7)</f>
        <v>#REF!</v>
      </c>
      <c r="K8" s="670"/>
      <c r="L8" s="670"/>
      <c r="M8" s="670"/>
      <c r="N8" s="670" t="e">
        <f>SUM(N7:N7)</f>
        <v>#REF!</v>
      </c>
      <c r="O8" s="671"/>
      <c r="P8" s="672" t="s">
        <v>1319</v>
      </c>
      <c r="R8" s="665" t="s">
        <v>778</v>
      </c>
      <c r="S8" s="665" t="s">
        <v>628</v>
      </c>
      <c r="T8" s="665">
        <v>1.2</v>
      </c>
      <c r="U8" s="665">
        <f>ROUND(1/T8,2)</f>
        <v>0.83</v>
      </c>
    </row>
    <row r="9" spans="1:21" s="665" customFormat="1" ht="17.100000000000001" customHeight="1">
      <c r="A9" s="668">
        <f>A6+1</f>
        <v>3</v>
      </c>
      <c r="B9" s="1320" t="s">
        <v>1313</v>
      </c>
      <c r="C9" s="1320"/>
      <c r="D9" s="1320" t="s">
        <v>1325</v>
      </c>
      <c r="E9" s="1320"/>
      <c r="F9" s="669" t="s">
        <v>850</v>
      </c>
      <c r="G9" s="670"/>
      <c r="H9" s="670"/>
      <c r="I9" s="670"/>
      <c r="J9" s="670"/>
      <c r="K9" s="670"/>
      <c r="L9" s="670"/>
      <c r="M9" s="670"/>
      <c r="N9" s="670"/>
      <c r="O9" s="671"/>
      <c r="P9" s="672" t="s">
        <v>1319</v>
      </c>
    </row>
    <row r="10" spans="1:21" s="665" customFormat="1" ht="17.100000000000001" customHeight="1">
      <c r="A10" s="1316" t="s">
        <v>628</v>
      </c>
      <c r="B10" s="1317"/>
      <c r="C10" s="1338"/>
      <c r="D10" s="1378"/>
      <c r="E10" s="675" t="e">
        <f>#REF!</f>
        <v>#REF!</v>
      </c>
      <c r="F10" s="676" t="s">
        <v>366</v>
      </c>
      <c r="G10" s="670"/>
      <c r="H10" s="670"/>
      <c r="I10" s="670">
        <f>[53]노임단가!T6</f>
        <v>226122</v>
      </c>
      <c r="J10" s="670" t="e">
        <f>INT(E10*I10)</f>
        <v>#REF!</v>
      </c>
      <c r="K10" s="670"/>
      <c r="L10" s="670"/>
      <c r="M10" s="670">
        <f>G10+I10+K10</f>
        <v>226122</v>
      </c>
      <c r="N10" s="670" t="e">
        <f>H10+J10+L10</f>
        <v>#REF!</v>
      </c>
      <c r="O10" s="671"/>
      <c r="P10" s="672" t="s">
        <v>1319</v>
      </c>
    </row>
    <row r="11" spans="1:21" s="665" customFormat="1" ht="17.100000000000001" customHeight="1">
      <c r="A11" s="1318" t="s">
        <v>1320</v>
      </c>
      <c r="B11" s="1319"/>
      <c r="C11" s="1371"/>
      <c r="D11" s="1372"/>
      <c r="E11" s="677"/>
      <c r="F11" s="676"/>
      <c r="G11" s="670"/>
      <c r="H11" s="670"/>
      <c r="I11" s="670"/>
      <c r="J11" s="670" t="e">
        <f>SUM(J10:J10)</f>
        <v>#REF!</v>
      </c>
      <c r="K11" s="670"/>
      <c r="L11" s="670"/>
      <c r="M11" s="670"/>
      <c r="N11" s="670" t="e">
        <f>SUM(N10:N10)</f>
        <v>#REF!</v>
      </c>
      <c r="O11" s="671"/>
      <c r="P11" s="672" t="s">
        <v>1319</v>
      </c>
    </row>
    <row r="12" spans="1:21" s="665" customFormat="1" ht="17.100000000000001" customHeight="1">
      <c r="A12" s="668">
        <f>A9+1</f>
        <v>4</v>
      </c>
      <c r="B12" s="1320" t="s">
        <v>1313</v>
      </c>
      <c r="C12" s="1320"/>
      <c r="D12" s="1320"/>
      <c r="E12" s="1320"/>
      <c r="F12" s="669" t="s">
        <v>850</v>
      </c>
      <c r="G12" s="670"/>
      <c r="H12" s="670"/>
      <c r="I12" s="670"/>
      <c r="J12" s="670"/>
      <c r="K12" s="670"/>
      <c r="L12" s="670"/>
      <c r="M12" s="670"/>
      <c r="N12" s="670"/>
      <c r="O12" s="671"/>
      <c r="P12" s="672" t="s">
        <v>1319</v>
      </c>
    </row>
    <row r="13" spans="1:21" s="665" customFormat="1" ht="17.100000000000001" customHeight="1">
      <c r="A13" s="1316" t="s">
        <v>628</v>
      </c>
      <c r="B13" s="1317"/>
      <c r="C13" s="1338"/>
      <c r="D13" s="1378"/>
      <c r="E13" s="675" t="e">
        <f>#REF!</f>
        <v>#REF!</v>
      </c>
      <c r="F13" s="676" t="s">
        <v>366</v>
      </c>
      <c r="G13" s="670"/>
      <c r="H13" s="670"/>
      <c r="I13" s="670">
        <f>[53]노임단가!T6</f>
        <v>226122</v>
      </c>
      <c r="J13" s="670" t="e">
        <f>INT(E13*I13)</f>
        <v>#REF!</v>
      </c>
      <c r="K13" s="670"/>
      <c r="L13" s="670"/>
      <c r="M13" s="670">
        <f>G13+I13+K13</f>
        <v>226122</v>
      </c>
      <c r="N13" s="670" t="e">
        <f>H13+J13+L13</f>
        <v>#REF!</v>
      </c>
      <c r="O13" s="671"/>
      <c r="P13" s="672" t="s">
        <v>1319</v>
      </c>
    </row>
    <row r="14" spans="1:21" s="665" customFormat="1" ht="17.100000000000001" customHeight="1">
      <c r="A14" s="1318" t="s">
        <v>1320</v>
      </c>
      <c r="B14" s="1319"/>
      <c r="C14" s="1371"/>
      <c r="D14" s="1372"/>
      <c r="E14" s="677"/>
      <c r="F14" s="676"/>
      <c r="G14" s="670"/>
      <c r="H14" s="670"/>
      <c r="I14" s="670"/>
      <c r="J14" s="670" t="e">
        <f>SUM(J13:J13)</f>
        <v>#REF!</v>
      </c>
      <c r="K14" s="670"/>
      <c r="L14" s="670"/>
      <c r="M14" s="670"/>
      <c r="N14" s="670" t="e">
        <f>SUM(N13:N13)</f>
        <v>#REF!</v>
      </c>
      <c r="O14" s="671"/>
      <c r="P14" s="672" t="s">
        <v>1319</v>
      </c>
    </row>
    <row r="15" spans="1:21" s="665" customFormat="1" ht="17.100000000000001" customHeight="1">
      <c r="A15" s="668">
        <f>A12+1</f>
        <v>5</v>
      </c>
      <c r="B15" s="1320" t="s">
        <v>1326</v>
      </c>
      <c r="C15" s="1320"/>
      <c r="D15" s="1320" t="s">
        <v>414</v>
      </c>
      <c r="E15" s="1320"/>
      <c r="F15" s="669" t="s">
        <v>850</v>
      </c>
      <c r="G15" s="670"/>
      <c r="H15" s="670"/>
      <c r="I15" s="670"/>
      <c r="J15" s="670"/>
      <c r="K15" s="670"/>
      <c r="L15" s="670"/>
      <c r="M15" s="670"/>
      <c r="N15" s="670"/>
      <c r="O15" s="671"/>
      <c r="P15" s="678" t="s">
        <v>1327</v>
      </c>
    </row>
    <row r="16" spans="1:21" s="665" customFormat="1" ht="17.100000000000001" customHeight="1">
      <c r="A16" s="1316" t="s">
        <v>421</v>
      </c>
      <c r="B16" s="1317"/>
      <c r="C16" s="1316"/>
      <c r="D16" s="1317"/>
      <c r="E16" s="675">
        <v>0.33</v>
      </c>
      <c r="F16" s="676" t="s">
        <v>366</v>
      </c>
      <c r="G16" s="670"/>
      <c r="H16" s="670"/>
      <c r="I16" s="670">
        <f>[53]노임단가!$T$18</f>
        <v>222306</v>
      </c>
      <c r="J16" s="670">
        <f>INT(E16*I16)</f>
        <v>73360</v>
      </c>
      <c r="K16" s="670"/>
      <c r="L16" s="670"/>
      <c r="M16" s="670">
        <f t="shared" ref="M16:N20" si="0">G16+I16+K16</f>
        <v>222306</v>
      </c>
      <c r="N16" s="670">
        <f t="shared" si="0"/>
        <v>73360</v>
      </c>
      <c r="O16" s="671"/>
      <c r="P16" s="672"/>
    </row>
    <row r="17" spans="1:16" s="665" customFormat="1" ht="17.100000000000001" customHeight="1">
      <c r="A17" s="1316" t="s">
        <v>248</v>
      </c>
      <c r="B17" s="1317"/>
      <c r="C17" s="1316"/>
      <c r="D17" s="1317"/>
      <c r="E17" s="675">
        <v>0.16</v>
      </c>
      <c r="F17" s="676" t="s">
        <v>366</v>
      </c>
      <c r="G17" s="670"/>
      <c r="H17" s="670"/>
      <c r="I17" s="670">
        <f>[53]노임단가!$T$5</f>
        <v>172068</v>
      </c>
      <c r="J17" s="670">
        <f>INT(E17*I17)</f>
        <v>27530</v>
      </c>
      <c r="K17" s="670"/>
      <c r="L17" s="670"/>
      <c r="M17" s="670">
        <f t="shared" si="0"/>
        <v>172068</v>
      </c>
      <c r="N17" s="670">
        <f t="shared" si="0"/>
        <v>27530</v>
      </c>
      <c r="O17" s="671"/>
      <c r="P17" s="672"/>
    </row>
    <row r="18" spans="1:16" s="665" customFormat="1" ht="17.100000000000001" customHeight="1">
      <c r="A18" s="1316" t="s">
        <v>417</v>
      </c>
      <c r="B18" s="1317"/>
      <c r="C18" s="1316" t="s">
        <v>1233</v>
      </c>
      <c r="D18" s="1317"/>
      <c r="E18" s="679">
        <v>0.3</v>
      </c>
      <c r="F18" s="676" t="s">
        <v>418</v>
      </c>
      <c r="G18" s="670" t="e">
        <f>#REF!</f>
        <v>#REF!</v>
      </c>
      <c r="H18" s="670" t="e">
        <f>INT(E18*G18)</f>
        <v>#REF!</v>
      </c>
      <c r="I18" s="670" t="e">
        <f>#REF!</f>
        <v>#REF!</v>
      </c>
      <c r="J18" s="670" t="e">
        <f>INT(E18*I18)</f>
        <v>#REF!</v>
      </c>
      <c r="K18" s="670" t="e">
        <f>#REF!</f>
        <v>#REF!</v>
      </c>
      <c r="L18" s="670" t="e">
        <f>INT(E18*K18)</f>
        <v>#REF!</v>
      </c>
      <c r="M18" s="670" t="e">
        <f t="shared" si="0"/>
        <v>#REF!</v>
      </c>
      <c r="N18" s="670" t="e">
        <f t="shared" si="0"/>
        <v>#REF!</v>
      </c>
      <c r="O18" s="671"/>
      <c r="P18" s="672"/>
    </row>
    <row r="19" spans="1:16" s="665" customFormat="1" ht="17.100000000000001" customHeight="1">
      <c r="A19" s="1316" t="e">
        <f>#REF!</f>
        <v>#REF!</v>
      </c>
      <c r="B19" s="1317"/>
      <c r="C19" s="1316" t="e">
        <f>#REF!</f>
        <v>#REF!</v>
      </c>
      <c r="D19" s="1317"/>
      <c r="E19" s="675">
        <v>1.26</v>
      </c>
      <c r="F19" s="676" t="s">
        <v>418</v>
      </c>
      <c r="G19" s="670"/>
      <c r="H19" s="670"/>
      <c r="I19" s="670"/>
      <c r="J19" s="670"/>
      <c r="K19" s="670" t="e">
        <f>#REF!</f>
        <v>#REF!</v>
      </c>
      <c r="L19" s="670" t="e">
        <f>INT(E19*K19)</f>
        <v>#REF!</v>
      </c>
      <c r="M19" s="670" t="e">
        <f t="shared" si="0"/>
        <v>#REF!</v>
      </c>
      <c r="N19" s="670" t="e">
        <f t="shared" si="0"/>
        <v>#REF!</v>
      </c>
      <c r="O19" s="671"/>
      <c r="P19" s="672"/>
    </row>
    <row r="20" spans="1:16" s="665" customFormat="1" ht="17.100000000000001" customHeight="1">
      <c r="A20" s="1316" t="s">
        <v>1328</v>
      </c>
      <c r="B20" s="1317"/>
      <c r="C20" s="1338" t="s">
        <v>1329</v>
      </c>
      <c r="D20" s="1317"/>
      <c r="E20" s="675">
        <v>0.01</v>
      </c>
      <c r="F20" s="676" t="s">
        <v>672</v>
      </c>
      <c r="G20" s="670">
        <f>$J$208+$J$209</f>
        <v>100890</v>
      </c>
      <c r="H20" s="670">
        <f>INT(E20*G20)</f>
        <v>1008</v>
      </c>
      <c r="I20" s="670"/>
      <c r="J20" s="670"/>
      <c r="K20" s="670"/>
      <c r="L20" s="670"/>
      <c r="M20" s="670">
        <f t="shared" si="0"/>
        <v>100890</v>
      </c>
      <c r="N20" s="670">
        <f t="shared" si="0"/>
        <v>1008</v>
      </c>
      <c r="O20" s="671"/>
      <c r="P20" s="672"/>
    </row>
    <row r="21" spans="1:16" s="665" customFormat="1" ht="17.100000000000001" customHeight="1">
      <c r="A21" s="1318" t="s">
        <v>1320</v>
      </c>
      <c r="B21" s="1319"/>
      <c r="C21" s="1371"/>
      <c r="D21" s="1372"/>
      <c r="E21" s="677"/>
      <c r="F21" s="676"/>
      <c r="G21" s="670"/>
      <c r="H21" s="670" t="e">
        <f>SUM(H16:H20)</f>
        <v>#REF!</v>
      </c>
      <c r="I21" s="670"/>
      <c r="J21" s="670" t="e">
        <f>SUM(J16:J20)</f>
        <v>#REF!</v>
      </c>
      <c r="K21" s="670"/>
      <c r="L21" s="670" t="e">
        <f>SUM(L16:L20)</f>
        <v>#REF!</v>
      </c>
      <c r="M21" s="670"/>
      <c r="N21" s="670" t="e">
        <f>SUM(N16:N20)</f>
        <v>#REF!</v>
      </c>
      <c r="O21" s="671"/>
      <c r="P21" s="672"/>
    </row>
    <row r="22" spans="1:16" s="665" customFormat="1" ht="17.100000000000001" customHeight="1">
      <c r="A22" s="668">
        <f>A15+1</f>
        <v>6</v>
      </c>
      <c r="B22" s="1320" t="s">
        <v>1326</v>
      </c>
      <c r="C22" s="1320"/>
      <c r="D22" s="1320" t="s">
        <v>415</v>
      </c>
      <c r="E22" s="1320"/>
      <c r="F22" s="669" t="s">
        <v>850</v>
      </c>
      <c r="G22" s="670"/>
      <c r="H22" s="670"/>
      <c r="I22" s="670"/>
      <c r="J22" s="670"/>
      <c r="K22" s="670"/>
      <c r="L22" s="670"/>
      <c r="M22" s="670"/>
      <c r="N22" s="670"/>
      <c r="O22" s="671"/>
      <c r="P22" s="672"/>
    </row>
    <row r="23" spans="1:16" s="665" customFormat="1" ht="17.100000000000001" customHeight="1">
      <c r="A23" s="1316" t="s">
        <v>421</v>
      </c>
      <c r="B23" s="1317"/>
      <c r="C23" s="1316"/>
      <c r="D23" s="1317"/>
      <c r="E23" s="675">
        <v>0.41</v>
      </c>
      <c r="F23" s="676" t="s">
        <v>366</v>
      </c>
      <c r="G23" s="670"/>
      <c r="H23" s="670"/>
      <c r="I23" s="670">
        <f>[53]노임단가!$T$18</f>
        <v>222306</v>
      </c>
      <c r="J23" s="670">
        <f>INT(E23*I23)</f>
        <v>91145</v>
      </c>
      <c r="K23" s="670"/>
      <c r="L23" s="670"/>
      <c r="M23" s="670">
        <f t="shared" ref="M23:N27" si="1">G23+I23+K23</f>
        <v>222306</v>
      </c>
      <c r="N23" s="670">
        <f t="shared" si="1"/>
        <v>91145</v>
      </c>
      <c r="O23" s="671"/>
      <c r="P23" s="672"/>
    </row>
    <row r="24" spans="1:16" s="665" customFormat="1" ht="17.100000000000001" customHeight="1">
      <c r="A24" s="1316" t="s">
        <v>248</v>
      </c>
      <c r="B24" s="1317"/>
      <c r="C24" s="1316"/>
      <c r="D24" s="1317"/>
      <c r="E24" s="675">
        <v>0.21</v>
      </c>
      <c r="F24" s="676" t="s">
        <v>366</v>
      </c>
      <c r="G24" s="670"/>
      <c r="H24" s="670"/>
      <c r="I24" s="670">
        <f>[53]노임단가!$T$5</f>
        <v>172068</v>
      </c>
      <c r="J24" s="670">
        <f>INT(E24*I24)</f>
        <v>36134</v>
      </c>
      <c r="K24" s="670"/>
      <c r="L24" s="670"/>
      <c r="M24" s="670">
        <f t="shared" si="1"/>
        <v>172068</v>
      </c>
      <c r="N24" s="670">
        <f t="shared" si="1"/>
        <v>36134</v>
      </c>
      <c r="O24" s="671"/>
      <c r="P24" s="672"/>
    </row>
    <row r="25" spans="1:16" s="665" customFormat="1" ht="17.100000000000001" customHeight="1">
      <c r="A25" s="1316" t="s">
        <v>417</v>
      </c>
      <c r="B25" s="1317"/>
      <c r="C25" s="1316" t="s">
        <v>1233</v>
      </c>
      <c r="D25" s="1317"/>
      <c r="E25" s="675">
        <v>0.48</v>
      </c>
      <c r="F25" s="676" t="s">
        <v>418</v>
      </c>
      <c r="G25" s="670" t="e">
        <f>#REF!</f>
        <v>#REF!</v>
      </c>
      <c r="H25" s="670" t="e">
        <f>INT(E25*G25)</f>
        <v>#REF!</v>
      </c>
      <c r="I25" s="670" t="e">
        <f>#REF!</f>
        <v>#REF!</v>
      </c>
      <c r="J25" s="670" t="e">
        <f>INT(E25*I25)</f>
        <v>#REF!</v>
      </c>
      <c r="K25" s="670" t="e">
        <f>#REF!</f>
        <v>#REF!</v>
      </c>
      <c r="L25" s="670" t="e">
        <f>INT(E25*K25)</f>
        <v>#REF!</v>
      </c>
      <c r="M25" s="670" t="e">
        <f t="shared" si="1"/>
        <v>#REF!</v>
      </c>
      <c r="N25" s="670" t="e">
        <f t="shared" si="1"/>
        <v>#REF!</v>
      </c>
      <c r="O25" s="671"/>
      <c r="P25" s="672"/>
    </row>
    <row r="26" spans="1:16" s="665" customFormat="1" ht="17.100000000000001" customHeight="1">
      <c r="A26" s="1316" t="e">
        <f>#REF!</f>
        <v>#REF!</v>
      </c>
      <c r="B26" s="1317"/>
      <c r="C26" s="1316" t="e">
        <f>#REF!</f>
        <v>#REF!</v>
      </c>
      <c r="D26" s="1317"/>
      <c r="E26" s="675">
        <v>1.68</v>
      </c>
      <c r="F26" s="676" t="s">
        <v>418</v>
      </c>
      <c r="G26" s="670"/>
      <c r="H26" s="670"/>
      <c r="I26" s="670"/>
      <c r="J26" s="670"/>
      <c r="K26" s="670" t="e">
        <f>#REF!</f>
        <v>#REF!</v>
      </c>
      <c r="L26" s="670" t="e">
        <f>INT(E26*K26)</f>
        <v>#REF!</v>
      </c>
      <c r="M26" s="670" t="e">
        <f t="shared" si="1"/>
        <v>#REF!</v>
      </c>
      <c r="N26" s="670" t="e">
        <f t="shared" si="1"/>
        <v>#REF!</v>
      </c>
      <c r="O26" s="671"/>
      <c r="P26" s="672"/>
    </row>
    <row r="27" spans="1:16" s="665" customFormat="1" ht="17.100000000000001" customHeight="1">
      <c r="A27" s="1316" t="s">
        <v>1328</v>
      </c>
      <c r="B27" s="1317"/>
      <c r="C27" s="1338" t="s">
        <v>1329</v>
      </c>
      <c r="D27" s="1317"/>
      <c r="E27" s="675">
        <v>0.01</v>
      </c>
      <c r="F27" s="676" t="s">
        <v>672</v>
      </c>
      <c r="G27" s="670">
        <f>$J$208+$J$209</f>
        <v>100890</v>
      </c>
      <c r="H27" s="670">
        <f>INT(E27*G27)</f>
        <v>1008</v>
      </c>
      <c r="I27" s="670"/>
      <c r="J27" s="670"/>
      <c r="K27" s="670"/>
      <c r="L27" s="670"/>
      <c r="M27" s="670">
        <f t="shared" si="1"/>
        <v>100890</v>
      </c>
      <c r="N27" s="670">
        <f t="shared" si="1"/>
        <v>1008</v>
      </c>
      <c r="O27" s="671"/>
      <c r="P27" s="672"/>
    </row>
    <row r="28" spans="1:16" s="665" customFormat="1" ht="17.100000000000001" customHeight="1">
      <c r="A28" s="1318" t="s">
        <v>1320</v>
      </c>
      <c r="B28" s="1319"/>
      <c r="C28" s="1371"/>
      <c r="D28" s="1372"/>
      <c r="E28" s="677"/>
      <c r="F28" s="676"/>
      <c r="G28" s="670"/>
      <c r="H28" s="670" t="e">
        <f>SUM(H23:H27)</f>
        <v>#REF!</v>
      </c>
      <c r="I28" s="670"/>
      <c r="J28" s="670" t="e">
        <f>SUM(J23:J27)</f>
        <v>#REF!</v>
      </c>
      <c r="K28" s="670"/>
      <c r="L28" s="670" t="e">
        <f>SUM(L23:L27)</f>
        <v>#REF!</v>
      </c>
      <c r="M28" s="670"/>
      <c r="N28" s="670" t="e">
        <f>SUM(N23:N27)</f>
        <v>#REF!</v>
      </c>
      <c r="O28" s="671"/>
      <c r="P28" s="672"/>
    </row>
    <row r="29" spans="1:16" s="665" customFormat="1" ht="17.100000000000001" customHeight="1">
      <c r="A29" s="668">
        <f>A22+1</f>
        <v>7</v>
      </c>
      <c r="B29" s="1320" t="s">
        <v>1326</v>
      </c>
      <c r="C29" s="1320"/>
      <c r="D29" s="1320" t="s">
        <v>374</v>
      </c>
      <c r="E29" s="1320"/>
      <c r="F29" s="669" t="s">
        <v>850</v>
      </c>
      <c r="G29" s="670"/>
      <c r="H29" s="670"/>
      <c r="I29" s="670"/>
      <c r="J29" s="670"/>
      <c r="K29" s="670"/>
      <c r="L29" s="670"/>
      <c r="M29" s="670"/>
      <c r="N29" s="670"/>
      <c r="O29" s="671"/>
      <c r="P29" s="672"/>
    </row>
    <row r="30" spans="1:16" s="665" customFormat="1" ht="17.100000000000001" customHeight="1">
      <c r="A30" s="1316" t="s">
        <v>421</v>
      </c>
      <c r="B30" s="1317"/>
      <c r="C30" s="1316"/>
      <c r="D30" s="1317"/>
      <c r="E30" s="675">
        <v>0.57999999999999996</v>
      </c>
      <c r="F30" s="676" t="s">
        <v>366</v>
      </c>
      <c r="G30" s="670"/>
      <c r="H30" s="670"/>
      <c r="I30" s="670">
        <f>[53]노임단가!$T$18</f>
        <v>222306</v>
      </c>
      <c r="J30" s="670">
        <f>INT(E30*I30)</f>
        <v>128937</v>
      </c>
      <c r="K30" s="670"/>
      <c r="L30" s="670"/>
      <c r="M30" s="670">
        <f t="shared" ref="M30:N34" si="2">G30+I30+K30</f>
        <v>222306</v>
      </c>
      <c r="N30" s="670">
        <f t="shared" si="2"/>
        <v>128937</v>
      </c>
      <c r="O30" s="671"/>
      <c r="P30" s="672"/>
    </row>
    <row r="31" spans="1:16" s="665" customFormat="1" ht="17.100000000000001" customHeight="1">
      <c r="A31" s="1316" t="s">
        <v>248</v>
      </c>
      <c r="B31" s="1317"/>
      <c r="C31" s="1316"/>
      <c r="D31" s="1317"/>
      <c r="E31" s="675">
        <v>0.28999999999999998</v>
      </c>
      <c r="F31" s="676" t="s">
        <v>366</v>
      </c>
      <c r="G31" s="670"/>
      <c r="H31" s="670"/>
      <c r="I31" s="670">
        <f>[53]노임단가!$T$5</f>
        <v>172068</v>
      </c>
      <c r="J31" s="670">
        <f>INT(E31*I31)</f>
        <v>49899</v>
      </c>
      <c r="K31" s="670"/>
      <c r="L31" s="670"/>
      <c r="M31" s="670">
        <f t="shared" si="2"/>
        <v>172068</v>
      </c>
      <c r="N31" s="670">
        <f t="shared" si="2"/>
        <v>49899</v>
      </c>
      <c r="O31" s="671"/>
      <c r="P31" s="672"/>
    </row>
    <row r="32" spans="1:16" s="665" customFormat="1" ht="17.100000000000001" customHeight="1">
      <c r="A32" s="1316" t="s">
        <v>417</v>
      </c>
      <c r="B32" s="1317"/>
      <c r="C32" s="1316" t="s">
        <v>1233</v>
      </c>
      <c r="D32" s="1317"/>
      <c r="E32" s="675">
        <v>0.6</v>
      </c>
      <c r="F32" s="676" t="s">
        <v>418</v>
      </c>
      <c r="G32" s="670" t="e">
        <f>#REF!</f>
        <v>#REF!</v>
      </c>
      <c r="H32" s="670" t="e">
        <f>INT(E32*G32)</f>
        <v>#REF!</v>
      </c>
      <c r="I32" s="670" t="e">
        <f>#REF!</f>
        <v>#REF!</v>
      </c>
      <c r="J32" s="670" t="e">
        <f>INT(E32*I32)</f>
        <v>#REF!</v>
      </c>
      <c r="K32" s="670" t="e">
        <f>#REF!</f>
        <v>#REF!</v>
      </c>
      <c r="L32" s="670" t="e">
        <f>INT(E32*K32)</f>
        <v>#REF!</v>
      </c>
      <c r="M32" s="670" t="e">
        <f t="shared" si="2"/>
        <v>#REF!</v>
      </c>
      <c r="N32" s="670" t="e">
        <f t="shared" si="2"/>
        <v>#REF!</v>
      </c>
      <c r="O32" s="671"/>
      <c r="P32" s="672"/>
    </row>
    <row r="33" spans="1:23" s="665" customFormat="1" ht="17.100000000000001" customHeight="1">
      <c r="A33" s="1316" t="e">
        <f>#REF!</f>
        <v>#REF!</v>
      </c>
      <c r="B33" s="1317"/>
      <c r="C33" s="1316" t="e">
        <f>#REF!</f>
        <v>#REF!</v>
      </c>
      <c r="D33" s="1317"/>
      <c r="E33" s="675">
        <v>2.4</v>
      </c>
      <c r="F33" s="676" t="s">
        <v>418</v>
      </c>
      <c r="G33" s="670"/>
      <c r="H33" s="670"/>
      <c r="I33" s="670"/>
      <c r="J33" s="670"/>
      <c r="K33" s="670" t="e">
        <f>#REF!</f>
        <v>#REF!</v>
      </c>
      <c r="L33" s="670" t="e">
        <f>INT(E33*K33)</f>
        <v>#REF!</v>
      </c>
      <c r="M33" s="670" t="e">
        <f t="shared" si="2"/>
        <v>#REF!</v>
      </c>
      <c r="N33" s="670" t="e">
        <f t="shared" si="2"/>
        <v>#REF!</v>
      </c>
      <c r="O33" s="671"/>
      <c r="P33" s="672"/>
    </row>
    <row r="34" spans="1:23" s="665" customFormat="1" ht="17.100000000000001" customHeight="1">
      <c r="A34" s="1316" t="s">
        <v>1328</v>
      </c>
      <c r="B34" s="1317"/>
      <c r="C34" s="1338" t="s">
        <v>1329</v>
      </c>
      <c r="D34" s="1317"/>
      <c r="E34" s="675">
        <v>0.01</v>
      </c>
      <c r="F34" s="676" t="s">
        <v>672</v>
      </c>
      <c r="G34" s="670">
        <f>$J$208+$J$209</f>
        <v>100890</v>
      </c>
      <c r="H34" s="670">
        <f>INT(E34*G34)</f>
        <v>1008</v>
      </c>
      <c r="I34" s="670"/>
      <c r="J34" s="670"/>
      <c r="K34" s="670"/>
      <c r="L34" s="670"/>
      <c r="M34" s="670">
        <f t="shared" si="2"/>
        <v>100890</v>
      </c>
      <c r="N34" s="670">
        <f t="shared" si="2"/>
        <v>1008</v>
      </c>
      <c r="O34" s="671"/>
      <c r="P34" s="672"/>
    </row>
    <row r="35" spans="1:23" s="665" customFormat="1" ht="17.100000000000001" customHeight="1">
      <c r="A35" s="1318" t="s">
        <v>1320</v>
      </c>
      <c r="B35" s="1319"/>
      <c r="C35" s="1371"/>
      <c r="D35" s="1372"/>
      <c r="E35" s="677"/>
      <c r="F35" s="676"/>
      <c r="G35" s="670"/>
      <c r="H35" s="670" t="e">
        <f>SUM(H30:H34)</f>
        <v>#REF!</v>
      </c>
      <c r="I35" s="670"/>
      <c r="J35" s="670" t="e">
        <f>SUM(J30:J34)</f>
        <v>#REF!</v>
      </c>
      <c r="K35" s="670"/>
      <c r="L35" s="670" t="e">
        <f>SUM(L30:L34)</f>
        <v>#REF!</v>
      </c>
      <c r="M35" s="670"/>
      <c r="N35" s="670" t="e">
        <f>SUM(N30:N34)</f>
        <v>#REF!</v>
      </c>
      <c r="O35" s="671"/>
      <c r="P35" s="672"/>
      <c r="Q35" s="673" t="s">
        <v>1330</v>
      </c>
    </row>
    <row r="36" spans="1:23" s="665" customFormat="1" ht="17.100000000000001" customHeight="1">
      <c r="A36" s="668">
        <f>A29+1</f>
        <v>8</v>
      </c>
      <c r="B36" s="1320" t="s">
        <v>1326</v>
      </c>
      <c r="C36" s="1320"/>
      <c r="D36" s="1320" t="s">
        <v>373</v>
      </c>
      <c r="E36" s="1320"/>
      <c r="F36" s="669" t="s">
        <v>850</v>
      </c>
      <c r="G36" s="670"/>
      <c r="H36" s="670"/>
      <c r="I36" s="670"/>
      <c r="J36" s="670"/>
      <c r="K36" s="670"/>
      <c r="L36" s="670"/>
      <c r="M36" s="670"/>
      <c r="N36" s="670"/>
      <c r="O36" s="671"/>
      <c r="P36" s="672"/>
      <c r="Q36" s="665" t="s">
        <v>1331</v>
      </c>
      <c r="R36" s="665" t="s">
        <v>1332</v>
      </c>
      <c r="U36" s="665" t="s">
        <v>1333</v>
      </c>
      <c r="W36" s="665" t="s">
        <v>1334</v>
      </c>
    </row>
    <row r="37" spans="1:23" s="665" customFormat="1" ht="17.100000000000001" customHeight="1">
      <c r="A37" s="1316" t="s">
        <v>421</v>
      </c>
      <c r="B37" s="1317"/>
      <c r="C37" s="1316"/>
      <c r="D37" s="1317"/>
      <c r="E37" s="675">
        <v>0.94</v>
      </c>
      <c r="F37" s="676" t="s">
        <v>366</v>
      </c>
      <c r="G37" s="670"/>
      <c r="H37" s="670"/>
      <c r="I37" s="670">
        <f>[53]노임단가!$T$18</f>
        <v>222306</v>
      </c>
      <c r="J37" s="670">
        <f>INT(E37*I37)</f>
        <v>208967</v>
      </c>
      <c r="K37" s="670"/>
      <c r="L37" s="670"/>
      <c r="M37" s="670">
        <f t="shared" ref="M37:N41" si="3">G37+I37+K37</f>
        <v>222306</v>
      </c>
      <c r="N37" s="670">
        <f t="shared" si="3"/>
        <v>208967</v>
      </c>
      <c r="O37" s="671"/>
      <c r="P37" s="672"/>
      <c r="Q37" s="665" t="s">
        <v>628</v>
      </c>
      <c r="S37" s="665">
        <v>1</v>
      </c>
      <c r="U37" s="665">
        <v>14</v>
      </c>
      <c r="V37" s="665">
        <f>ROUND(1/U37,2)</f>
        <v>7.0000000000000007E-2</v>
      </c>
    </row>
    <row r="38" spans="1:23" s="665" customFormat="1" ht="17.100000000000001" customHeight="1">
      <c r="A38" s="1316" t="s">
        <v>248</v>
      </c>
      <c r="B38" s="1317"/>
      <c r="C38" s="1316"/>
      <c r="D38" s="1317"/>
      <c r="E38" s="675">
        <v>0.48</v>
      </c>
      <c r="F38" s="676" t="s">
        <v>366</v>
      </c>
      <c r="G38" s="670"/>
      <c r="H38" s="670"/>
      <c r="I38" s="670">
        <f>[53]노임단가!$T$5</f>
        <v>172068</v>
      </c>
      <c r="J38" s="670">
        <f>INT(E38*I38)</f>
        <v>82592</v>
      </c>
      <c r="K38" s="670"/>
      <c r="L38" s="670"/>
      <c r="M38" s="670">
        <f t="shared" si="3"/>
        <v>172068</v>
      </c>
      <c r="N38" s="670">
        <f t="shared" si="3"/>
        <v>82592</v>
      </c>
      <c r="O38" s="671"/>
      <c r="P38" s="672"/>
      <c r="Q38" s="665" t="s">
        <v>248</v>
      </c>
      <c r="S38" s="665">
        <v>1</v>
      </c>
      <c r="U38" s="665">
        <v>14</v>
      </c>
      <c r="V38" s="665">
        <f>ROUND(1/U38,2)</f>
        <v>7.0000000000000007E-2</v>
      </c>
    </row>
    <row r="39" spans="1:23" s="665" customFormat="1" ht="17.100000000000001" customHeight="1">
      <c r="A39" s="1316" t="s">
        <v>417</v>
      </c>
      <c r="B39" s="1317"/>
      <c r="C39" s="1316" t="s">
        <v>1233</v>
      </c>
      <c r="D39" s="1317"/>
      <c r="E39" s="675">
        <v>0.96</v>
      </c>
      <c r="F39" s="676" t="s">
        <v>418</v>
      </c>
      <c r="G39" s="670" t="e">
        <f>#REF!</f>
        <v>#REF!</v>
      </c>
      <c r="H39" s="670" t="e">
        <f>INT(E39*G39)</f>
        <v>#REF!</v>
      </c>
      <c r="I39" s="670" t="e">
        <f>#REF!</f>
        <v>#REF!</v>
      </c>
      <c r="J39" s="670" t="e">
        <f>INT(E39*I39)</f>
        <v>#REF!</v>
      </c>
      <c r="K39" s="670" t="e">
        <f>#REF!</f>
        <v>#REF!</v>
      </c>
      <c r="L39" s="670" t="e">
        <f>INT(E39*K39)</f>
        <v>#REF!</v>
      </c>
      <c r="M39" s="670" t="e">
        <f t="shared" si="3"/>
        <v>#REF!</v>
      </c>
      <c r="N39" s="670" t="e">
        <f t="shared" si="3"/>
        <v>#REF!</v>
      </c>
      <c r="O39" s="671"/>
      <c r="P39" s="672"/>
      <c r="Q39" s="665" t="s">
        <v>583</v>
      </c>
      <c r="S39" s="665">
        <v>1</v>
      </c>
      <c r="V39" s="665">
        <f>14/8</f>
        <v>1.75</v>
      </c>
      <c r="W39" s="665">
        <f>ROUND(1/V39,4)</f>
        <v>0.57140000000000002</v>
      </c>
    </row>
    <row r="40" spans="1:23" s="665" customFormat="1" ht="17.100000000000001" customHeight="1">
      <c r="A40" s="1316" t="e">
        <f>#REF!</f>
        <v>#REF!</v>
      </c>
      <c r="B40" s="1317"/>
      <c r="C40" s="1316" t="e">
        <f>#REF!</f>
        <v>#REF!</v>
      </c>
      <c r="D40" s="1317"/>
      <c r="E40" s="675">
        <v>3.9</v>
      </c>
      <c r="F40" s="676" t="s">
        <v>418</v>
      </c>
      <c r="G40" s="670"/>
      <c r="H40" s="670"/>
      <c r="I40" s="670"/>
      <c r="J40" s="670"/>
      <c r="K40" s="670" t="e">
        <f>#REF!</f>
        <v>#REF!</v>
      </c>
      <c r="L40" s="670" t="e">
        <f>INT(E40*K40)</f>
        <v>#REF!</v>
      </c>
      <c r="M40" s="670" t="e">
        <f t="shared" si="3"/>
        <v>#REF!</v>
      </c>
      <c r="N40" s="670" t="e">
        <f t="shared" si="3"/>
        <v>#REF!</v>
      </c>
      <c r="O40" s="671"/>
      <c r="P40" s="672"/>
    </row>
    <row r="41" spans="1:23" s="665" customFormat="1" ht="17.100000000000001" customHeight="1">
      <c r="A41" s="1316" t="s">
        <v>1328</v>
      </c>
      <c r="B41" s="1317"/>
      <c r="C41" s="1338" t="s">
        <v>1329</v>
      </c>
      <c r="D41" s="1317"/>
      <c r="E41" s="675">
        <v>0.01</v>
      </c>
      <c r="F41" s="676" t="s">
        <v>672</v>
      </c>
      <c r="G41" s="670">
        <f>$J$208+$J$209</f>
        <v>100890</v>
      </c>
      <c r="H41" s="670">
        <f>INT(E41*G41)</f>
        <v>1008</v>
      </c>
      <c r="I41" s="670"/>
      <c r="J41" s="670"/>
      <c r="K41" s="670"/>
      <c r="L41" s="670"/>
      <c r="M41" s="670">
        <f t="shared" si="3"/>
        <v>100890</v>
      </c>
      <c r="N41" s="670">
        <f t="shared" si="3"/>
        <v>1008</v>
      </c>
      <c r="O41" s="671"/>
      <c r="P41" s="672"/>
      <c r="Q41" s="665" t="s">
        <v>1331</v>
      </c>
      <c r="R41" s="665" t="s">
        <v>1335</v>
      </c>
      <c r="U41" s="665" t="s">
        <v>1333</v>
      </c>
      <c r="W41" s="665" t="s">
        <v>1334</v>
      </c>
    </row>
    <row r="42" spans="1:23" s="665" customFormat="1" ht="17.100000000000001" customHeight="1">
      <c r="A42" s="1318" t="s">
        <v>1320</v>
      </c>
      <c r="B42" s="1319"/>
      <c r="C42" s="1371"/>
      <c r="D42" s="1372"/>
      <c r="E42" s="677"/>
      <c r="F42" s="676"/>
      <c r="G42" s="670"/>
      <c r="H42" s="670" t="e">
        <f>SUM(H37:H41)</f>
        <v>#REF!</v>
      </c>
      <c r="I42" s="670"/>
      <c r="J42" s="670" t="e">
        <f>SUM(J37:J41)</f>
        <v>#REF!</v>
      </c>
      <c r="K42" s="670"/>
      <c r="L42" s="670" t="e">
        <f>SUM(L37:L41)</f>
        <v>#REF!</v>
      </c>
      <c r="M42" s="670"/>
      <c r="N42" s="670" t="e">
        <f>SUM(N37:N41)</f>
        <v>#REF!</v>
      </c>
      <c r="O42" s="671"/>
      <c r="P42" s="672"/>
      <c r="Q42" s="665" t="s">
        <v>628</v>
      </c>
      <c r="S42" s="665">
        <v>1</v>
      </c>
      <c r="U42" s="665">
        <v>20</v>
      </c>
      <c r="V42" s="665">
        <f>ROUND(1/U42,2)</f>
        <v>0.05</v>
      </c>
    </row>
    <row r="43" spans="1:23" s="665" customFormat="1" ht="17.100000000000001" customHeight="1">
      <c r="A43" s="668">
        <f>A36+1</f>
        <v>9</v>
      </c>
      <c r="B43" s="1320" t="s">
        <v>1336</v>
      </c>
      <c r="C43" s="1320"/>
      <c r="D43" s="1320" t="s">
        <v>1337</v>
      </c>
      <c r="E43" s="1320"/>
      <c r="F43" s="669" t="s">
        <v>850</v>
      </c>
      <c r="G43" s="670"/>
      <c r="H43" s="670"/>
      <c r="I43" s="670"/>
      <c r="J43" s="670"/>
      <c r="K43" s="670"/>
      <c r="L43" s="670"/>
      <c r="M43" s="670"/>
      <c r="N43" s="670"/>
      <c r="O43" s="671"/>
      <c r="P43" s="665" t="s">
        <v>1338</v>
      </c>
      <c r="Q43" s="665" t="s">
        <v>248</v>
      </c>
      <c r="S43" s="665">
        <v>1</v>
      </c>
      <c r="U43" s="665">
        <v>20</v>
      </c>
      <c r="V43" s="665">
        <f>ROUND(1/U43,2)</f>
        <v>0.05</v>
      </c>
    </row>
    <row r="44" spans="1:23" s="665" customFormat="1" ht="17.100000000000001" customHeight="1">
      <c r="A44" s="1316" t="s">
        <v>1339</v>
      </c>
      <c r="B44" s="1317"/>
      <c r="C44" s="1316" t="s">
        <v>628</v>
      </c>
      <c r="D44" s="1317"/>
      <c r="E44" s="675">
        <f>V37</f>
        <v>7.0000000000000007E-2</v>
      </c>
      <c r="F44" s="676" t="s">
        <v>366</v>
      </c>
      <c r="G44" s="670"/>
      <c r="H44" s="670"/>
      <c r="I44" s="670">
        <f>[53]노임단가!T6</f>
        <v>226122</v>
      </c>
      <c r="J44" s="670">
        <f>INT(E44*I44)</f>
        <v>15828</v>
      </c>
      <c r="K44" s="670"/>
      <c r="L44" s="670"/>
      <c r="M44" s="670">
        <f t="shared" ref="M44:N46" si="4">G44+I44+K44</f>
        <v>226122</v>
      </c>
      <c r="N44" s="670">
        <f t="shared" si="4"/>
        <v>15828</v>
      </c>
      <c r="O44" s="671"/>
      <c r="Q44" s="665" t="s">
        <v>583</v>
      </c>
      <c r="S44" s="665">
        <v>1</v>
      </c>
      <c r="V44" s="665">
        <f>20/8</f>
        <v>2.5</v>
      </c>
      <c r="W44" s="665">
        <f>ROUND(1/V44,4)</f>
        <v>0.4</v>
      </c>
    </row>
    <row r="45" spans="1:23" s="665" customFormat="1" ht="17.100000000000001" customHeight="1">
      <c r="A45" s="1316" t="s">
        <v>1339</v>
      </c>
      <c r="B45" s="1317"/>
      <c r="C45" s="1316" t="s">
        <v>248</v>
      </c>
      <c r="D45" s="1317"/>
      <c r="E45" s="675">
        <f>V38</f>
        <v>7.0000000000000007E-2</v>
      </c>
      <c r="F45" s="676" t="s">
        <v>366</v>
      </c>
      <c r="G45" s="670"/>
      <c r="H45" s="670"/>
      <c r="I45" s="670">
        <f>[53]노임단가!$T$5</f>
        <v>172068</v>
      </c>
      <c r="J45" s="670">
        <f>INT(E45*I45)</f>
        <v>12044</v>
      </c>
      <c r="K45" s="670"/>
      <c r="L45" s="670"/>
      <c r="M45" s="670">
        <f t="shared" si="4"/>
        <v>172068</v>
      </c>
      <c r="N45" s="670">
        <f t="shared" si="4"/>
        <v>12044</v>
      </c>
      <c r="O45" s="671"/>
      <c r="Q45" s="665" t="s">
        <v>1331</v>
      </c>
      <c r="R45" s="665" t="s">
        <v>1340</v>
      </c>
      <c r="U45" s="665" t="s">
        <v>1333</v>
      </c>
      <c r="W45" s="665" t="s">
        <v>1334</v>
      </c>
    </row>
    <row r="46" spans="1:23" s="665" customFormat="1" ht="17.100000000000001" customHeight="1">
      <c r="A46" s="1316" t="s">
        <v>1341</v>
      </c>
      <c r="B46" s="1317"/>
      <c r="C46" s="1316" t="s">
        <v>1342</v>
      </c>
      <c r="D46" s="1317"/>
      <c r="E46" s="675">
        <f>W39</f>
        <v>0.57140000000000002</v>
      </c>
      <c r="F46" s="676" t="s">
        <v>418</v>
      </c>
      <c r="G46" s="670" t="e">
        <f>#REF!</f>
        <v>#REF!</v>
      </c>
      <c r="H46" s="670" t="e">
        <f>INT(E46*G46)</f>
        <v>#REF!</v>
      </c>
      <c r="I46" s="670" t="e">
        <f>#REF!</f>
        <v>#REF!</v>
      </c>
      <c r="J46" s="670" t="e">
        <f>INT(E46*I46)</f>
        <v>#REF!</v>
      </c>
      <c r="K46" s="670" t="e">
        <f>#REF!</f>
        <v>#REF!</v>
      </c>
      <c r="L46" s="670" t="e">
        <f>INT(E46*K46)</f>
        <v>#REF!</v>
      </c>
      <c r="M46" s="670" t="e">
        <f t="shared" si="4"/>
        <v>#REF!</v>
      </c>
      <c r="N46" s="670" t="e">
        <f t="shared" si="4"/>
        <v>#REF!</v>
      </c>
      <c r="O46" s="671"/>
      <c r="Q46" s="665" t="s">
        <v>628</v>
      </c>
      <c r="S46" s="665">
        <v>1</v>
      </c>
      <c r="U46" s="665">
        <v>9</v>
      </c>
      <c r="V46" s="665">
        <f>ROUND(1/U46,2)</f>
        <v>0.11</v>
      </c>
    </row>
    <row r="47" spans="1:23" s="665" customFormat="1" ht="17.100000000000001" customHeight="1">
      <c r="A47" s="1318" t="s">
        <v>1320</v>
      </c>
      <c r="B47" s="1319"/>
      <c r="C47" s="1371"/>
      <c r="D47" s="1372"/>
      <c r="E47" s="677"/>
      <c r="F47" s="676"/>
      <c r="G47" s="670"/>
      <c r="H47" s="670" t="e">
        <f>SUM(H44:H46)</f>
        <v>#REF!</v>
      </c>
      <c r="I47" s="670"/>
      <c r="J47" s="670" t="e">
        <f>SUM(J44:J46)</f>
        <v>#REF!</v>
      </c>
      <c r="K47" s="670"/>
      <c r="L47" s="670" t="e">
        <f>SUM(L44:L46)</f>
        <v>#REF!</v>
      </c>
      <c r="M47" s="670"/>
      <c r="N47" s="670" t="e">
        <f>SUM(N44:N46)</f>
        <v>#REF!</v>
      </c>
      <c r="O47" s="671"/>
      <c r="Q47" s="665" t="s">
        <v>248</v>
      </c>
      <c r="S47" s="665">
        <v>1</v>
      </c>
      <c r="U47" s="665">
        <v>9</v>
      </c>
      <c r="V47" s="665">
        <f>ROUND(1/U47,2)</f>
        <v>0.11</v>
      </c>
    </row>
    <row r="48" spans="1:23" s="665" customFormat="1" ht="17.100000000000001" customHeight="1">
      <c r="A48" s="668">
        <f>A43+1</f>
        <v>10</v>
      </c>
      <c r="B48" s="1320" t="s">
        <v>1336</v>
      </c>
      <c r="C48" s="1320"/>
      <c r="D48" s="1320" t="s">
        <v>1343</v>
      </c>
      <c r="E48" s="1320"/>
      <c r="F48" s="669" t="s">
        <v>850</v>
      </c>
      <c r="G48" s="670"/>
      <c r="H48" s="670"/>
      <c r="I48" s="670"/>
      <c r="J48" s="670"/>
      <c r="K48" s="670"/>
      <c r="L48" s="670"/>
      <c r="M48" s="670"/>
      <c r="N48" s="670"/>
      <c r="O48" s="671"/>
      <c r="P48" s="665" t="s">
        <v>1338</v>
      </c>
      <c r="Q48" s="665" t="s">
        <v>583</v>
      </c>
      <c r="S48" s="665">
        <v>1</v>
      </c>
      <c r="V48" s="665">
        <f>9/8</f>
        <v>1.125</v>
      </c>
      <c r="W48" s="665">
        <f>ROUND(1/V48,4)</f>
        <v>0.88890000000000002</v>
      </c>
    </row>
    <row r="49" spans="1:23" s="665" customFormat="1" ht="17.100000000000001" customHeight="1">
      <c r="A49" s="1316" t="s">
        <v>1339</v>
      </c>
      <c r="B49" s="1317"/>
      <c r="C49" s="1316" t="s">
        <v>628</v>
      </c>
      <c r="D49" s="1317"/>
      <c r="E49" s="675">
        <f>V42</f>
        <v>0.05</v>
      </c>
      <c r="F49" s="676" t="s">
        <v>366</v>
      </c>
      <c r="G49" s="670"/>
      <c r="H49" s="670"/>
      <c r="I49" s="670">
        <f>[53]노임단가!T11</f>
        <v>268187</v>
      </c>
      <c r="J49" s="670">
        <f>INT(E49*I49)</f>
        <v>13409</v>
      </c>
      <c r="K49" s="670"/>
      <c r="L49" s="670"/>
      <c r="M49" s="670">
        <f t="shared" ref="M49:N51" si="5">G49+I49+K49</f>
        <v>268187</v>
      </c>
      <c r="N49" s="670">
        <f t="shared" si="5"/>
        <v>13409</v>
      </c>
      <c r="O49" s="671"/>
      <c r="Q49" s="665" t="s">
        <v>1331</v>
      </c>
      <c r="R49" s="665" t="s">
        <v>1344</v>
      </c>
      <c r="U49" s="665" t="s">
        <v>1333</v>
      </c>
      <c r="W49" s="665" t="s">
        <v>1334</v>
      </c>
    </row>
    <row r="50" spans="1:23" s="665" customFormat="1" ht="17.100000000000001" customHeight="1">
      <c r="A50" s="1316" t="s">
        <v>1339</v>
      </c>
      <c r="B50" s="1317"/>
      <c r="C50" s="1316" t="s">
        <v>248</v>
      </c>
      <c r="D50" s="1317"/>
      <c r="E50" s="675">
        <f>V43</f>
        <v>0.05</v>
      </c>
      <c r="F50" s="676" t="s">
        <v>366</v>
      </c>
      <c r="G50" s="670"/>
      <c r="H50" s="670"/>
      <c r="I50" s="670">
        <f>[53]노임단가!$T$5</f>
        <v>172068</v>
      </c>
      <c r="J50" s="670">
        <f>INT(E50*I50)</f>
        <v>8603</v>
      </c>
      <c r="K50" s="670"/>
      <c r="L50" s="670"/>
      <c r="M50" s="670">
        <f t="shared" si="5"/>
        <v>172068</v>
      </c>
      <c r="N50" s="670">
        <f t="shared" si="5"/>
        <v>8603</v>
      </c>
      <c r="O50" s="671"/>
      <c r="Q50" s="665" t="s">
        <v>628</v>
      </c>
      <c r="S50" s="665">
        <v>1</v>
      </c>
      <c r="U50" s="665">
        <v>13</v>
      </c>
      <c r="V50" s="665">
        <f>ROUND(1/U50,2)</f>
        <v>0.08</v>
      </c>
    </row>
    <row r="51" spans="1:23" s="665" customFormat="1" ht="17.100000000000001" customHeight="1">
      <c r="A51" s="1316" t="s">
        <v>1341</v>
      </c>
      <c r="B51" s="1317"/>
      <c r="C51" s="1316" t="s">
        <v>1342</v>
      </c>
      <c r="D51" s="1317"/>
      <c r="E51" s="675">
        <f>W44</f>
        <v>0.4</v>
      </c>
      <c r="F51" s="676" t="s">
        <v>418</v>
      </c>
      <c r="G51" s="670" t="e">
        <f>#REF!</f>
        <v>#REF!</v>
      </c>
      <c r="H51" s="670" t="e">
        <f>INT(E51*G51)</f>
        <v>#REF!</v>
      </c>
      <c r="I51" s="670" t="e">
        <f>#REF!</f>
        <v>#REF!</v>
      </c>
      <c r="J51" s="670" t="e">
        <f>INT(E51*I51)</f>
        <v>#REF!</v>
      </c>
      <c r="K51" s="670" t="e">
        <f>#REF!</f>
        <v>#REF!</v>
      </c>
      <c r="L51" s="670" t="e">
        <f>INT(E51*K51)</f>
        <v>#REF!</v>
      </c>
      <c r="M51" s="670" t="e">
        <f t="shared" si="5"/>
        <v>#REF!</v>
      </c>
      <c r="N51" s="670" t="e">
        <f t="shared" si="5"/>
        <v>#REF!</v>
      </c>
      <c r="O51" s="671"/>
      <c r="Q51" s="665" t="s">
        <v>248</v>
      </c>
      <c r="S51" s="665">
        <v>1</v>
      </c>
      <c r="U51" s="665">
        <v>13</v>
      </c>
      <c r="V51" s="665">
        <f>ROUND(1/U51,2)</f>
        <v>0.08</v>
      </c>
    </row>
    <row r="52" spans="1:23" s="665" customFormat="1" ht="17.100000000000001" customHeight="1">
      <c r="A52" s="1318" t="s">
        <v>1320</v>
      </c>
      <c r="B52" s="1319"/>
      <c r="C52" s="1371"/>
      <c r="D52" s="1372"/>
      <c r="E52" s="677"/>
      <c r="F52" s="676"/>
      <c r="G52" s="670"/>
      <c r="H52" s="670" t="e">
        <f>SUM(H49:H51)</f>
        <v>#REF!</v>
      </c>
      <c r="I52" s="670"/>
      <c r="J52" s="670" t="e">
        <f>SUM(J49:J51)</f>
        <v>#REF!</v>
      </c>
      <c r="K52" s="670"/>
      <c r="L52" s="670" t="e">
        <f>SUM(L49:L51)</f>
        <v>#REF!</v>
      </c>
      <c r="M52" s="670"/>
      <c r="N52" s="670" t="e">
        <f>SUM(N49:N51)</f>
        <v>#REF!</v>
      </c>
      <c r="O52" s="671"/>
      <c r="Q52" s="665" t="s">
        <v>583</v>
      </c>
      <c r="S52" s="665">
        <v>1</v>
      </c>
      <c r="V52" s="665">
        <f>13/8</f>
        <v>1.625</v>
      </c>
      <c r="W52" s="665">
        <f>ROUND(1/V52,4)</f>
        <v>0.61539999999999995</v>
      </c>
    </row>
    <row r="53" spans="1:23" s="665" customFormat="1" ht="17.100000000000001" customHeight="1">
      <c r="A53" s="668">
        <f>A48+1</f>
        <v>11</v>
      </c>
      <c r="B53" s="1320" t="s">
        <v>1336</v>
      </c>
      <c r="C53" s="1320"/>
      <c r="D53" s="1320" t="s">
        <v>1345</v>
      </c>
      <c r="E53" s="1320"/>
      <c r="F53" s="669" t="s">
        <v>850</v>
      </c>
      <c r="G53" s="670"/>
      <c r="H53" s="670"/>
      <c r="I53" s="670"/>
      <c r="J53" s="670"/>
      <c r="K53" s="670"/>
      <c r="L53" s="670"/>
      <c r="M53" s="670"/>
      <c r="N53" s="670"/>
      <c r="O53" s="671"/>
      <c r="P53" s="665" t="s">
        <v>1338</v>
      </c>
      <c r="Q53" s="673" t="s">
        <v>1330</v>
      </c>
      <c r="R53" s="665" t="s">
        <v>626</v>
      </c>
      <c r="S53" s="674" t="s">
        <v>1346</v>
      </c>
    </row>
    <row r="54" spans="1:23" s="665" customFormat="1" ht="17.100000000000001" customHeight="1">
      <c r="A54" s="1316" t="s">
        <v>1339</v>
      </c>
      <c r="B54" s="1317"/>
      <c r="C54" s="1316" t="s">
        <v>628</v>
      </c>
      <c r="D54" s="1317"/>
      <c r="E54" s="675">
        <f>V46</f>
        <v>0.11</v>
      </c>
      <c r="F54" s="676" t="s">
        <v>366</v>
      </c>
      <c r="G54" s="670"/>
      <c r="H54" s="670"/>
      <c r="I54" s="670">
        <f>[53]노임단가!T16</f>
        <v>273540</v>
      </c>
      <c r="J54" s="670">
        <f>INT(E54*I54)</f>
        <v>30089</v>
      </c>
      <c r="K54" s="670"/>
      <c r="L54" s="670"/>
      <c r="M54" s="670">
        <f t="shared" ref="M54:N56" si="6">G54+I54+K54</f>
        <v>273540</v>
      </c>
      <c r="N54" s="670">
        <f t="shared" si="6"/>
        <v>30089</v>
      </c>
      <c r="O54" s="671"/>
      <c r="Q54" s="680" t="s">
        <v>1347</v>
      </c>
    </row>
    <row r="55" spans="1:23" s="665" customFormat="1" ht="17.100000000000001" customHeight="1">
      <c r="A55" s="1316" t="s">
        <v>1339</v>
      </c>
      <c r="B55" s="1317"/>
      <c r="C55" s="1316" t="s">
        <v>248</v>
      </c>
      <c r="D55" s="1317"/>
      <c r="E55" s="675">
        <f>V47</f>
        <v>0.11</v>
      </c>
      <c r="F55" s="676" t="s">
        <v>366</v>
      </c>
      <c r="G55" s="670"/>
      <c r="H55" s="670"/>
      <c r="I55" s="670">
        <f>[53]노임단가!$T$5</f>
        <v>172068</v>
      </c>
      <c r="J55" s="670">
        <f>INT(E55*I55)</f>
        <v>18927</v>
      </c>
      <c r="K55" s="670"/>
      <c r="L55" s="670"/>
      <c r="M55" s="670">
        <f t="shared" si="6"/>
        <v>172068</v>
      </c>
      <c r="N55" s="670">
        <f t="shared" si="6"/>
        <v>18927</v>
      </c>
      <c r="O55" s="671"/>
      <c r="Q55" s="681" t="s">
        <v>1321</v>
      </c>
      <c r="R55" s="681"/>
      <c r="S55" s="681"/>
      <c r="T55" s="681"/>
      <c r="U55" s="682" t="s">
        <v>1348</v>
      </c>
      <c r="V55" s="682" t="s">
        <v>1349</v>
      </c>
    </row>
    <row r="56" spans="1:23" s="665" customFormat="1" ht="17.100000000000001" customHeight="1">
      <c r="A56" s="1316" t="s">
        <v>1341</v>
      </c>
      <c r="B56" s="1317"/>
      <c r="C56" s="1316" t="s">
        <v>1342</v>
      </c>
      <c r="D56" s="1317"/>
      <c r="E56" s="675">
        <f>W48</f>
        <v>0.88890000000000002</v>
      </c>
      <c r="F56" s="676" t="s">
        <v>418</v>
      </c>
      <c r="G56" s="670" t="e">
        <f>#REF!</f>
        <v>#REF!</v>
      </c>
      <c r="H56" s="670" t="e">
        <f>INT(E56*G56)</f>
        <v>#REF!</v>
      </c>
      <c r="I56" s="670" t="e">
        <f>#REF!</f>
        <v>#REF!</v>
      </c>
      <c r="J56" s="670" t="e">
        <f>INT(E56*I56)</f>
        <v>#REF!</v>
      </c>
      <c r="K56" s="670" t="e">
        <f>#REF!</f>
        <v>#REF!</v>
      </c>
      <c r="L56" s="670" t="e">
        <f>INT(E56*K56)</f>
        <v>#REF!</v>
      </c>
      <c r="M56" s="670" t="e">
        <f t="shared" si="6"/>
        <v>#REF!</v>
      </c>
      <c r="N56" s="670" t="e">
        <f t="shared" si="6"/>
        <v>#REF!</v>
      </c>
      <c r="O56" s="671"/>
      <c r="Q56" s="681" t="s">
        <v>1350</v>
      </c>
      <c r="R56" s="681">
        <v>1</v>
      </c>
      <c r="S56" s="681">
        <v>8</v>
      </c>
      <c r="T56" s="681">
        <v>560</v>
      </c>
      <c r="U56" s="681">
        <f>T56/S56</f>
        <v>70</v>
      </c>
      <c r="V56" s="681">
        <f>ROUND(1/U56,4)</f>
        <v>1.43E-2</v>
      </c>
    </row>
    <row r="57" spans="1:23" s="665" customFormat="1" ht="17.100000000000001" customHeight="1">
      <c r="A57" s="1318" t="s">
        <v>1320</v>
      </c>
      <c r="B57" s="1319"/>
      <c r="C57" s="1371"/>
      <c r="D57" s="1372"/>
      <c r="E57" s="677"/>
      <c r="F57" s="676"/>
      <c r="G57" s="670"/>
      <c r="H57" s="670" t="e">
        <f>SUM(H54:H56)</f>
        <v>#REF!</v>
      </c>
      <c r="I57" s="670"/>
      <c r="J57" s="670" t="e">
        <f>SUM(J54:J56)</f>
        <v>#REF!</v>
      </c>
      <c r="K57" s="670"/>
      <c r="L57" s="670" t="e">
        <f>SUM(L54:L56)</f>
        <v>#REF!</v>
      </c>
      <c r="M57" s="670"/>
      <c r="N57" s="670" t="e">
        <f>SUM(N54:N56)</f>
        <v>#REF!</v>
      </c>
      <c r="O57" s="671"/>
      <c r="Q57" s="681" t="s">
        <v>1351</v>
      </c>
      <c r="R57" s="681"/>
      <c r="S57" s="681"/>
      <c r="T57" s="681"/>
      <c r="U57" s="681"/>
      <c r="V57" s="681"/>
    </row>
    <row r="58" spans="1:23" s="665" customFormat="1" ht="17.100000000000001" customHeight="1">
      <c r="A58" s="668">
        <f>A53+1</f>
        <v>12</v>
      </c>
      <c r="B58" s="1320" t="s">
        <v>1336</v>
      </c>
      <c r="C58" s="1320"/>
      <c r="D58" s="1320" t="s">
        <v>1352</v>
      </c>
      <c r="E58" s="1320"/>
      <c r="F58" s="669" t="s">
        <v>850</v>
      </c>
      <c r="G58" s="670"/>
      <c r="H58" s="670"/>
      <c r="I58" s="670"/>
      <c r="J58" s="670"/>
      <c r="K58" s="670"/>
      <c r="L58" s="670"/>
      <c r="M58" s="670"/>
      <c r="N58" s="670"/>
      <c r="O58" s="671"/>
      <c r="P58" s="665" t="s">
        <v>1338</v>
      </c>
      <c r="Q58" s="681" t="s">
        <v>1350</v>
      </c>
      <c r="R58" s="681">
        <v>1</v>
      </c>
      <c r="S58" s="681">
        <v>8</v>
      </c>
      <c r="T58" s="681">
        <v>390</v>
      </c>
      <c r="U58" s="681">
        <f>T58/S58</f>
        <v>48.75</v>
      </c>
      <c r="V58" s="681">
        <f>ROUND(1/U58,4)</f>
        <v>2.0500000000000001E-2</v>
      </c>
    </row>
    <row r="59" spans="1:23" s="665" customFormat="1" ht="17.100000000000001" customHeight="1">
      <c r="A59" s="1316" t="s">
        <v>1339</v>
      </c>
      <c r="B59" s="1317"/>
      <c r="C59" s="1316" t="s">
        <v>628</v>
      </c>
      <c r="D59" s="1317"/>
      <c r="E59" s="675">
        <f>V50</f>
        <v>0.08</v>
      </c>
      <c r="F59" s="676" t="s">
        <v>366</v>
      </c>
      <c r="G59" s="670"/>
      <c r="H59" s="670"/>
      <c r="I59" s="670">
        <f>[53]노임단가!T21</f>
        <v>221015</v>
      </c>
      <c r="J59" s="670">
        <f>INT(E59*I59)</f>
        <v>17681</v>
      </c>
      <c r="K59" s="670"/>
      <c r="L59" s="670"/>
      <c r="M59" s="670">
        <f t="shared" ref="M59:N61" si="7">G59+I59+K59</f>
        <v>221015</v>
      </c>
      <c r="N59" s="670">
        <f t="shared" si="7"/>
        <v>17681</v>
      </c>
      <c r="O59" s="671"/>
      <c r="Q59" s="680" t="s">
        <v>1353</v>
      </c>
    </row>
    <row r="60" spans="1:23" s="665" customFormat="1" ht="17.100000000000001" customHeight="1">
      <c r="A60" s="1316" t="s">
        <v>1339</v>
      </c>
      <c r="B60" s="1317"/>
      <c r="C60" s="1316" t="s">
        <v>248</v>
      </c>
      <c r="D60" s="1317"/>
      <c r="E60" s="675">
        <f>V51</f>
        <v>0.08</v>
      </c>
      <c r="F60" s="676" t="s">
        <v>366</v>
      </c>
      <c r="G60" s="670"/>
      <c r="H60" s="670"/>
      <c r="I60" s="670">
        <f>[53]노임단가!$T$5</f>
        <v>172068</v>
      </c>
      <c r="J60" s="670">
        <f>INT(E60*I60)</f>
        <v>13765</v>
      </c>
      <c r="K60" s="670"/>
      <c r="L60" s="670"/>
      <c r="M60" s="670">
        <f t="shared" si="7"/>
        <v>172068</v>
      </c>
      <c r="N60" s="670">
        <f t="shared" si="7"/>
        <v>13765</v>
      </c>
      <c r="O60" s="671"/>
      <c r="Q60" s="681" t="s">
        <v>1321</v>
      </c>
      <c r="R60" s="681"/>
      <c r="S60" s="681"/>
      <c r="T60" s="681"/>
      <c r="U60" s="682" t="s">
        <v>1348</v>
      </c>
      <c r="V60" s="682" t="s">
        <v>1349</v>
      </c>
    </row>
    <row r="61" spans="1:23" s="665" customFormat="1" ht="17.100000000000001" customHeight="1">
      <c r="A61" s="1316" t="s">
        <v>1341</v>
      </c>
      <c r="B61" s="1317"/>
      <c r="C61" s="1316" t="s">
        <v>1342</v>
      </c>
      <c r="D61" s="1317"/>
      <c r="E61" s="675">
        <f>W52</f>
        <v>0.61539999999999995</v>
      </c>
      <c r="F61" s="676" t="s">
        <v>418</v>
      </c>
      <c r="G61" s="670" t="e">
        <f>#REF!</f>
        <v>#REF!</v>
      </c>
      <c r="H61" s="670" t="e">
        <f>INT(E61*G61)</f>
        <v>#REF!</v>
      </c>
      <c r="I61" s="670" t="e">
        <f>#REF!</f>
        <v>#REF!</v>
      </c>
      <c r="J61" s="670" t="e">
        <f>INT(E61*I61)</f>
        <v>#REF!</v>
      </c>
      <c r="K61" s="670" t="e">
        <f>#REF!</f>
        <v>#REF!</v>
      </c>
      <c r="L61" s="670" t="e">
        <f>INT(E61*K61)</f>
        <v>#REF!</v>
      </c>
      <c r="M61" s="670" t="e">
        <f t="shared" si="7"/>
        <v>#REF!</v>
      </c>
      <c r="N61" s="670" t="e">
        <f t="shared" si="7"/>
        <v>#REF!</v>
      </c>
      <c r="O61" s="671"/>
      <c r="Q61" s="681" t="s">
        <v>1350</v>
      </c>
      <c r="R61" s="681">
        <v>1</v>
      </c>
      <c r="S61" s="681">
        <v>8</v>
      </c>
      <c r="T61" s="681">
        <v>420</v>
      </c>
      <c r="U61" s="681">
        <f>T61/S61</f>
        <v>52.5</v>
      </c>
      <c r="V61" s="681">
        <f>ROUND(1/U61,4)</f>
        <v>1.9E-2</v>
      </c>
    </row>
    <row r="62" spans="1:23" s="665" customFormat="1" ht="17.100000000000001" customHeight="1">
      <c r="A62" s="1318" t="s">
        <v>1320</v>
      </c>
      <c r="B62" s="1319"/>
      <c r="C62" s="1371"/>
      <c r="D62" s="1372"/>
      <c r="E62" s="677"/>
      <c r="F62" s="676"/>
      <c r="G62" s="670"/>
      <c r="H62" s="670" t="e">
        <f>SUM(H59:H61)</f>
        <v>#REF!</v>
      </c>
      <c r="I62" s="670"/>
      <c r="J62" s="670" t="e">
        <f>SUM(J59:J61)</f>
        <v>#REF!</v>
      </c>
      <c r="K62" s="670"/>
      <c r="L62" s="670" t="e">
        <f>SUM(L59:L61)</f>
        <v>#REF!</v>
      </c>
      <c r="M62" s="670"/>
      <c r="N62" s="670" t="e">
        <f>SUM(N59:N61)</f>
        <v>#REF!</v>
      </c>
      <c r="O62" s="671"/>
      <c r="Q62" s="681" t="s">
        <v>1351</v>
      </c>
      <c r="R62" s="681"/>
      <c r="S62" s="681"/>
      <c r="T62" s="681"/>
      <c r="U62" s="681"/>
      <c r="V62" s="681"/>
    </row>
    <row r="63" spans="1:23" s="665" customFormat="1" ht="17.100000000000001" customHeight="1">
      <c r="A63" s="668">
        <f>A58+1</f>
        <v>13</v>
      </c>
      <c r="B63" s="1320" t="s">
        <v>1354</v>
      </c>
      <c r="C63" s="1320"/>
      <c r="D63" s="1320"/>
      <c r="E63" s="1320"/>
      <c r="F63" s="669" t="s">
        <v>850</v>
      </c>
      <c r="G63" s="670"/>
      <c r="H63" s="670"/>
      <c r="I63" s="670"/>
      <c r="J63" s="670"/>
      <c r="K63" s="670"/>
      <c r="L63" s="670"/>
      <c r="M63" s="670"/>
      <c r="N63" s="670"/>
      <c r="O63" s="671"/>
      <c r="Q63" s="681" t="s">
        <v>1350</v>
      </c>
      <c r="R63" s="681">
        <v>1</v>
      </c>
      <c r="S63" s="681">
        <v>8</v>
      </c>
      <c r="T63" s="681">
        <v>300</v>
      </c>
      <c r="U63" s="681">
        <f>T63/S63</f>
        <v>37.5</v>
      </c>
      <c r="V63" s="681">
        <f>ROUND(1/U63,4)</f>
        <v>2.6700000000000002E-2</v>
      </c>
    </row>
    <row r="64" spans="1:23" s="665" customFormat="1" ht="17.100000000000001" customHeight="1">
      <c r="A64" s="1359" t="s">
        <v>248</v>
      </c>
      <c r="B64" s="1360"/>
      <c r="C64" s="1359"/>
      <c r="D64" s="1360"/>
      <c r="E64" s="675">
        <v>0.2</v>
      </c>
      <c r="F64" s="676" t="s">
        <v>366</v>
      </c>
      <c r="G64" s="670"/>
      <c r="H64" s="670"/>
      <c r="I64" s="670">
        <f>[53]노임단가!$T$5</f>
        <v>172068</v>
      </c>
      <c r="J64" s="670">
        <f>INT(E64*I64)</f>
        <v>34413</v>
      </c>
      <c r="K64" s="670"/>
      <c r="L64" s="670"/>
      <c r="M64" s="670">
        <f>G64+I64+K64</f>
        <v>172068</v>
      </c>
      <c r="N64" s="670">
        <f>H64+J64+L64</f>
        <v>34413</v>
      </c>
      <c r="O64" s="671"/>
      <c r="Q64" s="680" t="s">
        <v>1355</v>
      </c>
    </row>
    <row r="65" spans="1:25" s="665" customFormat="1" ht="17.100000000000001" customHeight="1">
      <c r="A65" s="1318" t="s">
        <v>1320</v>
      </c>
      <c r="B65" s="1319"/>
      <c r="C65" s="1371"/>
      <c r="D65" s="1372"/>
      <c r="E65" s="677"/>
      <c r="F65" s="676"/>
      <c r="G65" s="670"/>
      <c r="H65" s="670"/>
      <c r="I65" s="670"/>
      <c r="J65" s="670">
        <f>SUM(J64:J64)</f>
        <v>34413</v>
      </c>
      <c r="K65" s="670"/>
      <c r="L65" s="670"/>
      <c r="M65" s="670"/>
      <c r="N65" s="670">
        <f>SUM(N64:N64)</f>
        <v>34413</v>
      </c>
      <c r="O65" s="671"/>
      <c r="Q65" s="681" t="s">
        <v>1321</v>
      </c>
      <c r="R65" s="681"/>
      <c r="S65" s="681"/>
      <c r="T65" s="681"/>
      <c r="U65" s="682" t="s">
        <v>1348</v>
      </c>
      <c r="V65" s="682" t="s">
        <v>1349</v>
      </c>
    </row>
    <row r="66" spans="1:25" s="665" customFormat="1" ht="17.100000000000001" customHeight="1">
      <c r="A66" s="668">
        <f>A63+1</f>
        <v>14</v>
      </c>
      <c r="B66" s="1320" t="s">
        <v>1356</v>
      </c>
      <c r="C66" s="1320"/>
      <c r="D66" s="1320" t="s">
        <v>1357</v>
      </c>
      <c r="E66" s="1320"/>
      <c r="F66" s="669" t="s">
        <v>850</v>
      </c>
      <c r="G66" s="670"/>
      <c r="H66" s="670"/>
      <c r="I66" s="670"/>
      <c r="J66" s="670"/>
      <c r="K66" s="670"/>
      <c r="L66" s="670"/>
      <c r="M66" s="670"/>
      <c r="N66" s="670"/>
      <c r="O66" s="671"/>
      <c r="P66" s="665" t="s">
        <v>1338</v>
      </c>
      <c r="Q66" s="681" t="s">
        <v>1358</v>
      </c>
      <c r="R66" s="681">
        <v>1</v>
      </c>
      <c r="S66" s="681">
        <v>8</v>
      </c>
      <c r="T66" s="681">
        <v>190</v>
      </c>
      <c r="U66" s="681">
        <f>T66/S66</f>
        <v>23.75</v>
      </c>
      <c r="V66" s="681">
        <f>ROUND(1/U66,4)</f>
        <v>4.2099999999999999E-2</v>
      </c>
    </row>
    <row r="67" spans="1:25" s="665" customFormat="1" ht="17.100000000000001" customHeight="1">
      <c r="A67" s="1316" t="s">
        <v>1359</v>
      </c>
      <c r="B67" s="1317"/>
      <c r="C67" s="1359" t="s">
        <v>1360</v>
      </c>
      <c r="D67" s="1360"/>
      <c r="E67" s="683">
        <f>Y79</f>
        <v>2.58E-2</v>
      </c>
      <c r="F67" s="676" t="s">
        <v>418</v>
      </c>
      <c r="G67" s="670" t="e">
        <f>#REF!</f>
        <v>#REF!</v>
      </c>
      <c r="H67" s="670" t="e">
        <f>E67*G67</f>
        <v>#REF!</v>
      </c>
      <c r="I67" s="670" t="e">
        <f>#REF!</f>
        <v>#REF!</v>
      </c>
      <c r="J67" s="670" t="e">
        <f>INT(E67*I67)</f>
        <v>#REF!</v>
      </c>
      <c r="K67" s="670" t="e">
        <f>#REF!</f>
        <v>#REF!</v>
      </c>
      <c r="L67" s="670" t="e">
        <f>E67*K67</f>
        <v>#REF!</v>
      </c>
      <c r="M67" s="670" t="e">
        <f>G67+I67+K67</f>
        <v>#REF!</v>
      </c>
      <c r="N67" s="670" t="e">
        <f>H67+J67+L67</f>
        <v>#REF!</v>
      </c>
      <c r="O67" s="671"/>
      <c r="Q67" s="681" t="s">
        <v>1351</v>
      </c>
      <c r="R67" s="681"/>
      <c r="S67" s="681"/>
      <c r="T67" s="681"/>
      <c r="U67" s="681"/>
      <c r="V67" s="681"/>
    </row>
    <row r="68" spans="1:25" s="665" customFormat="1" ht="17.100000000000001" customHeight="1">
      <c r="A68" s="1318" t="s">
        <v>1320</v>
      </c>
      <c r="B68" s="1319"/>
      <c r="C68" s="1371"/>
      <c r="D68" s="1372"/>
      <c r="E68" s="677"/>
      <c r="F68" s="676"/>
      <c r="G68" s="670"/>
      <c r="H68" s="670" t="e">
        <f>SUM(H67:H67)</f>
        <v>#REF!</v>
      </c>
      <c r="I68" s="670"/>
      <c r="J68" s="670" t="e">
        <f>SUM(J67:J67)</f>
        <v>#REF!</v>
      </c>
      <c r="K68" s="670"/>
      <c r="L68" s="670" t="e">
        <f>SUM(L67:L67)</f>
        <v>#REF!</v>
      </c>
      <c r="M68" s="670"/>
      <c r="N68" s="670" t="e">
        <f>SUM(N67:N67)</f>
        <v>#REF!</v>
      </c>
      <c r="O68" s="671"/>
      <c r="P68" s="665" t="s">
        <v>1338</v>
      </c>
      <c r="Q68" s="681" t="s">
        <v>1358</v>
      </c>
      <c r="R68" s="681">
        <v>1</v>
      </c>
      <c r="S68" s="681">
        <v>8</v>
      </c>
      <c r="T68" s="681">
        <v>150</v>
      </c>
      <c r="U68" s="681">
        <f>T68/S68</f>
        <v>18.75</v>
      </c>
      <c r="V68" s="681">
        <f>ROUND(1/U68,4)</f>
        <v>5.33E-2</v>
      </c>
    </row>
    <row r="69" spans="1:25" s="665" customFormat="1" ht="17.100000000000001" customHeight="1">
      <c r="A69" s="668">
        <f>A66+1</f>
        <v>15</v>
      </c>
      <c r="B69" s="1320" t="s">
        <v>1356</v>
      </c>
      <c r="C69" s="1320"/>
      <c r="D69" s="1320" t="s">
        <v>1361</v>
      </c>
      <c r="E69" s="1320"/>
      <c r="F69" s="669" t="s">
        <v>850</v>
      </c>
      <c r="G69" s="670"/>
      <c r="H69" s="670"/>
      <c r="I69" s="670"/>
      <c r="J69" s="670"/>
      <c r="K69" s="670"/>
      <c r="L69" s="670"/>
      <c r="M69" s="670"/>
      <c r="N69" s="670"/>
      <c r="O69" s="671"/>
    </row>
    <row r="70" spans="1:25" s="665" customFormat="1" ht="17.100000000000001" customHeight="1">
      <c r="A70" s="1316" t="s">
        <v>1359</v>
      </c>
      <c r="B70" s="1317"/>
      <c r="C70" s="1359" t="s">
        <v>1360</v>
      </c>
      <c r="D70" s="1360"/>
      <c r="E70" s="683">
        <f>Y84</f>
        <v>3.4799999999999998E-2</v>
      </c>
      <c r="F70" s="676" t="s">
        <v>418</v>
      </c>
      <c r="G70" s="670" t="e">
        <f>#REF!</f>
        <v>#REF!</v>
      </c>
      <c r="H70" s="670" t="e">
        <f>E70*G70</f>
        <v>#REF!</v>
      </c>
      <c r="I70" s="670" t="e">
        <f>#REF!</f>
        <v>#REF!</v>
      </c>
      <c r="J70" s="670" t="e">
        <f>INT(E70*I70)</f>
        <v>#REF!</v>
      </c>
      <c r="K70" s="670" t="e">
        <f>#REF!</f>
        <v>#REF!</v>
      </c>
      <c r="L70" s="670" t="e">
        <f>E70*K70</f>
        <v>#REF!</v>
      </c>
      <c r="M70" s="670" t="e">
        <f>G70+I70+K70</f>
        <v>#REF!</v>
      </c>
      <c r="N70" s="670" t="e">
        <f>H70+J70+L70</f>
        <v>#REF!</v>
      </c>
      <c r="O70" s="671"/>
      <c r="P70" s="665" t="s">
        <v>1338</v>
      </c>
    </row>
    <row r="71" spans="1:25" s="665" customFormat="1" ht="17.100000000000001" customHeight="1">
      <c r="A71" s="1318" t="s">
        <v>1320</v>
      </c>
      <c r="B71" s="1319"/>
      <c r="C71" s="1371"/>
      <c r="D71" s="1372"/>
      <c r="E71" s="677"/>
      <c r="F71" s="676"/>
      <c r="G71" s="670"/>
      <c r="H71" s="670" t="e">
        <f>SUM(H70:H70)</f>
        <v>#REF!</v>
      </c>
      <c r="I71" s="670"/>
      <c r="J71" s="670" t="e">
        <f>SUM(J70:J70)</f>
        <v>#REF!</v>
      </c>
      <c r="K71" s="670"/>
      <c r="L71" s="670" t="e">
        <f>SUM(L70:L70)</f>
        <v>#REF!</v>
      </c>
      <c r="M71" s="670"/>
      <c r="N71" s="670" t="e">
        <f>SUM(N70:N70)</f>
        <v>#REF!</v>
      </c>
      <c r="O71" s="671"/>
    </row>
    <row r="72" spans="1:25" s="665" customFormat="1" ht="17.100000000000001" customHeight="1">
      <c r="A72" s="668">
        <f>A69+1</f>
        <v>16</v>
      </c>
      <c r="B72" s="1320" t="s">
        <v>1362</v>
      </c>
      <c r="C72" s="1320"/>
      <c r="D72" s="1320" t="s">
        <v>1363</v>
      </c>
      <c r="E72" s="1320"/>
      <c r="F72" s="669" t="s">
        <v>850</v>
      </c>
      <c r="G72" s="670"/>
      <c r="H72" s="670"/>
      <c r="I72" s="670"/>
      <c r="J72" s="670"/>
      <c r="K72" s="670"/>
      <c r="L72" s="670"/>
      <c r="M72" s="670"/>
      <c r="N72" s="670"/>
      <c r="O72" s="671"/>
      <c r="P72" s="665" t="s">
        <v>1338</v>
      </c>
    </row>
    <row r="73" spans="1:25" s="665" customFormat="1" ht="17.100000000000001" customHeight="1">
      <c r="A73" s="1316" t="s">
        <v>626</v>
      </c>
      <c r="B73" s="1317"/>
      <c r="C73" s="1359" t="s">
        <v>1360</v>
      </c>
      <c r="D73" s="1360"/>
      <c r="E73" s="683">
        <f>V56</f>
        <v>1.43E-2</v>
      </c>
      <c r="F73" s="676" t="s">
        <v>418</v>
      </c>
      <c r="G73" s="670" t="e">
        <f>#REF!</f>
        <v>#REF!</v>
      </c>
      <c r="H73" s="670" t="e">
        <f>E73*G73</f>
        <v>#REF!</v>
      </c>
      <c r="I73" s="670" t="e">
        <f>#REF!</f>
        <v>#REF!</v>
      </c>
      <c r="J73" s="670" t="e">
        <f>INT(E73*I73)</f>
        <v>#REF!</v>
      </c>
      <c r="K73" s="670" t="e">
        <f>#REF!</f>
        <v>#REF!</v>
      </c>
      <c r="L73" s="670" t="e">
        <f>E73*K73</f>
        <v>#REF!</v>
      </c>
      <c r="M73" s="670" t="e">
        <f>G73+I73+K73</f>
        <v>#REF!</v>
      </c>
      <c r="N73" s="670" t="e">
        <f>H73+J73+L73</f>
        <v>#REF!</v>
      </c>
      <c r="O73" s="671"/>
    </row>
    <row r="74" spans="1:25" s="665" customFormat="1" ht="17.100000000000001" customHeight="1">
      <c r="A74" s="1318" t="s">
        <v>1320</v>
      </c>
      <c r="B74" s="1319"/>
      <c r="C74" s="1371"/>
      <c r="D74" s="1372"/>
      <c r="E74" s="677"/>
      <c r="F74" s="676"/>
      <c r="G74" s="670"/>
      <c r="H74" s="670" t="e">
        <f>SUM(H73)</f>
        <v>#REF!</v>
      </c>
      <c r="I74" s="670"/>
      <c r="J74" s="670" t="e">
        <f>SUM(J73)</f>
        <v>#REF!</v>
      </c>
      <c r="K74" s="670"/>
      <c r="L74" s="670" t="e">
        <f>SUM(L73)</f>
        <v>#REF!</v>
      </c>
      <c r="M74" s="670"/>
      <c r="N74" s="670" t="e">
        <f>SUM(N73)</f>
        <v>#REF!</v>
      </c>
      <c r="O74" s="671"/>
      <c r="P74" s="665" t="s">
        <v>1338</v>
      </c>
    </row>
    <row r="75" spans="1:25" s="665" customFormat="1" ht="17.100000000000001" customHeight="1">
      <c r="A75" s="668">
        <f>A72+1</f>
        <v>17</v>
      </c>
      <c r="B75" s="1320" t="s">
        <v>1362</v>
      </c>
      <c r="C75" s="1320"/>
      <c r="D75" s="1320" t="s">
        <v>1364</v>
      </c>
      <c r="E75" s="1320"/>
      <c r="F75" s="669" t="s">
        <v>850</v>
      </c>
      <c r="G75" s="670"/>
      <c r="H75" s="670"/>
      <c r="I75" s="670"/>
      <c r="J75" s="670"/>
      <c r="K75" s="670"/>
      <c r="L75" s="670"/>
      <c r="M75" s="670"/>
      <c r="N75" s="670"/>
      <c r="O75" s="671"/>
      <c r="R75" s="673" t="s">
        <v>1330</v>
      </c>
      <c r="S75" s="684" t="s">
        <v>1365</v>
      </c>
    </row>
    <row r="76" spans="1:25" s="665" customFormat="1" ht="17.100000000000001" customHeight="1">
      <c r="A76" s="1316" t="s">
        <v>626</v>
      </c>
      <c r="B76" s="1317"/>
      <c r="C76" s="1359" t="s">
        <v>1360</v>
      </c>
      <c r="D76" s="1360"/>
      <c r="E76" s="683">
        <f>V58</f>
        <v>2.0500000000000001E-2</v>
      </c>
      <c r="F76" s="676" t="s">
        <v>418</v>
      </c>
      <c r="G76" s="670" t="e">
        <f>#REF!</f>
        <v>#REF!</v>
      </c>
      <c r="H76" s="670" t="e">
        <f>E76*G76</f>
        <v>#REF!</v>
      </c>
      <c r="I76" s="670" t="e">
        <f>#REF!</f>
        <v>#REF!</v>
      </c>
      <c r="J76" s="670" t="e">
        <f>INT(E76*I76)</f>
        <v>#REF!</v>
      </c>
      <c r="K76" s="670" t="e">
        <f>#REF!</f>
        <v>#REF!</v>
      </c>
      <c r="L76" s="670" t="e">
        <f>E76*K76</f>
        <v>#REF!</v>
      </c>
      <c r="M76" s="670" t="e">
        <f>G76+I76+K76</f>
        <v>#REF!</v>
      </c>
      <c r="N76" s="670" t="e">
        <f>H76+J76+L76</f>
        <v>#REF!</v>
      </c>
      <c r="O76" s="671"/>
      <c r="P76" s="665" t="s">
        <v>1338</v>
      </c>
      <c r="R76" s="681" t="s">
        <v>1356</v>
      </c>
      <c r="S76" s="681"/>
      <c r="T76" s="681"/>
      <c r="U76" s="681"/>
      <c r="V76" s="681"/>
      <c r="W76" s="681"/>
      <c r="X76" s="681"/>
      <c r="Y76" s="681"/>
    </row>
    <row r="77" spans="1:25" s="665" customFormat="1" ht="17.100000000000001" customHeight="1">
      <c r="A77" s="1318" t="s">
        <v>1320</v>
      </c>
      <c r="B77" s="1319"/>
      <c r="C77" s="1371"/>
      <c r="D77" s="1372"/>
      <c r="E77" s="677"/>
      <c r="F77" s="676"/>
      <c r="G77" s="670"/>
      <c r="H77" s="670" t="e">
        <f>SUM(H76)</f>
        <v>#REF!</v>
      </c>
      <c r="I77" s="670"/>
      <c r="J77" s="670" t="e">
        <f>SUM(J76)</f>
        <v>#REF!</v>
      </c>
      <c r="K77" s="670"/>
      <c r="L77" s="670" t="e">
        <f>SUM(L76)</f>
        <v>#REF!</v>
      </c>
      <c r="M77" s="670"/>
      <c r="N77" s="670" t="e">
        <f>SUM(N76)</f>
        <v>#REF!</v>
      </c>
      <c r="O77" s="671"/>
      <c r="R77" s="681" t="s">
        <v>1321</v>
      </c>
      <c r="S77" s="681"/>
      <c r="T77" s="681"/>
      <c r="U77" s="681"/>
      <c r="V77" s="681"/>
      <c r="W77" s="681"/>
      <c r="X77" s="681" t="s">
        <v>1348</v>
      </c>
      <c r="Y77" s="681" t="s">
        <v>1366</v>
      </c>
    </row>
    <row r="78" spans="1:25" s="665" customFormat="1" ht="17.100000000000001" customHeight="1">
      <c r="A78" s="668">
        <f>A75+1</f>
        <v>18</v>
      </c>
      <c r="B78" s="1320" t="s">
        <v>1362</v>
      </c>
      <c r="C78" s="1320"/>
      <c r="D78" s="1320" t="s">
        <v>1367</v>
      </c>
      <c r="E78" s="1320"/>
      <c r="F78" s="669" t="s">
        <v>850</v>
      </c>
      <c r="G78" s="670"/>
      <c r="H78" s="670"/>
      <c r="I78" s="670"/>
      <c r="J78" s="670"/>
      <c r="K78" s="670"/>
      <c r="L78" s="670"/>
      <c r="M78" s="670"/>
      <c r="N78" s="670"/>
      <c r="O78" s="671"/>
      <c r="P78" s="665" t="s">
        <v>1338</v>
      </c>
      <c r="R78" s="681" t="s">
        <v>1368</v>
      </c>
      <c r="S78" s="681" t="s">
        <v>1369</v>
      </c>
      <c r="T78" s="681"/>
      <c r="U78" s="681">
        <v>1</v>
      </c>
      <c r="V78" s="681">
        <v>8</v>
      </c>
      <c r="W78" s="681">
        <v>560</v>
      </c>
      <c r="X78" s="681">
        <f>W78/V78</f>
        <v>70</v>
      </c>
      <c r="Y78" s="681">
        <f>ROUND(1/X78,4)</f>
        <v>1.43E-2</v>
      </c>
    </row>
    <row r="79" spans="1:25" s="665" customFormat="1" ht="17.100000000000001" customHeight="1">
      <c r="A79" s="1316" t="s">
        <v>626</v>
      </c>
      <c r="B79" s="1317"/>
      <c r="C79" s="1359" t="s">
        <v>1360</v>
      </c>
      <c r="D79" s="1360"/>
      <c r="E79" s="683">
        <f>V61</f>
        <v>1.9E-2</v>
      </c>
      <c r="F79" s="676" t="s">
        <v>418</v>
      </c>
      <c r="G79" s="670" t="e">
        <f>#REF!</f>
        <v>#REF!</v>
      </c>
      <c r="H79" s="670" t="e">
        <f>E79*G79</f>
        <v>#REF!</v>
      </c>
      <c r="I79" s="670" t="e">
        <f>#REF!</f>
        <v>#REF!</v>
      </c>
      <c r="J79" s="670" t="e">
        <f>INT(E79*I79)</f>
        <v>#REF!</v>
      </c>
      <c r="K79" s="670" t="e">
        <f>#REF!</f>
        <v>#REF!</v>
      </c>
      <c r="L79" s="670" t="e">
        <f>E79*K79</f>
        <v>#REF!</v>
      </c>
      <c r="M79" s="670" t="e">
        <f>G79+I79+K79</f>
        <v>#REF!</v>
      </c>
      <c r="N79" s="670" t="e">
        <f>H79+J79+L79</f>
        <v>#REF!</v>
      </c>
      <c r="O79" s="671"/>
      <c r="R79" s="681" t="s">
        <v>1370</v>
      </c>
      <c r="S79" s="681" t="s">
        <v>1350</v>
      </c>
      <c r="T79" s="681"/>
      <c r="U79" s="681">
        <v>1</v>
      </c>
      <c r="V79" s="681">
        <v>8</v>
      </c>
      <c r="W79" s="681">
        <v>310</v>
      </c>
      <c r="X79" s="681">
        <f>W79/V79</f>
        <v>38.75</v>
      </c>
      <c r="Y79" s="681">
        <f>ROUND(1/X79,4)</f>
        <v>2.58E-2</v>
      </c>
    </row>
    <row r="80" spans="1:25" s="665" customFormat="1" ht="17.100000000000001" customHeight="1">
      <c r="A80" s="1318" t="s">
        <v>1320</v>
      </c>
      <c r="B80" s="1319"/>
      <c r="C80" s="1371"/>
      <c r="D80" s="1372"/>
      <c r="E80" s="677"/>
      <c r="F80" s="676"/>
      <c r="G80" s="670"/>
      <c r="H80" s="670" t="e">
        <f>SUM(H79)</f>
        <v>#REF!</v>
      </c>
      <c r="I80" s="670"/>
      <c r="J80" s="670" t="e">
        <f>SUM(J79)</f>
        <v>#REF!</v>
      </c>
      <c r="K80" s="670"/>
      <c r="L80" s="670" t="e">
        <f>SUM(L79)</f>
        <v>#REF!</v>
      </c>
      <c r="M80" s="670"/>
      <c r="N80" s="670" t="e">
        <f>SUM(N79)</f>
        <v>#REF!</v>
      </c>
      <c r="O80" s="671"/>
      <c r="P80" s="665" t="s">
        <v>1338</v>
      </c>
    </row>
    <row r="81" spans="1:25" s="665" customFormat="1" ht="17.100000000000001" customHeight="1">
      <c r="A81" s="668">
        <f>A78+1</f>
        <v>19</v>
      </c>
      <c r="B81" s="1320" t="s">
        <v>1362</v>
      </c>
      <c r="C81" s="1320"/>
      <c r="D81" s="1320" t="s">
        <v>1371</v>
      </c>
      <c r="E81" s="1320"/>
      <c r="F81" s="669" t="s">
        <v>850</v>
      </c>
      <c r="G81" s="670"/>
      <c r="H81" s="670"/>
      <c r="I81" s="670"/>
      <c r="J81" s="670"/>
      <c r="K81" s="670"/>
      <c r="L81" s="670"/>
      <c r="M81" s="670"/>
      <c r="N81" s="670"/>
      <c r="O81" s="671"/>
      <c r="R81" s="681" t="s">
        <v>1356</v>
      </c>
      <c r="S81" s="681"/>
      <c r="T81" s="681"/>
      <c r="U81" s="681"/>
      <c r="V81" s="681"/>
      <c r="W81" s="681"/>
      <c r="X81" s="681"/>
      <c r="Y81" s="681"/>
    </row>
    <row r="82" spans="1:25" s="665" customFormat="1" ht="17.100000000000001" customHeight="1">
      <c r="A82" s="1316" t="s">
        <v>626</v>
      </c>
      <c r="B82" s="1317"/>
      <c r="C82" s="1359" t="s">
        <v>1360</v>
      </c>
      <c r="D82" s="1360"/>
      <c r="E82" s="683">
        <f>V63</f>
        <v>2.6700000000000002E-2</v>
      </c>
      <c r="F82" s="676" t="s">
        <v>418</v>
      </c>
      <c r="G82" s="670" t="e">
        <f>#REF!</f>
        <v>#REF!</v>
      </c>
      <c r="H82" s="670" t="e">
        <f>E82*G82</f>
        <v>#REF!</v>
      </c>
      <c r="I82" s="670" t="e">
        <f>#REF!</f>
        <v>#REF!</v>
      </c>
      <c r="J82" s="670" t="e">
        <f>INT(E82*I82)</f>
        <v>#REF!</v>
      </c>
      <c r="K82" s="670" t="e">
        <f>#REF!</f>
        <v>#REF!</v>
      </c>
      <c r="L82" s="670" t="e">
        <f>E82*K82</f>
        <v>#REF!</v>
      </c>
      <c r="M82" s="670" t="e">
        <f>G82+I82+K82</f>
        <v>#REF!</v>
      </c>
      <c r="N82" s="670" t="e">
        <f>H82+J82+L82</f>
        <v>#REF!</v>
      </c>
      <c r="O82" s="671"/>
      <c r="P82" s="665" t="s">
        <v>1338</v>
      </c>
      <c r="R82" s="681" t="s">
        <v>1351</v>
      </c>
      <c r="S82" s="681"/>
      <c r="T82" s="681"/>
      <c r="U82" s="681"/>
      <c r="V82" s="681"/>
      <c r="W82" s="681"/>
      <c r="X82" s="681" t="s">
        <v>1348</v>
      </c>
      <c r="Y82" s="681" t="s">
        <v>1366</v>
      </c>
    </row>
    <row r="83" spans="1:25" s="665" customFormat="1" ht="17.100000000000001" customHeight="1">
      <c r="A83" s="1318" t="s">
        <v>1320</v>
      </c>
      <c r="B83" s="1319"/>
      <c r="C83" s="1371"/>
      <c r="D83" s="1372"/>
      <c r="E83" s="677"/>
      <c r="F83" s="676"/>
      <c r="G83" s="670"/>
      <c r="H83" s="670" t="e">
        <f>SUM(H82)</f>
        <v>#REF!</v>
      </c>
      <c r="I83" s="670"/>
      <c r="J83" s="670" t="e">
        <f>SUM(J82)</f>
        <v>#REF!</v>
      </c>
      <c r="K83" s="670"/>
      <c r="L83" s="670" t="e">
        <f>SUM(L82)</f>
        <v>#REF!</v>
      </c>
      <c r="M83" s="670"/>
      <c r="N83" s="670" t="e">
        <f>SUM(N82)</f>
        <v>#REF!</v>
      </c>
      <c r="O83" s="671"/>
      <c r="R83" s="681" t="s">
        <v>1368</v>
      </c>
      <c r="S83" s="681" t="s">
        <v>1369</v>
      </c>
      <c r="T83" s="681"/>
      <c r="U83" s="681">
        <v>1</v>
      </c>
      <c r="V83" s="681">
        <v>8</v>
      </c>
      <c r="W83" s="681">
        <v>390</v>
      </c>
      <c r="X83" s="681">
        <f>W83/V83</f>
        <v>48.75</v>
      </c>
      <c r="Y83" s="681">
        <f>ROUND(1/X83,4)</f>
        <v>2.0500000000000001E-2</v>
      </c>
    </row>
    <row r="84" spans="1:25" s="665" customFormat="1" ht="16.5" customHeight="1">
      <c r="A84" s="668">
        <f>A81+1</f>
        <v>20</v>
      </c>
      <c r="B84" s="1320" t="s">
        <v>1362</v>
      </c>
      <c r="C84" s="1320"/>
      <c r="D84" s="1320" t="s">
        <v>1372</v>
      </c>
      <c r="E84" s="1320"/>
      <c r="F84" s="669" t="s">
        <v>850</v>
      </c>
      <c r="G84" s="670"/>
      <c r="H84" s="670"/>
      <c r="I84" s="670"/>
      <c r="J84" s="670"/>
      <c r="K84" s="670"/>
      <c r="L84" s="670"/>
      <c r="M84" s="670"/>
      <c r="N84" s="670"/>
      <c r="O84" s="671"/>
      <c r="R84" s="681" t="s">
        <v>1370</v>
      </c>
      <c r="S84" s="681" t="s">
        <v>1350</v>
      </c>
      <c r="T84" s="681"/>
      <c r="U84" s="681">
        <v>1</v>
      </c>
      <c r="V84" s="681">
        <v>8</v>
      </c>
      <c r="W84" s="681">
        <v>230</v>
      </c>
      <c r="X84" s="681">
        <f>W84/V84</f>
        <v>28.75</v>
      </c>
      <c r="Y84" s="681">
        <f>ROUND(1/X84,4)</f>
        <v>3.4799999999999998E-2</v>
      </c>
    </row>
    <row r="85" spans="1:25" s="665" customFormat="1" ht="17.100000000000001" customHeight="1">
      <c r="A85" s="1316" t="s">
        <v>626</v>
      </c>
      <c r="B85" s="1317"/>
      <c r="C85" s="1359" t="s">
        <v>1373</v>
      </c>
      <c r="D85" s="1360"/>
      <c r="E85" s="683">
        <f>V66</f>
        <v>4.2099999999999999E-2</v>
      </c>
      <c r="F85" s="676" t="s">
        <v>418</v>
      </c>
      <c r="G85" s="670" t="e">
        <f>#REF!</f>
        <v>#REF!</v>
      </c>
      <c r="H85" s="670" t="e">
        <f>E85*G85</f>
        <v>#REF!</v>
      </c>
      <c r="I85" s="670" t="e">
        <f>#REF!</f>
        <v>#REF!</v>
      </c>
      <c r="J85" s="670" t="e">
        <f>INT(E85*I85)</f>
        <v>#REF!</v>
      </c>
      <c r="K85" s="670" t="e">
        <f>#REF!</f>
        <v>#REF!</v>
      </c>
      <c r="L85" s="670" t="e">
        <f>E85*K85</f>
        <v>#REF!</v>
      </c>
      <c r="M85" s="670" t="e">
        <f>G85+I85+K85</f>
        <v>#REF!</v>
      </c>
      <c r="N85" s="670" t="e">
        <f>H85+J85+L85</f>
        <v>#REF!</v>
      </c>
      <c r="O85" s="671"/>
      <c r="P85" s="665" t="s">
        <v>1338</v>
      </c>
    </row>
    <row r="86" spans="1:25" s="665" customFormat="1" ht="17.100000000000001" customHeight="1">
      <c r="A86" s="1318" t="s">
        <v>1320</v>
      </c>
      <c r="B86" s="1319"/>
      <c r="C86" s="1371"/>
      <c r="D86" s="1372"/>
      <c r="E86" s="677"/>
      <c r="F86" s="676"/>
      <c r="G86" s="670"/>
      <c r="H86" s="670" t="e">
        <f>SUM(H85)</f>
        <v>#REF!</v>
      </c>
      <c r="I86" s="670"/>
      <c r="J86" s="670" t="e">
        <f>SUM(J85)</f>
        <v>#REF!</v>
      </c>
      <c r="K86" s="670"/>
      <c r="L86" s="670" t="e">
        <f>SUM(L85)</f>
        <v>#REF!</v>
      </c>
      <c r="M86" s="670"/>
      <c r="N86" s="670" t="e">
        <f>SUM(N85)</f>
        <v>#REF!</v>
      </c>
      <c r="O86" s="671"/>
      <c r="R86" s="681" t="s">
        <v>1356</v>
      </c>
      <c r="S86" s="681"/>
      <c r="T86" s="681"/>
      <c r="U86" s="681"/>
      <c r="V86" s="681"/>
      <c r="W86" s="681"/>
      <c r="X86" s="681"/>
      <c r="Y86" s="681"/>
    </row>
    <row r="87" spans="1:25" s="665" customFormat="1" ht="17.100000000000001" customHeight="1">
      <c r="A87" s="668">
        <f>A84+1</f>
        <v>21</v>
      </c>
      <c r="B87" s="1320" t="s">
        <v>1362</v>
      </c>
      <c r="C87" s="1320"/>
      <c r="D87" s="1320" t="s">
        <v>1374</v>
      </c>
      <c r="E87" s="1320"/>
      <c r="F87" s="669" t="s">
        <v>850</v>
      </c>
      <c r="G87" s="670"/>
      <c r="H87" s="670"/>
      <c r="I87" s="670"/>
      <c r="J87" s="670"/>
      <c r="K87" s="670"/>
      <c r="L87" s="670"/>
      <c r="M87" s="670"/>
      <c r="N87" s="670"/>
      <c r="O87" s="671"/>
      <c r="R87" s="681" t="s">
        <v>1375</v>
      </c>
      <c r="S87" s="681"/>
      <c r="T87" s="681"/>
      <c r="U87" s="681"/>
      <c r="V87" s="681"/>
      <c r="W87" s="681"/>
      <c r="X87" s="681" t="s">
        <v>1348</v>
      </c>
      <c r="Y87" s="681" t="s">
        <v>1366</v>
      </c>
    </row>
    <row r="88" spans="1:25" s="665" customFormat="1" ht="17.100000000000001" customHeight="1">
      <c r="A88" s="1316" t="s">
        <v>626</v>
      </c>
      <c r="B88" s="1317"/>
      <c r="C88" s="1359" t="s">
        <v>1373</v>
      </c>
      <c r="D88" s="1360"/>
      <c r="E88" s="683">
        <f>V68</f>
        <v>5.33E-2</v>
      </c>
      <c r="F88" s="676" t="s">
        <v>418</v>
      </c>
      <c r="G88" s="670" t="e">
        <f>#REF!</f>
        <v>#REF!</v>
      </c>
      <c r="H88" s="670" t="e">
        <f>E88*G88</f>
        <v>#REF!</v>
      </c>
      <c r="I88" s="670" t="e">
        <f>#REF!</f>
        <v>#REF!</v>
      </c>
      <c r="J88" s="670" t="e">
        <f>INT(E88*I88)</f>
        <v>#REF!</v>
      </c>
      <c r="K88" s="670" t="e">
        <f>#REF!</f>
        <v>#REF!</v>
      </c>
      <c r="L88" s="670" t="e">
        <f>E88*K88</f>
        <v>#REF!</v>
      </c>
      <c r="M88" s="670" t="e">
        <f>G88+I88+K88</f>
        <v>#REF!</v>
      </c>
      <c r="N88" s="670" t="e">
        <f>H88+J88+L88</f>
        <v>#REF!</v>
      </c>
      <c r="O88" s="671"/>
      <c r="P88" s="665" t="s">
        <v>1338</v>
      </c>
      <c r="R88" s="681" t="s">
        <v>414</v>
      </c>
      <c r="S88" s="681" t="s">
        <v>1350</v>
      </c>
      <c r="T88" s="681"/>
      <c r="U88" s="681">
        <v>1</v>
      </c>
      <c r="V88" s="681">
        <v>8</v>
      </c>
      <c r="W88" s="681">
        <v>65</v>
      </c>
      <c r="X88" s="681">
        <f t="shared" ref="X88:X95" si="8">W88/V88</f>
        <v>8.125</v>
      </c>
      <c r="Y88" s="681">
        <f t="shared" ref="Y88:Y95" si="9">ROUND(1/X88,4)</f>
        <v>0.1231</v>
      </c>
    </row>
    <row r="89" spans="1:25" s="665" customFormat="1" ht="17.100000000000001" customHeight="1">
      <c r="A89" s="1318" t="s">
        <v>1320</v>
      </c>
      <c r="B89" s="1319"/>
      <c r="C89" s="1371"/>
      <c r="D89" s="1372"/>
      <c r="E89" s="677"/>
      <c r="F89" s="676"/>
      <c r="G89" s="670"/>
      <c r="H89" s="670" t="e">
        <f>SUM(H88)</f>
        <v>#REF!</v>
      </c>
      <c r="I89" s="670"/>
      <c r="J89" s="670" t="e">
        <f>SUM(J88)</f>
        <v>#REF!</v>
      </c>
      <c r="K89" s="670"/>
      <c r="L89" s="670" t="e">
        <f>SUM(L88)</f>
        <v>#REF!</v>
      </c>
      <c r="M89" s="670"/>
      <c r="N89" s="670" t="e">
        <f>SUM(N88)</f>
        <v>#REF!</v>
      </c>
      <c r="O89" s="671"/>
      <c r="R89" s="681"/>
      <c r="S89" s="681" t="s">
        <v>1376</v>
      </c>
      <c r="T89" s="681"/>
      <c r="U89" s="681">
        <v>1</v>
      </c>
      <c r="V89" s="681">
        <v>8</v>
      </c>
      <c r="W89" s="681">
        <v>65</v>
      </c>
      <c r="X89" s="681">
        <f t="shared" si="8"/>
        <v>8.125</v>
      </c>
      <c r="Y89" s="681">
        <f t="shared" si="9"/>
        <v>0.1231</v>
      </c>
    </row>
    <row r="90" spans="1:25" s="665" customFormat="1" ht="17.100000000000001" customHeight="1">
      <c r="A90" s="668">
        <f>A87+1</f>
        <v>22</v>
      </c>
      <c r="B90" s="1320" t="s">
        <v>1377</v>
      </c>
      <c r="C90" s="1320"/>
      <c r="D90" s="1320" t="s">
        <v>1378</v>
      </c>
      <c r="E90" s="1320"/>
      <c r="F90" s="669" t="s">
        <v>850</v>
      </c>
      <c r="G90" s="670"/>
      <c r="H90" s="670"/>
      <c r="I90" s="670"/>
      <c r="J90" s="670"/>
      <c r="K90" s="670"/>
      <c r="L90" s="670"/>
      <c r="M90" s="670"/>
      <c r="N90" s="670"/>
      <c r="O90" s="671"/>
      <c r="R90" s="681" t="s">
        <v>415</v>
      </c>
      <c r="S90" s="681" t="s">
        <v>1350</v>
      </c>
      <c r="T90" s="681"/>
      <c r="U90" s="681">
        <v>1</v>
      </c>
      <c r="V90" s="681">
        <v>8</v>
      </c>
      <c r="W90" s="681">
        <v>50</v>
      </c>
      <c r="X90" s="681">
        <f t="shared" si="8"/>
        <v>6.25</v>
      </c>
      <c r="Y90" s="681">
        <f t="shared" si="9"/>
        <v>0.16</v>
      </c>
    </row>
    <row r="91" spans="1:25" s="665" customFormat="1" ht="17.100000000000001" customHeight="1">
      <c r="A91" s="1316" t="s">
        <v>1379</v>
      </c>
      <c r="B91" s="1317"/>
      <c r="C91" s="1316" t="s">
        <v>394</v>
      </c>
      <c r="D91" s="1317"/>
      <c r="E91" s="677">
        <v>1</v>
      </c>
      <c r="F91" s="676" t="s">
        <v>850</v>
      </c>
      <c r="G91" s="670" t="e">
        <f>#REF!</f>
        <v>#REF!</v>
      </c>
      <c r="H91" s="670" t="e">
        <f>INT(E91*G91)</f>
        <v>#REF!</v>
      </c>
      <c r="I91" s="670" t="e">
        <f>#REF!</f>
        <v>#REF!</v>
      </c>
      <c r="J91" s="670" t="e">
        <f>INT(E91*I91)</f>
        <v>#REF!</v>
      </c>
      <c r="K91" s="670" t="e">
        <f>#REF!</f>
        <v>#REF!</v>
      </c>
      <c r="L91" s="670" t="e">
        <f>INT(E91*K91)</f>
        <v>#REF!</v>
      </c>
      <c r="M91" s="670" t="e">
        <f>G91+I91+K91</f>
        <v>#REF!</v>
      </c>
      <c r="N91" s="670" t="e">
        <f>H91+J91+L91</f>
        <v>#REF!</v>
      </c>
      <c r="O91" s="671"/>
      <c r="R91" s="681"/>
      <c r="S91" s="681" t="s">
        <v>1376</v>
      </c>
      <c r="T91" s="681"/>
      <c r="U91" s="681">
        <v>1</v>
      </c>
      <c r="V91" s="681">
        <v>8</v>
      </c>
      <c r="W91" s="681">
        <v>50</v>
      </c>
      <c r="X91" s="681">
        <f t="shared" si="8"/>
        <v>6.25</v>
      </c>
      <c r="Y91" s="681">
        <f t="shared" si="9"/>
        <v>0.16</v>
      </c>
    </row>
    <row r="92" spans="1:25" s="665" customFormat="1" ht="17.100000000000001" customHeight="1">
      <c r="A92" s="1318" t="s">
        <v>1320</v>
      </c>
      <c r="B92" s="1319"/>
      <c r="C92" s="1371"/>
      <c r="D92" s="1372"/>
      <c r="E92" s="677"/>
      <c r="F92" s="676"/>
      <c r="G92" s="670"/>
      <c r="H92" s="670" t="e">
        <f>SUM(H91:H91)</f>
        <v>#REF!</v>
      </c>
      <c r="I92" s="670"/>
      <c r="J92" s="670" t="e">
        <f>SUM(J91:J91)</f>
        <v>#REF!</v>
      </c>
      <c r="K92" s="670"/>
      <c r="L92" s="670" t="e">
        <f>SUM(L91:L91)</f>
        <v>#REF!</v>
      </c>
      <c r="M92" s="670"/>
      <c r="N92" s="670" t="e">
        <f>SUM(N91:N91)</f>
        <v>#REF!</v>
      </c>
      <c r="O92" s="671"/>
      <c r="R92" s="681" t="s">
        <v>374</v>
      </c>
      <c r="S92" s="681" t="s">
        <v>1350</v>
      </c>
      <c r="T92" s="681"/>
      <c r="U92" s="681">
        <v>1</v>
      </c>
      <c r="V92" s="681">
        <v>8</v>
      </c>
      <c r="W92" s="681">
        <v>30</v>
      </c>
      <c r="X92" s="681">
        <f t="shared" si="8"/>
        <v>3.75</v>
      </c>
      <c r="Y92" s="681">
        <f t="shared" si="9"/>
        <v>0.26669999999999999</v>
      </c>
    </row>
    <row r="93" spans="1:25" s="665" customFormat="1" ht="17.100000000000001" customHeight="1">
      <c r="A93" s="668">
        <f>A90+1</f>
        <v>23</v>
      </c>
      <c r="B93" s="1320" t="s">
        <v>1377</v>
      </c>
      <c r="C93" s="1320"/>
      <c r="D93" s="1320" t="s">
        <v>1380</v>
      </c>
      <c r="E93" s="1320"/>
      <c r="F93" s="669" t="s">
        <v>850</v>
      </c>
      <c r="G93" s="670"/>
      <c r="H93" s="670"/>
      <c r="I93" s="670"/>
      <c r="J93" s="670"/>
      <c r="K93" s="670"/>
      <c r="L93" s="670"/>
      <c r="M93" s="670"/>
      <c r="N93" s="670"/>
      <c r="O93" s="671"/>
      <c r="R93" s="681"/>
      <c r="S93" s="681" t="s">
        <v>1376</v>
      </c>
      <c r="T93" s="681"/>
      <c r="U93" s="681">
        <v>1</v>
      </c>
      <c r="V93" s="681">
        <v>8</v>
      </c>
      <c r="W93" s="681">
        <v>30</v>
      </c>
      <c r="X93" s="681">
        <f t="shared" si="8"/>
        <v>3.75</v>
      </c>
      <c r="Y93" s="681">
        <f t="shared" si="9"/>
        <v>0.26669999999999999</v>
      </c>
    </row>
    <row r="94" spans="1:25" s="665" customFormat="1" ht="17.100000000000001" customHeight="1">
      <c r="A94" s="1316" t="s">
        <v>1379</v>
      </c>
      <c r="B94" s="1317"/>
      <c r="C94" s="1316" t="s">
        <v>359</v>
      </c>
      <c r="D94" s="1317"/>
      <c r="E94" s="677">
        <v>1</v>
      </c>
      <c r="F94" s="676" t="s">
        <v>850</v>
      </c>
      <c r="G94" s="670" t="e">
        <f>#REF!</f>
        <v>#REF!</v>
      </c>
      <c r="H94" s="670" t="e">
        <f>INT(E94*G94)</f>
        <v>#REF!</v>
      </c>
      <c r="I94" s="670" t="e">
        <f>#REF!</f>
        <v>#REF!</v>
      </c>
      <c r="J94" s="670" t="e">
        <f>INT(E94*I94)</f>
        <v>#REF!</v>
      </c>
      <c r="K94" s="670" t="e">
        <f>#REF!</f>
        <v>#REF!</v>
      </c>
      <c r="L94" s="670" t="e">
        <f>INT(E94*K94)</f>
        <v>#REF!</v>
      </c>
      <c r="M94" s="670" t="e">
        <f>G94+I94+K94</f>
        <v>#REF!</v>
      </c>
      <c r="N94" s="670" t="e">
        <f>H94+J94+L94</f>
        <v>#REF!</v>
      </c>
      <c r="O94" s="671"/>
      <c r="R94" s="681" t="s">
        <v>373</v>
      </c>
      <c r="S94" s="681" t="s">
        <v>1350</v>
      </c>
      <c r="T94" s="681"/>
      <c r="U94" s="681">
        <v>1</v>
      </c>
      <c r="V94" s="681">
        <v>8</v>
      </c>
      <c r="W94" s="681">
        <v>25</v>
      </c>
      <c r="X94" s="681">
        <f t="shared" si="8"/>
        <v>3.125</v>
      </c>
      <c r="Y94" s="681">
        <f t="shared" si="9"/>
        <v>0.32</v>
      </c>
    </row>
    <row r="95" spans="1:25" s="665" customFormat="1" ht="17.100000000000001" customHeight="1">
      <c r="A95" s="1318" t="s">
        <v>1320</v>
      </c>
      <c r="B95" s="1319"/>
      <c r="C95" s="1371"/>
      <c r="D95" s="1372"/>
      <c r="E95" s="677"/>
      <c r="F95" s="676"/>
      <c r="G95" s="670"/>
      <c r="H95" s="670" t="e">
        <f>SUM(H94:H94)</f>
        <v>#REF!</v>
      </c>
      <c r="I95" s="670"/>
      <c r="J95" s="670" t="e">
        <f>SUM(J94:J94)</f>
        <v>#REF!</v>
      </c>
      <c r="K95" s="670"/>
      <c r="L95" s="670" t="e">
        <f>SUM(L94:L94)</f>
        <v>#REF!</v>
      </c>
      <c r="M95" s="670"/>
      <c r="N95" s="670" t="e">
        <f>SUM(N94:N94)</f>
        <v>#REF!</v>
      </c>
      <c r="O95" s="671"/>
      <c r="R95" s="681"/>
      <c r="S95" s="681" t="s">
        <v>1376</v>
      </c>
      <c r="T95" s="681"/>
      <c r="U95" s="681">
        <v>1</v>
      </c>
      <c r="V95" s="681">
        <v>8</v>
      </c>
      <c r="W95" s="681">
        <v>25</v>
      </c>
      <c r="X95" s="681">
        <f t="shared" si="8"/>
        <v>3.125</v>
      </c>
      <c r="Y95" s="681">
        <f t="shared" si="9"/>
        <v>0.32</v>
      </c>
    </row>
    <row r="96" spans="1:25" s="665" customFormat="1" ht="17.100000000000001" customHeight="1">
      <c r="A96" s="668">
        <f>A93+1</f>
        <v>24</v>
      </c>
      <c r="B96" s="1320" t="s">
        <v>1377</v>
      </c>
      <c r="C96" s="1320"/>
      <c r="D96" s="1320" t="s">
        <v>1381</v>
      </c>
      <c r="E96" s="1320"/>
      <c r="F96" s="669" t="s">
        <v>850</v>
      </c>
      <c r="G96" s="670"/>
      <c r="H96" s="670"/>
      <c r="I96" s="670"/>
      <c r="J96" s="670"/>
      <c r="K96" s="670"/>
      <c r="L96" s="670"/>
      <c r="M96" s="670"/>
      <c r="N96" s="670"/>
      <c r="O96" s="671"/>
    </row>
    <row r="97" spans="1:26" s="665" customFormat="1" ht="17.100000000000001" customHeight="1">
      <c r="A97" s="1316" t="s">
        <v>1379</v>
      </c>
      <c r="B97" s="1317"/>
      <c r="C97" s="1316" t="s">
        <v>399</v>
      </c>
      <c r="D97" s="1317"/>
      <c r="E97" s="677">
        <v>1</v>
      </c>
      <c r="F97" s="676" t="s">
        <v>850</v>
      </c>
      <c r="G97" s="670" t="e">
        <f>#REF!</f>
        <v>#REF!</v>
      </c>
      <c r="H97" s="670" t="e">
        <f>INT(E97*G97)</f>
        <v>#REF!</v>
      </c>
      <c r="I97" s="670" t="e">
        <f>#REF!</f>
        <v>#REF!</v>
      </c>
      <c r="J97" s="670" t="e">
        <f>INT(E97*I97)</f>
        <v>#REF!</v>
      </c>
      <c r="K97" s="670" t="e">
        <f>#REF!</f>
        <v>#REF!</v>
      </c>
      <c r="L97" s="670" t="e">
        <f>INT(E97*K97)</f>
        <v>#REF!</v>
      </c>
      <c r="M97" s="670" t="e">
        <f>G97+I97+K97</f>
        <v>#REF!</v>
      </c>
      <c r="N97" s="670" t="e">
        <f>H97+J97+L97</f>
        <v>#REF!</v>
      </c>
      <c r="O97" s="671"/>
    </row>
    <row r="98" spans="1:26" s="665" customFormat="1" ht="17.100000000000001" customHeight="1">
      <c r="A98" s="1318" t="s">
        <v>1320</v>
      </c>
      <c r="B98" s="1319"/>
      <c r="C98" s="1371"/>
      <c r="D98" s="1372"/>
      <c r="E98" s="677"/>
      <c r="F98" s="676"/>
      <c r="G98" s="670"/>
      <c r="H98" s="670" t="e">
        <f>SUM(H97:H97)</f>
        <v>#REF!</v>
      </c>
      <c r="I98" s="670"/>
      <c r="J98" s="670" t="e">
        <f>SUM(J97:J97)</f>
        <v>#REF!</v>
      </c>
      <c r="K98" s="670"/>
      <c r="L98" s="670" t="e">
        <f>SUM(L97:L97)</f>
        <v>#REF!</v>
      </c>
      <c r="M98" s="670"/>
      <c r="N98" s="670" t="e">
        <f>SUM(N97:N97)</f>
        <v>#REF!</v>
      </c>
      <c r="O98" s="671"/>
    </row>
    <row r="99" spans="1:26" s="665" customFormat="1" ht="17.100000000000001" customHeight="1">
      <c r="A99" s="668">
        <f>A96+1</f>
        <v>25</v>
      </c>
      <c r="B99" s="1320" t="s">
        <v>1382</v>
      </c>
      <c r="C99" s="1320"/>
      <c r="D99" s="1320" t="s">
        <v>1378</v>
      </c>
      <c r="E99" s="1320"/>
      <c r="F99" s="669" t="s">
        <v>850</v>
      </c>
      <c r="G99" s="670"/>
      <c r="H99" s="670"/>
      <c r="I99" s="670"/>
      <c r="J99" s="670"/>
      <c r="K99" s="670"/>
      <c r="L99" s="670"/>
      <c r="M99" s="670"/>
      <c r="N99" s="670"/>
      <c r="O99" s="671"/>
    </row>
    <row r="100" spans="1:26" s="665" customFormat="1" ht="17.100000000000001" customHeight="1">
      <c r="A100" s="1316" t="s">
        <v>1383</v>
      </c>
      <c r="B100" s="1317"/>
      <c r="C100" s="1316" t="s">
        <v>394</v>
      </c>
      <c r="D100" s="1317"/>
      <c r="E100" s="677">
        <v>1</v>
      </c>
      <c r="F100" s="676" t="s">
        <v>850</v>
      </c>
      <c r="G100" s="670" t="e">
        <f>#REF!</f>
        <v>#REF!</v>
      </c>
      <c r="H100" s="670" t="e">
        <f>INT(E100*G100)</f>
        <v>#REF!</v>
      </c>
      <c r="I100" s="670" t="e">
        <f>#REF!</f>
        <v>#REF!</v>
      </c>
      <c r="J100" s="670" t="e">
        <f>INT(E100*I100)</f>
        <v>#REF!</v>
      </c>
      <c r="K100" s="670" t="e">
        <f>#REF!</f>
        <v>#REF!</v>
      </c>
      <c r="L100" s="670" t="e">
        <f>INT(E100*K100)</f>
        <v>#REF!</v>
      </c>
      <c r="M100" s="670" t="e">
        <f>G100+I100+K100</f>
        <v>#REF!</v>
      </c>
      <c r="N100" s="670" t="e">
        <f>H100+J100+L100</f>
        <v>#REF!</v>
      </c>
      <c r="O100" s="671"/>
    </row>
    <row r="101" spans="1:26" s="665" customFormat="1" ht="17.100000000000001" customHeight="1">
      <c r="A101" s="1318" t="s">
        <v>1320</v>
      </c>
      <c r="B101" s="1319"/>
      <c r="C101" s="1371"/>
      <c r="D101" s="1372"/>
      <c r="E101" s="677"/>
      <c r="F101" s="676"/>
      <c r="G101" s="670"/>
      <c r="H101" s="670" t="e">
        <f>SUM(H100:H100)</f>
        <v>#REF!</v>
      </c>
      <c r="I101" s="670"/>
      <c r="J101" s="670" t="e">
        <f>SUM(J100:J100)</f>
        <v>#REF!</v>
      </c>
      <c r="K101" s="670"/>
      <c r="L101" s="670" t="e">
        <f>SUM(L100:L100)</f>
        <v>#REF!</v>
      </c>
      <c r="M101" s="670"/>
      <c r="N101" s="670" t="e">
        <f>SUM(N100:N100)</f>
        <v>#REF!</v>
      </c>
      <c r="O101" s="671"/>
    </row>
    <row r="102" spans="1:26" s="665" customFormat="1" ht="17.100000000000001" customHeight="1">
      <c r="A102" s="668">
        <f>A99+1</f>
        <v>26</v>
      </c>
      <c r="B102" s="1320" t="s">
        <v>1382</v>
      </c>
      <c r="C102" s="1320"/>
      <c r="D102" s="1320" t="s">
        <v>1380</v>
      </c>
      <c r="E102" s="1320"/>
      <c r="F102" s="669" t="s">
        <v>850</v>
      </c>
      <c r="G102" s="670"/>
      <c r="H102" s="670"/>
      <c r="I102" s="670"/>
      <c r="J102" s="670"/>
      <c r="K102" s="670"/>
      <c r="L102" s="670"/>
      <c r="M102" s="670"/>
      <c r="N102" s="670"/>
      <c r="O102" s="671"/>
    </row>
    <row r="103" spans="1:26" s="665" customFormat="1" ht="17.100000000000001" customHeight="1">
      <c r="A103" s="1316" t="s">
        <v>1383</v>
      </c>
      <c r="B103" s="1317"/>
      <c r="C103" s="1316" t="s">
        <v>359</v>
      </c>
      <c r="D103" s="1317"/>
      <c r="E103" s="677">
        <v>1</v>
      </c>
      <c r="F103" s="676" t="s">
        <v>850</v>
      </c>
      <c r="G103" s="670" t="e">
        <f>#REF!</f>
        <v>#REF!</v>
      </c>
      <c r="H103" s="670" t="e">
        <f>INT(E103*G103)</f>
        <v>#REF!</v>
      </c>
      <c r="I103" s="670" t="e">
        <f>#REF!</f>
        <v>#REF!</v>
      </c>
      <c r="J103" s="670" t="e">
        <f>INT(E103*I103)</f>
        <v>#REF!</v>
      </c>
      <c r="K103" s="670" t="e">
        <f>#REF!</f>
        <v>#REF!</v>
      </c>
      <c r="L103" s="670" t="e">
        <f>INT(E103*K103)</f>
        <v>#REF!</v>
      </c>
      <c r="M103" s="670" t="e">
        <f>G103+I103+K103</f>
        <v>#REF!</v>
      </c>
      <c r="N103" s="670" t="e">
        <f>H103+J103+L103</f>
        <v>#REF!</v>
      </c>
      <c r="O103" s="671"/>
    </row>
    <row r="104" spans="1:26" s="665" customFormat="1" ht="17.100000000000001" customHeight="1">
      <c r="A104" s="1318" t="s">
        <v>1320</v>
      </c>
      <c r="B104" s="1319"/>
      <c r="C104" s="1371"/>
      <c r="D104" s="1372"/>
      <c r="E104" s="677"/>
      <c r="F104" s="676"/>
      <c r="G104" s="670"/>
      <c r="H104" s="670" t="e">
        <f>SUM(H103:H103)</f>
        <v>#REF!</v>
      </c>
      <c r="I104" s="670"/>
      <c r="J104" s="670" t="e">
        <f>SUM(J103:J103)</f>
        <v>#REF!</v>
      </c>
      <c r="K104" s="670"/>
      <c r="L104" s="670" t="e">
        <f>SUM(L103:L103)</f>
        <v>#REF!</v>
      </c>
      <c r="M104" s="670"/>
      <c r="N104" s="670" t="e">
        <f>SUM(N103:N103)</f>
        <v>#REF!</v>
      </c>
      <c r="O104" s="671"/>
    </row>
    <row r="105" spans="1:26" s="665" customFormat="1" ht="17.100000000000001" customHeight="1">
      <c r="A105" s="668">
        <f>A102+1</f>
        <v>27</v>
      </c>
      <c r="B105" s="1320" t="s">
        <v>1382</v>
      </c>
      <c r="C105" s="1320"/>
      <c r="D105" s="1320" t="s">
        <v>1381</v>
      </c>
      <c r="E105" s="1320"/>
      <c r="F105" s="669" t="s">
        <v>850</v>
      </c>
      <c r="G105" s="670"/>
      <c r="H105" s="670"/>
      <c r="I105" s="670"/>
      <c r="J105" s="670"/>
      <c r="K105" s="670"/>
      <c r="L105" s="670"/>
      <c r="M105" s="670"/>
      <c r="N105" s="670"/>
      <c r="O105" s="671"/>
    </row>
    <row r="106" spans="1:26" s="665" customFormat="1" ht="17.100000000000001" customHeight="1">
      <c r="A106" s="1316" t="s">
        <v>1383</v>
      </c>
      <c r="B106" s="1317"/>
      <c r="C106" s="1316" t="s">
        <v>399</v>
      </c>
      <c r="D106" s="1317"/>
      <c r="E106" s="677">
        <v>1</v>
      </c>
      <c r="F106" s="676" t="s">
        <v>850</v>
      </c>
      <c r="G106" s="670" t="e">
        <f>#REF!</f>
        <v>#REF!</v>
      </c>
      <c r="H106" s="670" t="e">
        <f>INT(E106*G106)</f>
        <v>#REF!</v>
      </c>
      <c r="I106" s="670" t="e">
        <f>#REF!</f>
        <v>#REF!</v>
      </c>
      <c r="J106" s="670" t="e">
        <f>INT(E106*I106)</f>
        <v>#REF!</v>
      </c>
      <c r="K106" s="670" t="e">
        <f>#REF!</f>
        <v>#REF!</v>
      </c>
      <c r="L106" s="670" t="e">
        <f>INT(E106*K106)</f>
        <v>#REF!</v>
      </c>
      <c r="M106" s="670" t="e">
        <f>G106+I106+K106</f>
        <v>#REF!</v>
      </c>
      <c r="N106" s="670" t="e">
        <f>H106+J106+L106</f>
        <v>#REF!</v>
      </c>
      <c r="O106" s="671"/>
    </row>
    <row r="107" spans="1:26" s="665" customFormat="1" ht="17.100000000000001" customHeight="1">
      <c r="A107" s="1318" t="s">
        <v>1320</v>
      </c>
      <c r="B107" s="1319"/>
      <c r="C107" s="1371"/>
      <c r="D107" s="1372"/>
      <c r="E107" s="677"/>
      <c r="F107" s="676"/>
      <c r="G107" s="670"/>
      <c r="H107" s="670" t="e">
        <f>SUM(H106:H106)</f>
        <v>#REF!</v>
      </c>
      <c r="I107" s="670"/>
      <c r="J107" s="670" t="e">
        <f>SUM(J106:J106)</f>
        <v>#REF!</v>
      </c>
      <c r="K107" s="670"/>
      <c r="L107" s="670" t="e">
        <f>SUM(L106:L106)</f>
        <v>#REF!</v>
      </c>
      <c r="M107" s="670"/>
      <c r="N107" s="670" t="e">
        <f>SUM(N106:N106)</f>
        <v>#REF!</v>
      </c>
      <c r="O107" s="671"/>
    </row>
    <row r="108" spans="1:26" s="665" customFormat="1" ht="17.100000000000001" customHeight="1">
      <c r="A108" s="668">
        <f>A105+1</f>
        <v>28</v>
      </c>
      <c r="B108" s="1320" t="s">
        <v>1384</v>
      </c>
      <c r="C108" s="1320"/>
      <c r="D108" s="1320" t="s">
        <v>1385</v>
      </c>
      <c r="E108" s="1320"/>
      <c r="F108" s="669" t="s">
        <v>850</v>
      </c>
      <c r="G108" s="670"/>
      <c r="H108" s="670"/>
      <c r="I108" s="670"/>
      <c r="J108" s="670"/>
      <c r="K108" s="670"/>
      <c r="L108" s="670"/>
      <c r="M108" s="670"/>
      <c r="N108" s="670"/>
      <c r="O108" s="671"/>
      <c r="P108" s="665" t="s">
        <v>1338</v>
      </c>
      <c r="Q108" s="681" t="s">
        <v>1330</v>
      </c>
      <c r="R108" s="685" t="s">
        <v>1386</v>
      </c>
      <c r="S108" s="681"/>
      <c r="T108" s="681" t="s">
        <v>1387</v>
      </c>
      <c r="U108" s="681"/>
      <c r="V108" s="681"/>
      <c r="W108" s="681"/>
      <c r="X108" s="681"/>
      <c r="Y108" s="681"/>
      <c r="Z108" s="681"/>
    </row>
    <row r="109" spans="1:26" s="665" customFormat="1" ht="17.100000000000001" customHeight="1">
      <c r="A109" s="1316" t="s">
        <v>628</v>
      </c>
      <c r="B109" s="1317"/>
      <c r="C109" s="1316"/>
      <c r="D109" s="1317"/>
      <c r="E109" s="686">
        <f>1/1150</f>
        <v>8.6956521739130438E-4</v>
      </c>
      <c r="F109" s="676" t="s">
        <v>366</v>
      </c>
      <c r="G109" s="670"/>
      <c r="H109" s="670">
        <f>INT(E109*G109)</f>
        <v>0</v>
      </c>
      <c r="I109" s="670">
        <f>[53]노임단가!T6</f>
        <v>226122</v>
      </c>
      <c r="J109" s="670">
        <f>INT(E109*I109)</f>
        <v>196</v>
      </c>
      <c r="K109" s="670"/>
      <c r="L109" s="670"/>
      <c r="M109" s="670">
        <f t="shared" ref="M109:N113" si="10">G109+I109+K109</f>
        <v>226122</v>
      </c>
      <c r="N109" s="670">
        <f t="shared" si="10"/>
        <v>196</v>
      </c>
      <c r="O109" s="671" t="s">
        <v>1388</v>
      </c>
      <c r="Q109" s="681" t="s">
        <v>1389</v>
      </c>
      <c r="R109" s="681" t="s">
        <v>370</v>
      </c>
      <c r="S109" s="681" t="s">
        <v>371</v>
      </c>
      <c r="T109" s="681" t="s">
        <v>1390</v>
      </c>
      <c r="U109" s="682" t="s">
        <v>1391</v>
      </c>
      <c r="V109" s="681" t="s">
        <v>1392</v>
      </c>
      <c r="W109" s="681" t="s">
        <v>1393</v>
      </c>
      <c r="X109" s="682" t="s">
        <v>1391</v>
      </c>
      <c r="Y109" s="681" t="s">
        <v>1392</v>
      </c>
      <c r="Z109" s="681"/>
    </row>
    <row r="110" spans="1:26" s="665" customFormat="1" ht="17.100000000000001" customHeight="1">
      <c r="A110" s="1316" t="s">
        <v>1149</v>
      </c>
      <c r="B110" s="1317"/>
      <c r="C110" s="1316" t="s">
        <v>1150</v>
      </c>
      <c r="D110" s="1317"/>
      <c r="E110" s="686">
        <f>V113</f>
        <v>7.0000000000000001E-3</v>
      </c>
      <c r="F110" s="676" t="s">
        <v>418</v>
      </c>
      <c r="G110" s="670" t="e">
        <f>#REF!</f>
        <v>#REF!</v>
      </c>
      <c r="H110" s="670" t="e">
        <f>INT(E110*G110)</f>
        <v>#REF!</v>
      </c>
      <c r="I110" s="670" t="e">
        <f>#REF!</f>
        <v>#REF!</v>
      </c>
      <c r="J110" s="670" t="e">
        <f>INT(E110*I110)</f>
        <v>#REF!</v>
      </c>
      <c r="K110" s="670"/>
      <c r="L110" s="670"/>
      <c r="M110" s="670" t="e">
        <f>G110+I110+K110</f>
        <v>#REF!</v>
      </c>
      <c r="N110" s="670" t="e">
        <f>H110+J110+L110</f>
        <v>#REF!</v>
      </c>
      <c r="O110" s="671"/>
      <c r="Q110" s="681" t="s">
        <v>1389</v>
      </c>
      <c r="R110" s="681" t="s">
        <v>370</v>
      </c>
      <c r="S110" s="681" t="s">
        <v>371</v>
      </c>
      <c r="T110" s="681" t="s">
        <v>1390</v>
      </c>
      <c r="U110" s="682" t="s">
        <v>1391</v>
      </c>
      <c r="V110" s="681" t="s">
        <v>1392</v>
      </c>
      <c r="W110" s="681" t="s">
        <v>1393</v>
      </c>
      <c r="X110" s="682" t="s">
        <v>1391</v>
      </c>
      <c r="Y110" s="681" t="s">
        <v>1392</v>
      </c>
      <c r="Z110" s="681"/>
    </row>
    <row r="111" spans="1:26" s="665" customFormat="1" ht="17.100000000000001" customHeight="1">
      <c r="A111" s="1316" t="s">
        <v>1183</v>
      </c>
      <c r="B111" s="1317"/>
      <c r="C111" s="1316" t="s">
        <v>1185</v>
      </c>
      <c r="D111" s="1317"/>
      <c r="E111" s="686">
        <f>V113</f>
        <v>7.0000000000000001E-3</v>
      </c>
      <c r="F111" s="676" t="s">
        <v>418</v>
      </c>
      <c r="G111" s="670" t="e">
        <f>#REF!</f>
        <v>#REF!</v>
      </c>
      <c r="H111" s="670" t="e">
        <f>INT(E111*G111)</f>
        <v>#REF!</v>
      </c>
      <c r="I111" s="670" t="e">
        <f>#REF!</f>
        <v>#REF!</v>
      </c>
      <c r="J111" s="670" t="e">
        <f>INT(E111*I111)</f>
        <v>#REF!</v>
      </c>
      <c r="K111" s="670" t="e">
        <f>#REF!</f>
        <v>#REF!</v>
      </c>
      <c r="L111" s="670" t="e">
        <f>INT(E111*K111)</f>
        <v>#REF!</v>
      </c>
      <c r="M111" s="670" t="e">
        <f t="shared" si="10"/>
        <v>#REF!</v>
      </c>
      <c r="N111" s="670" t="e">
        <f t="shared" si="10"/>
        <v>#REF!</v>
      </c>
      <c r="O111" s="671"/>
      <c r="Q111" s="681" t="s">
        <v>628</v>
      </c>
      <c r="R111" s="681"/>
      <c r="S111" s="681">
        <v>1</v>
      </c>
      <c r="T111" s="681">
        <v>1150</v>
      </c>
      <c r="U111" s="681"/>
      <c r="V111" s="681">
        <f>S111/T111</f>
        <v>8.6956521739130438E-4</v>
      </c>
      <c r="W111" s="681">
        <v>770</v>
      </c>
      <c r="X111" s="681"/>
      <c r="Y111" s="681">
        <f>S111/W111</f>
        <v>1.2987012987012987E-3</v>
      </c>
      <c r="Z111" s="681"/>
    </row>
    <row r="112" spans="1:26" s="665" customFormat="1" ht="17.100000000000001" customHeight="1">
      <c r="A112" s="1316" t="s">
        <v>409</v>
      </c>
      <c r="B112" s="1317"/>
      <c r="C112" s="1316" t="s">
        <v>397</v>
      </c>
      <c r="D112" s="1317"/>
      <c r="E112" s="686">
        <f>V114</f>
        <v>7.0000000000000001E-3</v>
      </c>
      <c r="F112" s="676" t="s">
        <v>418</v>
      </c>
      <c r="G112" s="670" t="e">
        <f>#REF!</f>
        <v>#REF!</v>
      </c>
      <c r="H112" s="670" t="e">
        <f>INT(E112*G112)</f>
        <v>#REF!</v>
      </c>
      <c r="I112" s="670" t="e">
        <f>#REF!</f>
        <v>#REF!</v>
      </c>
      <c r="J112" s="670" t="e">
        <f>INT(E112*I112)</f>
        <v>#REF!</v>
      </c>
      <c r="K112" s="670" t="e">
        <f>#REF!</f>
        <v>#REF!</v>
      </c>
      <c r="L112" s="670" t="e">
        <f>INT(E112*K112)</f>
        <v>#REF!</v>
      </c>
      <c r="M112" s="670" t="e">
        <f t="shared" si="10"/>
        <v>#REF!</v>
      </c>
      <c r="N112" s="670" t="e">
        <f t="shared" si="10"/>
        <v>#REF!</v>
      </c>
      <c r="O112" s="671"/>
      <c r="Q112" s="681" t="s">
        <v>1394</v>
      </c>
      <c r="R112" s="681">
        <v>3.6</v>
      </c>
      <c r="S112" s="681">
        <v>1</v>
      </c>
      <c r="T112" s="681">
        <v>1150</v>
      </c>
      <c r="U112" s="681">
        <f>T112/8</f>
        <v>143.75</v>
      </c>
      <c r="V112" s="681">
        <f>ROUND(1/U112,4)</f>
        <v>7.0000000000000001E-3</v>
      </c>
      <c r="W112" s="681">
        <v>770</v>
      </c>
      <c r="X112" s="681">
        <f>W112/8</f>
        <v>96.25</v>
      </c>
      <c r="Y112" s="681">
        <f>ROUND(1/X112,4)</f>
        <v>1.04E-2</v>
      </c>
      <c r="Z112" s="681"/>
    </row>
    <row r="113" spans="1:26" s="665" customFormat="1" ht="17.100000000000001" customHeight="1">
      <c r="A113" s="1316" t="s">
        <v>630</v>
      </c>
      <c r="B113" s="1317"/>
      <c r="C113" s="1316" t="s">
        <v>1395</v>
      </c>
      <c r="D113" s="1317"/>
      <c r="E113" s="686">
        <f>V115</f>
        <v>3.5000000000000001E-3</v>
      </c>
      <c r="F113" s="676" t="s">
        <v>418</v>
      </c>
      <c r="G113" s="670" t="e">
        <f>#REF!</f>
        <v>#REF!</v>
      </c>
      <c r="H113" s="670" t="e">
        <f>INT(E113*G113)</f>
        <v>#REF!</v>
      </c>
      <c r="I113" s="670" t="e">
        <f>#REF!</f>
        <v>#REF!</v>
      </c>
      <c r="J113" s="670" t="e">
        <f>INT(E113*I113)</f>
        <v>#REF!</v>
      </c>
      <c r="K113" s="670" t="e">
        <f>#REF!</f>
        <v>#REF!</v>
      </c>
      <c r="L113" s="670" t="e">
        <f>INT(E113*K113)</f>
        <v>#REF!</v>
      </c>
      <c r="M113" s="670" t="e">
        <f t="shared" si="10"/>
        <v>#REF!</v>
      </c>
      <c r="N113" s="670" t="e">
        <f t="shared" si="10"/>
        <v>#REF!</v>
      </c>
      <c r="O113" s="671"/>
      <c r="Q113" s="681" t="s">
        <v>1183</v>
      </c>
      <c r="R113" s="681">
        <v>10</v>
      </c>
      <c r="S113" s="681">
        <v>1</v>
      </c>
      <c r="T113" s="681">
        <v>1150</v>
      </c>
      <c r="U113" s="681">
        <f>T113/8</f>
        <v>143.75</v>
      </c>
      <c r="V113" s="681">
        <f>ROUND(1/U113,4)</f>
        <v>7.0000000000000001E-3</v>
      </c>
      <c r="W113" s="681">
        <v>770</v>
      </c>
      <c r="X113" s="681">
        <f>W113/8</f>
        <v>96.25</v>
      </c>
      <c r="Y113" s="681">
        <f>ROUND(1/X113,4)</f>
        <v>1.04E-2</v>
      </c>
      <c r="Z113" s="681"/>
    </row>
    <row r="114" spans="1:26" s="665" customFormat="1" ht="17.100000000000001" customHeight="1">
      <c r="A114" s="1318" t="s">
        <v>1320</v>
      </c>
      <c r="B114" s="1319"/>
      <c r="C114" s="1316"/>
      <c r="D114" s="1317"/>
      <c r="E114" s="686"/>
      <c r="F114" s="676"/>
      <c r="G114" s="670"/>
      <c r="H114" s="670" t="e">
        <f>SUM(H109:H113)</f>
        <v>#REF!</v>
      </c>
      <c r="I114" s="670"/>
      <c r="J114" s="670" t="e">
        <f>SUM(J109:J113)</f>
        <v>#REF!</v>
      </c>
      <c r="K114" s="670"/>
      <c r="L114" s="670" t="e">
        <f>SUM(L109:L113)</f>
        <v>#REF!</v>
      </c>
      <c r="M114" s="670"/>
      <c r="N114" s="670" t="e">
        <f>SUM(N109:N113)</f>
        <v>#REF!</v>
      </c>
      <c r="O114" s="671"/>
      <c r="Q114" s="681" t="s">
        <v>629</v>
      </c>
      <c r="R114" s="681">
        <v>0.6</v>
      </c>
      <c r="S114" s="681">
        <v>1</v>
      </c>
      <c r="T114" s="681">
        <v>1150</v>
      </c>
      <c r="U114" s="681">
        <f>T114/8</f>
        <v>143.75</v>
      </c>
      <c r="V114" s="681">
        <f>ROUND(1/U114,4)</f>
        <v>7.0000000000000001E-3</v>
      </c>
      <c r="W114" s="681">
        <v>770</v>
      </c>
      <c r="X114" s="681">
        <f>W114/8</f>
        <v>96.25</v>
      </c>
      <c r="Y114" s="681">
        <f>ROUND(1/X114,4)</f>
        <v>1.04E-2</v>
      </c>
      <c r="Z114" s="681"/>
    </row>
    <row r="115" spans="1:26" s="665" customFormat="1" ht="17.100000000000001" customHeight="1">
      <c r="A115" s="668">
        <f>A108+1</f>
        <v>29</v>
      </c>
      <c r="B115" s="1320" t="s">
        <v>1384</v>
      </c>
      <c r="C115" s="1320"/>
      <c r="D115" s="1320" t="s">
        <v>1396</v>
      </c>
      <c r="E115" s="1320"/>
      <c r="F115" s="669" t="s">
        <v>850</v>
      </c>
      <c r="G115" s="670"/>
      <c r="H115" s="670"/>
      <c r="I115" s="670"/>
      <c r="J115" s="670"/>
      <c r="K115" s="670"/>
      <c r="L115" s="670"/>
      <c r="M115" s="670"/>
      <c r="N115" s="670"/>
      <c r="O115" s="671"/>
      <c r="Q115" s="681" t="s">
        <v>1397</v>
      </c>
      <c r="R115" s="681">
        <v>16000</v>
      </c>
      <c r="S115" s="681">
        <v>0.5</v>
      </c>
      <c r="T115" s="681">
        <v>1150</v>
      </c>
      <c r="U115" s="681">
        <f>T115/4</f>
        <v>287.5</v>
      </c>
      <c r="V115" s="681">
        <f>ROUND(1/U115,4)</f>
        <v>3.5000000000000001E-3</v>
      </c>
      <c r="W115" s="681">
        <v>770</v>
      </c>
      <c r="X115" s="681">
        <f>W115/4</f>
        <v>192.5</v>
      </c>
      <c r="Y115" s="681">
        <f>ROUND(1/X115,4)</f>
        <v>5.1999999999999998E-3</v>
      </c>
      <c r="Z115" s="681"/>
    </row>
    <row r="116" spans="1:26" s="665" customFormat="1" ht="17.100000000000001" customHeight="1">
      <c r="A116" s="1316" t="s">
        <v>628</v>
      </c>
      <c r="B116" s="1317"/>
      <c r="C116" s="1316"/>
      <c r="D116" s="1317"/>
      <c r="E116" s="686">
        <f>1/770</f>
        <v>1.2987012987012987E-3</v>
      </c>
      <c r="F116" s="676" t="s">
        <v>366</v>
      </c>
      <c r="G116" s="670"/>
      <c r="H116" s="670">
        <f>INT(E116*G116)</f>
        <v>0</v>
      </c>
      <c r="I116" s="670">
        <f>[53]노임단가!T6</f>
        <v>226122</v>
      </c>
      <c r="J116" s="670">
        <f>INT(E116*I116)</f>
        <v>293</v>
      </c>
      <c r="K116" s="670"/>
      <c r="L116" s="670"/>
      <c r="M116" s="670">
        <f>G116+I116+K116</f>
        <v>226122</v>
      </c>
      <c r="N116" s="670">
        <f>H116+J116+L116</f>
        <v>293</v>
      </c>
      <c r="O116" s="671"/>
    </row>
    <row r="117" spans="1:26" s="665" customFormat="1" ht="17.100000000000001" customHeight="1">
      <c r="A117" s="1316" t="s">
        <v>1149</v>
      </c>
      <c r="B117" s="1317"/>
      <c r="C117" s="1316" t="s">
        <v>1150</v>
      </c>
      <c r="D117" s="1317"/>
      <c r="E117" s="686">
        <f>Y112</f>
        <v>1.04E-2</v>
      </c>
      <c r="F117" s="676" t="s">
        <v>418</v>
      </c>
      <c r="G117" s="670" t="e">
        <f>#REF!</f>
        <v>#REF!</v>
      </c>
      <c r="H117" s="670" t="e">
        <f>INT(E117*G117)</f>
        <v>#REF!</v>
      </c>
      <c r="I117" s="670" t="e">
        <f>#REF!</f>
        <v>#REF!</v>
      </c>
      <c r="J117" s="670" t="e">
        <f>INT(E117*I117)</f>
        <v>#REF!</v>
      </c>
      <c r="K117" s="670"/>
      <c r="L117" s="670"/>
      <c r="M117" s="670" t="e">
        <f t="shared" ref="M117:N120" si="11">G117+I117+K117</f>
        <v>#REF!</v>
      </c>
      <c r="N117" s="670" t="e">
        <f t="shared" si="11"/>
        <v>#REF!</v>
      </c>
      <c r="O117" s="671"/>
    </row>
    <row r="118" spans="1:26" s="665" customFormat="1" ht="17.100000000000001" customHeight="1">
      <c r="A118" s="1316" t="s">
        <v>1183</v>
      </c>
      <c r="B118" s="1317"/>
      <c r="C118" s="1316" t="s">
        <v>1185</v>
      </c>
      <c r="D118" s="1317"/>
      <c r="E118" s="686">
        <f>Y113</f>
        <v>1.04E-2</v>
      </c>
      <c r="F118" s="676" t="s">
        <v>418</v>
      </c>
      <c r="G118" s="670" t="e">
        <f>#REF!</f>
        <v>#REF!</v>
      </c>
      <c r="H118" s="670" t="e">
        <f>INT(E118*G118)</f>
        <v>#REF!</v>
      </c>
      <c r="I118" s="670" t="e">
        <f>#REF!</f>
        <v>#REF!</v>
      </c>
      <c r="J118" s="670" t="e">
        <f>INT(E118*I118)</f>
        <v>#REF!</v>
      </c>
      <c r="K118" s="670" t="e">
        <f>#REF!</f>
        <v>#REF!</v>
      </c>
      <c r="L118" s="670" t="e">
        <f>INT(E118*K118)</f>
        <v>#REF!</v>
      </c>
      <c r="M118" s="670" t="e">
        <f t="shared" si="11"/>
        <v>#REF!</v>
      </c>
      <c r="N118" s="670" t="e">
        <f t="shared" si="11"/>
        <v>#REF!</v>
      </c>
      <c r="O118" s="671"/>
    </row>
    <row r="119" spans="1:26" s="665" customFormat="1" ht="17.100000000000001" customHeight="1">
      <c r="A119" s="1316" t="s">
        <v>409</v>
      </c>
      <c r="B119" s="1317"/>
      <c r="C119" s="1316" t="s">
        <v>397</v>
      </c>
      <c r="D119" s="1317"/>
      <c r="E119" s="686">
        <f>Y114</f>
        <v>1.04E-2</v>
      </c>
      <c r="F119" s="676" t="s">
        <v>418</v>
      </c>
      <c r="G119" s="670" t="e">
        <f>#REF!</f>
        <v>#REF!</v>
      </c>
      <c r="H119" s="670" t="e">
        <f>INT(E119*G119)</f>
        <v>#REF!</v>
      </c>
      <c r="I119" s="670" t="e">
        <f>#REF!</f>
        <v>#REF!</v>
      </c>
      <c r="J119" s="670" t="e">
        <f>INT(E119*I119)</f>
        <v>#REF!</v>
      </c>
      <c r="K119" s="670" t="e">
        <f>#REF!</f>
        <v>#REF!</v>
      </c>
      <c r="L119" s="670" t="e">
        <f>INT(E119*K119)</f>
        <v>#REF!</v>
      </c>
      <c r="M119" s="670" t="e">
        <f t="shared" si="11"/>
        <v>#REF!</v>
      </c>
      <c r="N119" s="670" t="e">
        <f t="shared" si="11"/>
        <v>#REF!</v>
      </c>
      <c r="O119" s="671"/>
    </row>
    <row r="120" spans="1:26" s="665" customFormat="1" ht="17.100000000000001" customHeight="1">
      <c r="A120" s="1316" t="s">
        <v>630</v>
      </c>
      <c r="B120" s="1317"/>
      <c r="C120" s="1316" t="s">
        <v>1395</v>
      </c>
      <c r="D120" s="1317"/>
      <c r="E120" s="686">
        <f>Y115</f>
        <v>5.1999999999999998E-3</v>
      </c>
      <c r="F120" s="676" t="s">
        <v>418</v>
      </c>
      <c r="G120" s="670" t="e">
        <f>#REF!</f>
        <v>#REF!</v>
      </c>
      <c r="H120" s="670" t="e">
        <f>INT(E120*G120)</f>
        <v>#REF!</v>
      </c>
      <c r="I120" s="670" t="e">
        <f>#REF!</f>
        <v>#REF!</v>
      </c>
      <c r="J120" s="670" t="e">
        <f>INT(E120*I120)</f>
        <v>#REF!</v>
      </c>
      <c r="K120" s="670" t="e">
        <f>#REF!</f>
        <v>#REF!</v>
      </c>
      <c r="L120" s="670" t="e">
        <f>INT(E120*K120)</f>
        <v>#REF!</v>
      </c>
      <c r="M120" s="670" t="e">
        <f t="shared" si="11"/>
        <v>#REF!</v>
      </c>
      <c r="N120" s="670" t="e">
        <f t="shared" si="11"/>
        <v>#REF!</v>
      </c>
      <c r="O120" s="671"/>
    </row>
    <row r="121" spans="1:26" s="665" customFormat="1" ht="17.100000000000001" customHeight="1">
      <c r="A121" s="1318" t="s">
        <v>1320</v>
      </c>
      <c r="B121" s="1319"/>
      <c r="C121" s="1316"/>
      <c r="D121" s="1317"/>
      <c r="E121" s="686"/>
      <c r="F121" s="676"/>
      <c r="G121" s="670"/>
      <c r="H121" s="670" t="e">
        <f>SUM(H116:H120)</f>
        <v>#REF!</v>
      </c>
      <c r="I121" s="670"/>
      <c r="J121" s="670" t="e">
        <f>SUM(J116:J120)</f>
        <v>#REF!</v>
      </c>
      <c r="K121" s="670"/>
      <c r="L121" s="670" t="e">
        <f>SUM(L116:L120)</f>
        <v>#REF!</v>
      </c>
      <c r="M121" s="670"/>
      <c r="N121" s="670" t="e">
        <f>SUM(N116:N120)</f>
        <v>#REF!</v>
      </c>
      <c r="O121" s="671"/>
    </row>
    <row r="122" spans="1:26" s="665" customFormat="1" ht="17.100000000000001" customHeight="1">
      <c r="A122" s="668">
        <f>A115+1</f>
        <v>30</v>
      </c>
      <c r="B122" s="1320" t="s">
        <v>1398</v>
      </c>
      <c r="C122" s="1320"/>
      <c r="D122" s="1320" t="s">
        <v>1378</v>
      </c>
      <c r="E122" s="1320"/>
      <c r="F122" s="669" t="s">
        <v>850</v>
      </c>
      <c r="G122" s="670"/>
      <c r="H122" s="670"/>
      <c r="I122" s="670"/>
      <c r="J122" s="670"/>
      <c r="K122" s="670"/>
      <c r="L122" s="670"/>
      <c r="M122" s="670"/>
      <c r="N122" s="670"/>
      <c r="O122" s="671"/>
    </row>
    <row r="123" spans="1:26" s="665" customFormat="1" ht="17.100000000000001" customHeight="1">
      <c r="A123" s="1316" t="s">
        <v>1399</v>
      </c>
      <c r="B123" s="1317"/>
      <c r="C123" s="1316" t="s">
        <v>394</v>
      </c>
      <c r="D123" s="1317"/>
      <c r="E123" s="677">
        <v>1</v>
      </c>
      <c r="F123" s="676" t="s">
        <v>850</v>
      </c>
      <c r="G123" s="670" t="e">
        <f>#REF!</f>
        <v>#REF!</v>
      </c>
      <c r="H123" s="670" t="e">
        <f>INT(E123*G123)</f>
        <v>#REF!</v>
      </c>
      <c r="I123" s="670" t="e">
        <f>#REF!</f>
        <v>#REF!</v>
      </c>
      <c r="J123" s="670" t="e">
        <f>INT(E123*I123)</f>
        <v>#REF!</v>
      </c>
      <c r="K123" s="670" t="e">
        <f>#REF!</f>
        <v>#REF!</v>
      </c>
      <c r="L123" s="670" t="e">
        <f>INT(E123*K123)</f>
        <v>#REF!</v>
      </c>
      <c r="M123" s="670" t="e">
        <f>G123+I123+K123</f>
        <v>#REF!</v>
      </c>
      <c r="N123" s="670" t="e">
        <f>H123+J123+L123</f>
        <v>#REF!</v>
      </c>
      <c r="O123" s="671"/>
    </row>
    <row r="124" spans="1:26" s="665" customFormat="1" ht="17.100000000000001" customHeight="1">
      <c r="A124" s="1318" t="s">
        <v>1320</v>
      </c>
      <c r="B124" s="1319"/>
      <c r="C124" s="1371"/>
      <c r="D124" s="1372"/>
      <c r="E124" s="677"/>
      <c r="F124" s="676"/>
      <c r="G124" s="670"/>
      <c r="H124" s="670" t="e">
        <f>SUM(H123:H123)</f>
        <v>#REF!</v>
      </c>
      <c r="I124" s="670"/>
      <c r="J124" s="670" t="e">
        <f>SUM(J123:J123)</f>
        <v>#REF!</v>
      </c>
      <c r="K124" s="670"/>
      <c r="L124" s="670" t="e">
        <f>SUM(L123:L123)</f>
        <v>#REF!</v>
      </c>
      <c r="M124" s="670"/>
      <c r="N124" s="670" t="e">
        <f>SUM(N123:N123)</f>
        <v>#REF!</v>
      </c>
      <c r="O124" s="671"/>
    </row>
    <row r="125" spans="1:26" s="665" customFormat="1" ht="17.100000000000001" customHeight="1">
      <c r="A125" s="668">
        <f>A122+1</f>
        <v>31</v>
      </c>
      <c r="B125" s="1320" t="s">
        <v>1398</v>
      </c>
      <c r="C125" s="1320"/>
      <c r="D125" s="1320" t="s">
        <v>1380</v>
      </c>
      <c r="E125" s="1320"/>
      <c r="F125" s="669" t="s">
        <v>850</v>
      </c>
      <c r="G125" s="670"/>
      <c r="H125" s="670"/>
      <c r="I125" s="670"/>
      <c r="J125" s="670"/>
      <c r="K125" s="670"/>
      <c r="L125" s="670"/>
      <c r="M125" s="670"/>
      <c r="N125" s="670"/>
      <c r="O125" s="671"/>
    </row>
    <row r="126" spans="1:26" s="665" customFormat="1" ht="17.100000000000001" customHeight="1">
      <c r="A126" s="1316" t="s">
        <v>1399</v>
      </c>
      <c r="B126" s="1317"/>
      <c r="C126" s="1316" t="s">
        <v>359</v>
      </c>
      <c r="D126" s="1317"/>
      <c r="E126" s="677">
        <v>1</v>
      </c>
      <c r="F126" s="676" t="s">
        <v>850</v>
      </c>
      <c r="G126" s="670" t="e">
        <f>#REF!</f>
        <v>#REF!</v>
      </c>
      <c r="H126" s="670" t="e">
        <f>INT(E126*G126)</f>
        <v>#REF!</v>
      </c>
      <c r="I126" s="670" t="e">
        <f>#REF!</f>
        <v>#REF!</v>
      </c>
      <c r="J126" s="670" t="e">
        <f>INT(E126*I126)</f>
        <v>#REF!</v>
      </c>
      <c r="K126" s="670" t="e">
        <f>#REF!</f>
        <v>#REF!</v>
      </c>
      <c r="L126" s="670" t="e">
        <f>INT(E126*K126)</f>
        <v>#REF!</v>
      </c>
      <c r="M126" s="670" t="e">
        <f>G126+I126+K126</f>
        <v>#REF!</v>
      </c>
      <c r="N126" s="670" t="e">
        <f>H126+J126+L126</f>
        <v>#REF!</v>
      </c>
      <c r="O126" s="671"/>
    </row>
    <row r="127" spans="1:26" s="665" customFormat="1" ht="17.100000000000001" customHeight="1">
      <c r="A127" s="1318" t="s">
        <v>1320</v>
      </c>
      <c r="B127" s="1319"/>
      <c r="C127" s="1371"/>
      <c r="D127" s="1372"/>
      <c r="E127" s="677"/>
      <c r="F127" s="676"/>
      <c r="G127" s="670"/>
      <c r="H127" s="670" t="e">
        <f>SUM(H126:H126)</f>
        <v>#REF!</v>
      </c>
      <c r="I127" s="670"/>
      <c r="J127" s="670" t="e">
        <f>SUM(J126:J126)</f>
        <v>#REF!</v>
      </c>
      <c r="K127" s="670"/>
      <c r="L127" s="670" t="e">
        <f>SUM(L126:L126)</f>
        <v>#REF!</v>
      </c>
      <c r="M127" s="670"/>
      <c r="N127" s="670" t="e">
        <f>SUM(N126:N126)</f>
        <v>#REF!</v>
      </c>
      <c r="O127" s="671"/>
    </row>
    <row r="128" spans="1:26" s="665" customFormat="1" ht="17.100000000000001" customHeight="1">
      <c r="A128" s="668">
        <f>A125+1</f>
        <v>32</v>
      </c>
      <c r="B128" s="1320" t="s">
        <v>1398</v>
      </c>
      <c r="C128" s="1320"/>
      <c r="D128" s="1320" t="s">
        <v>1381</v>
      </c>
      <c r="E128" s="1320"/>
      <c r="F128" s="669" t="s">
        <v>850</v>
      </c>
      <c r="G128" s="670"/>
      <c r="H128" s="670"/>
      <c r="I128" s="670"/>
      <c r="J128" s="670"/>
      <c r="K128" s="670"/>
      <c r="L128" s="670"/>
      <c r="M128" s="670"/>
      <c r="N128" s="670"/>
      <c r="O128" s="671"/>
    </row>
    <row r="129" spans="1:15" s="665" customFormat="1" ht="17.100000000000001" customHeight="1">
      <c r="A129" s="1316" t="s">
        <v>1399</v>
      </c>
      <c r="B129" s="1317"/>
      <c r="C129" s="1316" t="s">
        <v>399</v>
      </c>
      <c r="D129" s="1317"/>
      <c r="E129" s="677">
        <v>1</v>
      </c>
      <c r="F129" s="676" t="s">
        <v>850</v>
      </c>
      <c r="G129" s="670" t="e">
        <f>#REF!</f>
        <v>#REF!</v>
      </c>
      <c r="H129" s="670" t="e">
        <f>INT(E129*G129)</f>
        <v>#REF!</v>
      </c>
      <c r="I129" s="670" t="e">
        <f>#REF!</f>
        <v>#REF!</v>
      </c>
      <c r="J129" s="670" t="e">
        <f>INT(E129*I129)</f>
        <v>#REF!</v>
      </c>
      <c r="K129" s="670" t="e">
        <f>#REF!</f>
        <v>#REF!</v>
      </c>
      <c r="L129" s="670" t="e">
        <f>INT(E129*K129)</f>
        <v>#REF!</v>
      </c>
      <c r="M129" s="670" t="e">
        <f>G129+I129+K129</f>
        <v>#REF!</v>
      </c>
      <c r="N129" s="670" t="e">
        <f>H129+J129+L129</f>
        <v>#REF!</v>
      </c>
      <c r="O129" s="671"/>
    </row>
    <row r="130" spans="1:15" s="665" customFormat="1" ht="17.100000000000001" customHeight="1">
      <c r="A130" s="1318" t="s">
        <v>1320</v>
      </c>
      <c r="B130" s="1319"/>
      <c r="C130" s="1371"/>
      <c r="D130" s="1372"/>
      <c r="E130" s="677"/>
      <c r="F130" s="676"/>
      <c r="G130" s="670"/>
      <c r="H130" s="670" t="e">
        <f>SUM(H129:H129)</f>
        <v>#REF!</v>
      </c>
      <c r="I130" s="670"/>
      <c r="J130" s="670" t="e">
        <f>SUM(J129:J129)</f>
        <v>#REF!</v>
      </c>
      <c r="K130" s="670"/>
      <c r="L130" s="670" t="e">
        <f>SUM(L129:L129)</f>
        <v>#REF!</v>
      </c>
      <c r="M130" s="670"/>
      <c r="N130" s="670" t="e">
        <f>SUM(N129:N129)</f>
        <v>#REF!</v>
      </c>
      <c r="O130" s="671"/>
    </row>
    <row r="131" spans="1:15" s="665" customFormat="1" ht="17.100000000000001" customHeight="1">
      <c r="A131" s="668">
        <f>A128+1</f>
        <v>33</v>
      </c>
      <c r="B131" s="1320" t="s">
        <v>1400</v>
      </c>
      <c r="C131" s="1320"/>
      <c r="D131" s="1320" t="s">
        <v>1401</v>
      </c>
      <c r="E131" s="1320"/>
      <c r="F131" s="669" t="s">
        <v>850</v>
      </c>
      <c r="G131" s="670"/>
      <c r="H131" s="670"/>
      <c r="I131" s="670"/>
      <c r="J131" s="670"/>
      <c r="K131" s="670"/>
      <c r="L131" s="670"/>
      <c r="M131" s="670"/>
      <c r="N131" s="670"/>
      <c r="O131" s="671"/>
    </row>
    <row r="132" spans="1:15" s="665" customFormat="1" ht="17.100000000000001" customHeight="1">
      <c r="A132" s="1316" t="s">
        <v>1402</v>
      </c>
      <c r="B132" s="1317"/>
      <c r="C132" s="1338" t="s">
        <v>1403</v>
      </c>
      <c r="D132" s="1317"/>
      <c r="E132" s="677">
        <v>1</v>
      </c>
      <c r="F132" s="676" t="s">
        <v>850</v>
      </c>
      <c r="G132" s="670"/>
      <c r="H132" s="670"/>
      <c r="I132" s="670">
        <f>INT([53]노임단가!$T$5*5*10/450)</f>
        <v>19118</v>
      </c>
      <c r="J132" s="670">
        <f>INT(E132*I132)</f>
        <v>19118</v>
      </c>
      <c r="K132" s="670"/>
      <c r="L132" s="670"/>
      <c r="M132" s="670">
        <f>G132+I132+K132</f>
        <v>19118</v>
      </c>
      <c r="N132" s="670">
        <f>H132+J132+L132</f>
        <v>19118</v>
      </c>
      <c r="O132" s="671"/>
    </row>
    <row r="133" spans="1:15" s="665" customFormat="1" ht="17.100000000000001" customHeight="1">
      <c r="A133" s="1316" t="s">
        <v>1404</v>
      </c>
      <c r="B133" s="1317"/>
      <c r="C133" s="1316" t="s">
        <v>1405</v>
      </c>
      <c r="D133" s="1317"/>
      <c r="E133" s="677">
        <v>1</v>
      </c>
      <c r="F133" s="676" t="s">
        <v>850</v>
      </c>
      <c r="G133" s="670">
        <f>[53]운반공!$BI$130</f>
        <v>1058</v>
      </c>
      <c r="H133" s="670">
        <f>INT(E133*G133)</f>
        <v>1058</v>
      </c>
      <c r="I133" s="670">
        <f>[53]운반공!$BQ$130</f>
        <v>22123</v>
      </c>
      <c r="J133" s="670">
        <f>INT(E133*I133)</f>
        <v>22123</v>
      </c>
      <c r="K133" s="670">
        <f>[53]운반공!$BY$130</f>
        <v>2898</v>
      </c>
      <c r="L133" s="670">
        <f>INT(E133*K133)</f>
        <v>2898</v>
      </c>
      <c r="M133" s="670">
        <f>G133+I133+K133</f>
        <v>26079</v>
      </c>
      <c r="N133" s="670">
        <f>H133+J133+L133</f>
        <v>26079</v>
      </c>
      <c r="O133" s="671"/>
    </row>
    <row r="134" spans="1:15" s="665" customFormat="1" ht="17.100000000000001" customHeight="1">
      <c r="A134" s="1318" t="s">
        <v>1320</v>
      </c>
      <c r="B134" s="1319"/>
      <c r="C134" s="1371" t="s">
        <v>1406</v>
      </c>
      <c r="D134" s="1372"/>
      <c r="E134" s="677"/>
      <c r="F134" s="676"/>
      <c r="G134" s="670"/>
      <c r="H134" s="670"/>
      <c r="I134" s="670"/>
      <c r="J134" s="670"/>
      <c r="K134" s="670"/>
      <c r="L134" s="670">
        <f>H133+J133+L133+J132</f>
        <v>45197</v>
      </c>
      <c r="M134" s="670"/>
      <c r="N134" s="670">
        <f>SUM(N132:N133)</f>
        <v>45197</v>
      </c>
      <c r="O134" s="671"/>
    </row>
    <row r="135" spans="1:15" s="665" customFormat="1" ht="17.100000000000001" customHeight="1">
      <c r="A135" s="668">
        <f>A131+1</f>
        <v>34</v>
      </c>
      <c r="B135" s="1320" t="s">
        <v>1400</v>
      </c>
      <c r="C135" s="1320"/>
      <c r="D135" s="1320" t="s">
        <v>1407</v>
      </c>
      <c r="E135" s="1320"/>
      <c r="F135" s="669" t="s">
        <v>850</v>
      </c>
      <c r="G135" s="670"/>
      <c r="H135" s="670"/>
      <c r="I135" s="670"/>
      <c r="J135" s="670"/>
      <c r="K135" s="670"/>
      <c r="L135" s="670"/>
      <c r="M135" s="670"/>
      <c r="N135" s="670"/>
      <c r="O135" s="671"/>
    </row>
    <row r="136" spans="1:15" s="665" customFormat="1" ht="17.100000000000001" customHeight="1">
      <c r="A136" s="1316" t="s">
        <v>1402</v>
      </c>
      <c r="B136" s="1317"/>
      <c r="C136" s="1338" t="s">
        <v>1403</v>
      </c>
      <c r="D136" s="1317"/>
      <c r="E136" s="677">
        <v>1</v>
      </c>
      <c r="F136" s="676" t="s">
        <v>850</v>
      </c>
      <c r="G136" s="670"/>
      <c r="H136" s="670"/>
      <c r="I136" s="670">
        <f>INT([53]노임단가!$T$5*5*10/450)</f>
        <v>19118</v>
      </c>
      <c r="J136" s="670">
        <f>INT(E136*I136)</f>
        <v>19118</v>
      </c>
      <c r="K136" s="670"/>
      <c r="L136" s="670"/>
      <c r="M136" s="670">
        <f>G136+I136+K136</f>
        <v>19118</v>
      </c>
      <c r="N136" s="670">
        <f>H136+J136+L136</f>
        <v>19118</v>
      </c>
      <c r="O136" s="671"/>
    </row>
    <row r="137" spans="1:15" s="665" customFormat="1" ht="17.100000000000001" customHeight="1">
      <c r="A137" s="1316" t="s">
        <v>1404</v>
      </c>
      <c r="B137" s="1317"/>
      <c r="C137" s="1316" t="s">
        <v>1408</v>
      </c>
      <c r="D137" s="1317"/>
      <c r="E137" s="677">
        <v>1</v>
      </c>
      <c r="F137" s="676" t="s">
        <v>850</v>
      </c>
      <c r="G137" s="670">
        <f>[53]운반공!$BI$131</f>
        <v>1011</v>
      </c>
      <c r="H137" s="670">
        <f>INT(E137*G137)</f>
        <v>1011</v>
      </c>
      <c r="I137" s="670">
        <f>[53]운반공!$BQ$131</f>
        <v>17404</v>
      </c>
      <c r="J137" s="670">
        <f>INT(E137*I137)</f>
        <v>17404</v>
      </c>
      <c r="K137" s="670">
        <f>[53]운반공!$BY$131</f>
        <v>2661</v>
      </c>
      <c r="L137" s="670">
        <f>INT(E137*K137)</f>
        <v>2661</v>
      </c>
      <c r="M137" s="670">
        <f>G137+I137+K137</f>
        <v>21076</v>
      </c>
      <c r="N137" s="670">
        <f>H137+J137+L137</f>
        <v>21076</v>
      </c>
      <c r="O137" s="671"/>
    </row>
    <row r="138" spans="1:15" s="665" customFormat="1" ht="17.100000000000001" customHeight="1">
      <c r="A138" s="1318" t="s">
        <v>1320</v>
      </c>
      <c r="B138" s="1319"/>
      <c r="C138" s="1371" t="s">
        <v>1406</v>
      </c>
      <c r="D138" s="1372"/>
      <c r="E138" s="677"/>
      <c r="F138" s="676"/>
      <c r="G138" s="670"/>
      <c r="H138" s="670"/>
      <c r="I138" s="670"/>
      <c r="J138" s="670"/>
      <c r="K138" s="670"/>
      <c r="L138" s="670">
        <f>H137+J137+L137+J136</f>
        <v>40194</v>
      </c>
      <c r="M138" s="670"/>
      <c r="N138" s="670">
        <f>SUM(N136:N137)</f>
        <v>40194</v>
      </c>
      <c r="O138" s="671"/>
    </row>
    <row r="139" spans="1:15" s="665" customFormat="1" ht="17.100000000000001" customHeight="1">
      <c r="A139" s="668">
        <f>A135+1</f>
        <v>35</v>
      </c>
      <c r="B139" s="1320" t="s">
        <v>1409</v>
      </c>
      <c r="C139" s="1320"/>
      <c r="D139" s="1320" t="s">
        <v>1407</v>
      </c>
      <c r="E139" s="1320"/>
      <c r="F139" s="669" t="s">
        <v>850</v>
      </c>
      <c r="G139" s="670"/>
      <c r="H139" s="670"/>
      <c r="I139" s="670"/>
      <c r="J139" s="670"/>
      <c r="K139" s="670"/>
      <c r="L139" s="670"/>
      <c r="M139" s="670"/>
      <c r="N139" s="670"/>
      <c r="O139" s="671"/>
    </row>
    <row r="140" spans="1:15" s="665" customFormat="1" ht="17.100000000000001" customHeight="1">
      <c r="A140" s="1316" t="s">
        <v>1404</v>
      </c>
      <c r="B140" s="1317"/>
      <c r="C140" s="1316" t="s">
        <v>1410</v>
      </c>
      <c r="D140" s="1317"/>
      <c r="E140" s="677">
        <v>1</v>
      </c>
      <c r="F140" s="676" t="s">
        <v>850</v>
      </c>
      <c r="G140" s="670">
        <f>[53]운반공!$BI$63</f>
        <v>1011</v>
      </c>
      <c r="H140" s="670">
        <f>INT(E140*G140)</f>
        <v>1011</v>
      </c>
      <c r="I140" s="670">
        <f>[53]운반공!$BQ$63</f>
        <v>10179</v>
      </c>
      <c r="J140" s="670">
        <f>INT(E140*I140)</f>
        <v>10179</v>
      </c>
      <c r="K140" s="670">
        <f>[53]운반공!$BY$63</f>
        <v>1556</v>
      </c>
      <c r="L140" s="670">
        <f>INT(E140*K140)</f>
        <v>1556</v>
      </c>
      <c r="M140" s="670">
        <f>G140+I140+K140</f>
        <v>12746</v>
      </c>
      <c r="N140" s="670">
        <f>H140+J140+L140</f>
        <v>12746</v>
      </c>
      <c r="O140" s="671"/>
    </row>
    <row r="141" spans="1:15" s="665" customFormat="1" ht="17.100000000000001" customHeight="1">
      <c r="A141" s="1318" t="s">
        <v>1320</v>
      </c>
      <c r="B141" s="1319"/>
      <c r="C141" s="1371" t="s">
        <v>1406</v>
      </c>
      <c r="D141" s="1372"/>
      <c r="E141" s="677"/>
      <c r="F141" s="676"/>
      <c r="G141" s="670"/>
      <c r="H141" s="670"/>
      <c r="I141" s="670"/>
      <c r="J141" s="670"/>
      <c r="K141" s="670"/>
      <c r="L141" s="670">
        <f>H140+J140+L140</f>
        <v>12746</v>
      </c>
      <c r="M141" s="670"/>
      <c r="N141" s="670">
        <f>SUM(N139:N140)</f>
        <v>12746</v>
      </c>
      <c r="O141" s="671"/>
    </row>
    <row r="142" spans="1:15" s="665" customFormat="1" ht="17.100000000000001" customHeight="1">
      <c r="A142" s="668">
        <f>A139+1</f>
        <v>36</v>
      </c>
      <c r="B142" s="1320" t="s">
        <v>1411</v>
      </c>
      <c r="C142" s="1320"/>
      <c r="D142" s="1320" t="s">
        <v>1407</v>
      </c>
      <c r="E142" s="1320"/>
      <c r="F142" s="669" t="s">
        <v>850</v>
      </c>
      <c r="G142" s="670"/>
      <c r="H142" s="670"/>
      <c r="I142" s="670"/>
      <c r="J142" s="670"/>
      <c r="K142" s="670"/>
      <c r="L142" s="670"/>
      <c r="M142" s="670"/>
      <c r="N142" s="670"/>
      <c r="O142" s="671"/>
    </row>
    <row r="143" spans="1:15" s="665" customFormat="1" ht="17.100000000000001" customHeight="1">
      <c r="A143" s="1316" t="s">
        <v>1404</v>
      </c>
      <c r="B143" s="1317"/>
      <c r="C143" s="1316" t="s">
        <v>1412</v>
      </c>
      <c r="D143" s="1317"/>
      <c r="E143" s="677">
        <v>1</v>
      </c>
      <c r="F143" s="676" t="s">
        <v>850</v>
      </c>
      <c r="G143" s="670">
        <f>[53]운반공!$BI$64</f>
        <v>1451</v>
      </c>
      <c r="H143" s="670">
        <f>INT(E143*G143)</f>
        <v>1451</v>
      </c>
      <c r="I143" s="670">
        <f>[53]운반공!$BQ$64</f>
        <v>7611</v>
      </c>
      <c r="J143" s="670">
        <f>INT(E143*I143)</f>
        <v>7611</v>
      </c>
      <c r="K143" s="670">
        <f>[53]운반공!$BY$64</f>
        <v>1164</v>
      </c>
      <c r="L143" s="670">
        <f>INT(E143*K143)</f>
        <v>1164</v>
      </c>
      <c r="M143" s="670">
        <f>G143+I143+K143</f>
        <v>10226</v>
      </c>
      <c r="N143" s="670">
        <f>H143+J143+L143</f>
        <v>10226</v>
      </c>
      <c r="O143" s="671"/>
    </row>
    <row r="144" spans="1:15" s="665" customFormat="1" ht="17.100000000000001" customHeight="1">
      <c r="A144" s="1318" t="s">
        <v>1320</v>
      </c>
      <c r="B144" s="1319"/>
      <c r="C144" s="1371" t="s">
        <v>1406</v>
      </c>
      <c r="D144" s="1372"/>
      <c r="E144" s="677"/>
      <c r="F144" s="676"/>
      <c r="G144" s="670"/>
      <c r="H144" s="670"/>
      <c r="I144" s="670"/>
      <c r="J144" s="670"/>
      <c r="K144" s="670"/>
      <c r="L144" s="670">
        <f>H143+J143+L143</f>
        <v>10226</v>
      </c>
      <c r="M144" s="670"/>
      <c r="N144" s="670">
        <f>SUM(N142:N143)</f>
        <v>10226</v>
      </c>
      <c r="O144" s="671"/>
    </row>
    <row r="145" spans="1:20" s="665" customFormat="1" ht="17.100000000000001" customHeight="1">
      <c r="A145" s="668">
        <f>A142+1</f>
        <v>37</v>
      </c>
      <c r="B145" s="1320" t="s">
        <v>1411</v>
      </c>
      <c r="C145" s="1320"/>
      <c r="D145" s="1320" t="s">
        <v>1413</v>
      </c>
      <c r="E145" s="1320"/>
      <c r="F145" s="669" t="s">
        <v>850</v>
      </c>
      <c r="G145" s="670"/>
      <c r="H145" s="670"/>
      <c r="I145" s="670"/>
      <c r="J145" s="670"/>
      <c r="K145" s="670"/>
      <c r="L145" s="670"/>
      <c r="M145" s="670"/>
      <c r="N145" s="670"/>
      <c r="O145" s="671"/>
    </row>
    <row r="146" spans="1:20" s="665" customFormat="1" ht="17.100000000000001" customHeight="1">
      <c r="A146" s="1316" t="s">
        <v>1404</v>
      </c>
      <c r="B146" s="1317"/>
      <c r="C146" s="1316" t="s">
        <v>1414</v>
      </c>
      <c r="D146" s="1317"/>
      <c r="E146" s="677">
        <v>1</v>
      </c>
      <c r="F146" s="676" t="s">
        <v>850</v>
      </c>
      <c r="G146" s="670">
        <f>[53]운반공!$BI$65</f>
        <v>1790</v>
      </c>
      <c r="H146" s="670">
        <f>INT(E146*G146)</f>
        <v>1790</v>
      </c>
      <c r="I146" s="670">
        <f>[53]운반공!$BQ$65</f>
        <v>5048</v>
      </c>
      <c r="J146" s="670">
        <f>INT(E146*I146)</f>
        <v>5048</v>
      </c>
      <c r="K146" s="670">
        <f>[53]운반공!$BY$65</f>
        <v>1069</v>
      </c>
      <c r="L146" s="670">
        <f>INT(E146*K146)</f>
        <v>1069</v>
      </c>
      <c r="M146" s="670">
        <f>G146+I146+K146</f>
        <v>7907</v>
      </c>
      <c r="N146" s="670">
        <f>H146+J146+L146</f>
        <v>7907</v>
      </c>
      <c r="O146" s="671"/>
    </row>
    <row r="147" spans="1:20" s="665" customFormat="1" ht="17.100000000000001" customHeight="1">
      <c r="A147" s="1318" t="s">
        <v>1320</v>
      </c>
      <c r="B147" s="1319"/>
      <c r="C147" s="1371" t="s">
        <v>1406</v>
      </c>
      <c r="D147" s="1372"/>
      <c r="E147" s="677"/>
      <c r="F147" s="676"/>
      <c r="G147" s="670"/>
      <c r="H147" s="670"/>
      <c r="I147" s="670"/>
      <c r="J147" s="670"/>
      <c r="K147" s="670"/>
      <c r="L147" s="670">
        <f>H146+J146+L146</f>
        <v>7907</v>
      </c>
      <c r="M147" s="670"/>
      <c r="N147" s="670">
        <f>SUM(N145:N146)</f>
        <v>7907</v>
      </c>
      <c r="O147" s="671"/>
    </row>
    <row r="148" spans="1:20" s="665" customFormat="1" ht="17.100000000000001" customHeight="1">
      <c r="A148" s="668">
        <f>A145+1</f>
        <v>38</v>
      </c>
      <c r="B148" s="1320" t="s">
        <v>1411</v>
      </c>
      <c r="C148" s="1320"/>
      <c r="D148" s="1320" t="s">
        <v>1415</v>
      </c>
      <c r="E148" s="1320"/>
      <c r="F148" s="669" t="s">
        <v>850</v>
      </c>
      <c r="G148" s="670"/>
      <c r="H148" s="670"/>
      <c r="I148" s="670"/>
      <c r="J148" s="670"/>
      <c r="K148" s="670"/>
      <c r="L148" s="670"/>
      <c r="M148" s="670"/>
      <c r="N148" s="670"/>
      <c r="O148" s="671"/>
    </row>
    <row r="149" spans="1:20" s="665" customFormat="1" ht="17.100000000000001" customHeight="1">
      <c r="A149" s="1316" t="s">
        <v>1404</v>
      </c>
      <c r="B149" s="1317"/>
      <c r="C149" s="1316" t="s">
        <v>1416</v>
      </c>
      <c r="D149" s="1317"/>
      <c r="E149" s="677">
        <v>1</v>
      </c>
      <c r="F149" s="676" t="s">
        <v>850</v>
      </c>
      <c r="G149" s="670">
        <f>[53]운반공!$BI$95</f>
        <v>8751</v>
      </c>
      <c r="H149" s="670">
        <f>INT(E149*G149)</f>
        <v>8751</v>
      </c>
      <c r="I149" s="670">
        <f>[53]운반공!$BQ$95</f>
        <v>18856</v>
      </c>
      <c r="J149" s="670">
        <f>INT(E149*I149)</f>
        <v>18856</v>
      </c>
      <c r="K149" s="670">
        <f>[53]운반공!$BY$95</f>
        <v>6740</v>
      </c>
      <c r="L149" s="670">
        <f>INT(E149*K149)</f>
        <v>6740</v>
      </c>
      <c r="M149" s="670">
        <f>G149+I149+K149</f>
        <v>34347</v>
      </c>
      <c r="N149" s="670">
        <f>H149+J149+L149</f>
        <v>34347</v>
      </c>
      <c r="O149" s="671"/>
    </row>
    <row r="150" spans="1:20" s="665" customFormat="1" ht="17.100000000000001" customHeight="1">
      <c r="A150" s="1318" t="s">
        <v>1320</v>
      </c>
      <c r="B150" s="1319"/>
      <c r="C150" s="1371" t="s">
        <v>1406</v>
      </c>
      <c r="D150" s="1372"/>
      <c r="E150" s="677"/>
      <c r="F150" s="676"/>
      <c r="G150" s="670"/>
      <c r="H150" s="670"/>
      <c r="I150" s="670"/>
      <c r="J150" s="670"/>
      <c r="K150" s="670"/>
      <c r="L150" s="670">
        <f>H149+J149+L149</f>
        <v>34347</v>
      </c>
      <c r="M150" s="670"/>
      <c r="N150" s="670">
        <f>SUM(N148:N149)</f>
        <v>34347</v>
      </c>
      <c r="O150" s="671"/>
    </row>
    <row r="151" spans="1:20" s="665" customFormat="1" ht="17.100000000000001" customHeight="1">
      <c r="A151" s="668">
        <f>A148+1</f>
        <v>39</v>
      </c>
      <c r="B151" s="1320" t="s">
        <v>1417</v>
      </c>
      <c r="C151" s="1320"/>
      <c r="D151" s="1320" t="s">
        <v>1415</v>
      </c>
      <c r="E151" s="1320"/>
      <c r="F151" s="669" t="s">
        <v>850</v>
      </c>
      <c r="G151" s="670"/>
      <c r="H151" s="670"/>
      <c r="I151" s="670"/>
      <c r="J151" s="670"/>
      <c r="K151" s="670"/>
      <c r="L151" s="670"/>
      <c r="M151" s="670"/>
      <c r="N151" s="670"/>
      <c r="O151" s="671"/>
    </row>
    <row r="152" spans="1:20" s="665" customFormat="1" ht="17.100000000000001" customHeight="1">
      <c r="A152" s="1316" t="s">
        <v>1404</v>
      </c>
      <c r="B152" s="1317"/>
      <c r="C152" s="1316" t="s">
        <v>1418</v>
      </c>
      <c r="D152" s="1317"/>
      <c r="E152" s="677">
        <v>1</v>
      </c>
      <c r="F152" s="676" t="s">
        <v>850</v>
      </c>
      <c r="G152" s="670">
        <f>[53]운반공!$BI$96</f>
        <v>9289</v>
      </c>
      <c r="H152" s="670">
        <f>INT(E152*G152)</f>
        <v>9289</v>
      </c>
      <c r="I152" s="670">
        <f>[53]운반공!$BQ$96</f>
        <v>18160</v>
      </c>
      <c r="J152" s="670">
        <f>INT(E152*I152)</f>
        <v>18160</v>
      </c>
      <c r="K152" s="670">
        <f>[53]운반공!$BY$96</f>
        <v>6491</v>
      </c>
      <c r="L152" s="670">
        <f>INT(E152*K152)</f>
        <v>6491</v>
      </c>
      <c r="M152" s="670">
        <f>G152+I152+K152</f>
        <v>33940</v>
      </c>
      <c r="N152" s="670">
        <f>H152+J152+L152</f>
        <v>33940</v>
      </c>
      <c r="O152" s="671"/>
    </row>
    <row r="153" spans="1:20" s="665" customFormat="1" ht="17.100000000000001" customHeight="1">
      <c r="A153" s="1318" t="s">
        <v>1320</v>
      </c>
      <c r="B153" s="1319"/>
      <c r="C153" s="1371" t="s">
        <v>1406</v>
      </c>
      <c r="D153" s="1372"/>
      <c r="E153" s="677"/>
      <c r="F153" s="676"/>
      <c r="G153" s="670"/>
      <c r="H153" s="670"/>
      <c r="I153" s="670"/>
      <c r="J153" s="670"/>
      <c r="K153" s="670"/>
      <c r="L153" s="670">
        <f>H152+J152+L152</f>
        <v>33940</v>
      </c>
      <c r="M153" s="670"/>
      <c r="N153" s="670">
        <f>SUM(N151:N152)</f>
        <v>33940</v>
      </c>
      <c r="O153" s="671"/>
    </row>
    <row r="154" spans="1:20" s="665" customFormat="1" ht="17.100000000000001" customHeight="1">
      <c r="A154" s="668">
        <f>A151+1</f>
        <v>40</v>
      </c>
      <c r="B154" s="1320" t="s">
        <v>1417</v>
      </c>
      <c r="C154" s="1320"/>
      <c r="D154" s="1320" t="s">
        <v>1419</v>
      </c>
      <c r="E154" s="1320"/>
      <c r="F154" s="669" t="s">
        <v>850</v>
      </c>
      <c r="G154" s="670"/>
      <c r="H154" s="670"/>
      <c r="I154" s="670"/>
      <c r="J154" s="670"/>
      <c r="K154" s="670"/>
      <c r="L154" s="670"/>
      <c r="M154" s="670"/>
      <c r="N154" s="670"/>
      <c r="O154" s="671"/>
    </row>
    <row r="155" spans="1:20" s="665" customFormat="1" ht="17.100000000000001" customHeight="1">
      <c r="A155" s="1316" t="s">
        <v>1404</v>
      </c>
      <c r="B155" s="1317"/>
      <c r="C155" s="1316" t="s">
        <v>1420</v>
      </c>
      <c r="D155" s="1317"/>
      <c r="E155" s="677">
        <v>1</v>
      </c>
      <c r="F155" s="676" t="s">
        <v>850</v>
      </c>
      <c r="G155" s="670">
        <f>[53]운반공!$BI$97</f>
        <v>7911</v>
      </c>
      <c r="H155" s="670">
        <f>INT(E155*G155)</f>
        <v>7911</v>
      </c>
      <c r="I155" s="670">
        <f>[53]운반공!$BQ$97</f>
        <v>11687</v>
      </c>
      <c r="J155" s="670">
        <f>INT(E155*I155)</f>
        <v>11687</v>
      </c>
      <c r="K155" s="670">
        <f>[53]운반공!$BY$97</f>
        <v>6625</v>
      </c>
      <c r="L155" s="670">
        <f>INT(E155*K155)</f>
        <v>6625</v>
      </c>
      <c r="M155" s="670">
        <f>G155+I155+K155</f>
        <v>26223</v>
      </c>
      <c r="N155" s="670">
        <f>H155+J155+L155</f>
        <v>26223</v>
      </c>
      <c r="O155" s="671"/>
    </row>
    <row r="156" spans="1:20" s="665" customFormat="1" ht="17.100000000000001" customHeight="1">
      <c r="A156" s="1318" t="s">
        <v>1320</v>
      </c>
      <c r="B156" s="1319"/>
      <c r="C156" s="1371" t="s">
        <v>1406</v>
      </c>
      <c r="D156" s="1372"/>
      <c r="E156" s="677"/>
      <c r="F156" s="676"/>
      <c r="G156" s="670"/>
      <c r="H156" s="670"/>
      <c r="I156" s="670"/>
      <c r="J156" s="670"/>
      <c r="K156" s="670"/>
      <c r="L156" s="670">
        <f>H155+J155+L155</f>
        <v>26223</v>
      </c>
      <c r="M156" s="670"/>
      <c r="N156" s="670">
        <f>SUM(N154:N155)</f>
        <v>26223</v>
      </c>
      <c r="O156" s="671"/>
    </row>
    <row r="157" spans="1:20" s="665" customFormat="1" ht="17.100000000000001" customHeight="1">
      <c r="A157" s="668">
        <f>A154+1</f>
        <v>41</v>
      </c>
      <c r="B157" s="1320" t="s">
        <v>1421</v>
      </c>
      <c r="C157" s="1320"/>
      <c r="D157" s="1320" t="s">
        <v>1407</v>
      </c>
      <c r="E157" s="1320"/>
      <c r="F157" s="669" t="s">
        <v>850</v>
      </c>
      <c r="G157" s="670"/>
      <c r="H157" s="670"/>
      <c r="I157" s="670"/>
      <c r="J157" s="670"/>
      <c r="K157" s="670"/>
      <c r="L157" s="670"/>
      <c r="M157" s="670"/>
      <c r="N157" s="670"/>
      <c r="O157" s="671"/>
    </row>
    <row r="158" spans="1:20" s="689" customFormat="1" ht="17.100000000000001" customHeight="1">
      <c r="A158" s="1316" t="s">
        <v>1402</v>
      </c>
      <c r="B158" s="1317"/>
      <c r="C158" s="1320" t="s">
        <v>1378</v>
      </c>
      <c r="D158" s="1320"/>
      <c r="E158" s="677">
        <v>1</v>
      </c>
      <c r="F158" s="676" t="s">
        <v>850</v>
      </c>
      <c r="G158" s="670" t="e">
        <f>#REF!</f>
        <v>#REF!</v>
      </c>
      <c r="H158" s="670" t="e">
        <f>INT(E158*G158)</f>
        <v>#REF!</v>
      </c>
      <c r="I158" s="670" t="e">
        <f>#REF!</f>
        <v>#REF!</v>
      </c>
      <c r="J158" s="670" t="e">
        <f>INT(E158*I158)</f>
        <v>#REF!</v>
      </c>
      <c r="K158" s="670" t="e">
        <f>#REF!</f>
        <v>#REF!</v>
      </c>
      <c r="L158" s="670" t="e">
        <f>INT(E158*K158)</f>
        <v>#REF!</v>
      </c>
      <c r="M158" s="670" t="e">
        <f>G158+I158+K158</f>
        <v>#REF!</v>
      </c>
      <c r="N158" s="670" t="e">
        <f>H158+J158+L158</f>
        <v>#REF!</v>
      </c>
      <c r="O158" s="671"/>
      <c r="P158" s="672" t="s">
        <v>1422</v>
      </c>
      <c r="Q158" s="687" t="s">
        <v>1423</v>
      </c>
      <c r="R158" s="688" t="s">
        <v>1424</v>
      </c>
      <c r="S158" s="688" t="s">
        <v>1425</v>
      </c>
      <c r="T158" s="688" t="s">
        <v>1426</v>
      </c>
    </row>
    <row r="159" spans="1:20" s="665" customFormat="1" ht="17.100000000000001" customHeight="1">
      <c r="A159" s="1316" t="s">
        <v>1404</v>
      </c>
      <c r="B159" s="1317"/>
      <c r="C159" s="1316" t="s">
        <v>1410</v>
      </c>
      <c r="D159" s="1317"/>
      <c r="E159" s="677">
        <v>1</v>
      </c>
      <c r="F159" s="676" t="s">
        <v>850</v>
      </c>
      <c r="G159" s="670">
        <f>[53]운반공!$BI$132</f>
        <v>1436</v>
      </c>
      <c r="H159" s="670">
        <f>INT(E159*G159)</f>
        <v>1436</v>
      </c>
      <c r="I159" s="670">
        <f>[53]운반공!$BQ$132</f>
        <v>7530</v>
      </c>
      <c r="J159" s="670">
        <f>INT(E159*I159)</f>
        <v>7530</v>
      </c>
      <c r="K159" s="670">
        <f>[53]운반공!$BY$132</f>
        <v>1151</v>
      </c>
      <c r="L159" s="670">
        <f>INT(E159*K159)</f>
        <v>1151</v>
      </c>
      <c r="M159" s="670">
        <f>G159+I159+K159</f>
        <v>10117</v>
      </c>
      <c r="N159" s="670">
        <f>H159+J159+L159</f>
        <v>10117</v>
      </c>
      <c r="O159" s="671"/>
      <c r="P159" s="672" t="s">
        <v>1427</v>
      </c>
      <c r="Q159" s="688">
        <v>500</v>
      </c>
      <c r="R159" s="688">
        <f>(Q159)</f>
        <v>500</v>
      </c>
      <c r="S159" s="688">
        <v>1</v>
      </c>
      <c r="T159" s="690">
        <f>ROUND(S159/R159,4)</f>
        <v>2E-3</v>
      </c>
    </row>
    <row r="160" spans="1:20" s="665" customFormat="1" ht="17.100000000000001" customHeight="1">
      <c r="A160" s="1318" t="s">
        <v>1320</v>
      </c>
      <c r="B160" s="1319"/>
      <c r="C160" s="1371" t="s">
        <v>1406</v>
      </c>
      <c r="D160" s="1372"/>
      <c r="E160" s="677"/>
      <c r="F160" s="676"/>
      <c r="G160" s="670"/>
      <c r="H160" s="670"/>
      <c r="I160" s="670"/>
      <c r="J160" s="670"/>
      <c r="K160" s="670"/>
      <c r="L160" s="670" t="e">
        <f>SUM(H158:H159,J158:J159,L158:L159)</f>
        <v>#REF!</v>
      </c>
      <c r="M160" s="670"/>
      <c r="N160" s="670" t="e">
        <f>SUM(N158:N159)</f>
        <v>#REF!</v>
      </c>
      <c r="O160" s="671"/>
      <c r="P160" s="672"/>
      <c r="Q160" s="688">
        <f>Q159</f>
        <v>500</v>
      </c>
      <c r="R160" s="688">
        <f>R159</f>
        <v>500</v>
      </c>
      <c r="S160" s="688">
        <v>1</v>
      </c>
      <c r="T160" s="690">
        <f>ROUND(S160/R160,4)</f>
        <v>2E-3</v>
      </c>
    </row>
    <row r="161" spans="1:20" s="665" customFormat="1" ht="17.100000000000001" customHeight="1">
      <c r="A161" s="668">
        <f>A157+1</f>
        <v>42</v>
      </c>
      <c r="B161" s="1320" t="s">
        <v>1428</v>
      </c>
      <c r="C161" s="1320"/>
      <c r="D161" s="1320" t="s">
        <v>1407</v>
      </c>
      <c r="E161" s="1320"/>
      <c r="F161" s="669" t="s">
        <v>850</v>
      </c>
      <c r="G161" s="670"/>
      <c r="H161" s="670"/>
      <c r="I161" s="670"/>
      <c r="J161" s="670"/>
      <c r="K161" s="670"/>
      <c r="L161" s="670"/>
      <c r="M161" s="670"/>
      <c r="N161" s="670"/>
      <c r="O161" s="671"/>
      <c r="P161" s="672"/>
      <c r="Q161" s="688">
        <f>Q159</f>
        <v>500</v>
      </c>
      <c r="R161" s="688">
        <f>R159</f>
        <v>500</v>
      </c>
      <c r="S161" s="688">
        <v>8</v>
      </c>
      <c r="T161" s="690">
        <f>ROUND(S161/R161,4)</f>
        <v>1.6E-2</v>
      </c>
    </row>
    <row r="162" spans="1:20" s="665" customFormat="1" ht="17.100000000000001" customHeight="1">
      <c r="A162" s="1316" t="s">
        <v>1402</v>
      </c>
      <c r="B162" s="1317"/>
      <c r="C162" s="1320" t="s">
        <v>1380</v>
      </c>
      <c r="D162" s="1320"/>
      <c r="E162" s="677">
        <v>1</v>
      </c>
      <c r="F162" s="676" t="s">
        <v>850</v>
      </c>
      <c r="G162" s="670" t="e">
        <f>#REF!</f>
        <v>#REF!</v>
      </c>
      <c r="H162" s="670" t="e">
        <f>INT(E162*G162)</f>
        <v>#REF!</v>
      </c>
      <c r="I162" s="670" t="e">
        <f>#REF!</f>
        <v>#REF!</v>
      </c>
      <c r="J162" s="670" t="e">
        <f>INT(E162*I162)</f>
        <v>#REF!</v>
      </c>
      <c r="K162" s="670" t="e">
        <f>#REF!</f>
        <v>#REF!</v>
      </c>
      <c r="L162" s="670" t="e">
        <f>INT(E162*K162)</f>
        <v>#REF!</v>
      </c>
      <c r="M162" s="670" t="e">
        <f>G162+I162+K162</f>
        <v>#REF!</v>
      </c>
      <c r="N162" s="670" t="e">
        <f>H162+J162+L162</f>
        <v>#REF!</v>
      </c>
      <c r="O162" s="671"/>
      <c r="P162" s="672"/>
      <c r="Q162" s="688">
        <f>Q160</f>
        <v>500</v>
      </c>
      <c r="R162" s="688">
        <f>R160</f>
        <v>500</v>
      </c>
      <c r="S162" s="688">
        <v>4</v>
      </c>
      <c r="T162" s="690">
        <f>ROUND(S162/R162,4)</f>
        <v>8.0000000000000002E-3</v>
      </c>
    </row>
    <row r="163" spans="1:20" s="665" customFormat="1" ht="17.100000000000001" customHeight="1">
      <c r="A163" s="1316" t="s">
        <v>1404</v>
      </c>
      <c r="B163" s="1317"/>
      <c r="C163" s="1316" t="s">
        <v>1412</v>
      </c>
      <c r="D163" s="1317"/>
      <c r="E163" s="677">
        <v>1</v>
      </c>
      <c r="F163" s="676" t="s">
        <v>850</v>
      </c>
      <c r="G163" s="670">
        <f>[53]운반공!$BI$133</f>
        <v>1262</v>
      </c>
      <c r="H163" s="670">
        <f>INT(E163*G163)</f>
        <v>1262</v>
      </c>
      <c r="I163" s="670">
        <f>[53]운반공!$BQ$133</f>
        <v>6619</v>
      </c>
      <c r="J163" s="670">
        <f>INT(E163*I163)</f>
        <v>6619</v>
      </c>
      <c r="K163" s="670">
        <f>[53]운반공!$BY$133</f>
        <v>1012</v>
      </c>
      <c r="L163" s="670">
        <f>INT(E163*K163)</f>
        <v>1012</v>
      </c>
      <c r="M163" s="670">
        <f>G163+I163+K163</f>
        <v>8893</v>
      </c>
      <c r="N163" s="670">
        <f>H163+J163+L163</f>
        <v>8893</v>
      </c>
      <c r="O163" s="671"/>
      <c r="P163" s="672"/>
      <c r="Q163" s="688"/>
      <c r="R163" s="688"/>
      <c r="S163" s="688"/>
      <c r="T163" s="690"/>
    </row>
    <row r="164" spans="1:20" s="689" customFormat="1" ht="17.100000000000001" customHeight="1">
      <c r="A164" s="1318" t="s">
        <v>1320</v>
      </c>
      <c r="B164" s="1319"/>
      <c r="C164" s="1371" t="s">
        <v>1406</v>
      </c>
      <c r="D164" s="1372"/>
      <c r="E164" s="677"/>
      <c r="F164" s="676"/>
      <c r="G164" s="670"/>
      <c r="H164" s="670"/>
      <c r="I164" s="670"/>
      <c r="J164" s="670"/>
      <c r="K164" s="670"/>
      <c r="L164" s="670" t="e">
        <f>SUM(H162:H163,J162:J163,L162:L163)</f>
        <v>#REF!</v>
      </c>
      <c r="M164" s="670"/>
      <c r="N164" s="670" t="e">
        <f>SUM(N162:N163)</f>
        <v>#REF!</v>
      </c>
      <c r="O164" s="671"/>
      <c r="P164" s="672" t="s">
        <v>1422</v>
      </c>
      <c r="Q164" s="687" t="s">
        <v>1423</v>
      </c>
      <c r="R164" s="688" t="s">
        <v>1424</v>
      </c>
      <c r="S164" s="688" t="s">
        <v>1425</v>
      </c>
      <c r="T164" s="688" t="s">
        <v>1426</v>
      </c>
    </row>
    <row r="165" spans="1:20" s="665" customFormat="1" ht="17.100000000000001" customHeight="1">
      <c r="A165" s="668">
        <f>A161+1</f>
        <v>43</v>
      </c>
      <c r="B165" s="1320" t="s">
        <v>1428</v>
      </c>
      <c r="C165" s="1320"/>
      <c r="D165" s="1320" t="s">
        <v>1413</v>
      </c>
      <c r="E165" s="1320"/>
      <c r="F165" s="669" t="s">
        <v>850</v>
      </c>
      <c r="G165" s="670"/>
      <c r="H165" s="670"/>
      <c r="I165" s="670"/>
      <c r="J165" s="670"/>
      <c r="K165" s="670"/>
      <c r="L165" s="670"/>
      <c r="M165" s="670"/>
      <c r="N165" s="670"/>
      <c r="O165" s="671"/>
      <c r="P165" s="672" t="s">
        <v>1427</v>
      </c>
      <c r="Q165" s="688">
        <v>450</v>
      </c>
      <c r="R165" s="688">
        <f>(Q165)</f>
        <v>450</v>
      </c>
      <c r="S165" s="688">
        <v>1</v>
      </c>
      <c r="T165" s="690">
        <f>ROUND(S165/R165,4)</f>
        <v>2.2000000000000001E-3</v>
      </c>
    </row>
    <row r="166" spans="1:20" s="665" customFormat="1" ht="17.100000000000001" customHeight="1">
      <c r="A166" s="1316" t="s">
        <v>1402</v>
      </c>
      <c r="B166" s="1317"/>
      <c r="C166" s="1320" t="s">
        <v>1380</v>
      </c>
      <c r="D166" s="1320"/>
      <c r="E166" s="677">
        <v>1</v>
      </c>
      <c r="F166" s="676" t="s">
        <v>850</v>
      </c>
      <c r="G166" s="670" t="e">
        <f>#REF!</f>
        <v>#REF!</v>
      </c>
      <c r="H166" s="670" t="e">
        <f>INT(E166*G166)</f>
        <v>#REF!</v>
      </c>
      <c r="I166" s="670" t="e">
        <f>#REF!</f>
        <v>#REF!</v>
      </c>
      <c r="J166" s="670" t="e">
        <f>INT(E166*I166)</f>
        <v>#REF!</v>
      </c>
      <c r="K166" s="670" t="e">
        <f>#REF!</f>
        <v>#REF!</v>
      </c>
      <c r="L166" s="670" t="e">
        <f>INT(E166*K166)</f>
        <v>#REF!</v>
      </c>
      <c r="M166" s="670" t="e">
        <f>G166+I166+K166</f>
        <v>#REF!</v>
      </c>
      <c r="N166" s="670" t="e">
        <f>H166+J166+L166</f>
        <v>#REF!</v>
      </c>
      <c r="O166" s="671"/>
      <c r="P166" s="672"/>
      <c r="Q166" s="688">
        <f>Q165</f>
        <v>450</v>
      </c>
      <c r="R166" s="688">
        <f>R165</f>
        <v>450</v>
      </c>
      <c r="S166" s="688">
        <v>1</v>
      </c>
      <c r="T166" s="690">
        <f>ROUND(S166/R166,4)</f>
        <v>2.2000000000000001E-3</v>
      </c>
    </row>
    <row r="167" spans="1:20" s="665" customFormat="1" ht="17.100000000000001" customHeight="1">
      <c r="A167" s="1316" t="s">
        <v>1404</v>
      </c>
      <c r="B167" s="1317"/>
      <c r="C167" s="1316" t="s">
        <v>1414</v>
      </c>
      <c r="D167" s="1317"/>
      <c r="E167" s="677">
        <v>1</v>
      </c>
      <c r="F167" s="676" t="s">
        <v>850</v>
      </c>
      <c r="G167" s="670">
        <f>[53]운반공!$BI$134</f>
        <v>1437</v>
      </c>
      <c r="H167" s="670">
        <f>INT(E167*G167)</f>
        <v>1437</v>
      </c>
      <c r="I167" s="670">
        <f>[53]운반공!$BQ$134</f>
        <v>4053</v>
      </c>
      <c r="J167" s="670">
        <f>INT(E167*I167)</f>
        <v>4053</v>
      </c>
      <c r="K167" s="670">
        <f>[53]운반공!$BY$134</f>
        <v>858</v>
      </c>
      <c r="L167" s="670">
        <f>INT(E167*K167)</f>
        <v>858</v>
      </c>
      <c r="M167" s="670">
        <f>G167+I167+K167</f>
        <v>6348</v>
      </c>
      <c r="N167" s="670">
        <f>H167+J167+L167</f>
        <v>6348</v>
      </c>
      <c r="O167" s="671"/>
      <c r="P167" s="672"/>
      <c r="Q167" s="688">
        <f>Q165</f>
        <v>450</v>
      </c>
      <c r="R167" s="688">
        <f>R165</f>
        <v>450</v>
      </c>
      <c r="S167" s="688">
        <v>8</v>
      </c>
      <c r="T167" s="690">
        <f>ROUND(S167/R167,4)</f>
        <v>1.78E-2</v>
      </c>
    </row>
    <row r="168" spans="1:20" s="665" customFormat="1" ht="17.100000000000001" customHeight="1">
      <c r="A168" s="1318" t="s">
        <v>1320</v>
      </c>
      <c r="B168" s="1319"/>
      <c r="C168" s="1371" t="s">
        <v>1406</v>
      </c>
      <c r="D168" s="1372"/>
      <c r="E168" s="677"/>
      <c r="F168" s="676"/>
      <c r="G168" s="670"/>
      <c r="H168" s="670"/>
      <c r="I168" s="670"/>
      <c r="J168" s="670"/>
      <c r="K168" s="670"/>
      <c r="L168" s="670" t="e">
        <f>SUM(H166:H167,J166:J167,L166:L167)</f>
        <v>#REF!</v>
      </c>
      <c r="M168" s="670"/>
      <c r="N168" s="670" t="e">
        <f>SUM(N166:N167)</f>
        <v>#REF!</v>
      </c>
      <c r="O168" s="671"/>
      <c r="P168" s="672"/>
      <c r="Q168" s="688">
        <f>Q166</f>
        <v>450</v>
      </c>
      <c r="R168" s="688">
        <f>R166</f>
        <v>450</v>
      </c>
      <c r="S168" s="688">
        <v>4</v>
      </c>
      <c r="T168" s="690">
        <f>ROUND(S168/R168,4)</f>
        <v>8.8999999999999999E-3</v>
      </c>
    </row>
    <row r="169" spans="1:20" s="665" customFormat="1" ht="17.100000000000001" customHeight="1">
      <c r="A169" s="668">
        <f>A165+1</f>
        <v>44</v>
      </c>
      <c r="B169" s="1320" t="s">
        <v>1428</v>
      </c>
      <c r="C169" s="1320"/>
      <c r="D169" s="1320" t="s">
        <v>1429</v>
      </c>
      <c r="E169" s="1320"/>
      <c r="F169" s="669" t="s">
        <v>850</v>
      </c>
      <c r="G169" s="670"/>
      <c r="H169" s="670"/>
      <c r="I169" s="670"/>
      <c r="J169" s="670"/>
      <c r="K169" s="670"/>
      <c r="L169" s="670"/>
      <c r="M169" s="670"/>
      <c r="N169" s="670"/>
      <c r="O169" s="671"/>
      <c r="P169" s="672"/>
      <c r="Q169" s="688"/>
      <c r="R169" s="688"/>
      <c r="S169" s="688"/>
      <c r="T169" s="690"/>
    </row>
    <row r="170" spans="1:20" s="691" customFormat="1" ht="17.100000000000001" customHeight="1">
      <c r="A170" s="1316" t="s">
        <v>1402</v>
      </c>
      <c r="B170" s="1317"/>
      <c r="C170" s="1320" t="s">
        <v>1380</v>
      </c>
      <c r="D170" s="1320"/>
      <c r="E170" s="677">
        <v>1</v>
      </c>
      <c r="F170" s="676" t="s">
        <v>850</v>
      </c>
      <c r="G170" s="670" t="e">
        <f>#REF!</f>
        <v>#REF!</v>
      </c>
      <c r="H170" s="670" t="e">
        <f>INT(E170*G170)</f>
        <v>#REF!</v>
      </c>
      <c r="I170" s="670" t="e">
        <f>#REF!</f>
        <v>#REF!</v>
      </c>
      <c r="J170" s="670" t="e">
        <f>INT(E170*I170)</f>
        <v>#REF!</v>
      </c>
      <c r="K170" s="670" t="e">
        <f>#REF!</f>
        <v>#REF!</v>
      </c>
      <c r="L170" s="670" t="e">
        <f>INT(E170*K170)</f>
        <v>#REF!</v>
      </c>
      <c r="M170" s="670" t="e">
        <f>G170+I170+K170</f>
        <v>#REF!</v>
      </c>
      <c r="N170" s="670" t="e">
        <f>H170+J170+L170</f>
        <v>#REF!</v>
      </c>
      <c r="O170" s="671"/>
      <c r="P170" s="672" t="s">
        <v>1422</v>
      </c>
      <c r="Q170" s="687" t="s">
        <v>1423</v>
      </c>
      <c r="R170" s="688" t="s">
        <v>1424</v>
      </c>
      <c r="S170" s="688" t="s">
        <v>1425</v>
      </c>
      <c r="T170" s="688" t="s">
        <v>1426</v>
      </c>
    </row>
    <row r="171" spans="1:20" s="665" customFormat="1" ht="17.100000000000001" customHeight="1">
      <c r="A171" s="1316" t="s">
        <v>1404</v>
      </c>
      <c r="B171" s="1317"/>
      <c r="C171" s="1316" t="s">
        <v>1416</v>
      </c>
      <c r="D171" s="1317"/>
      <c r="E171" s="677">
        <v>1</v>
      </c>
      <c r="F171" s="676" t="s">
        <v>850</v>
      </c>
      <c r="G171" s="670">
        <f>[53]운반공!$BI$164</f>
        <v>9232</v>
      </c>
      <c r="H171" s="670">
        <f>INT(E171*G171)</f>
        <v>9232</v>
      </c>
      <c r="I171" s="670">
        <f>[53]운반공!$BQ$164</f>
        <v>18048</v>
      </c>
      <c r="J171" s="670">
        <f>INT(E171*I171)</f>
        <v>18048</v>
      </c>
      <c r="K171" s="670">
        <f>[53]운반공!$BY$164</f>
        <v>6451</v>
      </c>
      <c r="L171" s="670">
        <f>INT(E171*K171)</f>
        <v>6451</v>
      </c>
      <c r="M171" s="670">
        <f>G171+I171+K171</f>
        <v>33731</v>
      </c>
      <c r="N171" s="670">
        <f>H171+J171+L171</f>
        <v>33731</v>
      </c>
      <c r="O171" s="671"/>
      <c r="P171" s="672" t="s">
        <v>1430</v>
      </c>
      <c r="Q171" s="688">
        <v>600</v>
      </c>
      <c r="R171" s="688">
        <f>(Q171)</f>
        <v>600</v>
      </c>
      <c r="S171" s="688">
        <v>1</v>
      </c>
      <c r="T171" s="690">
        <f>ROUND(S171/R171,4)</f>
        <v>1.6999999999999999E-3</v>
      </c>
    </row>
    <row r="172" spans="1:20" s="665" customFormat="1" ht="17.100000000000001" customHeight="1">
      <c r="A172" s="1318" t="s">
        <v>1320</v>
      </c>
      <c r="B172" s="1319"/>
      <c r="C172" s="1371" t="s">
        <v>1406</v>
      </c>
      <c r="D172" s="1372"/>
      <c r="E172" s="677"/>
      <c r="F172" s="676"/>
      <c r="G172" s="670"/>
      <c r="H172" s="670"/>
      <c r="I172" s="670"/>
      <c r="J172" s="670"/>
      <c r="K172" s="670"/>
      <c r="L172" s="670" t="e">
        <f>SUM(H170:H171,J170:J171,L170:L171)</f>
        <v>#REF!</v>
      </c>
      <c r="M172" s="670"/>
      <c r="N172" s="670" t="e">
        <f>SUM(N170:N171)</f>
        <v>#REF!</v>
      </c>
      <c r="O172" s="671"/>
      <c r="P172" s="672"/>
      <c r="Q172" s="688">
        <f>Q171</f>
        <v>600</v>
      </c>
      <c r="R172" s="688">
        <f>R171</f>
        <v>600</v>
      </c>
      <c r="S172" s="688">
        <v>1</v>
      </c>
      <c r="T172" s="690">
        <f>ROUND(S172/R172,4)</f>
        <v>1.6999999999999999E-3</v>
      </c>
    </row>
    <row r="173" spans="1:20" s="665" customFormat="1" ht="17.100000000000001" customHeight="1">
      <c r="A173" s="668">
        <f>A169+1</f>
        <v>45</v>
      </c>
      <c r="B173" s="1320" t="s">
        <v>1431</v>
      </c>
      <c r="C173" s="1320"/>
      <c r="D173" s="1320" t="s">
        <v>1429</v>
      </c>
      <c r="E173" s="1320"/>
      <c r="F173" s="669" t="s">
        <v>850</v>
      </c>
      <c r="G173" s="670"/>
      <c r="H173" s="670"/>
      <c r="I173" s="670"/>
      <c r="J173" s="670"/>
      <c r="K173" s="670"/>
      <c r="L173" s="670"/>
      <c r="M173" s="670"/>
      <c r="N173" s="670"/>
      <c r="O173" s="671"/>
      <c r="P173" s="672"/>
      <c r="Q173" s="688">
        <f>Q171</f>
        <v>600</v>
      </c>
      <c r="R173" s="688">
        <f>R171</f>
        <v>600</v>
      </c>
      <c r="S173" s="688">
        <v>8</v>
      </c>
      <c r="T173" s="690">
        <f>ROUND(S173/R173,4)</f>
        <v>1.3299999999999999E-2</v>
      </c>
    </row>
    <row r="174" spans="1:20" s="665" customFormat="1" ht="17.100000000000001" customHeight="1">
      <c r="A174" s="1316" t="s">
        <v>1402</v>
      </c>
      <c r="B174" s="1317"/>
      <c r="C174" s="1320" t="s">
        <v>1381</v>
      </c>
      <c r="D174" s="1320"/>
      <c r="E174" s="677">
        <v>1</v>
      </c>
      <c r="F174" s="676" t="s">
        <v>850</v>
      </c>
      <c r="G174" s="670" t="e">
        <f>#REF!</f>
        <v>#REF!</v>
      </c>
      <c r="H174" s="670" t="e">
        <f>INT(E174*G174)</f>
        <v>#REF!</v>
      </c>
      <c r="I174" s="670" t="e">
        <f>#REF!</f>
        <v>#REF!</v>
      </c>
      <c r="J174" s="670" t="e">
        <f>INT(E174*I174)</f>
        <v>#REF!</v>
      </c>
      <c r="K174" s="670" t="e">
        <f>#REF!</f>
        <v>#REF!</v>
      </c>
      <c r="L174" s="670" t="e">
        <f>INT(E174*K174)</f>
        <v>#REF!</v>
      </c>
      <c r="M174" s="670" t="e">
        <f>G174+I174+K174</f>
        <v>#REF!</v>
      </c>
      <c r="N174" s="670" t="e">
        <f>H174+J174+L174</f>
        <v>#REF!</v>
      </c>
      <c r="O174" s="671"/>
      <c r="P174" s="672"/>
      <c r="Q174" s="688"/>
      <c r="R174" s="688"/>
      <c r="S174" s="688"/>
      <c r="T174" s="690"/>
    </row>
    <row r="175" spans="1:20" s="665" customFormat="1" ht="17.100000000000001" customHeight="1">
      <c r="A175" s="1316" t="s">
        <v>1404</v>
      </c>
      <c r="B175" s="1317"/>
      <c r="C175" s="1316" t="s">
        <v>1418</v>
      </c>
      <c r="D175" s="1317"/>
      <c r="E175" s="677">
        <v>1</v>
      </c>
      <c r="F175" s="676" t="s">
        <v>850</v>
      </c>
      <c r="G175" s="670">
        <f>[53]운반공!$BI$165</f>
        <v>9093</v>
      </c>
      <c r="H175" s="670">
        <f>INT(E175*G175)</f>
        <v>9093</v>
      </c>
      <c r="I175" s="670">
        <f>[53]운반공!$BQ$165</f>
        <v>17777</v>
      </c>
      <c r="J175" s="670">
        <f>INT(E175*I175)</f>
        <v>17777</v>
      </c>
      <c r="K175" s="670">
        <f>[53]운반공!$BY$165</f>
        <v>6354</v>
      </c>
      <c r="L175" s="670">
        <f>INT(E175*K175)</f>
        <v>6354</v>
      </c>
      <c r="M175" s="670">
        <f>G175+I175+K175</f>
        <v>33224</v>
      </c>
      <c r="N175" s="670">
        <f>H175+J175+L175</f>
        <v>33224</v>
      </c>
      <c r="O175" s="671"/>
      <c r="P175" s="672"/>
    </row>
    <row r="176" spans="1:20" s="665" customFormat="1" ht="17.100000000000001" customHeight="1">
      <c r="A176" s="1318" t="s">
        <v>1320</v>
      </c>
      <c r="B176" s="1319"/>
      <c r="C176" s="1371" t="s">
        <v>1406</v>
      </c>
      <c r="D176" s="1372"/>
      <c r="E176" s="677"/>
      <c r="F176" s="676"/>
      <c r="G176" s="670"/>
      <c r="H176" s="670"/>
      <c r="I176" s="670"/>
      <c r="J176" s="670"/>
      <c r="K176" s="670"/>
      <c r="L176" s="670" t="e">
        <f>SUM(H174:H175,J174:J175,L174:L175)</f>
        <v>#REF!</v>
      </c>
      <c r="M176" s="670"/>
      <c r="N176" s="670" t="e">
        <f>SUM(N174:N175)</f>
        <v>#REF!</v>
      </c>
      <c r="O176" s="671"/>
      <c r="P176" s="672"/>
      <c r="Q176" s="665" t="s">
        <v>1432</v>
      </c>
    </row>
    <row r="177" spans="1:17" s="665" customFormat="1" ht="17.100000000000001" customHeight="1">
      <c r="A177" s="668">
        <f>A173+1</f>
        <v>46</v>
      </c>
      <c r="B177" s="1320" t="s">
        <v>1431</v>
      </c>
      <c r="C177" s="1320"/>
      <c r="D177" s="1320" t="s">
        <v>1433</v>
      </c>
      <c r="E177" s="1320"/>
      <c r="F177" s="669" t="s">
        <v>850</v>
      </c>
      <c r="G177" s="670"/>
      <c r="H177" s="670"/>
      <c r="I177" s="670"/>
      <c r="J177" s="670"/>
      <c r="K177" s="670"/>
      <c r="L177" s="670"/>
      <c r="M177" s="670"/>
      <c r="N177" s="670"/>
      <c r="O177" s="671"/>
      <c r="P177" s="672"/>
    </row>
    <row r="178" spans="1:17" s="665" customFormat="1" ht="17.100000000000001" customHeight="1">
      <c r="A178" s="1316" t="s">
        <v>1402</v>
      </c>
      <c r="B178" s="1317"/>
      <c r="C178" s="1316" t="s">
        <v>1381</v>
      </c>
      <c r="D178" s="1317"/>
      <c r="E178" s="677">
        <v>1</v>
      </c>
      <c r="F178" s="676" t="s">
        <v>850</v>
      </c>
      <c r="G178" s="670" t="e">
        <f>#REF!</f>
        <v>#REF!</v>
      </c>
      <c r="H178" s="670" t="e">
        <f>INT(E178*G178)</f>
        <v>#REF!</v>
      </c>
      <c r="I178" s="670" t="e">
        <f>#REF!</f>
        <v>#REF!</v>
      </c>
      <c r="J178" s="670" t="e">
        <f>INT(E178*I178)</f>
        <v>#REF!</v>
      </c>
      <c r="K178" s="670" t="e">
        <f>#REF!</f>
        <v>#REF!</v>
      </c>
      <c r="L178" s="670" t="e">
        <f>INT(E178*K178)</f>
        <v>#REF!</v>
      </c>
      <c r="M178" s="670" t="e">
        <f>G178+I178+K178</f>
        <v>#REF!</v>
      </c>
      <c r="N178" s="670" t="e">
        <f>H178+J178+L178</f>
        <v>#REF!</v>
      </c>
      <c r="O178" s="671"/>
      <c r="P178" s="672"/>
    </row>
    <row r="179" spans="1:17" s="665" customFormat="1" ht="17.100000000000001" customHeight="1">
      <c r="A179" s="1316" t="s">
        <v>1404</v>
      </c>
      <c r="B179" s="1317"/>
      <c r="C179" s="1316" t="s">
        <v>1420</v>
      </c>
      <c r="D179" s="1317"/>
      <c r="E179" s="677">
        <v>1</v>
      </c>
      <c r="F179" s="676" t="s">
        <v>850</v>
      </c>
      <c r="G179" s="670">
        <f>[53]운반공!$BI$166</f>
        <v>8398</v>
      </c>
      <c r="H179" s="670">
        <f>INT(E179*G179)</f>
        <v>8398</v>
      </c>
      <c r="I179" s="670">
        <f>[53]운반공!$BQ$166</f>
        <v>11350</v>
      </c>
      <c r="J179" s="670">
        <f>INT(E179*I179)</f>
        <v>11350</v>
      </c>
      <c r="K179" s="670">
        <f>[53]운반공!$BY$166</f>
        <v>6434</v>
      </c>
      <c r="L179" s="670">
        <f>INT(E179*K179)</f>
        <v>6434</v>
      </c>
      <c r="M179" s="670">
        <f>G179+I179+K179</f>
        <v>26182</v>
      </c>
      <c r="N179" s="670">
        <f>H179+J179+L179</f>
        <v>26182</v>
      </c>
      <c r="O179" s="671"/>
      <c r="P179" s="672"/>
    </row>
    <row r="180" spans="1:17" s="665" customFormat="1" ht="17.100000000000001" customHeight="1">
      <c r="A180" s="1318" t="s">
        <v>1320</v>
      </c>
      <c r="B180" s="1319"/>
      <c r="C180" s="1371" t="s">
        <v>1406</v>
      </c>
      <c r="D180" s="1372"/>
      <c r="E180" s="677"/>
      <c r="F180" s="676"/>
      <c r="G180" s="670"/>
      <c r="H180" s="670"/>
      <c r="I180" s="670"/>
      <c r="J180" s="670"/>
      <c r="K180" s="670"/>
      <c r="L180" s="670" t="e">
        <f>SUM(H178:H179,J178:J179,L178:L179)</f>
        <v>#REF!</v>
      </c>
      <c r="M180" s="670"/>
      <c r="N180" s="670" t="e">
        <f>SUM(N178:N179)</f>
        <v>#REF!</v>
      </c>
      <c r="O180" s="671"/>
      <c r="P180" s="672"/>
    </row>
    <row r="181" spans="1:17" s="665" customFormat="1" ht="17.100000000000001" customHeight="1">
      <c r="A181" s="668">
        <f>A177+1</f>
        <v>47</v>
      </c>
      <c r="B181" s="1320" t="s">
        <v>1434</v>
      </c>
      <c r="C181" s="1320"/>
      <c r="D181" s="1320" t="s">
        <v>1435</v>
      </c>
      <c r="E181" s="1320"/>
      <c r="F181" s="669" t="s">
        <v>850</v>
      </c>
      <c r="G181" s="670"/>
      <c r="H181" s="670"/>
      <c r="I181" s="670"/>
      <c r="J181" s="670"/>
      <c r="K181" s="670"/>
      <c r="L181" s="670"/>
      <c r="M181" s="670"/>
      <c r="N181" s="670"/>
      <c r="O181" s="671"/>
      <c r="P181" s="672"/>
    </row>
    <row r="182" spans="1:17" s="665" customFormat="1" ht="17.100000000000001" customHeight="1">
      <c r="A182" s="1316" t="s">
        <v>1402</v>
      </c>
      <c r="B182" s="1317"/>
      <c r="C182" s="1320" t="s">
        <v>1436</v>
      </c>
      <c r="D182" s="1320"/>
      <c r="E182" s="677">
        <v>1</v>
      </c>
      <c r="F182" s="676" t="s">
        <v>850</v>
      </c>
      <c r="G182" s="670" t="e">
        <f>#REF!</f>
        <v>#REF!</v>
      </c>
      <c r="H182" s="670" t="e">
        <f>INT(E182*G182)</f>
        <v>#REF!</v>
      </c>
      <c r="I182" s="670" t="e">
        <f>#REF!</f>
        <v>#REF!</v>
      </c>
      <c r="J182" s="670" t="e">
        <f>INT(E182*I182)</f>
        <v>#REF!</v>
      </c>
      <c r="K182" s="670" t="e">
        <f>#REF!</f>
        <v>#REF!</v>
      </c>
      <c r="L182" s="670" t="e">
        <f>INT(E182*K182)</f>
        <v>#REF!</v>
      </c>
      <c r="M182" s="670" t="e">
        <f>G182+I182+K182</f>
        <v>#REF!</v>
      </c>
      <c r="N182" s="670" t="e">
        <f>H182+J182+L182</f>
        <v>#REF!</v>
      </c>
      <c r="O182" s="671"/>
      <c r="P182" s="672"/>
    </row>
    <row r="183" spans="1:17" s="665" customFormat="1" ht="17.100000000000001" customHeight="1">
      <c r="A183" s="1316" t="s">
        <v>1404</v>
      </c>
      <c r="B183" s="1317"/>
      <c r="C183" s="1316" t="s">
        <v>1437</v>
      </c>
      <c r="D183" s="1317"/>
      <c r="E183" s="677">
        <v>1</v>
      </c>
      <c r="F183" s="676" t="s">
        <v>850</v>
      </c>
      <c r="G183" s="670">
        <f>[53]운반공!$BI$167</f>
        <v>9121</v>
      </c>
      <c r="H183" s="670">
        <f>INT(E183*G183)</f>
        <v>9121</v>
      </c>
      <c r="I183" s="670">
        <f>[53]운반공!$BQ$167</f>
        <v>17830</v>
      </c>
      <c r="J183" s="670">
        <f>INT(E183*I183)</f>
        <v>17830</v>
      </c>
      <c r="K183" s="670">
        <f>[53]운반공!$BY$167</f>
        <v>6373</v>
      </c>
      <c r="L183" s="670">
        <f>INT(E183*K183)</f>
        <v>6373</v>
      </c>
      <c r="M183" s="670">
        <f>G183+I183+K183</f>
        <v>33324</v>
      </c>
      <c r="N183" s="670">
        <f>H183+J183+L183</f>
        <v>33324</v>
      </c>
      <c r="O183" s="671"/>
      <c r="P183" s="672"/>
      <c r="Q183" s="665" t="s">
        <v>1438</v>
      </c>
    </row>
    <row r="184" spans="1:17" s="665" customFormat="1" ht="17.100000000000001" customHeight="1">
      <c r="A184" s="1318" t="s">
        <v>1320</v>
      </c>
      <c r="B184" s="1319"/>
      <c r="C184" s="1371" t="s">
        <v>1406</v>
      </c>
      <c r="D184" s="1372"/>
      <c r="E184" s="677"/>
      <c r="F184" s="676"/>
      <c r="G184" s="670"/>
      <c r="H184" s="670"/>
      <c r="I184" s="670"/>
      <c r="J184" s="670"/>
      <c r="K184" s="670"/>
      <c r="L184" s="670" t="e">
        <f>SUM(H182:H183,J182:J183,L182:L183)</f>
        <v>#REF!</v>
      </c>
      <c r="M184" s="670"/>
      <c r="N184" s="670" t="e">
        <f>SUM(N182:N183)</f>
        <v>#REF!</v>
      </c>
      <c r="O184" s="671"/>
      <c r="P184" s="672"/>
    </row>
    <row r="185" spans="1:17" s="665" customFormat="1" ht="17.100000000000001" customHeight="1">
      <c r="A185" s="668">
        <f>A181+1</f>
        <v>48</v>
      </c>
      <c r="B185" s="1320" t="s">
        <v>1434</v>
      </c>
      <c r="C185" s="1320"/>
      <c r="D185" s="1320" t="s">
        <v>1439</v>
      </c>
      <c r="E185" s="1320"/>
      <c r="F185" s="669" t="s">
        <v>850</v>
      </c>
      <c r="G185" s="670"/>
      <c r="H185" s="670"/>
      <c r="I185" s="670"/>
      <c r="J185" s="670"/>
      <c r="K185" s="670"/>
      <c r="L185" s="670"/>
      <c r="M185" s="670"/>
      <c r="N185" s="670"/>
      <c r="O185" s="671"/>
      <c r="P185" s="672"/>
    </row>
    <row r="186" spans="1:17" s="665" customFormat="1" ht="17.100000000000001" customHeight="1">
      <c r="A186" s="1316" t="s">
        <v>1402</v>
      </c>
      <c r="B186" s="1317"/>
      <c r="C186" s="1320" t="s">
        <v>1436</v>
      </c>
      <c r="D186" s="1320"/>
      <c r="E186" s="677">
        <v>1</v>
      </c>
      <c r="F186" s="676" t="s">
        <v>850</v>
      </c>
      <c r="G186" s="670" t="e">
        <f>#REF!</f>
        <v>#REF!</v>
      </c>
      <c r="H186" s="670" t="e">
        <f>INT(E186*G186)</f>
        <v>#REF!</v>
      </c>
      <c r="I186" s="670" t="e">
        <f>#REF!</f>
        <v>#REF!</v>
      </c>
      <c r="J186" s="670" t="e">
        <f>INT(E186*I186)</f>
        <v>#REF!</v>
      </c>
      <c r="K186" s="670" t="e">
        <f>#REF!</f>
        <v>#REF!</v>
      </c>
      <c r="L186" s="670" t="e">
        <f>INT(E186*K186)</f>
        <v>#REF!</v>
      </c>
      <c r="M186" s="670" t="e">
        <f>G186+I186+K186</f>
        <v>#REF!</v>
      </c>
      <c r="N186" s="670" t="e">
        <f>H186+J186+L186</f>
        <v>#REF!</v>
      </c>
      <c r="O186" s="671"/>
      <c r="P186" s="672"/>
    </row>
    <row r="187" spans="1:17" s="665" customFormat="1" ht="17.100000000000001" customHeight="1">
      <c r="A187" s="1316" t="s">
        <v>1404</v>
      </c>
      <c r="B187" s="1317"/>
      <c r="C187" s="1316" t="s">
        <v>1440</v>
      </c>
      <c r="D187" s="1317"/>
      <c r="E187" s="677">
        <v>1</v>
      </c>
      <c r="F187" s="676" t="s">
        <v>850</v>
      </c>
      <c r="G187" s="670">
        <f>[53]운반공!$BI$168</f>
        <v>8415</v>
      </c>
      <c r="H187" s="670">
        <f>INT(E187*G187)</f>
        <v>8415</v>
      </c>
      <c r="I187" s="670">
        <f>[53]운반공!$BQ$168</f>
        <v>11371</v>
      </c>
      <c r="J187" s="670">
        <f>INT(E187*I187)</f>
        <v>11371</v>
      </c>
      <c r="K187" s="670">
        <f>[53]운반공!$BY$168</f>
        <v>6446</v>
      </c>
      <c r="L187" s="670">
        <f>INT(E187*K187)</f>
        <v>6446</v>
      </c>
      <c r="M187" s="670">
        <f>G187+I187+K187</f>
        <v>26232</v>
      </c>
      <c r="N187" s="670">
        <f>H187+J187+L187</f>
        <v>26232</v>
      </c>
      <c r="O187" s="671"/>
      <c r="P187" s="672"/>
    </row>
    <row r="188" spans="1:17" s="665" customFormat="1" ht="17.100000000000001" customHeight="1">
      <c r="A188" s="1318" t="s">
        <v>1320</v>
      </c>
      <c r="B188" s="1319"/>
      <c r="C188" s="1371" t="s">
        <v>1406</v>
      </c>
      <c r="D188" s="1372"/>
      <c r="E188" s="677"/>
      <c r="F188" s="676"/>
      <c r="G188" s="670"/>
      <c r="H188" s="670"/>
      <c r="I188" s="670"/>
      <c r="J188" s="670"/>
      <c r="K188" s="670"/>
      <c r="L188" s="670" t="e">
        <f>SUM(H186:H187,J186:J187,L186:L187)</f>
        <v>#REF!</v>
      </c>
      <c r="M188" s="670"/>
      <c r="N188" s="670" t="e">
        <f>SUM(N186:N187)</f>
        <v>#REF!</v>
      </c>
      <c r="O188" s="671"/>
      <c r="P188" s="672"/>
    </row>
    <row r="189" spans="1:17" s="665" customFormat="1" ht="17.100000000000001" customHeight="1">
      <c r="A189" s="692">
        <f>A185+1</f>
        <v>49</v>
      </c>
      <c r="B189" s="1320" t="s">
        <v>1441</v>
      </c>
      <c r="C189" s="1320"/>
      <c r="D189" s="1320" t="s">
        <v>1442</v>
      </c>
      <c r="E189" s="1320"/>
      <c r="F189" s="669" t="s">
        <v>272</v>
      </c>
      <c r="G189" s="670"/>
      <c r="H189" s="670"/>
      <c r="I189" s="670"/>
      <c r="J189" s="670"/>
      <c r="K189" s="670"/>
      <c r="L189" s="670"/>
      <c r="M189" s="670"/>
      <c r="N189" s="670"/>
      <c r="O189" s="693"/>
      <c r="P189" s="672"/>
    </row>
    <row r="190" spans="1:17" s="665" customFormat="1" ht="17.100000000000001" customHeight="1">
      <c r="A190" s="1316" t="s">
        <v>628</v>
      </c>
      <c r="B190" s="1317"/>
      <c r="C190" s="1316"/>
      <c r="D190" s="1317"/>
      <c r="E190" s="683">
        <v>2E-3</v>
      </c>
      <c r="F190" s="676" t="s">
        <v>366</v>
      </c>
      <c r="G190" s="670"/>
      <c r="H190" s="670"/>
      <c r="I190" s="670">
        <f>[53]노임단가!$T$6</f>
        <v>226122</v>
      </c>
      <c r="J190" s="670">
        <f>INT(E190*I190)</f>
        <v>452</v>
      </c>
      <c r="K190" s="670"/>
      <c r="L190" s="670"/>
      <c r="M190" s="670">
        <f t="shared" ref="M190:N193" si="12">G190+I190+K190</f>
        <v>226122</v>
      </c>
      <c r="N190" s="670">
        <f t="shared" si="12"/>
        <v>452</v>
      </c>
      <c r="O190" s="693"/>
      <c r="P190" s="672"/>
    </row>
    <row r="191" spans="1:17" s="665" customFormat="1" ht="17.100000000000001" customHeight="1">
      <c r="A191" s="1346" t="s">
        <v>248</v>
      </c>
      <c r="B191" s="1317"/>
      <c r="C191" s="1316"/>
      <c r="D191" s="1317"/>
      <c r="E191" s="683">
        <v>2E-3</v>
      </c>
      <c r="F191" s="676" t="s">
        <v>366</v>
      </c>
      <c r="G191" s="670"/>
      <c r="H191" s="670"/>
      <c r="I191" s="670">
        <f>[53]노임단가!$T$5</f>
        <v>172068</v>
      </c>
      <c r="J191" s="670">
        <f>INT(E191*I191)</f>
        <v>344</v>
      </c>
      <c r="K191" s="670"/>
      <c r="L191" s="670"/>
      <c r="M191" s="670">
        <f t="shared" si="12"/>
        <v>172068</v>
      </c>
      <c r="N191" s="670">
        <f t="shared" si="12"/>
        <v>344</v>
      </c>
      <c r="O191" s="693"/>
      <c r="P191" s="672"/>
    </row>
    <row r="192" spans="1:17" s="665" customFormat="1" ht="17.100000000000001" customHeight="1">
      <c r="A192" s="1346" t="s">
        <v>1443</v>
      </c>
      <c r="B192" s="1317"/>
      <c r="C192" s="1316" t="s">
        <v>1223</v>
      </c>
      <c r="D192" s="1317"/>
      <c r="E192" s="683">
        <v>1.6E-2</v>
      </c>
      <c r="F192" s="676" t="s">
        <v>418</v>
      </c>
      <c r="G192" s="670" t="e">
        <f>#REF!</f>
        <v>#REF!</v>
      </c>
      <c r="H192" s="670" t="e">
        <f>INT(E192*G192)</f>
        <v>#REF!</v>
      </c>
      <c r="I192" s="670" t="e">
        <f>#REF!</f>
        <v>#REF!</v>
      </c>
      <c r="J192" s="670" t="e">
        <f>INT(E192*I192)</f>
        <v>#REF!</v>
      </c>
      <c r="K192" s="670" t="e">
        <f>#REF!</f>
        <v>#REF!</v>
      </c>
      <c r="L192" s="670" t="e">
        <f>INT(E192*K192)</f>
        <v>#REF!</v>
      </c>
      <c r="M192" s="670" t="e">
        <f t="shared" si="12"/>
        <v>#REF!</v>
      </c>
      <c r="N192" s="670" t="e">
        <f t="shared" si="12"/>
        <v>#REF!</v>
      </c>
      <c r="O192" s="693"/>
      <c r="P192" s="672"/>
    </row>
    <row r="193" spans="1:22" s="665" customFormat="1" ht="17.100000000000001" customHeight="1">
      <c r="A193" s="694" t="s">
        <v>556</v>
      </c>
      <c r="B193" s="669"/>
      <c r="C193" s="694" t="s">
        <v>1255</v>
      </c>
      <c r="D193" s="669"/>
      <c r="E193" s="683">
        <v>8.0000000000000002E-3</v>
      </c>
      <c r="F193" s="676" t="s">
        <v>418</v>
      </c>
      <c r="G193" s="670" t="e">
        <f>#REF!</f>
        <v>#REF!</v>
      </c>
      <c r="H193" s="670" t="e">
        <f>INT(E193*G193)</f>
        <v>#REF!</v>
      </c>
      <c r="I193" s="670"/>
      <c r="J193" s="670"/>
      <c r="K193" s="670" t="e">
        <f>#REF!</f>
        <v>#REF!</v>
      </c>
      <c r="L193" s="670" t="e">
        <f>INT(E193*K193)</f>
        <v>#REF!</v>
      </c>
      <c r="M193" s="670" t="e">
        <f t="shared" si="12"/>
        <v>#REF!</v>
      </c>
      <c r="N193" s="670" t="e">
        <f t="shared" si="12"/>
        <v>#REF!</v>
      </c>
      <c r="O193" s="695"/>
      <c r="P193" s="672"/>
    </row>
    <row r="194" spans="1:22" s="665" customFormat="1" ht="17.100000000000001" customHeight="1">
      <c r="A194" s="1404" t="s">
        <v>1320</v>
      </c>
      <c r="B194" s="1319"/>
      <c r="C194" s="1371"/>
      <c r="D194" s="1372"/>
      <c r="E194" s="677"/>
      <c r="F194" s="676"/>
      <c r="G194" s="670"/>
      <c r="H194" s="670" t="e">
        <f>SUM(H190:H193)</f>
        <v>#REF!</v>
      </c>
      <c r="I194" s="670"/>
      <c r="J194" s="670" t="e">
        <f>SUM(J190:J193)</f>
        <v>#REF!</v>
      </c>
      <c r="K194" s="670"/>
      <c r="L194" s="670" t="e">
        <f>SUM(L190:L193)</f>
        <v>#REF!</v>
      </c>
      <c r="M194" s="670"/>
      <c r="N194" s="670" t="e">
        <f>SUM(N190:N193)</f>
        <v>#REF!</v>
      </c>
      <c r="O194" s="693"/>
      <c r="P194" s="672"/>
    </row>
    <row r="195" spans="1:22" s="665" customFormat="1" ht="17.100000000000001" customHeight="1">
      <c r="A195" s="692">
        <f>A189+1</f>
        <v>50</v>
      </c>
      <c r="B195" s="1320" t="s">
        <v>1444</v>
      </c>
      <c r="C195" s="1320"/>
      <c r="D195" s="1320" t="s">
        <v>1442</v>
      </c>
      <c r="E195" s="1320"/>
      <c r="F195" s="669" t="s">
        <v>272</v>
      </c>
      <c r="G195" s="670"/>
      <c r="H195" s="670"/>
      <c r="I195" s="670"/>
      <c r="J195" s="670"/>
      <c r="K195" s="670"/>
      <c r="L195" s="670"/>
      <c r="M195" s="670"/>
      <c r="N195" s="670"/>
      <c r="O195" s="693"/>
      <c r="P195" s="672"/>
    </row>
    <row r="196" spans="1:22" s="665" customFormat="1" ht="17.100000000000001" customHeight="1">
      <c r="A196" s="1316" t="s">
        <v>628</v>
      </c>
      <c r="B196" s="1317"/>
      <c r="C196" s="1316"/>
      <c r="D196" s="1317"/>
      <c r="E196" s="683">
        <v>2.2000000000000001E-3</v>
      </c>
      <c r="F196" s="676" t="s">
        <v>366</v>
      </c>
      <c r="G196" s="670"/>
      <c r="H196" s="670"/>
      <c r="I196" s="670">
        <f>[53]노임단가!$T$6</f>
        <v>226122</v>
      </c>
      <c r="J196" s="670">
        <f>INT(E196*I196)</f>
        <v>497</v>
      </c>
      <c r="K196" s="670"/>
      <c r="L196" s="670"/>
      <c r="M196" s="670">
        <f t="shared" ref="M196:N199" si="13">G196+I196+K196</f>
        <v>226122</v>
      </c>
      <c r="N196" s="670">
        <f t="shared" si="13"/>
        <v>497</v>
      </c>
      <c r="O196" s="693"/>
      <c r="P196" s="672"/>
    </row>
    <row r="197" spans="1:22" s="665" customFormat="1" ht="17.100000000000001" customHeight="1">
      <c r="A197" s="1346" t="s">
        <v>248</v>
      </c>
      <c r="B197" s="1317"/>
      <c r="C197" s="1316"/>
      <c r="D197" s="1317"/>
      <c r="E197" s="683">
        <v>2.2000000000000001E-3</v>
      </c>
      <c r="F197" s="676" t="s">
        <v>366</v>
      </c>
      <c r="G197" s="670"/>
      <c r="H197" s="670"/>
      <c r="I197" s="670">
        <f>[53]노임단가!$T$5</f>
        <v>172068</v>
      </c>
      <c r="J197" s="670">
        <f>INT(E197*I197)</f>
        <v>378</v>
      </c>
      <c r="K197" s="670"/>
      <c r="L197" s="670"/>
      <c r="M197" s="670">
        <f t="shared" si="13"/>
        <v>172068</v>
      </c>
      <c r="N197" s="670">
        <f t="shared" si="13"/>
        <v>378</v>
      </c>
      <c r="O197" s="693"/>
      <c r="P197" s="672"/>
    </row>
    <row r="198" spans="1:22" s="665" customFormat="1" ht="17.100000000000001" customHeight="1">
      <c r="A198" s="1346" t="s">
        <v>1443</v>
      </c>
      <c r="B198" s="1317"/>
      <c r="C198" s="1316" t="s">
        <v>1223</v>
      </c>
      <c r="D198" s="1317"/>
      <c r="E198" s="683">
        <v>1.78E-2</v>
      </c>
      <c r="F198" s="676" t="s">
        <v>418</v>
      </c>
      <c r="G198" s="670" t="e">
        <f>#REF!</f>
        <v>#REF!</v>
      </c>
      <c r="H198" s="670" t="e">
        <f>INT(E198*G198)</f>
        <v>#REF!</v>
      </c>
      <c r="I198" s="670" t="e">
        <f>#REF!</f>
        <v>#REF!</v>
      </c>
      <c r="J198" s="670" t="e">
        <f>INT(E198*I198)</f>
        <v>#REF!</v>
      </c>
      <c r="K198" s="670" t="e">
        <f>#REF!</f>
        <v>#REF!</v>
      </c>
      <c r="L198" s="670" t="e">
        <f>INT(E198*K198)</f>
        <v>#REF!</v>
      </c>
      <c r="M198" s="670" t="e">
        <f t="shared" si="13"/>
        <v>#REF!</v>
      </c>
      <c r="N198" s="670" t="e">
        <f t="shared" si="13"/>
        <v>#REF!</v>
      </c>
      <c r="O198" s="693"/>
      <c r="P198" s="672"/>
      <c r="Q198" s="665" t="s">
        <v>1445</v>
      </c>
    </row>
    <row r="199" spans="1:22" s="665" customFormat="1" ht="17.100000000000001" customHeight="1">
      <c r="A199" s="694" t="s">
        <v>556</v>
      </c>
      <c r="B199" s="669"/>
      <c r="C199" s="694" t="s">
        <v>1255</v>
      </c>
      <c r="D199" s="669"/>
      <c r="E199" s="683">
        <v>8.8999999999999999E-3</v>
      </c>
      <c r="F199" s="676" t="s">
        <v>418</v>
      </c>
      <c r="G199" s="670" t="e">
        <f>#REF!</f>
        <v>#REF!</v>
      </c>
      <c r="H199" s="670" t="e">
        <f>INT(E199*G199)</f>
        <v>#REF!</v>
      </c>
      <c r="I199" s="670"/>
      <c r="J199" s="670"/>
      <c r="K199" s="670" t="e">
        <f>#REF!</f>
        <v>#REF!</v>
      </c>
      <c r="L199" s="670" t="e">
        <f>INT(E199*K199)</f>
        <v>#REF!</v>
      </c>
      <c r="M199" s="670" t="e">
        <f t="shared" si="13"/>
        <v>#REF!</v>
      </c>
      <c r="N199" s="670" t="e">
        <f t="shared" si="13"/>
        <v>#REF!</v>
      </c>
      <c r="O199" s="695"/>
      <c r="P199" s="672"/>
      <c r="Q199" s="687" t="s">
        <v>1446</v>
      </c>
      <c r="R199" s="688" t="s">
        <v>1447</v>
      </c>
      <c r="S199" s="688" t="s">
        <v>1425</v>
      </c>
      <c r="T199" s="688" t="s">
        <v>1426</v>
      </c>
    </row>
    <row r="200" spans="1:22" s="665" customFormat="1" ht="17.100000000000001" customHeight="1">
      <c r="A200" s="1404" t="s">
        <v>1320</v>
      </c>
      <c r="B200" s="1319"/>
      <c r="C200" s="1371"/>
      <c r="D200" s="1372"/>
      <c r="E200" s="677"/>
      <c r="F200" s="676"/>
      <c r="G200" s="670"/>
      <c r="H200" s="670" t="e">
        <f>SUM(H196:H199)</f>
        <v>#REF!</v>
      </c>
      <c r="I200" s="670"/>
      <c r="J200" s="670" t="e">
        <f>SUM(J196:J199)</f>
        <v>#REF!</v>
      </c>
      <c r="K200" s="670"/>
      <c r="L200" s="670" t="e">
        <f>SUM(L196:L199)</f>
        <v>#REF!</v>
      </c>
      <c r="M200" s="670"/>
      <c r="N200" s="670" t="e">
        <f>SUM(N196:N199)</f>
        <v>#REF!</v>
      </c>
      <c r="O200" s="693"/>
      <c r="P200" s="672"/>
      <c r="Q200" s="688">
        <v>2080</v>
      </c>
      <c r="R200" s="688">
        <f>(Q200)/100</f>
        <v>20.8</v>
      </c>
      <c r="S200" s="688">
        <v>1</v>
      </c>
      <c r="T200" s="690">
        <f t="shared" ref="T200:T205" si="14">ROUND(S200/R200,4)</f>
        <v>4.8099999999999997E-2</v>
      </c>
      <c r="U200" s="688"/>
      <c r="V200" s="688"/>
    </row>
    <row r="201" spans="1:22" s="665" customFormat="1" ht="17.100000000000001" customHeight="1">
      <c r="A201" s="696">
        <f>A195+1</f>
        <v>51</v>
      </c>
      <c r="B201" s="1357" t="s">
        <v>1448</v>
      </c>
      <c r="C201" s="1357"/>
      <c r="D201" s="1357" t="s">
        <v>1449</v>
      </c>
      <c r="E201" s="1357"/>
      <c r="F201" s="697" t="s">
        <v>272</v>
      </c>
      <c r="G201" s="698"/>
      <c r="H201" s="698"/>
      <c r="I201" s="698"/>
      <c r="J201" s="698"/>
      <c r="K201" s="670"/>
      <c r="L201" s="670"/>
      <c r="M201" s="670"/>
      <c r="N201" s="698"/>
      <c r="O201" s="699"/>
      <c r="P201" s="672"/>
      <c r="Q201" s="688">
        <f>Q200</f>
        <v>2080</v>
      </c>
      <c r="R201" s="688">
        <f>R200</f>
        <v>20.8</v>
      </c>
      <c r="S201" s="688">
        <v>8</v>
      </c>
      <c r="T201" s="690">
        <f t="shared" si="14"/>
        <v>0.3846</v>
      </c>
      <c r="U201" s="676" t="s">
        <v>366</v>
      </c>
      <c r="V201" s="700"/>
    </row>
    <row r="202" spans="1:22" s="688" customFormat="1" ht="17.100000000000001" customHeight="1">
      <c r="A202" s="1316" t="s">
        <v>628</v>
      </c>
      <c r="B202" s="1317"/>
      <c r="C202" s="1316"/>
      <c r="D202" s="1317"/>
      <c r="E202" s="683">
        <v>1.6999999999999999E-3</v>
      </c>
      <c r="F202" s="676" t="s">
        <v>366</v>
      </c>
      <c r="G202" s="670"/>
      <c r="H202" s="670"/>
      <c r="I202" s="670">
        <f>[53]노임단가!$T$6</f>
        <v>226122</v>
      </c>
      <c r="J202" s="670">
        <f>INT(E202*I202)</f>
        <v>384</v>
      </c>
      <c r="K202" s="670"/>
      <c r="L202" s="670"/>
      <c r="M202" s="670">
        <f t="shared" ref="M202:N205" si="15">G202+I202+K202</f>
        <v>226122</v>
      </c>
      <c r="N202" s="670">
        <f t="shared" si="15"/>
        <v>384</v>
      </c>
      <c r="O202" s="671"/>
      <c r="P202" s="672"/>
      <c r="Q202" s="688">
        <f>Q200</f>
        <v>2080</v>
      </c>
      <c r="R202" s="688">
        <f>R200</f>
        <v>20.8</v>
      </c>
      <c r="S202" s="688">
        <v>8</v>
      </c>
      <c r="T202" s="690">
        <f t="shared" si="14"/>
        <v>0.3846</v>
      </c>
      <c r="U202" s="676" t="s">
        <v>418</v>
      </c>
      <c r="V202" s="700"/>
    </row>
    <row r="203" spans="1:22" s="688" customFormat="1" ht="17.100000000000001" customHeight="1">
      <c r="A203" s="1316" t="s">
        <v>248</v>
      </c>
      <c r="B203" s="1317"/>
      <c r="C203" s="1316"/>
      <c r="D203" s="1317"/>
      <c r="E203" s="683">
        <v>1.6999999999999999E-3</v>
      </c>
      <c r="F203" s="676" t="s">
        <v>366</v>
      </c>
      <c r="G203" s="670"/>
      <c r="H203" s="670"/>
      <c r="I203" s="670">
        <f>[53]노임단가!$T$5</f>
        <v>172068</v>
      </c>
      <c r="J203" s="670">
        <f>INT(E203*I203)</f>
        <v>292</v>
      </c>
      <c r="K203" s="670"/>
      <c r="L203" s="670"/>
      <c r="M203" s="670">
        <f t="shared" si="15"/>
        <v>172068</v>
      </c>
      <c r="N203" s="670">
        <f t="shared" si="15"/>
        <v>292</v>
      </c>
      <c r="O203" s="671"/>
      <c r="P203" s="672"/>
      <c r="Q203" s="688">
        <f t="shared" ref="Q203:R205" si="16">Q202</f>
        <v>2080</v>
      </c>
      <c r="R203" s="688">
        <f t="shared" si="16"/>
        <v>20.8</v>
      </c>
      <c r="T203" s="690">
        <f t="shared" si="14"/>
        <v>0</v>
      </c>
      <c r="U203" s="676" t="s">
        <v>418</v>
      </c>
      <c r="V203" s="700"/>
    </row>
    <row r="204" spans="1:22" s="688" customFormat="1" ht="17.100000000000001" customHeight="1">
      <c r="A204" s="1316" t="s">
        <v>1443</v>
      </c>
      <c r="B204" s="1317"/>
      <c r="C204" s="1316" t="s">
        <v>1223</v>
      </c>
      <c r="D204" s="1317"/>
      <c r="E204" s="683">
        <v>1.3299999999999999E-2</v>
      </c>
      <c r="F204" s="676" t="s">
        <v>418</v>
      </c>
      <c r="G204" s="670" t="e">
        <f>$G$192</f>
        <v>#REF!</v>
      </c>
      <c r="H204" s="670" t="e">
        <f>INT(E204*G204)</f>
        <v>#REF!</v>
      </c>
      <c r="I204" s="670" t="e">
        <f>$I$192</f>
        <v>#REF!</v>
      </c>
      <c r="J204" s="670" t="e">
        <f>INT(E204*I204)</f>
        <v>#REF!</v>
      </c>
      <c r="K204" s="670" t="e">
        <f>$K$192</f>
        <v>#REF!</v>
      </c>
      <c r="L204" s="670" t="e">
        <f>INT(E204*K204)</f>
        <v>#REF!</v>
      </c>
      <c r="M204" s="670" t="e">
        <f>G204+I204+K204</f>
        <v>#REF!</v>
      </c>
      <c r="N204" s="670" t="e">
        <f t="shared" si="15"/>
        <v>#REF!</v>
      </c>
      <c r="O204" s="671"/>
      <c r="P204" s="672"/>
      <c r="Q204" s="688">
        <f t="shared" si="16"/>
        <v>2080</v>
      </c>
      <c r="R204" s="688">
        <f t="shared" si="16"/>
        <v>20.8</v>
      </c>
      <c r="S204" s="688">
        <v>8</v>
      </c>
      <c r="T204" s="690">
        <f t="shared" si="14"/>
        <v>0.3846</v>
      </c>
      <c r="U204" s="676"/>
      <c r="V204" s="700"/>
    </row>
    <row r="205" spans="1:22" s="688" customFormat="1" ht="17.100000000000001" customHeight="1">
      <c r="A205" s="1316" t="s">
        <v>1450</v>
      </c>
      <c r="B205" s="1317"/>
      <c r="C205" s="694" t="s">
        <v>1451</v>
      </c>
      <c r="D205" s="669"/>
      <c r="E205" s="675">
        <v>0.03</v>
      </c>
      <c r="F205" s="676" t="s">
        <v>672</v>
      </c>
      <c r="G205" s="670">
        <f>J202+J203</f>
        <v>676</v>
      </c>
      <c r="H205" s="670">
        <f>INT(E205*G205)</f>
        <v>20</v>
      </c>
      <c r="I205" s="670"/>
      <c r="J205" s="670"/>
      <c r="K205" s="670"/>
      <c r="L205" s="670"/>
      <c r="M205" s="670"/>
      <c r="N205" s="670">
        <f t="shared" si="15"/>
        <v>20</v>
      </c>
      <c r="O205" s="671"/>
      <c r="P205" s="672"/>
      <c r="Q205" s="688">
        <f t="shared" si="16"/>
        <v>2080</v>
      </c>
      <c r="R205" s="688">
        <f t="shared" si="16"/>
        <v>20.8</v>
      </c>
      <c r="S205" s="688">
        <v>0</v>
      </c>
      <c r="T205" s="690">
        <f t="shared" si="14"/>
        <v>0</v>
      </c>
      <c r="U205" s="676" t="s">
        <v>418</v>
      </c>
      <c r="V205" s="700"/>
    </row>
    <row r="206" spans="1:22" s="688" customFormat="1" ht="17.100000000000001" customHeight="1">
      <c r="A206" s="1318" t="s">
        <v>1320</v>
      </c>
      <c r="B206" s="1319"/>
      <c r="C206" s="1371"/>
      <c r="D206" s="1372"/>
      <c r="E206" s="677"/>
      <c r="F206" s="676"/>
      <c r="G206" s="670"/>
      <c r="H206" s="670" t="e">
        <f>SUM(H202:H205)</f>
        <v>#REF!</v>
      </c>
      <c r="I206" s="670"/>
      <c r="J206" s="670" t="e">
        <f>SUM(J202:J204)</f>
        <v>#REF!</v>
      </c>
      <c r="K206" s="670"/>
      <c r="L206" s="670" t="e">
        <f>SUM(L202:L204)</f>
        <v>#REF!</v>
      </c>
      <c r="M206" s="670"/>
      <c r="N206" s="670" t="e">
        <f>SUM(N202:N205)</f>
        <v>#REF!</v>
      </c>
      <c r="O206" s="671"/>
      <c r="P206" s="672"/>
      <c r="Q206" s="687" t="s">
        <v>1446</v>
      </c>
      <c r="R206" s="688" t="s">
        <v>1447</v>
      </c>
      <c r="S206" s="688" t="s">
        <v>1425</v>
      </c>
      <c r="T206" s="688" t="s">
        <v>1426</v>
      </c>
    </row>
    <row r="207" spans="1:22" s="688" customFormat="1" ht="17.100000000000001" customHeight="1">
      <c r="A207" s="668">
        <f>A201+1</f>
        <v>52</v>
      </c>
      <c r="B207" s="1320" t="s">
        <v>1452</v>
      </c>
      <c r="C207" s="1320"/>
      <c r="D207" s="1320" t="s">
        <v>1453</v>
      </c>
      <c r="E207" s="1320"/>
      <c r="F207" s="669" t="s">
        <v>850</v>
      </c>
      <c r="G207" s="670"/>
      <c r="H207" s="670"/>
      <c r="I207" s="670"/>
      <c r="J207" s="670"/>
      <c r="K207" s="670"/>
      <c r="L207" s="670"/>
      <c r="M207" s="670"/>
      <c r="N207" s="670"/>
      <c r="O207" s="671"/>
      <c r="P207" s="672"/>
      <c r="Q207" s="688">
        <v>312</v>
      </c>
      <c r="R207" s="688">
        <f>(Q207)/100</f>
        <v>3.12</v>
      </c>
      <c r="S207" s="688">
        <v>1</v>
      </c>
      <c r="T207" s="690">
        <f t="shared" ref="T207:T212" si="17">ROUND(S207/R207,4)</f>
        <v>0.32050000000000001</v>
      </c>
    </row>
    <row r="208" spans="1:22" s="688" customFormat="1" ht="17.100000000000001" customHeight="1">
      <c r="A208" s="1316" t="s">
        <v>421</v>
      </c>
      <c r="B208" s="1317"/>
      <c r="C208" s="1316"/>
      <c r="D208" s="1317"/>
      <c r="E208" s="675">
        <v>0.33</v>
      </c>
      <c r="F208" s="676" t="s">
        <v>366</v>
      </c>
      <c r="G208" s="670"/>
      <c r="H208" s="670"/>
      <c r="I208" s="670">
        <f>[53]노임단가!$T$18</f>
        <v>222306</v>
      </c>
      <c r="J208" s="670">
        <f>INT(E208*I208)</f>
        <v>73360</v>
      </c>
      <c r="K208" s="670"/>
      <c r="L208" s="670"/>
      <c r="M208" s="670">
        <f t="shared" ref="M208:N212" si="18">G208+I208+K208</f>
        <v>222306</v>
      </c>
      <c r="N208" s="670">
        <f t="shared" si="18"/>
        <v>73360</v>
      </c>
      <c r="O208" s="671"/>
      <c r="P208" s="672"/>
      <c r="Q208" s="688">
        <f>Q207</f>
        <v>312</v>
      </c>
      <c r="R208" s="688">
        <f>R207</f>
        <v>3.12</v>
      </c>
      <c r="S208" s="688">
        <v>8</v>
      </c>
      <c r="T208" s="690">
        <f t="shared" si="17"/>
        <v>2.5640999999999998</v>
      </c>
    </row>
    <row r="209" spans="1:20" s="688" customFormat="1" ht="17.100000000000001" customHeight="1">
      <c r="A209" s="1316" t="s">
        <v>248</v>
      </c>
      <c r="B209" s="1317"/>
      <c r="C209" s="1316"/>
      <c r="D209" s="1317"/>
      <c r="E209" s="675">
        <v>0.16</v>
      </c>
      <c r="F209" s="676" t="s">
        <v>366</v>
      </c>
      <c r="G209" s="670"/>
      <c r="H209" s="670"/>
      <c r="I209" s="670">
        <f>[53]노임단가!$T$5</f>
        <v>172068</v>
      </c>
      <c r="J209" s="670">
        <f>INT(E209*I209)</f>
        <v>27530</v>
      </c>
      <c r="K209" s="670"/>
      <c r="L209" s="670"/>
      <c r="M209" s="670">
        <f t="shared" si="18"/>
        <v>172068</v>
      </c>
      <c r="N209" s="670">
        <f t="shared" si="18"/>
        <v>27530</v>
      </c>
      <c r="O209" s="671"/>
      <c r="P209" s="672"/>
      <c r="Q209" s="688">
        <f>Q207</f>
        <v>312</v>
      </c>
      <c r="R209" s="688">
        <f>R207</f>
        <v>3.12</v>
      </c>
      <c r="S209" s="688">
        <v>8</v>
      </c>
      <c r="T209" s="690">
        <f t="shared" si="17"/>
        <v>2.5640999999999998</v>
      </c>
    </row>
    <row r="210" spans="1:20" s="688" customFormat="1" ht="17.100000000000001" customHeight="1">
      <c r="A210" s="1316" t="s">
        <v>417</v>
      </c>
      <c r="B210" s="1317"/>
      <c r="C210" s="1316" t="s">
        <v>1233</v>
      </c>
      <c r="D210" s="1317"/>
      <c r="E210" s="679">
        <v>0.3</v>
      </c>
      <c r="F210" s="676" t="s">
        <v>418</v>
      </c>
      <c r="G210" s="670" t="e">
        <f>#REF!</f>
        <v>#REF!</v>
      </c>
      <c r="H210" s="670" t="e">
        <f>INT(E210*G210)</f>
        <v>#REF!</v>
      </c>
      <c r="I210" s="670" t="e">
        <f>#REF!</f>
        <v>#REF!</v>
      </c>
      <c r="J210" s="670" t="e">
        <f>INT(E210*I210)</f>
        <v>#REF!</v>
      </c>
      <c r="K210" s="670" t="e">
        <f>#REF!</f>
        <v>#REF!</v>
      </c>
      <c r="L210" s="670" t="e">
        <f>INT(E210*K210)</f>
        <v>#REF!</v>
      </c>
      <c r="M210" s="670" t="e">
        <f t="shared" si="18"/>
        <v>#REF!</v>
      </c>
      <c r="N210" s="670" t="e">
        <f t="shared" si="18"/>
        <v>#REF!</v>
      </c>
      <c r="O210" s="671"/>
      <c r="P210" s="672"/>
      <c r="Q210" s="688">
        <f t="shared" ref="Q210:R212" si="19">Q209</f>
        <v>312</v>
      </c>
      <c r="R210" s="688">
        <f t="shared" si="19"/>
        <v>3.12</v>
      </c>
      <c r="T210" s="690">
        <f t="shared" si="17"/>
        <v>0</v>
      </c>
    </row>
    <row r="211" spans="1:20" s="688" customFormat="1" ht="17.100000000000001" customHeight="1">
      <c r="A211" s="1316" t="e">
        <f>#REF!</f>
        <v>#REF!</v>
      </c>
      <c r="B211" s="1317"/>
      <c r="C211" s="1316" t="e">
        <f>#REF!</f>
        <v>#REF!</v>
      </c>
      <c r="D211" s="1317"/>
      <c r="E211" s="675">
        <v>1.26</v>
      </c>
      <c r="F211" s="676" t="s">
        <v>418</v>
      </c>
      <c r="G211" s="670"/>
      <c r="H211" s="670"/>
      <c r="I211" s="670"/>
      <c r="J211" s="670"/>
      <c r="K211" s="670" t="e">
        <f>#REF!</f>
        <v>#REF!</v>
      </c>
      <c r="L211" s="670" t="e">
        <f>INT(E211*K211)</f>
        <v>#REF!</v>
      </c>
      <c r="M211" s="670" t="e">
        <f t="shared" si="18"/>
        <v>#REF!</v>
      </c>
      <c r="N211" s="670" t="e">
        <f t="shared" si="18"/>
        <v>#REF!</v>
      </c>
      <c r="O211" s="671"/>
      <c r="P211" s="672"/>
      <c r="Q211" s="688">
        <f t="shared" si="19"/>
        <v>312</v>
      </c>
      <c r="R211" s="688">
        <f t="shared" si="19"/>
        <v>3.12</v>
      </c>
      <c r="S211" s="688">
        <v>8</v>
      </c>
      <c r="T211" s="690">
        <f t="shared" si="17"/>
        <v>2.5640999999999998</v>
      </c>
    </row>
    <row r="212" spans="1:20" s="688" customFormat="1" ht="17.100000000000001" customHeight="1">
      <c r="A212" s="1316" t="s">
        <v>1328</v>
      </c>
      <c r="B212" s="1317"/>
      <c r="C212" s="1338" t="s">
        <v>1329</v>
      </c>
      <c r="D212" s="1317"/>
      <c r="E212" s="675">
        <v>0.01</v>
      </c>
      <c r="F212" s="676" t="s">
        <v>672</v>
      </c>
      <c r="G212" s="670">
        <f>$J$208+$J$209</f>
        <v>100890</v>
      </c>
      <c r="H212" s="670">
        <f>INT(E212*G212)</f>
        <v>1008</v>
      </c>
      <c r="I212" s="670"/>
      <c r="J212" s="670"/>
      <c r="K212" s="670"/>
      <c r="L212" s="670"/>
      <c r="M212" s="670">
        <f t="shared" si="18"/>
        <v>100890</v>
      </c>
      <c r="N212" s="670">
        <f t="shared" si="18"/>
        <v>1008</v>
      </c>
      <c r="O212" s="671"/>
      <c r="P212" s="672"/>
      <c r="Q212" s="688">
        <f t="shared" si="19"/>
        <v>312</v>
      </c>
      <c r="R212" s="688">
        <f t="shared" si="19"/>
        <v>3.12</v>
      </c>
      <c r="S212" s="688">
        <v>0</v>
      </c>
      <c r="T212" s="690">
        <f t="shared" si="17"/>
        <v>0</v>
      </c>
    </row>
    <row r="213" spans="1:20" s="688" customFormat="1" ht="17.100000000000001" customHeight="1">
      <c r="A213" s="1318" t="s">
        <v>1320</v>
      </c>
      <c r="B213" s="1319"/>
      <c r="C213" s="1371"/>
      <c r="D213" s="1372"/>
      <c r="E213" s="677"/>
      <c r="F213" s="676"/>
      <c r="G213" s="670"/>
      <c r="H213" s="670" t="e">
        <f>SUM(H208:H212)</f>
        <v>#REF!</v>
      </c>
      <c r="I213" s="670"/>
      <c r="J213" s="670" t="e">
        <f>SUM(J208:J212)</f>
        <v>#REF!</v>
      </c>
      <c r="K213" s="670"/>
      <c r="L213" s="670" t="e">
        <f>SUM(L208:L212)</f>
        <v>#REF!</v>
      </c>
      <c r="M213" s="670"/>
      <c r="N213" s="670" t="e">
        <f>SUM(N208:N212)</f>
        <v>#REF!</v>
      </c>
      <c r="O213" s="671"/>
      <c r="P213" s="672"/>
      <c r="Q213" s="687" t="s">
        <v>1446</v>
      </c>
      <c r="R213" s="688" t="s">
        <v>1447</v>
      </c>
      <c r="S213" s="688" t="s">
        <v>1425</v>
      </c>
      <c r="T213" s="688" t="s">
        <v>1426</v>
      </c>
    </row>
    <row r="214" spans="1:20" s="688" customFormat="1" ht="17.100000000000001" customHeight="1">
      <c r="A214" s="668">
        <f>A207+1</f>
        <v>53</v>
      </c>
      <c r="B214" s="1320" t="s">
        <v>1454</v>
      </c>
      <c r="C214" s="1320"/>
      <c r="D214" s="1320" t="s">
        <v>1453</v>
      </c>
      <c r="E214" s="1320"/>
      <c r="F214" s="669" t="s">
        <v>850</v>
      </c>
      <c r="G214" s="670"/>
      <c r="H214" s="670"/>
      <c r="I214" s="670"/>
      <c r="J214" s="670"/>
      <c r="K214" s="670"/>
      <c r="L214" s="670"/>
      <c r="M214" s="670"/>
      <c r="N214" s="670"/>
      <c r="O214" s="671"/>
      <c r="P214" s="672"/>
      <c r="Q214" s="688">
        <v>132.80000000000001</v>
      </c>
      <c r="R214" s="688">
        <f>(Q214)/100</f>
        <v>1.3280000000000001</v>
      </c>
      <c r="S214" s="688">
        <v>1</v>
      </c>
      <c r="T214" s="690">
        <f t="shared" ref="T214:T219" si="20">ROUND(S214/R214,4)</f>
        <v>0.753</v>
      </c>
    </row>
    <row r="215" spans="1:20" s="688" customFormat="1" ht="17.100000000000001" customHeight="1">
      <c r="A215" s="1316" t="s">
        <v>421</v>
      </c>
      <c r="B215" s="1317"/>
      <c r="C215" s="1316"/>
      <c r="D215" s="1317"/>
      <c r="E215" s="675">
        <v>0.41</v>
      </c>
      <c r="F215" s="676" t="s">
        <v>366</v>
      </c>
      <c r="G215" s="670"/>
      <c r="H215" s="670"/>
      <c r="I215" s="670">
        <f>[53]노임단가!$T$18</f>
        <v>222306</v>
      </c>
      <c r="J215" s="670">
        <f>INT(E215*I215)</f>
        <v>91145</v>
      </c>
      <c r="K215" s="670"/>
      <c r="L215" s="670"/>
      <c r="M215" s="670">
        <f t="shared" ref="M215:N219" si="21">G215+I215+K215</f>
        <v>222306</v>
      </c>
      <c r="N215" s="670">
        <f t="shared" si="21"/>
        <v>91145</v>
      </c>
      <c r="O215" s="671"/>
      <c r="P215" s="672"/>
      <c r="Q215" s="688">
        <f>Q214</f>
        <v>132.80000000000001</v>
      </c>
      <c r="R215" s="688">
        <f>R214</f>
        <v>1.3280000000000001</v>
      </c>
      <c r="S215" s="688">
        <v>8</v>
      </c>
      <c r="T215" s="690">
        <f t="shared" si="20"/>
        <v>6.0240999999999998</v>
      </c>
    </row>
    <row r="216" spans="1:20" s="688" customFormat="1" ht="17.100000000000001" customHeight="1">
      <c r="A216" s="1316" t="s">
        <v>248</v>
      </c>
      <c r="B216" s="1317"/>
      <c r="C216" s="1316"/>
      <c r="D216" s="1317"/>
      <c r="E216" s="675">
        <v>0.21</v>
      </c>
      <c r="F216" s="676" t="s">
        <v>366</v>
      </c>
      <c r="G216" s="670"/>
      <c r="H216" s="670"/>
      <c r="I216" s="670">
        <f>[53]노임단가!$T$5</f>
        <v>172068</v>
      </c>
      <c r="J216" s="670">
        <f>INT(E216*I216)</f>
        <v>36134</v>
      </c>
      <c r="K216" s="670"/>
      <c r="L216" s="670"/>
      <c r="M216" s="670">
        <f t="shared" si="21"/>
        <v>172068</v>
      </c>
      <c r="N216" s="670">
        <f t="shared" si="21"/>
        <v>36134</v>
      </c>
      <c r="O216" s="671"/>
      <c r="P216" s="672"/>
      <c r="Q216" s="688">
        <f>Q214</f>
        <v>132.80000000000001</v>
      </c>
      <c r="R216" s="688">
        <f>R214</f>
        <v>1.3280000000000001</v>
      </c>
      <c r="S216" s="688">
        <v>8</v>
      </c>
      <c r="T216" s="690">
        <f t="shared" si="20"/>
        <v>6.0240999999999998</v>
      </c>
    </row>
    <row r="217" spans="1:20" s="688" customFormat="1" ht="17.100000000000001" customHeight="1">
      <c r="A217" s="1316" t="s">
        <v>417</v>
      </c>
      <c r="B217" s="1317"/>
      <c r="C217" s="1316" t="s">
        <v>1233</v>
      </c>
      <c r="D217" s="1317"/>
      <c r="E217" s="675">
        <v>0.48</v>
      </c>
      <c r="F217" s="676" t="s">
        <v>418</v>
      </c>
      <c r="G217" s="670" t="e">
        <f>#REF!</f>
        <v>#REF!</v>
      </c>
      <c r="H217" s="670" t="e">
        <f>INT(E217*G217)</f>
        <v>#REF!</v>
      </c>
      <c r="I217" s="670" t="e">
        <f>$I$210</f>
        <v>#REF!</v>
      </c>
      <c r="J217" s="670" t="e">
        <f>INT(E217*I217)</f>
        <v>#REF!</v>
      </c>
      <c r="K217" s="670" t="e">
        <f>$K$210</f>
        <v>#REF!</v>
      </c>
      <c r="L217" s="670" t="e">
        <f>INT(E217*K217)</f>
        <v>#REF!</v>
      </c>
      <c r="M217" s="670" t="e">
        <f t="shared" si="21"/>
        <v>#REF!</v>
      </c>
      <c r="N217" s="670" t="e">
        <f t="shared" si="21"/>
        <v>#REF!</v>
      </c>
      <c r="O217" s="671"/>
      <c r="P217" s="672"/>
      <c r="Q217" s="688">
        <f t="shared" ref="Q217:R219" si="22">Q216</f>
        <v>132.80000000000001</v>
      </c>
      <c r="R217" s="688">
        <f t="shared" si="22"/>
        <v>1.3280000000000001</v>
      </c>
      <c r="T217" s="690">
        <f t="shared" si="20"/>
        <v>0</v>
      </c>
    </row>
    <row r="218" spans="1:20" s="688" customFormat="1" ht="17.100000000000001" customHeight="1">
      <c r="A218" s="1316" t="e">
        <f>#REF!</f>
        <v>#REF!</v>
      </c>
      <c r="B218" s="1317"/>
      <c r="C218" s="1316" t="e">
        <f>#REF!</f>
        <v>#REF!</v>
      </c>
      <c r="D218" s="1317"/>
      <c r="E218" s="675">
        <v>1.68</v>
      </c>
      <c r="F218" s="676" t="s">
        <v>418</v>
      </c>
      <c r="G218" s="670"/>
      <c r="H218" s="670"/>
      <c r="I218" s="670"/>
      <c r="J218" s="670"/>
      <c r="K218" s="670" t="e">
        <f>#REF!</f>
        <v>#REF!</v>
      </c>
      <c r="L218" s="670" t="e">
        <f>INT(E218*K218)</f>
        <v>#REF!</v>
      </c>
      <c r="M218" s="670" t="e">
        <f t="shared" si="21"/>
        <v>#REF!</v>
      </c>
      <c r="N218" s="670" t="e">
        <f t="shared" si="21"/>
        <v>#REF!</v>
      </c>
      <c r="O218" s="671"/>
      <c r="P218" s="672"/>
      <c r="Q218" s="688">
        <f t="shared" si="22"/>
        <v>132.80000000000001</v>
      </c>
      <c r="R218" s="688">
        <f t="shared" si="22"/>
        <v>1.3280000000000001</v>
      </c>
      <c r="S218" s="688">
        <v>8</v>
      </c>
      <c r="T218" s="690">
        <f t="shared" si="20"/>
        <v>6.0240999999999998</v>
      </c>
    </row>
    <row r="219" spans="1:20" s="688" customFormat="1" ht="17.100000000000001" customHeight="1">
      <c r="A219" s="1316" t="s">
        <v>1328</v>
      </c>
      <c r="B219" s="1317"/>
      <c r="C219" s="1338" t="s">
        <v>1329</v>
      </c>
      <c r="D219" s="1317"/>
      <c r="E219" s="675">
        <v>0.01</v>
      </c>
      <c r="F219" s="676" t="s">
        <v>672</v>
      </c>
      <c r="G219" s="670">
        <f>J215+J216</f>
        <v>127279</v>
      </c>
      <c r="H219" s="670">
        <f>INT(E219*G219)</f>
        <v>1272</v>
      </c>
      <c r="I219" s="670"/>
      <c r="J219" s="670"/>
      <c r="K219" s="670"/>
      <c r="L219" s="670"/>
      <c r="M219" s="670">
        <f t="shared" si="21"/>
        <v>127279</v>
      </c>
      <c r="N219" s="670">
        <f t="shared" si="21"/>
        <v>1272</v>
      </c>
      <c r="O219" s="671"/>
      <c r="P219" s="672"/>
      <c r="Q219" s="688">
        <f t="shared" si="22"/>
        <v>132.80000000000001</v>
      </c>
      <c r="R219" s="688">
        <f t="shared" si="22"/>
        <v>1.3280000000000001</v>
      </c>
      <c r="S219" s="688">
        <v>0</v>
      </c>
      <c r="T219" s="690">
        <f t="shared" si="20"/>
        <v>0</v>
      </c>
    </row>
    <row r="220" spans="1:20" s="688" customFormat="1" ht="17.100000000000001" customHeight="1">
      <c r="A220" s="1318" t="s">
        <v>1320</v>
      </c>
      <c r="B220" s="1319"/>
      <c r="C220" s="1371"/>
      <c r="D220" s="1372"/>
      <c r="E220" s="677"/>
      <c r="F220" s="676"/>
      <c r="G220" s="670"/>
      <c r="H220" s="670" t="e">
        <f>SUM(H215:H219)</f>
        <v>#REF!</v>
      </c>
      <c r="I220" s="670"/>
      <c r="J220" s="670" t="e">
        <f>SUM(J215:J219)</f>
        <v>#REF!</v>
      </c>
      <c r="K220" s="670"/>
      <c r="L220" s="670" t="e">
        <f>SUM(L215:L219)</f>
        <v>#REF!</v>
      </c>
      <c r="M220" s="670"/>
      <c r="N220" s="670" t="e">
        <f>SUM(N215:N219)</f>
        <v>#REF!</v>
      </c>
      <c r="O220" s="671"/>
    </row>
    <row r="221" spans="1:20" s="688" customFormat="1" ht="17.100000000000001" customHeight="1">
      <c r="A221" s="668">
        <f>A214+1</f>
        <v>54</v>
      </c>
      <c r="B221" s="1320" t="s">
        <v>1452</v>
      </c>
      <c r="C221" s="1320"/>
      <c r="D221" s="1320" t="s">
        <v>1378</v>
      </c>
      <c r="E221" s="1320"/>
      <c r="F221" s="669" t="s">
        <v>850</v>
      </c>
      <c r="G221" s="670"/>
      <c r="H221" s="670"/>
      <c r="I221" s="670"/>
      <c r="J221" s="670"/>
      <c r="K221" s="670"/>
      <c r="L221" s="670"/>
      <c r="M221" s="670"/>
      <c r="N221" s="670"/>
      <c r="O221" s="671"/>
    </row>
    <row r="222" spans="1:20" s="665" customFormat="1" ht="17.100000000000001" customHeight="1">
      <c r="A222" s="1316" t="s">
        <v>1455</v>
      </c>
      <c r="B222" s="1317"/>
      <c r="C222" s="1316" t="s">
        <v>394</v>
      </c>
      <c r="D222" s="1317"/>
      <c r="E222" s="677">
        <v>1</v>
      </c>
      <c r="F222" s="676" t="s">
        <v>418</v>
      </c>
      <c r="G222" s="670" t="e">
        <f>#REF!</f>
        <v>#REF!</v>
      </c>
      <c r="H222" s="670" t="e">
        <f>INT(E222*G222)</f>
        <v>#REF!</v>
      </c>
      <c r="I222" s="670" t="e">
        <f>#REF!</f>
        <v>#REF!</v>
      </c>
      <c r="J222" s="670" t="e">
        <f>INT(E222*I222)</f>
        <v>#REF!</v>
      </c>
      <c r="K222" s="670" t="e">
        <f>#REF!</f>
        <v>#REF!</v>
      </c>
      <c r="L222" s="670" t="e">
        <f>INT(E222*K222)</f>
        <v>#REF!</v>
      </c>
      <c r="M222" s="670" t="e">
        <f>G222+I222+K222</f>
        <v>#REF!</v>
      </c>
      <c r="N222" s="670" t="e">
        <f>H222+J222+L222</f>
        <v>#REF!</v>
      </c>
      <c r="O222" s="671"/>
    </row>
    <row r="223" spans="1:20" s="665" customFormat="1" ht="17.100000000000001" customHeight="1">
      <c r="A223" s="1318" t="s">
        <v>1320</v>
      </c>
      <c r="B223" s="1319"/>
      <c r="C223" s="1371"/>
      <c r="D223" s="1372"/>
      <c r="E223" s="677"/>
      <c r="F223" s="676"/>
      <c r="G223" s="670"/>
      <c r="H223" s="670" t="e">
        <f>SUM(H222:H222)</f>
        <v>#REF!</v>
      </c>
      <c r="I223" s="670"/>
      <c r="J223" s="670" t="e">
        <f>SUM(J222:J222)</f>
        <v>#REF!</v>
      </c>
      <c r="K223" s="670"/>
      <c r="L223" s="670" t="e">
        <f>SUM(L222:L222)</f>
        <v>#REF!</v>
      </c>
      <c r="M223" s="670"/>
      <c r="N223" s="670" t="e">
        <f>SUM(N222:N222)</f>
        <v>#REF!</v>
      </c>
      <c r="O223" s="671"/>
    </row>
    <row r="224" spans="1:20" s="665" customFormat="1" ht="17.100000000000001" customHeight="1">
      <c r="A224" s="668">
        <f>A221+1</f>
        <v>55</v>
      </c>
      <c r="B224" s="1320" t="s">
        <v>1452</v>
      </c>
      <c r="C224" s="1320"/>
      <c r="D224" s="1320" t="s">
        <v>1380</v>
      </c>
      <c r="E224" s="1320"/>
      <c r="F224" s="669" t="s">
        <v>850</v>
      </c>
      <c r="G224" s="670"/>
      <c r="H224" s="670"/>
      <c r="I224" s="670"/>
      <c r="J224" s="670"/>
      <c r="K224" s="670"/>
      <c r="L224" s="670"/>
      <c r="M224" s="670"/>
      <c r="N224" s="670"/>
      <c r="O224" s="671"/>
    </row>
    <row r="225" spans="1:17" s="665" customFormat="1" ht="17.100000000000001" customHeight="1">
      <c r="A225" s="1316" t="s">
        <v>1455</v>
      </c>
      <c r="B225" s="1317"/>
      <c r="C225" s="1316" t="s">
        <v>359</v>
      </c>
      <c r="D225" s="1317"/>
      <c r="E225" s="677">
        <v>1</v>
      </c>
      <c r="F225" s="676" t="s">
        <v>418</v>
      </c>
      <c r="G225" s="670" t="e">
        <f>#REF!</f>
        <v>#REF!</v>
      </c>
      <c r="H225" s="670" t="e">
        <f>INT(E225*G225)</f>
        <v>#REF!</v>
      </c>
      <c r="I225" s="670" t="e">
        <f>#REF!</f>
        <v>#REF!</v>
      </c>
      <c r="J225" s="670" t="e">
        <f>INT(E225*I225)</f>
        <v>#REF!</v>
      </c>
      <c r="K225" s="670" t="e">
        <f>#REF!</f>
        <v>#REF!</v>
      </c>
      <c r="L225" s="670" t="e">
        <f>INT(E225*K225)</f>
        <v>#REF!</v>
      </c>
      <c r="M225" s="670" t="e">
        <f>G225+I225+K225</f>
        <v>#REF!</v>
      </c>
      <c r="N225" s="670" t="e">
        <f>H225+J225+L225</f>
        <v>#REF!</v>
      </c>
      <c r="O225" s="671"/>
    </row>
    <row r="226" spans="1:17" s="665" customFormat="1" ht="17.100000000000001" customHeight="1">
      <c r="A226" s="1318" t="s">
        <v>1320</v>
      </c>
      <c r="B226" s="1319"/>
      <c r="C226" s="1371"/>
      <c r="D226" s="1372"/>
      <c r="E226" s="677"/>
      <c r="F226" s="676"/>
      <c r="G226" s="670"/>
      <c r="H226" s="670" t="e">
        <f>SUM(H225:H225)</f>
        <v>#REF!</v>
      </c>
      <c r="I226" s="670"/>
      <c r="J226" s="670" t="e">
        <f>SUM(J225:J225)</f>
        <v>#REF!</v>
      </c>
      <c r="K226" s="670"/>
      <c r="L226" s="670" t="e">
        <f>SUM(L225:L225)</f>
        <v>#REF!</v>
      </c>
      <c r="M226" s="670"/>
      <c r="N226" s="670" t="e">
        <f>SUM(N225:N225)</f>
        <v>#REF!</v>
      </c>
      <c r="O226" s="671"/>
    </row>
    <row r="227" spans="1:17" s="665" customFormat="1" ht="17.100000000000001" customHeight="1">
      <c r="A227" s="668">
        <f>A224+1</f>
        <v>56</v>
      </c>
      <c r="B227" s="1320" t="s">
        <v>1452</v>
      </c>
      <c r="C227" s="1320"/>
      <c r="D227" s="1320" t="s">
        <v>1381</v>
      </c>
      <c r="E227" s="1320"/>
      <c r="F227" s="669" t="s">
        <v>850</v>
      </c>
      <c r="G227" s="670"/>
      <c r="H227" s="670"/>
      <c r="I227" s="670"/>
      <c r="J227" s="670"/>
      <c r="K227" s="670"/>
      <c r="L227" s="670"/>
      <c r="M227" s="670"/>
      <c r="N227" s="670"/>
      <c r="O227" s="671"/>
    </row>
    <row r="228" spans="1:17" s="665" customFormat="1" ht="17.100000000000001" customHeight="1">
      <c r="A228" s="1316" t="s">
        <v>1455</v>
      </c>
      <c r="B228" s="1317"/>
      <c r="C228" s="1316" t="s">
        <v>399</v>
      </c>
      <c r="D228" s="1317"/>
      <c r="E228" s="677">
        <v>1</v>
      </c>
      <c r="F228" s="676" t="s">
        <v>418</v>
      </c>
      <c r="G228" s="670" t="e">
        <f>#REF!</f>
        <v>#REF!</v>
      </c>
      <c r="H228" s="670" t="e">
        <f>INT(E228*G228)</f>
        <v>#REF!</v>
      </c>
      <c r="I228" s="670" t="e">
        <f>#REF!</f>
        <v>#REF!</v>
      </c>
      <c r="J228" s="670" t="e">
        <f>INT(E228*I228)</f>
        <v>#REF!</v>
      </c>
      <c r="K228" s="670" t="e">
        <f>#REF!</f>
        <v>#REF!</v>
      </c>
      <c r="L228" s="670" t="e">
        <f>INT(E228*K228)</f>
        <v>#REF!</v>
      </c>
      <c r="M228" s="670" t="e">
        <f>G228+I228+K228</f>
        <v>#REF!</v>
      </c>
      <c r="N228" s="670" t="e">
        <f>H228+J228+L228</f>
        <v>#REF!</v>
      </c>
      <c r="O228" s="671"/>
    </row>
    <row r="229" spans="1:17" s="665" customFormat="1" ht="17.100000000000001" customHeight="1">
      <c r="A229" s="1318" t="s">
        <v>1320</v>
      </c>
      <c r="B229" s="1319"/>
      <c r="C229" s="1371"/>
      <c r="D229" s="1372"/>
      <c r="E229" s="677"/>
      <c r="F229" s="676"/>
      <c r="G229" s="670"/>
      <c r="H229" s="670" t="e">
        <f>SUM(H228:H228)</f>
        <v>#REF!</v>
      </c>
      <c r="I229" s="670"/>
      <c r="J229" s="670" t="e">
        <f>SUM(J228:J228)</f>
        <v>#REF!</v>
      </c>
      <c r="K229" s="670"/>
      <c r="L229" s="670" t="e">
        <f>SUM(L228:L228)</f>
        <v>#REF!</v>
      </c>
      <c r="M229" s="670"/>
      <c r="N229" s="670" t="e">
        <f>SUM(N228:N228)</f>
        <v>#REF!</v>
      </c>
      <c r="O229" s="671"/>
    </row>
    <row r="230" spans="1:17" s="665" customFormat="1" ht="17.100000000000001" customHeight="1">
      <c r="A230" s="668">
        <f>A227+1</f>
        <v>57</v>
      </c>
      <c r="B230" s="1320" t="s">
        <v>1456</v>
      </c>
      <c r="C230" s="1320"/>
      <c r="D230" s="1320" t="s">
        <v>1457</v>
      </c>
      <c r="E230" s="1320"/>
      <c r="F230" s="669" t="s">
        <v>1458</v>
      </c>
      <c r="G230" s="698"/>
      <c r="H230" s="698"/>
      <c r="I230" s="698"/>
      <c r="J230" s="698"/>
      <c r="K230" s="670"/>
      <c r="L230" s="670"/>
      <c r="M230" s="670"/>
      <c r="N230" s="698"/>
      <c r="O230" s="699"/>
    </row>
    <row r="231" spans="1:17" s="665" customFormat="1" ht="17.100000000000001" customHeight="1">
      <c r="A231" s="1316" t="s">
        <v>248</v>
      </c>
      <c r="B231" s="1317"/>
      <c r="C231" s="1316" t="s">
        <v>1459</v>
      </c>
      <c r="D231" s="1317"/>
      <c r="E231" s="701">
        <v>4.8000000000000001E-2</v>
      </c>
      <c r="F231" s="676" t="s">
        <v>366</v>
      </c>
      <c r="G231" s="670"/>
      <c r="H231" s="670"/>
      <c r="I231" s="670">
        <f>[53]노임단가!$T$5</f>
        <v>172068</v>
      </c>
      <c r="J231" s="670">
        <f>INT(E231*I231)</f>
        <v>8259</v>
      </c>
      <c r="K231" s="670"/>
      <c r="L231" s="670"/>
      <c r="M231" s="670">
        <f t="shared" ref="M231:N235" si="23">G231+I231+K231</f>
        <v>172068</v>
      </c>
      <c r="N231" s="670">
        <f t="shared" si="23"/>
        <v>8259</v>
      </c>
      <c r="O231" s="671"/>
    </row>
    <row r="232" spans="1:17" s="665" customFormat="1" ht="17.100000000000001" customHeight="1">
      <c r="A232" s="1316" t="s">
        <v>490</v>
      </c>
      <c r="B232" s="1317"/>
      <c r="C232" s="1316" t="s">
        <v>491</v>
      </c>
      <c r="D232" s="1317"/>
      <c r="E232" s="701">
        <v>0.38400000000000001</v>
      </c>
      <c r="F232" s="676" t="s">
        <v>418</v>
      </c>
      <c r="G232" s="670" t="e">
        <f>#REF!</f>
        <v>#REF!</v>
      </c>
      <c r="H232" s="670" t="e">
        <f>INT(E232*G232)</f>
        <v>#REF!</v>
      </c>
      <c r="I232" s="670" t="e">
        <f>#REF!</f>
        <v>#REF!</v>
      </c>
      <c r="J232" s="670" t="e">
        <f>INT(E232*I232)</f>
        <v>#REF!</v>
      </c>
      <c r="K232" s="670" t="e">
        <f>#REF!</f>
        <v>#REF!</v>
      </c>
      <c r="L232" s="670" t="e">
        <f>INT(E232*K232)</f>
        <v>#REF!</v>
      </c>
      <c r="M232" s="670" t="e">
        <f t="shared" si="23"/>
        <v>#REF!</v>
      </c>
      <c r="N232" s="670" t="e">
        <f t="shared" si="23"/>
        <v>#REF!</v>
      </c>
      <c r="O232" s="671"/>
    </row>
    <row r="233" spans="1:17" s="665" customFormat="1" ht="17.100000000000001" customHeight="1">
      <c r="A233" s="1316" t="s">
        <v>515</v>
      </c>
      <c r="B233" s="1317"/>
      <c r="C233" s="1316" t="s">
        <v>555</v>
      </c>
      <c r="D233" s="1317"/>
      <c r="E233" s="701">
        <v>0.38400000000000001</v>
      </c>
      <c r="F233" s="676" t="s">
        <v>418</v>
      </c>
      <c r="G233" s="670" t="e">
        <f>#REF!</f>
        <v>#REF!</v>
      </c>
      <c r="H233" s="670" t="e">
        <f>INT(E233*G233)</f>
        <v>#REF!</v>
      </c>
      <c r="I233" s="670" t="e">
        <f>#REF!</f>
        <v>#REF!</v>
      </c>
      <c r="J233" s="670" t="e">
        <f>INT(E233*I233)</f>
        <v>#REF!</v>
      </c>
      <c r="K233" s="670" t="e">
        <f>#REF!</f>
        <v>#REF!</v>
      </c>
      <c r="L233" s="670" t="e">
        <f>INT(E233*K233)</f>
        <v>#REF!</v>
      </c>
      <c r="M233" s="670" t="e">
        <f t="shared" si="23"/>
        <v>#REF!</v>
      </c>
      <c r="N233" s="670" t="e">
        <f t="shared" si="23"/>
        <v>#REF!</v>
      </c>
      <c r="O233" s="671"/>
    </row>
    <row r="234" spans="1:17" s="665" customFormat="1" ht="17.100000000000001" customHeight="1">
      <c r="A234" s="1316" t="s">
        <v>1065</v>
      </c>
      <c r="B234" s="1317"/>
      <c r="C234" s="1316"/>
      <c r="D234" s="1317"/>
      <c r="E234" s="675">
        <v>3.45</v>
      </c>
      <c r="F234" s="676" t="s">
        <v>30</v>
      </c>
      <c r="G234" s="670" t="e">
        <f>#REF!</f>
        <v>#REF!</v>
      </c>
      <c r="H234" s="670" t="e">
        <f>INT(E234*G234)</f>
        <v>#REF!</v>
      </c>
      <c r="I234" s="670"/>
      <c r="J234" s="670"/>
      <c r="K234" s="670"/>
      <c r="L234" s="670"/>
      <c r="M234" s="670" t="e">
        <f t="shared" si="23"/>
        <v>#REF!</v>
      </c>
      <c r="N234" s="670" t="e">
        <f t="shared" si="23"/>
        <v>#REF!</v>
      </c>
      <c r="O234" s="671"/>
    </row>
    <row r="235" spans="1:17" s="665" customFormat="1" ht="17.100000000000001" customHeight="1">
      <c r="A235" s="1316" t="s">
        <v>1460</v>
      </c>
      <c r="B235" s="1317"/>
      <c r="C235" s="1316" t="s">
        <v>1461</v>
      </c>
      <c r="D235" s="1317"/>
      <c r="E235" s="701">
        <v>0.38400000000000001</v>
      </c>
      <c r="F235" s="676" t="s">
        <v>418</v>
      </c>
      <c r="G235" s="670" t="e">
        <f>#REF!</f>
        <v>#REF!</v>
      </c>
      <c r="H235" s="670" t="e">
        <f>INT(E235*G235)</f>
        <v>#REF!</v>
      </c>
      <c r="I235" s="670" t="e">
        <f>#REF!</f>
        <v>#REF!</v>
      </c>
      <c r="J235" s="670" t="e">
        <f>INT(E235*I235)</f>
        <v>#REF!</v>
      </c>
      <c r="K235" s="670" t="e">
        <f>#REF!+#REF!</f>
        <v>#REF!</v>
      </c>
      <c r="L235" s="670" t="e">
        <f>INT(E235*K235)</f>
        <v>#REF!</v>
      </c>
      <c r="M235" s="670" t="e">
        <f t="shared" si="23"/>
        <v>#REF!</v>
      </c>
      <c r="N235" s="670" t="e">
        <f t="shared" si="23"/>
        <v>#REF!</v>
      </c>
      <c r="O235" s="671" t="s">
        <v>1462</v>
      </c>
    </row>
    <row r="236" spans="1:17" s="665" customFormat="1" ht="17.100000000000001" customHeight="1">
      <c r="A236" s="1318" t="s">
        <v>1320</v>
      </c>
      <c r="B236" s="1319"/>
      <c r="C236" s="1316"/>
      <c r="D236" s="1317"/>
      <c r="E236" s="686"/>
      <c r="F236" s="676"/>
      <c r="G236" s="670"/>
      <c r="H236" s="670" t="e">
        <f>SUM(H231:H234)</f>
        <v>#REF!</v>
      </c>
      <c r="I236" s="670"/>
      <c r="J236" s="670" t="e">
        <f>SUM(J231:J234)</f>
        <v>#REF!</v>
      </c>
      <c r="K236" s="670"/>
      <c r="L236" s="670" t="e">
        <f>SUM(L231:L234)</f>
        <v>#REF!</v>
      </c>
      <c r="M236" s="670"/>
      <c r="N236" s="670" t="e">
        <f>SUM(N231:N234)</f>
        <v>#REF!</v>
      </c>
      <c r="O236" s="671"/>
      <c r="P236" s="672"/>
      <c r="Q236" s="665" t="s">
        <v>1463</v>
      </c>
    </row>
    <row r="237" spans="1:17" s="665" customFormat="1" ht="17.100000000000001" customHeight="1">
      <c r="A237" s="668">
        <f>A230+1</f>
        <v>58</v>
      </c>
      <c r="B237" s="1320" t="s">
        <v>1456</v>
      </c>
      <c r="C237" s="1320"/>
      <c r="D237" s="1320" t="s">
        <v>1464</v>
      </c>
      <c r="E237" s="1320"/>
      <c r="F237" s="669" t="s">
        <v>1458</v>
      </c>
      <c r="G237" s="698"/>
      <c r="H237" s="698"/>
      <c r="I237" s="698"/>
      <c r="J237" s="698"/>
      <c r="K237" s="670"/>
      <c r="L237" s="670"/>
      <c r="M237" s="670"/>
      <c r="N237" s="698"/>
      <c r="O237" s="699"/>
      <c r="P237" s="672"/>
    </row>
    <row r="238" spans="1:17" s="665" customFormat="1" ht="17.100000000000001" customHeight="1">
      <c r="A238" s="1316" t="s">
        <v>248</v>
      </c>
      <c r="B238" s="1317"/>
      <c r="C238" s="1316" t="s">
        <v>1459</v>
      </c>
      <c r="D238" s="1317"/>
      <c r="E238" s="675">
        <v>0.32</v>
      </c>
      <c r="F238" s="676" t="s">
        <v>366</v>
      </c>
      <c r="G238" s="670"/>
      <c r="H238" s="670"/>
      <c r="I238" s="670">
        <f>[53]노임단가!$T$5</f>
        <v>172068</v>
      </c>
      <c r="J238" s="670">
        <f>INT(E238*I238)</f>
        <v>55061</v>
      </c>
      <c r="K238" s="670"/>
      <c r="L238" s="670"/>
      <c r="M238" s="670">
        <f t="shared" ref="M238:N242" si="24">G238+I238+K238</f>
        <v>172068</v>
      </c>
      <c r="N238" s="670">
        <f t="shared" si="24"/>
        <v>55061</v>
      </c>
      <c r="O238" s="671"/>
      <c r="P238" s="672"/>
    </row>
    <row r="239" spans="1:17" s="665" customFormat="1" ht="17.100000000000001" customHeight="1">
      <c r="A239" s="1316" t="s">
        <v>490</v>
      </c>
      <c r="B239" s="1317"/>
      <c r="C239" s="1316" t="s">
        <v>493</v>
      </c>
      <c r="D239" s="1317"/>
      <c r="E239" s="701">
        <v>2.5640000000000001</v>
      </c>
      <c r="F239" s="676" t="s">
        <v>418</v>
      </c>
      <c r="G239" s="670" t="e">
        <f>#REF!</f>
        <v>#REF!</v>
      </c>
      <c r="H239" s="670" t="e">
        <f>INT(E239*G239)</f>
        <v>#REF!</v>
      </c>
      <c r="I239" s="670" t="e">
        <f>#REF!</f>
        <v>#REF!</v>
      </c>
      <c r="J239" s="670" t="e">
        <f>INT(E239*I239)</f>
        <v>#REF!</v>
      </c>
      <c r="K239" s="670" t="e">
        <f>#REF!</f>
        <v>#REF!</v>
      </c>
      <c r="L239" s="670" t="e">
        <f>INT(E239*K239)</f>
        <v>#REF!</v>
      </c>
      <c r="M239" s="670" t="e">
        <f t="shared" si="24"/>
        <v>#REF!</v>
      </c>
      <c r="N239" s="670" t="e">
        <f t="shared" si="24"/>
        <v>#REF!</v>
      </c>
      <c r="O239" s="671"/>
      <c r="P239" s="672"/>
    </row>
    <row r="240" spans="1:17" s="665" customFormat="1" ht="17.100000000000001" customHeight="1">
      <c r="A240" s="1316" t="s">
        <v>515</v>
      </c>
      <c r="B240" s="1317"/>
      <c r="C240" s="1316" t="s">
        <v>555</v>
      </c>
      <c r="D240" s="1317"/>
      <c r="E240" s="701">
        <v>2.5640000000000001</v>
      </c>
      <c r="F240" s="676" t="s">
        <v>418</v>
      </c>
      <c r="G240" s="670" t="e">
        <f>#REF!</f>
        <v>#REF!</v>
      </c>
      <c r="H240" s="670" t="e">
        <f>INT(E240*G240)</f>
        <v>#REF!</v>
      </c>
      <c r="I240" s="670" t="e">
        <f>#REF!</f>
        <v>#REF!</v>
      </c>
      <c r="J240" s="670" t="e">
        <f>INT(E240*I240)</f>
        <v>#REF!</v>
      </c>
      <c r="K240" s="670" t="e">
        <f>#REF!</f>
        <v>#REF!</v>
      </c>
      <c r="L240" s="670" t="e">
        <f>INT(E240*K240)</f>
        <v>#REF!</v>
      </c>
      <c r="M240" s="670" t="e">
        <f t="shared" si="24"/>
        <v>#REF!</v>
      </c>
      <c r="N240" s="670" t="e">
        <f t="shared" si="24"/>
        <v>#REF!</v>
      </c>
      <c r="O240" s="671"/>
      <c r="P240" s="672"/>
    </row>
    <row r="241" spans="1:17" s="665" customFormat="1" ht="17.100000000000001" customHeight="1">
      <c r="A241" s="1316" t="s">
        <v>1065</v>
      </c>
      <c r="B241" s="1317"/>
      <c r="C241" s="1316"/>
      <c r="D241" s="1317"/>
      <c r="E241" s="675">
        <v>3.45</v>
      </c>
      <c r="F241" s="676" t="s">
        <v>30</v>
      </c>
      <c r="G241" s="670" t="e">
        <f>#REF!</f>
        <v>#REF!</v>
      </c>
      <c r="H241" s="670" t="e">
        <f>INT(E241*G241)</f>
        <v>#REF!</v>
      </c>
      <c r="I241" s="670"/>
      <c r="J241" s="670"/>
      <c r="K241" s="670"/>
      <c r="L241" s="670"/>
      <c r="M241" s="670" t="e">
        <f t="shared" si="24"/>
        <v>#REF!</v>
      </c>
      <c r="N241" s="670" t="e">
        <f t="shared" si="24"/>
        <v>#REF!</v>
      </c>
      <c r="O241" s="671"/>
      <c r="P241" s="672"/>
    </row>
    <row r="242" spans="1:17" s="665" customFormat="1" ht="17.100000000000001" customHeight="1">
      <c r="A242" s="1316" t="s">
        <v>1460</v>
      </c>
      <c r="B242" s="1317"/>
      <c r="C242" s="1316" t="s">
        <v>1465</v>
      </c>
      <c r="D242" s="1317"/>
      <c r="E242" s="701">
        <v>2.5640000000000001</v>
      </c>
      <c r="F242" s="676" t="s">
        <v>418</v>
      </c>
      <c r="G242" s="670" t="e">
        <f>#REF!</f>
        <v>#REF!</v>
      </c>
      <c r="H242" s="670" t="e">
        <f>INT(E242*G242)</f>
        <v>#REF!</v>
      </c>
      <c r="I242" s="670" t="e">
        <f>#REF!</f>
        <v>#REF!</v>
      </c>
      <c r="J242" s="670" t="e">
        <f>INT(E242*I242)</f>
        <v>#REF!</v>
      </c>
      <c r="K242" s="670" t="e">
        <f>#REF!+#REF!</f>
        <v>#REF!</v>
      </c>
      <c r="L242" s="670" t="e">
        <f>INT(E242*K242)</f>
        <v>#REF!</v>
      </c>
      <c r="M242" s="670" t="e">
        <f t="shared" si="24"/>
        <v>#REF!</v>
      </c>
      <c r="N242" s="670" t="e">
        <f t="shared" si="24"/>
        <v>#REF!</v>
      </c>
      <c r="O242" s="671" t="s">
        <v>1462</v>
      </c>
      <c r="P242" s="672"/>
    </row>
    <row r="243" spans="1:17" s="665" customFormat="1" ht="17.100000000000001" customHeight="1">
      <c r="A243" s="1318" t="s">
        <v>1320</v>
      </c>
      <c r="B243" s="1319"/>
      <c r="C243" s="1316"/>
      <c r="D243" s="1317"/>
      <c r="E243" s="686"/>
      <c r="F243" s="676"/>
      <c r="G243" s="670"/>
      <c r="H243" s="670" t="e">
        <f>SUM(H238:H241)</f>
        <v>#REF!</v>
      </c>
      <c r="I243" s="670"/>
      <c r="J243" s="670" t="e">
        <f>SUM(J238:J241)</f>
        <v>#REF!</v>
      </c>
      <c r="K243" s="670"/>
      <c r="L243" s="670" t="e">
        <f>SUM(L238:L241)</f>
        <v>#REF!</v>
      </c>
      <c r="M243" s="670"/>
      <c r="N243" s="670" t="e">
        <f>SUM(N238:N241)</f>
        <v>#REF!</v>
      </c>
      <c r="O243" s="671"/>
      <c r="P243" s="672"/>
      <c r="Q243" s="665" t="s">
        <v>1463</v>
      </c>
    </row>
    <row r="244" spans="1:17" s="665" customFormat="1" ht="17.100000000000001" customHeight="1">
      <c r="A244" s="668">
        <f>A237+1</f>
        <v>59</v>
      </c>
      <c r="B244" s="1320" t="s">
        <v>1456</v>
      </c>
      <c r="C244" s="1320"/>
      <c r="D244" s="1320" t="s">
        <v>1466</v>
      </c>
      <c r="E244" s="1320"/>
      <c r="F244" s="669" t="s">
        <v>1458</v>
      </c>
      <c r="G244" s="698"/>
      <c r="H244" s="698"/>
      <c r="I244" s="698"/>
      <c r="J244" s="698"/>
      <c r="K244" s="670"/>
      <c r="L244" s="670"/>
      <c r="M244" s="670"/>
      <c r="N244" s="698"/>
      <c r="O244" s="699"/>
      <c r="P244" s="672"/>
    </row>
    <row r="245" spans="1:17" s="665" customFormat="1" ht="17.100000000000001" customHeight="1">
      <c r="A245" s="1316" t="s">
        <v>248</v>
      </c>
      <c r="B245" s="1317"/>
      <c r="C245" s="1316" t="s">
        <v>1459</v>
      </c>
      <c r="D245" s="1317"/>
      <c r="E245" s="701">
        <v>0.753</v>
      </c>
      <c r="F245" s="676" t="s">
        <v>366</v>
      </c>
      <c r="G245" s="670"/>
      <c r="H245" s="670"/>
      <c r="I245" s="670">
        <f>[53]노임단가!$T$5</f>
        <v>172068</v>
      </c>
      <c r="J245" s="670">
        <f>INT(E245*I245)</f>
        <v>129567</v>
      </c>
      <c r="K245" s="670"/>
      <c r="L245" s="670"/>
      <c r="M245" s="670">
        <f t="shared" ref="M245:N248" si="25">G245+I245+K245</f>
        <v>172068</v>
      </c>
      <c r="N245" s="670">
        <f t="shared" si="25"/>
        <v>129567</v>
      </c>
      <c r="O245" s="671"/>
    </row>
    <row r="246" spans="1:17" s="665" customFormat="1" ht="17.100000000000001" customHeight="1">
      <c r="A246" s="1316" t="s">
        <v>490</v>
      </c>
      <c r="B246" s="1317"/>
      <c r="C246" s="1316" t="s">
        <v>495</v>
      </c>
      <c r="D246" s="1317"/>
      <c r="E246" s="701">
        <v>6.024</v>
      </c>
      <c r="F246" s="676" t="s">
        <v>418</v>
      </c>
      <c r="G246" s="670" t="e">
        <f>#REF!</f>
        <v>#REF!</v>
      </c>
      <c r="H246" s="670" t="e">
        <f>INT(E246*G246)</f>
        <v>#REF!</v>
      </c>
      <c r="I246" s="670" t="e">
        <f>#REF!</f>
        <v>#REF!</v>
      </c>
      <c r="J246" s="670" t="e">
        <f>INT(E246*I246)</f>
        <v>#REF!</v>
      </c>
      <c r="K246" s="670" t="e">
        <f>#REF!</f>
        <v>#REF!</v>
      </c>
      <c r="L246" s="670" t="e">
        <f>INT(E246*K246)</f>
        <v>#REF!</v>
      </c>
      <c r="M246" s="670" t="e">
        <f t="shared" si="25"/>
        <v>#REF!</v>
      </c>
      <c r="N246" s="670" t="e">
        <f t="shared" si="25"/>
        <v>#REF!</v>
      </c>
      <c r="O246" s="671"/>
    </row>
    <row r="247" spans="1:17" s="665" customFormat="1" ht="17.100000000000001" customHeight="1">
      <c r="A247" s="1316" t="s">
        <v>515</v>
      </c>
      <c r="B247" s="1317"/>
      <c r="C247" s="1316" t="s">
        <v>555</v>
      </c>
      <c r="D247" s="1317"/>
      <c r="E247" s="701">
        <v>6.024</v>
      </c>
      <c r="F247" s="676" t="s">
        <v>418</v>
      </c>
      <c r="G247" s="670" t="e">
        <f>#REF!</f>
        <v>#REF!</v>
      </c>
      <c r="H247" s="670" t="e">
        <f>INT(E247*G247)</f>
        <v>#REF!</v>
      </c>
      <c r="I247" s="670" t="e">
        <f>#REF!</f>
        <v>#REF!</v>
      </c>
      <c r="J247" s="670" t="e">
        <f>INT(E247*I247)</f>
        <v>#REF!</v>
      </c>
      <c r="K247" s="670" t="e">
        <f>#REF!</f>
        <v>#REF!</v>
      </c>
      <c r="L247" s="670" t="e">
        <f>INT(E247*K247)</f>
        <v>#REF!</v>
      </c>
      <c r="M247" s="670" t="e">
        <f t="shared" si="25"/>
        <v>#REF!</v>
      </c>
      <c r="N247" s="670" t="e">
        <f t="shared" si="25"/>
        <v>#REF!</v>
      </c>
      <c r="O247" s="671"/>
    </row>
    <row r="248" spans="1:17" s="665" customFormat="1" ht="17.100000000000001" customHeight="1">
      <c r="A248" s="1316" t="s">
        <v>1065</v>
      </c>
      <c r="B248" s="1317"/>
      <c r="C248" s="1316"/>
      <c r="D248" s="1317"/>
      <c r="E248" s="675">
        <v>3.45</v>
      </c>
      <c r="F248" s="676" t="s">
        <v>30</v>
      </c>
      <c r="G248" s="670" t="e">
        <f>#REF!</f>
        <v>#REF!</v>
      </c>
      <c r="H248" s="670" t="e">
        <f>INT(E248*G248)</f>
        <v>#REF!</v>
      </c>
      <c r="I248" s="670"/>
      <c r="J248" s="670"/>
      <c r="K248" s="670"/>
      <c r="L248" s="670"/>
      <c r="M248" s="670" t="e">
        <f t="shared" si="25"/>
        <v>#REF!</v>
      </c>
      <c r="N248" s="670" t="e">
        <f t="shared" si="25"/>
        <v>#REF!</v>
      </c>
      <c r="O248" s="671"/>
    </row>
    <row r="249" spans="1:17" s="665" customFormat="1" ht="17.100000000000001" customHeight="1">
      <c r="A249" s="1318" t="s">
        <v>1320</v>
      </c>
      <c r="B249" s="1319"/>
      <c r="C249" s="1316"/>
      <c r="D249" s="1317"/>
      <c r="E249" s="686"/>
      <c r="F249" s="676"/>
      <c r="G249" s="670"/>
      <c r="H249" s="670" t="e">
        <f>SUM(H245:H248)</f>
        <v>#REF!</v>
      </c>
      <c r="I249" s="670"/>
      <c r="J249" s="670" t="e">
        <f>SUM(J245:J248)</f>
        <v>#REF!</v>
      </c>
      <c r="K249" s="670"/>
      <c r="L249" s="670" t="e">
        <f>SUM(L245:L248)</f>
        <v>#REF!</v>
      </c>
      <c r="M249" s="670"/>
      <c r="N249" s="670" t="e">
        <f>SUM(N245:N248)</f>
        <v>#REF!</v>
      </c>
      <c r="O249" s="671"/>
    </row>
    <row r="250" spans="1:17" s="665" customFormat="1" ht="17.100000000000001" customHeight="1">
      <c r="A250" s="668">
        <f>A244+1</f>
        <v>60</v>
      </c>
      <c r="B250" s="1320" t="s">
        <v>1454</v>
      </c>
      <c r="C250" s="1320"/>
      <c r="D250" s="1320" t="s">
        <v>1378</v>
      </c>
      <c r="E250" s="1320"/>
      <c r="F250" s="669" t="s">
        <v>850</v>
      </c>
      <c r="G250" s="670"/>
      <c r="H250" s="670"/>
      <c r="I250" s="670" t="s">
        <v>1467</v>
      </c>
      <c r="J250" s="670"/>
      <c r="K250" s="670"/>
      <c r="L250" s="670"/>
      <c r="M250" s="670"/>
      <c r="N250" s="670"/>
      <c r="O250" s="671"/>
    </row>
    <row r="251" spans="1:17" s="665" customFormat="1" ht="17.100000000000001" customHeight="1">
      <c r="A251" s="1316" t="s">
        <v>1455</v>
      </c>
      <c r="B251" s="1317"/>
      <c r="C251" s="1316" t="s">
        <v>394</v>
      </c>
      <c r="D251" s="1317"/>
      <c r="E251" s="677">
        <v>1</v>
      </c>
      <c r="F251" s="676" t="s">
        <v>850</v>
      </c>
      <c r="G251" s="670" t="e">
        <f>#REF!</f>
        <v>#REF!</v>
      </c>
      <c r="H251" s="670" t="e">
        <f>INT(E251*G251)</f>
        <v>#REF!</v>
      </c>
      <c r="I251" s="670" t="e">
        <f>#REF!</f>
        <v>#REF!</v>
      </c>
      <c r="J251" s="670" t="e">
        <f>INT(E251*I251)</f>
        <v>#REF!</v>
      </c>
      <c r="K251" s="670" t="e">
        <f>#REF!</f>
        <v>#REF!</v>
      </c>
      <c r="L251" s="670" t="e">
        <f>INT(E251*K251)</f>
        <v>#REF!</v>
      </c>
      <c r="M251" s="670" t="e">
        <f>G251+I251+K251</f>
        <v>#REF!</v>
      </c>
      <c r="N251" s="670" t="e">
        <f>H251+J251+L251</f>
        <v>#REF!</v>
      </c>
      <c r="O251" s="671"/>
    </row>
    <row r="252" spans="1:17" s="665" customFormat="1" ht="17.100000000000001" customHeight="1">
      <c r="A252" s="1318" t="s">
        <v>1320</v>
      </c>
      <c r="B252" s="1319"/>
      <c r="C252" s="1371"/>
      <c r="D252" s="1372"/>
      <c r="E252" s="677"/>
      <c r="F252" s="676"/>
      <c r="G252" s="670"/>
      <c r="H252" s="670" t="e">
        <f>SUM(H251:H251)</f>
        <v>#REF!</v>
      </c>
      <c r="I252" s="670"/>
      <c r="J252" s="670" t="e">
        <f>SUM(J251:J251)</f>
        <v>#REF!</v>
      </c>
      <c r="K252" s="670"/>
      <c r="L252" s="670" t="e">
        <f>SUM(L251:L251)</f>
        <v>#REF!</v>
      </c>
      <c r="M252" s="670"/>
      <c r="N252" s="670" t="e">
        <f>SUM(N251:N251)</f>
        <v>#REF!</v>
      </c>
      <c r="O252" s="671"/>
    </row>
    <row r="253" spans="1:17" s="665" customFormat="1" ht="17.100000000000001" customHeight="1">
      <c r="A253" s="668">
        <f>A250+1</f>
        <v>61</v>
      </c>
      <c r="B253" s="1320" t="s">
        <v>1454</v>
      </c>
      <c r="C253" s="1320"/>
      <c r="D253" s="1320" t="s">
        <v>1380</v>
      </c>
      <c r="E253" s="1320"/>
      <c r="F253" s="669" t="s">
        <v>850</v>
      </c>
      <c r="G253" s="670"/>
      <c r="H253" s="670"/>
      <c r="I253" s="670"/>
      <c r="J253" s="670"/>
      <c r="K253" s="670"/>
      <c r="L253" s="670"/>
      <c r="M253" s="670"/>
      <c r="N253" s="670"/>
      <c r="O253" s="671"/>
    </row>
    <row r="254" spans="1:17" s="665" customFormat="1" ht="17.100000000000001" customHeight="1">
      <c r="A254" s="1316" t="s">
        <v>1455</v>
      </c>
      <c r="B254" s="1317"/>
      <c r="C254" s="1316" t="s">
        <v>359</v>
      </c>
      <c r="D254" s="1317"/>
      <c r="E254" s="677">
        <v>1</v>
      </c>
      <c r="F254" s="676" t="s">
        <v>850</v>
      </c>
      <c r="G254" s="670" t="e">
        <f>#REF!</f>
        <v>#REF!</v>
      </c>
      <c r="H254" s="670" t="e">
        <f>INT(E254*G254)</f>
        <v>#REF!</v>
      </c>
      <c r="I254" s="670" t="e">
        <f>#REF!</f>
        <v>#REF!</v>
      </c>
      <c r="J254" s="670" t="e">
        <f>INT(E254*I254)</f>
        <v>#REF!</v>
      </c>
      <c r="K254" s="670" t="e">
        <f>#REF!</f>
        <v>#REF!</v>
      </c>
      <c r="L254" s="670" t="e">
        <f>INT(E254*K254)</f>
        <v>#REF!</v>
      </c>
      <c r="M254" s="670" t="e">
        <f>G254+I254+K254</f>
        <v>#REF!</v>
      </c>
      <c r="N254" s="670" t="e">
        <f>H254+J254+L254</f>
        <v>#REF!</v>
      </c>
      <c r="O254" s="671"/>
    </row>
    <row r="255" spans="1:17" s="665" customFormat="1" ht="17.100000000000001" customHeight="1">
      <c r="A255" s="1318" t="s">
        <v>1320</v>
      </c>
      <c r="B255" s="1319"/>
      <c r="C255" s="1371"/>
      <c r="D255" s="1372"/>
      <c r="E255" s="677"/>
      <c r="F255" s="676"/>
      <c r="G255" s="670"/>
      <c r="H255" s="670" t="e">
        <f>SUM(H254:H254)</f>
        <v>#REF!</v>
      </c>
      <c r="I255" s="670"/>
      <c r="J255" s="670" t="e">
        <f>SUM(J254:J254)</f>
        <v>#REF!</v>
      </c>
      <c r="K255" s="670"/>
      <c r="L255" s="670" t="e">
        <f>SUM(L254:L254)</f>
        <v>#REF!</v>
      </c>
      <c r="M255" s="670"/>
      <c r="N255" s="670" t="e">
        <f>SUM(N254:N254)</f>
        <v>#REF!</v>
      </c>
      <c r="O255" s="671"/>
    </row>
    <row r="256" spans="1:17" s="665" customFormat="1" ht="17.100000000000001" customHeight="1">
      <c r="A256" s="668">
        <f>A253+1</f>
        <v>62</v>
      </c>
      <c r="B256" s="1320" t="s">
        <v>1454</v>
      </c>
      <c r="C256" s="1320"/>
      <c r="D256" s="1320" t="s">
        <v>1381</v>
      </c>
      <c r="E256" s="1320"/>
      <c r="F256" s="669" t="s">
        <v>850</v>
      </c>
      <c r="G256" s="670"/>
      <c r="H256" s="670"/>
      <c r="I256" s="670"/>
      <c r="J256" s="670"/>
      <c r="K256" s="670"/>
      <c r="L256" s="670"/>
      <c r="M256" s="670"/>
      <c r="N256" s="670"/>
      <c r="O256" s="671"/>
    </row>
    <row r="257" spans="1:22" s="665" customFormat="1" ht="17.100000000000001" customHeight="1">
      <c r="A257" s="1316" t="s">
        <v>1455</v>
      </c>
      <c r="B257" s="1317"/>
      <c r="C257" s="1316" t="s">
        <v>399</v>
      </c>
      <c r="D257" s="1317"/>
      <c r="E257" s="677">
        <v>1</v>
      </c>
      <c r="F257" s="676" t="s">
        <v>850</v>
      </c>
      <c r="G257" s="670" t="e">
        <f>#REF!</f>
        <v>#REF!</v>
      </c>
      <c r="H257" s="670" t="e">
        <f>INT(E257*G257)</f>
        <v>#REF!</v>
      </c>
      <c r="I257" s="670" t="e">
        <f>#REF!</f>
        <v>#REF!</v>
      </c>
      <c r="J257" s="670" t="e">
        <f>INT(E257*I257)</f>
        <v>#REF!</v>
      </c>
      <c r="K257" s="670" t="e">
        <f>#REF!</f>
        <v>#REF!</v>
      </c>
      <c r="L257" s="670" t="e">
        <f>INT(E257*K257)</f>
        <v>#REF!</v>
      </c>
      <c r="M257" s="670" t="e">
        <f>G257+I257+K257</f>
        <v>#REF!</v>
      </c>
      <c r="N257" s="670" t="e">
        <f>H257+J257+L257</f>
        <v>#REF!</v>
      </c>
      <c r="O257" s="671"/>
    </row>
    <row r="258" spans="1:22" s="665" customFormat="1" ht="17.100000000000001" customHeight="1">
      <c r="A258" s="1318" t="s">
        <v>1320</v>
      </c>
      <c r="B258" s="1319"/>
      <c r="C258" s="1371"/>
      <c r="D258" s="1372"/>
      <c r="E258" s="677"/>
      <c r="F258" s="676"/>
      <c r="G258" s="670"/>
      <c r="H258" s="670" t="e">
        <f>SUM(H257:H257)</f>
        <v>#REF!</v>
      </c>
      <c r="I258" s="670"/>
      <c r="J258" s="670" t="e">
        <f>SUM(J257:J257)</f>
        <v>#REF!</v>
      </c>
      <c r="K258" s="670"/>
      <c r="L258" s="670" t="e">
        <f>SUM(L257:L257)</f>
        <v>#REF!</v>
      </c>
      <c r="M258" s="670"/>
      <c r="N258" s="670" t="e">
        <f>SUM(N257:N257)</f>
        <v>#REF!</v>
      </c>
      <c r="O258" s="671"/>
    </row>
    <row r="259" spans="1:22" s="665" customFormat="1" ht="17.100000000000001" customHeight="1">
      <c r="A259" s="668">
        <f>A256+1</f>
        <v>63</v>
      </c>
      <c r="B259" s="1320" t="s">
        <v>1468</v>
      </c>
      <c r="C259" s="1320"/>
      <c r="D259" s="1320" t="s">
        <v>1403</v>
      </c>
      <c r="E259" s="1320"/>
      <c r="F259" s="669" t="s">
        <v>850</v>
      </c>
      <c r="G259" s="670"/>
      <c r="H259" s="670"/>
      <c r="I259" s="670"/>
      <c r="J259" s="670"/>
      <c r="K259" s="670"/>
      <c r="L259" s="670"/>
      <c r="M259" s="670"/>
      <c r="N259" s="670"/>
      <c r="O259" s="671"/>
    </row>
    <row r="260" spans="1:22" s="665" customFormat="1" ht="17.100000000000001" customHeight="1">
      <c r="A260" s="1316" t="s">
        <v>528</v>
      </c>
      <c r="B260" s="1317"/>
      <c r="C260" s="1316"/>
      <c r="D260" s="1317"/>
      <c r="E260" s="677">
        <v>2</v>
      </c>
      <c r="F260" s="676" t="s">
        <v>366</v>
      </c>
      <c r="G260" s="670"/>
      <c r="H260" s="670"/>
      <c r="I260" s="670">
        <f>[53]노임단가!$T$20</f>
        <v>241932</v>
      </c>
      <c r="J260" s="670">
        <f>INT(E260*I260)</f>
        <v>483864</v>
      </c>
      <c r="K260" s="670"/>
      <c r="L260" s="670"/>
      <c r="M260" s="670">
        <f>G260+I260+K260</f>
        <v>241932</v>
      </c>
      <c r="N260" s="670">
        <f>H260+J260+L260</f>
        <v>483864</v>
      </c>
      <c r="O260" s="671"/>
    </row>
    <row r="261" spans="1:22" s="665" customFormat="1" ht="17.100000000000001" customHeight="1">
      <c r="A261" s="1316" t="s">
        <v>1328</v>
      </c>
      <c r="B261" s="1317"/>
      <c r="C261" s="1338" t="s">
        <v>1469</v>
      </c>
      <c r="D261" s="1317"/>
      <c r="E261" s="675">
        <v>0.05</v>
      </c>
      <c r="F261" s="676" t="s">
        <v>672</v>
      </c>
      <c r="G261" s="670">
        <f>$J$260</f>
        <v>483864</v>
      </c>
      <c r="H261" s="670">
        <f>INT(E261*G261)</f>
        <v>24193</v>
      </c>
      <c r="I261" s="670"/>
      <c r="J261" s="670"/>
      <c r="K261" s="670"/>
      <c r="L261" s="670"/>
      <c r="M261" s="670">
        <f>G261+I261+K261</f>
        <v>483864</v>
      </c>
      <c r="N261" s="670">
        <f>H261+J261+L261</f>
        <v>24193</v>
      </c>
      <c r="O261" s="671"/>
    </row>
    <row r="262" spans="1:22" s="665" customFormat="1" ht="17.100000000000001" customHeight="1">
      <c r="A262" s="1318" t="s">
        <v>1320</v>
      </c>
      <c r="B262" s="1319"/>
      <c r="C262" s="1371"/>
      <c r="D262" s="1372"/>
      <c r="E262" s="677"/>
      <c r="F262" s="676"/>
      <c r="G262" s="670"/>
      <c r="H262" s="670">
        <f>SUM(H260:H261)</f>
        <v>24193</v>
      </c>
      <c r="I262" s="670"/>
      <c r="J262" s="670">
        <f>SUM(J260:J261)</f>
        <v>483864</v>
      </c>
      <c r="K262" s="670"/>
      <c r="L262" s="670"/>
      <c r="M262" s="670"/>
      <c r="N262" s="670">
        <f>SUM(N260:N261)</f>
        <v>508057</v>
      </c>
      <c r="O262" s="671"/>
    </row>
    <row r="263" spans="1:22" s="665" customFormat="1" ht="17.100000000000001" customHeight="1">
      <c r="A263" s="668">
        <f>A259+1</f>
        <v>64</v>
      </c>
      <c r="B263" s="1320" t="s">
        <v>1470</v>
      </c>
      <c r="C263" s="1320"/>
      <c r="D263" s="1320" t="s">
        <v>1403</v>
      </c>
      <c r="E263" s="1320"/>
      <c r="F263" s="669" t="s">
        <v>850</v>
      </c>
      <c r="G263" s="670"/>
      <c r="H263" s="670"/>
      <c r="I263" s="670"/>
      <c r="J263" s="670"/>
      <c r="K263" s="670"/>
      <c r="L263" s="670"/>
      <c r="M263" s="670"/>
      <c r="N263" s="670"/>
      <c r="O263" s="671"/>
    </row>
    <row r="264" spans="1:22" s="665" customFormat="1" ht="17.100000000000001" customHeight="1">
      <c r="A264" s="1316" t="s">
        <v>528</v>
      </c>
      <c r="B264" s="1317"/>
      <c r="C264" s="1316"/>
      <c r="D264" s="1317"/>
      <c r="E264" s="677">
        <v>5</v>
      </c>
      <c r="F264" s="676" t="s">
        <v>366</v>
      </c>
      <c r="G264" s="670"/>
      <c r="H264" s="670"/>
      <c r="I264" s="670">
        <f>[53]노임단가!$T$20</f>
        <v>241932</v>
      </c>
      <c r="J264" s="670">
        <f>INT(E264*I264)</f>
        <v>1209660</v>
      </c>
      <c r="K264" s="670"/>
      <c r="L264" s="670"/>
      <c r="M264" s="670">
        <f>G264+I264+K264</f>
        <v>241932</v>
      </c>
      <c r="N264" s="670">
        <f>H264+J264+L264</f>
        <v>1209660</v>
      </c>
      <c r="O264" s="671"/>
    </row>
    <row r="265" spans="1:22" s="665" customFormat="1" ht="17.100000000000001" customHeight="1">
      <c r="A265" s="1316" t="s">
        <v>1328</v>
      </c>
      <c r="B265" s="1317"/>
      <c r="C265" s="1338" t="s">
        <v>1469</v>
      </c>
      <c r="D265" s="1317"/>
      <c r="E265" s="675">
        <v>0.05</v>
      </c>
      <c r="F265" s="676" t="s">
        <v>672</v>
      </c>
      <c r="G265" s="670">
        <f>$J$264</f>
        <v>1209660</v>
      </c>
      <c r="H265" s="670">
        <f>INT(E265*G265)</f>
        <v>60483</v>
      </c>
      <c r="I265" s="670"/>
      <c r="J265" s="670"/>
      <c r="K265" s="670"/>
      <c r="L265" s="670"/>
      <c r="M265" s="670">
        <f>G265+I265+K265</f>
        <v>1209660</v>
      </c>
      <c r="N265" s="670">
        <f>H265+J265+L265</f>
        <v>60483</v>
      </c>
      <c r="O265" s="671"/>
    </row>
    <row r="266" spans="1:22" s="665" customFormat="1" ht="17.100000000000001" customHeight="1">
      <c r="A266" s="1318" t="s">
        <v>1320</v>
      </c>
      <c r="B266" s="1319"/>
      <c r="C266" s="1371"/>
      <c r="D266" s="1372"/>
      <c r="E266" s="677"/>
      <c r="F266" s="676"/>
      <c r="G266" s="670"/>
      <c r="H266" s="670">
        <f>SUM(H264:H265)</f>
        <v>60483</v>
      </c>
      <c r="I266" s="670"/>
      <c r="J266" s="670">
        <f>SUM(J264:J265)</f>
        <v>1209660</v>
      </c>
      <c r="K266" s="670"/>
      <c r="L266" s="670"/>
      <c r="M266" s="670"/>
      <c r="N266" s="670">
        <f>SUM(N264:N265)</f>
        <v>1270143</v>
      </c>
      <c r="O266" s="671"/>
      <c r="U266" s="665" t="s">
        <v>1387</v>
      </c>
    </row>
    <row r="267" spans="1:22" s="665" customFormat="1" ht="17.100000000000001" customHeight="1">
      <c r="A267" s="668">
        <f>A263+1</f>
        <v>65</v>
      </c>
      <c r="B267" s="1320" t="s">
        <v>1468</v>
      </c>
      <c r="C267" s="1320"/>
      <c r="D267" s="1320" t="s">
        <v>549</v>
      </c>
      <c r="E267" s="1320"/>
      <c r="F267" s="669" t="s">
        <v>850</v>
      </c>
      <c r="G267" s="670"/>
      <c r="H267" s="670"/>
      <c r="I267" s="670"/>
      <c r="J267" s="670"/>
      <c r="K267" s="670"/>
      <c r="L267" s="670"/>
      <c r="M267" s="670"/>
      <c r="N267" s="670"/>
      <c r="O267" s="671" t="s">
        <v>1471</v>
      </c>
      <c r="R267" s="665" t="s">
        <v>1472</v>
      </c>
      <c r="S267" s="665" t="s">
        <v>421</v>
      </c>
      <c r="T267" s="665">
        <v>2</v>
      </c>
      <c r="U267" s="665">
        <v>2.7</v>
      </c>
      <c r="V267" s="665">
        <f>T267/U267</f>
        <v>0.7407407407407407</v>
      </c>
    </row>
    <row r="268" spans="1:22" s="665" customFormat="1" ht="17.100000000000001" customHeight="1">
      <c r="A268" s="1316" t="s">
        <v>421</v>
      </c>
      <c r="B268" s="1317"/>
      <c r="C268" s="1316"/>
      <c r="D268" s="1317"/>
      <c r="E268" s="675">
        <f>2/2.7</f>
        <v>0.7407407407407407</v>
      </c>
      <c r="F268" s="676" t="s">
        <v>366</v>
      </c>
      <c r="G268" s="670"/>
      <c r="H268" s="670"/>
      <c r="I268" s="670">
        <f>[53]노임단가!$T$18</f>
        <v>222306</v>
      </c>
      <c r="J268" s="670">
        <f>INT(E268*I268)</f>
        <v>164671</v>
      </c>
      <c r="K268" s="670"/>
      <c r="L268" s="670"/>
      <c r="M268" s="670">
        <f t="shared" ref="M268:N271" si="26">G268+I268+K268</f>
        <v>222306</v>
      </c>
      <c r="N268" s="670">
        <f t="shared" si="26"/>
        <v>164671</v>
      </c>
      <c r="O268" s="671"/>
      <c r="S268" s="665" t="s">
        <v>248</v>
      </c>
      <c r="T268" s="665">
        <v>1</v>
      </c>
      <c r="U268" s="665">
        <v>2.7</v>
      </c>
      <c r="V268" s="665">
        <f>T268/U268</f>
        <v>0.37037037037037035</v>
      </c>
    </row>
    <row r="269" spans="1:22" s="665" customFormat="1" ht="17.100000000000001" customHeight="1">
      <c r="A269" s="1316" t="s">
        <v>248</v>
      </c>
      <c r="B269" s="1317"/>
      <c r="C269" s="1316"/>
      <c r="D269" s="1317"/>
      <c r="E269" s="675">
        <f>1/2.7</f>
        <v>0.37037037037037035</v>
      </c>
      <c r="F269" s="676" t="s">
        <v>366</v>
      </c>
      <c r="G269" s="670"/>
      <c r="H269" s="670"/>
      <c r="I269" s="670">
        <f>[53]노임단가!$T$5</f>
        <v>172068</v>
      </c>
      <c r="J269" s="670">
        <f>INT(E269*I269)</f>
        <v>63728</v>
      </c>
      <c r="K269" s="670"/>
      <c r="L269" s="670"/>
      <c r="M269" s="670">
        <f t="shared" si="26"/>
        <v>172068</v>
      </c>
      <c r="N269" s="670">
        <f t="shared" si="26"/>
        <v>63728</v>
      </c>
      <c r="O269" s="671"/>
      <c r="S269" s="665" t="s">
        <v>549</v>
      </c>
      <c r="T269" s="665">
        <v>2</v>
      </c>
      <c r="U269" s="665">
        <f>2.7/8</f>
        <v>0.33750000000000002</v>
      </c>
      <c r="V269" s="665">
        <f>1/U269*T269</f>
        <v>5.9259259259259256</v>
      </c>
    </row>
    <row r="270" spans="1:22" s="665" customFormat="1" ht="17.100000000000001" customHeight="1">
      <c r="A270" s="1316" t="s">
        <v>731</v>
      </c>
      <c r="B270" s="1317"/>
      <c r="C270" s="1316" t="s">
        <v>1237</v>
      </c>
      <c r="D270" s="1317"/>
      <c r="E270" s="702">
        <f>8/2.7*2</f>
        <v>5.9259259259259256</v>
      </c>
      <c r="F270" s="676" t="s">
        <v>418</v>
      </c>
      <c r="G270" s="670"/>
      <c r="H270" s="670"/>
      <c r="I270" s="670"/>
      <c r="J270" s="670"/>
      <c r="K270" s="670" t="e">
        <f>$K$211</f>
        <v>#REF!</v>
      </c>
      <c r="L270" s="670" t="e">
        <f>INT(E270*K270)</f>
        <v>#REF!</v>
      </c>
      <c r="M270" s="670" t="e">
        <f t="shared" si="26"/>
        <v>#REF!</v>
      </c>
      <c r="N270" s="670" t="e">
        <f t="shared" si="26"/>
        <v>#REF!</v>
      </c>
      <c r="O270" s="671"/>
    </row>
    <row r="271" spans="1:22" s="665" customFormat="1" ht="17.100000000000001" customHeight="1">
      <c r="A271" s="1316" t="s">
        <v>1328</v>
      </c>
      <c r="B271" s="1317"/>
      <c r="C271" s="1338" t="s">
        <v>1329</v>
      </c>
      <c r="D271" s="1317"/>
      <c r="E271" s="675">
        <v>0.01</v>
      </c>
      <c r="F271" s="676" t="s">
        <v>672</v>
      </c>
      <c r="G271" s="670">
        <f>$J$268+$J$269</f>
        <v>228399</v>
      </c>
      <c r="H271" s="670">
        <f>INT(E271*G271)</f>
        <v>2283</v>
      </c>
      <c r="I271" s="670"/>
      <c r="J271" s="670"/>
      <c r="K271" s="670"/>
      <c r="L271" s="670"/>
      <c r="M271" s="670">
        <f t="shared" si="26"/>
        <v>228399</v>
      </c>
      <c r="N271" s="670">
        <f t="shared" si="26"/>
        <v>2283</v>
      </c>
      <c r="O271" s="671"/>
    </row>
    <row r="272" spans="1:22" s="665" customFormat="1" ht="17.100000000000001" customHeight="1">
      <c r="A272" s="1318" t="s">
        <v>1320</v>
      </c>
      <c r="B272" s="1319"/>
      <c r="C272" s="1371"/>
      <c r="D272" s="1372"/>
      <c r="E272" s="677"/>
      <c r="F272" s="676"/>
      <c r="G272" s="670"/>
      <c r="H272" s="670">
        <f>SUM(H268:H271)</f>
        <v>2283</v>
      </c>
      <c r="I272" s="670"/>
      <c r="J272" s="670">
        <f>SUM(J268:J271)</f>
        <v>228399</v>
      </c>
      <c r="K272" s="670"/>
      <c r="L272" s="670" t="e">
        <f>SUM(L268:L271)</f>
        <v>#REF!</v>
      </c>
      <c r="M272" s="670"/>
      <c r="N272" s="670" t="e">
        <f>SUM(N268:N271)</f>
        <v>#REF!</v>
      </c>
      <c r="O272" s="671"/>
    </row>
    <row r="273" spans="1:22" s="665" customFormat="1" ht="17.100000000000001" customHeight="1">
      <c r="A273" s="668">
        <f>A267+1</f>
        <v>66</v>
      </c>
      <c r="B273" s="1320" t="s">
        <v>1470</v>
      </c>
      <c r="C273" s="1320"/>
      <c r="D273" s="1320" t="s">
        <v>549</v>
      </c>
      <c r="E273" s="1320"/>
      <c r="F273" s="669" t="s">
        <v>850</v>
      </c>
      <c r="G273" s="670"/>
      <c r="H273" s="670"/>
      <c r="I273" s="670"/>
      <c r="J273" s="670"/>
      <c r="K273" s="670"/>
      <c r="L273" s="670"/>
      <c r="M273" s="670"/>
      <c r="N273" s="670"/>
      <c r="O273" s="671" t="s">
        <v>1471</v>
      </c>
      <c r="R273" s="665" t="s">
        <v>1473</v>
      </c>
      <c r="S273" s="665" t="s">
        <v>421</v>
      </c>
      <c r="T273" s="665">
        <v>2</v>
      </c>
      <c r="U273" s="665">
        <v>2.2999999999999998</v>
      </c>
      <c r="V273" s="665">
        <f>T273/U273</f>
        <v>0.86956521739130443</v>
      </c>
    </row>
    <row r="274" spans="1:22" s="665" customFormat="1" ht="17.100000000000001" customHeight="1">
      <c r="A274" s="1316" t="s">
        <v>421</v>
      </c>
      <c r="B274" s="1317"/>
      <c r="C274" s="1316"/>
      <c r="D274" s="1317"/>
      <c r="E274" s="675">
        <f>2/2.3</f>
        <v>0.86956521739130443</v>
      </c>
      <c r="F274" s="676" t="s">
        <v>366</v>
      </c>
      <c r="G274" s="670"/>
      <c r="H274" s="670"/>
      <c r="I274" s="670">
        <f>[53]노임단가!$T$18</f>
        <v>222306</v>
      </c>
      <c r="J274" s="670">
        <f>INT(E274*I274)</f>
        <v>193309</v>
      </c>
      <c r="K274" s="670"/>
      <c r="L274" s="670"/>
      <c r="M274" s="670">
        <f t="shared" ref="M274:N277" si="27">G274+I274+K274</f>
        <v>222306</v>
      </c>
      <c r="N274" s="670">
        <f t="shared" si="27"/>
        <v>193309</v>
      </c>
      <c r="O274" s="671"/>
      <c r="S274" s="665" t="s">
        <v>248</v>
      </c>
      <c r="T274" s="665">
        <v>1</v>
      </c>
      <c r="U274" s="665">
        <v>2.2999999999999998</v>
      </c>
      <c r="V274" s="665">
        <f>T274/U274</f>
        <v>0.43478260869565222</v>
      </c>
    </row>
    <row r="275" spans="1:22" s="665" customFormat="1" ht="17.100000000000001" customHeight="1">
      <c r="A275" s="1316" t="s">
        <v>248</v>
      </c>
      <c r="B275" s="1317"/>
      <c r="C275" s="1316"/>
      <c r="D275" s="1317"/>
      <c r="E275" s="675">
        <f>1/2.3</f>
        <v>0.43478260869565222</v>
      </c>
      <c r="F275" s="676" t="s">
        <v>366</v>
      </c>
      <c r="G275" s="670"/>
      <c r="H275" s="670"/>
      <c r="I275" s="670">
        <f>[53]노임단가!$T$5</f>
        <v>172068</v>
      </c>
      <c r="J275" s="670">
        <f>INT(E275*I275)</f>
        <v>74812</v>
      </c>
      <c r="K275" s="670"/>
      <c r="L275" s="670"/>
      <c r="M275" s="670">
        <f t="shared" si="27"/>
        <v>172068</v>
      </c>
      <c r="N275" s="670">
        <f t="shared" si="27"/>
        <v>74812</v>
      </c>
      <c r="O275" s="671"/>
      <c r="S275" s="665" t="s">
        <v>549</v>
      </c>
      <c r="T275" s="665">
        <v>2</v>
      </c>
      <c r="U275" s="665">
        <f>2.3/8</f>
        <v>0.28749999999999998</v>
      </c>
      <c r="V275" s="665">
        <f>1/U275*T275</f>
        <v>6.9565217391304355</v>
      </c>
    </row>
    <row r="276" spans="1:22" s="665" customFormat="1" ht="17.100000000000001" customHeight="1">
      <c r="A276" s="1316" t="s">
        <v>731</v>
      </c>
      <c r="B276" s="1317"/>
      <c r="C276" s="1316" t="s">
        <v>1237</v>
      </c>
      <c r="D276" s="1317"/>
      <c r="E276" s="703">
        <f>8/2.3*2</f>
        <v>6.9565217391304355</v>
      </c>
      <c r="F276" s="676" t="s">
        <v>418</v>
      </c>
      <c r="G276" s="670"/>
      <c r="H276" s="670"/>
      <c r="I276" s="670"/>
      <c r="J276" s="670"/>
      <c r="K276" s="670" t="e">
        <f>$K$211</f>
        <v>#REF!</v>
      </c>
      <c r="L276" s="670" t="e">
        <f>INT(E276*K276)</f>
        <v>#REF!</v>
      </c>
      <c r="M276" s="670" t="e">
        <f t="shared" si="27"/>
        <v>#REF!</v>
      </c>
      <c r="N276" s="670" t="e">
        <f t="shared" si="27"/>
        <v>#REF!</v>
      </c>
      <c r="O276" s="671"/>
    </row>
    <row r="277" spans="1:22" s="665" customFormat="1" ht="17.100000000000001" customHeight="1">
      <c r="A277" s="1316" t="s">
        <v>1328</v>
      </c>
      <c r="B277" s="1317"/>
      <c r="C277" s="1338" t="s">
        <v>1329</v>
      </c>
      <c r="D277" s="1317"/>
      <c r="E277" s="675">
        <v>0.01</v>
      </c>
      <c r="F277" s="676" t="s">
        <v>672</v>
      </c>
      <c r="G277" s="670">
        <f>J274+J275</f>
        <v>268121</v>
      </c>
      <c r="H277" s="670">
        <f>INT(E277*G277)</f>
        <v>2681</v>
      </c>
      <c r="I277" s="670"/>
      <c r="J277" s="670"/>
      <c r="K277" s="670"/>
      <c r="L277" s="670"/>
      <c r="M277" s="670">
        <f t="shared" si="27"/>
        <v>268121</v>
      </c>
      <c r="N277" s="670">
        <f t="shared" si="27"/>
        <v>2681</v>
      </c>
      <c r="O277" s="671"/>
    </row>
    <row r="278" spans="1:22" s="665" customFormat="1" ht="17.100000000000001" customHeight="1">
      <c r="A278" s="1318" t="s">
        <v>1320</v>
      </c>
      <c r="B278" s="1319"/>
      <c r="C278" s="1371"/>
      <c r="D278" s="1372"/>
      <c r="E278" s="677"/>
      <c r="F278" s="676"/>
      <c r="G278" s="670"/>
      <c r="H278" s="670">
        <f>SUM(H274:H277)</f>
        <v>2681</v>
      </c>
      <c r="I278" s="670"/>
      <c r="J278" s="670">
        <f>SUM(J274:J277)</f>
        <v>268121</v>
      </c>
      <c r="K278" s="670"/>
      <c r="L278" s="670" t="e">
        <f>SUM(L274:L277)</f>
        <v>#REF!</v>
      </c>
      <c r="M278" s="670"/>
      <c r="N278" s="670" t="e">
        <f>SUM(N274:N277)</f>
        <v>#REF!</v>
      </c>
      <c r="O278" s="671"/>
    </row>
    <row r="279" spans="1:22" s="665" customFormat="1" ht="17.100000000000001" customHeight="1">
      <c r="A279" s="668">
        <f>A273+1</f>
        <v>67</v>
      </c>
      <c r="B279" s="1320" t="s">
        <v>1468</v>
      </c>
      <c r="C279" s="1320"/>
      <c r="D279" s="1320" t="s">
        <v>1474</v>
      </c>
      <c r="E279" s="1320"/>
      <c r="F279" s="669" t="s">
        <v>850</v>
      </c>
      <c r="G279" s="670"/>
      <c r="H279" s="670"/>
      <c r="I279" s="670"/>
      <c r="J279" s="670"/>
      <c r="K279" s="670"/>
      <c r="L279" s="670"/>
      <c r="M279" s="670"/>
      <c r="N279" s="670"/>
      <c r="O279" s="671"/>
    </row>
    <row r="280" spans="1:22" s="665" customFormat="1" ht="17.100000000000001" customHeight="1">
      <c r="A280" s="1316" t="s">
        <v>1455</v>
      </c>
      <c r="B280" s="1317"/>
      <c r="C280" s="1316" t="s">
        <v>394</v>
      </c>
      <c r="D280" s="1317"/>
      <c r="E280" s="677">
        <v>1</v>
      </c>
      <c r="F280" s="676" t="s">
        <v>850</v>
      </c>
      <c r="G280" s="670" t="e">
        <f>#REF!</f>
        <v>#REF!</v>
      </c>
      <c r="H280" s="670" t="e">
        <f>INT(E280*G280)</f>
        <v>#REF!</v>
      </c>
      <c r="I280" s="670" t="e">
        <f>#REF!</f>
        <v>#REF!</v>
      </c>
      <c r="J280" s="670" t="e">
        <f>INT(E280*I280)</f>
        <v>#REF!</v>
      </c>
      <c r="K280" s="670" t="e">
        <f>#REF!</f>
        <v>#REF!</v>
      </c>
      <c r="L280" s="670" t="e">
        <f>INT(E280*K280)</f>
        <v>#REF!</v>
      </c>
      <c r="M280" s="670" t="e">
        <f>G280+I280+K280</f>
        <v>#REF!</v>
      </c>
      <c r="N280" s="670" t="e">
        <f>H280+J280+L280</f>
        <v>#REF!</v>
      </c>
      <c r="O280" s="671"/>
    </row>
    <row r="281" spans="1:22" s="665" customFormat="1" ht="17.100000000000001" customHeight="1">
      <c r="A281" s="1318" t="s">
        <v>1320</v>
      </c>
      <c r="B281" s="1319"/>
      <c r="C281" s="1371"/>
      <c r="D281" s="1372"/>
      <c r="E281" s="677"/>
      <c r="F281" s="676"/>
      <c r="G281" s="670"/>
      <c r="H281" s="670" t="e">
        <f>SUM(H280:H280)</f>
        <v>#REF!</v>
      </c>
      <c r="I281" s="670"/>
      <c r="J281" s="670" t="e">
        <f>SUM(J280:J280)</f>
        <v>#REF!</v>
      </c>
      <c r="K281" s="670"/>
      <c r="L281" s="670" t="e">
        <f>SUM(L280:L280)</f>
        <v>#REF!</v>
      </c>
      <c r="M281" s="670"/>
      <c r="N281" s="670" t="e">
        <f>SUM(N280:N280)</f>
        <v>#REF!</v>
      </c>
      <c r="O281" s="671"/>
    </row>
    <row r="282" spans="1:22" s="665" customFormat="1" ht="17.100000000000001" customHeight="1">
      <c r="A282" s="668">
        <f>A279+1</f>
        <v>68</v>
      </c>
      <c r="B282" s="1320" t="s">
        <v>1468</v>
      </c>
      <c r="C282" s="1320"/>
      <c r="D282" s="1320" t="s">
        <v>1475</v>
      </c>
      <c r="E282" s="1320"/>
      <c r="F282" s="669" t="s">
        <v>850</v>
      </c>
      <c r="G282" s="670"/>
      <c r="H282" s="670"/>
      <c r="I282" s="670"/>
      <c r="J282" s="670"/>
      <c r="K282" s="670"/>
      <c r="L282" s="670"/>
      <c r="M282" s="670"/>
      <c r="N282" s="670"/>
      <c r="O282" s="671"/>
    </row>
    <row r="283" spans="1:22" s="665" customFormat="1" ht="17.100000000000001" customHeight="1">
      <c r="A283" s="1316" t="s">
        <v>1455</v>
      </c>
      <c r="B283" s="1317"/>
      <c r="C283" s="1316" t="s">
        <v>359</v>
      </c>
      <c r="D283" s="1317"/>
      <c r="E283" s="677">
        <v>1</v>
      </c>
      <c r="F283" s="676" t="s">
        <v>850</v>
      </c>
      <c r="G283" s="670" t="e">
        <f>#REF!</f>
        <v>#REF!</v>
      </c>
      <c r="H283" s="670" t="e">
        <f>INT(E283*G283)</f>
        <v>#REF!</v>
      </c>
      <c r="I283" s="670" t="e">
        <f>#REF!</f>
        <v>#REF!</v>
      </c>
      <c r="J283" s="670" t="e">
        <f>INT(E283*I283)</f>
        <v>#REF!</v>
      </c>
      <c r="K283" s="670" t="e">
        <f>#REF!</f>
        <v>#REF!</v>
      </c>
      <c r="L283" s="670" t="e">
        <f>INT(E283*K283)</f>
        <v>#REF!</v>
      </c>
      <c r="M283" s="670" t="e">
        <f>G283+I283+K283</f>
        <v>#REF!</v>
      </c>
      <c r="N283" s="670" t="e">
        <f>H283+J283+L283</f>
        <v>#REF!</v>
      </c>
      <c r="O283" s="671"/>
    </row>
    <row r="284" spans="1:22" s="665" customFormat="1" ht="17.100000000000001" customHeight="1">
      <c r="A284" s="1318" t="s">
        <v>1320</v>
      </c>
      <c r="B284" s="1319"/>
      <c r="C284" s="1371"/>
      <c r="D284" s="1372"/>
      <c r="E284" s="677"/>
      <c r="F284" s="676"/>
      <c r="G284" s="670"/>
      <c r="H284" s="670" t="e">
        <f>SUM(H283:H283)</f>
        <v>#REF!</v>
      </c>
      <c r="I284" s="670"/>
      <c r="J284" s="670" t="e">
        <f>SUM(J283:J283)</f>
        <v>#REF!</v>
      </c>
      <c r="K284" s="670"/>
      <c r="L284" s="670" t="e">
        <f>SUM(L283:L283)</f>
        <v>#REF!</v>
      </c>
      <c r="M284" s="670"/>
      <c r="N284" s="670" t="e">
        <f>SUM(N283:N283)</f>
        <v>#REF!</v>
      </c>
      <c r="O284" s="671"/>
    </row>
    <row r="285" spans="1:22" s="665" customFormat="1" ht="17.100000000000001" customHeight="1">
      <c r="A285" s="668">
        <f>A282+1</f>
        <v>69</v>
      </c>
      <c r="B285" s="1320" t="s">
        <v>1468</v>
      </c>
      <c r="C285" s="1320"/>
      <c r="D285" s="1320" t="s">
        <v>1476</v>
      </c>
      <c r="E285" s="1320"/>
      <c r="F285" s="669" t="s">
        <v>850</v>
      </c>
      <c r="G285" s="670"/>
      <c r="H285" s="670"/>
      <c r="I285" s="670"/>
      <c r="J285" s="670"/>
      <c r="K285" s="670"/>
      <c r="L285" s="670"/>
      <c r="M285" s="670"/>
      <c r="N285" s="670"/>
      <c r="O285" s="671"/>
    </row>
    <row r="286" spans="1:22" s="665" customFormat="1" ht="17.100000000000001" customHeight="1">
      <c r="A286" s="1316" t="s">
        <v>1455</v>
      </c>
      <c r="B286" s="1317"/>
      <c r="C286" s="1316" t="s">
        <v>399</v>
      </c>
      <c r="D286" s="1317"/>
      <c r="E286" s="677">
        <v>1</v>
      </c>
      <c r="F286" s="676" t="s">
        <v>850</v>
      </c>
      <c r="G286" s="670" t="e">
        <f>#REF!</f>
        <v>#REF!</v>
      </c>
      <c r="H286" s="670" t="e">
        <f>INT(E286*G286)</f>
        <v>#REF!</v>
      </c>
      <c r="I286" s="670" t="e">
        <f>#REF!</f>
        <v>#REF!</v>
      </c>
      <c r="J286" s="670" t="e">
        <f>INT(E286*I286)</f>
        <v>#REF!</v>
      </c>
      <c r="K286" s="670" t="e">
        <f>#REF!</f>
        <v>#REF!</v>
      </c>
      <c r="L286" s="670" t="e">
        <f>INT(E286*K286)</f>
        <v>#REF!</v>
      </c>
      <c r="M286" s="670" t="e">
        <f>G286+I286+K286</f>
        <v>#REF!</v>
      </c>
      <c r="N286" s="670" t="e">
        <f>H286+J286+L286</f>
        <v>#REF!</v>
      </c>
      <c r="O286" s="671"/>
    </row>
    <row r="287" spans="1:22" s="665" customFormat="1" ht="17.100000000000001" customHeight="1">
      <c r="A287" s="1318" t="s">
        <v>1320</v>
      </c>
      <c r="B287" s="1319"/>
      <c r="C287" s="1371"/>
      <c r="D287" s="1372"/>
      <c r="E287" s="677"/>
      <c r="F287" s="676"/>
      <c r="G287" s="670"/>
      <c r="H287" s="670" t="e">
        <f>SUM(H286:H286)</f>
        <v>#REF!</v>
      </c>
      <c r="I287" s="670"/>
      <c r="J287" s="670" t="e">
        <f>SUM(J286:J286)</f>
        <v>#REF!</v>
      </c>
      <c r="K287" s="670"/>
      <c r="L287" s="670" t="e">
        <f>SUM(L286:L286)</f>
        <v>#REF!</v>
      </c>
      <c r="M287" s="670"/>
      <c r="N287" s="670" t="e">
        <f>SUM(N286:N286)</f>
        <v>#REF!</v>
      </c>
      <c r="O287" s="671"/>
    </row>
    <row r="288" spans="1:22" s="665" customFormat="1" ht="17.100000000000001" customHeight="1">
      <c r="A288" s="668">
        <f>A285+1</f>
        <v>70</v>
      </c>
      <c r="B288" s="1320" t="s">
        <v>1468</v>
      </c>
      <c r="C288" s="1320"/>
      <c r="D288" s="1320" t="s">
        <v>1477</v>
      </c>
      <c r="E288" s="1320"/>
      <c r="F288" s="669" t="s">
        <v>850</v>
      </c>
      <c r="G288" s="670"/>
      <c r="H288" s="670"/>
      <c r="I288" s="670"/>
      <c r="J288" s="670"/>
      <c r="K288" s="670"/>
      <c r="L288" s="670"/>
      <c r="M288" s="670"/>
      <c r="N288" s="670"/>
      <c r="O288" s="671"/>
    </row>
    <row r="289" spans="1:16" s="665" customFormat="1" ht="17.100000000000001" customHeight="1">
      <c r="A289" s="1316" t="s">
        <v>1455</v>
      </c>
      <c r="B289" s="1317"/>
      <c r="C289" s="1316" t="s">
        <v>359</v>
      </c>
      <c r="D289" s="1317"/>
      <c r="E289" s="677">
        <v>1</v>
      </c>
      <c r="F289" s="676" t="s">
        <v>850</v>
      </c>
      <c r="G289" s="670" t="e">
        <f>#REF!</f>
        <v>#REF!</v>
      </c>
      <c r="H289" s="670" t="e">
        <f>INT(E289*G289)</f>
        <v>#REF!</v>
      </c>
      <c r="I289" s="670" t="e">
        <f>#REF!</f>
        <v>#REF!</v>
      </c>
      <c r="J289" s="670" t="e">
        <f>INT(E289*I289)</f>
        <v>#REF!</v>
      </c>
      <c r="K289" s="670" t="e">
        <f>#REF!</f>
        <v>#REF!</v>
      </c>
      <c r="L289" s="670" t="e">
        <f>INT(E289*K289)</f>
        <v>#REF!</v>
      </c>
      <c r="M289" s="670" t="e">
        <f>G289+I289+K289</f>
        <v>#REF!</v>
      </c>
      <c r="N289" s="670" t="e">
        <f>H289+J289+L289</f>
        <v>#REF!</v>
      </c>
      <c r="O289" s="671"/>
    </row>
    <row r="290" spans="1:16" s="665" customFormat="1" ht="17.100000000000001" customHeight="1">
      <c r="A290" s="1318" t="s">
        <v>1320</v>
      </c>
      <c r="B290" s="1319"/>
      <c r="C290" s="1371"/>
      <c r="D290" s="1372"/>
      <c r="E290" s="677"/>
      <c r="F290" s="676"/>
      <c r="G290" s="670"/>
      <c r="H290" s="670" t="e">
        <f>SUM(H289:H289)</f>
        <v>#REF!</v>
      </c>
      <c r="I290" s="670"/>
      <c r="J290" s="670" t="e">
        <f>SUM(J289:J289)</f>
        <v>#REF!</v>
      </c>
      <c r="K290" s="670"/>
      <c r="L290" s="670" t="e">
        <f>SUM(L289:L289)</f>
        <v>#REF!</v>
      </c>
      <c r="M290" s="670"/>
      <c r="N290" s="670" t="e">
        <f>SUM(N289:N289)</f>
        <v>#REF!</v>
      </c>
      <c r="O290" s="671"/>
    </row>
    <row r="291" spans="1:16" s="665" customFormat="1" ht="17.100000000000001" customHeight="1">
      <c r="A291" s="668">
        <f>A288+1</f>
        <v>71</v>
      </c>
      <c r="B291" s="1320" t="s">
        <v>1468</v>
      </c>
      <c r="C291" s="1320"/>
      <c r="D291" s="1320" t="s">
        <v>1478</v>
      </c>
      <c r="E291" s="1320"/>
      <c r="F291" s="669" t="s">
        <v>850</v>
      </c>
      <c r="G291" s="670"/>
      <c r="H291" s="670"/>
      <c r="I291" s="670"/>
      <c r="J291" s="670"/>
      <c r="K291" s="670"/>
      <c r="L291" s="670"/>
      <c r="M291" s="670"/>
      <c r="N291" s="670"/>
      <c r="O291" s="671"/>
    </row>
    <row r="292" spans="1:16" s="665" customFormat="1" ht="17.100000000000001" customHeight="1">
      <c r="A292" s="1316" t="s">
        <v>1455</v>
      </c>
      <c r="B292" s="1317"/>
      <c r="C292" s="1316" t="s">
        <v>399</v>
      </c>
      <c r="D292" s="1317"/>
      <c r="E292" s="677">
        <v>1</v>
      </c>
      <c r="F292" s="676" t="s">
        <v>850</v>
      </c>
      <c r="G292" s="670" t="e">
        <f>#REF!</f>
        <v>#REF!</v>
      </c>
      <c r="H292" s="670" t="e">
        <f>INT(E292*G292)</f>
        <v>#REF!</v>
      </c>
      <c r="I292" s="670" t="e">
        <f>#REF!</f>
        <v>#REF!</v>
      </c>
      <c r="J292" s="670" t="e">
        <f>INT(E292*I292)</f>
        <v>#REF!</v>
      </c>
      <c r="K292" s="670" t="e">
        <f>#REF!</f>
        <v>#REF!</v>
      </c>
      <c r="L292" s="670" t="e">
        <f>INT(E292*K292)</f>
        <v>#REF!</v>
      </c>
      <c r="M292" s="670" t="e">
        <f>G292+I292+K292</f>
        <v>#REF!</v>
      </c>
      <c r="N292" s="670" t="e">
        <f>H292+J292+L292</f>
        <v>#REF!</v>
      </c>
      <c r="O292" s="671"/>
    </row>
    <row r="293" spans="1:16" s="665" customFormat="1" ht="17.100000000000001" customHeight="1">
      <c r="A293" s="1318" t="s">
        <v>1320</v>
      </c>
      <c r="B293" s="1319"/>
      <c r="C293" s="1371"/>
      <c r="D293" s="1372"/>
      <c r="E293" s="677"/>
      <c r="F293" s="676"/>
      <c r="G293" s="670"/>
      <c r="H293" s="670" t="e">
        <f>SUM(H292:H292)</f>
        <v>#REF!</v>
      </c>
      <c r="I293" s="670"/>
      <c r="J293" s="670" t="e">
        <f>SUM(J292:J292)</f>
        <v>#REF!</v>
      </c>
      <c r="K293" s="670"/>
      <c r="L293" s="670" t="e">
        <f>SUM(L292:L292)</f>
        <v>#REF!</v>
      </c>
      <c r="M293" s="670"/>
      <c r="N293" s="670" t="e">
        <f>SUM(N292:N292)</f>
        <v>#REF!</v>
      </c>
      <c r="O293" s="671"/>
    </row>
    <row r="294" spans="1:16" s="665" customFormat="1" ht="17.100000000000001" customHeight="1">
      <c r="A294" s="668">
        <f>A291+1</f>
        <v>72</v>
      </c>
      <c r="B294" s="1320" t="s">
        <v>1468</v>
      </c>
      <c r="C294" s="1320"/>
      <c r="D294" s="1320" t="s">
        <v>1479</v>
      </c>
      <c r="E294" s="1320"/>
      <c r="F294" s="669" t="s">
        <v>850</v>
      </c>
      <c r="G294" s="670"/>
      <c r="H294" s="670"/>
      <c r="I294" s="670"/>
      <c r="J294" s="670"/>
      <c r="K294" s="670"/>
      <c r="L294" s="670"/>
      <c r="M294" s="670"/>
      <c r="N294" s="670"/>
      <c r="O294" s="671"/>
    </row>
    <row r="295" spans="1:16" s="665" customFormat="1" ht="17.100000000000001" customHeight="1">
      <c r="A295" s="1316" t="s">
        <v>1455</v>
      </c>
      <c r="B295" s="1317"/>
      <c r="C295" s="1316" t="s">
        <v>359</v>
      </c>
      <c r="D295" s="1317"/>
      <c r="E295" s="677">
        <v>1</v>
      </c>
      <c r="F295" s="676" t="s">
        <v>850</v>
      </c>
      <c r="G295" s="670" t="e">
        <f>#REF!</f>
        <v>#REF!</v>
      </c>
      <c r="H295" s="670" t="e">
        <f>INT(E295*G295)</f>
        <v>#REF!</v>
      </c>
      <c r="I295" s="670" t="e">
        <f>#REF!</f>
        <v>#REF!</v>
      </c>
      <c r="J295" s="670" t="e">
        <f>INT(E295*I295)</f>
        <v>#REF!</v>
      </c>
      <c r="K295" s="670" t="e">
        <f>#REF!</f>
        <v>#REF!</v>
      </c>
      <c r="L295" s="670" t="e">
        <f>INT(E295*K295)</f>
        <v>#REF!</v>
      </c>
      <c r="M295" s="670" t="e">
        <f>G295+I295+K295</f>
        <v>#REF!</v>
      </c>
      <c r="N295" s="670" t="e">
        <f>H295+J295+L295</f>
        <v>#REF!</v>
      </c>
      <c r="O295" s="671"/>
    </row>
    <row r="296" spans="1:16" s="665" customFormat="1" ht="17.100000000000001" customHeight="1">
      <c r="A296" s="1318" t="s">
        <v>1320</v>
      </c>
      <c r="B296" s="1319"/>
      <c r="C296" s="1371"/>
      <c r="D296" s="1372"/>
      <c r="E296" s="677"/>
      <c r="F296" s="676"/>
      <c r="G296" s="670"/>
      <c r="H296" s="670" t="e">
        <f>SUM(H295:H295)</f>
        <v>#REF!</v>
      </c>
      <c r="I296" s="670"/>
      <c r="J296" s="670" t="e">
        <f>SUM(J295:J295)</f>
        <v>#REF!</v>
      </c>
      <c r="K296" s="670"/>
      <c r="L296" s="670" t="e">
        <f>SUM(L295:L295)</f>
        <v>#REF!</v>
      </c>
      <c r="M296" s="670"/>
      <c r="N296" s="670" t="e">
        <f>SUM(N295:N295)</f>
        <v>#REF!</v>
      </c>
      <c r="O296" s="671"/>
    </row>
    <row r="297" spans="1:16" s="665" customFormat="1" ht="17.100000000000001" customHeight="1">
      <c r="A297" s="668">
        <f>A294+1</f>
        <v>73</v>
      </c>
      <c r="B297" s="1320" t="s">
        <v>1468</v>
      </c>
      <c r="C297" s="1320"/>
      <c r="D297" s="1320" t="s">
        <v>1480</v>
      </c>
      <c r="E297" s="1320"/>
      <c r="F297" s="669" t="s">
        <v>850</v>
      </c>
      <c r="G297" s="670"/>
      <c r="H297" s="670"/>
      <c r="I297" s="670"/>
      <c r="J297" s="670"/>
      <c r="K297" s="670"/>
      <c r="L297" s="670"/>
      <c r="M297" s="670"/>
      <c r="N297" s="670"/>
      <c r="O297" s="671"/>
    </row>
    <row r="298" spans="1:16" s="665" customFormat="1" ht="17.100000000000001" customHeight="1">
      <c r="A298" s="1316" t="s">
        <v>1455</v>
      </c>
      <c r="B298" s="1317"/>
      <c r="C298" s="1316" t="s">
        <v>399</v>
      </c>
      <c r="D298" s="1317"/>
      <c r="E298" s="677">
        <v>1</v>
      </c>
      <c r="F298" s="676" t="s">
        <v>850</v>
      </c>
      <c r="G298" s="670" t="e">
        <f>#REF!</f>
        <v>#REF!</v>
      </c>
      <c r="H298" s="670" t="e">
        <f>INT(E298*G298)</f>
        <v>#REF!</v>
      </c>
      <c r="I298" s="670" t="e">
        <f>#REF!</f>
        <v>#REF!</v>
      </c>
      <c r="J298" s="670" t="e">
        <f>INT(E298*I298)</f>
        <v>#REF!</v>
      </c>
      <c r="K298" s="670" t="e">
        <f>#REF!</f>
        <v>#REF!</v>
      </c>
      <c r="L298" s="670" t="e">
        <f>INT(E298*K298)</f>
        <v>#REF!</v>
      </c>
      <c r="M298" s="670" t="e">
        <f>G298+I298+K298</f>
        <v>#REF!</v>
      </c>
      <c r="N298" s="670" t="e">
        <f>H298+J298+L298</f>
        <v>#REF!</v>
      </c>
      <c r="O298" s="671"/>
    </row>
    <row r="299" spans="1:16" s="665" customFormat="1" ht="17.100000000000001" customHeight="1">
      <c r="A299" s="1318" t="s">
        <v>1320</v>
      </c>
      <c r="B299" s="1319"/>
      <c r="C299" s="1371"/>
      <c r="D299" s="1372"/>
      <c r="E299" s="677"/>
      <c r="F299" s="676"/>
      <c r="G299" s="670"/>
      <c r="H299" s="670" t="e">
        <f>SUM(H298:H298)</f>
        <v>#REF!</v>
      </c>
      <c r="I299" s="670"/>
      <c r="J299" s="670" t="e">
        <f>SUM(J298:J298)</f>
        <v>#REF!</v>
      </c>
      <c r="K299" s="670"/>
      <c r="L299" s="670" t="e">
        <f>SUM(L298:L298)</f>
        <v>#REF!</v>
      </c>
      <c r="M299" s="670"/>
      <c r="N299" s="670" t="e">
        <f>SUM(N298:N298)</f>
        <v>#REF!</v>
      </c>
      <c r="O299" s="671"/>
    </row>
    <row r="300" spans="1:16" s="665" customFormat="1" ht="17.100000000000001" customHeight="1">
      <c r="A300" s="668">
        <f>A297+1</f>
        <v>74</v>
      </c>
      <c r="B300" s="1320" t="s">
        <v>1470</v>
      </c>
      <c r="C300" s="1320"/>
      <c r="D300" s="1320" t="s">
        <v>1475</v>
      </c>
      <c r="E300" s="1320"/>
      <c r="F300" s="669" t="s">
        <v>850</v>
      </c>
      <c r="G300" s="670"/>
      <c r="H300" s="670"/>
      <c r="I300" s="670"/>
      <c r="J300" s="670"/>
      <c r="K300" s="670"/>
      <c r="L300" s="670"/>
      <c r="M300" s="670"/>
      <c r="N300" s="670"/>
      <c r="O300" s="671"/>
    </row>
    <row r="301" spans="1:16" s="665" customFormat="1" ht="17.100000000000001" customHeight="1">
      <c r="A301" s="1316" t="s">
        <v>1455</v>
      </c>
      <c r="B301" s="1317"/>
      <c r="C301" s="1316" t="s">
        <v>359</v>
      </c>
      <c r="D301" s="1317"/>
      <c r="E301" s="677">
        <v>1</v>
      </c>
      <c r="F301" s="676" t="s">
        <v>850</v>
      </c>
      <c r="G301" s="670" t="e">
        <f>#REF!</f>
        <v>#REF!</v>
      </c>
      <c r="H301" s="670" t="e">
        <f>INT(E301*G301)</f>
        <v>#REF!</v>
      </c>
      <c r="I301" s="670" t="e">
        <f>#REF!</f>
        <v>#REF!</v>
      </c>
      <c r="J301" s="670" t="e">
        <f>INT(E301*I301)</f>
        <v>#REF!</v>
      </c>
      <c r="K301" s="670" t="e">
        <f>#REF!</f>
        <v>#REF!</v>
      </c>
      <c r="L301" s="670" t="e">
        <f>INT(E301*K301)</f>
        <v>#REF!</v>
      </c>
      <c r="M301" s="670" t="e">
        <f>G301+I301+K301</f>
        <v>#REF!</v>
      </c>
      <c r="N301" s="670" t="e">
        <f>H301+J301+L301</f>
        <v>#REF!</v>
      </c>
      <c r="O301" s="671"/>
      <c r="P301" s="672"/>
    </row>
    <row r="302" spans="1:16" s="665" customFormat="1" ht="17.100000000000001" customHeight="1">
      <c r="A302" s="1318" t="s">
        <v>1320</v>
      </c>
      <c r="B302" s="1319"/>
      <c r="C302" s="1371"/>
      <c r="D302" s="1372"/>
      <c r="E302" s="677"/>
      <c r="F302" s="676"/>
      <c r="G302" s="670"/>
      <c r="H302" s="670" t="e">
        <f>SUM(H301:H301)</f>
        <v>#REF!</v>
      </c>
      <c r="I302" s="670"/>
      <c r="J302" s="670" t="e">
        <f>SUM(J301:J301)</f>
        <v>#REF!</v>
      </c>
      <c r="K302" s="670"/>
      <c r="L302" s="670" t="e">
        <f>SUM(L301:L301)</f>
        <v>#REF!</v>
      </c>
      <c r="M302" s="670"/>
      <c r="N302" s="670" t="e">
        <f>SUM(N301:N301)</f>
        <v>#REF!</v>
      </c>
      <c r="O302" s="671"/>
      <c r="P302" s="672"/>
    </row>
    <row r="303" spans="1:16" s="665" customFormat="1" ht="17.100000000000001" customHeight="1">
      <c r="A303" s="668">
        <f>A300+1</f>
        <v>75</v>
      </c>
      <c r="B303" s="1320" t="s">
        <v>1470</v>
      </c>
      <c r="C303" s="1320"/>
      <c r="D303" s="1320" t="s">
        <v>1476</v>
      </c>
      <c r="E303" s="1320"/>
      <c r="F303" s="669" t="s">
        <v>850</v>
      </c>
      <c r="G303" s="670"/>
      <c r="H303" s="670"/>
      <c r="I303" s="670"/>
      <c r="J303" s="670"/>
      <c r="K303" s="670"/>
      <c r="L303" s="670"/>
      <c r="M303" s="670"/>
      <c r="N303" s="670"/>
      <c r="O303" s="671"/>
      <c r="P303" s="672"/>
    </row>
    <row r="304" spans="1:16" s="665" customFormat="1" ht="17.100000000000001" customHeight="1">
      <c r="A304" s="1316" t="s">
        <v>1455</v>
      </c>
      <c r="B304" s="1317"/>
      <c r="C304" s="1316" t="s">
        <v>399</v>
      </c>
      <c r="D304" s="1317"/>
      <c r="E304" s="677">
        <v>1</v>
      </c>
      <c r="F304" s="676" t="s">
        <v>850</v>
      </c>
      <c r="G304" s="670" t="e">
        <f>#REF!</f>
        <v>#REF!</v>
      </c>
      <c r="H304" s="670" t="e">
        <f>INT(E304*G304)</f>
        <v>#REF!</v>
      </c>
      <c r="I304" s="670" t="e">
        <f>#REF!</f>
        <v>#REF!</v>
      </c>
      <c r="J304" s="670" t="e">
        <f>INT(E304*I304)</f>
        <v>#REF!</v>
      </c>
      <c r="K304" s="670" t="e">
        <f>#REF!</f>
        <v>#REF!</v>
      </c>
      <c r="L304" s="670" t="e">
        <f>INT(E304*K304)</f>
        <v>#REF!</v>
      </c>
      <c r="M304" s="670" t="e">
        <f>G304+I304+K304</f>
        <v>#REF!</v>
      </c>
      <c r="N304" s="670" t="e">
        <f>H304+J304+L304</f>
        <v>#REF!</v>
      </c>
      <c r="O304" s="671"/>
      <c r="P304" s="672"/>
    </row>
    <row r="305" spans="1:16" s="665" customFormat="1" ht="17.100000000000001" customHeight="1">
      <c r="A305" s="1318" t="s">
        <v>1320</v>
      </c>
      <c r="B305" s="1319"/>
      <c r="C305" s="1371"/>
      <c r="D305" s="1372"/>
      <c r="E305" s="677"/>
      <c r="F305" s="676"/>
      <c r="G305" s="670"/>
      <c r="H305" s="670" t="e">
        <f>SUM(H304:H304)</f>
        <v>#REF!</v>
      </c>
      <c r="I305" s="670"/>
      <c r="J305" s="670" t="e">
        <f>SUM(J304:J304)</f>
        <v>#REF!</v>
      </c>
      <c r="K305" s="670"/>
      <c r="L305" s="670" t="e">
        <f>SUM(L304:L304)</f>
        <v>#REF!</v>
      </c>
      <c r="M305" s="670"/>
      <c r="N305" s="670" t="e">
        <f>SUM(N304:N304)</f>
        <v>#REF!</v>
      </c>
      <c r="O305" s="671"/>
      <c r="P305" s="672"/>
    </row>
    <row r="306" spans="1:16" s="665" customFormat="1" ht="17.100000000000001" customHeight="1">
      <c r="A306" s="668">
        <f>A303+1</f>
        <v>76</v>
      </c>
      <c r="B306" s="1320" t="s">
        <v>1470</v>
      </c>
      <c r="C306" s="1320"/>
      <c r="D306" s="1320" t="s">
        <v>1477</v>
      </c>
      <c r="E306" s="1320"/>
      <c r="F306" s="669" t="s">
        <v>850</v>
      </c>
      <c r="G306" s="670"/>
      <c r="H306" s="670"/>
      <c r="I306" s="670"/>
      <c r="J306" s="670"/>
      <c r="K306" s="670"/>
      <c r="L306" s="670"/>
      <c r="M306" s="670"/>
      <c r="N306" s="670"/>
      <c r="O306" s="671"/>
      <c r="P306" s="672"/>
    </row>
    <row r="307" spans="1:16" s="665" customFormat="1" ht="17.100000000000001" customHeight="1">
      <c r="A307" s="1316" t="s">
        <v>1455</v>
      </c>
      <c r="B307" s="1317"/>
      <c r="C307" s="1316" t="s">
        <v>359</v>
      </c>
      <c r="D307" s="1317"/>
      <c r="E307" s="677">
        <v>1</v>
      </c>
      <c r="F307" s="676" t="s">
        <v>850</v>
      </c>
      <c r="G307" s="670" t="e">
        <f>#REF!</f>
        <v>#REF!</v>
      </c>
      <c r="H307" s="670" t="e">
        <f>INT(E307*G307)</f>
        <v>#REF!</v>
      </c>
      <c r="I307" s="670" t="e">
        <f>#REF!</f>
        <v>#REF!</v>
      </c>
      <c r="J307" s="670" t="e">
        <f>INT(E307*I307)</f>
        <v>#REF!</v>
      </c>
      <c r="K307" s="670" t="e">
        <f>#REF!</f>
        <v>#REF!</v>
      </c>
      <c r="L307" s="670" t="e">
        <f>INT(E307*K307)</f>
        <v>#REF!</v>
      </c>
      <c r="M307" s="670" t="e">
        <f>G307+I307+K307</f>
        <v>#REF!</v>
      </c>
      <c r="N307" s="670" t="e">
        <f>H307+J307+L307</f>
        <v>#REF!</v>
      </c>
      <c r="O307" s="671"/>
      <c r="P307" s="672"/>
    </row>
    <row r="308" spans="1:16" s="665" customFormat="1" ht="17.100000000000001" customHeight="1">
      <c r="A308" s="1318" t="s">
        <v>1320</v>
      </c>
      <c r="B308" s="1319"/>
      <c r="C308" s="1371"/>
      <c r="D308" s="1372"/>
      <c r="E308" s="677"/>
      <c r="F308" s="676"/>
      <c r="G308" s="670"/>
      <c r="H308" s="670" t="e">
        <f>SUM(H307:H307)</f>
        <v>#REF!</v>
      </c>
      <c r="I308" s="670"/>
      <c r="J308" s="670" t="e">
        <f>SUM(J307:J307)</f>
        <v>#REF!</v>
      </c>
      <c r="K308" s="670"/>
      <c r="L308" s="670" t="e">
        <f>SUM(L307:L307)</f>
        <v>#REF!</v>
      </c>
      <c r="M308" s="670"/>
      <c r="N308" s="670" t="e">
        <f>SUM(N307:N307)</f>
        <v>#REF!</v>
      </c>
      <c r="O308" s="671"/>
    </row>
    <row r="309" spans="1:16" s="665" customFormat="1" ht="17.100000000000001" customHeight="1">
      <c r="A309" s="668">
        <f>A306+1</f>
        <v>77</v>
      </c>
      <c r="B309" s="1320" t="s">
        <v>1470</v>
      </c>
      <c r="C309" s="1320"/>
      <c r="D309" s="1320" t="s">
        <v>1478</v>
      </c>
      <c r="E309" s="1320"/>
      <c r="F309" s="669" t="s">
        <v>850</v>
      </c>
      <c r="G309" s="670"/>
      <c r="H309" s="670"/>
      <c r="I309" s="670"/>
      <c r="J309" s="670"/>
      <c r="K309" s="670"/>
      <c r="L309" s="670"/>
      <c r="M309" s="670"/>
      <c r="N309" s="670"/>
      <c r="O309" s="671"/>
    </row>
    <row r="310" spans="1:16" s="665" customFormat="1" ht="17.100000000000001" customHeight="1">
      <c r="A310" s="1316" t="s">
        <v>1455</v>
      </c>
      <c r="B310" s="1317"/>
      <c r="C310" s="1316" t="s">
        <v>399</v>
      </c>
      <c r="D310" s="1317"/>
      <c r="E310" s="677">
        <v>1</v>
      </c>
      <c r="F310" s="676" t="s">
        <v>850</v>
      </c>
      <c r="G310" s="670" t="e">
        <f>#REF!</f>
        <v>#REF!</v>
      </c>
      <c r="H310" s="670" t="e">
        <f>INT(E310*G310)</f>
        <v>#REF!</v>
      </c>
      <c r="I310" s="670" t="e">
        <f>#REF!</f>
        <v>#REF!</v>
      </c>
      <c r="J310" s="670" t="e">
        <f>INT(E310*I310)</f>
        <v>#REF!</v>
      </c>
      <c r="K310" s="670" t="e">
        <f>#REF!</f>
        <v>#REF!</v>
      </c>
      <c r="L310" s="670" t="e">
        <f>INT(E310*K310)</f>
        <v>#REF!</v>
      </c>
      <c r="M310" s="670" t="e">
        <f>G310+I310+K310</f>
        <v>#REF!</v>
      </c>
      <c r="N310" s="670" t="e">
        <f>H310+J310+L310</f>
        <v>#REF!</v>
      </c>
      <c r="O310" s="671"/>
    </row>
    <row r="311" spans="1:16" s="665" customFormat="1" ht="17.100000000000001" customHeight="1">
      <c r="A311" s="1318" t="s">
        <v>1320</v>
      </c>
      <c r="B311" s="1319"/>
      <c r="C311" s="1371"/>
      <c r="D311" s="1372"/>
      <c r="E311" s="677"/>
      <c r="F311" s="676"/>
      <c r="G311" s="670"/>
      <c r="H311" s="670" t="e">
        <f>SUM(H310:H310)</f>
        <v>#REF!</v>
      </c>
      <c r="I311" s="670"/>
      <c r="J311" s="670" t="e">
        <f>SUM(J310:J310)</f>
        <v>#REF!</v>
      </c>
      <c r="K311" s="670"/>
      <c r="L311" s="670" t="e">
        <f>SUM(L310:L310)</f>
        <v>#REF!</v>
      </c>
      <c r="M311" s="670"/>
      <c r="N311" s="670" t="e">
        <f>SUM(N310:N310)</f>
        <v>#REF!</v>
      </c>
      <c r="O311" s="671"/>
    </row>
    <row r="312" spans="1:16" s="665" customFormat="1" ht="17.100000000000001" customHeight="1">
      <c r="A312" s="668">
        <f>A309+1</f>
        <v>78</v>
      </c>
      <c r="B312" s="1320" t="s">
        <v>1481</v>
      </c>
      <c r="C312" s="1320"/>
      <c r="D312" s="1320"/>
      <c r="E312" s="1320"/>
      <c r="F312" s="669" t="s">
        <v>850</v>
      </c>
      <c r="G312" s="670"/>
      <c r="H312" s="670"/>
      <c r="I312" s="670"/>
      <c r="J312" s="670"/>
      <c r="K312" s="670"/>
      <c r="L312" s="670"/>
      <c r="M312" s="670"/>
      <c r="N312" s="670"/>
      <c r="O312" s="671"/>
    </row>
    <row r="313" spans="1:16" s="665" customFormat="1" ht="17.100000000000001" customHeight="1">
      <c r="A313" s="1316" t="s">
        <v>1482</v>
      </c>
      <c r="B313" s="1317"/>
      <c r="C313" s="1316"/>
      <c r="D313" s="1317"/>
      <c r="E313" s="675">
        <v>0.12</v>
      </c>
      <c r="F313" s="676" t="s">
        <v>366</v>
      </c>
      <c r="G313" s="670"/>
      <c r="H313" s="670"/>
      <c r="I313" s="670">
        <f>[53]노임단가!$T$15</f>
        <v>282536</v>
      </c>
      <c r="J313" s="670">
        <f>INT(E313*I313)</f>
        <v>33904</v>
      </c>
      <c r="K313" s="670"/>
      <c r="L313" s="670"/>
      <c r="M313" s="670">
        <f t="shared" ref="M313:N316" si="28">G313+I313+K313</f>
        <v>282536</v>
      </c>
      <c r="N313" s="670">
        <f t="shared" si="28"/>
        <v>33904</v>
      </c>
      <c r="O313" s="671"/>
    </row>
    <row r="314" spans="1:16" s="665" customFormat="1" ht="17.100000000000001" customHeight="1">
      <c r="A314" s="1316" t="s">
        <v>1044</v>
      </c>
      <c r="B314" s="1317"/>
      <c r="C314" s="1338" t="s">
        <v>1483</v>
      </c>
      <c r="D314" s="1317"/>
      <c r="E314" s="675">
        <v>0.23</v>
      </c>
      <c r="F314" s="676" t="s">
        <v>835</v>
      </c>
      <c r="G314" s="670" t="e">
        <f>#REF!</f>
        <v>#REF!</v>
      </c>
      <c r="H314" s="670" t="e">
        <f>INT(E314*G314)</f>
        <v>#REF!</v>
      </c>
      <c r="I314" s="670"/>
      <c r="J314" s="670"/>
      <c r="K314" s="670"/>
      <c r="L314" s="670"/>
      <c r="M314" s="670" t="e">
        <f t="shared" si="28"/>
        <v>#REF!</v>
      </c>
      <c r="N314" s="670" t="e">
        <f t="shared" si="28"/>
        <v>#REF!</v>
      </c>
      <c r="O314" s="671"/>
    </row>
    <row r="315" spans="1:16" s="665" customFormat="1" ht="17.100000000000001" customHeight="1">
      <c r="A315" s="1316" t="s">
        <v>1048</v>
      </c>
      <c r="B315" s="1317"/>
      <c r="C315" s="1316" t="s">
        <v>1484</v>
      </c>
      <c r="D315" s="1317"/>
      <c r="E315" s="677">
        <v>680</v>
      </c>
      <c r="F315" s="676" t="s">
        <v>801</v>
      </c>
      <c r="G315" s="704" t="e">
        <f>#REF!</f>
        <v>#REF!</v>
      </c>
      <c r="H315" s="670" t="e">
        <f>INT(E315*G315)</f>
        <v>#REF!</v>
      </c>
      <c r="I315" s="670"/>
      <c r="J315" s="670"/>
      <c r="K315" s="670"/>
      <c r="L315" s="670"/>
      <c r="M315" s="704" t="e">
        <f t="shared" si="28"/>
        <v>#REF!</v>
      </c>
      <c r="N315" s="670" t="e">
        <f t="shared" si="28"/>
        <v>#REF!</v>
      </c>
      <c r="O315" s="671"/>
    </row>
    <row r="316" spans="1:16" s="665" customFormat="1" ht="17.100000000000001" customHeight="1">
      <c r="A316" s="1316" t="s">
        <v>1485</v>
      </c>
      <c r="B316" s="1317"/>
      <c r="C316" s="1338" t="s">
        <v>1329</v>
      </c>
      <c r="D316" s="1317"/>
      <c r="E316" s="675">
        <v>0.01</v>
      </c>
      <c r="F316" s="676" t="s">
        <v>672</v>
      </c>
      <c r="G316" s="670">
        <f>J313</f>
        <v>33904</v>
      </c>
      <c r="H316" s="670">
        <f>INT(E316*G316)</f>
        <v>339</v>
      </c>
      <c r="I316" s="670"/>
      <c r="J316" s="670"/>
      <c r="K316" s="681"/>
      <c r="L316" s="681"/>
      <c r="M316" s="670">
        <f t="shared" si="28"/>
        <v>33904</v>
      </c>
      <c r="N316" s="670">
        <f t="shared" si="28"/>
        <v>339</v>
      </c>
      <c r="O316" s="671"/>
    </row>
    <row r="317" spans="1:16" s="665" customFormat="1" ht="17.100000000000001" customHeight="1">
      <c r="A317" s="1318" t="s">
        <v>1320</v>
      </c>
      <c r="B317" s="1319"/>
      <c r="C317" s="1371"/>
      <c r="D317" s="1372"/>
      <c r="E317" s="677"/>
      <c r="F317" s="676"/>
      <c r="G317" s="670"/>
      <c r="H317" s="670" t="e">
        <f>SUM(H313:H316)</f>
        <v>#REF!</v>
      </c>
      <c r="I317" s="670"/>
      <c r="J317" s="670">
        <f>SUM(J313:J316)</f>
        <v>33904</v>
      </c>
      <c r="K317" s="670"/>
      <c r="L317" s="670"/>
      <c r="M317" s="670"/>
      <c r="N317" s="670" t="e">
        <f>SUM(N313:N316)</f>
        <v>#REF!</v>
      </c>
      <c r="O317" s="671"/>
    </row>
    <row r="318" spans="1:16" s="665" customFormat="1" ht="17.100000000000001" customHeight="1">
      <c r="A318" s="668">
        <f>A312+1</f>
        <v>79</v>
      </c>
      <c r="B318" s="1320" t="s">
        <v>1486</v>
      </c>
      <c r="C318" s="1320"/>
      <c r="D318" s="1320" t="s">
        <v>1403</v>
      </c>
      <c r="E318" s="1320"/>
      <c r="F318" s="669" t="s">
        <v>850</v>
      </c>
      <c r="G318" s="670"/>
      <c r="H318" s="670"/>
      <c r="I318" s="670"/>
      <c r="J318" s="670"/>
      <c r="K318" s="670"/>
      <c r="L318" s="670"/>
      <c r="M318" s="670"/>
      <c r="N318" s="670"/>
      <c r="O318" s="671"/>
    </row>
    <row r="319" spans="1:16" s="665" customFormat="1" ht="17.100000000000001" customHeight="1">
      <c r="A319" s="1316" t="s">
        <v>528</v>
      </c>
      <c r="B319" s="1317"/>
      <c r="C319" s="1316"/>
      <c r="D319" s="1317"/>
      <c r="E319" s="679">
        <v>0.1</v>
      </c>
      <c r="F319" s="676" t="s">
        <v>366</v>
      </c>
      <c r="G319" s="670"/>
      <c r="H319" s="670"/>
      <c r="I319" s="670">
        <f>[53]노임단가!$T$20</f>
        <v>241932</v>
      </c>
      <c r="J319" s="670">
        <f>INT(E319*I319)</f>
        <v>24193</v>
      </c>
      <c r="K319" s="670"/>
      <c r="L319" s="670"/>
      <c r="M319" s="670">
        <f t="shared" ref="M319:N321" si="29">G319+I319+K319</f>
        <v>241932</v>
      </c>
      <c r="N319" s="670">
        <f t="shared" si="29"/>
        <v>24193</v>
      </c>
      <c r="O319" s="671"/>
    </row>
    <row r="320" spans="1:16" s="665" customFormat="1" ht="17.100000000000001" customHeight="1">
      <c r="A320" s="1316" t="s">
        <v>248</v>
      </c>
      <c r="B320" s="1317"/>
      <c r="C320" s="1316"/>
      <c r="D320" s="1317"/>
      <c r="E320" s="675">
        <v>1</v>
      </c>
      <c r="F320" s="676" t="s">
        <v>366</v>
      </c>
      <c r="G320" s="670"/>
      <c r="H320" s="670"/>
      <c r="I320" s="670">
        <f>[53]노임단가!$T$5</f>
        <v>172068</v>
      </c>
      <c r="J320" s="670">
        <f>INT(E320*I320)</f>
        <v>172068</v>
      </c>
      <c r="K320" s="670"/>
      <c r="L320" s="670"/>
      <c r="M320" s="670">
        <f t="shared" si="29"/>
        <v>172068</v>
      </c>
      <c r="N320" s="670">
        <f t="shared" si="29"/>
        <v>172068</v>
      </c>
      <c r="O320" s="671"/>
    </row>
    <row r="321" spans="1:15" s="665" customFormat="1" ht="17.100000000000001" customHeight="1">
      <c r="A321" s="1316" t="s">
        <v>1328</v>
      </c>
      <c r="B321" s="1317"/>
      <c r="C321" s="1338" t="s">
        <v>1469</v>
      </c>
      <c r="D321" s="1317"/>
      <c r="E321" s="675">
        <v>0.05</v>
      </c>
      <c r="F321" s="676" t="s">
        <v>672</v>
      </c>
      <c r="G321" s="670">
        <f>J319+J320</f>
        <v>196261</v>
      </c>
      <c r="H321" s="670">
        <f>INT(E321*G321)</f>
        <v>9813</v>
      </c>
      <c r="I321" s="670"/>
      <c r="J321" s="670"/>
      <c r="K321" s="670"/>
      <c r="L321" s="670"/>
      <c r="M321" s="670">
        <f t="shared" si="29"/>
        <v>196261</v>
      </c>
      <c r="N321" s="670">
        <f t="shared" si="29"/>
        <v>9813</v>
      </c>
      <c r="O321" s="671"/>
    </row>
    <row r="322" spans="1:15" s="665" customFormat="1" ht="17.100000000000001" customHeight="1">
      <c r="A322" s="1318" t="s">
        <v>1320</v>
      </c>
      <c r="B322" s="1319"/>
      <c r="C322" s="1371"/>
      <c r="D322" s="1372"/>
      <c r="E322" s="677"/>
      <c r="F322" s="676"/>
      <c r="G322" s="670"/>
      <c r="H322" s="670">
        <f>SUM(H319:H321)</f>
        <v>9813</v>
      </c>
      <c r="I322" s="670"/>
      <c r="J322" s="670">
        <f>SUM(J319:J321)</f>
        <v>196261</v>
      </c>
      <c r="K322" s="670"/>
      <c r="L322" s="670"/>
      <c r="M322" s="670"/>
      <c r="N322" s="670">
        <f>SUM(N319:N321)</f>
        <v>206074</v>
      </c>
      <c r="O322" s="671"/>
    </row>
    <row r="323" spans="1:15" s="665" customFormat="1" ht="17.100000000000001" customHeight="1">
      <c r="A323" s="668">
        <f>A318+1</f>
        <v>80</v>
      </c>
      <c r="B323" s="1320" t="s">
        <v>1487</v>
      </c>
      <c r="C323" s="1320"/>
      <c r="D323" s="1320" t="s">
        <v>1378</v>
      </c>
      <c r="E323" s="1320"/>
      <c r="F323" s="669" t="s">
        <v>850</v>
      </c>
      <c r="G323" s="670"/>
      <c r="H323" s="670"/>
      <c r="I323" s="670"/>
      <c r="J323" s="670"/>
      <c r="K323" s="670"/>
      <c r="L323" s="670"/>
      <c r="M323" s="670"/>
      <c r="N323" s="670"/>
      <c r="O323" s="671"/>
    </row>
    <row r="324" spans="1:15" s="665" customFormat="1" ht="17.100000000000001" customHeight="1">
      <c r="A324" s="1316" t="s">
        <v>1488</v>
      </c>
      <c r="B324" s="1317"/>
      <c r="C324" s="1316" t="s">
        <v>394</v>
      </c>
      <c r="D324" s="1317"/>
      <c r="E324" s="677">
        <v>1</v>
      </c>
      <c r="F324" s="676" t="s">
        <v>850</v>
      </c>
      <c r="G324" s="670" t="e">
        <f>#REF!</f>
        <v>#REF!</v>
      </c>
      <c r="H324" s="670" t="e">
        <f>INT(E324*G324)</f>
        <v>#REF!</v>
      </c>
      <c r="I324" s="670" t="e">
        <f>#REF!</f>
        <v>#REF!</v>
      </c>
      <c r="J324" s="670" t="e">
        <f>INT(E324*I324)</f>
        <v>#REF!</v>
      </c>
      <c r="K324" s="670" t="e">
        <f>#REF!</f>
        <v>#REF!</v>
      </c>
      <c r="L324" s="670" t="e">
        <f>INT(E324*K324)</f>
        <v>#REF!</v>
      </c>
      <c r="M324" s="670" t="e">
        <f>G324+I324+K324</f>
        <v>#REF!</v>
      </c>
      <c r="N324" s="670" t="e">
        <f>H324+J324+L324</f>
        <v>#REF!</v>
      </c>
      <c r="O324" s="671"/>
    </row>
    <row r="325" spans="1:15" s="665" customFormat="1" ht="17.100000000000001" customHeight="1">
      <c r="A325" s="1318" t="s">
        <v>1320</v>
      </c>
      <c r="B325" s="1319"/>
      <c r="C325" s="1371"/>
      <c r="D325" s="1372"/>
      <c r="E325" s="677"/>
      <c r="F325" s="676"/>
      <c r="G325" s="670"/>
      <c r="H325" s="670" t="e">
        <f>SUM(H324:H324)</f>
        <v>#REF!</v>
      </c>
      <c r="I325" s="670"/>
      <c r="J325" s="670" t="e">
        <f>SUM(J324:J324)</f>
        <v>#REF!</v>
      </c>
      <c r="K325" s="670"/>
      <c r="L325" s="670" t="e">
        <f>SUM(L324:L324)</f>
        <v>#REF!</v>
      </c>
      <c r="M325" s="670"/>
      <c r="N325" s="670" t="e">
        <f>SUM(N324:N324)</f>
        <v>#REF!</v>
      </c>
      <c r="O325" s="671"/>
    </row>
    <row r="326" spans="1:15" s="665" customFormat="1" ht="17.100000000000001" customHeight="1">
      <c r="A326" s="668">
        <f>A323+1</f>
        <v>81</v>
      </c>
      <c r="B326" s="1320" t="s">
        <v>1487</v>
      </c>
      <c r="C326" s="1320"/>
      <c r="D326" s="1320" t="s">
        <v>1380</v>
      </c>
      <c r="E326" s="1320"/>
      <c r="F326" s="669" t="s">
        <v>850</v>
      </c>
      <c r="G326" s="670"/>
      <c r="H326" s="670"/>
      <c r="I326" s="670"/>
      <c r="J326" s="670"/>
      <c r="K326" s="670"/>
      <c r="L326" s="670"/>
      <c r="M326" s="670"/>
      <c r="N326" s="670"/>
      <c r="O326" s="671"/>
    </row>
    <row r="327" spans="1:15" s="665" customFormat="1" ht="17.100000000000001" customHeight="1">
      <c r="A327" s="1316" t="s">
        <v>1488</v>
      </c>
      <c r="B327" s="1317"/>
      <c r="C327" s="1316" t="s">
        <v>359</v>
      </c>
      <c r="D327" s="1317"/>
      <c r="E327" s="677">
        <v>1</v>
      </c>
      <c r="F327" s="676" t="s">
        <v>850</v>
      </c>
      <c r="G327" s="670" t="e">
        <f>#REF!</f>
        <v>#REF!</v>
      </c>
      <c r="H327" s="670" t="e">
        <f>INT(E327*G327)</f>
        <v>#REF!</v>
      </c>
      <c r="I327" s="670" t="e">
        <f>#REF!</f>
        <v>#REF!</v>
      </c>
      <c r="J327" s="670" t="e">
        <f>INT(E327*I327)</f>
        <v>#REF!</v>
      </c>
      <c r="K327" s="670" t="e">
        <f>#REF!</f>
        <v>#REF!</v>
      </c>
      <c r="L327" s="670" t="e">
        <f>INT(E327*K327)</f>
        <v>#REF!</v>
      </c>
      <c r="M327" s="670" t="e">
        <f>G327+I327+K327</f>
        <v>#REF!</v>
      </c>
      <c r="N327" s="670" t="e">
        <f>H327+J327+L327</f>
        <v>#REF!</v>
      </c>
      <c r="O327" s="671"/>
    </row>
    <row r="328" spans="1:15" s="665" customFormat="1" ht="17.100000000000001" customHeight="1">
      <c r="A328" s="1318" t="s">
        <v>1320</v>
      </c>
      <c r="B328" s="1319"/>
      <c r="C328" s="1371"/>
      <c r="D328" s="1372"/>
      <c r="E328" s="677"/>
      <c r="F328" s="676"/>
      <c r="G328" s="670"/>
      <c r="H328" s="670" t="e">
        <f>SUM(H327:H327)</f>
        <v>#REF!</v>
      </c>
      <c r="I328" s="670"/>
      <c r="J328" s="670" t="e">
        <f>SUM(J327:J327)</f>
        <v>#REF!</v>
      </c>
      <c r="K328" s="670"/>
      <c r="L328" s="670" t="e">
        <f>SUM(L327:L327)</f>
        <v>#REF!</v>
      </c>
      <c r="M328" s="670"/>
      <c r="N328" s="670" t="e">
        <f>SUM(N327:N327)</f>
        <v>#REF!</v>
      </c>
      <c r="O328" s="671"/>
    </row>
    <row r="329" spans="1:15" s="665" customFormat="1" ht="17.100000000000001" customHeight="1">
      <c r="A329" s="668">
        <f>A326+1</f>
        <v>82</v>
      </c>
      <c r="B329" s="1320" t="s">
        <v>1487</v>
      </c>
      <c r="C329" s="1320"/>
      <c r="D329" s="1320" t="s">
        <v>1381</v>
      </c>
      <c r="E329" s="1320"/>
      <c r="F329" s="669" t="s">
        <v>850</v>
      </c>
      <c r="G329" s="670"/>
      <c r="H329" s="670"/>
      <c r="I329" s="670"/>
      <c r="J329" s="670"/>
      <c r="K329" s="670"/>
      <c r="L329" s="670"/>
      <c r="M329" s="670"/>
      <c r="N329" s="670"/>
      <c r="O329" s="671"/>
    </row>
    <row r="330" spans="1:15" s="665" customFormat="1" ht="17.100000000000001" customHeight="1">
      <c r="A330" s="1316" t="s">
        <v>1488</v>
      </c>
      <c r="B330" s="1317"/>
      <c r="C330" s="1316" t="s">
        <v>399</v>
      </c>
      <c r="D330" s="1317"/>
      <c r="E330" s="677">
        <v>1</v>
      </c>
      <c r="F330" s="676" t="s">
        <v>850</v>
      </c>
      <c r="G330" s="670" t="e">
        <f>#REF!</f>
        <v>#REF!</v>
      </c>
      <c r="H330" s="670" t="e">
        <f>INT(E330*G330)</f>
        <v>#REF!</v>
      </c>
      <c r="I330" s="670" t="e">
        <f>#REF!</f>
        <v>#REF!</v>
      </c>
      <c r="J330" s="670" t="e">
        <f>INT(E330*I330)</f>
        <v>#REF!</v>
      </c>
      <c r="K330" s="670" t="e">
        <f>#REF!</f>
        <v>#REF!</v>
      </c>
      <c r="L330" s="670" t="e">
        <f>INT(E330*K330)</f>
        <v>#REF!</v>
      </c>
      <c r="M330" s="670" t="e">
        <f>G330+I330+K330</f>
        <v>#REF!</v>
      </c>
      <c r="N330" s="670" t="e">
        <f>H330+J330+L330</f>
        <v>#REF!</v>
      </c>
      <c r="O330" s="671"/>
    </row>
    <row r="331" spans="1:15" s="665" customFormat="1" ht="17.100000000000001" customHeight="1">
      <c r="A331" s="1318" t="s">
        <v>1320</v>
      </c>
      <c r="B331" s="1319"/>
      <c r="C331" s="1371"/>
      <c r="D331" s="1372"/>
      <c r="E331" s="677"/>
      <c r="F331" s="676"/>
      <c r="G331" s="670"/>
      <c r="H331" s="670" t="e">
        <f>SUM(H330:H330)</f>
        <v>#REF!</v>
      </c>
      <c r="I331" s="670"/>
      <c r="J331" s="670" t="e">
        <f>SUM(J330:J330)</f>
        <v>#REF!</v>
      </c>
      <c r="K331" s="670"/>
      <c r="L331" s="670" t="e">
        <f>SUM(L330:L330)</f>
        <v>#REF!</v>
      </c>
      <c r="M331" s="670"/>
      <c r="N331" s="670" t="e">
        <f>SUM(N330:N330)</f>
        <v>#REF!</v>
      </c>
      <c r="O331" s="671"/>
    </row>
    <row r="332" spans="1:15" s="665" customFormat="1" ht="17.100000000000001" customHeight="1">
      <c r="A332" s="668">
        <f>A329+1</f>
        <v>83</v>
      </c>
      <c r="B332" s="1320" t="s">
        <v>1487</v>
      </c>
      <c r="C332" s="1320"/>
      <c r="D332" s="1320" t="s">
        <v>1489</v>
      </c>
      <c r="E332" s="1320"/>
      <c r="F332" s="669" t="s">
        <v>850</v>
      </c>
      <c r="G332" s="670"/>
      <c r="H332" s="670"/>
      <c r="I332" s="670"/>
      <c r="J332" s="670"/>
      <c r="K332" s="670"/>
      <c r="L332" s="670"/>
      <c r="M332" s="670"/>
      <c r="N332" s="670"/>
      <c r="O332" s="671"/>
    </row>
    <row r="333" spans="1:15" s="665" customFormat="1" ht="17.100000000000001" customHeight="1">
      <c r="A333" s="1316" t="s">
        <v>1488</v>
      </c>
      <c r="B333" s="1317"/>
      <c r="C333" s="1316" t="s">
        <v>395</v>
      </c>
      <c r="D333" s="1317"/>
      <c r="E333" s="677">
        <v>1</v>
      </c>
      <c r="F333" s="676" t="s">
        <v>850</v>
      </c>
      <c r="G333" s="670" t="e">
        <f>#REF!</f>
        <v>#REF!</v>
      </c>
      <c r="H333" s="670" t="e">
        <f>INT(E333*G333)</f>
        <v>#REF!</v>
      </c>
      <c r="I333" s="670" t="e">
        <f>#REF!</f>
        <v>#REF!</v>
      </c>
      <c r="J333" s="670" t="e">
        <f>INT(E333*I333)</f>
        <v>#REF!</v>
      </c>
      <c r="K333" s="670" t="e">
        <f>#REF!</f>
        <v>#REF!</v>
      </c>
      <c r="L333" s="670" t="e">
        <f>INT(E333*K333)</f>
        <v>#REF!</v>
      </c>
      <c r="M333" s="670" t="e">
        <f>G333+I333+K333</f>
        <v>#REF!</v>
      </c>
      <c r="N333" s="670" t="e">
        <f>H333+J333+L333</f>
        <v>#REF!</v>
      </c>
      <c r="O333" s="671"/>
    </row>
    <row r="334" spans="1:15" s="665" customFormat="1" ht="17.100000000000001" customHeight="1">
      <c r="A334" s="1318" t="s">
        <v>1320</v>
      </c>
      <c r="B334" s="1319"/>
      <c r="C334" s="1371"/>
      <c r="D334" s="1372"/>
      <c r="E334" s="677"/>
      <c r="F334" s="676"/>
      <c r="G334" s="670"/>
      <c r="H334" s="670" t="e">
        <f>SUM(H333:H333)</f>
        <v>#REF!</v>
      </c>
      <c r="I334" s="670"/>
      <c r="J334" s="670" t="e">
        <f>SUM(J333:J333)</f>
        <v>#REF!</v>
      </c>
      <c r="K334" s="670"/>
      <c r="L334" s="670" t="e">
        <f>SUM(L333:L333)</f>
        <v>#REF!</v>
      </c>
      <c r="M334" s="670"/>
      <c r="N334" s="670" t="e">
        <f>SUM(N333:N333)</f>
        <v>#REF!</v>
      </c>
      <c r="O334" s="671"/>
    </row>
    <row r="335" spans="1:15" s="665" customFormat="1" ht="17.100000000000001" customHeight="1">
      <c r="A335" s="668">
        <f>A332+1</f>
        <v>84</v>
      </c>
      <c r="B335" s="1320" t="s">
        <v>1487</v>
      </c>
      <c r="C335" s="1320"/>
      <c r="D335" s="1320" t="s">
        <v>1490</v>
      </c>
      <c r="E335" s="1320"/>
      <c r="F335" s="669" t="s">
        <v>850</v>
      </c>
      <c r="G335" s="670"/>
      <c r="H335" s="670"/>
      <c r="I335" s="670"/>
      <c r="J335" s="670"/>
      <c r="K335" s="670"/>
      <c r="L335" s="670"/>
      <c r="M335" s="670"/>
      <c r="N335" s="670"/>
      <c r="O335" s="671"/>
    </row>
    <row r="336" spans="1:15" s="665" customFormat="1" ht="17.100000000000001" customHeight="1">
      <c r="A336" s="1316" t="s">
        <v>1488</v>
      </c>
      <c r="B336" s="1317"/>
      <c r="C336" s="1316" t="s">
        <v>359</v>
      </c>
      <c r="D336" s="1317"/>
      <c r="E336" s="677">
        <v>1</v>
      </c>
      <c r="F336" s="676" t="s">
        <v>850</v>
      </c>
      <c r="G336" s="670" t="e">
        <f>#REF!</f>
        <v>#REF!</v>
      </c>
      <c r="H336" s="670" t="e">
        <f>INT(E336*G336)</f>
        <v>#REF!</v>
      </c>
      <c r="I336" s="670" t="e">
        <f>#REF!</f>
        <v>#REF!</v>
      </c>
      <c r="J336" s="670" t="e">
        <f>INT(E336*I336)</f>
        <v>#REF!</v>
      </c>
      <c r="K336" s="670" t="e">
        <f>#REF!</f>
        <v>#REF!</v>
      </c>
      <c r="L336" s="670" t="e">
        <f>INT(E336*K336)</f>
        <v>#REF!</v>
      </c>
      <c r="M336" s="670" t="e">
        <f>G336+I336+K336</f>
        <v>#REF!</v>
      </c>
      <c r="N336" s="670" t="e">
        <f>H336+J336+L336</f>
        <v>#REF!</v>
      </c>
      <c r="O336" s="671"/>
    </row>
    <row r="337" spans="1:15" s="665" customFormat="1" ht="17.100000000000001" customHeight="1">
      <c r="A337" s="1318" t="s">
        <v>1320</v>
      </c>
      <c r="B337" s="1319"/>
      <c r="C337" s="1371"/>
      <c r="D337" s="1372"/>
      <c r="E337" s="677"/>
      <c r="F337" s="676"/>
      <c r="G337" s="670"/>
      <c r="H337" s="670" t="e">
        <f>SUM(H336:H336)</f>
        <v>#REF!</v>
      </c>
      <c r="I337" s="670"/>
      <c r="J337" s="670" t="e">
        <f>SUM(J336:J336)</f>
        <v>#REF!</v>
      </c>
      <c r="K337" s="670"/>
      <c r="L337" s="670" t="e">
        <f>SUM(L336:L336)</f>
        <v>#REF!</v>
      </c>
      <c r="M337" s="670"/>
      <c r="N337" s="670" t="e">
        <f>SUM(N336:N336)</f>
        <v>#REF!</v>
      </c>
      <c r="O337" s="671"/>
    </row>
    <row r="338" spans="1:15" s="665" customFormat="1" ht="17.100000000000001" customHeight="1">
      <c r="A338" s="668">
        <f>A335+1</f>
        <v>85</v>
      </c>
      <c r="B338" s="1320" t="s">
        <v>1491</v>
      </c>
      <c r="C338" s="1320"/>
      <c r="D338" s="1320" t="s">
        <v>1403</v>
      </c>
      <c r="E338" s="1320"/>
      <c r="F338" s="669" t="s">
        <v>850</v>
      </c>
      <c r="G338" s="670"/>
      <c r="H338" s="670"/>
      <c r="I338" s="670"/>
      <c r="J338" s="670"/>
      <c r="K338" s="670"/>
      <c r="L338" s="670"/>
      <c r="M338" s="670"/>
      <c r="N338" s="670"/>
      <c r="O338" s="671"/>
    </row>
    <row r="339" spans="1:15" s="665" customFormat="1" ht="17.100000000000001" customHeight="1">
      <c r="A339" s="1316" t="s">
        <v>1402</v>
      </c>
      <c r="B339" s="1317"/>
      <c r="C339" s="1338" t="s">
        <v>1403</v>
      </c>
      <c r="D339" s="1317"/>
      <c r="E339" s="677">
        <v>1</v>
      </c>
      <c r="F339" s="676" t="s">
        <v>850</v>
      </c>
      <c r="G339" s="670"/>
      <c r="H339" s="670"/>
      <c r="I339" s="670">
        <f>INT([53]노임단가!$T$5*5*12/450)</f>
        <v>22942</v>
      </c>
      <c r="J339" s="670">
        <f>INT(E339*I339)</f>
        <v>22942</v>
      </c>
      <c r="K339" s="670"/>
      <c r="L339" s="670"/>
      <c r="M339" s="670">
        <f>G339+I339+K339</f>
        <v>22942</v>
      </c>
      <c r="N339" s="670">
        <f>H339+J339+L339</f>
        <v>22942</v>
      </c>
      <c r="O339" s="671"/>
    </row>
    <row r="340" spans="1:15" s="665" customFormat="1" ht="17.100000000000001" customHeight="1">
      <c r="A340" s="1318" t="s">
        <v>1320</v>
      </c>
      <c r="B340" s="1319"/>
      <c r="C340" s="1371" t="s">
        <v>1406</v>
      </c>
      <c r="D340" s="1372"/>
      <c r="E340" s="677"/>
      <c r="F340" s="676"/>
      <c r="G340" s="670"/>
      <c r="H340" s="670"/>
      <c r="I340" s="670"/>
      <c r="J340" s="670"/>
      <c r="K340" s="670"/>
      <c r="L340" s="670">
        <f>H339+J339+L339</f>
        <v>22942</v>
      </c>
      <c r="M340" s="670"/>
      <c r="N340" s="670">
        <f>SUM(L340)</f>
        <v>22942</v>
      </c>
      <c r="O340" s="671"/>
    </row>
    <row r="341" spans="1:15" s="665" customFormat="1" ht="17.100000000000001" customHeight="1">
      <c r="A341" s="668">
        <f>A338+1</f>
        <v>86</v>
      </c>
      <c r="B341" s="1320" t="s">
        <v>1491</v>
      </c>
      <c r="C341" s="1320"/>
      <c r="D341" s="1320" t="s">
        <v>1378</v>
      </c>
      <c r="E341" s="1320"/>
      <c r="F341" s="669" t="s">
        <v>850</v>
      </c>
      <c r="G341" s="670"/>
      <c r="H341" s="670"/>
      <c r="I341" s="670"/>
      <c r="J341" s="670"/>
      <c r="K341" s="670"/>
      <c r="L341" s="670"/>
      <c r="M341" s="670"/>
      <c r="N341" s="670"/>
      <c r="O341" s="671"/>
    </row>
    <row r="342" spans="1:15" s="665" customFormat="1" ht="17.100000000000001" customHeight="1">
      <c r="A342" s="1316" t="s">
        <v>1492</v>
      </c>
      <c r="B342" s="1317"/>
      <c r="C342" s="1320" t="s">
        <v>394</v>
      </c>
      <c r="D342" s="1320"/>
      <c r="E342" s="677">
        <v>1</v>
      </c>
      <c r="F342" s="676" t="s">
        <v>850</v>
      </c>
      <c r="G342" s="670" t="e">
        <f>#REF!</f>
        <v>#REF!</v>
      </c>
      <c r="H342" s="670" t="e">
        <f>INT(E342*G342)</f>
        <v>#REF!</v>
      </c>
      <c r="I342" s="670" t="e">
        <f>#REF!</f>
        <v>#REF!</v>
      </c>
      <c r="J342" s="670" t="e">
        <f>INT(E342*I342)</f>
        <v>#REF!</v>
      </c>
      <c r="K342" s="670" t="e">
        <f>#REF!</f>
        <v>#REF!</v>
      </c>
      <c r="L342" s="670" t="e">
        <f>INT(E342*K342)</f>
        <v>#REF!</v>
      </c>
      <c r="M342" s="670" t="e">
        <f>G342+I342+K342</f>
        <v>#REF!</v>
      </c>
      <c r="N342" s="670" t="e">
        <f>H342+J342+L342</f>
        <v>#REF!</v>
      </c>
      <c r="O342" s="671"/>
    </row>
    <row r="343" spans="1:15" s="665" customFormat="1" ht="17.100000000000001" customHeight="1">
      <c r="A343" s="1318" t="s">
        <v>1320</v>
      </c>
      <c r="B343" s="1319"/>
      <c r="C343" s="1371" t="s">
        <v>1406</v>
      </c>
      <c r="D343" s="1372"/>
      <c r="E343" s="677"/>
      <c r="F343" s="676"/>
      <c r="G343" s="670"/>
      <c r="H343" s="670"/>
      <c r="I343" s="670"/>
      <c r="J343" s="670"/>
      <c r="K343" s="670"/>
      <c r="L343" s="670" t="e">
        <f>H342+J342+L342</f>
        <v>#REF!</v>
      </c>
      <c r="M343" s="670"/>
      <c r="N343" s="670" t="e">
        <f>SUM(L343)</f>
        <v>#REF!</v>
      </c>
      <c r="O343" s="671"/>
    </row>
    <row r="344" spans="1:15" s="665" customFormat="1" ht="17.100000000000001" customHeight="1">
      <c r="A344" s="668">
        <f>A341+1</f>
        <v>87</v>
      </c>
      <c r="B344" s="1320" t="s">
        <v>1491</v>
      </c>
      <c r="C344" s="1320"/>
      <c r="D344" s="1320" t="s">
        <v>1380</v>
      </c>
      <c r="E344" s="1320"/>
      <c r="F344" s="669" t="s">
        <v>850</v>
      </c>
      <c r="G344" s="670"/>
      <c r="H344" s="670"/>
      <c r="I344" s="670"/>
      <c r="J344" s="670"/>
      <c r="K344" s="670"/>
      <c r="L344" s="670"/>
      <c r="M344" s="670"/>
      <c r="N344" s="670"/>
      <c r="O344" s="671"/>
    </row>
    <row r="345" spans="1:15" s="665" customFormat="1" ht="17.100000000000001" customHeight="1">
      <c r="A345" s="1316" t="s">
        <v>1492</v>
      </c>
      <c r="B345" s="1317"/>
      <c r="C345" s="1320" t="s">
        <v>359</v>
      </c>
      <c r="D345" s="1320"/>
      <c r="E345" s="677">
        <v>1</v>
      </c>
      <c r="F345" s="676" t="s">
        <v>850</v>
      </c>
      <c r="G345" s="670" t="e">
        <f>#REF!</f>
        <v>#REF!</v>
      </c>
      <c r="H345" s="670" t="e">
        <f>INT(E345*G345)</f>
        <v>#REF!</v>
      </c>
      <c r="I345" s="670" t="e">
        <f>#REF!</f>
        <v>#REF!</v>
      </c>
      <c r="J345" s="670" t="e">
        <f>INT(E345*I345)</f>
        <v>#REF!</v>
      </c>
      <c r="K345" s="670" t="e">
        <f>#REF!</f>
        <v>#REF!</v>
      </c>
      <c r="L345" s="670" t="e">
        <f>INT(E345*K345)</f>
        <v>#REF!</v>
      </c>
      <c r="M345" s="670" t="e">
        <f>G345+I345+K345</f>
        <v>#REF!</v>
      </c>
      <c r="N345" s="670" t="e">
        <f>H345+J345+L345</f>
        <v>#REF!</v>
      </c>
      <c r="O345" s="671"/>
    </row>
    <row r="346" spans="1:15" s="665" customFormat="1" ht="17.100000000000001" customHeight="1">
      <c r="A346" s="1318" t="s">
        <v>1320</v>
      </c>
      <c r="B346" s="1319"/>
      <c r="C346" s="1371" t="s">
        <v>1406</v>
      </c>
      <c r="D346" s="1372"/>
      <c r="E346" s="677"/>
      <c r="F346" s="676"/>
      <c r="G346" s="670"/>
      <c r="H346" s="670"/>
      <c r="I346" s="670"/>
      <c r="J346" s="670"/>
      <c r="K346" s="670"/>
      <c r="L346" s="670" t="e">
        <f>H345+J345+L345</f>
        <v>#REF!</v>
      </c>
      <c r="M346" s="670"/>
      <c r="N346" s="670" t="e">
        <f>SUM(L346)</f>
        <v>#REF!</v>
      </c>
      <c r="O346" s="671"/>
    </row>
    <row r="347" spans="1:15" s="665" customFormat="1" ht="17.100000000000001" customHeight="1">
      <c r="A347" s="668">
        <f>A344+1</f>
        <v>88</v>
      </c>
      <c r="B347" s="1320" t="s">
        <v>1491</v>
      </c>
      <c r="C347" s="1320"/>
      <c r="D347" s="1320" t="s">
        <v>1381</v>
      </c>
      <c r="E347" s="1320"/>
      <c r="F347" s="669" t="s">
        <v>850</v>
      </c>
      <c r="G347" s="670"/>
      <c r="H347" s="670"/>
      <c r="I347" s="670"/>
      <c r="J347" s="670"/>
      <c r="K347" s="670"/>
      <c r="L347" s="670"/>
      <c r="M347" s="670"/>
      <c r="N347" s="670"/>
      <c r="O347" s="671"/>
    </row>
    <row r="348" spans="1:15" s="665" customFormat="1" ht="17.100000000000001" customHeight="1">
      <c r="A348" s="1316" t="s">
        <v>1492</v>
      </c>
      <c r="B348" s="1317"/>
      <c r="C348" s="1320" t="s">
        <v>399</v>
      </c>
      <c r="D348" s="1320"/>
      <c r="E348" s="677">
        <v>1</v>
      </c>
      <c r="F348" s="676" t="s">
        <v>850</v>
      </c>
      <c r="G348" s="670" t="e">
        <f>#REF!</f>
        <v>#REF!</v>
      </c>
      <c r="H348" s="670" t="e">
        <f>INT(E348*G348)</f>
        <v>#REF!</v>
      </c>
      <c r="I348" s="670" t="e">
        <f>#REF!</f>
        <v>#REF!</v>
      </c>
      <c r="J348" s="670" t="e">
        <f>INT(E348*I348)</f>
        <v>#REF!</v>
      </c>
      <c r="K348" s="670" t="e">
        <f>#REF!</f>
        <v>#REF!</v>
      </c>
      <c r="L348" s="670" t="e">
        <f>INT(E348*K348)</f>
        <v>#REF!</v>
      </c>
      <c r="M348" s="670" t="e">
        <f>G348+I348+K348</f>
        <v>#REF!</v>
      </c>
      <c r="N348" s="670" t="e">
        <f>H348+J348+L348</f>
        <v>#REF!</v>
      </c>
      <c r="O348" s="671"/>
    </row>
    <row r="349" spans="1:15" s="665" customFormat="1" ht="17.100000000000001" customHeight="1">
      <c r="A349" s="1318" t="s">
        <v>1320</v>
      </c>
      <c r="B349" s="1319"/>
      <c r="C349" s="1371" t="s">
        <v>1406</v>
      </c>
      <c r="D349" s="1372"/>
      <c r="E349" s="677"/>
      <c r="F349" s="676"/>
      <c r="G349" s="670"/>
      <c r="H349" s="670"/>
      <c r="I349" s="670"/>
      <c r="J349" s="670"/>
      <c r="K349" s="670"/>
      <c r="L349" s="670" t="e">
        <f>H348+J348+L348</f>
        <v>#REF!</v>
      </c>
      <c r="M349" s="670"/>
      <c r="N349" s="670" t="e">
        <f>SUM(L349)</f>
        <v>#REF!</v>
      </c>
      <c r="O349" s="671"/>
    </row>
    <row r="350" spans="1:15" s="665" customFormat="1" ht="17.100000000000001" customHeight="1">
      <c r="A350" s="668">
        <f>A347+1</f>
        <v>89</v>
      </c>
      <c r="B350" s="1320" t="s">
        <v>1491</v>
      </c>
      <c r="C350" s="1320"/>
      <c r="D350" s="1320" t="s">
        <v>1436</v>
      </c>
      <c r="E350" s="1320"/>
      <c r="F350" s="669" t="s">
        <v>850</v>
      </c>
      <c r="G350" s="670"/>
      <c r="H350" s="670"/>
      <c r="I350" s="670"/>
      <c r="J350" s="670"/>
      <c r="K350" s="670"/>
      <c r="L350" s="670"/>
      <c r="M350" s="670"/>
      <c r="N350" s="670"/>
      <c r="O350" s="671"/>
    </row>
    <row r="351" spans="1:15" s="665" customFormat="1" ht="17.100000000000001" customHeight="1">
      <c r="A351" s="1316" t="s">
        <v>1402</v>
      </c>
      <c r="B351" s="1317"/>
      <c r="C351" s="1320" t="s">
        <v>1436</v>
      </c>
      <c r="D351" s="1320"/>
      <c r="E351" s="677">
        <v>1</v>
      </c>
      <c r="F351" s="676" t="s">
        <v>850</v>
      </c>
      <c r="G351" s="670" t="e">
        <f>#REF!</f>
        <v>#REF!</v>
      </c>
      <c r="H351" s="670" t="e">
        <f>INT(E351*G351)</f>
        <v>#REF!</v>
      </c>
      <c r="I351" s="670" t="e">
        <f>#REF!</f>
        <v>#REF!</v>
      </c>
      <c r="J351" s="670" t="e">
        <f>INT(E351*I351)</f>
        <v>#REF!</v>
      </c>
      <c r="K351" s="670" t="e">
        <f>#REF!</f>
        <v>#REF!</v>
      </c>
      <c r="L351" s="670" t="e">
        <f>INT(E351*K351)</f>
        <v>#REF!</v>
      </c>
      <c r="M351" s="670" t="e">
        <f>G351+I351+K351</f>
        <v>#REF!</v>
      </c>
      <c r="N351" s="670" t="e">
        <f>H351+J351+L351</f>
        <v>#REF!</v>
      </c>
      <c r="O351" s="671"/>
    </row>
    <row r="352" spans="1:15" s="665" customFormat="1" ht="17.100000000000001" customHeight="1">
      <c r="A352" s="1318" t="s">
        <v>1320</v>
      </c>
      <c r="B352" s="1319"/>
      <c r="C352" s="1371" t="s">
        <v>1406</v>
      </c>
      <c r="D352" s="1372"/>
      <c r="E352" s="677"/>
      <c r="F352" s="676"/>
      <c r="G352" s="670"/>
      <c r="H352" s="670"/>
      <c r="I352" s="670"/>
      <c r="J352" s="670"/>
      <c r="K352" s="670"/>
      <c r="L352" s="670" t="e">
        <f>H351+J351+L351</f>
        <v>#REF!</v>
      </c>
      <c r="M352" s="670"/>
      <c r="N352" s="670" t="e">
        <f>SUM(L352)</f>
        <v>#REF!</v>
      </c>
      <c r="O352" s="671"/>
    </row>
    <row r="353" spans="1:15" s="665" customFormat="1" ht="17.100000000000001" customHeight="1">
      <c r="A353" s="668">
        <f>A350+1</f>
        <v>90</v>
      </c>
      <c r="B353" s="1320" t="s">
        <v>1493</v>
      </c>
      <c r="C353" s="1320"/>
      <c r="D353" s="1320" t="s">
        <v>1401</v>
      </c>
      <c r="E353" s="1320"/>
      <c r="F353" s="669" t="s">
        <v>850</v>
      </c>
      <c r="G353" s="670"/>
      <c r="H353" s="670"/>
      <c r="I353" s="670"/>
      <c r="J353" s="670"/>
      <c r="K353" s="670"/>
      <c r="L353" s="670"/>
      <c r="M353" s="670"/>
      <c r="N353" s="670"/>
      <c r="O353" s="671"/>
    </row>
    <row r="354" spans="1:15" s="665" customFormat="1" ht="17.100000000000001" customHeight="1">
      <c r="A354" s="1316" t="s">
        <v>1494</v>
      </c>
      <c r="B354" s="1317"/>
      <c r="C354" s="1316" t="s">
        <v>1405</v>
      </c>
      <c r="D354" s="1317"/>
      <c r="E354" s="677">
        <v>1</v>
      </c>
      <c r="F354" s="676" t="s">
        <v>850</v>
      </c>
      <c r="G354" s="670">
        <f>[53]운반공!$BI$199</f>
        <v>1542</v>
      </c>
      <c r="H354" s="670">
        <f>INT(E354*G354)</f>
        <v>1542</v>
      </c>
      <c r="I354" s="670">
        <f>[53]운반공!$BQ$199</f>
        <v>31908</v>
      </c>
      <c r="J354" s="670">
        <f>INT(E354*I354)</f>
        <v>31908</v>
      </c>
      <c r="K354" s="670">
        <f>[53]운반공!$BY$199</f>
        <v>4500</v>
      </c>
      <c r="L354" s="670">
        <f>INT(E354*K354)</f>
        <v>4500</v>
      </c>
      <c r="M354" s="670">
        <f>G354+I354+K354</f>
        <v>37950</v>
      </c>
      <c r="N354" s="670">
        <f>H354+J354+L354</f>
        <v>37950</v>
      </c>
      <c r="O354" s="671"/>
    </row>
    <row r="355" spans="1:15" s="665" customFormat="1" ht="17.100000000000001" customHeight="1">
      <c r="A355" s="1318" t="s">
        <v>1320</v>
      </c>
      <c r="B355" s="1319"/>
      <c r="C355" s="1371" t="s">
        <v>1406</v>
      </c>
      <c r="D355" s="1372"/>
      <c r="E355" s="677"/>
      <c r="F355" s="676"/>
      <c r="G355" s="670"/>
      <c r="H355" s="670"/>
      <c r="I355" s="670"/>
      <c r="J355" s="670"/>
      <c r="K355" s="670"/>
      <c r="L355" s="670">
        <f>H354+J354+L354</f>
        <v>37950</v>
      </c>
      <c r="M355" s="670"/>
      <c r="N355" s="670">
        <f>SUM(N354:N354)</f>
        <v>37950</v>
      </c>
      <c r="O355" s="671"/>
    </row>
    <row r="356" spans="1:15" s="665" customFormat="1" ht="17.100000000000001" customHeight="1">
      <c r="A356" s="668">
        <f>A353+1</f>
        <v>91</v>
      </c>
      <c r="B356" s="1320" t="s">
        <v>1493</v>
      </c>
      <c r="C356" s="1320"/>
      <c r="D356" s="1320" t="s">
        <v>1407</v>
      </c>
      <c r="E356" s="1320"/>
      <c r="F356" s="669" t="s">
        <v>850</v>
      </c>
      <c r="G356" s="670"/>
      <c r="H356" s="670"/>
      <c r="I356" s="670"/>
      <c r="J356" s="670"/>
      <c r="K356" s="670"/>
      <c r="L356" s="670"/>
      <c r="M356" s="670"/>
      <c r="N356" s="670"/>
      <c r="O356" s="671"/>
    </row>
    <row r="357" spans="1:15" s="665" customFormat="1" ht="17.100000000000001" customHeight="1">
      <c r="A357" s="1316" t="s">
        <v>1494</v>
      </c>
      <c r="B357" s="1317"/>
      <c r="C357" s="1316" t="s">
        <v>1408</v>
      </c>
      <c r="D357" s="1317"/>
      <c r="E357" s="677">
        <v>1</v>
      </c>
      <c r="F357" s="676" t="s">
        <v>850</v>
      </c>
      <c r="G357" s="670">
        <f>[53]운반공!$BI$200</f>
        <v>1481</v>
      </c>
      <c r="H357" s="670">
        <f>INT(E357*G357)</f>
        <v>1481</v>
      </c>
      <c r="I357" s="670">
        <f>[53]운반공!$BQ$200</f>
        <v>25140</v>
      </c>
      <c r="J357" s="670">
        <f>INT(E357*I357)</f>
        <v>25140</v>
      </c>
      <c r="K357" s="670">
        <f>[53]운반공!$BY$200</f>
        <v>4138</v>
      </c>
      <c r="L357" s="670">
        <f>INT(E357*K357)</f>
        <v>4138</v>
      </c>
      <c r="M357" s="670">
        <f>G357+I357+K357</f>
        <v>30759</v>
      </c>
      <c r="N357" s="670">
        <f>H357+J357+L357</f>
        <v>30759</v>
      </c>
      <c r="O357" s="671"/>
    </row>
    <row r="358" spans="1:15" s="665" customFormat="1" ht="17.100000000000001" customHeight="1">
      <c r="A358" s="1318" t="s">
        <v>1320</v>
      </c>
      <c r="B358" s="1319"/>
      <c r="C358" s="1371" t="s">
        <v>1406</v>
      </c>
      <c r="D358" s="1372"/>
      <c r="E358" s="677"/>
      <c r="F358" s="676"/>
      <c r="G358" s="670"/>
      <c r="H358" s="670"/>
      <c r="I358" s="670"/>
      <c r="J358" s="670"/>
      <c r="K358" s="670"/>
      <c r="L358" s="670">
        <f>H357+J357+L357</f>
        <v>30759</v>
      </c>
      <c r="M358" s="670"/>
      <c r="N358" s="670">
        <f>SUM(N357:N357)</f>
        <v>30759</v>
      </c>
      <c r="O358" s="671"/>
    </row>
    <row r="359" spans="1:15" s="665" customFormat="1" ht="17.100000000000001" customHeight="1">
      <c r="A359" s="668">
        <f>A356+1</f>
        <v>92</v>
      </c>
      <c r="B359" s="1320" t="s">
        <v>1495</v>
      </c>
      <c r="C359" s="1320"/>
      <c r="D359" s="1320" t="s">
        <v>1407</v>
      </c>
      <c r="E359" s="1320"/>
      <c r="F359" s="669" t="s">
        <v>850</v>
      </c>
      <c r="G359" s="670"/>
      <c r="H359" s="670"/>
      <c r="I359" s="670"/>
      <c r="J359" s="670"/>
      <c r="K359" s="670"/>
      <c r="L359" s="670"/>
      <c r="M359" s="670"/>
      <c r="N359" s="670"/>
      <c r="O359" s="671"/>
    </row>
    <row r="360" spans="1:15" s="665" customFormat="1" ht="17.100000000000001" customHeight="1">
      <c r="A360" s="1316" t="s">
        <v>1494</v>
      </c>
      <c r="B360" s="1317"/>
      <c r="C360" s="1316" t="s">
        <v>1410</v>
      </c>
      <c r="D360" s="1317"/>
      <c r="E360" s="677">
        <v>1</v>
      </c>
      <c r="F360" s="676" t="s">
        <v>850</v>
      </c>
      <c r="G360" s="670">
        <f>[53]운반공!$BI$201</f>
        <v>1481</v>
      </c>
      <c r="H360" s="670">
        <f>INT(E360*G360)</f>
        <v>1481</v>
      </c>
      <c r="I360" s="670">
        <f>[53]운반공!$BQ$201</f>
        <v>21832</v>
      </c>
      <c r="J360" s="670">
        <f>INT(E360*I360)</f>
        <v>21832</v>
      </c>
      <c r="K360" s="670">
        <f>[53]운반공!$BY$201</f>
        <v>3594</v>
      </c>
      <c r="L360" s="670">
        <f>INT(E360*K360)</f>
        <v>3594</v>
      </c>
      <c r="M360" s="670">
        <f>G360+I360+K360</f>
        <v>26907</v>
      </c>
      <c r="N360" s="670">
        <f>H360+J360+L360</f>
        <v>26907</v>
      </c>
      <c r="O360" s="671"/>
    </row>
    <row r="361" spans="1:15" s="665" customFormat="1" ht="17.100000000000001" customHeight="1">
      <c r="A361" s="1318" t="s">
        <v>1320</v>
      </c>
      <c r="B361" s="1319"/>
      <c r="C361" s="1371" t="s">
        <v>1406</v>
      </c>
      <c r="D361" s="1372"/>
      <c r="E361" s="677"/>
      <c r="F361" s="676"/>
      <c r="G361" s="670"/>
      <c r="H361" s="670"/>
      <c r="I361" s="670"/>
      <c r="J361" s="670"/>
      <c r="K361" s="670"/>
      <c r="L361" s="670">
        <f>H360+J360+L360</f>
        <v>26907</v>
      </c>
      <c r="M361" s="670"/>
      <c r="N361" s="670">
        <f>SUM(N360:N360)</f>
        <v>26907</v>
      </c>
      <c r="O361" s="671"/>
    </row>
    <row r="362" spans="1:15" s="665" customFormat="1" ht="17.100000000000001" customHeight="1">
      <c r="A362" s="668">
        <f>A359+1</f>
        <v>93</v>
      </c>
      <c r="B362" s="1320" t="s">
        <v>1496</v>
      </c>
      <c r="C362" s="1320"/>
      <c r="D362" s="1320" t="s">
        <v>1407</v>
      </c>
      <c r="E362" s="1320"/>
      <c r="F362" s="669" t="s">
        <v>850</v>
      </c>
      <c r="G362" s="670"/>
      <c r="H362" s="670"/>
      <c r="I362" s="670"/>
      <c r="J362" s="670"/>
      <c r="K362" s="670"/>
      <c r="L362" s="670"/>
      <c r="M362" s="670"/>
      <c r="N362" s="670"/>
      <c r="O362" s="671"/>
    </row>
    <row r="363" spans="1:15" s="665" customFormat="1" ht="17.100000000000001" customHeight="1">
      <c r="A363" s="1316" t="s">
        <v>1494</v>
      </c>
      <c r="B363" s="1317"/>
      <c r="C363" s="1316" t="s">
        <v>1412</v>
      </c>
      <c r="D363" s="1317"/>
      <c r="E363" s="677">
        <v>1</v>
      </c>
      <c r="F363" s="676" t="s">
        <v>850</v>
      </c>
      <c r="G363" s="670">
        <f>[53]운반공!$BI$202</f>
        <v>2434</v>
      </c>
      <c r="H363" s="670">
        <f>INT(E363*G363)</f>
        <v>2434</v>
      </c>
      <c r="I363" s="670">
        <f>[53]운반공!$BQ$202</f>
        <v>12763</v>
      </c>
      <c r="J363" s="670">
        <f>INT(E363*I363)</f>
        <v>12763</v>
      </c>
      <c r="K363" s="670">
        <f>[53]운반공!$BY$202</f>
        <v>2101</v>
      </c>
      <c r="L363" s="670">
        <f>INT(E363*K363)</f>
        <v>2101</v>
      </c>
      <c r="M363" s="670">
        <f>G363+I363+K363</f>
        <v>17298</v>
      </c>
      <c r="N363" s="670">
        <f>H363+J363+L363</f>
        <v>17298</v>
      </c>
      <c r="O363" s="671"/>
    </row>
    <row r="364" spans="1:15" s="665" customFormat="1" ht="17.100000000000001" customHeight="1">
      <c r="A364" s="1318" t="s">
        <v>1320</v>
      </c>
      <c r="B364" s="1319"/>
      <c r="C364" s="1371" t="s">
        <v>1406</v>
      </c>
      <c r="D364" s="1372"/>
      <c r="E364" s="677"/>
      <c r="F364" s="676"/>
      <c r="G364" s="670"/>
      <c r="H364" s="670"/>
      <c r="I364" s="670"/>
      <c r="J364" s="670"/>
      <c r="K364" s="670"/>
      <c r="L364" s="670">
        <f>H363+J363+L363</f>
        <v>17298</v>
      </c>
      <c r="M364" s="670"/>
      <c r="N364" s="670">
        <f>SUM(N363:N363)</f>
        <v>17298</v>
      </c>
      <c r="O364" s="671"/>
    </row>
    <row r="365" spans="1:15" s="665" customFormat="1" ht="17.100000000000001" customHeight="1">
      <c r="A365" s="668">
        <f>A362+1</f>
        <v>94</v>
      </c>
      <c r="B365" s="1320" t="s">
        <v>1496</v>
      </c>
      <c r="C365" s="1320"/>
      <c r="D365" s="1320" t="s">
        <v>1413</v>
      </c>
      <c r="E365" s="1320"/>
      <c r="F365" s="669" t="s">
        <v>850</v>
      </c>
      <c r="G365" s="670"/>
      <c r="H365" s="670"/>
      <c r="I365" s="670"/>
      <c r="J365" s="670"/>
      <c r="K365" s="670"/>
      <c r="L365" s="670"/>
      <c r="M365" s="670"/>
      <c r="N365" s="670"/>
      <c r="O365" s="671"/>
    </row>
    <row r="366" spans="1:15" s="665" customFormat="1" ht="17.100000000000001" customHeight="1">
      <c r="A366" s="1316" t="s">
        <v>1494</v>
      </c>
      <c r="B366" s="1317"/>
      <c r="C366" s="1316" t="s">
        <v>1414</v>
      </c>
      <c r="D366" s="1317"/>
      <c r="E366" s="677">
        <v>1</v>
      </c>
      <c r="F366" s="676" t="s">
        <v>850</v>
      </c>
      <c r="G366" s="670">
        <f>[53]운반공!$BI$203</f>
        <v>1547</v>
      </c>
      <c r="H366" s="670">
        <f>INT(E366*G366)</f>
        <v>1547</v>
      </c>
      <c r="I366" s="670">
        <f>[53]운반공!$BQ$203</f>
        <v>9001</v>
      </c>
      <c r="J366" s="670">
        <f>INT(E366*I366)</f>
        <v>9001</v>
      </c>
      <c r="K366" s="670">
        <f>[53]운반공!$BY$203</f>
        <v>2050</v>
      </c>
      <c r="L366" s="670">
        <f>INT(E366*K366)</f>
        <v>2050</v>
      </c>
      <c r="M366" s="670">
        <f>G366+I366+K366</f>
        <v>12598</v>
      </c>
      <c r="N366" s="670">
        <f>H366+J366+L366</f>
        <v>12598</v>
      </c>
      <c r="O366" s="671"/>
    </row>
    <row r="367" spans="1:15" s="665" customFormat="1" ht="17.100000000000001" customHeight="1">
      <c r="A367" s="1318" t="s">
        <v>1320</v>
      </c>
      <c r="B367" s="1319"/>
      <c r="C367" s="1371" t="s">
        <v>1406</v>
      </c>
      <c r="D367" s="1372"/>
      <c r="E367" s="677"/>
      <c r="F367" s="676"/>
      <c r="G367" s="670"/>
      <c r="H367" s="670"/>
      <c r="I367" s="670"/>
      <c r="J367" s="670"/>
      <c r="K367" s="670"/>
      <c r="L367" s="670">
        <f>H366+J366+L366</f>
        <v>12598</v>
      </c>
      <c r="M367" s="670"/>
      <c r="N367" s="670">
        <f>SUM(N366:N366)</f>
        <v>12598</v>
      </c>
      <c r="O367" s="671"/>
    </row>
    <row r="368" spans="1:15" s="665" customFormat="1" ht="17.100000000000001" customHeight="1">
      <c r="A368" s="668">
        <f>A365+1</f>
        <v>95</v>
      </c>
      <c r="B368" s="1320" t="s">
        <v>1497</v>
      </c>
      <c r="C368" s="1320"/>
      <c r="D368" s="1403" t="s">
        <v>1498</v>
      </c>
      <c r="E368" s="1320"/>
      <c r="F368" s="669" t="s">
        <v>850</v>
      </c>
      <c r="G368" s="670"/>
      <c r="H368" s="670"/>
      <c r="I368" s="670"/>
      <c r="J368" s="670"/>
      <c r="K368" s="670"/>
      <c r="L368" s="670"/>
      <c r="M368" s="670"/>
      <c r="N368" s="670"/>
      <c r="O368" s="671"/>
    </row>
    <row r="369" spans="1:15" s="665" customFormat="1" ht="17.100000000000001" customHeight="1">
      <c r="A369" s="1316" t="s">
        <v>1494</v>
      </c>
      <c r="B369" s="1317"/>
      <c r="C369" s="1316" t="s">
        <v>1418</v>
      </c>
      <c r="D369" s="1317"/>
      <c r="E369" s="677">
        <v>1</v>
      </c>
      <c r="F369" s="676" t="s">
        <v>850</v>
      </c>
      <c r="G369" s="670">
        <f>[53]운반공!$BI$234</f>
        <v>7087</v>
      </c>
      <c r="H369" s="670">
        <f>INT(E369*G369)</f>
        <v>7087</v>
      </c>
      <c r="I369" s="670">
        <f>[53]운반공!$BQ$234</f>
        <v>16349</v>
      </c>
      <c r="J369" s="670">
        <f>INT(E369*I369)</f>
        <v>16349</v>
      </c>
      <c r="K369" s="670">
        <f>[53]운반공!$BY$234</f>
        <v>6245</v>
      </c>
      <c r="L369" s="670">
        <f>INT(E369*K369)</f>
        <v>6245</v>
      </c>
      <c r="M369" s="670">
        <f>G369+I369+K369</f>
        <v>29681</v>
      </c>
      <c r="N369" s="670">
        <f>H369+J369+L369</f>
        <v>29681</v>
      </c>
      <c r="O369" s="671"/>
    </row>
    <row r="370" spans="1:15" s="665" customFormat="1" ht="17.100000000000001" customHeight="1">
      <c r="A370" s="1318" t="s">
        <v>1320</v>
      </c>
      <c r="B370" s="1319"/>
      <c r="C370" s="1371" t="s">
        <v>1406</v>
      </c>
      <c r="D370" s="1372"/>
      <c r="E370" s="677"/>
      <c r="F370" s="676"/>
      <c r="G370" s="670"/>
      <c r="H370" s="670"/>
      <c r="I370" s="670"/>
      <c r="J370" s="670"/>
      <c r="K370" s="670"/>
      <c r="L370" s="670">
        <f>H369+J369+L369</f>
        <v>29681</v>
      </c>
      <c r="M370" s="670"/>
      <c r="N370" s="670">
        <f>SUM(N369:N369)</f>
        <v>29681</v>
      </c>
      <c r="O370" s="671"/>
    </row>
    <row r="371" spans="1:15" s="665" customFormat="1" ht="17.100000000000001" customHeight="1">
      <c r="A371" s="668">
        <f>A368+1</f>
        <v>96</v>
      </c>
      <c r="B371" s="1320" t="s">
        <v>1497</v>
      </c>
      <c r="C371" s="1320"/>
      <c r="D371" s="1403" t="s">
        <v>1499</v>
      </c>
      <c r="E371" s="1320"/>
      <c r="F371" s="669" t="s">
        <v>850</v>
      </c>
      <c r="G371" s="670"/>
      <c r="H371" s="670"/>
      <c r="I371" s="670"/>
      <c r="J371" s="670"/>
      <c r="K371" s="670"/>
      <c r="L371" s="670"/>
      <c r="M371" s="670"/>
      <c r="N371" s="670"/>
      <c r="O371" s="671"/>
    </row>
    <row r="372" spans="1:15" s="665" customFormat="1" ht="17.100000000000001" customHeight="1">
      <c r="A372" s="1316" t="s">
        <v>1494</v>
      </c>
      <c r="B372" s="1317"/>
      <c r="C372" s="1316" t="s">
        <v>1420</v>
      </c>
      <c r="D372" s="1317"/>
      <c r="E372" s="677">
        <v>1</v>
      </c>
      <c r="F372" s="676" t="s">
        <v>850</v>
      </c>
      <c r="G372" s="670">
        <f>[53]운반공!$BI$235</f>
        <v>6403</v>
      </c>
      <c r="H372" s="670">
        <f>INT(E372*G372)</f>
        <v>6403</v>
      </c>
      <c r="I372" s="670">
        <f>[53]운반공!$BQ$235</f>
        <v>11052</v>
      </c>
      <c r="J372" s="670">
        <f>INT(E372*I372)</f>
        <v>11052</v>
      </c>
      <c r="K372" s="670">
        <f>[53]운반공!$BY$235</f>
        <v>6265</v>
      </c>
      <c r="L372" s="670">
        <f>INT(E372*K372)</f>
        <v>6265</v>
      </c>
      <c r="M372" s="670">
        <f>G372+I372+K372</f>
        <v>23720</v>
      </c>
      <c r="N372" s="670">
        <f>H372+J372+L372</f>
        <v>23720</v>
      </c>
      <c r="O372" s="671"/>
    </row>
    <row r="373" spans="1:15" s="665" customFormat="1" ht="17.100000000000001" customHeight="1">
      <c r="A373" s="1318" t="s">
        <v>1320</v>
      </c>
      <c r="B373" s="1319"/>
      <c r="C373" s="1371" t="s">
        <v>1406</v>
      </c>
      <c r="D373" s="1372"/>
      <c r="E373" s="677"/>
      <c r="F373" s="676"/>
      <c r="G373" s="670"/>
      <c r="H373" s="670"/>
      <c r="I373" s="670"/>
      <c r="J373" s="670"/>
      <c r="K373" s="670"/>
      <c r="L373" s="670">
        <f>H372+J372+L372</f>
        <v>23720</v>
      </c>
      <c r="M373" s="670"/>
      <c r="N373" s="670">
        <f>SUM(N372:N372)</f>
        <v>23720</v>
      </c>
      <c r="O373" s="671"/>
    </row>
    <row r="374" spans="1:15" s="665" customFormat="1" ht="17.100000000000001" customHeight="1">
      <c r="A374" s="668">
        <f>A371+1</f>
        <v>97</v>
      </c>
      <c r="B374" s="1320" t="s">
        <v>1497</v>
      </c>
      <c r="C374" s="1320"/>
      <c r="D374" s="1403" t="s">
        <v>1500</v>
      </c>
      <c r="E374" s="1320"/>
      <c r="F374" s="669" t="s">
        <v>850</v>
      </c>
      <c r="G374" s="670"/>
      <c r="H374" s="670"/>
      <c r="I374" s="670"/>
      <c r="J374" s="670"/>
      <c r="K374" s="670"/>
      <c r="L374" s="670"/>
      <c r="M374" s="670"/>
      <c r="N374" s="670"/>
      <c r="O374" s="671"/>
    </row>
    <row r="375" spans="1:15" s="665" customFormat="1" ht="17.100000000000001" customHeight="1">
      <c r="A375" s="1316" t="s">
        <v>1494</v>
      </c>
      <c r="B375" s="1317"/>
      <c r="C375" s="1316" t="s">
        <v>1501</v>
      </c>
      <c r="D375" s="1317"/>
      <c r="E375" s="677">
        <v>1</v>
      </c>
      <c r="F375" s="676" t="s">
        <v>850</v>
      </c>
      <c r="G375" s="670">
        <f>[53]운반공!$BI$236</f>
        <v>6403</v>
      </c>
      <c r="H375" s="670">
        <f>INT(E375*G375)</f>
        <v>6403</v>
      </c>
      <c r="I375" s="670">
        <f>[53]운반공!$BQ$236</f>
        <v>9321</v>
      </c>
      <c r="J375" s="670">
        <f>INT(E375*I375)</f>
        <v>9321</v>
      </c>
      <c r="K375" s="670">
        <f>[53]운반공!$BY$236</f>
        <v>6170</v>
      </c>
      <c r="L375" s="670">
        <f>INT(E375*K375)</f>
        <v>6170</v>
      </c>
      <c r="M375" s="670">
        <f>G375+I375+K375</f>
        <v>21894</v>
      </c>
      <c r="N375" s="670">
        <f>H375+J375+L375</f>
        <v>21894</v>
      </c>
      <c r="O375" s="671"/>
    </row>
    <row r="376" spans="1:15" s="665" customFormat="1" ht="17.100000000000001" customHeight="1">
      <c r="A376" s="1318" t="s">
        <v>1320</v>
      </c>
      <c r="B376" s="1319"/>
      <c r="C376" s="1371" t="s">
        <v>1406</v>
      </c>
      <c r="D376" s="1372"/>
      <c r="E376" s="677"/>
      <c r="F376" s="676"/>
      <c r="G376" s="670"/>
      <c r="H376" s="670"/>
      <c r="I376" s="670"/>
      <c r="J376" s="670"/>
      <c r="K376" s="670"/>
      <c r="L376" s="670">
        <f>H375+J375+L375</f>
        <v>21894</v>
      </c>
      <c r="M376" s="670"/>
      <c r="N376" s="670">
        <f>SUM(N375:N375)</f>
        <v>21894</v>
      </c>
      <c r="O376" s="671"/>
    </row>
    <row r="377" spans="1:15" s="665" customFormat="1" ht="17.100000000000001" customHeight="1">
      <c r="A377" s="668">
        <f>A374+1</f>
        <v>98</v>
      </c>
      <c r="B377" s="1320" t="s">
        <v>1502</v>
      </c>
      <c r="C377" s="1320"/>
      <c r="D377" s="1403" t="s">
        <v>1503</v>
      </c>
      <c r="E377" s="1320"/>
      <c r="F377" s="669" t="s">
        <v>850</v>
      </c>
      <c r="G377" s="670"/>
      <c r="H377" s="670"/>
      <c r="I377" s="670"/>
      <c r="J377" s="670"/>
      <c r="K377" s="670"/>
      <c r="L377" s="670"/>
      <c r="M377" s="670"/>
      <c r="N377" s="670"/>
      <c r="O377" s="671"/>
    </row>
    <row r="378" spans="1:15" s="665" customFormat="1" ht="17.100000000000001" customHeight="1">
      <c r="A378" s="1316" t="s">
        <v>1494</v>
      </c>
      <c r="B378" s="1317"/>
      <c r="C378" s="1316" t="s">
        <v>1437</v>
      </c>
      <c r="D378" s="1317"/>
      <c r="E378" s="677">
        <v>1</v>
      </c>
      <c r="F378" s="676" t="s">
        <v>850</v>
      </c>
      <c r="G378" s="670">
        <f>[53]운반공!$BI$237</f>
        <v>7087</v>
      </c>
      <c r="H378" s="670">
        <f>INT(E378*G378)</f>
        <v>7087</v>
      </c>
      <c r="I378" s="670">
        <f>[53]운반공!$BQ$237</f>
        <v>16349</v>
      </c>
      <c r="J378" s="670">
        <f>INT(E378*I378)</f>
        <v>16349</v>
      </c>
      <c r="K378" s="670">
        <f>[53]운반공!$BY$237</f>
        <v>6245</v>
      </c>
      <c r="L378" s="670">
        <f>INT(E378*K378)</f>
        <v>6245</v>
      </c>
      <c r="M378" s="670">
        <f>G378+I378+K378</f>
        <v>29681</v>
      </c>
      <c r="N378" s="670">
        <f>H378+J378+L378</f>
        <v>29681</v>
      </c>
      <c r="O378" s="671"/>
    </row>
    <row r="379" spans="1:15" s="665" customFormat="1" ht="17.100000000000001" customHeight="1">
      <c r="A379" s="1318" t="s">
        <v>1320</v>
      </c>
      <c r="B379" s="1319"/>
      <c r="C379" s="1371" t="s">
        <v>1406</v>
      </c>
      <c r="D379" s="1372"/>
      <c r="E379" s="677"/>
      <c r="F379" s="676"/>
      <c r="G379" s="670"/>
      <c r="H379" s="670"/>
      <c r="I379" s="670"/>
      <c r="J379" s="670"/>
      <c r="K379" s="670"/>
      <c r="L379" s="670">
        <f>H378+J378+L378</f>
        <v>29681</v>
      </c>
      <c r="M379" s="670"/>
      <c r="N379" s="670">
        <f>SUM(N378:N378)</f>
        <v>29681</v>
      </c>
      <c r="O379" s="671"/>
    </row>
    <row r="380" spans="1:15" s="665" customFormat="1" ht="17.100000000000001" customHeight="1">
      <c r="A380" s="668">
        <f>A377+1</f>
        <v>99</v>
      </c>
      <c r="B380" s="1320" t="s">
        <v>1502</v>
      </c>
      <c r="C380" s="1320"/>
      <c r="D380" s="1403" t="s">
        <v>1504</v>
      </c>
      <c r="E380" s="1320"/>
      <c r="F380" s="669" t="s">
        <v>850</v>
      </c>
      <c r="G380" s="670"/>
      <c r="H380" s="670"/>
      <c r="I380" s="670"/>
      <c r="J380" s="670"/>
      <c r="K380" s="670"/>
      <c r="L380" s="670"/>
      <c r="M380" s="670"/>
      <c r="N380" s="670"/>
      <c r="O380" s="671"/>
    </row>
    <row r="381" spans="1:15" s="665" customFormat="1" ht="17.100000000000001" customHeight="1">
      <c r="A381" s="1316" t="s">
        <v>1494</v>
      </c>
      <c r="B381" s="1317"/>
      <c r="C381" s="1316" t="s">
        <v>1440</v>
      </c>
      <c r="D381" s="1317"/>
      <c r="E381" s="677">
        <v>1</v>
      </c>
      <c r="F381" s="676" t="s">
        <v>850</v>
      </c>
      <c r="G381" s="670">
        <f>[53]운반공!$BI$238</f>
        <v>6403</v>
      </c>
      <c r="H381" s="670">
        <f>INT(E381*G381)</f>
        <v>6403</v>
      </c>
      <c r="I381" s="670">
        <f>[53]운반공!$BQ$238</f>
        <v>11052</v>
      </c>
      <c r="J381" s="670">
        <f>INT(E381*I381)</f>
        <v>11052</v>
      </c>
      <c r="K381" s="670">
        <f>[53]운반공!$BY$238</f>
        <v>6265</v>
      </c>
      <c r="L381" s="670">
        <f>INT(E381*K381)</f>
        <v>6265</v>
      </c>
      <c r="M381" s="670">
        <f>G381+I381+K381</f>
        <v>23720</v>
      </c>
      <c r="N381" s="670">
        <f>H381+J381+L381</f>
        <v>23720</v>
      </c>
      <c r="O381" s="671"/>
    </row>
    <row r="382" spans="1:15" s="665" customFormat="1" ht="17.100000000000001" customHeight="1">
      <c r="A382" s="1318" t="s">
        <v>1320</v>
      </c>
      <c r="B382" s="1319"/>
      <c r="C382" s="1371" t="s">
        <v>1406</v>
      </c>
      <c r="D382" s="1372"/>
      <c r="E382" s="677"/>
      <c r="F382" s="676"/>
      <c r="G382" s="670"/>
      <c r="H382" s="670"/>
      <c r="I382" s="670"/>
      <c r="J382" s="670"/>
      <c r="K382" s="670"/>
      <c r="L382" s="670">
        <f>H381+J381+L381</f>
        <v>23720</v>
      </c>
      <c r="M382" s="670"/>
      <c r="N382" s="670">
        <f>SUM(N381:N381)</f>
        <v>23720</v>
      </c>
      <c r="O382" s="671"/>
    </row>
    <row r="383" spans="1:15" s="665" customFormat="1" ht="17.100000000000001" customHeight="1">
      <c r="A383" s="668">
        <f>A380+1</f>
        <v>100</v>
      </c>
      <c r="B383" s="1320" t="s">
        <v>1502</v>
      </c>
      <c r="C383" s="1320"/>
      <c r="D383" s="1403" t="s">
        <v>1505</v>
      </c>
      <c r="E383" s="1320"/>
      <c r="F383" s="669" t="s">
        <v>850</v>
      </c>
      <c r="G383" s="670"/>
      <c r="H383" s="670"/>
      <c r="I383" s="670"/>
      <c r="J383" s="670"/>
      <c r="K383" s="670"/>
      <c r="L383" s="670"/>
      <c r="M383" s="670"/>
      <c r="N383" s="670"/>
      <c r="O383" s="671"/>
    </row>
    <row r="384" spans="1:15" s="665" customFormat="1" ht="17.100000000000001" customHeight="1">
      <c r="A384" s="1316" t="s">
        <v>1494</v>
      </c>
      <c r="B384" s="1317"/>
      <c r="C384" s="1316" t="s">
        <v>1506</v>
      </c>
      <c r="D384" s="1317"/>
      <c r="E384" s="677">
        <v>1</v>
      </c>
      <c r="F384" s="676" t="s">
        <v>850</v>
      </c>
      <c r="G384" s="670">
        <f>[53]운반공!$BI$239</f>
        <v>6403</v>
      </c>
      <c r="H384" s="670">
        <f>INT(E384*G384)</f>
        <v>6403</v>
      </c>
      <c r="I384" s="670">
        <f>[53]운반공!$BQ$239</f>
        <v>9321</v>
      </c>
      <c r="J384" s="670">
        <f>INT(E384*I384)</f>
        <v>9321</v>
      </c>
      <c r="K384" s="670">
        <f>[53]운반공!$BY$239</f>
        <v>6170</v>
      </c>
      <c r="L384" s="670">
        <f>INT(E384*K384)</f>
        <v>6170</v>
      </c>
      <c r="M384" s="670">
        <f>G384+I384+K384</f>
        <v>21894</v>
      </c>
      <c r="N384" s="670">
        <f>H384+J384+L384</f>
        <v>21894</v>
      </c>
      <c r="O384" s="671"/>
    </row>
    <row r="385" spans="1:15" s="665" customFormat="1" ht="17.100000000000001" customHeight="1">
      <c r="A385" s="1318" t="s">
        <v>1320</v>
      </c>
      <c r="B385" s="1319"/>
      <c r="C385" s="1371" t="s">
        <v>1406</v>
      </c>
      <c r="D385" s="1372"/>
      <c r="E385" s="677"/>
      <c r="F385" s="676"/>
      <c r="G385" s="670"/>
      <c r="H385" s="670"/>
      <c r="I385" s="670"/>
      <c r="J385" s="670"/>
      <c r="K385" s="670"/>
      <c r="L385" s="670">
        <f>H384+J384+L384</f>
        <v>21894</v>
      </c>
      <c r="M385" s="670"/>
      <c r="N385" s="670">
        <f>SUM(N384:N384)</f>
        <v>21894</v>
      </c>
      <c r="O385" s="671"/>
    </row>
    <row r="386" spans="1:15" s="665" customFormat="1" ht="17.100000000000001" customHeight="1">
      <c r="A386" s="668">
        <f>A383+1</f>
        <v>101</v>
      </c>
      <c r="B386" s="1320" t="s">
        <v>1507</v>
      </c>
      <c r="C386" s="1320"/>
      <c r="D386" s="1320" t="s">
        <v>1401</v>
      </c>
      <c r="E386" s="1320"/>
      <c r="F386" s="669" t="s">
        <v>850</v>
      </c>
      <c r="G386" s="670"/>
      <c r="H386" s="670"/>
      <c r="I386" s="670"/>
      <c r="J386" s="670"/>
      <c r="K386" s="670"/>
      <c r="L386" s="670"/>
      <c r="M386" s="670"/>
      <c r="N386" s="670"/>
      <c r="O386" s="671"/>
    </row>
    <row r="387" spans="1:15" s="665" customFormat="1" ht="17.100000000000001" customHeight="1">
      <c r="A387" s="1316" t="s">
        <v>1508</v>
      </c>
      <c r="B387" s="1317"/>
      <c r="C387" s="1316" t="s">
        <v>1405</v>
      </c>
      <c r="D387" s="1317"/>
      <c r="E387" s="677">
        <v>1</v>
      </c>
      <c r="F387" s="676" t="s">
        <v>850</v>
      </c>
      <c r="G387" s="670">
        <f>[53]운반공!$BI$270</f>
        <v>1512</v>
      </c>
      <c r="H387" s="670">
        <f>INT(E387*G387)</f>
        <v>1512</v>
      </c>
      <c r="I387" s="670">
        <f>[53]운반공!$BQ$270</f>
        <v>31705</v>
      </c>
      <c r="J387" s="670">
        <f>INT(E387*I387)</f>
        <v>31705</v>
      </c>
      <c r="K387" s="670">
        <f>[53]운반공!$BY$270</f>
        <v>4471</v>
      </c>
      <c r="L387" s="670">
        <f>INT(E387*K387)</f>
        <v>4471</v>
      </c>
      <c r="M387" s="670">
        <f>G387+I387+K387</f>
        <v>37688</v>
      </c>
      <c r="N387" s="670">
        <f>H387+J387+L387</f>
        <v>37688</v>
      </c>
      <c r="O387" s="671"/>
    </row>
    <row r="388" spans="1:15" s="665" customFormat="1" ht="17.100000000000001" customHeight="1">
      <c r="A388" s="1318" t="s">
        <v>1320</v>
      </c>
      <c r="B388" s="1319"/>
      <c r="C388" s="1371" t="s">
        <v>1406</v>
      </c>
      <c r="D388" s="1372"/>
      <c r="E388" s="677"/>
      <c r="F388" s="676"/>
      <c r="G388" s="670"/>
      <c r="H388" s="670"/>
      <c r="I388" s="670"/>
      <c r="J388" s="670"/>
      <c r="K388" s="670"/>
      <c r="L388" s="670">
        <f>H387+J387+L387</f>
        <v>37688</v>
      </c>
      <c r="M388" s="670"/>
      <c r="N388" s="670">
        <f>SUM(N387:N387)</f>
        <v>37688</v>
      </c>
      <c r="O388" s="671"/>
    </row>
    <row r="389" spans="1:15" s="665" customFormat="1" ht="17.100000000000001" customHeight="1">
      <c r="A389" s="668">
        <f>A386+1</f>
        <v>102</v>
      </c>
      <c r="B389" s="1320" t="s">
        <v>1507</v>
      </c>
      <c r="C389" s="1320"/>
      <c r="D389" s="1320" t="s">
        <v>1407</v>
      </c>
      <c r="E389" s="1320"/>
      <c r="F389" s="669" t="s">
        <v>850</v>
      </c>
      <c r="G389" s="670"/>
      <c r="H389" s="670"/>
      <c r="I389" s="670"/>
      <c r="J389" s="670"/>
      <c r="K389" s="670"/>
      <c r="L389" s="670"/>
      <c r="M389" s="670"/>
      <c r="N389" s="670"/>
      <c r="O389" s="671"/>
    </row>
    <row r="390" spans="1:15" s="665" customFormat="1" ht="17.100000000000001" customHeight="1">
      <c r="A390" s="1316" t="s">
        <v>1508</v>
      </c>
      <c r="B390" s="1317"/>
      <c r="C390" s="1316" t="s">
        <v>1408</v>
      </c>
      <c r="D390" s="1317"/>
      <c r="E390" s="677">
        <v>1</v>
      </c>
      <c r="F390" s="676" t="s">
        <v>850</v>
      </c>
      <c r="G390" s="670">
        <f>[53]운반공!$BI$271</f>
        <v>1451</v>
      </c>
      <c r="H390" s="670">
        <f>INT(E390*G390)</f>
        <v>1451</v>
      </c>
      <c r="I390" s="670">
        <f>[53]운반공!$BQ$271</f>
        <v>24889</v>
      </c>
      <c r="J390" s="670">
        <f>INT(E390*I390)</f>
        <v>24889</v>
      </c>
      <c r="K390" s="670">
        <f>[53]운반공!$BY$271</f>
        <v>4097</v>
      </c>
      <c r="L390" s="670">
        <f>INT(E390*K390)</f>
        <v>4097</v>
      </c>
      <c r="M390" s="670">
        <f>G390+I390+K390</f>
        <v>30437</v>
      </c>
      <c r="N390" s="670">
        <f>H390+J390+L390</f>
        <v>30437</v>
      </c>
      <c r="O390" s="671"/>
    </row>
    <row r="391" spans="1:15" s="665" customFormat="1" ht="17.100000000000001" customHeight="1">
      <c r="A391" s="1318" t="s">
        <v>1320</v>
      </c>
      <c r="B391" s="1319"/>
      <c r="C391" s="1371" t="s">
        <v>1406</v>
      </c>
      <c r="D391" s="1372"/>
      <c r="E391" s="677"/>
      <c r="F391" s="676"/>
      <c r="G391" s="670"/>
      <c r="H391" s="670"/>
      <c r="I391" s="670"/>
      <c r="J391" s="670"/>
      <c r="K391" s="670"/>
      <c r="L391" s="670">
        <f>H390+J390+L390</f>
        <v>30437</v>
      </c>
      <c r="M391" s="670"/>
      <c r="N391" s="670">
        <f>SUM(N390:N390)</f>
        <v>30437</v>
      </c>
      <c r="O391" s="671"/>
    </row>
    <row r="392" spans="1:15" s="665" customFormat="1" ht="17.100000000000001" customHeight="1">
      <c r="A392" s="668">
        <f>A389+1</f>
        <v>103</v>
      </c>
      <c r="B392" s="1320" t="s">
        <v>1509</v>
      </c>
      <c r="C392" s="1320"/>
      <c r="D392" s="1320" t="s">
        <v>1407</v>
      </c>
      <c r="E392" s="1320"/>
      <c r="F392" s="669" t="s">
        <v>850</v>
      </c>
      <c r="G392" s="670"/>
      <c r="H392" s="670"/>
      <c r="I392" s="670"/>
      <c r="J392" s="670"/>
      <c r="K392" s="670"/>
      <c r="L392" s="670"/>
      <c r="M392" s="670"/>
      <c r="N392" s="670"/>
      <c r="O392" s="671"/>
    </row>
    <row r="393" spans="1:15" s="665" customFormat="1" ht="17.100000000000001" customHeight="1">
      <c r="A393" s="1316" t="s">
        <v>1508</v>
      </c>
      <c r="B393" s="1317"/>
      <c r="C393" s="1316" t="s">
        <v>1410</v>
      </c>
      <c r="D393" s="1317"/>
      <c r="E393" s="677">
        <v>1</v>
      </c>
      <c r="F393" s="676" t="s">
        <v>850</v>
      </c>
      <c r="G393" s="670">
        <f>[53]운반공!$BI$272</f>
        <v>1451</v>
      </c>
      <c r="H393" s="670">
        <f>INT(E393*G393)</f>
        <v>1451</v>
      </c>
      <c r="I393" s="670">
        <f>[53]운반공!$BQ$272</f>
        <v>21642</v>
      </c>
      <c r="J393" s="670">
        <f>INT(E393*I393)</f>
        <v>21642</v>
      </c>
      <c r="K393" s="670">
        <f>[53]운반공!$BY$272</f>
        <v>3563</v>
      </c>
      <c r="L393" s="670">
        <f>INT(E393*K393)</f>
        <v>3563</v>
      </c>
      <c r="M393" s="670">
        <f>G393+I393+K393</f>
        <v>26656</v>
      </c>
      <c r="N393" s="670">
        <f>H393+J393+L393</f>
        <v>26656</v>
      </c>
      <c r="O393" s="671"/>
    </row>
    <row r="394" spans="1:15" s="665" customFormat="1" ht="17.100000000000001" customHeight="1">
      <c r="A394" s="1318" t="s">
        <v>1320</v>
      </c>
      <c r="B394" s="1319"/>
      <c r="C394" s="1371" t="s">
        <v>1406</v>
      </c>
      <c r="D394" s="1372"/>
      <c r="E394" s="677"/>
      <c r="F394" s="676"/>
      <c r="G394" s="670"/>
      <c r="H394" s="670"/>
      <c r="I394" s="670"/>
      <c r="J394" s="670"/>
      <c r="K394" s="670"/>
      <c r="L394" s="670">
        <f>H393+J393+L393</f>
        <v>26656</v>
      </c>
      <c r="M394" s="670"/>
      <c r="N394" s="670">
        <f>SUM(N393:N393)</f>
        <v>26656</v>
      </c>
      <c r="O394" s="671"/>
    </row>
    <row r="395" spans="1:15" s="665" customFormat="1" ht="17.100000000000001" customHeight="1">
      <c r="A395" s="668">
        <f>A392+1</f>
        <v>104</v>
      </c>
      <c r="B395" s="1320" t="s">
        <v>1510</v>
      </c>
      <c r="C395" s="1320"/>
      <c r="D395" s="1320" t="s">
        <v>1407</v>
      </c>
      <c r="E395" s="1320"/>
      <c r="F395" s="669" t="s">
        <v>850</v>
      </c>
      <c r="G395" s="670"/>
      <c r="H395" s="670"/>
      <c r="I395" s="670"/>
      <c r="J395" s="670"/>
      <c r="K395" s="670"/>
      <c r="L395" s="670"/>
      <c r="M395" s="670"/>
      <c r="N395" s="670"/>
      <c r="O395" s="671"/>
    </row>
    <row r="396" spans="1:15" s="665" customFormat="1" ht="17.100000000000001" customHeight="1">
      <c r="A396" s="1316" t="s">
        <v>1508</v>
      </c>
      <c r="B396" s="1317"/>
      <c r="C396" s="1316" t="s">
        <v>1412</v>
      </c>
      <c r="D396" s="1317"/>
      <c r="E396" s="677">
        <v>1</v>
      </c>
      <c r="F396" s="676" t="s">
        <v>850</v>
      </c>
      <c r="G396" s="670">
        <f>[53]운반공!$BI$273</f>
        <v>2397</v>
      </c>
      <c r="H396" s="670">
        <f>INT(E396*G396)</f>
        <v>2397</v>
      </c>
      <c r="I396" s="670">
        <f>[53]운반공!$BQ$273</f>
        <v>12570</v>
      </c>
      <c r="J396" s="670">
        <f>INT(E396*I396)</f>
        <v>12570</v>
      </c>
      <c r="K396" s="670">
        <f>[53]운반공!$BY$273</f>
        <v>2069</v>
      </c>
      <c r="L396" s="670">
        <f>INT(E396*K396)</f>
        <v>2069</v>
      </c>
      <c r="M396" s="670">
        <f>G396+I396+K396</f>
        <v>17036</v>
      </c>
      <c r="N396" s="670">
        <f>H396+J396+L396</f>
        <v>17036</v>
      </c>
      <c r="O396" s="671"/>
    </row>
    <row r="397" spans="1:15" s="665" customFormat="1" ht="17.100000000000001" customHeight="1">
      <c r="A397" s="1318" t="s">
        <v>1320</v>
      </c>
      <c r="B397" s="1319"/>
      <c r="C397" s="1371" t="s">
        <v>1406</v>
      </c>
      <c r="D397" s="1372"/>
      <c r="E397" s="677"/>
      <c r="F397" s="676"/>
      <c r="G397" s="670"/>
      <c r="H397" s="670"/>
      <c r="I397" s="670"/>
      <c r="J397" s="670"/>
      <c r="K397" s="670"/>
      <c r="L397" s="670">
        <f>H396+J396+L396</f>
        <v>17036</v>
      </c>
      <c r="M397" s="670"/>
      <c r="N397" s="670">
        <f>SUM(N396:N396)</f>
        <v>17036</v>
      </c>
      <c r="O397" s="671"/>
    </row>
    <row r="398" spans="1:15" s="665" customFormat="1" ht="17.100000000000001" customHeight="1">
      <c r="A398" s="668">
        <f>A395+1</f>
        <v>105</v>
      </c>
      <c r="B398" s="1320" t="s">
        <v>1510</v>
      </c>
      <c r="C398" s="1320"/>
      <c r="D398" s="1320" t="s">
        <v>1413</v>
      </c>
      <c r="E398" s="1320"/>
      <c r="F398" s="669" t="s">
        <v>850</v>
      </c>
      <c r="G398" s="670"/>
      <c r="H398" s="670"/>
      <c r="I398" s="670"/>
      <c r="J398" s="670"/>
      <c r="K398" s="670"/>
      <c r="L398" s="670"/>
      <c r="M398" s="670"/>
      <c r="N398" s="670"/>
      <c r="O398" s="671"/>
    </row>
    <row r="399" spans="1:15" s="665" customFormat="1" ht="17.100000000000001" customHeight="1">
      <c r="A399" s="1316" t="s">
        <v>1508</v>
      </c>
      <c r="B399" s="1317"/>
      <c r="C399" s="1316" t="s">
        <v>1414</v>
      </c>
      <c r="D399" s="1317"/>
      <c r="E399" s="677">
        <v>1</v>
      </c>
      <c r="F399" s="676" t="s">
        <v>850</v>
      </c>
      <c r="G399" s="670">
        <f>[53]운반공!$BI$274</f>
        <v>1514</v>
      </c>
      <c r="H399" s="670">
        <f>INT(E399*G399)</f>
        <v>1514</v>
      </c>
      <c r="I399" s="670">
        <f>[53]운반공!$BQ$274</f>
        <v>8888</v>
      </c>
      <c r="J399" s="670">
        <f>INT(E399*I399)</f>
        <v>8888</v>
      </c>
      <c r="K399" s="670">
        <f>[53]운반공!$BY$274</f>
        <v>2024</v>
      </c>
      <c r="L399" s="670">
        <f>INT(E399*K399)</f>
        <v>2024</v>
      </c>
      <c r="M399" s="670">
        <f>G399+I399+K399</f>
        <v>12426</v>
      </c>
      <c r="N399" s="670">
        <f>H399+J399+L399</f>
        <v>12426</v>
      </c>
      <c r="O399" s="671"/>
    </row>
    <row r="400" spans="1:15" s="665" customFormat="1" ht="17.100000000000001" customHeight="1">
      <c r="A400" s="1318" t="s">
        <v>1320</v>
      </c>
      <c r="B400" s="1319"/>
      <c r="C400" s="1371" t="s">
        <v>1406</v>
      </c>
      <c r="D400" s="1372"/>
      <c r="E400" s="677"/>
      <c r="F400" s="676"/>
      <c r="G400" s="670"/>
      <c r="H400" s="670"/>
      <c r="I400" s="670"/>
      <c r="J400" s="670"/>
      <c r="K400" s="670"/>
      <c r="L400" s="670">
        <f>H399+J399+L399</f>
        <v>12426</v>
      </c>
      <c r="M400" s="670"/>
      <c r="N400" s="670">
        <f>SUM(N399:N399)</f>
        <v>12426</v>
      </c>
      <c r="O400" s="671"/>
    </row>
    <row r="401" spans="1:15" s="665" customFormat="1" ht="17.100000000000001" customHeight="1">
      <c r="A401" s="668">
        <f>A398+1</f>
        <v>106</v>
      </c>
      <c r="B401" s="1320" t="s">
        <v>1511</v>
      </c>
      <c r="C401" s="1320"/>
      <c r="D401" s="1403" t="s">
        <v>1498</v>
      </c>
      <c r="E401" s="1320"/>
      <c r="F401" s="669" t="s">
        <v>850</v>
      </c>
      <c r="G401" s="670"/>
      <c r="H401" s="670"/>
      <c r="I401" s="670"/>
      <c r="J401" s="670"/>
      <c r="K401" s="670"/>
      <c r="L401" s="670"/>
      <c r="M401" s="670"/>
      <c r="N401" s="670"/>
      <c r="O401" s="671"/>
    </row>
    <row r="402" spans="1:15" s="665" customFormat="1" ht="17.100000000000001" customHeight="1">
      <c r="A402" s="1316" t="s">
        <v>1508</v>
      </c>
      <c r="B402" s="1317"/>
      <c r="C402" s="1316" t="s">
        <v>1418</v>
      </c>
      <c r="D402" s="1317"/>
      <c r="E402" s="677">
        <v>1</v>
      </c>
      <c r="F402" s="676" t="s">
        <v>850</v>
      </c>
      <c r="G402" s="670">
        <f>[53]운반공!$BI$305</f>
        <v>6924</v>
      </c>
      <c r="H402" s="670">
        <f>INT(E402*G402)</f>
        <v>6924</v>
      </c>
      <c r="I402" s="670">
        <f>[53]운반공!$BQ$305</f>
        <v>16038</v>
      </c>
      <c r="J402" s="670">
        <f>INT(E402*I402)</f>
        <v>16038</v>
      </c>
      <c r="K402" s="670">
        <f>[53]운반공!$BY$305</f>
        <v>6127</v>
      </c>
      <c r="L402" s="670">
        <f>INT(E402*K402)</f>
        <v>6127</v>
      </c>
      <c r="M402" s="670">
        <f>G402+I402+K402</f>
        <v>29089</v>
      </c>
      <c r="N402" s="670">
        <f>H402+J402+L402</f>
        <v>29089</v>
      </c>
      <c r="O402" s="671"/>
    </row>
    <row r="403" spans="1:15" s="665" customFormat="1" ht="17.100000000000001" customHeight="1">
      <c r="A403" s="1318" t="s">
        <v>1320</v>
      </c>
      <c r="B403" s="1319"/>
      <c r="C403" s="1371" t="s">
        <v>1406</v>
      </c>
      <c r="D403" s="1372"/>
      <c r="E403" s="677"/>
      <c r="F403" s="676"/>
      <c r="G403" s="670"/>
      <c r="H403" s="670"/>
      <c r="I403" s="670"/>
      <c r="J403" s="670"/>
      <c r="K403" s="670"/>
      <c r="L403" s="670">
        <f>H402+J402+L402</f>
        <v>29089</v>
      </c>
      <c r="M403" s="670"/>
      <c r="N403" s="670">
        <f>SUM(N402:N402)</f>
        <v>29089</v>
      </c>
      <c r="O403" s="671"/>
    </row>
    <row r="404" spans="1:15" s="665" customFormat="1" ht="17.100000000000001" customHeight="1">
      <c r="A404" s="668">
        <f>A401+1</f>
        <v>107</v>
      </c>
      <c r="B404" s="1320" t="s">
        <v>1511</v>
      </c>
      <c r="C404" s="1320"/>
      <c r="D404" s="1403" t="s">
        <v>1499</v>
      </c>
      <c r="E404" s="1320"/>
      <c r="F404" s="669" t="s">
        <v>850</v>
      </c>
      <c r="G404" s="670"/>
      <c r="H404" s="670"/>
      <c r="I404" s="670"/>
      <c r="J404" s="670"/>
      <c r="K404" s="670"/>
      <c r="L404" s="670"/>
      <c r="M404" s="670"/>
      <c r="N404" s="670"/>
      <c r="O404" s="671"/>
    </row>
    <row r="405" spans="1:15" s="665" customFormat="1" ht="17.100000000000001" customHeight="1">
      <c r="A405" s="1316" t="s">
        <v>1508</v>
      </c>
      <c r="B405" s="1317"/>
      <c r="C405" s="1316" t="s">
        <v>1420</v>
      </c>
      <c r="D405" s="1317"/>
      <c r="E405" s="677">
        <v>1</v>
      </c>
      <c r="F405" s="676" t="s">
        <v>850</v>
      </c>
      <c r="G405" s="670">
        <f>[53]운반공!$BI$306</f>
        <v>6265</v>
      </c>
      <c r="H405" s="670">
        <f>INT(E405*G405)</f>
        <v>6265</v>
      </c>
      <c r="I405" s="670">
        <f>[53]운반공!$BQ$306</f>
        <v>10869</v>
      </c>
      <c r="J405" s="670">
        <f>INT(E405*I405)</f>
        <v>10869</v>
      </c>
      <c r="K405" s="670">
        <f>[53]운반공!$BY$306</f>
        <v>6161</v>
      </c>
      <c r="L405" s="670">
        <f>INT(E405*K405)</f>
        <v>6161</v>
      </c>
      <c r="M405" s="670">
        <f>G405+I405+K405</f>
        <v>23295</v>
      </c>
      <c r="N405" s="670">
        <f>H405+J405+L405</f>
        <v>23295</v>
      </c>
      <c r="O405" s="671"/>
    </row>
    <row r="406" spans="1:15" s="665" customFormat="1" ht="17.100000000000001" customHeight="1">
      <c r="A406" s="1318" t="s">
        <v>1320</v>
      </c>
      <c r="B406" s="1319"/>
      <c r="C406" s="1371" t="s">
        <v>1406</v>
      </c>
      <c r="D406" s="1372"/>
      <c r="E406" s="677"/>
      <c r="F406" s="676"/>
      <c r="G406" s="670"/>
      <c r="H406" s="670"/>
      <c r="I406" s="670"/>
      <c r="J406" s="670"/>
      <c r="K406" s="670"/>
      <c r="L406" s="670">
        <f>H405+J405+L405</f>
        <v>23295</v>
      </c>
      <c r="M406" s="670"/>
      <c r="N406" s="670">
        <f>SUM(N405:N405)</f>
        <v>23295</v>
      </c>
      <c r="O406" s="671"/>
    </row>
    <row r="407" spans="1:15" s="665" customFormat="1" ht="17.100000000000001" customHeight="1">
      <c r="A407" s="668">
        <f>A404+1</f>
        <v>108</v>
      </c>
      <c r="B407" s="1320" t="s">
        <v>1511</v>
      </c>
      <c r="C407" s="1320"/>
      <c r="D407" s="1403" t="s">
        <v>1500</v>
      </c>
      <c r="E407" s="1320"/>
      <c r="F407" s="669" t="s">
        <v>850</v>
      </c>
      <c r="G407" s="670"/>
      <c r="H407" s="670"/>
      <c r="I407" s="670"/>
      <c r="J407" s="670"/>
      <c r="K407" s="670"/>
      <c r="L407" s="670"/>
      <c r="M407" s="670"/>
      <c r="N407" s="670"/>
      <c r="O407" s="671"/>
    </row>
    <row r="408" spans="1:15" s="665" customFormat="1" ht="17.100000000000001" customHeight="1">
      <c r="A408" s="1316" t="s">
        <v>1508</v>
      </c>
      <c r="B408" s="1317"/>
      <c r="C408" s="1316" t="s">
        <v>1501</v>
      </c>
      <c r="D408" s="1317"/>
      <c r="E408" s="677">
        <v>1</v>
      </c>
      <c r="F408" s="676" t="s">
        <v>850</v>
      </c>
      <c r="G408" s="670">
        <f>[53]운반공!$BI$307</f>
        <v>6265</v>
      </c>
      <c r="H408" s="670">
        <f>INT(E408*G408)</f>
        <v>6265</v>
      </c>
      <c r="I408" s="670">
        <f>[53]운반공!$BQ$307</f>
        <v>9167</v>
      </c>
      <c r="J408" s="670">
        <f>INT(E408*I408)</f>
        <v>9167</v>
      </c>
      <c r="K408" s="670">
        <f>[53]운반공!$BY$307</f>
        <v>6068</v>
      </c>
      <c r="L408" s="670">
        <f>INT(E408*K408)</f>
        <v>6068</v>
      </c>
      <c r="M408" s="670">
        <f>G408+I408+K408</f>
        <v>21500</v>
      </c>
      <c r="N408" s="670">
        <f>H408+J408+L408</f>
        <v>21500</v>
      </c>
      <c r="O408" s="671"/>
    </row>
    <row r="409" spans="1:15" s="665" customFormat="1" ht="17.100000000000001" customHeight="1">
      <c r="A409" s="1318" t="s">
        <v>1320</v>
      </c>
      <c r="B409" s="1319"/>
      <c r="C409" s="1371" t="s">
        <v>1406</v>
      </c>
      <c r="D409" s="1372"/>
      <c r="E409" s="677"/>
      <c r="F409" s="676"/>
      <c r="G409" s="670"/>
      <c r="H409" s="670"/>
      <c r="I409" s="670"/>
      <c r="J409" s="670"/>
      <c r="K409" s="670"/>
      <c r="L409" s="670">
        <f>H408+J408+L408</f>
        <v>21500</v>
      </c>
      <c r="M409" s="670"/>
      <c r="N409" s="670">
        <f>SUM(N408:N408)</f>
        <v>21500</v>
      </c>
      <c r="O409" s="671"/>
    </row>
    <row r="410" spans="1:15" s="665" customFormat="1" ht="17.100000000000001" customHeight="1">
      <c r="A410" s="668">
        <f>A407+1</f>
        <v>109</v>
      </c>
      <c r="B410" s="1320" t="s">
        <v>1512</v>
      </c>
      <c r="C410" s="1320"/>
      <c r="D410" s="1403" t="s">
        <v>1503</v>
      </c>
      <c r="E410" s="1320"/>
      <c r="F410" s="669" t="s">
        <v>850</v>
      </c>
      <c r="G410" s="670"/>
      <c r="H410" s="670"/>
      <c r="I410" s="670"/>
      <c r="J410" s="670"/>
      <c r="K410" s="670"/>
      <c r="L410" s="670"/>
      <c r="M410" s="670"/>
      <c r="N410" s="670"/>
      <c r="O410" s="671"/>
    </row>
    <row r="411" spans="1:15" s="665" customFormat="1" ht="17.100000000000001" customHeight="1">
      <c r="A411" s="1316" t="s">
        <v>1508</v>
      </c>
      <c r="B411" s="1317"/>
      <c r="C411" s="1316" t="s">
        <v>1437</v>
      </c>
      <c r="D411" s="1317"/>
      <c r="E411" s="677">
        <v>1</v>
      </c>
      <c r="F411" s="676" t="s">
        <v>850</v>
      </c>
      <c r="G411" s="670">
        <f>[53]운반공!$BI$308</f>
        <v>6924</v>
      </c>
      <c r="H411" s="670">
        <f>INT(E411*G411)</f>
        <v>6924</v>
      </c>
      <c r="I411" s="670">
        <f>[53]운반공!$BQ$308</f>
        <v>16038</v>
      </c>
      <c r="J411" s="670">
        <f>INT(E411*I411)</f>
        <v>16038</v>
      </c>
      <c r="K411" s="670">
        <f>[53]운반공!$BY$308</f>
        <v>6127</v>
      </c>
      <c r="L411" s="670">
        <f>INT(E411*K411)</f>
        <v>6127</v>
      </c>
      <c r="M411" s="670">
        <f>G411+I411+K411</f>
        <v>29089</v>
      </c>
      <c r="N411" s="670">
        <f>H411+J411+L411</f>
        <v>29089</v>
      </c>
      <c r="O411" s="671"/>
    </row>
    <row r="412" spans="1:15" s="665" customFormat="1" ht="17.100000000000001" customHeight="1">
      <c r="A412" s="1318" t="s">
        <v>1320</v>
      </c>
      <c r="B412" s="1319"/>
      <c r="C412" s="1371" t="s">
        <v>1406</v>
      </c>
      <c r="D412" s="1372"/>
      <c r="E412" s="677"/>
      <c r="F412" s="676"/>
      <c r="G412" s="670"/>
      <c r="H412" s="670"/>
      <c r="I412" s="670"/>
      <c r="J412" s="670"/>
      <c r="K412" s="670"/>
      <c r="L412" s="670">
        <f>H411+J411+L411</f>
        <v>29089</v>
      </c>
      <c r="M412" s="670"/>
      <c r="N412" s="670">
        <f>SUM(N411:N411)</f>
        <v>29089</v>
      </c>
      <c r="O412" s="671"/>
    </row>
    <row r="413" spans="1:15" s="665" customFormat="1" ht="17.100000000000001" customHeight="1">
      <c r="A413" s="668">
        <f>A410+1</f>
        <v>110</v>
      </c>
      <c r="B413" s="1320" t="s">
        <v>1512</v>
      </c>
      <c r="C413" s="1320"/>
      <c r="D413" s="1403" t="s">
        <v>1504</v>
      </c>
      <c r="E413" s="1320"/>
      <c r="F413" s="669" t="s">
        <v>850</v>
      </c>
      <c r="G413" s="670"/>
      <c r="H413" s="670"/>
      <c r="I413" s="670"/>
      <c r="J413" s="670"/>
      <c r="K413" s="670"/>
      <c r="L413" s="670"/>
      <c r="M413" s="670"/>
      <c r="N413" s="670"/>
      <c r="O413" s="671"/>
    </row>
    <row r="414" spans="1:15" s="665" customFormat="1" ht="17.100000000000001" customHeight="1">
      <c r="A414" s="1316" t="s">
        <v>1508</v>
      </c>
      <c r="B414" s="1317"/>
      <c r="C414" s="1316" t="s">
        <v>1440</v>
      </c>
      <c r="D414" s="1317"/>
      <c r="E414" s="677">
        <v>1</v>
      </c>
      <c r="F414" s="676" t="s">
        <v>850</v>
      </c>
      <c r="G414" s="670">
        <f>[53]운반공!$BI$309</f>
        <v>6265</v>
      </c>
      <c r="H414" s="670">
        <f>INT(E414*G414)</f>
        <v>6265</v>
      </c>
      <c r="I414" s="670">
        <f>[53]운반공!$BQ$309</f>
        <v>10869</v>
      </c>
      <c r="J414" s="670">
        <f>INT(E414*I414)</f>
        <v>10869</v>
      </c>
      <c r="K414" s="670">
        <f>[53]운반공!$BY$309</f>
        <v>6161</v>
      </c>
      <c r="L414" s="670">
        <f>INT(E414*K414)</f>
        <v>6161</v>
      </c>
      <c r="M414" s="670">
        <f>G414+I414+K414</f>
        <v>23295</v>
      </c>
      <c r="N414" s="670">
        <f>H414+J414+L414</f>
        <v>23295</v>
      </c>
      <c r="O414" s="671"/>
    </row>
    <row r="415" spans="1:15" s="665" customFormat="1" ht="17.100000000000001" customHeight="1">
      <c r="A415" s="1318" t="s">
        <v>1320</v>
      </c>
      <c r="B415" s="1319"/>
      <c r="C415" s="1371" t="s">
        <v>1406</v>
      </c>
      <c r="D415" s="1372"/>
      <c r="E415" s="677"/>
      <c r="F415" s="676"/>
      <c r="G415" s="670"/>
      <c r="H415" s="670"/>
      <c r="I415" s="670"/>
      <c r="J415" s="670"/>
      <c r="K415" s="670"/>
      <c r="L415" s="670">
        <f>H414+J414+L414</f>
        <v>23295</v>
      </c>
      <c r="M415" s="670"/>
      <c r="N415" s="670">
        <f>SUM(N414:N414)</f>
        <v>23295</v>
      </c>
      <c r="O415" s="671"/>
    </row>
    <row r="416" spans="1:15" s="665" customFormat="1" ht="17.100000000000001" customHeight="1">
      <c r="A416" s="668">
        <f>A413+1</f>
        <v>111</v>
      </c>
      <c r="B416" s="1320" t="s">
        <v>1512</v>
      </c>
      <c r="C416" s="1320"/>
      <c r="D416" s="1403" t="s">
        <v>1505</v>
      </c>
      <c r="E416" s="1320"/>
      <c r="F416" s="669" t="s">
        <v>850</v>
      </c>
      <c r="G416" s="670"/>
      <c r="H416" s="670"/>
      <c r="I416" s="670"/>
      <c r="J416" s="670"/>
      <c r="K416" s="670"/>
      <c r="L416" s="670"/>
      <c r="M416" s="670"/>
      <c r="N416" s="670"/>
      <c r="O416" s="671"/>
    </row>
    <row r="417" spans="1:15" s="665" customFormat="1" ht="17.100000000000001" customHeight="1">
      <c r="A417" s="1316" t="s">
        <v>1508</v>
      </c>
      <c r="B417" s="1317"/>
      <c r="C417" s="1316" t="s">
        <v>1506</v>
      </c>
      <c r="D417" s="1317"/>
      <c r="E417" s="677">
        <v>1</v>
      </c>
      <c r="F417" s="676" t="s">
        <v>850</v>
      </c>
      <c r="G417" s="670">
        <f>[53]운반공!$BI$310</f>
        <v>6265</v>
      </c>
      <c r="H417" s="670">
        <f>INT(E417*G417)</f>
        <v>6265</v>
      </c>
      <c r="I417" s="670">
        <f>[53]운반공!$BQ$310</f>
        <v>9167</v>
      </c>
      <c r="J417" s="670">
        <f>INT(E417*I417)</f>
        <v>9167</v>
      </c>
      <c r="K417" s="670">
        <f>[53]운반공!$BY$310</f>
        <v>6068</v>
      </c>
      <c r="L417" s="670">
        <f>INT(E417*K417)</f>
        <v>6068</v>
      </c>
      <c r="M417" s="670">
        <f>G417+I417+K417</f>
        <v>21500</v>
      </c>
      <c r="N417" s="670">
        <f>H417+J417+L417</f>
        <v>21500</v>
      </c>
      <c r="O417" s="671"/>
    </row>
    <row r="418" spans="1:15" s="665" customFormat="1" ht="17.100000000000001" customHeight="1">
      <c r="A418" s="1318" t="s">
        <v>1320</v>
      </c>
      <c r="B418" s="1319"/>
      <c r="C418" s="1371" t="s">
        <v>1406</v>
      </c>
      <c r="D418" s="1372"/>
      <c r="E418" s="677"/>
      <c r="F418" s="676"/>
      <c r="G418" s="670"/>
      <c r="H418" s="670"/>
      <c r="I418" s="670"/>
      <c r="J418" s="670"/>
      <c r="K418" s="670"/>
      <c r="L418" s="670">
        <f>H417+J417+L417</f>
        <v>21500</v>
      </c>
      <c r="M418" s="670"/>
      <c r="N418" s="670">
        <f>SUM(N417:N417)</f>
        <v>21500</v>
      </c>
      <c r="O418" s="671"/>
    </row>
    <row r="419" spans="1:15" s="665" customFormat="1" ht="17.100000000000001" customHeight="1">
      <c r="A419" s="668">
        <f>A416+1</f>
        <v>112</v>
      </c>
      <c r="B419" s="1320" t="s">
        <v>1513</v>
      </c>
      <c r="C419" s="1320"/>
      <c r="D419" s="1403" t="s">
        <v>1498</v>
      </c>
      <c r="E419" s="1320"/>
      <c r="F419" s="669" t="s">
        <v>850</v>
      </c>
      <c r="G419" s="670"/>
      <c r="H419" s="670"/>
      <c r="I419" s="670"/>
      <c r="J419" s="670"/>
      <c r="K419" s="670"/>
      <c r="L419" s="670"/>
      <c r="M419" s="670"/>
      <c r="N419" s="670"/>
      <c r="O419" s="671"/>
    </row>
    <row r="420" spans="1:15" s="665" customFormat="1" ht="17.100000000000001" customHeight="1">
      <c r="A420" s="1316" t="s">
        <v>1514</v>
      </c>
      <c r="B420" s="1317"/>
      <c r="C420" s="1316" t="s">
        <v>1418</v>
      </c>
      <c r="D420" s="1317"/>
      <c r="E420" s="677">
        <v>1</v>
      </c>
      <c r="F420" s="676" t="s">
        <v>850</v>
      </c>
      <c r="G420" s="670">
        <f>[53]운반공!$BI$376</f>
        <v>6086</v>
      </c>
      <c r="H420" s="670">
        <f>INT(E420*G420)</f>
        <v>6086</v>
      </c>
      <c r="I420" s="670">
        <f>[53]운반공!$BQ$376</f>
        <v>14256</v>
      </c>
      <c r="J420" s="670">
        <f>INT(E420*I420)</f>
        <v>14256</v>
      </c>
      <c r="K420" s="670">
        <f>[53]운반공!$BY$376</f>
        <v>5446</v>
      </c>
      <c r="L420" s="670">
        <f>INT(E420*K420)</f>
        <v>5446</v>
      </c>
      <c r="M420" s="670">
        <f>G420+I420+K420</f>
        <v>25788</v>
      </c>
      <c r="N420" s="670">
        <f>H420+J420+L420</f>
        <v>25788</v>
      </c>
      <c r="O420" s="671"/>
    </row>
    <row r="421" spans="1:15" s="665" customFormat="1" ht="17.100000000000001" customHeight="1">
      <c r="A421" s="1318" t="s">
        <v>1320</v>
      </c>
      <c r="B421" s="1319"/>
      <c r="C421" s="1371" t="s">
        <v>1406</v>
      </c>
      <c r="D421" s="1372"/>
      <c r="E421" s="677"/>
      <c r="F421" s="676"/>
      <c r="G421" s="670"/>
      <c r="H421" s="670"/>
      <c r="I421" s="670"/>
      <c r="J421" s="670"/>
      <c r="K421" s="670"/>
      <c r="L421" s="670">
        <f>H420+J420+L420</f>
        <v>25788</v>
      </c>
      <c r="M421" s="670"/>
      <c r="N421" s="670">
        <f>SUM(N420:N420)</f>
        <v>25788</v>
      </c>
      <c r="O421" s="671"/>
    </row>
    <row r="422" spans="1:15" s="665" customFormat="1" ht="17.100000000000001" customHeight="1">
      <c r="A422" s="668">
        <f>A419+1</f>
        <v>113</v>
      </c>
      <c r="B422" s="1320" t="s">
        <v>1513</v>
      </c>
      <c r="C422" s="1320"/>
      <c r="D422" s="1403" t="s">
        <v>1499</v>
      </c>
      <c r="E422" s="1320"/>
      <c r="F422" s="669" t="s">
        <v>850</v>
      </c>
      <c r="G422" s="670"/>
      <c r="H422" s="670"/>
      <c r="I422" s="670"/>
      <c r="J422" s="670"/>
      <c r="K422" s="670"/>
      <c r="L422" s="670"/>
      <c r="M422" s="670"/>
      <c r="N422" s="670"/>
      <c r="O422" s="671"/>
    </row>
    <row r="423" spans="1:15" s="665" customFormat="1" ht="17.100000000000001" customHeight="1">
      <c r="A423" s="1316" t="s">
        <v>1514</v>
      </c>
      <c r="B423" s="1317"/>
      <c r="C423" s="1316" t="s">
        <v>1420</v>
      </c>
      <c r="D423" s="1317"/>
      <c r="E423" s="677">
        <v>1</v>
      </c>
      <c r="F423" s="676" t="s">
        <v>850</v>
      </c>
      <c r="G423" s="670">
        <f>[53]운반공!$BI$377</f>
        <v>5507</v>
      </c>
      <c r="H423" s="670">
        <f>INT(E423*G423)</f>
        <v>5507</v>
      </c>
      <c r="I423" s="670">
        <f>[53]운반공!$BQ$377</f>
        <v>9691</v>
      </c>
      <c r="J423" s="670">
        <f>INT(E423*I423)</f>
        <v>9691</v>
      </c>
      <c r="K423" s="670">
        <f>[53]운반공!$BY$377</f>
        <v>5493</v>
      </c>
      <c r="L423" s="670">
        <f>INT(E423*K423)</f>
        <v>5493</v>
      </c>
      <c r="M423" s="670">
        <f>G423+I423+K423</f>
        <v>20691</v>
      </c>
      <c r="N423" s="670">
        <f>H423+J423+L423</f>
        <v>20691</v>
      </c>
      <c r="O423" s="671"/>
    </row>
    <row r="424" spans="1:15" s="665" customFormat="1" ht="17.100000000000001" customHeight="1">
      <c r="A424" s="1318" t="s">
        <v>1320</v>
      </c>
      <c r="B424" s="1319"/>
      <c r="C424" s="1371" t="s">
        <v>1406</v>
      </c>
      <c r="D424" s="1372"/>
      <c r="E424" s="677"/>
      <c r="F424" s="676"/>
      <c r="G424" s="670"/>
      <c r="H424" s="670"/>
      <c r="I424" s="670"/>
      <c r="J424" s="670"/>
      <c r="K424" s="670"/>
      <c r="L424" s="670">
        <f>H423+J423+L423</f>
        <v>20691</v>
      </c>
      <c r="M424" s="670"/>
      <c r="N424" s="670">
        <f>SUM(N423:N423)</f>
        <v>20691</v>
      </c>
      <c r="O424" s="671"/>
    </row>
    <row r="425" spans="1:15" s="665" customFormat="1" ht="17.100000000000001" customHeight="1">
      <c r="A425" s="668">
        <f>A422+1</f>
        <v>114</v>
      </c>
      <c r="B425" s="1320" t="s">
        <v>1513</v>
      </c>
      <c r="C425" s="1320"/>
      <c r="D425" s="1403" t="s">
        <v>1500</v>
      </c>
      <c r="E425" s="1320"/>
      <c r="F425" s="669" t="s">
        <v>850</v>
      </c>
      <c r="G425" s="670"/>
      <c r="H425" s="670"/>
      <c r="I425" s="670"/>
      <c r="J425" s="670"/>
      <c r="K425" s="670"/>
      <c r="L425" s="670"/>
      <c r="M425" s="670"/>
      <c r="N425" s="670"/>
      <c r="O425" s="671"/>
    </row>
    <row r="426" spans="1:15" s="665" customFormat="1" ht="17.100000000000001" customHeight="1">
      <c r="A426" s="1316" t="s">
        <v>1514</v>
      </c>
      <c r="B426" s="1317"/>
      <c r="C426" s="1316" t="s">
        <v>1501</v>
      </c>
      <c r="D426" s="1317"/>
      <c r="E426" s="677">
        <v>1</v>
      </c>
      <c r="F426" s="676" t="s">
        <v>850</v>
      </c>
      <c r="G426" s="670">
        <f>[53]운반공!$BI$378</f>
        <v>5507</v>
      </c>
      <c r="H426" s="670">
        <f>INT(E426*G426)</f>
        <v>5507</v>
      </c>
      <c r="I426" s="670">
        <f>[53]운반공!$BQ$378</f>
        <v>8173</v>
      </c>
      <c r="J426" s="670">
        <f>INT(E426*I426)</f>
        <v>8173</v>
      </c>
      <c r="K426" s="670">
        <f>[53]운반공!$BY$378</f>
        <v>5410</v>
      </c>
      <c r="L426" s="670">
        <f>INT(E426*K426)</f>
        <v>5410</v>
      </c>
      <c r="M426" s="670">
        <f>G426+I426+K426</f>
        <v>19090</v>
      </c>
      <c r="N426" s="670">
        <f>H426+J426+L426</f>
        <v>19090</v>
      </c>
      <c r="O426" s="671"/>
    </row>
    <row r="427" spans="1:15" s="665" customFormat="1" ht="17.100000000000001" customHeight="1">
      <c r="A427" s="1318" t="s">
        <v>1320</v>
      </c>
      <c r="B427" s="1319"/>
      <c r="C427" s="1371" t="s">
        <v>1406</v>
      </c>
      <c r="D427" s="1372"/>
      <c r="E427" s="677"/>
      <c r="F427" s="676"/>
      <c r="G427" s="670"/>
      <c r="H427" s="670"/>
      <c r="I427" s="670"/>
      <c r="J427" s="670"/>
      <c r="K427" s="670"/>
      <c r="L427" s="670">
        <f>H426+J426+L426</f>
        <v>19090</v>
      </c>
      <c r="M427" s="670"/>
      <c r="N427" s="670">
        <f>SUM(N426:N426)</f>
        <v>19090</v>
      </c>
      <c r="O427" s="671"/>
    </row>
    <row r="428" spans="1:15" s="665" customFormat="1" ht="17.100000000000001" customHeight="1">
      <c r="A428" s="668">
        <f>A425+1</f>
        <v>115</v>
      </c>
      <c r="B428" s="1320" t="s">
        <v>1515</v>
      </c>
      <c r="C428" s="1320"/>
      <c r="D428" s="1403" t="s">
        <v>1503</v>
      </c>
      <c r="E428" s="1320"/>
      <c r="F428" s="669" t="s">
        <v>850</v>
      </c>
      <c r="G428" s="670"/>
      <c r="H428" s="670"/>
      <c r="I428" s="670"/>
      <c r="J428" s="670"/>
      <c r="K428" s="670"/>
      <c r="L428" s="670"/>
      <c r="M428" s="670"/>
      <c r="N428" s="670"/>
      <c r="O428" s="671"/>
    </row>
    <row r="429" spans="1:15" s="665" customFormat="1" ht="17.100000000000001" customHeight="1">
      <c r="A429" s="1316" t="s">
        <v>1514</v>
      </c>
      <c r="B429" s="1317"/>
      <c r="C429" s="1316" t="s">
        <v>1437</v>
      </c>
      <c r="D429" s="1317"/>
      <c r="E429" s="677">
        <v>1</v>
      </c>
      <c r="F429" s="676" t="s">
        <v>850</v>
      </c>
      <c r="G429" s="670">
        <f>[53]운반공!$BI$379</f>
        <v>6086</v>
      </c>
      <c r="H429" s="670">
        <f>INT(E429*G429)</f>
        <v>6086</v>
      </c>
      <c r="I429" s="670">
        <f>[53]운반공!$BQ$379</f>
        <v>14256</v>
      </c>
      <c r="J429" s="670">
        <f>INT(E429*I429)</f>
        <v>14256</v>
      </c>
      <c r="K429" s="670">
        <f>[53]운반공!$BY$379</f>
        <v>5446</v>
      </c>
      <c r="L429" s="670">
        <f>INT(E429*K429)</f>
        <v>5446</v>
      </c>
      <c r="M429" s="670">
        <f>G429+I429+K429</f>
        <v>25788</v>
      </c>
      <c r="N429" s="670">
        <f>H429+J429+L429</f>
        <v>25788</v>
      </c>
      <c r="O429" s="671"/>
    </row>
    <row r="430" spans="1:15" s="665" customFormat="1" ht="17.100000000000001" customHeight="1">
      <c r="A430" s="1318" t="s">
        <v>1320</v>
      </c>
      <c r="B430" s="1319"/>
      <c r="C430" s="1371" t="s">
        <v>1406</v>
      </c>
      <c r="D430" s="1372"/>
      <c r="E430" s="677"/>
      <c r="F430" s="676"/>
      <c r="G430" s="670"/>
      <c r="H430" s="670"/>
      <c r="I430" s="670"/>
      <c r="J430" s="670"/>
      <c r="K430" s="670"/>
      <c r="L430" s="670">
        <f>H429+J429+L429</f>
        <v>25788</v>
      </c>
      <c r="M430" s="670"/>
      <c r="N430" s="670">
        <f>SUM(N429:N429)</f>
        <v>25788</v>
      </c>
      <c r="O430" s="671"/>
    </row>
    <row r="431" spans="1:15" s="665" customFormat="1" ht="17.100000000000001" customHeight="1">
      <c r="A431" s="668">
        <f>A428+1</f>
        <v>116</v>
      </c>
      <c r="B431" s="1320" t="s">
        <v>1515</v>
      </c>
      <c r="C431" s="1320"/>
      <c r="D431" s="1403" t="s">
        <v>1504</v>
      </c>
      <c r="E431" s="1320"/>
      <c r="F431" s="669" t="s">
        <v>850</v>
      </c>
      <c r="G431" s="670"/>
      <c r="H431" s="670"/>
      <c r="I431" s="670"/>
      <c r="J431" s="670"/>
      <c r="K431" s="670"/>
      <c r="L431" s="670"/>
      <c r="M431" s="670"/>
      <c r="N431" s="670"/>
      <c r="O431" s="671"/>
    </row>
    <row r="432" spans="1:15" s="665" customFormat="1" ht="17.100000000000001" customHeight="1">
      <c r="A432" s="1316" t="s">
        <v>1514</v>
      </c>
      <c r="B432" s="1317"/>
      <c r="C432" s="1316" t="s">
        <v>1440</v>
      </c>
      <c r="D432" s="1317"/>
      <c r="E432" s="677">
        <v>1</v>
      </c>
      <c r="F432" s="676" t="s">
        <v>850</v>
      </c>
      <c r="G432" s="670">
        <f>[53]운반공!$BI$380</f>
        <v>5507</v>
      </c>
      <c r="H432" s="670">
        <f>INT(E432*G432)</f>
        <v>5507</v>
      </c>
      <c r="I432" s="670">
        <f>[53]운반공!$BQ$380</f>
        <v>9691</v>
      </c>
      <c r="J432" s="670">
        <f>INT(E432*I432)</f>
        <v>9691</v>
      </c>
      <c r="K432" s="670">
        <f>[53]운반공!$BY$380</f>
        <v>5493</v>
      </c>
      <c r="L432" s="670">
        <f>INT(E432*K432)</f>
        <v>5493</v>
      </c>
      <c r="M432" s="670">
        <f>G432+I432+K432</f>
        <v>20691</v>
      </c>
      <c r="N432" s="670">
        <f>H432+J432+L432</f>
        <v>20691</v>
      </c>
      <c r="O432" s="671"/>
    </row>
    <row r="433" spans="1:17" s="665" customFormat="1" ht="17.100000000000001" customHeight="1">
      <c r="A433" s="1318" t="s">
        <v>1320</v>
      </c>
      <c r="B433" s="1319"/>
      <c r="C433" s="1371" t="s">
        <v>1406</v>
      </c>
      <c r="D433" s="1372"/>
      <c r="E433" s="677"/>
      <c r="F433" s="676"/>
      <c r="G433" s="670"/>
      <c r="H433" s="670"/>
      <c r="I433" s="670"/>
      <c r="J433" s="670"/>
      <c r="K433" s="670"/>
      <c r="L433" s="670">
        <f>H432+J432+L432</f>
        <v>20691</v>
      </c>
      <c r="M433" s="670"/>
      <c r="N433" s="670">
        <f>SUM(N432:N432)</f>
        <v>20691</v>
      </c>
      <c r="O433" s="671"/>
    </row>
    <row r="434" spans="1:17" s="665" customFormat="1" ht="17.100000000000001" customHeight="1">
      <c r="A434" s="668">
        <f>A431+1</f>
        <v>117</v>
      </c>
      <c r="B434" s="1320" t="s">
        <v>1515</v>
      </c>
      <c r="C434" s="1320"/>
      <c r="D434" s="1403" t="s">
        <v>1505</v>
      </c>
      <c r="E434" s="1320"/>
      <c r="F434" s="669" t="s">
        <v>850</v>
      </c>
      <c r="G434" s="670"/>
      <c r="H434" s="670"/>
      <c r="I434" s="670"/>
      <c r="J434" s="670"/>
      <c r="K434" s="670"/>
      <c r="L434" s="670"/>
      <c r="M434" s="670"/>
      <c r="N434" s="670"/>
      <c r="O434" s="671"/>
    </row>
    <row r="435" spans="1:17" s="665" customFormat="1" ht="17.100000000000001" customHeight="1">
      <c r="A435" s="1316" t="s">
        <v>1514</v>
      </c>
      <c r="B435" s="1317"/>
      <c r="C435" s="1316" t="s">
        <v>1506</v>
      </c>
      <c r="D435" s="1317"/>
      <c r="E435" s="677">
        <v>1</v>
      </c>
      <c r="F435" s="676" t="s">
        <v>850</v>
      </c>
      <c r="G435" s="670">
        <f>[53]운반공!$BI$381</f>
        <v>5507</v>
      </c>
      <c r="H435" s="670">
        <f>INT(E435*G435)</f>
        <v>5507</v>
      </c>
      <c r="I435" s="670">
        <f>[53]운반공!$BQ$381</f>
        <v>8173</v>
      </c>
      <c r="J435" s="670">
        <f>INT(E435*I435)</f>
        <v>8173</v>
      </c>
      <c r="K435" s="670">
        <f>[53]운반공!$BY$381</f>
        <v>5410</v>
      </c>
      <c r="L435" s="670">
        <f>INT(E435*K435)</f>
        <v>5410</v>
      </c>
      <c r="M435" s="670">
        <f>G435+I435+K435</f>
        <v>19090</v>
      </c>
      <c r="N435" s="670">
        <f>H435+J435+L435</f>
        <v>19090</v>
      </c>
      <c r="O435" s="671"/>
    </row>
    <row r="436" spans="1:17" s="665" customFormat="1" ht="17.100000000000001" customHeight="1">
      <c r="A436" s="1318" t="s">
        <v>1320</v>
      </c>
      <c r="B436" s="1319"/>
      <c r="C436" s="1371" t="s">
        <v>1406</v>
      </c>
      <c r="D436" s="1372"/>
      <c r="E436" s="677"/>
      <c r="F436" s="676"/>
      <c r="G436" s="670"/>
      <c r="H436" s="670"/>
      <c r="I436" s="670"/>
      <c r="J436" s="670"/>
      <c r="K436" s="670"/>
      <c r="L436" s="670">
        <f>H435+J435+L435</f>
        <v>19090</v>
      </c>
      <c r="M436" s="670"/>
      <c r="N436" s="670">
        <f>SUM(N435:N435)</f>
        <v>19090</v>
      </c>
      <c r="O436" s="671"/>
      <c r="P436" s="672"/>
      <c r="Q436" s="665" t="s">
        <v>1516</v>
      </c>
    </row>
    <row r="437" spans="1:17" s="665" customFormat="1" ht="17.100000000000001" customHeight="1">
      <c r="A437" s="668">
        <f>A434+1</f>
        <v>118</v>
      </c>
      <c r="B437" s="1320" t="s">
        <v>1517</v>
      </c>
      <c r="C437" s="1320"/>
      <c r="D437" s="1403" t="s">
        <v>1498</v>
      </c>
      <c r="E437" s="1320"/>
      <c r="F437" s="669" t="s">
        <v>850</v>
      </c>
      <c r="G437" s="670"/>
      <c r="H437" s="670"/>
      <c r="I437" s="670"/>
      <c r="J437" s="670"/>
      <c r="K437" s="670"/>
      <c r="L437" s="670"/>
      <c r="M437" s="670"/>
      <c r="N437" s="670"/>
      <c r="O437" s="671"/>
      <c r="P437" s="705"/>
      <c r="Q437" s="665" t="s">
        <v>1516</v>
      </c>
    </row>
    <row r="438" spans="1:17" s="665" customFormat="1" ht="17.100000000000001" customHeight="1">
      <c r="A438" s="1316" t="s">
        <v>1518</v>
      </c>
      <c r="B438" s="1317"/>
      <c r="C438" s="1316" t="s">
        <v>1418</v>
      </c>
      <c r="D438" s="1317"/>
      <c r="E438" s="677">
        <v>1</v>
      </c>
      <c r="F438" s="676" t="s">
        <v>850</v>
      </c>
      <c r="G438" s="670">
        <f>[53]운반공!$BI$447</f>
        <v>4846</v>
      </c>
      <c r="H438" s="670">
        <f>INT(E438*G438)</f>
        <v>4846</v>
      </c>
      <c r="I438" s="670">
        <f>[53]운반공!$BQ$447</f>
        <v>11527</v>
      </c>
      <c r="J438" s="670">
        <f>INT(E438*I438)</f>
        <v>11527</v>
      </c>
      <c r="K438" s="670">
        <f>[53]운반공!$BY$447</f>
        <v>4403</v>
      </c>
      <c r="L438" s="670">
        <f>INT(E438*K438)</f>
        <v>4403</v>
      </c>
      <c r="M438" s="670">
        <f>G438+I438+K438</f>
        <v>20776</v>
      </c>
      <c r="N438" s="670">
        <f>H438+J438+L438</f>
        <v>20776</v>
      </c>
      <c r="O438" s="671"/>
      <c r="P438" s="672"/>
      <c r="Q438" s="665" t="s">
        <v>1516</v>
      </c>
    </row>
    <row r="439" spans="1:17" s="665" customFormat="1" ht="17.100000000000001" customHeight="1">
      <c r="A439" s="1318" t="s">
        <v>1320</v>
      </c>
      <c r="B439" s="1319"/>
      <c r="C439" s="1371" t="s">
        <v>1406</v>
      </c>
      <c r="D439" s="1372"/>
      <c r="E439" s="677"/>
      <c r="F439" s="676"/>
      <c r="G439" s="670"/>
      <c r="H439" s="670"/>
      <c r="I439" s="670"/>
      <c r="J439" s="670"/>
      <c r="K439" s="670"/>
      <c r="L439" s="670">
        <f>H438+J438+L438</f>
        <v>20776</v>
      </c>
      <c r="M439" s="670"/>
      <c r="N439" s="670">
        <f>SUM(N438:N438)</f>
        <v>20776</v>
      </c>
      <c r="O439" s="671"/>
      <c r="P439" s="672"/>
      <c r="Q439" s="665" t="s">
        <v>1516</v>
      </c>
    </row>
    <row r="440" spans="1:17" s="665" customFormat="1" ht="17.100000000000001" customHeight="1">
      <c r="A440" s="668">
        <f>A437+1</f>
        <v>119</v>
      </c>
      <c r="B440" s="1320" t="s">
        <v>1517</v>
      </c>
      <c r="C440" s="1320"/>
      <c r="D440" s="1403" t="s">
        <v>1499</v>
      </c>
      <c r="E440" s="1320"/>
      <c r="F440" s="669" t="s">
        <v>850</v>
      </c>
      <c r="G440" s="670"/>
      <c r="H440" s="670"/>
      <c r="I440" s="670"/>
      <c r="J440" s="670"/>
      <c r="K440" s="670"/>
      <c r="L440" s="670"/>
      <c r="M440" s="670"/>
      <c r="N440" s="670"/>
      <c r="O440" s="671"/>
      <c r="P440" s="705"/>
      <c r="Q440" s="665" t="s">
        <v>1516</v>
      </c>
    </row>
    <row r="441" spans="1:17" s="665" customFormat="1" ht="17.100000000000001" customHeight="1">
      <c r="A441" s="1316" t="s">
        <v>1518</v>
      </c>
      <c r="B441" s="1317"/>
      <c r="C441" s="1316" t="s">
        <v>1420</v>
      </c>
      <c r="D441" s="1317"/>
      <c r="E441" s="677">
        <v>1</v>
      </c>
      <c r="F441" s="676" t="s">
        <v>850</v>
      </c>
      <c r="G441" s="670">
        <f>[53]운반공!BI448</f>
        <v>4380</v>
      </c>
      <c r="H441" s="670">
        <f>INT(E441*G441)</f>
        <v>4380</v>
      </c>
      <c r="I441" s="670">
        <f>[53]운반공!BQ448</f>
        <v>7900</v>
      </c>
      <c r="J441" s="670">
        <f>INT(E441*I441)</f>
        <v>7900</v>
      </c>
      <c r="K441" s="670">
        <f>[53]운반공!BY448</f>
        <v>4478</v>
      </c>
      <c r="L441" s="670">
        <f>INT(E441*K441)</f>
        <v>4478</v>
      </c>
      <c r="M441" s="670">
        <f>G441+I441+K441</f>
        <v>16758</v>
      </c>
      <c r="N441" s="670">
        <f>H441+J441+L441</f>
        <v>16758</v>
      </c>
      <c r="O441" s="671"/>
      <c r="P441" s="672"/>
      <c r="Q441" s="665" t="s">
        <v>1516</v>
      </c>
    </row>
    <row r="442" spans="1:17" s="665" customFormat="1" ht="17.100000000000001" customHeight="1">
      <c r="A442" s="1318" t="s">
        <v>1320</v>
      </c>
      <c r="B442" s="1319"/>
      <c r="C442" s="1371" t="s">
        <v>1406</v>
      </c>
      <c r="D442" s="1372"/>
      <c r="E442" s="677"/>
      <c r="F442" s="676"/>
      <c r="G442" s="670"/>
      <c r="H442" s="670"/>
      <c r="I442" s="670"/>
      <c r="J442" s="670"/>
      <c r="K442" s="670"/>
      <c r="L442" s="670">
        <f>H441+J441+L441</f>
        <v>16758</v>
      </c>
      <c r="M442" s="670"/>
      <c r="N442" s="670">
        <f>SUM(N441:N441)</f>
        <v>16758</v>
      </c>
      <c r="O442" s="671"/>
      <c r="P442" s="672"/>
      <c r="Q442" s="665" t="s">
        <v>1516</v>
      </c>
    </row>
    <row r="443" spans="1:17" s="665" customFormat="1" ht="17.100000000000001" customHeight="1">
      <c r="A443" s="668">
        <f>A440+1</f>
        <v>120</v>
      </c>
      <c r="B443" s="1320" t="s">
        <v>1517</v>
      </c>
      <c r="C443" s="1320"/>
      <c r="D443" s="1403" t="s">
        <v>1505</v>
      </c>
      <c r="E443" s="1320"/>
      <c r="F443" s="669" t="s">
        <v>850</v>
      </c>
      <c r="G443" s="670"/>
      <c r="H443" s="670"/>
      <c r="I443" s="670"/>
      <c r="J443" s="670"/>
      <c r="K443" s="670"/>
      <c r="L443" s="670"/>
      <c r="M443" s="670"/>
      <c r="N443" s="670"/>
      <c r="O443" s="671"/>
      <c r="P443" s="705"/>
      <c r="Q443" s="665" t="s">
        <v>1516</v>
      </c>
    </row>
    <row r="444" spans="1:17" s="665" customFormat="1" ht="17.100000000000001" customHeight="1">
      <c r="A444" s="1316" t="s">
        <v>1518</v>
      </c>
      <c r="B444" s="1317"/>
      <c r="C444" s="1316" t="s">
        <v>1501</v>
      </c>
      <c r="D444" s="1317"/>
      <c r="E444" s="677">
        <v>1</v>
      </c>
      <c r="F444" s="676" t="s">
        <v>850</v>
      </c>
      <c r="G444" s="670">
        <f>[53]운반공!$BI$449</f>
        <v>4380</v>
      </c>
      <c r="H444" s="670">
        <f>INT(E444*G444)</f>
        <v>4380</v>
      </c>
      <c r="I444" s="670">
        <f>[53]운반공!$BQ$449</f>
        <v>6663</v>
      </c>
      <c r="J444" s="670">
        <f>INT(E444*I444)</f>
        <v>6663</v>
      </c>
      <c r="K444" s="670">
        <f>[53]운반공!$BY$449</f>
        <v>4410</v>
      </c>
      <c r="L444" s="670">
        <f>INT(E444*K444)</f>
        <v>4410</v>
      </c>
      <c r="M444" s="670">
        <f>G444+I444+K444</f>
        <v>15453</v>
      </c>
      <c r="N444" s="670">
        <f>H444+J444+L444</f>
        <v>15453</v>
      </c>
      <c r="O444" s="671"/>
      <c r="P444" s="672"/>
      <c r="Q444" s="665" t="s">
        <v>1516</v>
      </c>
    </row>
    <row r="445" spans="1:17" s="665" customFormat="1" ht="17.100000000000001" customHeight="1">
      <c r="A445" s="1318" t="s">
        <v>1320</v>
      </c>
      <c r="B445" s="1319"/>
      <c r="C445" s="1371" t="s">
        <v>1406</v>
      </c>
      <c r="D445" s="1372"/>
      <c r="E445" s="677"/>
      <c r="F445" s="676"/>
      <c r="G445" s="670"/>
      <c r="H445" s="670"/>
      <c r="I445" s="670"/>
      <c r="J445" s="670"/>
      <c r="K445" s="670"/>
      <c r="L445" s="670">
        <f>H444+J444+L444</f>
        <v>15453</v>
      </c>
      <c r="M445" s="670"/>
      <c r="N445" s="670">
        <f>SUM(N444:N444)</f>
        <v>15453</v>
      </c>
      <c r="O445" s="671"/>
      <c r="P445" s="672"/>
      <c r="Q445" s="665" t="s">
        <v>1516</v>
      </c>
    </row>
    <row r="446" spans="1:17" s="665" customFormat="1" ht="17.100000000000001" customHeight="1">
      <c r="A446" s="668">
        <f>A443+1</f>
        <v>121</v>
      </c>
      <c r="B446" s="1320" t="s">
        <v>1519</v>
      </c>
      <c r="C446" s="1320"/>
      <c r="D446" s="1403" t="s">
        <v>1503</v>
      </c>
      <c r="E446" s="1320"/>
      <c r="F446" s="669" t="s">
        <v>850</v>
      </c>
      <c r="G446" s="670"/>
      <c r="H446" s="670"/>
      <c r="I446" s="670"/>
      <c r="J446" s="670"/>
      <c r="K446" s="670"/>
      <c r="L446" s="670"/>
      <c r="M446" s="670"/>
      <c r="N446" s="670"/>
      <c r="O446" s="671"/>
      <c r="P446" s="705"/>
      <c r="Q446" s="665" t="s">
        <v>1516</v>
      </c>
    </row>
    <row r="447" spans="1:17" s="665" customFormat="1" ht="17.100000000000001" customHeight="1">
      <c r="A447" s="1316" t="s">
        <v>1518</v>
      </c>
      <c r="B447" s="1317"/>
      <c r="C447" s="1316" t="s">
        <v>1437</v>
      </c>
      <c r="D447" s="1317"/>
      <c r="E447" s="677">
        <v>1</v>
      </c>
      <c r="F447" s="676" t="s">
        <v>850</v>
      </c>
      <c r="G447" s="670">
        <f>[53]운반공!$BI$450</f>
        <v>4846</v>
      </c>
      <c r="H447" s="670">
        <f>INT(E447*G447)</f>
        <v>4846</v>
      </c>
      <c r="I447" s="670">
        <f>[53]운반공!$BQ$450</f>
        <v>11527</v>
      </c>
      <c r="J447" s="670">
        <f>INT(E447*I447)</f>
        <v>11527</v>
      </c>
      <c r="K447" s="670">
        <f>[53]운반공!$BY$450</f>
        <v>4403</v>
      </c>
      <c r="L447" s="670">
        <f>INT(E447*K447)</f>
        <v>4403</v>
      </c>
      <c r="M447" s="670">
        <f>G447+I447+K447</f>
        <v>20776</v>
      </c>
      <c r="N447" s="670">
        <f>H447+J447+L447</f>
        <v>20776</v>
      </c>
      <c r="O447" s="671"/>
      <c r="P447" s="672"/>
      <c r="Q447" s="665" t="s">
        <v>1516</v>
      </c>
    </row>
    <row r="448" spans="1:17" s="665" customFormat="1" ht="17.100000000000001" customHeight="1">
      <c r="A448" s="1318" t="s">
        <v>1320</v>
      </c>
      <c r="B448" s="1319"/>
      <c r="C448" s="1371" t="s">
        <v>1406</v>
      </c>
      <c r="D448" s="1372"/>
      <c r="E448" s="677"/>
      <c r="F448" s="676"/>
      <c r="G448" s="670"/>
      <c r="H448" s="670"/>
      <c r="I448" s="670"/>
      <c r="J448" s="670"/>
      <c r="K448" s="670"/>
      <c r="L448" s="670">
        <f>H447+J447+L447</f>
        <v>20776</v>
      </c>
      <c r="M448" s="670"/>
      <c r="N448" s="670">
        <f>SUM(N447:N447)</f>
        <v>20776</v>
      </c>
      <c r="O448" s="671"/>
      <c r="P448" s="672"/>
      <c r="Q448" s="665" t="s">
        <v>1516</v>
      </c>
    </row>
    <row r="449" spans="1:17" s="665" customFormat="1" ht="17.100000000000001" customHeight="1">
      <c r="A449" s="668">
        <f>A446+1</f>
        <v>122</v>
      </c>
      <c r="B449" s="1320" t="s">
        <v>1519</v>
      </c>
      <c r="C449" s="1320"/>
      <c r="D449" s="1403" t="s">
        <v>1504</v>
      </c>
      <c r="E449" s="1320"/>
      <c r="F449" s="669" t="s">
        <v>850</v>
      </c>
      <c r="G449" s="670"/>
      <c r="H449" s="670"/>
      <c r="I449" s="670"/>
      <c r="J449" s="670"/>
      <c r="K449" s="670"/>
      <c r="L449" s="670"/>
      <c r="M449" s="670"/>
      <c r="N449" s="670"/>
      <c r="O449" s="671"/>
      <c r="P449" s="705"/>
      <c r="Q449" s="665" t="s">
        <v>1516</v>
      </c>
    </row>
    <row r="450" spans="1:17" s="665" customFormat="1" ht="17.100000000000001" customHeight="1">
      <c r="A450" s="1316" t="s">
        <v>1518</v>
      </c>
      <c r="B450" s="1317"/>
      <c r="C450" s="1316" t="s">
        <v>1440</v>
      </c>
      <c r="D450" s="1317"/>
      <c r="E450" s="677">
        <v>1</v>
      </c>
      <c r="F450" s="676" t="s">
        <v>850</v>
      </c>
      <c r="G450" s="670">
        <f>[53]운반공!$BI$451</f>
        <v>4380</v>
      </c>
      <c r="H450" s="670">
        <f>INT(E450*G450)</f>
        <v>4380</v>
      </c>
      <c r="I450" s="670">
        <f>[53]운반공!$BQ$451</f>
        <v>7900</v>
      </c>
      <c r="J450" s="670">
        <f>INT(E450*I450)</f>
        <v>7900</v>
      </c>
      <c r="K450" s="670">
        <f>[53]운반공!$BY$451</f>
        <v>4478</v>
      </c>
      <c r="L450" s="670">
        <f>INT(E450*K450)</f>
        <v>4478</v>
      </c>
      <c r="M450" s="670">
        <f>G450+I450+K450</f>
        <v>16758</v>
      </c>
      <c r="N450" s="670">
        <f>H450+J450+L450</f>
        <v>16758</v>
      </c>
      <c r="O450" s="671"/>
      <c r="P450" s="672"/>
      <c r="Q450" s="665" t="s">
        <v>1516</v>
      </c>
    </row>
    <row r="451" spans="1:17" s="665" customFormat="1" ht="17.100000000000001" customHeight="1">
      <c r="A451" s="1318" t="s">
        <v>1320</v>
      </c>
      <c r="B451" s="1319"/>
      <c r="C451" s="1371" t="s">
        <v>1406</v>
      </c>
      <c r="D451" s="1372"/>
      <c r="E451" s="677"/>
      <c r="F451" s="676"/>
      <c r="G451" s="670"/>
      <c r="H451" s="670"/>
      <c r="I451" s="670"/>
      <c r="J451" s="670"/>
      <c r="K451" s="670"/>
      <c r="L451" s="670">
        <f>H450+J450+L450</f>
        <v>16758</v>
      </c>
      <c r="M451" s="670"/>
      <c r="N451" s="670">
        <f>SUM(N450:N450)</f>
        <v>16758</v>
      </c>
      <c r="O451" s="671"/>
      <c r="P451" s="672"/>
      <c r="Q451" s="665" t="s">
        <v>1516</v>
      </c>
    </row>
    <row r="452" spans="1:17" s="665" customFormat="1" ht="17.100000000000001" customHeight="1">
      <c r="A452" s="668">
        <f>A449+1</f>
        <v>123</v>
      </c>
      <c r="B452" s="1320" t="s">
        <v>1519</v>
      </c>
      <c r="C452" s="1320"/>
      <c r="D452" s="1403" t="s">
        <v>1505</v>
      </c>
      <c r="E452" s="1320"/>
      <c r="F452" s="669" t="s">
        <v>850</v>
      </c>
      <c r="G452" s="670"/>
      <c r="H452" s="670"/>
      <c r="I452" s="670"/>
      <c r="J452" s="670"/>
      <c r="K452" s="670"/>
      <c r="L452" s="670"/>
      <c r="M452" s="670"/>
      <c r="N452" s="670"/>
      <c r="O452" s="671"/>
      <c r="P452" s="705"/>
      <c r="Q452" s="665" t="s">
        <v>1516</v>
      </c>
    </row>
    <row r="453" spans="1:17" s="665" customFormat="1" ht="17.100000000000001" customHeight="1">
      <c r="A453" s="1316" t="s">
        <v>1518</v>
      </c>
      <c r="B453" s="1317"/>
      <c r="C453" s="1316" t="s">
        <v>1506</v>
      </c>
      <c r="D453" s="1317"/>
      <c r="E453" s="677">
        <v>1</v>
      </c>
      <c r="F453" s="676" t="s">
        <v>850</v>
      </c>
      <c r="G453" s="670">
        <f>[53]운반공!$BI$452</f>
        <v>4380</v>
      </c>
      <c r="H453" s="670">
        <f>INT(E453*G453)</f>
        <v>4380</v>
      </c>
      <c r="I453" s="670">
        <f>[53]운반공!$BQ$452</f>
        <v>6663</v>
      </c>
      <c r="J453" s="670">
        <f>INT(E453*I453)</f>
        <v>6663</v>
      </c>
      <c r="K453" s="670">
        <f>[53]운반공!$BY$452</f>
        <v>4410</v>
      </c>
      <c r="L453" s="670">
        <f>INT(E453*K453)</f>
        <v>4410</v>
      </c>
      <c r="M453" s="670">
        <f>G453+I453+K453</f>
        <v>15453</v>
      </c>
      <c r="N453" s="670">
        <f>H453+J453+L453</f>
        <v>15453</v>
      </c>
      <c r="O453" s="671"/>
      <c r="P453" s="672"/>
      <c r="Q453" s="665" t="s">
        <v>1516</v>
      </c>
    </row>
    <row r="454" spans="1:17" s="665" customFormat="1" ht="17.100000000000001" customHeight="1">
      <c r="A454" s="1318" t="s">
        <v>1320</v>
      </c>
      <c r="B454" s="1319"/>
      <c r="C454" s="1371" t="s">
        <v>1406</v>
      </c>
      <c r="D454" s="1372"/>
      <c r="E454" s="677"/>
      <c r="F454" s="676"/>
      <c r="G454" s="670"/>
      <c r="H454" s="670"/>
      <c r="I454" s="670"/>
      <c r="J454" s="670"/>
      <c r="K454" s="670"/>
      <c r="L454" s="670">
        <f>H453+J453+L453</f>
        <v>15453</v>
      </c>
      <c r="M454" s="670"/>
      <c r="N454" s="670">
        <f>SUM(N453:N453)</f>
        <v>15453</v>
      </c>
      <c r="O454" s="671"/>
      <c r="P454" s="672"/>
      <c r="Q454" s="665" t="s">
        <v>1516</v>
      </c>
    </row>
    <row r="455" spans="1:17" s="665" customFormat="1" ht="17.100000000000001" customHeight="1">
      <c r="A455" s="668">
        <f>A452+1</f>
        <v>124</v>
      </c>
      <c r="B455" s="1320" t="s">
        <v>1520</v>
      </c>
      <c r="C455" s="1320"/>
      <c r="D455" s="1320" t="s">
        <v>1087</v>
      </c>
      <c r="E455" s="1320"/>
      <c r="F455" s="669" t="s">
        <v>915</v>
      </c>
      <c r="G455" s="670"/>
      <c r="H455" s="670"/>
      <c r="I455" s="670"/>
      <c r="J455" s="670"/>
      <c r="K455" s="670"/>
      <c r="L455" s="670"/>
      <c r="M455" s="670"/>
      <c r="N455" s="670"/>
      <c r="O455" s="671"/>
      <c r="P455" s="705"/>
      <c r="Q455" s="665" t="s">
        <v>1516</v>
      </c>
    </row>
    <row r="456" spans="1:17" s="665" customFormat="1" ht="17.100000000000001" customHeight="1">
      <c r="A456" s="1316" t="s">
        <v>1087</v>
      </c>
      <c r="B456" s="1317"/>
      <c r="C456" s="1320"/>
      <c r="D456" s="1320"/>
      <c r="E456" s="677">
        <v>1</v>
      </c>
      <c r="F456" s="676" t="s">
        <v>915</v>
      </c>
      <c r="G456" s="670"/>
      <c r="H456" s="670"/>
      <c r="I456" s="670"/>
      <c r="J456" s="670"/>
      <c r="K456" s="670" t="e">
        <f>#REF!</f>
        <v>#REF!</v>
      </c>
      <c r="L456" s="670" t="e">
        <f>INT(E456*K456)</f>
        <v>#REF!</v>
      </c>
      <c r="M456" s="670" t="e">
        <f>G456+I456+K456</f>
        <v>#REF!</v>
      </c>
      <c r="N456" s="670" t="e">
        <f>H456+J456+L456</f>
        <v>#REF!</v>
      </c>
      <c r="O456" s="671"/>
      <c r="P456" s="672"/>
      <c r="Q456" s="665" t="s">
        <v>1516</v>
      </c>
    </row>
    <row r="457" spans="1:17" s="665" customFormat="1" ht="17.100000000000001" customHeight="1">
      <c r="A457" s="1318" t="s">
        <v>1320</v>
      </c>
      <c r="B457" s="1319"/>
      <c r="C457" s="1371"/>
      <c r="D457" s="1372"/>
      <c r="E457" s="677"/>
      <c r="F457" s="676"/>
      <c r="G457" s="670"/>
      <c r="H457" s="670"/>
      <c r="I457" s="670"/>
      <c r="J457" s="670"/>
      <c r="K457" s="670"/>
      <c r="L457" s="670" t="e">
        <f>SUM(L456:L456)</f>
        <v>#REF!</v>
      </c>
      <c r="M457" s="670"/>
      <c r="N457" s="670" t="e">
        <f>SUM(N456:N456)</f>
        <v>#REF!</v>
      </c>
      <c r="O457" s="671"/>
      <c r="P457" s="672"/>
      <c r="Q457" s="665" t="s">
        <v>1516</v>
      </c>
    </row>
    <row r="458" spans="1:17" s="665" customFormat="1" ht="17.100000000000001" customHeight="1">
      <c r="A458" s="668">
        <f>A455+1</f>
        <v>125</v>
      </c>
      <c r="B458" s="1320" t="s">
        <v>1520</v>
      </c>
      <c r="C458" s="1320"/>
      <c r="D458" s="1320" t="s">
        <v>1081</v>
      </c>
      <c r="E458" s="1320"/>
      <c r="F458" s="669" t="s">
        <v>915</v>
      </c>
      <c r="G458" s="670"/>
      <c r="H458" s="670"/>
      <c r="I458" s="670"/>
      <c r="J458" s="670"/>
      <c r="K458" s="670"/>
      <c r="L458" s="670"/>
      <c r="M458" s="670"/>
      <c r="N458" s="670"/>
      <c r="O458" s="671"/>
      <c r="P458" s="705"/>
      <c r="Q458" s="665" t="s">
        <v>1516</v>
      </c>
    </row>
    <row r="459" spans="1:17" s="665" customFormat="1" ht="17.100000000000001" customHeight="1">
      <c r="A459" s="1316" t="s">
        <v>1081</v>
      </c>
      <c r="B459" s="1317"/>
      <c r="C459" s="1320"/>
      <c r="D459" s="1320"/>
      <c r="E459" s="677">
        <v>1</v>
      </c>
      <c r="F459" s="676" t="s">
        <v>915</v>
      </c>
      <c r="G459" s="670"/>
      <c r="H459" s="670"/>
      <c r="I459" s="670"/>
      <c r="J459" s="670"/>
      <c r="K459" s="670" t="e">
        <f>#REF!</f>
        <v>#REF!</v>
      </c>
      <c r="L459" s="670" t="e">
        <f>INT(E459*K459)</f>
        <v>#REF!</v>
      </c>
      <c r="M459" s="670" t="e">
        <f>G459+I459+K459</f>
        <v>#REF!</v>
      </c>
      <c r="N459" s="670" t="e">
        <f>H459+J459+L459</f>
        <v>#REF!</v>
      </c>
      <c r="O459" s="671"/>
      <c r="P459" s="672"/>
      <c r="Q459" s="665" t="s">
        <v>1516</v>
      </c>
    </row>
    <row r="460" spans="1:17" s="665" customFormat="1" ht="17.100000000000001" customHeight="1">
      <c r="A460" s="1318" t="s">
        <v>1320</v>
      </c>
      <c r="B460" s="1319"/>
      <c r="C460" s="1371"/>
      <c r="D460" s="1372"/>
      <c r="E460" s="677"/>
      <c r="F460" s="676"/>
      <c r="G460" s="670"/>
      <c r="H460" s="670"/>
      <c r="I460" s="670"/>
      <c r="J460" s="670"/>
      <c r="K460" s="670"/>
      <c r="L460" s="670" t="e">
        <f>SUM(L459:L459)</f>
        <v>#REF!</v>
      </c>
      <c r="M460" s="670"/>
      <c r="N460" s="670" t="e">
        <f>SUM(N459:N459)</f>
        <v>#REF!</v>
      </c>
      <c r="O460" s="671"/>
      <c r="P460" s="672"/>
      <c r="Q460" s="665" t="s">
        <v>1516</v>
      </c>
    </row>
    <row r="461" spans="1:17" s="665" customFormat="1" ht="17.100000000000001" customHeight="1">
      <c r="A461" s="668">
        <f>A458+1</f>
        <v>126</v>
      </c>
      <c r="B461" s="1320" t="s">
        <v>1520</v>
      </c>
      <c r="C461" s="1320"/>
      <c r="D461" s="1320" t="s">
        <v>1088</v>
      </c>
      <c r="E461" s="1320"/>
      <c r="F461" s="669" t="s">
        <v>915</v>
      </c>
      <c r="G461" s="670"/>
      <c r="H461" s="670"/>
      <c r="I461" s="670"/>
      <c r="J461" s="670"/>
      <c r="K461" s="670"/>
      <c r="L461" s="670"/>
      <c r="M461" s="670"/>
      <c r="N461" s="670"/>
      <c r="O461" s="671"/>
      <c r="P461" s="705"/>
      <c r="Q461" s="665" t="s">
        <v>1516</v>
      </c>
    </row>
    <row r="462" spans="1:17" s="665" customFormat="1" ht="17.100000000000001" customHeight="1">
      <c r="A462" s="1316" t="s">
        <v>1088</v>
      </c>
      <c r="B462" s="1317"/>
      <c r="C462" s="1320"/>
      <c r="D462" s="1320"/>
      <c r="E462" s="677">
        <v>1</v>
      </c>
      <c r="F462" s="676" t="s">
        <v>915</v>
      </c>
      <c r="G462" s="670"/>
      <c r="H462" s="670"/>
      <c r="I462" s="670"/>
      <c r="J462" s="670"/>
      <c r="K462" s="670" t="e">
        <f>#REF!</f>
        <v>#REF!</v>
      </c>
      <c r="L462" s="670" t="e">
        <f>INT(E462*K462)</f>
        <v>#REF!</v>
      </c>
      <c r="M462" s="670" t="e">
        <f>G462+I462+K462</f>
        <v>#REF!</v>
      </c>
      <c r="N462" s="670" t="e">
        <f>H462+J462+L462</f>
        <v>#REF!</v>
      </c>
      <c r="O462" s="671"/>
      <c r="P462" s="672"/>
      <c r="Q462" s="665" t="s">
        <v>1516</v>
      </c>
    </row>
    <row r="463" spans="1:17" s="665" customFormat="1" ht="17.100000000000001" customHeight="1">
      <c r="A463" s="1318" t="s">
        <v>1320</v>
      </c>
      <c r="B463" s="1319"/>
      <c r="C463" s="1371"/>
      <c r="D463" s="1372"/>
      <c r="E463" s="677"/>
      <c r="F463" s="676"/>
      <c r="G463" s="670"/>
      <c r="H463" s="670"/>
      <c r="I463" s="670"/>
      <c r="J463" s="670"/>
      <c r="K463" s="670"/>
      <c r="L463" s="670" t="e">
        <f>SUM(L462:L462)</f>
        <v>#REF!</v>
      </c>
      <c r="M463" s="670"/>
      <c r="N463" s="670" t="e">
        <f>SUM(N462:N462)</f>
        <v>#REF!</v>
      </c>
      <c r="O463" s="671"/>
      <c r="P463" s="672"/>
      <c r="Q463" s="665" t="s">
        <v>1516</v>
      </c>
    </row>
    <row r="464" spans="1:17" s="665" customFormat="1" ht="17.100000000000001" customHeight="1">
      <c r="A464" s="668">
        <f>A461+1</f>
        <v>127</v>
      </c>
      <c r="B464" s="1320" t="s">
        <v>1520</v>
      </c>
      <c r="C464" s="1320"/>
      <c r="D464" s="1320" t="s">
        <v>1521</v>
      </c>
      <c r="E464" s="1320"/>
      <c r="F464" s="669" t="s">
        <v>915</v>
      </c>
      <c r="G464" s="670"/>
      <c r="H464" s="670"/>
      <c r="I464" s="670"/>
      <c r="J464" s="670"/>
      <c r="K464" s="670"/>
      <c r="L464" s="670"/>
      <c r="M464" s="670"/>
      <c r="N464" s="670"/>
      <c r="O464" s="671"/>
      <c r="P464" s="705"/>
      <c r="Q464" s="665" t="s">
        <v>1516</v>
      </c>
    </row>
    <row r="465" spans="1:17" s="665" customFormat="1" ht="17.100000000000001" customHeight="1">
      <c r="A465" s="1316" t="s">
        <v>1521</v>
      </c>
      <c r="B465" s="1317"/>
      <c r="C465" s="1320"/>
      <c r="D465" s="1320"/>
      <c r="E465" s="677">
        <v>1</v>
      </c>
      <c r="F465" s="676" t="s">
        <v>915</v>
      </c>
      <c r="G465" s="670"/>
      <c r="H465" s="670"/>
      <c r="I465" s="670"/>
      <c r="J465" s="670"/>
      <c r="K465" s="670" t="e">
        <f>#REF!</f>
        <v>#REF!</v>
      </c>
      <c r="L465" s="670" t="e">
        <f>INT(E465*K465)</f>
        <v>#REF!</v>
      </c>
      <c r="M465" s="670" t="e">
        <f>G465+I465+K465</f>
        <v>#REF!</v>
      </c>
      <c r="N465" s="670" t="e">
        <f>H465+J465+L465</f>
        <v>#REF!</v>
      </c>
      <c r="O465" s="671"/>
      <c r="P465" s="672"/>
      <c r="Q465" s="665" t="s">
        <v>1516</v>
      </c>
    </row>
    <row r="466" spans="1:17" s="665" customFormat="1" ht="17.100000000000001" customHeight="1">
      <c r="A466" s="1318" t="s">
        <v>1320</v>
      </c>
      <c r="B466" s="1319"/>
      <c r="C466" s="1371"/>
      <c r="D466" s="1372"/>
      <c r="E466" s="677"/>
      <c r="F466" s="676"/>
      <c r="G466" s="670"/>
      <c r="H466" s="670"/>
      <c r="I466" s="670"/>
      <c r="J466" s="670"/>
      <c r="K466" s="670"/>
      <c r="L466" s="670" t="e">
        <f>SUM(L465:L465)</f>
        <v>#REF!</v>
      </c>
      <c r="M466" s="670"/>
      <c r="N466" s="670" t="e">
        <f>SUM(N465:N465)</f>
        <v>#REF!</v>
      </c>
      <c r="O466" s="671"/>
      <c r="P466" s="672" t="s">
        <v>1522</v>
      </c>
      <c r="Q466" s="665" t="s">
        <v>1523</v>
      </c>
    </row>
    <row r="467" spans="1:17" s="665" customFormat="1" ht="17.100000000000001" customHeight="1">
      <c r="A467" s="668">
        <f>A464+1</f>
        <v>128</v>
      </c>
      <c r="B467" s="1320" t="s">
        <v>1524</v>
      </c>
      <c r="C467" s="1320"/>
      <c r="D467" s="1402" t="s">
        <v>1525</v>
      </c>
      <c r="E467" s="1320"/>
      <c r="F467" s="669" t="s">
        <v>850</v>
      </c>
      <c r="G467" s="670"/>
      <c r="H467" s="670"/>
      <c r="I467" s="670"/>
      <c r="J467" s="670"/>
      <c r="K467" s="670"/>
      <c r="L467" s="670"/>
      <c r="M467" s="670"/>
      <c r="N467" s="670"/>
      <c r="O467" s="671"/>
      <c r="P467" s="705"/>
    </row>
    <row r="468" spans="1:17" s="665" customFormat="1" ht="17.100000000000001" customHeight="1">
      <c r="A468" s="1316" t="s">
        <v>542</v>
      </c>
      <c r="B468" s="1317"/>
      <c r="C468" s="1316"/>
      <c r="D468" s="1317"/>
      <c r="E468" s="677">
        <v>1093</v>
      </c>
      <c r="F468" s="676" t="s">
        <v>835</v>
      </c>
      <c r="G468" s="670" t="e">
        <f>#REF!</f>
        <v>#REF!</v>
      </c>
      <c r="H468" s="670" t="e">
        <f>INT(E468*G468)</f>
        <v>#REF!</v>
      </c>
      <c r="I468" s="670"/>
      <c r="J468" s="670"/>
      <c r="K468" s="670"/>
      <c r="L468" s="670"/>
      <c r="M468" s="706" t="e">
        <f t="shared" ref="M468:N471" si="30">G468+I468+K468</f>
        <v>#REF!</v>
      </c>
      <c r="N468" s="670" t="e">
        <f t="shared" si="30"/>
        <v>#REF!</v>
      </c>
      <c r="O468" s="707"/>
      <c r="P468" s="672"/>
    </row>
    <row r="469" spans="1:17" s="665" customFormat="1" ht="17.100000000000001" customHeight="1">
      <c r="A469" s="1316" t="s">
        <v>1526</v>
      </c>
      <c r="B469" s="1317"/>
      <c r="C469" s="1316"/>
      <c r="D469" s="1317"/>
      <c r="E469" s="677">
        <v>1093</v>
      </c>
      <c r="F469" s="676" t="s">
        <v>835</v>
      </c>
      <c r="G469" s="670"/>
      <c r="H469" s="670"/>
      <c r="I469" s="670"/>
      <c r="J469" s="670"/>
      <c r="K469" s="670">
        <f>([53]운반공!$BM$489+[53]운반공!$BM$490)/2</f>
        <v>22</v>
      </c>
      <c r="L469" s="670">
        <f>INT(E469*K469)</f>
        <v>24046</v>
      </c>
      <c r="M469" s="670">
        <f>G469+I469+K469</f>
        <v>22</v>
      </c>
      <c r="N469" s="670">
        <f>H469+J469+L469</f>
        <v>24046</v>
      </c>
      <c r="O469" s="671"/>
      <c r="P469" s="672"/>
    </row>
    <row r="470" spans="1:17" s="665" customFormat="1" ht="17.100000000000001" customHeight="1">
      <c r="A470" s="1316" t="s">
        <v>821</v>
      </c>
      <c r="B470" s="1317"/>
      <c r="C470" s="1316" t="s">
        <v>1527</v>
      </c>
      <c r="D470" s="1317"/>
      <c r="E470" s="702">
        <v>0.78</v>
      </c>
      <c r="F470" s="676" t="s">
        <v>850</v>
      </c>
      <c r="G470" s="670" t="e">
        <f>#REF!</f>
        <v>#REF!</v>
      </c>
      <c r="H470" s="670" t="e">
        <f>INT(E470*G470)</f>
        <v>#REF!</v>
      </c>
      <c r="I470" s="670"/>
      <c r="J470" s="670"/>
      <c r="K470" s="670"/>
      <c r="L470" s="670"/>
      <c r="M470" s="670" t="e">
        <f t="shared" si="30"/>
        <v>#REF!</v>
      </c>
      <c r="N470" s="670" t="e">
        <f t="shared" si="30"/>
        <v>#REF!</v>
      </c>
      <c r="O470" s="671"/>
      <c r="P470" s="672"/>
    </row>
    <row r="471" spans="1:17" s="665" customFormat="1" ht="17.100000000000001" customHeight="1">
      <c r="A471" s="1359" t="s">
        <v>248</v>
      </c>
      <c r="B471" s="1360"/>
      <c r="C471" s="1359"/>
      <c r="D471" s="1360"/>
      <c r="E471" s="675">
        <v>0.43</v>
      </c>
      <c r="F471" s="676" t="s">
        <v>366</v>
      </c>
      <c r="G471" s="670"/>
      <c r="H471" s="670"/>
      <c r="I471" s="670">
        <f>[53]노임단가!$T$5</f>
        <v>172068</v>
      </c>
      <c r="J471" s="670">
        <f>INT(E471*I471)</f>
        <v>73989</v>
      </c>
      <c r="K471" s="670"/>
      <c r="L471" s="670"/>
      <c r="M471" s="670">
        <f t="shared" si="30"/>
        <v>172068</v>
      </c>
      <c r="N471" s="670">
        <f t="shared" si="30"/>
        <v>73989</v>
      </c>
      <c r="O471" s="707"/>
      <c r="P471" s="672"/>
    </row>
    <row r="472" spans="1:17" s="665" customFormat="1" ht="17.100000000000001" customHeight="1">
      <c r="A472" s="1318" t="s">
        <v>1320</v>
      </c>
      <c r="B472" s="1319"/>
      <c r="C472" s="1371"/>
      <c r="D472" s="1372"/>
      <c r="E472" s="677"/>
      <c r="F472" s="676"/>
      <c r="G472" s="670"/>
      <c r="H472" s="670" t="e">
        <f>SUM(H468:H471)</f>
        <v>#REF!</v>
      </c>
      <c r="I472" s="670"/>
      <c r="J472" s="670">
        <f>SUM(J468:J471)</f>
        <v>73989</v>
      </c>
      <c r="K472" s="670"/>
      <c r="L472" s="670">
        <f>SUM(L468:L471)</f>
        <v>24046</v>
      </c>
      <c r="M472" s="670"/>
      <c r="N472" s="670" t="e">
        <f>SUM(N468:N471)</f>
        <v>#REF!</v>
      </c>
      <c r="O472" s="671"/>
      <c r="P472" s="705"/>
    </row>
    <row r="473" spans="1:17" s="665" customFormat="1" ht="17.100000000000001" customHeight="1">
      <c r="A473" s="668">
        <f>A467+1</f>
        <v>129</v>
      </c>
      <c r="B473" s="1320" t="s">
        <v>1524</v>
      </c>
      <c r="C473" s="1320"/>
      <c r="D473" s="1402" t="s">
        <v>1528</v>
      </c>
      <c r="E473" s="1320"/>
      <c r="F473" s="669" t="s">
        <v>850</v>
      </c>
      <c r="G473" s="670"/>
      <c r="H473" s="670"/>
      <c r="I473" s="670"/>
      <c r="J473" s="670"/>
      <c r="K473" s="670"/>
      <c r="L473" s="670"/>
      <c r="M473" s="670"/>
      <c r="N473" s="670"/>
      <c r="O473" s="671"/>
      <c r="P473" s="672"/>
    </row>
    <row r="474" spans="1:17" s="665" customFormat="1" ht="17.100000000000001" customHeight="1">
      <c r="A474" s="1316" t="s">
        <v>542</v>
      </c>
      <c r="B474" s="1317"/>
      <c r="C474" s="1316"/>
      <c r="D474" s="1317"/>
      <c r="E474" s="677">
        <v>680</v>
      </c>
      <c r="F474" s="676" t="s">
        <v>835</v>
      </c>
      <c r="G474" s="670" t="e">
        <f>#REF!</f>
        <v>#REF!</v>
      </c>
      <c r="H474" s="670" t="e">
        <f>INT(E474*G474)</f>
        <v>#REF!</v>
      </c>
      <c r="I474" s="670"/>
      <c r="J474" s="670"/>
      <c r="K474" s="670"/>
      <c r="L474" s="670"/>
      <c r="M474" s="706" t="e">
        <f t="shared" ref="M474:N477" si="31">G474+I474+K474</f>
        <v>#REF!</v>
      </c>
      <c r="N474" s="670" t="e">
        <f t="shared" si="31"/>
        <v>#REF!</v>
      </c>
      <c r="O474" s="707"/>
      <c r="P474" s="672" t="s">
        <v>1522</v>
      </c>
      <c r="Q474" s="665" t="s">
        <v>1523</v>
      </c>
    </row>
    <row r="475" spans="1:17" s="665" customFormat="1" ht="17.100000000000001" customHeight="1">
      <c r="A475" s="1316" t="s">
        <v>1526</v>
      </c>
      <c r="B475" s="1317"/>
      <c r="C475" s="1316"/>
      <c r="D475" s="1317"/>
      <c r="E475" s="677">
        <v>680</v>
      </c>
      <c r="F475" s="676" t="s">
        <v>835</v>
      </c>
      <c r="G475" s="670"/>
      <c r="H475" s="670"/>
      <c r="I475" s="670"/>
      <c r="J475" s="670"/>
      <c r="K475" s="670">
        <f>([53]운반공!$BM$489+[53]운반공!$BM$490)/2</f>
        <v>22</v>
      </c>
      <c r="L475" s="670">
        <f>INT(E475*K475)</f>
        <v>14960</v>
      </c>
      <c r="M475" s="670">
        <f t="shared" si="31"/>
        <v>22</v>
      </c>
      <c r="N475" s="670">
        <f t="shared" si="31"/>
        <v>14960</v>
      </c>
      <c r="O475" s="671"/>
      <c r="P475" s="705"/>
    </row>
    <row r="476" spans="1:17" s="665" customFormat="1" ht="17.100000000000001" customHeight="1">
      <c r="A476" s="1316" t="s">
        <v>821</v>
      </c>
      <c r="B476" s="1317"/>
      <c r="C476" s="1316" t="s">
        <v>1527</v>
      </c>
      <c r="D476" s="1317"/>
      <c r="E476" s="702">
        <v>0.98</v>
      </c>
      <c r="F476" s="676" t="s">
        <v>850</v>
      </c>
      <c r="G476" s="670" t="e">
        <f>#REF!</f>
        <v>#REF!</v>
      </c>
      <c r="H476" s="670" t="e">
        <f>INT(E476*G476)</f>
        <v>#REF!</v>
      </c>
      <c r="I476" s="670"/>
      <c r="J476" s="670"/>
      <c r="K476" s="670"/>
      <c r="L476" s="670"/>
      <c r="M476" s="670" t="e">
        <f t="shared" si="31"/>
        <v>#REF!</v>
      </c>
      <c r="N476" s="670" t="e">
        <f t="shared" si="31"/>
        <v>#REF!</v>
      </c>
      <c r="O476" s="671"/>
      <c r="P476" s="672"/>
    </row>
    <row r="477" spans="1:17" s="665" customFormat="1" ht="17.100000000000001" customHeight="1">
      <c r="A477" s="1359" t="s">
        <v>248</v>
      </c>
      <c r="B477" s="1360"/>
      <c r="C477" s="1359"/>
      <c r="D477" s="1360"/>
      <c r="E477" s="675">
        <v>0.43</v>
      </c>
      <c r="F477" s="676" t="s">
        <v>366</v>
      </c>
      <c r="G477" s="670"/>
      <c r="H477" s="670"/>
      <c r="I477" s="670">
        <f>[53]노임단가!$T$5</f>
        <v>172068</v>
      </c>
      <c r="J477" s="670">
        <f>INT(E477*I477)</f>
        <v>73989</v>
      </c>
      <c r="K477" s="670"/>
      <c r="L477" s="670"/>
      <c r="M477" s="670">
        <f t="shared" si="31"/>
        <v>172068</v>
      </c>
      <c r="N477" s="670">
        <f t="shared" si="31"/>
        <v>73989</v>
      </c>
      <c r="O477" s="707"/>
      <c r="P477" s="672"/>
    </row>
    <row r="478" spans="1:17" s="665" customFormat="1" ht="17.100000000000001" customHeight="1">
      <c r="A478" s="1318" t="s">
        <v>1320</v>
      </c>
      <c r="B478" s="1319"/>
      <c r="C478" s="1371"/>
      <c r="D478" s="1372"/>
      <c r="E478" s="677"/>
      <c r="F478" s="676"/>
      <c r="G478" s="670"/>
      <c r="H478" s="670" t="e">
        <f>SUM(H474:H477)</f>
        <v>#REF!</v>
      </c>
      <c r="I478" s="670"/>
      <c r="J478" s="670">
        <f>SUM(J474:J477)</f>
        <v>73989</v>
      </c>
      <c r="K478" s="670"/>
      <c r="L478" s="670">
        <f>SUM(L474:L477)</f>
        <v>14960</v>
      </c>
      <c r="M478" s="670"/>
      <c r="N478" s="670" t="e">
        <f>SUM(N474:N477)</f>
        <v>#REF!</v>
      </c>
      <c r="O478" s="671"/>
      <c r="P478" s="672"/>
    </row>
    <row r="479" spans="1:17" s="665" customFormat="1" ht="17.100000000000001" customHeight="1">
      <c r="A479" s="668">
        <f>A473+1</f>
        <v>130</v>
      </c>
      <c r="B479" s="1320" t="s">
        <v>1524</v>
      </c>
      <c r="C479" s="1320"/>
      <c r="D479" s="1402" t="s">
        <v>1529</v>
      </c>
      <c r="E479" s="1320"/>
      <c r="F479" s="669" t="s">
        <v>850</v>
      </c>
      <c r="G479" s="670"/>
      <c r="H479" s="670"/>
      <c r="I479" s="670"/>
      <c r="J479" s="670"/>
      <c r="K479" s="670"/>
      <c r="L479" s="670"/>
      <c r="M479" s="670"/>
      <c r="N479" s="670"/>
      <c r="O479" s="671"/>
      <c r="P479" s="672"/>
    </row>
    <row r="480" spans="1:17" s="665" customFormat="1" ht="17.100000000000001" customHeight="1">
      <c r="A480" s="1316" t="s">
        <v>542</v>
      </c>
      <c r="B480" s="1317"/>
      <c r="C480" s="1316"/>
      <c r="D480" s="1317"/>
      <c r="E480" s="677">
        <v>510</v>
      </c>
      <c r="F480" s="676" t="s">
        <v>835</v>
      </c>
      <c r="G480" s="670" t="e">
        <f>#REF!</f>
        <v>#REF!</v>
      </c>
      <c r="H480" s="670" t="e">
        <f>INT(E480*G480)</f>
        <v>#REF!</v>
      </c>
      <c r="I480" s="670"/>
      <c r="J480" s="670"/>
      <c r="K480" s="670"/>
      <c r="L480" s="670"/>
      <c r="M480" s="706" t="e">
        <f t="shared" ref="M480:N483" si="32">G480+I480+K480</f>
        <v>#REF!</v>
      </c>
      <c r="N480" s="670" t="e">
        <f t="shared" si="32"/>
        <v>#REF!</v>
      </c>
      <c r="O480" s="707"/>
      <c r="P480" s="705"/>
    </row>
    <row r="481" spans="1:17" s="665" customFormat="1" ht="17.100000000000001" customHeight="1">
      <c r="A481" s="1316" t="s">
        <v>1526</v>
      </c>
      <c r="B481" s="1317"/>
      <c r="C481" s="1316"/>
      <c r="D481" s="1317"/>
      <c r="E481" s="677">
        <v>510</v>
      </c>
      <c r="F481" s="676" t="s">
        <v>835</v>
      </c>
      <c r="G481" s="670"/>
      <c r="H481" s="670"/>
      <c r="I481" s="670"/>
      <c r="J481" s="670"/>
      <c r="K481" s="670">
        <f>([53]운반공!$BM$489+[53]운반공!$BM$490)/2</f>
        <v>22</v>
      </c>
      <c r="L481" s="670">
        <f>INT(E481*K481)</f>
        <v>11220</v>
      </c>
      <c r="M481" s="670">
        <f t="shared" si="32"/>
        <v>22</v>
      </c>
      <c r="N481" s="670">
        <f t="shared" si="32"/>
        <v>11220</v>
      </c>
      <c r="O481" s="671"/>
      <c r="P481" s="672"/>
    </row>
    <row r="482" spans="1:17" s="665" customFormat="1" ht="17.100000000000001" customHeight="1">
      <c r="A482" s="1316" t="s">
        <v>821</v>
      </c>
      <c r="B482" s="1317"/>
      <c r="C482" s="1316" t="s">
        <v>1527</v>
      </c>
      <c r="D482" s="1317"/>
      <c r="E482" s="708">
        <v>1.1000000000000001</v>
      </c>
      <c r="F482" s="676" t="s">
        <v>850</v>
      </c>
      <c r="G482" s="670" t="e">
        <f>#REF!</f>
        <v>#REF!</v>
      </c>
      <c r="H482" s="670" t="e">
        <f>INT(E482*G482)</f>
        <v>#REF!</v>
      </c>
      <c r="I482" s="670"/>
      <c r="J482" s="670"/>
      <c r="K482" s="670"/>
      <c r="L482" s="670"/>
      <c r="M482" s="670" t="e">
        <f t="shared" si="32"/>
        <v>#REF!</v>
      </c>
      <c r="N482" s="670" t="e">
        <f t="shared" si="32"/>
        <v>#REF!</v>
      </c>
      <c r="O482" s="671"/>
      <c r="P482" s="672" t="s">
        <v>1522</v>
      </c>
      <c r="Q482" s="665" t="s">
        <v>1523</v>
      </c>
    </row>
    <row r="483" spans="1:17" s="665" customFormat="1" ht="17.100000000000001" customHeight="1">
      <c r="A483" s="1359" t="s">
        <v>248</v>
      </c>
      <c r="B483" s="1360"/>
      <c r="C483" s="1359"/>
      <c r="D483" s="1360"/>
      <c r="E483" s="675">
        <v>0.43</v>
      </c>
      <c r="F483" s="676" t="s">
        <v>366</v>
      </c>
      <c r="G483" s="670"/>
      <c r="H483" s="670"/>
      <c r="I483" s="670">
        <f>[53]노임단가!$T$5</f>
        <v>172068</v>
      </c>
      <c r="J483" s="670">
        <f>INT(E483*I483)</f>
        <v>73989</v>
      </c>
      <c r="K483" s="670"/>
      <c r="L483" s="670"/>
      <c r="M483" s="670">
        <f t="shared" si="32"/>
        <v>172068</v>
      </c>
      <c r="N483" s="670">
        <f t="shared" si="32"/>
        <v>73989</v>
      </c>
      <c r="O483" s="707"/>
      <c r="P483" s="705"/>
    </row>
    <row r="484" spans="1:17" s="665" customFormat="1" ht="17.100000000000001" customHeight="1">
      <c r="A484" s="1318" t="s">
        <v>1320</v>
      </c>
      <c r="B484" s="1319"/>
      <c r="C484" s="1371"/>
      <c r="D484" s="1372"/>
      <c r="E484" s="677"/>
      <c r="F484" s="676"/>
      <c r="G484" s="670"/>
      <c r="H484" s="670" t="e">
        <f>SUM(H480:H483)</f>
        <v>#REF!</v>
      </c>
      <c r="I484" s="670"/>
      <c r="J484" s="670">
        <f>SUM(J480:J483)</f>
        <v>73989</v>
      </c>
      <c r="K484" s="670"/>
      <c r="L484" s="670">
        <f>SUM(L480:L483)</f>
        <v>11220</v>
      </c>
      <c r="M484" s="670"/>
      <c r="N484" s="670" t="e">
        <f>SUM(N480:N483)</f>
        <v>#REF!</v>
      </c>
      <c r="O484" s="671"/>
      <c r="P484" s="672"/>
    </row>
    <row r="485" spans="1:17" s="665" customFormat="1" ht="17.100000000000001" customHeight="1">
      <c r="A485" s="668">
        <f>A479+1</f>
        <v>131</v>
      </c>
      <c r="B485" s="1320" t="s">
        <v>1524</v>
      </c>
      <c r="C485" s="1320"/>
      <c r="D485" s="1402" t="s">
        <v>1530</v>
      </c>
      <c r="E485" s="1320"/>
      <c r="F485" s="669" t="s">
        <v>850</v>
      </c>
      <c r="G485" s="670"/>
      <c r="H485" s="670"/>
      <c r="I485" s="670"/>
      <c r="J485" s="670"/>
      <c r="K485" s="670"/>
      <c r="L485" s="670"/>
      <c r="M485" s="670"/>
      <c r="N485" s="670"/>
      <c r="O485" s="671"/>
      <c r="P485" s="672"/>
    </row>
    <row r="486" spans="1:17" s="665" customFormat="1" ht="17.100000000000001" customHeight="1">
      <c r="A486" s="1316" t="s">
        <v>542</v>
      </c>
      <c r="B486" s="1317"/>
      <c r="C486" s="1316"/>
      <c r="D486" s="1317"/>
      <c r="E486" s="677">
        <v>385</v>
      </c>
      <c r="F486" s="676" t="s">
        <v>835</v>
      </c>
      <c r="G486" s="670" t="e">
        <f>#REF!</f>
        <v>#REF!</v>
      </c>
      <c r="H486" s="670" t="e">
        <f>INT(E486*G486)</f>
        <v>#REF!</v>
      </c>
      <c r="I486" s="670"/>
      <c r="J486" s="670"/>
      <c r="K486" s="670"/>
      <c r="L486" s="670"/>
      <c r="M486" s="706" t="e">
        <f>G486+I486+K486</f>
        <v>#REF!</v>
      </c>
      <c r="N486" s="670" t="e">
        <f t="shared" ref="M486:N489" si="33">H486+J486+L486</f>
        <v>#REF!</v>
      </c>
      <c r="O486" s="707"/>
      <c r="P486" s="672"/>
    </row>
    <row r="487" spans="1:17" s="665" customFormat="1" ht="17.100000000000001" customHeight="1">
      <c r="A487" s="1316" t="s">
        <v>1526</v>
      </c>
      <c r="B487" s="1317"/>
      <c r="C487" s="1316"/>
      <c r="D487" s="1317"/>
      <c r="E487" s="677">
        <v>385</v>
      </c>
      <c r="F487" s="676" t="s">
        <v>835</v>
      </c>
      <c r="G487" s="670"/>
      <c r="H487" s="670"/>
      <c r="I487" s="670"/>
      <c r="J487" s="670"/>
      <c r="K487" s="670">
        <f>([53]운반공!$BM$489+[53]운반공!$BM$490)/2</f>
        <v>22</v>
      </c>
      <c r="L487" s="670">
        <f>INT(E487*K487)</f>
        <v>8470</v>
      </c>
      <c r="M487" s="670">
        <f>G487+I487+K487</f>
        <v>22</v>
      </c>
      <c r="N487" s="670">
        <f t="shared" si="33"/>
        <v>8470</v>
      </c>
      <c r="O487" s="671"/>
      <c r="P487" s="672"/>
    </row>
    <row r="488" spans="1:17" s="665" customFormat="1" ht="17.100000000000001" customHeight="1">
      <c r="A488" s="1316" t="s">
        <v>821</v>
      </c>
      <c r="B488" s="1317"/>
      <c r="C488" s="1316" t="s">
        <v>1527</v>
      </c>
      <c r="D488" s="1317"/>
      <c r="E488" s="708">
        <v>1.1000000000000001</v>
      </c>
      <c r="F488" s="676" t="s">
        <v>850</v>
      </c>
      <c r="G488" s="670" t="e">
        <f>#REF!</f>
        <v>#REF!</v>
      </c>
      <c r="H488" s="670" t="e">
        <f>INT(E488*G488)</f>
        <v>#REF!</v>
      </c>
      <c r="I488" s="670"/>
      <c r="J488" s="670"/>
      <c r="K488" s="670"/>
      <c r="L488" s="670"/>
      <c r="M488" s="670" t="e">
        <f t="shared" si="33"/>
        <v>#REF!</v>
      </c>
      <c r="N488" s="670" t="e">
        <f t="shared" si="33"/>
        <v>#REF!</v>
      </c>
      <c r="O488" s="671"/>
      <c r="P488" s="705"/>
    </row>
    <row r="489" spans="1:17" s="665" customFormat="1" ht="17.100000000000001" customHeight="1">
      <c r="A489" s="1359" t="s">
        <v>248</v>
      </c>
      <c r="B489" s="1360"/>
      <c r="C489" s="1359"/>
      <c r="D489" s="1360"/>
      <c r="E489" s="675">
        <v>0.43</v>
      </c>
      <c r="F489" s="676" t="s">
        <v>366</v>
      </c>
      <c r="G489" s="670"/>
      <c r="H489" s="670"/>
      <c r="I489" s="670">
        <f>[53]노임단가!$T$5</f>
        <v>172068</v>
      </c>
      <c r="J489" s="670">
        <f>INT(E489*I489)</f>
        <v>73989</v>
      </c>
      <c r="K489" s="670"/>
      <c r="L489" s="670"/>
      <c r="M489" s="670">
        <f t="shared" si="33"/>
        <v>172068</v>
      </c>
      <c r="N489" s="670">
        <f t="shared" si="33"/>
        <v>73989</v>
      </c>
      <c r="O489" s="707"/>
      <c r="P489" s="672"/>
    </row>
    <row r="490" spans="1:17" s="665" customFormat="1" ht="17.100000000000001" customHeight="1">
      <c r="A490" s="1318" t="s">
        <v>1320</v>
      </c>
      <c r="B490" s="1319"/>
      <c r="C490" s="1371"/>
      <c r="D490" s="1372"/>
      <c r="E490" s="677"/>
      <c r="F490" s="676"/>
      <c r="G490" s="670"/>
      <c r="H490" s="670" t="e">
        <f>SUM(H486:H489)</f>
        <v>#REF!</v>
      </c>
      <c r="I490" s="670"/>
      <c r="J490" s="670">
        <f>SUM(J486:J489)</f>
        <v>73989</v>
      </c>
      <c r="K490" s="670"/>
      <c r="L490" s="670">
        <f>SUM(L486:L489)</f>
        <v>8470</v>
      </c>
      <c r="M490" s="670"/>
      <c r="N490" s="670" t="e">
        <f>SUM(N486:N489)</f>
        <v>#REF!</v>
      </c>
      <c r="O490" s="671"/>
      <c r="P490" s="672"/>
      <c r="Q490" s="665" t="s">
        <v>1523</v>
      </c>
    </row>
    <row r="491" spans="1:17" s="665" customFormat="1" ht="17.100000000000001" customHeight="1">
      <c r="A491" s="668">
        <f>A485+1</f>
        <v>132</v>
      </c>
      <c r="B491" s="1320" t="s">
        <v>1524</v>
      </c>
      <c r="C491" s="1320"/>
      <c r="D491" s="1402" t="s">
        <v>1531</v>
      </c>
      <c r="E491" s="1320"/>
      <c r="F491" s="669" t="s">
        <v>850</v>
      </c>
      <c r="G491" s="670"/>
      <c r="H491" s="670"/>
      <c r="I491" s="670"/>
      <c r="J491" s="670"/>
      <c r="K491" s="670"/>
      <c r="L491" s="670"/>
      <c r="M491" s="670"/>
      <c r="N491" s="670"/>
      <c r="O491" s="671"/>
      <c r="P491" s="705"/>
    </row>
    <row r="492" spans="1:17" s="665" customFormat="1" ht="17.100000000000001" customHeight="1">
      <c r="A492" s="1316" t="s">
        <v>542</v>
      </c>
      <c r="B492" s="1317"/>
      <c r="C492" s="1316"/>
      <c r="D492" s="1317"/>
      <c r="E492" s="677">
        <v>320</v>
      </c>
      <c r="F492" s="676" t="s">
        <v>835</v>
      </c>
      <c r="G492" s="670" t="e">
        <f>#REF!</f>
        <v>#REF!</v>
      </c>
      <c r="H492" s="670" t="e">
        <f>INT(E492*G492)</f>
        <v>#REF!</v>
      </c>
      <c r="I492" s="670"/>
      <c r="J492" s="670"/>
      <c r="K492" s="670"/>
      <c r="L492" s="670"/>
      <c r="M492" s="706" t="e">
        <f>G492+I492+K492</f>
        <v>#REF!</v>
      </c>
      <c r="N492" s="670" t="e">
        <f t="shared" ref="M492:N495" si="34">H492+J492+L492</f>
        <v>#REF!</v>
      </c>
      <c r="O492" s="707"/>
      <c r="P492" s="672"/>
    </row>
    <row r="493" spans="1:17" s="665" customFormat="1" ht="17.100000000000001" customHeight="1">
      <c r="A493" s="1316" t="s">
        <v>1526</v>
      </c>
      <c r="B493" s="1317"/>
      <c r="C493" s="1316"/>
      <c r="D493" s="1317"/>
      <c r="E493" s="677">
        <v>320</v>
      </c>
      <c r="F493" s="676" t="s">
        <v>835</v>
      </c>
      <c r="G493" s="670"/>
      <c r="H493" s="670"/>
      <c r="I493" s="670"/>
      <c r="J493" s="670"/>
      <c r="K493" s="670">
        <f>([53]운반공!$BM$489+[53]운반공!$BM$490)/2</f>
        <v>22</v>
      </c>
      <c r="L493" s="670">
        <f>INT(E493*K493)</f>
        <v>7040</v>
      </c>
      <c r="M493" s="670">
        <f>G493+I493+K493</f>
        <v>22</v>
      </c>
      <c r="N493" s="670">
        <f t="shared" si="34"/>
        <v>7040</v>
      </c>
      <c r="O493" s="671"/>
      <c r="P493" s="672"/>
    </row>
    <row r="494" spans="1:17" s="665" customFormat="1" ht="17.100000000000001" customHeight="1">
      <c r="A494" s="1316" t="s">
        <v>821</v>
      </c>
      <c r="B494" s="1317"/>
      <c r="C494" s="1316" t="s">
        <v>1527</v>
      </c>
      <c r="D494" s="1317"/>
      <c r="E494" s="702">
        <v>1.1499999999999999</v>
      </c>
      <c r="F494" s="676" t="s">
        <v>850</v>
      </c>
      <c r="G494" s="670" t="e">
        <f>#REF!</f>
        <v>#REF!</v>
      </c>
      <c r="H494" s="670" t="e">
        <f>INT(E494*G494)</f>
        <v>#REF!</v>
      </c>
      <c r="I494" s="670"/>
      <c r="J494" s="670"/>
      <c r="K494" s="670"/>
      <c r="L494" s="670"/>
      <c r="M494" s="670" t="e">
        <f t="shared" si="34"/>
        <v>#REF!</v>
      </c>
      <c r="N494" s="670" t="e">
        <f t="shared" si="34"/>
        <v>#REF!</v>
      </c>
      <c r="O494" s="671"/>
      <c r="P494" s="672"/>
    </row>
    <row r="495" spans="1:17" s="665" customFormat="1" ht="17.100000000000001" customHeight="1">
      <c r="A495" s="1359" t="s">
        <v>248</v>
      </c>
      <c r="B495" s="1360"/>
      <c r="C495" s="1359"/>
      <c r="D495" s="1360"/>
      <c r="E495" s="675">
        <v>0.43</v>
      </c>
      <c r="F495" s="676" t="s">
        <v>366</v>
      </c>
      <c r="G495" s="670"/>
      <c r="H495" s="670"/>
      <c r="I495" s="670">
        <f>[53]노임단가!$T$5</f>
        <v>172068</v>
      </c>
      <c r="J495" s="670">
        <f>INT(E495*I495)</f>
        <v>73989</v>
      </c>
      <c r="K495" s="670"/>
      <c r="L495" s="670"/>
      <c r="M495" s="670">
        <f t="shared" si="34"/>
        <v>172068</v>
      </c>
      <c r="N495" s="670">
        <f t="shared" si="34"/>
        <v>73989</v>
      </c>
      <c r="O495" s="707"/>
      <c r="P495" s="672"/>
    </row>
    <row r="496" spans="1:17" s="665" customFormat="1" ht="17.100000000000001" customHeight="1">
      <c r="A496" s="1318" t="s">
        <v>1320</v>
      </c>
      <c r="B496" s="1319"/>
      <c r="C496" s="1371"/>
      <c r="D496" s="1372"/>
      <c r="E496" s="677"/>
      <c r="F496" s="676"/>
      <c r="G496" s="670"/>
      <c r="H496" s="670" t="e">
        <f>SUM(H492:H495)</f>
        <v>#REF!</v>
      </c>
      <c r="I496" s="670"/>
      <c r="J496" s="670">
        <f>SUM(J492:J495)</f>
        <v>73989</v>
      </c>
      <c r="K496" s="670"/>
      <c r="L496" s="670">
        <f>SUM(L492:L495)</f>
        <v>7040</v>
      </c>
      <c r="M496" s="670"/>
      <c r="N496" s="670" t="e">
        <f>SUM(N492:N495)</f>
        <v>#REF!</v>
      </c>
      <c r="O496" s="671"/>
      <c r="P496" s="705"/>
    </row>
    <row r="497" spans="1:19" s="665" customFormat="1" ht="17.100000000000001" customHeight="1">
      <c r="A497" s="668">
        <f>A491+1</f>
        <v>133</v>
      </c>
      <c r="B497" s="1320" t="s">
        <v>1532</v>
      </c>
      <c r="C497" s="1320"/>
      <c r="D497" s="1397" t="s">
        <v>1533</v>
      </c>
      <c r="E497" s="1320"/>
      <c r="F497" s="669" t="s">
        <v>850</v>
      </c>
      <c r="G497" s="670"/>
      <c r="H497" s="670"/>
      <c r="I497" s="670"/>
      <c r="J497" s="670"/>
      <c r="K497" s="670"/>
      <c r="L497" s="670"/>
      <c r="M497" s="670"/>
      <c r="N497" s="670"/>
      <c r="O497" s="671"/>
      <c r="P497" s="672"/>
    </row>
    <row r="498" spans="1:19" s="665" customFormat="1" ht="17.100000000000001" customHeight="1">
      <c r="A498" s="1316" t="s">
        <v>542</v>
      </c>
      <c r="B498" s="1317"/>
      <c r="C498" s="1316"/>
      <c r="D498" s="1317"/>
      <c r="E498" s="677">
        <v>338</v>
      </c>
      <c r="F498" s="676" t="s">
        <v>835</v>
      </c>
      <c r="G498" s="670" t="e">
        <f>#REF!</f>
        <v>#REF!</v>
      </c>
      <c r="H498" s="670" t="e">
        <f>INT(E498*G498)</f>
        <v>#REF!</v>
      </c>
      <c r="I498" s="670"/>
      <c r="J498" s="670"/>
      <c r="K498" s="670"/>
      <c r="L498" s="670"/>
      <c r="M498" s="706" t="e">
        <f t="shared" ref="M498:N503" si="35">G498+I498+K498</f>
        <v>#REF!</v>
      </c>
      <c r="N498" s="670" t="e">
        <f t="shared" si="35"/>
        <v>#REF!</v>
      </c>
      <c r="O498" s="707"/>
      <c r="P498" s="672"/>
      <c r="Q498" s="665" t="s">
        <v>1523</v>
      </c>
    </row>
    <row r="499" spans="1:19" s="665" customFormat="1" ht="17.100000000000001" customHeight="1">
      <c r="A499" s="1316" t="s">
        <v>1526</v>
      </c>
      <c r="B499" s="1317"/>
      <c r="C499" s="1316"/>
      <c r="D499" s="1317"/>
      <c r="E499" s="677">
        <v>338</v>
      </c>
      <c r="F499" s="676" t="s">
        <v>835</v>
      </c>
      <c r="G499" s="670"/>
      <c r="H499" s="670"/>
      <c r="I499" s="670"/>
      <c r="J499" s="670"/>
      <c r="K499" s="670">
        <f>([53]운반공!$BM$489+[53]운반공!$BM$490)/2</f>
        <v>22</v>
      </c>
      <c r="L499" s="670">
        <f>INT(E499*K499)</f>
        <v>7436</v>
      </c>
      <c r="M499" s="670">
        <f t="shared" si="35"/>
        <v>22</v>
      </c>
      <c r="N499" s="670">
        <f t="shared" si="35"/>
        <v>7436</v>
      </c>
      <c r="O499" s="671"/>
      <c r="P499" s="705"/>
    </row>
    <row r="500" spans="1:19" s="665" customFormat="1" ht="17.100000000000001" customHeight="1">
      <c r="A500" s="1316" t="s">
        <v>1534</v>
      </c>
      <c r="B500" s="1317"/>
      <c r="C500" s="1338" t="s">
        <v>1535</v>
      </c>
      <c r="D500" s="1317"/>
      <c r="E500" s="702">
        <v>0.49</v>
      </c>
      <c r="F500" s="676" t="s">
        <v>850</v>
      </c>
      <c r="G500" s="670" t="e">
        <f>#REF!</f>
        <v>#REF!</v>
      </c>
      <c r="H500" s="670" t="e">
        <f>INT(E500*G500)</f>
        <v>#REF!</v>
      </c>
      <c r="I500" s="670"/>
      <c r="J500" s="670"/>
      <c r="K500" s="670"/>
      <c r="L500" s="670"/>
      <c r="M500" s="670" t="e">
        <f t="shared" si="35"/>
        <v>#REF!</v>
      </c>
      <c r="N500" s="670" t="e">
        <f t="shared" si="35"/>
        <v>#REF!</v>
      </c>
      <c r="O500" s="671"/>
      <c r="P500" s="672"/>
      <c r="S500" s="665">
        <v>1</v>
      </c>
    </row>
    <row r="501" spans="1:19" s="665" customFormat="1" ht="17.100000000000001" customHeight="1">
      <c r="A501" s="1316" t="s">
        <v>828</v>
      </c>
      <c r="B501" s="1317"/>
      <c r="C501" s="1338" t="s">
        <v>1536</v>
      </c>
      <c r="D501" s="1317"/>
      <c r="E501" s="702">
        <v>0.68</v>
      </c>
      <c r="F501" s="676" t="s">
        <v>850</v>
      </c>
      <c r="G501" s="670" t="e">
        <f>#REF!</f>
        <v>#REF!</v>
      </c>
      <c r="H501" s="670" t="e">
        <f>INT(E501*G501)</f>
        <v>#REF!</v>
      </c>
      <c r="I501" s="670"/>
      <c r="J501" s="670"/>
      <c r="K501" s="670"/>
      <c r="L501" s="670"/>
      <c r="M501" s="670" t="e">
        <f t="shared" si="35"/>
        <v>#REF!</v>
      </c>
      <c r="N501" s="670" t="e">
        <f t="shared" si="35"/>
        <v>#REF!</v>
      </c>
      <c r="O501" s="671"/>
      <c r="P501" s="672"/>
      <c r="S501" s="709"/>
    </row>
    <row r="502" spans="1:19" s="665" customFormat="1" ht="17.100000000000001" customHeight="1">
      <c r="A502" s="1316" t="s">
        <v>1537</v>
      </c>
      <c r="B502" s="1317"/>
      <c r="C502" s="1338"/>
      <c r="D502" s="1317"/>
      <c r="E502" s="702">
        <v>0.85</v>
      </c>
      <c r="F502" s="676" t="s">
        <v>366</v>
      </c>
      <c r="G502" s="670"/>
      <c r="H502" s="670"/>
      <c r="I502" s="670">
        <f>[53]노임단가!$T$16</f>
        <v>273540</v>
      </c>
      <c r="J502" s="670">
        <f>INT(E502*I502)</f>
        <v>232509</v>
      </c>
      <c r="K502" s="670"/>
      <c r="L502" s="670"/>
      <c r="M502" s="670">
        <f t="shared" si="35"/>
        <v>273540</v>
      </c>
      <c r="N502" s="670">
        <f t="shared" si="35"/>
        <v>232509</v>
      </c>
      <c r="O502" s="671"/>
      <c r="P502" s="672"/>
      <c r="S502" s="709"/>
    </row>
    <row r="503" spans="1:19" s="665" customFormat="1" ht="17.100000000000001" customHeight="1">
      <c r="A503" s="1316" t="s">
        <v>248</v>
      </c>
      <c r="B503" s="1317"/>
      <c r="C503" s="1338"/>
      <c r="D503" s="1317"/>
      <c r="E503" s="702">
        <v>0.82</v>
      </c>
      <c r="F503" s="676" t="s">
        <v>366</v>
      </c>
      <c r="G503" s="670"/>
      <c r="H503" s="670"/>
      <c r="I503" s="670">
        <f>[53]노임단가!$T$5</f>
        <v>172068</v>
      </c>
      <c r="J503" s="670">
        <f>INT(E503*I503)</f>
        <v>141095</v>
      </c>
      <c r="K503" s="670"/>
      <c r="L503" s="670"/>
      <c r="M503" s="670">
        <f t="shared" si="35"/>
        <v>172068</v>
      </c>
      <c r="N503" s="670">
        <f t="shared" si="35"/>
        <v>141095</v>
      </c>
      <c r="O503" s="707"/>
      <c r="P503" s="672"/>
    </row>
    <row r="504" spans="1:19" s="665" customFormat="1" ht="17.100000000000001" customHeight="1">
      <c r="A504" s="1318" t="s">
        <v>1320</v>
      </c>
      <c r="B504" s="1319"/>
      <c r="C504" s="1371"/>
      <c r="D504" s="1372"/>
      <c r="E504" s="677"/>
      <c r="F504" s="676"/>
      <c r="G504" s="670"/>
      <c r="H504" s="670" t="e">
        <f>SUM(H498:H503)</f>
        <v>#REF!</v>
      </c>
      <c r="I504" s="670"/>
      <c r="J504" s="670">
        <f>SUM(J498:J503)</f>
        <v>373604</v>
      </c>
      <c r="K504" s="670"/>
      <c r="L504" s="670">
        <f>SUM(L498:L503)</f>
        <v>7436</v>
      </c>
      <c r="M504" s="670"/>
      <c r="N504" s="670" t="e">
        <f>SUM(N498:N503)</f>
        <v>#REF!</v>
      </c>
      <c r="O504" s="671"/>
      <c r="P504" s="705"/>
    </row>
    <row r="505" spans="1:19" s="665" customFormat="1" ht="17.100000000000001" customHeight="1">
      <c r="A505" s="668">
        <f>A497+1</f>
        <v>134</v>
      </c>
      <c r="B505" s="1320" t="s">
        <v>1538</v>
      </c>
      <c r="C505" s="1320"/>
      <c r="D505" s="1397" t="s">
        <v>1539</v>
      </c>
      <c r="E505" s="1320"/>
      <c r="F505" s="669" t="s">
        <v>850</v>
      </c>
      <c r="G505" s="670"/>
      <c r="H505" s="670"/>
      <c r="I505" s="670"/>
      <c r="J505" s="670"/>
      <c r="K505" s="670"/>
      <c r="L505" s="670"/>
      <c r="M505" s="670"/>
      <c r="N505" s="670"/>
      <c r="O505" s="671"/>
      <c r="P505" s="672"/>
    </row>
    <row r="506" spans="1:19" s="665" customFormat="1" ht="17.100000000000001" customHeight="1">
      <c r="A506" s="1316" t="s">
        <v>542</v>
      </c>
      <c r="B506" s="1317"/>
      <c r="C506" s="1316"/>
      <c r="D506" s="1317"/>
      <c r="E506" s="677">
        <v>338</v>
      </c>
      <c r="F506" s="676" t="s">
        <v>835</v>
      </c>
      <c r="G506" s="670" t="e">
        <f>#REF!</f>
        <v>#REF!</v>
      </c>
      <c r="H506" s="670" t="e">
        <f>INT(E506*G506)</f>
        <v>#REF!</v>
      </c>
      <c r="I506" s="670"/>
      <c r="J506" s="670"/>
      <c r="K506" s="670"/>
      <c r="L506" s="670"/>
      <c r="M506" s="706" t="e">
        <f t="shared" ref="M506:N511" si="36">G506+I506+K506</f>
        <v>#REF!</v>
      </c>
      <c r="N506" s="670" t="e">
        <f t="shared" si="36"/>
        <v>#REF!</v>
      </c>
      <c r="O506" s="707"/>
      <c r="P506" s="672"/>
      <c r="Q506" s="665" t="s">
        <v>1523</v>
      </c>
    </row>
    <row r="507" spans="1:19" s="665" customFormat="1" ht="17.100000000000001" customHeight="1">
      <c r="A507" s="1316" t="s">
        <v>1526</v>
      </c>
      <c r="B507" s="1317"/>
      <c r="C507" s="1316"/>
      <c r="D507" s="1317"/>
      <c r="E507" s="677">
        <v>338</v>
      </c>
      <c r="F507" s="676" t="s">
        <v>835</v>
      </c>
      <c r="G507" s="670"/>
      <c r="H507" s="670"/>
      <c r="I507" s="670"/>
      <c r="J507" s="670"/>
      <c r="K507" s="670">
        <f>([53]운반공!$BM$489+[53]운반공!$BM$490)/2</f>
        <v>22</v>
      </c>
      <c r="L507" s="670">
        <f>INT(E507*K507)</f>
        <v>7436</v>
      </c>
      <c r="M507" s="670">
        <f t="shared" si="36"/>
        <v>22</v>
      </c>
      <c r="N507" s="670">
        <f t="shared" si="36"/>
        <v>7436</v>
      </c>
      <c r="O507" s="671"/>
      <c r="P507" s="705"/>
    </row>
    <row r="508" spans="1:19" s="665" customFormat="1" ht="17.100000000000001" customHeight="1">
      <c r="A508" s="1316" t="s">
        <v>1534</v>
      </c>
      <c r="B508" s="1317"/>
      <c r="C508" s="1338" t="s">
        <v>1535</v>
      </c>
      <c r="D508" s="1317"/>
      <c r="E508" s="702">
        <v>0.49</v>
      </c>
      <c r="F508" s="676" t="s">
        <v>850</v>
      </c>
      <c r="G508" s="670" t="e">
        <f>#REF!</f>
        <v>#REF!</v>
      </c>
      <c r="H508" s="670" t="e">
        <f>INT(E508*G508)</f>
        <v>#REF!</v>
      </c>
      <c r="I508" s="670"/>
      <c r="J508" s="670"/>
      <c r="K508" s="670"/>
      <c r="L508" s="670"/>
      <c r="M508" s="670" t="e">
        <f t="shared" si="36"/>
        <v>#REF!</v>
      </c>
      <c r="N508" s="670" t="e">
        <f t="shared" si="36"/>
        <v>#REF!</v>
      </c>
      <c r="O508" s="671"/>
      <c r="P508" s="672"/>
    </row>
    <row r="509" spans="1:19" s="665" customFormat="1" ht="17.100000000000001" customHeight="1">
      <c r="A509" s="1316" t="s">
        <v>828</v>
      </c>
      <c r="B509" s="1317"/>
      <c r="C509" s="1338" t="s">
        <v>1536</v>
      </c>
      <c r="D509" s="1317"/>
      <c r="E509" s="702">
        <v>0.68</v>
      </c>
      <c r="F509" s="676" t="s">
        <v>850</v>
      </c>
      <c r="G509" s="670" t="e">
        <f>#REF!</f>
        <v>#REF!</v>
      </c>
      <c r="H509" s="670" t="e">
        <f>INT(E509*G509)</f>
        <v>#REF!</v>
      </c>
      <c r="I509" s="670"/>
      <c r="J509" s="670"/>
      <c r="K509" s="670"/>
      <c r="L509" s="670"/>
      <c r="M509" s="670" t="e">
        <f t="shared" si="36"/>
        <v>#REF!</v>
      </c>
      <c r="N509" s="670" t="e">
        <f t="shared" si="36"/>
        <v>#REF!</v>
      </c>
      <c r="O509" s="671"/>
      <c r="P509" s="672"/>
    </row>
    <row r="510" spans="1:19" s="665" customFormat="1" ht="17.100000000000001" customHeight="1">
      <c r="A510" s="1316" t="s">
        <v>1537</v>
      </c>
      <c r="B510" s="1317"/>
      <c r="C510" s="1338"/>
      <c r="D510" s="1317"/>
      <c r="E510" s="702">
        <v>1.29</v>
      </c>
      <c r="F510" s="676" t="s">
        <v>366</v>
      </c>
      <c r="G510" s="670"/>
      <c r="H510" s="670"/>
      <c r="I510" s="670">
        <f>[53]노임단가!$T$16</f>
        <v>273540</v>
      </c>
      <c r="J510" s="670">
        <f>INT(E510*I510)</f>
        <v>352866</v>
      </c>
      <c r="K510" s="670"/>
      <c r="L510" s="670"/>
      <c r="M510" s="670">
        <f t="shared" si="36"/>
        <v>273540</v>
      </c>
      <c r="N510" s="670">
        <f t="shared" si="36"/>
        <v>352866</v>
      </c>
      <c r="O510" s="671"/>
      <c r="P510" s="672"/>
    </row>
    <row r="511" spans="1:19" s="665" customFormat="1" ht="17.100000000000001" customHeight="1">
      <c r="A511" s="1316" t="s">
        <v>248</v>
      </c>
      <c r="B511" s="1317"/>
      <c r="C511" s="1338"/>
      <c r="D511" s="1317"/>
      <c r="E511" s="702">
        <v>1.36</v>
      </c>
      <c r="F511" s="676" t="s">
        <v>366</v>
      </c>
      <c r="G511" s="670"/>
      <c r="H511" s="670"/>
      <c r="I511" s="670">
        <f>[53]노임단가!$T$5</f>
        <v>172068</v>
      </c>
      <c r="J511" s="670">
        <f>INT(E511*I511)</f>
        <v>234012</v>
      </c>
      <c r="K511" s="670"/>
      <c r="L511" s="670"/>
      <c r="M511" s="670">
        <f t="shared" si="36"/>
        <v>172068</v>
      </c>
      <c r="N511" s="670">
        <f t="shared" si="36"/>
        <v>234012</v>
      </c>
      <c r="O511" s="707"/>
      <c r="P511" s="672"/>
    </row>
    <row r="512" spans="1:19" s="665" customFormat="1" ht="17.100000000000001" customHeight="1">
      <c r="A512" s="1318" t="s">
        <v>1320</v>
      </c>
      <c r="B512" s="1319"/>
      <c r="C512" s="1371"/>
      <c r="D512" s="1372"/>
      <c r="E512" s="677"/>
      <c r="F512" s="676"/>
      <c r="G512" s="670"/>
      <c r="H512" s="670" t="e">
        <f>SUM(H506:H511)</f>
        <v>#REF!</v>
      </c>
      <c r="I512" s="670"/>
      <c r="J512" s="670">
        <f>SUM(J506:J511)</f>
        <v>586878</v>
      </c>
      <c r="K512" s="670"/>
      <c r="L512" s="670">
        <f>SUM(L506:L511)</f>
        <v>7436</v>
      </c>
      <c r="M512" s="670"/>
      <c r="N512" s="670" t="e">
        <f>SUM(N506:N511)</f>
        <v>#REF!</v>
      </c>
      <c r="O512" s="671"/>
      <c r="P512" s="705"/>
    </row>
    <row r="513" spans="1:18" s="665" customFormat="1" ht="17.100000000000001" customHeight="1">
      <c r="A513" s="668">
        <f>A505+1</f>
        <v>135</v>
      </c>
      <c r="B513" s="1320" t="s">
        <v>1540</v>
      </c>
      <c r="C513" s="1320"/>
      <c r="D513" s="1397" t="s">
        <v>1541</v>
      </c>
      <c r="E513" s="1320"/>
      <c r="F513" s="669" t="s">
        <v>850</v>
      </c>
      <c r="G513" s="670"/>
      <c r="H513" s="670"/>
      <c r="I513" s="670"/>
      <c r="J513" s="670"/>
      <c r="K513" s="670"/>
      <c r="L513" s="670"/>
      <c r="M513" s="670"/>
      <c r="N513" s="670"/>
      <c r="O513" s="671"/>
      <c r="P513" s="672"/>
    </row>
    <row r="514" spans="1:18" s="665" customFormat="1" ht="17.100000000000001" customHeight="1">
      <c r="A514" s="1316" t="s">
        <v>841</v>
      </c>
      <c r="B514" s="1317"/>
      <c r="C514" s="1316"/>
      <c r="D514" s="1317"/>
      <c r="E514" s="677">
        <v>338</v>
      </c>
      <c r="F514" s="676" t="s">
        <v>835</v>
      </c>
      <c r="G514" s="670" t="e">
        <f>#REF!</f>
        <v>#REF!</v>
      </c>
      <c r="H514" s="670" t="e">
        <f>INT(E514*G514)</f>
        <v>#REF!</v>
      </c>
      <c r="I514" s="670"/>
      <c r="J514" s="670"/>
      <c r="K514" s="670"/>
      <c r="L514" s="670"/>
      <c r="M514" s="670" t="e">
        <f t="shared" ref="M514:N519" si="37">G514+I514+K514</f>
        <v>#REF!</v>
      </c>
      <c r="N514" s="670" t="e">
        <f t="shared" si="37"/>
        <v>#REF!</v>
      </c>
      <c r="O514" s="707"/>
      <c r="P514" s="672"/>
      <c r="Q514" s="665" t="s">
        <v>1542</v>
      </c>
    </row>
    <row r="515" spans="1:18" s="665" customFormat="1" ht="17.100000000000001" customHeight="1">
      <c r="A515" s="1316" t="s">
        <v>1526</v>
      </c>
      <c r="B515" s="1317"/>
      <c r="C515" s="1316"/>
      <c r="D515" s="1317"/>
      <c r="E515" s="677">
        <v>338</v>
      </c>
      <c r="F515" s="676" t="s">
        <v>835</v>
      </c>
      <c r="G515" s="670"/>
      <c r="H515" s="670"/>
      <c r="I515" s="670"/>
      <c r="J515" s="670"/>
      <c r="K515" s="670">
        <f>([53]운반공!$BM$489+[53]운반공!$BM$490)/2</f>
        <v>22</v>
      </c>
      <c r="L515" s="670">
        <f>INT(E515*K515)</f>
        <v>7436</v>
      </c>
      <c r="M515" s="670">
        <f t="shared" si="37"/>
        <v>22</v>
      </c>
      <c r="N515" s="670">
        <f t="shared" si="37"/>
        <v>7436</v>
      </c>
      <c r="O515" s="671"/>
      <c r="P515" s="705"/>
      <c r="Q515" s="665">
        <f>1/1.03</f>
        <v>0.970873786407767</v>
      </c>
      <c r="R515" s="709">
        <f>E546*Q515</f>
        <v>253.39805825242718</v>
      </c>
    </row>
    <row r="516" spans="1:18" s="665" customFormat="1" ht="17.100000000000001" customHeight="1">
      <c r="A516" s="1316" t="s">
        <v>1534</v>
      </c>
      <c r="B516" s="1317"/>
      <c r="C516" s="1338" t="s">
        <v>1535</v>
      </c>
      <c r="D516" s="1317"/>
      <c r="E516" s="708">
        <v>0.5</v>
      </c>
      <c r="F516" s="676" t="s">
        <v>850</v>
      </c>
      <c r="G516" s="670" t="e">
        <f>#REF!</f>
        <v>#REF!</v>
      </c>
      <c r="H516" s="670" t="e">
        <f>INT(E516*G516)</f>
        <v>#REF!</v>
      </c>
      <c r="I516" s="670"/>
      <c r="J516" s="670"/>
      <c r="K516" s="670"/>
      <c r="L516" s="670"/>
      <c r="M516" s="670" t="e">
        <f t="shared" si="37"/>
        <v>#REF!</v>
      </c>
      <c r="N516" s="670" t="e">
        <f t="shared" si="37"/>
        <v>#REF!</v>
      </c>
      <c r="O516" s="671"/>
      <c r="P516" s="672"/>
    </row>
    <row r="517" spans="1:18" s="665" customFormat="1" ht="17.100000000000001" customHeight="1">
      <c r="A517" s="1316" t="s">
        <v>828</v>
      </c>
      <c r="B517" s="1317"/>
      <c r="C517" s="1338" t="s">
        <v>1536</v>
      </c>
      <c r="D517" s="1317"/>
      <c r="E517" s="702">
        <v>0.68</v>
      </c>
      <c r="F517" s="676" t="s">
        <v>850</v>
      </c>
      <c r="G517" s="670" t="e">
        <f>#REF!</f>
        <v>#REF!</v>
      </c>
      <c r="H517" s="670" t="e">
        <f>INT(E517*G517)</f>
        <v>#REF!</v>
      </c>
      <c r="I517" s="670"/>
      <c r="J517" s="670"/>
      <c r="K517" s="670"/>
      <c r="L517" s="670"/>
      <c r="M517" s="670" t="e">
        <f t="shared" si="37"/>
        <v>#REF!</v>
      </c>
      <c r="N517" s="670" t="e">
        <f t="shared" si="37"/>
        <v>#REF!</v>
      </c>
      <c r="O517" s="671"/>
      <c r="P517" s="672"/>
    </row>
    <row r="518" spans="1:18" s="665" customFormat="1" ht="17.100000000000001" customHeight="1">
      <c r="A518" s="1316" t="s">
        <v>1537</v>
      </c>
      <c r="B518" s="1317"/>
      <c r="C518" s="1338"/>
      <c r="D518" s="1317"/>
      <c r="E518" s="702">
        <v>1.29</v>
      </c>
      <c r="F518" s="676" t="s">
        <v>366</v>
      </c>
      <c r="G518" s="670"/>
      <c r="H518" s="670"/>
      <c r="I518" s="670">
        <f>[53]노임단가!$T$16</f>
        <v>273540</v>
      </c>
      <c r="J518" s="670">
        <f>INT(E518*I518)</f>
        <v>352866</v>
      </c>
      <c r="K518" s="670"/>
      <c r="L518" s="670"/>
      <c r="M518" s="670">
        <f t="shared" si="37"/>
        <v>273540</v>
      </c>
      <c r="N518" s="670">
        <f t="shared" si="37"/>
        <v>352866</v>
      </c>
      <c r="O518" s="671"/>
      <c r="P518" s="672"/>
    </row>
    <row r="519" spans="1:18" s="665" customFormat="1" ht="17.100000000000001" customHeight="1">
      <c r="A519" s="1316" t="s">
        <v>248</v>
      </c>
      <c r="B519" s="1317"/>
      <c r="C519" s="1338"/>
      <c r="D519" s="1317"/>
      <c r="E519" s="702">
        <v>1.36</v>
      </c>
      <c r="F519" s="676" t="s">
        <v>366</v>
      </c>
      <c r="G519" s="670"/>
      <c r="H519" s="670"/>
      <c r="I519" s="670">
        <f>[53]노임단가!$T$5</f>
        <v>172068</v>
      </c>
      <c r="J519" s="670">
        <f>INT(E519*I519)</f>
        <v>234012</v>
      </c>
      <c r="K519" s="670"/>
      <c r="L519" s="670"/>
      <c r="M519" s="670">
        <f t="shared" si="37"/>
        <v>172068</v>
      </c>
      <c r="N519" s="670">
        <f t="shared" si="37"/>
        <v>234012</v>
      </c>
      <c r="O519" s="707"/>
      <c r="P519" s="672"/>
    </row>
    <row r="520" spans="1:18" s="665" customFormat="1" ht="17.100000000000001" customHeight="1">
      <c r="A520" s="1318" t="s">
        <v>1320</v>
      </c>
      <c r="B520" s="1319"/>
      <c r="C520" s="1371"/>
      <c r="D520" s="1372"/>
      <c r="E520" s="677"/>
      <c r="F520" s="676"/>
      <c r="G520" s="670"/>
      <c r="H520" s="670" t="e">
        <f>SUM(H514:H519)</f>
        <v>#REF!</v>
      </c>
      <c r="I520" s="670"/>
      <c r="J520" s="670">
        <f>SUM(J514:J519)</f>
        <v>586878</v>
      </c>
      <c r="K520" s="670"/>
      <c r="L520" s="670">
        <f>SUM(L514:L519)</f>
        <v>7436</v>
      </c>
      <c r="M520" s="670"/>
      <c r="N520" s="670" t="e">
        <f>SUM(N514:N519)</f>
        <v>#REF!</v>
      </c>
      <c r="O520" s="671"/>
      <c r="P520" s="705"/>
    </row>
    <row r="521" spans="1:18" s="665" customFormat="1" ht="17.100000000000001" customHeight="1">
      <c r="A521" s="668">
        <f>A513+1</f>
        <v>136</v>
      </c>
      <c r="B521" s="1320" t="s">
        <v>1543</v>
      </c>
      <c r="C521" s="1320"/>
      <c r="D521" s="1397" t="s">
        <v>1544</v>
      </c>
      <c r="E521" s="1320"/>
      <c r="F521" s="669" t="s">
        <v>850</v>
      </c>
      <c r="G521" s="670"/>
      <c r="H521" s="670"/>
      <c r="I521" s="670"/>
      <c r="J521" s="670"/>
      <c r="K521" s="670"/>
      <c r="L521" s="670"/>
      <c r="M521" s="670"/>
      <c r="N521" s="670"/>
      <c r="O521" s="671"/>
      <c r="P521" s="672"/>
    </row>
    <row r="522" spans="1:18" s="665" customFormat="1" ht="17.100000000000001" customHeight="1">
      <c r="A522" s="1316" t="s">
        <v>542</v>
      </c>
      <c r="B522" s="1317"/>
      <c r="C522" s="1316"/>
      <c r="D522" s="1317"/>
      <c r="E522" s="677">
        <v>309</v>
      </c>
      <c r="F522" s="676" t="s">
        <v>835</v>
      </c>
      <c r="G522" s="670" t="e">
        <f>#REF!</f>
        <v>#REF!</v>
      </c>
      <c r="H522" s="670" t="e">
        <f>INT(E522*G522)</f>
        <v>#REF!</v>
      </c>
      <c r="I522" s="670"/>
      <c r="J522" s="670"/>
      <c r="K522" s="670"/>
      <c r="L522" s="670"/>
      <c r="M522" s="706" t="e">
        <f>G522+I522+K522</f>
        <v>#REF!</v>
      </c>
      <c r="N522" s="670" t="e">
        <f t="shared" ref="M522:N527" si="38">H522+J522+L522</f>
        <v>#REF!</v>
      </c>
      <c r="O522" s="707"/>
      <c r="P522" s="672"/>
      <c r="Q522" s="665" t="s">
        <v>1523</v>
      </c>
    </row>
    <row r="523" spans="1:18" s="665" customFormat="1" ht="17.100000000000001" customHeight="1">
      <c r="A523" s="1316" t="s">
        <v>1526</v>
      </c>
      <c r="B523" s="1317"/>
      <c r="C523" s="1316"/>
      <c r="D523" s="1317"/>
      <c r="E523" s="677">
        <v>309</v>
      </c>
      <c r="F523" s="676" t="s">
        <v>835</v>
      </c>
      <c r="G523" s="670"/>
      <c r="H523" s="670"/>
      <c r="I523" s="670"/>
      <c r="J523" s="670"/>
      <c r="K523" s="670">
        <f>([53]운반공!$BM$489+[53]운반공!$BM$490)/2</f>
        <v>22</v>
      </c>
      <c r="L523" s="670">
        <f>INT(E523*K523)</f>
        <v>6798</v>
      </c>
      <c r="M523" s="670">
        <f>G523+I523+K523</f>
        <v>22</v>
      </c>
      <c r="N523" s="670">
        <f t="shared" si="38"/>
        <v>6798</v>
      </c>
      <c r="O523" s="671"/>
      <c r="P523" s="705"/>
    </row>
    <row r="524" spans="1:18" s="665" customFormat="1" ht="17.100000000000001" customHeight="1">
      <c r="A524" s="1316" t="s">
        <v>1534</v>
      </c>
      <c r="B524" s="1317"/>
      <c r="C524" s="1338" t="s">
        <v>1535</v>
      </c>
      <c r="D524" s="1317"/>
      <c r="E524" s="708">
        <v>0.5</v>
      </c>
      <c r="F524" s="676" t="s">
        <v>850</v>
      </c>
      <c r="G524" s="670" t="e">
        <f>#REF!</f>
        <v>#REF!</v>
      </c>
      <c r="H524" s="670" t="e">
        <f>INT(E524*G524)</f>
        <v>#REF!</v>
      </c>
      <c r="I524" s="670"/>
      <c r="J524" s="670"/>
      <c r="K524" s="670"/>
      <c r="L524" s="670"/>
      <c r="M524" s="670" t="e">
        <f t="shared" si="38"/>
        <v>#REF!</v>
      </c>
      <c r="N524" s="670" t="e">
        <f t="shared" si="38"/>
        <v>#REF!</v>
      </c>
      <c r="O524" s="671"/>
      <c r="P524" s="672"/>
    </row>
    <row r="525" spans="1:18" s="665" customFormat="1" ht="17.100000000000001" customHeight="1">
      <c r="A525" s="1316" t="s">
        <v>828</v>
      </c>
      <c r="B525" s="1317"/>
      <c r="C525" s="1338" t="s">
        <v>1536</v>
      </c>
      <c r="D525" s="1317"/>
      <c r="E525" s="702">
        <v>0.68</v>
      </c>
      <c r="F525" s="676" t="s">
        <v>850</v>
      </c>
      <c r="G525" s="670" t="e">
        <f>#REF!</f>
        <v>#REF!</v>
      </c>
      <c r="H525" s="670" t="e">
        <f>INT(E525*G525)</f>
        <v>#REF!</v>
      </c>
      <c r="I525" s="670"/>
      <c r="J525" s="670"/>
      <c r="K525" s="670"/>
      <c r="L525" s="670"/>
      <c r="M525" s="670" t="e">
        <f t="shared" si="38"/>
        <v>#REF!</v>
      </c>
      <c r="N525" s="670" t="e">
        <f t="shared" si="38"/>
        <v>#REF!</v>
      </c>
      <c r="O525" s="671"/>
      <c r="P525" s="672"/>
    </row>
    <row r="526" spans="1:18" s="665" customFormat="1" ht="17.100000000000001" customHeight="1">
      <c r="A526" s="1316" t="s">
        <v>1537</v>
      </c>
      <c r="B526" s="1317"/>
      <c r="C526" s="1338"/>
      <c r="D526" s="1317"/>
      <c r="E526" s="702">
        <v>0.85</v>
      </c>
      <c r="F526" s="676" t="s">
        <v>366</v>
      </c>
      <c r="G526" s="670"/>
      <c r="H526" s="670"/>
      <c r="I526" s="670">
        <f>[53]노임단가!$T$16</f>
        <v>273540</v>
      </c>
      <c r="J526" s="670">
        <f>INT(E526*I526)</f>
        <v>232509</v>
      </c>
      <c r="K526" s="670"/>
      <c r="L526" s="670"/>
      <c r="M526" s="670">
        <f t="shared" si="38"/>
        <v>273540</v>
      </c>
      <c r="N526" s="670">
        <f t="shared" si="38"/>
        <v>232509</v>
      </c>
      <c r="O526" s="671"/>
      <c r="P526" s="672"/>
    </row>
    <row r="527" spans="1:18" s="665" customFormat="1" ht="17.100000000000001" customHeight="1">
      <c r="A527" s="1316" t="s">
        <v>248</v>
      </c>
      <c r="B527" s="1317"/>
      <c r="C527" s="1338"/>
      <c r="D527" s="1317"/>
      <c r="E527" s="702">
        <v>0.82</v>
      </c>
      <c r="F527" s="676" t="s">
        <v>366</v>
      </c>
      <c r="G527" s="670"/>
      <c r="H527" s="670"/>
      <c r="I527" s="670">
        <f>[53]노임단가!$T$5</f>
        <v>172068</v>
      </c>
      <c r="J527" s="670">
        <f>INT(E527*I527)</f>
        <v>141095</v>
      </c>
      <c r="K527" s="670"/>
      <c r="L527" s="670"/>
      <c r="M527" s="670">
        <f t="shared" si="38"/>
        <v>172068</v>
      </c>
      <c r="N527" s="670">
        <f t="shared" si="38"/>
        <v>141095</v>
      </c>
      <c r="O527" s="707"/>
      <c r="P527" s="672"/>
    </row>
    <row r="528" spans="1:18" s="665" customFormat="1" ht="17.100000000000001" customHeight="1">
      <c r="A528" s="1318" t="s">
        <v>1320</v>
      </c>
      <c r="B528" s="1319"/>
      <c r="C528" s="1371"/>
      <c r="D528" s="1372"/>
      <c r="E528" s="677"/>
      <c r="F528" s="676"/>
      <c r="G528" s="670"/>
      <c r="H528" s="670" t="e">
        <f>SUM(H522:H527)</f>
        <v>#REF!</v>
      </c>
      <c r="I528" s="670"/>
      <c r="J528" s="670">
        <f>SUM(J522:J527)</f>
        <v>373604</v>
      </c>
      <c r="K528" s="670"/>
      <c r="L528" s="670">
        <f>SUM(L522:L527)</f>
        <v>6798</v>
      </c>
      <c r="M528" s="670"/>
      <c r="N528" s="670" t="e">
        <f>SUM(N522:N527)</f>
        <v>#REF!</v>
      </c>
      <c r="O528" s="671"/>
      <c r="P528" s="705"/>
    </row>
    <row r="529" spans="1:24" s="665" customFormat="1" ht="17.100000000000001" customHeight="1">
      <c r="A529" s="668">
        <f>A521+1</f>
        <v>137</v>
      </c>
      <c r="B529" s="1320" t="s">
        <v>1545</v>
      </c>
      <c r="C529" s="1320"/>
      <c r="D529" s="1397" t="s">
        <v>1546</v>
      </c>
      <c r="E529" s="1320"/>
      <c r="F529" s="669" t="s">
        <v>850</v>
      </c>
      <c r="G529" s="670"/>
      <c r="H529" s="670"/>
      <c r="I529" s="670"/>
      <c r="J529" s="670"/>
      <c r="K529" s="670"/>
      <c r="L529" s="670"/>
      <c r="M529" s="670"/>
      <c r="N529" s="670"/>
      <c r="O529" s="671"/>
      <c r="P529" s="672"/>
    </row>
    <row r="530" spans="1:24" s="665" customFormat="1" ht="17.100000000000001" customHeight="1">
      <c r="A530" s="1316" t="s">
        <v>542</v>
      </c>
      <c r="B530" s="1317"/>
      <c r="C530" s="1316"/>
      <c r="D530" s="1317"/>
      <c r="E530" s="677">
        <v>309</v>
      </c>
      <c r="F530" s="676" t="s">
        <v>835</v>
      </c>
      <c r="G530" s="670" t="e">
        <f>#REF!</f>
        <v>#REF!</v>
      </c>
      <c r="H530" s="670" t="e">
        <f>INT(E530*G530)</f>
        <v>#REF!</v>
      </c>
      <c r="I530" s="670"/>
      <c r="J530" s="670"/>
      <c r="K530" s="670"/>
      <c r="L530" s="670"/>
      <c r="M530" s="706" t="e">
        <f>G530+I530+K530</f>
        <v>#REF!</v>
      </c>
      <c r="N530" s="670" t="e">
        <f t="shared" ref="M530:N535" si="39">H530+J530+L530</f>
        <v>#REF!</v>
      </c>
      <c r="O530" s="707"/>
      <c r="P530" s="672"/>
      <c r="Q530" s="665" t="s">
        <v>1523</v>
      </c>
    </row>
    <row r="531" spans="1:24" s="665" customFormat="1" ht="17.100000000000001" customHeight="1">
      <c r="A531" s="1316" t="s">
        <v>1526</v>
      </c>
      <c r="B531" s="1317"/>
      <c r="C531" s="1316"/>
      <c r="D531" s="1317"/>
      <c r="E531" s="677">
        <v>309</v>
      </c>
      <c r="F531" s="676" t="s">
        <v>835</v>
      </c>
      <c r="G531" s="670"/>
      <c r="H531" s="670"/>
      <c r="I531" s="670"/>
      <c r="J531" s="670"/>
      <c r="K531" s="670">
        <f>([53]운반공!$BM$489+[53]운반공!$BM$490)/2</f>
        <v>22</v>
      </c>
      <c r="L531" s="670">
        <f>INT(E531*K531)</f>
        <v>6798</v>
      </c>
      <c r="M531" s="670">
        <f>G531+I531+K531</f>
        <v>22</v>
      </c>
      <c r="N531" s="670">
        <f t="shared" si="39"/>
        <v>6798</v>
      </c>
      <c r="O531" s="671"/>
      <c r="P531" s="705"/>
    </row>
    <row r="532" spans="1:24" s="665" customFormat="1" ht="17.100000000000001" customHeight="1">
      <c r="A532" s="1316" t="s">
        <v>1534</v>
      </c>
      <c r="B532" s="1317"/>
      <c r="C532" s="1338" t="s">
        <v>1535</v>
      </c>
      <c r="D532" s="1317"/>
      <c r="E532" s="708">
        <v>0.5</v>
      </c>
      <c r="F532" s="676" t="s">
        <v>850</v>
      </c>
      <c r="G532" s="670" t="e">
        <f>#REF!</f>
        <v>#REF!</v>
      </c>
      <c r="H532" s="670" t="e">
        <f>INT(E532*G532)</f>
        <v>#REF!</v>
      </c>
      <c r="I532" s="670"/>
      <c r="J532" s="670"/>
      <c r="K532" s="670"/>
      <c r="L532" s="670"/>
      <c r="M532" s="670" t="e">
        <f t="shared" si="39"/>
        <v>#REF!</v>
      </c>
      <c r="N532" s="670" t="e">
        <f t="shared" si="39"/>
        <v>#REF!</v>
      </c>
      <c r="O532" s="671"/>
      <c r="P532" s="672"/>
    </row>
    <row r="533" spans="1:24" s="665" customFormat="1" ht="17.100000000000001" customHeight="1">
      <c r="A533" s="1316" t="s">
        <v>828</v>
      </c>
      <c r="B533" s="1317"/>
      <c r="C533" s="1338" t="s">
        <v>1536</v>
      </c>
      <c r="D533" s="1317"/>
      <c r="E533" s="702">
        <v>0.68</v>
      </c>
      <c r="F533" s="676" t="s">
        <v>850</v>
      </c>
      <c r="G533" s="670" t="e">
        <f>#REF!</f>
        <v>#REF!</v>
      </c>
      <c r="H533" s="670" t="e">
        <f>INT(E533*G533)</f>
        <v>#REF!</v>
      </c>
      <c r="I533" s="670"/>
      <c r="J533" s="670"/>
      <c r="K533" s="670"/>
      <c r="L533" s="670"/>
      <c r="M533" s="670" t="e">
        <f t="shared" si="39"/>
        <v>#REF!</v>
      </c>
      <c r="N533" s="670" t="e">
        <f t="shared" si="39"/>
        <v>#REF!</v>
      </c>
      <c r="O533" s="671"/>
      <c r="P533" s="672"/>
    </row>
    <row r="534" spans="1:24" s="665" customFormat="1" ht="17.100000000000001" customHeight="1">
      <c r="A534" s="1316" t="s">
        <v>1537</v>
      </c>
      <c r="B534" s="1317"/>
      <c r="C534" s="1338"/>
      <c r="D534" s="1317"/>
      <c r="E534" s="702">
        <v>1.29</v>
      </c>
      <c r="F534" s="676" t="s">
        <v>366</v>
      </c>
      <c r="G534" s="670"/>
      <c r="H534" s="670"/>
      <c r="I534" s="670">
        <f>[53]노임단가!$T$16</f>
        <v>273540</v>
      </c>
      <c r="J534" s="670">
        <f>INT(E534*I534)</f>
        <v>352866</v>
      </c>
      <c r="K534" s="670"/>
      <c r="L534" s="670"/>
      <c r="M534" s="670">
        <f t="shared" si="39"/>
        <v>273540</v>
      </c>
      <c r="N534" s="670">
        <f t="shared" si="39"/>
        <v>352866</v>
      </c>
      <c r="O534" s="671"/>
      <c r="P534" s="672"/>
    </row>
    <row r="535" spans="1:24" s="665" customFormat="1" ht="17.100000000000001" customHeight="1">
      <c r="A535" s="1316" t="s">
        <v>248</v>
      </c>
      <c r="B535" s="1317"/>
      <c r="C535" s="1338"/>
      <c r="D535" s="1317"/>
      <c r="E535" s="702">
        <v>1.36</v>
      </c>
      <c r="F535" s="676" t="s">
        <v>366</v>
      </c>
      <c r="G535" s="670"/>
      <c r="H535" s="670"/>
      <c r="I535" s="670">
        <f>[53]노임단가!$T$5</f>
        <v>172068</v>
      </c>
      <c r="J535" s="670">
        <f>INT(E535*I535)</f>
        <v>234012</v>
      </c>
      <c r="K535" s="670"/>
      <c r="L535" s="670"/>
      <c r="M535" s="670">
        <f t="shared" si="39"/>
        <v>172068</v>
      </c>
      <c r="N535" s="670">
        <f t="shared" si="39"/>
        <v>234012</v>
      </c>
      <c r="O535" s="707"/>
      <c r="P535" s="672"/>
    </row>
    <row r="536" spans="1:24" s="665" customFormat="1" ht="17.100000000000001" customHeight="1">
      <c r="A536" s="1318" t="s">
        <v>1320</v>
      </c>
      <c r="B536" s="1319"/>
      <c r="C536" s="1371"/>
      <c r="D536" s="1372"/>
      <c r="E536" s="677"/>
      <c r="F536" s="676"/>
      <c r="G536" s="670"/>
      <c r="H536" s="670" t="e">
        <f>SUM(H530:H535)</f>
        <v>#REF!</v>
      </c>
      <c r="I536" s="670"/>
      <c r="J536" s="670">
        <f>SUM(J530:J535)</f>
        <v>586878</v>
      </c>
      <c r="K536" s="670"/>
      <c r="L536" s="670">
        <f>SUM(L530:L535)</f>
        <v>6798</v>
      </c>
      <c r="M536" s="670"/>
      <c r="N536" s="670" t="e">
        <f>SUM(N530:N535)</f>
        <v>#REF!</v>
      </c>
      <c r="O536" s="671"/>
      <c r="P536" s="705"/>
    </row>
    <row r="537" spans="1:24" s="665" customFormat="1" ht="17.100000000000001" customHeight="1">
      <c r="A537" s="668">
        <f>A529+1</f>
        <v>138</v>
      </c>
      <c r="B537" s="1320" t="s">
        <v>1547</v>
      </c>
      <c r="C537" s="1320"/>
      <c r="D537" s="1397" t="s">
        <v>1548</v>
      </c>
      <c r="E537" s="1320"/>
      <c r="F537" s="669" t="s">
        <v>850</v>
      </c>
      <c r="G537" s="670"/>
      <c r="H537" s="670"/>
      <c r="I537" s="670"/>
      <c r="J537" s="670"/>
      <c r="K537" s="670"/>
      <c r="L537" s="670"/>
      <c r="M537" s="670"/>
      <c r="N537" s="670"/>
      <c r="O537" s="671"/>
      <c r="P537" s="672"/>
    </row>
    <row r="538" spans="1:24" s="711" customFormat="1" ht="17.100000000000001" customHeight="1">
      <c r="A538" s="1316" t="s">
        <v>841</v>
      </c>
      <c r="B538" s="1317"/>
      <c r="C538" s="1316"/>
      <c r="D538" s="1317"/>
      <c r="E538" s="677">
        <v>309</v>
      </c>
      <c r="F538" s="676" t="s">
        <v>835</v>
      </c>
      <c r="G538" s="670" t="e">
        <f>#REF!</f>
        <v>#REF!</v>
      </c>
      <c r="H538" s="670" t="e">
        <f>INT(E538*G538)</f>
        <v>#REF!</v>
      </c>
      <c r="I538" s="670"/>
      <c r="J538" s="670"/>
      <c r="K538" s="670"/>
      <c r="L538" s="670"/>
      <c r="M538" s="670" t="e">
        <f t="shared" ref="M538:N543" si="40">G538+I538+K538</f>
        <v>#REF!</v>
      </c>
      <c r="N538" s="670" t="e">
        <f t="shared" si="40"/>
        <v>#REF!</v>
      </c>
      <c r="O538" s="707"/>
      <c r="P538" s="710" t="s">
        <v>1549</v>
      </c>
      <c r="Q538" s="711" t="s">
        <v>1550</v>
      </c>
      <c r="T538" s="712"/>
      <c r="U538" s="713"/>
      <c r="V538" s="713"/>
      <c r="W538" s="713"/>
      <c r="X538" s="713" t="s">
        <v>1426</v>
      </c>
    </row>
    <row r="539" spans="1:24" s="711" customFormat="1" ht="17.100000000000001" customHeight="1">
      <c r="A539" s="1316" t="s">
        <v>1526</v>
      </c>
      <c r="B539" s="1317"/>
      <c r="C539" s="1316"/>
      <c r="D539" s="1317"/>
      <c r="E539" s="677">
        <v>309</v>
      </c>
      <c r="F539" s="676" t="s">
        <v>835</v>
      </c>
      <c r="G539" s="670"/>
      <c r="H539" s="670"/>
      <c r="I539" s="670"/>
      <c r="J539" s="670"/>
      <c r="K539" s="670">
        <f>([53]운반공!$BM$489+[53]운반공!$BM$490)/2</f>
        <v>22</v>
      </c>
      <c r="L539" s="670">
        <f>INT(E539*K539)</f>
        <v>6798</v>
      </c>
      <c r="M539" s="670">
        <f t="shared" si="40"/>
        <v>22</v>
      </c>
      <c r="N539" s="670">
        <f t="shared" si="40"/>
        <v>6798</v>
      </c>
      <c r="O539" s="671"/>
      <c r="P539" s="714"/>
      <c r="Q539" s="715" t="s">
        <v>1551</v>
      </c>
      <c r="R539" s="716" t="s">
        <v>1552</v>
      </c>
      <c r="S539" s="716" t="s">
        <v>1425</v>
      </c>
      <c r="T539" s="717" t="s">
        <v>1426</v>
      </c>
      <c r="U539" s="713"/>
      <c r="V539" s="713"/>
      <c r="W539" s="713"/>
      <c r="X539" s="718" t="e">
        <f>ROUND(W539/U539,4)</f>
        <v>#DIV/0!</v>
      </c>
    </row>
    <row r="540" spans="1:24" s="711" customFormat="1" ht="17.100000000000001" customHeight="1">
      <c r="A540" s="1316" t="s">
        <v>1534</v>
      </c>
      <c r="B540" s="1317"/>
      <c r="C540" s="1338" t="s">
        <v>1535</v>
      </c>
      <c r="D540" s="1317"/>
      <c r="E540" s="708">
        <v>0.5</v>
      </c>
      <c r="F540" s="676" t="s">
        <v>850</v>
      </c>
      <c r="G540" s="670" t="e">
        <f>#REF!</f>
        <v>#REF!</v>
      </c>
      <c r="H540" s="670" t="e">
        <f>INT(E540*G540)</f>
        <v>#REF!</v>
      </c>
      <c r="I540" s="670"/>
      <c r="J540" s="670"/>
      <c r="K540" s="670"/>
      <c r="L540" s="670"/>
      <c r="M540" s="670" t="e">
        <f t="shared" si="40"/>
        <v>#REF!</v>
      </c>
      <c r="N540" s="670" t="e">
        <f t="shared" si="40"/>
        <v>#REF!</v>
      </c>
      <c r="O540" s="671"/>
      <c r="P540" s="710"/>
      <c r="Q540" s="716">
        <v>23</v>
      </c>
      <c r="R540" s="716">
        <f>R541</f>
        <v>23</v>
      </c>
      <c r="S540" s="716">
        <v>3</v>
      </c>
      <c r="T540" s="719">
        <f>ROUNDDOWN(S540/R540,3)</f>
        <v>0.13</v>
      </c>
      <c r="U540" s="713"/>
      <c r="V540" s="713"/>
      <c r="W540" s="713"/>
      <c r="X540" s="718" t="e">
        <f>ROUND(W540/U540,4)</f>
        <v>#DIV/0!</v>
      </c>
    </row>
    <row r="541" spans="1:24" s="711" customFormat="1" ht="17.100000000000001" customHeight="1">
      <c r="A541" s="1316" t="s">
        <v>828</v>
      </c>
      <c r="B541" s="1317"/>
      <c r="C541" s="1338" t="s">
        <v>1536</v>
      </c>
      <c r="D541" s="1317"/>
      <c r="E541" s="702">
        <v>0.68</v>
      </c>
      <c r="F541" s="676" t="s">
        <v>850</v>
      </c>
      <c r="G541" s="670" t="e">
        <f>#REF!</f>
        <v>#REF!</v>
      </c>
      <c r="H541" s="670" t="e">
        <f>INT(E541*G541)</f>
        <v>#REF!</v>
      </c>
      <c r="I541" s="670"/>
      <c r="J541" s="670"/>
      <c r="K541" s="670"/>
      <c r="L541" s="670"/>
      <c r="M541" s="670" t="e">
        <f t="shared" si="40"/>
        <v>#REF!</v>
      </c>
      <c r="N541" s="670" t="e">
        <f t="shared" si="40"/>
        <v>#REF!</v>
      </c>
      <c r="O541" s="671"/>
      <c r="P541" s="714"/>
      <c r="Q541" s="716">
        <f>Q540</f>
        <v>23</v>
      </c>
      <c r="R541" s="716">
        <v>23</v>
      </c>
      <c r="S541" s="716">
        <v>3</v>
      </c>
      <c r="T541" s="719">
        <f>ROUNDDOWN(S541/R541,3)</f>
        <v>0.13</v>
      </c>
      <c r="U541" s="713"/>
      <c r="V541" s="713"/>
      <c r="W541" s="713"/>
      <c r="X541" s="718" t="e">
        <f t="shared" ref="X541:X549" si="41">ROUND(W541/U541,4)</f>
        <v>#DIV/0!</v>
      </c>
    </row>
    <row r="542" spans="1:24" s="725" customFormat="1" ht="17.100000000000001" customHeight="1">
      <c r="A542" s="1316" t="s">
        <v>1537</v>
      </c>
      <c r="B542" s="1317"/>
      <c r="C542" s="1338"/>
      <c r="D542" s="1317"/>
      <c r="E542" s="702">
        <v>1.29</v>
      </c>
      <c r="F542" s="676" t="s">
        <v>366</v>
      </c>
      <c r="G542" s="670"/>
      <c r="H542" s="670"/>
      <c r="I542" s="670">
        <f>[53]노임단가!$T$16</f>
        <v>273540</v>
      </c>
      <c r="J542" s="670">
        <f>INT(E542*I542)</f>
        <v>352866</v>
      </c>
      <c r="K542" s="670"/>
      <c r="L542" s="670"/>
      <c r="M542" s="670">
        <f t="shared" si="40"/>
        <v>273540</v>
      </c>
      <c r="N542" s="670">
        <f t="shared" si="40"/>
        <v>352866</v>
      </c>
      <c r="O542" s="671"/>
      <c r="P542" s="720"/>
      <c r="Q542" s="721"/>
      <c r="R542" s="721"/>
      <c r="S542" s="721"/>
      <c r="T542" s="722"/>
      <c r="U542" s="723"/>
      <c r="V542" s="723"/>
      <c r="W542" s="723"/>
      <c r="X542" s="724"/>
    </row>
    <row r="543" spans="1:24" s="711" customFormat="1" ht="17.100000000000001" customHeight="1">
      <c r="A543" s="1316" t="s">
        <v>248</v>
      </c>
      <c r="B543" s="1317"/>
      <c r="C543" s="1338"/>
      <c r="D543" s="1317"/>
      <c r="E543" s="702">
        <v>1.36</v>
      </c>
      <c r="F543" s="676" t="s">
        <v>366</v>
      </c>
      <c r="G543" s="670"/>
      <c r="H543" s="670"/>
      <c r="I543" s="670">
        <f>[53]노임단가!$T$5</f>
        <v>172068</v>
      </c>
      <c r="J543" s="670">
        <f>INT(E543*I543)</f>
        <v>234012</v>
      </c>
      <c r="K543" s="670"/>
      <c r="L543" s="670"/>
      <c r="M543" s="670">
        <f t="shared" si="40"/>
        <v>172068</v>
      </c>
      <c r="N543" s="670">
        <f t="shared" si="40"/>
        <v>234012</v>
      </c>
      <c r="O543" s="707"/>
      <c r="P543" s="710"/>
      <c r="T543" s="713"/>
      <c r="U543" s="713"/>
      <c r="V543" s="713"/>
      <c r="W543" s="713"/>
      <c r="X543" s="718" t="e">
        <f t="shared" si="41"/>
        <v>#DIV/0!</v>
      </c>
    </row>
    <row r="544" spans="1:24" s="711" customFormat="1" ht="17.100000000000001" customHeight="1">
      <c r="A544" s="1318" t="s">
        <v>1320</v>
      </c>
      <c r="B544" s="1319"/>
      <c r="C544" s="1371"/>
      <c r="D544" s="1372"/>
      <c r="E544" s="677"/>
      <c r="F544" s="676"/>
      <c r="G544" s="670"/>
      <c r="H544" s="670" t="e">
        <f>SUM(H538:H543)</f>
        <v>#REF!</v>
      </c>
      <c r="I544" s="670"/>
      <c r="J544" s="670">
        <f>SUM(J538:J543)</f>
        <v>586878</v>
      </c>
      <c r="K544" s="670"/>
      <c r="L544" s="670">
        <f>SUM(L538:L543)</f>
        <v>6798</v>
      </c>
      <c r="M544" s="670"/>
      <c r="N544" s="670" t="e">
        <f>SUM(N538:N543)</f>
        <v>#REF!</v>
      </c>
      <c r="O544" s="671"/>
      <c r="P544" s="710" t="s">
        <v>1549</v>
      </c>
      <c r="Q544" s="711" t="s">
        <v>1550</v>
      </c>
      <c r="T544" s="713"/>
      <c r="U544" s="713"/>
      <c r="V544" s="713"/>
      <c r="W544" s="713"/>
      <c r="X544" s="718" t="e">
        <f t="shared" si="41"/>
        <v>#DIV/0!</v>
      </c>
    </row>
    <row r="545" spans="1:24" s="711" customFormat="1" ht="17.100000000000001" customHeight="1">
      <c r="A545" s="668">
        <f>A537+1</f>
        <v>139</v>
      </c>
      <c r="B545" s="1320" t="s">
        <v>1553</v>
      </c>
      <c r="C545" s="1320"/>
      <c r="D545" s="1397" t="s">
        <v>1554</v>
      </c>
      <c r="E545" s="1320"/>
      <c r="F545" s="669" t="s">
        <v>850</v>
      </c>
      <c r="G545" s="670"/>
      <c r="H545" s="670"/>
      <c r="I545" s="670"/>
      <c r="J545" s="670"/>
      <c r="K545" s="670"/>
      <c r="L545" s="670"/>
      <c r="M545" s="670"/>
      <c r="N545" s="670"/>
      <c r="O545" s="671"/>
      <c r="P545" s="714"/>
      <c r="Q545" s="715" t="s">
        <v>1551</v>
      </c>
      <c r="R545" s="716" t="s">
        <v>1552</v>
      </c>
      <c r="S545" s="716" t="s">
        <v>1425</v>
      </c>
      <c r="T545" s="717" t="s">
        <v>1426</v>
      </c>
      <c r="U545" s="713"/>
      <c r="V545" s="713"/>
      <c r="W545" s="713"/>
      <c r="X545" s="718" t="e">
        <f t="shared" si="41"/>
        <v>#DIV/0!</v>
      </c>
    </row>
    <row r="546" spans="1:24" s="711" customFormat="1" ht="17.100000000000001" customHeight="1">
      <c r="A546" s="1316" t="s">
        <v>542</v>
      </c>
      <c r="B546" s="1317"/>
      <c r="C546" s="1316"/>
      <c r="D546" s="1317"/>
      <c r="E546" s="677">
        <v>261</v>
      </c>
      <c r="F546" s="676" t="s">
        <v>835</v>
      </c>
      <c r="G546" s="670" t="e">
        <f>#REF!</f>
        <v>#REF!</v>
      </c>
      <c r="H546" s="670" t="e">
        <f>INT(E546*G546)</f>
        <v>#REF!</v>
      </c>
      <c r="I546" s="670"/>
      <c r="J546" s="670"/>
      <c r="K546" s="670"/>
      <c r="L546" s="670"/>
      <c r="M546" s="706" t="e">
        <f>G546+I546+K546</f>
        <v>#REF!</v>
      </c>
      <c r="N546" s="670" t="e">
        <f t="shared" ref="M546:N551" si="42">H546+J546+L546</f>
        <v>#REF!</v>
      </c>
      <c r="O546" s="707"/>
      <c r="P546" s="710"/>
      <c r="Q546" s="716">
        <v>20</v>
      </c>
      <c r="R546" s="716">
        <v>20</v>
      </c>
      <c r="S546" s="716">
        <v>3</v>
      </c>
      <c r="T546" s="719">
        <f>ROUNDDOWN(S546/R546,3)</f>
        <v>0.15</v>
      </c>
      <c r="U546" s="713"/>
      <c r="V546" s="713"/>
      <c r="W546" s="713"/>
      <c r="X546" s="718" t="e">
        <f t="shared" si="41"/>
        <v>#DIV/0!</v>
      </c>
    </row>
    <row r="547" spans="1:24" s="711" customFormat="1" ht="17.100000000000001" customHeight="1">
      <c r="A547" s="1316" t="s">
        <v>1526</v>
      </c>
      <c r="B547" s="1317"/>
      <c r="C547" s="1316"/>
      <c r="D547" s="1317"/>
      <c r="E547" s="677">
        <v>261</v>
      </c>
      <c r="F547" s="676" t="s">
        <v>835</v>
      </c>
      <c r="G547" s="670"/>
      <c r="H547" s="670"/>
      <c r="I547" s="670"/>
      <c r="J547" s="670"/>
      <c r="K547" s="670">
        <f>([53]운반공!$BM$489+[53]운반공!$BM$490)/2</f>
        <v>22</v>
      </c>
      <c r="L547" s="670">
        <f>INT(E547*K547)</f>
        <v>5742</v>
      </c>
      <c r="M547" s="670">
        <f>G547+I547+K547</f>
        <v>22</v>
      </c>
      <c r="N547" s="670">
        <f t="shared" si="42"/>
        <v>5742</v>
      </c>
      <c r="O547" s="671"/>
      <c r="P547" s="714"/>
      <c r="Q547" s="716">
        <f>Q546</f>
        <v>20</v>
      </c>
      <c r="R547" s="716">
        <f>R546</f>
        <v>20</v>
      </c>
      <c r="S547" s="716">
        <v>3</v>
      </c>
      <c r="T547" s="719">
        <f>ROUNDDOWN(S547/R547,3)</f>
        <v>0.15</v>
      </c>
      <c r="U547" s="713"/>
      <c r="V547" s="713"/>
      <c r="W547" s="713"/>
      <c r="X547" s="718" t="e">
        <f t="shared" si="41"/>
        <v>#DIV/0!</v>
      </c>
    </row>
    <row r="548" spans="1:24" s="725" customFormat="1" ht="17.100000000000001" customHeight="1">
      <c r="A548" s="1316" t="s">
        <v>1534</v>
      </c>
      <c r="B548" s="1317"/>
      <c r="C548" s="1338" t="s">
        <v>1535</v>
      </c>
      <c r="D548" s="1317"/>
      <c r="E548" s="702">
        <v>0.48</v>
      </c>
      <c r="F548" s="676" t="s">
        <v>850</v>
      </c>
      <c r="G548" s="670" t="e">
        <f>#REF!</f>
        <v>#REF!</v>
      </c>
      <c r="H548" s="670" t="e">
        <f>INT(E548*G548)</f>
        <v>#REF!</v>
      </c>
      <c r="I548" s="670"/>
      <c r="J548" s="670"/>
      <c r="K548" s="670"/>
      <c r="L548" s="670"/>
      <c r="M548" s="670" t="e">
        <f t="shared" si="42"/>
        <v>#REF!</v>
      </c>
      <c r="N548" s="670" t="e">
        <f t="shared" si="42"/>
        <v>#REF!</v>
      </c>
      <c r="O548" s="671"/>
      <c r="P548" s="720"/>
      <c r="Q548" s="721"/>
      <c r="R548" s="721"/>
      <c r="S548" s="721"/>
      <c r="T548" s="722"/>
      <c r="U548" s="723"/>
      <c r="V548" s="723"/>
      <c r="W548" s="723"/>
      <c r="X548" s="724"/>
    </row>
    <row r="549" spans="1:24" s="711" customFormat="1" ht="17.100000000000001" customHeight="1">
      <c r="A549" s="1316" t="s">
        <v>828</v>
      </c>
      <c r="B549" s="1317"/>
      <c r="C549" s="1338" t="s">
        <v>1536</v>
      </c>
      <c r="D549" s="1317"/>
      <c r="E549" s="702">
        <v>0.74</v>
      </c>
      <c r="F549" s="676" t="s">
        <v>850</v>
      </c>
      <c r="G549" s="670" t="e">
        <f>#REF!</f>
        <v>#REF!</v>
      </c>
      <c r="H549" s="670" t="e">
        <f>INT(E549*G549)</f>
        <v>#REF!</v>
      </c>
      <c r="I549" s="670"/>
      <c r="J549" s="670"/>
      <c r="K549" s="670"/>
      <c r="L549" s="670"/>
      <c r="M549" s="670" t="e">
        <f t="shared" si="42"/>
        <v>#REF!</v>
      </c>
      <c r="N549" s="670" t="e">
        <f t="shared" si="42"/>
        <v>#REF!</v>
      </c>
      <c r="O549" s="671"/>
      <c r="P549" s="710"/>
      <c r="T549" s="713"/>
      <c r="U549" s="713"/>
      <c r="V549" s="713"/>
      <c r="W549" s="713"/>
      <c r="X549" s="718" t="e">
        <f t="shared" si="41"/>
        <v>#DIV/0!</v>
      </c>
    </row>
    <row r="550" spans="1:24" s="711" customFormat="1" ht="17.100000000000001" customHeight="1">
      <c r="A550" s="1316" t="s">
        <v>1537</v>
      </c>
      <c r="B550" s="1317"/>
      <c r="C550" s="1338"/>
      <c r="D550" s="1317"/>
      <c r="E550" s="702">
        <v>0.85</v>
      </c>
      <c r="F550" s="676" t="s">
        <v>366</v>
      </c>
      <c r="G550" s="670"/>
      <c r="H550" s="670"/>
      <c r="I550" s="670">
        <f>[53]노임단가!$T$16</f>
        <v>273540</v>
      </c>
      <c r="J550" s="670">
        <f>INT(E550*I550)</f>
        <v>232509</v>
      </c>
      <c r="K550" s="670"/>
      <c r="L550" s="670"/>
      <c r="M550" s="670">
        <f t="shared" si="42"/>
        <v>273540</v>
      </c>
      <c r="N550" s="670">
        <f t="shared" si="42"/>
        <v>232509</v>
      </c>
      <c r="O550" s="671"/>
      <c r="P550" s="710" t="s">
        <v>1549</v>
      </c>
      <c r="Q550" s="711" t="s">
        <v>1550</v>
      </c>
    </row>
    <row r="551" spans="1:24" s="711" customFormat="1" ht="17.100000000000001" customHeight="1">
      <c r="A551" s="1316" t="s">
        <v>248</v>
      </c>
      <c r="B551" s="1317"/>
      <c r="C551" s="1338"/>
      <c r="D551" s="1317"/>
      <c r="E551" s="702">
        <v>0.82</v>
      </c>
      <c r="F551" s="676" t="s">
        <v>366</v>
      </c>
      <c r="G551" s="670"/>
      <c r="H551" s="670"/>
      <c r="I551" s="670">
        <f>[53]노임단가!$T$5</f>
        <v>172068</v>
      </c>
      <c r="J551" s="670">
        <f>INT(E551*I551)</f>
        <v>141095</v>
      </c>
      <c r="K551" s="670"/>
      <c r="L551" s="670"/>
      <c r="M551" s="670">
        <f t="shared" si="42"/>
        <v>172068</v>
      </c>
      <c r="N551" s="670">
        <f t="shared" si="42"/>
        <v>141095</v>
      </c>
      <c r="O551" s="707"/>
      <c r="P551" s="710"/>
      <c r="Q551" s="715" t="s">
        <v>1551</v>
      </c>
      <c r="R551" s="716" t="s">
        <v>1552</v>
      </c>
      <c r="S551" s="716" t="s">
        <v>1425</v>
      </c>
      <c r="T551" s="717" t="s">
        <v>1426</v>
      </c>
    </row>
    <row r="552" spans="1:24" s="711" customFormat="1" ht="17.100000000000001" customHeight="1">
      <c r="A552" s="1318" t="s">
        <v>1320</v>
      </c>
      <c r="B552" s="1319"/>
      <c r="C552" s="1371"/>
      <c r="D552" s="1372"/>
      <c r="E552" s="677"/>
      <c r="F552" s="676"/>
      <c r="G552" s="670"/>
      <c r="H552" s="670" t="e">
        <f>SUM(H546:H551)</f>
        <v>#REF!</v>
      </c>
      <c r="I552" s="670"/>
      <c r="J552" s="670">
        <f>SUM(J546:J551)</f>
        <v>373604</v>
      </c>
      <c r="K552" s="670"/>
      <c r="L552" s="670">
        <f>SUM(L546:L551)</f>
        <v>5742</v>
      </c>
      <c r="M552" s="670"/>
      <c r="N552" s="670" t="e">
        <f>SUM(N546:N551)</f>
        <v>#REF!</v>
      </c>
      <c r="O552" s="671"/>
      <c r="P552" s="710"/>
      <c r="Q552" s="716">
        <f>23/2</f>
        <v>11.5</v>
      </c>
      <c r="R552" s="716">
        <f>23/2</f>
        <v>11.5</v>
      </c>
      <c r="S552" s="716">
        <v>3</v>
      </c>
      <c r="T552" s="719">
        <f>ROUNDDOWN(S552/R552,3)</f>
        <v>0.26</v>
      </c>
    </row>
    <row r="553" spans="1:24" s="711" customFormat="1" ht="17.100000000000001" customHeight="1">
      <c r="A553" s="668">
        <f>A545+1</f>
        <v>140</v>
      </c>
      <c r="B553" s="1320" t="s">
        <v>1555</v>
      </c>
      <c r="C553" s="1320"/>
      <c r="D553" s="1397" t="s">
        <v>1556</v>
      </c>
      <c r="E553" s="1320"/>
      <c r="F553" s="669" t="s">
        <v>850</v>
      </c>
      <c r="G553" s="670"/>
      <c r="H553" s="670"/>
      <c r="I553" s="670"/>
      <c r="J553" s="670"/>
      <c r="K553" s="670"/>
      <c r="L553" s="670"/>
      <c r="M553" s="670"/>
      <c r="N553" s="670"/>
      <c r="O553" s="671"/>
      <c r="P553" s="714"/>
      <c r="Q553" s="716">
        <f>Q552</f>
        <v>11.5</v>
      </c>
      <c r="R553" s="716">
        <f>R552</f>
        <v>11.5</v>
      </c>
      <c r="S553" s="716">
        <v>3</v>
      </c>
      <c r="T553" s="719">
        <f>ROUNDDOWN(S553/R553,3)</f>
        <v>0.26</v>
      </c>
    </row>
    <row r="554" spans="1:24" s="725" customFormat="1" ht="17.100000000000001" customHeight="1">
      <c r="A554" s="1316" t="s">
        <v>542</v>
      </c>
      <c r="B554" s="1317"/>
      <c r="C554" s="1316"/>
      <c r="D554" s="1317"/>
      <c r="E554" s="677">
        <v>261</v>
      </c>
      <c r="F554" s="676" t="s">
        <v>835</v>
      </c>
      <c r="G554" s="670" t="e">
        <f>#REF!</f>
        <v>#REF!</v>
      </c>
      <c r="H554" s="670" t="e">
        <f>INT(E554*G554)</f>
        <v>#REF!</v>
      </c>
      <c r="I554" s="670"/>
      <c r="J554" s="670"/>
      <c r="K554" s="670"/>
      <c r="L554" s="670"/>
      <c r="M554" s="706" t="e">
        <f t="shared" ref="M554:N559" si="43">G554+I554+K554</f>
        <v>#REF!</v>
      </c>
      <c r="N554" s="670" t="e">
        <f t="shared" si="43"/>
        <v>#REF!</v>
      </c>
      <c r="O554" s="707"/>
      <c r="P554" s="720"/>
      <c r="Q554" s="721"/>
      <c r="R554" s="721"/>
      <c r="S554" s="721"/>
      <c r="T554" s="722"/>
      <c r="U554" s="723"/>
      <c r="V554" s="723"/>
      <c r="W554" s="723"/>
      <c r="X554" s="724"/>
    </row>
    <row r="555" spans="1:24" s="711" customFormat="1" ht="17.100000000000001" customHeight="1">
      <c r="A555" s="1316" t="s">
        <v>1526</v>
      </c>
      <c r="B555" s="1317"/>
      <c r="C555" s="1316"/>
      <c r="D555" s="1317"/>
      <c r="E555" s="677">
        <v>261</v>
      </c>
      <c r="F555" s="676" t="s">
        <v>835</v>
      </c>
      <c r="G555" s="670"/>
      <c r="H555" s="670"/>
      <c r="I555" s="670"/>
      <c r="J555" s="670"/>
      <c r="K555" s="670">
        <f>([53]운반공!$BM$489+[53]운반공!$BM$490)/2</f>
        <v>22</v>
      </c>
      <c r="L555" s="670">
        <f>INT(E555*K555)</f>
        <v>5742</v>
      </c>
      <c r="M555" s="670">
        <f t="shared" si="43"/>
        <v>22</v>
      </c>
      <c r="N555" s="670">
        <f t="shared" si="43"/>
        <v>5742</v>
      </c>
      <c r="O555" s="671"/>
      <c r="P555" s="710"/>
    </row>
    <row r="556" spans="1:24" s="711" customFormat="1" ht="17.100000000000001" customHeight="1">
      <c r="A556" s="1316" t="s">
        <v>1534</v>
      </c>
      <c r="B556" s="1317"/>
      <c r="C556" s="1338" t="s">
        <v>1535</v>
      </c>
      <c r="D556" s="1317"/>
      <c r="E556" s="702">
        <v>0.48</v>
      </c>
      <c r="F556" s="676" t="s">
        <v>850</v>
      </c>
      <c r="G556" s="670" t="e">
        <f>#REF!</f>
        <v>#REF!</v>
      </c>
      <c r="H556" s="670" t="e">
        <f>INT(E556*G556)</f>
        <v>#REF!</v>
      </c>
      <c r="I556" s="670"/>
      <c r="J556" s="670"/>
      <c r="K556" s="670"/>
      <c r="L556" s="670"/>
      <c r="M556" s="670" t="e">
        <f t="shared" si="43"/>
        <v>#REF!</v>
      </c>
      <c r="N556" s="670" t="e">
        <f t="shared" si="43"/>
        <v>#REF!</v>
      </c>
      <c r="O556" s="671"/>
      <c r="P556" s="710" t="s">
        <v>1549</v>
      </c>
      <c r="Q556" s="711" t="s">
        <v>1550</v>
      </c>
    </row>
    <row r="557" spans="1:24" s="711" customFormat="1" ht="17.100000000000001" customHeight="1">
      <c r="A557" s="1316" t="s">
        <v>828</v>
      </c>
      <c r="B557" s="1317"/>
      <c r="C557" s="1338" t="s">
        <v>1536</v>
      </c>
      <c r="D557" s="1317"/>
      <c r="E557" s="702">
        <v>0.74</v>
      </c>
      <c r="F557" s="676" t="s">
        <v>850</v>
      </c>
      <c r="G557" s="670" t="e">
        <f>#REF!</f>
        <v>#REF!</v>
      </c>
      <c r="H557" s="670" t="e">
        <f>INT(E557*G557)</f>
        <v>#REF!</v>
      </c>
      <c r="I557" s="670"/>
      <c r="J557" s="670"/>
      <c r="K557" s="670"/>
      <c r="L557" s="670"/>
      <c r="M557" s="670" t="e">
        <f t="shared" si="43"/>
        <v>#REF!</v>
      </c>
      <c r="N557" s="670" t="e">
        <f t="shared" si="43"/>
        <v>#REF!</v>
      </c>
      <c r="O557" s="671"/>
      <c r="P557" s="710"/>
      <c r="Q557" s="715" t="s">
        <v>1551</v>
      </c>
      <c r="R557" s="716" t="s">
        <v>1552</v>
      </c>
      <c r="S557" s="716" t="s">
        <v>1425</v>
      </c>
      <c r="T557" s="717" t="s">
        <v>1426</v>
      </c>
    </row>
    <row r="558" spans="1:24" s="711" customFormat="1" ht="17.100000000000001" customHeight="1">
      <c r="A558" s="1316" t="s">
        <v>1537</v>
      </c>
      <c r="B558" s="1317"/>
      <c r="C558" s="1338"/>
      <c r="D558" s="1317"/>
      <c r="E558" s="702">
        <v>1.29</v>
      </c>
      <c r="F558" s="676" t="s">
        <v>366</v>
      </c>
      <c r="G558" s="670"/>
      <c r="H558" s="670"/>
      <c r="I558" s="670">
        <f>[53]노임단가!$T$16</f>
        <v>273540</v>
      </c>
      <c r="J558" s="670">
        <f>INT(E558*I558)</f>
        <v>352866</v>
      </c>
      <c r="K558" s="670"/>
      <c r="L558" s="670"/>
      <c r="M558" s="670">
        <f t="shared" si="43"/>
        <v>273540</v>
      </c>
      <c r="N558" s="670">
        <f t="shared" si="43"/>
        <v>352866</v>
      </c>
      <c r="O558" s="671"/>
      <c r="P558" s="710"/>
      <c r="Q558" s="716">
        <f>20/2</f>
        <v>10</v>
      </c>
      <c r="R558" s="716">
        <f>20/2</f>
        <v>10</v>
      </c>
      <c r="S558" s="716">
        <v>3</v>
      </c>
      <c r="T558" s="719">
        <f>ROUNDDOWN(S558/R558,3)</f>
        <v>0.3</v>
      </c>
      <c r="U558" s="726"/>
      <c r="V558" s="726"/>
    </row>
    <row r="559" spans="1:24" s="711" customFormat="1" ht="17.100000000000001" customHeight="1">
      <c r="A559" s="1316" t="s">
        <v>248</v>
      </c>
      <c r="B559" s="1317"/>
      <c r="C559" s="1338"/>
      <c r="D559" s="1317"/>
      <c r="E559" s="702">
        <v>1.36</v>
      </c>
      <c r="F559" s="676" t="s">
        <v>366</v>
      </c>
      <c r="G559" s="670"/>
      <c r="H559" s="670"/>
      <c r="I559" s="670">
        <f>[53]노임단가!$T$5</f>
        <v>172068</v>
      </c>
      <c r="J559" s="670">
        <f>INT(E559*I559)</f>
        <v>234012</v>
      </c>
      <c r="K559" s="670"/>
      <c r="L559" s="670"/>
      <c r="M559" s="670">
        <f t="shared" si="43"/>
        <v>172068</v>
      </c>
      <c r="N559" s="670">
        <f t="shared" si="43"/>
        <v>234012</v>
      </c>
      <c r="O559" s="707"/>
      <c r="P559" s="714"/>
      <c r="Q559" s="716">
        <f>Q558</f>
        <v>10</v>
      </c>
      <c r="R559" s="716">
        <f>R558</f>
        <v>10</v>
      </c>
      <c r="S559" s="716">
        <v>3</v>
      </c>
      <c r="T559" s="719">
        <f>ROUNDDOWN(S559/R559,3)</f>
        <v>0.3</v>
      </c>
    </row>
    <row r="560" spans="1:24" s="725" customFormat="1" ht="17.100000000000001" customHeight="1">
      <c r="A560" s="1318" t="s">
        <v>1320</v>
      </c>
      <c r="B560" s="1319"/>
      <c r="C560" s="1371"/>
      <c r="D560" s="1372"/>
      <c r="E560" s="677"/>
      <c r="F560" s="676"/>
      <c r="G560" s="670"/>
      <c r="H560" s="670" t="e">
        <f>SUM(H554:H559)</f>
        <v>#REF!</v>
      </c>
      <c r="I560" s="670"/>
      <c r="J560" s="670">
        <f>SUM(J554:J559)</f>
        <v>586878</v>
      </c>
      <c r="K560" s="670"/>
      <c r="L560" s="670">
        <f>SUM(L554:L559)</f>
        <v>5742</v>
      </c>
      <c r="M560" s="670"/>
      <c r="N560" s="670" t="e">
        <f>SUM(N554:N559)</f>
        <v>#REF!</v>
      </c>
      <c r="O560" s="671"/>
      <c r="P560" s="720"/>
      <c r="Q560" s="721"/>
      <c r="R560" s="721"/>
      <c r="S560" s="721"/>
      <c r="T560" s="722"/>
      <c r="U560" s="723"/>
      <c r="V560" s="723"/>
      <c r="W560" s="723"/>
      <c r="X560" s="724"/>
    </row>
    <row r="561" spans="1:24" s="711" customFormat="1" ht="17.100000000000001" customHeight="1">
      <c r="A561" s="668">
        <f>A553+1</f>
        <v>141</v>
      </c>
      <c r="B561" s="1320" t="s">
        <v>1557</v>
      </c>
      <c r="C561" s="1320"/>
      <c r="D561" s="1397" t="s">
        <v>1558</v>
      </c>
      <c r="E561" s="1320"/>
      <c r="F561" s="669" t="s">
        <v>850</v>
      </c>
      <c r="G561" s="670"/>
      <c r="H561" s="670"/>
      <c r="I561" s="670"/>
      <c r="J561" s="670"/>
      <c r="K561" s="670"/>
      <c r="L561" s="670"/>
      <c r="M561" s="670"/>
      <c r="N561" s="670"/>
      <c r="O561" s="671"/>
      <c r="P561" s="710"/>
    </row>
    <row r="562" spans="1:24" s="711" customFormat="1" ht="17.100000000000001" customHeight="1">
      <c r="A562" s="1316" t="s">
        <v>841</v>
      </c>
      <c r="B562" s="1317"/>
      <c r="C562" s="1316"/>
      <c r="D562" s="1317"/>
      <c r="E562" s="677">
        <v>261</v>
      </c>
      <c r="F562" s="676" t="s">
        <v>835</v>
      </c>
      <c r="G562" s="670" t="e">
        <f>#REF!</f>
        <v>#REF!</v>
      </c>
      <c r="H562" s="670" t="e">
        <f>INT(E562*G562)</f>
        <v>#REF!</v>
      </c>
      <c r="I562" s="670"/>
      <c r="J562" s="670"/>
      <c r="K562" s="670"/>
      <c r="L562" s="670"/>
      <c r="M562" s="670" t="e">
        <f t="shared" ref="M562:N567" si="44">G562+I562+K562</f>
        <v>#REF!</v>
      </c>
      <c r="N562" s="670" t="e">
        <f t="shared" si="44"/>
        <v>#REF!</v>
      </c>
      <c r="O562" s="707"/>
      <c r="P562" s="710" t="s">
        <v>1559</v>
      </c>
      <c r="Q562" s="711" t="s">
        <v>1550</v>
      </c>
    </row>
    <row r="563" spans="1:24" s="711" customFormat="1" ht="17.100000000000001" customHeight="1">
      <c r="A563" s="1316" t="s">
        <v>1526</v>
      </c>
      <c r="B563" s="1317"/>
      <c r="C563" s="1316"/>
      <c r="D563" s="1317"/>
      <c r="E563" s="677">
        <v>261</v>
      </c>
      <c r="F563" s="676" t="s">
        <v>835</v>
      </c>
      <c r="G563" s="670"/>
      <c r="H563" s="670"/>
      <c r="I563" s="670"/>
      <c r="J563" s="670"/>
      <c r="K563" s="670">
        <f>([53]운반공!$BM$489+[53]운반공!$BM$490)/2</f>
        <v>22</v>
      </c>
      <c r="L563" s="670">
        <f>INT(E563*K563)</f>
        <v>5742</v>
      </c>
      <c r="M563" s="670">
        <f t="shared" si="44"/>
        <v>22</v>
      </c>
      <c r="N563" s="670">
        <f t="shared" si="44"/>
        <v>5742</v>
      </c>
      <c r="O563" s="671"/>
      <c r="P563" s="710"/>
      <c r="Q563" s="715" t="s">
        <v>1551</v>
      </c>
      <c r="R563" s="716" t="s">
        <v>1552</v>
      </c>
      <c r="S563" s="716" t="s">
        <v>1425</v>
      </c>
      <c r="T563" s="717" t="s">
        <v>1426</v>
      </c>
    </row>
    <row r="564" spans="1:24" s="711" customFormat="1" ht="17.100000000000001" customHeight="1">
      <c r="A564" s="1316" t="s">
        <v>1534</v>
      </c>
      <c r="B564" s="1317"/>
      <c r="C564" s="1338" t="s">
        <v>1535</v>
      </c>
      <c r="D564" s="1317"/>
      <c r="E564" s="702">
        <v>0.48</v>
      </c>
      <c r="F564" s="676" t="s">
        <v>850</v>
      </c>
      <c r="G564" s="670" t="e">
        <f>#REF!</f>
        <v>#REF!</v>
      </c>
      <c r="H564" s="670" t="e">
        <f>INT(E564*G564)</f>
        <v>#REF!</v>
      </c>
      <c r="I564" s="670"/>
      <c r="J564" s="670"/>
      <c r="K564" s="670"/>
      <c r="L564" s="670"/>
      <c r="M564" s="670" t="e">
        <f t="shared" si="44"/>
        <v>#REF!</v>
      </c>
      <c r="N564" s="670" t="e">
        <f t="shared" si="44"/>
        <v>#REF!</v>
      </c>
      <c r="O564" s="671"/>
      <c r="P564" s="710"/>
      <c r="Q564" s="716">
        <v>63</v>
      </c>
      <c r="R564" s="716">
        <v>63</v>
      </c>
      <c r="S564" s="716">
        <v>3</v>
      </c>
      <c r="T564" s="717">
        <f>ROUND(S564/R564,3)</f>
        <v>4.8000000000000001E-2</v>
      </c>
    </row>
    <row r="565" spans="1:24" s="711" customFormat="1" ht="17.100000000000001" customHeight="1">
      <c r="A565" s="1316" t="s">
        <v>828</v>
      </c>
      <c r="B565" s="1317"/>
      <c r="C565" s="1338" t="s">
        <v>1536</v>
      </c>
      <c r="D565" s="1378"/>
      <c r="E565" s="702">
        <v>0.74</v>
      </c>
      <c r="F565" s="676" t="s">
        <v>850</v>
      </c>
      <c r="G565" s="670" t="e">
        <f>#REF!</f>
        <v>#REF!</v>
      </c>
      <c r="H565" s="670" t="e">
        <f>INT(E565*G565)</f>
        <v>#REF!</v>
      </c>
      <c r="I565" s="670"/>
      <c r="J565" s="670"/>
      <c r="K565" s="670"/>
      <c r="L565" s="670"/>
      <c r="M565" s="670" t="e">
        <f t="shared" si="44"/>
        <v>#REF!</v>
      </c>
      <c r="N565" s="670" t="e">
        <f t="shared" si="44"/>
        <v>#REF!</v>
      </c>
      <c r="O565" s="671"/>
      <c r="P565" s="714"/>
      <c r="Q565" s="716">
        <f>Q564</f>
        <v>63</v>
      </c>
      <c r="R565" s="716">
        <f>R564</f>
        <v>63</v>
      </c>
      <c r="S565" s="716">
        <v>1</v>
      </c>
      <c r="T565" s="719">
        <f>ROUND(S565/R565,3)</f>
        <v>1.6E-2</v>
      </c>
    </row>
    <row r="566" spans="1:24" s="711" customFormat="1" ht="17.100000000000001" customHeight="1">
      <c r="A566" s="1316" t="s">
        <v>1537</v>
      </c>
      <c r="B566" s="1317"/>
      <c r="C566" s="1338"/>
      <c r="D566" s="1317"/>
      <c r="E566" s="702">
        <v>1.29</v>
      </c>
      <c r="F566" s="676" t="s">
        <v>366</v>
      </c>
      <c r="G566" s="670"/>
      <c r="H566" s="670"/>
      <c r="I566" s="670">
        <f>[53]노임단가!$T$16</f>
        <v>273540</v>
      </c>
      <c r="J566" s="670">
        <f>INT(E566*I566)</f>
        <v>352866</v>
      </c>
      <c r="K566" s="670"/>
      <c r="L566" s="670"/>
      <c r="M566" s="670">
        <f t="shared" si="44"/>
        <v>273540</v>
      </c>
      <c r="N566" s="670">
        <f t="shared" si="44"/>
        <v>352866</v>
      </c>
      <c r="O566" s="671"/>
      <c r="P566" s="714"/>
      <c r="Q566" s="716">
        <f>Q565</f>
        <v>63</v>
      </c>
      <c r="R566" s="716">
        <f>R565</f>
        <v>63</v>
      </c>
      <c r="S566" s="716">
        <v>8</v>
      </c>
      <c r="T566" s="717">
        <f>ROUND(S566/R566,3)</f>
        <v>0.127</v>
      </c>
    </row>
    <row r="567" spans="1:24" s="725" customFormat="1" ht="17.100000000000001" customHeight="1">
      <c r="A567" s="1316" t="s">
        <v>248</v>
      </c>
      <c r="B567" s="1317"/>
      <c r="C567" s="1338"/>
      <c r="D567" s="1317"/>
      <c r="E567" s="702">
        <v>1.36</v>
      </c>
      <c r="F567" s="676" t="s">
        <v>366</v>
      </c>
      <c r="G567" s="670"/>
      <c r="H567" s="670"/>
      <c r="I567" s="670">
        <f>[53]노임단가!$T$5</f>
        <v>172068</v>
      </c>
      <c r="J567" s="670">
        <f>INT(E567*I567)</f>
        <v>234012</v>
      </c>
      <c r="K567" s="670"/>
      <c r="L567" s="670"/>
      <c r="M567" s="670">
        <f t="shared" si="44"/>
        <v>172068</v>
      </c>
      <c r="N567" s="670">
        <f t="shared" si="44"/>
        <v>234012</v>
      </c>
      <c r="O567" s="707"/>
      <c r="P567" s="720"/>
      <c r="Q567" s="721"/>
      <c r="R567" s="721"/>
      <c r="S567" s="721"/>
      <c r="T567" s="722"/>
      <c r="U567" s="723"/>
      <c r="V567" s="723"/>
      <c r="W567" s="723"/>
      <c r="X567" s="724"/>
    </row>
    <row r="568" spans="1:24" s="711" customFormat="1" ht="17.100000000000001" customHeight="1">
      <c r="A568" s="1318" t="s">
        <v>1320</v>
      </c>
      <c r="B568" s="1319"/>
      <c r="C568" s="1371"/>
      <c r="D568" s="1372"/>
      <c r="E568" s="677"/>
      <c r="F568" s="676"/>
      <c r="G568" s="670"/>
      <c r="H568" s="670" t="e">
        <f>SUM(H562:H567)</f>
        <v>#REF!</v>
      </c>
      <c r="I568" s="670"/>
      <c r="J568" s="670">
        <f>SUM(J562:J567)</f>
        <v>586878</v>
      </c>
      <c r="K568" s="670"/>
      <c r="L568" s="670">
        <f>SUM(L562:L567)</f>
        <v>5742</v>
      </c>
      <c r="M568" s="670"/>
      <c r="N568" s="670" t="e">
        <f>SUM(N562:N567)</f>
        <v>#REF!</v>
      </c>
      <c r="O568" s="671"/>
      <c r="P568" s="710"/>
    </row>
    <row r="569" spans="1:24" s="711" customFormat="1" ht="17.100000000000001" customHeight="1">
      <c r="A569" s="668">
        <f>A561+1</f>
        <v>142</v>
      </c>
      <c r="B569" s="1320" t="s">
        <v>1560</v>
      </c>
      <c r="C569" s="1320"/>
      <c r="D569" s="1397" t="s">
        <v>1561</v>
      </c>
      <c r="E569" s="1320"/>
      <c r="F569" s="669" t="s">
        <v>850</v>
      </c>
      <c r="G569" s="670"/>
      <c r="H569" s="670"/>
      <c r="I569" s="670"/>
      <c r="J569" s="670"/>
      <c r="K569" s="670"/>
      <c r="L569" s="670"/>
      <c r="M569" s="670"/>
      <c r="N569" s="670"/>
      <c r="O569" s="671" t="s">
        <v>1562</v>
      </c>
      <c r="P569" s="710" t="s">
        <v>1559</v>
      </c>
      <c r="Q569" s="711" t="s">
        <v>1550</v>
      </c>
    </row>
    <row r="570" spans="1:24" s="711" customFormat="1" ht="17.100000000000001" customHeight="1">
      <c r="A570" s="1316" t="s">
        <v>1563</v>
      </c>
      <c r="B570" s="1317"/>
      <c r="C570" s="1316" t="s">
        <v>1564</v>
      </c>
      <c r="D570" s="1317"/>
      <c r="E570" s="675">
        <v>1.02</v>
      </c>
      <c r="F570" s="676" t="s">
        <v>850</v>
      </c>
      <c r="G570" s="670"/>
      <c r="H570" s="670"/>
      <c r="I570" s="670"/>
      <c r="J570" s="670"/>
      <c r="K570" s="670"/>
      <c r="L570" s="670"/>
      <c r="M570" s="670"/>
      <c r="N570" s="670"/>
      <c r="O570" s="707"/>
      <c r="P570" s="710"/>
      <c r="Q570" s="715" t="s">
        <v>1551</v>
      </c>
      <c r="R570" s="716" t="s">
        <v>1552</v>
      </c>
      <c r="S570" s="716" t="s">
        <v>1425</v>
      </c>
      <c r="T570" s="717" t="s">
        <v>1426</v>
      </c>
    </row>
    <row r="571" spans="1:24" s="711" customFormat="1" ht="17.100000000000001" customHeight="1">
      <c r="A571" s="1316" t="s">
        <v>1537</v>
      </c>
      <c r="B571" s="1317"/>
      <c r="C571" s="1338"/>
      <c r="D571" s="1317"/>
      <c r="E571" s="702">
        <f>T540</f>
        <v>0.13</v>
      </c>
      <c r="F571" s="676" t="s">
        <v>366</v>
      </c>
      <c r="G571" s="670"/>
      <c r="H571" s="670"/>
      <c r="I571" s="670">
        <f>[53]노임단가!$T$16</f>
        <v>273540</v>
      </c>
      <c r="J571" s="670">
        <f>INT(E571*I571)</f>
        <v>35560</v>
      </c>
      <c r="K571" s="670"/>
      <c r="L571" s="670"/>
      <c r="M571" s="670">
        <f t="shared" ref="M571:N573" si="45">G571+I571+K571</f>
        <v>273540</v>
      </c>
      <c r="N571" s="670">
        <f t="shared" si="45"/>
        <v>35560</v>
      </c>
      <c r="O571" s="671"/>
      <c r="P571" s="710"/>
      <c r="Q571" s="716">
        <v>55</v>
      </c>
      <c r="R571" s="716">
        <v>55</v>
      </c>
      <c r="S571" s="716">
        <v>3</v>
      </c>
      <c r="T571" s="717">
        <f>ROUND(S571/R571,3)</f>
        <v>5.5E-2</v>
      </c>
    </row>
    <row r="572" spans="1:24" s="711" customFormat="1" ht="17.100000000000001" customHeight="1">
      <c r="A572" s="1316" t="s">
        <v>248</v>
      </c>
      <c r="B572" s="1317"/>
      <c r="C572" s="1338"/>
      <c r="D572" s="1317"/>
      <c r="E572" s="702">
        <f>T541</f>
        <v>0.13</v>
      </c>
      <c r="F572" s="676" t="s">
        <v>366</v>
      </c>
      <c r="G572" s="670"/>
      <c r="H572" s="670"/>
      <c r="I572" s="670">
        <f>[53]노임단가!$T$5</f>
        <v>172068</v>
      </c>
      <c r="J572" s="670">
        <f>INT(E572*I572)</f>
        <v>22368</v>
      </c>
      <c r="K572" s="670"/>
      <c r="L572" s="670"/>
      <c r="M572" s="670">
        <f t="shared" si="45"/>
        <v>172068</v>
      </c>
      <c r="N572" s="670">
        <f t="shared" si="45"/>
        <v>22368</v>
      </c>
      <c r="O572" s="707"/>
      <c r="P572" s="714"/>
      <c r="Q572" s="716">
        <f>Q571</f>
        <v>55</v>
      </c>
      <c r="R572" s="716">
        <f>R571</f>
        <v>55</v>
      </c>
      <c r="S572" s="716">
        <v>1</v>
      </c>
      <c r="T572" s="727">
        <f>ROUND(S572/R572,3)</f>
        <v>1.7999999999999999E-2</v>
      </c>
    </row>
    <row r="573" spans="1:24" s="711" customFormat="1" ht="17.100000000000001" customHeight="1">
      <c r="A573" s="1322" t="s">
        <v>1565</v>
      </c>
      <c r="B573" s="1323"/>
      <c r="C573" s="1338" t="s">
        <v>1566</v>
      </c>
      <c r="D573" s="1378"/>
      <c r="E573" s="702">
        <v>0.02</v>
      </c>
      <c r="F573" s="676" t="s">
        <v>672</v>
      </c>
      <c r="G573" s="670"/>
      <c r="H573" s="670">
        <f>INT(E573*G573)</f>
        <v>0</v>
      </c>
      <c r="I573" s="670"/>
      <c r="J573" s="670"/>
      <c r="K573" s="670">
        <f>J571+J572</f>
        <v>57928</v>
      </c>
      <c r="L573" s="670">
        <f>INT(E573*K573)</f>
        <v>1158</v>
      </c>
      <c r="M573" s="670">
        <f t="shared" si="45"/>
        <v>57928</v>
      </c>
      <c r="N573" s="670">
        <f t="shared" si="45"/>
        <v>1158</v>
      </c>
      <c r="O573" s="707"/>
      <c r="P573" s="714"/>
      <c r="Q573" s="716">
        <f>Q572</f>
        <v>55</v>
      </c>
      <c r="R573" s="716">
        <f>R572</f>
        <v>55</v>
      </c>
      <c r="S573" s="716">
        <v>8</v>
      </c>
      <c r="T573" s="717">
        <f>ROUND(S573/R573,3)</f>
        <v>0.14499999999999999</v>
      </c>
    </row>
    <row r="574" spans="1:24" s="725" customFormat="1" ht="17.100000000000001" customHeight="1">
      <c r="A574" s="1318" t="s">
        <v>1320</v>
      </c>
      <c r="B574" s="1319"/>
      <c r="C574" s="1371"/>
      <c r="D574" s="1372"/>
      <c r="E574" s="677"/>
      <c r="F574" s="676"/>
      <c r="G574" s="670"/>
      <c r="H574" s="670">
        <f>SUM(H570:H573)</f>
        <v>0</v>
      </c>
      <c r="I574" s="670"/>
      <c r="J574" s="670">
        <f>SUM(J570:J573)</f>
        <v>57928</v>
      </c>
      <c r="K574" s="670"/>
      <c r="L574" s="670"/>
      <c r="M574" s="670"/>
      <c r="N574" s="670">
        <f>SUM(N570:N573)</f>
        <v>59086</v>
      </c>
      <c r="O574" s="671"/>
      <c r="P574" s="720"/>
      <c r="Q574" s="721"/>
      <c r="R574" s="721"/>
      <c r="S574" s="721"/>
      <c r="T574" s="722"/>
      <c r="U574" s="723"/>
      <c r="V574" s="723"/>
      <c r="W574" s="723"/>
      <c r="X574" s="724"/>
    </row>
    <row r="575" spans="1:24" s="711" customFormat="1" ht="16.5" customHeight="1">
      <c r="A575" s="668">
        <f>A569+1</f>
        <v>143</v>
      </c>
      <c r="B575" s="1320" t="s">
        <v>1567</v>
      </c>
      <c r="C575" s="1320"/>
      <c r="D575" s="1397" t="s">
        <v>1561</v>
      </c>
      <c r="E575" s="1320"/>
      <c r="F575" s="669" t="s">
        <v>850</v>
      </c>
      <c r="G575" s="670"/>
      <c r="H575" s="670"/>
      <c r="I575" s="670"/>
      <c r="J575" s="670"/>
      <c r="K575" s="670"/>
      <c r="L575" s="670"/>
      <c r="M575" s="670"/>
      <c r="N575" s="670"/>
      <c r="O575" s="671" t="s">
        <v>1562</v>
      </c>
      <c r="P575" s="710"/>
    </row>
    <row r="576" spans="1:24" s="711" customFormat="1" ht="17.100000000000001" customHeight="1">
      <c r="A576" s="1316" t="s">
        <v>1563</v>
      </c>
      <c r="B576" s="1317"/>
      <c r="C576" s="1316" t="s">
        <v>1564</v>
      </c>
      <c r="D576" s="1317"/>
      <c r="E576" s="675">
        <v>1.02</v>
      </c>
      <c r="F576" s="676" t="s">
        <v>850</v>
      </c>
      <c r="G576" s="670"/>
      <c r="H576" s="670"/>
      <c r="I576" s="670"/>
      <c r="J576" s="670"/>
      <c r="K576" s="670"/>
      <c r="L576" s="670"/>
      <c r="M576" s="670"/>
      <c r="N576" s="670"/>
      <c r="O576" s="707"/>
      <c r="P576" s="710" t="s">
        <v>1559</v>
      </c>
      <c r="Q576" s="711" t="s">
        <v>1550</v>
      </c>
    </row>
    <row r="577" spans="1:24" s="711" customFormat="1" ht="17.100000000000001" customHeight="1">
      <c r="A577" s="1316" t="s">
        <v>1537</v>
      </c>
      <c r="B577" s="1317"/>
      <c r="C577" s="1338"/>
      <c r="D577" s="1317"/>
      <c r="E577" s="702">
        <f>T546</f>
        <v>0.15</v>
      </c>
      <c r="F577" s="676" t="s">
        <v>366</v>
      </c>
      <c r="G577" s="670"/>
      <c r="H577" s="670"/>
      <c r="I577" s="670">
        <f>[53]노임단가!$T$16</f>
        <v>273540</v>
      </c>
      <c r="J577" s="670">
        <f>INT(E577*I577)</f>
        <v>41031</v>
      </c>
      <c r="K577" s="670"/>
      <c r="L577" s="670"/>
      <c r="M577" s="670">
        <f t="shared" ref="M577:N579" si="46">G577+I577+K577</f>
        <v>273540</v>
      </c>
      <c r="N577" s="670">
        <f t="shared" si="46"/>
        <v>41031</v>
      </c>
      <c r="O577" s="671"/>
      <c r="P577" s="710"/>
      <c r="Q577" s="715" t="s">
        <v>1551</v>
      </c>
      <c r="R577" s="716" t="s">
        <v>1552</v>
      </c>
      <c r="S577" s="716" t="s">
        <v>1425</v>
      </c>
      <c r="T577" s="717" t="s">
        <v>1426</v>
      </c>
    </row>
    <row r="578" spans="1:24" s="711" customFormat="1" ht="17.100000000000001" customHeight="1">
      <c r="A578" s="1316" t="s">
        <v>248</v>
      </c>
      <c r="B578" s="1317"/>
      <c r="C578" s="1338"/>
      <c r="D578" s="1317"/>
      <c r="E578" s="702">
        <f>T547</f>
        <v>0.15</v>
      </c>
      <c r="F578" s="676" t="s">
        <v>366</v>
      </c>
      <c r="G578" s="670"/>
      <c r="H578" s="670"/>
      <c r="I578" s="670">
        <f>[53]노임단가!$T$5</f>
        <v>172068</v>
      </c>
      <c r="J578" s="670">
        <f>INT(E578*I578)</f>
        <v>25810</v>
      </c>
      <c r="K578" s="670"/>
      <c r="L578" s="670"/>
      <c r="M578" s="670">
        <f t="shared" si="46"/>
        <v>172068</v>
      </c>
      <c r="N578" s="670">
        <f t="shared" si="46"/>
        <v>25810</v>
      </c>
      <c r="O578" s="707"/>
      <c r="P578" s="710"/>
      <c r="Q578" s="716">
        <f>63/2</f>
        <v>31.5</v>
      </c>
      <c r="R578" s="716">
        <f>63/2</f>
        <v>31.5</v>
      </c>
      <c r="S578" s="716">
        <v>3</v>
      </c>
      <c r="T578" s="717">
        <f>ROUND(S578/R578,3)</f>
        <v>9.5000000000000001E-2</v>
      </c>
    </row>
    <row r="579" spans="1:24" s="711" customFormat="1" ht="17.100000000000001" customHeight="1">
      <c r="A579" s="1322" t="s">
        <v>1565</v>
      </c>
      <c r="B579" s="1323"/>
      <c r="C579" s="1338" t="s">
        <v>1566</v>
      </c>
      <c r="D579" s="1378"/>
      <c r="E579" s="702">
        <v>0.02</v>
      </c>
      <c r="F579" s="676" t="s">
        <v>672</v>
      </c>
      <c r="G579" s="670"/>
      <c r="H579" s="670">
        <f>INT(E579*G579)</f>
        <v>0</v>
      </c>
      <c r="I579" s="670"/>
      <c r="J579" s="670"/>
      <c r="K579" s="670">
        <f>J577+J578</f>
        <v>66841</v>
      </c>
      <c r="L579" s="670">
        <f>INT(E579*K579)</f>
        <v>1336</v>
      </c>
      <c r="M579" s="670">
        <f t="shared" si="46"/>
        <v>66841</v>
      </c>
      <c r="N579" s="670">
        <f t="shared" si="46"/>
        <v>1336</v>
      </c>
      <c r="O579" s="707"/>
      <c r="P579" s="714"/>
      <c r="Q579" s="716">
        <f>Q578</f>
        <v>31.5</v>
      </c>
      <c r="R579" s="716">
        <f>R578</f>
        <v>31.5</v>
      </c>
      <c r="S579" s="716">
        <v>1</v>
      </c>
      <c r="T579" s="727">
        <f>ROUND(S579/R579,3)</f>
        <v>3.2000000000000001E-2</v>
      </c>
    </row>
    <row r="580" spans="1:24" s="711" customFormat="1" ht="17.100000000000001" customHeight="1">
      <c r="A580" s="1318" t="s">
        <v>1320</v>
      </c>
      <c r="B580" s="1319"/>
      <c r="C580" s="1371"/>
      <c r="D580" s="1372"/>
      <c r="E580" s="677"/>
      <c r="F580" s="676"/>
      <c r="G580" s="670"/>
      <c r="H580" s="670">
        <f>SUM(H576:H579)</f>
        <v>0</v>
      </c>
      <c r="I580" s="670"/>
      <c r="J580" s="670">
        <f>SUM(J576:J579)</f>
        <v>66841</v>
      </c>
      <c r="K580" s="670"/>
      <c r="L580" s="670"/>
      <c r="M580" s="670"/>
      <c r="N580" s="670">
        <f>SUM(N576:N579)</f>
        <v>68177</v>
      </c>
      <c r="O580" s="671"/>
      <c r="P580" s="714"/>
      <c r="Q580" s="716">
        <f>Q579</f>
        <v>31.5</v>
      </c>
      <c r="R580" s="716">
        <f>R579</f>
        <v>31.5</v>
      </c>
      <c r="S580" s="716">
        <v>8</v>
      </c>
      <c r="T580" s="717">
        <f>ROUND(S580/R580,3)</f>
        <v>0.254</v>
      </c>
    </row>
    <row r="581" spans="1:24" s="725" customFormat="1" ht="17.100000000000001" customHeight="1">
      <c r="A581" s="668">
        <f>A575+1</f>
        <v>144</v>
      </c>
      <c r="B581" s="1320" t="s">
        <v>1560</v>
      </c>
      <c r="C581" s="1320"/>
      <c r="D581" s="1397" t="s">
        <v>1568</v>
      </c>
      <c r="E581" s="1320"/>
      <c r="F581" s="669" t="s">
        <v>850</v>
      </c>
      <c r="G581" s="670"/>
      <c r="H581" s="670"/>
      <c r="I581" s="670"/>
      <c r="J581" s="670"/>
      <c r="K581" s="670"/>
      <c r="L581" s="670"/>
      <c r="M581" s="670"/>
      <c r="N581" s="670"/>
      <c r="O581" s="671" t="s">
        <v>1562</v>
      </c>
      <c r="P581" s="720"/>
      <c r="Q581" s="721"/>
      <c r="R581" s="721"/>
      <c r="S581" s="721"/>
      <c r="T581" s="722"/>
      <c r="U581" s="723"/>
      <c r="V581" s="723"/>
      <c r="W581" s="723"/>
      <c r="X581" s="724"/>
    </row>
    <row r="582" spans="1:24" s="711" customFormat="1" ht="17.100000000000001" customHeight="1">
      <c r="A582" s="1316" t="s">
        <v>1563</v>
      </c>
      <c r="B582" s="1317"/>
      <c r="C582" s="1316" t="s">
        <v>1564</v>
      </c>
      <c r="D582" s="1317"/>
      <c r="E582" s="675">
        <v>1.02</v>
      </c>
      <c r="F582" s="676" t="s">
        <v>850</v>
      </c>
      <c r="G582" s="670"/>
      <c r="H582" s="670"/>
      <c r="I582" s="670"/>
      <c r="J582" s="670"/>
      <c r="K582" s="670"/>
      <c r="L582" s="670"/>
      <c r="M582" s="670"/>
      <c r="N582" s="670"/>
      <c r="O582" s="671"/>
      <c r="P582" s="710"/>
    </row>
    <row r="583" spans="1:24" s="711" customFormat="1" ht="17.100000000000001" customHeight="1">
      <c r="A583" s="1316" t="s">
        <v>1537</v>
      </c>
      <c r="B583" s="1317"/>
      <c r="C583" s="1338"/>
      <c r="D583" s="1317"/>
      <c r="E583" s="702">
        <f>T552</f>
        <v>0.26</v>
      </c>
      <c r="F583" s="676" t="s">
        <v>366</v>
      </c>
      <c r="G583" s="670"/>
      <c r="H583" s="670"/>
      <c r="I583" s="670">
        <f>[53]노임단가!$T$16</f>
        <v>273540</v>
      </c>
      <c r="J583" s="670">
        <f>INT(E583*I583)</f>
        <v>71120</v>
      </c>
      <c r="K583" s="670"/>
      <c r="L583" s="670"/>
      <c r="M583" s="670">
        <f t="shared" ref="M583:N585" si="47">G583+I583+K583</f>
        <v>273540</v>
      </c>
      <c r="N583" s="670">
        <f t="shared" si="47"/>
        <v>71120</v>
      </c>
      <c r="O583" s="671"/>
      <c r="P583" s="710" t="s">
        <v>1559</v>
      </c>
      <c r="Q583" s="711" t="s">
        <v>1550</v>
      </c>
    </row>
    <row r="584" spans="1:24" s="711" customFormat="1" ht="17.100000000000001" customHeight="1">
      <c r="A584" s="1316" t="s">
        <v>248</v>
      </c>
      <c r="B584" s="1317"/>
      <c r="C584" s="1338"/>
      <c r="D584" s="1317"/>
      <c r="E584" s="702">
        <f>T553</f>
        <v>0.26</v>
      </c>
      <c r="F584" s="676" t="s">
        <v>366</v>
      </c>
      <c r="G584" s="670"/>
      <c r="H584" s="670"/>
      <c r="I584" s="670">
        <f>[53]노임단가!$T$5</f>
        <v>172068</v>
      </c>
      <c r="J584" s="670">
        <f>INT(E584*I584)</f>
        <v>44737</v>
      </c>
      <c r="K584" s="670"/>
      <c r="L584" s="670"/>
      <c r="M584" s="670">
        <f t="shared" si="47"/>
        <v>172068</v>
      </c>
      <c r="N584" s="670">
        <f t="shared" si="47"/>
        <v>44737</v>
      </c>
      <c r="O584" s="707"/>
      <c r="P584" s="710"/>
      <c r="Q584" s="715" t="s">
        <v>1551</v>
      </c>
      <c r="R584" s="716" t="s">
        <v>1552</v>
      </c>
      <c r="S584" s="716" t="s">
        <v>1425</v>
      </c>
      <c r="T584" s="717" t="s">
        <v>1426</v>
      </c>
    </row>
    <row r="585" spans="1:24" s="711" customFormat="1" ht="17.100000000000001" customHeight="1">
      <c r="A585" s="1322" t="s">
        <v>1565</v>
      </c>
      <c r="B585" s="1323"/>
      <c r="C585" s="1338" t="s">
        <v>1566</v>
      </c>
      <c r="D585" s="1378"/>
      <c r="E585" s="702">
        <v>0.02</v>
      </c>
      <c r="F585" s="676" t="s">
        <v>672</v>
      </c>
      <c r="G585" s="670"/>
      <c r="H585" s="670">
        <f>INT(E585*G585)</f>
        <v>0</v>
      </c>
      <c r="I585" s="670"/>
      <c r="J585" s="670"/>
      <c r="K585" s="670">
        <f>J583+J584</f>
        <v>115857</v>
      </c>
      <c r="L585" s="670">
        <f>INT(E585*K585)</f>
        <v>2317</v>
      </c>
      <c r="M585" s="670">
        <f t="shared" si="47"/>
        <v>115857</v>
      </c>
      <c r="N585" s="670">
        <f t="shared" si="47"/>
        <v>2317</v>
      </c>
      <c r="O585" s="707"/>
      <c r="P585" s="710"/>
      <c r="Q585" s="716">
        <f>55/2</f>
        <v>27.5</v>
      </c>
      <c r="R585" s="716">
        <f>55/2</f>
        <v>27.5</v>
      </c>
      <c r="S585" s="716">
        <v>3</v>
      </c>
      <c r="T585" s="717">
        <f>ROUND(S585/R585,3)</f>
        <v>0.109</v>
      </c>
    </row>
    <row r="586" spans="1:24" s="711" customFormat="1" ht="17.100000000000001" customHeight="1">
      <c r="A586" s="1318" t="s">
        <v>1320</v>
      </c>
      <c r="B586" s="1319"/>
      <c r="C586" s="1371"/>
      <c r="D586" s="1372"/>
      <c r="E586" s="677"/>
      <c r="F586" s="676"/>
      <c r="G586" s="670"/>
      <c r="H586" s="670">
        <f>SUM(H582:H585)</f>
        <v>0</v>
      </c>
      <c r="I586" s="670"/>
      <c r="J586" s="670">
        <f>SUM(J582:J585)</f>
        <v>115857</v>
      </c>
      <c r="K586" s="670"/>
      <c r="L586" s="670"/>
      <c r="M586" s="670"/>
      <c r="N586" s="670">
        <f>SUM(N582:N585)</f>
        <v>118174</v>
      </c>
      <c r="O586" s="671"/>
      <c r="P586" s="714"/>
      <c r="Q586" s="716">
        <f>Q585</f>
        <v>27.5</v>
      </c>
      <c r="R586" s="716">
        <f>R585</f>
        <v>27.5</v>
      </c>
      <c r="S586" s="716">
        <v>1</v>
      </c>
      <c r="T586" s="719">
        <f>ROUND(S586/R586,3)</f>
        <v>3.5999999999999997E-2</v>
      </c>
    </row>
    <row r="587" spans="1:24" s="711" customFormat="1" ht="17.100000000000001" customHeight="1">
      <c r="A587" s="668">
        <f>A581+1</f>
        <v>145</v>
      </c>
      <c r="B587" s="1320" t="s">
        <v>1567</v>
      </c>
      <c r="C587" s="1320"/>
      <c r="D587" s="1397" t="s">
        <v>1568</v>
      </c>
      <c r="E587" s="1320"/>
      <c r="F587" s="669" t="s">
        <v>850</v>
      </c>
      <c r="G587" s="670"/>
      <c r="H587" s="670"/>
      <c r="I587" s="670"/>
      <c r="J587" s="670"/>
      <c r="K587" s="670"/>
      <c r="L587" s="670"/>
      <c r="M587" s="670"/>
      <c r="N587" s="670"/>
      <c r="O587" s="671" t="s">
        <v>1562</v>
      </c>
      <c r="P587" s="714"/>
      <c r="Q587" s="716">
        <f>Q586</f>
        <v>27.5</v>
      </c>
      <c r="R587" s="716">
        <f>R586</f>
        <v>27.5</v>
      </c>
      <c r="S587" s="716">
        <v>8</v>
      </c>
      <c r="T587" s="717">
        <f>ROUND(S587/R587,3)</f>
        <v>0.29099999999999998</v>
      </c>
    </row>
    <row r="588" spans="1:24" s="725" customFormat="1" ht="17.100000000000001" customHeight="1">
      <c r="A588" s="1316" t="s">
        <v>1563</v>
      </c>
      <c r="B588" s="1317"/>
      <c r="C588" s="1316" t="s">
        <v>1564</v>
      </c>
      <c r="D588" s="1317"/>
      <c r="E588" s="675">
        <v>1.02</v>
      </c>
      <c r="F588" s="676" t="s">
        <v>850</v>
      </c>
      <c r="G588" s="670"/>
      <c r="H588" s="670"/>
      <c r="I588" s="670"/>
      <c r="J588" s="670"/>
      <c r="K588" s="670"/>
      <c r="L588" s="670"/>
      <c r="M588" s="670"/>
      <c r="N588" s="670"/>
      <c r="O588" s="671"/>
      <c r="P588" s="720"/>
      <c r="Q588" s="721"/>
      <c r="R588" s="721"/>
      <c r="S588" s="721"/>
      <c r="T588" s="722"/>
      <c r="U588" s="723"/>
      <c r="V588" s="723"/>
      <c r="W588" s="723"/>
      <c r="X588" s="724"/>
    </row>
    <row r="589" spans="1:24" s="711" customFormat="1" ht="17.100000000000001" customHeight="1">
      <c r="A589" s="1316" t="s">
        <v>1537</v>
      </c>
      <c r="B589" s="1317"/>
      <c r="C589" s="1338"/>
      <c r="D589" s="1317"/>
      <c r="E589" s="702">
        <f>T558</f>
        <v>0.3</v>
      </c>
      <c r="F589" s="676" t="s">
        <v>366</v>
      </c>
      <c r="G589" s="670"/>
      <c r="H589" s="670"/>
      <c r="I589" s="670">
        <f>[53]노임단가!$T$16</f>
        <v>273540</v>
      </c>
      <c r="J589" s="670">
        <f>INT(E589*I589)</f>
        <v>82062</v>
      </c>
      <c r="K589" s="670"/>
      <c r="L589" s="670"/>
      <c r="M589" s="670">
        <f t="shared" ref="M589:N591" si="48">G589+I589+K589</f>
        <v>273540</v>
      </c>
      <c r="N589" s="670">
        <f t="shared" si="48"/>
        <v>82062</v>
      </c>
      <c r="O589" s="671"/>
      <c r="P589" s="710"/>
    </row>
    <row r="590" spans="1:24" s="665" customFormat="1" ht="17.100000000000001" customHeight="1">
      <c r="A590" s="1316" t="s">
        <v>248</v>
      </c>
      <c r="B590" s="1317"/>
      <c r="C590" s="1338"/>
      <c r="D590" s="1317"/>
      <c r="E590" s="702">
        <f>T559</f>
        <v>0.3</v>
      </c>
      <c r="F590" s="676" t="s">
        <v>366</v>
      </c>
      <c r="G590" s="670"/>
      <c r="H590" s="670"/>
      <c r="I590" s="670">
        <f>[53]노임단가!$T$5</f>
        <v>172068</v>
      </c>
      <c r="J590" s="670">
        <f>INT(E590*I590)</f>
        <v>51620</v>
      </c>
      <c r="K590" s="670"/>
      <c r="L590" s="670"/>
      <c r="M590" s="670">
        <f t="shared" si="48"/>
        <v>172068</v>
      </c>
      <c r="N590" s="670">
        <f t="shared" si="48"/>
        <v>51620</v>
      </c>
      <c r="O590" s="707"/>
      <c r="P590" s="672" t="s">
        <v>1422</v>
      </c>
      <c r="Q590" s="687"/>
      <c r="R590" s="688"/>
      <c r="S590" s="688"/>
      <c r="T590" s="688"/>
      <c r="U590" s="688"/>
      <c r="V590" s="688"/>
      <c r="W590" s="688"/>
      <c r="X590" s="688"/>
    </row>
    <row r="591" spans="1:24" s="665" customFormat="1" ht="17.100000000000001" customHeight="1">
      <c r="A591" s="1322" t="s">
        <v>1565</v>
      </c>
      <c r="B591" s="1323"/>
      <c r="C591" s="1338" t="s">
        <v>1566</v>
      </c>
      <c r="D591" s="1378"/>
      <c r="E591" s="702">
        <v>0.02</v>
      </c>
      <c r="F591" s="676" t="s">
        <v>672</v>
      </c>
      <c r="G591" s="670"/>
      <c r="H591" s="670">
        <f>INT(E591*G591)</f>
        <v>0</v>
      </c>
      <c r="I591" s="670"/>
      <c r="J591" s="670"/>
      <c r="K591" s="670">
        <f>J589+J590</f>
        <v>133682</v>
      </c>
      <c r="L591" s="670">
        <f>INT(E591*K591)</f>
        <v>2673</v>
      </c>
      <c r="M591" s="670">
        <f t="shared" si="48"/>
        <v>133682</v>
      </c>
      <c r="N591" s="670">
        <f t="shared" si="48"/>
        <v>2673</v>
      </c>
      <c r="O591" s="707"/>
      <c r="P591" s="672" t="s">
        <v>1569</v>
      </c>
      <c r="Q591" s="688"/>
      <c r="R591" s="688"/>
      <c r="S591" s="688"/>
      <c r="T591" s="690"/>
      <c r="U591" s="688"/>
      <c r="V591" s="688"/>
      <c r="W591" s="688"/>
      <c r="X591" s="688"/>
    </row>
    <row r="592" spans="1:24" s="665" customFormat="1" ht="17.100000000000001" customHeight="1">
      <c r="A592" s="1318" t="s">
        <v>1320</v>
      </c>
      <c r="B592" s="1319"/>
      <c r="C592" s="1371"/>
      <c r="D592" s="1372"/>
      <c r="E592" s="677"/>
      <c r="F592" s="676"/>
      <c r="G592" s="670"/>
      <c r="H592" s="670">
        <f>SUM(H588:H591)</f>
        <v>0</v>
      </c>
      <c r="I592" s="670"/>
      <c r="J592" s="670">
        <f>SUM(J588:J591)</f>
        <v>133682</v>
      </c>
      <c r="K592" s="670"/>
      <c r="L592" s="670"/>
      <c r="M592" s="670"/>
      <c r="N592" s="670">
        <f>SUM(N588:N591)</f>
        <v>136355</v>
      </c>
      <c r="O592" s="671"/>
      <c r="P592" s="672"/>
      <c r="Q592" s="688"/>
      <c r="R592" s="688"/>
      <c r="S592" s="688"/>
      <c r="T592" s="690"/>
      <c r="U592" s="688"/>
      <c r="V592" s="688"/>
      <c r="W592" s="688"/>
      <c r="X592" s="688"/>
    </row>
    <row r="593" spans="1:24" s="665" customFormat="1" ht="17.100000000000001" customHeight="1">
      <c r="A593" s="668">
        <f>A587+1</f>
        <v>146</v>
      </c>
      <c r="B593" s="1320" t="s">
        <v>1560</v>
      </c>
      <c r="C593" s="1320"/>
      <c r="D593" s="1397" t="s">
        <v>1570</v>
      </c>
      <c r="E593" s="1320"/>
      <c r="F593" s="669" t="s">
        <v>850</v>
      </c>
      <c r="G593" s="670"/>
      <c r="H593" s="670"/>
      <c r="I593" s="670"/>
      <c r="J593" s="670"/>
      <c r="K593" s="670"/>
      <c r="L593" s="670"/>
      <c r="M593" s="670"/>
      <c r="N593" s="670"/>
      <c r="O593" s="671" t="s">
        <v>1562</v>
      </c>
      <c r="P593" s="672"/>
      <c r="Q593" s="688"/>
      <c r="R593" s="688"/>
      <c r="S593" s="688"/>
      <c r="T593" s="690"/>
      <c r="U593" s="688"/>
      <c r="V593" s="688"/>
      <c r="W593" s="688"/>
      <c r="X593" s="690"/>
    </row>
    <row r="594" spans="1:24" s="665" customFormat="1" ht="17.100000000000001" customHeight="1">
      <c r="A594" s="1316" t="s">
        <v>1563</v>
      </c>
      <c r="B594" s="1317"/>
      <c r="C594" s="1316" t="s">
        <v>1564</v>
      </c>
      <c r="D594" s="1317"/>
      <c r="E594" s="675">
        <v>1.02</v>
      </c>
      <c r="F594" s="676" t="s">
        <v>850</v>
      </c>
      <c r="G594" s="670"/>
      <c r="H594" s="670"/>
      <c r="I594" s="670"/>
      <c r="J594" s="670"/>
      <c r="K594" s="670"/>
      <c r="L594" s="670"/>
      <c r="M594" s="670"/>
      <c r="N594" s="670"/>
      <c r="O594" s="671"/>
      <c r="P594" s="672"/>
      <c r="S594" s="672"/>
      <c r="T594" s="688"/>
      <c r="U594" s="688"/>
      <c r="V594" s="688"/>
      <c r="W594" s="688"/>
      <c r="X594" s="690"/>
    </row>
    <row r="595" spans="1:24" s="665" customFormat="1" ht="17.100000000000001" customHeight="1">
      <c r="A595" s="1316" t="s">
        <v>1537</v>
      </c>
      <c r="B595" s="1317"/>
      <c r="C595" s="1338"/>
      <c r="D595" s="1317"/>
      <c r="E595" s="686">
        <f>T564</f>
        <v>4.8000000000000001E-2</v>
      </c>
      <c r="F595" s="676" t="s">
        <v>366</v>
      </c>
      <c r="G595" s="670"/>
      <c r="H595" s="670"/>
      <c r="I595" s="670">
        <f>[53]노임단가!$T$16</f>
        <v>273540</v>
      </c>
      <c r="J595" s="670">
        <f>INT(E595*I595)</f>
        <v>13129</v>
      </c>
      <c r="K595" s="670"/>
      <c r="L595" s="670"/>
      <c r="M595" s="670">
        <f t="shared" ref="M595:N598" si="49">G595+I595+K595</f>
        <v>273540</v>
      </c>
      <c r="N595" s="670">
        <f t="shared" si="49"/>
        <v>13129</v>
      </c>
      <c r="O595" s="671"/>
      <c r="P595" s="672"/>
      <c r="Q595" s="665" t="s">
        <v>1571</v>
      </c>
      <c r="S595" s="672"/>
      <c r="T595" s="688"/>
      <c r="U595" s="688"/>
      <c r="V595" s="688"/>
      <c r="W595" s="728"/>
      <c r="X595" s="690"/>
    </row>
    <row r="596" spans="1:24" s="665" customFormat="1" ht="17.100000000000001" customHeight="1">
      <c r="A596" s="1316" t="s">
        <v>248</v>
      </c>
      <c r="B596" s="1317"/>
      <c r="C596" s="1338"/>
      <c r="D596" s="1317"/>
      <c r="E596" s="686">
        <f>T565</f>
        <v>1.6E-2</v>
      </c>
      <c r="F596" s="676" t="s">
        <v>366</v>
      </c>
      <c r="G596" s="670"/>
      <c r="H596" s="670"/>
      <c r="I596" s="670">
        <f>[53]노임단가!$T$5</f>
        <v>172068</v>
      </c>
      <c r="J596" s="670">
        <f>INT(E596*I596)</f>
        <v>2753</v>
      </c>
      <c r="K596" s="670"/>
      <c r="L596" s="670"/>
      <c r="M596" s="670">
        <f t="shared" si="49"/>
        <v>172068</v>
      </c>
      <c r="N596" s="670">
        <f t="shared" si="49"/>
        <v>2753</v>
      </c>
      <c r="O596" s="707"/>
      <c r="P596" s="705"/>
    </row>
    <row r="597" spans="1:24" s="665" customFormat="1" ht="17.100000000000001" customHeight="1">
      <c r="A597" s="1316" t="s">
        <v>409</v>
      </c>
      <c r="B597" s="1317"/>
      <c r="C597" s="729" t="s">
        <v>1572</v>
      </c>
      <c r="D597" s="669"/>
      <c r="E597" s="686">
        <f>T566</f>
        <v>0.127</v>
      </c>
      <c r="F597" s="676" t="s">
        <v>418</v>
      </c>
      <c r="G597" s="670" t="e">
        <f>#REF!</f>
        <v>#REF!</v>
      </c>
      <c r="H597" s="670" t="e">
        <f>INT(E597*G597)</f>
        <v>#REF!</v>
      </c>
      <c r="I597" s="670" t="e">
        <f>#REF!</f>
        <v>#REF!</v>
      </c>
      <c r="J597" s="670" t="e">
        <f>INT(E597*I597)</f>
        <v>#REF!</v>
      </c>
      <c r="K597" s="670" t="e">
        <f>#REF!</f>
        <v>#REF!</v>
      </c>
      <c r="L597" s="670" t="e">
        <f>INT(E597*K597)</f>
        <v>#REF!</v>
      </c>
      <c r="M597" s="670" t="e">
        <f t="shared" si="49"/>
        <v>#REF!</v>
      </c>
      <c r="N597" s="670" t="e">
        <f t="shared" si="49"/>
        <v>#REF!</v>
      </c>
      <c r="O597" s="707"/>
      <c r="P597" s="705"/>
    </row>
    <row r="598" spans="1:24" s="665" customFormat="1" ht="17.100000000000001" customHeight="1">
      <c r="A598" s="1322" t="s">
        <v>1565</v>
      </c>
      <c r="B598" s="1323"/>
      <c r="C598" s="1338" t="s">
        <v>1566</v>
      </c>
      <c r="D598" s="1378"/>
      <c r="E598" s="702">
        <v>0.02</v>
      </c>
      <c r="F598" s="676" t="s">
        <v>672</v>
      </c>
      <c r="G598" s="670"/>
      <c r="H598" s="670">
        <f>INT(E598*G598)</f>
        <v>0</v>
      </c>
      <c r="I598" s="670"/>
      <c r="J598" s="670"/>
      <c r="K598" s="670">
        <f>J596+J595</f>
        <v>15882</v>
      </c>
      <c r="L598" s="670">
        <f>INT(E598*K598)</f>
        <v>317</v>
      </c>
      <c r="M598" s="670">
        <f t="shared" si="49"/>
        <v>15882</v>
      </c>
      <c r="N598" s="670">
        <f t="shared" si="49"/>
        <v>317</v>
      </c>
      <c r="O598" s="707"/>
      <c r="P598" s="705"/>
    </row>
    <row r="599" spans="1:24" s="665" customFormat="1" ht="17.100000000000001" customHeight="1">
      <c r="A599" s="1318" t="s">
        <v>1320</v>
      </c>
      <c r="B599" s="1319"/>
      <c r="C599" s="1371"/>
      <c r="D599" s="1372"/>
      <c r="E599" s="677"/>
      <c r="F599" s="676"/>
      <c r="G599" s="670"/>
      <c r="H599" s="670" t="e">
        <f>SUM(H594:H598)</f>
        <v>#REF!</v>
      </c>
      <c r="I599" s="670"/>
      <c r="J599" s="670" t="e">
        <f>SUM(J594:J598)</f>
        <v>#REF!</v>
      </c>
      <c r="K599" s="670"/>
      <c r="L599" s="670" t="e">
        <f>SUM(L594:L598)</f>
        <v>#REF!</v>
      </c>
      <c r="M599" s="670"/>
      <c r="N599" s="670" t="e">
        <f>SUM(N594:N598)</f>
        <v>#REF!</v>
      </c>
      <c r="O599" s="671"/>
      <c r="P599" s="672"/>
    </row>
    <row r="600" spans="1:24" s="665" customFormat="1" ht="17.100000000000001" customHeight="1">
      <c r="A600" s="668">
        <f>A593+1</f>
        <v>147</v>
      </c>
      <c r="B600" s="1320" t="s">
        <v>1567</v>
      </c>
      <c r="C600" s="1320"/>
      <c r="D600" s="1397" t="s">
        <v>1570</v>
      </c>
      <c r="E600" s="1320"/>
      <c r="F600" s="669" t="s">
        <v>850</v>
      </c>
      <c r="G600" s="670"/>
      <c r="H600" s="670"/>
      <c r="I600" s="670"/>
      <c r="J600" s="670"/>
      <c r="K600" s="670"/>
      <c r="L600" s="670"/>
      <c r="M600" s="670"/>
      <c r="N600" s="670"/>
      <c r="O600" s="671" t="s">
        <v>1562</v>
      </c>
      <c r="P600" s="672"/>
    </row>
    <row r="601" spans="1:24" s="665" customFormat="1" ht="17.100000000000001" customHeight="1">
      <c r="A601" s="1316" t="s">
        <v>1563</v>
      </c>
      <c r="B601" s="1317"/>
      <c r="C601" s="1316" t="s">
        <v>1564</v>
      </c>
      <c r="D601" s="1317"/>
      <c r="E601" s="675">
        <v>1.02</v>
      </c>
      <c r="F601" s="676" t="s">
        <v>850</v>
      </c>
      <c r="G601" s="670"/>
      <c r="H601" s="670"/>
      <c r="I601" s="670"/>
      <c r="J601" s="670"/>
      <c r="K601" s="670"/>
      <c r="L601" s="670"/>
      <c r="M601" s="670"/>
      <c r="N601" s="670"/>
      <c r="O601" s="671"/>
      <c r="P601" s="705"/>
    </row>
    <row r="602" spans="1:24" s="665" customFormat="1" ht="17.100000000000001" customHeight="1">
      <c r="A602" s="1316" t="s">
        <v>1537</v>
      </c>
      <c r="B602" s="1317"/>
      <c r="C602" s="1338"/>
      <c r="D602" s="1317"/>
      <c r="E602" s="686">
        <f>T571</f>
        <v>5.5E-2</v>
      </c>
      <c r="F602" s="676" t="s">
        <v>366</v>
      </c>
      <c r="G602" s="670"/>
      <c r="H602" s="670"/>
      <c r="I602" s="670">
        <f>[53]노임단가!$T$16</f>
        <v>273540</v>
      </c>
      <c r="J602" s="670">
        <f>INT(E602*I602)</f>
        <v>15044</v>
      </c>
      <c r="K602" s="670"/>
      <c r="L602" s="670"/>
      <c r="M602" s="670">
        <f t="shared" ref="M602:N605" si="50">G602+I602+K602</f>
        <v>273540</v>
      </c>
      <c r="N602" s="670">
        <f t="shared" si="50"/>
        <v>15044</v>
      </c>
      <c r="O602" s="671"/>
      <c r="P602" s="705"/>
    </row>
    <row r="603" spans="1:24" s="665" customFormat="1" ht="17.100000000000001" customHeight="1">
      <c r="A603" s="1316" t="s">
        <v>248</v>
      </c>
      <c r="B603" s="1317"/>
      <c r="C603" s="1338"/>
      <c r="D603" s="1317"/>
      <c r="E603" s="686">
        <f>T572</f>
        <v>1.7999999999999999E-2</v>
      </c>
      <c r="F603" s="676" t="s">
        <v>366</v>
      </c>
      <c r="G603" s="670"/>
      <c r="H603" s="670"/>
      <c r="I603" s="670">
        <f>[53]노임단가!$T$5</f>
        <v>172068</v>
      </c>
      <c r="J603" s="670">
        <f>INT(E603*I603)</f>
        <v>3097</v>
      </c>
      <c r="K603" s="670"/>
      <c r="L603" s="670"/>
      <c r="M603" s="670">
        <f t="shared" si="50"/>
        <v>172068</v>
      </c>
      <c r="N603" s="670">
        <f t="shared" si="50"/>
        <v>3097</v>
      </c>
      <c r="O603" s="707"/>
      <c r="P603" s="672"/>
    </row>
    <row r="604" spans="1:24" s="665" customFormat="1" ht="17.100000000000001" customHeight="1">
      <c r="A604" s="1316" t="s">
        <v>409</v>
      </c>
      <c r="B604" s="1317"/>
      <c r="C604" s="729" t="s">
        <v>1572</v>
      </c>
      <c r="D604" s="669"/>
      <c r="E604" s="686">
        <f>T573</f>
        <v>0.14499999999999999</v>
      </c>
      <c r="F604" s="676" t="s">
        <v>418</v>
      </c>
      <c r="G604" s="670" t="e">
        <f>#REF!</f>
        <v>#REF!</v>
      </c>
      <c r="H604" s="670" t="e">
        <f>INT(E604*G604)</f>
        <v>#REF!</v>
      </c>
      <c r="I604" s="670" t="e">
        <f>#REF!</f>
        <v>#REF!</v>
      </c>
      <c r="J604" s="670" t="e">
        <f>INT(E604*I604)</f>
        <v>#REF!</v>
      </c>
      <c r="K604" s="670" t="e">
        <f>#REF!</f>
        <v>#REF!</v>
      </c>
      <c r="L604" s="670" t="e">
        <f>INT(E604*K604)</f>
        <v>#REF!</v>
      </c>
      <c r="M604" s="670" t="e">
        <f t="shared" si="50"/>
        <v>#REF!</v>
      </c>
      <c r="N604" s="670" t="e">
        <f t="shared" si="50"/>
        <v>#REF!</v>
      </c>
      <c r="O604" s="707"/>
      <c r="P604" s="672"/>
      <c r="Q604" s="665" t="s">
        <v>1573</v>
      </c>
    </row>
    <row r="605" spans="1:24" s="665" customFormat="1" ht="17.100000000000001" customHeight="1">
      <c r="A605" s="1322" t="s">
        <v>1565</v>
      </c>
      <c r="B605" s="1323"/>
      <c r="C605" s="1338" t="s">
        <v>1566</v>
      </c>
      <c r="D605" s="1378"/>
      <c r="E605" s="702">
        <v>0.02</v>
      </c>
      <c r="F605" s="676" t="s">
        <v>672</v>
      </c>
      <c r="G605" s="670"/>
      <c r="H605" s="670">
        <f>INT(E605*G605)</f>
        <v>0</v>
      </c>
      <c r="I605" s="670"/>
      <c r="J605" s="670"/>
      <c r="K605" s="670">
        <f>J603+J602</f>
        <v>18141</v>
      </c>
      <c r="L605" s="670">
        <f>INT(E605*K605)</f>
        <v>362</v>
      </c>
      <c r="M605" s="670">
        <f t="shared" si="50"/>
        <v>18141</v>
      </c>
      <c r="N605" s="670">
        <f t="shared" si="50"/>
        <v>362</v>
      </c>
      <c r="O605" s="707"/>
      <c r="P605" s="705"/>
    </row>
    <row r="606" spans="1:24" s="665" customFormat="1" ht="17.100000000000001" customHeight="1">
      <c r="A606" s="1318" t="s">
        <v>1320</v>
      </c>
      <c r="B606" s="1319"/>
      <c r="C606" s="1371"/>
      <c r="D606" s="1372"/>
      <c r="E606" s="677"/>
      <c r="F606" s="676"/>
      <c r="G606" s="670"/>
      <c r="H606" s="670" t="e">
        <f>SUM(H601:H605)</f>
        <v>#REF!</v>
      </c>
      <c r="I606" s="670"/>
      <c r="J606" s="670" t="e">
        <f>SUM(J601:J605)</f>
        <v>#REF!</v>
      </c>
      <c r="K606" s="670"/>
      <c r="L606" s="670" t="e">
        <f>SUM(L601:L605)</f>
        <v>#REF!</v>
      </c>
      <c r="M606" s="670"/>
      <c r="N606" s="670" t="e">
        <f>SUM(N601:N605)</f>
        <v>#REF!</v>
      </c>
      <c r="O606" s="671"/>
      <c r="P606" s="672"/>
      <c r="T606" s="665" t="s">
        <v>1574</v>
      </c>
    </row>
    <row r="607" spans="1:24" s="665" customFormat="1" ht="17.100000000000001" customHeight="1">
      <c r="A607" s="668">
        <f>A600+1</f>
        <v>148</v>
      </c>
      <c r="B607" s="1320" t="s">
        <v>1560</v>
      </c>
      <c r="C607" s="1320"/>
      <c r="D607" s="1397" t="s">
        <v>1575</v>
      </c>
      <c r="E607" s="1320"/>
      <c r="F607" s="669" t="s">
        <v>850</v>
      </c>
      <c r="G607" s="670"/>
      <c r="H607" s="670"/>
      <c r="I607" s="670"/>
      <c r="J607" s="670"/>
      <c r="K607" s="670"/>
      <c r="L607" s="670"/>
      <c r="M607" s="670"/>
      <c r="N607" s="670"/>
      <c r="O607" s="671" t="s">
        <v>1562</v>
      </c>
      <c r="P607" s="672"/>
      <c r="Q607" s="730" t="s">
        <v>1576</v>
      </c>
      <c r="R607" s="730" t="s">
        <v>1552</v>
      </c>
      <c r="S607" s="730" t="s">
        <v>371</v>
      </c>
      <c r="T607" s="730" t="s">
        <v>1577</v>
      </c>
      <c r="U607" s="730"/>
      <c r="V607" s="730"/>
      <c r="W607" s="730"/>
    </row>
    <row r="608" spans="1:24" s="665" customFormat="1" ht="17.100000000000001" customHeight="1">
      <c r="A608" s="1316" t="s">
        <v>1563</v>
      </c>
      <c r="B608" s="1317"/>
      <c r="C608" s="1316" t="s">
        <v>1564</v>
      </c>
      <c r="D608" s="1317"/>
      <c r="E608" s="675">
        <v>1.02</v>
      </c>
      <c r="F608" s="676" t="s">
        <v>850</v>
      </c>
      <c r="G608" s="670"/>
      <c r="H608" s="670"/>
      <c r="I608" s="670"/>
      <c r="J608" s="670"/>
      <c r="K608" s="670"/>
      <c r="L608" s="670"/>
      <c r="M608" s="670"/>
      <c r="N608" s="670"/>
      <c r="O608" s="671"/>
      <c r="P608" s="672"/>
      <c r="Q608" s="730" t="s">
        <v>1578</v>
      </c>
      <c r="R608" s="730">
        <f>ROUND(S608/T608,2)</f>
        <v>0.67</v>
      </c>
      <c r="S608" s="730">
        <v>3</v>
      </c>
      <c r="T608" s="1400">
        <v>4.5</v>
      </c>
      <c r="U608" s="1400"/>
      <c r="V608" s="730"/>
      <c r="W608" s="1400"/>
    </row>
    <row r="609" spans="1:23" s="665" customFormat="1" ht="17.100000000000001" customHeight="1">
      <c r="A609" s="1316" t="s">
        <v>1537</v>
      </c>
      <c r="B609" s="1317"/>
      <c r="C609" s="1338"/>
      <c r="D609" s="1317"/>
      <c r="E609" s="686">
        <f>T578</f>
        <v>9.5000000000000001E-2</v>
      </c>
      <c r="F609" s="676" t="s">
        <v>366</v>
      </c>
      <c r="G609" s="670"/>
      <c r="H609" s="670"/>
      <c r="I609" s="670">
        <f>[53]노임단가!$T$16</f>
        <v>273540</v>
      </c>
      <c r="J609" s="670">
        <f>INT(E609*I609)</f>
        <v>25986</v>
      </c>
      <c r="K609" s="670"/>
      <c r="L609" s="670"/>
      <c r="M609" s="670">
        <f t="shared" ref="M609:N612" si="51">G609+I609+K609</f>
        <v>273540</v>
      </c>
      <c r="N609" s="670">
        <f t="shared" si="51"/>
        <v>25986</v>
      </c>
      <c r="O609" s="671"/>
      <c r="P609" s="672"/>
      <c r="Q609" s="730" t="s">
        <v>248</v>
      </c>
      <c r="R609" s="730">
        <f>ROUND(S609/T608,2)</f>
        <v>0.22</v>
      </c>
      <c r="S609" s="730">
        <v>1</v>
      </c>
      <c r="T609" s="1400"/>
      <c r="U609" s="1400"/>
      <c r="V609" s="730"/>
      <c r="W609" s="1400"/>
    </row>
    <row r="610" spans="1:23" s="665" customFormat="1" ht="17.100000000000001" customHeight="1">
      <c r="A610" s="1316" t="s">
        <v>248</v>
      </c>
      <c r="B610" s="1317"/>
      <c r="C610" s="1338"/>
      <c r="D610" s="1317"/>
      <c r="E610" s="686">
        <f>T579</f>
        <v>3.2000000000000001E-2</v>
      </c>
      <c r="F610" s="676" t="s">
        <v>366</v>
      </c>
      <c r="G610" s="670"/>
      <c r="H610" s="670"/>
      <c r="I610" s="670">
        <f>[53]노임단가!$T$5</f>
        <v>172068</v>
      </c>
      <c r="J610" s="670">
        <f>INT(E610*I610)</f>
        <v>5506</v>
      </c>
      <c r="K610" s="670"/>
      <c r="L610" s="670"/>
      <c r="M610" s="670">
        <f t="shared" si="51"/>
        <v>172068</v>
      </c>
      <c r="N610" s="670">
        <f t="shared" si="51"/>
        <v>5506</v>
      </c>
      <c r="O610" s="707"/>
      <c r="P610" s="672"/>
      <c r="Q610" s="730" t="s">
        <v>1576</v>
      </c>
      <c r="R610" s="730" t="s">
        <v>1552</v>
      </c>
      <c r="S610" s="730" t="s">
        <v>371</v>
      </c>
      <c r="T610" s="730" t="s">
        <v>1579</v>
      </c>
    </row>
    <row r="611" spans="1:23" s="665" customFormat="1" ht="17.100000000000001" customHeight="1">
      <c r="A611" s="1316" t="s">
        <v>409</v>
      </c>
      <c r="B611" s="1317"/>
      <c r="C611" s="729" t="s">
        <v>1572</v>
      </c>
      <c r="D611" s="669"/>
      <c r="E611" s="686">
        <f>T580</f>
        <v>0.254</v>
      </c>
      <c r="F611" s="676" t="s">
        <v>418</v>
      </c>
      <c r="G611" s="670" t="e">
        <f>#REF!</f>
        <v>#REF!</v>
      </c>
      <c r="H611" s="670" t="e">
        <f>INT(E611*G611)</f>
        <v>#REF!</v>
      </c>
      <c r="I611" s="670" t="e">
        <f>#REF!</f>
        <v>#REF!</v>
      </c>
      <c r="J611" s="670" t="e">
        <f>INT(E611*I611)</f>
        <v>#REF!</v>
      </c>
      <c r="K611" s="670" t="e">
        <f>#REF!</f>
        <v>#REF!</v>
      </c>
      <c r="L611" s="670" t="e">
        <f>INT(E611*K611)</f>
        <v>#REF!</v>
      </c>
      <c r="M611" s="670" t="e">
        <f t="shared" si="51"/>
        <v>#REF!</v>
      </c>
      <c r="N611" s="670" t="e">
        <f t="shared" si="51"/>
        <v>#REF!</v>
      </c>
      <c r="O611" s="707"/>
      <c r="P611" s="672"/>
      <c r="Q611" s="730" t="s">
        <v>1578</v>
      </c>
      <c r="R611" s="730">
        <f>ROUND(S611/T611,2)</f>
        <v>1.76</v>
      </c>
      <c r="S611" s="730">
        <v>6</v>
      </c>
      <c r="T611" s="1401">
        <v>3.4</v>
      </c>
    </row>
    <row r="612" spans="1:23" s="665" customFormat="1" ht="17.100000000000001" customHeight="1">
      <c r="A612" s="1322" t="s">
        <v>1565</v>
      </c>
      <c r="B612" s="1323"/>
      <c r="C612" s="1338" t="s">
        <v>1566</v>
      </c>
      <c r="D612" s="1378"/>
      <c r="E612" s="702">
        <v>0.02</v>
      </c>
      <c r="F612" s="676" t="s">
        <v>672</v>
      </c>
      <c r="G612" s="670"/>
      <c r="H612" s="670">
        <f>INT(E612*G612)</f>
        <v>0</v>
      </c>
      <c r="I612" s="670"/>
      <c r="J612" s="670"/>
      <c r="K612" s="670">
        <f>J610+J609</f>
        <v>31492</v>
      </c>
      <c r="L612" s="670">
        <f>INT(E612*K612)</f>
        <v>629</v>
      </c>
      <c r="M612" s="670">
        <f t="shared" si="51"/>
        <v>31492</v>
      </c>
      <c r="N612" s="670">
        <f t="shared" si="51"/>
        <v>629</v>
      </c>
      <c r="O612" s="707"/>
      <c r="P612" s="672"/>
      <c r="Q612" s="730" t="s">
        <v>248</v>
      </c>
      <c r="R612" s="730">
        <f>ROUND(S612/T611,2)</f>
        <v>0.59</v>
      </c>
      <c r="S612" s="730">
        <v>2</v>
      </c>
      <c r="T612" s="1401"/>
    </row>
    <row r="613" spans="1:23" s="665" customFormat="1" ht="17.100000000000001" customHeight="1">
      <c r="A613" s="1318" t="s">
        <v>1320</v>
      </c>
      <c r="B613" s="1319"/>
      <c r="C613" s="1371"/>
      <c r="D613" s="1372"/>
      <c r="E613" s="677"/>
      <c r="F613" s="676"/>
      <c r="G613" s="670"/>
      <c r="H613" s="670" t="e">
        <f>SUM(H608:H612)</f>
        <v>#REF!</v>
      </c>
      <c r="I613" s="670"/>
      <c r="J613" s="670" t="e">
        <f>SUM(J608:J612)</f>
        <v>#REF!</v>
      </c>
      <c r="K613" s="670"/>
      <c r="L613" s="670" t="e">
        <f>SUM(L608:L612)</f>
        <v>#REF!</v>
      </c>
      <c r="M613" s="670"/>
      <c r="N613" s="670" t="e">
        <f>SUM(N608:N612)</f>
        <v>#REF!</v>
      </c>
      <c r="O613" s="671"/>
      <c r="P613" s="672"/>
    </row>
    <row r="614" spans="1:23" s="665" customFormat="1" ht="17.100000000000001" customHeight="1">
      <c r="A614" s="668">
        <f>A607+1</f>
        <v>149</v>
      </c>
      <c r="B614" s="1320" t="s">
        <v>1567</v>
      </c>
      <c r="C614" s="1320"/>
      <c r="D614" s="1397" t="s">
        <v>1575</v>
      </c>
      <c r="E614" s="1320"/>
      <c r="F614" s="669" t="s">
        <v>850</v>
      </c>
      <c r="G614" s="670"/>
      <c r="H614" s="670"/>
      <c r="I614" s="670"/>
      <c r="J614" s="670"/>
      <c r="K614" s="670"/>
      <c r="L614" s="670"/>
      <c r="M614" s="670"/>
      <c r="N614" s="670"/>
      <c r="O614" s="671" t="s">
        <v>1562</v>
      </c>
      <c r="P614" s="672"/>
    </row>
    <row r="615" spans="1:23" s="665" customFormat="1" ht="17.100000000000001" customHeight="1">
      <c r="A615" s="1316" t="s">
        <v>1563</v>
      </c>
      <c r="B615" s="1317"/>
      <c r="C615" s="1316" t="s">
        <v>1564</v>
      </c>
      <c r="D615" s="1317"/>
      <c r="E615" s="675">
        <v>1.02</v>
      </c>
      <c r="F615" s="676" t="s">
        <v>850</v>
      </c>
      <c r="G615" s="670"/>
      <c r="H615" s="670"/>
      <c r="I615" s="670"/>
      <c r="J615" s="670"/>
      <c r="K615" s="670"/>
      <c r="L615" s="670"/>
      <c r="M615" s="670"/>
      <c r="N615" s="670"/>
      <c r="O615" s="671"/>
      <c r="P615" s="672"/>
      <c r="Q615" s="665" t="s">
        <v>1573</v>
      </c>
    </row>
    <row r="616" spans="1:23" s="665" customFormat="1" ht="17.100000000000001" customHeight="1">
      <c r="A616" s="1316" t="s">
        <v>1537</v>
      </c>
      <c r="B616" s="1317"/>
      <c r="C616" s="1338"/>
      <c r="D616" s="1317"/>
      <c r="E616" s="686">
        <f>T585</f>
        <v>0.109</v>
      </c>
      <c r="F616" s="676" t="s">
        <v>366</v>
      </c>
      <c r="G616" s="670"/>
      <c r="H616" s="670"/>
      <c r="I616" s="670">
        <f>[53]노임단가!$T$16</f>
        <v>273540</v>
      </c>
      <c r="J616" s="670">
        <f>INT(E616*I616)</f>
        <v>29815</v>
      </c>
      <c r="K616" s="670"/>
      <c r="L616" s="670"/>
      <c r="M616" s="670">
        <f t="shared" ref="M616:N619" si="52">G616+I616+K616</f>
        <v>273540</v>
      </c>
      <c r="N616" s="670">
        <f t="shared" si="52"/>
        <v>29815</v>
      </c>
      <c r="O616" s="671"/>
      <c r="P616" s="705"/>
    </row>
    <row r="617" spans="1:23" s="665" customFormat="1" ht="17.100000000000001" customHeight="1">
      <c r="A617" s="1316" t="s">
        <v>248</v>
      </c>
      <c r="B617" s="1317"/>
      <c r="C617" s="1338"/>
      <c r="D617" s="1317"/>
      <c r="E617" s="686">
        <f>T586</f>
        <v>3.5999999999999997E-2</v>
      </c>
      <c r="F617" s="676" t="s">
        <v>366</v>
      </c>
      <c r="G617" s="670"/>
      <c r="H617" s="670"/>
      <c r="I617" s="670">
        <f>[53]노임단가!$T$5</f>
        <v>172068</v>
      </c>
      <c r="J617" s="670">
        <f>INT(E617*I617)</f>
        <v>6194</v>
      </c>
      <c r="K617" s="670"/>
      <c r="L617" s="670"/>
      <c r="M617" s="670">
        <f t="shared" si="52"/>
        <v>172068</v>
      </c>
      <c r="N617" s="670">
        <f t="shared" si="52"/>
        <v>6194</v>
      </c>
      <c r="O617" s="707"/>
      <c r="P617" s="672"/>
      <c r="T617" s="665" t="s">
        <v>1574</v>
      </c>
    </row>
    <row r="618" spans="1:23" s="665" customFormat="1" ht="17.100000000000001" customHeight="1">
      <c r="A618" s="1316" t="s">
        <v>409</v>
      </c>
      <c r="B618" s="1317"/>
      <c r="C618" s="729" t="s">
        <v>1572</v>
      </c>
      <c r="D618" s="669"/>
      <c r="E618" s="686">
        <f>T587</f>
        <v>0.29099999999999998</v>
      </c>
      <c r="F618" s="676" t="s">
        <v>418</v>
      </c>
      <c r="G618" s="670" t="e">
        <f>#REF!</f>
        <v>#REF!</v>
      </c>
      <c r="H618" s="670" t="e">
        <f>INT(E618*G618)</f>
        <v>#REF!</v>
      </c>
      <c r="I618" s="670" t="e">
        <f>#REF!</f>
        <v>#REF!</v>
      </c>
      <c r="J618" s="670" t="e">
        <f>INT(E618*I618)</f>
        <v>#REF!</v>
      </c>
      <c r="K618" s="670" t="e">
        <f>#REF!</f>
        <v>#REF!</v>
      </c>
      <c r="L618" s="670" t="e">
        <f>INT(E618*K618)</f>
        <v>#REF!</v>
      </c>
      <c r="M618" s="670" t="e">
        <f t="shared" si="52"/>
        <v>#REF!</v>
      </c>
      <c r="N618" s="670" t="e">
        <f t="shared" si="52"/>
        <v>#REF!</v>
      </c>
      <c r="O618" s="707"/>
      <c r="P618" s="672"/>
      <c r="Q618" s="730" t="s">
        <v>1576</v>
      </c>
      <c r="R618" s="730" t="s">
        <v>1552</v>
      </c>
      <c r="S618" s="730" t="s">
        <v>371</v>
      </c>
      <c r="T618" s="730" t="s">
        <v>1577</v>
      </c>
      <c r="U618" s="730"/>
      <c r="V618" s="730"/>
      <c r="W618" s="730"/>
    </row>
    <row r="619" spans="1:23" s="665" customFormat="1" ht="17.100000000000001" customHeight="1">
      <c r="A619" s="1322" t="s">
        <v>1565</v>
      </c>
      <c r="B619" s="1323"/>
      <c r="C619" s="1338" t="s">
        <v>1566</v>
      </c>
      <c r="D619" s="1378"/>
      <c r="E619" s="702">
        <v>0.02</v>
      </c>
      <c r="F619" s="676" t="s">
        <v>672</v>
      </c>
      <c r="G619" s="670"/>
      <c r="H619" s="670">
        <f>INT(E619*G619)</f>
        <v>0</v>
      </c>
      <c r="I619" s="670"/>
      <c r="J619" s="670"/>
      <c r="K619" s="670">
        <f>J617+J616</f>
        <v>36009</v>
      </c>
      <c r="L619" s="670">
        <f>INT(E619*K619)</f>
        <v>720</v>
      </c>
      <c r="M619" s="670">
        <f t="shared" si="52"/>
        <v>36009</v>
      </c>
      <c r="N619" s="670">
        <f t="shared" si="52"/>
        <v>720</v>
      </c>
      <c r="O619" s="707"/>
      <c r="P619" s="672"/>
      <c r="Q619" s="730" t="s">
        <v>1578</v>
      </c>
      <c r="R619" s="730">
        <f>ROUND(S619/T619,2)</f>
        <v>0.67</v>
      </c>
      <c r="S619" s="730">
        <v>3</v>
      </c>
      <c r="T619" s="1400">
        <v>4.5</v>
      </c>
      <c r="U619" s="1400"/>
      <c r="V619" s="730"/>
      <c r="W619" s="1400"/>
    </row>
    <row r="620" spans="1:23" s="665" customFormat="1" ht="17.100000000000001" customHeight="1">
      <c r="A620" s="1318" t="s">
        <v>1320</v>
      </c>
      <c r="B620" s="1319"/>
      <c r="C620" s="1371"/>
      <c r="D620" s="1372"/>
      <c r="E620" s="677"/>
      <c r="F620" s="676"/>
      <c r="G620" s="670"/>
      <c r="H620" s="670" t="e">
        <f>SUM(H615:H619)</f>
        <v>#REF!</v>
      </c>
      <c r="I620" s="670"/>
      <c r="J620" s="670" t="e">
        <f>SUM(J615:J619)</f>
        <v>#REF!</v>
      </c>
      <c r="K620" s="670"/>
      <c r="L620" s="670" t="e">
        <f>SUM(L615:L619)</f>
        <v>#REF!</v>
      </c>
      <c r="M620" s="670"/>
      <c r="N620" s="670" t="e">
        <f>SUM(N615:N619)</f>
        <v>#REF!</v>
      </c>
      <c r="O620" s="671"/>
      <c r="P620" s="672"/>
      <c r="Q620" s="730" t="s">
        <v>248</v>
      </c>
      <c r="R620" s="730">
        <f>ROUND(S620/T619,2)</f>
        <v>0.22</v>
      </c>
      <c r="S620" s="730">
        <v>1</v>
      </c>
      <c r="T620" s="1400"/>
      <c r="U620" s="1400"/>
      <c r="V620" s="730"/>
      <c r="W620" s="1400"/>
    </row>
    <row r="621" spans="1:23" s="665" customFormat="1" ht="17.100000000000001" customHeight="1">
      <c r="A621" s="668">
        <f>A614+1</f>
        <v>150</v>
      </c>
      <c r="B621" s="1320" t="s">
        <v>1580</v>
      </c>
      <c r="C621" s="1320"/>
      <c r="D621" s="1397" t="s">
        <v>1581</v>
      </c>
      <c r="E621" s="1320"/>
      <c r="F621" s="669" t="s">
        <v>645</v>
      </c>
      <c r="G621" s="670"/>
      <c r="H621" s="670"/>
      <c r="I621" s="670"/>
      <c r="J621" s="670"/>
      <c r="K621" s="670"/>
      <c r="L621" s="670"/>
      <c r="M621" s="670"/>
      <c r="N621" s="670"/>
      <c r="O621" s="671"/>
      <c r="P621" s="672"/>
      <c r="Q621" s="730" t="s">
        <v>1576</v>
      </c>
      <c r="R621" s="730" t="s">
        <v>1552</v>
      </c>
      <c r="S621" s="730" t="s">
        <v>371</v>
      </c>
      <c r="T621" s="730" t="s">
        <v>1582</v>
      </c>
    </row>
    <row r="622" spans="1:23" s="665" customFormat="1" ht="17.100000000000001" customHeight="1">
      <c r="A622" s="1316" t="s">
        <v>628</v>
      </c>
      <c r="B622" s="1317"/>
      <c r="C622" s="1338"/>
      <c r="D622" s="1317"/>
      <c r="E622" s="702">
        <v>0.12</v>
      </c>
      <c r="F622" s="676" t="s">
        <v>366</v>
      </c>
      <c r="G622" s="670"/>
      <c r="H622" s="670"/>
      <c r="I622" s="670">
        <f>[53]노임단가!$T$6</f>
        <v>226122</v>
      </c>
      <c r="J622" s="670">
        <f>INT(E622*I622)</f>
        <v>27134</v>
      </c>
      <c r="K622" s="670"/>
      <c r="L622" s="670"/>
      <c r="M622" s="670">
        <f t="shared" ref="M622:N624" si="53">G622+I622+K622</f>
        <v>226122</v>
      </c>
      <c r="N622" s="670">
        <f t="shared" si="53"/>
        <v>27134</v>
      </c>
      <c r="O622" s="707"/>
      <c r="P622" s="672"/>
      <c r="Q622" s="730" t="s">
        <v>1578</v>
      </c>
      <c r="R622" s="730">
        <f>ROUND(S622/T622,2)</f>
        <v>1.82</v>
      </c>
      <c r="S622" s="730">
        <v>4</v>
      </c>
      <c r="T622" s="1400">
        <v>2.2000000000000002</v>
      </c>
    </row>
    <row r="623" spans="1:23" s="665" customFormat="1" ht="17.100000000000001" customHeight="1">
      <c r="A623" s="1316" t="s">
        <v>248</v>
      </c>
      <c r="B623" s="1317"/>
      <c r="C623" s="1338"/>
      <c r="D623" s="1317"/>
      <c r="E623" s="702">
        <v>0.02</v>
      </c>
      <c r="F623" s="676" t="s">
        <v>366</v>
      </c>
      <c r="G623" s="670"/>
      <c r="H623" s="670"/>
      <c r="I623" s="670">
        <f>[53]노임단가!$T$5</f>
        <v>172068</v>
      </c>
      <c r="J623" s="670">
        <f>INT(E623*I623)</f>
        <v>3441</v>
      </c>
      <c r="K623" s="670"/>
      <c r="L623" s="670"/>
      <c r="M623" s="670">
        <f t="shared" si="53"/>
        <v>172068</v>
      </c>
      <c r="N623" s="670">
        <f t="shared" si="53"/>
        <v>3441</v>
      </c>
      <c r="O623" s="707"/>
      <c r="P623" s="672"/>
      <c r="Q623" s="730" t="s">
        <v>248</v>
      </c>
      <c r="R623" s="730">
        <f>ROUND(S623/T622,2)</f>
        <v>0.45</v>
      </c>
      <c r="S623" s="730">
        <v>1</v>
      </c>
      <c r="T623" s="1400"/>
    </row>
    <row r="624" spans="1:23" s="665" customFormat="1" ht="17.100000000000001" customHeight="1">
      <c r="A624" s="1316" t="s">
        <v>1485</v>
      </c>
      <c r="B624" s="1317"/>
      <c r="C624" s="1338" t="s">
        <v>1583</v>
      </c>
      <c r="D624" s="1317"/>
      <c r="E624" s="702">
        <v>0.08</v>
      </c>
      <c r="F624" s="676" t="s">
        <v>672</v>
      </c>
      <c r="G624" s="670"/>
      <c r="H624" s="670">
        <f>INT(E624*G624)</f>
        <v>0</v>
      </c>
      <c r="I624" s="670"/>
      <c r="J624" s="670"/>
      <c r="K624" s="670">
        <f>J622+J623</f>
        <v>30575</v>
      </c>
      <c r="L624" s="670">
        <f>INT(E624*K624)</f>
        <v>2446</v>
      </c>
      <c r="M624" s="670">
        <f t="shared" si="53"/>
        <v>30575</v>
      </c>
      <c r="N624" s="670">
        <f t="shared" si="53"/>
        <v>2446</v>
      </c>
      <c r="O624" s="707"/>
      <c r="P624" s="672"/>
    </row>
    <row r="625" spans="1:20" s="665" customFormat="1" ht="17.100000000000001" customHeight="1">
      <c r="A625" s="1318" t="s">
        <v>1320</v>
      </c>
      <c r="B625" s="1319"/>
      <c r="C625" s="1371"/>
      <c r="D625" s="1372"/>
      <c r="E625" s="677"/>
      <c r="F625" s="676"/>
      <c r="G625" s="670"/>
      <c r="H625" s="670">
        <f>SUM(H622:H624)</f>
        <v>0</v>
      </c>
      <c r="I625" s="670"/>
      <c r="J625" s="670">
        <f>SUM(J622:J624)</f>
        <v>30575</v>
      </c>
      <c r="K625" s="670"/>
      <c r="L625" s="670"/>
      <c r="M625" s="670"/>
      <c r="N625" s="670">
        <f>SUM(N622:N624)</f>
        <v>33021</v>
      </c>
      <c r="O625" s="671"/>
      <c r="P625" s="672"/>
    </row>
    <row r="626" spans="1:20" s="665" customFormat="1" ht="17.100000000000001" customHeight="1">
      <c r="A626" s="668">
        <f>A621+1</f>
        <v>151</v>
      </c>
      <c r="B626" s="1320" t="s">
        <v>1584</v>
      </c>
      <c r="C626" s="1320"/>
      <c r="D626" s="1397"/>
      <c r="E626" s="1320"/>
      <c r="F626" s="669" t="s">
        <v>645</v>
      </c>
      <c r="G626" s="670"/>
      <c r="H626" s="670"/>
      <c r="I626" s="670"/>
      <c r="J626" s="670"/>
      <c r="K626" s="670"/>
      <c r="L626" s="670"/>
      <c r="M626" s="670"/>
      <c r="N626" s="670"/>
      <c r="O626" s="671"/>
      <c r="P626" s="672"/>
      <c r="Q626" s="665" t="s">
        <v>1573</v>
      </c>
    </row>
    <row r="627" spans="1:20" s="665" customFormat="1" ht="17.100000000000001" customHeight="1">
      <c r="A627" s="1316" t="s">
        <v>819</v>
      </c>
      <c r="B627" s="1317"/>
      <c r="C627" s="1338" t="s">
        <v>820</v>
      </c>
      <c r="D627" s="1317"/>
      <c r="E627" s="708">
        <v>1.1000000000000001</v>
      </c>
      <c r="F627" s="676" t="s">
        <v>645</v>
      </c>
      <c r="G627" s="670" t="e">
        <f>#REF!</f>
        <v>#REF!</v>
      </c>
      <c r="H627" s="670" t="e">
        <f>INT(E627*G627)</f>
        <v>#REF!</v>
      </c>
      <c r="I627" s="670"/>
      <c r="J627" s="670"/>
      <c r="K627" s="670"/>
      <c r="L627" s="670"/>
      <c r="M627" s="670" t="e">
        <f t="shared" ref="M627:N629" si="54">G627+I627+K627</f>
        <v>#REF!</v>
      </c>
      <c r="N627" s="670" t="e">
        <f t="shared" si="54"/>
        <v>#REF!</v>
      </c>
      <c r="O627" s="707"/>
      <c r="P627" s="705"/>
    </row>
    <row r="628" spans="1:20" s="665" customFormat="1" ht="17.100000000000001" customHeight="1">
      <c r="A628" s="1316" t="s">
        <v>814</v>
      </c>
      <c r="B628" s="1317"/>
      <c r="C628" s="1338" t="s">
        <v>1585</v>
      </c>
      <c r="D628" s="1317"/>
      <c r="E628" s="702">
        <v>0.05</v>
      </c>
      <c r="F628" s="676" t="s">
        <v>835</v>
      </c>
      <c r="G628" s="670" t="e">
        <f>#REF!</f>
        <v>#REF!</v>
      </c>
      <c r="H628" s="670" t="e">
        <f>INT(E628*G628)</f>
        <v>#REF!</v>
      </c>
      <c r="I628" s="670"/>
      <c r="J628" s="670"/>
      <c r="K628" s="670"/>
      <c r="L628" s="670"/>
      <c r="M628" s="670" t="e">
        <f t="shared" si="54"/>
        <v>#REF!</v>
      </c>
      <c r="N628" s="670" t="e">
        <f t="shared" si="54"/>
        <v>#REF!</v>
      </c>
      <c r="O628" s="707"/>
      <c r="P628" s="672"/>
      <c r="T628" s="665" t="s">
        <v>1574</v>
      </c>
    </row>
    <row r="629" spans="1:20" s="665" customFormat="1" ht="17.100000000000001" customHeight="1">
      <c r="A629" s="1316" t="s">
        <v>628</v>
      </c>
      <c r="B629" s="1317"/>
      <c r="C629" s="1338"/>
      <c r="D629" s="1317"/>
      <c r="E629" s="686">
        <v>6.0000000000000001E-3</v>
      </c>
      <c r="F629" s="676" t="s">
        <v>366</v>
      </c>
      <c r="G629" s="670"/>
      <c r="H629" s="670"/>
      <c r="I629" s="670">
        <f>[53]노임단가!$T$6</f>
        <v>226122</v>
      </c>
      <c r="J629" s="670">
        <f>INT(E629*I629)</f>
        <v>1356</v>
      </c>
      <c r="K629" s="670"/>
      <c r="L629" s="670"/>
      <c r="M629" s="670">
        <f t="shared" si="54"/>
        <v>226122</v>
      </c>
      <c r="N629" s="670">
        <f t="shared" si="54"/>
        <v>1356</v>
      </c>
      <c r="O629" s="707"/>
      <c r="P629" s="672"/>
      <c r="Q629" s="730" t="s">
        <v>1576</v>
      </c>
      <c r="R629" s="730" t="s">
        <v>1552</v>
      </c>
      <c r="S629" s="730" t="s">
        <v>371</v>
      </c>
      <c r="T629" s="730" t="s">
        <v>1586</v>
      </c>
    </row>
    <row r="630" spans="1:20" s="665" customFormat="1" ht="17.100000000000001" customHeight="1">
      <c r="A630" s="1318" t="s">
        <v>1320</v>
      </c>
      <c r="B630" s="1319"/>
      <c r="C630" s="1371"/>
      <c r="D630" s="1372"/>
      <c r="E630" s="677"/>
      <c r="F630" s="676"/>
      <c r="G630" s="670"/>
      <c r="H630" s="670" t="e">
        <f>SUM(H627:H629)</f>
        <v>#REF!</v>
      </c>
      <c r="I630" s="670"/>
      <c r="J630" s="670">
        <f>SUM(J627:J629)</f>
        <v>1356</v>
      </c>
      <c r="K630" s="670"/>
      <c r="L630" s="670"/>
      <c r="M630" s="670"/>
      <c r="N630" s="670" t="e">
        <f>SUM(N627:N629)</f>
        <v>#REF!</v>
      </c>
      <c r="O630" s="671"/>
      <c r="P630" s="672"/>
      <c r="Q630" s="730" t="s">
        <v>1578</v>
      </c>
      <c r="R630" s="730">
        <f>ROUND(S630/T630,2)</f>
        <v>0.75</v>
      </c>
      <c r="S630" s="730">
        <v>3</v>
      </c>
      <c r="T630" s="1400">
        <v>4</v>
      </c>
    </row>
    <row r="631" spans="1:20" s="665" customFormat="1" ht="17.100000000000001" customHeight="1">
      <c r="A631" s="668">
        <f>A626+1</f>
        <v>152</v>
      </c>
      <c r="B631" s="1320" t="s">
        <v>1587</v>
      </c>
      <c r="C631" s="1320"/>
      <c r="D631" s="1397"/>
      <c r="E631" s="1320"/>
      <c r="F631" s="669" t="s">
        <v>645</v>
      </c>
      <c r="G631" s="670"/>
      <c r="H631" s="670"/>
      <c r="I631" s="670"/>
      <c r="J631" s="670"/>
      <c r="K631" s="670"/>
      <c r="L631" s="670"/>
      <c r="M631" s="670"/>
      <c r="N631" s="670"/>
      <c r="O631" s="671"/>
      <c r="P631" s="672"/>
      <c r="Q631" s="730" t="s">
        <v>248</v>
      </c>
      <c r="R631" s="730">
        <f>ROUND(S631/T630,2)</f>
        <v>0.25</v>
      </c>
      <c r="S631" s="730">
        <v>1</v>
      </c>
      <c r="T631" s="1400"/>
    </row>
    <row r="632" spans="1:20" s="665" customFormat="1" ht="17.100000000000001" customHeight="1">
      <c r="A632" s="1316" t="s">
        <v>1056</v>
      </c>
      <c r="B632" s="1317"/>
      <c r="C632" s="1338" t="s">
        <v>1588</v>
      </c>
      <c r="D632" s="1317"/>
      <c r="E632" s="708">
        <v>2.1</v>
      </c>
      <c r="F632" s="676" t="s">
        <v>645</v>
      </c>
      <c r="G632" s="670" t="e">
        <f>#REF!</f>
        <v>#REF!</v>
      </c>
      <c r="H632" s="670" t="e">
        <f>INT(E632*G632)</f>
        <v>#REF!</v>
      </c>
      <c r="I632" s="670"/>
      <c r="J632" s="670"/>
      <c r="K632" s="670"/>
      <c r="L632" s="670"/>
      <c r="M632" s="670" t="e">
        <f>G632+I632+K632</f>
        <v>#REF!</v>
      </c>
      <c r="N632" s="670" t="e">
        <f>H632+J632+L632</f>
        <v>#REF!</v>
      </c>
      <c r="O632" s="707"/>
      <c r="P632" s="672"/>
      <c r="Q632" s="730" t="s">
        <v>1576</v>
      </c>
      <c r="R632" s="730" t="s">
        <v>1552</v>
      </c>
      <c r="S632" s="730" t="s">
        <v>371</v>
      </c>
      <c r="T632" s="730" t="s">
        <v>1589</v>
      </c>
    </row>
    <row r="633" spans="1:20" s="665" customFormat="1" ht="17.100000000000001" customHeight="1">
      <c r="A633" s="1316" t="s">
        <v>248</v>
      </c>
      <c r="B633" s="1317"/>
      <c r="C633" s="1338"/>
      <c r="D633" s="1317"/>
      <c r="E633" s="686">
        <v>4.0000000000000001E-3</v>
      </c>
      <c r="F633" s="676" t="s">
        <v>366</v>
      </c>
      <c r="G633" s="670"/>
      <c r="H633" s="670"/>
      <c r="I633" s="670">
        <f>[53]노임단가!$T$5</f>
        <v>172068</v>
      </c>
      <c r="J633" s="670">
        <f>INT(E633*I633)</f>
        <v>688</v>
      </c>
      <c r="K633" s="670"/>
      <c r="L633" s="670"/>
      <c r="M633" s="670">
        <f>G633+I633+K633</f>
        <v>172068</v>
      </c>
      <c r="N633" s="670">
        <f>H633+J633+L633</f>
        <v>688</v>
      </c>
      <c r="O633" s="707"/>
      <c r="P633" s="672"/>
      <c r="Q633" s="730" t="s">
        <v>1578</v>
      </c>
      <c r="R633" s="731">
        <f>ROUND(S633/T633,2)</f>
        <v>1.92</v>
      </c>
      <c r="S633" s="730">
        <v>5</v>
      </c>
      <c r="T633" s="1401">
        <v>2.6</v>
      </c>
    </row>
    <row r="634" spans="1:20" s="665" customFormat="1" ht="17.100000000000001" customHeight="1">
      <c r="A634" s="1318" t="s">
        <v>1320</v>
      </c>
      <c r="B634" s="1319"/>
      <c r="C634" s="1371"/>
      <c r="D634" s="1372"/>
      <c r="E634" s="677"/>
      <c r="F634" s="676"/>
      <c r="G634" s="670"/>
      <c r="H634" s="670" t="e">
        <f>SUM(H632:H633)</f>
        <v>#REF!</v>
      </c>
      <c r="I634" s="670"/>
      <c r="J634" s="670">
        <f>SUM(J632:J633)</f>
        <v>688</v>
      </c>
      <c r="K634" s="670"/>
      <c r="L634" s="670"/>
      <c r="M634" s="670"/>
      <c r="N634" s="670" t="e">
        <f>SUM(N632:N633)</f>
        <v>#REF!</v>
      </c>
      <c r="O634" s="671"/>
      <c r="P634" s="672"/>
      <c r="Q634" s="730" t="s">
        <v>248</v>
      </c>
      <c r="R634" s="730">
        <f>ROUND(S634/T633,2)</f>
        <v>0.77</v>
      </c>
      <c r="S634" s="730">
        <v>2</v>
      </c>
      <c r="T634" s="1401"/>
    </row>
    <row r="635" spans="1:20" s="665" customFormat="1" ht="17.100000000000001" customHeight="1">
      <c r="A635" s="668">
        <f>A631+1</f>
        <v>153</v>
      </c>
      <c r="B635" s="1320" t="s">
        <v>1590</v>
      </c>
      <c r="C635" s="1320"/>
      <c r="D635" s="1397" t="s">
        <v>1591</v>
      </c>
      <c r="E635" s="1320"/>
      <c r="F635" s="669" t="s">
        <v>915</v>
      </c>
      <c r="G635" s="670"/>
      <c r="H635" s="670"/>
      <c r="I635" s="670"/>
      <c r="J635" s="670"/>
      <c r="K635" s="670"/>
      <c r="L635" s="670"/>
      <c r="M635" s="670"/>
      <c r="N635" s="670"/>
      <c r="O635" s="671" t="s">
        <v>1562</v>
      </c>
      <c r="P635" s="672"/>
    </row>
    <row r="636" spans="1:20" s="665" customFormat="1" ht="17.100000000000001" customHeight="1">
      <c r="A636" s="1316" t="s">
        <v>1038</v>
      </c>
      <c r="B636" s="1317"/>
      <c r="C636" s="1316" t="s">
        <v>1592</v>
      </c>
      <c r="D636" s="1317"/>
      <c r="E636" s="675">
        <v>1.03</v>
      </c>
      <c r="F636" s="676" t="s">
        <v>915</v>
      </c>
      <c r="G636" s="670"/>
      <c r="H636" s="670"/>
      <c r="I636" s="670"/>
      <c r="J636" s="670"/>
      <c r="K636" s="670"/>
      <c r="L636" s="670"/>
      <c r="M636" s="670"/>
      <c r="N636" s="670"/>
      <c r="O636" s="707"/>
      <c r="P636" s="672"/>
    </row>
    <row r="637" spans="1:20" s="665" customFormat="1" ht="17.100000000000001" customHeight="1">
      <c r="A637" s="1316" t="s">
        <v>1593</v>
      </c>
      <c r="B637" s="1317"/>
      <c r="C637" s="1338" t="s">
        <v>1594</v>
      </c>
      <c r="D637" s="1317"/>
      <c r="E637" s="675">
        <v>1.03</v>
      </c>
      <c r="F637" s="676" t="s">
        <v>915</v>
      </c>
      <c r="G637" s="670"/>
      <c r="H637" s="670"/>
      <c r="I637" s="670"/>
      <c r="J637" s="670"/>
      <c r="K637" s="670">
        <f>INT(([53]운반공!$BE$522+[53]운반공!$BE$523)/2)</f>
        <v>33960</v>
      </c>
      <c r="L637" s="670">
        <f>INT(E637*K637)</f>
        <v>34978</v>
      </c>
      <c r="M637" s="670">
        <f>G637+I637+K637</f>
        <v>33960</v>
      </c>
      <c r="N637" s="670">
        <f>H637+J637+L637</f>
        <v>34978</v>
      </c>
      <c r="O637" s="671"/>
      <c r="P637" s="672"/>
      <c r="Q637" s="665" t="s">
        <v>1573</v>
      </c>
    </row>
    <row r="638" spans="1:20" s="665" customFormat="1" ht="17.100000000000001" customHeight="1">
      <c r="A638" s="1316" t="s">
        <v>814</v>
      </c>
      <c r="B638" s="1317"/>
      <c r="C638" s="1338" t="s">
        <v>1585</v>
      </c>
      <c r="D638" s="1317"/>
      <c r="E638" s="708">
        <v>6.5</v>
      </c>
      <c r="F638" s="676" t="s">
        <v>835</v>
      </c>
      <c r="G638" s="670" t="e">
        <f>#REF!</f>
        <v>#REF!</v>
      </c>
      <c r="H638" s="670" t="e">
        <f>INT(E638*G638)</f>
        <v>#REF!</v>
      </c>
      <c r="I638" s="670"/>
      <c r="J638" s="670"/>
      <c r="K638" s="670"/>
      <c r="L638" s="670"/>
      <c r="M638" s="670" t="e">
        <f t="shared" ref="M638:N643" si="55">G638+I638+K638</f>
        <v>#REF!</v>
      </c>
      <c r="N638" s="670" t="e">
        <f t="shared" si="55"/>
        <v>#REF!</v>
      </c>
      <c r="O638" s="671"/>
      <c r="P638" s="705"/>
    </row>
    <row r="639" spans="1:20" s="665" customFormat="1" ht="17.100000000000001" customHeight="1">
      <c r="A639" s="1316" t="s">
        <v>1578</v>
      </c>
      <c r="B639" s="1317"/>
      <c r="C639" s="1338" t="s">
        <v>1595</v>
      </c>
      <c r="D639" s="1317"/>
      <c r="E639" s="702">
        <f>R608</f>
        <v>0.67</v>
      </c>
      <c r="F639" s="676" t="s">
        <v>366</v>
      </c>
      <c r="G639" s="670"/>
      <c r="H639" s="670"/>
      <c r="I639" s="670">
        <f>[53]노임단가!$T$11</f>
        <v>268187</v>
      </c>
      <c r="J639" s="670">
        <f>INT(E639*I639)</f>
        <v>179685</v>
      </c>
      <c r="K639" s="670"/>
      <c r="L639" s="670"/>
      <c r="M639" s="670">
        <f t="shared" si="55"/>
        <v>268187</v>
      </c>
      <c r="N639" s="670">
        <f t="shared" si="55"/>
        <v>179685</v>
      </c>
      <c r="O639" s="671"/>
      <c r="P639" s="672"/>
      <c r="T639" s="665" t="s">
        <v>1574</v>
      </c>
    </row>
    <row r="640" spans="1:20" s="665" customFormat="1" ht="17.100000000000001" customHeight="1">
      <c r="A640" s="1316" t="s">
        <v>248</v>
      </c>
      <c r="B640" s="1317"/>
      <c r="C640" s="1338" t="s">
        <v>1595</v>
      </c>
      <c r="D640" s="1317"/>
      <c r="E640" s="702">
        <f>R609</f>
        <v>0.22</v>
      </c>
      <c r="F640" s="676" t="s">
        <v>366</v>
      </c>
      <c r="G640" s="670"/>
      <c r="H640" s="670"/>
      <c r="I640" s="670">
        <f>[53]노임단가!$T$5</f>
        <v>172068</v>
      </c>
      <c r="J640" s="670">
        <f>INT(E640*I640)</f>
        <v>37854</v>
      </c>
      <c r="K640" s="670"/>
      <c r="L640" s="670"/>
      <c r="M640" s="670">
        <f t="shared" si="55"/>
        <v>172068</v>
      </c>
      <c r="N640" s="670">
        <f t="shared" si="55"/>
        <v>37854</v>
      </c>
      <c r="O640" s="671"/>
      <c r="P640" s="672"/>
      <c r="Q640" s="730" t="s">
        <v>1576</v>
      </c>
      <c r="R640" s="730" t="s">
        <v>1552</v>
      </c>
      <c r="S640" s="730" t="s">
        <v>371</v>
      </c>
      <c r="T640" s="730" t="s">
        <v>1586</v>
      </c>
    </row>
    <row r="641" spans="1:20" s="665" customFormat="1" ht="17.100000000000001" customHeight="1">
      <c r="A641" s="1316" t="s">
        <v>1596</v>
      </c>
      <c r="B641" s="1317"/>
      <c r="C641" s="1338" t="s">
        <v>1597</v>
      </c>
      <c r="D641" s="1317"/>
      <c r="E641" s="702">
        <v>0.09</v>
      </c>
      <c r="F641" s="676" t="s">
        <v>672</v>
      </c>
      <c r="G641" s="670"/>
      <c r="H641" s="670">
        <f>INT(E641*G641)</f>
        <v>0</v>
      </c>
      <c r="I641" s="670"/>
      <c r="J641" s="670"/>
      <c r="K641" s="670">
        <f>N639+N640</f>
        <v>217539</v>
      </c>
      <c r="L641" s="670">
        <f>INT(E641*K641)</f>
        <v>19578</v>
      </c>
      <c r="M641" s="670">
        <f t="shared" si="55"/>
        <v>217539</v>
      </c>
      <c r="N641" s="670">
        <f t="shared" si="55"/>
        <v>19578</v>
      </c>
      <c r="O641" s="671"/>
      <c r="P641" s="672"/>
      <c r="Q641" s="730" t="s">
        <v>1578</v>
      </c>
      <c r="R641" s="730">
        <f>ROUND(S641/T641,2)</f>
        <v>0.75</v>
      </c>
      <c r="S641" s="730">
        <v>3</v>
      </c>
      <c r="T641" s="1400">
        <v>4</v>
      </c>
    </row>
    <row r="642" spans="1:20" s="665" customFormat="1" ht="17.100000000000001" customHeight="1">
      <c r="A642" s="1316" t="s">
        <v>1578</v>
      </c>
      <c r="B642" s="1317"/>
      <c r="C642" s="1338" t="s">
        <v>1598</v>
      </c>
      <c r="D642" s="1317"/>
      <c r="E642" s="702">
        <f>R611</f>
        <v>1.76</v>
      </c>
      <c r="F642" s="676" t="s">
        <v>366</v>
      </c>
      <c r="G642" s="670"/>
      <c r="H642" s="670"/>
      <c r="I642" s="670">
        <f>[53]노임단가!$T$11</f>
        <v>268187</v>
      </c>
      <c r="J642" s="670">
        <f>INT(E642*I642)</f>
        <v>472009</v>
      </c>
      <c r="K642" s="670"/>
      <c r="L642" s="670"/>
      <c r="M642" s="670">
        <f t="shared" si="55"/>
        <v>268187</v>
      </c>
      <c r="N642" s="670">
        <f t="shared" si="55"/>
        <v>472009</v>
      </c>
      <c r="O642" s="671"/>
      <c r="P642" s="672"/>
      <c r="Q642" s="730" t="s">
        <v>248</v>
      </c>
      <c r="R642" s="730">
        <f>ROUND(S642/T641,2)</f>
        <v>0.25</v>
      </c>
      <c r="S642" s="730">
        <v>1</v>
      </c>
      <c r="T642" s="1400"/>
    </row>
    <row r="643" spans="1:20" s="665" customFormat="1" ht="17.100000000000001" customHeight="1">
      <c r="A643" s="1316" t="s">
        <v>248</v>
      </c>
      <c r="B643" s="1317"/>
      <c r="C643" s="1338" t="s">
        <v>1598</v>
      </c>
      <c r="D643" s="1317"/>
      <c r="E643" s="702">
        <f>R612</f>
        <v>0.59</v>
      </c>
      <c r="F643" s="676" t="s">
        <v>366</v>
      </c>
      <c r="G643" s="670"/>
      <c r="H643" s="670"/>
      <c r="I643" s="670">
        <f>[53]노임단가!$T$5</f>
        <v>172068</v>
      </c>
      <c r="J643" s="670">
        <f>INT(E643*I643)</f>
        <v>101520</v>
      </c>
      <c r="K643" s="670"/>
      <c r="L643" s="670"/>
      <c r="M643" s="670">
        <f t="shared" si="55"/>
        <v>172068</v>
      </c>
      <c r="N643" s="670">
        <f t="shared" si="55"/>
        <v>101520</v>
      </c>
      <c r="O643" s="671"/>
      <c r="P643" s="672"/>
      <c r="Q643" s="730" t="s">
        <v>1576</v>
      </c>
      <c r="R643" s="730" t="s">
        <v>1552</v>
      </c>
      <c r="S643" s="730" t="s">
        <v>371</v>
      </c>
      <c r="T643" s="730" t="s">
        <v>1599</v>
      </c>
    </row>
    <row r="644" spans="1:20" s="665" customFormat="1" ht="17.100000000000001" customHeight="1">
      <c r="A644" s="1316" t="s">
        <v>1596</v>
      </c>
      <c r="B644" s="1317"/>
      <c r="C644" s="1338" t="s">
        <v>1600</v>
      </c>
      <c r="D644" s="1317"/>
      <c r="E644" s="702">
        <v>0.02</v>
      </c>
      <c r="F644" s="676" t="s">
        <v>672</v>
      </c>
      <c r="G644" s="670"/>
      <c r="H644" s="670">
        <f>INT(E644*G644)</f>
        <v>0</v>
      </c>
      <c r="I644" s="670"/>
      <c r="J644" s="670"/>
      <c r="K644" s="670">
        <f>N642+N643</f>
        <v>573529</v>
      </c>
      <c r="L644" s="670">
        <f>INT(E644*K644)</f>
        <v>11470</v>
      </c>
      <c r="M644" s="670">
        <f>G644+I644+K644</f>
        <v>573529</v>
      </c>
      <c r="N644" s="670">
        <f>H644+J644+L644</f>
        <v>11470</v>
      </c>
      <c r="O644" s="671"/>
      <c r="P644" s="672"/>
      <c r="Q644" s="730" t="s">
        <v>1578</v>
      </c>
      <c r="R644" s="731">
        <f>ROUND(S644/T644,2)</f>
        <v>1.82</v>
      </c>
      <c r="S644" s="730">
        <v>2</v>
      </c>
      <c r="T644" s="1401">
        <v>1.1000000000000001</v>
      </c>
    </row>
    <row r="645" spans="1:20" s="665" customFormat="1" ht="17.100000000000001" customHeight="1">
      <c r="A645" s="1318" t="s">
        <v>1320</v>
      </c>
      <c r="B645" s="1319"/>
      <c r="C645" s="1371"/>
      <c r="D645" s="1372"/>
      <c r="E645" s="677"/>
      <c r="F645" s="676"/>
      <c r="G645" s="670"/>
      <c r="H645" s="670" t="e">
        <f>SUM(H636:H644)</f>
        <v>#REF!</v>
      </c>
      <c r="I645" s="670"/>
      <c r="J645" s="670">
        <f>SUM(J636:J644)</f>
        <v>791068</v>
      </c>
      <c r="K645" s="670"/>
      <c r="L645" s="670">
        <f>SUM(L636:L644)</f>
        <v>66026</v>
      </c>
      <c r="M645" s="670"/>
      <c r="N645" s="670" t="e">
        <f>SUM(N636:N644)</f>
        <v>#REF!</v>
      </c>
      <c r="O645" s="671"/>
      <c r="P645" s="672"/>
      <c r="Q645" s="730" t="s">
        <v>248</v>
      </c>
      <c r="R645" s="730">
        <f>ROUND(S645/T644,2)</f>
        <v>0.91</v>
      </c>
      <c r="S645" s="730">
        <v>1</v>
      </c>
      <c r="T645" s="1401"/>
    </row>
    <row r="646" spans="1:20" s="665" customFormat="1" ht="17.100000000000001" customHeight="1">
      <c r="A646" s="668">
        <f>A635+1</f>
        <v>154</v>
      </c>
      <c r="B646" s="1320" t="s">
        <v>1601</v>
      </c>
      <c r="C646" s="1320"/>
      <c r="D646" s="1397" t="s">
        <v>1602</v>
      </c>
      <c r="E646" s="1320"/>
      <c r="F646" s="669" t="s">
        <v>915</v>
      </c>
      <c r="G646" s="670"/>
      <c r="H646" s="670"/>
      <c r="I646" s="670"/>
      <c r="J646" s="670"/>
      <c r="K646" s="670"/>
      <c r="L646" s="670"/>
      <c r="M646" s="670"/>
      <c r="N646" s="670"/>
      <c r="O646" s="671" t="s">
        <v>1562</v>
      </c>
      <c r="P646" s="672"/>
    </row>
    <row r="647" spans="1:20" s="665" customFormat="1" ht="17.100000000000001" customHeight="1">
      <c r="A647" s="1316" t="s">
        <v>1038</v>
      </c>
      <c r="B647" s="1317"/>
      <c r="C647" s="1316" t="s">
        <v>1592</v>
      </c>
      <c r="D647" s="1317"/>
      <c r="E647" s="675">
        <v>1.03</v>
      </c>
      <c r="F647" s="676" t="s">
        <v>915</v>
      </c>
      <c r="G647" s="670"/>
      <c r="H647" s="670"/>
      <c r="I647" s="670"/>
      <c r="J647" s="670"/>
      <c r="K647" s="670"/>
      <c r="L647" s="670"/>
      <c r="M647" s="670"/>
      <c r="N647" s="670"/>
      <c r="O647" s="707"/>
      <c r="P647" s="672"/>
    </row>
    <row r="648" spans="1:20" s="665" customFormat="1" ht="17.100000000000001" customHeight="1">
      <c r="A648" s="1316" t="s">
        <v>1593</v>
      </c>
      <c r="B648" s="1317"/>
      <c r="C648" s="1338" t="s">
        <v>1594</v>
      </c>
      <c r="D648" s="1317"/>
      <c r="E648" s="675">
        <v>1.03</v>
      </c>
      <c r="F648" s="676" t="s">
        <v>915</v>
      </c>
      <c r="G648" s="670"/>
      <c r="H648" s="670"/>
      <c r="I648" s="670"/>
      <c r="J648" s="670"/>
      <c r="K648" s="670">
        <f>INT(([53]운반공!$BE$522+[53]운반공!$BE$523)/2)</f>
        <v>33960</v>
      </c>
      <c r="L648" s="670">
        <f>INT(E648*K648)</f>
        <v>34978</v>
      </c>
      <c r="M648" s="670">
        <f>G648+I648+K648</f>
        <v>33960</v>
      </c>
      <c r="N648" s="670">
        <f>H648+J648+L648</f>
        <v>34978</v>
      </c>
      <c r="O648" s="671"/>
      <c r="P648" s="672"/>
      <c r="Q648" s="665" t="s">
        <v>1573</v>
      </c>
    </row>
    <row r="649" spans="1:20" s="665" customFormat="1" ht="17.100000000000001" customHeight="1">
      <c r="A649" s="1316" t="s">
        <v>814</v>
      </c>
      <c r="B649" s="1317"/>
      <c r="C649" s="1338" t="s">
        <v>1585</v>
      </c>
      <c r="D649" s="1317"/>
      <c r="E649" s="708">
        <v>6.5</v>
      </c>
      <c r="F649" s="676" t="s">
        <v>835</v>
      </c>
      <c r="G649" s="670" t="e">
        <f>#REF!</f>
        <v>#REF!</v>
      </c>
      <c r="H649" s="670" t="e">
        <f>INT(E649*G649)</f>
        <v>#REF!</v>
      </c>
      <c r="I649" s="670"/>
      <c r="J649" s="670"/>
      <c r="K649" s="670"/>
      <c r="L649" s="670"/>
      <c r="M649" s="670" t="e">
        <f t="shared" ref="M649:N654" si="56">G649+I649+K649</f>
        <v>#REF!</v>
      </c>
      <c r="N649" s="670" t="e">
        <f t="shared" si="56"/>
        <v>#REF!</v>
      </c>
      <c r="O649" s="671"/>
      <c r="P649" s="705"/>
    </row>
    <row r="650" spans="1:20" s="665" customFormat="1" ht="17.100000000000001" customHeight="1">
      <c r="A650" s="1316" t="s">
        <v>1578</v>
      </c>
      <c r="B650" s="1317"/>
      <c r="C650" s="1338" t="s">
        <v>1595</v>
      </c>
      <c r="D650" s="1317"/>
      <c r="E650" s="702">
        <f>R619</f>
        <v>0.67</v>
      </c>
      <c r="F650" s="676" t="s">
        <v>366</v>
      </c>
      <c r="G650" s="670"/>
      <c r="H650" s="670"/>
      <c r="I650" s="670">
        <f>[53]노임단가!$T$11</f>
        <v>268187</v>
      </c>
      <c r="J650" s="670">
        <f>INT(E650*I650)</f>
        <v>179685</v>
      </c>
      <c r="K650" s="670"/>
      <c r="L650" s="670"/>
      <c r="M650" s="670">
        <f t="shared" si="56"/>
        <v>268187</v>
      </c>
      <c r="N650" s="670">
        <f t="shared" si="56"/>
        <v>179685</v>
      </c>
      <c r="O650" s="671"/>
      <c r="P650" s="672"/>
      <c r="T650" s="665" t="s">
        <v>1574</v>
      </c>
    </row>
    <row r="651" spans="1:20" s="665" customFormat="1" ht="17.100000000000001" customHeight="1">
      <c r="A651" s="1316" t="s">
        <v>248</v>
      </c>
      <c r="B651" s="1317"/>
      <c r="C651" s="1338" t="s">
        <v>1595</v>
      </c>
      <c r="D651" s="1317"/>
      <c r="E651" s="702">
        <f>R620</f>
        <v>0.22</v>
      </c>
      <c r="F651" s="676" t="s">
        <v>366</v>
      </c>
      <c r="G651" s="670"/>
      <c r="H651" s="670"/>
      <c r="I651" s="670">
        <f>[53]노임단가!$T$5</f>
        <v>172068</v>
      </c>
      <c r="J651" s="670">
        <f>INT(E651*I651)</f>
        <v>37854</v>
      </c>
      <c r="K651" s="670"/>
      <c r="L651" s="670"/>
      <c r="M651" s="670">
        <f t="shared" si="56"/>
        <v>172068</v>
      </c>
      <c r="N651" s="670">
        <f t="shared" si="56"/>
        <v>37854</v>
      </c>
      <c r="O651" s="671"/>
      <c r="P651" s="672"/>
      <c r="Q651" s="730" t="s">
        <v>1576</v>
      </c>
      <c r="R651" s="730" t="s">
        <v>1552</v>
      </c>
      <c r="S651" s="730" t="s">
        <v>371</v>
      </c>
      <c r="T651" s="730" t="s">
        <v>1603</v>
      </c>
    </row>
    <row r="652" spans="1:20" s="665" customFormat="1" ht="17.100000000000001" customHeight="1">
      <c r="A652" s="1316" t="s">
        <v>1596</v>
      </c>
      <c r="B652" s="1317"/>
      <c r="C652" s="1338" t="s">
        <v>1597</v>
      </c>
      <c r="D652" s="1317"/>
      <c r="E652" s="702">
        <v>0.09</v>
      </c>
      <c r="F652" s="676" t="s">
        <v>672</v>
      </c>
      <c r="G652" s="670"/>
      <c r="H652" s="670">
        <f>INT(E652*G652)</f>
        <v>0</v>
      </c>
      <c r="I652" s="670"/>
      <c r="J652" s="670"/>
      <c r="K652" s="670">
        <f>N650+N651</f>
        <v>217539</v>
      </c>
      <c r="L652" s="670">
        <f>INT(E652*K652)</f>
        <v>19578</v>
      </c>
      <c r="M652" s="670">
        <f t="shared" si="56"/>
        <v>217539</v>
      </c>
      <c r="N652" s="670">
        <f t="shared" si="56"/>
        <v>19578</v>
      </c>
      <c r="O652" s="671"/>
      <c r="P652" s="672"/>
      <c r="Q652" s="730" t="s">
        <v>1578</v>
      </c>
      <c r="R652" s="730">
        <f>ROUND(S652/T652,2)</f>
        <v>0.86</v>
      </c>
      <c r="S652" s="730">
        <v>3</v>
      </c>
      <c r="T652" s="1400">
        <v>3.5</v>
      </c>
    </row>
    <row r="653" spans="1:20" s="665" customFormat="1" ht="17.100000000000001" customHeight="1">
      <c r="A653" s="1316" t="s">
        <v>1578</v>
      </c>
      <c r="B653" s="1317"/>
      <c r="C653" s="1338" t="s">
        <v>1604</v>
      </c>
      <c r="D653" s="1317"/>
      <c r="E653" s="702">
        <f>R622</f>
        <v>1.82</v>
      </c>
      <c r="F653" s="676" t="s">
        <v>366</v>
      </c>
      <c r="G653" s="670"/>
      <c r="H653" s="670"/>
      <c r="I653" s="670">
        <f>[53]노임단가!$T$11</f>
        <v>268187</v>
      </c>
      <c r="J653" s="670">
        <f>INT(E653*I653)</f>
        <v>488100</v>
      </c>
      <c r="K653" s="670"/>
      <c r="L653" s="670"/>
      <c r="M653" s="670">
        <f t="shared" si="56"/>
        <v>268187</v>
      </c>
      <c r="N653" s="670">
        <f t="shared" si="56"/>
        <v>488100</v>
      </c>
      <c r="O653" s="671"/>
      <c r="P653" s="672"/>
      <c r="Q653" s="730" t="s">
        <v>248</v>
      </c>
      <c r="R653" s="730">
        <f>ROUND(S653/T652,2)</f>
        <v>0.28999999999999998</v>
      </c>
      <c r="S653" s="730">
        <v>1</v>
      </c>
      <c r="T653" s="1400"/>
    </row>
    <row r="654" spans="1:20" s="665" customFormat="1" ht="17.100000000000001" customHeight="1">
      <c r="A654" s="1316" t="s">
        <v>248</v>
      </c>
      <c r="B654" s="1317"/>
      <c r="C654" s="1338" t="s">
        <v>1604</v>
      </c>
      <c r="D654" s="1317"/>
      <c r="E654" s="702">
        <f>R623</f>
        <v>0.45</v>
      </c>
      <c r="F654" s="676" t="s">
        <v>366</v>
      </c>
      <c r="G654" s="670"/>
      <c r="H654" s="670"/>
      <c r="I654" s="670">
        <f>[53]노임단가!$T$5</f>
        <v>172068</v>
      </c>
      <c r="J654" s="670">
        <f>INT(E654*I654)</f>
        <v>77430</v>
      </c>
      <c r="K654" s="670"/>
      <c r="L654" s="670"/>
      <c r="M654" s="670">
        <f t="shared" si="56"/>
        <v>172068</v>
      </c>
      <c r="N654" s="670">
        <f t="shared" si="56"/>
        <v>77430</v>
      </c>
      <c r="O654" s="671"/>
      <c r="P654" s="672"/>
      <c r="Q654" s="730" t="s">
        <v>1576</v>
      </c>
      <c r="R654" s="730" t="s">
        <v>1552</v>
      </c>
      <c r="S654" s="730" t="s">
        <v>371</v>
      </c>
      <c r="T654" s="730" t="s">
        <v>1603</v>
      </c>
    </row>
    <row r="655" spans="1:20" s="665" customFormat="1" ht="17.100000000000001" customHeight="1">
      <c r="A655" s="1316" t="s">
        <v>1596</v>
      </c>
      <c r="B655" s="1317"/>
      <c r="C655" s="1338" t="s">
        <v>1600</v>
      </c>
      <c r="D655" s="1317"/>
      <c r="E655" s="702">
        <v>0.02</v>
      </c>
      <c r="F655" s="676" t="s">
        <v>672</v>
      </c>
      <c r="G655" s="670"/>
      <c r="H655" s="670">
        <f>INT(E655*G655)</f>
        <v>0</v>
      </c>
      <c r="I655" s="670"/>
      <c r="J655" s="670"/>
      <c r="K655" s="670">
        <f>N653+N654</f>
        <v>565530</v>
      </c>
      <c r="L655" s="670">
        <f>INT(E655*K655)</f>
        <v>11310</v>
      </c>
      <c r="M655" s="670">
        <f>G655+I655+K655</f>
        <v>565530</v>
      </c>
      <c r="N655" s="670">
        <f>H655+J655+L655</f>
        <v>11310</v>
      </c>
      <c r="O655" s="671"/>
      <c r="P655" s="672"/>
      <c r="Q655" s="730" t="s">
        <v>1578</v>
      </c>
      <c r="R655" s="731">
        <f>ROUND(S655/T655,2)</f>
        <v>2.08</v>
      </c>
      <c r="S655" s="730">
        <v>5</v>
      </c>
      <c r="T655" s="1401">
        <v>2.4</v>
      </c>
    </row>
    <row r="656" spans="1:20" s="665" customFormat="1" ht="17.100000000000001" customHeight="1">
      <c r="A656" s="1318" t="s">
        <v>1320</v>
      </c>
      <c r="B656" s="1319"/>
      <c r="C656" s="1371"/>
      <c r="D656" s="1372"/>
      <c r="E656" s="677"/>
      <c r="F656" s="676"/>
      <c r="G656" s="670"/>
      <c r="H656" s="670" t="e">
        <f>SUM(H647:H655)</f>
        <v>#REF!</v>
      </c>
      <c r="I656" s="670"/>
      <c r="J656" s="670">
        <f>SUM(J647:J655)</f>
        <v>783069</v>
      </c>
      <c r="K656" s="670"/>
      <c r="L656" s="670">
        <f>SUM(L647:L655)</f>
        <v>65866</v>
      </c>
      <c r="M656" s="670"/>
      <c r="N656" s="670" t="e">
        <f>SUM(N647:N655)</f>
        <v>#REF!</v>
      </c>
      <c r="O656" s="671"/>
      <c r="P656" s="672"/>
      <c r="Q656" s="730" t="s">
        <v>248</v>
      </c>
      <c r="R656" s="730">
        <f>ROUND(S656/T655,2)</f>
        <v>0.83</v>
      </c>
      <c r="S656" s="730">
        <v>2</v>
      </c>
      <c r="T656" s="1401"/>
    </row>
    <row r="657" spans="1:20" s="665" customFormat="1" ht="16.5" customHeight="1">
      <c r="A657" s="668">
        <f>A646+1</f>
        <v>155</v>
      </c>
      <c r="B657" s="1320" t="s">
        <v>1605</v>
      </c>
      <c r="C657" s="1320"/>
      <c r="D657" s="1397" t="s">
        <v>1606</v>
      </c>
      <c r="E657" s="1320"/>
      <c r="F657" s="669" t="s">
        <v>915</v>
      </c>
      <c r="G657" s="670"/>
      <c r="H657" s="670"/>
      <c r="I657" s="670"/>
      <c r="J657" s="670"/>
      <c r="K657" s="670"/>
      <c r="L657" s="670"/>
      <c r="M657" s="670"/>
      <c r="N657" s="670"/>
      <c r="O657" s="671" t="s">
        <v>1562</v>
      </c>
      <c r="P657" s="672"/>
    </row>
    <row r="658" spans="1:20" s="665" customFormat="1" ht="17.100000000000001" customHeight="1">
      <c r="A658" s="1316" t="s">
        <v>1038</v>
      </c>
      <c r="B658" s="1317"/>
      <c r="C658" s="1316" t="s">
        <v>1592</v>
      </c>
      <c r="D658" s="1317"/>
      <c r="E658" s="675">
        <v>1.03</v>
      </c>
      <c r="F658" s="676" t="s">
        <v>915</v>
      </c>
      <c r="G658" s="670"/>
      <c r="H658" s="670"/>
      <c r="I658" s="670"/>
      <c r="J658" s="670"/>
      <c r="K658" s="670"/>
      <c r="L658" s="670"/>
      <c r="M658" s="670"/>
      <c r="N658" s="670"/>
      <c r="O658" s="707"/>
      <c r="P658" s="672"/>
    </row>
    <row r="659" spans="1:20" s="665" customFormat="1" ht="17.100000000000001" customHeight="1">
      <c r="A659" s="1316" t="s">
        <v>1593</v>
      </c>
      <c r="B659" s="1317"/>
      <c r="C659" s="1338" t="s">
        <v>1594</v>
      </c>
      <c r="D659" s="1317"/>
      <c r="E659" s="675">
        <v>1.03</v>
      </c>
      <c r="F659" s="676" t="s">
        <v>915</v>
      </c>
      <c r="G659" s="670"/>
      <c r="H659" s="670"/>
      <c r="I659" s="670"/>
      <c r="J659" s="670"/>
      <c r="K659" s="670">
        <f>([53]운반공!$BE$522+[53]운반공!$BE$523)/2</f>
        <v>33960</v>
      </c>
      <c r="L659" s="670">
        <f>INT(E659*K659)</f>
        <v>34978</v>
      </c>
      <c r="M659" s="670">
        <f>G659+I659+K659</f>
        <v>33960</v>
      </c>
      <c r="N659" s="670">
        <f>H659+J659+L659</f>
        <v>34978</v>
      </c>
      <c r="O659" s="671"/>
      <c r="P659" s="672"/>
      <c r="Q659" s="665" t="s">
        <v>1607</v>
      </c>
    </row>
    <row r="660" spans="1:20" s="665" customFormat="1" ht="17.100000000000001" customHeight="1">
      <c r="A660" s="1316" t="s">
        <v>814</v>
      </c>
      <c r="B660" s="1317"/>
      <c r="C660" s="1338" t="s">
        <v>1585</v>
      </c>
      <c r="D660" s="1317"/>
      <c r="E660" s="708">
        <v>8</v>
      </c>
      <c r="F660" s="676" t="s">
        <v>835</v>
      </c>
      <c r="G660" s="670" t="e">
        <f>#REF!</f>
        <v>#REF!</v>
      </c>
      <c r="H660" s="670" t="e">
        <f>INT(E660*G660)</f>
        <v>#REF!</v>
      </c>
      <c r="I660" s="670"/>
      <c r="J660" s="670"/>
      <c r="K660" s="670"/>
      <c r="L660" s="670"/>
      <c r="M660" s="670" t="e">
        <f t="shared" ref="M660:N665" si="57">G660+I660+K660</f>
        <v>#REF!</v>
      </c>
      <c r="N660" s="670" t="e">
        <f t="shared" si="57"/>
        <v>#REF!</v>
      </c>
      <c r="O660" s="671"/>
      <c r="P660" s="705"/>
    </row>
    <row r="661" spans="1:20" s="665" customFormat="1" ht="17.100000000000001" customHeight="1">
      <c r="A661" s="1316" t="s">
        <v>1578</v>
      </c>
      <c r="B661" s="1317"/>
      <c r="C661" s="1338" t="s">
        <v>1595</v>
      </c>
      <c r="D661" s="1317"/>
      <c r="E661" s="702">
        <f>R630</f>
        <v>0.75</v>
      </c>
      <c r="F661" s="676" t="s">
        <v>366</v>
      </c>
      <c r="G661" s="670"/>
      <c r="H661" s="670"/>
      <c r="I661" s="670">
        <f>[53]노임단가!$T$11</f>
        <v>268187</v>
      </c>
      <c r="J661" s="670">
        <f>INT(E661*I661)</f>
        <v>201140</v>
      </c>
      <c r="K661" s="670"/>
      <c r="L661" s="670"/>
      <c r="M661" s="670">
        <f t="shared" si="57"/>
        <v>268187</v>
      </c>
      <c r="N661" s="670">
        <f t="shared" si="57"/>
        <v>201140</v>
      </c>
      <c r="O661" s="671"/>
      <c r="P661" s="672"/>
    </row>
    <row r="662" spans="1:20" s="665" customFormat="1" ht="17.100000000000001" customHeight="1">
      <c r="A662" s="1316" t="s">
        <v>248</v>
      </c>
      <c r="B662" s="1317"/>
      <c r="C662" s="1338" t="s">
        <v>1595</v>
      </c>
      <c r="D662" s="1317"/>
      <c r="E662" s="702">
        <f>R631</f>
        <v>0.25</v>
      </c>
      <c r="F662" s="676" t="s">
        <v>366</v>
      </c>
      <c r="G662" s="670"/>
      <c r="H662" s="670"/>
      <c r="I662" s="670">
        <f>[53]노임단가!$T$5</f>
        <v>172068</v>
      </c>
      <c r="J662" s="670">
        <f>INT(E662*I662)</f>
        <v>43017</v>
      </c>
      <c r="K662" s="670"/>
      <c r="L662" s="670"/>
      <c r="M662" s="670">
        <f t="shared" si="57"/>
        <v>172068</v>
      </c>
      <c r="N662" s="670">
        <f t="shared" si="57"/>
        <v>43017</v>
      </c>
      <c r="O662" s="671"/>
      <c r="P662" s="672"/>
      <c r="Q662" s="665" t="s">
        <v>1576</v>
      </c>
      <c r="R662" s="730" t="s">
        <v>1552</v>
      </c>
      <c r="S662" s="730" t="s">
        <v>371</v>
      </c>
      <c r="T662" s="730" t="s">
        <v>1608</v>
      </c>
    </row>
    <row r="663" spans="1:20" s="665" customFormat="1" ht="17.100000000000001" customHeight="1">
      <c r="A663" s="1316" t="s">
        <v>1596</v>
      </c>
      <c r="B663" s="1317"/>
      <c r="C663" s="1338" t="s">
        <v>1597</v>
      </c>
      <c r="D663" s="1317"/>
      <c r="E663" s="702">
        <v>0.09</v>
      </c>
      <c r="F663" s="676" t="s">
        <v>672</v>
      </c>
      <c r="G663" s="670"/>
      <c r="H663" s="670">
        <f>INT(E663*G663)</f>
        <v>0</v>
      </c>
      <c r="I663" s="670"/>
      <c r="J663" s="670"/>
      <c r="K663" s="670">
        <f>N661+N662</f>
        <v>244157</v>
      </c>
      <c r="L663" s="670">
        <f>INT(E663*K663)</f>
        <v>21974</v>
      </c>
      <c r="M663" s="670">
        <f t="shared" si="57"/>
        <v>244157</v>
      </c>
      <c r="N663" s="670">
        <f t="shared" si="57"/>
        <v>21974</v>
      </c>
      <c r="O663" s="671"/>
      <c r="P663" s="672"/>
      <c r="R663" s="730">
        <f>ROUND(S663/T663,3)</f>
        <v>0.25</v>
      </c>
      <c r="S663" s="665">
        <v>5</v>
      </c>
      <c r="T663" s="732">
        <v>20</v>
      </c>
    </row>
    <row r="664" spans="1:20" s="665" customFormat="1" ht="17.100000000000001" customHeight="1">
      <c r="A664" s="1316" t="s">
        <v>1578</v>
      </c>
      <c r="B664" s="1317"/>
      <c r="C664" s="1338" t="s">
        <v>1609</v>
      </c>
      <c r="D664" s="1317"/>
      <c r="E664" s="702">
        <f>R633</f>
        <v>1.92</v>
      </c>
      <c r="F664" s="676" t="s">
        <v>366</v>
      </c>
      <c r="G664" s="670"/>
      <c r="H664" s="670"/>
      <c r="I664" s="670">
        <f>[53]노임단가!$T$11</f>
        <v>268187</v>
      </c>
      <c r="J664" s="670">
        <f>INT(E664*I664)</f>
        <v>514919</v>
      </c>
      <c r="K664" s="670"/>
      <c r="L664" s="670"/>
      <c r="M664" s="670">
        <f t="shared" si="57"/>
        <v>268187</v>
      </c>
      <c r="N664" s="670">
        <f t="shared" si="57"/>
        <v>514919</v>
      </c>
      <c r="O664" s="671"/>
      <c r="P664" s="672"/>
      <c r="R664" s="730">
        <f>ROUND(S664/T664,3)</f>
        <v>0.1</v>
      </c>
      <c r="S664" s="665">
        <v>2</v>
      </c>
      <c r="T664" s="732">
        <v>20</v>
      </c>
    </row>
    <row r="665" spans="1:20" s="665" customFormat="1" ht="17.100000000000001" customHeight="1">
      <c r="A665" s="1316" t="s">
        <v>248</v>
      </c>
      <c r="B665" s="1317"/>
      <c r="C665" s="1338" t="s">
        <v>1609</v>
      </c>
      <c r="D665" s="1317"/>
      <c r="E665" s="702">
        <f>R634</f>
        <v>0.77</v>
      </c>
      <c r="F665" s="676" t="s">
        <v>366</v>
      </c>
      <c r="G665" s="670"/>
      <c r="H665" s="670"/>
      <c r="I665" s="670">
        <f>[53]노임단가!$T$5</f>
        <v>172068</v>
      </c>
      <c r="J665" s="670">
        <f>INT(E665*I665)</f>
        <v>132492</v>
      </c>
      <c r="K665" s="670"/>
      <c r="L665" s="670"/>
      <c r="M665" s="670">
        <f t="shared" si="57"/>
        <v>172068</v>
      </c>
      <c r="N665" s="670">
        <f t="shared" si="57"/>
        <v>132492</v>
      </c>
      <c r="O665" s="671"/>
      <c r="P665" s="672"/>
    </row>
    <row r="666" spans="1:20" s="665" customFormat="1" ht="17.100000000000001" customHeight="1">
      <c r="A666" s="1316" t="s">
        <v>1596</v>
      </c>
      <c r="B666" s="1317"/>
      <c r="C666" s="1338" t="s">
        <v>1600</v>
      </c>
      <c r="D666" s="1317"/>
      <c r="E666" s="702">
        <v>0.02</v>
      </c>
      <c r="F666" s="676" t="s">
        <v>672</v>
      </c>
      <c r="G666" s="670"/>
      <c r="H666" s="670">
        <f>INT(E666*G666)</f>
        <v>0</v>
      </c>
      <c r="I666" s="670"/>
      <c r="J666" s="670"/>
      <c r="K666" s="670">
        <f>N664+N665</f>
        <v>647411</v>
      </c>
      <c r="L666" s="670">
        <f>INT(E666*K666)</f>
        <v>12948</v>
      </c>
      <c r="M666" s="670">
        <f>G666+I666+K666</f>
        <v>647411</v>
      </c>
      <c r="N666" s="670">
        <f>H666+J666+L666</f>
        <v>12948</v>
      </c>
      <c r="O666" s="671"/>
      <c r="P666" s="672"/>
      <c r="Q666" s="665" t="s">
        <v>1607</v>
      </c>
    </row>
    <row r="667" spans="1:20" s="665" customFormat="1" ht="17.100000000000001" customHeight="1">
      <c r="A667" s="1318" t="s">
        <v>1320</v>
      </c>
      <c r="B667" s="1319"/>
      <c r="C667" s="1371"/>
      <c r="D667" s="1372"/>
      <c r="E667" s="677"/>
      <c r="F667" s="676"/>
      <c r="G667" s="670"/>
      <c r="H667" s="670" t="e">
        <f>SUM(H658:H666)</f>
        <v>#REF!</v>
      </c>
      <c r="I667" s="670"/>
      <c r="J667" s="670">
        <f>SUM(J658:J666)</f>
        <v>891568</v>
      </c>
      <c r="K667" s="670"/>
      <c r="L667" s="670">
        <f>SUM(L658:L666)</f>
        <v>69900</v>
      </c>
      <c r="M667" s="670"/>
      <c r="N667" s="670" t="e">
        <f>SUM(N658:N666)</f>
        <v>#REF!</v>
      </c>
      <c r="O667" s="671"/>
      <c r="P667" s="705"/>
    </row>
    <row r="668" spans="1:20" s="665" customFormat="1" ht="17.100000000000001" customHeight="1">
      <c r="A668" s="668">
        <f>A657+1</f>
        <v>156</v>
      </c>
      <c r="B668" s="1320" t="s">
        <v>1610</v>
      </c>
      <c r="C668" s="1320"/>
      <c r="D668" s="1397" t="s">
        <v>1611</v>
      </c>
      <c r="E668" s="1320"/>
      <c r="F668" s="669" t="s">
        <v>915</v>
      </c>
      <c r="G668" s="670"/>
      <c r="H668" s="670"/>
      <c r="I668" s="670"/>
      <c r="J668" s="670"/>
      <c r="K668" s="670"/>
      <c r="L668" s="670"/>
      <c r="M668" s="670"/>
      <c r="N668" s="670"/>
      <c r="O668" s="671" t="s">
        <v>1562</v>
      </c>
      <c r="P668" s="705"/>
      <c r="Q668" s="665" t="s">
        <v>1576</v>
      </c>
      <c r="R668" s="730" t="s">
        <v>1552</v>
      </c>
      <c r="S668" s="730" t="s">
        <v>371</v>
      </c>
      <c r="T668" s="730" t="s">
        <v>1608</v>
      </c>
    </row>
    <row r="669" spans="1:20" s="665" customFormat="1" ht="17.100000000000001" customHeight="1">
      <c r="A669" s="1316" t="s">
        <v>1038</v>
      </c>
      <c r="B669" s="1317"/>
      <c r="C669" s="1316" t="s">
        <v>1592</v>
      </c>
      <c r="D669" s="1317"/>
      <c r="E669" s="675">
        <v>1.03</v>
      </c>
      <c r="F669" s="676" t="s">
        <v>915</v>
      </c>
      <c r="G669" s="670"/>
      <c r="H669" s="670"/>
      <c r="I669" s="670"/>
      <c r="J669" s="670"/>
      <c r="K669" s="670"/>
      <c r="L669" s="670"/>
      <c r="M669" s="670"/>
      <c r="N669" s="670"/>
      <c r="O669" s="707"/>
      <c r="P669" s="705"/>
      <c r="R669" s="730">
        <f>ROUND(S669/T669,3)</f>
        <v>0.2</v>
      </c>
      <c r="S669" s="665">
        <v>5</v>
      </c>
      <c r="T669" s="732">
        <v>25</v>
      </c>
    </row>
    <row r="670" spans="1:20" s="665" customFormat="1" ht="17.100000000000001" customHeight="1">
      <c r="A670" s="1316" t="s">
        <v>1593</v>
      </c>
      <c r="B670" s="1317"/>
      <c r="C670" s="1338" t="s">
        <v>1594</v>
      </c>
      <c r="D670" s="1317"/>
      <c r="E670" s="675">
        <v>1.03</v>
      </c>
      <c r="F670" s="676" t="s">
        <v>915</v>
      </c>
      <c r="G670" s="670"/>
      <c r="H670" s="670"/>
      <c r="I670" s="670"/>
      <c r="J670" s="670"/>
      <c r="K670" s="670">
        <f>([53]운반공!$BE$522+[53]운반공!$BE$523)/2</f>
        <v>33960</v>
      </c>
      <c r="L670" s="670">
        <f>INT(E670*K670)</f>
        <v>34978</v>
      </c>
      <c r="M670" s="670">
        <f>G670+I670+K670</f>
        <v>33960</v>
      </c>
      <c r="N670" s="670">
        <f>H670+J670+L670</f>
        <v>34978</v>
      </c>
      <c r="O670" s="671"/>
      <c r="P670" s="672"/>
      <c r="R670" s="730">
        <f>ROUND(S670/T670,3)</f>
        <v>0.08</v>
      </c>
      <c r="S670" s="665">
        <v>2</v>
      </c>
      <c r="T670" s="732">
        <v>25</v>
      </c>
    </row>
    <row r="671" spans="1:20" s="665" customFormat="1" ht="17.100000000000001" customHeight="1">
      <c r="A671" s="1316" t="s">
        <v>814</v>
      </c>
      <c r="B671" s="1317"/>
      <c r="C671" s="1338" t="s">
        <v>1585</v>
      </c>
      <c r="D671" s="1317"/>
      <c r="E671" s="708">
        <v>8</v>
      </c>
      <c r="F671" s="676" t="s">
        <v>835</v>
      </c>
      <c r="G671" s="670" t="e">
        <f>#REF!</f>
        <v>#REF!</v>
      </c>
      <c r="H671" s="670" t="e">
        <f>INT(E671*G671)</f>
        <v>#REF!</v>
      </c>
      <c r="I671" s="670"/>
      <c r="J671" s="670"/>
      <c r="K671" s="670"/>
      <c r="L671" s="670"/>
      <c r="M671" s="670" t="e">
        <f t="shared" ref="M671:N676" si="58">G671+I671+K671</f>
        <v>#REF!</v>
      </c>
      <c r="N671" s="670" t="e">
        <f t="shared" si="58"/>
        <v>#REF!</v>
      </c>
      <c r="O671" s="671"/>
      <c r="P671" s="672"/>
    </row>
    <row r="672" spans="1:20" s="665" customFormat="1" ht="17.100000000000001" customHeight="1">
      <c r="A672" s="1316" t="s">
        <v>1578</v>
      </c>
      <c r="B672" s="1317"/>
      <c r="C672" s="1338" t="s">
        <v>1595</v>
      </c>
      <c r="D672" s="1317"/>
      <c r="E672" s="702">
        <f>R641</f>
        <v>0.75</v>
      </c>
      <c r="F672" s="676" t="s">
        <v>366</v>
      </c>
      <c r="G672" s="670"/>
      <c r="H672" s="670"/>
      <c r="I672" s="670">
        <f>[53]노임단가!$T$11</f>
        <v>268187</v>
      </c>
      <c r="J672" s="670">
        <f>INT(E672*I672)</f>
        <v>201140</v>
      </c>
      <c r="K672" s="670"/>
      <c r="L672" s="670"/>
      <c r="M672" s="670">
        <f t="shared" si="58"/>
        <v>268187</v>
      </c>
      <c r="N672" s="670">
        <f t="shared" si="58"/>
        <v>201140</v>
      </c>
      <c r="O672" s="671"/>
      <c r="P672" s="672"/>
      <c r="Q672" s="665" t="s">
        <v>1607</v>
      </c>
    </row>
    <row r="673" spans="1:20" s="665" customFormat="1" ht="17.100000000000001" customHeight="1">
      <c r="A673" s="1316" t="s">
        <v>248</v>
      </c>
      <c r="B673" s="1317"/>
      <c r="C673" s="1338" t="s">
        <v>1595</v>
      </c>
      <c r="D673" s="1317"/>
      <c r="E673" s="702">
        <f>R642</f>
        <v>0.25</v>
      </c>
      <c r="F673" s="676" t="s">
        <v>366</v>
      </c>
      <c r="G673" s="670"/>
      <c r="H673" s="670"/>
      <c r="I673" s="670">
        <f>[53]노임단가!$T$5</f>
        <v>172068</v>
      </c>
      <c r="J673" s="670">
        <f>INT(E673*I673)</f>
        <v>43017</v>
      </c>
      <c r="K673" s="670"/>
      <c r="L673" s="670"/>
      <c r="M673" s="670">
        <f t="shared" si="58"/>
        <v>172068</v>
      </c>
      <c r="N673" s="670">
        <f t="shared" si="58"/>
        <v>43017</v>
      </c>
      <c r="O673" s="671"/>
      <c r="P673" s="705"/>
    </row>
    <row r="674" spans="1:20" s="665" customFormat="1" ht="17.100000000000001" customHeight="1">
      <c r="A674" s="1316" t="s">
        <v>1596</v>
      </c>
      <c r="B674" s="1317"/>
      <c r="C674" s="1338" t="s">
        <v>1597</v>
      </c>
      <c r="D674" s="1317"/>
      <c r="E674" s="702">
        <v>0.09</v>
      </c>
      <c r="F674" s="676" t="s">
        <v>672</v>
      </c>
      <c r="G674" s="670"/>
      <c r="H674" s="670">
        <f>INT(E674*G674)</f>
        <v>0</v>
      </c>
      <c r="I674" s="670"/>
      <c r="J674" s="670"/>
      <c r="K674" s="670">
        <f>N672+N673</f>
        <v>244157</v>
      </c>
      <c r="L674" s="670">
        <f>INT(E674*K674)</f>
        <v>21974</v>
      </c>
      <c r="M674" s="670">
        <f t="shared" si="58"/>
        <v>244157</v>
      </c>
      <c r="N674" s="670">
        <f t="shared" si="58"/>
        <v>21974</v>
      </c>
      <c r="O674" s="671"/>
      <c r="P674" s="705"/>
      <c r="Q674" s="665" t="s">
        <v>1576</v>
      </c>
      <c r="R674" s="730" t="s">
        <v>1552</v>
      </c>
      <c r="S674" s="730" t="s">
        <v>371</v>
      </c>
      <c r="T674" s="730" t="s">
        <v>1608</v>
      </c>
    </row>
    <row r="675" spans="1:20" s="665" customFormat="1" ht="17.100000000000001" customHeight="1">
      <c r="A675" s="1316" t="s">
        <v>1578</v>
      </c>
      <c r="B675" s="1317"/>
      <c r="C675" s="1338" t="s">
        <v>1612</v>
      </c>
      <c r="D675" s="1317"/>
      <c r="E675" s="702">
        <f>R644</f>
        <v>1.82</v>
      </c>
      <c r="F675" s="676" t="s">
        <v>366</v>
      </c>
      <c r="G675" s="670"/>
      <c r="H675" s="670"/>
      <c r="I675" s="670">
        <f>[53]노임단가!$T$11</f>
        <v>268187</v>
      </c>
      <c r="J675" s="670">
        <f>INT(E675*I675)</f>
        <v>488100</v>
      </c>
      <c r="K675" s="670"/>
      <c r="L675" s="670"/>
      <c r="M675" s="670">
        <f t="shared" si="58"/>
        <v>268187</v>
      </c>
      <c r="N675" s="670">
        <f t="shared" si="58"/>
        <v>488100</v>
      </c>
      <c r="O675" s="671"/>
      <c r="P675" s="705"/>
      <c r="R675" s="730">
        <f>ROUND(S675/T675,3)</f>
        <v>0.16700000000000001</v>
      </c>
      <c r="S675" s="665">
        <v>5</v>
      </c>
      <c r="T675" s="732">
        <v>30</v>
      </c>
    </row>
    <row r="676" spans="1:20" s="665" customFormat="1" ht="17.100000000000001" customHeight="1">
      <c r="A676" s="1316" t="s">
        <v>248</v>
      </c>
      <c r="B676" s="1317"/>
      <c r="C676" s="1338" t="s">
        <v>1612</v>
      </c>
      <c r="D676" s="1317"/>
      <c r="E676" s="702">
        <f>R645</f>
        <v>0.91</v>
      </c>
      <c r="F676" s="676" t="s">
        <v>366</v>
      </c>
      <c r="G676" s="670"/>
      <c r="H676" s="670"/>
      <c r="I676" s="670">
        <f>[53]노임단가!$T$5</f>
        <v>172068</v>
      </c>
      <c r="J676" s="670">
        <f>INT(E676*I676)</f>
        <v>156581</v>
      </c>
      <c r="K676" s="670"/>
      <c r="L676" s="670"/>
      <c r="M676" s="670">
        <f t="shared" si="58"/>
        <v>172068</v>
      </c>
      <c r="N676" s="670">
        <f t="shared" si="58"/>
        <v>156581</v>
      </c>
      <c r="O676" s="671"/>
      <c r="P676" s="672"/>
      <c r="R676" s="730">
        <f>ROUND(S676/T676,3)</f>
        <v>6.7000000000000004E-2</v>
      </c>
      <c r="S676" s="665">
        <v>2</v>
      </c>
      <c r="T676" s="732">
        <v>30</v>
      </c>
    </row>
    <row r="677" spans="1:20" s="665" customFormat="1" ht="17.100000000000001" customHeight="1">
      <c r="A677" s="1316" t="s">
        <v>1596</v>
      </c>
      <c r="B677" s="1317"/>
      <c r="C677" s="1338" t="s">
        <v>1600</v>
      </c>
      <c r="D677" s="1317"/>
      <c r="E677" s="702">
        <v>0.02</v>
      </c>
      <c r="F677" s="676" t="s">
        <v>672</v>
      </c>
      <c r="G677" s="670"/>
      <c r="H677" s="670">
        <f>INT(E677*G677)</f>
        <v>0</v>
      </c>
      <c r="I677" s="670"/>
      <c r="J677" s="670"/>
      <c r="K677" s="670">
        <f>N675+N676</f>
        <v>644681</v>
      </c>
      <c r="L677" s="670">
        <f>INT(E677*K677)</f>
        <v>12893</v>
      </c>
      <c r="M677" s="670">
        <f>G677+I677+K677</f>
        <v>644681</v>
      </c>
      <c r="N677" s="670">
        <f>H677+J677+L677</f>
        <v>12893</v>
      </c>
      <c r="O677" s="671"/>
      <c r="P677" s="672"/>
    </row>
    <row r="678" spans="1:20" s="665" customFormat="1" ht="17.100000000000001" customHeight="1">
      <c r="A678" s="1318" t="s">
        <v>1320</v>
      </c>
      <c r="B678" s="1319"/>
      <c r="C678" s="1371"/>
      <c r="D678" s="1372"/>
      <c r="E678" s="677"/>
      <c r="F678" s="676"/>
      <c r="G678" s="670"/>
      <c r="H678" s="670" t="e">
        <f>SUM(H669:H677)</f>
        <v>#REF!</v>
      </c>
      <c r="I678" s="670"/>
      <c r="J678" s="670">
        <f>SUM(J669:J677)</f>
        <v>888838</v>
      </c>
      <c r="K678" s="670"/>
      <c r="L678" s="670">
        <f>SUM(L669:L677)</f>
        <v>69845</v>
      </c>
      <c r="M678" s="670"/>
      <c r="N678" s="670" t="e">
        <f>SUM(N669:N677)</f>
        <v>#REF!</v>
      </c>
      <c r="O678" s="671"/>
      <c r="P678" s="672"/>
      <c r="Q678" s="665" t="s">
        <v>1607</v>
      </c>
    </row>
    <row r="679" spans="1:20" s="665" customFormat="1" ht="17.100000000000001" customHeight="1">
      <c r="A679" s="668">
        <f>A668+1</f>
        <v>157</v>
      </c>
      <c r="B679" s="1320" t="s">
        <v>1613</v>
      </c>
      <c r="C679" s="1320"/>
      <c r="D679" s="1397" t="s">
        <v>1614</v>
      </c>
      <c r="E679" s="1320"/>
      <c r="F679" s="669" t="s">
        <v>915</v>
      </c>
      <c r="G679" s="670"/>
      <c r="H679" s="670"/>
      <c r="I679" s="670"/>
      <c r="J679" s="670"/>
      <c r="K679" s="670"/>
      <c r="L679" s="670"/>
      <c r="M679" s="670"/>
      <c r="N679" s="670"/>
      <c r="O679" s="671" t="s">
        <v>1562</v>
      </c>
      <c r="P679" s="705"/>
    </row>
    <row r="680" spans="1:20" s="665" customFormat="1" ht="17.100000000000001" customHeight="1">
      <c r="A680" s="1316" t="s">
        <v>1038</v>
      </c>
      <c r="B680" s="1317"/>
      <c r="C680" s="1316" t="s">
        <v>1592</v>
      </c>
      <c r="D680" s="1317"/>
      <c r="E680" s="675">
        <v>1.03</v>
      </c>
      <c r="F680" s="676" t="s">
        <v>915</v>
      </c>
      <c r="G680" s="670"/>
      <c r="H680" s="670"/>
      <c r="I680" s="670"/>
      <c r="J680" s="670"/>
      <c r="K680" s="670"/>
      <c r="L680" s="670"/>
      <c r="M680" s="670"/>
      <c r="N680" s="670"/>
      <c r="O680" s="707"/>
      <c r="P680" s="705"/>
      <c r="Q680" s="665" t="s">
        <v>1576</v>
      </c>
      <c r="R680" s="730" t="s">
        <v>1552</v>
      </c>
      <c r="S680" s="730" t="s">
        <v>371</v>
      </c>
      <c r="T680" s="730" t="s">
        <v>1608</v>
      </c>
    </row>
    <row r="681" spans="1:20" s="665" customFormat="1" ht="17.100000000000001" customHeight="1">
      <c r="A681" s="1316" t="s">
        <v>1593</v>
      </c>
      <c r="B681" s="1317"/>
      <c r="C681" s="1338" t="s">
        <v>1594</v>
      </c>
      <c r="D681" s="1317"/>
      <c r="E681" s="675">
        <v>1.03</v>
      </c>
      <c r="F681" s="676" t="s">
        <v>915</v>
      </c>
      <c r="G681" s="670"/>
      <c r="H681" s="670"/>
      <c r="I681" s="670"/>
      <c r="J681" s="670"/>
      <c r="K681" s="670">
        <f>([53]운반공!$BE$522+[53]운반공!$BE$523)/2</f>
        <v>33960</v>
      </c>
      <c r="L681" s="670">
        <f>INT(E681*K681)</f>
        <v>34978</v>
      </c>
      <c r="M681" s="670">
        <f>G681+I681+K681</f>
        <v>33960</v>
      </c>
      <c r="N681" s="670">
        <f>H681+J681+L681</f>
        <v>34978</v>
      </c>
      <c r="O681" s="671"/>
      <c r="P681" s="705"/>
      <c r="R681" s="730">
        <f>ROUND(S681/T681,3)</f>
        <v>0.111</v>
      </c>
      <c r="S681" s="730">
        <v>5</v>
      </c>
      <c r="T681" s="733">
        <v>45</v>
      </c>
    </row>
    <row r="682" spans="1:20" s="665" customFormat="1" ht="17.100000000000001" customHeight="1">
      <c r="A682" s="1316" t="s">
        <v>814</v>
      </c>
      <c r="B682" s="1317"/>
      <c r="C682" s="1338" t="s">
        <v>1585</v>
      </c>
      <c r="D682" s="1317"/>
      <c r="E682" s="708">
        <v>9.5</v>
      </c>
      <c r="F682" s="676" t="s">
        <v>835</v>
      </c>
      <c r="G682" s="670" t="e">
        <f>#REF!</f>
        <v>#REF!</v>
      </c>
      <c r="H682" s="670" t="e">
        <f>INT(E682*G682)</f>
        <v>#REF!</v>
      </c>
      <c r="I682" s="670"/>
      <c r="J682" s="670"/>
      <c r="K682" s="670"/>
      <c r="L682" s="670"/>
      <c r="M682" s="670" t="e">
        <f t="shared" ref="M682:N687" si="59">G682+I682+K682</f>
        <v>#REF!</v>
      </c>
      <c r="N682" s="670" t="e">
        <f t="shared" si="59"/>
        <v>#REF!</v>
      </c>
      <c r="O682" s="671"/>
      <c r="P682" s="672"/>
      <c r="R682" s="730">
        <f>ROUND(S682/T682,3)</f>
        <v>4.3999999999999997E-2</v>
      </c>
      <c r="S682" s="730">
        <v>2</v>
      </c>
      <c r="T682" s="733">
        <v>45</v>
      </c>
    </row>
    <row r="683" spans="1:20" s="665" customFormat="1" ht="17.100000000000001" customHeight="1">
      <c r="A683" s="1316" t="s">
        <v>1578</v>
      </c>
      <c r="B683" s="1317"/>
      <c r="C683" s="1338" t="s">
        <v>1595</v>
      </c>
      <c r="D683" s="1317"/>
      <c r="E683" s="702">
        <f>R652</f>
        <v>0.86</v>
      </c>
      <c r="F683" s="676" t="s">
        <v>366</v>
      </c>
      <c r="G683" s="670"/>
      <c r="H683" s="670"/>
      <c r="I683" s="670">
        <f>[53]노임단가!$T$11</f>
        <v>268187</v>
      </c>
      <c r="J683" s="670">
        <f>INT(E683*I683)</f>
        <v>230640</v>
      </c>
      <c r="K683" s="670"/>
      <c r="L683" s="670"/>
      <c r="M683" s="670">
        <f t="shared" si="59"/>
        <v>268187</v>
      </c>
      <c r="N683" s="670">
        <f t="shared" si="59"/>
        <v>230640</v>
      </c>
      <c r="O683" s="671"/>
      <c r="P683" s="672"/>
    </row>
    <row r="684" spans="1:20" s="665" customFormat="1" ht="17.100000000000001" customHeight="1">
      <c r="A684" s="1316" t="s">
        <v>248</v>
      </c>
      <c r="B684" s="1317"/>
      <c r="C684" s="1338" t="s">
        <v>1595</v>
      </c>
      <c r="D684" s="1317"/>
      <c r="E684" s="702">
        <f>R653</f>
        <v>0.28999999999999998</v>
      </c>
      <c r="F684" s="676" t="s">
        <v>366</v>
      </c>
      <c r="G684" s="670"/>
      <c r="H684" s="670"/>
      <c r="I684" s="670">
        <f>[53]노임단가!$T$5</f>
        <v>172068</v>
      </c>
      <c r="J684" s="670">
        <f>INT(E684*I684)</f>
        <v>49899</v>
      </c>
      <c r="K684" s="670"/>
      <c r="L684" s="670"/>
      <c r="M684" s="670">
        <f t="shared" si="59"/>
        <v>172068</v>
      </c>
      <c r="N684" s="670">
        <f t="shared" si="59"/>
        <v>49899</v>
      </c>
      <c r="O684" s="671"/>
      <c r="P684" s="672"/>
      <c r="Q684" s="665" t="s">
        <v>1607</v>
      </c>
    </row>
    <row r="685" spans="1:20" s="665" customFormat="1" ht="17.100000000000001" customHeight="1">
      <c r="A685" s="1316" t="s">
        <v>1596</v>
      </c>
      <c r="B685" s="1317"/>
      <c r="C685" s="1338" t="s">
        <v>1597</v>
      </c>
      <c r="D685" s="1317"/>
      <c r="E685" s="702">
        <v>0.09</v>
      </c>
      <c r="F685" s="676" t="s">
        <v>672</v>
      </c>
      <c r="G685" s="670"/>
      <c r="H685" s="670">
        <f>INT(E685*G685)</f>
        <v>0</v>
      </c>
      <c r="I685" s="670"/>
      <c r="J685" s="670"/>
      <c r="K685" s="670">
        <f>N683+N684</f>
        <v>280539</v>
      </c>
      <c r="L685" s="670">
        <f>INT(E685*K685)</f>
        <v>25248</v>
      </c>
      <c r="M685" s="670">
        <f t="shared" si="59"/>
        <v>280539</v>
      </c>
      <c r="N685" s="670">
        <f t="shared" si="59"/>
        <v>25248</v>
      </c>
      <c r="O685" s="671"/>
      <c r="P685" s="705"/>
    </row>
    <row r="686" spans="1:20" s="665" customFormat="1" ht="17.100000000000001" customHeight="1">
      <c r="A686" s="1316" t="s">
        <v>1578</v>
      </c>
      <c r="B686" s="1317"/>
      <c r="C686" s="1338" t="s">
        <v>1615</v>
      </c>
      <c r="D686" s="1317"/>
      <c r="E686" s="702">
        <f>R655</f>
        <v>2.08</v>
      </c>
      <c r="F686" s="676" t="s">
        <v>366</v>
      </c>
      <c r="G686" s="670"/>
      <c r="H686" s="670"/>
      <c r="I686" s="670">
        <f>[53]노임단가!$T$11</f>
        <v>268187</v>
      </c>
      <c r="J686" s="670">
        <f>INT(E686*I686)</f>
        <v>557828</v>
      </c>
      <c r="K686" s="670"/>
      <c r="L686" s="670"/>
      <c r="M686" s="670">
        <f t="shared" si="59"/>
        <v>268187</v>
      </c>
      <c r="N686" s="670">
        <f t="shared" si="59"/>
        <v>557828</v>
      </c>
      <c r="O686" s="671"/>
      <c r="P686" s="705"/>
      <c r="Q686" s="665" t="s">
        <v>1576</v>
      </c>
      <c r="R686" s="730" t="s">
        <v>1552</v>
      </c>
      <c r="S686" s="730" t="s">
        <v>371</v>
      </c>
      <c r="T686" s="730" t="s">
        <v>1608</v>
      </c>
    </row>
    <row r="687" spans="1:20" s="665" customFormat="1" ht="17.100000000000001" customHeight="1">
      <c r="A687" s="1316" t="s">
        <v>248</v>
      </c>
      <c r="B687" s="1317"/>
      <c r="C687" s="1338" t="s">
        <v>1615</v>
      </c>
      <c r="D687" s="1317"/>
      <c r="E687" s="686">
        <f>R656</f>
        <v>0.83</v>
      </c>
      <c r="F687" s="676" t="s">
        <v>366</v>
      </c>
      <c r="G687" s="670"/>
      <c r="H687" s="670"/>
      <c r="I687" s="670">
        <f>[53]노임단가!$T$5</f>
        <v>172068</v>
      </c>
      <c r="J687" s="670">
        <f>INT(E687*I687)</f>
        <v>142816</v>
      </c>
      <c r="K687" s="670"/>
      <c r="L687" s="670"/>
      <c r="M687" s="670">
        <f t="shared" si="59"/>
        <v>172068</v>
      </c>
      <c r="N687" s="670">
        <f t="shared" si="59"/>
        <v>142816</v>
      </c>
      <c r="O687" s="671"/>
      <c r="P687" s="705"/>
      <c r="R687" s="730">
        <f>ROUND(S687/T687,3)</f>
        <v>0.1</v>
      </c>
      <c r="S687" s="730">
        <v>5</v>
      </c>
      <c r="T687" s="730">
        <v>50</v>
      </c>
    </row>
    <row r="688" spans="1:20" s="665" customFormat="1" ht="17.100000000000001" customHeight="1">
      <c r="A688" s="1316" t="s">
        <v>1596</v>
      </c>
      <c r="B688" s="1317"/>
      <c r="C688" s="1338" t="s">
        <v>1600</v>
      </c>
      <c r="D688" s="1317"/>
      <c r="E688" s="702">
        <v>0.02</v>
      </c>
      <c r="F688" s="676" t="s">
        <v>672</v>
      </c>
      <c r="G688" s="670"/>
      <c r="H688" s="670">
        <f>INT(E688*G688)</f>
        <v>0</v>
      </c>
      <c r="I688" s="670"/>
      <c r="J688" s="670"/>
      <c r="K688" s="670">
        <f>N686+N687</f>
        <v>700644</v>
      </c>
      <c r="L688" s="670">
        <f>INT(E688*K688)</f>
        <v>14012</v>
      </c>
      <c r="M688" s="670">
        <f>G688+I688+K688</f>
        <v>700644</v>
      </c>
      <c r="N688" s="670">
        <f>H688+J688+L688</f>
        <v>14012</v>
      </c>
      <c r="O688" s="671"/>
      <c r="P688" s="672"/>
      <c r="R688" s="730">
        <f>ROUND(S688/T688,3)</f>
        <v>0.04</v>
      </c>
      <c r="S688" s="730">
        <v>2</v>
      </c>
      <c r="T688" s="730">
        <v>50</v>
      </c>
    </row>
    <row r="689" spans="1:22" s="665" customFormat="1" ht="17.100000000000001" customHeight="1">
      <c r="A689" s="1318" t="s">
        <v>1320</v>
      </c>
      <c r="B689" s="1319"/>
      <c r="C689" s="1371"/>
      <c r="D689" s="1372"/>
      <c r="E689" s="677"/>
      <c r="F689" s="676"/>
      <c r="G689" s="670"/>
      <c r="H689" s="670" t="e">
        <f>SUM(H680:H688)</f>
        <v>#REF!</v>
      </c>
      <c r="I689" s="670"/>
      <c r="J689" s="670">
        <f>SUM(J680:J688)</f>
        <v>981183</v>
      </c>
      <c r="K689" s="670"/>
      <c r="L689" s="670">
        <f>SUM(L680:L688)</f>
        <v>74238</v>
      </c>
      <c r="M689" s="670"/>
      <c r="N689" s="670" t="e">
        <f>SUM(N680:N688)</f>
        <v>#REF!</v>
      </c>
      <c r="O689" s="671"/>
      <c r="P689" s="672"/>
    </row>
    <row r="690" spans="1:22" s="665" customFormat="1" ht="17.100000000000001" customHeight="1">
      <c r="A690" s="668">
        <f>A679+1</f>
        <v>158</v>
      </c>
      <c r="B690" s="1320" t="s">
        <v>1616</v>
      </c>
      <c r="C690" s="1320"/>
      <c r="D690" s="1397" t="s">
        <v>1617</v>
      </c>
      <c r="E690" s="1320"/>
      <c r="F690" s="669" t="s">
        <v>645</v>
      </c>
      <c r="G690" s="670"/>
      <c r="H690" s="670"/>
      <c r="I690" s="670"/>
      <c r="J690" s="670"/>
      <c r="K690" s="670"/>
      <c r="L690" s="670"/>
      <c r="M690" s="670"/>
      <c r="N690" s="670"/>
      <c r="O690" s="671"/>
      <c r="P690" s="672"/>
      <c r="Q690" s="665" t="s">
        <v>1607</v>
      </c>
    </row>
    <row r="691" spans="1:22" s="665" customFormat="1" ht="17.100000000000001" customHeight="1">
      <c r="A691" s="1316" t="s">
        <v>1009</v>
      </c>
      <c r="B691" s="1317"/>
      <c r="C691" s="1316" t="s">
        <v>1618</v>
      </c>
      <c r="D691" s="1317"/>
      <c r="E691" s="675">
        <v>1.03</v>
      </c>
      <c r="F691" s="676" t="s">
        <v>645</v>
      </c>
      <c r="G691" s="670" t="e">
        <f>#REF!</f>
        <v>#REF!</v>
      </c>
      <c r="H691" s="670" t="e">
        <f>INT(E691*G691)</f>
        <v>#REF!</v>
      </c>
      <c r="I691" s="670"/>
      <c r="J691" s="670"/>
      <c r="K691" s="670"/>
      <c r="L691" s="670"/>
      <c r="M691" s="670" t="e">
        <f t="shared" ref="M691:N695" si="60">G691+I691+K691</f>
        <v>#REF!</v>
      </c>
      <c r="N691" s="670" t="e">
        <f t="shared" si="60"/>
        <v>#REF!</v>
      </c>
      <c r="O691" s="707"/>
      <c r="P691" s="705"/>
    </row>
    <row r="692" spans="1:22" s="665" customFormat="1" ht="17.100000000000001" customHeight="1">
      <c r="A692" s="1316" t="s">
        <v>845</v>
      </c>
      <c r="B692" s="1317"/>
      <c r="C692" s="1338" t="s">
        <v>847</v>
      </c>
      <c r="D692" s="1317"/>
      <c r="E692" s="686">
        <v>3.7999999999999999E-2</v>
      </c>
      <c r="F692" s="676" t="s">
        <v>850</v>
      </c>
      <c r="G692" s="670" t="e">
        <f>#REF!</f>
        <v>#REF!</v>
      </c>
      <c r="H692" s="670" t="e">
        <f>INT(E692*G692)</f>
        <v>#REF!</v>
      </c>
      <c r="I692" s="670"/>
      <c r="J692" s="670"/>
      <c r="K692" s="670"/>
      <c r="L692" s="670"/>
      <c r="M692" s="670" t="e">
        <f t="shared" si="60"/>
        <v>#REF!</v>
      </c>
      <c r="N692" s="670" t="e">
        <f t="shared" si="60"/>
        <v>#REF!</v>
      </c>
      <c r="O692" s="671"/>
      <c r="P692" s="705"/>
      <c r="Q692" s="665" t="s">
        <v>1576</v>
      </c>
      <c r="R692" s="730" t="s">
        <v>1552</v>
      </c>
      <c r="S692" s="730" t="s">
        <v>371</v>
      </c>
      <c r="T692" s="730" t="s">
        <v>1608</v>
      </c>
    </row>
    <row r="693" spans="1:22" s="665" customFormat="1" ht="17.100000000000001" customHeight="1">
      <c r="A693" s="1316" t="s">
        <v>1619</v>
      </c>
      <c r="B693" s="1317"/>
      <c r="C693" s="1338" t="s">
        <v>1620</v>
      </c>
      <c r="D693" s="1317"/>
      <c r="E693" s="702">
        <v>0.04</v>
      </c>
      <c r="F693" s="676" t="s">
        <v>672</v>
      </c>
      <c r="G693" s="670" t="e">
        <f>SUM(H691:H692)</f>
        <v>#REF!</v>
      </c>
      <c r="H693" s="670" t="e">
        <f>INT(E693*G693)</f>
        <v>#REF!</v>
      </c>
      <c r="I693" s="670"/>
      <c r="J693" s="670"/>
      <c r="K693" s="670"/>
      <c r="L693" s="670"/>
      <c r="M693" s="670" t="e">
        <f t="shared" si="60"/>
        <v>#REF!</v>
      </c>
      <c r="N693" s="670" t="e">
        <f t="shared" si="60"/>
        <v>#REF!</v>
      </c>
      <c r="O693" s="671"/>
      <c r="P693" s="705"/>
      <c r="R693" s="730">
        <f>ROUND(S693/T693,3)</f>
        <v>0.1</v>
      </c>
      <c r="S693" s="730">
        <v>5</v>
      </c>
      <c r="T693" s="730">
        <v>50</v>
      </c>
    </row>
    <row r="694" spans="1:22" s="665" customFormat="1" ht="17.100000000000001" customHeight="1">
      <c r="A694" s="1316" t="s">
        <v>1621</v>
      </c>
      <c r="B694" s="1317"/>
      <c r="C694" s="1338"/>
      <c r="D694" s="1317"/>
      <c r="E694" s="702">
        <f>$R$663</f>
        <v>0.25</v>
      </c>
      <c r="F694" s="676" t="s">
        <v>366</v>
      </c>
      <c r="G694" s="670"/>
      <c r="H694" s="670"/>
      <c r="I694" s="670">
        <f>[53]노임단가!$T$10</f>
        <v>275790</v>
      </c>
      <c r="J694" s="670">
        <f>INT(E694*I694)</f>
        <v>68947</v>
      </c>
      <c r="K694" s="670"/>
      <c r="L694" s="670"/>
      <c r="M694" s="670">
        <f t="shared" si="60"/>
        <v>275790</v>
      </c>
      <c r="N694" s="670">
        <f t="shared" si="60"/>
        <v>68947</v>
      </c>
      <c r="O694" s="671"/>
      <c r="P694" s="672"/>
      <c r="R694" s="730">
        <f>ROUND(S694/T694,3)</f>
        <v>0.04</v>
      </c>
      <c r="S694" s="730">
        <v>2</v>
      </c>
      <c r="T694" s="730">
        <v>50</v>
      </c>
    </row>
    <row r="695" spans="1:22" s="665" customFormat="1" ht="17.100000000000001" customHeight="1">
      <c r="A695" s="1316" t="s">
        <v>248</v>
      </c>
      <c r="B695" s="1317"/>
      <c r="C695" s="1338"/>
      <c r="D695" s="1317"/>
      <c r="E695" s="702">
        <f>R664</f>
        <v>0.1</v>
      </c>
      <c r="F695" s="676" t="s">
        <v>366</v>
      </c>
      <c r="G695" s="670"/>
      <c r="H695" s="670"/>
      <c r="I695" s="670">
        <f>[53]노임단가!$T$5</f>
        <v>172068</v>
      </c>
      <c r="J695" s="670">
        <f>INT(E695*I695)</f>
        <v>17206</v>
      </c>
      <c r="K695" s="670"/>
      <c r="L695" s="670"/>
      <c r="M695" s="670">
        <f t="shared" si="60"/>
        <v>172068</v>
      </c>
      <c r="N695" s="670">
        <f t="shared" si="60"/>
        <v>17206</v>
      </c>
      <c r="O695" s="671"/>
      <c r="P695" s="672"/>
    </row>
    <row r="696" spans="1:22" s="665" customFormat="1" ht="17.100000000000001" customHeight="1">
      <c r="A696" s="1318" t="s">
        <v>1320</v>
      </c>
      <c r="B696" s="1319"/>
      <c r="C696" s="1371"/>
      <c r="D696" s="1372"/>
      <c r="E696" s="677"/>
      <c r="F696" s="676"/>
      <c r="G696" s="670"/>
      <c r="H696" s="670" t="e">
        <f>SUM(H691:H695)</f>
        <v>#REF!</v>
      </c>
      <c r="I696" s="670"/>
      <c r="J696" s="670">
        <f>SUM(J691:J695)</f>
        <v>86153</v>
      </c>
      <c r="K696" s="670"/>
      <c r="L696" s="670">
        <f>SUM(L691:L695)</f>
        <v>0</v>
      </c>
      <c r="M696" s="670"/>
      <c r="N696" s="670" t="e">
        <f>SUM(N691:N695)</f>
        <v>#REF!</v>
      </c>
      <c r="O696" s="671"/>
      <c r="P696" s="672"/>
      <c r="Q696" s="665" t="s">
        <v>1622</v>
      </c>
    </row>
    <row r="697" spans="1:22" s="665" customFormat="1" ht="17.100000000000001" customHeight="1">
      <c r="A697" s="668">
        <f>A690+1</f>
        <v>159</v>
      </c>
      <c r="B697" s="1320" t="s">
        <v>1616</v>
      </c>
      <c r="C697" s="1320"/>
      <c r="D697" s="1397" t="s">
        <v>1623</v>
      </c>
      <c r="E697" s="1320"/>
      <c r="F697" s="669" t="s">
        <v>645</v>
      </c>
      <c r="G697" s="670"/>
      <c r="H697" s="670"/>
      <c r="I697" s="670"/>
      <c r="J697" s="670"/>
      <c r="K697" s="670"/>
      <c r="L697" s="670"/>
      <c r="M697" s="670"/>
      <c r="N697" s="670"/>
      <c r="O697" s="671"/>
      <c r="P697" s="705"/>
    </row>
    <row r="698" spans="1:22" s="665" customFormat="1" ht="17.100000000000001" customHeight="1">
      <c r="A698" s="1316" t="s">
        <v>1624</v>
      </c>
      <c r="B698" s="1317"/>
      <c r="C698" s="1316" t="s">
        <v>1625</v>
      </c>
      <c r="D698" s="1317"/>
      <c r="E698" s="702">
        <v>0.55000000000000004</v>
      </c>
      <c r="F698" s="676" t="s">
        <v>672</v>
      </c>
      <c r="G698" s="670" t="e">
        <f>$H$691+$H$692</f>
        <v>#REF!</v>
      </c>
      <c r="H698" s="670" t="e">
        <f>INT(E698*G698)</f>
        <v>#REF!</v>
      </c>
      <c r="I698" s="670"/>
      <c r="J698" s="670"/>
      <c r="K698" s="670"/>
      <c r="L698" s="670"/>
      <c r="M698" s="670" t="e">
        <f t="shared" ref="M698:N701" si="61">G698+I698+K698</f>
        <v>#REF!</v>
      </c>
      <c r="N698" s="670" t="e">
        <f t="shared" si="61"/>
        <v>#REF!</v>
      </c>
      <c r="O698" s="707"/>
      <c r="P698" s="672"/>
    </row>
    <row r="699" spans="1:22" s="665" customFormat="1" ht="16.5" customHeight="1">
      <c r="A699" s="1316" t="s">
        <v>1619</v>
      </c>
      <c r="B699" s="1317"/>
      <c r="C699" s="1316" t="s">
        <v>1626</v>
      </c>
      <c r="D699" s="1317"/>
      <c r="E699" s="702">
        <v>7.0000000000000007E-2</v>
      </c>
      <c r="F699" s="676" t="s">
        <v>672</v>
      </c>
      <c r="G699" s="670" t="e">
        <f>$H$693</f>
        <v>#REF!</v>
      </c>
      <c r="H699" s="670" t="e">
        <f>INT(E699*G699)</f>
        <v>#REF!</v>
      </c>
      <c r="I699" s="670"/>
      <c r="J699" s="670"/>
      <c r="K699" s="670"/>
      <c r="L699" s="670"/>
      <c r="M699" s="670" t="e">
        <f t="shared" si="61"/>
        <v>#REF!</v>
      </c>
      <c r="N699" s="670" t="e">
        <f t="shared" si="61"/>
        <v>#REF!</v>
      </c>
      <c r="O699" s="707"/>
      <c r="P699" s="705"/>
      <c r="Q699" s="665" t="s">
        <v>1576</v>
      </c>
      <c r="R699" s="730" t="s">
        <v>1552</v>
      </c>
      <c r="S699" s="730" t="s">
        <v>371</v>
      </c>
      <c r="T699" s="730" t="s">
        <v>1608</v>
      </c>
      <c r="U699" s="730" t="s">
        <v>1426</v>
      </c>
      <c r="V699" s="730"/>
    </row>
    <row r="700" spans="1:22" s="665" customFormat="1" ht="17.100000000000001" customHeight="1">
      <c r="A700" s="694" t="s">
        <v>1621</v>
      </c>
      <c r="B700" s="669"/>
      <c r="C700" s="694"/>
      <c r="D700" s="669"/>
      <c r="E700" s="702">
        <f>$R$669</f>
        <v>0.2</v>
      </c>
      <c r="F700" s="676" t="s">
        <v>366</v>
      </c>
      <c r="G700" s="670"/>
      <c r="H700" s="670"/>
      <c r="I700" s="670">
        <f>[53]노임단가!$T$10</f>
        <v>275790</v>
      </c>
      <c r="J700" s="670">
        <f>INT(E700*I700)</f>
        <v>55158</v>
      </c>
      <c r="K700" s="670"/>
      <c r="L700" s="670"/>
      <c r="M700" s="670">
        <f t="shared" si="61"/>
        <v>275790</v>
      </c>
      <c r="N700" s="670">
        <f t="shared" si="61"/>
        <v>55158</v>
      </c>
      <c r="O700" s="707"/>
      <c r="P700" s="672"/>
      <c r="R700" s="730">
        <f>ROUND(S700/T700,3)</f>
        <v>0.114</v>
      </c>
      <c r="S700" s="730">
        <v>4</v>
      </c>
      <c r="T700" s="730">
        <v>35</v>
      </c>
      <c r="U700" s="665">
        <f>ROUND(S700/T700,3)</f>
        <v>0.114</v>
      </c>
    </row>
    <row r="701" spans="1:22" s="665" customFormat="1" ht="17.100000000000001" customHeight="1">
      <c r="A701" s="694" t="s">
        <v>248</v>
      </c>
      <c r="B701" s="669"/>
      <c r="C701" s="694"/>
      <c r="D701" s="669"/>
      <c r="E701" s="702">
        <f>$R$670</f>
        <v>0.08</v>
      </c>
      <c r="F701" s="676" t="s">
        <v>366</v>
      </c>
      <c r="G701" s="670"/>
      <c r="H701" s="670"/>
      <c r="I701" s="670">
        <f>[53]노임단가!$T$5</f>
        <v>172068</v>
      </c>
      <c r="J701" s="670">
        <f>INT(E701*I701)</f>
        <v>13765</v>
      </c>
      <c r="K701" s="670"/>
      <c r="L701" s="670"/>
      <c r="M701" s="670">
        <f t="shared" si="61"/>
        <v>172068</v>
      </c>
      <c r="N701" s="670">
        <f t="shared" si="61"/>
        <v>13765</v>
      </c>
      <c r="O701" s="671"/>
      <c r="P701" s="672"/>
      <c r="R701" s="730">
        <f>ROUND(S701/T701,3)</f>
        <v>2.9000000000000001E-2</v>
      </c>
      <c r="S701" s="730">
        <v>1</v>
      </c>
      <c r="T701" s="730">
        <v>35</v>
      </c>
      <c r="U701" s="665">
        <f>ROUND(S701/T701,3)</f>
        <v>2.9000000000000001E-2</v>
      </c>
    </row>
    <row r="702" spans="1:22" s="665" customFormat="1" ht="17.100000000000001" customHeight="1">
      <c r="A702" s="1318" t="s">
        <v>1320</v>
      </c>
      <c r="B702" s="1319"/>
      <c r="C702" s="1371"/>
      <c r="D702" s="1372"/>
      <c r="E702" s="677"/>
      <c r="F702" s="676"/>
      <c r="G702" s="670"/>
      <c r="H702" s="670" t="e">
        <f>SUM(H698:H700)</f>
        <v>#REF!</v>
      </c>
      <c r="I702" s="670"/>
      <c r="J702" s="670">
        <f>SUM(J698:J701)</f>
        <v>68923</v>
      </c>
      <c r="K702" s="670"/>
      <c r="L702" s="670">
        <f>SUM(L698:L701)</f>
        <v>0</v>
      </c>
      <c r="M702" s="670"/>
      <c r="N702" s="670" t="e">
        <f>SUM(N698:N701)</f>
        <v>#REF!</v>
      </c>
      <c r="O702" s="671"/>
      <c r="P702" s="672"/>
    </row>
    <row r="703" spans="1:22" s="665" customFormat="1" ht="17.100000000000001" customHeight="1">
      <c r="A703" s="668">
        <f>A697+1</f>
        <v>160</v>
      </c>
      <c r="B703" s="1320" t="s">
        <v>1616</v>
      </c>
      <c r="C703" s="1320"/>
      <c r="D703" s="1397" t="s">
        <v>1627</v>
      </c>
      <c r="E703" s="1320"/>
      <c r="F703" s="669" t="s">
        <v>645</v>
      </c>
      <c r="G703" s="670"/>
      <c r="H703" s="670"/>
      <c r="I703" s="670"/>
      <c r="J703" s="670"/>
      <c r="K703" s="670"/>
      <c r="L703" s="670"/>
      <c r="M703" s="670"/>
      <c r="N703" s="670"/>
      <c r="O703" s="671"/>
      <c r="P703" s="672"/>
    </row>
    <row r="704" spans="1:22" s="665" customFormat="1" ht="17.100000000000001" customHeight="1">
      <c r="A704" s="1316" t="s">
        <v>1624</v>
      </c>
      <c r="B704" s="1317"/>
      <c r="C704" s="1316" t="s">
        <v>1628</v>
      </c>
      <c r="D704" s="1317"/>
      <c r="E704" s="686">
        <v>0.443</v>
      </c>
      <c r="F704" s="676" t="s">
        <v>672</v>
      </c>
      <c r="G704" s="670" t="e">
        <f>$H$691+$H$692</f>
        <v>#REF!</v>
      </c>
      <c r="H704" s="670" t="e">
        <f>INT(E704*G704)</f>
        <v>#REF!</v>
      </c>
      <c r="I704" s="670"/>
      <c r="J704" s="670"/>
      <c r="K704" s="670"/>
      <c r="L704" s="670"/>
      <c r="M704" s="670" t="e">
        <f t="shared" ref="M704:N707" si="62">G704+I704+K704</f>
        <v>#REF!</v>
      </c>
      <c r="N704" s="670" t="e">
        <f t="shared" si="62"/>
        <v>#REF!</v>
      </c>
      <c r="O704" s="707"/>
      <c r="P704" s="672"/>
    </row>
    <row r="705" spans="1:21" s="665" customFormat="1" ht="17.100000000000001" customHeight="1">
      <c r="A705" s="1316" t="s">
        <v>1619</v>
      </c>
      <c r="B705" s="1317"/>
      <c r="C705" s="1316" t="s">
        <v>1629</v>
      </c>
      <c r="D705" s="1317"/>
      <c r="E705" s="702">
        <v>0.08</v>
      </c>
      <c r="F705" s="676" t="s">
        <v>672</v>
      </c>
      <c r="G705" s="670" t="e">
        <f>$H$693</f>
        <v>#REF!</v>
      </c>
      <c r="H705" s="670" t="e">
        <f>INT(E705*G705)</f>
        <v>#REF!</v>
      </c>
      <c r="I705" s="670"/>
      <c r="J705" s="670"/>
      <c r="K705" s="670"/>
      <c r="L705" s="670"/>
      <c r="M705" s="670" t="e">
        <f t="shared" si="62"/>
        <v>#REF!</v>
      </c>
      <c r="N705" s="670" t="e">
        <f t="shared" si="62"/>
        <v>#REF!</v>
      </c>
      <c r="O705" s="707"/>
      <c r="P705" s="672"/>
      <c r="Q705" s="665" t="s">
        <v>1630</v>
      </c>
    </row>
    <row r="706" spans="1:21" s="665" customFormat="1" ht="17.100000000000001" customHeight="1">
      <c r="A706" s="694" t="s">
        <v>1621</v>
      </c>
      <c r="B706" s="669"/>
      <c r="C706" s="694"/>
      <c r="D706" s="669"/>
      <c r="E706" s="702">
        <f>$R$675</f>
        <v>0.16700000000000001</v>
      </c>
      <c r="F706" s="676" t="s">
        <v>366</v>
      </c>
      <c r="G706" s="670"/>
      <c r="H706" s="670"/>
      <c r="I706" s="670">
        <f>[53]노임단가!$T$10</f>
        <v>275790</v>
      </c>
      <c r="J706" s="670">
        <f>INT(E706*I706)</f>
        <v>46056</v>
      </c>
      <c r="K706" s="670"/>
      <c r="L706" s="670"/>
      <c r="M706" s="670">
        <f t="shared" si="62"/>
        <v>275790</v>
      </c>
      <c r="N706" s="670">
        <f t="shared" si="62"/>
        <v>46056</v>
      </c>
      <c r="O706" s="707"/>
      <c r="P706" s="705"/>
    </row>
    <row r="707" spans="1:21" s="665" customFormat="1" ht="17.100000000000001" customHeight="1">
      <c r="A707" s="694" t="s">
        <v>248</v>
      </c>
      <c r="B707" s="669"/>
      <c r="C707" s="694"/>
      <c r="D707" s="669"/>
      <c r="E707" s="702">
        <f>$R$676</f>
        <v>6.7000000000000004E-2</v>
      </c>
      <c r="F707" s="676" t="s">
        <v>366</v>
      </c>
      <c r="G707" s="670"/>
      <c r="H707" s="670"/>
      <c r="I707" s="670">
        <f>[53]노임단가!$T$5</f>
        <v>172068</v>
      </c>
      <c r="J707" s="670">
        <f>INT(E707*I707)</f>
        <v>11528</v>
      </c>
      <c r="K707" s="670"/>
      <c r="L707" s="670"/>
      <c r="M707" s="670">
        <f t="shared" si="62"/>
        <v>172068</v>
      </c>
      <c r="N707" s="670">
        <f t="shared" si="62"/>
        <v>11528</v>
      </c>
      <c r="O707" s="671"/>
      <c r="P707" s="705"/>
    </row>
    <row r="708" spans="1:21" s="665" customFormat="1" ht="17.100000000000001" customHeight="1">
      <c r="A708" s="1318" t="s">
        <v>1320</v>
      </c>
      <c r="B708" s="1319"/>
      <c r="C708" s="1371"/>
      <c r="D708" s="1372"/>
      <c r="E708" s="677"/>
      <c r="F708" s="676"/>
      <c r="G708" s="670"/>
      <c r="H708" s="670" t="e">
        <f>SUM(H704:H707)</f>
        <v>#REF!</v>
      </c>
      <c r="I708" s="670"/>
      <c r="J708" s="670">
        <f>SUM(J704:J707)</f>
        <v>57584</v>
      </c>
      <c r="K708" s="670"/>
      <c r="L708" s="670">
        <f>SUM(L704:L707)</f>
        <v>0</v>
      </c>
      <c r="M708" s="670"/>
      <c r="N708" s="670" t="e">
        <f>SUM(N704:N707)</f>
        <v>#REF!</v>
      </c>
      <c r="O708" s="671"/>
      <c r="P708" s="705"/>
    </row>
    <row r="709" spans="1:21" s="665" customFormat="1" ht="17.100000000000001" customHeight="1">
      <c r="A709" s="668">
        <f>A703+1</f>
        <v>161</v>
      </c>
      <c r="B709" s="1320" t="s">
        <v>1616</v>
      </c>
      <c r="C709" s="1320"/>
      <c r="D709" s="1397" t="s">
        <v>1631</v>
      </c>
      <c r="E709" s="1320"/>
      <c r="F709" s="669" t="s">
        <v>645</v>
      </c>
      <c r="G709" s="670"/>
      <c r="H709" s="670"/>
      <c r="I709" s="670"/>
      <c r="J709" s="670"/>
      <c r="K709" s="670"/>
      <c r="L709" s="670"/>
      <c r="M709" s="670"/>
      <c r="N709" s="670"/>
      <c r="O709" s="671"/>
      <c r="P709" s="672"/>
      <c r="R709" s="665">
        <f>ROUND(5/30,3)</f>
        <v>0.16700000000000001</v>
      </c>
    </row>
    <row r="710" spans="1:21" s="665" customFormat="1" ht="17.100000000000001" customHeight="1">
      <c r="A710" s="1316" t="s">
        <v>1624</v>
      </c>
      <c r="B710" s="1317"/>
      <c r="C710" s="1316" t="s">
        <v>1632</v>
      </c>
      <c r="D710" s="1317"/>
      <c r="E710" s="702">
        <v>0.38</v>
      </c>
      <c r="F710" s="676" t="s">
        <v>672</v>
      </c>
      <c r="G710" s="670" t="e">
        <f>$H$691+$H$692</f>
        <v>#REF!</v>
      </c>
      <c r="H710" s="670" t="e">
        <f>INT(E710*G710)</f>
        <v>#REF!</v>
      </c>
      <c r="I710" s="670"/>
      <c r="J710" s="670"/>
      <c r="K710" s="670"/>
      <c r="L710" s="670"/>
      <c r="M710" s="670" t="e">
        <f t="shared" ref="M710:N713" si="63">G710+I710+K710</f>
        <v>#REF!</v>
      </c>
      <c r="N710" s="670" t="e">
        <f t="shared" si="63"/>
        <v>#REF!</v>
      </c>
      <c r="O710" s="707"/>
      <c r="P710" s="672"/>
    </row>
    <row r="711" spans="1:21" s="665" customFormat="1" ht="17.100000000000001" customHeight="1">
      <c r="A711" s="1316" t="s">
        <v>1619</v>
      </c>
      <c r="B711" s="1317"/>
      <c r="C711" s="1316" t="s">
        <v>1633</v>
      </c>
      <c r="D711" s="1317"/>
      <c r="E711" s="702">
        <v>0.09</v>
      </c>
      <c r="F711" s="676" t="s">
        <v>672</v>
      </c>
      <c r="G711" s="670" t="e">
        <f>$H$693</f>
        <v>#REF!</v>
      </c>
      <c r="H711" s="670" t="e">
        <f>INT(E711*G711)</f>
        <v>#REF!</v>
      </c>
      <c r="I711" s="670"/>
      <c r="J711" s="670"/>
      <c r="K711" s="670"/>
      <c r="L711" s="670"/>
      <c r="M711" s="670" t="e">
        <f t="shared" si="63"/>
        <v>#REF!</v>
      </c>
      <c r="N711" s="670" t="e">
        <f t="shared" si="63"/>
        <v>#REF!</v>
      </c>
      <c r="O711" s="707"/>
      <c r="P711" s="672"/>
      <c r="Q711" s="665" t="s">
        <v>1630</v>
      </c>
    </row>
    <row r="712" spans="1:21" s="665" customFormat="1" ht="17.100000000000001" customHeight="1">
      <c r="A712" s="694" t="s">
        <v>1621</v>
      </c>
      <c r="B712" s="669"/>
      <c r="C712" s="694"/>
      <c r="D712" s="669"/>
      <c r="E712" s="702">
        <f>$R$681</f>
        <v>0.111</v>
      </c>
      <c r="F712" s="676" t="s">
        <v>366</v>
      </c>
      <c r="G712" s="670"/>
      <c r="H712" s="670"/>
      <c r="I712" s="670">
        <f>[53]노임단가!$T$10</f>
        <v>275790</v>
      </c>
      <c r="J712" s="670">
        <f>INT(E712*I712)</f>
        <v>30612</v>
      </c>
      <c r="K712" s="670"/>
      <c r="L712" s="670"/>
      <c r="M712" s="670">
        <f t="shared" si="63"/>
        <v>275790</v>
      </c>
      <c r="N712" s="670">
        <f t="shared" si="63"/>
        <v>30612</v>
      </c>
      <c r="O712" s="707"/>
      <c r="P712" s="705"/>
    </row>
    <row r="713" spans="1:21" s="665" customFormat="1" ht="17.100000000000001" customHeight="1">
      <c r="A713" s="694" t="s">
        <v>248</v>
      </c>
      <c r="B713" s="669"/>
      <c r="C713" s="694"/>
      <c r="D713" s="669"/>
      <c r="E713" s="702">
        <f>$R$682</f>
        <v>4.3999999999999997E-2</v>
      </c>
      <c r="F713" s="676" t="s">
        <v>366</v>
      </c>
      <c r="G713" s="670"/>
      <c r="H713" s="670"/>
      <c r="I713" s="670">
        <f>[53]노임단가!$T$5</f>
        <v>172068</v>
      </c>
      <c r="J713" s="670">
        <f>INT(E713*I713)</f>
        <v>7570</v>
      </c>
      <c r="K713" s="670"/>
      <c r="L713" s="670"/>
      <c r="M713" s="670">
        <f t="shared" si="63"/>
        <v>172068</v>
      </c>
      <c r="N713" s="670">
        <f t="shared" si="63"/>
        <v>7570</v>
      </c>
      <c r="O713" s="671"/>
      <c r="P713" s="705"/>
    </row>
    <row r="714" spans="1:21" s="665" customFormat="1" ht="17.100000000000001" customHeight="1">
      <c r="A714" s="1318" t="s">
        <v>1320</v>
      </c>
      <c r="B714" s="1319"/>
      <c r="C714" s="1371"/>
      <c r="D714" s="1372"/>
      <c r="E714" s="677"/>
      <c r="F714" s="676"/>
      <c r="G714" s="670"/>
      <c r="H714" s="670" t="e">
        <f>SUM(H710:H713)</f>
        <v>#REF!</v>
      </c>
      <c r="I714" s="670"/>
      <c r="J714" s="670">
        <f>SUM(J710:J713)</f>
        <v>38182</v>
      </c>
      <c r="K714" s="670"/>
      <c r="L714" s="670">
        <f>SUM(L710:L713)</f>
        <v>0</v>
      </c>
      <c r="M714" s="670"/>
      <c r="N714" s="670" t="e">
        <f>SUM(N710:N713)</f>
        <v>#REF!</v>
      </c>
      <c r="O714" s="671"/>
      <c r="P714" s="705"/>
    </row>
    <row r="715" spans="1:21" s="665" customFormat="1" ht="17.100000000000001" customHeight="1">
      <c r="A715" s="668">
        <f>A709+1</f>
        <v>162</v>
      </c>
      <c r="B715" s="1320" t="s">
        <v>1616</v>
      </c>
      <c r="C715" s="1320"/>
      <c r="D715" s="1397" t="s">
        <v>1634</v>
      </c>
      <c r="E715" s="1320"/>
      <c r="F715" s="669" t="s">
        <v>645</v>
      </c>
      <c r="G715" s="670"/>
      <c r="H715" s="670"/>
      <c r="I715" s="670"/>
      <c r="J715" s="670"/>
      <c r="K715" s="670"/>
      <c r="L715" s="670"/>
      <c r="M715" s="670"/>
      <c r="N715" s="670"/>
      <c r="O715" s="671"/>
      <c r="P715" s="672"/>
    </row>
    <row r="716" spans="1:21" s="665" customFormat="1" ht="17.100000000000001" customHeight="1">
      <c r="A716" s="1316" t="s">
        <v>1624</v>
      </c>
      <c r="B716" s="1317"/>
      <c r="C716" s="1316" t="s">
        <v>1635</v>
      </c>
      <c r="D716" s="1317"/>
      <c r="E716" s="702">
        <v>0.35</v>
      </c>
      <c r="F716" s="676" t="s">
        <v>672</v>
      </c>
      <c r="G716" s="670" t="e">
        <f>$H$691+$H$692</f>
        <v>#REF!</v>
      </c>
      <c r="H716" s="670" t="e">
        <f>INT(E716*G716)</f>
        <v>#REF!</v>
      </c>
      <c r="I716" s="670"/>
      <c r="J716" s="670"/>
      <c r="K716" s="670"/>
      <c r="L716" s="670"/>
      <c r="M716" s="670" t="e">
        <f t="shared" ref="M716:N719" si="64">G716+I716+K716</f>
        <v>#REF!</v>
      </c>
      <c r="N716" s="670" t="e">
        <f t="shared" si="64"/>
        <v>#REF!</v>
      </c>
      <c r="O716" s="707"/>
      <c r="P716" s="672"/>
    </row>
    <row r="717" spans="1:21" s="665" customFormat="1" ht="17.100000000000001" customHeight="1">
      <c r="A717" s="1316" t="s">
        <v>1619</v>
      </c>
      <c r="B717" s="1317"/>
      <c r="C717" s="1316" t="s">
        <v>1636</v>
      </c>
      <c r="D717" s="1317"/>
      <c r="E717" s="702">
        <v>0.1</v>
      </c>
      <c r="F717" s="676" t="s">
        <v>672</v>
      </c>
      <c r="G717" s="670" t="e">
        <f>$H$693</f>
        <v>#REF!</v>
      </c>
      <c r="H717" s="670" t="e">
        <f>INT(E717*G717)</f>
        <v>#REF!</v>
      </c>
      <c r="I717" s="670"/>
      <c r="J717" s="670"/>
      <c r="K717" s="670"/>
      <c r="L717" s="670"/>
      <c r="M717" s="670" t="e">
        <f t="shared" si="64"/>
        <v>#REF!</v>
      </c>
      <c r="N717" s="670" t="e">
        <f t="shared" si="64"/>
        <v>#REF!</v>
      </c>
      <c r="O717" s="707"/>
      <c r="P717" s="672"/>
      <c r="Q717" s="665" t="s">
        <v>1630</v>
      </c>
    </row>
    <row r="718" spans="1:21" s="665" customFormat="1" ht="17.100000000000001" customHeight="1">
      <c r="A718" s="694" t="s">
        <v>1621</v>
      </c>
      <c r="B718" s="669"/>
      <c r="C718" s="694"/>
      <c r="D718" s="669"/>
      <c r="E718" s="702">
        <f>$R$687</f>
        <v>0.1</v>
      </c>
      <c r="F718" s="676" t="s">
        <v>366</v>
      </c>
      <c r="G718" s="670"/>
      <c r="H718" s="670"/>
      <c r="I718" s="670">
        <f>[53]노임단가!$T$10</f>
        <v>275790</v>
      </c>
      <c r="J718" s="670">
        <f>INT(E718*I718)</f>
        <v>27579</v>
      </c>
      <c r="K718" s="670"/>
      <c r="L718" s="670"/>
      <c r="M718" s="670">
        <f t="shared" si="64"/>
        <v>275790</v>
      </c>
      <c r="N718" s="670">
        <f t="shared" si="64"/>
        <v>27579</v>
      </c>
      <c r="O718" s="707"/>
      <c r="P718" s="705"/>
    </row>
    <row r="719" spans="1:21" s="665" customFormat="1" ht="17.100000000000001" customHeight="1">
      <c r="A719" s="694" t="s">
        <v>248</v>
      </c>
      <c r="B719" s="669"/>
      <c r="C719" s="694"/>
      <c r="D719" s="669"/>
      <c r="E719" s="702">
        <f>$R$688</f>
        <v>0.04</v>
      </c>
      <c r="F719" s="676" t="s">
        <v>366</v>
      </c>
      <c r="G719" s="670"/>
      <c r="H719" s="670"/>
      <c r="I719" s="670">
        <f>[53]노임단가!$T$5</f>
        <v>172068</v>
      </c>
      <c r="J719" s="670">
        <f>INT(E719*I719)</f>
        <v>6882</v>
      </c>
      <c r="K719" s="670"/>
      <c r="L719" s="670"/>
      <c r="M719" s="670">
        <f t="shared" si="64"/>
        <v>172068</v>
      </c>
      <c r="N719" s="670">
        <f t="shared" si="64"/>
        <v>6882</v>
      </c>
      <c r="O719" s="671"/>
      <c r="P719" s="705"/>
    </row>
    <row r="720" spans="1:21" s="665" customFormat="1" ht="17.100000000000001" customHeight="1">
      <c r="A720" s="1318" t="s">
        <v>1320</v>
      </c>
      <c r="B720" s="1319"/>
      <c r="C720" s="1371"/>
      <c r="D720" s="1372"/>
      <c r="E720" s="677"/>
      <c r="F720" s="676"/>
      <c r="G720" s="670"/>
      <c r="H720" s="670" t="e">
        <f>SUM(H716:H719)</f>
        <v>#REF!</v>
      </c>
      <c r="I720" s="670"/>
      <c r="J720" s="670">
        <f>SUM(J716:J719)</f>
        <v>34461</v>
      </c>
      <c r="K720" s="670"/>
      <c r="L720" s="670">
        <f>SUM(L716:L719)</f>
        <v>0</v>
      </c>
      <c r="M720" s="670"/>
      <c r="N720" s="670" t="e">
        <f>SUM(N716:N719)</f>
        <v>#REF!</v>
      </c>
      <c r="O720" s="671"/>
      <c r="P720" s="678" t="s">
        <v>1637</v>
      </c>
      <c r="Q720" s="734" t="s">
        <v>1638</v>
      </c>
      <c r="R720" s="734"/>
      <c r="S720" s="734"/>
      <c r="T720" s="734" t="s">
        <v>1639</v>
      </c>
      <c r="U720" s="673"/>
    </row>
    <row r="721" spans="1:21" s="665" customFormat="1" ht="17.100000000000001" customHeight="1">
      <c r="A721" s="668">
        <f>A715+1</f>
        <v>163</v>
      </c>
      <c r="B721" s="1320" t="s">
        <v>1616</v>
      </c>
      <c r="C721" s="1320"/>
      <c r="D721" s="1397" t="s">
        <v>1640</v>
      </c>
      <c r="E721" s="1320"/>
      <c r="F721" s="669" t="s">
        <v>645</v>
      </c>
      <c r="G721" s="670"/>
      <c r="H721" s="670"/>
      <c r="I721" s="670"/>
      <c r="J721" s="670"/>
      <c r="K721" s="670"/>
      <c r="L721" s="670"/>
      <c r="M721" s="670"/>
      <c r="N721" s="670"/>
      <c r="O721" s="671"/>
      <c r="P721" s="735" t="s">
        <v>1641</v>
      </c>
      <c r="Q721" s="734"/>
      <c r="R721" s="734" t="s">
        <v>1642</v>
      </c>
      <c r="S721" s="734" t="s">
        <v>1643</v>
      </c>
      <c r="T721" s="734" t="s">
        <v>1642</v>
      </c>
      <c r="U721" s="734" t="s">
        <v>1643</v>
      </c>
    </row>
    <row r="722" spans="1:21" s="665" customFormat="1" ht="17.100000000000001" customHeight="1">
      <c r="A722" s="1316" t="s">
        <v>1624</v>
      </c>
      <c r="B722" s="1317"/>
      <c r="C722" s="1316" t="s">
        <v>1644</v>
      </c>
      <c r="D722" s="1317"/>
      <c r="E722" s="686">
        <v>0.32700000000000001</v>
      </c>
      <c r="F722" s="676" t="s">
        <v>672</v>
      </c>
      <c r="G722" s="670" t="e">
        <f>$H$691+$H$692</f>
        <v>#REF!</v>
      </c>
      <c r="H722" s="670" t="e">
        <f>INT(E722*G722)</f>
        <v>#REF!</v>
      </c>
      <c r="I722" s="670"/>
      <c r="J722" s="670"/>
      <c r="K722" s="670"/>
      <c r="L722" s="670"/>
      <c r="M722" s="670" t="e">
        <f t="shared" ref="M722:N725" si="65">G722+I722+K722</f>
        <v>#REF!</v>
      </c>
      <c r="N722" s="670" t="e">
        <f t="shared" si="65"/>
        <v>#REF!</v>
      </c>
      <c r="O722" s="707"/>
      <c r="P722" s="736" t="s">
        <v>1645</v>
      </c>
      <c r="Q722" s="734"/>
      <c r="R722" s="734">
        <v>1.19</v>
      </c>
      <c r="S722" s="734">
        <v>0.95</v>
      </c>
      <c r="T722" s="734">
        <f>R722/10</f>
        <v>0.11899999999999999</v>
      </c>
      <c r="U722" s="673">
        <f>S722/10</f>
        <v>9.5000000000000001E-2</v>
      </c>
    </row>
    <row r="723" spans="1:21" s="665" customFormat="1" ht="17.100000000000001" customHeight="1">
      <c r="A723" s="1316" t="s">
        <v>1619</v>
      </c>
      <c r="B723" s="1317"/>
      <c r="C723" s="1316" t="s">
        <v>1646</v>
      </c>
      <c r="D723" s="1317"/>
      <c r="E723" s="702">
        <v>0.11</v>
      </c>
      <c r="F723" s="676" t="s">
        <v>672</v>
      </c>
      <c r="G723" s="670" t="e">
        <f>$H$693</f>
        <v>#REF!</v>
      </c>
      <c r="H723" s="670" t="e">
        <f>INT(E723*G723)</f>
        <v>#REF!</v>
      </c>
      <c r="I723" s="670"/>
      <c r="J723" s="670"/>
      <c r="K723" s="670"/>
      <c r="L723" s="670"/>
      <c r="M723" s="670" t="e">
        <f t="shared" si="65"/>
        <v>#REF!</v>
      </c>
      <c r="N723" s="670" t="e">
        <f t="shared" si="65"/>
        <v>#REF!</v>
      </c>
      <c r="O723" s="707"/>
      <c r="P723" s="736" t="s">
        <v>1647</v>
      </c>
      <c r="Q723" s="734" t="s">
        <v>1648</v>
      </c>
      <c r="R723" s="734">
        <v>44</v>
      </c>
      <c r="S723" s="734">
        <v>55</v>
      </c>
      <c r="T723" s="734"/>
      <c r="U723" s="673"/>
    </row>
    <row r="724" spans="1:21" s="665" customFormat="1" ht="17.100000000000001" customHeight="1">
      <c r="A724" s="694" t="s">
        <v>1621</v>
      </c>
      <c r="B724" s="669"/>
      <c r="C724" s="694"/>
      <c r="D724" s="669"/>
      <c r="E724" s="702">
        <f>$R$693</f>
        <v>0.1</v>
      </c>
      <c r="F724" s="676" t="s">
        <v>366</v>
      </c>
      <c r="G724" s="670"/>
      <c r="H724" s="670"/>
      <c r="I724" s="670">
        <f>[53]노임단가!$T$10</f>
        <v>275790</v>
      </c>
      <c r="J724" s="670">
        <f>INT(E724*I724)</f>
        <v>27579</v>
      </c>
      <c r="K724" s="670"/>
      <c r="L724" s="670"/>
      <c r="M724" s="670">
        <f t="shared" si="65"/>
        <v>275790</v>
      </c>
      <c r="N724" s="670">
        <f t="shared" si="65"/>
        <v>27579</v>
      </c>
      <c r="O724" s="707"/>
      <c r="P724" s="678"/>
      <c r="Q724" s="734"/>
      <c r="R724" s="734" t="s">
        <v>1649</v>
      </c>
      <c r="S724" s="734" t="s">
        <v>1639</v>
      </c>
      <c r="T724" s="734"/>
      <c r="U724" s="673"/>
    </row>
    <row r="725" spans="1:21" s="665" customFormat="1" ht="17.100000000000001" customHeight="1">
      <c r="A725" s="694" t="s">
        <v>248</v>
      </c>
      <c r="B725" s="669"/>
      <c r="C725" s="694"/>
      <c r="D725" s="669"/>
      <c r="E725" s="702">
        <f>$R$694</f>
        <v>0.04</v>
      </c>
      <c r="F725" s="676" t="s">
        <v>366</v>
      </c>
      <c r="G725" s="670"/>
      <c r="H725" s="670"/>
      <c r="I725" s="670">
        <f>[53]노임단가!$T$5</f>
        <v>172068</v>
      </c>
      <c r="J725" s="670">
        <f>INT(E725*I725)</f>
        <v>6882</v>
      </c>
      <c r="K725" s="670"/>
      <c r="L725" s="670"/>
      <c r="M725" s="670">
        <f t="shared" si="65"/>
        <v>172068</v>
      </c>
      <c r="N725" s="670">
        <f t="shared" si="65"/>
        <v>6882</v>
      </c>
      <c r="O725" s="671"/>
      <c r="P725" s="705" t="s">
        <v>1650</v>
      </c>
      <c r="Q725" s="665">
        <v>4</v>
      </c>
      <c r="R725" s="665">
        <v>35</v>
      </c>
      <c r="S725" s="665">
        <f>1/R725</f>
        <v>2.8571428571428571E-2</v>
      </c>
      <c r="T725" s="665">
        <f>Q725*S725</f>
        <v>0.11428571428571428</v>
      </c>
    </row>
    <row r="726" spans="1:21" s="665" customFormat="1" ht="17.100000000000001" customHeight="1">
      <c r="A726" s="1318" t="s">
        <v>1320</v>
      </c>
      <c r="B726" s="1319"/>
      <c r="C726" s="1371"/>
      <c r="D726" s="1372"/>
      <c r="E726" s="677"/>
      <c r="F726" s="676"/>
      <c r="G726" s="670"/>
      <c r="H726" s="670" t="e">
        <f>SUM(H722:H725)</f>
        <v>#REF!</v>
      </c>
      <c r="I726" s="670"/>
      <c r="J726" s="670">
        <f>SUM(J722:J725)</f>
        <v>34461</v>
      </c>
      <c r="K726" s="670"/>
      <c r="L726" s="670">
        <f>SUM(L722:L725)</f>
        <v>0</v>
      </c>
      <c r="M726" s="670"/>
      <c r="N726" s="670" t="e">
        <f>SUM(N722:N725)</f>
        <v>#REF!</v>
      </c>
      <c r="O726" s="671"/>
      <c r="P726" s="672" t="s">
        <v>1651</v>
      </c>
      <c r="Q726" s="665">
        <v>1</v>
      </c>
      <c r="T726" s="665">
        <f>S725*Q726</f>
        <v>2.8571428571428571E-2</v>
      </c>
    </row>
    <row r="727" spans="1:21" s="673" customFormat="1" ht="17.100000000000001" customHeight="1">
      <c r="A727" s="737">
        <f>A721+1</f>
        <v>164</v>
      </c>
      <c r="B727" s="1345" t="s">
        <v>870</v>
      </c>
      <c r="C727" s="1345"/>
      <c r="D727" s="1399" t="s">
        <v>1652</v>
      </c>
      <c r="E727" s="1345"/>
      <c r="F727" s="738" t="s">
        <v>645</v>
      </c>
      <c r="G727" s="739"/>
      <c r="H727" s="739"/>
      <c r="I727" s="739"/>
      <c r="J727" s="739"/>
      <c r="K727" s="739"/>
      <c r="L727" s="739"/>
      <c r="M727" s="739"/>
      <c r="N727" s="739"/>
      <c r="O727" s="740"/>
      <c r="P727" s="678"/>
      <c r="Q727" s="734"/>
      <c r="R727" s="734"/>
      <c r="S727" s="734"/>
      <c r="T727" s="734"/>
    </row>
    <row r="728" spans="1:21" s="673" customFormat="1" ht="17.100000000000001" customHeight="1">
      <c r="A728" s="1341" t="s">
        <v>870</v>
      </c>
      <c r="B728" s="1342"/>
      <c r="C728" s="1341" t="s">
        <v>874</v>
      </c>
      <c r="D728" s="1342"/>
      <c r="E728" s="741">
        <v>0.11899999999999999</v>
      </c>
      <c r="F728" s="742" t="s">
        <v>810</v>
      </c>
      <c r="G728" s="739" t="e">
        <f>#REF!</f>
        <v>#REF!</v>
      </c>
      <c r="H728" s="739" t="e">
        <f>INT(E728*G728)</f>
        <v>#REF!</v>
      </c>
      <c r="I728" s="739"/>
      <c r="J728" s="739"/>
      <c r="K728" s="739"/>
      <c r="L728" s="739"/>
      <c r="M728" s="739" t="e">
        <f t="shared" ref="M728:N732" si="66">G728+I728+K728</f>
        <v>#REF!</v>
      </c>
      <c r="N728" s="739" t="e">
        <f t="shared" si="66"/>
        <v>#REF!</v>
      </c>
      <c r="O728" s="743"/>
      <c r="P728" s="735"/>
      <c r="Q728" s="734"/>
      <c r="R728" s="734"/>
      <c r="S728" s="734"/>
      <c r="T728" s="734"/>
      <c r="U728" s="734"/>
    </row>
    <row r="729" spans="1:21" s="673" customFormat="1" ht="17.100000000000001" customHeight="1">
      <c r="A729" s="1341" t="s">
        <v>1653</v>
      </c>
      <c r="B729" s="1342"/>
      <c r="C729" s="1341" t="s">
        <v>1654</v>
      </c>
      <c r="D729" s="1342"/>
      <c r="E729" s="744">
        <v>0.44</v>
      </c>
      <c r="F729" s="742" t="s">
        <v>672</v>
      </c>
      <c r="G729" s="739" t="e">
        <f>SUM(H728:H728)</f>
        <v>#REF!</v>
      </c>
      <c r="H729" s="739" t="e">
        <f>INT(E729*G729)</f>
        <v>#REF!</v>
      </c>
      <c r="I729" s="739"/>
      <c r="J729" s="739"/>
      <c r="K729" s="739"/>
      <c r="L729" s="739"/>
      <c r="M729" s="739" t="e">
        <f t="shared" si="66"/>
        <v>#REF!</v>
      </c>
      <c r="N729" s="739" t="e">
        <f t="shared" si="66"/>
        <v>#REF!</v>
      </c>
      <c r="O729" s="743"/>
      <c r="P729" s="736"/>
      <c r="Q729" s="734"/>
      <c r="R729" s="734"/>
      <c r="S729" s="734"/>
      <c r="T729" s="734"/>
    </row>
    <row r="730" spans="1:21" s="673" customFormat="1" ht="17.100000000000001" customHeight="1">
      <c r="A730" s="1341" t="s">
        <v>1621</v>
      </c>
      <c r="B730" s="1342"/>
      <c r="C730" s="1398"/>
      <c r="D730" s="1342"/>
      <c r="E730" s="745">
        <f>$R$700</f>
        <v>0.114</v>
      </c>
      <c r="F730" s="742" t="s">
        <v>366</v>
      </c>
      <c r="G730" s="739"/>
      <c r="H730" s="739"/>
      <c r="I730" s="739">
        <f>[53]노임단가!$T$10</f>
        <v>275790</v>
      </c>
      <c r="J730" s="739">
        <f>INT(E730*I730)</f>
        <v>31440</v>
      </c>
      <c r="K730" s="739"/>
      <c r="L730" s="739"/>
      <c r="M730" s="739">
        <f t="shared" si="66"/>
        <v>275790</v>
      </c>
      <c r="N730" s="739">
        <f t="shared" si="66"/>
        <v>31440</v>
      </c>
      <c r="O730" s="740"/>
      <c r="P730" s="678"/>
      <c r="Q730" s="734"/>
      <c r="R730" s="734"/>
      <c r="S730" s="734"/>
      <c r="T730" s="734"/>
    </row>
    <row r="731" spans="1:21" s="673" customFormat="1" ht="17.100000000000001" customHeight="1">
      <c r="A731" s="1341" t="s">
        <v>248</v>
      </c>
      <c r="B731" s="1342"/>
      <c r="C731" s="1398"/>
      <c r="D731" s="1342"/>
      <c r="E731" s="745">
        <f>$R$701</f>
        <v>2.9000000000000001E-2</v>
      </c>
      <c r="F731" s="742" t="s">
        <v>366</v>
      </c>
      <c r="G731" s="739"/>
      <c r="H731" s="739"/>
      <c r="I731" s="739">
        <f>[53]노임단가!$T$5</f>
        <v>172068</v>
      </c>
      <c r="J731" s="739">
        <f>INT(E731*I731)</f>
        <v>4989</v>
      </c>
      <c r="K731" s="739"/>
      <c r="L731" s="739"/>
      <c r="M731" s="739">
        <f t="shared" si="66"/>
        <v>172068</v>
      </c>
      <c r="N731" s="739">
        <f t="shared" si="66"/>
        <v>4989</v>
      </c>
      <c r="O731" s="740"/>
      <c r="P731" s="678"/>
      <c r="Q731" s="734"/>
      <c r="R731" s="734"/>
      <c r="S731" s="734"/>
      <c r="T731" s="734"/>
    </row>
    <row r="732" spans="1:21" s="673" customFormat="1" ht="17.100000000000001" customHeight="1">
      <c r="A732" s="1341" t="s">
        <v>1485</v>
      </c>
      <c r="B732" s="1342"/>
      <c r="C732" s="1398" t="s">
        <v>1451</v>
      </c>
      <c r="D732" s="1342"/>
      <c r="E732" s="746">
        <v>0.03</v>
      </c>
      <c r="F732" s="742" t="s">
        <v>672</v>
      </c>
      <c r="G732" s="739"/>
      <c r="H732" s="739">
        <f>INT(E732*G732)</f>
        <v>0</v>
      </c>
      <c r="I732" s="739"/>
      <c r="J732" s="739"/>
      <c r="K732" s="739">
        <f>J730+J731</f>
        <v>36429</v>
      </c>
      <c r="L732" s="739">
        <f>INT(E732*K732)</f>
        <v>1092</v>
      </c>
      <c r="M732" s="739">
        <f t="shared" si="66"/>
        <v>36429</v>
      </c>
      <c r="N732" s="739">
        <f t="shared" si="66"/>
        <v>1092</v>
      </c>
      <c r="O732" s="740"/>
      <c r="P732" s="736"/>
    </row>
    <row r="733" spans="1:21" s="673" customFormat="1" ht="17.100000000000001" customHeight="1">
      <c r="A733" s="1343" t="s">
        <v>1320</v>
      </c>
      <c r="B733" s="1344"/>
      <c r="C733" s="1395"/>
      <c r="D733" s="1396"/>
      <c r="E733" s="747"/>
      <c r="F733" s="742"/>
      <c r="G733" s="739"/>
      <c r="H733" s="739" t="e">
        <f>SUM(H728:H732)</f>
        <v>#REF!</v>
      </c>
      <c r="I733" s="739"/>
      <c r="J733" s="739">
        <f>SUM(J728:J732)</f>
        <v>36429</v>
      </c>
      <c r="K733" s="739"/>
      <c r="L733" s="739">
        <f>SUM(L728:L732)</f>
        <v>1092</v>
      </c>
      <c r="M733" s="739"/>
      <c r="N733" s="739" t="e">
        <f>SUM(N728:N732)</f>
        <v>#REF!</v>
      </c>
      <c r="O733" s="740"/>
      <c r="P733" s="736"/>
    </row>
    <row r="734" spans="1:21" s="673" customFormat="1" ht="17.100000000000001" customHeight="1">
      <c r="A734" s="737">
        <f>A727+1</f>
        <v>165</v>
      </c>
      <c r="B734" s="1345" t="s">
        <v>870</v>
      </c>
      <c r="C734" s="1345"/>
      <c r="D734" s="1399" t="s">
        <v>1655</v>
      </c>
      <c r="E734" s="1345"/>
      <c r="F734" s="738" t="s">
        <v>645</v>
      </c>
      <c r="G734" s="739"/>
      <c r="H734" s="739"/>
      <c r="I734" s="739"/>
      <c r="J734" s="739"/>
      <c r="K734" s="739"/>
      <c r="L734" s="739"/>
      <c r="M734" s="739"/>
      <c r="N734" s="739"/>
      <c r="O734" s="740"/>
      <c r="P734" s="678"/>
    </row>
    <row r="735" spans="1:21" s="673" customFormat="1" ht="17.100000000000001" customHeight="1">
      <c r="A735" s="1341" t="s">
        <v>870</v>
      </c>
      <c r="B735" s="1342"/>
      <c r="C735" s="1341" t="s">
        <v>874</v>
      </c>
      <c r="D735" s="1342"/>
      <c r="E735" s="741">
        <v>9.5000000000000001E-2</v>
      </c>
      <c r="F735" s="742" t="s">
        <v>810</v>
      </c>
      <c r="G735" s="739" t="e">
        <f>#REF!</f>
        <v>#REF!</v>
      </c>
      <c r="H735" s="739" t="e">
        <f>INT(E735*G735)</f>
        <v>#REF!</v>
      </c>
      <c r="I735" s="739"/>
      <c r="J735" s="739"/>
      <c r="K735" s="739"/>
      <c r="L735" s="739"/>
      <c r="M735" s="739" t="e">
        <f t="shared" ref="M735:N739" si="67">G735+I735+K735</f>
        <v>#REF!</v>
      </c>
      <c r="N735" s="739" t="e">
        <f t="shared" si="67"/>
        <v>#REF!</v>
      </c>
      <c r="O735" s="743"/>
      <c r="P735" s="678"/>
    </row>
    <row r="736" spans="1:21" s="673" customFormat="1" ht="17.100000000000001" customHeight="1">
      <c r="A736" s="1341" t="s">
        <v>1653</v>
      </c>
      <c r="B736" s="1342"/>
      <c r="C736" s="1341" t="s">
        <v>1656</v>
      </c>
      <c r="D736" s="1342"/>
      <c r="E736" s="744">
        <v>0.55000000000000004</v>
      </c>
      <c r="F736" s="742" t="s">
        <v>672</v>
      </c>
      <c r="G736" s="739" t="e">
        <f>SUM(H735:H735)</f>
        <v>#REF!</v>
      </c>
      <c r="H736" s="739" t="e">
        <f>INT(E736*G736)</f>
        <v>#REF!</v>
      </c>
      <c r="I736" s="739"/>
      <c r="J736" s="739"/>
      <c r="K736" s="739"/>
      <c r="L736" s="739"/>
      <c r="M736" s="739" t="e">
        <f t="shared" si="67"/>
        <v>#REF!</v>
      </c>
      <c r="N736" s="739" t="e">
        <f t="shared" si="67"/>
        <v>#REF!</v>
      </c>
      <c r="O736" s="743"/>
      <c r="P736" s="736"/>
    </row>
    <row r="737" spans="1:20" s="673" customFormat="1" ht="17.100000000000001" customHeight="1">
      <c r="A737" s="1341" t="s">
        <v>1621</v>
      </c>
      <c r="B737" s="1342"/>
      <c r="C737" s="1398"/>
      <c r="D737" s="1342"/>
      <c r="E737" s="745">
        <f>$R$700</f>
        <v>0.114</v>
      </c>
      <c r="F737" s="742" t="s">
        <v>366</v>
      </c>
      <c r="G737" s="739"/>
      <c r="H737" s="739"/>
      <c r="I737" s="739">
        <f>[53]노임단가!$T$10</f>
        <v>275790</v>
      </c>
      <c r="J737" s="739">
        <f>INT(E737*I737)</f>
        <v>31440</v>
      </c>
      <c r="K737" s="739"/>
      <c r="L737" s="739"/>
      <c r="M737" s="739">
        <f t="shared" si="67"/>
        <v>275790</v>
      </c>
      <c r="N737" s="739">
        <f t="shared" si="67"/>
        <v>31440</v>
      </c>
      <c r="O737" s="740"/>
      <c r="P737" s="678"/>
    </row>
    <row r="738" spans="1:20" s="673" customFormat="1" ht="17.100000000000001" customHeight="1">
      <c r="A738" s="1341" t="s">
        <v>248</v>
      </c>
      <c r="B738" s="1342"/>
      <c r="C738" s="1398"/>
      <c r="D738" s="1342"/>
      <c r="E738" s="745">
        <f>$R$701</f>
        <v>2.9000000000000001E-2</v>
      </c>
      <c r="F738" s="742" t="s">
        <v>366</v>
      </c>
      <c r="G738" s="739"/>
      <c r="H738" s="739"/>
      <c r="I738" s="739">
        <f>[53]노임단가!$T$5</f>
        <v>172068</v>
      </c>
      <c r="J738" s="739">
        <f>INT(E738*I738)</f>
        <v>4989</v>
      </c>
      <c r="K738" s="739"/>
      <c r="L738" s="739"/>
      <c r="M738" s="739">
        <f t="shared" si="67"/>
        <v>172068</v>
      </c>
      <c r="N738" s="739">
        <f t="shared" si="67"/>
        <v>4989</v>
      </c>
      <c r="O738" s="740"/>
      <c r="P738" s="678"/>
    </row>
    <row r="739" spans="1:20" s="673" customFormat="1" ht="17.100000000000001" customHeight="1">
      <c r="A739" s="1341" t="s">
        <v>1485</v>
      </c>
      <c r="B739" s="1342"/>
      <c r="C739" s="1398" t="s">
        <v>1451</v>
      </c>
      <c r="D739" s="1342"/>
      <c r="E739" s="746">
        <v>0.03</v>
      </c>
      <c r="F739" s="742" t="s">
        <v>672</v>
      </c>
      <c r="G739" s="739"/>
      <c r="H739" s="739">
        <f>INT(E739*G739)</f>
        <v>0</v>
      </c>
      <c r="I739" s="739"/>
      <c r="J739" s="739"/>
      <c r="K739" s="739">
        <f>J737+J738</f>
        <v>36429</v>
      </c>
      <c r="L739" s="739">
        <f>INT(E739*K739)</f>
        <v>1092</v>
      </c>
      <c r="M739" s="739">
        <f t="shared" si="67"/>
        <v>36429</v>
      </c>
      <c r="N739" s="739">
        <f t="shared" si="67"/>
        <v>1092</v>
      </c>
      <c r="O739" s="740"/>
      <c r="P739" s="736"/>
    </row>
    <row r="740" spans="1:20" s="673" customFormat="1" ht="17.100000000000001" customHeight="1">
      <c r="A740" s="1343" t="s">
        <v>1320</v>
      </c>
      <c r="B740" s="1344"/>
      <c r="C740" s="1395"/>
      <c r="D740" s="1396"/>
      <c r="E740" s="747"/>
      <c r="F740" s="742"/>
      <c r="G740" s="739"/>
      <c r="H740" s="739" t="e">
        <f>SUM(H735:H739)</f>
        <v>#REF!</v>
      </c>
      <c r="I740" s="739"/>
      <c r="J740" s="739">
        <f>SUM(J735:J739)</f>
        <v>36429</v>
      </c>
      <c r="K740" s="739"/>
      <c r="L740" s="739">
        <f>SUM(L735:L739)</f>
        <v>1092</v>
      </c>
      <c r="M740" s="739"/>
      <c r="N740" s="739" t="e">
        <f>SUM(N735:N739)</f>
        <v>#REF!</v>
      </c>
      <c r="O740" s="740"/>
      <c r="P740" s="736"/>
    </row>
    <row r="741" spans="1:20" s="665" customFormat="1" ht="17.100000000000001" customHeight="1">
      <c r="A741" s="668">
        <f>A734+1</f>
        <v>166</v>
      </c>
      <c r="B741" s="1320" t="s">
        <v>1657</v>
      </c>
      <c r="C741" s="1320"/>
      <c r="D741" s="1397" t="s">
        <v>1658</v>
      </c>
      <c r="E741" s="1320"/>
      <c r="F741" s="669" t="s">
        <v>575</v>
      </c>
      <c r="G741" s="670"/>
      <c r="H741" s="670"/>
      <c r="I741" s="670"/>
      <c r="J741" s="670"/>
      <c r="K741" s="670"/>
      <c r="L741" s="670"/>
      <c r="M741" s="670"/>
      <c r="N741" s="670"/>
      <c r="O741" s="671"/>
      <c r="P741" s="672"/>
    </row>
    <row r="742" spans="1:20" s="665" customFormat="1" ht="17.100000000000001" customHeight="1">
      <c r="A742" s="1316" t="s">
        <v>883</v>
      </c>
      <c r="B742" s="1320"/>
      <c r="C742" s="1316" t="s">
        <v>1659</v>
      </c>
      <c r="D742" s="1317"/>
      <c r="E742" s="679">
        <v>0.1</v>
      </c>
      <c r="F742" s="676" t="s">
        <v>30</v>
      </c>
      <c r="G742" s="670" t="e">
        <f>#REF!</f>
        <v>#REF!</v>
      </c>
      <c r="H742" s="670" t="e">
        <f>INT(E742*G742)</f>
        <v>#REF!</v>
      </c>
      <c r="I742" s="670"/>
      <c r="J742" s="670"/>
      <c r="K742" s="670"/>
      <c r="L742" s="670"/>
      <c r="M742" s="670" t="e">
        <f t="shared" ref="M742:N745" si="68">G742+I742+K742</f>
        <v>#REF!</v>
      </c>
      <c r="N742" s="670" t="e">
        <f t="shared" si="68"/>
        <v>#REF!</v>
      </c>
      <c r="O742" s="707"/>
      <c r="P742" s="672"/>
    </row>
    <row r="743" spans="1:20" s="665" customFormat="1" ht="17.100000000000001" customHeight="1">
      <c r="A743" s="1316" t="s">
        <v>891</v>
      </c>
      <c r="B743" s="1320"/>
      <c r="C743" s="1316" t="s">
        <v>1659</v>
      </c>
      <c r="D743" s="1317"/>
      <c r="E743" s="679">
        <v>0.1</v>
      </c>
      <c r="F743" s="676" t="s">
        <v>30</v>
      </c>
      <c r="G743" s="670" t="e">
        <f>#REF!</f>
        <v>#REF!</v>
      </c>
      <c r="H743" s="670" t="e">
        <f>INT(E743*G743)</f>
        <v>#REF!</v>
      </c>
      <c r="I743" s="670"/>
      <c r="J743" s="670"/>
      <c r="K743" s="670"/>
      <c r="L743" s="670"/>
      <c r="M743" s="670" t="e">
        <f>G743+I743+K743</f>
        <v>#REF!</v>
      </c>
      <c r="N743" s="670" t="e">
        <f>H743+J743+L743</f>
        <v>#REF!</v>
      </c>
      <c r="O743" s="707"/>
      <c r="P743" s="672"/>
      <c r="Q743" s="665" t="s">
        <v>1660</v>
      </c>
    </row>
    <row r="744" spans="1:20" s="665" customFormat="1" ht="17.100000000000001" customHeight="1">
      <c r="A744" s="1316" t="s">
        <v>628</v>
      </c>
      <c r="B744" s="1317"/>
      <c r="C744" s="1316"/>
      <c r="D744" s="1317"/>
      <c r="E744" s="675">
        <v>0.14000000000000001</v>
      </c>
      <c r="F744" s="676" t="s">
        <v>366</v>
      </c>
      <c r="G744" s="670"/>
      <c r="H744" s="670"/>
      <c r="I744" s="670">
        <f>[53]노임단가!$T$6</f>
        <v>226122</v>
      </c>
      <c r="J744" s="670">
        <f>INT(E744*I744)</f>
        <v>31657</v>
      </c>
      <c r="K744" s="670"/>
      <c r="L744" s="670"/>
      <c r="M744" s="670">
        <f t="shared" si="68"/>
        <v>226122</v>
      </c>
      <c r="N744" s="670">
        <f t="shared" si="68"/>
        <v>31657</v>
      </c>
      <c r="O744" s="707"/>
      <c r="P744" s="672"/>
    </row>
    <row r="745" spans="1:20" s="665" customFormat="1" ht="17.100000000000001" customHeight="1">
      <c r="A745" s="1316" t="s">
        <v>248</v>
      </c>
      <c r="B745" s="1317"/>
      <c r="C745" s="1338"/>
      <c r="D745" s="1317"/>
      <c r="E745" s="675">
        <v>0.25</v>
      </c>
      <c r="F745" s="676" t="s">
        <v>366</v>
      </c>
      <c r="G745" s="670"/>
      <c r="H745" s="670"/>
      <c r="I745" s="670">
        <f>[53]노임단가!$T$5</f>
        <v>172068</v>
      </c>
      <c r="J745" s="670">
        <f>INT(E745*I745)</f>
        <v>43017</v>
      </c>
      <c r="K745" s="670"/>
      <c r="L745" s="670"/>
      <c r="M745" s="670">
        <f t="shared" si="68"/>
        <v>172068</v>
      </c>
      <c r="N745" s="670">
        <f t="shared" si="68"/>
        <v>43017</v>
      </c>
      <c r="O745" s="671"/>
      <c r="P745" s="672"/>
      <c r="Q745" s="665">
        <f>2.4*1.5</f>
        <v>3.5999999999999996</v>
      </c>
    </row>
    <row r="746" spans="1:20" s="665" customFormat="1" ht="17.100000000000001" customHeight="1">
      <c r="A746" s="1318" t="s">
        <v>1320</v>
      </c>
      <c r="B746" s="1319"/>
      <c r="C746" s="1371"/>
      <c r="D746" s="1372"/>
      <c r="E746" s="677"/>
      <c r="F746" s="676"/>
      <c r="G746" s="670"/>
      <c r="H746" s="670" t="e">
        <f>SUM(H742:H745)</f>
        <v>#REF!</v>
      </c>
      <c r="I746" s="670"/>
      <c r="J746" s="670">
        <f>SUM(J742:J745)</f>
        <v>74674</v>
      </c>
      <c r="K746" s="670"/>
      <c r="L746" s="670"/>
      <c r="M746" s="670"/>
      <c r="N746" s="670" t="e">
        <f>SUM(N742:N745)</f>
        <v>#REF!</v>
      </c>
      <c r="O746" s="671"/>
      <c r="P746" s="672"/>
    </row>
    <row r="747" spans="1:20" s="665" customFormat="1" ht="17.100000000000001" customHeight="1">
      <c r="A747" s="668">
        <f>A741+1</f>
        <v>167</v>
      </c>
      <c r="B747" s="1320" t="s">
        <v>1657</v>
      </c>
      <c r="C747" s="1320"/>
      <c r="D747" s="1397" t="s">
        <v>1661</v>
      </c>
      <c r="E747" s="1320"/>
      <c r="F747" s="669" t="s">
        <v>575</v>
      </c>
      <c r="G747" s="670"/>
      <c r="H747" s="670"/>
      <c r="I747" s="670"/>
      <c r="J747" s="670"/>
      <c r="K747" s="670"/>
      <c r="L747" s="670"/>
      <c r="M747" s="670"/>
      <c r="N747" s="670"/>
      <c r="O747" s="671"/>
      <c r="P747" s="672"/>
    </row>
    <row r="748" spans="1:20" s="665" customFormat="1" ht="17.100000000000001" customHeight="1">
      <c r="A748" s="1316" t="s">
        <v>883</v>
      </c>
      <c r="B748" s="1320"/>
      <c r="C748" s="1316" t="s">
        <v>1662</v>
      </c>
      <c r="D748" s="1317"/>
      <c r="E748" s="679">
        <v>0.1</v>
      </c>
      <c r="F748" s="676" t="s">
        <v>30</v>
      </c>
      <c r="G748" s="670" t="e">
        <f>#REF!</f>
        <v>#REF!</v>
      </c>
      <c r="H748" s="670" t="e">
        <f>INT(E748*G748)</f>
        <v>#REF!</v>
      </c>
      <c r="I748" s="670"/>
      <c r="J748" s="670"/>
      <c r="K748" s="670"/>
      <c r="L748" s="670"/>
      <c r="M748" s="670" t="e">
        <f t="shared" ref="M748:N751" si="69">G748+I748+K748</f>
        <v>#REF!</v>
      </c>
      <c r="N748" s="670" t="e">
        <f t="shared" si="69"/>
        <v>#REF!</v>
      </c>
      <c r="O748" s="707"/>
      <c r="P748" s="672"/>
    </row>
    <row r="749" spans="1:20" s="665" customFormat="1" ht="17.100000000000001" customHeight="1">
      <c r="A749" s="1316" t="s">
        <v>891</v>
      </c>
      <c r="B749" s="1320"/>
      <c r="C749" s="1316" t="s">
        <v>1662</v>
      </c>
      <c r="D749" s="1317"/>
      <c r="E749" s="679">
        <v>0.1</v>
      </c>
      <c r="F749" s="676" t="s">
        <v>30</v>
      </c>
      <c r="G749" s="670" t="e">
        <f>#REF!</f>
        <v>#REF!</v>
      </c>
      <c r="H749" s="670" t="e">
        <f>INT(E749*G749)</f>
        <v>#REF!</v>
      </c>
      <c r="I749" s="670"/>
      <c r="J749" s="670"/>
      <c r="K749" s="670"/>
      <c r="L749" s="670"/>
      <c r="M749" s="670" t="e">
        <f>G749+I749+K749</f>
        <v>#REF!</v>
      </c>
      <c r="N749" s="670" t="e">
        <f>H749+J749+L749</f>
        <v>#REF!</v>
      </c>
      <c r="O749" s="707"/>
      <c r="P749" s="672"/>
    </row>
    <row r="750" spans="1:20" s="665" customFormat="1" ht="17.100000000000001" customHeight="1">
      <c r="A750" s="1316" t="s">
        <v>628</v>
      </c>
      <c r="B750" s="1317"/>
      <c r="C750" s="1316"/>
      <c r="D750" s="1317"/>
      <c r="E750" s="675">
        <v>0.15</v>
      </c>
      <c r="F750" s="676" t="s">
        <v>366</v>
      </c>
      <c r="G750" s="670"/>
      <c r="H750" s="670"/>
      <c r="I750" s="670">
        <f>[53]노임단가!$T$6</f>
        <v>226122</v>
      </c>
      <c r="J750" s="670">
        <f>INT(E750*I750)</f>
        <v>33918</v>
      </c>
      <c r="K750" s="670"/>
      <c r="L750" s="670"/>
      <c r="M750" s="670">
        <f t="shared" si="69"/>
        <v>226122</v>
      </c>
      <c r="N750" s="670">
        <f t="shared" si="69"/>
        <v>33918</v>
      </c>
      <c r="O750" s="707"/>
      <c r="P750" s="672"/>
    </row>
    <row r="751" spans="1:20" s="665" customFormat="1" ht="17.100000000000001" customHeight="1">
      <c r="A751" s="1316" t="s">
        <v>248</v>
      </c>
      <c r="B751" s="1317"/>
      <c r="C751" s="1338"/>
      <c r="D751" s="1317"/>
      <c r="E751" s="679">
        <v>0.3</v>
      </c>
      <c r="F751" s="676" t="s">
        <v>366</v>
      </c>
      <c r="G751" s="670"/>
      <c r="H751" s="670"/>
      <c r="I751" s="670">
        <f>[53]노임단가!$T$5</f>
        <v>172068</v>
      </c>
      <c r="J751" s="670">
        <f>INT(E751*I751)</f>
        <v>51620</v>
      </c>
      <c r="K751" s="670"/>
      <c r="L751" s="670"/>
      <c r="M751" s="670">
        <f t="shared" si="69"/>
        <v>172068</v>
      </c>
      <c r="N751" s="670">
        <f t="shared" si="69"/>
        <v>51620</v>
      </c>
      <c r="O751" s="671"/>
      <c r="P751" s="672"/>
      <c r="Q751" s="687" t="s">
        <v>1663</v>
      </c>
      <c r="R751" s="688" t="s">
        <v>1664</v>
      </c>
      <c r="S751" s="688" t="s">
        <v>1425</v>
      </c>
      <c r="T751" s="688" t="s">
        <v>1426</v>
      </c>
    </row>
    <row r="752" spans="1:20" s="665" customFormat="1" ht="17.100000000000001" customHeight="1">
      <c r="A752" s="1318" t="s">
        <v>1320</v>
      </c>
      <c r="B752" s="1319"/>
      <c r="C752" s="1371"/>
      <c r="D752" s="1372"/>
      <c r="E752" s="677"/>
      <c r="F752" s="676"/>
      <c r="G752" s="670"/>
      <c r="H752" s="670" t="e">
        <f>SUM(H748:H751)</f>
        <v>#REF!</v>
      </c>
      <c r="I752" s="670"/>
      <c r="J752" s="670">
        <f>SUM(J748:J751)</f>
        <v>85538</v>
      </c>
      <c r="K752" s="670"/>
      <c r="L752" s="670"/>
      <c r="M752" s="670"/>
      <c r="N752" s="670" t="e">
        <f>SUM(N748:N751)</f>
        <v>#REF!</v>
      </c>
      <c r="O752" s="671"/>
      <c r="P752" s="672"/>
      <c r="Q752" s="665" t="s">
        <v>1660</v>
      </c>
    </row>
    <row r="753" spans="1:20" s="665" customFormat="1" ht="17.100000000000001" customHeight="1">
      <c r="A753" s="668">
        <f>A747+1</f>
        <v>168</v>
      </c>
      <c r="B753" s="1320" t="s">
        <v>1657</v>
      </c>
      <c r="C753" s="1320"/>
      <c r="D753" s="1397" t="s">
        <v>1665</v>
      </c>
      <c r="E753" s="1320"/>
      <c r="F753" s="669" t="s">
        <v>575</v>
      </c>
      <c r="G753" s="670"/>
      <c r="H753" s="670"/>
      <c r="I753" s="670"/>
      <c r="J753" s="670"/>
      <c r="K753" s="670"/>
      <c r="L753" s="670"/>
      <c r="M753" s="670"/>
      <c r="N753" s="670"/>
      <c r="O753" s="671"/>
      <c r="P753" s="672"/>
    </row>
    <row r="754" spans="1:20" s="665" customFormat="1" ht="17.100000000000001" customHeight="1">
      <c r="A754" s="1316" t="s">
        <v>883</v>
      </c>
      <c r="B754" s="1320"/>
      <c r="C754" s="1316" t="s">
        <v>1666</v>
      </c>
      <c r="D754" s="1317"/>
      <c r="E754" s="679">
        <v>0.1</v>
      </c>
      <c r="F754" s="676" t="s">
        <v>30</v>
      </c>
      <c r="G754" s="670" t="e">
        <f>#REF!</f>
        <v>#REF!</v>
      </c>
      <c r="H754" s="670" t="e">
        <f>INT(E754*G754)</f>
        <v>#REF!</v>
      </c>
      <c r="I754" s="670"/>
      <c r="J754" s="670"/>
      <c r="K754" s="670"/>
      <c r="L754" s="670"/>
      <c r="M754" s="670" t="e">
        <f t="shared" ref="M754:N757" si="70">G754+I754+K754</f>
        <v>#REF!</v>
      </c>
      <c r="N754" s="670" t="e">
        <f t="shared" si="70"/>
        <v>#REF!</v>
      </c>
      <c r="O754" s="707"/>
      <c r="P754" s="672"/>
      <c r="Q754" s="665">
        <f>2.4*1.5</f>
        <v>3.5999999999999996</v>
      </c>
    </row>
    <row r="755" spans="1:20" s="665" customFormat="1" ht="17.100000000000001" customHeight="1">
      <c r="A755" s="1316" t="s">
        <v>891</v>
      </c>
      <c r="B755" s="1320"/>
      <c r="C755" s="1316" t="s">
        <v>1666</v>
      </c>
      <c r="D755" s="1317"/>
      <c r="E755" s="679">
        <v>0.1</v>
      </c>
      <c r="F755" s="676" t="s">
        <v>30</v>
      </c>
      <c r="G755" s="670" t="e">
        <f>#REF!</f>
        <v>#REF!</v>
      </c>
      <c r="H755" s="670" t="e">
        <f>INT(E755*G755)</f>
        <v>#REF!</v>
      </c>
      <c r="I755" s="670"/>
      <c r="J755" s="670"/>
      <c r="K755" s="670"/>
      <c r="L755" s="670"/>
      <c r="M755" s="670" t="e">
        <f>G755+I755+K755</f>
        <v>#REF!</v>
      </c>
      <c r="N755" s="670" t="e">
        <f>H755+J755+L755</f>
        <v>#REF!</v>
      </c>
      <c r="O755" s="707"/>
      <c r="P755" s="672"/>
    </row>
    <row r="756" spans="1:20" s="665" customFormat="1" ht="17.100000000000001" customHeight="1">
      <c r="A756" s="1316" t="s">
        <v>628</v>
      </c>
      <c r="B756" s="1317"/>
      <c r="C756" s="1316"/>
      <c r="D756" s="1317"/>
      <c r="E756" s="675">
        <v>0.17</v>
      </c>
      <c r="F756" s="676" t="s">
        <v>366</v>
      </c>
      <c r="G756" s="670"/>
      <c r="H756" s="670"/>
      <c r="I756" s="670">
        <f>[53]노임단가!$T$6</f>
        <v>226122</v>
      </c>
      <c r="J756" s="670">
        <f>INT(E756*I756)</f>
        <v>38440</v>
      </c>
      <c r="K756" s="670"/>
      <c r="L756" s="670"/>
      <c r="M756" s="670">
        <f t="shared" si="70"/>
        <v>226122</v>
      </c>
      <c r="N756" s="670">
        <f t="shared" si="70"/>
        <v>38440</v>
      </c>
      <c r="O756" s="707"/>
      <c r="P756" s="672"/>
    </row>
    <row r="757" spans="1:20" s="665" customFormat="1" ht="17.100000000000001" customHeight="1">
      <c r="A757" s="1316" t="s">
        <v>248</v>
      </c>
      <c r="B757" s="1317"/>
      <c r="C757" s="1338"/>
      <c r="D757" s="1317"/>
      <c r="E757" s="679">
        <v>0.4</v>
      </c>
      <c r="F757" s="676" t="s">
        <v>366</v>
      </c>
      <c r="G757" s="670"/>
      <c r="H757" s="670"/>
      <c r="I757" s="670">
        <f>[53]노임단가!$T$5</f>
        <v>172068</v>
      </c>
      <c r="J757" s="670">
        <f>INT(E757*I757)</f>
        <v>68827</v>
      </c>
      <c r="K757" s="670"/>
      <c r="L757" s="670"/>
      <c r="M757" s="670">
        <f t="shared" si="70"/>
        <v>172068</v>
      </c>
      <c r="N757" s="670">
        <f t="shared" si="70"/>
        <v>68827</v>
      </c>
      <c r="O757" s="671"/>
      <c r="P757" s="672"/>
    </row>
    <row r="758" spans="1:20" s="665" customFormat="1" ht="17.100000000000001" customHeight="1">
      <c r="A758" s="1318" t="s">
        <v>1320</v>
      </c>
      <c r="B758" s="1319"/>
      <c r="C758" s="1371"/>
      <c r="D758" s="1372"/>
      <c r="E758" s="677"/>
      <c r="F758" s="676"/>
      <c r="G758" s="670"/>
      <c r="H758" s="670" t="e">
        <f>SUM(H754:H757)</f>
        <v>#REF!</v>
      </c>
      <c r="I758" s="670"/>
      <c r="J758" s="670">
        <f>SUM(J754:J757)</f>
        <v>107267</v>
      </c>
      <c r="K758" s="670"/>
      <c r="L758" s="670"/>
      <c r="M758" s="670"/>
      <c r="N758" s="670" t="e">
        <f>SUM(N754:N757)</f>
        <v>#REF!</v>
      </c>
      <c r="O758" s="671"/>
      <c r="P758" s="672"/>
    </row>
    <row r="759" spans="1:20" s="665" customFormat="1" ht="17.100000000000001" customHeight="1">
      <c r="A759" s="668">
        <f>A753+1</f>
        <v>169</v>
      </c>
      <c r="B759" s="1320" t="s">
        <v>1657</v>
      </c>
      <c r="C759" s="1320"/>
      <c r="D759" s="1397" t="s">
        <v>1667</v>
      </c>
      <c r="E759" s="1320"/>
      <c r="F759" s="669" t="s">
        <v>575</v>
      </c>
      <c r="G759" s="670"/>
      <c r="H759" s="670"/>
      <c r="I759" s="670"/>
      <c r="J759" s="670"/>
      <c r="K759" s="670"/>
      <c r="L759" s="670"/>
      <c r="M759" s="670"/>
      <c r="N759" s="670"/>
      <c r="O759" s="671"/>
      <c r="P759" s="672"/>
    </row>
    <row r="760" spans="1:20" s="665" customFormat="1" ht="17.100000000000001" customHeight="1">
      <c r="A760" s="1316" t="s">
        <v>887</v>
      </c>
      <c r="B760" s="1320"/>
      <c r="C760" s="1316" t="s">
        <v>1668</v>
      </c>
      <c r="D760" s="1317"/>
      <c r="E760" s="679">
        <v>0.1</v>
      </c>
      <c r="F760" s="676" t="s">
        <v>30</v>
      </c>
      <c r="G760" s="670" t="e">
        <f>#REF!</f>
        <v>#REF!</v>
      </c>
      <c r="H760" s="670" t="e">
        <f>INT(E760*G760)</f>
        <v>#REF!</v>
      </c>
      <c r="I760" s="670"/>
      <c r="J760" s="670"/>
      <c r="K760" s="670"/>
      <c r="L760" s="670"/>
      <c r="M760" s="670" t="e">
        <f t="shared" ref="M760:N762" si="71">G760+I760+K760</f>
        <v>#REF!</v>
      </c>
      <c r="N760" s="670" t="e">
        <f t="shared" si="71"/>
        <v>#REF!</v>
      </c>
      <c r="O760" s="707"/>
      <c r="P760" s="672"/>
    </row>
    <row r="761" spans="1:20" s="665" customFormat="1" ht="17.100000000000001" customHeight="1">
      <c r="A761" s="1316" t="s">
        <v>628</v>
      </c>
      <c r="B761" s="1317"/>
      <c r="C761" s="1316"/>
      <c r="D761" s="1317"/>
      <c r="E761" s="675">
        <v>0.26</v>
      </c>
      <c r="F761" s="676" t="s">
        <v>366</v>
      </c>
      <c r="G761" s="670"/>
      <c r="H761" s="670"/>
      <c r="I761" s="670">
        <f>[53]노임단가!$T$6</f>
        <v>226122</v>
      </c>
      <c r="J761" s="670">
        <f>INT(E761*I761)</f>
        <v>58791</v>
      </c>
      <c r="K761" s="670"/>
      <c r="L761" s="670"/>
      <c r="M761" s="670">
        <f t="shared" si="71"/>
        <v>226122</v>
      </c>
      <c r="N761" s="670">
        <f t="shared" si="71"/>
        <v>58791</v>
      </c>
      <c r="O761" s="707"/>
      <c r="P761" s="672"/>
      <c r="Q761" s="687" t="s">
        <v>1663</v>
      </c>
      <c r="R761" s="688" t="s">
        <v>1664</v>
      </c>
      <c r="S761" s="688" t="s">
        <v>1425</v>
      </c>
      <c r="T761" s="688" t="s">
        <v>1426</v>
      </c>
    </row>
    <row r="762" spans="1:20" s="665" customFormat="1" ht="17.100000000000001" customHeight="1">
      <c r="A762" s="1316" t="s">
        <v>248</v>
      </c>
      <c r="B762" s="1317"/>
      <c r="C762" s="1338"/>
      <c r="D762" s="1317"/>
      <c r="E762" s="675">
        <v>0.47</v>
      </c>
      <c r="F762" s="676" t="s">
        <v>366</v>
      </c>
      <c r="G762" s="670"/>
      <c r="H762" s="670"/>
      <c r="I762" s="670">
        <f>[53]노임단가!$T$5</f>
        <v>172068</v>
      </c>
      <c r="J762" s="670">
        <f>INT(E762*I762)</f>
        <v>80871</v>
      </c>
      <c r="K762" s="670"/>
      <c r="L762" s="670"/>
      <c r="M762" s="670">
        <f t="shared" si="71"/>
        <v>172068</v>
      </c>
      <c r="N762" s="670">
        <f t="shared" si="71"/>
        <v>80871</v>
      </c>
      <c r="O762" s="671"/>
      <c r="P762" s="672"/>
      <c r="Q762" s="688">
        <v>2.4E-2</v>
      </c>
      <c r="R762" s="688">
        <f>(Q762)*10</f>
        <v>0.24</v>
      </c>
      <c r="S762" s="688">
        <v>0</v>
      </c>
      <c r="T762" s="690">
        <f>ROUND(S762/R762,4)</f>
        <v>0</v>
      </c>
    </row>
    <row r="763" spans="1:20" s="665" customFormat="1" ht="17.100000000000001" customHeight="1">
      <c r="A763" s="1318" t="s">
        <v>1320</v>
      </c>
      <c r="B763" s="1319"/>
      <c r="C763" s="1371"/>
      <c r="D763" s="1372"/>
      <c r="E763" s="677"/>
      <c r="F763" s="676"/>
      <c r="G763" s="670"/>
      <c r="H763" s="670" t="e">
        <f>SUM(H760:H762)</f>
        <v>#REF!</v>
      </c>
      <c r="I763" s="670"/>
      <c r="J763" s="670">
        <f>SUM(J760:J762)</f>
        <v>139662</v>
      </c>
      <c r="K763" s="670"/>
      <c r="L763" s="670"/>
      <c r="M763" s="670"/>
      <c r="N763" s="670" t="e">
        <f>SUM(N760:N762)</f>
        <v>#REF!</v>
      </c>
      <c r="O763" s="671"/>
      <c r="P763" s="672"/>
      <c r="Q763" s="688">
        <f>Q762</f>
        <v>2.4E-2</v>
      </c>
      <c r="R763" s="688">
        <f>R762</f>
        <v>0.24</v>
      </c>
      <c r="S763" s="688">
        <v>0.15</v>
      </c>
      <c r="T763" s="690">
        <f>ROUND(S763/R763,4)</f>
        <v>0.625</v>
      </c>
    </row>
    <row r="764" spans="1:20" s="665" customFormat="1" ht="17.100000000000001" customHeight="1">
      <c r="A764" s="668">
        <f>A759+1</f>
        <v>170</v>
      </c>
      <c r="B764" s="1320" t="s">
        <v>1657</v>
      </c>
      <c r="C764" s="1320"/>
      <c r="D764" s="1397" t="s">
        <v>1669</v>
      </c>
      <c r="E764" s="1320"/>
      <c r="F764" s="669" t="s">
        <v>575</v>
      </c>
      <c r="G764" s="670"/>
      <c r="H764" s="670"/>
      <c r="I764" s="670"/>
      <c r="J764" s="670"/>
      <c r="K764" s="670"/>
      <c r="L764" s="670"/>
      <c r="M764" s="670"/>
      <c r="N764" s="670"/>
      <c r="O764" s="671"/>
      <c r="P764" s="672"/>
      <c r="Q764" s="688">
        <f>Q763</f>
        <v>2.4E-2</v>
      </c>
      <c r="R764" s="688">
        <f>R763</f>
        <v>0.24</v>
      </c>
      <c r="S764" s="688">
        <v>0.06</v>
      </c>
      <c r="T764" s="690">
        <f>ROUND(S764/R764,4)</f>
        <v>0.25</v>
      </c>
    </row>
    <row r="765" spans="1:20" s="665" customFormat="1" ht="17.100000000000001" customHeight="1">
      <c r="A765" s="1316" t="s">
        <v>887</v>
      </c>
      <c r="B765" s="1320"/>
      <c r="C765" s="1316" t="s">
        <v>1670</v>
      </c>
      <c r="D765" s="1317"/>
      <c r="E765" s="679">
        <v>0.1</v>
      </c>
      <c r="F765" s="676" t="s">
        <v>30</v>
      </c>
      <c r="G765" s="670" t="e">
        <f>#REF!</f>
        <v>#REF!</v>
      </c>
      <c r="H765" s="670" t="e">
        <f>INT(E765*G765)</f>
        <v>#REF!</v>
      </c>
      <c r="I765" s="670"/>
      <c r="J765" s="670"/>
      <c r="K765" s="670"/>
      <c r="L765" s="670"/>
      <c r="M765" s="670" t="e">
        <f t="shared" ref="M765:N767" si="72">G765+I765+K765</f>
        <v>#REF!</v>
      </c>
      <c r="N765" s="670" t="e">
        <f t="shared" si="72"/>
        <v>#REF!</v>
      </c>
      <c r="O765" s="707"/>
      <c r="P765" s="672"/>
    </row>
    <row r="766" spans="1:20" s="665" customFormat="1" ht="17.100000000000001" customHeight="1">
      <c r="A766" s="1316" t="s">
        <v>628</v>
      </c>
      <c r="B766" s="1317"/>
      <c r="C766" s="1316"/>
      <c r="D766" s="1317"/>
      <c r="E766" s="675">
        <v>0.31</v>
      </c>
      <c r="F766" s="676" t="s">
        <v>366</v>
      </c>
      <c r="G766" s="670"/>
      <c r="H766" s="670"/>
      <c r="I766" s="670">
        <f>[53]노임단가!$T$6</f>
        <v>226122</v>
      </c>
      <c r="J766" s="670">
        <f>INT(E766*I766)</f>
        <v>70097</v>
      </c>
      <c r="K766" s="670"/>
      <c r="L766" s="670"/>
      <c r="M766" s="670">
        <f t="shared" si="72"/>
        <v>226122</v>
      </c>
      <c r="N766" s="670">
        <f t="shared" si="72"/>
        <v>70097</v>
      </c>
      <c r="O766" s="707"/>
      <c r="P766" s="672"/>
    </row>
    <row r="767" spans="1:20" s="665" customFormat="1" ht="17.100000000000001" customHeight="1">
      <c r="A767" s="1316" t="s">
        <v>248</v>
      </c>
      <c r="B767" s="1317"/>
      <c r="C767" s="1338"/>
      <c r="D767" s="1317"/>
      <c r="E767" s="675">
        <v>0.63</v>
      </c>
      <c r="F767" s="676" t="s">
        <v>366</v>
      </c>
      <c r="G767" s="670"/>
      <c r="H767" s="670"/>
      <c r="I767" s="670">
        <f>[53]노임단가!$T$5</f>
        <v>172068</v>
      </c>
      <c r="J767" s="670">
        <f>INT(E767*I767)</f>
        <v>108402</v>
      </c>
      <c r="K767" s="670"/>
      <c r="L767" s="670"/>
      <c r="M767" s="670">
        <f t="shared" si="72"/>
        <v>172068</v>
      </c>
      <c r="N767" s="670">
        <f t="shared" si="72"/>
        <v>108402</v>
      </c>
      <c r="O767" s="671"/>
      <c r="P767" s="672"/>
    </row>
    <row r="768" spans="1:20" s="665" customFormat="1" ht="17.100000000000001" customHeight="1">
      <c r="A768" s="1318" t="s">
        <v>1320</v>
      </c>
      <c r="B768" s="1319"/>
      <c r="C768" s="1371"/>
      <c r="D768" s="1372"/>
      <c r="E768" s="677"/>
      <c r="F768" s="676"/>
      <c r="G768" s="670"/>
      <c r="H768" s="670" t="e">
        <f>SUM(H765:H767)</f>
        <v>#REF!</v>
      </c>
      <c r="I768" s="670"/>
      <c r="J768" s="670">
        <f>SUM(J765:J767)</f>
        <v>178499</v>
      </c>
      <c r="K768" s="670"/>
      <c r="L768" s="670"/>
      <c r="M768" s="670"/>
      <c r="N768" s="670" t="e">
        <f>SUM(N765:N767)</f>
        <v>#REF!</v>
      </c>
      <c r="O768" s="671"/>
      <c r="P768" s="672"/>
    </row>
    <row r="769" spans="1:22" s="665" customFormat="1" ht="17.100000000000001" customHeight="1">
      <c r="A769" s="668">
        <f>A764+1</f>
        <v>171</v>
      </c>
      <c r="B769" s="1320" t="s">
        <v>1657</v>
      </c>
      <c r="C769" s="1320"/>
      <c r="D769" s="1397" t="s">
        <v>1671</v>
      </c>
      <c r="E769" s="1320"/>
      <c r="F769" s="669" t="s">
        <v>575</v>
      </c>
      <c r="G769" s="670"/>
      <c r="H769" s="670"/>
      <c r="I769" s="670"/>
      <c r="J769" s="670"/>
      <c r="K769" s="670"/>
      <c r="L769" s="670"/>
      <c r="M769" s="670"/>
      <c r="N769" s="670"/>
      <c r="O769" s="671"/>
      <c r="P769" s="672"/>
    </row>
    <row r="770" spans="1:22" s="665" customFormat="1" ht="17.100000000000001" customHeight="1">
      <c r="A770" s="1316" t="s">
        <v>887</v>
      </c>
      <c r="B770" s="1320"/>
      <c r="C770" s="1316" t="s">
        <v>1672</v>
      </c>
      <c r="D770" s="1317"/>
      <c r="E770" s="679">
        <v>0.1</v>
      </c>
      <c r="F770" s="676" t="s">
        <v>30</v>
      </c>
      <c r="G770" s="670" t="e">
        <f>#REF!</f>
        <v>#REF!</v>
      </c>
      <c r="H770" s="670" t="e">
        <f>INT(E770*G770)</f>
        <v>#REF!</v>
      </c>
      <c r="I770" s="670"/>
      <c r="J770" s="670"/>
      <c r="K770" s="670"/>
      <c r="L770" s="670"/>
      <c r="M770" s="670" t="e">
        <f t="shared" ref="M770:N772" si="73">G770+I770+K770</f>
        <v>#REF!</v>
      </c>
      <c r="N770" s="670" t="e">
        <f t="shared" si="73"/>
        <v>#REF!</v>
      </c>
      <c r="O770" s="707"/>
      <c r="P770" s="672"/>
    </row>
    <row r="771" spans="1:22" s="665" customFormat="1" ht="17.100000000000001" customHeight="1">
      <c r="A771" s="1316" t="s">
        <v>628</v>
      </c>
      <c r="B771" s="1317"/>
      <c r="C771" s="1316"/>
      <c r="D771" s="1317"/>
      <c r="E771" s="675">
        <v>0.37</v>
      </c>
      <c r="F771" s="676" t="s">
        <v>366</v>
      </c>
      <c r="G771" s="670"/>
      <c r="H771" s="670"/>
      <c r="I771" s="670">
        <f>[53]노임단가!$T$6</f>
        <v>226122</v>
      </c>
      <c r="J771" s="670">
        <f>INT(E771*I771)</f>
        <v>83665</v>
      </c>
      <c r="K771" s="670"/>
      <c r="L771" s="670"/>
      <c r="M771" s="670">
        <f t="shared" si="73"/>
        <v>226122</v>
      </c>
      <c r="N771" s="670">
        <f t="shared" si="73"/>
        <v>83665</v>
      </c>
      <c r="O771" s="707"/>
      <c r="P771" s="672"/>
      <c r="U771" s="688"/>
      <c r="V771" s="688"/>
    </row>
    <row r="772" spans="1:22" s="688" customFormat="1" ht="17.100000000000001" customHeight="1">
      <c r="A772" s="1316" t="s">
        <v>248</v>
      </c>
      <c r="B772" s="1317"/>
      <c r="C772" s="1338"/>
      <c r="D772" s="1317"/>
      <c r="E772" s="679">
        <v>0.8</v>
      </c>
      <c r="F772" s="676" t="s">
        <v>366</v>
      </c>
      <c r="G772" s="670"/>
      <c r="H772" s="670"/>
      <c r="I772" s="670">
        <f>[53]노임단가!$T$5</f>
        <v>172068</v>
      </c>
      <c r="J772" s="670">
        <f>INT(E772*I772)</f>
        <v>137654</v>
      </c>
      <c r="K772" s="670"/>
      <c r="L772" s="670"/>
      <c r="M772" s="670">
        <f t="shared" si="73"/>
        <v>172068</v>
      </c>
      <c r="N772" s="670">
        <f t="shared" si="73"/>
        <v>137654</v>
      </c>
      <c r="O772" s="671"/>
      <c r="P772" s="672"/>
      <c r="Q772" s="665" t="s">
        <v>1673</v>
      </c>
      <c r="R772" s="665"/>
      <c r="S772" s="665"/>
      <c r="T772" s="665"/>
    </row>
    <row r="773" spans="1:22" s="688" customFormat="1" ht="17.100000000000001" customHeight="1">
      <c r="A773" s="1318" t="s">
        <v>1320</v>
      </c>
      <c r="B773" s="1319"/>
      <c r="C773" s="1371"/>
      <c r="D773" s="1372"/>
      <c r="E773" s="677"/>
      <c r="F773" s="676"/>
      <c r="G773" s="670"/>
      <c r="H773" s="670" t="e">
        <f>SUM(H770:H772)</f>
        <v>#REF!</v>
      </c>
      <c r="I773" s="670"/>
      <c r="J773" s="670">
        <f>SUM(J770:J772)</f>
        <v>221319</v>
      </c>
      <c r="K773" s="670"/>
      <c r="L773" s="670"/>
      <c r="M773" s="670"/>
      <c r="N773" s="670" t="e">
        <f>SUM(N770:N772)</f>
        <v>#REF!</v>
      </c>
      <c r="O773" s="671"/>
      <c r="P773" s="672"/>
      <c r="Q773" s="665"/>
      <c r="R773" s="665"/>
      <c r="S773" s="665"/>
      <c r="T773" s="665"/>
      <c r="U773" s="665"/>
      <c r="V773" s="665"/>
    </row>
    <row r="774" spans="1:22" s="665" customFormat="1" ht="17.100000000000001" customHeight="1">
      <c r="A774" s="668">
        <f>A769+1</f>
        <v>172</v>
      </c>
      <c r="B774" s="1320" t="s">
        <v>1674</v>
      </c>
      <c r="C774" s="1320"/>
      <c r="D774" s="1320" t="s">
        <v>1675</v>
      </c>
      <c r="E774" s="1320"/>
      <c r="F774" s="669" t="s">
        <v>575</v>
      </c>
      <c r="G774" s="670"/>
      <c r="H774" s="670"/>
      <c r="I774" s="670"/>
      <c r="J774" s="670"/>
      <c r="K774" s="670"/>
      <c r="L774" s="670"/>
      <c r="M774" s="670"/>
      <c r="N774" s="670"/>
      <c r="O774" s="671"/>
      <c r="P774" s="672"/>
    </row>
    <row r="775" spans="1:22" s="665" customFormat="1" ht="17.100000000000001" customHeight="1">
      <c r="A775" s="1367" t="s">
        <v>1676</v>
      </c>
      <c r="B775" s="1327"/>
      <c r="C775" s="1367" t="s">
        <v>1677</v>
      </c>
      <c r="D775" s="1327"/>
      <c r="E775" s="748">
        <f>(2.4*1)*0.125*2.32*1.02</f>
        <v>0.70992</v>
      </c>
      <c r="F775" s="749" t="s">
        <v>915</v>
      </c>
      <c r="G775" s="750" t="e">
        <f>#REF!</f>
        <v>#REF!</v>
      </c>
      <c r="H775" s="670" t="e">
        <f t="shared" ref="H775:H781" si="74">INT(E775*G775)</f>
        <v>#REF!</v>
      </c>
      <c r="I775" s="750"/>
      <c r="J775" s="750"/>
      <c r="K775" s="750"/>
      <c r="L775" s="750"/>
      <c r="M775" s="670" t="e">
        <f t="shared" ref="M775:N781" si="75">G775+I775+K775</f>
        <v>#REF!</v>
      </c>
      <c r="N775" s="670" t="e">
        <f t="shared" si="75"/>
        <v>#REF!</v>
      </c>
      <c r="O775" s="751"/>
      <c r="P775" s="672"/>
    </row>
    <row r="776" spans="1:22" s="665" customFormat="1" ht="17.100000000000001" customHeight="1">
      <c r="A776" s="1316" t="s">
        <v>1678</v>
      </c>
      <c r="B776" s="1317"/>
      <c r="C776" s="1316" t="s">
        <v>1679</v>
      </c>
      <c r="D776" s="1317"/>
      <c r="E776" s="679">
        <v>6.8</v>
      </c>
      <c r="F776" s="676" t="s">
        <v>272</v>
      </c>
      <c r="G776" s="670" t="e">
        <f>$H$194</f>
        <v>#REF!</v>
      </c>
      <c r="H776" s="670" t="e">
        <f t="shared" si="74"/>
        <v>#REF!</v>
      </c>
      <c r="I776" s="670" t="e">
        <f>$J$194</f>
        <v>#REF!</v>
      </c>
      <c r="J776" s="670" t="e">
        <f t="shared" ref="J776:J781" si="76">INT(E776*I776)</f>
        <v>#REF!</v>
      </c>
      <c r="K776" s="670" t="e">
        <f>$L$194</f>
        <v>#REF!</v>
      </c>
      <c r="L776" s="670" t="e">
        <f t="shared" ref="L776:L781" si="77">INT(E776*K776)</f>
        <v>#REF!</v>
      </c>
      <c r="M776" s="670" t="e">
        <f t="shared" si="75"/>
        <v>#REF!</v>
      </c>
      <c r="N776" s="670" t="e">
        <f t="shared" si="75"/>
        <v>#REF!</v>
      </c>
      <c r="O776" s="671">
        <f>$A$189</f>
        <v>49</v>
      </c>
      <c r="P776" s="672"/>
      <c r="Q776" s="688"/>
      <c r="R776" s="688"/>
      <c r="S776" s="688"/>
      <c r="T776" s="688"/>
    </row>
    <row r="777" spans="1:22" s="665" customFormat="1" ht="17.100000000000001" customHeight="1">
      <c r="A777" s="1316" t="s">
        <v>1680</v>
      </c>
      <c r="B777" s="1317"/>
      <c r="C777" s="1316" t="s">
        <v>1681</v>
      </c>
      <c r="D777" s="1317"/>
      <c r="E777" s="679">
        <f>2.4*1*0.125</f>
        <v>0.3</v>
      </c>
      <c r="F777" s="676" t="s">
        <v>850</v>
      </c>
      <c r="G777" s="670" t="e">
        <f>$H$213</f>
        <v>#REF!</v>
      </c>
      <c r="H777" s="670" t="e">
        <f t="shared" si="74"/>
        <v>#REF!</v>
      </c>
      <c r="I777" s="670" t="e">
        <f>$J$213</f>
        <v>#REF!</v>
      </c>
      <c r="J777" s="670" t="e">
        <f t="shared" si="76"/>
        <v>#REF!</v>
      </c>
      <c r="K777" s="670" t="e">
        <f>$L$213</f>
        <v>#REF!</v>
      </c>
      <c r="L777" s="670" t="e">
        <f t="shared" si="77"/>
        <v>#REF!</v>
      </c>
      <c r="M777" s="670" t="e">
        <f t="shared" si="75"/>
        <v>#REF!</v>
      </c>
      <c r="N777" s="670" t="e">
        <f t="shared" si="75"/>
        <v>#REF!</v>
      </c>
      <c r="O777" s="671">
        <f>$A$207</f>
        <v>52</v>
      </c>
      <c r="P777" s="672"/>
      <c r="Q777" s="688"/>
      <c r="R777" s="688"/>
      <c r="S777" s="688"/>
      <c r="T777" s="688"/>
    </row>
    <row r="778" spans="1:22" s="665" customFormat="1" ht="17.100000000000001" customHeight="1">
      <c r="A778" s="1316" t="s">
        <v>1682</v>
      </c>
      <c r="B778" s="1317"/>
      <c r="C778" s="1316" t="s">
        <v>1683</v>
      </c>
      <c r="D778" s="1317"/>
      <c r="E778" s="679">
        <f>2.4*1*(1-0.125)</f>
        <v>2.1</v>
      </c>
      <c r="F778" s="676" t="s">
        <v>850</v>
      </c>
      <c r="G778" s="670" t="e">
        <f>$H$101</f>
        <v>#REF!</v>
      </c>
      <c r="H778" s="670" t="e">
        <f t="shared" si="74"/>
        <v>#REF!</v>
      </c>
      <c r="I778" s="670" t="e">
        <f>$J$101</f>
        <v>#REF!</v>
      </c>
      <c r="J778" s="670" t="e">
        <f t="shared" si="76"/>
        <v>#REF!</v>
      </c>
      <c r="K778" s="670" t="e">
        <f>$L$101</f>
        <v>#REF!</v>
      </c>
      <c r="L778" s="670" t="e">
        <f t="shared" si="77"/>
        <v>#REF!</v>
      </c>
      <c r="M778" s="670" t="e">
        <f t="shared" si="75"/>
        <v>#REF!</v>
      </c>
      <c r="N778" s="670" t="e">
        <f t="shared" si="75"/>
        <v>#REF!</v>
      </c>
      <c r="O778" s="671">
        <f>$A$99</f>
        <v>25</v>
      </c>
      <c r="P778" s="672"/>
      <c r="U778" s="688"/>
      <c r="V778" s="688"/>
    </row>
    <row r="779" spans="1:22" s="688" customFormat="1" ht="17.100000000000001" customHeight="1">
      <c r="A779" s="1316" t="s">
        <v>1684</v>
      </c>
      <c r="B779" s="1317"/>
      <c r="C779" s="1316" t="s">
        <v>585</v>
      </c>
      <c r="D779" s="1317"/>
      <c r="E779" s="679">
        <v>1.2</v>
      </c>
      <c r="F779" s="676" t="s">
        <v>850</v>
      </c>
      <c r="G779" s="670"/>
      <c r="H779" s="670">
        <f t="shared" si="74"/>
        <v>0</v>
      </c>
      <c r="I779" s="670" t="e">
        <f>$J$5</f>
        <v>#REF!</v>
      </c>
      <c r="J779" s="670" t="e">
        <f t="shared" si="76"/>
        <v>#REF!</v>
      </c>
      <c r="K779" s="670"/>
      <c r="L779" s="670">
        <f t="shared" si="77"/>
        <v>0</v>
      </c>
      <c r="M779" s="670" t="e">
        <f t="shared" si="75"/>
        <v>#REF!</v>
      </c>
      <c r="N779" s="670" t="e">
        <f t="shared" si="75"/>
        <v>#REF!</v>
      </c>
      <c r="O779" s="671">
        <f>$A$3</f>
        <v>1</v>
      </c>
      <c r="P779" s="672"/>
      <c r="Q779" s="665" t="s">
        <v>1673</v>
      </c>
      <c r="R779" s="665"/>
      <c r="S779" s="665"/>
      <c r="T779" s="665"/>
    </row>
    <row r="780" spans="1:22" s="688" customFormat="1" ht="17.100000000000001" customHeight="1">
      <c r="A780" s="1316" t="s">
        <v>1685</v>
      </c>
      <c r="B780" s="1317"/>
      <c r="C780" s="1316" t="s">
        <v>1686</v>
      </c>
      <c r="D780" s="1317"/>
      <c r="E780" s="679">
        <f>3.3</f>
        <v>3.3</v>
      </c>
      <c r="F780" s="676" t="s">
        <v>850</v>
      </c>
      <c r="G780" s="670" t="e">
        <f>$H$52</f>
        <v>#REF!</v>
      </c>
      <c r="H780" s="670" t="e">
        <f t="shared" si="74"/>
        <v>#REF!</v>
      </c>
      <c r="I780" s="670" t="e">
        <f>$J$52</f>
        <v>#REF!</v>
      </c>
      <c r="J780" s="670" t="e">
        <f t="shared" si="76"/>
        <v>#REF!</v>
      </c>
      <c r="K780" s="670" t="e">
        <f>$L$52</f>
        <v>#REF!</v>
      </c>
      <c r="L780" s="670" t="e">
        <f t="shared" si="77"/>
        <v>#REF!</v>
      </c>
      <c r="M780" s="670" t="e">
        <f t="shared" si="75"/>
        <v>#REF!</v>
      </c>
      <c r="N780" s="670" t="e">
        <f t="shared" si="75"/>
        <v>#REF!</v>
      </c>
      <c r="O780" s="671">
        <f>$A$48</f>
        <v>10</v>
      </c>
      <c r="P780" s="672"/>
      <c r="Q780" s="665"/>
      <c r="R780" s="665"/>
      <c r="S780" s="665"/>
      <c r="T780" s="665"/>
      <c r="U780" s="665"/>
      <c r="V780" s="665"/>
    </row>
    <row r="781" spans="1:22" s="665" customFormat="1" ht="17.100000000000001" customHeight="1">
      <c r="A781" s="1316" t="s">
        <v>1687</v>
      </c>
      <c r="B781" s="1317"/>
      <c r="C781" s="1316" t="s">
        <v>1688</v>
      </c>
      <c r="D781" s="1317"/>
      <c r="E781" s="679">
        <f>2.4*0.125</f>
        <v>0.3</v>
      </c>
      <c r="F781" s="676" t="s">
        <v>850</v>
      </c>
      <c r="G781" s="670" t="e">
        <f>$H$1797</f>
        <v>#REF!</v>
      </c>
      <c r="H781" s="670" t="e">
        <f t="shared" si="74"/>
        <v>#REF!</v>
      </c>
      <c r="I781" s="670" t="e">
        <f>$J$1797</f>
        <v>#REF!</v>
      </c>
      <c r="J781" s="670" t="e">
        <f t="shared" si="76"/>
        <v>#REF!</v>
      </c>
      <c r="K781" s="670" t="e">
        <f>$L$1797</f>
        <v>#REF!</v>
      </c>
      <c r="L781" s="670" t="e">
        <f t="shared" si="77"/>
        <v>#REF!</v>
      </c>
      <c r="M781" s="670" t="e">
        <f t="shared" si="75"/>
        <v>#REF!</v>
      </c>
      <c r="N781" s="670" t="e">
        <f t="shared" si="75"/>
        <v>#REF!</v>
      </c>
      <c r="O781" s="671">
        <f>A1788</f>
        <v>304</v>
      </c>
      <c r="P781" s="672"/>
    </row>
    <row r="782" spans="1:22" s="665" customFormat="1" ht="17.100000000000001" customHeight="1">
      <c r="A782" s="1318" t="s">
        <v>1320</v>
      </c>
      <c r="B782" s="1319"/>
      <c r="C782" s="1371"/>
      <c r="D782" s="1372"/>
      <c r="E782" s="677"/>
      <c r="F782" s="676"/>
      <c r="G782" s="670"/>
      <c r="H782" s="670" t="e">
        <f>SUM(H775:H781)</f>
        <v>#REF!</v>
      </c>
      <c r="I782" s="670"/>
      <c r="J782" s="670" t="e">
        <f>SUM(J775:J781)</f>
        <v>#REF!</v>
      </c>
      <c r="K782" s="670"/>
      <c r="L782" s="670" t="e">
        <f>SUM(L775:L781)</f>
        <v>#REF!</v>
      </c>
      <c r="M782" s="670"/>
      <c r="N782" s="670" t="e">
        <f>SUM(N775:N781)</f>
        <v>#REF!</v>
      </c>
      <c r="O782" s="671"/>
      <c r="P782" s="672"/>
    </row>
    <row r="783" spans="1:22" s="665" customFormat="1" ht="17.100000000000001" customHeight="1">
      <c r="A783" s="668">
        <f>A774+1</f>
        <v>173</v>
      </c>
      <c r="B783" s="1320" t="s">
        <v>1674</v>
      </c>
      <c r="C783" s="1320"/>
      <c r="D783" s="1320" t="s">
        <v>1689</v>
      </c>
      <c r="E783" s="1320"/>
      <c r="F783" s="669" t="s">
        <v>575</v>
      </c>
      <c r="G783" s="670"/>
      <c r="H783" s="670"/>
      <c r="I783" s="670"/>
      <c r="J783" s="670"/>
      <c r="K783" s="670"/>
      <c r="L783" s="670"/>
      <c r="M783" s="670"/>
      <c r="N783" s="670"/>
      <c r="O783" s="671"/>
      <c r="P783" s="672"/>
      <c r="Q783" s="688"/>
      <c r="R783" s="688"/>
      <c r="S783" s="688"/>
      <c r="T783" s="688"/>
    </row>
    <row r="784" spans="1:22" s="665" customFormat="1" ht="17.100000000000001" customHeight="1">
      <c r="A784" s="1367" t="s">
        <v>1676</v>
      </c>
      <c r="B784" s="1327"/>
      <c r="C784" s="1367" t="s">
        <v>1677</v>
      </c>
      <c r="D784" s="1327"/>
      <c r="E784" s="748">
        <f>(2.4*1)*0.125*2.32*1.02</f>
        <v>0.70992</v>
      </c>
      <c r="F784" s="749" t="s">
        <v>915</v>
      </c>
      <c r="G784" s="750" t="e">
        <f>#REF!</f>
        <v>#REF!</v>
      </c>
      <c r="H784" s="670" t="e">
        <f t="shared" ref="H784:H790" si="78">INT(E784*G784)</f>
        <v>#REF!</v>
      </c>
      <c r="I784" s="750"/>
      <c r="J784" s="750"/>
      <c r="K784" s="750"/>
      <c r="L784" s="750"/>
      <c r="M784" s="670" t="e">
        <f t="shared" ref="M784:N790" si="79">G784+I784+K784</f>
        <v>#REF!</v>
      </c>
      <c r="N784" s="670" t="e">
        <f t="shared" si="79"/>
        <v>#REF!</v>
      </c>
      <c r="O784" s="751"/>
      <c r="P784" s="672"/>
      <c r="Q784" s="688"/>
      <c r="R784" s="688"/>
      <c r="S784" s="688"/>
      <c r="T784" s="688"/>
    </row>
    <row r="785" spans="1:26" s="665" customFormat="1" ht="17.100000000000001" customHeight="1">
      <c r="A785" s="1316" t="s">
        <v>1678</v>
      </c>
      <c r="B785" s="1317"/>
      <c r="C785" s="1316" t="s">
        <v>1679</v>
      </c>
      <c r="D785" s="1317"/>
      <c r="E785" s="679">
        <v>6.8</v>
      </c>
      <c r="F785" s="676" t="s">
        <v>272</v>
      </c>
      <c r="G785" s="670" t="e">
        <f>$H$194</f>
        <v>#REF!</v>
      </c>
      <c r="H785" s="670" t="e">
        <f t="shared" si="78"/>
        <v>#REF!</v>
      </c>
      <c r="I785" s="670" t="e">
        <f>$J$194</f>
        <v>#REF!</v>
      </c>
      <c r="J785" s="670" t="e">
        <f t="shared" ref="J785:J790" si="80">INT(E785*I785)</f>
        <v>#REF!</v>
      </c>
      <c r="K785" s="670" t="e">
        <f>$L$194</f>
        <v>#REF!</v>
      </c>
      <c r="L785" s="670" t="e">
        <f t="shared" ref="L785:L790" si="81">INT(E785*K785)</f>
        <v>#REF!</v>
      </c>
      <c r="M785" s="670" t="e">
        <f t="shared" si="79"/>
        <v>#REF!</v>
      </c>
      <c r="N785" s="670" t="e">
        <f t="shared" si="79"/>
        <v>#REF!</v>
      </c>
      <c r="O785" s="671">
        <f>$A$189</f>
        <v>49</v>
      </c>
      <c r="P785" s="672"/>
      <c r="U785" s="688"/>
      <c r="V785" s="688"/>
    </row>
    <row r="786" spans="1:26" s="688" customFormat="1" ht="17.100000000000001" customHeight="1">
      <c r="A786" s="1316" t="s">
        <v>1680</v>
      </c>
      <c r="B786" s="1317"/>
      <c r="C786" s="1316" t="s">
        <v>1681</v>
      </c>
      <c r="D786" s="1317"/>
      <c r="E786" s="679">
        <f>2.4*1*0.125</f>
        <v>0.3</v>
      </c>
      <c r="F786" s="676" t="s">
        <v>850</v>
      </c>
      <c r="G786" s="670" t="e">
        <f>$H$213</f>
        <v>#REF!</v>
      </c>
      <c r="H786" s="670" t="e">
        <f t="shared" si="78"/>
        <v>#REF!</v>
      </c>
      <c r="I786" s="670" t="e">
        <f>$J$213</f>
        <v>#REF!</v>
      </c>
      <c r="J786" s="670" t="e">
        <f t="shared" si="80"/>
        <v>#REF!</v>
      </c>
      <c r="K786" s="670" t="e">
        <f>$L$213</f>
        <v>#REF!</v>
      </c>
      <c r="L786" s="670" t="e">
        <f t="shared" si="81"/>
        <v>#REF!</v>
      </c>
      <c r="M786" s="670" t="e">
        <f t="shared" si="79"/>
        <v>#REF!</v>
      </c>
      <c r="N786" s="670" t="e">
        <f t="shared" si="79"/>
        <v>#REF!</v>
      </c>
      <c r="O786" s="671">
        <f>$A$207</f>
        <v>52</v>
      </c>
      <c r="P786" s="672"/>
      <c r="Q786" s="665" t="s">
        <v>1673</v>
      </c>
      <c r="R786" s="665"/>
      <c r="S786" s="665"/>
      <c r="T786" s="665"/>
    </row>
    <row r="787" spans="1:26" s="688" customFormat="1" ht="17.100000000000001" customHeight="1">
      <c r="A787" s="1316" t="s">
        <v>1682</v>
      </c>
      <c r="B787" s="1317"/>
      <c r="C787" s="1316" t="s">
        <v>1683</v>
      </c>
      <c r="D787" s="1317"/>
      <c r="E787" s="679">
        <f>2.4*1*(1-0.125)</f>
        <v>2.1</v>
      </c>
      <c r="F787" s="676" t="s">
        <v>850</v>
      </c>
      <c r="G787" s="670" t="e">
        <f>$H$101</f>
        <v>#REF!</v>
      </c>
      <c r="H787" s="670" t="e">
        <f t="shared" si="78"/>
        <v>#REF!</v>
      </c>
      <c r="I787" s="670" t="e">
        <f>$J$101</f>
        <v>#REF!</v>
      </c>
      <c r="J787" s="670" t="e">
        <f t="shared" si="80"/>
        <v>#REF!</v>
      </c>
      <c r="K787" s="670" t="e">
        <f>$L$101</f>
        <v>#REF!</v>
      </c>
      <c r="L787" s="670" t="e">
        <f t="shared" si="81"/>
        <v>#REF!</v>
      </c>
      <c r="M787" s="670" t="e">
        <f t="shared" si="79"/>
        <v>#REF!</v>
      </c>
      <c r="N787" s="670" t="e">
        <f t="shared" si="79"/>
        <v>#REF!</v>
      </c>
      <c r="O787" s="671">
        <f>$A$99</f>
        <v>25</v>
      </c>
      <c r="P787" s="672"/>
      <c r="Q787" s="665"/>
      <c r="R787" s="665"/>
      <c r="S787" s="665"/>
      <c r="T787" s="665"/>
      <c r="U787" s="665"/>
      <c r="V787" s="665"/>
    </row>
    <row r="788" spans="1:26" s="665" customFormat="1" ht="17.100000000000001" customHeight="1">
      <c r="A788" s="1316" t="s">
        <v>1684</v>
      </c>
      <c r="B788" s="1317"/>
      <c r="C788" s="1316" t="s">
        <v>585</v>
      </c>
      <c r="D788" s="1317"/>
      <c r="E788" s="679">
        <v>1.2</v>
      </c>
      <c r="F788" s="676" t="s">
        <v>850</v>
      </c>
      <c r="G788" s="670"/>
      <c r="H788" s="670">
        <f t="shared" si="78"/>
        <v>0</v>
      </c>
      <c r="I788" s="670" t="e">
        <f>$J$5</f>
        <v>#REF!</v>
      </c>
      <c r="J788" s="670" t="e">
        <f t="shared" si="80"/>
        <v>#REF!</v>
      </c>
      <c r="K788" s="670"/>
      <c r="L788" s="670">
        <f t="shared" si="81"/>
        <v>0</v>
      </c>
      <c r="M788" s="670" t="e">
        <f t="shared" si="79"/>
        <v>#REF!</v>
      </c>
      <c r="N788" s="670" t="e">
        <f t="shared" si="79"/>
        <v>#REF!</v>
      </c>
      <c r="O788" s="671">
        <f>$A$3</f>
        <v>1</v>
      </c>
      <c r="P788" s="672"/>
      <c r="Q788" s="665" t="s">
        <v>1690</v>
      </c>
    </row>
    <row r="789" spans="1:26" s="665" customFormat="1" ht="17.100000000000001" customHeight="1">
      <c r="A789" s="1316" t="s">
        <v>1691</v>
      </c>
      <c r="B789" s="1317"/>
      <c r="C789" s="1316" t="s">
        <v>1683</v>
      </c>
      <c r="D789" s="1317"/>
      <c r="E789" s="679">
        <f>3.3</f>
        <v>3.3</v>
      </c>
      <c r="F789" s="676" t="s">
        <v>850</v>
      </c>
      <c r="G789" s="670" t="e">
        <f>$H$124</f>
        <v>#REF!</v>
      </c>
      <c r="H789" s="670" t="e">
        <f t="shared" si="78"/>
        <v>#REF!</v>
      </c>
      <c r="I789" s="670" t="e">
        <f>$J$124</f>
        <v>#REF!</v>
      </c>
      <c r="J789" s="670" t="e">
        <f t="shared" si="80"/>
        <v>#REF!</v>
      </c>
      <c r="K789" s="670" t="e">
        <f>$L$124</f>
        <v>#REF!</v>
      </c>
      <c r="L789" s="670" t="e">
        <f t="shared" si="81"/>
        <v>#REF!</v>
      </c>
      <c r="M789" s="670" t="e">
        <f t="shared" si="79"/>
        <v>#REF!</v>
      </c>
      <c r="N789" s="670" t="e">
        <f t="shared" si="79"/>
        <v>#REF!</v>
      </c>
      <c r="O789" s="671">
        <f>$A$122</f>
        <v>30</v>
      </c>
      <c r="P789" s="672"/>
    </row>
    <row r="790" spans="1:26" s="665" customFormat="1" ht="17.100000000000001" customHeight="1">
      <c r="A790" s="1316" t="s">
        <v>1687</v>
      </c>
      <c r="B790" s="1317"/>
      <c r="C790" s="1316" t="s">
        <v>1688</v>
      </c>
      <c r="D790" s="1317"/>
      <c r="E790" s="679">
        <f>2.4*0.125</f>
        <v>0.3</v>
      </c>
      <c r="F790" s="676" t="s">
        <v>850</v>
      </c>
      <c r="G790" s="670" t="e">
        <f>$H$1797</f>
        <v>#REF!</v>
      </c>
      <c r="H790" s="670" t="e">
        <f t="shared" si="78"/>
        <v>#REF!</v>
      </c>
      <c r="I790" s="670" t="e">
        <f>$J$1797</f>
        <v>#REF!</v>
      </c>
      <c r="J790" s="670" t="e">
        <f t="shared" si="80"/>
        <v>#REF!</v>
      </c>
      <c r="K790" s="670" t="e">
        <f>$L$1797</f>
        <v>#REF!</v>
      </c>
      <c r="L790" s="670" t="e">
        <f t="shared" si="81"/>
        <v>#REF!</v>
      </c>
      <c r="M790" s="670" t="e">
        <f t="shared" si="79"/>
        <v>#REF!</v>
      </c>
      <c r="N790" s="670" t="e">
        <f t="shared" si="79"/>
        <v>#REF!</v>
      </c>
      <c r="O790" s="671">
        <f>$A$1788</f>
        <v>304</v>
      </c>
      <c r="P790" s="672"/>
      <c r="Q790" s="688"/>
      <c r="R790" s="688"/>
      <c r="S790" s="688"/>
      <c r="T790" s="688"/>
    </row>
    <row r="791" spans="1:26" s="665" customFormat="1" ht="17.100000000000001" customHeight="1">
      <c r="A791" s="1318" t="s">
        <v>1320</v>
      </c>
      <c r="B791" s="1319"/>
      <c r="C791" s="1371"/>
      <c r="D791" s="1372"/>
      <c r="E791" s="677"/>
      <c r="F791" s="676"/>
      <c r="G791" s="670"/>
      <c r="H791" s="670" t="e">
        <f>SUM(H784:H790)</f>
        <v>#REF!</v>
      </c>
      <c r="I791" s="670"/>
      <c r="J791" s="670" t="e">
        <f>SUM(J784:J790)</f>
        <v>#REF!</v>
      </c>
      <c r="K791" s="670"/>
      <c r="L791" s="670" t="e">
        <f>SUM(L784:L790)</f>
        <v>#REF!</v>
      </c>
      <c r="M791" s="670"/>
      <c r="N791" s="670" t="e">
        <f>SUM(N784:N790)</f>
        <v>#REF!</v>
      </c>
      <c r="O791" s="671"/>
      <c r="P791" s="672"/>
      <c r="Q791" s="688"/>
      <c r="R791" s="688"/>
      <c r="S791" s="688"/>
      <c r="T791" s="688"/>
    </row>
    <row r="792" spans="1:26" s="673" customFormat="1" ht="17.100000000000001" customHeight="1">
      <c r="A792" s="737">
        <f>A783+1</f>
        <v>174</v>
      </c>
      <c r="B792" s="1345" t="s">
        <v>1692</v>
      </c>
      <c r="C792" s="1345"/>
      <c r="D792" s="1345"/>
      <c r="E792" s="1345"/>
      <c r="F792" s="738" t="s">
        <v>850</v>
      </c>
      <c r="G792" s="739"/>
      <c r="H792" s="739"/>
      <c r="I792" s="739"/>
      <c r="J792" s="739"/>
      <c r="K792" s="739"/>
      <c r="L792" s="739"/>
      <c r="M792" s="739"/>
      <c r="N792" s="739"/>
      <c r="O792" s="740"/>
      <c r="P792" s="678" t="s">
        <v>1693</v>
      </c>
      <c r="Q792" s="752"/>
      <c r="R792" s="752">
        <v>110</v>
      </c>
      <c r="S792" s="752">
        <f>110/8</f>
        <v>13.75</v>
      </c>
      <c r="T792" s="752">
        <v>100</v>
      </c>
      <c r="U792" s="752">
        <f>T792/8</f>
        <v>12.5</v>
      </c>
      <c r="V792" s="752"/>
      <c r="W792" s="752">
        <v>90</v>
      </c>
      <c r="X792" s="752">
        <f>W792/8</f>
        <v>11.25</v>
      </c>
      <c r="Y792" s="752"/>
      <c r="Z792" s="752"/>
    </row>
    <row r="793" spans="1:26" s="673" customFormat="1" ht="17.100000000000001" customHeight="1">
      <c r="A793" s="1341" t="s">
        <v>1051</v>
      </c>
      <c r="B793" s="1342"/>
      <c r="C793" s="1341" t="s">
        <v>1694</v>
      </c>
      <c r="D793" s="1342"/>
      <c r="E793" s="753">
        <v>41.666600000000003</v>
      </c>
      <c r="F793" s="742" t="s">
        <v>810</v>
      </c>
      <c r="G793" s="739" t="e">
        <f>#REF!</f>
        <v>#REF!</v>
      </c>
      <c r="H793" s="739" t="e">
        <f>INT(E793*G793)</f>
        <v>#REF!</v>
      </c>
      <c r="I793" s="739"/>
      <c r="J793" s="739"/>
      <c r="K793" s="739"/>
      <c r="L793" s="739"/>
      <c r="M793" s="739" t="e">
        <f t="shared" ref="M793:N796" si="82">G793+I793+K793</f>
        <v>#REF!</v>
      </c>
      <c r="N793" s="739" t="e">
        <f t="shared" si="82"/>
        <v>#REF!</v>
      </c>
      <c r="O793" s="740"/>
      <c r="P793" s="735" t="s">
        <v>1695</v>
      </c>
      <c r="Q793" s="752" t="s">
        <v>1317</v>
      </c>
      <c r="R793" s="752" t="s">
        <v>543</v>
      </c>
      <c r="S793" s="752"/>
      <c r="T793" s="752" t="s">
        <v>544</v>
      </c>
      <c r="U793" s="752"/>
      <c r="V793" s="752"/>
      <c r="W793" s="752" t="s">
        <v>832</v>
      </c>
      <c r="X793" s="752"/>
      <c r="Y793" s="752"/>
      <c r="Z793" s="752"/>
    </row>
    <row r="794" spans="1:26" s="760" customFormat="1" ht="17.100000000000001" customHeight="1">
      <c r="A794" s="1339" t="s">
        <v>248</v>
      </c>
      <c r="B794" s="1340"/>
      <c r="C794" s="1339" t="s">
        <v>1696</v>
      </c>
      <c r="D794" s="1340"/>
      <c r="E794" s="754">
        <v>0.64100000000000001</v>
      </c>
      <c r="F794" s="755" t="s">
        <v>366</v>
      </c>
      <c r="G794" s="756"/>
      <c r="H794" s="756"/>
      <c r="I794" s="756">
        <f>[53]노임단가!$T$5</f>
        <v>172068</v>
      </c>
      <c r="J794" s="756">
        <f>INT(E794*I794)</f>
        <v>110295</v>
      </c>
      <c r="K794" s="756"/>
      <c r="L794" s="756"/>
      <c r="M794" s="756">
        <f t="shared" si="82"/>
        <v>172068</v>
      </c>
      <c r="N794" s="756">
        <f t="shared" si="82"/>
        <v>110295</v>
      </c>
      <c r="O794" s="757"/>
      <c r="P794" s="758"/>
      <c r="Q794" s="759" t="s">
        <v>628</v>
      </c>
      <c r="R794" s="759">
        <v>1</v>
      </c>
      <c r="S794" s="759">
        <f>ROUND(R794/R$792,3)</f>
        <v>8.9999999999999993E-3</v>
      </c>
      <c r="T794" s="759">
        <v>1</v>
      </c>
      <c r="U794" s="759">
        <f>ROUND(T794/T$792,3)</f>
        <v>0.01</v>
      </c>
      <c r="V794" s="759"/>
      <c r="W794" s="759">
        <v>1</v>
      </c>
      <c r="X794" s="759">
        <f>ROUND(W794/W$792,3)</f>
        <v>1.0999999999999999E-2</v>
      </c>
      <c r="Y794" s="759"/>
      <c r="Z794" s="759"/>
    </row>
    <row r="795" spans="1:26" s="760" customFormat="1" ht="17.100000000000001" customHeight="1">
      <c r="A795" s="1339" t="s">
        <v>248</v>
      </c>
      <c r="B795" s="1340"/>
      <c r="C795" s="1339" t="s">
        <v>1697</v>
      </c>
      <c r="D795" s="1340"/>
      <c r="E795" s="761">
        <v>0.26</v>
      </c>
      <c r="F795" s="755" t="s">
        <v>366</v>
      </c>
      <c r="G795" s="756"/>
      <c r="H795" s="756"/>
      <c r="I795" s="756">
        <f>[53]노임단가!$T$5</f>
        <v>172068</v>
      </c>
      <c r="J795" s="756">
        <f>INT(E795*I795)</f>
        <v>44737</v>
      </c>
      <c r="K795" s="756"/>
      <c r="L795" s="756"/>
      <c r="M795" s="756">
        <f>G795+I795+K795</f>
        <v>172068</v>
      </c>
      <c r="N795" s="756">
        <f>H795+J795+L795</f>
        <v>44737</v>
      </c>
      <c r="O795" s="757"/>
      <c r="P795" s="758"/>
      <c r="Q795" s="759" t="s">
        <v>248</v>
      </c>
      <c r="R795" s="759">
        <v>1</v>
      </c>
      <c r="S795" s="759">
        <f>ROUND(R795/R$792,3)</f>
        <v>8.9999999999999993E-3</v>
      </c>
      <c r="T795" s="759">
        <v>1</v>
      </c>
      <c r="U795" s="759">
        <f>ROUND(T795/T$792,3)</f>
        <v>0.01</v>
      </c>
      <c r="V795" s="759"/>
      <c r="W795" s="759">
        <v>1</v>
      </c>
      <c r="X795" s="759">
        <f>ROUND(W795/W$792,3)</f>
        <v>1.0999999999999999E-2</v>
      </c>
      <c r="Y795" s="759"/>
      <c r="Z795" s="759"/>
    </row>
    <row r="796" spans="1:26" s="760" customFormat="1" ht="17.100000000000001" customHeight="1">
      <c r="A796" s="1339" t="s">
        <v>248</v>
      </c>
      <c r="B796" s="1340"/>
      <c r="C796" s="1339" t="s">
        <v>1698</v>
      </c>
      <c r="D796" s="1340"/>
      <c r="E796" s="761">
        <v>0.26</v>
      </c>
      <c r="F796" s="755" t="s">
        <v>366</v>
      </c>
      <c r="G796" s="756"/>
      <c r="H796" s="756"/>
      <c r="I796" s="756">
        <f>[53]노임단가!$T$5</f>
        <v>172068</v>
      </c>
      <c r="J796" s="756">
        <f>INT(E796*I796)</f>
        <v>44737</v>
      </c>
      <c r="K796" s="756"/>
      <c r="L796" s="756"/>
      <c r="M796" s="756">
        <f t="shared" si="82"/>
        <v>172068</v>
      </c>
      <c r="N796" s="756">
        <f t="shared" si="82"/>
        <v>44737</v>
      </c>
      <c r="O796" s="757"/>
      <c r="P796" s="758"/>
      <c r="Q796" s="759" t="s">
        <v>1699</v>
      </c>
      <c r="R796" s="759">
        <v>1</v>
      </c>
      <c r="S796" s="759">
        <f>ROUND(R796/S$792,3)</f>
        <v>7.2999999999999995E-2</v>
      </c>
      <c r="T796" s="759">
        <v>1</v>
      </c>
      <c r="U796" s="759">
        <f>ROUND(T796/U$792,3)</f>
        <v>0.08</v>
      </c>
      <c r="V796" s="759"/>
      <c r="W796" s="759">
        <v>1</v>
      </c>
      <c r="X796" s="759">
        <f>ROUND(W796/X$792,3)</f>
        <v>8.8999999999999996E-2</v>
      </c>
      <c r="Y796" s="759"/>
      <c r="Z796" s="759"/>
    </row>
    <row r="797" spans="1:26" s="673" customFormat="1" ht="17.100000000000001" customHeight="1">
      <c r="A797" s="1343" t="s">
        <v>1320</v>
      </c>
      <c r="B797" s="1344"/>
      <c r="C797" s="1395"/>
      <c r="D797" s="1396"/>
      <c r="E797" s="747"/>
      <c r="F797" s="742"/>
      <c r="G797" s="739"/>
      <c r="H797" s="739" t="e">
        <f>SUM(H793:H796)</f>
        <v>#REF!</v>
      </c>
      <c r="I797" s="739"/>
      <c r="J797" s="739">
        <f>SUM(J793:J796)</f>
        <v>199769</v>
      </c>
      <c r="K797" s="739"/>
      <c r="L797" s="739"/>
      <c r="M797" s="739"/>
      <c r="N797" s="739" t="e">
        <f>SUM(N793:N796)</f>
        <v>#REF!</v>
      </c>
      <c r="O797" s="740"/>
      <c r="P797" s="678"/>
      <c r="Q797" s="752" t="s">
        <v>1700</v>
      </c>
      <c r="R797" s="752">
        <v>1</v>
      </c>
      <c r="S797" s="752">
        <f>ROUND(R797/S$792,3)</f>
        <v>7.2999999999999995E-2</v>
      </c>
      <c r="T797" s="752">
        <v>0</v>
      </c>
      <c r="U797" s="752">
        <f>ROUND(T797/U$792,3)</f>
        <v>0</v>
      </c>
      <c r="V797" s="752"/>
      <c r="W797" s="752">
        <v>0</v>
      </c>
      <c r="X797" s="752">
        <f>ROUND(W797/X$792,3)</f>
        <v>0</v>
      </c>
      <c r="Y797" s="752"/>
      <c r="Z797" s="752"/>
    </row>
    <row r="798" spans="1:26" s="665" customFormat="1" ht="17.100000000000001" customHeight="1">
      <c r="A798" s="668">
        <f>A792+1</f>
        <v>175</v>
      </c>
      <c r="B798" s="1320" t="s">
        <v>1701</v>
      </c>
      <c r="C798" s="1320"/>
      <c r="D798" s="1320" t="s">
        <v>1702</v>
      </c>
      <c r="E798" s="1320"/>
      <c r="F798" s="669" t="s">
        <v>418</v>
      </c>
      <c r="G798" s="670"/>
      <c r="H798" s="670"/>
      <c r="I798" s="670"/>
      <c r="J798" s="670"/>
      <c r="K798" s="670"/>
      <c r="L798" s="670"/>
      <c r="M798" s="670"/>
      <c r="N798" s="670"/>
      <c r="O798" s="671"/>
      <c r="P798" s="672"/>
      <c r="Q798" s="681" t="s">
        <v>1703</v>
      </c>
      <c r="R798" s="681">
        <v>0</v>
      </c>
      <c r="S798" s="681">
        <f>ROUND(R798/S$792,3)</f>
        <v>0</v>
      </c>
      <c r="T798" s="681">
        <v>1</v>
      </c>
      <c r="U798" s="681">
        <f>ROUND(T798/U$792,3)</f>
        <v>0.08</v>
      </c>
      <c r="V798" s="681"/>
      <c r="W798" s="681">
        <v>1</v>
      </c>
      <c r="X798" s="681">
        <f>ROUND(W798/X$792,3)</f>
        <v>8.8999999999999996E-2</v>
      </c>
      <c r="Y798" s="681"/>
      <c r="Z798" s="681"/>
    </row>
    <row r="799" spans="1:26" s="665" customFormat="1" ht="17.100000000000001" customHeight="1">
      <c r="A799" s="1316" t="s">
        <v>1283</v>
      </c>
      <c r="B799" s="1317"/>
      <c r="C799" s="1320" t="s">
        <v>1701</v>
      </c>
      <c r="D799" s="1320"/>
      <c r="E799" s="677">
        <v>1</v>
      </c>
      <c r="F799" s="676" t="s">
        <v>418</v>
      </c>
      <c r="G799" s="670"/>
      <c r="H799" s="670"/>
      <c r="I799" s="670"/>
      <c r="J799" s="670"/>
      <c r="K799" s="670" t="e">
        <f>#REF!</f>
        <v>#REF!</v>
      </c>
      <c r="L799" s="670" t="e">
        <f>INT(E799*K799)</f>
        <v>#REF!</v>
      </c>
      <c r="M799" s="670" t="e">
        <f t="shared" ref="M799:N801" si="83">G799+I799+K799</f>
        <v>#REF!</v>
      </c>
      <c r="N799" s="670" t="e">
        <f t="shared" si="83"/>
        <v>#REF!</v>
      </c>
      <c r="O799" s="671"/>
      <c r="P799" s="672"/>
    </row>
    <row r="800" spans="1:26" s="665" customFormat="1" ht="17.100000000000001" customHeight="1">
      <c r="A800" s="1316" t="s">
        <v>1291</v>
      </c>
      <c r="B800" s="1317"/>
      <c r="C800" s="1316" t="s">
        <v>1292</v>
      </c>
      <c r="D800" s="1317"/>
      <c r="E800" s="677">
        <v>1</v>
      </c>
      <c r="F800" s="676" t="s">
        <v>418</v>
      </c>
      <c r="G800" s="670" t="e">
        <f>#REF!</f>
        <v>#REF!</v>
      </c>
      <c r="H800" s="670" t="e">
        <f>INT(E800*G800)</f>
        <v>#REF!</v>
      </c>
      <c r="I800" s="670"/>
      <c r="J800" s="670"/>
      <c r="K800" s="670" t="e">
        <f>#REF!</f>
        <v>#REF!</v>
      </c>
      <c r="L800" s="670" t="e">
        <f>INT(E800*K800)</f>
        <v>#REF!</v>
      </c>
      <c r="M800" s="670" t="e">
        <f t="shared" si="83"/>
        <v>#REF!</v>
      </c>
      <c r="N800" s="670" t="e">
        <f t="shared" si="83"/>
        <v>#REF!</v>
      </c>
      <c r="O800" s="671"/>
      <c r="P800" s="672"/>
      <c r="Q800" s="665" t="s">
        <v>1704</v>
      </c>
      <c r="R800" s="665" t="s">
        <v>1705</v>
      </c>
      <c r="S800" s="665" t="s">
        <v>1706</v>
      </c>
      <c r="T800" s="665" t="s">
        <v>1707</v>
      </c>
      <c r="U800" s="688"/>
      <c r="V800" s="688"/>
    </row>
    <row r="801" spans="1:22" s="688" customFormat="1" ht="17.100000000000001" customHeight="1">
      <c r="A801" s="1316" t="s">
        <v>248</v>
      </c>
      <c r="B801" s="1317"/>
      <c r="C801" s="1316"/>
      <c r="D801" s="1317"/>
      <c r="E801" s="675">
        <v>0.02</v>
      </c>
      <c r="F801" s="676" t="s">
        <v>366</v>
      </c>
      <c r="G801" s="670"/>
      <c r="H801" s="670"/>
      <c r="I801" s="670">
        <f>[53]노임단가!$T$5</f>
        <v>172068</v>
      </c>
      <c r="J801" s="670">
        <f>INT(E801*I801)</f>
        <v>3441</v>
      </c>
      <c r="K801" s="670"/>
      <c r="L801" s="670"/>
      <c r="M801" s="670">
        <f t="shared" si="83"/>
        <v>172068</v>
      </c>
      <c r="N801" s="670">
        <f t="shared" si="83"/>
        <v>3441</v>
      </c>
      <c r="O801" s="671"/>
      <c r="P801" s="672"/>
      <c r="Q801" s="665"/>
      <c r="R801" s="665">
        <v>130</v>
      </c>
      <c r="S801" s="665">
        <v>320</v>
      </c>
      <c r="T801" s="665">
        <v>320</v>
      </c>
      <c r="U801" s="665"/>
      <c r="V801" s="665"/>
    </row>
    <row r="802" spans="1:22" s="665" customFormat="1" ht="17.100000000000001" customHeight="1">
      <c r="A802" s="1318" t="s">
        <v>1320</v>
      </c>
      <c r="B802" s="1319"/>
      <c r="C802" s="1371"/>
      <c r="D802" s="1372"/>
      <c r="E802" s="677"/>
      <c r="F802" s="676"/>
      <c r="G802" s="670"/>
      <c r="H802" s="670" t="e">
        <f>SUM(H799:H801)</f>
        <v>#REF!</v>
      </c>
      <c r="I802" s="670"/>
      <c r="J802" s="670">
        <f>SUM(J799:J801)</f>
        <v>3441</v>
      </c>
      <c r="K802" s="670"/>
      <c r="L802" s="670" t="e">
        <f>SUM(L799:L801)</f>
        <v>#REF!</v>
      </c>
      <c r="M802" s="670"/>
      <c r="N802" s="670" t="e">
        <f>SUM(N799:N801)</f>
        <v>#REF!</v>
      </c>
      <c r="O802" s="671"/>
      <c r="P802" s="672"/>
      <c r="Q802" s="665" t="s">
        <v>1708</v>
      </c>
      <c r="R802" s="665">
        <f>U802*R801</f>
        <v>3.12</v>
      </c>
      <c r="S802" s="665">
        <f>S801*U802</f>
        <v>7.68</v>
      </c>
      <c r="T802" s="665">
        <f>T801*U802</f>
        <v>7.68</v>
      </c>
      <c r="U802" s="665">
        <v>2.4E-2</v>
      </c>
    </row>
    <row r="803" spans="1:22" s="665" customFormat="1" ht="17.100000000000001" customHeight="1">
      <c r="A803" s="668">
        <f>A798+1</f>
        <v>176</v>
      </c>
      <c r="B803" s="1320" t="s">
        <v>1709</v>
      </c>
      <c r="C803" s="1320"/>
      <c r="D803" s="1320" t="s">
        <v>543</v>
      </c>
      <c r="E803" s="1320"/>
      <c r="F803" s="669" t="s">
        <v>850</v>
      </c>
      <c r="G803" s="670"/>
      <c r="H803" s="670"/>
      <c r="I803" s="670"/>
      <c r="J803" s="670"/>
      <c r="K803" s="670"/>
      <c r="L803" s="670"/>
      <c r="M803" s="670"/>
      <c r="N803" s="670"/>
      <c r="O803" s="671"/>
      <c r="P803" s="672"/>
    </row>
    <row r="804" spans="1:22" s="665" customFormat="1" ht="17.100000000000001" customHeight="1">
      <c r="A804" s="1316" t="s">
        <v>821</v>
      </c>
      <c r="B804" s="1317"/>
      <c r="C804" s="1316" t="s">
        <v>1527</v>
      </c>
      <c r="D804" s="1317"/>
      <c r="E804" s="675">
        <v>1.2</v>
      </c>
      <c r="F804" s="676" t="s">
        <v>850</v>
      </c>
      <c r="G804" s="670" t="e">
        <f>#REF!</f>
        <v>#REF!</v>
      </c>
      <c r="H804" s="670" t="e">
        <f>INT(E804*G804)</f>
        <v>#REF!</v>
      </c>
      <c r="I804" s="670"/>
      <c r="J804" s="670"/>
      <c r="K804" s="670"/>
      <c r="L804" s="670"/>
      <c r="M804" s="670" t="e">
        <f t="shared" ref="M804:N808" si="84">G804+I804+K804</f>
        <v>#REF!</v>
      </c>
      <c r="N804" s="670" t="e">
        <f t="shared" si="84"/>
        <v>#REF!</v>
      </c>
      <c r="O804" s="671"/>
      <c r="P804" s="672"/>
      <c r="Q804" s="665" t="s">
        <v>1710</v>
      </c>
      <c r="R804" s="762">
        <f>U804/R802</f>
        <v>0.64102564102564097</v>
      </c>
      <c r="S804" s="762">
        <f>U804/S802</f>
        <v>0.26041666666666669</v>
      </c>
      <c r="T804" s="762">
        <f>U804/T802</f>
        <v>0.26041666666666669</v>
      </c>
      <c r="U804" s="665">
        <v>2</v>
      </c>
    </row>
    <row r="805" spans="1:22" s="665" customFormat="1" ht="17.100000000000001" customHeight="1">
      <c r="A805" s="1316" t="s">
        <v>248</v>
      </c>
      <c r="B805" s="1317"/>
      <c r="C805" s="1316"/>
      <c r="D805" s="1317"/>
      <c r="E805" s="701">
        <v>1.7999999999999999E-2</v>
      </c>
      <c r="F805" s="676" t="s">
        <v>366</v>
      </c>
      <c r="G805" s="670"/>
      <c r="H805" s="670"/>
      <c r="I805" s="670">
        <f>[53]노임단가!$T$5</f>
        <v>172068</v>
      </c>
      <c r="J805" s="670">
        <f>INT(E805*I805)</f>
        <v>3097</v>
      </c>
      <c r="K805" s="670"/>
      <c r="L805" s="670"/>
      <c r="M805" s="670">
        <f t="shared" si="84"/>
        <v>172068</v>
      </c>
      <c r="N805" s="670">
        <f t="shared" si="84"/>
        <v>3097</v>
      </c>
      <c r="O805" s="671"/>
      <c r="P805" s="672"/>
    </row>
    <row r="806" spans="1:22" s="665" customFormat="1" ht="17.100000000000001" customHeight="1">
      <c r="A806" s="1316" t="s">
        <v>409</v>
      </c>
      <c r="B806" s="1317"/>
      <c r="C806" s="1316" t="s">
        <v>394</v>
      </c>
      <c r="D806" s="1317"/>
      <c r="E806" s="675">
        <v>7.0000000000000007E-2</v>
      </c>
      <c r="F806" s="676" t="s">
        <v>418</v>
      </c>
      <c r="G806" s="670" t="e">
        <f>#REF!</f>
        <v>#REF!</v>
      </c>
      <c r="H806" s="670" t="e">
        <f>INT(E806*G806)</f>
        <v>#REF!</v>
      </c>
      <c r="I806" s="670" t="e">
        <f>#REF!</f>
        <v>#REF!</v>
      </c>
      <c r="J806" s="670" t="e">
        <f>INT(E806*I806)</f>
        <v>#REF!</v>
      </c>
      <c r="K806" s="670" t="e">
        <f>#REF!</f>
        <v>#REF!</v>
      </c>
      <c r="L806" s="670" t="e">
        <f>INT(E806*K806)</f>
        <v>#REF!</v>
      </c>
      <c r="M806" s="670" t="e">
        <f t="shared" si="84"/>
        <v>#REF!</v>
      </c>
      <c r="N806" s="670" t="e">
        <f t="shared" si="84"/>
        <v>#REF!</v>
      </c>
      <c r="O806" s="671"/>
      <c r="P806" s="672"/>
      <c r="Q806" s="688"/>
      <c r="R806" s="688"/>
      <c r="S806" s="688"/>
      <c r="T806" s="688"/>
    </row>
    <row r="807" spans="1:22" s="665" customFormat="1" ht="17.100000000000001" customHeight="1">
      <c r="A807" s="1316" t="s">
        <v>630</v>
      </c>
      <c r="B807" s="1317"/>
      <c r="C807" s="1316" t="s">
        <v>1251</v>
      </c>
      <c r="D807" s="1317"/>
      <c r="E807" s="675">
        <v>0.01</v>
      </c>
      <c r="F807" s="676" t="s">
        <v>418</v>
      </c>
      <c r="G807" s="670" t="e">
        <f>#REF!</f>
        <v>#REF!</v>
      </c>
      <c r="H807" s="670" t="e">
        <f>INT(E807*G807)</f>
        <v>#REF!</v>
      </c>
      <c r="I807" s="670" t="e">
        <f>#REF!</f>
        <v>#REF!</v>
      </c>
      <c r="J807" s="670" t="e">
        <f>INT(E807*I807)</f>
        <v>#REF!</v>
      </c>
      <c r="K807" s="670" t="e">
        <f>#REF!</f>
        <v>#REF!</v>
      </c>
      <c r="L807" s="670" t="e">
        <f>INT(E807*K807)</f>
        <v>#REF!</v>
      </c>
      <c r="M807" s="670" t="e">
        <f t="shared" si="84"/>
        <v>#REF!</v>
      </c>
      <c r="N807" s="670" t="e">
        <f t="shared" si="84"/>
        <v>#REF!</v>
      </c>
      <c r="O807" s="671"/>
      <c r="P807" s="672"/>
    </row>
    <row r="808" spans="1:22" s="665" customFormat="1" ht="17.100000000000001" customHeight="1">
      <c r="A808" s="1316" t="s">
        <v>554</v>
      </c>
      <c r="B808" s="1317"/>
      <c r="C808" s="1316" t="s">
        <v>1181</v>
      </c>
      <c r="D808" s="1317"/>
      <c r="E808" s="701">
        <v>9.6000000000000002E-2</v>
      </c>
      <c r="F808" s="676" t="s">
        <v>418</v>
      </c>
      <c r="G808" s="670" t="e">
        <f>#REF!</f>
        <v>#REF!</v>
      </c>
      <c r="H808" s="670" t="e">
        <f>INT(E808*G808)</f>
        <v>#REF!</v>
      </c>
      <c r="I808" s="670" t="e">
        <f>#REF!</f>
        <v>#REF!</v>
      </c>
      <c r="J808" s="670" t="e">
        <f>INT(E808*I808)</f>
        <v>#REF!</v>
      </c>
      <c r="K808" s="670" t="e">
        <f>#REF!</f>
        <v>#REF!</v>
      </c>
      <c r="L808" s="670" t="e">
        <f>INT(E808*K808)</f>
        <v>#REF!</v>
      </c>
      <c r="M808" s="670" t="e">
        <f t="shared" si="84"/>
        <v>#REF!</v>
      </c>
      <c r="N808" s="670" t="e">
        <f t="shared" si="84"/>
        <v>#REF!</v>
      </c>
      <c r="O808" s="671"/>
      <c r="P808" s="672"/>
      <c r="Q808" s="665" t="s">
        <v>1711</v>
      </c>
      <c r="U808" s="688"/>
      <c r="V808" s="688"/>
    </row>
    <row r="809" spans="1:22" s="665" customFormat="1" ht="17.100000000000001" customHeight="1">
      <c r="A809" s="1318" t="s">
        <v>1320</v>
      </c>
      <c r="B809" s="1319"/>
      <c r="C809" s="1371"/>
      <c r="D809" s="1372"/>
      <c r="E809" s="677"/>
      <c r="F809" s="676"/>
      <c r="G809" s="670"/>
      <c r="H809" s="670" t="e">
        <f>SUM(H804:H808)</f>
        <v>#REF!</v>
      </c>
      <c r="I809" s="670"/>
      <c r="J809" s="670" t="e">
        <f>SUM(J804:J808)</f>
        <v>#REF!</v>
      </c>
      <c r="K809" s="670"/>
      <c r="L809" s="670" t="e">
        <f>SUM(L804:L808)</f>
        <v>#REF!</v>
      </c>
      <c r="M809" s="670"/>
      <c r="N809" s="670" t="e">
        <f>SUM(N804:N808)</f>
        <v>#REF!</v>
      </c>
      <c r="O809" s="671"/>
      <c r="P809" s="672"/>
    </row>
    <row r="810" spans="1:22" s="665" customFormat="1" ht="17.100000000000001" customHeight="1">
      <c r="A810" s="668">
        <f>A803+1</f>
        <v>177</v>
      </c>
      <c r="B810" s="1320" t="s">
        <v>1709</v>
      </c>
      <c r="C810" s="1320"/>
      <c r="D810" s="1320" t="s">
        <v>544</v>
      </c>
      <c r="E810" s="1320"/>
      <c r="F810" s="669" t="s">
        <v>850</v>
      </c>
      <c r="G810" s="670"/>
      <c r="H810" s="670"/>
      <c r="I810" s="670"/>
      <c r="J810" s="670"/>
      <c r="K810" s="670"/>
      <c r="L810" s="670"/>
      <c r="M810" s="670"/>
      <c r="N810" s="670"/>
      <c r="O810" s="671"/>
      <c r="P810" s="672" t="s">
        <v>1712</v>
      </c>
      <c r="Q810" s="665" t="s">
        <v>1690</v>
      </c>
    </row>
    <row r="811" spans="1:22" s="665" customFormat="1" ht="17.100000000000001" customHeight="1">
      <c r="A811" s="1316" t="s">
        <v>821</v>
      </c>
      <c r="B811" s="1317"/>
      <c r="C811" s="1316" t="s">
        <v>1527</v>
      </c>
      <c r="D811" s="1317"/>
      <c r="E811" s="679">
        <v>0.4</v>
      </c>
      <c r="F811" s="676" t="s">
        <v>850</v>
      </c>
      <c r="G811" s="670" t="e">
        <f>#REF!</f>
        <v>#REF!</v>
      </c>
      <c r="H811" s="670" t="e">
        <f>INT(E811*G811)</f>
        <v>#REF!</v>
      </c>
      <c r="I811" s="670"/>
      <c r="J811" s="670"/>
      <c r="K811" s="670"/>
      <c r="L811" s="670"/>
      <c r="M811" s="670" t="e">
        <f t="shared" ref="M811:N815" si="85">G811+I811+K811</f>
        <v>#REF!</v>
      </c>
      <c r="N811" s="670" t="e">
        <f t="shared" si="85"/>
        <v>#REF!</v>
      </c>
      <c r="O811" s="671"/>
    </row>
    <row r="812" spans="1:22" s="665" customFormat="1" ht="17.100000000000001" customHeight="1">
      <c r="A812" s="1316" t="s">
        <v>544</v>
      </c>
      <c r="B812" s="1317"/>
      <c r="C812" s="1316" t="s">
        <v>1527</v>
      </c>
      <c r="D812" s="1317"/>
      <c r="E812" s="679">
        <v>1.1000000000000001</v>
      </c>
      <c r="F812" s="676" t="s">
        <v>850</v>
      </c>
      <c r="G812" s="670" t="e">
        <f>#REF!</f>
        <v>#REF!</v>
      </c>
      <c r="H812" s="670" t="e">
        <f>INT(E812*G812)</f>
        <v>#REF!</v>
      </c>
      <c r="I812" s="670"/>
      <c r="J812" s="670"/>
      <c r="K812" s="670"/>
      <c r="L812" s="670"/>
      <c r="M812" s="670" t="e">
        <f t="shared" si="85"/>
        <v>#REF!</v>
      </c>
      <c r="N812" s="670" t="e">
        <f t="shared" si="85"/>
        <v>#REF!</v>
      </c>
      <c r="O812" s="671"/>
      <c r="P812" s="672"/>
    </row>
    <row r="813" spans="1:22" s="665" customFormat="1" ht="17.100000000000001" customHeight="1">
      <c r="A813" s="1316" t="s">
        <v>409</v>
      </c>
      <c r="B813" s="1317"/>
      <c r="C813" s="1316" t="s">
        <v>394</v>
      </c>
      <c r="D813" s="1317"/>
      <c r="E813" s="675">
        <v>7.0000000000000007E-2</v>
      </c>
      <c r="F813" s="676" t="s">
        <v>418</v>
      </c>
      <c r="G813" s="670" t="e">
        <f>#REF!</f>
        <v>#REF!</v>
      </c>
      <c r="H813" s="670" t="e">
        <f>INT(E813*G813)</f>
        <v>#REF!</v>
      </c>
      <c r="I813" s="670" t="e">
        <f>#REF!</f>
        <v>#REF!</v>
      </c>
      <c r="J813" s="670" t="e">
        <f>INT(E813*I813)</f>
        <v>#REF!</v>
      </c>
      <c r="K813" s="670" t="e">
        <f>#REF!</f>
        <v>#REF!</v>
      </c>
      <c r="L813" s="670" t="e">
        <f>INT(E813*K813)</f>
        <v>#REF!</v>
      </c>
      <c r="M813" s="670" t="e">
        <f t="shared" si="85"/>
        <v>#REF!</v>
      </c>
      <c r="N813" s="670" t="e">
        <f t="shared" si="85"/>
        <v>#REF!</v>
      </c>
      <c r="O813" s="671"/>
      <c r="P813" s="672"/>
    </row>
    <row r="814" spans="1:22" s="665" customFormat="1" ht="17.100000000000001" customHeight="1">
      <c r="A814" s="1316" t="s">
        <v>630</v>
      </c>
      <c r="B814" s="1317"/>
      <c r="C814" s="1316" t="s">
        <v>1251</v>
      </c>
      <c r="D814" s="1317"/>
      <c r="E814" s="675">
        <v>0.01</v>
      </c>
      <c r="F814" s="676" t="s">
        <v>418</v>
      </c>
      <c r="G814" s="670" t="e">
        <f>#REF!</f>
        <v>#REF!</v>
      </c>
      <c r="H814" s="670" t="e">
        <f>INT(E814*G814)</f>
        <v>#REF!</v>
      </c>
      <c r="I814" s="670" t="e">
        <f>#REF!</f>
        <v>#REF!</v>
      </c>
      <c r="J814" s="670" t="e">
        <f>INT(E814*I814)</f>
        <v>#REF!</v>
      </c>
      <c r="K814" s="670" t="e">
        <f>#REF!</f>
        <v>#REF!</v>
      </c>
      <c r="L814" s="670" t="e">
        <f>INT(E814*K814)</f>
        <v>#REF!</v>
      </c>
      <c r="M814" s="670" t="e">
        <f t="shared" si="85"/>
        <v>#REF!</v>
      </c>
      <c r="N814" s="670" t="e">
        <f t="shared" si="85"/>
        <v>#REF!</v>
      </c>
      <c r="O814" s="671"/>
      <c r="P814" s="672"/>
      <c r="Q814" s="688"/>
      <c r="R814" s="688"/>
      <c r="S814" s="688"/>
      <c r="T814" s="688"/>
    </row>
    <row r="815" spans="1:22" s="665" customFormat="1" ht="17.100000000000001" customHeight="1">
      <c r="A815" s="1316" t="s">
        <v>554</v>
      </c>
      <c r="B815" s="1317"/>
      <c r="C815" s="1316" t="s">
        <v>1181</v>
      </c>
      <c r="D815" s="1317"/>
      <c r="E815" s="701">
        <v>9.6000000000000002E-2</v>
      </c>
      <c r="F815" s="676" t="s">
        <v>418</v>
      </c>
      <c r="G815" s="670" t="e">
        <f>#REF!</f>
        <v>#REF!</v>
      </c>
      <c r="H815" s="670" t="e">
        <f>INT(E815*G815)</f>
        <v>#REF!</v>
      </c>
      <c r="I815" s="670" t="e">
        <f>#REF!</f>
        <v>#REF!</v>
      </c>
      <c r="J815" s="670" t="e">
        <f>INT(E815*I815)</f>
        <v>#REF!</v>
      </c>
      <c r="K815" s="670" t="e">
        <f>#REF!</f>
        <v>#REF!</v>
      </c>
      <c r="L815" s="670" t="e">
        <f>INT(E815*K815)</f>
        <v>#REF!</v>
      </c>
      <c r="M815" s="670" t="e">
        <f t="shared" si="85"/>
        <v>#REF!</v>
      </c>
      <c r="N815" s="670" t="e">
        <f t="shared" si="85"/>
        <v>#REF!</v>
      </c>
      <c r="O815" s="671"/>
      <c r="P815" s="672"/>
    </row>
    <row r="816" spans="1:22" s="665" customFormat="1" ht="17.100000000000001" customHeight="1">
      <c r="A816" s="1318" t="s">
        <v>1320</v>
      </c>
      <c r="B816" s="1319"/>
      <c r="C816" s="1371"/>
      <c r="D816" s="1372"/>
      <c r="E816" s="677"/>
      <c r="F816" s="676"/>
      <c r="G816" s="670"/>
      <c r="H816" s="670" t="e">
        <f>SUM(H811:H815)</f>
        <v>#REF!</v>
      </c>
      <c r="I816" s="670"/>
      <c r="J816" s="670" t="e">
        <f>SUM(J811:J815)</f>
        <v>#REF!</v>
      </c>
      <c r="K816" s="670"/>
      <c r="L816" s="670" t="e">
        <f>SUM(L811:L815)</f>
        <v>#REF!</v>
      </c>
      <c r="M816" s="670"/>
      <c r="N816" s="670" t="e">
        <f>SUM(N811:N815)</f>
        <v>#REF!</v>
      </c>
      <c r="O816" s="671"/>
      <c r="P816" s="672"/>
    </row>
    <row r="817" spans="1:22" s="665" customFormat="1" ht="17.100000000000001" customHeight="1">
      <c r="A817" s="668">
        <f>A810+1</f>
        <v>178</v>
      </c>
      <c r="B817" s="1320" t="s">
        <v>1709</v>
      </c>
      <c r="C817" s="1320"/>
      <c r="D817" s="1320" t="s">
        <v>832</v>
      </c>
      <c r="E817" s="1320"/>
      <c r="F817" s="669" t="s">
        <v>850</v>
      </c>
      <c r="G817" s="670"/>
      <c r="H817" s="670"/>
      <c r="I817" s="670"/>
      <c r="J817" s="670"/>
      <c r="K817" s="670"/>
      <c r="L817" s="670"/>
      <c r="M817" s="670"/>
      <c r="N817" s="670"/>
      <c r="O817" s="671"/>
      <c r="P817" s="672" t="s">
        <v>1712</v>
      </c>
    </row>
    <row r="818" spans="1:22" s="665" customFormat="1" ht="17.100000000000001" customHeight="1">
      <c r="A818" s="1316" t="s">
        <v>544</v>
      </c>
      <c r="B818" s="1317"/>
      <c r="C818" s="1316" t="s">
        <v>1527</v>
      </c>
      <c r="D818" s="1317"/>
      <c r="E818" s="679">
        <v>0.3</v>
      </c>
      <c r="F818" s="676" t="s">
        <v>850</v>
      </c>
      <c r="G818" s="670" t="e">
        <f>#REF!</f>
        <v>#REF!</v>
      </c>
      <c r="H818" s="670" t="e">
        <f>INT(E818*G818)</f>
        <v>#REF!</v>
      </c>
      <c r="I818" s="670"/>
      <c r="J818" s="670"/>
      <c r="K818" s="670"/>
      <c r="L818" s="670"/>
      <c r="M818" s="670" t="e">
        <f t="shared" ref="M818:N822" si="86">G818+I818+K818</f>
        <v>#REF!</v>
      </c>
      <c r="N818" s="670" t="e">
        <f t="shared" si="86"/>
        <v>#REF!</v>
      </c>
      <c r="O818" s="671"/>
      <c r="P818" s="672"/>
    </row>
    <row r="819" spans="1:22" s="665" customFormat="1" ht="17.100000000000001" customHeight="1">
      <c r="A819" s="1316" t="s">
        <v>832</v>
      </c>
      <c r="B819" s="1317"/>
      <c r="C819" s="1316" t="s">
        <v>1527</v>
      </c>
      <c r="D819" s="1317"/>
      <c r="E819" s="679">
        <v>1.1000000000000001</v>
      </c>
      <c r="F819" s="676" t="s">
        <v>850</v>
      </c>
      <c r="G819" s="670" t="e">
        <f>#REF!</f>
        <v>#REF!</v>
      </c>
      <c r="H819" s="670" t="e">
        <f>INT(E819*G819)</f>
        <v>#REF!</v>
      </c>
      <c r="I819" s="670"/>
      <c r="J819" s="670"/>
      <c r="K819" s="670"/>
      <c r="L819" s="670"/>
      <c r="M819" s="670" t="e">
        <f t="shared" si="86"/>
        <v>#REF!</v>
      </c>
      <c r="N819" s="670" t="e">
        <f t="shared" si="86"/>
        <v>#REF!</v>
      </c>
      <c r="O819" s="671"/>
      <c r="P819" s="672"/>
    </row>
    <row r="820" spans="1:22" s="665" customFormat="1" ht="17.100000000000001" customHeight="1">
      <c r="A820" s="1316" t="s">
        <v>409</v>
      </c>
      <c r="B820" s="1317"/>
      <c r="C820" s="1316" t="s">
        <v>394</v>
      </c>
      <c r="D820" s="1317"/>
      <c r="E820" s="675">
        <v>7.0000000000000007E-2</v>
      </c>
      <c r="F820" s="676" t="s">
        <v>418</v>
      </c>
      <c r="G820" s="670" t="e">
        <f>#REF!</f>
        <v>#REF!</v>
      </c>
      <c r="H820" s="670" t="e">
        <f>INT(E820*G820)</f>
        <v>#REF!</v>
      </c>
      <c r="I820" s="670" t="e">
        <f>#REF!</f>
        <v>#REF!</v>
      </c>
      <c r="J820" s="670" t="e">
        <f>INT(E820*I820)</f>
        <v>#REF!</v>
      </c>
      <c r="K820" s="670" t="e">
        <f>#REF!</f>
        <v>#REF!</v>
      </c>
      <c r="L820" s="670" t="e">
        <f>INT(E820*K820)</f>
        <v>#REF!</v>
      </c>
      <c r="M820" s="670" t="e">
        <f t="shared" si="86"/>
        <v>#REF!</v>
      </c>
      <c r="N820" s="670" t="e">
        <f t="shared" si="86"/>
        <v>#REF!</v>
      </c>
      <c r="O820" s="671"/>
      <c r="P820" s="672"/>
      <c r="R820" s="665">
        <v>62119</v>
      </c>
    </row>
    <row r="821" spans="1:22" s="665" customFormat="1" ht="17.100000000000001" customHeight="1">
      <c r="A821" s="1316" t="s">
        <v>630</v>
      </c>
      <c r="B821" s="1317"/>
      <c r="C821" s="1316" t="s">
        <v>1251</v>
      </c>
      <c r="D821" s="1317"/>
      <c r="E821" s="675">
        <v>0.01</v>
      </c>
      <c r="F821" s="676" t="s">
        <v>418</v>
      </c>
      <c r="G821" s="670" t="e">
        <f>#REF!</f>
        <v>#REF!</v>
      </c>
      <c r="H821" s="670" t="e">
        <f>INT(E821*G821)</f>
        <v>#REF!</v>
      </c>
      <c r="I821" s="670" t="e">
        <f>#REF!</f>
        <v>#REF!</v>
      </c>
      <c r="J821" s="670" t="e">
        <f>INT(E821*I821)</f>
        <v>#REF!</v>
      </c>
      <c r="K821" s="670" t="e">
        <f>#REF!</f>
        <v>#REF!</v>
      </c>
      <c r="L821" s="670" t="e">
        <f>INT(E821*K821)</f>
        <v>#REF!</v>
      </c>
      <c r="M821" s="670" t="e">
        <f t="shared" si="86"/>
        <v>#REF!</v>
      </c>
      <c r="N821" s="670" t="e">
        <f t="shared" si="86"/>
        <v>#REF!</v>
      </c>
      <c r="O821" s="671"/>
      <c r="P821" s="672"/>
      <c r="R821" s="763" t="e">
        <f>N852-R820</f>
        <v>#REF!</v>
      </c>
    </row>
    <row r="822" spans="1:22" s="665" customFormat="1" ht="17.100000000000001" customHeight="1">
      <c r="A822" s="1316" t="s">
        <v>554</v>
      </c>
      <c r="B822" s="1317"/>
      <c r="C822" s="1316" t="s">
        <v>1181</v>
      </c>
      <c r="D822" s="1317"/>
      <c r="E822" s="701">
        <v>9.6000000000000002E-2</v>
      </c>
      <c r="F822" s="676" t="s">
        <v>418</v>
      </c>
      <c r="G822" s="670" t="e">
        <f>#REF!</f>
        <v>#REF!</v>
      </c>
      <c r="H822" s="670" t="e">
        <f>INT(E822*G822)</f>
        <v>#REF!</v>
      </c>
      <c r="I822" s="670" t="e">
        <f>#REF!</f>
        <v>#REF!</v>
      </c>
      <c r="J822" s="670" t="e">
        <f>INT(E822*I822)</f>
        <v>#REF!</v>
      </c>
      <c r="K822" s="670" t="e">
        <f>#REF!</f>
        <v>#REF!</v>
      </c>
      <c r="L822" s="670" t="e">
        <f>INT(E822*K822)</f>
        <v>#REF!</v>
      </c>
      <c r="M822" s="670" t="e">
        <f t="shared" si="86"/>
        <v>#REF!</v>
      </c>
      <c r="N822" s="670" t="e">
        <f t="shared" si="86"/>
        <v>#REF!</v>
      </c>
      <c r="O822" s="671"/>
      <c r="P822" s="672"/>
    </row>
    <row r="823" spans="1:22" s="665" customFormat="1" ht="17.100000000000001" customHeight="1">
      <c r="A823" s="1318" t="s">
        <v>1320</v>
      </c>
      <c r="B823" s="1319"/>
      <c r="C823" s="1371"/>
      <c r="D823" s="1372"/>
      <c r="E823" s="677"/>
      <c r="F823" s="676"/>
      <c r="G823" s="670"/>
      <c r="H823" s="670" t="e">
        <f>SUM(H818:H822)</f>
        <v>#REF!</v>
      </c>
      <c r="I823" s="670"/>
      <c r="J823" s="670" t="e">
        <f>SUM(J818:J822)</f>
        <v>#REF!</v>
      </c>
      <c r="K823" s="670"/>
      <c r="L823" s="670" t="e">
        <f>SUM(L818:L822)</f>
        <v>#REF!</v>
      </c>
      <c r="M823" s="670"/>
      <c r="N823" s="670" t="e">
        <f>SUM(N818:N822)</f>
        <v>#REF!</v>
      </c>
      <c r="O823" s="671"/>
      <c r="P823" s="672"/>
    </row>
    <row r="824" spans="1:22" s="665" customFormat="1" ht="17.100000000000001" customHeight="1">
      <c r="A824" s="668">
        <f>A817+1</f>
        <v>179</v>
      </c>
      <c r="B824" s="1320" t="s">
        <v>1713</v>
      </c>
      <c r="C824" s="1320"/>
      <c r="D824" s="1320" t="s">
        <v>543</v>
      </c>
      <c r="E824" s="1320"/>
      <c r="F824" s="669" t="s">
        <v>850</v>
      </c>
      <c r="G824" s="670"/>
      <c r="H824" s="670"/>
      <c r="I824" s="670"/>
      <c r="J824" s="670"/>
      <c r="K824" s="670"/>
      <c r="L824" s="670"/>
      <c r="M824" s="670"/>
      <c r="N824" s="670"/>
      <c r="O824" s="671"/>
      <c r="P824" s="672"/>
    </row>
    <row r="825" spans="1:22" s="665" customFormat="1" ht="17.100000000000001" customHeight="1">
      <c r="A825" s="1316" t="s">
        <v>821</v>
      </c>
      <c r="B825" s="1317"/>
      <c r="C825" s="1316" t="s">
        <v>1527</v>
      </c>
      <c r="D825" s="1317"/>
      <c r="E825" s="675">
        <v>1.2</v>
      </c>
      <c r="F825" s="676" t="s">
        <v>850</v>
      </c>
      <c r="G825" s="670" t="e">
        <f>#REF!</f>
        <v>#REF!</v>
      </c>
      <c r="H825" s="670" t="e">
        <f>INT(E825*G825)</f>
        <v>#REF!</v>
      </c>
      <c r="I825" s="670"/>
      <c r="J825" s="670"/>
      <c r="K825" s="670"/>
      <c r="L825" s="670"/>
      <c r="M825" s="670" t="e">
        <f t="shared" ref="M825:N829" si="87">G825+I825+K825</f>
        <v>#REF!</v>
      </c>
      <c r="N825" s="670" t="e">
        <f t="shared" si="87"/>
        <v>#REF!</v>
      </c>
      <c r="O825" s="671"/>
      <c r="P825" s="678" t="s">
        <v>1712</v>
      </c>
      <c r="R825" s="665">
        <v>105150</v>
      </c>
      <c r="S825" s="673" t="s">
        <v>543</v>
      </c>
      <c r="T825" s="673"/>
      <c r="U825" s="673"/>
      <c r="V825" s="673"/>
    </row>
    <row r="826" spans="1:22" s="665" customFormat="1" ht="17.100000000000001" customHeight="1">
      <c r="A826" s="1316" t="s">
        <v>628</v>
      </c>
      <c r="B826" s="1317"/>
      <c r="C826" s="1316"/>
      <c r="D826" s="1317"/>
      <c r="E826" s="764">
        <f>S794</f>
        <v>8.9999999999999993E-3</v>
      </c>
      <c r="F826" s="676" t="s">
        <v>366</v>
      </c>
      <c r="G826" s="670"/>
      <c r="H826" s="670"/>
      <c r="I826" s="670">
        <f>[53]노임단가!T6</f>
        <v>226122</v>
      </c>
      <c r="J826" s="670">
        <f>INT(E826*I826)</f>
        <v>2035</v>
      </c>
      <c r="K826" s="670"/>
      <c r="L826" s="670"/>
      <c r="M826" s="670">
        <f>G826+I826+K826</f>
        <v>226122</v>
      </c>
      <c r="N826" s="670">
        <f>H826+J826+L826</f>
        <v>2035</v>
      </c>
      <c r="O826" s="671"/>
      <c r="P826" s="672"/>
      <c r="R826" s="763" t="e">
        <f>N858-R825</f>
        <v>#REF!</v>
      </c>
      <c r="S826" s="673" t="s">
        <v>628</v>
      </c>
      <c r="T826" s="673">
        <v>1</v>
      </c>
      <c r="U826" s="673">
        <v>110</v>
      </c>
      <c r="V826" s="673">
        <f>ROUND(T826/U826,3)</f>
        <v>8.9999999999999993E-3</v>
      </c>
    </row>
    <row r="827" spans="1:22" s="665" customFormat="1" ht="17.100000000000001" customHeight="1">
      <c r="A827" s="1316" t="s">
        <v>248</v>
      </c>
      <c r="B827" s="1317"/>
      <c r="C827" s="1316"/>
      <c r="D827" s="1317"/>
      <c r="E827" s="701">
        <f>S795</f>
        <v>8.9999999999999993E-3</v>
      </c>
      <c r="F827" s="676" t="s">
        <v>366</v>
      </c>
      <c r="G827" s="670"/>
      <c r="H827" s="670"/>
      <c r="I827" s="670">
        <f>[53]노임단가!T5</f>
        <v>172068</v>
      </c>
      <c r="J827" s="670">
        <f>INT(E827*I827)</f>
        <v>1548</v>
      </c>
      <c r="K827" s="670"/>
      <c r="L827" s="670"/>
      <c r="M827" s="670">
        <f t="shared" si="87"/>
        <v>172068</v>
      </c>
      <c r="N827" s="670">
        <f t="shared" si="87"/>
        <v>1548</v>
      </c>
      <c r="O827" s="671"/>
      <c r="P827" s="672"/>
      <c r="S827" s="673" t="s">
        <v>248</v>
      </c>
      <c r="T827" s="673">
        <v>1</v>
      </c>
      <c r="U827" s="673">
        <v>110</v>
      </c>
      <c r="V827" s="673">
        <f>ROUND(T827/U827,3)</f>
        <v>8.9999999999999993E-3</v>
      </c>
    </row>
    <row r="828" spans="1:22" s="665" customFormat="1" ht="17.100000000000001" customHeight="1">
      <c r="A828" s="1316" t="s">
        <v>481</v>
      </c>
      <c r="B828" s="1317"/>
      <c r="C828" s="1316" t="s">
        <v>394</v>
      </c>
      <c r="D828" s="1317"/>
      <c r="E828" s="701">
        <f>S796</f>
        <v>7.2999999999999995E-2</v>
      </c>
      <c r="F828" s="676" t="s">
        <v>418</v>
      </c>
      <c r="G828" s="670" t="e">
        <f>#REF!</f>
        <v>#REF!</v>
      </c>
      <c r="H828" s="670" t="e">
        <f>INT(E828*G828)</f>
        <v>#REF!</v>
      </c>
      <c r="I828" s="670" t="e">
        <f>#REF!</f>
        <v>#REF!</v>
      </c>
      <c r="J828" s="670" t="e">
        <f>INT(E828*I828)</f>
        <v>#REF!</v>
      </c>
      <c r="K828" s="670" t="e">
        <f>#REF!</f>
        <v>#REF!</v>
      </c>
      <c r="L828" s="670" t="e">
        <f>INT(E828*K828)</f>
        <v>#REF!</v>
      </c>
      <c r="M828" s="670" t="e">
        <f t="shared" si="87"/>
        <v>#REF!</v>
      </c>
      <c r="N828" s="670" t="e">
        <f t="shared" si="87"/>
        <v>#REF!</v>
      </c>
      <c r="O828" s="671"/>
      <c r="P828" s="672"/>
      <c r="S828" s="673" t="s">
        <v>629</v>
      </c>
      <c r="T828" s="673">
        <v>1</v>
      </c>
      <c r="U828" s="673">
        <f>U827/8</f>
        <v>13.75</v>
      </c>
      <c r="V828" s="673">
        <f>ROUND(1/U828,3)</f>
        <v>7.2999999999999995E-2</v>
      </c>
    </row>
    <row r="829" spans="1:22" s="665" customFormat="1" ht="17.100000000000001" customHeight="1">
      <c r="A829" s="1316" t="s">
        <v>465</v>
      </c>
      <c r="B829" s="1317"/>
      <c r="C829" s="1316" t="s">
        <v>466</v>
      </c>
      <c r="D829" s="1317"/>
      <c r="E829" s="701">
        <f>S797</f>
        <v>7.2999999999999995E-2</v>
      </c>
      <c r="F829" s="676" t="s">
        <v>418</v>
      </c>
      <c r="G829" s="670" t="e">
        <f>#REF!</f>
        <v>#REF!</v>
      </c>
      <c r="H829" s="670" t="e">
        <f>INT(E829*G829)</f>
        <v>#REF!</v>
      </c>
      <c r="I829" s="670" t="e">
        <f>#REF!</f>
        <v>#REF!</v>
      </c>
      <c r="J829" s="670" t="e">
        <f>INT(E829*I829)</f>
        <v>#REF!</v>
      </c>
      <c r="K829" s="670" t="e">
        <f>#REF!</f>
        <v>#REF!</v>
      </c>
      <c r="L829" s="670" t="e">
        <f>INT(E829*K829)</f>
        <v>#REF!</v>
      </c>
      <c r="M829" s="670" t="e">
        <f t="shared" si="87"/>
        <v>#REF!</v>
      </c>
      <c r="N829" s="670" t="e">
        <f t="shared" si="87"/>
        <v>#REF!</v>
      </c>
      <c r="O829" s="671"/>
      <c r="P829" s="672"/>
      <c r="S829" s="673" t="s">
        <v>1714</v>
      </c>
      <c r="T829" s="673">
        <v>1</v>
      </c>
      <c r="U829" s="673">
        <f>U827/8</f>
        <v>13.75</v>
      </c>
      <c r="V829" s="673">
        <f>ROUND(1/U829,3)</f>
        <v>7.2999999999999995E-2</v>
      </c>
    </row>
    <row r="830" spans="1:22" s="665" customFormat="1" ht="17.100000000000001" customHeight="1">
      <c r="A830" s="1318" t="s">
        <v>1320</v>
      </c>
      <c r="B830" s="1319"/>
      <c r="C830" s="1371"/>
      <c r="D830" s="1372"/>
      <c r="E830" s="677"/>
      <c r="F830" s="676"/>
      <c r="G830" s="670"/>
      <c r="H830" s="670" t="e">
        <f>SUM(H825:H829)</f>
        <v>#REF!</v>
      </c>
      <c r="I830" s="670"/>
      <c r="J830" s="670" t="e">
        <f>SUM(J825:J829)</f>
        <v>#REF!</v>
      </c>
      <c r="K830" s="670"/>
      <c r="L830" s="670" t="e">
        <f>SUM(L825:L829)</f>
        <v>#REF!</v>
      </c>
      <c r="M830" s="670"/>
      <c r="N830" s="670" t="e">
        <f>SUM(N825:N829)</f>
        <v>#REF!</v>
      </c>
      <c r="O830" s="671"/>
      <c r="P830" s="672"/>
      <c r="S830" s="673" t="s">
        <v>1715</v>
      </c>
      <c r="T830" s="673"/>
      <c r="U830" s="673"/>
      <c r="V830" s="673"/>
    </row>
    <row r="831" spans="1:22" s="665" customFormat="1" ht="17.100000000000001" customHeight="1">
      <c r="A831" s="668">
        <f>A824+1</f>
        <v>180</v>
      </c>
      <c r="B831" s="1320" t="s">
        <v>1713</v>
      </c>
      <c r="C831" s="1320"/>
      <c r="D831" s="1320" t="s">
        <v>544</v>
      </c>
      <c r="E831" s="1320"/>
      <c r="F831" s="669" t="s">
        <v>850</v>
      </c>
      <c r="G831" s="670"/>
      <c r="H831" s="670"/>
      <c r="I831" s="670"/>
      <c r="J831" s="670"/>
      <c r="K831" s="670"/>
      <c r="L831" s="670"/>
      <c r="M831" s="670"/>
      <c r="N831" s="670"/>
      <c r="O831" s="671"/>
      <c r="P831" s="672"/>
      <c r="R831" s="665">
        <v>155210</v>
      </c>
      <c r="S831" s="673"/>
      <c r="T831" s="673"/>
      <c r="U831" s="673"/>
      <c r="V831" s="673"/>
    </row>
    <row r="832" spans="1:22" s="665" customFormat="1" ht="17.100000000000001" customHeight="1">
      <c r="A832" s="1316" t="s">
        <v>821</v>
      </c>
      <c r="B832" s="1317"/>
      <c r="C832" s="1316" t="s">
        <v>1527</v>
      </c>
      <c r="D832" s="1317"/>
      <c r="E832" s="679">
        <v>0.4</v>
      </c>
      <c r="F832" s="676" t="s">
        <v>850</v>
      </c>
      <c r="G832" s="670" t="e">
        <f>#REF!</f>
        <v>#REF!</v>
      </c>
      <c r="H832" s="670" t="e">
        <f>INT(E832*G832)</f>
        <v>#REF!</v>
      </c>
      <c r="I832" s="670"/>
      <c r="J832" s="670"/>
      <c r="K832" s="670"/>
      <c r="L832" s="670"/>
      <c r="M832" s="670" t="e">
        <f t="shared" ref="M832:N837" si="88">G832+I832+K832</f>
        <v>#REF!</v>
      </c>
      <c r="N832" s="670" t="e">
        <f t="shared" si="88"/>
        <v>#REF!</v>
      </c>
      <c r="O832" s="671"/>
      <c r="P832" s="672"/>
      <c r="R832" s="763" t="e">
        <f>N864-R831</f>
        <v>#REF!</v>
      </c>
      <c r="S832" s="673" t="s">
        <v>544</v>
      </c>
      <c r="T832" s="673"/>
      <c r="U832" s="673"/>
      <c r="V832" s="673"/>
    </row>
    <row r="833" spans="1:22" s="665" customFormat="1" ht="17.100000000000001" customHeight="1">
      <c r="A833" s="1316" t="s">
        <v>544</v>
      </c>
      <c r="B833" s="1317"/>
      <c r="C833" s="1316" t="s">
        <v>1527</v>
      </c>
      <c r="D833" s="1317"/>
      <c r="E833" s="679">
        <v>1.1000000000000001</v>
      </c>
      <c r="F833" s="676" t="s">
        <v>850</v>
      </c>
      <c r="G833" s="670" t="e">
        <f>#REF!</f>
        <v>#REF!</v>
      </c>
      <c r="H833" s="670" t="e">
        <f>INT(E833*G833)</f>
        <v>#REF!</v>
      </c>
      <c r="I833" s="670"/>
      <c r="J833" s="670"/>
      <c r="K833" s="670"/>
      <c r="L833" s="670"/>
      <c r="M833" s="670" t="e">
        <f t="shared" si="88"/>
        <v>#REF!</v>
      </c>
      <c r="N833" s="670" t="e">
        <f t="shared" si="88"/>
        <v>#REF!</v>
      </c>
      <c r="O833" s="671"/>
      <c r="P833" s="672"/>
      <c r="S833" s="673" t="s">
        <v>628</v>
      </c>
      <c r="T833" s="673">
        <v>1</v>
      </c>
      <c r="U833" s="673">
        <v>100</v>
      </c>
      <c r="V833" s="673">
        <f>ROUND(T833/U833,3)</f>
        <v>0.01</v>
      </c>
    </row>
    <row r="834" spans="1:22" s="665" customFormat="1" ht="17.100000000000001" customHeight="1">
      <c r="A834" s="1316" t="s">
        <v>628</v>
      </c>
      <c r="B834" s="1317"/>
      <c r="C834" s="1316"/>
      <c r="D834" s="1317"/>
      <c r="E834" s="701">
        <f>U794</f>
        <v>0.01</v>
      </c>
      <c r="F834" s="676" t="s">
        <v>366</v>
      </c>
      <c r="G834" s="670"/>
      <c r="H834" s="670"/>
      <c r="I834" s="670">
        <f>[53]노임단가!T6</f>
        <v>226122</v>
      </c>
      <c r="J834" s="670">
        <f>INT(E834*I834)</f>
        <v>2261</v>
      </c>
      <c r="K834" s="670"/>
      <c r="L834" s="670"/>
      <c r="M834" s="670">
        <f>G834+I834+K834</f>
        <v>226122</v>
      </c>
      <c r="N834" s="670">
        <f>H834+J834+L834</f>
        <v>2261</v>
      </c>
      <c r="O834" s="671"/>
      <c r="P834" s="678" t="s">
        <v>1712</v>
      </c>
      <c r="S834" s="673" t="s">
        <v>248</v>
      </c>
      <c r="T834" s="673">
        <v>1</v>
      </c>
      <c r="U834" s="673">
        <v>100</v>
      </c>
      <c r="V834" s="673">
        <f>ROUND(T834/U834,3)</f>
        <v>0.01</v>
      </c>
    </row>
    <row r="835" spans="1:22" s="665" customFormat="1" ht="17.100000000000001" customHeight="1">
      <c r="A835" s="1316" t="s">
        <v>248</v>
      </c>
      <c r="B835" s="1317"/>
      <c r="C835" s="1316"/>
      <c r="D835" s="1317"/>
      <c r="E835" s="701">
        <f>U795</f>
        <v>0.01</v>
      </c>
      <c r="F835" s="676" t="s">
        <v>366</v>
      </c>
      <c r="G835" s="670"/>
      <c r="H835" s="670"/>
      <c r="I835" s="670">
        <f>[53]노임단가!$T$5</f>
        <v>172068</v>
      </c>
      <c r="J835" s="670">
        <f>INT(E835*I835)</f>
        <v>1720</v>
      </c>
      <c r="K835" s="670"/>
      <c r="L835" s="670"/>
      <c r="M835" s="670">
        <f t="shared" si="88"/>
        <v>172068</v>
      </c>
      <c r="N835" s="670">
        <f t="shared" si="88"/>
        <v>1720</v>
      </c>
      <c r="O835" s="671"/>
      <c r="P835" s="672"/>
      <c r="S835" s="673" t="s">
        <v>629</v>
      </c>
      <c r="T835" s="673">
        <v>1</v>
      </c>
      <c r="U835" s="673">
        <f>U834/8</f>
        <v>12.5</v>
      </c>
      <c r="V835" s="673">
        <f>ROUND(1/U835,3)</f>
        <v>0.08</v>
      </c>
    </row>
    <row r="836" spans="1:22" s="665" customFormat="1" ht="17.100000000000001" customHeight="1">
      <c r="A836" s="1316" t="s">
        <v>481</v>
      </c>
      <c r="B836" s="1317"/>
      <c r="C836" s="1316" t="s">
        <v>394</v>
      </c>
      <c r="D836" s="1317"/>
      <c r="E836" s="701">
        <f>U796</f>
        <v>0.08</v>
      </c>
      <c r="F836" s="676" t="s">
        <v>418</v>
      </c>
      <c r="G836" s="670" t="e">
        <f>#REF!</f>
        <v>#REF!</v>
      </c>
      <c r="H836" s="670" t="e">
        <f>INT(E836*G836)</f>
        <v>#REF!</v>
      </c>
      <c r="I836" s="670" t="e">
        <f>#REF!</f>
        <v>#REF!</v>
      </c>
      <c r="J836" s="670" t="e">
        <f>INT(E836*I836)</f>
        <v>#REF!</v>
      </c>
      <c r="K836" s="670" t="e">
        <f>#REF!</f>
        <v>#REF!</v>
      </c>
      <c r="L836" s="670" t="e">
        <f>INT(E836*K836)</f>
        <v>#REF!</v>
      </c>
      <c r="M836" s="670" t="e">
        <f t="shared" si="88"/>
        <v>#REF!</v>
      </c>
      <c r="N836" s="670" t="e">
        <f t="shared" si="88"/>
        <v>#REF!</v>
      </c>
      <c r="O836" s="671"/>
      <c r="P836" s="672"/>
      <c r="S836" s="673" t="s">
        <v>1714</v>
      </c>
      <c r="T836" s="673">
        <v>0</v>
      </c>
      <c r="U836" s="673">
        <f>U834/8</f>
        <v>12.5</v>
      </c>
      <c r="V836" s="673">
        <f>ROUND(1/U836,3)</f>
        <v>0.08</v>
      </c>
    </row>
    <row r="837" spans="1:22" s="665" customFormat="1" ht="17.100000000000001" customHeight="1">
      <c r="A837" s="1316" t="s">
        <v>554</v>
      </c>
      <c r="B837" s="1317"/>
      <c r="C837" s="1316" t="s">
        <v>1181</v>
      </c>
      <c r="D837" s="1317"/>
      <c r="E837" s="701">
        <f>U798</f>
        <v>0.08</v>
      </c>
      <c r="F837" s="676" t="s">
        <v>418</v>
      </c>
      <c r="G837" s="670" t="e">
        <f>#REF!</f>
        <v>#REF!</v>
      </c>
      <c r="H837" s="670" t="e">
        <f>INT(E837*G837)</f>
        <v>#REF!</v>
      </c>
      <c r="I837" s="670" t="e">
        <f>#REF!</f>
        <v>#REF!</v>
      </c>
      <c r="J837" s="670" t="e">
        <f>INT(E837*I837)</f>
        <v>#REF!</v>
      </c>
      <c r="K837" s="670" t="e">
        <f>#REF!</f>
        <v>#REF!</v>
      </c>
      <c r="L837" s="670" t="e">
        <f>INT(E837*K837)</f>
        <v>#REF!</v>
      </c>
      <c r="M837" s="670" t="e">
        <f t="shared" si="88"/>
        <v>#REF!</v>
      </c>
      <c r="N837" s="670" t="e">
        <f t="shared" si="88"/>
        <v>#REF!</v>
      </c>
      <c r="O837" s="671"/>
      <c r="P837" s="672"/>
      <c r="S837" s="673" t="s">
        <v>1715</v>
      </c>
      <c r="T837" s="673">
        <v>1</v>
      </c>
      <c r="U837" s="673">
        <f>100/8</f>
        <v>12.5</v>
      </c>
      <c r="V837" s="673">
        <f>1/U837</f>
        <v>0.08</v>
      </c>
    </row>
    <row r="838" spans="1:22" s="665" customFormat="1" ht="17.100000000000001" customHeight="1">
      <c r="A838" s="1318" t="s">
        <v>1320</v>
      </c>
      <c r="B838" s="1319"/>
      <c r="C838" s="1371"/>
      <c r="D838" s="1372"/>
      <c r="E838" s="677"/>
      <c r="F838" s="676"/>
      <c r="G838" s="670"/>
      <c r="H838" s="670" t="e">
        <f>SUM(H832:H837)</f>
        <v>#REF!</v>
      </c>
      <c r="I838" s="670"/>
      <c r="J838" s="670" t="e">
        <f>SUM(J832:J837)</f>
        <v>#REF!</v>
      </c>
      <c r="K838" s="670"/>
      <c r="L838" s="670" t="e">
        <f>SUM(L832:L837)</f>
        <v>#REF!</v>
      </c>
      <c r="M838" s="670"/>
      <c r="N838" s="670" t="e">
        <f>SUM(N832:N837)</f>
        <v>#REF!</v>
      </c>
      <c r="O838" s="671"/>
      <c r="P838" s="672"/>
    </row>
    <row r="839" spans="1:22" s="665" customFormat="1" ht="17.100000000000001" customHeight="1">
      <c r="A839" s="668">
        <f>A831+1</f>
        <v>181</v>
      </c>
      <c r="B839" s="1320" t="s">
        <v>1713</v>
      </c>
      <c r="C839" s="1320"/>
      <c r="D839" s="1320" t="s">
        <v>832</v>
      </c>
      <c r="E839" s="1320"/>
      <c r="F839" s="669" t="s">
        <v>850</v>
      </c>
      <c r="G839" s="670"/>
      <c r="H839" s="670"/>
      <c r="I839" s="670"/>
      <c r="J839" s="670"/>
      <c r="K839" s="670"/>
      <c r="L839" s="670"/>
      <c r="M839" s="670"/>
      <c r="N839" s="670"/>
      <c r="O839" s="671"/>
      <c r="P839" s="672"/>
      <c r="S839" s="673" t="s">
        <v>832</v>
      </c>
      <c r="T839" s="673"/>
      <c r="U839" s="673"/>
      <c r="V839" s="673"/>
    </row>
    <row r="840" spans="1:22" s="665" customFormat="1" ht="17.100000000000001" customHeight="1">
      <c r="A840" s="1316" t="s">
        <v>544</v>
      </c>
      <c r="B840" s="1317"/>
      <c r="C840" s="1316" t="s">
        <v>1527</v>
      </c>
      <c r="D840" s="1317"/>
      <c r="E840" s="679">
        <v>0.3</v>
      </c>
      <c r="F840" s="676" t="s">
        <v>850</v>
      </c>
      <c r="G840" s="670" t="e">
        <f>#REF!</f>
        <v>#REF!</v>
      </c>
      <c r="H840" s="670" t="e">
        <f>INT(E840*G840)</f>
        <v>#REF!</v>
      </c>
      <c r="I840" s="670"/>
      <c r="J840" s="670"/>
      <c r="K840" s="670"/>
      <c r="L840" s="670"/>
      <c r="M840" s="670" t="e">
        <f t="shared" ref="M840:N845" si="89">G840+I840+K840</f>
        <v>#REF!</v>
      </c>
      <c r="N840" s="670" t="e">
        <f t="shared" si="89"/>
        <v>#REF!</v>
      </c>
      <c r="O840" s="671"/>
      <c r="P840" s="678" t="s">
        <v>1712</v>
      </c>
      <c r="S840" s="673" t="s">
        <v>628</v>
      </c>
      <c r="T840" s="673">
        <v>1</v>
      </c>
      <c r="U840" s="673">
        <v>90</v>
      </c>
      <c r="V840" s="673">
        <f>ROUND(T840/U840,3)</f>
        <v>1.0999999999999999E-2</v>
      </c>
    </row>
    <row r="841" spans="1:22" s="665" customFormat="1" ht="17.100000000000001" customHeight="1">
      <c r="A841" s="1316" t="s">
        <v>832</v>
      </c>
      <c r="B841" s="1317"/>
      <c r="C841" s="1316" t="s">
        <v>1527</v>
      </c>
      <c r="D841" s="1317"/>
      <c r="E841" s="679">
        <v>1.1000000000000001</v>
      </c>
      <c r="F841" s="676" t="s">
        <v>850</v>
      </c>
      <c r="G841" s="670" t="e">
        <f>#REF!</f>
        <v>#REF!</v>
      </c>
      <c r="H841" s="670" t="e">
        <f>INT(E841*G841)</f>
        <v>#REF!</v>
      </c>
      <c r="I841" s="670"/>
      <c r="J841" s="670"/>
      <c r="K841" s="670"/>
      <c r="L841" s="670"/>
      <c r="M841" s="670" t="e">
        <f t="shared" si="89"/>
        <v>#REF!</v>
      </c>
      <c r="N841" s="670" t="e">
        <f t="shared" si="89"/>
        <v>#REF!</v>
      </c>
      <c r="O841" s="671"/>
      <c r="P841" s="672"/>
      <c r="S841" s="673" t="s">
        <v>248</v>
      </c>
      <c r="T841" s="673">
        <v>1</v>
      </c>
      <c r="U841" s="673">
        <v>90</v>
      </c>
      <c r="V841" s="673">
        <f>ROUND(T841/U841,3)</f>
        <v>1.0999999999999999E-2</v>
      </c>
    </row>
    <row r="842" spans="1:22" s="665" customFormat="1" ht="17.100000000000001" customHeight="1">
      <c r="A842" s="1316" t="s">
        <v>628</v>
      </c>
      <c r="B842" s="1317"/>
      <c r="C842" s="1316"/>
      <c r="D842" s="1317"/>
      <c r="E842" s="701">
        <f>X794</f>
        <v>1.0999999999999999E-2</v>
      </c>
      <c r="F842" s="676" t="s">
        <v>366</v>
      </c>
      <c r="G842" s="670"/>
      <c r="H842" s="670"/>
      <c r="I842" s="670">
        <f>[53]노임단가!T14</f>
        <v>252641</v>
      </c>
      <c r="J842" s="670">
        <f>INT(E842*I842)</f>
        <v>2779</v>
      </c>
      <c r="K842" s="670"/>
      <c r="L842" s="670"/>
      <c r="M842" s="670">
        <f t="shared" si="89"/>
        <v>252641</v>
      </c>
      <c r="N842" s="670">
        <f t="shared" si="89"/>
        <v>2779</v>
      </c>
      <c r="O842" s="671"/>
      <c r="P842" s="672"/>
      <c r="S842" s="673" t="s">
        <v>629</v>
      </c>
      <c r="T842" s="673">
        <v>1</v>
      </c>
      <c r="U842" s="673">
        <f>U841/8</f>
        <v>11.25</v>
      </c>
      <c r="V842" s="673">
        <f>ROUND(1/U842,3)</f>
        <v>8.8999999999999996E-2</v>
      </c>
    </row>
    <row r="843" spans="1:22" s="665" customFormat="1" ht="17.100000000000001" customHeight="1">
      <c r="A843" s="1316" t="s">
        <v>248</v>
      </c>
      <c r="B843" s="1317"/>
      <c r="C843" s="1316"/>
      <c r="D843" s="1317"/>
      <c r="E843" s="701">
        <f>X795</f>
        <v>1.0999999999999999E-2</v>
      </c>
      <c r="F843" s="676" t="s">
        <v>366</v>
      </c>
      <c r="G843" s="670"/>
      <c r="H843" s="670"/>
      <c r="I843" s="670">
        <f>[53]노임단가!$T$5</f>
        <v>172068</v>
      </c>
      <c r="J843" s="670">
        <f>INT(E843*I843)</f>
        <v>1892</v>
      </c>
      <c r="K843" s="670"/>
      <c r="L843" s="670"/>
      <c r="M843" s="670">
        <f t="shared" si="89"/>
        <v>172068</v>
      </c>
      <c r="N843" s="670">
        <f t="shared" si="89"/>
        <v>1892</v>
      </c>
      <c r="O843" s="671"/>
      <c r="P843" s="672"/>
      <c r="S843" s="673" t="s">
        <v>1714</v>
      </c>
      <c r="T843" s="673">
        <v>1</v>
      </c>
      <c r="U843" s="673">
        <f>U841/8</f>
        <v>11.25</v>
      </c>
      <c r="V843" s="673">
        <f>ROUND(1/U843,3)</f>
        <v>8.8999999999999996E-2</v>
      </c>
    </row>
    <row r="844" spans="1:22" s="665" customFormat="1" ht="17.100000000000001" customHeight="1">
      <c r="A844" s="1316" t="s">
        <v>481</v>
      </c>
      <c r="B844" s="1317"/>
      <c r="C844" s="1316" t="s">
        <v>394</v>
      </c>
      <c r="D844" s="1317"/>
      <c r="E844" s="701">
        <f>X796</f>
        <v>8.8999999999999996E-2</v>
      </c>
      <c r="F844" s="676" t="s">
        <v>418</v>
      </c>
      <c r="G844" s="670" t="e">
        <f>#REF!</f>
        <v>#REF!</v>
      </c>
      <c r="H844" s="670" t="e">
        <f>INT(E844*G844)</f>
        <v>#REF!</v>
      </c>
      <c r="I844" s="670" t="e">
        <f>#REF!</f>
        <v>#REF!</v>
      </c>
      <c r="J844" s="670" t="e">
        <f>INT(E844*I844)</f>
        <v>#REF!</v>
      </c>
      <c r="K844" s="670" t="e">
        <f>#REF!</f>
        <v>#REF!</v>
      </c>
      <c r="L844" s="670" t="e">
        <f>INT(E844*K844)</f>
        <v>#REF!</v>
      </c>
      <c r="M844" s="670" t="e">
        <f t="shared" si="89"/>
        <v>#REF!</v>
      </c>
      <c r="N844" s="670" t="e">
        <f t="shared" si="89"/>
        <v>#REF!</v>
      </c>
      <c r="O844" s="671"/>
      <c r="P844" s="672"/>
      <c r="S844" s="673" t="s">
        <v>1715</v>
      </c>
      <c r="T844" s="673"/>
      <c r="U844" s="673"/>
      <c r="V844" s="673"/>
    </row>
    <row r="845" spans="1:22" s="665" customFormat="1" ht="17.100000000000001" customHeight="1">
      <c r="A845" s="1316" t="s">
        <v>554</v>
      </c>
      <c r="B845" s="1317"/>
      <c r="C845" s="1316" t="s">
        <v>1181</v>
      </c>
      <c r="D845" s="1317"/>
      <c r="E845" s="701">
        <f>X798</f>
        <v>8.8999999999999996E-2</v>
      </c>
      <c r="F845" s="676" t="s">
        <v>418</v>
      </c>
      <c r="G845" s="670" t="e">
        <f>#REF!</f>
        <v>#REF!</v>
      </c>
      <c r="H845" s="670" t="e">
        <f>INT(E845*G845)</f>
        <v>#REF!</v>
      </c>
      <c r="I845" s="670" t="e">
        <f>#REF!</f>
        <v>#REF!</v>
      </c>
      <c r="J845" s="670" t="e">
        <f>INT(E845*I845)</f>
        <v>#REF!</v>
      </c>
      <c r="K845" s="670" t="e">
        <f>#REF!</f>
        <v>#REF!</v>
      </c>
      <c r="L845" s="670" t="e">
        <f>INT(E845*K845)</f>
        <v>#REF!</v>
      </c>
      <c r="M845" s="670" t="e">
        <f t="shared" si="89"/>
        <v>#REF!</v>
      </c>
      <c r="N845" s="670" t="e">
        <f t="shared" si="89"/>
        <v>#REF!</v>
      </c>
      <c r="O845" s="671"/>
      <c r="P845" s="672"/>
    </row>
    <row r="846" spans="1:22" s="665" customFormat="1" ht="17.100000000000001" customHeight="1">
      <c r="A846" s="1318" t="s">
        <v>1320</v>
      </c>
      <c r="B846" s="1319"/>
      <c r="C846" s="1371"/>
      <c r="D846" s="1372"/>
      <c r="E846" s="677"/>
      <c r="F846" s="676"/>
      <c r="G846" s="670"/>
      <c r="H846" s="670" t="e">
        <f>SUM(H840:H845)</f>
        <v>#REF!</v>
      </c>
      <c r="I846" s="670"/>
      <c r="J846" s="670" t="e">
        <f>SUM(J840:J845)</f>
        <v>#REF!</v>
      </c>
      <c r="K846" s="670"/>
      <c r="L846" s="670" t="e">
        <f>SUM(L840:L845)</f>
        <v>#REF!</v>
      </c>
      <c r="M846" s="670"/>
      <c r="N846" s="670" t="e">
        <f>SUM(N840:N845)</f>
        <v>#REF!</v>
      </c>
      <c r="O846" s="671"/>
      <c r="P846" s="672"/>
    </row>
    <row r="847" spans="1:22" s="665" customFormat="1" ht="17.100000000000001" customHeight="1">
      <c r="A847" s="668">
        <f>A839+1</f>
        <v>182</v>
      </c>
      <c r="B847" s="1320" t="s">
        <v>1716</v>
      </c>
      <c r="C847" s="1320"/>
      <c r="D847" s="1320" t="s">
        <v>1717</v>
      </c>
      <c r="E847" s="1320"/>
      <c r="F847" s="669" t="s">
        <v>575</v>
      </c>
      <c r="G847" s="670"/>
      <c r="H847" s="670"/>
      <c r="I847" s="670"/>
      <c r="J847" s="670"/>
      <c r="K847" s="670"/>
      <c r="L847" s="670"/>
      <c r="M847" s="670"/>
      <c r="N847" s="670"/>
      <c r="O847" s="671"/>
      <c r="P847" s="672"/>
    </row>
    <row r="848" spans="1:22" s="665" customFormat="1" ht="17.100000000000001" customHeight="1">
      <c r="A848" s="1316" t="s">
        <v>955</v>
      </c>
      <c r="B848" s="1317"/>
      <c r="C848" s="1316" t="s">
        <v>1718</v>
      </c>
      <c r="D848" s="1317"/>
      <c r="E848" s="677">
        <v>1</v>
      </c>
      <c r="F848" s="676" t="s">
        <v>30</v>
      </c>
      <c r="G848" s="670" t="e">
        <f>#REF!</f>
        <v>#REF!</v>
      </c>
      <c r="H848" s="670" t="e">
        <f>INT(E848*G848)</f>
        <v>#REF!</v>
      </c>
      <c r="I848" s="670"/>
      <c r="J848" s="670"/>
      <c r="K848" s="670"/>
      <c r="L848" s="670"/>
      <c r="M848" s="670" t="e">
        <f t="shared" ref="M848:N851" si="90">G848+I848+K848</f>
        <v>#REF!</v>
      </c>
      <c r="N848" s="670" t="e">
        <f t="shared" si="90"/>
        <v>#REF!</v>
      </c>
      <c r="O848" s="671"/>
      <c r="P848" s="672"/>
    </row>
    <row r="849" spans="1:16" s="665" customFormat="1" ht="17.100000000000001" customHeight="1">
      <c r="A849" s="1316" t="s">
        <v>1719</v>
      </c>
      <c r="B849" s="1317"/>
      <c r="C849" s="1381"/>
      <c r="D849" s="1317"/>
      <c r="E849" s="675">
        <v>0.05</v>
      </c>
      <c r="F849" s="676" t="s">
        <v>366</v>
      </c>
      <c r="G849" s="670"/>
      <c r="H849" s="670"/>
      <c r="I849" s="670">
        <f>[53]노임단가!$BK$17</f>
        <v>262580</v>
      </c>
      <c r="J849" s="670">
        <f>INT(E849*I849)</f>
        <v>13129</v>
      </c>
      <c r="K849" s="670"/>
      <c r="L849" s="670"/>
      <c r="M849" s="670">
        <f t="shared" si="90"/>
        <v>262580</v>
      </c>
      <c r="N849" s="670">
        <f t="shared" si="90"/>
        <v>13129</v>
      </c>
      <c r="O849" s="671"/>
      <c r="P849" s="672"/>
    </row>
    <row r="850" spans="1:16" s="665" customFormat="1" ht="17.100000000000001" customHeight="1">
      <c r="A850" s="1316" t="s">
        <v>248</v>
      </c>
      <c r="B850" s="1317"/>
      <c r="C850" s="1316"/>
      <c r="D850" s="1317"/>
      <c r="E850" s="675">
        <v>0.05</v>
      </c>
      <c r="F850" s="676" t="s">
        <v>366</v>
      </c>
      <c r="G850" s="670"/>
      <c r="H850" s="670"/>
      <c r="I850" s="670">
        <f>[53]노임단가!$T$5</f>
        <v>172068</v>
      </c>
      <c r="J850" s="670">
        <f>INT(E850*I850)</f>
        <v>8603</v>
      </c>
      <c r="K850" s="670"/>
      <c r="L850" s="670"/>
      <c r="M850" s="670">
        <f t="shared" si="90"/>
        <v>172068</v>
      </c>
      <c r="N850" s="670">
        <f t="shared" si="90"/>
        <v>8603</v>
      </c>
      <c r="O850" s="671"/>
      <c r="P850" s="672"/>
    </row>
    <row r="851" spans="1:16" s="665" customFormat="1" ht="17.100000000000001" customHeight="1">
      <c r="A851" s="1316" t="s">
        <v>1450</v>
      </c>
      <c r="B851" s="1317"/>
      <c r="C851" s="1316" t="s">
        <v>1469</v>
      </c>
      <c r="D851" s="1317"/>
      <c r="E851" s="675">
        <v>0.05</v>
      </c>
      <c r="F851" s="676" t="s">
        <v>672</v>
      </c>
      <c r="G851" s="670">
        <f>J849+J850</f>
        <v>21732</v>
      </c>
      <c r="H851" s="670">
        <f>INT(E851*G851)</f>
        <v>1086</v>
      </c>
      <c r="I851" s="670"/>
      <c r="J851" s="670"/>
      <c r="K851" s="681"/>
      <c r="L851" s="681"/>
      <c r="M851" s="670">
        <f>G851+I851+K851</f>
        <v>21732</v>
      </c>
      <c r="N851" s="670">
        <f t="shared" si="90"/>
        <v>1086</v>
      </c>
      <c r="O851" s="671"/>
      <c r="P851" s="672"/>
    </row>
    <row r="852" spans="1:16" s="665" customFormat="1" ht="17.100000000000001" customHeight="1">
      <c r="A852" s="1318" t="s">
        <v>1320</v>
      </c>
      <c r="B852" s="1319"/>
      <c r="C852" s="1371"/>
      <c r="D852" s="1372"/>
      <c r="E852" s="677"/>
      <c r="F852" s="676"/>
      <c r="G852" s="670"/>
      <c r="H852" s="670" t="e">
        <f>SUM(H848:H851)</f>
        <v>#REF!</v>
      </c>
      <c r="I852" s="670"/>
      <c r="J852" s="670">
        <f>SUM(J848:J851)</f>
        <v>21732</v>
      </c>
      <c r="K852" s="670"/>
      <c r="L852" s="670">
        <f>SUM(L848:L851)</f>
        <v>0</v>
      </c>
      <c r="M852" s="670"/>
      <c r="N852" s="670" t="e">
        <f>SUM(N848:N851)</f>
        <v>#REF!</v>
      </c>
      <c r="O852" s="671"/>
      <c r="P852" s="672"/>
    </row>
    <row r="853" spans="1:16" s="665" customFormat="1" ht="17.100000000000001" customHeight="1">
      <c r="A853" s="668">
        <f>A847+1</f>
        <v>183</v>
      </c>
      <c r="B853" s="1320" t="s">
        <v>1716</v>
      </c>
      <c r="C853" s="1320"/>
      <c r="D853" s="1320" t="s">
        <v>1720</v>
      </c>
      <c r="E853" s="1320"/>
      <c r="F853" s="669" t="s">
        <v>575</v>
      </c>
      <c r="G853" s="670"/>
      <c r="H853" s="670"/>
      <c r="I853" s="670"/>
      <c r="J853" s="670"/>
      <c r="K853" s="670"/>
      <c r="L853" s="670"/>
      <c r="M853" s="670"/>
      <c r="N853" s="670"/>
      <c r="O853" s="671"/>
      <c r="P853" s="672"/>
    </row>
    <row r="854" spans="1:16" s="665" customFormat="1" ht="17.100000000000001" customHeight="1">
      <c r="A854" s="1316" t="s">
        <v>955</v>
      </c>
      <c r="B854" s="1317"/>
      <c r="C854" s="1316" t="s">
        <v>1721</v>
      </c>
      <c r="D854" s="1317"/>
      <c r="E854" s="677">
        <v>1</v>
      </c>
      <c r="F854" s="676" t="s">
        <v>30</v>
      </c>
      <c r="G854" s="670" t="e">
        <f>#REF!</f>
        <v>#REF!</v>
      </c>
      <c r="H854" s="670" t="e">
        <f>INT(E854*G854)</f>
        <v>#REF!</v>
      </c>
      <c r="I854" s="670"/>
      <c r="J854" s="670"/>
      <c r="K854" s="670"/>
      <c r="L854" s="670"/>
      <c r="M854" s="670" t="e">
        <f t="shared" ref="M854:N857" si="91">G854+I854+K854</f>
        <v>#REF!</v>
      </c>
      <c r="N854" s="670" t="e">
        <f t="shared" si="91"/>
        <v>#REF!</v>
      </c>
      <c r="O854" s="671"/>
      <c r="P854" s="672"/>
    </row>
    <row r="855" spans="1:16" s="665" customFormat="1" ht="17.100000000000001" customHeight="1">
      <c r="A855" s="1316" t="s">
        <v>1719</v>
      </c>
      <c r="B855" s="1317"/>
      <c r="C855" s="1381"/>
      <c r="D855" s="1317"/>
      <c r="E855" s="675">
        <v>7.0000000000000007E-2</v>
      </c>
      <c r="F855" s="676" t="s">
        <v>366</v>
      </c>
      <c r="G855" s="670"/>
      <c r="H855" s="670"/>
      <c r="I855" s="670">
        <f>[53]노임단가!$BK$17</f>
        <v>262580</v>
      </c>
      <c r="J855" s="670">
        <f>INT(E855*I855)</f>
        <v>18380</v>
      </c>
      <c r="K855" s="670"/>
      <c r="L855" s="670"/>
      <c r="M855" s="670">
        <f t="shared" si="91"/>
        <v>262580</v>
      </c>
      <c r="N855" s="670">
        <f t="shared" si="91"/>
        <v>18380</v>
      </c>
      <c r="O855" s="671"/>
      <c r="P855" s="672"/>
    </row>
    <row r="856" spans="1:16" s="665" customFormat="1" ht="17.100000000000001" customHeight="1">
      <c r="A856" s="1316" t="s">
        <v>248</v>
      </c>
      <c r="B856" s="1317"/>
      <c r="C856" s="1316"/>
      <c r="D856" s="1317"/>
      <c r="E856" s="675">
        <v>7.0000000000000007E-2</v>
      </c>
      <c r="F856" s="676" t="s">
        <v>366</v>
      </c>
      <c r="G856" s="670"/>
      <c r="H856" s="670"/>
      <c r="I856" s="670">
        <f>[53]노임단가!$T$5</f>
        <v>172068</v>
      </c>
      <c r="J856" s="670">
        <f>INT(E856*I856)</f>
        <v>12044</v>
      </c>
      <c r="K856" s="670"/>
      <c r="L856" s="670"/>
      <c r="M856" s="670">
        <f t="shared" si="91"/>
        <v>172068</v>
      </c>
      <c r="N856" s="670">
        <f t="shared" si="91"/>
        <v>12044</v>
      </c>
      <c r="O856" s="671"/>
      <c r="P856" s="672"/>
    </row>
    <row r="857" spans="1:16" s="665" customFormat="1" ht="17.100000000000001" customHeight="1">
      <c r="A857" s="1316" t="s">
        <v>1450</v>
      </c>
      <c r="B857" s="1317"/>
      <c r="C857" s="1316" t="s">
        <v>1469</v>
      </c>
      <c r="D857" s="1317"/>
      <c r="E857" s="675">
        <v>0.05</v>
      </c>
      <c r="F857" s="676" t="s">
        <v>672</v>
      </c>
      <c r="G857" s="670">
        <f>J855+J856</f>
        <v>30424</v>
      </c>
      <c r="H857" s="670">
        <f>INT(E857*G857)</f>
        <v>1521</v>
      </c>
      <c r="I857" s="670"/>
      <c r="J857" s="670"/>
      <c r="K857" s="681"/>
      <c r="L857" s="681"/>
      <c r="M857" s="670">
        <f>G857+I857+K857</f>
        <v>30424</v>
      </c>
      <c r="N857" s="670">
        <f t="shared" si="91"/>
        <v>1521</v>
      </c>
      <c r="O857" s="671"/>
      <c r="P857" s="672"/>
    </row>
    <row r="858" spans="1:16" s="665" customFormat="1" ht="17.100000000000001" customHeight="1">
      <c r="A858" s="1318" t="s">
        <v>1320</v>
      </c>
      <c r="B858" s="1319"/>
      <c r="C858" s="1371"/>
      <c r="D858" s="1372"/>
      <c r="E858" s="677"/>
      <c r="F858" s="676"/>
      <c r="G858" s="670"/>
      <c r="H858" s="670" t="e">
        <f>SUM(H854:H857)</f>
        <v>#REF!</v>
      </c>
      <c r="I858" s="670"/>
      <c r="J858" s="670">
        <f>SUM(J854:J857)</f>
        <v>30424</v>
      </c>
      <c r="K858" s="670"/>
      <c r="L858" s="670">
        <f>SUM(L854:L857)</f>
        <v>0</v>
      </c>
      <c r="M858" s="670"/>
      <c r="N858" s="670" t="e">
        <f>SUM(N854:N857)</f>
        <v>#REF!</v>
      </c>
      <c r="O858" s="671"/>
      <c r="P858" s="672"/>
    </row>
    <row r="859" spans="1:16" s="665" customFormat="1" ht="17.100000000000001" customHeight="1">
      <c r="A859" s="668">
        <f>A853+1</f>
        <v>184</v>
      </c>
      <c r="B859" s="1320" t="s">
        <v>1716</v>
      </c>
      <c r="C859" s="1320"/>
      <c r="D859" s="1320" t="s">
        <v>1722</v>
      </c>
      <c r="E859" s="1320"/>
      <c r="F859" s="669" t="s">
        <v>575</v>
      </c>
      <c r="G859" s="670"/>
      <c r="H859" s="670"/>
      <c r="I859" s="670"/>
      <c r="J859" s="670"/>
      <c r="K859" s="670"/>
      <c r="L859" s="670"/>
      <c r="M859" s="670"/>
      <c r="N859" s="670"/>
      <c r="O859" s="671"/>
      <c r="P859" s="672"/>
    </row>
    <row r="860" spans="1:16" s="665" customFormat="1" ht="17.100000000000001" customHeight="1">
      <c r="A860" s="1316" t="s">
        <v>955</v>
      </c>
      <c r="B860" s="1317"/>
      <c r="C860" s="1316" t="s">
        <v>1723</v>
      </c>
      <c r="D860" s="1317"/>
      <c r="E860" s="677">
        <v>1</v>
      </c>
      <c r="F860" s="676" t="s">
        <v>30</v>
      </c>
      <c r="G860" s="670" t="e">
        <f>#REF!</f>
        <v>#REF!</v>
      </c>
      <c r="H860" s="670" t="e">
        <f>INT(E860*G860)</f>
        <v>#REF!</v>
      </c>
      <c r="I860" s="670"/>
      <c r="J860" s="670"/>
      <c r="K860" s="670"/>
      <c r="L860" s="670"/>
      <c r="M860" s="670" t="e">
        <f t="shared" ref="M860:N863" si="92">G860+I860+K860</f>
        <v>#REF!</v>
      </c>
      <c r="N860" s="670" t="e">
        <f t="shared" si="92"/>
        <v>#REF!</v>
      </c>
      <c r="O860" s="671"/>
      <c r="P860" s="672"/>
    </row>
    <row r="861" spans="1:16" s="665" customFormat="1" ht="17.100000000000001" customHeight="1">
      <c r="A861" s="1316" t="s">
        <v>1719</v>
      </c>
      <c r="B861" s="1317"/>
      <c r="C861" s="1381"/>
      <c r="D861" s="1317"/>
      <c r="E861" s="675">
        <v>0.09</v>
      </c>
      <c r="F861" s="676" t="s">
        <v>366</v>
      </c>
      <c r="G861" s="670"/>
      <c r="H861" s="670"/>
      <c r="I861" s="670">
        <f>[53]노임단가!$BK$17</f>
        <v>262580</v>
      </c>
      <c r="J861" s="670">
        <f>INT(E861*I861)</f>
        <v>23632</v>
      </c>
      <c r="K861" s="670"/>
      <c r="L861" s="670"/>
      <c r="M861" s="670">
        <f t="shared" si="92"/>
        <v>262580</v>
      </c>
      <c r="N861" s="670">
        <f t="shared" si="92"/>
        <v>23632</v>
      </c>
      <c r="O861" s="671"/>
      <c r="P861" s="672"/>
    </row>
    <row r="862" spans="1:16" s="665" customFormat="1" ht="17.100000000000001" customHeight="1">
      <c r="A862" s="1316" t="s">
        <v>248</v>
      </c>
      <c r="B862" s="1317"/>
      <c r="C862" s="1316"/>
      <c r="D862" s="1317"/>
      <c r="E862" s="675">
        <v>0.09</v>
      </c>
      <c r="F862" s="676" t="s">
        <v>366</v>
      </c>
      <c r="G862" s="670"/>
      <c r="H862" s="670"/>
      <c r="I862" s="670">
        <f>[53]노임단가!$T$5</f>
        <v>172068</v>
      </c>
      <c r="J862" s="670">
        <f>INT(E862*I862)</f>
        <v>15486</v>
      </c>
      <c r="K862" s="670"/>
      <c r="L862" s="670"/>
      <c r="M862" s="670">
        <f t="shared" si="92"/>
        <v>172068</v>
      </c>
      <c r="N862" s="670">
        <f t="shared" si="92"/>
        <v>15486</v>
      </c>
      <c r="O862" s="671"/>
      <c r="P862" s="672"/>
    </row>
    <row r="863" spans="1:16" s="665" customFormat="1" ht="17.100000000000001" customHeight="1">
      <c r="A863" s="1316" t="s">
        <v>1450</v>
      </c>
      <c r="B863" s="1317"/>
      <c r="C863" s="1316" t="s">
        <v>1469</v>
      </c>
      <c r="D863" s="1317"/>
      <c r="E863" s="675">
        <v>0.05</v>
      </c>
      <c r="F863" s="676" t="s">
        <v>672</v>
      </c>
      <c r="G863" s="670">
        <f>J861+J862</f>
        <v>39118</v>
      </c>
      <c r="H863" s="670">
        <f>INT(E863*G863)</f>
        <v>1955</v>
      </c>
      <c r="I863" s="670"/>
      <c r="J863" s="670"/>
      <c r="K863" s="681"/>
      <c r="L863" s="681"/>
      <c r="M863" s="670">
        <f>G863+I863+K863</f>
        <v>39118</v>
      </c>
      <c r="N863" s="670">
        <f t="shared" si="92"/>
        <v>1955</v>
      </c>
      <c r="O863" s="671"/>
      <c r="P863" s="672"/>
    </row>
    <row r="864" spans="1:16" s="665" customFormat="1" ht="17.100000000000001" customHeight="1">
      <c r="A864" s="1318" t="s">
        <v>1320</v>
      </c>
      <c r="B864" s="1319"/>
      <c r="C864" s="1371"/>
      <c r="D864" s="1372"/>
      <c r="E864" s="677"/>
      <c r="F864" s="676"/>
      <c r="G864" s="670"/>
      <c r="H864" s="670" t="e">
        <f>SUM(H860:H863)</f>
        <v>#REF!</v>
      </c>
      <c r="I864" s="670"/>
      <c r="J864" s="670">
        <f>SUM(J860:J863)</f>
        <v>39118</v>
      </c>
      <c r="K864" s="670"/>
      <c r="L864" s="670">
        <f>SUM(L860:L863)</f>
        <v>0</v>
      </c>
      <c r="M864" s="670"/>
      <c r="N864" s="670" t="e">
        <f>SUM(N860:N863)</f>
        <v>#REF!</v>
      </c>
      <c r="O864" s="671"/>
      <c r="P864" s="672"/>
    </row>
    <row r="865" spans="1:16" s="665" customFormat="1" ht="17.100000000000001" customHeight="1">
      <c r="A865" s="668">
        <f>A859+1</f>
        <v>185</v>
      </c>
      <c r="B865" s="1320" t="s">
        <v>1716</v>
      </c>
      <c r="C865" s="1320"/>
      <c r="D865" s="1320" t="s">
        <v>1724</v>
      </c>
      <c r="E865" s="1320"/>
      <c r="F865" s="669" t="s">
        <v>575</v>
      </c>
      <c r="G865" s="670"/>
      <c r="H865" s="670"/>
      <c r="I865" s="670"/>
      <c r="J865" s="670"/>
      <c r="K865" s="670"/>
      <c r="L865" s="670"/>
      <c r="M865" s="670"/>
      <c r="N865" s="670"/>
      <c r="O865" s="671"/>
      <c r="P865" s="672"/>
    </row>
    <row r="866" spans="1:16" s="665" customFormat="1" ht="17.100000000000001" customHeight="1">
      <c r="A866" s="1316" t="s">
        <v>955</v>
      </c>
      <c r="B866" s="1317"/>
      <c r="C866" s="1316" t="s">
        <v>1725</v>
      </c>
      <c r="D866" s="1317"/>
      <c r="E866" s="677">
        <v>1</v>
      </c>
      <c r="F866" s="676" t="s">
        <v>30</v>
      </c>
      <c r="G866" s="670" t="e">
        <f>#REF!</f>
        <v>#REF!</v>
      </c>
      <c r="H866" s="670" t="e">
        <f>INT(E866*G866)</f>
        <v>#REF!</v>
      </c>
      <c r="I866" s="670"/>
      <c r="J866" s="670"/>
      <c r="K866" s="670"/>
      <c r="L866" s="670"/>
      <c r="M866" s="670" t="e">
        <f t="shared" ref="M866:N869" si="93">G866+I866+K866</f>
        <v>#REF!</v>
      </c>
      <c r="N866" s="670" t="e">
        <f t="shared" si="93"/>
        <v>#REF!</v>
      </c>
      <c r="O866" s="671"/>
      <c r="P866" s="672"/>
    </row>
    <row r="867" spans="1:16" s="665" customFormat="1" ht="17.100000000000001" customHeight="1">
      <c r="A867" s="1316" t="s">
        <v>1719</v>
      </c>
      <c r="B867" s="1317"/>
      <c r="C867" s="1381"/>
      <c r="D867" s="1317"/>
      <c r="E867" s="675">
        <v>0.12</v>
      </c>
      <c r="F867" s="676" t="s">
        <v>366</v>
      </c>
      <c r="G867" s="670"/>
      <c r="H867" s="670"/>
      <c r="I867" s="670">
        <f>[53]노임단가!$BK$17</f>
        <v>262580</v>
      </c>
      <c r="J867" s="670">
        <f>INT(E867*I867)</f>
        <v>31509</v>
      </c>
      <c r="K867" s="670"/>
      <c r="L867" s="670"/>
      <c r="M867" s="670">
        <f t="shared" si="93"/>
        <v>262580</v>
      </c>
      <c r="N867" s="670">
        <f t="shared" si="93"/>
        <v>31509</v>
      </c>
      <c r="O867" s="671"/>
      <c r="P867" s="672"/>
    </row>
    <row r="868" spans="1:16" s="665" customFormat="1" ht="17.100000000000001" customHeight="1">
      <c r="A868" s="1316" t="s">
        <v>248</v>
      </c>
      <c r="B868" s="1317"/>
      <c r="C868" s="1316"/>
      <c r="D868" s="1317"/>
      <c r="E868" s="675">
        <v>0.12</v>
      </c>
      <c r="F868" s="676" t="s">
        <v>366</v>
      </c>
      <c r="G868" s="670"/>
      <c r="H868" s="670"/>
      <c r="I868" s="670">
        <f>[53]노임단가!$T$5</f>
        <v>172068</v>
      </c>
      <c r="J868" s="670">
        <f>INT(E868*I868)</f>
        <v>20648</v>
      </c>
      <c r="K868" s="670"/>
      <c r="L868" s="670"/>
      <c r="M868" s="670">
        <f t="shared" si="93"/>
        <v>172068</v>
      </c>
      <c r="N868" s="670">
        <f t="shared" si="93"/>
        <v>20648</v>
      </c>
      <c r="O868" s="671"/>
      <c r="P868" s="672"/>
    </row>
    <row r="869" spans="1:16" s="665" customFormat="1" ht="17.100000000000001" customHeight="1">
      <c r="A869" s="1316" t="s">
        <v>1450</v>
      </c>
      <c r="B869" s="1317"/>
      <c r="C869" s="1316" t="s">
        <v>1469</v>
      </c>
      <c r="D869" s="1317"/>
      <c r="E869" s="675">
        <v>0.05</v>
      </c>
      <c r="F869" s="676" t="s">
        <v>672</v>
      </c>
      <c r="G869" s="670">
        <f>J867+J868</f>
        <v>52157</v>
      </c>
      <c r="H869" s="670">
        <f>INT(E869*G869)</f>
        <v>2607</v>
      </c>
      <c r="I869" s="670"/>
      <c r="J869" s="670"/>
      <c r="K869" s="681"/>
      <c r="L869" s="681"/>
      <c r="M869" s="670">
        <f>G869+I869+K869</f>
        <v>52157</v>
      </c>
      <c r="N869" s="670">
        <f t="shared" si="93"/>
        <v>2607</v>
      </c>
      <c r="O869" s="671"/>
      <c r="P869" s="672"/>
    </row>
    <row r="870" spans="1:16" s="665" customFormat="1" ht="17.100000000000001" customHeight="1">
      <c r="A870" s="1318" t="s">
        <v>1320</v>
      </c>
      <c r="B870" s="1319"/>
      <c r="C870" s="1371"/>
      <c r="D870" s="1372"/>
      <c r="E870" s="677"/>
      <c r="F870" s="676"/>
      <c r="G870" s="670"/>
      <c r="H870" s="670" t="e">
        <f>SUM(H866:H869)</f>
        <v>#REF!</v>
      </c>
      <c r="I870" s="670"/>
      <c r="J870" s="670">
        <f>SUM(J866:J869)</f>
        <v>52157</v>
      </c>
      <c r="K870" s="670"/>
      <c r="L870" s="670">
        <f>SUM(L866:L869)</f>
        <v>0</v>
      </c>
      <c r="M870" s="670"/>
      <c r="N870" s="670" t="e">
        <f>SUM(N866:N869)</f>
        <v>#REF!</v>
      </c>
      <c r="O870" s="671"/>
      <c r="P870" s="672"/>
    </row>
    <row r="871" spans="1:16" s="665" customFormat="1" ht="17.100000000000001" customHeight="1">
      <c r="A871" s="668">
        <f>A865+1</f>
        <v>186</v>
      </c>
      <c r="B871" s="1320" t="s">
        <v>1716</v>
      </c>
      <c r="C871" s="1320"/>
      <c r="D871" s="1320" t="s">
        <v>1726</v>
      </c>
      <c r="E871" s="1320"/>
      <c r="F871" s="669" t="s">
        <v>575</v>
      </c>
      <c r="G871" s="670"/>
      <c r="H871" s="670"/>
      <c r="I871" s="670"/>
      <c r="J871" s="670"/>
      <c r="K871" s="670"/>
      <c r="L871" s="670"/>
      <c r="M871" s="670"/>
      <c r="N871" s="670"/>
      <c r="O871" s="671"/>
      <c r="P871" s="672"/>
    </row>
    <row r="872" spans="1:16" s="665" customFormat="1" ht="17.100000000000001" customHeight="1">
      <c r="A872" s="1316" t="s">
        <v>955</v>
      </c>
      <c r="B872" s="1317"/>
      <c r="C872" s="1316" t="s">
        <v>1718</v>
      </c>
      <c r="D872" s="1317"/>
      <c r="E872" s="677">
        <v>1</v>
      </c>
      <c r="F872" s="676" t="s">
        <v>30</v>
      </c>
      <c r="G872" s="670" t="e">
        <f>#REF!</f>
        <v>#REF!</v>
      </c>
      <c r="H872" s="670" t="e">
        <f>INT(E872*G872)</f>
        <v>#REF!</v>
      </c>
      <c r="I872" s="670"/>
      <c r="J872" s="670"/>
      <c r="K872" s="670"/>
      <c r="L872" s="670"/>
      <c r="M872" s="670" t="e">
        <f t="shared" ref="M872:N875" si="94">G872+I872+K872</f>
        <v>#REF!</v>
      </c>
      <c r="N872" s="670" t="e">
        <f t="shared" si="94"/>
        <v>#REF!</v>
      </c>
      <c r="O872" s="671"/>
      <c r="P872" s="672"/>
    </row>
    <row r="873" spans="1:16" s="665" customFormat="1" ht="17.100000000000001" customHeight="1">
      <c r="A873" s="1316" t="s">
        <v>1719</v>
      </c>
      <c r="B873" s="1317"/>
      <c r="C873" s="1381"/>
      <c r="D873" s="1317"/>
      <c r="E873" s="675">
        <v>7.0000000000000007E-2</v>
      </c>
      <c r="F873" s="676" t="s">
        <v>366</v>
      </c>
      <c r="G873" s="670"/>
      <c r="H873" s="670"/>
      <c r="I873" s="670">
        <f>[53]노임단가!$BK$17</f>
        <v>262580</v>
      </c>
      <c r="J873" s="670">
        <f>INT(E873*I873)</f>
        <v>18380</v>
      </c>
      <c r="K873" s="670"/>
      <c r="L873" s="670"/>
      <c r="M873" s="670">
        <f t="shared" si="94"/>
        <v>262580</v>
      </c>
      <c r="N873" s="670">
        <f t="shared" si="94"/>
        <v>18380</v>
      </c>
      <c r="O873" s="671"/>
      <c r="P873" s="672"/>
    </row>
    <row r="874" spans="1:16" s="665" customFormat="1" ht="17.100000000000001" customHeight="1">
      <c r="A874" s="1316" t="s">
        <v>248</v>
      </c>
      <c r="B874" s="1317"/>
      <c r="C874" s="1316"/>
      <c r="D874" s="1317"/>
      <c r="E874" s="675">
        <v>7.0000000000000007E-2</v>
      </c>
      <c r="F874" s="676" t="s">
        <v>366</v>
      </c>
      <c r="G874" s="670"/>
      <c r="H874" s="670"/>
      <c r="I874" s="670">
        <f>[53]노임단가!$T$5</f>
        <v>172068</v>
      </c>
      <c r="J874" s="670">
        <f>INT(E874*I874)</f>
        <v>12044</v>
      </c>
      <c r="K874" s="670"/>
      <c r="L874" s="670"/>
      <c r="M874" s="670">
        <f t="shared" si="94"/>
        <v>172068</v>
      </c>
      <c r="N874" s="670">
        <f t="shared" si="94"/>
        <v>12044</v>
      </c>
      <c r="O874" s="671"/>
      <c r="P874" s="672"/>
    </row>
    <row r="875" spans="1:16" s="665" customFormat="1" ht="17.100000000000001" customHeight="1">
      <c r="A875" s="1316" t="s">
        <v>1450</v>
      </c>
      <c r="B875" s="1317"/>
      <c r="C875" s="1316" t="s">
        <v>1469</v>
      </c>
      <c r="D875" s="1317"/>
      <c r="E875" s="675">
        <v>0.05</v>
      </c>
      <c r="F875" s="676" t="s">
        <v>672</v>
      </c>
      <c r="G875" s="670">
        <f>J873+J874</f>
        <v>30424</v>
      </c>
      <c r="H875" s="670">
        <f>INT(E875*G875)</f>
        <v>1521</v>
      </c>
      <c r="I875" s="670"/>
      <c r="J875" s="670"/>
      <c r="K875" s="681"/>
      <c r="L875" s="681"/>
      <c r="M875" s="670">
        <f>G875+I875+K875</f>
        <v>30424</v>
      </c>
      <c r="N875" s="670">
        <f t="shared" si="94"/>
        <v>1521</v>
      </c>
      <c r="O875" s="671"/>
      <c r="P875" s="672"/>
    </row>
    <row r="876" spans="1:16" s="665" customFormat="1" ht="17.100000000000001" customHeight="1">
      <c r="A876" s="1318" t="s">
        <v>1320</v>
      </c>
      <c r="B876" s="1319"/>
      <c r="C876" s="1371"/>
      <c r="D876" s="1372"/>
      <c r="E876" s="677"/>
      <c r="F876" s="676"/>
      <c r="G876" s="670"/>
      <c r="H876" s="670" t="e">
        <f>SUM(H872:H875)</f>
        <v>#REF!</v>
      </c>
      <c r="I876" s="670"/>
      <c r="J876" s="670">
        <f>SUM(J872:J875)</f>
        <v>30424</v>
      </c>
      <c r="K876" s="670"/>
      <c r="L876" s="670">
        <f>SUM(L872:L875)</f>
        <v>0</v>
      </c>
      <c r="M876" s="670"/>
      <c r="N876" s="670" t="e">
        <f>SUM(N872:N875)</f>
        <v>#REF!</v>
      </c>
      <c r="O876" s="671"/>
      <c r="P876" s="672"/>
    </row>
    <row r="877" spans="1:16" s="665" customFormat="1" ht="17.100000000000001" customHeight="1">
      <c r="A877" s="668">
        <f>A871+1</f>
        <v>187</v>
      </c>
      <c r="B877" s="1320" t="s">
        <v>1716</v>
      </c>
      <c r="C877" s="1320"/>
      <c r="D877" s="1320" t="s">
        <v>1727</v>
      </c>
      <c r="E877" s="1320"/>
      <c r="F877" s="669" t="s">
        <v>575</v>
      </c>
      <c r="G877" s="670"/>
      <c r="H877" s="670"/>
      <c r="I877" s="670"/>
      <c r="J877" s="670"/>
      <c r="K877" s="670"/>
      <c r="L877" s="670"/>
      <c r="M877" s="670"/>
      <c r="N877" s="670"/>
      <c r="O877" s="671"/>
      <c r="P877" s="672"/>
    </row>
    <row r="878" spans="1:16" s="665" customFormat="1" ht="17.100000000000001" customHeight="1">
      <c r="A878" s="1316" t="s">
        <v>955</v>
      </c>
      <c r="B878" s="1317"/>
      <c r="C878" s="1316" t="s">
        <v>1721</v>
      </c>
      <c r="D878" s="1317"/>
      <c r="E878" s="677">
        <v>1</v>
      </c>
      <c r="F878" s="676" t="s">
        <v>30</v>
      </c>
      <c r="G878" s="670" t="e">
        <f>#REF!</f>
        <v>#REF!</v>
      </c>
      <c r="H878" s="670" t="e">
        <f>INT(E878*G878)</f>
        <v>#REF!</v>
      </c>
      <c r="I878" s="670"/>
      <c r="J878" s="670"/>
      <c r="K878" s="670"/>
      <c r="L878" s="670"/>
      <c r="M878" s="670" t="e">
        <f t="shared" ref="M878:N881" si="95">G878+I878+K878</f>
        <v>#REF!</v>
      </c>
      <c r="N878" s="670" t="e">
        <f t="shared" si="95"/>
        <v>#REF!</v>
      </c>
      <c r="O878" s="671"/>
      <c r="P878" s="672"/>
    </row>
    <row r="879" spans="1:16" s="665" customFormat="1" ht="17.100000000000001" customHeight="1">
      <c r="A879" s="1316" t="s">
        <v>1719</v>
      </c>
      <c r="B879" s="1317"/>
      <c r="C879" s="1381"/>
      <c r="D879" s="1317"/>
      <c r="E879" s="675">
        <v>0.09</v>
      </c>
      <c r="F879" s="676" t="s">
        <v>366</v>
      </c>
      <c r="G879" s="670"/>
      <c r="H879" s="670"/>
      <c r="I879" s="670">
        <f>[53]노임단가!$BK$17</f>
        <v>262580</v>
      </c>
      <c r="J879" s="670">
        <f>INT(E879*I879)</f>
        <v>23632</v>
      </c>
      <c r="K879" s="670"/>
      <c r="L879" s="670"/>
      <c r="M879" s="670">
        <f t="shared" si="95"/>
        <v>262580</v>
      </c>
      <c r="N879" s="670">
        <f t="shared" si="95"/>
        <v>23632</v>
      </c>
      <c r="O879" s="671"/>
      <c r="P879" s="672"/>
    </row>
    <row r="880" spans="1:16" s="665" customFormat="1" ht="17.100000000000001" customHeight="1">
      <c r="A880" s="1316" t="s">
        <v>248</v>
      </c>
      <c r="B880" s="1317"/>
      <c r="C880" s="1316"/>
      <c r="D880" s="1317"/>
      <c r="E880" s="675">
        <v>0.09</v>
      </c>
      <c r="F880" s="676" t="s">
        <v>366</v>
      </c>
      <c r="G880" s="670"/>
      <c r="H880" s="670"/>
      <c r="I880" s="670">
        <f>[53]노임단가!$T$5</f>
        <v>172068</v>
      </c>
      <c r="J880" s="670">
        <f>INT(E880*I880)</f>
        <v>15486</v>
      </c>
      <c r="K880" s="670"/>
      <c r="L880" s="670"/>
      <c r="M880" s="670">
        <f t="shared" si="95"/>
        <v>172068</v>
      </c>
      <c r="N880" s="670">
        <f t="shared" si="95"/>
        <v>15486</v>
      </c>
      <c r="O880" s="671"/>
      <c r="P880" s="672"/>
    </row>
    <row r="881" spans="1:16" s="665" customFormat="1" ht="17.100000000000001" customHeight="1">
      <c r="A881" s="1316" t="s">
        <v>1450</v>
      </c>
      <c r="B881" s="1317"/>
      <c r="C881" s="1316" t="s">
        <v>1469</v>
      </c>
      <c r="D881" s="1317"/>
      <c r="E881" s="675">
        <v>0.05</v>
      </c>
      <c r="F881" s="676" t="s">
        <v>672</v>
      </c>
      <c r="G881" s="670">
        <f>J879+J880</f>
        <v>39118</v>
      </c>
      <c r="H881" s="670">
        <f>INT(E881*G881)</f>
        <v>1955</v>
      </c>
      <c r="I881" s="670"/>
      <c r="J881" s="670"/>
      <c r="K881" s="681"/>
      <c r="L881" s="681"/>
      <c r="M881" s="670">
        <f>G881+I881+K881</f>
        <v>39118</v>
      </c>
      <c r="N881" s="670">
        <f t="shared" si="95"/>
        <v>1955</v>
      </c>
      <c r="O881" s="671"/>
      <c r="P881" s="672"/>
    </row>
    <row r="882" spans="1:16" s="665" customFormat="1" ht="17.100000000000001" customHeight="1">
      <c r="A882" s="1318" t="s">
        <v>1320</v>
      </c>
      <c r="B882" s="1319"/>
      <c r="C882" s="1371"/>
      <c r="D882" s="1372"/>
      <c r="E882" s="677"/>
      <c r="F882" s="676"/>
      <c r="G882" s="670"/>
      <c r="H882" s="670" t="e">
        <f>SUM(H878:H881)</f>
        <v>#REF!</v>
      </c>
      <c r="I882" s="670"/>
      <c r="J882" s="670">
        <f>SUM(J878:J881)</f>
        <v>39118</v>
      </c>
      <c r="K882" s="670"/>
      <c r="L882" s="670">
        <f>SUM(L878:L881)</f>
        <v>0</v>
      </c>
      <c r="M882" s="670"/>
      <c r="N882" s="670" t="e">
        <f>SUM(N878:N881)</f>
        <v>#REF!</v>
      </c>
      <c r="O882" s="671"/>
      <c r="P882" s="672"/>
    </row>
    <row r="883" spans="1:16" s="665" customFormat="1" ht="17.100000000000001" customHeight="1">
      <c r="A883" s="668">
        <f>A877+1</f>
        <v>188</v>
      </c>
      <c r="B883" s="1320" t="s">
        <v>1716</v>
      </c>
      <c r="C883" s="1320"/>
      <c r="D883" s="1320" t="s">
        <v>1728</v>
      </c>
      <c r="E883" s="1320"/>
      <c r="F883" s="669" t="s">
        <v>575</v>
      </c>
      <c r="G883" s="670"/>
      <c r="H883" s="670"/>
      <c r="I883" s="670"/>
      <c r="J883" s="670"/>
      <c r="K883" s="670"/>
      <c r="L883" s="670"/>
      <c r="M883" s="670"/>
      <c r="N883" s="670"/>
      <c r="O883" s="671"/>
      <c r="P883" s="672"/>
    </row>
    <row r="884" spans="1:16" s="665" customFormat="1" ht="17.100000000000001" customHeight="1">
      <c r="A884" s="1316" t="s">
        <v>955</v>
      </c>
      <c r="B884" s="1317"/>
      <c r="C884" s="1316" t="s">
        <v>1723</v>
      </c>
      <c r="D884" s="1317"/>
      <c r="E884" s="677">
        <v>1</v>
      </c>
      <c r="F884" s="676" t="s">
        <v>30</v>
      </c>
      <c r="G884" s="670" t="e">
        <f>#REF!</f>
        <v>#REF!</v>
      </c>
      <c r="H884" s="670" t="e">
        <f>INT(E884*G884)</f>
        <v>#REF!</v>
      </c>
      <c r="I884" s="670"/>
      <c r="J884" s="670"/>
      <c r="K884" s="670"/>
      <c r="L884" s="670"/>
      <c r="M884" s="670" t="e">
        <f t="shared" ref="M884:N887" si="96">G884+I884+K884</f>
        <v>#REF!</v>
      </c>
      <c r="N884" s="670" t="e">
        <f t="shared" si="96"/>
        <v>#REF!</v>
      </c>
      <c r="O884" s="671"/>
      <c r="P884" s="672"/>
    </row>
    <row r="885" spans="1:16" s="665" customFormat="1" ht="17.100000000000001" customHeight="1">
      <c r="A885" s="1316" t="s">
        <v>1719</v>
      </c>
      <c r="B885" s="1317"/>
      <c r="C885" s="1381"/>
      <c r="D885" s="1317"/>
      <c r="E885" s="675">
        <v>0.11</v>
      </c>
      <c r="F885" s="676" t="s">
        <v>366</v>
      </c>
      <c r="G885" s="670"/>
      <c r="H885" s="670"/>
      <c r="I885" s="670">
        <f>[53]노임단가!$BK$17</f>
        <v>262580</v>
      </c>
      <c r="J885" s="670">
        <f>INT(E885*I885)</f>
        <v>28883</v>
      </c>
      <c r="K885" s="670"/>
      <c r="L885" s="670"/>
      <c r="M885" s="670">
        <f t="shared" si="96"/>
        <v>262580</v>
      </c>
      <c r="N885" s="670">
        <f t="shared" si="96"/>
        <v>28883</v>
      </c>
      <c r="O885" s="671"/>
      <c r="P885" s="672"/>
    </row>
    <row r="886" spans="1:16" s="665" customFormat="1" ht="17.100000000000001" customHeight="1">
      <c r="A886" s="1316" t="s">
        <v>248</v>
      </c>
      <c r="B886" s="1317"/>
      <c r="C886" s="1316"/>
      <c r="D886" s="1317"/>
      <c r="E886" s="675">
        <v>0.11</v>
      </c>
      <c r="F886" s="676" t="s">
        <v>366</v>
      </c>
      <c r="G886" s="670"/>
      <c r="H886" s="670"/>
      <c r="I886" s="670">
        <f>[53]노임단가!$T$5</f>
        <v>172068</v>
      </c>
      <c r="J886" s="670">
        <f>INT(E886*I886)</f>
        <v>18927</v>
      </c>
      <c r="K886" s="670"/>
      <c r="L886" s="670"/>
      <c r="M886" s="670">
        <f t="shared" si="96"/>
        <v>172068</v>
      </c>
      <c r="N886" s="670">
        <f t="shared" si="96"/>
        <v>18927</v>
      </c>
      <c r="O886" s="671"/>
      <c r="P886" s="672"/>
    </row>
    <row r="887" spans="1:16" s="665" customFormat="1" ht="17.100000000000001" customHeight="1">
      <c r="A887" s="1316" t="s">
        <v>1450</v>
      </c>
      <c r="B887" s="1317"/>
      <c r="C887" s="1316" t="s">
        <v>1469</v>
      </c>
      <c r="D887" s="1317"/>
      <c r="E887" s="675">
        <v>0.05</v>
      </c>
      <c r="F887" s="676" t="s">
        <v>672</v>
      </c>
      <c r="G887" s="670">
        <f>J885+J886</f>
        <v>47810</v>
      </c>
      <c r="H887" s="670">
        <f>INT(E887*G887)</f>
        <v>2390</v>
      </c>
      <c r="I887" s="670"/>
      <c r="J887" s="670"/>
      <c r="K887" s="681"/>
      <c r="L887" s="681"/>
      <c r="M887" s="670">
        <f>G887+I887+K887</f>
        <v>47810</v>
      </c>
      <c r="N887" s="670">
        <f t="shared" si="96"/>
        <v>2390</v>
      </c>
      <c r="O887" s="671"/>
      <c r="P887" s="672"/>
    </row>
    <row r="888" spans="1:16" s="665" customFormat="1" ht="17.100000000000001" customHeight="1">
      <c r="A888" s="1318" t="s">
        <v>1320</v>
      </c>
      <c r="B888" s="1319"/>
      <c r="C888" s="1371"/>
      <c r="D888" s="1372"/>
      <c r="E888" s="677"/>
      <c r="F888" s="676"/>
      <c r="G888" s="670"/>
      <c r="H888" s="670" t="e">
        <f>SUM(H884:H887)</f>
        <v>#REF!</v>
      </c>
      <c r="I888" s="670"/>
      <c r="J888" s="670">
        <f>SUM(J884:J887)</f>
        <v>47810</v>
      </c>
      <c r="K888" s="670"/>
      <c r="L888" s="670">
        <f>SUM(L884:L887)</f>
        <v>0</v>
      </c>
      <c r="M888" s="670"/>
      <c r="N888" s="670" t="e">
        <f>SUM(N884:N887)</f>
        <v>#REF!</v>
      </c>
      <c r="O888" s="671"/>
      <c r="P888" s="672"/>
    </row>
    <row r="889" spans="1:16" s="665" customFormat="1" ht="17.100000000000001" customHeight="1">
      <c r="A889" s="668">
        <f>A883+1</f>
        <v>189</v>
      </c>
      <c r="B889" s="1320" t="s">
        <v>1716</v>
      </c>
      <c r="C889" s="1320"/>
      <c r="D889" s="1320" t="s">
        <v>1729</v>
      </c>
      <c r="E889" s="1320"/>
      <c r="F889" s="669" t="s">
        <v>575</v>
      </c>
      <c r="G889" s="670"/>
      <c r="H889" s="670"/>
      <c r="I889" s="670"/>
      <c r="J889" s="670"/>
      <c r="K889" s="670"/>
      <c r="L889" s="670"/>
      <c r="M889" s="670"/>
      <c r="N889" s="670"/>
      <c r="O889" s="671"/>
      <c r="P889" s="705"/>
    </row>
    <row r="890" spans="1:16" s="665" customFormat="1" ht="17.100000000000001" customHeight="1">
      <c r="A890" s="1316" t="s">
        <v>955</v>
      </c>
      <c r="B890" s="1317"/>
      <c r="C890" s="1316" t="s">
        <v>1725</v>
      </c>
      <c r="D890" s="1317"/>
      <c r="E890" s="677">
        <v>1</v>
      </c>
      <c r="F890" s="676" t="s">
        <v>30</v>
      </c>
      <c r="G890" s="670" t="e">
        <f>#REF!</f>
        <v>#REF!</v>
      </c>
      <c r="H890" s="670" t="e">
        <f>INT(E890*G890)</f>
        <v>#REF!</v>
      </c>
      <c r="I890" s="670"/>
      <c r="J890" s="670"/>
      <c r="K890" s="670"/>
      <c r="L890" s="670"/>
      <c r="M890" s="670" t="e">
        <f t="shared" ref="M890:N893" si="97">G890+I890+K890</f>
        <v>#REF!</v>
      </c>
      <c r="N890" s="670" t="e">
        <f t="shared" si="97"/>
        <v>#REF!</v>
      </c>
      <c r="O890" s="671"/>
      <c r="P890" s="705"/>
    </row>
    <row r="891" spans="1:16" s="665" customFormat="1" ht="17.100000000000001" customHeight="1">
      <c r="A891" s="1316" t="s">
        <v>1719</v>
      </c>
      <c r="B891" s="1317"/>
      <c r="C891" s="1381"/>
      <c r="D891" s="1317"/>
      <c r="E891" s="675">
        <v>0.13</v>
      </c>
      <c r="F891" s="676" t="s">
        <v>366</v>
      </c>
      <c r="G891" s="670"/>
      <c r="H891" s="670"/>
      <c r="I891" s="670">
        <f>[53]노임단가!$BK$17</f>
        <v>262580</v>
      </c>
      <c r="J891" s="670">
        <f>INT(E891*I891)</f>
        <v>34135</v>
      </c>
      <c r="K891" s="670"/>
      <c r="L891" s="670"/>
      <c r="M891" s="670">
        <f t="shared" si="97"/>
        <v>262580</v>
      </c>
      <c r="N891" s="670">
        <f t="shared" si="97"/>
        <v>34135</v>
      </c>
      <c r="O891" s="671"/>
      <c r="P891" s="672"/>
    </row>
    <row r="892" spans="1:16" s="665" customFormat="1" ht="17.100000000000001" customHeight="1">
      <c r="A892" s="1316" t="s">
        <v>248</v>
      </c>
      <c r="B892" s="1317"/>
      <c r="C892" s="1316"/>
      <c r="D892" s="1317"/>
      <c r="E892" s="675">
        <v>0.13</v>
      </c>
      <c r="F892" s="676" t="s">
        <v>366</v>
      </c>
      <c r="G892" s="670"/>
      <c r="H892" s="670"/>
      <c r="I892" s="670">
        <f>[53]노임단가!$T$5</f>
        <v>172068</v>
      </c>
      <c r="J892" s="670">
        <f>INT(E892*I892)</f>
        <v>22368</v>
      </c>
      <c r="K892" s="670"/>
      <c r="L892" s="670"/>
      <c r="M892" s="670">
        <f t="shared" si="97"/>
        <v>172068</v>
      </c>
      <c r="N892" s="670">
        <f t="shared" si="97"/>
        <v>22368</v>
      </c>
      <c r="O892" s="671"/>
      <c r="P892" s="672"/>
    </row>
    <row r="893" spans="1:16" s="665" customFormat="1" ht="17.100000000000001" customHeight="1">
      <c r="A893" s="1316" t="s">
        <v>1450</v>
      </c>
      <c r="B893" s="1317"/>
      <c r="C893" s="1316" t="s">
        <v>1469</v>
      </c>
      <c r="D893" s="1317"/>
      <c r="E893" s="675">
        <v>0.05</v>
      </c>
      <c r="F893" s="676" t="s">
        <v>672</v>
      </c>
      <c r="G893" s="670">
        <f>J891+J892</f>
        <v>56503</v>
      </c>
      <c r="H893" s="670">
        <f>INT(E893*G893)</f>
        <v>2825</v>
      </c>
      <c r="I893" s="670"/>
      <c r="J893" s="670"/>
      <c r="K893" s="681"/>
      <c r="L893" s="681"/>
      <c r="M893" s="670">
        <f>G893+I893+K893</f>
        <v>56503</v>
      </c>
      <c r="N893" s="670">
        <f t="shared" si="97"/>
        <v>2825</v>
      </c>
      <c r="O893" s="671"/>
      <c r="P893" s="672"/>
    </row>
    <row r="894" spans="1:16" s="665" customFormat="1" ht="17.100000000000001" customHeight="1">
      <c r="A894" s="1318" t="s">
        <v>1320</v>
      </c>
      <c r="B894" s="1319"/>
      <c r="C894" s="1371"/>
      <c r="D894" s="1372"/>
      <c r="E894" s="677"/>
      <c r="F894" s="676"/>
      <c r="G894" s="670"/>
      <c r="H894" s="670" t="e">
        <f>SUM(H890:H893)</f>
        <v>#REF!</v>
      </c>
      <c r="I894" s="670"/>
      <c r="J894" s="670">
        <f>SUM(J890:J893)</f>
        <v>56503</v>
      </c>
      <c r="K894" s="670"/>
      <c r="L894" s="670">
        <f>SUM(L890:L893)</f>
        <v>0</v>
      </c>
      <c r="M894" s="670"/>
      <c r="N894" s="670" t="e">
        <f>SUM(N890:N893)</f>
        <v>#REF!</v>
      </c>
      <c r="O894" s="671"/>
      <c r="P894" s="705"/>
    </row>
    <row r="895" spans="1:16" s="665" customFormat="1" ht="17.100000000000001" customHeight="1">
      <c r="A895" s="668">
        <f>A889+1</f>
        <v>190</v>
      </c>
      <c r="B895" s="1320" t="s">
        <v>1716</v>
      </c>
      <c r="C895" s="1320"/>
      <c r="D895" s="1320" t="s">
        <v>1730</v>
      </c>
      <c r="E895" s="1320"/>
      <c r="F895" s="669" t="s">
        <v>575</v>
      </c>
      <c r="G895" s="670"/>
      <c r="H895" s="670"/>
      <c r="I895" s="670"/>
      <c r="J895" s="670"/>
      <c r="K895" s="670"/>
      <c r="L895" s="670"/>
      <c r="M895" s="670"/>
      <c r="N895" s="670"/>
      <c r="O895" s="671"/>
      <c r="P895" s="705"/>
    </row>
    <row r="896" spans="1:16" s="665" customFormat="1" ht="17.100000000000001" customHeight="1">
      <c r="A896" s="1316" t="s">
        <v>955</v>
      </c>
      <c r="B896" s="1317"/>
      <c r="C896" s="1316" t="s">
        <v>1718</v>
      </c>
      <c r="D896" s="1317"/>
      <c r="E896" s="677">
        <v>1</v>
      </c>
      <c r="F896" s="676" t="s">
        <v>30</v>
      </c>
      <c r="G896" s="670" t="e">
        <f>#REF!</f>
        <v>#REF!</v>
      </c>
      <c r="H896" s="670" t="e">
        <f>INT(E896*G896)</f>
        <v>#REF!</v>
      </c>
      <c r="I896" s="670"/>
      <c r="J896" s="670"/>
      <c r="K896" s="670"/>
      <c r="L896" s="670"/>
      <c r="M896" s="670" t="e">
        <f t="shared" ref="M896:N899" si="98">G896+I896+K896</f>
        <v>#REF!</v>
      </c>
      <c r="N896" s="670" t="e">
        <f t="shared" si="98"/>
        <v>#REF!</v>
      </c>
      <c r="O896" s="671"/>
      <c r="P896" s="672"/>
    </row>
    <row r="897" spans="1:16" s="665" customFormat="1" ht="17.100000000000001" customHeight="1">
      <c r="A897" s="1316" t="s">
        <v>1719</v>
      </c>
      <c r="B897" s="1317"/>
      <c r="C897" s="1381"/>
      <c r="D897" s="1317"/>
      <c r="E897" s="675">
        <v>0.08</v>
      </c>
      <c r="F897" s="676" t="s">
        <v>366</v>
      </c>
      <c r="G897" s="670"/>
      <c r="H897" s="670"/>
      <c r="I897" s="670">
        <f>[53]노임단가!$BK$17</f>
        <v>262580</v>
      </c>
      <c r="J897" s="670">
        <f>INT(E897*I897)</f>
        <v>21006</v>
      </c>
      <c r="K897" s="670"/>
      <c r="L897" s="670"/>
      <c r="M897" s="670">
        <f t="shared" si="98"/>
        <v>262580</v>
      </c>
      <c r="N897" s="670">
        <f t="shared" si="98"/>
        <v>21006</v>
      </c>
      <c r="O897" s="671"/>
      <c r="P897" s="672"/>
    </row>
    <row r="898" spans="1:16" s="665" customFormat="1" ht="17.100000000000001" customHeight="1">
      <c r="A898" s="1316" t="s">
        <v>248</v>
      </c>
      <c r="B898" s="1317"/>
      <c r="C898" s="1316"/>
      <c r="D898" s="1317"/>
      <c r="E898" s="675">
        <v>0.08</v>
      </c>
      <c r="F898" s="676" t="s">
        <v>366</v>
      </c>
      <c r="G898" s="670"/>
      <c r="H898" s="670"/>
      <c r="I898" s="670">
        <f>[53]노임단가!$T$5</f>
        <v>172068</v>
      </c>
      <c r="J898" s="670">
        <f>INT(E898*I898)</f>
        <v>13765</v>
      </c>
      <c r="K898" s="670"/>
      <c r="L898" s="670"/>
      <c r="M898" s="670">
        <f t="shared" si="98"/>
        <v>172068</v>
      </c>
      <c r="N898" s="670">
        <f t="shared" si="98"/>
        <v>13765</v>
      </c>
      <c r="O898" s="671"/>
      <c r="P898" s="672"/>
    </row>
    <row r="899" spans="1:16" s="665" customFormat="1" ht="17.100000000000001" customHeight="1">
      <c r="A899" s="1316" t="s">
        <v>1450</v>
      </c>
      <c r="B899" s="1317"/>
      <c r="C899" s="1316" t="s">
        <v>1469</v>
      </c>
      <c r="D899" s="1317"/>
      <c r="E899" s="675">
        <v>0.05</v>
      </c>
      <c r="F899" s="676" t="s">
        <v>672</v>
      </c>
      <c r="G899" s="670">
        <f>J897+J898</f>
        <v>34771</v>
      </c>
      <c r="H899" s="670">
        <f>INT(E899*G899)</f>
        <v>1738</v>
      </c>
      <c r="I899" s="670"/>
      <c r="J899" s="670"/>
      <c r="K899" s="681"/>
      <c r="L899" s="681"/>
      <c r="M899" s="670">
        <f>G899+I899+K899</f>
        <v>34771</v>
      </c>
      <c r="N899" s="670">
        <f t="shared" si="98"/>
        <v>1738</v>
      </c>
      <c r="O899" s="671"/>
      <c r="P899" s="705"/>
    </row>
    <row r="900" spans="1:16" s="665" customFormat="1" ht="17.100000000000001" customHeight="1">
      <c r="A900" s="1318" t="s">
        <v>1320</v>
      </c>
      <c r="B900" s="1319"/>
      <c r="C900" s="1371"/>
      <c r="D900" s="1372"/>
      <c r="E900" s="677"/>
      <c r="F900" s="676"/>
      <c r="G900" s="670"/>
      <c r="H900" s="670" t="e">
        <f>SUM(H896:H899)</f>
        <v>#REF!</v>
      </c>
      <c r="I900" s="670"/>
      <c r="J900" s="670">
        <f>SUM(J896:J899)</f>
        <v>34771</v>
      </c>
      <c r="K900" s="670"/>
      <c r="L900" s="670">
        <f>SUM(L896:L899)</f>
        <v>0</v>
      </c>
      <c r="M900" s="670"/>
      <c r="N900" s="670" t="e">
        <f>SUM(N896:N899)</f>
        <v>#REF!</v>
      </c>
      <c r="O900" s="671"/>
      <c r="P900" s="705"/>
    </row>
    <row r="901" spans="1:16" s="665" customFormat="1" ht="17.100000000000001" customHeight="1">
      <c r="A901" s="668">
        <f>A895+1</f>
        <v>191</v>
      </c>
      <c r="B901" s="1320" t="s">
        <v>1716</v>
      </c>
      <c r="C901" s="1320"/>
      <c r="D901" s="1320" t="s">
        <v>1731</v>
      </c>
      <c r="E901" s="1320"/>
      <c r="F901" s="669" t="s">
        <v>575</v>
      </c>
      <c r="G901" s="670"/>
      <c r="H901" s="670"/>
      <c r="I901" s="670"/>
      <c r="J901" s="670"/>
      <c r="K901" s="670"/>
      <c r="L901" s="670"/>
      <c r="M901" s="670"/>
      <c r="N901" s="670"/>
      <c r="O901" s="671"/>
      <c r="P901" s="672"/>
    </row>
    <row r="902" spans="1:16" s="665" customFormat="1" ht="17.100000000000001" customHeight="1">
      <c r="A902" s="1316" t="s">
        <v>955</v>
      </c>
      <c r="B902" s="1317"/>
      <c r="C902" s="1316" t="s">
        <v>1721</v>
      </c>
      <c r="D902" s="1317"/>
      <c r="E902" s="677">
        <v>1</v>
      </c>
      <c r="F902" s="676" t="s">
        <v>30</v>
      </c>
      <c r="G902" s="670" t="e">
        <f>#REF!</f>
        <v>#REF!</v>
      </c>
      <c r="H902" s="670" t="e">
        <f>INT(E902*G902)</f>
        <v>#REF!</v>
      </c>
      <c r="I902" s="670"/>
      <c r="J902" s="670"/>
      <c r="K902" s="670"/>
      <c r="L902" s="670"/>
      <c r="M902" s="670" t="e">
        <f t="shared" ref="M902:N905" si="99">G902+I902+K902</f>
        <v>#REF!</v>
      </c>
      <c r="N902" s="670" t="e">
        <f t="shared" si="99"/>
        <v>#REF!</v>
      </c>
      <c r="O902" s="671"/>
      <c r="P902" s="672"/>
    </row>
    <row r="903" spans="1:16" s="665" customFormat="1" ht="17.100000000000001" customHeight="1">
      <c r="A903" s="1316" t="s">
        <v>1719</v>
      </c>
      <c r="B903" s="1317"/>
      <c r="C903" s="1381"/>
      <c r="D903" s="1317"/>
      <c r="E903" s="675">
        <v>0.11</v>
      </c>
      <c r="F903" s="676" t="s">
        <v>366</v>
      </c>
      <c r="G903" s="670"/>
      <c r="H903" s="670"/>
      <c r="I903" s="670">
        <f>[53]노임단가!$BK$17</f>
        <v>262580</v>
      </c>
      <c r="J903" s="670">
        <f>INT(E903*I903)</f>
        <v>28883</v>
      </c>
      <c r="K903" s="670"/>
      <c r="L903" s="670"/>
      <c r="M903" s="670">
        <f t="shared" si="99"/>
        <v>262580</v>
      </c>
      <c r="N903" s="670">
        <f t="shared" si="99"/>
        <v>28883</v>
      </c>
      <c r="O903" s="671"/>
      <c r="P903" s="672"/>
    </row>
    <row r="904" spans="1:16" s="665" customFormat="1" ht="17.100000000000001" customHeight="1">
      <c r="A904" s="1316" t="s">
        <v>248</v>
      </c>
      <c r="B904" s="1317"/>
      <c r="C904" s="1316"/>
      <c r="D904" s="1317"/>
      <c r="E904" s="675">
        <v>0.11</v>
      </c>
      <c r="F904" s="676" t="s">
        <v>366</v>
      </c>
      <c r="G904" s="670"/>
      <c r="H904" s="670"/>
      <c r="I904" s="670">
        <f>[53]노임단가!$T$5</f>
        <v>172068</v>
      </c>
      <c r="J904" s="670">
        <f>INT(E904*I904)</f>
        <v>18927</v>
      </c>
      <c r="K904" s="670"/>
      <c r="L904" s="670"/>
      <c r="M904" s="670">
        <f t="shared" si="99"/>
        <v>172068</v>
      </c>
      <c r="N904" s="670">
        <f t="shared" si="99"/>
        <v>18927</v>
      </c>
      <c r="O904" s="671"/>
      <c r="P904" s="705"/>
    </row>
    <row r="905" spans="1:16" s="665" customFormat="1" ht="17.100000000000001" customHeight="1">
      <c r="A905" s="1316" t="s">
        <v>1450</v>
      </c>
      <c r="B905" s="1317"/>
      <c r="C905" s="1316" t="s">
        <v>1469</v>
      </c>
      <c r="D905" s="1317"/>
      <c r="E905" s="675">
        <v>0.05</v>
      </c>
      <c r="F905" s="676" t="s">
        <v>672</v>
      </c>
      <c r="G905" s="670">
        <f>J903+J904</f>
        <v>47810</v>
      </c>
      <c r="H905" s="670">
        <f>INT(E905*G905)</f>
        <v>2390</v>
      </c>
      <c r="I905" s="670"/>
      <c r="J905" s="670"/>
      <c r="K905" s="681"/>
      <c r="L905" s="681"/>
      <c r="M905" s="670">
        <f>G905+I905+K905</f>
        <v>47810</v>
      </c>
      <c r="N905" s="670">
        <f t="shared" si="99"/>
        <v>2390</v>
      </c>
      <c r="O905" s="671"/>
      <c r="P905" s="705"/>
    </row>
    <row r="906" spans="1:16" s="665" customFormat="1" ht="17.100000000000001" customHeight="1">
      <c r="A906" s="1318" t="s">
        <v>1320</v>
      </c>
      <c r="B906" s="1319"/>
      <c r="C906" s="1371"/>
      <c r="D906" s="1372"/>
      <c r="E906" s="677"/>
      <c r="F906" s="676"/>
      <c r="G906" s="670"/>
      <c r="H906" s="670" t="e">
        <f>SUM(H902:H905)</f>
        <v>#REF!</v>
      </c>
      <c r="I906" s="670"/>
      <c r="J906" s="670">
        <f>SUM(J902:J905)</f>
        <v>47810</v>
      </c>
      <c r="K906" s="670"/>
      <c r="L906" s="670">
        <f>SUM(L902:L905)</f>
        <v>0</v>
      </c>
      <c r="M906" s="670"/>
      <c r="N906" s="670" t="e">
        <f>SUM(N902:N905)</f>
        <v>#REF!</v>
      </c>
      <c r="O906" s="671"/>
      <c r="P906" s="672"/>
    </row>
    <row r="907" spans="1:16" s="665" customFormat="1" ht="17.100000000000001" customHeight="1">
      <c r="A907" s="668">
        <f>A901+1</f>
        <v>192</v>
      </c>
      <c r="B907" s="1320" t="s">
        <v>1716</v>
      </c>
      <c r="C907" s="1320"/>
      <c r="D907" s="1320" t="s">
        <v>1732</v>
      </c>
      <c r="E907" s="1320"/>
      <c r="F907" s="669" t="s">
        <v>575</v>
      </c>
      <c r="G907" s="670"/>
      <c r="H907" s="670"/>
      <c r="I907" s="670"/>
      <c r="J907" s="670"/>
      <c r="K907" s="670"/>
      <c r="L907" s="670"/>
      <c r="M907" s="670"/>
      <c r="N907" s="670"/>
      <c r="O907" s="671"/>
      <c r="P907" s="672"/>
    </row>
    <row r="908" spans="1:16" s="665" customFormat="1" ht="17.100000000000001" customHeight="1">
      <c r="A908" s="1316" t="s">
        <v>955</v>
      </c>
      <c r="B908" s="1317"/>
      <c r="C908" s="1316" t="s">
        <v>1723</v>
      </c>
      <c r="D908" s="1317"/>
      <c r="E908" s="677">
        <v>1</v>
      </c>
      <c r="F908" s="676" t="s">
        <v>30</v>
      </c>
      <c r="G908" s="670" t="e">
        <f>#REF!</f>
        <v>#REF!</v>
      </c>
      <c r="H908" s="670" t="e">
        <f>INT(E908*G908)</f>
        <v>#REF!</v>
      </c>
      <c r="I908" s="670"/>
      <c r="J908" s="670"/>
      <c r="K908" s="670"/>
      <c r="L908" s="670"/>
      <c r="M908" s="670" t="e">
        <f t="shared" ref="M908:N911" si="100">G908+I908+K908</f>
        <v>#REF!</v>
      </c>
      <c r="N908" s="670" t="e">
        <f t="shared" si="100"/>
        <v>#REF!</v>
      </c>
      <c r="O908" s="671"/>
      <c r="P908" s="672"/>
    </row>
    <row r="909" spans="1:16" s="665" customFormat="1" ht="17.100000000000001" customHeight="1">
      <c r="A909" s="1316" t="s">
        <v>1719</v>
      </c>
      <c r="B909" s="1317"/>
      <c r="C909" s="1381"/>
      <c r="D909" s="1317"/>
      <c r="E909" s="675">
        <v>0.12</v>
      </c>
      <c r="F909" s="676" t="s">
        <v>366</v>
      </c>
      <c r="G909" s="670"/>
      <c r="H909" s="670"/>
      <c r="I909" s="670">
        <f>[53]노임단가!$BK$17</f>
        <v>262580</v>
      </c>
      <c r="J909" s="670">
        <f>INT(E909*I909)</f>
        <v>31509</v>
      </c>
      <c r="K909" s="670"/>
      <c r="L909" s="670"/>
      <c r="M909" s="670">
        <f t="shared" si="100"/>
        <v>262580</v>
      </c>
      <c r="N909" s="670">
        <f t="shared" si="100"/>
        <v>31509</v>
      </c>
      <c r="O909" s="671"/>
      <c r="P909" s="705"/>
    </row>
    <row r="910" spans="1:16" s="665" customFormat="1" ht="17.100000000000001" customHeight="1">
      <c r="A910" s="1316" t="s">
        <v>248</v>
      </c>
      <c r="B910" s="1317"/>
      <c r="C910" s="1316"/>
      <c r="D910" s="1317"/>
      <c r="E910" s="675">
        <v>0.12</v>
      </c>
      <c r="F910" s="676" t="s">
        <v>366</v>
      </c>
      <c r="G910" s="670"/>
      <c r="H910" s="670"/>
      <c r="I910" s="670">
        <f>[53]노임단가!$T$5</f>
        <v>172068</v>
      </c>
      <c r="J910" s="670">
        <f>INT(E910*I910)</f>
        <v>20648</v>
      </c>
      <c r="K910" s="670"/>
      <c r="L910" s="670"/>
      <c r="M910" s="670">
        <f t="shared" si="100"/>
        <v>172068</v>
      </c>
      <c r="N910" s="670">
        <f t="shared" si="100"/>
        <v>20648</v>
      </c>
      <c r="O910" s="671"/>
      <c r="P910" s="705"/>
    </row>
    <row r="911" spans="1:16" s="665" customFormat="1" ht="17.100000000000001" customHeight="1">
      <c r="A911" s="1316" t="s">
        <v>1450</v>
      </c>
      <c r="B911" s="1317"/>
      <c r="C911" s="1316" t="s">
        <v>1469</v>
      </c>
      <c r="D911" s="1317"/>
      <c r="E911" s="675">
        <v>0.05</v>
      </c>
      <c r="F911" s="676" t="s">
        <v>672</v>
      </c>
      <c r="G911" s="670">
        <f>J909+J910</f>
        <v>52157</v>
      </c>
      <c r="H911" s="670">
        <f>INT(E911*G911)</f>
        <v>2607</v>
      </c>
      <c r="I911" s="670"/>
      <c r="J911" s="670"/>
      <c r="K911" s="681"/>
      <c r="L911" s="681"/>
      <c r="M911" s="670">
        <f>G911+I911+K911</f>
        <v>52157</v>
      </c>
      <c r="N911" s="670">
        <f t="shared" si="100"/>
        <v>2607</v>
      </c>
      <c r="O911" s="671"/>
      <c r="P911" s="672"/>
    </row>
    <row r="912" spans="1:16" s="665" customFormat="1" ht="17.100000000000001" customHeight="1">
      <c r="A912" s="1318" t="s">
        <v>1320</v>
      </c>
      <c r="B912" s="1319"/>
      <c r="C912" s="1371"/>
      <c r="D912" s="1372"/>
      <c r="E912" s="677"/>
      <c r="F912" s="676"/>
      <c r="G912" s="670"/>
      <c r="H912" s="670" t="e">
        <f>SUM(H908:H911)</f>
        <v>#REF!</v>
      </c>
      <c r="I912" s="670"/>
      <c r="J912" s="670">
        <f>SUM(J908:J911)</f>
        <v>52157</v>
      </c>
      <c r="K912" s="670"/>
      <c r="L912" s="670">
        <f>SUM(L908:L911)</f>
        <v>0</v>
      </c>
      <c r="M912" s="670"/>
      <c r="N912" s="670" t="e">
        <f>SUM(N908:N911)</f>
        <v>#REF!</v>
      </c>
      <c r="O912" s="671"/>
      <c r="P912" s="672"/>
    </row>
    <row r="913" spans="1:16" s="665" customFormat="1" ht="17.100000000000001" customHeight="1">
      <c r="A913" s="668">
        <f>A907+1</f>
        <v>193</v>
      </c>
      <c r="B913" s="1320" t="s">
        <v>1716</v>
      </c>
      <c r="C913" s="1320"/>
      <c r="D913" s="1320" t="s">
        <v>1733</v>
      </c>
      <c r="E913" s="1320"/>
      <c r="F913" s="669" t="s">
        <v>575</v>
      </c>
      <c r="G913" s="670"/>
      <c r="H913" s="670"/>
      <c r="I913" s="670"/>
      <c r="J913" s="670"/>
      <c r="K913" s="670"/>
      <c r="L913" s="670"/>
      <c r="M913" s="670"/>
      <c r="N913" s="670"/>
      <c r="O913" s="671"/>
      <c r="P913" s="672"/>
    </row>
    <row r="914" spans="1:16" s="665" customFormat="1" ht="17.100000000000001" customHeight="1">
      <c r="A914" s="1316" t="s">
        <v>955</v>
      </c>
      <c r="B914" s="1317"/>
      <c r="C914" s="1316" t="s">
        <v>1725</v>
      </c>
      <c r="D914" s="1317"/>
      <c r="E914" s="677">
        <v>1</v>
      </c>
      <c r="F914" s="676" t="s">
        <v>30</v>
      </c>
      <c r="G914" s="670" t="e">
        <f>#REF!</f>
        <v>#REF!</v>
      </c>
      <c r="H914" s="670" t="e">
        <f>INT(E914*G914)</f>
        <v>#REF!</v>
      </c>
      <c r="I914" s="670"/>
      <c r="J914" s="670"/>
      <c r="K914" s="670"/>
      <c r="L914" s="670"/>
      <c r="M914" s="670" t="e">
        <f t="shared" ref="M914:N917" si="101">G914+I914+K914</f>
        <v>#REF!</v>
      </c>
      <c r="N914" s="670" t="e">
        <f t="shared" si="101"/>
        <v>#REF!</v>
      </c>
      <c r="O914" s="671"/>
      <c r="P914" s="705"/>
    </row>
    <row r="915" spans="1:16" s="665" customFormat="1" ht="17.100000000000001" customHeight="1">
      <c r="A915" s="1316" t="s">
        <v>1719</v>
      </c>
      <c r="B915" s="1317"/>
      <c r="C915" s="1381"/>
      <c r="D915" s="1317"/>
      <c r="E915" s="675">
        <v>0.15</v>
      </c>
      <c r="F915" s="676" t="s">
        <v>366</v>
      </c>
      <c r="G915" s="670"/>
      <c r="H915" s="670"/>
      <c r="I915" s="670">
        <f>[53]노임단가!$BK$17</f>
        <v>262580</v>
      </c>
      <c r="J915" s="670">
        <f>INT(E915*I915)</f>
        <v>39387</v>
      </c>
      <c r="K915" s="670"/>
      <c r="L915" s="670"/>
      <c r="M915" s="670">
        <f t="shared" si="101"/>
        <v>262580</v>
      </c>
      <c r="N915" s="670">
        <f t="shared" si="101"/>
        <v>39387</v>
      </c>
      <c r="O915" s="671"/>
      <c r="P915" s="705"/>
    </row>
    <row r="916" spans="1:16" s="665" customFormat="1" ht="17.100000000000001" customHeight="1">
      <c r="A916" s="1316" t="s">
        <v>248</v>
      </c>
      <c r="B916" s="1317"/>
      <c r="C916" s="1316"/>
      <c r="D916" s="1317"/>
      <c r="E916" s="675">
        <v>0.15</v>
      </c>
      <c r="F916" s="676" t="s">
        <v>366</v>
      </c>
      <c r="G916" s="670"/>
      <c r="H916" s="670"/>
      <c r="I916" s="670">
        <f>[53]노임단가!$T$5</f>
        <v>172068</v>
      </c>
      <c r="J916" s="670">
        <f>INT(E916*I916)</f>
        <v>25810</v>
      </c>
      <c r="K916" s="670"/>
      <c r="L916" s="670"/>
      <c r="M916" s="670">
        <f t="shared" si="101"/>
        <v>172068</v>
      </c>
      <c r="N916" s="670">
        <f t="shared" si="101"/>
        <v>25810</v>
      </c>
      <c r="O916" s="671"/>
      <c r="P916" s="672"/>
    </row>
    <row r="917" spans="1:16" s="665" customFormat="1" ht="17.100000000000001" customHeight="1">
      <c r="A917" s="1316" t="s">
        <v>1450</v>
      </c>
      <c r="B917" s="1317"/>
      <c r="C917" s="1316" t="s">
        <v>1469</v>
      </c>
      <c r="D917" s="1317"/>
      <c r="E917" s="675">
        <v>0.05</v>
      </c>
      <c r="F917" s="676" t="s">
        <v>672</v>
      </c>
      <c r="G917" s="670">
        <f>J915+J916</f>
        <v>65197</v>
      </c>
      <c r="H917" s="670">
        <f>INT(E917*G917)</f>
        <v>3259</v>
      </c>
      <c r="I917" s="670"/>
      <c r="J917" s="670"/>
      <c r="K917" s="681"/>
      <c r="L917" s="681"/>
      <c r="M917" s="670">
        <f>G917+I917+K917</f>
        <v>65197</v>
      </c>
      <c r="N917" s="670">
        <f t="shared" si="101"/>
        <v>3259</v>
      </c>
      <c r="O917" s="671"/>
      <c r="P917" s="672"/>
    </row>
    <row r="918" spans="1:16" s="665" customFormat="1" ht="17.100000000000001" customHeight="1">
      <c r="A918" s="1318" t="s">
        <v>1320</v>
      </c>
      <c r="B918" s="1319"/>
      <c r="C918" s="1371"/>
      <c r="D918" s="1372"/>
      <c r="E918" s="677"/>
      <c r="F918" s="676"/>
      <c r="G918" s="670"/>
      <c r="H918" s="670" t="e">
        <f>SUM(H914:H917)</f>
        <v>#REF!</v>
      </c>
      <c r="I918" s="670"/>
      <c r="J918" s="670">
        <f>SUM(J914:J917)</f>
        <v>65197</v>
      </c>
      <c r="K918" s="670"/>
      <c r="L918" s="670">
        <f>SUM(L914:L917)</f>
        <v>0</v>
      </c>
      <c r="M918" s="670"/>
      <c r="N918" s="670" t="e">
        <f>SUM(N914:N917)</f>
        <v>#REF!</v>
      </c>
      <c r="O918" s="671"/>
      <c r="P918" s="672"/>
    </row>
    <row r="919" spans="1:16" s="665" customFormat="1" ht="17.100000000000001" customHeight="1">
      <c r="A919" s="668">
        <f>A913+1</f>
        <v>194</v>
      </c>
      <c r="B919" s="1320" t="s">
        <v>1734</v>
      </c>
      <c r="C919" s="1320"/>
      <c r="D919" s="1320" t="s">
        <v>1735</v>
      </c>
      <c r="E919" s="1320"/>
      <c r="F919" s="669" t="s">
        <v>575</v>
      </c>
      <c r="G919" s="670"/>
      <c r="H919" s="670"/>
      <c r="I919" s="670"/>
      <c r="J919" s="670"/>
      <c r="K919" s="670"/>
      <c r="L919" s="670"/>
      <c r="M919" s="670"/>
      <c r="N919" s="670"/>
      <c r="O919" s="671"/>
      <c r="P919" s="705"/>
    </row>
    <row r="920" spans="1:16" s="665" customFormat="1" ht="17.100000000000001" customHeight="1">
      <c r="A920" s="1316" t="s">
        <v>1719</v>
      </c>
      <c r="B920" s="1317"/>
      <c r="C920" s="1316"/>
      <c r="D920" s="1317"/>
      <c r="E920" s="675">
        <v>0.02</v>
      </c>
      <c r="F920" s="676" t="s">
        <v>366</v>
      </c>
      <c r="G920" s="670"/>
      <c r="H920" s="670"/>
      <c r="I920" s="670">
        <f>[53]노임단가!$BK$17</f>
        <v>262580</v>
      </c>
      <c r="J920" s="670">
        <f>INT(E920*I920)</f>
        <v>5251</v>
      </c>
      <c r="K920" s="670"/>
      <c r="L920" s="670"/>
      <c r="M920" s="670">
        <f t="shared" ref="M920:N922" si="102">G920+I920+K920</f>
        <v>262580</v>
      </c>
      <c r="N920" s="670">
        <f t="shared" si="102"/>
        <v>5251</v>
      </c>
      <c r="O920" s="707"/>
      <c r="P920" s="705"/>
    </row>
    <row r="921" spans="1:16" s="665" customFormat="1" ht="17.100000000000001" customHeight="1">
      <c r="A921" s="1316" t="s">
        <v>248</v>
      </c>
      <c r="B921" s="1317"/>
      <c r="C921" s="1316"/>
      <c r="D921" s="1317"/>
      <c r="E921" s="675">
        <v>0.02</v>
      </c>
      <c r="F921" s="676" t="s">
        <v>366</v>
      </c>
      <c r="G921" s="670"/>
      <c r="H921" s="670"/>
      <c r="I921" s="670">
        <f>[53]노임단가!$T$5</f>
        <v>172068</v>
      </c>
      <c r="J921" s="670">
        <f>INT(E921*I921)</f>
        <v>3441</v>
      </c>
      <c r="K921" s="670"/>
      <c r="L921" s="670"/>
      <c r="M921" s="670">
        <f t="shared" si="102"/>
        <v>172068</v>
      </c>
      <c r="N921" s="670">
        <f t="shared" si="102"/>
        <v>3441</v>
      </c>
      <c r="O921" s="707"/>
      <c r="P921" s="672"/>
    </row>
    <row r="922" spans="1:16" s="665" customFormat="1" ht="17.100000000000001" customHeight="1">
      <c r="A922" s="1316" t="s">
        <v>1736</v>
      </c>
      <c r="B922" s="1317"/>
      <c r="C922" s="1316" t="s">
        <v>1737</v>
      </c>
      <c r="D922" s="1317"/>
      <c r="E922" s="675">
        <v>0.06</v>
      </c>
      <c r="F922" s="676" t="s">
        <v>672</v>
      </c>
      <c r="G922" s="670"/>
      <c r="H922" s="670"/>
      <c r="I922" s="670"/>
      <c r="J922" s="670"/>
      <c r="K922" s="670">
        <f>J920+J921</f>
        <v>8692</v>
      </c>
      <c r="L922" s="670">
        <f>INT(E922*K922)</f>
        <v>521</v>
      </c>
      <c r="M922" s="670">
        <f t="shared" si="102"/>
        <v>8692</v>
      </c>
      <c r="N922" s="670">
        <f t="shared" si="102"/>
        <v>521</v>
      </c>
      <c r="O922" s="707"/>
      <c r="P922" s="672"/>
    </row>
    <row r="923" spans="1:16" s="665" customFormat="1" ht="17.100000000000001" customHeight="1">
      <c r="A923" s="1318" t="s">
        <v>1320</v>
      </c>
      <c r="B923" s="1319"/>
      <c r="C923" s="1371"/>
      <c r="D923" s="1372"/>
      <c r="E923" s="677"/>
      <c r="F923" s="676"/>
      <c r="G923" s="670"/>
      <c r="H923" s="670">
        <f>SUM(H920:H922)</f>
        <v>0</v>
      </c>
      <c r="I923" s="670"/>
      <c r="J923" s="670">
        <f>SUM(J920:J922)</f>
        <v>8692</v>
      </c>
      <c r="K923" s="670"/>
      <c r="L923" s="670">
        <f>SUM(L920:L922)</f>
        <v>521</v>
      </c>
      <c r="M923" s="670"/>
      <c r="N923" s="670">
        <f>SUM(N920:N922)</f>
        <v>9213</v>
      </c>
      <c r="O923" s="671"/>
      <c r="P923" s="672"/>
    </row>
    <row r="924" spans="1:16" s="665" customFormat="1" ht="17.100000000000001" customHeight="1">
      <c r="A924" s="668">
        <f>A919+1</f>
        <v>195</v>
      </c>
      <c r="B924" s="1320" t="s">
        <v>1734</v>
      </c>
      <c r="C924" s="1320"/>
      <c r="D924" s="1320" t="s">
        <v>963</v>
      </c>
      <c r="E924" s="1320"/>
      <c r="F924" s="669" t="s">
        <v>575</v>
      </c>
      <c r="G924" s="670"/>
      <c r="H924" s="670"/>
      <c r="I924" s="670"/>
      <c r="J924" s="670"/>
      <c r="K924" s="670"/>
      <c r="L924" s="670"/>
      <c r="M924" s="670"/>
      <c r="N924" s="670"/>
      <c r="O924" s="671"/>
      <c r="P924" s="705"/>
    </row>
    <row r="925" spans="1:16" s="665" customFormat="1" ht="17.100000000000001" customHeight="1">
      <c r="A925" s="1316" t="s">
        <v>1719</v>
      </c>
      <c r="B925" s="1317"/>
      <c r="C925" s="1316"/>
      <c r="D925" s="1317"/>
      <c r="E925" s="675">
        <v>0.03</v>
      </c>
      <c r="F925" s="676" t="s">
        <v>366</v>
      </c>
      <c r="G925" s="670"/>
      <c r="H925" s="670"/>
      <c r="I925" s="670">
        <f>[53]노임단가!$BK$17</f>
        <v>262580</v>
      </c>
      <c r="J925" s="670">
        <f>INT(E925*I925)</f>
        <v>7877</v>
      </c>
      <c r="K925" s="670"/>
      <c r="L925" s="670"/>
      <c r="M925" s="670">
        <f t="shared" ref="M925:N927" si="103">G925+I925+K925</f>
        <v>262580</v>
      </c>
      <c r="N925" s="670">
        <f t="shared" si="103"/>
        <v>7877</v>
      </c>
      <c r="O925" s="707"/>
      <c r="P925" s="705"/>
    </row>
    <row r="926" spans="1:16" s="665" customFormat="1" ht="17.100000000000001" customHeight="1">
      <c r="A926" s="1316" t="s">
        <v>248</v>
      </c>
      <c r="B926" s="1317"/>
      <c r="C926" s="1316"/>
      <c r="D926" s="1317"/>
      <c r="E926" s="675">
        <v>0.03</v>
      </c>
      <c r="F926" s="676" t="s">
        <v>366</v>
      </c>
      <c r="G926" s="670"/>
      <c r="H926" s="670"/>
      <c r="I926" s="670">
        <f>[53]노임단가!$T$5</f>
        <v>172068</v>
      </c>
      <c r="J926" s="670">
        <f>INT(E926*I926)</f>
        <v>5162</v>
      </c>
      <c r="K926" s="670"/>
      <c r="L926" s="670"/>
      <c r="M926" s="670">
        <f t="shared" si="103"/>
        <v>172068</v>
      </c>
      <c r="N926" s="670">
        <f t="shared" si="103"/>
        <v>5162</v>
      </c>
      <c r="O926" s="707"/>
      <c r="P926" s="672"/>
    </row>
    <row r="927" spans="1:16" s="665" customFormat="1" ht="17.100000000000001" customHeight="1">
      <c r="A927" s="1316" t="s">
        <v>1736</v>
      </c>
      <c r="B927" s="1317"/>
      <c r="C927" s="1316" t="s">
        <v>1737</v>
      </c>
      <c r="D927" s="1317"/>
      <c r="E927" s="675">
        <v>0.06</v>
      </c>
      <c r="F927" s="676" t="s">
        <v>672</v>
      </c>
      <c r="G927" s="670"/>
      <c r="H927" s="670"/>
      <c r="I927" s="670"/>
      <c r="J927" s="670"/>
      <c r="K927" s="670">
        <f>J925+J926</f>
        <v>13039</v>
      </c>
      <c r="L927" s="670">
        <f>INT(E927*K927)</f>
        <v>782</v>
      </c>
      <c r="M927" s="670">
        <f t="shared" si="103"/>
        <v>13039</v>
      </c>
      <c r="N927" s="670">
        <f t="shared" si="103"/>
        <v>782</v>
      </c>
      <c r="O927" s="707"/>
      <c r="P927" s="672"/>
    </row>
    <row r="928" spans="1:16" s="665" customFormat="1" ht="17.100000000000001" customHeight="1">
      <c r="A928" s="1318" t="s">
        <v>1320</v>
      </c>
      <c r="B928" s="1319"/>
      <c r="C928" s="1371"/>
      <c r="D928" s="1372"/>
      <c r="E928" s="677"/>
      <c r="F928" s="676"/>
      <c r="G928" s="670"/>
      <c r="H928" s="670">
        <f>SUM(H925:H927)</f>
        <v>0</v>
      </c>
      <c r="I928" s="670"/>
      <c r="J928" s="670">
        <f>SUM(J925:J927)</f>
        <v>13039</v>
      </c>
      <c r="K928" s="670"/>
      <c r="L928" s="670">
        <f>SUM(L925:L927)</f>
        <v>782</v>
      </c>
      <c r="M928" s="670"/>
      <c r="N928" s="670">
        <f>SUM(N925:N927)</f>
        <v>13821</v>
      </c>
      <c r="O928" s="671"/>
      <c r="P928" s="672"/>
    </row>
    <row r="929" spans="1:26" s="665" customFormat="1" ht="17.100000000000001" customHeight="1">
      <c r="A929" s="668">
        <f>A924+1</f>
        <v>196</v>
      </c>
      <c r="B929" s="1320" t="s">
        <v>1734</v>
      </c>
      <c r="C929" s="1320"/>
      <c r="D929" s="1320" t="s">
        <v>964</v>
      </c>
      <c r="E929" s="1320"/>
      <c r="F929" s="669" t="s">
        <v>575</v>
      </c>
      <c r="G929" s="670"/>
      <c r="H929" s="670"/>
      <c r="I929" s="670"/>
      <c r="J929" s="670"/>
      <c r="K929" s="670"/>
      <c r="L929" s="670"/>
      <c r="M929" s="670"/>
      <c r="N929" s="670"/>
      <c r="O929" s="671"/>
      <c r="P929" s="705"/>
    </row>
    <row r="930" spans="1:26" s="665" customFormat="1" ht="17.100000000000001" customHeight="1">
      <c r="A930" s="1316" t="s">
        <v>1719</v>
      </c>
      <c r="B930" s="1317"/>
      <c r="C930" s="1316"/>
      <c r="D930" s="1317"/>
      <c r="E930" s="675">
        <v>0.04</v>
      </c>
      <c r="F930" s="676" t="s">
        <v>366</v>
      </c>
      <c r="G930" s="670"/>
      <c r="H930" s="670"/>
      <c r="I930" s="670">
        <f>[53]노임단가!$BK$17</f>
        <v>262580</v>
      </c>
      <c r="J930" s="670">
        <f>INT(E930*I930)</f>
        <v>10503</v>
      </c>
      <c r="K930" s="670"/>
      <c r="L930" s="670"/>
      <c r="M930" s="670">
        <f t="shared" ref="M930:N932" si="104">G930+I930+K930</f>
        <v>262580</v>
      </c>
      <c r="N930" s="670">
        <f t="shared" si="104"/>
        <v>10503</v>
      </c>
      <c r="O930" s="707"/>
      <c r="P930" s="705"/>
    </row>
    <row r="931" spans="1:26" s="665" customFormat="1" ht="17.100000000000001" customHeight="1">
      <c r="A931" s="1316" t="s">
        <v>248</v>
      </c>
      <c r="B931" s="1317"/>
      <c r="C931" s="1316"/>
      <c r="D931" s="1317"/>
      <c r="E931" s="675">
        <v>0.04</v>
      </c>
      <c r="F931" s="676" t="s">
        <v>366</v>
      </c>
      <c r="G931" s="670"/>
      <c r="H931" s="670"/>
      <c r="I931" s="670">
        <f>[53]노임단가!$T$5</f>
        <v>172068</v>
      </c>
      <c r="J931" s="670">
        <f>INT(E931*I931)</f>
        <v>6882</v>
      </c>
      <c r="K931" s="670"/>
      <c r="L931" s="670"/>
      <c r="M931" s="670">
        <f t="shared" si="104"/>
        <v>172068</v>
      </c>
      <c r="N931" s="670">
        <f t="shared" si="104"/>
        <v>6882</v>
      </c>
      <c r="O931" s="707"/>
      <c r="P931" s="672"/>
    </row>
    <row r="932" spans="1:26" s="665" customFormat="1" ht="17.100000000000001" customHeight="1">
      <c r="A932" s="1316" t="s">
        <v>1736</v>
      </c>
      <c r="B932" s="1317"/>
      <c r="C932" s="1316" t="s">
        <v>1737</v>
      </c>
      <c r="D932" s="1317"/>
      <c r="E932" s="675">
        <v>0.06</v>
      </c>
      <c r="F932" s="676" t="s">
        <v>672</v>
      </c>
      <c r="G932" s="670"/>
      <c r="H932" s="670"/>
      <c r="I932" s="670"/>
      <c r="J932" s="670"/>
      <c r="K932" s="670">
        <f>J930+J931</f>
        <v>17385</v>
      </c>
      <c r="L932" s="670">
        <f>INT(E932*K932)</f>
        <v>1043</v>
      </c>
      <c r="M932" s="670">
        <f t="shared" si="104"/>
        <v>17385</v>
      </c>
      <c r="N932" s="670">
        <f t="shared" si="104"/>
        <v>1043</v>
      </c>
      <c r="O932" s="707"/>
      <c r="P932" s="672"/>
    </row>
    <row r="933" spans="1:26" s="665" customFormat="1" ht="17.100000000000001" customHeight="1">
      <c r="A933" s="1318" t="s">
        <v>1320</v>
      </c>
      <c r="B933" s="1319"/>
      <c r="C933" s="1371"/>
      <c r="D933" s="1372"/>
      <c r="E933" s="677"/>
      <c r="F933" s="676"/>
      <c r="G933" s="670"/>
      <c r="H933" s="670">
        <f>SUM(H930:H932)</f>
        <v>0</v>
      </c>
      <c r="I933" s="670"/>
      <c r="J933" s="670">
        <f>SUM(J930:J932)</f>
        <v>17385</v>
      </c>
      <c r="K933" s="670"/>
      <c r="L933" s="670">
        <f>SUM(L930:L932)</f>
        <v>1043</v>
      </c>
      <c r="M933" s="670"/>
      <c r="N933" s="670">
        <f>SUM(N930:N932)</f>
        <v>18428</v>
      </c>
      <c r="O933" s="671"/>
      <c r="P933" s="672"/>
    </row>
    <row r="934" spans="1:26" s="665" customFormat="1" ht="17.100000000000001" customHeight="1">
      <c r="A934" s="668">
        <f>A929+1</f>
        <v>197</v>
      </c>
      <c r="B934" s="1320" t="s">
        <v>1734</v>
      </c>
      <c r="C934" s="1320"/>
      <c r="D934" s="1320" t="s">
        <v>965</v>
      </c>
      <c r="E934" s="1320"/>
      <c r="F934" s="669" t="s">
        <v>575</v>
      </c>
      <c r="G934" s="670"/>
      <c r="H934" s="670"/>
      <c r="I934" s="670"/>
      <c r="J934" s="670"/>
      <c r="K934" s="670"/>
      <c r="L934" s="670"/>
      <c r="M934" s="670"/>
      <c r="N934" s="670"/>
      <c r="O934" s="671"/>
      <c r="P934" s="705"/>
    </row>
    <row r="935" spans="1:26" s="665" customFormat="1" ht="17.100000000000001" customHeight="1">
      <c r="A935" s="1316" t="s">
        <v>1719</v>
      </c>
      <c r="B935" s="1317"/>
      <c r="C935" s="1316"/>
      <c r="D935" s="1317"/>
      <c r="E935" s="675">
        <v>0.04</v>
      </c>
      <c r="F935" s="676" t="s">
        <v>366</v>
      </c>
      <c r="G935" s="670"/>
      <c r="H935" s="670"/>
      <c r="I935" s="670">
        <f>[53]노임단가!$BK$17</f>
        <v>262580</v>
      </c>
      <c r="J935" s="670">
        <f>INT(E935*I935)</f>
        <v>10503</v>
      </c>
      <c r="K935" s="670"/>
      <c r="L935" s="670"/>
      <c r="M935" s="670">
        <f t="shared" ref="M935:N937" si="105">G935+I935+K935</f>
        <v>262580</v>
      </c>
      <c r="N935" s="670">
        <f t="shared" si="105"/>
        <v>10503</v>
      </c>
      <c r="O935" s="707"/>
      <c r="P935" s="705"/>
    </row>
    <row r="936" spans="1:26" s="665" customFormat="1" ht="17.100000000000001" customHeight="1">
      <c r="A936" s="1316" t="s">
        <v>248</v>
      </c>
      <c r="B936" s="1317"/>
      <c r="C936" s="1316"/>
      <c r="D936" s="1317"/>
      <c r="E936" s="675">
        <v>0.04</v>
      </c>
      <c r="F936" s="676" t="s">
        <v>366</v>
      </c>
      <c r="G936" s="670"/>
      <c r="H936" s="670"/>
      <c r="I936" s="670">
        <f>[53]노임단가!$T$5</f>
        <v>172068</v>
      </c>
      <c r="J936" s="670">
        <f>INT(E936*I936)</f>
        <v>6882</v>
      </c>
      <c r="K936" s="670"/>
      <c r="L936" s="670"/>
      <c r="M936" s="670">
        <f t="shared" si="105"/>
        <v>172068</v>
      </c>
      <c r="N936" s="670">
        <f t="shared" si="105"/>
        <v>6882</v>
      </c>
      <c r="O936" s="707"/>
      <c r="P936" s="672"/>
    </row>
    <row r="937" spans="1:26" s="665" customFormat="1" ht="17.100000000000001" customHeight="1">
      <c r="A937" s="1316" t="s">
        <v>1736</v>
      </c>
      <c r="B937" s="1317"/>
      <c r="C937" s="1316" t="s">
        <v>1737</v>
      </c>
      <c r="D937" s="1317"/>
      <c r="E937" s="675">
        <v>0.06</v>
      </c>
      <c r="F937" s="676" t="s">
        <v>672</v>
      </c>
      <c r="G937" s="670"/>
      <c r="H937" s="670"/>
      <c r="I937" s="670"/>
      <c r="J937" s="670"/>
      <c r="K937" s="670">
        <f>J935+J936</f>
        <v>17385</v>
      </c>
      <c r="L937" s="670">
        <f>INT(E937*K937)</f>
        <v>1043</v>
      </c>
      <c r="M937" s="670">
        <f t="shared" si="105"/>
        <v>17385</v>
      </c>
      <c r="N937" s="670">
        <f t="shared" si="105"/>
        <v>1043</v>
      </c>
      <c r="O937" s="707"/>
      <c r="P937" s="672"/>
    </row>
    <row r="938" spans="1:26" s="665" customFormat="1" ht="17.100000000000001" customHeight="1">
      <c r="A938" s="1318" t="s">
        <v>1320</v>
      </c>
      <c r="B938" s="1319"/>
      <c r="C938" s="1371"/>
      <c r="D938" s="1372"/>
      <c r="E938" s="677"/>
      <c r="F938" s="676"/>
      <c r="G938" s="670"/>
      <c r="H938" s="670">
        <f>SUM(H935:H937)</f>
        <v>0</v>
      </c>
      <c r="I938" s="670"/>
      <c r="J938" s="670">
        <f>SUM(J935:J937)</f>
        <v>17385</v>
      </c>
      <c r="K938" s="670"/>
      <c r="L938" s="670">
        <f>SUM(L935:L937)</f>
        <v>1043</v>
      </c>
      <c r="M938" s="670"/>
      <c r="N938" s="670">
        <f>SUM(N935:N937)</f>
        <v>18428</v>
      </c>
      <c r="O938" s="671"/>
      <c r="P938" s="672"/>
    </row>
    <row r="939" spans="1:26" s="665" customFormat="1" ht="17.100000000000001" customHeight="1">
      <c r="A939" s="668">
        <f>A934+1</f>
        <v>198</v>
      </c>
      <c r="B939" s="1320" t="s">
        <v>1734</v>
      </c>
      <c r="C939" s="1320"/>
      <c r="D939" s="1320" t="s">
        <v>966</v>
      </c>
      <c r="E939" s="1320"/>
      <c r="F939" s="669" t="s">
        <v>575</v>
      </c>
      <c r="G939" s="670"/>
      <c r="H939" s="670"/>
      <c r="I939" s="670"/>
      <c r="J939" s="670"/>
      <c r="K939" s="670"/>
      <c r="L939" s="670"/>
      <c r="M939" s="670"/>
      <c r="N939" s="670"/>
      <c r="O939" s="671"/>
      <c r="P939" s="705"/>
    </row>
    <row r="940" spans="1:26" s="665" customFormat="1" ht="17.100000000000001" customHeight="1">
      <c r="A940" s="1316" t="s">
        <v>1719</v>
      </c>
      <c r="B940" s="1317"/>
      <c r="C940" s="1316"/>
      <c r="D940" s="1317"/>
      <c r="E940" s="675">
        <v>0.05</v>
      </c>
      <c r="F940" s="676" t="s">
        <v>366</v>
      </c>
      <c r="G940" s="670"/>
      <c r="H940" s="670"/>
      <c r="I940" s="670">
        <f>[53]노임단가!$BK$17</f>
        <v>262580</v>
      </c>
      <c r="J940" s="670">
        <f>INT(E940*I940)</f>
        <v>13129</v>
      </c>
      <c r="K940" s="670"/>
      <c r="L940" s="670"/>
      <c r="M940" s="670">
        <f t="shared" ref="M940:N942" si="106">G940+I940+K940</f>
        <v>262580</v>
      </c>
      <c r="N940" s="670">
        <f t="shared" si="106"/>
        <v>13129</v>
      </c>
      <c r="O940" s="671"/>
      <c r="P940" s="705"/>
    </row>
    <row r="941" spans="1:26" s="665" customFormat="1" ht="17.100000000000001" customHeight="1">
      <c r="A941" s="1316" t="s">
        <v>248</v>
      </c>
      <c r="B941" s="1317"/>
      <c r="C941" s="1316"/>
      <c r="D941" s="1317"/>
      <c r="E941" s="675">
        <v>0.05</v>
      </c>
      <c r="F941" s="676" t="s">
        <v>366</v>
      </c>
      <c r="G941" s="670"/>
      <c r="H941" s="670"/>
      <c r="I941" s="670">
        <f>[53]노임단가!$T$5</f>
        <v>172068</v>
      </c>
      <c r="J941" s="670">
        <f>INT(E941*I941)</f>
        <v>8603</v>
      </c>
      <c r="K941" s="670"/>
      <c r="L941" s="670"/>
      <c r="M941" s="670">
        <f t="shared" si="106"/>
        <v>172068</v>
      </c>
      <c r="N941" s="670">
        <f t="shared" si="106"/>
        <v>8603</v>
      </c>
      <c r="O941" s="707"/>
      <c r="P941" s="672"/>
    </row>
    <row r="942" spans="1:26" s="665" customFormat="1" ht="17.100000000000001" customHeight="1">
      <c r="A942" s="1316" t="s">
        <v>1736</v>
      </c>
      <c r="B942" s="1317"/>
      <c r="C942" s="1316" t="s">
        <v>1737</v>
      </c>
      <c r="D942" s="1317"/>
      <c r="E942" s="675">
        <v>0.06</v>
      </c>
      <c r="F942" s="676" t="s">
        <v>672</v>
      </c>
      <c r="G942" s="670"/>
      <c r="H942" s="670"/>
      <c r="I942" s="670"/>
      <c r="J942" s="670"/>
      <c r="K942" s="670">
        <f>J940+J941</f>
        <v>21732</v>
      </c>
      <c r="L942" s="670">
        <f>INT(E942*K942)</f>
        <v>1303</v>
      </c>
      <c r="M942" s="670">
        <f t="shared" si="106"/>
        <v>21732</v>
      </c>
      <c r="N942" s="670">
        <f t="shared" si="106"/>
        <v>1303</v>
      </c>
      <c r="O942" s="707"/>
      <c r="P942" s="672"/>
    </row>
    <row r="943" spans="1:26" s="665" customFormat="1" ht="17.100000000000001" customHeight="1">
      <c r="A943" s="1318" t="s">
        <v>1320</v>
      </c>
      <c r="B943" s="1319"/>
      <c r="C943" s="1371"/>
      <c r="D943" s="1372"/>
      <c r="E943" s="677"/>
      <c r="F943" s="676"/>
      <c r="G943" s="670"/>
      <c r="H943" s="670">
        <f>SUM(H940:H942)</f>
        <v>0</v>
      </c>
      <c r="I943" s="670"/>
      <c r="J943" s="670">
        <f>SUM(J940:J942)</f>
        <v>21732</v>
      </c>
      <c r="K943" s="670"/>
      <c r="L943" s="670">
        <f>SUM(L940:L942)</f>
        <v>1303</v>
      </c>
      <c r="M943" s="670"/>
      <c r="N943" s="670">
        <f>SUM(N940:N942)</f>
        <v>23035</v>
      </c>
      <c r="O943" s="671"/>
      <c r="P943" s="672"/>
      <c r="V943" s="681" t="s">
        <v>1317</v>
      </c>
      <c r="W943" s="685" t="s">
        <v>1738</v>
      </c>
      <c r="X943" s="681" t="s">
        <v>371</v>
      </c>
      <c r="Y943" s="681" t="s">
        <v>1739</v>
      </c>
      <c r="Z943" s="681" t="s">
        <v>1740</v>
      </c>
    </row>
    <row r="944" spans="1:26" s="665" customFormat="1" ht="17.100000000000001" customHeight="1">
      <c r="A944" s="668">
        <f>A939+1</f>
        <v>199</v>
      </c>
      <c r="B944" s="1320" t="s">
        <v>1734</v>
      </c>
      <c r="C944" s="1320"/>
      <c r="D944" s="1320" t="s">
        <v>967</v>
      </c>
      <c r="E944" s="1320"/>
      <c r="F944" s="669" t="s">
        <v>575</v>
      </c>
      <c r="G944" s="670"/>
      <c r="H944" s="670"/>
      <c r="I944" s="670"/>
      <c r="J944" s="670"/>
      <c r="K944" s="670"/>
      <c r="L944" s="670"/>
      <c r="M944" s="670"/>
      <c r="N944" s="670"/>
      <c r="O944" s="671"/>
      <c r="P944" s="672"/>
      <c r="V944" s="681" t="s">
        <v>1741</v>
      </c>
      <c r="W944" s="681" t="s">
        <v>1742</v>
      </c>
      <c r="X944" s="681">
        <v>2</v>
      </c>
      <c r="Y944" s="681">
        <v>20</v>
      </c>
      <c r="Z944" s="681">
        <f>ROUND(X944/Y944/T$947,2)</f>
        <v>0.04</v>
      </c>
    </row>
    <row r="945" spans="1:26" s="665" customFormat="1" ht="17.100000000000001" customHeight="1">
      <c r="A945" s="1316" t="s">
        <v>1719</v>
      </c>
      <c r="B945" s="1317"/>
      <c r="C945" s="1316"/>
      <c r="D945" s="1317"/>
      <c r="E945" s="675">
        <v>7.0000000000000007E-2</v>
      </c>
      <c r="F945" s="676" t="s">
        <v>366</v>
      </c>
      <c r="G945" s="670"/>
      <c r="H945" s="670"/>
      <c r="I945" s="670">
        <f>[53]노임단가!$BK$17</f>
        <v>262580</v>
      </c>
      <c r="J945" s="670">
        <f>INT(E945*I945)</f>
        <v>18380</v>
      </c>
      <c r="K945" s="670"/>
      <c r="L945" s="670"/>
      <c r="M945" s="670">
        <f t="shared" ref="M945:N947" si="107">G945+I945+K945</f>
        <v>262580</v>
      </c>
      <c r="N945" s="670">
        <f t="shared" si="107"/>
        <v>18380</v>
      </c>
      <c r="O945" s="671"/>
      <c r="P945" s="672"/>
      <c r="V945" s="681"/>
      <c r="W945" s="681" t="s">
        <v>248</v>
      </c>
      <c r="X945" s="681">
        <v>1</v>
      </c>
      <c r="Y945" s="681">
        <v>20</v>
      </c>
      <c r="Z945" s="681">
        <f>ROUND(X945/Y945/T$947,2)</f>
        <v>0.02</v>
      </c>
    </row>
    <row r="946" spans="1:26" s="665" customFormat="1" ht="17.100000000000001" customHeight="1">
      <c r="A946" s="1316" t="s">
        <v>248</v>
      </c>
      <c r="B946" s="1317"/>
      <c r="C946" s="1316"/>
      <c r="D946" s="1317"/>
      <c r="E946" s="675">
        <v>7.0000000000000007E-2</v>
      </c>
      <c r="F946" s="676" t="s">
        <v>366</v>
      </c>
      <c r="G946" s="670"/>
      <c r="H946" s="670"/>
      <c r="I946" s="670">
        <f>[53]노임단가!$T$5</f>
        <v>172068</v>
      </c>
      <c r="J946" s="670">
        <f>INT(E946*I946)</f>
        <v>12044</v>
      </c>
      <c r="K946" s="670"/>
      <c r="L946" s="670"/>
      <c r="M946" s="670">
        <f t="shared" si="107"/>
        <v>172068</v>
      </c>
      <c r="N946" s="670">
        <f t="shared" si="107"/>
        <v>12044</v>
      </c>
      <c r="O946" s="707"/>
      <c r="P946" s="672"/>
      <c r="R946" s="665">
        <v>0.21</v>
      </c>
      <c r="S946" s="765">
        <f>ROUND(R946/2.5,4)</f>
        <v>8.4000000000000005E-2</v>
      </c>
      <c r="V946" s="681"/>
      <c r="W946" s="681" t="s">
        <v>1743</v>
      </c>
      <c r="X946" s="681">
        <v>1</v>
      </c>
      <c r="Y946" s="681">
        <f>Y944/8</f>
        <v>2.5</v>
      </c>
      <c r="Z946" s="766">
        <f>ROUND(X946/Y946/T947,3)</f>
        <v>0.16</v>
      </c>
    </row>
    <row r="947" spans="1:26" s="665" customFormat="1" ht="17.100000000000001" customHeight="1">
      <c r="A947" s="1316" t="s">
        <v>1736</v>
      </c>
      <c r="B947" s="1317"/>
      <c r="C947" s="1316" t="s">
        <v>1737</v>
      </c>
      <c r="D947" s="1317"/>
      <c r="E947" s="675">
        <v>0.06</v>
      </c>
      <c r="F947" s="676" t="s">
        <v>672</v>
      </c>
      <c r="G947" s="670"/>
      <c r="H947" s="670"/>
      <c r="I947" s="670"/>
      <c r="J947" s="670"/>
      <c r="K947" s="670">
        <f>J945+J946</f>
        <v>30424</v>
      </c>
      <c r="L947" s="670">
        <f>INT(E947*K947)</f>
        <v>1825</v>
      </c>
      <c r="M947" s="670">
        <f t="shared" si="107"/>
        <v>30424</v>
      </c>
      <c r="N947" s="670">
        <f t="shared" si="107"/>
        <v>1825</v>
      </c>
      <c r="O947" s="707"/>
      <c r="P947" s="672"/>
      <c r="R947" s="665">
        <v>0.16</v>
      </c>
      <c r="S947" s="765">
        <f>ROUND(R947/2.5,4)</f>
        <v>6.4000000000000001E-2</v>
      </c>
      <c r="T947" s="665">
        <f>R947/S947</f>
        <v>2.5</v>
      </c>
      <c r="V947" s="681" t="s">
        <v>1744</v>
      </c>
      <c r="W947" s="681" t="s">
        <v>1742</v>
      </c>
      <c r="X947" s="681">
        <v>2</v>
      </c>
      <c r="Y947" s="681">
        <v>15</v>
      </c>
      <c r="Z947" s="681">
        <f>ROUND(X947/Y947/T$947,2)</f>
        <v>0.05</v>
      </c>
    </row>
    <row r="948" spans="1:26" s="665" customFormat="1" ht="17.100000000000001" customHeight="1">
      <c r="A948" s="1318" t="s">
        <v>1320</v>
      </c>
      <c r="B948" s="1319"/>
      <c r="C948" s="1371"/>
      <c r="D948" s="1372"/>
      <c r="E948" s="677"/>
      <c r="F948" s="676"/>
      <c r="G948" s="670"/>
      <c r="H948" s="670">
        <f>SUM(H945:H947)</f>
        <v>0</v>
      </c>
      <c r="I948" s="670"/>
      <c r="J948" s="670">
        <f>SUM(J945:J947)</f>
        <v>30424</v>
      </c>
      <c r="K948" s="670"/>
      <c r="L948" s="670">
        <f>SUM(L945:L947)</f>
        <v>1825</v>
      </c>
      <c r="M948" s="670"/>
      <c r="N948" s="670">
        <f>SUM(N945:N947)</f>
        <v>32249</v>
      </c>
      <c r="O948" s="671"/>
      <c r="P948" s="672"/>
      <c r="R948" s="665">
        <v>7.0000000000000007E-2</v>
      </c>
      <c r="S948" s="765">
        <f>ROUND(R948/2.5,4)</f>
        <v>2.8000000000000001E-2</v>
      </c>
      <c r="V948" s="681"/>
      <c r="W948" s="681" t="s">
        <v>248</v>
      </c>
      <c r="X948" s="681">
        <v>1</v>
      </c>
      <c r="Y948" s="681">
        <v>15</v>
      </c>
      <c r="Z948" s="681">
        <f>ROUND(X948/Y948/T$947,2)</f>
        <v>0.03</v>
      </c>
    </row>
    <row r="949" spans="1:26" s="665" customFormat="1" ht="17.100000000000001" customHeight="1">
      <c r="A949" s="668">
        <f>A944+1</f>
        <v>200</v>
      </c>
      <c r="B949" s="1320" t="s">
        <v>1734</v>
      </c>
      <c r="C949" s="1320"/>
      <c r="D949" s="1320" t="s">
        <v>969</v>
      </c>
      <c r="E949" s="1320"/>
      <c r="F949" s="669" t="s">
        <v>575</v>
      </c>
      <c r="G949" s="670"/>
      <c r="H949" s="670"/>
      <c r="I949" s="670"/>
      <c r="J949" s="670"/>
      <c r="K949" s="670"/>
      <c r="L949" s="670"/>
      <c r="M949" s="670"/>
      <c r="N949" s="670"/>
      <c r="O949" s="671"/>
      <c r="P949" s="672"/>
      <c r="V949" s="681"/>
      <c r="W949" s="681" t="s">
        <v>1743</v>
      </c>
      <c r="X949" s="681">
        <v>1</v>
      </c>
      <c r="Y949" s="681">
        <f>Y947/8</f>
        <v>1.875</v>
      </c>
      <c r="Z949" s="766">
        <f>ROUND(X949/Y949/T947,3)</f>
        <v>0.21299999999999999</v>
      </c>
    </row>
    <row r="950" spans="1:26" s="665" customFormat="1" ht="17.100000000000001" customHeight="1">
      <c r="A950" s="1316" t="s">
        <v>1719</v>
      </c>
      <c r="B950" s="1317"/>
      <c r="C950" s="1316"/>
      <c r="D950" s="1317"/>
      <c r="E950" s="675">
        <v>0.08</v>
      </c>
      <c r="F950" s="676" t="s">
        <v>366</v>
      </c>
      <c r="G950" s="670"/>
      <c r="H950" s="670"/>
      <c r="I950" s="670">
        <f>[53]노임단가!$BK$17</f>
        <v>262580</v>
      </c>
      <c r="J950" s="670">
        <f>INT(E950*I950)</f>
        <v>21006</v>
      </c>
      <c r="K950" s="670"/>
      <c r="L950" s="670"/>
      <c r="M950" s="670">
        <f t="shared" ref="M950:N952" si="108">G950+I950+K950</f>
        <v>262580</v>
      </c>
      <c r="N950" s="670">
        <f t="shared" si="108"/>
        <v>21006</v>
      </c>
      <c r="O950" s="671"/>
      <c r="P950" s="672"/>
      <c r="S950" s="763"/>
      <c r="V950" s="681" t="s">
        <v>1745</v>
      </c>
      <c r="W950" s="681" t="s">
        <v>1742</v>
      </c>
      <c r="X950" s="681">
        <v>2</v>
      </c>
      <c r="Y950" s="681">
        <v>13</v>
      </c>
      <c r="Z950" s="681">
        <f>ROUND(X950/Y950/T$947,2)</f>
        <v>0.06</v>
      </c>
    </row>
    <row r="951" spans="1:26" s="665" customFormat="1" ht="17.100000000000001" customHeight="1">
      <c r="A951" s="1316" t="s">
        <v>248</v>
      </c>
      <c r="B951" s="1317"/>
      <c r="C951" s="1316"/>
      <c r="D951" s="1317"/>
      <c r="E951" s="675">
        <v>0.08</v>
      </c>
      <c r="F951" s="676" t="s">
        <v>366</v>
      </c>
      <c r="G951" s="670"/>
      <c r="H951" s="670"/>
      <c r="I951" s="670">
        <f>[53]노임단가!$T$5</f>
        <v>172068</v>
      </c>
      <c r="J951" s="670">
        <f>INT(E951*I951)</f>
        <v>13765</v>
      </c>
      <c r="K951" s="670"/>
      <c r="L951" s="670"/>
      <c r="M951" s="670">
        <f t="shared" si="108"/>
        <v>172068</v>
      </c>
      <c r="N951" s="670">
        <f t="shared" si="108"/>
        <v>13765</v>
      </c>
      <c r="O951" s="707"/>
      <c r="P951" s="672"/>
      <c r="V951" s="681"/>
      <c r="W951" s="681" t="s">
        <v>248</v>
      </c>
      <c r="X951" s="681">
        <v>1</v>
      </c>
      <c r="Y951" s="681">
        <v>13</v>
      </c>
      <c r="Z951" s="681">
        <f>ROUND(X951/Y951/T$947,2)</f>
        <v>0.03</v>
      </c>
    </row>
    <row r="952" spans="1:26" s="665" customFormat="1" ht="17.100000000000001" customHeight="1">
      <c r="A952" s="1316" t="s">
        <v>1736</v>
      </c>
      <c r="B952" s="1317"/>
      <c r="C952" s="1316" t="s">
        <v>1737</v>
      </c>
      <c r="D952" s="1317"/>
      <c r="E952" s="675">
        <v>0.06</v>
      </c>
      <c r="F952" s="676" t="s">
        <v>672</v>
      </c>
      <c r="G952" s="670"/>
      <c r="H952" s="670"/>
      <c r="I952" s="670"/>
      <c r="J952" s="670"/>
      <c r="K952" s="670">
        <f>J950+J951</f>
        <v>34771</v>
      </c>
      <c r="L952" s="670">
        <f>INT(E952*K952)</f>
        <v>2086</v>
      </c>
      <c r="M952" s="670">
        <f t="shared" si="108"/>
        <v>34771</v>
      </c>
      <c r="N952" s="670">
        <f t="shared" si="108"/>
        <v>2086</v>
      </c>
      <c r="O952" s="707"/>
      <c r="P952" s="672"/>
      <c r="V952" s="681"/>
      <c r="W952" s="681" t="s">
        <v>1743</v>
      </c>
      <c r="X952" s="681">
        <v>1</v>
      </c>
      <c r="Y952" s="681">
        <f>Y950/8</f>
        <v>1.625</v>
      </c>
      <c r="Z952" s="766">
        <f>ROUND(X952/Y952/T947,3)</f>
        <v>0.246</v>
      </c>
    </row>
    <row r="953" spans="1:26" s="665" customFormat="1" ht="17.100000000000001" customHeight="1">
      <c r="A953" s="1318" t="s">
        <v>1320</v>
      </c>
      <c r="B953" s="1319"/>
      <c r="C953" s="1371"/>
      <c r="D953" s="1372"/>
      <c r="E953" s="677"/>
      <c r="F953" s="676"/>
      <c r="G953" s="670"/>
      <c r="H953" s="670">
        <f>SUM(H950:H952)</f>
        <v>0</v>
      </c>
      <c r="I953" s="670"/>
      <c r="J953" s="670">
        <f>SUM(J950:J952)</f>
        <v>34771</v>
      </c>
      <c r="K953" s="670"/>
      <c r="L953" s="670">
        <f>SUM(L950:L952)</f>
        <v>2086</v>
      </c>
      <c r="M953" s="670"/>
      <c r="N953" s="670">
        <f>SUM(N950:N952)</f>
        <v>36857</v>
      </c>
      <c r="O953" s="671"/>
      <c r="P953" s="672"/>
      <c r="V953" s="681" t="s">
        <v>1746</v>
      </c>
      <c r="W953" s="681" t="s">
        <v>1742</v>
      </c>
      <c r="X953" s="681">
        <v>2</v>
      </c>
      <c r="Y953" s="681">
        <v>11</v>
      </c>
      <c r="Z953" s="681">
        <f>ROUND(X953/Y953/T$947,2)</f>
        <v>7.0000000000000007E-2</v>
      </c>
    </row>
    <row r="954" spans="1:26" s="665" customFormat="1" ht="17.100000000000001" customHeight="1">
      <c r="A954" s="668">
        <f>A949+1</f>
        <v>201</v>
      </c>
      <c r="B954" s="1320" t="s">
        <v>1734</v>
      </c>
      <c r="C954" s="1320"/>
      <c r="D954" s="1320" t="s">
        <v>970</v>
      </c>
      <c r="E954" s="1320"/>
      <c r="F954" s="669" t="s">
        <v>575</v>
      </c>
      <c r="G954" s="670"/>
      <c r="H954" s="670"/>
      <c r="I954" s="670"/>
      <c r="J954" s="670"/>
      <c r="K954" s="670"/>
      <c r="L954" s="670"/>
      <c r="M954" s="670"/>
      <c r="N954" s="670"/>
      <c r="O954" s="671"/>
      <c r="P954" s="672"/>
      <c r="R954" s="665">
        <v>0.26</v>
      </c>
      <c r="S954" s="765">
        <f>ROUND(R954/2.5,4)</f>
        <v>0.104</v>
      </c>
      <c r="V954" s="681"/>
      <c r="W954" s="681" t="s">
        <v>248</v>
      </c>
      <c r="X954" s="681">
        <v>1</v>
      </c>
      <c r="Y954" s="681">
        <v>11</v>
      </c>
      <c r="Z954" s="681">
        <f>ROUND(X954/Y954/T$947,2)</f>
        <v>0.04</v>
      </c>
    </row>
    <row r="955" spans="1:26" s="665" customFormat="1" ht="17.100000000000001" customHeight="1">
      <c r="A955" s="1316" t="s">
        <v>1719</v>
      </c>
      <c r="B955" s="1317"/>
      <c r="C955" s="1316"/>
      <c r="D955" s="1317"/>
      <c r="E955" s="675">
        <v>0.1</v>
      </c>
      <c r="F955" s="676" t="s">
        <v>366</v>
      </c>
      <c r="G955" s="670"/>
      <c r="H955" s="670"/>
      <c r="I955" s="670">
        <f>[53]노임단가!$BK$17</f>
        <v>262580</v>
      </c>
      <c r="J955" s="670">
        <f>INT(E955*I955)</f>
        <v>26258</v>
      </c>
      <c r="K955" s="670"/>
      <c r="L955" s="670"/>
      <c r="M955" s="670">
        <f t="shared" ref="M955:N957" si="109">G955+I955+K955</f>
        <v>262580</v>
      </c>
      <c r="N955" s="670">
        <f t="shared" si="109"/>
        <v>26258</v>
      </c>
      <c r="O955" s="671"/>
      <c r="P955" s="672"/>
      <c r="R955" s="665">
        <v>0.21</v>
      </c>
      <c r="S955" s="765">
        <f>ROUND(R955/2.5,4)</f>
        <v>8.4000000000000005E-2</v>
      </c>
      <c r="V955" s="681"/>
      <c r="W955" s="681" t="s">
        <v>1743</v>
      </c>
      <c r="X955" s="681">
        <v>1</v>
      </c>
      <c r="Y955" s="681">
        <f>Y953/8</f>
        <v>1.375</v>
      </c>
      <c r="Z955" s="766">
        <f>ROUND(X955/Y955/T947,3)</f>
        <v>0.29099999999999998</v>
      </c>
    </row>
    <row r="956" spans="1:26" s="665" customFormat="1" ht="17.100000000000001" customHeight="1">
      <c r="A956" s="1316" t="s">
        <v>248</v>
      </c>
      <c r="B956" s="1317"/>
      <c r="C956" s="1316"/>
      <c r="D956" s="1317"/>
      <c r="E956" s="675">
        <v>0.1</v>
      </c>
      <c r="F956" s="676" t="s">
        <v>366</v>
      </c>
      <c r="G956" s="670"/>
      <c r="H956" s="670"/>
      <c r="I956" s="670">
        <f>[53]노임단가!$T$5</f>
        <v>172068</v>
      </c>
      <c r="J956" s="670">
        <f>INT(E956*I956)</f>
        <v>17206</v>
      </c>
      <c r="K956" s="670"/>
      <c r="L956" s="670"/>
      <c r="M956" s="670">
        <f t="shared" si="109"/>
        <v>172068</v>
      </c>
      <c r="N956" s="670">
        <f t="shared" si="109"/>
        <v>17206</v>
      </c>
      <c r="O956" s="707"/>
      <c r="P956" s="672"/>
      <c r="R956" s="665">
        <v>0.09</v>
      </c>
      <c r="S956" s="765">
        <f>ROUND(R956/2.5,4)</f>
        <v>3.5999999999999997E-2</v>
      </c>
      <c r="V956" s="681" t="s">
        <v>1747</v>
      </c>
      <c r="W956" s="681" t="s">
        <v>1742</v>
      </c>
      <c r="X956" s="681">
        <v>2</v>
      </c>
      <c r="Y956" s="681">
        <v>9</v>
      </c>
      <c r="Z956" s="681">
        <f>ROUND(X956/Y956/T$947,2)</f>
        <v>0.09</v>
      </c>
    </row>
    <row r="957" spans="1:26" s="665" customFormat="1" ht="17.100000000000001" customHeight="1">
      <c r="A957" s="1316" t="s">
        <v>1736</v>
      </c>
      <c r="B957" s="1317"/>
      <c r="C957" s="1316" t="s">
        <v>1737</v>
      </c>
      <c r="D957" s="1317"/>
      <c r="E957" s="675">
        <v>0.06</v>
      </c>
      <c r="F957" s="676" t="s">
        <v>672</v>
      </c>
      <c r="G957" s="670"/>
      <c r="H957" s="670"/>
      <c r="I957" s="670"/>
      <c r="J957" s="670"/>
      <c r="K957" s="670">
        <f>J955+J956</f>
        <v>43464</v>
      </c>
      <c r="L957" s="670">
        <f>INT(E957*K957)</f>
        <v>2607</v>
      </c>
      <c r="M957" s="670">
        <f t="shared" si="109"/>
        <v>43464</v>
      </c>
      <c r="N957" s="670">
        <f t="shared" si="109"/>
        <v>2607</v>
      </c>
      <c r="O957" s="707"/>
      <c r="P957" s="672"/>
      <c r="V957" s="681"/>
      <c r="W957" s="681" t="s">
        <v>248</v>
      </c>
      <c r="X957" s="681">
        <v>1</v>
      </c>
      <c r="Y957" s="681">
        <v>9</v>
      </c>
      <c r="Z957" s="681">
        <f>ROUND(X957/Y957/T$947,2)</f>
        <v>0.04</v>
      </c>
    </row>
    <row r="958" spans="1:26" s="665" customFormat="1" ht="17.100000000000001" customHeight="1">
      <c r="A958" s="1318" t="s">
        <v>1320</v>
      </c>
      <c r="B958" s="1319"/>
      <c r="C958" s="1371"/>
      <c r="D958" s="1372"/>
      <c r="E958" s="677"/>
      <c r="F958" s="676"/>
      <c r="G958" s="670"/>
      <c r="H958" s="670">
        <f>SUM(H955:H957)</f>
        <v>0</v>
      </c>
      <c r="I958" s="670"/>
      <c r="J958" s="670">
        <f>SUM(J955:J957)</f>
        <v>43464</v>
      </c>
      <c r="K958" s="670"/>
      <c r="L958" s="670">
        <f>SUM(L955:L957)</f>
        <v>2607</v>
      </c>
      <c r="M958" s="670"/>
      <c r="N958" s="670">
        <f>SUM(N955:N957)</f>
        <v>46071</v>
      </c>
      <c r="O958" s="671"/>
      <c r="P958" s="672"/>
      <c r="V958" s="681"/>
      <c r="W958" s="681" t="s">
        <v>1743</v>
      </c>
      <c r="X958" s="681">
        <v>1</v>
      </c>
      <c r="Y958" s="681">
        <f>Y956/8</f>
        <v>1.125</v>
      </c>
      <c r="Z958" s="766">
        <f>ROUND(X958/Y958/T$947,3)</f>
        <v>0.35599999999999998</v>
      </c>
    </row>
    <row r="959" spans="1:26" s="665" customFormat="1" ht="17.100000000000001" customHeight="1">
      <c r="A959" s="668">
        <f>A954+1</f>
        <v>202</v>
      </c>
      <c r="B959" s="1320" t="s">
        <v>1734</v>
      </c>
      <c r="C959" s="1320"/>
      <c r="D959" s="1320" t="s">
        <v>1748</v>
      </c>
      <c r="E959" s="1320"/>
      <c r="F959" s="669" t="s">
        <v>575</v>
      </c>
      <c r="G959" s="670"/>
      <c r="H959" s="670"/>
      <c r="I959" s="670"/>
      <c r="J959" s="670"/>
      <c r="K959" s="670"/>
      <c r="L959" s="670"/>
      <c r="M959" s="670"/>
      <c r="N959" s="670"/>
      <c r="O959" s="671"/>
      <c r="P959" s="672"/>
      <c r="V959" s="681" t="s">
        <v>1749</v>
      </c>
      <c r="W959" s="681" t="s">
        <v>1742</v>
      </c>
      <c r="X959" s="681">
        <v>2</v>
      </c>
      <c r="Y959" s="681">
        <v>8</v>
      </c>
      <c r="Z959" s="766">
        <f>ROUND(X959/Y959/T$947,2)</f>
        <v>0.1</v>
      </c>
    </row>
    <row r="960" spans="1:26" s="665" customFormat="1" ht="17.100000000000001" customHeight="1">
      <c r="A960" s="1316" t="s">
        <v>1719</v>
      </c>
      <c r="B960" s="1317"/>
      <c r="C960" s="1316"/>
      <c r="D960" s="1317"/>
      <c r="E960" s="675">
        <v>0.11</v>
      </c>
      <c r="F960" s="676" t="s">
        <v>366</v>
      </c>
      <c r="G960" s="670"/>
      <c r="H960" s="670"/>
      <c r="I960" s="670">
        <f>[53]노임단가!$BK$17</f>
        <v>262580</v>
      </c>
      <c r="J960" s="670">
        <f>INT(E960*I960)</f>
        <v>28883</v>
      </c>
      <c r="K960" s="670"/>
      <c r="L960" s="670"/>
      <c r="M960" s="670">
        <f t="shared" ref="M960:N962" si="110">G960+I960+K960</f>
        <v>262580</v>
      </c>
      <c r="N960" s="670">
        <f t="shared" si="110"/>
        <v>28883</v>
      </c>
      <c r="O960" s="671"/>
      <c r="P960" s="672"/>
      <c r="V960" s="681"/>
      <c r="W960" s="681" t="s">
        <v>248</v>
      </c>
      <c r="X960" s="681">
        <v>1</v>
      </c>
      <c r="Y960" s="681">
        <v>8</v>
      </c>
      <c r="Z960" s="681">
        <f>ROUND(X960/Y960/T$947,2)</f>
        <v>0.05</v>
      </c>
    </row>
    <row r="961" spans="1:26" s="665" customFormat="1" ht="17.100000000000001" customHeight="1">
      <c r="A961" s="1316" t="s">
        <v>248</v>
      </c>
      <c r="B961" s="1317"/>
      <c r="C961" s="1316"/>
      <c r="D961" s="1317"/>
      <c r="E961" s="675">
        <v>0.11</v>
      </c>
      <c r="F961" s="676" t="s">
        <v>366</v>
      </c>
      <c r="G961" s="670"/>
      <c r="H961" s="670"/>
      <c r="I961" s="670">
        <f>[53]노임단가!$T$5</f>
        <v>172068</v>
      </c>
      <c r="J961" s="670">
        <f>INT(E961*I961)</f>
        <v>18927</v>
      </c>
      <c r="K961" s="670"/>
      <c r="L961" s="670"/>
      <c r="M961" s="670">
        <f t="shared" si="110"/>
        <v>172068</v>
      </c>
      <c r="N961" s="670">
        <f t="shared" si="110"/>
        <v>18927</v>
      </c>
      <c r="O961" s="707"/>
      <c r="P961" s="672"/>
      <c r="V961" s="681"/>
      <c r="W961" s="681" t="s">
        <v>1743</v>
      </c>
      <c r="X961" s="681">
        <v>1</v>
      </c>
      <c r="Y961" s="681">
        <f>Y959/8</f>
        <v>1</v>
      </c>
      <c r="Z961" s="766">
        <f>ROUND(X961/Y961/T$947,3)</f>
        <v>0.4</v>
      </c>
    </row>
    <row r="962" spans="1:26" s="665" customFormat="1" ht="17.100000000000001" customHeight="1">
      <c r="A962" s="1316" t="s">
        <v>1736</v>
      </c>
      <c r="B962" s="1317"/>
      <c r="C962" s="1316" t="s">
        <v>1737</v>
      </c>
      <c r="D962" s="1317"/>
      <c r="E962" s="675">
        <v>0.06</v>
      </c>
      <c r="F962" s="676" t="s">
        <v>672</v>
      </c>
      <c r="G962" s="670"/>
      <c r="H962" s="670"/>
      <c r="I962" s="670"/>
      <c r="J962" s="670"/>
      <c r="K962" s="670">
        <f>J960+J961</f>
        <v>47810</v>
      </c>
      <c r="L962" s="670">
        <f>INT(E962*K962)</f>
        <v>2868</v>
      </c>
      <c r="M962" s="670">
        <f t="shared" si="110"/>
        <v>47810</v>
      </c>
      <c r="N962" s="670">
        <f t="shared" si="110"/>
        <v>2868</v>
      </c>
      <c r="O962" s="707"/>
      <c r="P962" s="672"/>
      <c r="R962" s="665">
        <v>0.36</v>
      </c>
      <c r="S962" s="765">
        <f>ROUND(R962/2.5,4)</f>
        <v>0.14399999999999999</v>
      </c>
      <c r="V962" s="681" t="s">
        <v>1750</v>
      </c>
      <c r="W962" s="681" t="s">
        <v>1742</v>
      </c>
      <c r="X962" s="681">
        <v>2</v>
      </c>
      <c r="Y962" s="681">
        <v>6.5</v>
      </c>
      <c r="Z962" s="681">
        <f>ROUND(X962/Y962/T$947,2)</f>
        <v>0.12</v>
      </c>
    </row>
    <row r="963" spans="1:26" s="665" customFormat="1" ht="17.100000000000001" customHeight="1">
      <c r="A963" s="1318" t="s">
        <v>1320</v>
      </c>
      <c r="B963" s="1319"/>
      <c r="C963" s="1371"/>
      <c r="D963" s="1372"/>
      <c r="E963" s="677"/>
      <c r="F963" s="676"/>
      <c r="G963" s="670"/>
      <c r="H963" s="670">
        <f>SUM(H960:H962)</f>
        <v>0</v>
      </c>
      <c r="I963" s="670"/>
      <c r="J963" s="670">
        <f>SUM(J960:J962)</f>
        <v>47810</v>
      </c>
      <c r="K963" s="670"/>
      <c r="L963" s="670">
        <f>SUM(L960:L962)</f>
        <v>2868</v>
      </c>
      <c r="M963" s="670"/>
      <c r="N963" s="670">
        <f>SUM(N960:N962)</f>
        <v>50678</v>
      </c>
      <c r="O963" s="671"/>
      <c r="P963" s="672"/>
      <c r="R963" s="665">
        <v>0.31</v>
      </c>
      <c r="S963" s="765">
        <f>ROUND(R963/2.5,4)</f>
        <v>0.124</v>
      </c>
      <c r="V963" s="681"/>
      <c r="W963" s="681" t="s">
        <v>248</v>
      </c>
      <c r="X963" s="681">
        <v>1</v>
      </c>
      <c r="Y963" s="681">
        <v>6.5</v>
      </c>
      <c r="Z963" s="681">
        <f>ROUND(X963/Y963/T$947,2)</f>
        <v>0.06</v>
      </c>
    </row>
    <row r="964" spans="1:26" s="665" customFormat="1" ht="17.100000000000001" customHeight="1">
      <c r="A964" s="668">
        <f>A959+1</f>
        <v>203</v>
      </c>
      <c r="B964" s="1320" t="s">
        <v>1734</v>
      </c>
      <c r="C964" s="1320"/>
      <c r="D964" s="1320" t="s">
        <v>1751</v>
      </c>
      <c r="E964" s="1320"/>
      <c r="F964" s="669" t="s">
        <v>575</v>
      </c>
      <c r="G964" s="670"/>
      <c r="H964" s="670"/>
      <c r="I964" s="670"/>
      <c r="J964" s="670"/>
      <c r="K964" s="670"/>
      <c r="L964" s="670"/>
      <c r="M964" s="670"/>
      <c r="N964" s="670"/>
      <c r="O964" s="671"/>
      <c r="P964" s="672"/>
      <c r="R964" s="665">
        <v>0.13</v>
      </c>
      <c r="S964" s="765">
        <f>ROUND(R964/2.5,4)</f>
        <v>5.1999999999999998E-2</v>
      </c>
      <c r="V964" s="681"/>
      <c r="W964" s="681" t="s">
        <v>1743</v>
      </c>
      <c r="X964" s="681">
        <v>1</v>
      </c>
      <c r="Y964" s="681">
        <f>Y962/8</f>
        <v>0.8125</v>
      </c>
      <c r="Z964" s="766">
        <f>ROUND(X964/Y964/T$947,3)</f>
        <v>0.49199999999999999</v>
      </c>
    </row>
    <row r="965" spans="1:26" s="665" customFormat="1" ht="17.100000000000001" customHeight="1">
      <c r="A965" s="1316" t="s">
        <v>1719</v>
      </c>
      <c r="B965" s="1317"/>
      <c r="C965" s="1316"/>
      <c r="D965" s="1317"/>
      <c r="E965" s="675">
        <v>0.13</v>
      </c>
      <c r="F965" s="676" t="s">
        <v>366</v>
      </c>
      <c r="G965" s="670"/>
      <c r="H965" s="670"/>
      <c r="I965" s="670">
        <f>[53]노임단가!$BK$17</f>
        <v>262580</v>
      </c>
      <c r="J965" s="670">
        <f>INT(E965*I965)</f>
        <v>34135</v>
      </c>
      <c r="K965" s="670"/>
      <c r="L965" s="670"/>
      <c r="M965" s="670">
        <f t="shared" ref="M965:N967" si="111">G965+I965+K965</f>
        <v>262580</v>
      </c>
      <c r="N965" s="670">
        <f t="shared" si="111"/>
        <v>34135</v>
      </c>
      <c r="O965" s="671"/>
      <c r="P965" s="672"/>
      <c r="V965" s="681" t="s">
        <v>1752</v>
      </c>
      <c r="W965" s="681" t="s">
        <v>1742</v>
      </c>
      <c r="X965" s="681">
        <v>2</v>
      </c>
      <c r="Y965" s="681">
        <v>5.5</v>
      </c>
      <c r="Z965" s="681">
        <f>ROUND(X965/Y965/T$947,2)</f>
        <v>0.15</v>
      </c>
    </row>
    <row r="966" spans="1:26" s="665" customFormat="1" ht="17.100000000000001" customHeight="1">
      <c r="A966" s="1316" t="s">
        <v>248</v>
      </c>
      <c r="B966" s="1317"/>
      <c r="C966" s="1316"/>
      <c r="D966" s="1317"/>
      <c r="E966" s="675">
        <v>0.13</v>
      </c>
      <c r="F966" s="676" t="s">
        <v>366</v>
      </c>
      <c r="G966" s="670"/>
      <c r="H966" s="670"/>
      <c r="I966" s="670">
        <f>[53]노임단가!$T$5</f>
        <v>172068</v>
      </c>
      <c r="J966" s="670">
        <f>INT(E966*I966)</f>
        <v>22368</v>
      </c>
      <c r="K966" s="670"/>
      <c r="L966" s="670"/>
      <c r="M966" s="670">
        <f t="shared" si="111"/>
        <v>172068</v>
      </c>
      <c r="N966" s="670">
        <f t="shared" si="111"/>
        <v>22368</v>
      </c>
      <c r="O966" s="707"/>
      <c r="P966" s="672"/>
      <c r="V966" s="681"/>
      <c r="W966" s="681" t="s">
        <v>248</v>
      </c>
      <c r="X966" s="681">
        <v>1</v>
      </c>
      <c r="Y966" s="681">
        <v>5.5</v>
      </c>
      <c r="Z966" s="681">
        <f>ROUND(X966/Y966/T$947,2)</f>
        <v>7.0000000000000007E-2</v>
      </c>
    </row>
    <row r="967" spans="1:26" s="665" customFormat="1" ht="17.100000000000001" customHeight="1">
      <c r="A967" s="1316" t="s">
        <v>1736</v>
      </c>
      <c r="B967" s="1317"/>
      <c r="C967" s="1316" t="s">
        <v>1737</v>
      </c>
      <c r="D967" s="1317"/>
      <c r="E967" s="675">
        <v>0.06</v>
      </c>
      <c r="F967" s="676" t="s">
        <v>672</v>
      </c>
      <c r="G967" s="670"/>
      <c r="H967" s="670"/>
      <c r="I967" s="670"/>
      <c r="J967" s="670"/>
      <c r="K967" s="670">
        <f>J965+J966</f>
        <v>56503</v>
      </c>
      <c r="L967" s="670">
        <f>INT(E967*K967)</f>
        <v>3390</v>
      </c>
      <c r="M967" s="670">
        <f t="shared" si="111"/>
        <v>56503</v>
      </c>
      <c r="N967" s="670">
        <f t="shared" si="111"/>
        <v>3390</v>
      </c>
      <c r="O967" s="707"/>
      <c r="P967" s="672"/>
      <c r="V967" s="681"/>
      <c r="W967" s="681" t="s">
        <v>1743</v>
      </c>
      <c r="X967" s="681">
        <v>1</v>
      </c>
      <c r="Y967" s="681">
        <f>Y965/8</f>
        <v>0.6875</v>
      </c>
      <c r="Z967" s="766">
        <f>ROUND(X967/Y967/T$947,3)</f>
        <v>0.58199999999999996</v>
      </c>
    </row>
    <row r="968" spans="1:26" s="665" customFormat="1" ht="17.100000000000001" customHeight="1">
      <c r="A968" s="1318" t="s">
        <v>1320</v>
      </c>
      <c r="B968" s="1319"/>
      <c r="C968" s="1371"/>
      <c r="D968" s="1372"/>
      <c r="E968" s="677"/>
      <c r="F968" s="676"/>
      <c r="G968" s="670"/>
      <c r="H968" s="670">
        <f>SUM(H965:H967)</f>
        <v>0</v>
      </c>
      <c r="I968" s="670"/>
      <c r="J968" s="670">
        <f>SUM(J965:J967)</f>
        <v>56503</v>
      </c>
      <c r="K968" s="670"/>
      <c r="L968" s="670">
        <f>SUM(L965:L967)</f>
        <v>3390</v>
      </c>
      <c r="M968" s="670"/>
      <c r="N968" s="670">
        <f>SUM(N965:N967)</f>
        <v>59893</v>
      </c>
      <c r="O968" s="671"/>
      <c r="P968" s="672"/>
      <c r="V968" s="681" t="s">
        <v>1753</v>
      </c>
      <c r="W968" s="681" t="s">
        <v>1742</v>
      </c>
      <c r="X968" s="681">
        <v>2</v>
      </c>
      <c r="Y968" s="681">
        <v>5</v>
      </c>
      <c r="Z968" s="681">
        <f>ROUND(X968/Y968/T$947,2)</f>
        <v>0.16</v>
      </c>
    </row>
    <row r="969" spans="1:26" s="665" customFormat="1" ht="17.100000000000001" customHeight="1">
      <c r="A969" s="668">
        <f>A964+1</f>
        <v>204</v>
      </c>
      <c r="B969" s="1320" t="s">
        <v>1734</v>
      </c>
      <c r="C969" s="1320"/>
      <c r="D969" s="1320" t="s">
        <v>1754</v>
      </c>
      <c r="E969" s="1320"/>
      <c r="F969" s="669" t="s">
        <v>575</v>
      </c>
      <c r="G969" s="670"/>
      <c r="H969" s="670"/>
      <c r="I969" s="670"/>
      <c r="J969" s="670"/>
      <c r="K969" s="670"/>
      <c r="L969" s="670"/>
      <c r="M969" s="670"/>
      <c r="N969" s="670"/>
      <c r="O969" s="671"/>
      <c r="P969" s="672"/>
      <c r="V969" s="681"/>
      <c r="W969" s="681" t="s">
        <v>248</v>
      </c>
      <c r="X969" s="681">
        <v>1</v>
      </c>
      <c r="Y969" s="681">
        <v>5</v>
      </c>
      <c r="Z969" s="681">
        <f>ROUND(X969/Y969/T$947,2)</f>
        <v>0.08</v>
      </c>
    </row>
    <row r="970" spans="1:26" s="665" customFormat="1" ht="17.100000000000001" customHeight="1">
      <c r="A970" s="1316" t="s">
        <v>1719</v>
      </c>
      <c r="B970" s="1317"/>
      <c r="C970" s="1316"/>
      <c r="D970" s="1317"/>
      <c r="E970" s="675">
        <v>0.16</v>
      </c>
      <c r="F970" s="676" t="s">
        <v>366</v>
      </c>
      <c r="G970" s="670"/>
      <c r="H970" s="670"/>
      <c r="I970" s="670">
        <f>[53]노임단가!$BK$17</f>
        <v>262580</v>
      </c>
      <c r="J970" s="670">
        <f>INT(E970*I970)</f>
        <v>42012</v>
      </c>
      <c r="K970" s="670"/>
      <c r="L970" s="670"/>
      <c r="M970" s="670">
        <f t="shared" ref="M970:N972" si="112">G970+I970+K970</f>
        <v>262580</v>
      </c>
      <c r="N970" s="670">
        <f t="shared" si="112"/>
        <v>42012</v>
      </c>
      <c r="O970" s="671"/>
      <c r="P970" s="672"/>
      <c r="R970" s="665">
        <v>0.41</v>
      </c>
      <c r="S970" s="765">
        <f>ROUND(R970/2.5,4)</f>
        <v>0.16400000000000001</v>
      </c>
      <c r="V970" s="681"/>
      <c r="W970" s="681" t="s">
        <v>1743</v>
      </c>
      <c r="X970" s="681">
        <v>1</v>
      </c>
      <c r="Y970" s="681">
        <f>Y968/8</f>
        <v>0.625</v>
      </c>
      <c r="Z970" s="766">
        <f>ROUND(X970/Y970/T$947,3)</f>
        <v>0.64</v>
      </c>
    </row>
    <row r="971" spans="1:26" s="665" customFormat="1" ht="17.100000000000001" customHeight="1">
      <c r="A971" s="1316" t="s">
        <v>248</v>
      </c>
      <c r="B971" s="1317"/>
      <c r="C971" s="1316"/>
      <c r="D971" s="1317"/>
      <c r="E971" s="675">
        <v>0.16</v>
      </c>
      <c r="F971" s="676" t="s">
        <v>366</v>
      </c>
      <c r="G971" s="670"/>
      <c r="H971" s="670"/>
      <c r="I971" s="670">
        <f>[53]노임단가!$T$5</f>
        <v>172068</v>
      </c>
      <c r="J971" s="670">
        <f>INT(E971*I971)</f>
        <v>27530</v>
      </c>
      <c r="K971" s="670"/>
      <c r="L971" s="670"/>
      <c r="M971" s="670">
        <f t="shared" si="112"/>
        <v>172068</v>
      </c>
      <c r="N971" s="670">
        <f t="shared" si="112"/>
        <v>27530</v>
      </c>
      <c r="O971" s="707"/>
      <c r="P971" s="672"/>
      <c r="R971" s="665">
        <v>0.36</v>
      </c>
      <c r="S971" s="765">
        <f>ROUND(R971/2.5,4)</f>
        <v>0.14399999999999999</v>
      </c>
      <c r="V971" s="681" t="s">
        <v>1755</v>
      </c>
      <c r="W971" s="681" t="s">
        <v>1742</v>
      </c>
      <c r="X971" s="681">
        <v>3</v>
      </c>
      <c r="Y971" s="681">
        <v>5</v>
      </c>
      <c r="Z971" s="681">
        <f>ROUND(X971/Y971/T$947,2)</f>
        <v>0.24</v>
      </c>
    </row>
    <row r="972" spans="1:26" s="665" customFormat="1" ht="17.100000000000001" customHeight="1">
      <c r="A972" s="1316" t="s">
        <v>1736</v>
      </c>
      <c r="B972" s="1317"/>
      <c r="C972" s="1316" t="s">
        <v>1737</v>
      </c>
      <c r="D972" s="1317"/>
      <c r="E972" s="675">
        <v>0.06</v>
      </c>
      <c r="F972" s="676" t="s">
        <v>672</v>
      </c>
      <c r="G972" s="670"/>
      <c r="H972" s="670"/>
      <c r="I972" s="670"/>
      <c r="J972" s="670"/>
      <c r="K972" s="670">
        <f>J970+J971</f>
        <v>69542</v>
      </c>
      <c r="L972" s="670">
        <f>INT(E972*K972)</f>
        <v>4172</v>
      </c>
      <c r="M972" s="670">
        <f t="shared" si="112"/>
        <v>69542</v>
      </c>
      <c r="N972" s="670">
        <f t="shared" si="112"/>
        <v>4172</v>
      </c>
      <c r="O972" s="707"/>
      <c r="P972" s="672"/>
      <c r="R972" s="665">
        <v>0.15</v>
      </c>
      <c r="S972" s="765">
        <f>ROUND(R972/2.5,4)</f>
        <v>0.06</v>
      </c>
      <c r="V972" s="681"/>
      <c r="W972" s="681" t="s">
        <v>248</v>
      </c>
      <c r="X972" s="681">
        <v>1</v>
      </c>
      <c r="Y972" s="681">
        <v>5</v>
      </c>
      <c r="Z972" s="681">
        <f>ROUND(X972/Y972/T$947,2)</f>
        <v>0.08</v>
      </c>
    </row>
    <row r="973" spans="1:26" s="665" customFormat="1" ht="17.100000000000001" customHeight="1">
      <c r="A973" s="1318" t="s">
        <v>1320</v>
      </c>
      <c r="B973" s="1319"/>
      <c r="C973" s="1371"/>
      <c r="D973" s="1372"/>
      <c r="E973" s="677"/>
      <c r="F973" s="676"/>
      <c r="G973" s="670"/>
      <c r="H973" s="670">
        <f>SUM(H970:H972)</f>
        <v>0</v>
      </c>
      <c r="I973" s="670"/>
      <c r="J973" s="670">
        <f>SUM(J970:J972)</f>
        <v>69542</v>
      </c>
      <c r="K973" s="670"/>
      <c r="L973" s="670">
        <f>SUM(L970:L972)</f>
        <v>4172</v>
      </c>
      <c r="M973" s="670"/>
      <c r="N973" s="670">
        <f>SUM(N970:N972)</f>
        <v>73714</v>
      </c>
      <c r="O973" s="671"/>
      <c r="P973" s="672"/>
      <c r="V973" s="681"/>
      <c r="W973" s="681" t="s">
        <v>1743</v>
      </c>
      <c r="X973" s="681">
        <v>1</v>
      </c>
      <c r="Y973" s="681">
        <f>Y971/8</f>
        <v>0.625</v>
      </c>
      <c r="Z973" s="766">
        <f>ROUND(X973/Y973/T$947,3)</f>
        <v>0.64</v>
      </c>
    </row>
    <row r="974" spans="1:26" s="665" customFormat="1" ht="17.100000000000001" customHeight="1">
      <c r="A974" s="668">
        <f>A969+1</f>
        <v>205</v>
      </c>
      <c r="B974" s="1320" t="s">
        <v>1756</v>
      </c>
      <c r="C974" s="1320"/>
      <c r="D974" s="1320" t="s">
        <v>1757</v>
      </c>
      <c r="E974" s="1320"/>
      <c r="F974" s="669" t="s">
        <v>272</v>
      </c>
      <c r="G974" s="670"/>
      <c r="H974" s="670"/>
      <c r="I974" s="670"/>
      <c r="J974" s="670"/>
      <c r="K974" s="670"/>
      <c r="L974" s="670"/>
      <c r="M974" s="670"/>
      <c r="N974" s="670"/>
      <c r="O974" s="671" t="s">
        <v>1562</v>
      </c>
      <c r="P974" s="752" t="s">
        <v>1317</v>
      </c>
      <c r="Q974" s="767" t="s">
        <v>1738</v>
      </c>
      <c r="V974" s="681" t="s">
        <v>1758</v>
      </c>
      <c r="W974" s="681" t="s">
        <v>1742</v>
      </c>
      <c r="X974" s="681">
        <v>3</v>
      </c>
      <c r="Y974" s="681">
        <v>5</v>
      </c>
      <c r="Z974" s="681">
        <f>ROUND(X974/Y974/T$947,2)</f>
        <v>0.24</v>
      </c>
    </row>
    <row r="975" spans="1:26" s="665" customFormat="1" ht="17.100000000000001" customHeight="1">
      <c r="A975" s="1316" t="s">
        <v>1759</v>
      </c>
      <c r="B975" s="1317"/>
      <c r="C975" s="1316" t="s">
        <v>1735</v>
      </c>
      <c r="D975" s="1317"/>
      <c r="E975" s="675">
        <v>1.03</v>
      </c>
      <c r="F975" s="676" t="s">
        <v>272</v>
      </c>
      <c r="G975" s="670"/>
      <c r="H975" s="670"/>
      <c r="I975" s="670"/>
      <c r="J975" s="670"/>
      <c r="K975" s="670"/>
      <c r="L975" s="670"/>
      <c r="M975" s="670"/>
      <c r="N975" s="670"/>
      <c r="O975" s="671"/>
      <c r="P975" s="672"/>
      <c r="V975" s="681"/>
      <c r="W975" s="681" t="s">
        <v>248</v>
      </c>
      <c r="X975" s="681">
        <v>1</v>
      </c>
      <c r="Y975" s="681">
        <v>5</v>
      </c>
      <c r="Z975" s="681">
        <f>ROUND(X975/Y975/T$947,2)</f>
        <v>0.08</v>
      </c>
    </row>
    <row r="976" spans="1:26" s="665" customFormat="1" ht="17.100000000000001" customHeight="1">
      <c r="A976" s="1316" t="s">
        <v>1760</v>
      </c>
      <c r="B976" s="1317"/>
      <c r="C976" s="1321" t="s">
        <v>1761</v>
      </c>
      <c r="D976" s="1317"/>
      <c r="E976" s="675">
        <v>1.03</v>
      </c>
      <c r="F976" s="676" t="s">
        <v>272</v>
      </c>
      <c r="G976" s="670"/>
      <c r="H976" s="670"/>
      <c r="I976" s="670"/>
      <c r="J976" s="670"/>
      <c r="K976" s="670">
        <f>INT(0-250*(0-[53]운반공!$BY$549)/300)</f>
        <v>332</v>
      </c>
      <c r="L976" s="670">
        <f>INT(E976*K976)</f>
        <v>341</v>
      </c>
      <c r="M976" s="670">
        <f t="shared" ref="M976:N978" si="113">G976+I976+K976</f>
        <v>332</v>
      </c>
      <c r="N976" s="670">
        <f t="shared" si="113"/>
        <v>341</v>
      </c>
      <c r="O976" s="671"/>
      <c r="P976" s="672"/>
      <c r="V976" s="681"/>
      <c r="W976" s="681" t="s">
        <v>1743</v>
      </c>
      <c r="X976" s="681">
        <v>1</v>
      </c>
      <c r="Y976" s="681">
        <f>Y974/8</f>
        <v>0.625</v>
      </c>
      <c r="Z976" s="766">
        <f>ROUND(X976/Y976/T$947,3)</f>
        <v>0.64</v>
      </c>
    </row>
    <row r="977" spans="1:26" s="665" customFormat="1" ht="17.100000000000001" customHeight="1">
      <c r="A977" s="1316" t="s">
        <v>1199</v>
      </c>
      <c r="B977" s="1317"/>
      <c r="C977" s="1316" t="s">
        <v>1185</v>
      </c>
      <c r="D977" s="1317"/>
      <c r="E977" s="675">
        <f>Z946</f>
        <v>0.16</v>
      </c>
      <c r="F977" s="676" t="s">
        <v>418</v>
      </c>
      <c r="G977" s="670" t="e">
        <f>#REF!</f>
        <v>#REF!</v>
      </c>
      <c r="H977" s="670" t="e">
        <f>INT(E977*G977)</f>
        <v>#REF!</v>
      </c>
      <c r="I977" s="670" t="e">
        <f>#REF!</f>
        <v>#REF!</v>
      </c>
      <c r="J977" s="670" t="e">
        <f>INT(E977*I977)</f>
        <v>#REF!</v>
      </c>
      <c r="K977" s="670" t="e">
        <f>#REF!</f>
        <v>#REF!</v>
      </c>
      <c r="L977" s="670" t="e">
        <f>INT(E977*K977)</f>
        <v>#REF!</v>
      </c>
      <c r="M977" s="670" t="e">
        <f t="shared" si="113"/>
        <v>#REF!</v>
      </c>
      <c r="N977" s="670" t="e">
        <f t="shared" si="113"/>
        <v>#REF!</v>
      </c>
      <c r="O977" s="671"/>
      <c r="P977" s="672"/>
      <c r="V977" s="681" t="s">
        <v>1762</v>
      </c>
      <c r="W977" s="681" t="s">
        <v>1742</v>
      </c>
      <c r="X977" s="681">
        <v>3</v>
      </c>
      <c r="Y977" s="681">
        <v>4</v>
      </c>
      <c r="Z977" s="681">
        <f>ROUND(X977/Y977/T$947,2)</f>
        <v>0.3</v>
      </c>
    </row>
    <row r="978" spans="1:26" s="665" customFormat="1" ht="17.100000000000001" customHeight="1">
      <c r="A978" s="1316" t="s">
        <v>1719</v>
      </c>
      <c r="B978" s="1317"/>
      <c r="C978" s="1316"/>
      <c r="D978" s="1317"/>
      <c r="E978" s="675">
        <f>Z944</f>
        <v>0.04</v>
      </c>
      <c r="F978" s="676" t="s">
        <v>366</v>
      </c>
      <c r="G978" s="670"/>
      <c r="H978" s="670"/>
      <c r="I978" s="670">
        <f>[53]노임단가!$BK$17</f>
        <v>262580</v>
      </c>
      <c r="J978" s="670">
        <f>INT(E978*I978)</f>
        <v>10503</v>
      </c>
      <c r="K978" s="670"/>
      <c r="L978" s="670"/>
      <c r="M978" s="670">
        <f t="shared" si="113"/>
        <v>262580</v>
      </c>
      <c r="N978" s="670">
        <f t="shared" si="113"/>
        <v>10503</v>
      </c>
      <c r="O978" s="671"/>
      <c r="P978" s="672"/>
      <c r="R978" s="665">
        <v>0.46</v>
      </c>
      <c r="S978" s="765">
        <f>ROUND(R978/2.5,4)</f>
        <v>0.184</v>
      </c>
      <c r="V978" s="681"/>
      <c r="W978" s="681" t="s">
        <v>248</v>
      </c>
      <c r="X978" s="681">
        <v>1</v>
      </c>
      <c r="Y978" s="681">
        <v>4</v>
      </c>
      <c r="Z978" s="681">
        <f>ROUND(X978/Y978/T$947,2)</f>
        <v>0.1</v>
      </c>
    </row>
    <row r="979" spans="1:26" s="665" customFormat="1" ht="17.100000000000001" customHeight="1">
      <c r="A979" s="1316" t="s">
        <v>248</v>
      </c>
      <c r="B979" s="1317"/>
      <c r="C979" s="1316"/>
      <c r="D979" s="1317"/>
      <c r="E979" s="675">
        <f>Z945</f>
        <v>0.02</v>
      </c>
      <c r="F979" s="676" t="s">
        <v>366</v>
      </c>
      <c r="G979" s="670"/>
      <c r="H979" s="670"/>
      <c r="I979" s="670">
        <f>[53]노임단가!$T$5</f>
        <v>172068</v>
      </c>
      <c r="J979" s="670">
        <f>INT(E979*I979)</f>
        <v>3441</v>
      </c>
      <c r="K979" s="670"/>
      <c r="L979" s="670"/>
      <c r="M979" s="670">
        <f>G979+I979+K979</f>
        <v>172068</v>
      </c>
      <c r="N979" s="670">
        <f>H979+J979+L979</f>
        <v>3441</v>
      </c>
      <c r="O979" s="671"/>
      <c r="P979" s="672"/>
      <c r="R979" s="665">
        <v>0.41</v>
      </c>
      <c r="S979" s="765">
        <f>ROUND(R979/2.5,4)</f>
        <v>0.16400000000000001</v>
      </c>
      <c r="V979" s="681"/>
      <c r="W979" s="681" t="s">
        <v>1743</v>
      </c>
      <c r="X979" s="681">
        <v>1</v>
      </c>
      <c r="Y979" s="681">
        <f>Y977/8</f>
        <v>0.5</v>
      </c>
      <c r="Z979" s="766">
        <f>ROUND(X979/Y979/T$947,3)</f>
        <v>0.8</v>
      </c>
    </row>
    <row r="980" spans="1:26" s="665" customFormat="1" ht="17.100000000000001" customHeight="1">
      <c r="A980" s="1316" t="s">
        <v>1763</v>
      </c>
      <c r="B980" s="1317"/>
      <c r="C980" s="1316" t="s">
        <v>1764</v>
      </c>
      <c r="D980" s="1317"/>
      <c r="E980" s="675">
        <v>0.02</v>
      </c>
      <c r="F980" s="676" t="s">
        <v>672</v>
      </c>
      <c r="G980" s="670">
        <f>J979+J978</f>
        <v>13944</v>
      </c>
      <c r="H980" s="670">
        <f>INT(E980*G980)</f>
        <v>278</v>
      </c>
      <c r="I980" s="670"/>
      <c r="J980" s="670"/>
      <c r="K980" s="681"/>
      <c r="L980" s="681"/>
      <c r="M980" s="670">
        <f>G980+I980+K980</f>
        <v>13944</v>
      </c>
      <c r="N980" s="670">
        <f>H980+J980+L980</f>
        <v>278</v>
      </c>
      <c r="O980" s="671"/>
      <c r="P980" s="672"/>
      <c r="R980" s="665">
        <v>0.17</v>
      </c>
      <c r="S980" s="765">
        <f>ROUND(R980/2.5,4)</f>
        <v>6.8000000000000005E-2</v>
      </c>
      <c r="V980" s="681" t="s">
        <v>1765</v>
      </c>
      <c r="W980" s="681" t="s">
        <v>1742</v>
      </c>
      <c r="X980" s="681">
        <v>3</v>
      </c>
      <c r="Y980" s="681">
        <v>3.5</v>
      </c>
      <c r="Z980" s="681">
        <f>ROUND(X980/Y980/T$947,2)</f>
        <v>0.34</v>
      </c>
    </row>
    <row r="981" spans="1:26" s="665" customFormat="1" ht="17.100000000000001" customHeight="1">
      <c r="A981" s="1318" t="s">
        <v>1320</v>
      </c>
      <c r="B981" s="1319"/>
      <c r="C981" s="1371"/>
      <c r="D981" s="1372"/>
      <c r="E981" s="677"/>
      <c r="F981" s="676"/>
      <c r="G981" s="670"/>
      <c r="H981" s="670" t="e">
        <f>SUM(H975:H980)</f>
        <v>#REF!</v>
      </c>
      <c r="I981" s="670"/>
      <c r="J981" s="670" t="e">
        <f>SUM(J975:J980)</f>
        <v>#REF!</v>
      </c>
      <c r="K981" s="670"/>
      <c r="L981" s="670" t="e">
        <f>SUM(L975:L980)</f>
        <v>#REF!</v>
      </c>
      <c r="M981" s="670"/>
      <c r="N981" s="670" t="e">
        <f>SUM(N975:N980)</f>
        <v>#REF!</v>
      </c>
      <c r="O981" s="671"/>
      <c r="P981" s="672"/>
      <c r="V981" s="681"/>
      <c r="W981" s="681" t="s">
        <v>248</v>
      </c>
      <c r="X981" s="681">
        <v>1</v>
      </c>
      <c r="Y981" s="681">
        <v>3.5</v>
      </c>
      <c r="Z981" s="681">
        <f>ROUND(X981/Y981/T$947,2)</f>
        <v>0.11</v>
      </c>
    </row>
    <row r="982" spans="1:26" s="665" customFormat="1" ht="17.100000000000001" customHeight="1">
      <c r="A982" s="668">
        <f>A974+1</f>
        <v>206</v>
      </c>
      <c r="B982" s="1320" t="s">
        <v>1756</v>
      </c>
      <c r="C982" s="1320"/>
      <c r="D982" s="1320" t="s">
        <v>1766</v>
      </c>
      <c r="E982" s="1320"/>
      <c r="F982" s="669" t="s">
        <v>272</v>
      </c>
      <c r="G982" s="670"/>
      <c r="H982" s="670"/>
      <c r="I982" s="670"/>
      <c r="J982" s="670"/>
      <c r="K982" s="670"/>
      <c r="L982" s="670"/>
      <c r="M982" s="670"/>
      <c r="N982" s="670"/>
      <c r="O982" s="671" t="s">
        <v>1562</v>
      </c>
      <c r="P982" s="672" t="s">
        <v>1323</v>
      </c>
      <c r="V982" s="681"/>
      <c r="W982" s="681" t="s">
        <v>1743</v>
      </c>
      <c r="X982" s="681">
        <v>1</v>
      </c>
      <c r="Y982" s="681">
        <f>Y980/8</f>
        <v>0.4375</v>
      </c>
      <c r="Z982" s="766">
        <f>ROUND(X982/Y982/T$947,3)</f>
        <v>0.91400000000000003</v>
      </c>
    </row>
    <row r="983" spans="1:26" s="665" customFormat="1" ht="17.100000000000001" customHeight="1">
      <c r="A983" s="1316" t="s">
        <v>1759</v>
      </c>
      <c r="B983" s="1317"/>
      <c r="C983" s="1316" t="s">
        <v>963</v>
      </c>
      <c r="D983" s="1317"/>
      <c r="E983" s="675">
        <v>1.03</v>
      </c>
      <c r="F983" s="676" t="s">
        <v>272</v>
      </c>
      <c r="G983" s="670"/>
      <c r="H983" s="670"/>
      <c r="I983" s="670"/>
      <c r="J983" s="670"/>
      <c r="K983" s="670"/>
      <c r="L983" s="670"/>
      <c r="M983" s="670"/>
      <c r="N983" s="670"/>
      <c r="O983" s="671"/>
      <c r="P983" s="672"/>
    </row>
    <row r="984" spans="1:26" s="665" customFormat="1" ht="17.100000000000001" customHeight="1">
      <c r="A984" s="1316" t="s">
        <v>1760</v>
      </c>
      <c r="B984" s="1317"/>
      <c r="C984" s="1321" t="s">
        <v>1761</v>
      </c>
      <c r="D984" s="1317"/>
      <c r="E984" s="675">
        <v>1.03</v>
      </c>
      <c r="F984" s="676" t="s">
        <v>272</v>
      </c>
      <c r="G984" s="670"/>
      <c r="H984" s="670"/>
      <c r="I984" s="670"/>
      <c r="J984" s="670"/>
      <c r="K984" s="670">
        <f>[53]운반공!$BY$549</f>
        <v>399</v>
      </c>
      <c r="L984" s="670">
        <f>INT(E984*K984)</f>
        <v>410</v>
      </c>
      <c r="M984" s="670">
        <f t="shared" ref="M984:N986" si="114">G984+I984+K984</f>
        <v>399</v>
      </c>
      <c r="N984" s="670">
        <f t="shared" si="114"/>
        <v>410</v>
      </c>
      <c r="O984" s="671"/>
      <c r="P984" s="672"/>
    </row>
    <row r="985" spans="1:26" s="665" customFormat="1" ht="17.100000000000001" customHeight="1">
      <c r="A985" s="1316" t="s">
        <v>1199</v>
      </c>
      <c r="B985" s="1317"/>
      <c r="C985" s="1316" t="s">
        <v>1185</v>
      </c>
      <c r="D985" s="1317"/>
      <c r="E985" s="701">
        <f>Z949</f>
        <v>0.21299999999999999</v>
      </c>
      <c r="F985" s="676" t="s">
        <v>418</v>
      </c>
      <c r="G985" s="670" t="e">
        <f>#REF!</f>
        <v>#REF!</v>
      </c>
      <c r="H985" s="670" t="e">
        <f>INT(E985*G985)</f>
        <v>#REF!</v>
      </c>
      <c r="I985" s="670" t="e">
        <f>#REF!</f>
        <v>#REF!</v>
      </c>
      <c r="J985" s="670" t="e">
        <f>INT(E985*I985)</f>
        <v>#REF!</v>
      </c>
      <c r="K985" s="670" t="e">
        <f>#REF!</f>
        <v>#REF!</v>
      </c>
      <c r="L985" s="670" t="e">
        <f>INT(E985*K985)</f>
        <v>#REF!</v>
      </c>
      <c r="M985" s="670" t="e">
        <f t="shared" si="114"/>
        <v>#REF!</v>
      </c>
      <c r="N985" s="670" t="e">
        <f t="shared" si="114"/>
        <v>#REF!</v>
      </c>
      <c r="O985" s="671"/>
      <c r="P985" s="672"/>
    </row>
    <row r="986" spans="1:26" s="665" customFormat="1" ht="17.100000000000001" customHeight="1">
      <c r="A986" s="1316" t="s">
        <v>1719</v>
      </c>
      <c r="B986" s="1317"/>
      <c r="C986" s="1316"/>
      <c r="D986" s="1317"/>
      <c r="E986" s="675">
        <f>Z947</f>
        <v>0.05</v>
      </c>
      <c r="F986" s="676" t="s">
        <v>366</v>
      </c>
      <c r="G986" s="670"/>
      <c r="H986" s="670"/>
      <c r="I986" s="670">
        <f>[53]노임단가!$BK$17</f>
        <v>262580</v>
      </c>
      <c r="J986" s="670">
        <f>INT(E986*I986)</f>
        <v>13129</v>
      </c>
      <c r="K986" s="670"/>
      <c r="L986" s="670"/>
      <c r="M986" s="670">
        <f t="shared" si="114"/>
        <v>262580</v>
      </c>
      <c r="N986" s="670">
        <f t="shared" si="114"/>
        <v>13129</v>
      </c>
      <c r="O986" s="671"/>
      <c r="P986" s="672"/>
      <c r="R986" s="665">
        <v>0.56000000000000005</v>
      </c>
      <c r="S986" s="765">
        <f>ROUND(R986/2.5,4)</f>
        <v>0.224</v>
      </c>
    </row>
    <row r="987" spans="1:26" s="665" customFormat="1" ht="17.100000000000001" customHeight="1">
      <c r="A987" s="1316" t="s">
        <v>248</v>
      </c>
      <c r="B987" s="1317"/>
      <c r="C987" s="1316"/>
      <c r="D987" s="1317"/>
      <c r="E987" s="675">
        <f>Z948</f>
        <v>0.03</v>
      </c>
      <c r="F987" s="676" t="s">
        <v>366</v>
      </c>
      <c r="G987" s="670"/>
      <c r="H987" s="670"/>
      <c r="I987" s="670">
        <f>[53]노임단가!$T$5</f>
        <v>172068</v>
      </c>
      <c r="J987" s="670">
        <f>INT(E987*I987)</f>
        <v>5162</v>
      </c>
      <c r="K987" s="670"/>
      <c r="L987" s="670"/>
      <c r="M987" s="670">
        <f>G987+I987+K987</f>
        <v>172068</v>
      </c>
      <c r="N987" s="670">
        <f>H987+J987+L987</f>
        <v>5162</v>
      </c>
      <c r="O987" s="671"/>
      <c r="P987" s="672"/>
      <c r="R987" s="665">
        <v>0.51</v>
      </c>
      <c r="S987" s="765">
        <f>ROUND(R987/2.5,4)</f>
        <v>0.20399999999999999</v>
      </c>
    </row>
    <row r="988" spans="1:26" s="665" customFormat="1" ht="17.100000000000001" customHeight="1">
      <c r="A988" s="1316" t="s">
        <v>1763</v>
      </c>
      <c r="B988" s="1317"/>
      <c r="C988" s="1316" t="s">
        <v>1764</v>
      </c>
      <c r="D988" s="1317"/>
      <c r="E988" s="675">
        <v>0.02</v>
      </c>
      <c r="F988" s="676" t="s">
        <v>672</v>
      </c>
      <c r="G988" s="670">
        <f>J987+J986</f>
        <v>18291</v>
      </c>
      <c r="H988" s="670">
        <f>INT(E988*G988)</f>
        <v>365</v>
      </c>
      <c r="I988" s="670"/>
      <c r="J988" s="670"/>
      <c r="K988" s="681"/>
      <c r="L988" s="681"/>
      <c r="M988" s="670">
        <f>G988+I988+K988</f>
        <v>18291</v>
      </c>
      <c r="N988" s="670">
        <f>H988+J988+L988</f>
        <v>365</v>
      </c>
      <c r="O988" s="671"/>
      <c r="P988" s="672"/>
      <c r="R988" s="665">
        <v>0.21</v>
      </c>
      <c r="S988" s="765">
        <f>ROUND(R988/2.5,4)</f>
        <v>8.4000000000000005E-2</v>
      </c>
    </row>
    <row r="989" spans="1:26" s="665" customFormat="1" ht="17.100000000000001" customHeight="1">
      <c r="A989" s="1318" t="s">
        <v>1320</v>
      </c>
      <c r="B989" s="1319"/>
      <c r="C989" s="1371"/>
      <c r="D989" s="1372"/>
      <c r="E989" s="677"/>
      <c r="F989" s="676"/>
      <c r="G989" s="670"/>
      <c r="H989" s="670" t="e">
        <f>SUM(H983:H988)</f>
        <v>#REF!</v>
      </c>
      <c r="I989" s="670"/>
      <c r="J989" s="670" t="e">
        <f>SUM(J983:J988)</f>
        <v>#REF!</v>
      </c>
      <c r="K989" s="670"/>
      <c r="L989" s="670" t="e">
        <f>SUM(L983:L988)</f>
        <v>#REF!</v>
      </c>
      <c r="M989" s="670"/>
      <c r="N989" s="670" t="e">
        <f>SUM(N983:N988)</f>
        <v>#REF!</v>
      </c>
      <c r="O989" s="671"/>
      <c r="P989" s="672"/>
    </row>
    <row r="990" spans="1:26" s="665" customFormat="1" ht="17.100000000000001" customHeight="1">
      <c r="A990" s="668">
        <f>A982+1</f>
        <v>207</v>
      </c>
      <c r="B990" s="1320" t="s">
        <v>1756</v>
      </c>
      <c r="C990" s="1320"/>
      <c r="D990" s="1320" t="s">
        <v>1767</v>
      </c>
      <c r="E990" s="1320"/>
      <c r="F990" s="669" t="s">
        <v>272</v>
      </c>
      <c r="G990" s="670"/>
      <c r="H990" s="670"/>
      <c r="I990" s="670"/>
      <c r="J990" s="670"/>
      <c r="K990" s="670"/>
      <c r="L990" s="670"/>
      <c r="M990" s="670"/>
      <c r="N990" s="670"/>
      <c r="O990" s="671" t="s">
        <v>1562</v>
      </c>
      <c r="P990" s="672"/>
    </row>
    <row r="991" spans="1:26" s="665" customFormat="1" ht="17.100000000000001" customHeight="1">
      <c r="A991" s="1316" t="s">
        <v>1759</v>
      </c>
      <c r="B991" s="1317"/>
      <c r="C991" s="1316" t="s">
        <v>964</v>
      </c>
      <c r="D991" s="1317"/>
      <c r="E991" s="675">
        <v>1.03</v>
      </c>
      <c r="F991" s="676" t="s">
        <v>272</v>
      </c>
      <c r="G991" s="670"/>
      <c r="H991" s="670"/>
      <c r="I991" s="670"/>
      <c r="J991" s="670"/>
      <c r="K991" s="670"/>
      <c r="L991" s="670"/>
      <c r="M991" s="670"/>
      <c r="N991" s="670"/>
      <c r="O991" s="671"/>
      <c r="P991" s="672"/>
    </row>
    <row r="992" spans="1:26" s="665" customFormat="1" ht="17.100000000000001" customHeight="1">
      <c r="A992" s="1316" t="s">
        <v>1760</v>
      </c>
      <c r="B992" s="1317"/>
      <c r="C992" s="1321" t="s">
        <v>1761</v>
      </c>
      <c r="D992" s="1317"/>
      <c r="E992" s="675">
        <v>1.03</v>
      </c>
      <c r="F992" s="676" t="s">
        <v>272</v>
      </c>
      <c r="G992" s="670"/>
      <c r="H992" s="670"/>
      <c r="I992" s="670"/>
      <c r="J992" s="670"/>
      <c r="K992" s="670">
        <f>INT([53]운반공!$BY$549-50*([53]운반공!$BY$549-[53]운반공!$BY$550)/150)</f>
        <v>520</v>
      </c>
      <c r="L992" s="670">
        <f>INT(E992*K992)</f>
        <v>535</v>
      </c>
      <c r="M992" s="670">
        <f t="shared" ref="M992:N994" si="115">G992+I992+K992</f>
        <v>520</v>
      </c>
      <c r="N992" s="670">
        <f t="shared" si="115"/>
        <v>535</v>
      </c>
      <c r="O992" s="671"/>
      <c r="P992" s="672"/>
    </row>
    <row r="993" spans="1:19" s="665" customFormat="1" ht="17.100000000000001" customHeight="1">
      <c r="A993" s="1316" t="s">
        <v>1199</v>
      </c>
      <c r="B993" s="1317"/>
      <c r="C993" s="1316" t="s">
        <v>1185</v>
      </c>
      <c r="D993" s="1317"/>
      <c r="E993" s="701">
        <f>Z955</f>
        <v>0.29099999999999998</v>
      </c>
      <c r="F993" s="676" t="s">
        <v>418</v>
      </c>
      <c r="G993" s="670" t="e">
        <f>#REF!</f>
        <v>#REF!</v>
      </c>
      <c r="H993" s="670" t="e">
        <f>INT(E993*G993)</f>
        <v>#REF!</v>
      </c>
      <c r="I993" s="670" t="e">
        <f>#REF!</f>
        <v>#REF!</v>
      </c>
      <c r="J993" s="670" t="e">
        <f>INT(E993*I993)</f>
        <v>#REF!</v>
      </c>
      <c r="K993" s="670" t="e">
        <f>#REF!</f>
        <v>#REF!</v>
      </c>
      <c r="L993" s="670" t="e">
        <f>INT(E993*K993)</f>
        <v>#REF!</v>
      </c>
      <c r="M993" s="670" t="e">
        <f t="shared" si="115"/>
        <v>#REF!</v>
      </c>
      <c r="N993" s="670" t="e">
        <f t="shared" si="115"/>
        <v>#REF!</v>
      </c>
      <c r="O993" s="671"/>
      <c r="P993" s="672"/>
    </row>
    <row r="994" spans="1:19" s="665" customFormat="1" ht="17.100000000000001" customHeight="1">
      <c r="A994" s="1316" t="s">
        <v>1719</v>
      </c>
      <c r="B994" s="1317"/>
      <c r="C994" s="1316"/>
      <c r="D994" s="1317"/>
      <c r="E994" s="675">
        <f>Z953</f>
        <v>7.0000000000000007E-2</v>
      </c>
      <c r="F994" s="676" t="s">
        <v>366</v>
      </c>
      <c r="G994" s="670"/>
      <c r="H994" s="670"/>
      <c r="I994" s="670">
        <f>[53]노임단가!$BK$17</f>
        <v>262580</v>
      </c>
      <c r="J994" s="670">
        <f>INT(E994*I994)</f>
        <v>18380</v>
      </c>
      <c r="K994" s="670"/>
      <c r="L994" s="670"/>
      <c r="M994" s="670">
        <f t="shared" si="115"/>
        <v>262580</v>
      </c>
      <c r="N994" s="670">
        <f t="shared" si="115"/>
        <v>18380</v>
      </c>
      <c r="O994" s="671"/>
      <c r="P994" s="672"/>
      <c r="R994" s="665">
        <v>0.66</v>
      </c>
      <c r="S994" s="765">
        <f>ROUND(R994/2.5,4)</f>
        <v>0.26400000000000001</v>
      </c>
    </row>
    <row r="995" spans="1:19" s="665" customFormat="1" ht="17.100000000000001" customHeight="1">
      <c r="A995" s="1316" t="s">
        <v>248</v>
      </c>
      <c r="B995" s="1317"/>
      <c r="C995" s="1316"/>
      <c r="D995" s="1317"/>
      <c r="E995" s="675">
        <f>Z954</f>
        <v>0.04</v>
      </c>
      <c r="F995" s="676" t="s">
        <v>366</v>
      </c>
      <c r="G995" s="670"/>
      <c r="H995" s="670"/>
      <c r="I995" s="670">
        <f>[53]노임단가!$T$5</f>
        <v>172068</v>
      </c>
      <c r="J995" s="670">
        <f>INT(E995*I995)</f>
        <v>6882</v>
      </c>
      <c r="K995" s="670"/>
      <c r="L995" s="670"/>
      <c r="M995" s="670">
        <f>G995+I995+K995</f>
        <v>172068</v>
      </c>
      <c r="N995" s="670">
        <f>H995+J995+L995</f>
        <v>6882</v>
      </c>
      <c r="O995" s="671"/>
      <c r="P995" s="672"/>
      <c r="R995" s="665">
        <v>0.61</v>
      </c>
      <c r="S995" s="765">
        <f>ROUND(R995/2.5,4)</f>
        <v>0.24399999999999999</v>
      </c>
    </row>
    <row r="996" spans="1:19" s="665" customFormat="1" ht="17.100000000000001" customHeight="1">
      <c r="A996" s="1316" t="s">
        <v>1763</v>
      </c>
      <c r="B996" s="1317"/>
      <c r="C996" s="1316" t="s">
        <v>1764</v>
      </c>
      <c r="D996" s="1317"/>
      <c r="E996" s="675">
        <v>0.02</v>
      </c>
      <c r="F996" s="676" t="s">
        <v>672</v>
      </c>
      <c r="G996" s="670">
        <f>J995+J994</f>
        <v>25262</v>
      </c>
      <c r="H996" s="670">
        <f>INT(E996*G996)</f>
        <v>505</v>
      </c>
      <c r="I996" s="670"/>
      <c r="J996" s="670"/>
      <c r="K996" s="681"/>
      <c r="L996" s="681"/>
      <c r="M996" s="670">
        <f>G996+I996+K996</f>
        <v>25262</v>
      </c>
      <c r="N996" s="670">
        <f>H996+J996+L996</f>
        <v>505</v>
      </c>
      <c r="O996" s="671"/>
      <c r="P996" s="672"/>
      <c r="R996" s="665">
        <v>0.25</v>
      </c>
      <c r="S996" s="765">
        <f>ROUND(R996/2.5,4)</f>
        <v>0.1</v>
      </c>
    </row>
    <row r="997" spans="1:19" s="665" customFormat="1" ht="17.100000000000001" customHeight="1">
      <c r="A997" s="1318" t="s">
        <v>1320</v>
      </c>
      <c r="B997" s="1319"/>
      <c r="C997" s="1371"/>
      <c r="D997" s="1372"/>
      <c r="E997" s="677"/>
      <c r="F997" s="676"/>
      <c r="G997" s="670"/>
      <c r="H997" s="670" t="e">
        <f>SUM(H991:H996)</f>
        <v>#REF!</v>
      </c>
      <c r="I997" s="670"/>
      <c r="J997" s="670" t="e">
        <f>SUM(J991:J996)</f>
        <v>#REF!</v>
      </c>
      <c r="K997" s="670"/>
      <c r="L997" s="670" t="e">
        <f>SUM(L991:L996)</f>
        <v>#REF!</v>
      </c>
      <c r="M997" s="670"/>
      <c r="N997" s="670" t="e">
        <f>SUM(N991:N996)</f>
        <v>#REF!</v>
      </c>
      <c r="O997" s="671"/>
      <c r="P997" s="672"/>
    </row>
    <row r="998" spans="1:19" s="665" customFormat="1" ht="17.100000000000001" customHeight="1">
      <c r="A998" s="668">
        <f>A990+1</f>
        <v>208</v>
      </c>
      <c r="B998" s="1320" t="s">
        <v>1756</v>
      </c>
      <c r="C998" s="1320"/>
      <c r="D998" s="1320" t="s">
        <v>1768</v>
      </c>
      <c r="E998" s="1320"/>
      <c r="F998" s="669" t="s">
        <v>272</v>
      </c>
      <c r="G998" s="670"/>
      <c r="H998" s="670"/>
      <c r="I998" s="670"/>
      <c r="J998" s="670"/>
      <c r="K998" s="670"/>
      <c r="L998" s="670"/>
      <c r="M998" s="670"/>
      <c r="N998" s="670"/>
      <c r="O998" s="671" t="s">
        <v>1562</v>
      </c>
      <c r="P998" s="672"/>
    </row>
    <row r="999" spans="1:19" s="665" customFormat="1" ht="17.100000000000001" customHeight="1">
      <c r="A999" s="1316" t="s">
        <v>1759</v>
      </c>
      <c r="B999" s="1317"/>
      <c r="C999" s="1316" t="s">
        <v>965</v>
      </c>
      <c r="D999" s="1317"/>
      <c r="E999" s="675">
        <v>1.03</v>
      </c>
      <c r="F999" s="676" t="s">
        <v>272</v>
      </c>
      <c r="G999" s="670"/>
      <c r="H999" s="670"/>
      <c r="I999" s="670"/>
      <c r="J999" s="670"/>
      <c r="K999" s="670"/>
      <c r="L999" s="670"/>
      <c r="M999" s="670"/>
      <c r="N999" s="670"/>
      <c r="O999" s="671"/>
      <c r="P999" s="672"/>
    </row>
    <row r="1000" spans="1:19" s="665" customFormat="1" ht="17.100000000000001" customHeight="1">
      <c r="A1000" s="1316" t="s">
        <v>1760</v>
      </c>
      <c r="B1000" s="1317"/>
      <c r="C1000" s="1321" t="s">
        <v>1761</v>
      </c>
      <c r="D1000" s="1317"/>
      <c r="E1000" s="675">
        <v>1.03</v>
      </c>
      <c r="F1000" s="676" t="s">
        <v>272</v>
      </c>
      <c r="G1000" s="670"/>
      <c r="H1000" s="670"/>
      <c r="I1000" s="670"/>
      <c r="J1000" s="670"/>
      <c r="K1000" s="670">
        <f>[53]운반공!$BY$550</f>
        <v>764</v>
      </c>
      <c r="L1000" s="670">
        <f>INT(E1000*K1000)</f>
        <v>786</v>
      </c>
      <c r="M1000" s="670">
        <f t="shared" ref="M1000:N1004" si="116">G1000+I1000+K1000</f>
        <v>764</v>
      </c>
      <c r="N1000" s="670">
        <f t="shared" si="116"/>
        <v>786</v>
      </c>
      <c r="O1000" s="671"/>
      <c r="P1000" s="672"/>
    </row>
    <row r="1001" spans="1:19" s="665" customFormat="1" ht="17.100000000000001" customHeight="1">
      <c r="A1001" s="1316" t="s">
        <v>1199</v>
      </c>
      <c r="B1001" s="1317"/>
      <c r="C1001" s="1316" t="s">
        <v>1185</v>
      </c>
      <c r="D1001" s="1317"/>
      <c r="E1001" s="701">
        <f>Z958</f>
        <v>0.35599999999999998</v>
      </c>
      <c r="F1001" s="676" t="s">
        <v>418</v>
      </c>
      <c r="G1001" s="670" t="e">
        <f>#REF!</f>
        <v>#REF!</v>
      </c>
      <c r="H1001" s="670" t="e">
        <f>INT(E1001*G1001)</f>
        <v>#REF!</v>
      </c>
      <c r="I1001" s="670" t="e">
        <f>#REF!</f>
        <v>#REF!</v>
      </c>
      <c r="J1001" s="670" t="e">
        <f>INT(E1001*I1001)</f>
        <v>#REF!</v>
      </c>
      <c r="K1001" s="670" t="e">
        <f>#REF!</f>
        <v>#REF!</v>
      </c>
      <c r="L1001" s="670" t="e">
        <f>INT(E1001*K1001)</f>
        <v>#REF!</v>
      </c>
      <c r="M1001" s="670" t="e">
        <f t="shared" si="116"/>
        <v>#REF!</v>
      </c>
      <c r="N1001" s="670" t="e">
        <f t="shared" si="116"/>
        <v>#REF!</v>
      </c>
      <c r="O1001" s="671"/>
      <c r="P1001" s="672"/>
    </row>
    <row r="1002" spans="1:19" s="665" customFormat="1" ht="17.100000000000001" customHeight="1">
      <c r="A1002" s="1316" t="s">
        <v>1719</v>
      </c>
      <c r="B1002" s="1317"/>
      <c r="C1002" s="1316"/>
      <c r="D1002" s="1317"/>
      <c r="E1002" s="675">
        <f>Z956</f>
        <v>0.09</v>
      </c>
      <c r="F1002" s="676" t="s">
        <v>366</v>
      </c>
      <c r="G1002" s="670"/>
      <c r="H1002" s="670"/>
      <c r="I1002" s="670">
        <f>[53]노임단가!$BK$17</f>
        <v>262580</v>
      </c>
      <c r="J1002" s="670">
        <f>INT(E1002*I1002)</f>
        <v>23632</v>
      </c>
      <c r="K1002" s="670"/>
      <c r="L1002" s="670"/>
      <c r="M1002" s="670">
        <f t="shared" si="116"/>
        <v>262580</v>
      </c>
      <c r="N1002" s="670">
        <f t="shared" si="116"/>
        <v>23632</v>
      </c>
      <c r="O1002" s="671"/>
      <c r="P1002" s="672"/>
      <c r="R1002" s="665">
        <v>0.76</v>
      </c>
      <c r="S1002" s="765">
        <f>ROUND(R1002/2.5,4)</f>
        <v>0.30399999999999999</v>
      </c>
    </row>
    <row r="1003" spans="1:19" s="665" customFormat="1" ht="17.100000000000001" customHeight="1">
      <c r="A1003" s="1316" t="s">
        <v>248</v>
      </c>
      <c r="B1003" s="1317"/>
      <c r="C1003" s="1316"/>
      <c r="D1003" s="1317"/>
      <c r="E1003" s="675">
        <f>Z957</f>
        <v>0.04</v>
      </c>
      <c r="F1003" s="676" t="s">
        <v>366</v>
      </c>
      <c r="G1003" s="670"/>
      <c r="H1003" s="670"/>
      <c r="I1003" s="670">
        <f>[53]노임단가!$T$5</f>
        <v>172068</v>
      </c>
      <c r="J1003" s="670">
        <f>INT(E1003*I1003)</f>
        <v>6882</v>
      </c>
      <c r="K1003" s="670"/>
      <c r="L1003" s="670"/>
      <c r="M1003" s="670">
        <f t="shared" si="116"/>
        <v>172068</v>
      </c>
      <c r="N1003" s="670">
        <f t="shared" si="116"/>
        <v>6882</v>
      </c>
      <c r="O1003" s="671"/>
      <c r="P1003" s="672"/>
      <c r="R1003" s="665">
        <v>0.71</v>
      </c>
      <c r="S1003" s="765">
        <f>ROUND(R1003/2.5,4)</f>
        <v>0.28399999999999997</v>
      </c>
    </row>
    <row r="1004" spans="1:19" s="665" customFormat="1" ht="17.100000000000001" customHeight="1">
      <c r="A1004" s="1316" t="s">
        <v>1763</v>
      </c>
      <c r="B1004" s="1317"/>
      <c r="C1004" s="1316" t="s">
        <v>1764</v>
      </c>
      <c r="D1004" s="1317"/>
      <c r="E1004" s="675">
        <v>0.02</v>
      </c>
      <c r="F1004" s="676" t="s">
        <v>672</v>
      </c>
      <c r="G1004" s="670">
        <f>J1003+J1002</f>
        <v>30514</v>
      </c>
      <c r="H1004" s="670">
        <f>INT(E1004*G1004)</f>
        <v>610</v>
      </c>
      <c r="I1004" s="670"/>
      <c r="J1004" s="670"/>
      <c r="K1004" s="681"/>
      <c r="L1004" s="681"/>
      <c r="M1004" s="670">
        <f>G1004+I1004+K1004</f>
        <v>30514</v>
      </c>
      <c r="N1004" s="670">
        <f t="shared" si="116"/>
        <v>610</v>
      </c>
      <c r="O1004" s="671"/>
      <c r="P1004" s="672"/>
      <c r="R1004" s="665">
        <v>0.28999999999999998</v>
      </c>
      <c r="S1004" s="765">
        <f>ROUND(R1004/2.5,4)</f>
        <v>0.11600000000000001</v>
      </c>
    </row>
    <row r="1005" spans="1:19" s="665" customFormat="1" ht="17.100000000000001" customHeight="1">
      <c r="A1005" s="1318" t="s">
        <v>1320</v>
      </c>
      <c r="B1005" s="1319"/>
      <c r="C1005" s="1371"/>
      <c r="D1005" s="1372"/>
      <c r="E1005" s="677"/>
      <c r="F1005" s="676"/>
      <c r="G1005" s="670"/>
      <c r="H1005" s="670" t="e">
        <f>SUM(H999:H1004)</f>
        <v>#REF!</v>
      </c>
      <c r="I1005" s="670"/>
      <c r="J1005" s="670" t="e">
        <f>SUM(J999:J1004)</f>
        <v>#REF!</v>
      </c>
      <c r="K1005" s="670"/>
      <c r="L1005" s="670" t="e">
        <f>SUM(L999:L1004)</f>
        <v>#REF!</v>
      </c>
      <c r="M1005" s="670"/>
      <c r="N1005" s="670" t="e">
        <f>SUM(N999:N1004)</f>
        <v>#REF!</v>
      </c>
      <c r="O1005" s="671"/>
      <c r="P1005" s="672"/>
    </row>
    <row r="1006" spans="1:19" s="665" customFormat="1" ht="17.100000000000001" customHeight="1">
      <c r="A1006" s="668">
        <f>A998+1</f>
        <v>209</v>
      </c>
      <c r="B1006" s="1320" t="s">
        <v>1756</v>
      </c>
      <c r="C1006" s="1320"/>
      <c r="D1006" s="1320" t="s">
        <v>1769</v>
      </c>
      <c r="E1006" s="1320"/>
      <c r="F1006" s="669" t="s">
        <v>272</v>
      </c>
      <c r="G1006" s="670"/>
      <c r="H1006" s="670"/>
      <c r="I1006" s="670"/>
      <c r="J1006" s="670"/>
      <c r="K1006" s="670"/>
      <c r="L1006" s="670"/>
      <c r="M1006" s="670"/>
      <c r="N1006" s="670"/>
      <c r="O1006" s="671" t="s">
        <v>1562</v>
      </c>
      <c r="P1006" s="672"/>
    </row>
    <row r="1007" spans="1:19" s="665" customFormat="1" ht="17.100000000000001" customHeight="1">
      <c r="A1007" s="1316" t="s">
        <v>1759</v>
      </c>
      <c r="B1007" s="1317"/>
      <c r="C1007" s="1316" t="s">
        <v>966</v>
      </c>
      <c r="D1007" s="1317"/>
      <c r="E1007" s="675">
        <v>1.03</v>
      </c>
      <c r="F1007" s="676" t="s">
        <v>272</v>
      </c>
      <c r="G1007" s="670"/>
      <c r="H1007" s="670"/>
      <c r="I1007" s="670"/>
      <c r="J1007" s="670"/>
      <c r="K1007" s="670"/>
      <c r="L1007" s="670"/>
      <c r="M1007" s="670"/>
      <c r="N1007" s="670"/>
      <c r="O1007" s="671"/>
      <c r="P1007" s="672"/>
    </row>
    <row r="1008" spans="1:19" s="665" customFormat="1" ht="17.100000000000001" customHeight="1">
      <c r="A1008" s="1316" t="s">
        <v>1760</v>
      </c>
      <c r="B1008" s="1317"/>
      <c r="C1008" s="1321" t="s">
        <v>1761</v>
      </c>
      <c r="D1008" s="1317"/>
      <c r="E1008" s="675">
        <v>1.03</v>
      </c>
      <c r="F1008" s="676" t="s">
        <v>272</v>
      </c>
      <c r="G1008" s="670"/>
      <c r="H1008" s="670"/>
      <c r="I1008" s="670"/>
      <c r="J1008" s="670"/>
      <c r="K1008" s="670">
        <f>INT([53]운반공!$BY$550-50*([53]운반공!$BY$550-[53]운반공!$BY$551)/150)</f>
        <v>951</v>
      </c>
      <c r="L1008" s="670">
        <f>INT(E1008*K1008)</f>
        <v>979</v>
      </c>
      <c r="M1008" s="670">
        <f t="shared" ref="M1008:N1010" si="117">G1008+I1008+K1008</f>
        <v>951</v>
      </c>
      <c r="N1008" s="670">
        <f t="shared" si="117"/>
        <v>979</v>
      </c>
      <c r="O1008" s="671"/>
      <c r="P1008" s="672"/>
    </row>
    <row r="1009" spans="1:19" s="665" customFormat="1" ht="17.100000000000001" customHeight="1">
      <c r="A1009" s="1316" t="s">
        <v>1199</v>
      </c>
      <c r="B1009" s="1317"/>
      <c r="C1009" s="1316" t="s">
        <v>1185</v>
      </c>
      <c r="D1009" s="1317"/>
      <c r="E1009" s="701">
        <f>Z961</f>
        <v>0.4</v>
      </c>
      <c r="F1009" s="676" t="s">
        <v>418</v>
      </c>
      <c r="G1009" s="670" t="e">
        <f>#REF!</f>
        <v>#REF!</v>
      </c>
      <c r="H1009" s="670" t="e">
        <f>INT(E1009*G1009)</f>
        <v>#REF!</v>
      </c>
      <c r="I1009" s="670" t="e">
        <f>#REF!</f>
        <v>#REF!</v>
      </c>
      <c r="J1009" s="670" t="e">
        <f>INT(E1009*I1009)</f>
        <v>#REF!</v>
      </c>
      <c r="K1009" s="670" t="e">
        <f>#REF!</f>
        <v>#REF!</v>
      </c>
      <c r="L1009" s="670" t="e">
        <f>INT(E1009*K1009)</f>
        <v>#REF!</v>
      </c>
      <c r="M1009" s="670" t="e">
        <f t="shared" si="117"/>
        <v>#REF!</v>
      </c>
      <c r="N1009" s="670" t="e">
        <f t="shared" si="117"/>
        <v>#REF!</v>
      </c>
      <c r="O1009" s="671"/>
      <c r="P1009" s="672"/>
    </row>
    <row r="1010" spans="1:19" s="665" customFormat="1" ht="17.100000000000001" customHeight="1">
      <c r="A1010" s="1316" t="s">
        <v>1719</v>
      </c>
      <c r="B1010" s="1317"/>
      <c r="C1010" s="1316"/>
      <c r="D1010" s="1317"/>
      <c r="E1010" s="675">
        <f>Z959</f>
        <v>0.1</v>
      </c>
      <c r="F1010" s="676" t="s">
        <v>366</v>
      </c>
      <c r="G1010" s="670"/>
      <c r="H1010" s="670"/>
      <c r="I1010" s="670">
        <f>[53]노임단가!$BK$17</f>
        <v>262580</v>
      </c>
      <c r="J1010" s="670">
        <f>INT(E1010*I1010)</f>
        <v>26258</v>
      </c>
      <c r="K1010" s="670"/>
      <c r="L1010" s="670"/>
      <c r="M1010" s="670">
        <f t="shared" si="117"/>
        <v>262580</v>
      </c>
      <c r="N1010" s="670">
        <f t="shared" si="117"/>
        <v>26258</v>
      </c>
      <c r="O1010" s="671"/>
      <c r="P1010" s="672"/>
      <c r="R1010" s="665">
        <v>0.86</v>
      </c>
      <c r="S1010" s="765">
        <f>ROUND(R1010/2.5,4)</f>
        <v>0.34399999999999997</v>
      </c>
    </row>
    <row r="1011" spans="1:19" s="665" customFormat="1" ht="17.100000000000001" customHeight="1">
      <c r="A1011" s="1316" t="s">
        <v>248</v>
      </c>
      <c r="B1011" s="1317"/>
      <c r="C1011" s="1316"/>
      <c r="D1011" s="1317"/>
      <c r="E1011" s="675">
        <f>Z960</f>
        <v>0.05</v>
      </c>
      <c r="F1011" s="676" t="s">
        <v>366</v>
      </c>
      <c r="G1011" s="670"/>
      <c r="H1011" s="670"/>
      <c r="I1011" s="670">
        <f>[53]노임단가!$T$5</f>
        <v>172068</v>
      </c>
      <c r="J1011" s="670">
        <f>INT(E1011*I1011)</f>
        <v>8603</v>
      </c>
      <c r="K1011" s="670"/>
      <c r="L1011" s="670"/>
      <c r="M1011" s="670">
        <f>G1011+I1011+K1011</f>
        <v>172068</v>
      </c>
      <c r="N1011" s="670">
        <f>H1011+J1011+L1011</f>
        <v>8603</v>
      </c>
      <c r="O1011" s="671"/>
      <c r="P1011" s="672"/>
      <c r="R1011" s="665">
        <v>0.81</v>
      </c>
      <c r="S1011" s="765">
        <f>ROUND(R1011/2.5,4)</f>
        <v>0.32400000000000001</v>
      </c>
    </row>
    <row r="1012" spans="1:19" s="665" customFormat="1" ht="17.100000000000001" customHeight="1">
      <c r="A1012" s="1316" t="s">
        <v>1763</v>
      </c>
      <c r="B1012" s="1317"/>
      <c r="C1012" s="1316" t="s">
        <v>1764</v>
      </c>
      <c r="D1012" s="1317"/>
      <c r="E1012" s="675">
        <v>0.02</v>
      </c>
      <c r="F1012" s="676" t="s">
        <v>672</v>
      </c>
      <c r="G1012" s="670">
        <f>J1011+J1010</f>
        <v>34861</v>
      </c>
      <c r="H1012" s="670">
        <f>INT(E1012*G1012)</f>
        <v>697</v>
      </c>
      <c r="I1012" s="670"/>
      <c r="J1012" s="670"/>
      <c r="K1012" s="681"/>
      <c r="L1012" s="681"/>
      <c r="M1012" s="670">
        <f>G1012+I1012+K1012</f>
        <v>34861</v>
      </c>
      <c r="N1012" s="670">
        <f>H1012+J1012+L1012</f>
        <v>697</v>
      </c>
      <c r="O1012" s="671"/>
      <c r="P1012" s="672"/>
      <c r="R1012" s="665">
        <v>0.33</v>
      </c>
      <c r="S1012" s="765">
        <f>ROUND(R1012/2.5,4)</f>
        <v>0.13200000000000001</v>
      </c>
    </row>
    <row r="1013" spans="1:19" s="665" customFormat="1" ht="17.100000000000001" customHeight="1">
      <c r="A1013" s="1318" t="s">
        <v>1320</v>
      </c>
      <c r="B1013" s="1319"/>
      <c r="C1013" s="1371"/>
      <c r="D1013" s="1372"/>
      <c r="E1013" s="677"/>
      <c r="F1013" s="676"/>
      <c r="G1013" s="670"/>
      <c r="H1013" s="670" t="e">
        <f>SUM(H1007:H1012)</f>
        <v>#REF!</v>
      </c>
      <c r="I1013" s="670"/>
      <c r="J1013" s="670" t="e">
        <f>SUM(J1007:J1012)</f>
        <v>#REF!</v>
      </c>
      <c r="K1013" s="670"/>
      <c r="L1013" s="670" t="e">
        <f>SUM(L1007:L1012)</f>
        <v>#REF!</v>
      </c>
      <c r="M1013" s="670"/>
      <c r="N1013" s="670" t="e">
        <f>SUM(N1007:N1012)</f>
        <v>#REF!</v>
      </c>
      <c r="O1013" s="671"/>
      <c r="P1013" s="672"/>
    </row>
    <row r="1014" spans="1:19" s="665" customFormat="1" ht="17.100000000000001" customHeight="1">
      <c r="A1014" s="668">
        <f>A1006+1</f>
        <v>210</v>
      </c>
      <c r="B1014" s="1320" t="s">
        <v>1756</v>
      </c>
      <c r="C1014" s="1320"/>
      <c r="D1014" s="1320" t="s">
        <v>1770</v>
      </c>
      <c r="E1014" s="1320"/>
      <c r="F1014" s="669" t="s">
        <v>272</v>
      </c>
      <c r="G1014" s="670"/>
      <c r="H1014" s="670"/>
      <c r="I1014" s="670"/>
      <c r="J1014" s="670"/>
      <c r="K1014" s="670"/>
      <c r="L1014" s="670"/>
      <c r="M1014" s="670"/>
      <c r="N1014" s="670"/>
      <c r="O1014" s="671" t="s">
        <v>1562</v>
      </c>
      <c r="P1014" s="672"/>
    </row>
    <row r="1015" spans="1:19" s="665" customFormat="1" ht="17.100000000000001" customHeight="1">
      <c r="A1015" s="1316" t="s">
        <v>1759</v>
      </c>
      <c r="B1015" s="1317"/>
      <c r="C1015" s="1316" t="s">
        <v>967</v>
      </c>
      <c r="D1015" s="1317"/>
      <c r="E1015" s="675">
        <v>1.03</v>
      </c>
      <c r="F1015" s="676" t="s">
        <v>272</v>
      </c>
      <c r="G1015" s="670"/>
      <c r="H1015" s="670"/>
      <c r="I1015" s="670"/>
      <c r="J1015" s="670"/>
      <c r="K1015" s="670"/>
      <c r="L1015" s="670"/>
      <c r="M1015" s="670"/>
      <c r="N1015" s="670"/>
      <c r="O1015" s="671"/>
      <c r="P1015" s="672"/>
    </row>
    <row r="1016" spans="1:19" s="665" customFormat="1" ht="17.100000000000001" customHeight="1">
      <c r="A1016" s="1316" t="s">
        <v>1760</v>
      </c>
      <c r="B1016" s="1317"/>
      <c r="C1016" s="1321" t="s">
        <v>1761</v>
      </c>
      <c r="D1016" s="1317"/>
      <c r="E1016" s="675">
        <v>1.03</v>
      </c>
      <c r="F1016" s="676" t="s">
        <v>272</v>
      </c>
      <c r="G1016" s="670"/>
      <c r="H1016" s="670"/>
      <c r="I1016" s="670"/>
      <c r="J1016" s="670"/>
      <c r="K1016" s="670">
        <f>[53]운반공!$BY$551</f>
        <v>1325</v>
      </c>
      <c r="L1016" s="670">
        <f>INT(E1016*K1016)</f>
        <v>1364</v>
      </c>
      <c r="M1016" s="670">
        <f t="shared" ref="M1016:N1018" si="118">G1016+I1016+K1016</f>
        <v>1325</v>
      </c>
      <c r="N1016" s="670">
        <f t="shared" si="118"/>
        <v>1364</v>
      </c>
      <c r="O1016" s="671"/>
      <c r="P1016" s="672"/>
    </row>
    <row r="1017" spans="1:19" s="665" customFormat="1" ht="17.100000000000001" customHeight="1">
      <c r="A1017" s="1316" t="s">
        <v>1199</v>
      </c>
      <c r="B1017" s="1317"/>
      <c r="C1017" s="1316" t="s">
        <v>1185</v>
      </c>
      <c r="D1017" s="1317"/>
      <c r="E1017" s="701">
        <f>Z964</f>
        <v>0.49199999999999999</v>
      </c>
      <c r="F1017" s="676" t="s">
        <v>418</v>
      </c>
      <c r="G1017" s="670" t="e">
        <f>$G$1001</f>
        <v>#REF!</v>
      </c>
      <c r="H1017" s="670" t="e">
        <f>INT(E1017*G1017)</f>
        <v>#REF!</v>
      </c>
      <c r="I1017" s="670" t="e">
        <f>$I$1001</f>
        <v>#REF!</v>
      </c>
      <c r="J1017" s="670" t="e">
        <f>INT(E1017*I1017)</f>
        <v>#REF!</v>
      </c>
      <c r="K1017" s="670" t="e">
        <f>$K$1001</f>
        <v>#REF!</v>
      </c>
      <c r="L1017" s="670" t="e">
        <f>INT(E1017*K1017)</f>
        <v>#REF!</v>
      </c>
      <c r="M1017" s="670" t="e">
        <f t="shared" si="118"/>
        <v>#REF!</v>
      </c>
      <c r="N1017" s="670" t="e">
        <f t="shared" si="118"/>
        <v>#REF!</v>
      </c>
      <c r="O1017" s="671"/>
      <c r="P1017" s="672"/>
      <c r="R1017" s="665">
        <v>0.96</v>
      </c>
      <c r="S1017" s="765">
        <f>ROUND(R1017/2.5,4)</f>
        <v>0.38400000000000001</v>
      </c>
    </row>
    <row r="1018" spans="1:19" s="665" customFormat="1" ht="17.100000000000001" customHeight="1">
      <c r="A1018" s="1316" t="s">
        <v>1719</v>
      </c>
      <c r="B1018" s="1317"/>
      <c r="C1018" s="1316"/>
      <c r="D1018" s="1317"/>
      <c r="E1018" s="675">
        <f>Z962</f>
        <v>0.12</v>
      </c>
      <c r="F1018" s="676" t="s">
        <v>366</v>
      </c>
      <c r="G1018" s="670"/>
      <c r="H1018" s="670"/>
      <c r="I1018" s="670">
        <f>[53]노임단가!$BK$17</f>
        <v>262580</v>
      </c>
      <c r="J1018" s="670">
        <f>INT(E1018*I1018)</f>
        <v>31509</v>
      </c>
      <c r="K1018" s="670"/>
      <c r="L1018" s="670"/>
      <c r="M1018" s="670">
        <f t="shared" si="118"/>
        <v>262580</v>
      </c>
      <c r="N1018" s="670">
        <f t="shared" si="118"/>
        <v>31509</v>
      </c>
      <c r="O1018" s="671"/>
      <c r="P1018" s="672"/>
      <c r="R1018" s="665">
        <v>0.91</v>
      </c>
      <c r="S1018" s="765">
        <f>ROUND(R1018/2.5,4)</f>
        <v>0.36399999999999999</v>
      </c>
    </row>
    <row r="1019" spans="1:19" s="665" customFormat="1" ht="17.100000000000001" customHeight="1">
      <c r="A1019" s="1359" t="s">
        <v>248</v>
      </c>
      <c r="B1019" s="1360"/>
      <c r="C1019" s="1359"/>
      <c r="D1019" s="1360"/>
      <c r="E1019" s="675">
        <f>Z963</f>
        <v>0.06</v>
      </c>
      <c r="F1019" s="676" t="s">
        <v>366</v>
      </c>
      <c r="G1019" s="670"/>
      <c r="H1019" s="670"/>
      <c r="I1019" s="670">
        <f>[53]노임단가!$T$5</f>
        <v>172068</v>
      </c>
      <c r="J1019" s="670">
        <f>INT(E1019*I1019)</f>
        <v>10324</v>
      </c>
      <c r="K1019" s="670"/>
      <c r="L1019" s="670"/>
      <c r="M1019" s="670">
        <f>G1019+I1019+K1019</f>
        <v>172068</v>
      </c>
      <c r="N1019" s="670">
        <f>H1019+J1019+L1019</f>
        <v>10324</v>
      </c>
      <c r="O1019" s="671"/>
      <c r="P1019" s="672"/>
      <c r="R1019" s="665">
        <v>0.37</v>
      </c>
      <c r="S1019" s="765">
        <f>ROUND(R1019/2.5,4)</f>
        <v>0.14799999999999999</v>
      </c>
    </row>
    <row r="1020" spans="1:19" s="665" customFormat="1" ht="17.100000000000001" customHeight="1">
      <c r="A1020" s="1316" t="s">
        <v>1763</v>
      </c>
      <c r="B1020" s="1317"/>
      <c r="C1020" s="1316" t="s">
        <v>1764</v>
      </c>
      <c r="D1020" s="1317"/>
      <c r="E1020" s="675">
        <v>0.02</v>
      </c>
      <c r="F1020" s="676" t="s">
        <v>672</v>
      </c>
      <c r="G1020" s="670">
        <f>J1019+J1018</f>
        <v>41833</v>
      </c>
      <c r="H1020" s="670">
        <f>INT(E1020*G1020)</f>
        <v>836</v>
      </c>
      <c r="I1020" s="670"/>
      <c r="J1020" s="670"/>
      <c r="K1020" s="681"/>
      <c r="L1020" s="681"/>
      <c r="M1020" s="670">
        <f>G1020+I1020+K1020</f>
        <v>41833</v>
      </c>
      <c r="N1020" s="670">
        <f>H1020+J1020+L1020</f>
        <v>836</v>
      </c>
      <c r="O1020" s="671"/>
      <c r="P1020" s="672"/>
    </row>
    <row r="1021" spans="1:19" s="665" customFormat="1" ht="17.100000000000001" customHeight="1">
      <c r="A1021" s="1318" t="s">
        <v>1320</v>
      </c>
      <c r="B1021" s="1319"/>
      <c r="C1021" s="1371"/>
      <c r="D1021" s="1372"/>
      <c r="E1021" s="677"/>
      <c r="F1021" s="676"/>
      <c r="G1021" s="670"/>
      <c r="H1021" s="670" t="e">
        <f>SUM(H1015:H1020)</f>
        <v>#REF!</v>
      </c>
      <c r="I1021" s="670"/>
      <c r="J1021" s="670" t="e">
        <f>SUM(J1015:J1020)</f>
        <v>#REF!</v>
      </c>
      <c r="K1021" s="670"/>
      <c r="L1021" s="670" t="e">
        <f>SUM(L1015:L1020)</f>
        <v>#REF!</v>
      </c>
      <c r="M1021" s="670"/>
      <c r="N1021" s="670" t="e">
        <f>SUM(N1015:N1020)</f>
        <v>#REF!</v>
      </c>
      <c r="O1021" s="671"/>
      <c r="P1021" s="672"/>
    </row>
    <row r="1022" spans="1:19" s="665" customFormat="1" ht="17.100000000000001" customHeight="1">
      <c r="A1022" s="668">
        <f>A1014+1</f>
        <v>211</v>
      </c>
      <c r="B1022" s="1320" t="s">
        <v>1756</v>
      </c>
      <c r="C1022" s="1320"/>
      <c r="D1022" s="1320" t="s">
        <v>1771</v>
      </c>
      <c r="E1022" s="1320"/>
      <c r="F1022" s="669" t="s">
        <v>272</v>
      </c>
      <c r="G1022" s="670"/>
      <c r="H1022" s="670"/>
      <c r="I1022" s="670"/>
      <c r="J1022" s="670"/>
      <c r="K1022" s="670"/>
      <c r="L1022" s="670"/>
      <c r="M1022" s="670"/>
      <c r="N1022" s="670"/>
      <c r="O1022" s="671" t="s">
        <v>1562</v>
      </c>
      <c r="P1022" s="672"/>
    </row>
    <row r="1023" spans="1:19" s="665" customFormat="1" ht="17.100000000000001" customHeight="1">
      <c r="A1023" s="1316" t="s">
        <v>1759</v>
      </c>
      <c r="B1023" s="1317"/>
      <c r="C1023" s="1316" t="s">
        <v>969</v>
      </c>
      <c r="D1023" s="1317"/>
      <c r="E1023" s="675">
        <v>1.03</v>
      </c>
      <c r="F1023" s="676" t="s">
        <v>272</v>
      </c>
      <c r="G1023" s="670"/>
      <c r="H1023" s="670"/>
      <c r="I1023" s="670"/>
      <c r="J1023" s="670"/>
      <c r="K1023" s="670"/>
      <c r="L1023" s="670"/>
      <c r="M1023" s="670"/>
      <c r="N1023" s="670"/>
      <c r="O1023" s="671"/>
      <c r="P1023" s="672"/>
    </row>
    <row r="1024" spans="1:19" s="665" customFormat="1" ht="17.100000000000001" customHeight="1">
      <c r="A1024" s="1316" t="s">
        <v>1760</v>
      </c>
      <c r="B1024" s="1317"/>
      <c r="C1024" s="1321" t="s">
        <v>1761</v>
      </c>
      <c r="D1024" s="1317"/>
      <c r="E1024" s="675">
        <v>1.03</v>
      </c>
      <c r="F1024" s="676" t="s">
        <v>272</v>
      </c>
      <c r="G1024" s="670"/>
      <c r="H1024" s="670"/>
      <c r="I1024" s="670"/>
      <c r="J1024" s="670"/>
      <c r="K1024" s="670">
        <f>INT([53]운반공!$BY$551-100*([53]운반공!$BY$551-[53]운반공!$BY$552)/200)</f>
        <v>1826</v>
      </c>
      <c r="L1024" s="670">
        <f>INT(E1024*K1024)</f>
        <v>1880</v>
      </c>
      <c r="M1024" s="670">
        <f>G1024+I1024+K1024</f>
        <v>1826</v>
      </c>
      <c r="N1024" s="670">
        <f t="shared" ref="M1024:N1026" si="119">H1024+J1024+L1024</f>
        <v>1880</v>
      </c>
      <c r="O1024" s="671"/>
      <c r="P1024" s="672"/>
    </row>
    <row r="1025" spans="1:23" s="665" customFormat="1" ht="17.100000000000001" customHeight="1">
      <c r="A1025" s="1316" t="s">
        <v>1199</v>
      </c>
      <c r="B1025" s="1317"/>
      <c r="C1025" s="1316" t="s">
        <v>1185</v>
      </c>
      <c r="D1025" s="1317"/>
      <c r="E1025" s="701">
        <f>Z967</f>
        <v>0.58199999999999996</v>
      </c>
      <c r="F1025" s="676" t="s">
        <v>418</v>
      </c>
      <c r="G1025" s="670" t="e">
        <f>$G$1001</f>
        <v>#REF!</v>
      </c>
      <c r="H1025" s="670" t="e">
        <f>INT(E1025*G1025)</f>
        <v>#REF!</v>
      </c>
      <c r="I1025" s="670" t="e">
        <f>$I$1001</f>
        <v>#REF!</v>
      </c>
      <c r="J1025" s="670" t="e">
        <f>INT(E1025*I1025)</f>
        <v>#REF!</v>
      </c>
      <c r="K1025" s="670" t="e">
        <f>$K$1001</f>
        <v>#REF!</v>
      </c>
      <c r="L1025" s="670" t="e">
        <f>INT(E1025*K1025)</f>
        <v>#REF!</v>
      </c>
      <c r="M1025" s="670" t="e">
        <f t="shared" si="119"/>
        <v>#REF!</v>
      </c>
      <c r="N1025" s="670" t="e">
        <f t="shared" si="119"/>
        <v>#REF!</v>
      </c>
      <c r="O1025" s="671"/>
      <c r="P1025" s="672"/>
    </row>
    <row r="1026" spans="1:23" s="665" customFormat="1" ht="17.100000000000001" customHeight="1">
      <c r="A1026" s="1316" t="s">
        <v>1719</v>
      </c>
      <c r="B1026" s="1317"/>
      <c r="C1026" s="1316"/>
      <c r="D1026" s="1317"/>
      <c r="E1026" s="675">
        <f>Z965</f>
        <v>0.15</v>
      </c>
      <c r="F1026" s="676" t="s">
        <v>366</v>
      </c>
      <c r="G1026" s="670"/>
      <c r="H1026" s="670"/>
      <c r="I1026" s="670">
        <f>[53]노임단가!$BK$17</f>
        <v>262580</v>
      </c>
      <c r="J1026" s="670">
        <f>INT(E1026*I1026)</f>
        <v>39387</v>
      </c>
      <c r="K1026" s="670"/>
      <c r="L1026" s="670"/>
      <c r="M1026" s="670">
        <f t="shared" si="119"/>
        <v>262580</v>
      </c>
      <c r="N1026" s="670">
        <f t="shared" si="119"/>
        <v>39387</v>
      </c>
      <c r="O1026" s="671"/>
      <c r="P1026" s="672"/>
      <c r="R1026" s="665">
        <v>1.06</v>
      </c>
      <c r="S1026" s="765">
        <f>ROUND(R1026/2.5,4)</f>
        <v>0.42399999999999999</v>
      </c>
    </row>
    <row r="1027" spans="1:23" s="665" customFormat="1" ht="17.100000000000001" customHeight="1">
      <c r="A1027" s="1359" t="s">
        <v>248</v>
      </c>
      <c r="B1027" s="1360"/>
      <c r="C1027" s="1359"/>
      <c r="D1027" s="1360"/>
      <c r="E1027" s="675">
        <f>Z966</f>
        <v>7.0000000000000007E-2</v>
      </c>
      <c r="F1027" s="676" t="s">
        <v>366</v>
      </c>
      <c r="G1027" s="670"/>
      <c r="H1027" s="670"/>
      <c r="I1027" s="670">
        <f>[53]노임단가!$T$5</f>
        <v>172068</v>
      </c>
      <c r="J1027" s="670">
        <f>INT(E1027*I1027)</f>
        <v>12044</v>
      </c>
      <c r="K1027" s="670"/>
      <c r="L1027" s="670"/>
      <c r="M1027" s="670">
        <f>G1027+I1027+K1027</f>
        <v>172068</v>
      </c>
      <c r="N1027" s="670">
        <f>H1027+J1027+L1027</f>
        <v>12044</v>
      </c>
      <c r="O1027" s="671"/>
      <c r="P1027" s="672"/>
      <c r="R1027" s="665">
        <v>1.01</v>
      </c>
      <c r="S1027" s="765">
        <f>ROUND(R1027/2.5,4)</f>
        <v>0.40400000000000003</v>
      </c>
    </row>
    <row r="1028" spans="1:23" s="665" customFormat="1" ht="17.100000000000001" customHeight="1">
      <c r="A1028" s="1316" t="s">
        <v>1763</v>
      </c>
      <c r="B1028" s="1317"/>
      <c r="C1028" s="1316" t="s">
        <v>1764</v>
      </c>
      <c r="D1028" s="1317"/>
      <c r="E1028" s="675">
        <v>0.02</v>
      </c>
      <c r="F1028" s="676" t="s">
        <v>672</v>
      </c>
      <c r="G1028" s="670">
        <f>J1027+J1026</f>
        <v>51431</v>
      </c>
      <c r="H1028" s="670">
        <f>INT(E1028*G1028)</f>
        <v>1028</v>
      </c>
      <c r="I1028" s="670"/>
      <c r="J1028" s="670"/>
      <c r="K1028" s="681"/>
      <c r="L1028" s="681"/>
      <c r="M1028" s="670">
        <f>G1028+I1028+K1028</f>
        <v>51431</v>
      </c>
      <c r="N1028" s="670">
        <f>H1028+J1028+L1028</f>
        <v>1028</v>
      </c>
      <c r="O1028" s="671"/>
      <c r="P1028" s="672"/>
      <c r="R1028" s="665">
        <v>0.41</v>
      </c>
      <c r="S1028" s="765">
        <f>ROUND(R1028/2.5,4)</f>
        <v>0.16400000000000001</v>
      </c>
    </row>
    <row r="1029" spans="1:23" s="665" customFormat="1" ht="17.100000000000001" customHeight="1">
      <c r="A1029" s="1318" t="s">
        <v>1320</v>
      </c>
      <c r="B1029" s="1319"/>
      <c r="C1029" s="1371"/>
      <c r="D1029" s="1372"/>
      <c r="E1029" s="677"/>
      <c r="F1029" s="676"/>
      <c r="G1029" s="670"/>
      <c r="H1029" s="670" t="e">
        <f>SUM(H1023:H1028)</f>
        <v>#REF!</v>
      </c>
      <c r="I1029" s="670"/>
      <c r="J1029" s="670" t="e">
        <f>SUM(J1023:J1028)</f>
        <v>#REF!</v>
      </c>
      <c r="K1029" s="670"/>
      <c r="L1029" s="670" t="e">
        <f>SUM(L1023:L1028)</f>
        <v>#REF!</v>
      </c>
      <c r="M1029" s="670"/>
      <c r="N1029" s="670" t="e">
        <f>SUM(N1023:N1028)</f>
        <v>#REF!</v>
      </c>
      <c r="O1029" s="671"/>
      <c r="P1029" s="672"/>
    </row>
    <row r="1030" spans="1:23" s="665" customFormat="1" ht="17.100000000000001" customHeight="1">
      <c r="A1030" s="668">
        <f>A1022+1</f>
        <v>212</v>
      </c>
      <c r="B1030" s="1320" t="s">
        <v>1756</v>
      </c>
      <c r="C1030" s="1320"/>
      <c r="D1030" s="1320" t="s">
        <v>1772</v>
      </c>
      <c r="E1030" s="1320"/>
      <c r="F1030" s="669" t="s">
        <v>272</v>
      </c>
      <c r="G1030" s="670"/>
      <c r="H1030" s="670"/>
      <c r="I1030" s="670"/>
      <c r="J1030" s="670"/>
      <c r="K1030" s="670"/>
      <c r="L1030" s="670"/>
      <c r="M1030" s="670"/>
      <c r="N1030" s="670"/>
      <c r="O1030" s="671" t="s">
        <v>1562</v>
      </c>
      <c r="P1030" s="672"/>
    </row>
    <row r="1031" spans="1:23" s="665" customFormat="1" ht="17.100000000000001" customHeight="1">
      <c r="A1031" s="1316" t="s">
        <v>1759</v>
      </c>
      <c r="B1031" s="1317"/>
      <c r="C1031" s="1316" t="s">
        <v>970</v>
      </c>
      <c r="D1031" s="1317"/>
      <c r="E1031" s="675">
        <v>1.03</v>
      </c>
      <c r="F1031" s="676" t="s">
        <v>272</v>
      </c>
      <c r="G1031" s="670"/>
      <c r="H1031" s="670"/>
      <c r="I1031" s="670"/>
      <c r="J1031" s="670"/>
      <c r="K1031" s="670"/>
      <c r="L1031" s="670"/>
      <c r="M1031" s="670"/>
      <c r="N1031" s="670"/>
      <c r="O1031" s="671"/>
      <c r="P1031" s="672"/>
    </row>
    <row r="1032" spans="1:23" s="665" customFormat="1" ht="17.100000000000001" customHeight="1">
      <c r="A1032" s="1316" t="s">
        <v>1760</v>
      </c>
      <c r="B1032" s="1317"/>
      <c r="C1032" s="1321" t="s">
        <v>1761</v>
      </c>
      <c r="D1032" s="1317"/>
      <c r="E1032" s="675">
        <v>1.03</v>
      </c>
      <c r="F1032" s="676" t="s">
        <v>272</v>
      </c>
      <c r="G1032" s="670"/>
      <c r="H1032" s="670"/>
      <c r="I1032" s="670"/>
      <c r="J1032" s="670"/>
      <c r="K1032" s="670">
        <f>[53]운반공!$BY$552</f>
        <v>2328</v>
      </c>
      <c r="L1032" s="670">
        <f>INT(E1032*K1032)</f>
        <v>2397</v>
      </c>
      <c r="M1032" s="670">
        <f t="shared" ref="M1032:N1034" si="120">G1032+I1032+K1032</f>
        <v>2328</v>
      </c>
      <c r="N1032" s="670">
        <f t="shared" si="120"/>
        <v>2397</v>
      </c>
      <c r="O1032" s="671"/>
      <c r="P1032" s="672"/>
    </row>
    <row r="1033" spans="1:23" s="665" customFormat="1" ht="17.100000000000001" customHeight="1">
      <c r="A1033" s="1316" t="s">
        <v>1199</v>
      </c>
      <c r="B1033" s="1317"/>
      <c r="C1033" s="1316" t="s">
        <v>1185</v>
      </c>
      <c r="D1033" s="1317"/>
      <c r="E1033" s="701">
        <f>Z970</f>
        <v>0.64</v>
      </c>
      <c r="F1033" s="676" t="s">
        <v>418</v>
      </c>
      <c r="G1033" s="670" t="e">
        <f>$G$1001</f>
        <v>#REF!</v>
      </c>
      <c r="H1033" s="670" t="e">
        <f>INT(E1033*G1033)</f>
        <v>#REF!</v>
      </c>
      <c r="I1033" s="670" t="e">
        <f>$I$1001</f>
        <v>#REF!</v>
      </c>
      <c r="J1033" s="670" t="e">
        <f>INT(E1033*I1033)</f>
        <v>#REF!</v>
      </c>
      <c r="K1033" s="670" t="e">
        <f>$K$1001</f>
        <v>#REF!</v>
      </c>
      <c r="L1033" s="670" t="e">
        <f>INT(E1033*K1033)</f>
        <v>#REF!</v>
      </c>
      <c r="M1033" s="670" t="e">
        <f t="shared" si="120"/>
        <v>#REF!</v>
      </c>
      <c r="N1033" s="670" t="e">
        <f t="shared" si="120"/>
        <v>#REF!</v>
      </c>
      <c r="O1033" s="671"/>
      <c r="P1033" s="672"/>
    </row>
    <row r="1034" spans="1:23" s="665" customFormat="1" ht="17.100000000000001" customHeight="1">
      <c r="A1034" s="1316" t="s">
        <v>1719</v>
      </c>
      <c r="B1034" s="1317"/>
      <c r="C1034" s="1316"/>
      <c r="D1034" s="1317"/>
      <c r="E1034" s="675">
        <f>Z968</f>
        <v>0.16</v>
      </c>
      <c r="F1034" s="676" t="s">
        <v>366</v>
      </c>
      <c r="G1034" s="670"/>
      <c r="H1034" s="670"/>
      <c r="I1034" s="670">
        <f>[53]노임단가!$BK$17</f>
        <v>262580</v>
      </c>
      <c r="J1034" s="670">
        <f>INT(E1034*I1034)</f>
        <v>42012</v>
      </c>
      <c r="K1034" s="670"/>
      <c r="L1034" s="670"/>
      <c r="M1034" s="670">
        <f t="shared" si="120"/>
        <v>262580</v>
      </c>
      <c r="N1034" s="670">
        <f t="shared" si="120"/>
        <v>42012</v>
      </c>
      <c r="O1034" s="671"/>
      <c r="P1034" s="672"/>
      <c r="R1034" s="665">
        <v>1.1599999999999999</v>
      </c>
      <c r="S1034" s="765">
        <f>ROUND(R1034/2.5,4)</f>
        <v>0.46400000000000002</v>
      </c>
    </row>
    <row r="1035" spans="1:23" s="665" customFormat="1" ht="17.100000000000001" customHeight="1">
      <c r="A1035" s="1316" t="s">
        <v>248</v>
      </c>
      <c r="B1035" s="1317"/>
      <c r="C1035" s="1316"/>
      <c r="D1035" s="1317"/>
      <c r="E1035" s="675">
        <f>Z969</f>
        <v>0.08</v>
      </c>
      <c r="F1035" s="676" t="s">
        <v>366</v>
      </c>
      <c r="G1035" s="670"/>
      <c r="H1035" s="670"/>
      <c r="I1035" s="670">
        <f>[53]노임단가!$T$5</f>
        <v>172068</v>
      </c>
      <c r="J1035" s="670">
        <f>INT(E1035*I1035)</f>
        <v>13765</v>
      </c>
      <c r="K1035" s="670"/>
      <c r="L1035" s="670"/>
      <c r="M1035" s="670">
        <f>G1035+I1035+K1035</f>
        <v>172068</v>
      </c>
      <c r="N1035" s="670">
        <f>H1035+J1035+L1035</f>
        <v>13765</v>
      </c>
      <c r="O1035" s="671"/>
      <c r="P1035" s="672"/>
      <c r="R1035" s="665">
        <v>1.1100000000000001</v>
      </c>
      <c r="S1035" s="765">
        <f>ROUND(R1035/2.5,4)</f>
        <v>0.44400000000000001</v>
      </c>
    </row>
    <row r="1036" spans="1:23" s="665" customFormat="1" ht="17.100000000000001" customHeight="1">
      <c r="A1036" s="1316" t="s">
        <v>1763</v>
      </c>
      <c r="B1036" s="1317"/>
      <c r="C1036" s="1316" t="s">
        <v>1764</v>
      </c>
      <c r="D1036" s="1317"/>
      <c r="E1036" s="675">
        <v>0.02</v>
      </c>
      <c r="F1036" s="676" t="s">
        <v>672</v>
      </c>
      <c r="G1036" s="670">
        <f>J1035+J1034</f>
        <v>55777</v>
      </c>
      <c r="H1036" s="670">
        <f>INT(E1036*G1036)</f>
        <v>1115</v>
      </c>
      <c r="I1036" s="670"/>
      <c r="J1036" s="670"/>
      <c r="K1036" s="681"/>
      <c r="L1036" s="681"/>
      <c r="M1036" s="670">
        <f>G1036+I1036+K1036</f>
        <v>55777</v>
      </c>
      <c r="N1036" s="670">
        <f>H1036+J1036+L1036</f>
        <v>1115</v>
      </c>
      <c r="O1036" s="671"/>
      <c r="P1036" s="672"/>
      <c r="R1036" s="665">
        <v>0.45</v>
      </c>
      <c r="S1036" s="765">
        <f>ROUND(R1036/2.5,4)</f>
        <v>0.18</v>
      </c>
    </row>
    <row r="1037" spans="1:23" s="665" customFormat="1" ht="17.100000000000001" customHeight="1">
      <c r="A1037" s="1318" t="s">
        <v>1320</v>
      </c>
      <c r="B1037" s="1319"/>
      <c r="C1037" s="1371"/>
      <c r="D1037" s="1372"/>
      <c r="E1037" s="677"/>
      <c r="F1037" s="676"/>
      <c r="G1037" s="670"/>
      <c r="H1037" s="670" t="e">
        <f>SUM(H1031:H1036)</f>
        <v>#REF!</v>
      </c>
      <c r="I1037" s="670"/>
      <c r="J1037" s="670" t="e">
        <f>SUM(J1031:J1036)</f>
        <v>#REF!</v>
      </c>
      <c r="K1037" s="670"/>
      <c r="L1037" s="670" t="e">
        <f>SUM(L1031:L1036)</f>
        <v>#REF!</v>
      </c>
      <c r="M1037" s="670"/>
      <c r="N1037" s="670" t="e">
        <f>SUM(N1031:N1036)</f>
        <v>#REF!</v>
      </c>
      <c r="O1037" s="671"/>
      <c r="P1037" s="672"/>
    </row>
    <row r="1038" spans="1:23" s="665" customFormat="1" ht="17.100000000000001" customHeight="1">
      <c r="A1038" s="668">
        <f>A1030+1</f>
        <v>213</v>
      </c>
      <c r="B1038" s="1320" t="s">
        <v>1756</v>
      </c>
      <c r="C1038" s="1320"/>
      <c r="D1038" s="1320" t="s">
        <v>1773</v>
      </c>
      <c r="E1038" s="1320"/>
      <c r="F1038" s="669" t="s">
        <v>272</v>
      </c>
      <c r="G1038" s="670"/>
      <c r="H1038" s="670"/>
      <c r="I1038" s="670"/>
      <c r="J1038" s="670"/>
      <c r="K1038" s="670"/>
      <c r="L1038" s="670"/>
      <c r="M1038" s="670"/>
      <c r="N1038" s="670"/>
      <c r="O1038" s="671" t="s">
        <v>1562</v>
      </c>
      <c r="P1038" s="672"/>
    </row>
    <row r="1039" spans="1:23" s="665" customFormat="1" ht="17.100000000000001" customHeight="1">
      <c r="A1039" s="1316" t="s">
        <v>1759</v>
      </c>
      <c r="B1039" s="1317"/>
      <c r="C1039" s="1316" t="s">
        <v>1748</v>
      </c>
      <c r="D1039" s="1317"/>
      <c r="E1039" s="675">
        <v>1.03</v>
      </c>
      <c r="F1039" s="676" t="s">
        <v>272</v>
      </c>
      <c r="G1039" s="670"/>
      <c r="H1039" s="670"/>
      <c r="I1039" s="670"/>
      <c r="J1039" s="670"/>
      <c r="K1039" s="670"/>
      <c r="L1039" s="670"/>
      <c r="M1039" s="670"/>
      <c r="N1039" s="670"/>
      <c r="O1039" s="671"/>
      <c r="P1039" s="672"/>
      <c r="R1039" s="681" t="s">
        <v>1317</v>
      </c>
      <c r="S1039" s="681"/>
      <c r="T1039" s="681"/>
      <c r="U1039" s="681"/>
      <c r="W1039" s="665" t="s">
        <v>1774</v>
      </c>
    </row>
    <row r="1040" spans="1:23" s="665" customFormat="1" ht="17.100000000000001" customHeight="1">
      <c r="A1040" s="1316" t="s">
        <v>1760</v>
      </c>
      <c r="B1040" s="1317"/>
      <c r="C1040" s="1321" t="s">
        <v>1761</v>
      </c>
      <c r="D1040" s="1317"/>
      <c r="E1040" s="675">
        <v>1.03</v>
      </c>
      <c r="F1040" s="676" t="s">
        <v>272</v>
      </c>
      <c r="G1040" s="670"/>
      <c r="H1040" s="670"/>
      <c r="I1040" s="670"/>
      <c r="J1040" s="670"/>
      <c r="K1040" s="670">
        <f>[53]운반공!$BY$553</f>
        <v>2978</v>
      </c>
      <c r="L1040" s="670">
        <f>INT(E1040*K1040)</f>
        <v>3067</v>
      </c>
      <c r="M1040" s="670">
        <f t="shared" ref="M1040:N1042" si="121">G1040+I1040+K1040</f>
        <v>2978</v>
      </c>
      <c r="N1040" s="670">
        <f t="shared" si="121"/>
        <v>3067</v>
      </c>
      <c r="O1040" s="671"/>
      <c r="P1040" s="672"/>
      <c r="R1040" s="681" t="s">
        <v>1775</v>
      </c>
      <c r="S1040" s="681"/>
      <c r="T1040" s="681"/>
      <c r="U1040" s="681"/>
    </row>
    <row r="1041" spans="1:23" s="665" customFormat="1" ht="17.100000000000001" customHeight="1">
      <c r="A1041" s="1316" t="s">
        <v>1199</v>
      </c>
      <c r="B1041" s="1317"/>
      <c r="C1041" s="1316" t="s">
        <v>1117</v>
      </c>
      <c r="D1041" s="1317"/>
      <c r="E1041" s="701">
        <f>Z973</f>
        <v>0.64</v>
      </c>
      <c r="F1041" s="676" t="s">
        <v>418</v>
      </c>
      <c r="G1041" s="670" t="e">
        <f>#REF!</f>
        <v>#REF!</v>
      </c>
      <c r="H1041" s="670" t="e">
        <f>INT(E1041*G1041)</f>
        <v>#REF!</v>
      </c>
      <c r="I1041" s="670" t="e">
        <f>#REF!</f>
        <v>#REF!</v>
      </c>
      <c r="J1041" s="670" t="e">
        <f>INT(E1041*I1041)</f>
        <v>#REF!</v>
      </c>
      <c r="K1041" s="670" t="e">
        <f>#REF!</f>
        <v>#REF!</v>
      </c>
      <c r="L1041" s="670" t="e">
        <f>INT(E1041*K1041)</f>
        <v>#REF!</v>
      </c>
      <c r="M1041" s="670" t="e">
        <f t="shared" si="121"/>
        <v>#REF!</v>
      </c>
      <c r="N1041" s="670" t="e">
        <f t="shared" si="121"/>
        <v>#REF!</v>
      </c>
      <c r="O1041" s="671"/>
      <c r="P1041" s="672"/>
      <c r="R1041" s="681" t="s">
        <v>1289</v>
      </c>
      <c r="S1041" s="681" t="s">
        <v>1719</v>
      </c>
      <c r="T1041" s="681">
        <v>2</v>
      </c>
      <c r="U1041" s="681">
        <v>16</v>
      </c>
      <c r="V1041" s="665">
        <v>6</v>
      </c>
      <c r="W1041" s="665">
        <f>ROUND(T1041/U1041/6,3)</f>
        <v>2.1000000000000001E-2</v>
      </c>
    </row>
    <row r="1042" spans="1:23" s="665" customFormat="1" ht="17.100000000000001" customHeight="1">
      <c r="A1042" s="1316" t="s">
        <v>1719</v>
      </c>
      <c r="B1042" s="1317"/>
      <c r="C1042" s="1316"/>
      <c r="D1042" s="1317"/>
      <c r="E1042" s="675">
        <f>Z971</f>
        <v>0.24</v>
      </c>
      <c r="F1042" s="676" t="s">
        <v>366</v>
      </c>
      <c r="G1042" s="670"/>
      <c r="H1042" s="670"/>
      <c r="I1042" s="670">
        <f>[53]노임단가!$BK$17</f>
        <v>262580</v>
      </c>
      <c r="J1042" s="670">
        <f>INT(E1042*I1042)</f>
        <v>63019</v>
      </c>
      <c r="K1042" s="670"/>
      <c r="L1042" s="670"/>
      <c r="M1042" s="670">
        <f t="shared" si="121"/>
        <v>262580</v>
      </c>
      <c r="N1042" s="670">
        <f t="shared" si="121"/>
        <v>63019</v>
      </c>
      <c r="O1042" s="671"/>
      <c r="P1042" s="672"/>
      <c r="R1042" s="766"/>
      <c r="S1042" s="768" t="s">
        <v>248</v>
      </c>
      <c r="T1042" s="681">
        <v>1</v>
      </c>
      <c r="U1042" s="681">
        <v>16</v>
      </c>
      <c r="V1042" s="665">
        <v>6</v>
      </c>
      <c r="W1042" s="665">
        <f t="shared" ref="W1042:W1048" si="122">ROUND(T1042/U1042/6,3)</f>
        <v>0.01</v>
      </c>
    </row>
    <row r="1043" spans="1:23" s="665" customFormat="1" ht="17.100000000000001" customHeight="1">
      <c r="A1043" s="1316" t="s">
        <v>248</v>
      </c>
      <c r="B1043" s="1317"/>
      <c r="C1043" s="1316"/>
      <c r="D1043" s="1317"/>
      <c r="E1043" s="675">
        <f>Z972</f>
        <v>0.08</v>
      </c>
      <c r="F1043" s="676" t="s">
        <v>366</v>
      </c>
      <c r="G1043" s="670"/>
      <c r="H1043" s="670"/>
      <c r="I1043" s="670">
        <f>[53]노임단가!$T$5</f>
        <v>172068</v>
      </c>
      <c r="J1043" s="670">
        <f>INT(E1043*I1043)</f>
        <v>13765</v>
      </c>
      <c r="K1043" s="670"/>
      <c r="L1043" s="670"/>
      <c r="M1043" s="670">
        <f>G1043+I1043+K1043</f>
        <v>172068</v>
      </c>
      <c r="N1043" s="670">
        <f>H1043+J1043+L1043</f>
        <v>13765</v>
      </c>
      <c r="O1043" s="671"/>
      <c r="P1043" s="672"/>
      <c r="R1043" s="681" t="s">
        <v>1776</v>
      </c>
      <c r="S1043" s="768" t="s">
        <v>1719</v>
      </c>
      <c r="T1043" s="681">
        <v>2</v>
      </c>
      <c r="U1043" s="681">
        <v>13</v>
      </c>
      <c r="V1043" s="665">
        <v>6</v>
      </c>
      <c r="W1043" s="665">
        <f t="shared" si="122"/>
        <v>2.5999999999999999E-2</v>
      </c>
    </row>
    <row r="1044" spans="1:23" s="665" customFormat="1" ht="17.100000000000001" customHeight="1">
      <c r="A1044" s="1316" t="s">
        <v>1763</v>
      </c>
      <c r="B1044" s="1317"/>
      <c r="C1044" s="1316" t="s">
        <v>1764</v>
      </c>
      <c r="D1044" s="1317"/>
      <c r="E1044" s="675">
        <v>0.02</v>
      </c>
      <c r="F1044" s="676" t="s">
        <v>672</v>
      </c>
      <c r="G1044" s="670">
        <f>J1043+J1042</f>
        <v>76784</v>
      </c>
      <c r="H1044" s="670">
        <f>INT(E1044*G1044)</f>
        <v>1535</v>
      </c>
      <c r="I1044" s="670"/>
      <c r="J1044" s="670"/>
      <c r="K1044" s="681"/>
      <c r="L1044" s="681"/>
      <c r="M1044" s="670">
        <f>G1044+I1044+K1044</f>
        <v>76784</v>
      </c>
      <c r="N1044" s="670">
        <f>H1044+J1044+L1044</f>
        <v>1535</v>
      </c>
      <c r="O1044" s="671"/>
      <c r="P1044" s="672"/>
      <c r="R1044" s="681"/>
      <c r="S1044" s="681" t="s">
        <v>248</v>
      </c>
      <c r="T1044" s="681">
        <v>1</v>
      </c>
      <c r="U1044" s="681">
        <v>13</v>
      </c>
      <c r="V1044" s="665">
        <v>6</v>
      </c>
      <c r="W1044" s="665">
        <f t="shared" si="122"/>
        <v>1.2999999999999999E-2</v>
      </c>
    </row>
    <row r="1045" spans="1:23" s="665" customFormat="1" ht="17.100000000000001" customHeight="1">
      <c r="A1045" s="1318" t="s">
        <v>1320</v>
      </c>
      <c r="B1045" s="1319"/>
      <c r="C1045" s="1371"/>
      <c r="D1045" s="1372"/>
      <c r="E1045" s="677"/>
      <c r="F1045" s="676"/>
      <c r="G1045" s="670"/>
      <c r="H1045" s="670" t="e">
        <f>SUM(H1039:H1044)</f>
        <v>#REF!</v>
      </c>
      <c r="I1045" s="670"/>
      <c r="J1045" s="670" t="e">
        <f>SUM(J1039:J1044)</f>
        <v>#REF!</v>
      </c>
      <c r="K1045" s="670"/>
      <c r="L1045" s="670" t="e">
        <f>SUM(L1039:L1044)</f>
        <v>#REF!</v>
      </c>
      <c r="M1045" s="670"/>
      <c r="N1045" s="670" t="e">
        <f>SUM(N1039:N1044)</f>
        <v>#REF!</v>
      </c>
      <c r="O1045" s="671"/>
      <c r="P1045" s="672"/>
      <c r="R1045" s="681" t="s">
        <v>1741</v>
      </c>
      <c r="S1045" s="768" t="s">
        <v>1719</v>
      </c>
      <c r="T1045" s="681">
        <v>2</v>
      </c>
      <c r="U1045" s="681">
        <v>11</v>
      </c>
      <c r="V1045" s="665">
        <v>6</v>
      </c>
      <c r="W1045" s="665">
        <f t="shared" si="122"/>
        <v>0.03</v>
      </c>
    </row>
    <row r="1046" spans="1:23" s="665" customFormat="1" ht="17.100000000000001" customHeight="1">
      <c r="A1046" s="668">
        <f>A1038+1</f>
        <v>214</v>
      </c>
      <c r="B1046" s="1320" t="s">
        <v>1756</v>
      </c>
      <c r="C1046" s="1320"/>
      <c r="D1046" s="1320" t="s">
        <v>1777</v>
      </c>
      <c r="E1046" s="1320"/>
      <c r="F1046" s="669" t="s">
        <v>272</v>
      </c>
      <c r="G1046" s="670"/>
      <c r="H1046" s="670"/>
      <c r="I1046" s="670"/>
      <c r="J1046" s="670"/>
      <c r="K1046" s="670"/>
      <c r="L1046" s="670"/>
      <c r="M1046" s="670"/>
      <c r="N1046" s="670"/>
      <c r="O1046" s="671" t="s">
        <v>1562</v>
      </c>
      <c r="P1046" s="672"/>
      <c r="R1046" s="681"/>
      <c r="S1046" s="681" t="s">
        <v>248</v>
      </c>
      <c r="T1046" s="681">
        <v>1</v>
      </c>
      <c r="U1046" s="681">
        <v>11</v>
      </c>
      <c r="V1046" s="665">
        <v>6</v>
      </c>
      <c r="W1046" s="665">
        <f t="shared" si="122"/>
        <v>1.4999999999999999E-2</v>
      </c>
    </row>
    <row r="1047" spans="1:23" s="665" customFormat="1" ht="17.100000000000001" customHeight="1">
      <c r="A1047" s="1316" t="s">
        <v>1759</v>
      </c>
      <c r="B1047" s="1317"/>
      <c r="C1047" s="1316" t="s">
        <v>1778</v>
      </c>
      <c r="D1047" s="1317"/>
      <c r="E1047" s="675">
        <v>1.03</v>
      </c>
      <c r="F1047" s="676" t="s">
        <v>272</v>
      </c>
      <c r="G1047" s="670"/>
      <c r="H1047" s="670"/>
      <c r="I1047" s="670"/>
      <c r="J1047" s="670"/>
      <c r="K1047" s="670"/>
      <c r="L1047" s="670"/>
      <c r="M1047" s="670"/>
      <c r="N1047" s="670"/>
      <c r="O1047" s="671"/>
      <c r="P1047" s="672"/>
      <c r="R1047" s="681" t="s">
        <v>1744</v>
      </c>
      <c r="S1047" s="768" t="s">
        <v>1719</v>
      </c>
      <c r="T1047" s="681">
        <v>2</v>
      </c>
      <c r="U1047" s="681">
        <v>10</v>
      </c>
      <c r="V1047" s="665">
        <v>6</v>
      </c>
      <c r="W1047" s="665">
        <f t="shared" si="122"/>
        <v>3.3000000000000002E-2</v>
      </c>
    </row>
    <row r="1048" spans="1:23" s="665" customFormat="1" ht="17.100000000000001" customHeight="1">
      <c r="A1048" s="1316" t="s">
        <v>1760</v>
      </c>
      <c r="B1048" s="1317"/>
      <c r="C1048" s="1321" t="s">
        <v>1761</v>
      </c>
      <c r="D1048" s="1317"/>
      <c r="E1048" s="675">
        <v>1.03</v>
      </c>
      <c r="F1048" s="676" t="s">
        <v>272</v>
      </c>
      <c r="G1048" s="670"/>
      <c r="H1048" s="670"/>
      <c r="I1048" s="670"/>
      <c r="J1048" s="670"/>
      <c r="K1048" s="670">
        <f>[53]운반공!$BY$554</f>
        <v>3694</v>
      </c>
      <c r="L1048" s="670">
        <f>INT(E1048*K1048)</f>
        <v>3804</v>
      </c>
      <c r="M1048" s="670">
        <f t="shared" ref="M1048:N1050" si="123">G1048+I1048+K1048</f>
        <v>3694</v>
      </c>
      <c r="N1048" s="670">
        <f t="shared" si="123"/>
        <v>3804</v>
      </c>
      <c r="O1048" s="671"/>
      <c r="P1048" s="672"/>
      <c r="R1048" s="681"/>
      <c r="S1048" s="681" t="s">
        <v>248</v>
      </c>
      <c r="T1048" s="681">
        <v>1</v>
      </c>
      <c r="U1048" s="681">
        <v>10</v>
      </c>
      <c r="V1048" s="665">
        <v>6</v>
      </c>
      <c r="W1048" s="665">
        <f t="shared" si="122"/>
        <v>1.7000000000000001E-2</v>
      </c>
    </row>
    <row r="1049" spans="1:23" s="665" customFormat="1" ht="17.100000000000001" customHeight="1">
      <c r="A1049" s="1316" t="s">
        <v>1199</v>
      </c>
      <c r="B1049" s="1317"/>
      <c r="C1049" s="1316" t="s">
        <v>1117</v>
      </c>
      <c r="D1049" s="1317"/>
      <c r="E1049" s="701">
        <f>Z976</f>
        <v>0.64</v>
      </c>
      <c r="F1049" s="676" t="s">
        <v>418</v>
      </c>
      <c r="G1049" s="670" t="e">
        <f>$G$1041</f>
        <v>#REF!</v>
      </c>
      <c r="H1049" s="670" t="e">
        <f>INT(E1049*G1049)</f>
        <v>#REF!</v>
      </c>
      <c r="I1049" s="670" t="e">
        <f>$I$1041</f>
        <v>#REF!</v>
      </c>
      <c r="J1049" s="670" t="e">
        <f>INT(E1049*I1049)</f>
        <v>#REF!</v>
      </c>
      <c r="K1049" s="670" t="e">
        <f>$K$1041</f>
        <v>#REF!</v>
      </c>
      <c r="L1049" s="670" t="e">
        <f>INT(E1049*K1049)</f>
        <v>#REF!</v>
      </c>
      <c r="M1049" s="670" t="e">
        <f t="shared" si="123"/>
        <v>#REF!</v>
      </c>
      <c r="N1049" s="670" t="e">
        <f t="shared" si="123"/>
        <v>#REF!</v>
      </c>
      <c r="O1049" s="671"/>
      <c r="P1049" s="672"/>
      <c r="S1049" s="765"/>
    </row>
    <row r="1050" spans="1:23" s="665" customFormat="1" ht="17.100000000000001" customHeight="1">
      <c r="A1050" s="1316" t="s">
        <v>1719</v>
      </c>
      <c r="B1050" s="1317"/>
      <c r="C1050" s="1316"/>
      <c r="D1050" s="1317"/>
      <c r="E1050" s="675">
        <f>Z974</f>
        <v>0.24</v>
      </c>
      <c r="F1050" s="676" t="s">
        <v>366</v>
      </c>
      <c r="G1050" s="670"/>
      <c r="H1050" s="670"/>
      <c r="I1050" s="670">
        <f>[53]노임단가!$BK$17</f>
        <v>262580</v>
      </c>
      <c r="J1050" s="670">
        <f>INT(E1050*I1050)</f>
        <v>63019</v>
      </c>
      <c r="K1050" s="670"/>
      <c r="L1050" s="670"/>
      <c r="M1050" s="670">
        <f t="shared" si="123"/>
        <v>262580</v>
      </c>
      <c r="N1050" s="670">
        <f t="shared" si="123"/>
        <v>63019</v>
      </c>
      <c r="O1050" s="671"/>
      <c r="P1050" s="672"/>
      <c r="R1050" s="769"/>
      <c r="S1050" s="765"/>
    </row>
    <row r="1051" spans="1:23" s="665" customFormat="1" ht="17.100000000000001" customHeight="1">
      <c r="A1051" s="1316" t="s">
        <v>248</v>
      </c>
      <c r="B1051" s="1317"/>
      <c r="C1051" s="1316"/>
      <c r="D1051" s="1317"/>
      <c r="E1051" s="675">
        <f>Z975</f>
        <v>0.08</v>
      </c>
      <c r="F1051" s="676" t="s">
        <v>366</v>
      </c>
      <c r="G1051" s="670"/>
      <c r="H1051" s="670"/>
      <c r="I1051" s="670">
        <f>[53]노임단가!$T$5</f>
        <v>172068</v>
      </c>
      <c r="J1051" s="670">
        <f>INT(E1051*I1051)</f>
        <v>13765</v>
      </c>
      <c r="K1051" s="670"/>
      <c r="L1051" s="670"/>
      <c r="M1051" s="670">
        <f>G1051+I1051+K1051</f>
        <v>172068</v>
      </c>
      <c r="N1051" s="670">
        <f>H1051+J1051+L1051</f>
        <v>13765</v>
      </c>
      <c r="O1051" s="671"/>
      <c r="P1051" s="672"/>
    </row>
    <row r="1052" spans="1:23" s="665" customFormat="1" ht="17.100000000000001" customHeight="1">
      <c r="A1052" s="1316" t="s">
        <v>1763</v>
      </c>
      <c r="B1052" s="1317"/>
      <c r="C1052" s="1316" t="s">
        <v>1764</v>
      </c>
      <c r="D1052" s="1317"/>
      <c r="E1052" s="675">
        <v>0.02</v>
      </c>
      <c r="F1052" s="676" t="s">
        <v>672</v>
      </c>
      <c r="G1052" s="670">
        <f>J1051+J1050</f>
        <v>76784</v>
      </c>
      <c r="H1052" s="670">
        <f>INT(E1052*G1052)</f>
        <v>1535</v>
      </c>
      <c r="I1052" s="670"/>
      <c r="J1052" s="670"/>
      <c r="K1052" s="681"/>
      <c r="L1052" s="681"/>
      <c r="M1052" s="670">
        <f>G1052+I1052+K1052</f>
        <v>76784</v>
      </c>
      <c r="N1052" s="670">
        <f>H1052+J1052+L1052</f>
        <v>1535</v>
      </c>
      <c r="O1052" s="671"/>
      <c r="P1052" s="672"/>
    </row>
    <row r="1053" spans="1:23" s="665" customFormat="1" ht="17.100000000000001" customHeight="1">
      <c r="A1053" s="1318" t="s">
        <v>1320</v>
      </c>
      <c r="B1053" s="1319"/>
      <c r="C1053" s="1371"/>
      <c r="D1053" s="1372"/>
      <c r="E1053" s="677"/>
      <c r="F1053" s="676"/>
      <c r="G1053" s="670"/>
      <c r="H1053" s="670" t="e">
        <f>SUM(H1047:H1052)</f>
        <v>#REF!</v>
      </c>
      <c r="I1053" s="670"/>
      <c r="J1053" s="670" t="e">
        <f>SUM(J1047:J1052)</f>
        <v>#REF!</v>
      </c>
      <c r="K1053" s="670"/>
      <c r="L1053" s="670" t="e">
        <f>SUM(L1047:L1052)</f>
        <v>#REF!</v>
      </c>
      <c r="M1053" s="670"/>
      <c r="N1053" s="670" t="e">
        <f>SUM(N1047:N1052)</f>
        <v>#REF!</v>
      </c>
      <c r="O1053" s="671"/>
      <c r="P1053" s="672"/>
      <c r="Q1053" s="709">
        <f>1/E1079</f>
        <v>5.9988002399520104</v>
      </c>
    </row>
    <row r="1054" spans="1:23" s="665" customFormat="1" ht="17.100000000000001" customHeight="1">
      <c r="A1054" s="668">
        <f>A1046+1</f>
        <v>215</v>
      </c>
      <c r="B1054" s="1320" t="s">
        <v>1756</v>
      </c>
      <c r="C1054" s="1320"/>
      <c r="D1054" s="1320" t="s">
        <v>1779</v>
      </c>
      <c r="E1054" s="1320"/>
      <c r="F1054" s="669" t="s">
        <v>272</v>
      </c>
      <c r="G1054" s="670"/>
      <c r="H1054" s="670"/>
      <c r="I1054" s="670"/>
      <c r="J1054" s="670"/>
      <c r="K1054" s="670"/>
      <c r="L1054" s="670"/>
      <c r="M1054" s="670"/>
      <c r="N1054" s="670"/>
      <c r="O1054" s="671" t="s">
        <v>1562</v>
      </c>
      <c r="P1054" s="672"/>
      <c r="Q1054" s="665">
        <f>0.19/6</f>
        <v>3.1666666666666669E-2</v>
      </c>
    </row>
    <row r="1055" spans="1:23" s="665" customFormat="1" ht="17.100000000000001" customHeight="1">
      <c r="A1055" s="1316" t="s">
        <v>1759</v>
      </c>
      <c r="B1055" s="1317"/>
      <c r="C1055" s="1316" t="s">
        <v>1780</v>
      </c>
      <c r="D1055" s="1317"/>
      <c r="E1055" s="675">
        <v>1.03</v>
      </c>
      <c r="F1055" s="676" t="s">
        <v>272</v>
      </c>
      <c r="G1055" s="670"/>
      <c r="H1055" s="670"/>
      <c r="I1055" s="670"/>
      <c r="J1055" s="670"/>
      <c r="K1055" s="670"/>
      <c r="L1055" s="670"/>
      <c r="M1055" s="670"/>
      <c r="N1055" s="670"/>
      <c r="O1055" s="671"/>
      <c r="P1055" s="672"/>
      <c r="Q1055" s="665" t="s">
        <v>1781</v>
      </c>
    </row>
    <row r="1056" spans="1:23" s="665" customFormat="1" ht="17.100000000000001" customHeight="1">
      <c r="A1056" s="1316" t="s">
        <v>1760</v>
      </c>
      <c r="B1056" s="1317"/>
      <c r="C1056" s="1321" t="s">
        <v>1761</v>
      </c>
      <c r="D1056" s="1317"/>
      <c r="E1056" s="675">
        <v>1.03</v>
      </c>
      <c r="F1056" s="676" t="s">
        <v>272</v>
      </c>
      <c r="G1056" s="670"/>
      <c r="H1056" s="670"/>
      <c r="I1056" s="670"/>
      <c r="J1056" s="670"/>
      <c r="K1056" s="670">
        <f>INT([53]운반공!$BY$554-100*([53]운반공!$BY$554-[53]운반공!$BY$555)/200)</f>
        <v>4406</v>
      </c>
      <c r="L1056" s="670">
        <f>INT(E1056*K1056)</f>
        <v>4538</v>
      </c>
      <c r="M1056" s="670">
        <f t="shared" ref="M1056:N1058" si="124">G1056+I1056+K1056</f>
        <v>4406</v>
      </c>
      <c r="N1056" s="670">
        <f t="shared" si="124"/>
        <v>4538</v>
      </c>
      <c r="O1056" s="671"/>
      <c r="P1056" s="672"/>
      <c r="Q1056" s="665" t="s">
        <v>1781</v>
      </c>
    </row>
    <row r="1057" spans="1:23" s="665" customFormat="1" ht="17.100000000000001" customHeight="1">
      <c r="A1057" s="1316" t="s">
        <v>1199</v>
      </c>
      <c r="B1057" s="1317"/>
      <c r="C1057" s="1316" t="s">
        <v>1117</v>
      </c>
      <c r="D1057" s="1317"/>
      <c r="E1057" s="675">
        <f>Z979</f>
        <v>0.8</v>
      </c>
      <c r="F1057" s="676" t="s">
        <v>418</v>
      </c>
      <c r="G1057" s="670" t="e">
        <f>$G$1041</f>
        <v>#REF!</v>
      </c>
      <c r="H1057" s="670" t="e">
        <f>INT(E1057*G1057)</f>
        <v>#REF!</v>
      </c>
      <c r="I1057" s="670" t="e">
        <f>$I$1041</f>
        <v>#REF!</v>
      </c>
      <c r="J1057" s="670" t="e">
        <f>INT(E1057*I1057)</f>
        <v>#REF!</v>
      </c>
      <c r="K1057" s="670" t="e">
        <f>$K$1041</f>
        <v>#REF!</v>
      </c>
      <c r="L1057" s="670" t="e">
        <f>INT(E1057*K1057)</f>
        <v>#REF!</v>
      </c>
      <c r="M1057" s="670" t="e">
        <f t="shared" si="124"/>
        <v>#REF!</v>
      </c>
      <c r="N1057" s="670" t="e">
        <f t="shared" si="124"/>
        <v>#REF!</v>
      </c>
      <c r="O1057" s="671"/>
      <c r="P1057" s="672"/>
      <c r="Q1057" s="665" t="s">
        <v>1781</v>
      </c>
    </row>
    <row r="1058" spans="1:23" s="665" customFormat="1" ht="17.100000000000001" customHeight="1">
      <c r="A1058" s="1316" t="s">
        <v>1719</v>
      </c>
      <c r="B1058" s="1317"/>
      <c r="C1058" s="1316"/>
      <c r="D1058" s="1317"/>
      <c r="E1058" s="679">
        <f>Z977</f>
        <v>0.3</v>
      </c>
      <c r="F1058" s="676" t="s">
        <v>366</v>
      </c>
      <c r="G1058" s="670"/>
      <c r="H1058" s="670"/>
      <c r="I1058" s="670">
        <f>[53]노임단가!$BK$17</f>
        <v>262580</v>
      </c>
      <c r="J1058" s="670">
        <f>INT(E1058*I1058)</f>
        <v>78774</v>
      </c>
      <c r="K1058" s="670"/>
      <c r="L1058" s="670"/>
      <c r="M1058" s="670">
        <f t="shared" si="124"/>
        <v>262580</v>
      </c>
      <c r="N1058" s="670">
        <f t="shared" si="124"/>
        <v>78774</v>
      </c>
      <c r="O1058" s="671"/>
      <c r="P1058" s="672"/>
      <c r="Q1058" s="665" t="s">
        <v>1781</v>
      </c>
    </row>
    <row r="1059" spans="1:23" s="665" customFormat="1" ht="17.100000000000001" customHeight="1">
      <c r="A1059" s="1316" t="s">
        <v>248</v>
      </c>
      <c r="B1059" s="1317"/>
      <c r="C1059" s="1316"/>
      <c r="D1059" s="1317"/>
      <c r="E1059" s="679">
        <f>Z978</f>
        <v>0.1</v>
      </c>
      <c r="F1059" s="676" t="s">
        <v>366</v>
      </c>
      <c r="G1059" s="670"/>
      <c r="H1059" s="670"/>
      <c r="I1059" s="670">
        <f>[53]노임단가!$T$5</f>
        <v>172068</v>
      </c>
      <c r="J1059" s="670">
        <f>INT(E1059*I1059)</f>
        <v>17206</v>
      </c>
      <c r="K1059" s="670"/>
      <c r="L1059" s="670"/>
      <c r="M1059" s="670">
        <f>G1059+I1059+K1059</f>
        <v>172068</v>
      </c>
      <c r="N1059" s="670">
        <f>H1059+J1059+L1059</f>
        <v>17206</v>
      </c>
      <c r="O1059" s="671"/>
      <c r="P1059" s="672"/>
      <c r="Q1059" s="665" t="s">
        <v>1781</v>
      </c>
    </row>
    <row r="1060" spans="1:23" s="665" customFormat="1" ht="17.100000000000001" customHeight="1">
      <c r="A1060" s="1316" t="s">
        <v>1763</v>
      </c>
      <c r="B1060" s="1317"/>
      <c r="C1060" s="1316" t="s">
        <v>1764</v>
      </c>
      <c r="D1060" s="1317"/>
      <c r="E1060" s="675">
        <v>0.02</v>
      </c>
      <c r="F1060" s="676" t="s">
        <v>672</v>
      </c>
      <c r="G1060" s="670">
        <f>J1059+J1058</f>
        <v>95980</v>
      </c>
      <c r="H1060" s="670">
        <f>INT(E1060*G1060)</f>
        <v>1919</v>
      </c>
      <c r="I1060" s="670"/>
      <c r="J1060" s="670"/>
      <c r="K1060" s="681"/>
      <c r="L1060" s="681"/>
      <c r="M1060" s="670">
        <f>G1060+I1060+K1060</f>
        <v>95980</v>
      </c>
      <c r="N1060" s="670">
        <f>H1060+J1060+L1060</f>
        <v>1919</v>
      </c>
      <c r="O1060" s="671"/>
      <c r="P1060" s="672"/>
      <c r="Q1060" s="665" t="s">
        <v>1781</v>
      </c>
    </row>
    <row r="1061" spans="1:23" s="665" customFormat="1" ht="17.100000000000001" customHeight="1">
      <c r="A1061" s="1318" t="s">
        <v>1320</v>
      </c>
      <c r="B1061" s="1319"/>
      <c r="C1061" s="1371"/>
      <c r="D1061" s="1372"/>
      <c r="E1061" s="677"/>
      <c r="F1061" s="676"/>
      <c r="G1061" s="670"/>
      <c r="H1061" s="670" t="e">
        <f>SUM(H1055:H1060)</f>
        <v>#REF!</v>
      </c>
      <c r="I1061" s="670"/>
      <c r="J1061" s="670" t="e">
        <f>SUM(J1055:J1060)</f>
        <v>#REF!</v>
      </c>
      <c r="K1061" s="670"/>
      <c r="L1061" s="670" t="e">
        <f>SUM(L1055:L1060)</f>
        <v>#REF!</v>
      </c>
      <c r="M1061" s="670"/>
      <c r="N1061" s="670" t="e">
        <f>SUM(N1055:N1060)</f>
        <v>#REF!</v>
      </c>
      <c r="O1061" s="671"/>
      <c r="P1061" s="672"/>
      <c r="Q1061" s="665" t="s">
        <v>1781</v>
      </c>
    </row>
    <row r="1062" spans="1:23" s="665" customFormat="1" ht="17.100000000000001" customHeight="1">
      <c r="A1062" s="668">
        <f>A1054+1</f>
        <v>216</v>
      </c>
      <c r="B1062" s="1320" t="s">
        <v>1756</v>
      </c>
      <c r="C1062" s="1320"/>
      <c r="D1062" s="1320" t="s">
        <v>1782</v>
      </c>
      <c r="E1062" s="1320"/>
      <c r="F1062" s="669" t="s">
        <v>272</v>
      </c>
      <c r="G1062" s="670"/>
      <c r="H1062" s="670"/>
      <c r="I1062" s="670"/>
      <c r="J1062" s="670"/>
      <c r="K1062" s="670"/>
      <c r="L1062" s="670"/>
      <c r="M1062" s="670"/>
      <c r="N1062" s="670"/>
      <c r="O1062" s="671" t="s">
        <v>1562</v>
      </c>
      <c r="P1062" s="672"/>
      <c r="Q1062" s="665" t="s">
        <v>1781</v>
      </c>
    </row>
    <row r="1063" spans="1:23" s="665" customFormat="1" ht="17.100000000000001" customHeight="1">
      <c r="A1063" s="1316" t="s">
        <v>1759</v>
      </c>
      <c r="B1063" s="1317"/>
      <c r="C1063" s="1316" t="s">
        <v>1783</v>
      </c>
      <c r="D1063" s="1317"/>
      <c r="E1063" s="675">
        <v>1.03</v>
      </c>
      <c r="F1063" s="676" t="s">
        <v>272</v>
      </c>
      <c r="G1063" s="670"/>
      <c r="H1063" s="670"/>
      <c r="I1063" s="670"/>
      <c r="J1063" s="670"/>
      <c r="K1063" s="670"/>
      <c r="L1063" s="670"/>
      <c r="M1063" s="670"/>
      <c r="N1063" s="670"/>
      <c r="O1063" s="671"/>
      <c r="P1063" s="672"/>
      <c r="Q1063" s="665" t="s">
        <v>1781</v>
      </c>
    </row>
    <row r="1064" spans="1:23" s="665" customFormat="1" ht="17.100000000000001" customHeight="1">
      <c r="A1064" s="1316" t="s">
        <v>1760</v>
      </c>
      <c r="B1064" s="1317"/>
      <c r="C1064" s="1321" t="s">
        <v>1761</v>
      </c>
      <c r="D1064" s="1317"/>
      <c r="E1064" s="675">
        <v>1.03</v>
      </c>
      <c r="F1064" s="676" t="s">
        <v>272</v>
      </c>
      <c r="G1064" s="670"/>
      <c r="H1064" s="670"/>
      <c r="I1064" s="670"/>
      <c r="J1064" s="670"/>
      <c r="K1064" s="670">
        <f>[53]운반공!$BY$555</f>
        <v>5118</v>
      </c>
      <c r="L1064" s="670">
        <f>INT(E1064*K1064)</f>
        <v>5271</v>
      </c>
      <c r="M1064" s="670">
        <f t="shared" ref="M1064:N1066" si="125">G1064+I1064+K1064</f>
        <v>5118</v>
      </c>
      <c r="N1064" s="670">
        <f t="shared" si="125"/>
        <v>5271</v>
      </c>
      <c r="O1064" s="671"/>
      <c r="P1064" s="672"/>
      <c r="Q1064" s="665" t="s">
        <v>1781</v>
      </c>
    </row>
    <row r="1065" spans="1:23" s="665" customFormat="1" ht="17.100000000000001" customHeight="1">
      <c r="A1065" s="1316" t="s">
        <v>1199</v>
      </c>
      <c r="B1065" s="1317"/>
      <c r="C1065" s="1316" t="s">
        <v>1117</v>
      </c>
      <c r="D1065" s="1317"/>
      <c r="E1065" s="701">
        <f>Z982</f>
        <v>0.91400000000000003</v>
      </c>
      <c r="F1065" s="676" t="s">
        <v>418</v>
      </c>
      <c r="G1065" s="670" t="e">
        <f>$G$1041</f>
        <v>#REF!</v>
      </c>
      <c r="H1065" s="670" t="e">
        <f>INT(E1065*G1065)</f>
        <v>#REF!</v>
      </c>
      <c r="I1065" s="670" t="e">
        <f>$I$1041</f>
        <v>#REF!</v>
      </c>
      <c r="J1065" s="670" t="e">
        <f>INT(E1065*I1065)</f>
        <v>#REF!</v>
      </c>
      <c r="K1065" s="670" t="e">
        <f>$K$1041</f>
        <v>#REF!</v>
      </c>
      <c r="L1065" s="670" t="e">
        <f>INT(E1065*K1065)</f>
        <v>#REF!</v>
      </c>
      <c r="M1065" s="670" t="e">
        <f t="shared" si="125"/>
        <v>#REF!</v>
      </c>
      <c r="N1065" s="670" t="e">
        <f t="shared" si="125"/>
        <v>#REF!</v>
      </c>
      <c r="O1065" s="671"/>
      <c r="P1065" s="672"/>
      <c r="Q1065" s="665" t="s">
        <v>1781</v>
      </c>
    </row>
    <row r="1066" spans="1:23" s="665" customFormat="1" ht="17.100000000000001" customHeight="1">
      <c r="A1066" s="1316" t="s">
        <v>1719</v>
      </c>
      <c r="B1066" s="1317"/>
      <c r="C1066" s="1316"/>
      <c r="D1066" s="1317"/>
      <c r="E1066" s="701">
        <f>Z980</f>
        <v>0.34</v>
      </c>
      <c r="F1066" s="676" t="s">
        <v>366</v>
      </c>
      <c r="G1066" s="670"/>
      <c r="H1066" s="670"/>
      <c r="I1066" s="670">
        <f>[53]노임단가!$BK$17</f>
        <v>262580</v>
      </c>
      <c r="J1066" s="670">
        <f>INT(E1066*I1066)</f>
        <v>89277</v>
      </c>
      <c r="K1066" s="670"/>
      <c r="L1066" s="670"/>
      <c r="M1066" s="670">
        <f t="shared" si="125"/>
        <v>262580</v>
      </c>
      <c r="N1066" s="670">
        <f t="shared" si="125"/>
        <v>89277</v>
      </c>
      <c r="O1066" s="671"/>
      <c r="P1066" s="672"/>
      <c r="Q1066" s="665" t="s">
        <v>1781</v>
      </c>
    </row>
    <row r="1067" spans="1:23" s="665" customFormat="1" ht="17.100000000000001" customHeight="1">
      <c r="A1067" s="1316" t="s">
        <v>248</v>
      </c>
      <c r="B1067" s="1317"/>
      <c r="C1067" s="1316"/>
      <c r="D1067" s="1317"/>
      <c r="E1067" s="675">
        <f>Z981</f>
        <v>0.11</v>
      </c>
      <c r="F1067" s="676" t="s">
        <v>366</v>
      </c>
      <c r="G1067" s="670"/>
      <c r="H1067" s="670"/>
      <c r="I1067" s="670">
        <f>[53]노임단가!$T$5</f>
        <v>172068</v>
      </c>
      <c r="J1067" s="670">
        <f>INT(E1067*I1067)</f>
        <v>18927</v>
      </c>
      <c r="K1067" s="670"/>
      <c r="L1067" s="670"/>
      <c r="M1067" s="670">
        <f>G1067+I1067+K1067</f>
        <v>172068</v>
      </c>
      <c r="N1067" s="670">
        <f>H1067+J1067+L1067</f>
        <v>18927</v>
      </c>
      <c r="O1067" s="671"/>
      <c r="P1067" s="672" t="s">
        <v>1784</v>
      </c>
      <c r="Q1067" s="752" t="s">
        <v>1781</v>
      </c>
      <c r="R1067" s="752" t="s">
        <v>1316</v>
      </c>
      <c r="S1067" s="770"/>
      <c r="T1067" s="770"/>
      <c r="U1067" s="770"/>
      <c r="V1067" s="770"/>
      <c r="W1067" s="770"/>
    </row>
    <row r="1068" spans="1:23" s="665" customFormat="1" ht="17.100000000000001" customHeight="1">
      <c r="A1068" s="1316" t="s">
        <v>1763</v>
      </c>
      <c r="B1068" s="1317"/>
      <c r="C1068" s="1316" t="s">
        <v>1764</v>
      </c>
      <c r="D1068" s="1317"/>
      <c r="E1068" s="675">
        <v>0.02</v>
      </c>
      <c r="F1068" s="676" t="s">
        <v>672</v>
      </c>
      <c r="G1068" s="670">
        <f>J1067+J1066</f>
        <v>108204</v>
      </c>
      <c r="H1068" s="670">
        <f>INT(E1068*G1068)</f>
        <v>2164</v>
      </c>
      <c r="I1068" s="670"/>
      <c r="J1068" s="670"/>
      <c r="K1068" s="681"/>
      <c r="L1068" s="681"/>
      <c r="M1068" s="670">
        <f>G1068+I1068+K1068</f>
        <v>108204</v>
      </c>
      <c r="N1068" s="670">
        <f>H1068+J1068+L1068</f>
        <v>2164</v>
      </c>
      <c r="O1068" s="671"/>
      <c r="P1068" s="672"/>
      <c r="Q1068" s="752"/>
      <c r="R1068" s="770" t="s">
        <v>1785</v>
      </c>
      <c r="S1068" s="770" t="s">
        <v>1719</v>
      </c>
      <c r="T1068" s="770">
        <v>2</v>
      </c>
      <c r="U1068" s="770">
        <v>22</v>
      </c>
      <c r="V1068" s="770"/>
      <c r="W1068" s="770">
        <f>ROUND(T1068/U1068,2)</f>
        <v>0.09</v>
      </c>
    </row>
    <row r="1069" spans="1:23" s="665" customFormat="1" ht="17.100000000000001" customHeight="1">
      <c r="A1069" s="1318" t="s">
        <v>1320</v>
      </c>
      <c r="B1069" s="1319"/>
      <c r="C1069" s="1371"/>
      <c r="D1069" s="1372"/>
      <c r="E1069" s="677"/>
      <c r="F1069" s="676"/>
      <c r="G1069" s="670"/>
      <c r="H1069" s="670" t="e">
        <f>SUM(H1063:H1068)</f>
        <v>#REF!</v>
      </c>
      <c r="I1069" s="670"/>
      <c r="J1069" s="670" t="e">
        <f>SUM(J1063:J1068)</f>
        <v>#REF!</v>
      </c>
      <c r="K1069" s="670"/>
      <c r="L1069" s="670" t="e">
        <f>SUM(L1063:L1068)</f>
        <v>#REF!</v>
      </c>
      <c r="M1069" s="670"/>
      <c r="N1069" s="670" t="e">
        <f>SUM(N1063:N1068)</f>
        <v>#REF!</v>
      </c>
      <c r="O1069" s="671"/>
      <c r="P1069" s="672"/>
      <c r="Q1069" s="752" t="s">
        <v>1781</v>
      </c>
      <c r="R1069" s="770"/>
      <c r="S1069" s="770" t="s">
        <v>248</v>
      </c>
      <c r="T1069" s="770">
        <v>1</v>
      </c>
      <c r="U1069" s="770">
        <v>22</v>
      </c>
      <c r="V1069" s="770"/>
      <c r="W1069" s="770">
        <f>ROUND(T1069/U1069,2)</f>
        <v>0.05</v>
      </c>
    </row>
    <row r="1070" spans="1:23" s="665" customFormat="1" ht="17.100000000000001" customHeight="1">
      <c r="A1070" s="668">
        <f>A1062+1</f>
        <v>217</v>
      </c>
      <c r="B1070" s="1320" t="s">
        <v>1786</v>
      </c>
      <c r="C1070" s="1320"/>
      <c r="D1070" s="1320" t="s">
        <v>1702</v>
      </c>
      <c r="E1070" s="1320"/>
      <c r="F1070" s="669" t="s">
        <v>272</v>
      </c>
      <c r="G1070" s="670"/>
      <c r="H1070" s="670"/>
      <c r="I1070" s="670"/>
      <c r="J1070" s="670"/>
      <c r="K1070" s="670"/>
      <c r="L1070" s="670"/>
      <c r="M1070" s="670"/>
      <c r="N1070" s="670"/>
      <c r="O1070" s="671"/>
      <c r="P1070" s="672"/>
      <c r="Q1070" s="752" t="s">
        <v>1781</v>
      </c>
      <c r="R1070" s="770"/>
      <c r="S1070" s="770"/>
      <c r="T1070" s="770"/>
      <c r="U1070" s="770"/>
      <c r="V1070" s="770"/>
      <c r="W1070" s="770"/>
    </row>
    <row r="1071" spans="1:23" s="665" customFormat="1" ht="17.100000000000001" customHeight="1">
      <c r="A1071" s="1316" t="s">
        <v>1033</v>
      </c>
      <c r="B1071" s="1320"/>
      <c r="C1071" s="1316" t="s">
        <v>1787</v>
      </c>
      <c r="D1071" s="1317"/>
      <c r="E1071" s="675">
        <v>1.03</v>
      </c>
      <c r="F1071" s="676" t="s">
        <v>272</v>
      </c>
      <c r="G1071" s="670" t="e">
        <f>#REF!</f>
        <v>#REF!</v>
      </c>
      <c r="H1071" s="670" t="e">
        <f>INT(E1071*G1071)</f>
        <v>#REF!</v>
      </c>
      <c r="I1071" s="670"/>
      <c r="J1071" s="670"/>
      <c r="K1071" s="670"/>
      <c r="L1071" s="670"/>
      <c r="M1071" s="670" t="e">
        <f t="shared" ref="M1071:N1075" si="126">G1071+I1071+K1071</f>
        <v>#REF!</v>
      </c>
      <c r="N1071" s="670" t="e">
        <f t="shared" si="126"/>
        <v>#REF!</v>
      </c>
      <c r="O1071" s="671"/>
      <c r="P1071" s="672"/>
      <c r="Q1071" s="752" t="s">
        <v>1781</v>
      </c>
      <c r="R1071" s="770" t="s">
        <v>1289</v>
      </c>
      <c r="S1071" s="770" t="s">
        <v>1719</v>
      </c>
      <c r="T1071" s="770">
        <v>2</v>
      </c>
      <c r="U1071" s="770">
        <v>13</v>
      </c>
      <c r="V1071" s="770"/>
      <c r="W1071" s="770">
        <f>ROUND(T1071/U1071,2)</f>
        <v>0.15</v>
      </c>
    </row>
    <row r="1072" spans="1:23" s="665" customFormat="1" ht="17.100000000000001" customHeight="1">
      <c r="A1072" s="1316" t="s">
        <v>1028</v>
      </c>
      <c r="B1072" s="1320"/>
      <c r="C1072" s="1316" t="s">
        <v>1788</v>
      </c>
      <c r="D1072" s="1317"/>
      <c r="E1072" s="683">
        <v>0.16669999999999999</v>
      </c>
      <c r="F1072" s="676" t="s">
        <v>30</v>
      </c>
      <c r="G1072" s="670" t="e">
        <f>#REF!</f>
        <v>#REF!</v>
      </c>
      <c r="H1072" s="670" t="e">
        <f>INT(E1072*G1072)</f>
        <v>#REF!</v>
      </c>
      <c r="I1072" s="670"/>
      <c r="J1072" s="670"/>
      <c r="K1072" s="670"/>
      <c r="L1072" s="670"/>
      <c r="M1072" s="670" t="e">
        <f t="shared" si="126"/>
        <v>#REF!</v>
      </c>
      <c r="N1072" s="670" t="e">
        <f t="shared" si="126"/>
        <v>#REF!</v>
      </c>
      <c r="O1072" s="671"/>
      <c r="P1072" s="672"/>
      <c r="Q1072" s="752" t="s">
        <v>1781</v>
      </c>
      <c r="R1072" s="770"/>
      <c r="S1072" s="770" t="s">
        <v>248</v>
      </c>
      <c r="T1072" s="770">
        <v>1</v>
      </c>
      <c r="U1072" s="770">
        <v>13</v>
      </c>
      <c r="V1072" s="770"/>
      <c r="W1072" s="770">
        <f>ROUND(T1072/U1072,2)</f>
        <v>0.08</v>
      </c>
    </row>
    <row r="1073" spans="1:23" s="665" customFormat="1" ht="17.100000000000001" customHeight="1">
      <c r="A1073" s="1316" t="s">
        <v>1719</v>
      </c>
      <c r="B1073" s="1317"/>
      <c r="C1073" s="1321"/>
      <c r="D1073" s="1317"/>
      <c r="E1073" s="701">
        <f>W1041</f>
        <v>2.1000000000000001E-2</v>
      </c>
      <c r="F1073" s="676" t="s">
        <v>366</v>
      </c>
      <c r="G1073" s="670"/>
      <c r="H1073" s="670"/>
      <c r="I1073" s="670">
        <f>[53]노임단가!$BK$17</f>
        <v>262580</v>
      </c>
      <c r="J1073" s="670">
        <f>INT(E1073*I1073)</f>
        <v>5514</v>
      </c>
      <c r="K1073" s="670"/>
      <c r="L1073" s="670"/>
      <c r="M1073" s="670">
        <f>G1073+I1073+K1073</f>
        <v>262580</v>
      </c>
      <c r="N1073" s="670">
        <f t="shared" si="126"/>
        <v>5514</v>
      </c>
      <c r="O1073" s="671"/>
      <c r="P1073" s="672"/>
      <c r="Q1073" s="752" t="s">
        <v>1781</v>
      </c>
      <c r="R1073" s="770"/>
      <c r="S1073" s="770"/>
      <c r="T1073" s="770"/>
      <c r="U1073" s="770"/>
      <c r="V1073" s="770"/>
      <c r="W1073" s="770"/>
    </row>
    <row r="1074" spans="1:23" s="665" customFormat="1" ht="17.100000000000001" customHeight="1">
      <c r="A1074" s="1316" t="s">
        <v>248</v>
      </c>
      <c r="B1074" s="1317"/>
      <c r="C1074" s="1316"/>
      <c r="D1074" s="1317"/>
      <c r="E1074" s="675">
        <f>W1042</f>
        <v>0.01</v>
      </c>
      <c r="F1074" s="676" t="s">
        <v>366</v>
      </c>
      <c r="G1074" s="670"/>
      <c r="H1074" s="670"/>
      <c r="I1074" s="670">
        <f>[53]노임단가!$T$5</f>
        <v>172068</v>
      </c>
      <c r="J1074" s="670">
        <f>INT(E1074*I1074)</f>
        <v>1720</v>
      </c>
      <c r="K1074" s="670"/>
      <c r="L1074" s="670"/>
      <c r="M1074" s="670">
        <f t="shared" si="126"/>
        <v>172068</v>
      </c>
      <c r="N1074" s="670">
        <f t="shared" si="126"/>
        <v>1720</v>
      </c>
      <c r="O1074" s="671"/>
      <c r="P1074" s="672"/>
      <c r="Q1074" s="665" t="s">
        <v>1781</v>
      </c>
    </row>
    <row r="1075" spans="1:23" s="665" customFormat="1" ht="17.100000000000001" customHeight="1">
      <c r="A1075" s="1316" t="s">
        <v>1763</v>
      </c>
      <c r="B1075" s="1317"/>
      <c r="C1075" s="1316" t="s">
        <v>1451</v>
      </c>
      <c r="D1075" s="1317"/>
      <c r="E1075" s="675">
        <v>0.03</v>
      </c>
      <c r="F1075" s="676" t="s">
        <v>672</v>
      </c>
      <c r="G1075" s="670">
        <f>J1073+J1074</f>
        <v>7234</v>
      </c>
      <c r="H1075" s="670">
        <f>INT(E1075*G1075)</f>
        <v>217</v>
      </c>
      <c r="I1075" s="670"/>
      <c r="J1075" s="670"/>
      <c r="K1075" s="681"/>
      <c r="L1075" s="681"/>
      <c r="M1075" s="670">
        <f>G1075+I1075+K1075</f>
        <v>7234</v>
      </c>
      <c r="N1075" s="670">
        <f t="shared" si="126"/>
        <v>217</v>
      </c>
      <c r="O1075" s="671"/>
      <c r="P1075" s="672"/>
      <c r="Q1075" s="665" t="s">
        <v>1781</v>
      </c>
    </row>
    <row r="1076" spans="1:23" s="665" customFormat="1" ht="17.100000000000001" customHeight="1">
      <c r="A1076" s="1318" t="s">
        <v>1320</v>
      </c>
      <c r="B1076" s="1319"/>
      <c r="C1076" s="1371"/>
      <c r="D1076" s="1372"/>
      <c r="E1076" s="677"/>
      <c r="F1076" s="676"/>
      <c r="G1076" s="670"/>
      <c r="H1076" s="670" t="e">
        <f>SUM(H1071:H1075)</f>
        <v>#REF!</v>
      </c>
      <c r="I1076" s="670"/>
      <c r="J1076" s="670">
        <f>SUM(J1071:J1075)</f>
        <v>7234</v>
      </c>
      <c r="K1076" s="670"/>
      <c r="L1076" s="670">
        <f>SUM(L1071:L1075)</f>
        <v>0</v>
      </c>
      <c r="M1076" s="670"/>
      <c r="N1076" s="670" t="e">
        <f>SUM(N1071:N1075)</f>
        <v>#REF!</v>
      </c>
      <c r="O1076" s="671"/>
      <c r="P1076" s="672"/>
      <c r="Q1076" s="665" t="s">
        <v>1781</v>
      </c>
      <c r="R1076" s="665">
        <f>0.09+0.06/2</f>
        <v>0.12</v>
      </c>
    </row>
    <row r="1077" spans="1:23" s="665" customFormat="1" ht="17.100000000000001" customHeight="1">
      <c r="A1077" s="668">
        <f>A1070+1</f>
        <v>218</v>
      </c>
      <c r="B1077" s="1320" t="s">
        <v>1786</v>
      </c>
      <c r="C1077" s="1320"/>
      <c r="D1077" s="1320" t="s">
        <v>1789</v>
      </c>
      <c r="E1077" s="1320"/>
      <c r="F1077" s="669" t="s">
        <v>272</v>
      </c>
      <c r="G1077" s="670"/>
      <c r="H1077" s="670"/>
      <c r="I1077" s="670"/>
      <c r="J1077" s="670"/>
      <c r="K1077" s="670"/>
      <c r="L1077" s="670"/>
      <c r="M1077" s="670"/>
      <c r="N1077" s="670"/>
      <c r="O1077" s="671"/>
      <c r="P1077" s="672"/>
      <c r="Q1077" s="665" t="s">
        <v>1781</v>
      </c>
      <c r="R1077" s="665">
        <f>0.05+0.04/2</f>
        <v>7.0000000000000007E-2</v>
      </c>
    </row>
    <row r="1078" spans="1:23" s="688" customFormat="1" ht="17.100000000000001" customHeight="1">
      <c r="A1078" s="1316" t="s">
        <v>1033</v>
      </c>
      <c r="B1078" s="1320"/>
      <c r="C1078" s="1316" t="s">
        <v>1790</v>
      </c>
      <c r="D1078" s="1317"/>
      <c r="E1078" s="675">
        <v>1.03</v>
      </c>
      <c r="F1078" s="676" t="s">
        <v>272</v>
      </c>
      <c r="G1078" s="670" t="e">
        <f>#REF!</f>
        <v>#REF!</v>
      </c>
      <c r="H1078" s="670" t="e">
        <f>INT(E1078*G1078)</f>
        <v>#REF!</v>
      </c>
      <c r="I1078" s="670"/>
      <c r="J1078" s="670"/>
      <c r="K1078" s="670"/>
      <c r="L1078" s="670"/>
      <c r="M1078" s="670" t="e">
        <f t="shared" ref="M1078:N1082" si="127">G1078+I1078+K1078</f>
        <v>#REF!</v>
      </c>
      <c r="N1078" s="670" t="e">
        <f t="shared" si="127"/>
        <v>#REF!</v>
      </c>
      <c r="O1078" s="671"/>
      <c r="P1078" s="672"/>
      <c r="Q1078" s="665" t="s">
        <v>1781</v>
      </c>
      <c r="R1078" s="665"/>
      <c r="S1078" s="665"/>
      <c r="T1078" s="665"/>
      <c r="U1078" s="665"/>
      <c r="V1078" s="665"/>
    </row>
    <row r="1079" spans="1:23" s="688" customFormat="1" ht="17.100000000000001" customHeight="1">
      <c r="A1079" s="1316" t="s">
        <v>1028</v>
      </c>
      <c r="B1079" s="1320"/>
      <c r="C1079" s="1316" t="s">
        <v>1791</v>
      </c>
      <c r="D1079" s="1317"/>
      <c r="E1079" s="683">
        <v>0.16669999999999999</v>
      </c>
      <c r="F1079" s="676" t="s">
        <v>30</v>
      </c>
      <c r="G1079" s="670" t="e">
        <f>#REF!</f>
        <v>#REF!</v>
      </c>
      <c r="H1079" s="670" t="e">
        <f>INT(E1079*G1079)</f>
        <v>#REF!</v>
      </c>
      <c r="I1079" s="670"/>
      <c r="J1079" s="670"/>
      <c r="K1079" s="670"/>
      <c r="L1079" s="670"/>
      <c r="M1079" s="670" t="e">
        <f>G1079+I1079+K1079</f>
        <v>#REF!</v>
      </c>
      <c r="N1079" s="670" t="e">
        <f t="shared" si="127"/>
        <v>#REF!</v>
      </c>
      <c r="O1079" s="671"/>
      <c r="P1079" s="672" t="s">
        <v>1784</v>
      </c>
      <c r="Q1079" s="665" t="s">
        <v>1781</v>
      </c>
      <c r="R1079" s="665"/>
      <c r="S1079" s="665"/>
      <c r="T1079" s="665"/>
    </row>
    <row r="1080" spans="1:23" s="688" customFormat="1" ht="17.100000000000001" customHeight="1">
      <c r="A1080" s="1316" t="s">
        <v>1719</v>
      </c>
      <c r="B1080" s="1317"/>
      <c r="C1080" s="1321"/>
      <c r="D1080" s="1317"/>
      <c r="E1080" s="701">
        <f>W1043</f>
        <v>2.5999999999999999E-2</v>
      </c>
      <c r="F1080" s="676" t="s">
        <v>366</v>
      </c>
      <c r="G1080" s="670"/>
      <c r="H1080" s="670"/>
      <c r="I1080" s="670">
        <f>[53]노임단가!$BK$17</f>
        <v>262580</v>
      </c>
      <c r="J1080" s="670">
        <f>INT(E1080*I1080)</f>
        <v>6827</v>
      </c>
      <c r="K1080" s="670"/>
      <c r="L1080" s="670"/>
      <c r="M1080" s="670">
        <f>G1080+I1080+K1080</f>
        <v>262580</v>
      </c>
      <c r="N1080" s="670">
        <f t="shared" si="127"/>
        <v>6827</v>
      </c>
      <c r="O1080" s="671"/>
      <c r="P1080" s="672"/>
      <c r="Q1080" s="665" t="s">
        <v>1781</v>
      </c>
      <c r="R1080" s="665"/>
      <c r="S1080" s="665"/>
      <c r="T1080" s="665"/>
    </row>
    <row r="1081" spans="1:23" s="688" customFormat="1" ht="17.100000000000001" customHeight="1">
      <c r="A1081" s="1316" t="s">
        <v>248</v>
      </c>
      <c r="B1081" s="1317"/>
      <c r="C1081" s="1316"/>
      <c r="D1081" s="1317"/>
      <c r="E1081" s="701">
        <f>W1044</f>
        <v>1.2999999999999999E-2</v>
      </c>
      <c r="F1081" s="676" t="s">
        <v>366</v>
      </c>
      <c r="G1081" s="670"/>
      <c r="H1081" s="670"/>
      <c r="I1081" s="670">
        <f>[53]노임단가!$T$5</f>
        <v>172068</v>
      </c>
      <c r="J1081" s="670">
        <f>INT(E1081*I1081)</f>
        <v>2236</v>
      </c>
      <c r="K1081" s="670"/>
      <c r="L1081" s="670"/>
      <c r="M1081" s="670">
        <f t="shared" si="127"/>
        <v>172068</v>
      </c>
      <c r="N1081" s="670">
        <f t="shared" si="127"/>
        <v>2236</v>
      </c>
      <c r="O1081" s="671"/>
      <c r="P1081" s="672"/>
      <c r="Q1081" s="665" t="s">
        <v>1781</v>
      </c>
      <c r="R1081" s="665"/>
      <c r="S1081" s="665"/>
      <c r="T1081" s="665"/>
    </row>
    <row r="1082" spans="1:23" s="688" customFormat="1" ht="17.100000000000001" customHeight="1">
      <c r="A1082" s="1316" t="s">
        <v>1763</v>
      </c>
      <c r="B1082" s="1317"/>
      <c r="C1082" s="1316" t="s">
        <v>1451</v>
      </c>
      <c r="D1082" s="1317"/>
      <c r="E1082" s="675">
        <v>0.03</v>
      </c>
      <c r="F1082" s="676" t="s">
        <v>672</v>
      </c>
      <c r="G1082" s="670">
        <f>J1080+J1081</f>
        <v>9063</v>
      </c>
      <c r="H1082" s="670">
        <f>INT(E1082*G1082)</f>
        <v>271</v>
      </c>
      <c r="I1082" s="670"/>
      <c r="J1082" s="670"/>
      <c r="K1082" s="681"/>
      <c r="L1082" s="681"/>
      <c r="M1082" s="670">
        <f>G1082+I1082+K1082</f>
        <v>9063</v>
      </c>
      <c r="N1082" s="670">
        <f t="shared" si="127"/>
        <v>271</v>
      </c>
      <c r="O1082" s="671"/>
      <c r="P1082" s="672"/>
      <c r="Q1082" s="665" t="s">
        <v>1781</v>
      </c>
      <c r="R1082" s="665"/>
      <c r="S1082" s="665"/>
      <c r="T1082" s="665"/>
    </row>
    <row r="1083" spans="1:23" s="688" customFormat="1" ht="17.100000000000001" customHeight="1">
      <c r="A1083" s="1318" t="s">
        <v>1320</v>
      </c>
      <c r="B1083" s="1319"/>
      <c r="C1083" s="1371"/>
      <c r="D1083" s="1372"/>
      <c r="E1083" s="677"/>
      <c r="F1083" s="676"/>
      <c r="G1083" s="670"/>
      <c r="H1083" s="670" t="e">
        <f>SUM(H1078:H1082)</f>
        <v>#REF!</v>
      </c>
      <c r="I1083" s="670"/>
      <c r="J1083" s="670">
        <f>SUM(J1078:J1082)</f>
        <v>9063</v>
      </c>
      <c r="K1083" s="670"/>
      <c r="L1083" s="670">
        <f>SUM(L1078:L1082)</f>
        <v>0</v>
      </c>
      <c r="M1083" s="670"/>
      <c r="N1083" s="670" t="e">
        <f>SUM(N1078:N1082)</f>
        <v>#REF!</v>
      </c>
      <c r="O1083" s="671"/>
      <c r="P1083" s="672"/>
      <c r="Q1083" s="665" t="s">
        <v>1781</v>
      </c>
      <c r="R1083" s="665"/>
      <c r="S1083" s="665"/>
      <c r="T1083" s="665"/>
    </row>
    <row r="1084" spans="1:23" s="688" customFormat="1" ht="17.100000000000001" customHeight="1">
      <c r="A1084" s="668">
        <f>A1077+1</f>
        <v>219</v>
      </c>
      <c r="B1084" s="1320" t="s">
        <v>1786</v>
      </c>
      <c r="C1084" s="1320"/>
      <c r="D1084" s="1320" t="s">
        <v>1735</v>
      </c>
      <c r="E1084" s="1320"/>
      <c r="F1084" s="669" t="s">
        <v>272</v>
      </c>
      <c r="G1084" s="670"/>
      <c r="H1084" s="670"/>
      <c r="I1084" s="670"/>
      <c r="J1084" s="670"/>
      <c r="K1084" s="670"/>
      <c r="L1084" s="670"/>
      <c r="M1084" s="670"/>
      <c r="N1084" s="670"/>
      <c r="O1084" s="671"/>
      <c r="P1084" s="672"/>
      <c r="Q1084" s="665" t="s">
        <v>1781</v>
      </c>
    </row>
    <row r="1085" spans="1:23" s="688" customFormat="1" ht="17.100000000000001" customHeight="1">
      <c r="A1085" s="1316" t="s">
        <v>1033</v>
      </c>
      <c r="B1085" s="1320"/>
      <c r="C1085" s="1316" t="s">
        <v>1792</v>
      </c>
      <c r="D1085" s="1317"/>
      <c r="E1085" s="675">
        <v>1.03</v>
      </c>
      <c r="F1085" s="676" t="s">
        <v>272</v>
      </c>
      <c r="G1085" s="670" t="e">
        <f>#REF!</f>
        <v>#REF!</v>
      </c>
      <c r="H1085" s="670" t="e">
        <f>INT(E1085*G1085)</f>
        <v>#REF!</v>
      </c>
      <c r="I1085" s="670"/>
      <c r="J1085" s="670"/>
      <c r="K1085" s="670"/>
      <c r="L1085" s="670"/>
      <c r="M1085" s="670" t="e">
        <f t="shared" ref="M1085:N1089" si="128">G1085+I1085+K1085</f>
        <v>#REF!</v>
      </c>
      <c r="N1085" s="670" t="e">
        <f t="shared" si="128"/>
        <v>#REF!</v>
      </c>
      <c r="O1085" s="671"/>
      <c r="P1085" s="672"/>
      <c r="Q1085" s="665" t="s">
        <v>1781</v>
      </c>
    </row>
    <row r="1086" spans="1:23" s="688" customFormat="1" ht="17.100000000000001" customHeight="1">
      <c r="A1086" s="1316" t="s">
        <v>1028</v>
      </c>
      <c r="B1086" s="1320"/>
      <c r="C1086" s="1316" t="s">
        <v>1793</v>
      </c>
      <c r="D1086" s="1317"/>
      <c r="E1086" s="683">
        <v>0.16669999999999999</v>
      </c>
      <c r="F1086" s="676" t="s">
        <v>30</v>
      </c>
      <c r="G1086" s="670" t="e">
        <f>#REF!</f>
        <v>#REF!</v>
      </c>
      <c r="H1086" s="670" t="e">
        <f>INT(E1086*G1086)</f>
        <v>#REF!</v>
      </c>
      <c r="I1086" s="670"/>
      <c r="J1086" s="670"/>
      <c r="K1086" s="670"/>
      <c r="L1086" s="670"/>
      <c r="M1086" s="670" t="e">
        <f>G1086+I1086+K1086</f>
        <v>#REF!</v>
      </c>
      <c r="N1086" s="670" t="e">
        <f t="shared" si="128"/>
        <v>#REF!</v>
      </c>
      <c r="O1086" s="671"/>
      <c r="P1086" s="672"/>
      <c r="Q1086" s="665" t="s">
        <v>1781</v>
      </c>
      <c r="U1086" s="665"/>
      <c r="V1086" s="665"/>
    </row>
    <row r="1087" spans="1:23" s="665" customFormat="1" ht="17.100000000000001" customHeight="1">
      <c r="A1087" s="1316" t="s">
        <v>1719</v>
      </c>
      <c r="B1087" s="1317"/>
      <c r="C1087" s="1321"/>
      <c r="D1087" s="1317"/>
      <c r="E1087" s="675">
        <f>W1045</f>
        <v>0.03</v>
      </c>
      <c r="F1087" s="676" t="s">
        <v>366</v>
      </c>
      <c r="G1087" s="670"/>
      <c r="H1087" s="670"/>
      <c r="I1087" s="670">
        <f>[53]노임단가!$BK$17</f>
        <v>262580</v>
      </c>
      <c r="J1087" s="670">
        <f>INT(E1087*I1087)</f>
        <v>7877</v>
      </c>
      <c r="K1087" s="670"/>
      <c r="L1087" s="670"/>
      <c r="M1087" s="670">
        <f t="shared" si="128"/>
        <v>262580</v>
      </c>
      <c r="N1087" s="670">
        <f t="shared" si="128"/>
        <v>7877</v>
      </c>
      <c r="O1087" s="671"/>
      <c r="P1087" s="672"/>
      <c r="Q1087" s="665" t="s">
        <v>1781</v>
      </c>
      <c r="R1087" s="688"/>
      <c r="S1087" s="688"/>
      <c r="T1087" s="688"/>
    </row>
    <row r="1088" spans="1:23" s="665" customFormat="1" ht="17.100000000000001" customHeight="1">
      <c r="A1088" s="1316" t="s">
        <v>248</v>
      </c>
      <c r="B1088" s="1317"/>
      <c r="C1088" s="1316"/>
      <c r="D1088" s="1317"/>
      <c r="E1088" s="701">
        <f>W1046</f>
        <v>1.4999999999999999E-2</v>
      </c>
      <c r="F1088" s="676" t="s">
        <v>366</v>
      </c>
      <c r="G1088" s="670"/>
      <c r="H1088" s="670"/>
      <c r="I1088" s="670">
        <f>[53]노임단가!$T$5</f>
        <v>172068</v>
      </c>
      <c r="J1088" s="670">
        <f>INT(E1088*I1088)</f>
        <v>2581</v>
      </c>
      <c r="K1088" s="670"/>
      <c r="L1088" s="670"/>
      <c r="M1088" s="670">
        <f t="shared" si="128"/>
        <v>172068</v>
      </c>
      <c r="N1088" s="670">
        <f t="shared" si="128"/>
        <v>2581</v>
      </c>
      <c r="O1088" s="671"/>
      <c r="P1088" s="672"/>
      <c r="Q1088" s="665" t="s">
        <v>1781</v>
      </c>
      <c r="R1088" s="688"/>
      <c r="S1088" s="688"/>
      <c r="T1088" s="688"/>
    </row>
    <row r="1089" spans="1:20" s="665" customFormat="1" ht="17.100000000000001" customHeight="1">
      <c r="A1089" s="1316" t="s">
        <v>1763</v>
      </c>
      <c r="B1089" s="1317"/>
      <c r="C1089" s="1316" t="s">
        <v>1451</v>
      </c>
      <c r="D1089" s="1317"/>
      <c r="E1089" s="675">
        <v>0.03</v>
      </c>
      <c r="F1089" s="676" t="s">
        <v>672</v>
      </c>
      <c r="G1089" s="670">
        <f>J1087+J1088</f>
        <v>10458</v>
      </c>
      <c r="H1089" s="670">
        <f>INT(E1089*G1089)</f>
        <v>313</v>
      </c>
      <c r="I1089" s="670"/>
      <c r="J1089" s="670"/>
      <c r="K1089" s="681"/>
      <c r="L1089" s="681"/>
      <c r="M1089" s="670">
        <f>G1089+I1089+K1089</f>
        <v>10458</v>
      </c>
      <c r="N1089" s="670">
        <f t="shared" si="128"/>
        <v>313</v>
      </c>
      <c r="O1089" s="671"/>
      <c r="P1089" s="672"/>
      <c r="Q1089" s="665" t="s">
        <v>1781</v>
      </c>
      <c r="R1089" s="688"/>
      <c r="S1089" s="688"/>
      <c r="T1089" s="688"/>
    </row>
    <row r="1090" spans="1:20" s="665" customFormat="1" ht="17.100000000000001" customHeight="1">
      <c r="A1090" s="1318" t="s">
        <v>1320</v>
      </c>
      <c r="B1090" s="1319"/>
      <c r="C1090" s="1371"/>
      <c r="D1090" s="1372"/>
      <c r="E1090" s="677"/>
      <c r="F1090" s="676"/>
      <c r="G1090" s="670"/>
      <c r="H1090" s="670" t="e">
        <f>SUM(H1085:H1089)</f>
        <v>#REF!</v>
      </c>
      <c r="I1090" s="670"/>
      <c r="J1090" s="670">
        <f>SUM(J1085:J1089)</f>
        <v>10458</v>
      </c>
      <c r="K1090" s="670"/>
      <c r="L1090" s="670">
        <f>SUM(L1085:L1089)</f>
        <v>0</v>
      </c>
      <c r="M1090" s="670"/>
      <c r="N1090" s="670" t="e">
        <f>SUM(N1085:N1089)</f>
        <v>#REF!</v>
      </c>
      <c r="O1090" s="671"/>
      <c r="P1090" s="672"/>
      <c r="Q1090" s="665" t="s">
        <v>1781</v>
      </c>
      <c r="R1090" s="688"/>
      <c r="S1090" s="688"/>
      <c r="T1090" s="688"/>
    </row>
    <row r="1091" spans="1:20" s="665" customFormat="1" ht="17.100000000000001" customHeight="1">
      <c r="A1091" s="668">
        <f>A1084+1</f>
        <v>220</v>
      </c>
      <c r="B1091" s="1320" t="s">
        <v>1786</v>
      </c>
      <c r="C1091" s="1320"/>
      <c r="D1091" s="1320" t="s">
        <v>963</v>
      </c>
      <c r="E1091" s="1320"/>
      <c r="F1091" s="669" t="s">
        <v>272</v>
      </c>
      <c r="G1091" s="670"/>
      <c r="H1091" s="670"/>
      <c r="I1091" s="670"/>
      <c r="J1091" s="670"/>
      <c r="K1091" s="670"/>
      <c r="L1091" s="670"/>
      <c r="M1091" s="670"/>
      <c r="N1091" s="670"/>
      <c r="O1091" s="671"/>
      <c r="P1091" s="672"/>
      <c r="Q1091" s="665" t="s">
        <v>1781</v>
      </c>
    </row>
    <row r="1092" spans="1:20" s="665" customFormat="1" ht="17.100000000000001" customHeight="1">
      <c r="A1092" s="1316" t="s">
        <v>1033</v>
      </c>
      <c r="B1092" s="1320"/>
      <c r="C1092" s="1316" t="s">
        <v>1794</v>
      </c>
      <c r="D1092" s="1317"/>
      <c r="E1092" s="675">
        <v>1.03</v>
      </c>
      <c r="F1092" s="676" t="s">
        <v>272</v>
      </c>
      <c r="G1092" s="670" t="e">
        <f>#REF!</f>
        <v>#REF!</v>
      </c>
      <c r="H1092" s="670" t="e">
        <f>INT(E1092*G1092)</f>
        <v>#REF!</v>
      </c>
      <c r="I1092" s="670"/>
      <c r="J1092" s="670"/>
      <c r="K1092" s="670"/>
      <c r="L1092" s="670"/>
      <c r="M1092" s="670" t="e">
        <f t="shared" ref="M1092:N1096" si="129">G1092+I1092+K1092</f>
        <v>#REF!</v>
      </c>
      <c r="N1092" s="670" t="e">
        <f t="shared" si="129"/>
        <v>#REF!</v>
      </c>
      <c r="O1092" s="671"/>
      <c r="P1092" s="672"/>
      <c r="Q1092" s="665" t="s">
        <v>1781</v>
      </c>
    </row>
    <row r="1093" spans="1:20" s="665" customFormat="1" ht="17.100000000000001" customHeight="1">
      <c r="A1093" s="1316" t="s">
        <v>1028</v>
      </c>
      <c r="B1093" s="1320"/>
      <c r="C1093" s="1316" t="s">
        <v>1795</v>
      </c>
      <c r="D1093" s="1317"/>
      <c r="E1093" s="683">
        <v>0.16669999999999999</v>
      </c>
      <c r="F1093" s="676" t="s">
        <v>30</v>
      </c>
      <c r="G1093" s="670" t="e">
        <f>#REF!</f>
        <v>#REF!</v>
      </c>
      <c r="H1093" s="670" t="e">
        <f>INT(E1093*G1093)</f>
        <v>#REF!</v>
      </c>
      <c r="I1093" s="670"/>
      <c r="J1093" s="670"/>
      <c r="K1093" s="670"/>
      <c r="L1093" s="670"/>
      <c r="M1093" s="670" t="e">
        <f t="shared" si="129"/>
        <v>#REF!</v>
      </c>
      <c r="N1093" s="670" t="e">
        <f t="shared" si="129"/>
        <v>#REF!</v>
      </c>
      <c r="O1093" s="671"/>
      <c r="P1093" s="672"/>
      <c r="Q1093" s="665" t="s">
        <v>1781</v>
      </c>
    </row>
    <row r="1094" spans="1:20" s="665" customFormat="1" ht="17.100000000000001" customHeight="1">
      <c r="A1094" s="1316" t="s">
        <v>1719</v>
      </c>
      <c r="B1094" s="1317"/>
      <c r="C1094" s="1321"/>
      <c r="D1094" s="1317"/>
      <c r="E1094" s="683">
        <f>W1047</f>
        <v>3.3000000000000002E-2</v>
      </c>
      <c r="F1094" s="676" t="s">
        <v>366</v>
      </c>
      <c r="G1094" s="670"/>
      <c r="H1094" s="670"/>
      <c r="I1094" s="670">
        <f>[53]노임단가!$BK$17</f>
        <v>262580</v>
      </c>
      <c r="J1094" s="670">
        <f>INT(E1094*I1094)</f>
        <v>8665</v>
      </c>
      <c r="K1094" s="670"/>
      <c r="L1094" s="670"/>
      <c r="M1094" s="670">
        <f t="shared" si="129"/>
        <v>262580</v>
      </c>
      <c r="N1094" s="670">
        <f t="shared" si="129"/>
        <v>8665</v>
      </c>
      <c r="O1094" s="671"/>
      <c r="P1094" s="672"/>
      <c r="Q1094" s="665" t="s">
        <v>1781</v>
      </c>
    </row>
    <row r="1095" spans="1:20" s="665" customFormat="1" ht="17.100000000000001" customHeight="1">
      <c r="A1095" s="1316" t="s">
        <v>248</v>
      </c>
      <c r="B1095" s="1317"/>
      <c r="C1095" s="1321"/>
      <c r="D1095" s="1317"/>
      <c r="E1095" s="683">
        <f>W1048</f>
        <v>1.7000000000000001E-2</v>
      </c>
      <c r="F1095" s="676" t="s">
        <v>366</v>
      </c>
      <c r="G1095" s="670"/>
      <c r="H1095" s="670"/>
      <c r="I1095" s="670">
        <f>[53]노임단가!$T$5</f>
        <v>172068</v>
      </c>
      <c r="J1095" s="670">
        <f>INT(E1095*I1095)</f>
        <v>2925</v>
      </c>
      <c r="K1095" s="670"/>
      <c r="L1095" s="670"/>
      <c r="M1095" s="670">
        <f t="shared" si="129"/>
        <v>172068</v>
      </c>
      <c r="N1095" s="670">
        <f t="shared" si="129"/>
        <v>2925</v>
      </c>
      <c r="O1095" s="671"/>
      <c r="P1095" s="672"/>
      <c r="Q1095" s="665" t="s">
        <v>1781</v>
      </c>
    </row>
    <row r="1096" spans="1:20" s="665" customFormat="1" ht="17.100000000000001" customHeight="1">
      <c r="A1096" s="1316" t="s">
        <v>1763</v>
      </c>
      <c r="B1096" s="1317"/>
      <c r="C1096" s="1316" t="s">
        <v>1451</v>
      </c>
      <c r="D1096" s="1317"/>
      <c r="E1096" s="675">
        <v>0.03</v>
      </c>
      <c r="F1096" s="676" t="s">
        <v>672</v>
      </c>
      <c r="G1096" s="670">
        <f>J1094+J1095</f>
        <v>11590</v>
      </c>
      <c r="H1096" s="670">
        <f>INT(E1096*G1096)</f>
        <v>347</v>
      </c>
      <c r="I1096" s="670"/>
      <c r="J1096" s="670"/>
      <c r="K1096" s="681"/>
      <c r="L1096" s="681"/>
      <c r="M1096" s="670">
        <f>G1096+I1096+K1096</f>
        <v>11590</v>
      </c>
      <c r="N1096" s="670">
        <f t="shared" si="129"/>
        <v>347</v>
      </c>
      <c r="O1096" s="671"/>
      <c r="P1096" s="672"/>
      <c r="Q1096" s="665" t="s">
        <v>1781</v>
      </c>
    </row>
    <row r="1097" spans="1:20" s="665" customFormat="1" ht="17.100000000000001" customHeight="1">
      <c r="A1097" s="1318" t="s">
        <v>1320</v>
      </c>
      <c r="B1097" s="1319"/>
      <c r="C1097" s="1371"/>
      <c r="D1097" s="1372"/>
      <c r="E1097" s="677"/>
      <c r="F1097" s="676"/>
      <c r="G1097" s="670"/>
      <c r="H1097" s="670" t="e">
        <f>SUM(H1092:H1096)</f>
        <v>#REF!</v>
      </c>
      <c r="I1097" s="670"/>
      <c r="J1097" s="670">
        <f>SUM(J1092:J1096)</f>
        <v>11590</v>
      </c>
      <c r="K1097" s="670"/>
      <c r="L1097" s="670">
        <f>SUM(L1092:L1096)</f>
        <v>0</v>
      </c>
      <c r="M1097" s="670"/>
      <c r="N1097" s="670" t="e">
        <f>SUM(N1092:N1096)</f>
        <v>#REF!</v>
      </c>
      <c r="O1097" s="671"/>
      <c r="P1097" s="672"/>
      <c r="Q1097" s="665" t="s">
        <v>1781</v>
      </c>
    </row>
    <row r="1098" spans="1:20" s="665" customFormat="1" ht="17.100000000000001" customHeight="1">
      <c r="A1098" s="668">
        <f>A1091+1</f>
        <v>221</v>
      </c>
      <c r="B1098" s="1320" t="s">
        <v>1796</v>
      </c>
      <c r="C1098" s="1320"/>
      <c r="D1098" s="1320" t="s">
        <v>1797</v>
      </c>
      <c r="E1098" s="1320"/>
      <c r="F1098" s="669" t="s">
        <v>575</v>
      </c>
      <c r="G1098" s="670"/>
      <c r="H1098" s="670"/>
      <c r="I1098" s="670"/>
      <c r="J1098" s="670"/>
      <c r="K1098" s="670"/>
      <c r="L1098" s="670"/>
      <c r="M1098" s="670"/>
      <c r="N1098" s="670"/>
      <c r="O1098" s="671"/>
      <c r="P1098" s="672"/>
      <c r="Q1098" s="665" t="s">
        <v>1781</v>
      </c>
    </row>
    <row r="1099" spans="1:20" s="665" customFormat="1" ht="17.100000000000001" customHeight="1">
      <c r="A1099" s="1316" t="s">
        <v>1021</v>
      </c>
      <c r="B1099" s="1320"/>
      <c r="C1099" s="1316" t="s">
        <v>1798</v>
      </c>
      <c r="D1099" s="1317"/>
      <c r="E1099" s="675">
        <v>1.03</v>
      </c>
      <c r="F1099" s="676" t="s">
        <v>272</v>
      </c>
      <c r="G1099" s="670" t="e">
        <f>#REF!</f>
        <v>#REF!</v>
      </c>
      <c r="H1099" s="670" t="e">
        <f>INT(E1099*G1099)</f>
        <v>#REF!</v>
      </c>
      <c r="I1099" s="670"/>
      <c r="J1099" s="670"/>
      <c r="K1099" s="670"/>
      <c r="L1099" s="670"/>
      <c r="M1099" s="670" t="e">
        <f t="shared" ref="M1099:N1102" si="130">G1099+I1099+K1099</f>
        <v>#REF!</v>
      </c>
      <c r="N1099" s="670" t="e">
        <f t="shared" si="130"/>
        <v>#REF!</v>
      </c>
      <c r="O1099" s="671"/>
      <c r="P1099" s="672"/>
      <c r="Q1099" s="665" t="s">
        <v>1781</v>
      </c>
    </row>
    <row r="1100" spans="1:20" s="665" customFormat="1" ht="17.100000000000001" customHeight="1">
      <c r="A1100" s="1316" t="s">
        <v>1021</v>
      </c>
      <c r="B1100" s="1320"/>
      <c r="C1100" s="1316" t="s">
        <v>1799</v>
      </c>
      <c r="D1100" s="1317"/>
      <c r="E1100" s="677">
        <v>1</v>
      </c>
      <c r="F1100" s="676" t="s">
        <v>30</v>
      </c>
      <c r="G1100" s="670" t="e">
        <f>#REF!</f>
        <v>#REF!</v>
      </c>
      <c r="H1100" s="670" t="e">
        <f>INT(E1100*G1100)</f>
        <v>#REF!</v>
      </c>
      <c r="I1100" s="670"/>
      <c r="J1100" s="670"/>
      <c r="K1100" s="670"/>
      <c r="L1100" s="670"/>
      <c r="M1100" s="670" t="e">
        <f t="shared" si="130"/>
        <v>#REF!</v>
      </c>
      <c r="N1100" s="670" t="e">
        <f t="shared" si="130"/>
        <v>#REF!</v>
      </c>
      <c r="O1100" s="671"/>
      <c r="P1100" s="672"/>
      <c r="Q1100" s="665" t="s">
        <v>1781</v>
      </c>
    </row>
    <row r="1101" spans="1:20" s="665" customFormat="1" ht="17.100000000000001" customHeight="1">
      <c r="A1101" s="1316" t="s">
        <v>1719</v>
      </c>
      <c r="B1101" s="1317"/>
      <c r="C1101" s="1321"/>
      <c r="D1101" s="1317"/>
      <c r="E1101" s="675">
        <f>W1068</f>
        <v>0.09</v>
      </c>
      <c r="F1101" s="676" t="s">
        <v>366</v>
      </c>
      <c r="G1101" s="670"/>
      <c r="H1101" s="670"/>
      <c r="I1101" s="670">
        <f>[53]노임단가!$BK$17</f>
        <v>262580</v>
      </c>
      <c r="J1101" s="670">
        <f>INT(E1101*I1101)</f>
        <v>23632</v>
      </c>
      <c r="K1101" s="670"/>
      <c r="L1101" s="670"/>
      <c r="M1101" s="670">
        <f t="shared" si="130"/>
        <v>262580</v>
      </c>
      <c r="N1101" s="670">
        <f t="shared" si="130"/>
        <v>23632</v>
      </c>
      <c r="O1101" s="671"/>
      <c r="P1101" s="672"/>
      <c r="Q1101" s="665" t="s">
        <v>1781</v>
      </c>
    </row>
    <row r="1102" spans="1:20" s="665" customFormat="1" ht="17.100000000000001" customHeight="1">
      <c r="A1102" s="1316" t="s">
        <v>248</v>
      </c>
      <c r="B1102" s="1317"/>
      <c r="C1102" s="1316"/>
      <c r="D1102" s="1317"/>
      <c r="E1102" s="675">
        <f>W1069</f>
        <v>0.05</v>
      </c>
      <c r="F1102" s="676" t="s">
        <v>366</v>
      </c>
      <c r="G1102" s="670"/>
      <c r="H1102" s="670"/>
      <c r="I1102" s="670">
        <f>[53]노임단가!$T$5</f>
        <v>172068</v>
      </c>
      <c r="J1102" s="670">
        <f>INT(E1102*I1102)</f>
        <v>8603</v>
      </c>
      <c r="K1102" s="670"/>
      <c r="L1102" s="670"/>
      <c r="M1102" s="670">
        <f t="shared" si="130"/>
        <v>172068</v>
      </c>
      <c r="N1102" s="670">
        <f t="shared" si="130"/>
        <v>8603</v>
      </c>
      <c r="O1102" s="671"/>
      <c r="P1102" s="672"/>
      <c r="Q1102" s="665" t="s">
        <v>1781</v>
      </c>
    </row>
    <row r="1103" spans="1:20" s="665" customFormat="1" ht="17.100000000000001" customHeight="1">
      <c r="A1103" s="1318" t="s">
        <v>1320</v>
      </c>
      <c r="B1103" s="1319"/>
      <c r="C1103" s="1371"/>
      <c r="D1103" s="1372"/>
      <c r="E1103" s="677"/>
      <c r="F1103" s="676"/>
      <c r="G1103" s="670"/>
      <c r="H1103" s="670" t="e">
        <f>SUM(H1099:H1102)</f>
        <v>#REF!</v>
      </c>
      <c r="I1103" s="670"/>
      <c r="J1103" s="670">
        <f>SUM(J1099:J1102)</f>
        <v>32235</v>
      </c>
      <c r="K1103" s="670"/>
      <c r="L1103" s="670"/>
      <c r="M1103" s="670"/>
      <c r="N1103" s="670" t="e">
        <f>SUM(N1099:N1102)</f>
        <v>#REF!</v>
      </c>
      <c r="O1103" s="671"/>
      <c r="P1103" s="672"/>
      <c r="Q1103" s="665" t="s">
        <v>1781</v>
      </c>
    </row>
    <row r="1104" spans="1:20" s="665" customFormat="1" ht="17.100000000000001" customHeight="1">
      <c r="A1104" s="668">
        <f>A1098+1</f>
        <v>222</v>
      </c>
      <c r="B1104" s="1320" t="s">
        <v>1796</v>
      </c>
      <c r="C1104" s="1320"/>
      <c r="D1104" s="1320" t="s">
        <v>1800</v>
      </c>
      <c r="E1104" s="1320"/>
      <c r="F1104" s="669" t="s">
        <v>575</v>
      </c>
      <c r="G1104" s="670"/>
      <c r="H1104" s="670"/>
      <c r="I1104" s="670"/>
      <c r="J1104" s="670"/>
      <c r="K1104" s="670"/>
      <c r="L1104" s="670"/>
      <c r="M1104" s="670"/>
      <c r="N1104" s="670"/>
      <c r="O1104" s="671"/>
      <c r="P1104" s="672"/>
      <c r="Q1104" s="665" t="s">
        <v>1781</v>
      </c>
    </row>
    <row r="1105" spans="1:20" s="665" customFormat="1" ht="17.100000000000001" customHeight="1">
      <c r="A1105" s="1316" t="s">
        <v>1021</v>
      </c>
      <c r="B1105" s="1320"/>
      <c r="C1105" s="1316" t="s">
        <v>1801</v>
      </c>
      <c r="D1105" s="1317"/>
      <c r="E1105" s="675">
        <v>1.03</v>
      </c>
      <c r="F1105" s="676" t="s">
        <v>272</v>
      </c>
      <c r="G1105" s="670" t="e">
        <f>#REF!</f>
        <v>#REF!</v>
      </c>
      <c r="H1105" s="670" t="e">
        <f>INT(E1105*G1105)</f>
        <v>#REF!</v>
      </c>
      <c r="I1105" s="670"/>
      <c r="J1105" s="670"/>
      <c r="K1105" s="670"/>
      <c r="L1105" s="670"/>
      <c r="M1105" s="670" t="e">
        <f t="shared" ref="M1105:N1108" si="131">G1105+I1105+K1105</f>
        <v>#REF!</v>
      </c>
      <c r="N1105" s="670" t="e">
        <f t="shared" si="131"/>
        <v>#REF!</v>
      </c>
      <c r="O1105" s="671"/>
      <c r="P1105" s="672"/>
      <c r="Q1105" s="665" t="s">
        <v>1781</v>
      </c>
    </row>
    <row r="1106" spans="1:20" s="665" customFormat="1" ht="17.100000000000001" customHeight="1">
      <c r="A1106" s="1316" t="s">
        <v>1021</v>
      </c>
      <c r="B1106" s="1320"/>
      <c r="C1106" s="1316" t="s">
        <v>1802</v>
      </c>
      <c r="D1106" s="1317"/>
      <c r="E1106" s="677">
        <v>1</v>
      </c>
      <c r="F1106" s="676" t="s">
        <v>30</v>
      </c>
      <c r="G1106" s="670" t="e">
        <f>#REF!</f>
        <v>#REF!</v>
      </c>
      <c r="H1106" s="670" t="e">
        <f>INT(E1106*G1106)</f>
        <v>#REF!</v>
      </c>
      <c r="I1106" s="670"/>
      <c r="J1106" s="670"/>
      <c r="K1106" s="670"/>
      <c r="L1106" s="670"/>
      <c r="M1106" s="670" t="e">
        <f t="shared" si="131"/>
        <v>#REF!</v>
      </c>
      <c r="N1106" s="670" t="e">
        <f t="shared" si="131"/>
        <v>#REF!</v>
      </c>
      <c r="O1106" s="671"/>
      <c r="P1106" s="672"/>
      <c r="Q1106" s="665" t="s">
        <v>1781</v>
      </c>
    </row>
    <row r="1107" spans="1:20" s="665" customFormat="1" ht="17.100000000000001" customHeight="1">
      <c r="A1107" s="1316" t="s">
        <v>1719</v>
      </c>
      <c r="B1107" s="1317"/>
      <c r="C1107" s="1321"/>
      <c r="D1107" s="1317"/>
      <c r="E1107" s="675">
        <v>0.12</v>
      </c>
      <c r="F1107" s="676" t="s">
        <v>366</v>
      </c>
      <c r="G1107" s="670"/>
      <c r="H1107" s="670"/>
      <c r="I1107" s="670">
        <f>[53]노임단가!$BK$17</f>
        <v>262580</v>
      </c>
      <c r="J1107" s="670">
        <f>INT(E1107*I1107)</f>
        <v>31509</v>
      </c>
      <c r="K1107" s="670"/>
      <c r="L1107" s="670"/>
      <c r="M1107" s="670">
        <f t="shared" si="131"/>
        <v>262580</v>
      </c>
      <c r="N1107" s="670">
        <f t="shared" si="131"/>
        <v>31509</v>
      </c>
      <c r="O1107" s="671"/>
      <c r="P1107" s="672"/>
      <c r="Q1107" s="665" t="s">
        <v>1781</v>
      </c>
    </row>
    <row r="1108" spans="1:20" s="665" customFormat="1" ht="17.100000000000001" customHeight="1">
      <c r="A1108" s="1316" t="s">
        <v>248</v>
      </c>
      <c r="B1108" s="1317"/>
      <c r="C1108" s="1316"/>
      <c r="D1108" s="1317"/>
      <c r="E1108" s="675">
        <v>7.0000000000000007E-2</v>
      </c>
      <c r="F1108" s="676" t="s">
        <v>366</v>
      </c>
      <c r="G1108" s="670"/>
      <c r="H1108" s="670"/>
      <c r="I1108" s="670">
        <f>[53]노임단가!$T$5</f>
        <v>172068</v>
      </c>
      <c r="J1108" s="670">
        <f>INT(E1108*I1108)</f>
        <v>12044</v>
      </c>
      <c r="K1108" s="670"/>
      <c r="L1108" s="670"/>
      <c r="M1108" s="670">
        <f t="shared" si="131"/>
        <v>172068</v>
      </c>
      <c r="N1108" s="670">
        <f t="shared" si="131"/>
        <v>12044</v>
      </c>
      <c r="O1108" s="671"/>
      <c r="P1108" s="672"/>
    </row>
    <row r="1109" spans="1:20" s="665" customFormat="1" ht="17.100000000000001" customHeight="1">
      <c r="A1109" s="1318" t="s">
        <v>1320</v>
      </c>
      <c r="B1109" s="1319"/>
      <c r="C1109" s="1371"/>
      <c r="D1109" s="1372"/>
      <c r="E1109" s="677"/>
      <c r="F1109" s="676"/>
      <c r="G1109" s="670"/>
      <c r="H1109" s="670" t="e">
        <f>SUM(H1105:H1108)</f>
        <v>#REF!</v>
      </c>
      <c r="I1109" s="670"/>
      <c r="J1109" s="670">
        <f>SUM(J1105:J1108)</f>
        <v>43553</v>
      </c>
      <c r="K1109" s="670"/>
      <c r="L1109" s="670"/>
      <c r="M1109" s="670"/>
      <c r="N1109" s="670" t="e">
        <f>SUM(N1105:N1108)</f>
        <v>#REF!</v>
      </c>
      <c r="O1109" s="699"/>
      <c r="P1109" s="672"/>
    </row>
    <row r="1110" spans="1:20" s="665" customFormat="1" ht="17.100000000000001" customHeight="1">
      <c r="A1110" s="668">
        <f>A1104+1</f>
        <v>223</v>
      </c>
      <c r="B1110" s="1320" t="s">
        <v>1796</v>
      </c>
      <c r="C1110" s="1320"/>
      <c r="D1110" s="1320" t="s">
        <v>1702</v>
      </c>
      <c r="E1110" s="1320"/>
      <c r="F1110" s="669" t="s">
        <v>575</v>
      </c>
      <c r="G1110" s="670"/>
      <c r="H1110" s="670"/>
      <c r="I1110" s="670"/>
      <c r="J1110" s="670"/>
      <c r="K1110" s="670"/>
      <c r="L1110" s="670"/>
      <c r="M1110" s="670"/>
      <c r="N1110" s="670"/>
      <c r="O1110" s="671"/>
      <c r="P1110" s="672"/>
    </row>
    <row r="1111" spans="1:20" s="665" customFormat="1" ht="17.100000000000001" customHeight="1">
      <c r="A1111" s="1316" t="s">
        <v>1021</v>
      </c>
      <c r="B1111" s="1320"/>
      <c r="C1111" s="1316" t="s">
        <v>1803</v>
      </c>
      <c r="D1111" s="1317"/>
      <c r="E1111" s="675">
        <v>1.03</v>
      </c>
      <c r="F1111" s="676" t="s">
        <v>272</v>
      </c>
      <c r="G1111" s="670" t="e">
        <f>#REF!</f>
        <v>#REF!</v>
      </c>
      <c r="H1111" s="670" t="e">
        <f>INT(E1111*G1111)</f>
        <v>#REF!</v>
      </c>
      <c r="I1111" s="670"/>
      <c r="J1111" s="670"/>
      <c r="K1111" s="670"/>
      <c r="L1111" s="670"/>
      <c r="M1111" s="670" t="e">
        <f t="shared" ref="M1111:N1114" si="132">G1111+I1111+K1111</f>
        <v>#REF!</v>
      </c>
      <c r="N1111" s="670" t="e">
        <f t="shared" si="132"/>
        <v>#REF!</v>
      </c>
      <c r="O1111" s="699"/>
      <c r="P1111" s="672"/>
    </row>
    <row r="1112" spans="1:20" s="665" customFormat="1" ht="17.100000000000001" customHeight="1">
      <c r="A1112" s="1316" t="s">
        <v>1021</v>
      </c>
      <c r="B1112" s="1320"/>
      <c r="C1112" s="1316" t="s">
        <v>1804</v>
      </c>
      <c r="D1112" s="1317"/>
      <c r="E1112" s="677">
        <v>1</v>
      </c>
      <c r="F1112" s="676" t="s">
        <v>30</v>
      </c>
      <c r="G1112" s="670" t="e">
        <f>#REF!</f>
        <v>#REF!</v>
      </c>
      <c r="H1112" s="670" t="e">
        <f>INT(E1112*G1112)</f>
        <v>#REF!</v>
      </c>
      <c r="I1112" s="670"/>
      <c r="J1112" s="670"/>
      <c r="K1112" s="670"/>
      <c r="L1112" s="670"/>
      <c r="M1112" s="670" t="e">
        <f t="shared" si="132"/>
        <v>#REF!</v>
      </c>
      <c r="N1112" s="670" t="e">
        <f t="shared" si="132"/>
        <v>#REF!</v>
      </c>
      <c r="O1112" s="671"/>
      <c r="P1112" s="672"/>
    </row>
    <row r="1113" spans="1:20" s="665" customFormat="1" ht="17.100000000000001" customHeight="1">
      <c r="A1113" s="1316" t="s">
        <v>1719</v>
      </c>
      <c r="B1113" s="1317"/>
      <c r="C1113" s="1321"/>
      <c r="D1113" s="1317"/>
      <c r="E1113" s="675">
        <f>W1071</f>
        <v>0.15</v>
      </c>
      <c r="F1113" s="676" t="s">
        <v>366</v>
      </c>
      <c r="G1113" s="670"/>
      <c r="H1113" s="670"/>
      <c r="I1113" s="670">
        <f>[53]노임단가!$BK$17</f>
        <v>262580</v>
      </c>
      <c r="J1113" s="670">
        <f>INT(E1113*I1113)</f>
        <v>39387</v>
      </c>
      <c r="K1113" s="670"/>
      <c r="L1113" s="670"/>
      <c r="M1113" s="670">
        <f t="shared" si="132"/>
        <v>262580</v>
      </c>
      <c r="N1113" s="670">
        <f t="shared" si="132"/>
        <v>39387</v>
      </c>
      <c r="O1113" s="671"/>
      <c r="P1113" s="672"/>
    </row>
    <row r="1114" spans="1:20" s="665" customFormat="1" ht="17.100000000000001" customHeight="1">
      <c r="A1114" s="1316" t="s">
        <v>248</v>
      </c>
      <c r="B1114" s="1317"/>
      <c r="C1114" s="1316"/>
      <c r="D1114" s="1317"/>
      <c r="E1114" s="675">
        <f>W1072</f>
        <v>0.08</v>
      </c>
      <c r="F1114" s="676" t="s">
        <v>366</v>
      </c>
      <c r="G1114" s="670"/>
      <c r="H1114" s="670"/>
      <c r="I1114" s="670">
        <f>[53]노임단가!$T$5</f>
        <v>172068</v>
      </c>
      <c r="J1114" s="670">
        <f>INT(E1114*I1114)</f>
        <v>13765</v>
      </c>
      <c r="K1114" s="670"/>
      <c r="L1114" s="670"/>
      <c r="M1114" s="670">
        <f t="shared" si="132"/>
        <v>172068</v>
      </c>
      <c r="N1114" s="670">
        <f t="shared" si="132"/>
        <v>13765</v>
      </c>
      <c r="O1114" s="671"/>
      <c r="P1114" s="672"/>
    </row>
    <row r="1115" spans="1:20" s="665" customFormat="1" ht="17.100000000000001" customHeight="1">
      <c r="A1115" s="1318" t="s">
        <v>1320</v>
      </c>
      <c r="B1115" s="1319"/>
      <c r="C1115" s="1371"/>
      <c r="D1115" s="1372"/>
      <c r="E1115" s="677"/>
      <c r="F1115" s="676"/>
      <c r="G1115" s="670"/>
      <c r="H1115" s="670" t="e">
        <f>SUM(H1111:H1114)</f>
        <v>#REF!</v>
      </c>
      <c r="I1115" s="670"/>
      <c r="J1115" s="670">
        <f>SUM(J1111:J1114)</f>
        <v>53152</v>
      </c>
      <c r="K1115" s="670"/>
      <c r="L1115" s="670"/>
      <c r="M1115" s="670"/>
      <c r="N1115" s="670" t="e">
        <f>SUM(N1111:N1114)</f>
        <v>#REF!</v>
      </c>
      <c r="O1115" s="699"/>
      <c r="P1115" s="672"/>
    </row>
    <row r="1116" spans="1:20" s="673" customFormat="1" ht="17.100000000000001" customHeight="1">
      <c r="A1116" s="737">
        <f>A1110+1</f>
        <v>224</v>
      </c>
      <c r="B1116" s="1345" t="s">
        <v>1805</v>
      </c>
      <c r="C1116" s="1345"/>
      <c r="D1116" s="1345" t="s">
        <v>1806</v>
      </c>
      <c r="E1116" s="1345"/>
      <c r="F1116" s="738" t="s">
        <v>575</v>
      </c>
      <c r="G1116" s="771"/>
      <c r="H1116" s="771"/>
      <c r="I1116" s="771"/>
      <c r="J1116" s="771"/>
      <c r="K1116" s="739"/>
      <c r="L1116" s="739"/>
      <c r="M1116" s="739"/>
      <c r="N1116" s="771"/>
      <c r="O1116" s="772" t="s">
        <v>1562</v>
      </c>
      <c r="P1116" s="678" t="s">
        <v>1807</v>
      </c>
      <c r="Q1116" s="673" t="s">
        <v>1808</v>
      </c>
    </row>
    <row r="1117" spans="1:20" s="673" customFormat="1" ht="17.100000000000001" customHeight="1">
      <c r="A1117" s="1341" t="s">
        <v>1809</v>
      </c>
      <c r="B1117" s="1342"/>
      <c r="C1117" s="1341" t="s">
        <v>1810</v>
      </c>
      <c r="D1117" s="1342"/>
      <c r="E1117" s="741">
        <v>0.40100000000000002</v>
      </c>
      <c r="F1117" s="742" t="s">
        <v>850</v>
      </c>
      <c r="G1117" s="739" t="e">
        <f>$H$560</f>
        <v>#REF!</v>
      </c>
      <c r="H1117" s="739" t="e">
        <f t="shared" ref="H1117:H1127" si="133">INT(E1117*G1117)</f>
        <v>#REF!</v>
      </c>
      <c r="I1117" s="739">
        <f>$J$560</f>
        <v>586878</v>
      </c>
      <c r="J1117" s="739">
        <f t="shared" ref="J1117:J1125" si="134">INT(E1117*I1117)</f>
        <v>235338</v>
      </c>
      <c r="K1117" s="739">
        <f>$L$560</f>
        <v>5742</v>
      </c>
      <c r="L1117" s="739">
        <f t="shared" ref="L1117:L1122" si="135">INT(E1117*K1117)</f>
        <v>2302</v>
      </c>
      <c r="M1117" s="739" t="e">
        <f t="shared" ref="M1117:N1127" si="136">G1117+I1117+K1117</f>
        <v>#REF!</v>
      </c>
      <c r="N1117" s="739" t="e">
        <f t="shared" si="136"/>
        <v>#REF!</v>
      </c>
      <c r="O1117" s="740">
        <f>$A$553</f>
        <v>140</v>
      </c>
      <c r="P1117" s="678"/>
      <c r="T1117" s="673" t="s">
        <v>1811</v>
      </c>
    </row>
    <row r="1118" spans="1:20" s="673" customFormat="1" ht="17.100000000000001" customHeight="1">
      <c r="A1118" s="1341" t="s">
        <v>1812</v>
      </c>
      <c r="B1118" s="1342"/>
      <c r="C1118" s="1341" t="s">
        <v>1810</v>
      </c>
      <c r="D1118" s="1342"/>
      <c r="E1118" s="744">
        <v>0.69</v>
      </c>
      <c r="F1118" s="742" t="s">
        <v>850</v>
      </c>
      <c r="G1118" s="739" t="e">
        <f>$H$560</f>
        <v>#REF!</v>
      </c>
      <c r="H1118" s="739" t="e">
        <f t="shared" si="133"/>
        <v>#REF!</v>
      </c>
      <c r="I1118" s="739">
        <f>$J$560</f>
        <v>586878</v>
      </c>
      <c r="J1118" s="739">
        <f t="shared" si="134"/>
        <v>404945</v>
      </c>
      <c r="K1118" s="739">
        <f>$L$560</f>
        <v>5742</v>
      </c>
      <c r="L1118" s="739">
        <f t="shared" si="135"/>
        <v>3961</v>
      </c>
      <c r="M1118" s="739" t="e">
        <f t="shared" si="136"/>
        <v>#REF!</v>
      </c>
      <c r="N1118" s="739" t="e">
        <f t="shared" si="136"/>
        <v>#REF!</v>
      </c>
      <c r="O1118" s="740">
        <f>$A$553</f>
        <v>140</v>
      </c>
      <c r="P1118" s="678" t="s">
        <v>1813</v>
      </c>
      <c r="Q1118" s="673" t="s">
        <v>1814</v>
      </c>
      <c r="R1118" s="673">
        <v>1</v>
      </c>
      <c r="S1118" s="673">
        <v>13</v>
      </c>
      <c r="T1118" s="673">
        <f>R1118/S1118</f>
        <v>7.6923076923076927E-2</v>
      </c>
    </row>
    <row r="1119" spans="1:20" s="673" customFormat="1" ht="17.100000000000001" customHeight="1">
      <c r="A1119" s="1341" t="s">
        <v>1815</v>
      </c>
      <c r="B1119" s="1342"/>
      <c r="C1119" s="1341" t="s">
        <v>1816</v>
      </c>
      <c r="D1119" s="1342"/>
      <c r="E1119" s="741">
        <v>0.156</v>
      </c>
      <c r="F1119" s="742" t="s">
        <v>850</v>
      </c>
      <c r="G1119" s="739" t="e">
        <f>$H$536</f>
        <v>#REF!</v>
      </c>
      <c r="H1119" s="739" t="e">
        <f t="shared" si="133"/>
        <v>#REF!</v>
      </c>
      <c r="I1119" s="739">
        <f>$J$536</f>
        <v>586878</v>
      </c>
      <c r="J1119" s="739">
        <f t="shared" si="134"/>
        <v>91552</v>
      </c>
      <c r="K1119" s="739">
        <f>$L$536</f>
        <v>6798</v>
      </c>
      <c r="L1119" s="739">
        <f t="shared" si="135"/>
        <v>1060</v>
      </c>
      <c r="M1119" s="739" t="e">
        <f t="shared" si="136"/>
        <v>#REF!</v>
      </c>
      <c r="N1119" s="739" t="e">
        <f t="shared" si="136"/>
        <v>#REF!</v>
      </c>
      <c r="O1119" s="740">
        <f>$A$529</f>
        <v>137</v>
      </c>
      <c r="P1119" s="678"/>
    </row>
    <row r="1120" spans="1:20" s="673" customFormat="1" ht="17.100000000000001" customHeight="1">
      <c r="A1120" s="1341" t="s">
        <v>1817</v>
      </c>
      <c r="B1120" s="1342"/>
      <c r="C1120" s="1341" t="s">
        <v>1810</v>
      </c>
      <c r="D1120" s="1342"/>
      <c r="E1120" s="741">
        <v>0.156</v>
      </c>
      <c r="F1120" s="742" t="s">
        <v>850</v>
      </c>
      <c r="G1120" s="739" t="e">
        <f>$H$560</f>
        <v>#REF!</v>
      </c>
      <c r="H1120" s="739" t="e">
        <f t="shared" si="133"/>
        <v>#REF!</v>
      </c>
      <c r="I1120" s="739">
        <f>$J$560</f>
        <v>586878</v>
      </c>
      <c r="J1120" s="739">
        <f t="shared" si="134"/>
        <v>91552</v>
      </c>
      <c r="K1120" s="739">
        <f>$L$560</f>
        <v>5742</v>
      </c>
      <c r="L1120" s="739">
        <f t="shared" si="135"/>
        <v>895</v>
      </c>
      <c r="M1120" s="739" t="e">
        <f t="shared" si="136"/>
        <v>#REF!</v>
      </c>
      <c r="N1120" s="739" t="e">
        <f t="shared" si="136"/>
        <v>#REF!</v>
      </c>
      <c r="O1120" s="740">
        <f>$A$553</f>
        <v>140</v>
      </c>
      <c r="P1120" s="678"/>
    </row>
    <row r="1121" spans="1:17" s="673" customFormat="1" ht="17.100000000000001" customHeight="1">
      <c r="A1121" s="1341" t="s">
        <v>1818</v>
      </c>
      <c r="B1121" s="1342"/>
      <c r="C1121" s="1341" t="s">
        <v>1810</v>
      </c>
      <c r="D1121" s="1342"/>
      <c r="E1121" s="744">
        <v>0.28999999999999998</v>
      </c>
      <c r="F1121" s="742" t="s">
        <v>850</v>
      </c>
      <c r="G1121" s="739" t="e">
        <f>$H$560</f>
        <v>#REF!</v>
      </c>
      <c r="H1121" s="739" t="e">
        <f t="shared" si="133"/>
        <v>#REF!</v>
      </c>
      <c r="I1121" s="739">
        <f>$J$560</f>
        <v>586878</v>
      </c>
      <c r="J1121" s="739">
        <f t="shared" si="134"/>
        <v>170194</v>
      </c>
      <c r="K1121" s="739">
        <f>$L$560</f>
        <v>5742</v>
      </c>
      <c r="L1121" s="739">
        <f t="shared" si="135"/>
        <v>1665</v>
      </c>
      <c r="M1121" s="739" t="e">
        <f t="shared" si="136"/>
        <v>#REF!</v>
      </c>
      <c r="N1121" s="739" t="e">
        <f t="shared" si="136"/>
        <v>#REF!</v>
      </c>
      <c r="O1121" s="740">
        <f>$A$553</f>
        <v>140</v>
      </c>
      <c r="P1121" s="678"/>
    </row>
    <row r="1122" spans="1:17" s="673" customFormat="1" ht="17.100000000000001" customHeight="1">
      <c r="A1122" s="1341" t="s">
        <v>1713</v>
      </c>
      <c r="B1122" s="1342"/>
      <c r="C1122" s="1341" t="s">
        <v>1819</v>
      </c>
      <c r="D1122" s="1342"/>
      <c r="E1122" s="741">
        <v>0.50800000000000001</v>
      </c>
      <c r="F1122" s="742" t="str">
        <f>$F$839</f>
        <v>m3</v>
      </c>
      <c r="G1122" s="739" t="e">
        <f>$H$846</f>
        <v>#REF!</v>
      </c>
      <c r="H1122" s="739" t="e">
        <f t="shared" si="133"/>
        <v>#REF!</v>
      </c>
      <c r="I1122" s="739" t="e">
        <f>$J$846</f>
        <v>#REF!</v>
      </c>
      <c r="J1122" s="739" t="e">
        <f t="shared" si="134"/>
        <v>#REF!</v>
      </c>
      <c r="K1122" s="739" t="e">
        <f>$L$846</f>
        <v>#REF!</v>
      </c>
      <c r="L1122" s="739" t="e">
        <f t="shared" si="135"/>
        <v>#REF!</v>
      </c>
      <c r="M1122" s="739" t="e">
        <f>G1122+I1122+K1122</f>
        <v>#REF!</v>
      </c>
      <c r="N1122" s="739" t="e">
        <f>H1122+J1122+L1122</f>
        <v>#REF!</v>
      </c>
      <c r="O1122" s="740">
        <f>$A$839</f>
        <v>181</v>
      </c>
      <c r="P1122" s="678"/>
    </row>
    <row r="1123" spans="1:17" s="673" customFormat="1" ht="17.100000000000001" customHeight="1">
      <c r="A1123" s="1393" t="s">
        <v>1820</v>
      </c>
      <c r="B1123" s="1394"/>
      <c r="C1123" s="1393" t="s">
        <v>1659</v>
      </c>
      <c r="D1123" s="1394"/>
      <c r="E1123" s="773">
        <v>1</v>
      </c>
      <c r="F1123" s="774" t="s">
        <v>575</v>
      </c>
      <c r="G1123" s="739" t="e">
        <f>$H$746</f>
        <v>#REF!</v>
      </c>
      <c r="H1123" s="739" t="e">
        <f t="shared" si="133"/>
        <v>#REF!</v>
      </c>
      <c r="I1123" s="739">
        <f>$J$746</f>
        <v>74674</v>
      </c>
      <c r="J1123" s="739">
        <f t="shared" si="134"/>
        <v>74674</v>
      </c>
      <c r="K1123" s="739"/>
      <c r="L1123" s="739"/>
      <c r="M1123" s="739" t="e">
        <f t="shared" si="136"/>
        <v>#REF!</v>
      </c>
      <c r="N1123" s="739" t="e">
        <f t="shared" si="136"/>
        <v>#REF!</v>
      </c>
      <c r="O1123" s="740">
        <f>$A$741</f>
        <v>166</v>
      </c>
      <c r="P1123" s="678"/>
    </row>
    <row r="1124" spans="1:17" s="673" customFormat="1" ht="17.100000000000001" customHeight="1">
      <c r="A1124" s="1393" t="s">
        <v>1821</v>
      </c>
      <c r="B1124" s="1394"/>
      <c r="C1124" s="1393" t="s">
        <v>1659</v>
      </c>
      <c r="D1124" s="1394"/>
      <c r="E1124" s="773">
        <v>1</v>
      </c>
      <c r="F1124" s="774" t="s">
        <v>575</v>
      </c>
      <c r="G1124" s="739" t="e">
        <f>$H$763</f>
        <v>#REF!</v>
      </c>
      <c r="H1124" s="739" t="e">
        <f t="shared" si="133"/>
        <v>#REF!</v>
      </c>
      <c r="I1124" s="739">
        <f>$J$763</f>
        <v>139662</v>
      </c>
      <c r="J1124" s="739">
        <f t="shared" si="134"/>
        <v>139662</v>
      </c>
      <c r="K1124" s="739"/>
      <c r="L1124" s="739"/>
      <c r="M1124" s="739" t="e">
        <f t="shared" si="136"/>
        <v>#REF!</v>
      </c>
      <c r="N1124" s="739" t="e">
        <f t="shared" si="136"/>
        <v>#REF!</v>
      </c>
      <c r="O1124" s="740">
        <f>$A$759</f>
        <v>169</v>
      </c>
      <c r="P1124" s="678"/>
    </row>
    <row r="1125" spans="1:17" s="673" customFormat="1" ht="17.100000000000001" customHeight="1">
      <c r="A1125" s="1341" t="s">
        <v>1822</v>
      </c>
      <c r="B1125" s="1342"/>
      <c r="C1125" s="1341" t="s">
        <v>1823</v>
      </c>
      <c r="D1125" s="1342"/>
      <c r="E1125" s="753">
        <v>3.1300000000000001E-2</v>
      </c>
      <c r="F1125" s="742" t="s">
        <v>915</v>
      </c>
      <c r="G1125" s="739" t="e">
        <f>$H$645</f>
        <v>#REF!</v>
      </c>
      <c r="H1125" s="739" t="e">
        <f t="shared" si="133"/>
        <v>#REF!</v>
      </c>
      <c r="I1125" s="739">
        <f>$J$645</f>
        <v>791068</v>
      </c>
      <c r="J1125" s="739">
        <f t="shared" si="134"/>
        <v>24760</v>
      </c>
      <c r="K1125" s="739">
        <f>$L$645</f>
        <v>66026</v>
      </c>
      <c r="L1125" s="739">
        <f>INT(E1125*K1125)</f>
        <v>2066</v>
      </c>
      <c r="M1125" s="739" t="e">
        <f t="shared" si="136"/>
        <v>#REF!</v>
      </c>
      <c r="N1125" s="739" t="e">
        <f t="shared" si="136"/>
        <v>#REF!</v>
      </c>
      <c r="O1125" s="740">
        <f>$A$635</f>
        <v>153</v>
      </c>
      <c r="P1125" s="678"/>
    </row>
    <row r="1126" spans="1:17" s="673" customFormat="1" ht="17.100000000000001" customHeight="1">
      <c r="A1126" s="775" t="s">
        <v>1038</v>
      </c>
      <c r="B1126" s="738"/>
      <c r="C1126" s="775" t="s">
        <v>1824</v>
      </c>
      <c r="D1126" s="738"/>
      <c r="E1126" s="753">
        <v>1.4999999999999999E-2</v>
      </c>
      <c r="F1126" s="742" t="s">
        <v>915</v>
      </c>
      <c r="G1126" s="739" t="e">
        <f>#REF!</f>
        <v>#REF!</v>
      </c>
      <c r="H1126" s="739" t="e">
        <f t="shared" si="133"/>
        <v>#REF!</v>
      </c>
      <c r="I1126" s="739"/>
      <c r="J1126" s="739"/>
      <c r="K1126" s="739"/>
      <c r="L1126" s="739"/>
      <c r="M1126" s="739" t="e">
        <f t="shared" si="136"/>
        <v>#REF!</v>
      </c>
      <c r="N1126" s="739" t="e">
        <f t="shared" si="136"/>
        <v>#REF!</v>
      </c>
      <c r="O1126" s="740"/>
      <c r="P1126" s="678"/>
    </row>
    <row r="1127" spans="1:17" s="673" customFormat="1" ht="17.100000000000001" customHeight="1">
      <c r="A1127" s="1341" t="s">
        <v>1038</v>
      </c>
      <c r="B1127" s="1342"/>
      <c r="C1127" s="1341" t="s">
        <v>1825</v>
      </c>
      <c r="D1127" s="1342"/>
      <c r="E1127" s="753">
        <v>1.72E-2</v>
      </c>
      <c r="F1127" s="742" t="s">
        <v>915</v>
      </c>
      <c r="G1127" s="739" t="e">
        <f>#REF!</f>
        <v>#REF!</v>
      </c>
      <c r="H1127" s="739" t="e">
        <f t="shared" si="133"/>
        <v>#REF!</v>
      </c>
      <c r="I1127" s="739"/>
      <c r="J1127" s="739"/>
      <c r="K1127" s="739"/>
      <c r="L1127" s="739"/>
      <c r="M1127" s="739" t="e">
        <f t="shared" si="136"/>
        <v>#REF!</v>
      </c>
      <c r="N1127" s="739" t="e">
        <f t="shared" si="136"/>
        <v>#REF!</v>
      </c>
      <c r="O1127" s="740"/>
      <c r="P1127" s="678"/>
    </row>
    <row r="1128" spans="1:17" s="673" customFormat="1" ht="17.100000000000001" customHeight="1">
      <c r="A1128" s="1341" t="s">
        <v>1826</v>
      </c>
      <c r="B1128" s="1342"/>
      <c r="C1128" s="1341" t="s">
        <v>1827</v>
      </c>
      <c r="D1128" s="1342"/>
      <c r="E1128" s="747">
        <v>1</v>
      </c>
      <c r="F1128" s="742" t="s">
        <v>1828</v>
      </c>
      <c r="G1128" s="739"/>
      <c r="H1128" s="739"/>
      <c r="I1128" s="739"/>
      <c r="J1128" s="739"/>
      <c r="K1128" s="739"/>
      <c r="L1128" s="739"/>
      <c r="M1128" s="739"/>
      <c r="N1128" s="739"/>
      <c r="O1128" s="740"/>
      <c r="P1128" s="678"/>
    </row>
    <row r="1129" spans="1:17" s="673" customFormat="1" ht="17.100000000000001" customHeight="1">
      <c r="A1129" s="1391" t="s">
        <v>248</v>
      </c>
      <c r="B1129" s="1392"/>
      <c r="C1129" s="1391" t="s">
        <v>1829</v>
      </c>
      <c r="D1129" s="1392"/>
      <c r="E1129" s="744">
        <v>1</v>
      </c>
      <c r="F1129" s="742" t="s">
        <v>366</v>
      </c>
      <c r="G1129" s="739"/>
      <c r="H1129" s="739"/>
      <c r="I1129" s="739">
        <f>[53]노임단가!$T$5</f>
        <v>172068</v>
      </c>
      <c r="J1129" s="739">
        <f>INT(E1129*I1129)</f>
        <v>172068</v>
      </c>
      <c r="K1129" s="739"/>
      <c r="L1129" s="739"/>
      <c r="M1129" s="739">
        <f>G1129+I1129+K1129</f>
        <v>172068</v>
      </c>
      <c r="N1129" s="739">
        <f>H1129+J1129+L1129</f>
        <v>172068</v>
      </c>
      <c r="O1129" s="740"/>
      <c r="P1129" s="678"/>
    </row>
    <row r="1130" spans="1:17" s="760" customFormat="1" ht="17.100000000000001" customHeight="1">
      <c r="A1130" s="776" t="s">
        <v>1814</v>
      </c>
      <c r="B1130" s="777"/>
      <c r="C1130" s="776" t="s">
        <v>1830</v>
      </c>
      <c r="D1130" s="777"/>
      <c r="E1130" s="761">
        <f>T1118</f>
        <v>7.6923076923076927E-2</v>
      </c>
      <c r="F1130" s="755" t="s">
        <v>1831</v>
      </c>
      <c r="G1130" s="756"/>
      <c r="H1130" s="756"/>
      <c r="I1130" s="756">
        <f>[53]노임단가!$BK$4</f>
        <v>277276</v>
      </c>
      <c r="J1130" s="756">
        <f>INT(E1130*I1130)</f>
        <v>21328</v>
      </c>
      <c r="K1130" s="756"/>
      <c r="L1130" s="756"/>
      <c r="M1130" s="756">
        <f>G1130+I1130+K1130</f>
        <v>277276</v>
      </c>
      <c r="N1130" s="756">
        <f>H1130+J1130+L1130</f>
        <v>21328</v>
      </c>
      <c r="O1130" s="757"/>
      <c r="P1130" s="758"/>
    </row>
    <row r="1131" spans="1:17" s="665" customFormat="1" ht="17.100000000000001" customHeight="1">
      <c r="A1131" s="1318" t="s">
        <v>1320</v>
      </c>
      <c r="B1131" s="1319"/>
      <c r="C1131" s="1316"/>
      <c r="D1131" s="1317"/>
      <c r="E1131" s="686"/>
      <c r="F1131" s="676"/>
      <c r="G1131" s="670"/>
      <c r="H1131" s="670" t="e">
        <f>SUM(H1117:H1130)</f>
        <v>#REF!</v>
      </c>
      <c r="I1131" s="670"/>
      <c r="J1131" s="670" t="e">
        <f>SUM(J1117:J1130)</f>
        <v>#REF!</v>
      </c>
      <c r="K1131" s="670"/>
      <c r="L1131" s="670" t="e">
        <f>SUM(L1117:L1130)</f>
        <v>#REF!</v>
      </c>
      <c r="M1131" s="670"/>
      <c r="N1131" s="670" t="e">
        <f>SUM(N1117:N1130)</f>
        <v>#REF!</v>
      </c>
      <c r="O1131" s="671"/>
      <c r="P1131" s="672"/>
      <c r="Q1131" s="665" t="s">
        <v>1781</v>
      </c>
    </row>
    <row r="1132" spans="1:17" s="665" customFormat="1" ht="17.100000000000001" customHeight="1">
      <c r="A1132" s="668">
        <f>A1116+1</f>
        <v>225</v>
      </c>
      <c r="B1132" s="1320" t="s">
        <v>1832</v>
      </c>
      <c r="C1132" s="1320"/>
      <c r="D1132" s="1320" t="s">
        <v>1806</v>
      </c>
      <c r="E1132" s="1320"/>
      <c r="F1132" s="669" t="s">
        <v>575</v>
      </c>
      <c r="G1132" s="698"/>
      <c r="H1132" s="698"/>
      <c r="I1132" s="698"/>
      <c r="J1132" s="698"/>
      <c r="K1132" s="670"/>
      <c r="L1132" s="670"/>
      <c r="M1132" s="670"/>
      <c r="N1132" s="698"/>
      <c r="O1132" s="699" t="s">
        <v>1562</v>
      </c>
      <c r="P1132" s="672"/>
      <c r="Q1132" s="665" t="s">
        <v>1781</v>
      </c>
    </row>
    <row r="1133" spans="1:17" s="665" customFormat="1" ht="17.100000000000001" customHeight="1">
      <c r="A1133" s="1316" t="s">
        <v>1809</v>
      </c>
      <c r="B1133" s="1317"/>
      <c r="C1133" s="1316" t="s">
        <v>1810</v>
      </c>
      <c r="D1133" s="1317"/>
      <c r="E1133" s="701">
        <v>0.78500000000000003</v>
      </c>
      <c r="F1133" s="676" t="s">
        <v>850</v>
      </c>
      <c r="G1133" s="670" t="e">
        <f>$H$560</f>
        <v>#REF!</v>
      </c>
      <c r="H1133" s="670" t="e">
        <f t="shared" ref="H1133:H1143" si="137">INT(E1133*G1133)</f>
        <v>#REF!</v>
      </c>
      <c r="I1133" s="670">
        <f>$J$560</f>
        <v>586878</v>
      </c>
      <c r="J1133" s="670">
        <f t="shared" ref="J1133:J1141" si="138">INT(E1133*I1133)</f>
        <v>460699</v>
      </c>
      <c r="K1133" s="670">
        <f>$L$560</f>
        <v>5742</v>
      </c>
      <c r="L1133" s="670">
        <f t="shared" ref="L1133:L1138" si="139">INT(E1133*K1133)</f>
        <v>4507</v>
      </c>
      <c r="M1133" s="670" t="e">
        <f t="shared" ref="M1133:N1143" si="140">G1133+I1133+K1133</f>
        <v>#REF!</v>
      </c>
      <c r="N1133" s="670" t="e">
        <f t="shared" si="140"/>
        <v>#REF!</v>
      </c>
      <c r="O1133" s="671">
        <f>$A$553</f>
        <v>140</v>
      </c>
      <c r="P1133" s="672"/>
      <c r="Q1133" s="665" t="s">
        <v>1781</v>
      </c>
    </row>
    <row r="1134" spans="1:17" s="665" customFormat="1" ht="17.100000000000001" customHeight="1">
      <c r="A1134" s="1316" t="s">
        <v>1812</v>
      </c>
      <c r="B1134" s="1317"/>
      <c r="C1134" s="1316" t="s">
        <v>1810</v>
      </c>
      <c r="D1134" s="1317"/>
      <c r="E1134" s="701">
        <v>1.1379999999999999</v>
      </c>
      <c r="F1134" s="676" t="s">
        <v>850</v>
      </c>
      <c r="G1134" s="670" t="e">
        <f>$H$560</f>
        <v>#REF!</v>
      </c>
      <c r="H1134" s="670" t="e">
        <f t="shared" si="137"/>
        <v>#REF!</v>
      </c>
      <c r="I1134" s="670">
        <f>$J$560</f>
        <v>586878</v>
      </c>
      <c r="J1134" s="670">
        <f t="shared" si="138"/>
        <v>667867</v>
      </c>
      <c r="K1134" s="670">
        <f>$L$560</f>
        <v>5742</v>
      </c>
      <c r="L1134" s="670">
        <f t="shared" si="139"/>
        <v>6534</v>
      </c>
      <c r="M1134" s="670" t="e">
        <f t="shared" si="140"/>
        <v>#REF!</v>
      </c>
      <c r="N1134" s="670" t="e">
        <f t="shared" si="140"/>
        <v>#REF!</v>
      </c>
      <c r="O1134" s="671">
        <f>$A$553</f>
        <v>140</v>
      </c>
      <c r="P1134" s="672"/>
      <c r="Q1134" s="665" t="s">
        <v>1781</v>
      </c>
    </row>
    <row r="1135" spans="1:17" s="665" customFormat="1" ht="17.100000000000001" customHeight="1">
      <c r="A1135" s="1316" t="s">
        <v>1815</v>
      </c>
      <c r="B1135" s="1317"/>
      <c r="C1135" s="1316" t="s">
        <v>1816</v>
      </c>
      <c r="D1135" s="1317"/>
      <c r="E1135" s="701">
        <v>0.39700000000000002</v>
      </c>
      <c r="F1135" s="676" t="s">
        <v>850</v>
      </c>
      <c r="G1135" s="670" t="e">
        <f>$H$536</f>
        <v>#REF!</v>
      </c>
      <c r="H1135" s="670" t="e">
        <f t="shared" si="137"/>
        <v>#REF!</v>
      </c>
      <c r="I1135" s="670">
        <f>$J$536</f>
        <v>586878</v>
      </c>
      <c r="J1135" s="670">
        <f t="shared" si="138"/>
        <v>232990</v>
      </c>
      <c r="K1135" s="670">
        <f>$L$536</f>
        <v>6798</v>
      </c>
      <c r="L1135" s="670">
        <f t="shared" si="139"/>
        <v>2698</v>
      </c>
      <c r="M1135" s="670" t="e">
        <f t="shared" si="140"/>
        <v>#REF!</v>
      </c>
      <c r="N1135" s="670" t="e">
        <f t="shared" si="140"/>
        <v>#REF!</v>
      </c>
      <c r="O1135" s="671">
        <f>$A$529</f>
        <v>137</v>
      </c>
      <c r="P1135" s="672"/>
      <c r="Q1135" s="665" t="s">
        <v>1833</v>
      </c>
    </row>
    <row r="1136" spans="1:17" s="665" customFormat="1" ht="17.100000000000001" customHeight="1">
      <c r="A1136" s="1316" t="s">
        <v>1817</v>
      </c>
      <c r="B1136" s="1317"/>
      <c r="C1136" s="1316" t="s">
        <v>1810</v>
      </c>
      <c r="D1136" s="1317"/>
      <c r="E1136" s="701">
        <v>0.156</v>
      </c>
      <c r="F1136" s="676" t="s">
        <v>850</v>
      </c>
      <c r="G1136" s="670" t="e">
        <f>$H$560</f>
        <v>#REF!</v>
      </c>
      <c r="H1136" s="670" t="e">
        <f t="shared" si="137"/>
        <v>#REF!</v>
      </c>
      <c r="I1136" s="670">
        <f>$J$560</f>
        <v>586878</v>
      </c>
      <c r="J1136" s="670">
        <f t="shared" si="138"/>
        <v>91552</v>
      </c>
      <c r="K1136" s="670">
        <f>$L$560</f>
        <v>5742</v>
      </c>
      <c r="L1136" s="670">
        <f t="shared" si="139"/>
        <v>895</v>
      </c>
      <c r="M1136" s="670" t="e">
        <f t="shared" si="140"/>
        <v>#REF!</v>
      </c>
      <c r="N1136" s="670" t="e">
        <f t="shared" si="140"/>
        <v>#REF!</v>
      </c>
      <c r="O1136" s="671">
        <f>$A$553</f>
        <v>140</v>
      </c>
      <c r="P1136" s="672"/>
      <c r="Q1136" s="665" t="s">
        <v>1833</v>
      </c>
    </row>
    <row r="1137" spans="1:17" s="665" customFormat="1" ht="17.100000000000001" customHeight="1">
      <c r="A1137" s="1316" t="s">
        <v>1818</v>
      </c>
      <c r="B1137" s="1317"/>
      <c r="C1137" s="1316" t="s">
        <v>1810</v>
      </c>
      <c r="D1137" s="1317"/>
      <c r="E1137" s="675">
        <v>0.51</v>
      </c>
      <c r="F1137" s="676" t="s">
        <v>850</v>
      </c>
      <c r="G1137" s="670" t="e">
        <f>$H$560</f>
        <v>#REF!</v>
      </c>
      <c r="H1137" s="670" t="e">
        <f t="shared" si="137"/>
        <v>#REF!</v>
      </c>
      <c r="I1137" s="670">
        <f>$J$560</f>
        <v>586878</v>
      </c>
      <c r="J1137" s="670">
        <f t="shared" si="138"/>
        <v>299307</v>
      </c>
      <c r="K1137" s="670">
        <f>$L$560</f>
        <v>5742</v>
      </c>
      <c r="L1137" s="670">
        <f t="shared" si="139"/>
        <v>2928</v>
      </c>
      <c r="M1137" s="670" t="e">
        <f t="shared" si="140"/>
        <v>#REF!</v>
      </c>
      <c r="N1137" s="670" t="e">
        <f t="shared" si="140"/>
        <v>#REF!</v>
      </c>
      <c r="O1137" s="671">
        <f>$A$553</f>
        <v>140</v>
      </c>
      <c r="P1137" s="672"/>
      <c r="Q1137" s="665" t="s">
        <v>1833</v>
      </c>
    </row>
    <row r="1138" spans="1:17" s="665" customFormat="1" ht="17.100000000000001" customHeight="1">
      <c r="A1138" s="1316" t="s">
        <v>1713</v>
      </c>
      <c r="B1138" s="1317"/>
      <c r="C1138" s="1316" t="s">
        <v>1819</v>
      </c>
      <c r="D1138" s="1317"/>
      <c r="E1138" s="701">
        <v>0.75900000000000001</v>
      </c>
      <c r="F1138" s="676" t="str">
        <f>$F$839</f>
        <v>m3</v>
      </c>
      <c r="G1138" s="670" t="e">
        <f>$H$846</f>
        <v>#REF!</v>
      </c>
      <c r="H1138" s="670" t="e">
        <f>INT(E1138*G1138)</f>
        <v>#REF!</v>
      </c>
      <c r="I1138" s="670" t="e">
        <f>$J$846</f>
        <v>#REF!</v>
      </c>
      <c r="J1138" s="670" t="e">
        <f t="shared" si="138"/>
        <v>#REF!</v>
      </c>
      <c r="K1138" s="670" t="e">
        <f>$L$846</f>
        <v>#REF!</v>
      </c>
      <c r="L1138" s="670" t="e">
        <f t="shared" si="139"/>
        <v>#REF!</v>
      </c>
      <c r="M1138" s="670" t="e">
        <f>G1138+I1138+K1138</f>
        <v>#REF!</v>
      </c>
      <c r="N1138" s="670" t="e">
        <f>H1138+J1138+L1138</f>
        <v>#REF!</v>
      </c>
      <c r="O1138" s="671">
        <f>$A$839</f>
        <v>181</v>
      </c>
      <c r="P1138" s="672"/>
      <c r="Q1138" s="665" t="s">
        <v>1833</v>
      </c>
    </row>
    <row r="1139" spans="1:17" s="665" customFormat="1" ht="17.100000000000001" customHeight="1">
      <c r="A1139" s="1316" t="s">
        <v>1820</v>
      </c>
      <c r="B1139" s="1317"/>
      <c r="C1139" s="1316" t="s">
        <v>1662</v>
      </c>
      <c r="D1139" s="1317"/>
      <c r="E1139" s="677">
        <v>1</v>
      </c>
      <c r="F1139" s="676" t="s">
        <v>575</v>
      </c>
      <c r="G1139" s="670" t="e">
        <f>$H$752</f>
        <v>#REF!</v>
      </c>
      <c r="H1139" s="670" t="e">
        <f t="shared" si="137"/>
        <v>#REF!</v>
      </c>
      <c r="I1139" s="670">
        <f>$J$752</f>
        <v>85538</v>
      </c>
      <c r="J1139" s="670">
        <f t="shared" si="138"/>
        <v>85538</v>
      </c>
      <c r="K1139" s="670"/>
      <c r="L1139" s="670"/>
      <c r="M1139" s="670" t="e">
        <f t="shared" si="140"/>
        <v>#REF!</v>
      </c>
      <c r="N1139" s="670" t="e">
        <f t="shared" si="140"/>
        <v>#REF!</v>
      </c>
      <c r="O1139" s="671">
        <f>$A$747</f>
        <v>167</v>
      </c>
      <c r="P1139" s="672"/>
      <c r="Q1139" s="665" t="s">
        <v>1833</v>
      </c>
    </row>
    <row r="1140" spans="1:17" s="665" customFormat="1" ht="17.100000000000001" customHeight="1">
      <c r="A1140" s="1316" t="s">
        <v>1821</v>
      </c>
      <c r="B1140" s="1317"/>
      <c r="C1140" s="1316" t="s">
        <v>1662</v>
      </c>
      <c r="D1140" s="1317"/>
      <c r="E1140" s="677">
        <v>1</v>
      </c>
      <c r="F1140" s="676" t="s">
        <v>575</v>
      </c>
      <c r="G1140" s="670" t="e">
        <f>$H$768</f>
        <v>#REF!</v>
      </c>
      <c r="H1140" s="670" t="e">
        <f t="shared" si="137"/>
        <v>#REF!</v>
      </c>
      <c r="I1140" s="670">
        <f>$J$768</f>
        <v>178499</v>
      </c>
      <c r="J1140" s="670">
        <f t="shared" si="138"/>
        <v>178499</v>
      </c>
      <c r="K1140" s="670"/>
      <c r="L1140" s="670"/>
      <c r="M1140" s="670" t="e">
        <f t="shared" si="140"/>
        <v>#REF!</v>
      </c>
      <c r="N1140" s="670" t="e">
        <f t="shared" si="140"/>
        <v>#REF!</v>
      </c>
      <c r="O1140" s="671">
        <f>$A$764</f>
        <v>170</v>
      </c>
      <c r="P1140" s="672"/>
      <c r="Q1140" s="665" t="s">
        <v>1833</v>
      </c>
    </row>
    <row r="1141" spans="1:17" s="665" customFormat="1" ht="17.100000000000001" customHeight="1">
      <c r="A1141" s="1316" t="s">
        <v>1822</v>
      </c>
      <c r="B1141" s="1317"/>
      <c r="C1141" s="1316" t="s">
        <v>1823</v>
      </c>
      <c r="D1141" s="1317"/>
      <c r="E1141" s="683">
        <v>7.8600000000000003E-2</v>
      </c>
      <c r="F1141" s="676" t="s">
        <v>915</v>
      </c>
      <c r="G1141" s="670" t="e">
        <f>$H$645</f>
        <v>#REF!</v>
      </c>
      <c r="H1141" s="670" t="e">
        <f t="shared" si="137"/>
        <v>#REF!</v>
      </c>
      <c r="I1141" s="670">
        <f>$J$645</f>
        <v>791068</v>
      </c>
      <c r="J1141" s="670">
        <f t="shared" si="138"/>
        <v>62177</v>
      </c>
      <c r="K1141" s="670">
        <f>$L$645</f>
        <v>66026</v>
      </c>
      <c r="L1141" s="670">
        <f>INT(E1141*K1141)</f>
        <v>5189</v>
      </c>
      <c r="M1141" s="670" t="e">
        <f t="shared" si="140"/>
        <v>#REF!</v>
      </c>
      <c r="N1141" s="670" t="e">
        <f t="shared" si="140"/>
        <v>#REF!</v>
      </c>
      <c r="O1141" s="671">
        <f>$A$635</f>
        <v>153</v>
      </c>
      <c r="P1141" s="672"/>
      <c r="Q1141" s="665" t="s">
        <v>1833</v>
      </c>
    </row>
    <row r="1142" spans="1:17" s="665" customFormat="1" ht="17.100000000000001" customHeight="1">
      <c r="A1142" s="694" t="s">
        <v>1038</v>
      </c>
      <c r="B1142" s="669"/>
      <c r="C1142" s="694" t="s">
        <v>1824</v>
      </c>
      <c r="D1142" s="669"/>
      <c r="E1142" s="683">
        <v>4.9000000000000002E-2</v>
      </c>
      <c r="F1142" s="676" t="s">
        <v>915</v>
      </c>
      <c r="G1142" s="670" t="e">
        <f>#REF!</f>
        <v>#REF!</v>
      </c>
      <c r="H1142" s="670" t="e">
        <f t="shared" si="137"/>
        <v>#REF!</v>
      </c>
      <c r="I1142" s="670"/>
      <c r="J1142" s="670"/>
      <c r="K1142" s="670"/>
      <c r="L1142" s="670"/>
      <c r="M1142" s="670" t="e">
        <f t="shared" si="140"/>
        <v>#REF!</v>
      </c>
      <c r="N1142" s="670" t="e">
        <f t="shared" si="140"/>
        <v>#REF!</v>
      </c>
      <c r="O1142" s="671"/>
      <c r="P1142" s="672"/>
      <c r="Q1142" s="665" t="s">
        <v>1833</v>
      </c>
    </row>
    <row r="1143" spans="1:17" s="665" customFormat="1" ht="17.100000000000001" customHeight="1">
      <c r="A1143" s="1316" t="s">
        <v>1038</v>
      </c>
      <c r="B1143" s="1317"/>
      <c r="C1143" s="1316" t="s">
        <v>1825</v>
      </c>
      <c r="D1143" s="1317"/>
      <c r="E1143" s="683">
        <v>3.2000000000000001E-2</v>
      </c>
      <c r="F1143" s="676" t="s">
        <v>915</v>
      </c>
      <c r="G1143" s="670" t="e">
        <f>#REF!</f>
        <v>#REF!</v>
      </c>
      <c r="H1143" s="670" t="e">
        <f t="shared" si="137"/>
        <v>#REF!</v>
      </c>
      <c r="I1143" s="670"/>
      <c r="J1143" s="670"/>
      <c r="K1143" s="670"/>
      <c r="L1143" s="670"/>
      <c r="M1143" s="670" t="e">
        <f t="shared" si="140"/>
        <v>#REF!</v>
      </c>
      <c r="N1143" s="670" t="e">
        <f t="shared" si="140"/>
        <v>#REF!</v>
      </c>
      <c r="O1143" s="671"/>
      <c r="P1143" s="672"/>
      <c r="Q1143" s="665" t="s">
        <v>1833</v>
      </c>
    </row>
    <row r="1144" spans="1:17" s="665" customFormat="1" ht="17.100000000000001" customHeight="1">
      <c r="A1144" s="1316" t="s">
        <v>1826</v>
      </c>
      <c r="B1144" s="1317"/>
      <c r="C1144" s="1316" t="s">
        <v>1827</v>
      </c>
      <c r="D1144" s="1317"/>
      <c r="E1144" s="677">
        <v>1</v>
      </c>
      <c r="F1144" s="676" t="s">
        <v>1828</v>
      </c>
      <c r="G1144" s="670"/>
      <c r="H1144" s="670"/>
      <c r="I1144" s="670"/>
      <c r="J1144" s="670"/>
      <c r="K1144" s="670"/>
      <c r="L1144" s="670"/>
      <c r="M1144" s="670"/>
      <c r="N1144" s="670"/>
      <c r="O1144" s="671"/>
      <c r="P1144" s="672"/>
      <c r="Q1144" s="665" t="s">
        <v>1833</v>
      </c>
    </row>
    <row r="1145" spans="1:17" s="665" customFormat="1" ht="17.100000000000001" customHeight="1">
      <c r="A1145" s="1359" t="s">
        <v>248</v>
      </c>
      <c r="B1145" s="1360"/>
      <c r="C1145" s="1359" t="s">
        <v>1829</v>
      </c>
      <c r="D1145" s="1360"/>
      <c r="E1145" s="675">
        <v>1</v>
      </c>
      <c r="F1145" s="676" t="s">
        <v>366</v>
      </c>
      <c r="G1145" s="670"/>
      <c r="H1145" s="670"/>
      <c r="I1145" s="670">
        <f>[53]노임단가!$T$5</f>
        <v>172068</v>
      </c>
      <c r="J1145" s="670">
        <f>INT(E1145*I1145)</f>
        <v>172068</v>
      </c>
      <c r="K1145" s="670"/>
      <c r="L1145" s="670"/>
      <c r="M1145" s="670">
        <f>G1145+I1145+K1145</f>
        <v>172068</v>
      </c>
      <c r="N1145" s="670">
        <f>H1145+J1145+L1145</f>
        <v>172068</v>
      </c>
      <c r="O1145" s="671"/>
      <c r="P1145" s="672"/>
      <c r="Q1145" s="665" t="s">
        <v>1833</v>
      </c>
    </row>
    <row r="1146" spans="1:17" s="760" customFormat="1" ht="17.100000000000001" customHeight="1">
      <c r="A1146" s="776" t="s">
        <v>1814</v>
      </c>
      <c r="B1146" s="777"/>
      <c r="C1146" s="776" t="s">
        <v>1830</v>
      </c>
      <c r="D1146" s="777"/>
      <c r="E1146" s="761">
        <f>E1130</f>
        <v>7.6923076923076927E-2</v>
      </c>
      <c r="F1146" s="755" t="s">
        <v>1831</v>
      </c>
      <c r="G1146" s="756"/>
      <c r="H1146" s="756"/>
      <c r="I1146" s="756">
        <f>[53]노임단가!$BK$4</f>
        <v>277276</v>
      </c>
      <c r="J1146" s="756">
        <f>INT(E1146*I1146)</f>
        <v>21328</v>
      </c>
      <c r="K1146" s="756"/>
      <c r="L1146" s="756"/>
      <c r="M1146" s="756">
        <f>G1146+I1146+K1146</f>
        <v>277276</v>
      </c>
      <c r="N1146" s="756">
        <f>H1146+J1146+L1146</f>
        <v>21328</v>
      </c>
      <c r="O1146" s="757"/>
      <c r="P1146" s="758"/>
    </row>
    <row r="1147" spans="1:17" s="665" customFormat="1" ht="17.100000000000001" customHeight="1">
      <c r="A1147" s="1318" t="s">
        <v>1320</v>
      </c>
      <c r="B1147" s="1319"/>
      <c r="C1147" s="1316"/>
      <c r="D1147" s="1317"/>
      <c r="E1147" s="686"/>
      <c r="F1147" s="676"/>
      <c r="G1147" s="670"/>
      <c r="H1147" s="670" t="e">
        <f>SUM(H1133:H1146)</f>
        <v>#REF!</v>
      </c>
      <c r="I1147" s="670"/>
      <c r="J1147" s="670" t="e">
        <f>SUM(J1133:J1146)</f>
        <v>#REF!</v>
      </c>
      <c r="K1147" s="670"/>
      <c r="L1147" s="670" t="e">
        <f>SUM(L1133:L1146)</f>
        <v>#REF!</v>
      </c>
      <c r="M1147" s="670"/>
      <c r="N1147" s="670" t="e">
        <f>SUM(N1133:N1146)</f>
        <v>#REF!</v>
      </c>
      <c r="O1147" s="671"/>
      <c r="P1147" s="672"/>
      <c r="Q1147" s="665" t="s">
        <v>1833</v>
      </c>
    </row>
    <row r="1148" spans="1:17" s="665" customFormat="1" ht="17.100000000000001" customHeight="1">
      <c r="A1148" s="668">
        <f>A1132+1</f>
        <v>226</v>
      </c>
      <c r="B1148" s="1320" t="s">
        <v>1834</v>
      </c>
      <c r="C1148" s="1320"/>
      <c r="D1148" s="1320" t="s">
        <v>1806</v>
      </c>
      <c r="E1148" s="1320"/>
      <c r="F1148" s="669" t="s">
        <v>575</v>
      </c>
      <c r="G1148" s="698"/>
      <c r="H1148" s="698"/>
      <c r="I1148" s="698"/>
      <c r="J1148" s="698"/>
      <c r="K1148" s="670"/>
      <c r="L1148" s="670"/>
      <c r="M1148" s="670"/>
      <c r="N1148" s="698"/>
      <c r="O1148" s="699" t="s">
        <v>1562</v>
      </c>
      <c r="P1148" s="672"/>
      <c r="Q1148" s="665" t="s">
        <v>1833</v>
      </c>
    </row>
    <row r="1149" spans="1:17" s="665" customFormat="1" ht="17.100000000000001" customHeight="1">
      <c r="A1149" s="1316" t="s">
        <v>1809</v>
      </c>
      <c r="B1149" s="1317"/>
      <c r="C1149" s="1316" t="s">
        <v>1810</v>
      </c>
      <c r="D1149" s="1317"/>
      <c r="E1149" s="701">
        <v>1.038</v>
      </c>
      <c r="F1149" s="676" t="s">
        <v>850</v>
      </c>
      <c r="G1149" s="670" t="e">
        <f>$H$560</f>
        <v>#REF!</v>
      </c>
      <c r="H1149" s="670" t="e">
        <f t="shared" ref="H1149:H1159" si="141">INT(E1149*G1149)</f>
        <v>#REF!</v>
      </c>
      <c r="I1149" s="670">
        <f>$J$560</f>
        <v>586878</v>
      </c>
      <c r="J1149" s="670">
        <f t="shared" ref="J1149:J1157" si="142">INT(E1149*I1149)</f>
        <v>609179</v>
      </c>
      <c r="K1149" s="670">
        <f>$L$560</f>
        <v>5742</v>
      </c>
      <c r="L1149" s="670">
        <f t="shared" ref="L1149:L1154" si="143">INT(E1149*K1149)</f>
        <v>5960</v>
      </c>
      <c r="M1149" s="670" t="e">
        <f t="shared" ref="M1149:N1159" si="144">G1149+I1149+K1149</f>
        <v>#REF!</v>
      </c>
      <c r="N1149" s="670" t="e">
        <f t="shared" si="144"/>
        <v>#REF!</v>
      </c>
      <c r="O1149" s="671">
        <f>$A$553</f>
        <v>140</v>
      </c>
      <c r="P1149" s="672"/>
      <c r="Q1149" s="665" t="s">
        <v>1833</v>
      </c>
    </row>
    <row r="1150" spans="1:17" s="665" customFormat="1" ht="17.100000000000001" customHeight="1">
      <c r="A1150" s="1316" t="s">
        <v>1812</v>
      </c>
      <c r="B1150" s="1317"/>
      <c r="C1150" s="1316" t="s">
        <v>1810</v>
      </c>
      <c r="D1150" s="1317"/>
      <c r="E1150" s="701">
        <v>1.373</v>
      </c>
      <c r="F1150" s="676" t="s">
        <v>850</v>
      </c>
      <c r="G1150" s="670" t="e">
        <f>$H$560</f>
        <v>#REF!</v>
      </c>
      <c r="H1150" s="670" t="e">
        <f t="shared" si="141"/>
        <v>#REF!</v>
      </c>
      <c r="I1150" s="670">
        <f>$J$560</f>
        <v>586878</v>
      </c>
      <c r="J1150" s="670">
        <f t="shared" si="142"/>
        <v>805783</v>
      </c>
      <c r="K1150" s="670">
        <f>$L$560</f>
        <v>5742</v>
      </c>
      <c r="L1150" s="670">
        <f t="shared" si="143"/>
        <v>7883</v>
      </c>
      <c r="M1150" s="670" t="e">
        <f t="shared" si="144"/>
        <v>#REF!</v>
      </c>
      <c r="N1150" s="670" t="e">
        <f t="shared" si="144"/>
        <v>#REF!</v>
      </c>
      <c r="O1150" s="671">
        <f>$A$553</f>
        <v>140</v>
      </c>
      <c r="P1150" s="672"/>
      <c r="Q1150" s="665" t="s">
        <v>1833</v>
      </c>
    </row>
    <row r="1151" spans="1:17" s="665" customFormat="1" ht="17.100000000000001" customHeight="1">
      <c r="A1151" s="1316" t="s">
        <v>1815</v>
      </c>
      <c r="B1151" s="1317"/>
      <c r="C1151" s="1316" t="s">
        <v>1816</v>
      </c>
      <c r="D1151" s="1317"/>
      <c r="E1151" s="701">
        <v>0.57099999999999995</v>
      </c>
      <c r="F1151" s="676" t="s">
        <v>850</v>
      </c>
      <c r="G1151" s="670" t="e">
        <f>$H$536</f>
        <v>#REF!</v>
      </c>
      <c r="H1151" s="670" t="e">
        <f t="shared" si="141"/>
        <v>#REF!</v>
      </c>
      <c r="I1151" s="670">
        <f>$J$536</f>
        <v>586878</v>
      </c>
      <c r="J1151" s="670">
        <f t="shared" si="142"/>
        <v>335107</v>
      </c>
      <c r="K1151" s="670">
        <f>$L$536</f>
        <v>6798</v>
      </c>
      <c r="L1151" s="670">
        <f t="shared" si="143"/>
        <v>3881</v>
      </c>
      <c r="M1151" s="670" t="e">
        <f t="shared" si="144"/>
        <v>#REF!</v>
      </c>
      <c r="N1151" s="670" t="e">
        <f t="shared" si="144"/>
        <v>#REF!</v>
      </c>
      <c r="O1151" s="671">
        <f>$A$529</f>
        <v>137</v>
      </c>
      <c r="P1151" s="672"/>
      <c r="Q1151" s="665" t="s">
        <v>1833</v>
      </c>
    </row>
    <row r="1152" spans="1:17" s="665" customFormat="1" ht="17.100000000000001" customHeight="1">
      <c r="A1152" s="1316" t="s">
        <v>1817</v>
      </c>
      <c r="B1152" s="1317"/>
      <c r="C1152" s="1316" t="s">
        <v>1810</v>
      </c>
      <c r="D1152" s="1317"/>
      <c r="E1152" s="701">
        <v>0.156</v>
      </c>
      <c r="F1152" s="676" t="s">
        <v>850</v>
      </c>
      <c r="G1152" s="670" t="e">
        <f>$H$560</f>
        <v>#REF!</v>
      </c>
      <c r="H1152" s="670" t="e">
        <f t="shared" si="141"/>
        <v>#REF!</v>
      </c>
      <c r="I1152" s="670">
        <f>$J$560</f>
        <v>586878</v>
      </c>
      <c r="J1152" s="670">
        <f t="shared" si="142"/>
        <v>91552</v>
      </c>
      <c r="K1152" s="670">
        <f>$L$560</f>
        <v>5742</v>
      </c>
      <c r="L1152" s="670">
        <f t="shared" si="143"/>
        <v>895</v>
      </c>
      <c r="M1152" s="670" t="e">
        <f t="shared" si="144"/>
        <v>#REF!</v>
      </c>
      <c r="N1152" s="670" t="e">
        <f t="shared" si="144"/>
        <v>#REF!</v>
      </c>
      <c r="O1152" s="671">
        <f>$A$553</f>
        <v>140</v>
      </c>
      <c r="P1152" s="672"/>
      <c r="Q1152" s="665" t="s">
        <v>1833</v>
      </c>
    </row>
    <row r="1153" spans="1:17" s="665" customFormat="1" ht="17.100000000000001" customHeight="1">
      <c r="A1153" s="1316" t="s">
        <v>1818</v>
      </c>
      <c r="B1153" s="1317"/>
      <c r="C1153" s="1316" t="s">
        <v>1810</v>
      </c>
      <c r="D1153" s="1317"/>
      <c r="E1153" s="675">
        <v>0.97</v>
      </c>
      <c r="F1153" s="676" t="s">
        <v>850</v>
      </c>
      <c r="G1153" s="670" t="e">
        <f>$H$560</f>
        <v>#REF!</v>
      </c>
      <c r="H1153" s="670" t="e">
        <f t="shared" si="141"/>
        <v>#REF!</v>
      </c>
      <c r="I1153" s="670">
        <f>$J$560</f>
        <v>586878</v>
      </c>
      <c r="J1153" s="670">
        <f t="shared" si="142"/>
        <v>569271</v>
      </c>
      <c r="K1153" s="670">
        <f>$L$560</f>
        <v>5742</v>
      </c>
      <c r="L1153" s="670">
        <f t="shared" si="143"/>
        <v>5569</v>
      </c>
      <c r="M1153" s="670" t="e">
        <f t="shared" si="144"/>
        <v>#REF!</v>
      </c>
      <c r="N1153" s="670" t="e">
        <f t="shared" si="144"/>
        <v>#REF!</v>
      </c>
      <c r="O1153" s="671">
        <f>$A$553</f>
        <v>140</v>
      </c>
      <c r="P1153" s="672"/>
      <c r="Q1153" s="665" t="s">
        <v>1833</v>
      </c>
    </row>
    <row r="1154" spans="1:17" s="665" customFormat="1" ht="17.100000000000001" customHeight="1">
      <c r="A1154" s="1316" t="s">
        <v>1713</v>
      </c>
      <c r="B1154" s="1317"/>
      <c r="C1154" s="1316" t="s">
        <v>1819</v>
      </c>
      <c r="D1154" s="1317"/>
      <c r="E1154" s="701">
        <v>0.98099999999999998</v>
      </c>
      <c r="F1154" s="676" t="str">
        <f>$F$839</f>
        <v>m3</v>
      </c>
      <c r="G1154" s="670" t="e">
        <f>$H$846</f>
        <v>#REF!</v>
      </c>
      <c r="H1154" s="670" t="e">
        <f>INT(E1154*G1154)</f>
        <v>#REF!</v>
      </c>
      <c r="I1154" s="670" t="e">
        <f>$J$846</f>
        <v>#REF!</v>
      </c>
      <c r="J1154" s="670" t="e">
        <f t="shared" si="142"/>
        <v>#REF!</v>
      </c>
      <c r="K1154" s="670" t="e">
        <f>$L$846</f>
        <v>#REF!</v>
      </c>
      <c r="L1154" s="670" t="e">
        <f t="shared" si="143"/>
        <v>#REF!</v>
      </c>
      <c r="M1154" s="670" t="e">
        <f>G1154+I1154+K1154</f>
        <v>#REF!</v>
      </c>
      <c r="N1154" s="670" t="e">
        <f>H1154+J1154+L1154</f>
        <v>#REF!</v>
      </c>
      <c r="O1154" s="671">
        <f>$A$839</f>
        <v>181</v>
      </c>
      <c r="P1154" s="672"/>
      <c r="Q1154" s="665" t="s">
        <v>1833</v>
      </c>
    </row>
    <row r="1155" spans="1:17" s="665" customFormat="1" ht="17.100000000000001" customHeight="1">
      <c r="A1155" s="1316" t="s">
        <v>1820</v>
      </c>
      <c r="B1155" s="1317"/>
      <c r="C1155" s="1316" t="s">
        <v>1666</v>
      </c>
      <c r="D1155" s="1317"/>
      <c r="E1155" s="677">
        <v>1</v>
      </c>
      <c r="F1155" s="676" t="s">
        <v>575</v>
      </c>
      <c r="G1155" s="670" t="e">
        <f>$H$758</f>
        <v>#REF!</v>
      </c>
      <c r="H1155" s="670" t="e">
        <f t="shared" si="141"/>
        <v>#REF!</v>
      </c>
      <c r="I1155" s="670">
        <f>$J$758</f>
        <v>107267</v>
      </c>
      <c r="J1155" s="670">
        <f t="shared" si="142"/>
        <v>107267</v>
      </c>
      <c r="K1155" s="670"/>
      <c r="L1155" s="670"/>
      <c r="M1155" s="670" t="e">
        <f t="shared" si="144"/>
        <v>#REF!</v>
      </c>
      <c r="N1155" s="670" t="e">
        <f t="shared" si="144"/>
        <v>#REF!</v>
      </c>
      <c r="O1155" s="671">
        <f>A753</f>
        <v>168</v>
      </c>
      <c r="P1155" s="672"/>
      <c r="Q1155" s="665" t="s">
        <v>1833</v>
      </c>
    </row>
    <row r="1156" spans="1:17" s="665" customFormat="1" ht="17.100000000000001" customHeight="1">
      <c r="A1156" s="1316" t="s">
        <v>1821</v>
      </c>
      <c r="B1156" s="1317"/>
      <c r="C1156" s="1316" t="s">
        <v>1666</v>
      </c>
      <c r="D1156" s="1317"/>
      <c r="E1156" s="677">
        <v>1</v>
      </c>
      <c r="F1156" s="676" t="s">
        <v>575</v>
      </c>
      <c r="G1156" s="670" t="e">
        <f>$H$773</f>
        <v>#REF!</v>
      </c>
      <c r="H1156" s="670" t="e">
        <f t="shared" si="141"/>
        <v>#REF!</v>
      </c>
      <c r="I1156" s="670">
        <f>$J$773</f>
        <v>221319</v>
      </c>
      <c r="J1156" s="670">
        <f t="shared" si="142"/>
        <v>221319</v>
      </c>
      <c r="K1156" s="670"/>
      <c r="L1156" s="670"/>
      <c r="M1156" s="670" t="e">
        <f t="shared" si="144"/>
        <v>#REF!</v>
      </c>
      <c r="N1156" s="670" t="e">
        <f t="shared" si="144"/>
        <v>#REF!</v>
      </c>
      <c r="O1156" s="671">
        <f>A769</f>
        <v>171</v>
      </c>
      <c r="P1156" s="672"/>
      <c r="Q1156" s="665" t="s">
        <v>1833</v>
      </c>
    </row>
    <row r="1157" spans="1:17" s="665" customFormat="1" ht="17.100000000000001" customHeight="1">
      <c r="A1157" s="1316" t="s">
        <v>1822</v>
      </c>
      <c r="B1157" s="1317"/>
      <c r="C1157" s="1316" t="s">
        <v>1823</v>
      </c>
      <c r="D1157" s="1317"/>
      <c r="E1157" s="683">
        <v>0.12839999999999999</v>
      </c>
      <c r="F1157" s="676" t="s">
        <v>915</v>
      </c>
      <c r="G1157" s="670" t="e">
        <f>$H$645</f>
        <v>#REF!</v>
      </c>
      <c r="H1157" s="670" t="e">
        <f t="shared" si="141"/>
        <v>#REF!</v>
      </c>
      <c r="I1157" s="670">
        <f>$J$645</f>
        <v>791068</v>
      </c>
      <c r="J1157" s="670">
        <f t="shared" si="142"/>
        <v>101573</v>
      </c>
      <c r="K1157" s="670">
        <f>$L$645</f>
        <v>66026</v>
      </c>
      <c r="L1157" s="670">
        <f>INT(E1157*K1157)</f>
        <v>8477</v>
      </c>
      <c r="M1157" s="670" t="e">
        <f t="shared" si="144"/>
        <v>#REF!</v>
      </c>
      <c r="N1157" s="670" t="e">
        <f t="shared" si="144"/>
        <v>#REF!</v>
      </c>
      <c r="O1157" s="671">
        <f>$A$635</f>
        <v>153</v>
      </c>
      <c r="P1157" s="672"/>
      <c r="Q1157" s="665" t="s">
        <v>1833</v>
      </c>
    </row>
    <row r="1158" spans="1:17" s="665" customFormat="1" ht="17.100000000000001" customHeight="1">
      <c r="A1158" s="694" t="s">
        <v>1038</v>
      </c>
      <c r="B1158" s="669"/>
      <c r="C1158" s="694" t="s">
        <v>1824</v>
      </c>
      <c r="D1158" s="669"/>
      <c r="E1158" s="683">
        <v>9.5799999999999996E-2</v>
      </c>
      <c r="F1158" s="676" t="s">
        <v>915</v>
      </c>
      <c r="G1158" s="670" t="e">
        <f>#REF!</f>
        <v>#REF!</v>
      </c>
      <c r="H1158" s="670" t="e">
        <f t="shared" si="141"/>
        <v>#REF!</v>
      </c>
      <c r="I1158" s="670"/>
      <c r="J1158" s="670"/>
      <c r="K1158" s="670"/>
      <c r="L1158" s="670"/>
      <c r="M1158" s="670" t="e">
        <f t="shared" si="144"/>
        <v>#REF!</v>
      </c>
      <c r="N1158" s="670" t="e">
        <f t="shared" si="144"/>
        <v>#REF!</v>
      </c>
      <c r="O1158" s="671"/>
      <c r="P1158" s="672"/>
      <c r="Q1158" s="665" t="s">
        <v>1833</v>
      </c>
    </row>
    <row r="1159" spans="1:17" s="665" customFormat="1" ht="17.100000000000001" customHeight="1">
      <c r="A1159" s="1316" t="s">
        <v>1038</v>
      </c>
      <c r="B1159" s="1317"/>
      <c r="C1159" s="1316" t="s">
        <v>1825</v>
      </c>
      <c r="D1159" s="1317"/>
      <c r="E1159" s="683">
        <v>3.6400000000000002E-2</v>
      </c>
      <c r="F1159" s="676" t="s">
        <v>915</v>
      </c>
      <c r="G1159" s="670" t="e">
        <f>#REF!</f>
        <v>#REF!</v>
      </c>
      <c r="H1159" s="670" t="e">
        <f t="shared" si="141"/>
        <v>#REF!</v>
      </c>
      <c r="I1159" s="670"/>
      <c r="J1159" s="670"/>
      <c r="K1159" s="670"/>
      <c r="L1159" s="670"/>
      <c r="M1159" s="670" t="e">
        <f t="shared" si="144"/>
        <v>#REF!</v>
      </c>
      <c r="N1159" s="670" t="e">
        <f t="shared" si="144"/>
        <v>#REF!</v>
      </c>
      <c r="O1159" s="671"/>
      <c r="P1159" s="672"/>
      <c r="Q1159" s="665" t="s">
        <v>1833</v>
      </c>
    </row>
    <row r="1160" spans="1:17" s="665" customFormat="1" ht="17.100000000000001" customHeight="1">
      <c r="A1160" s="1316" t="s">
        <v>1826</v>
      </c>
      <c r="B1160" s="1317"/>
      <c r="C1160" s="1316" t="s">
        <v>1827</v>
      </c>
      <c r="D1160" s="1317"/>
      <c r="E1160" s="677">
        <v>1</v>
      </c>
      <c r="F1160" s="676" t="s">
        <v>1828</v>
      </c>
      <c r="G1160" s="670"/>
      <c r="H1160" s="670"/>
      <c r="I1160" s="670"/>
      <c r="J1160" s="670"/>
      <c r="K1160" s="670"/>
      <c r="L1160" s="670"/>
      <c r="M1160" s="670"/>
      <c r="N1160" s="670"/>
      <c r="O1160" s="671"/>
      <c r="P1160" s="672"/>
      <c r="Q1160" s="665" t="s">
        <v>1833</v>
      </c>
    </row>
    <row r="1161" spans="1:17" s="665" customFormat="1" ht="17.100000000000001" customHeight="1">
      <c r="A1161" s="1359" t="s">
        <v>248</v>
      </c>
      <c r="B1161" s="1360"/>
      <c r="C1161" s="1316" t="s">
        <v>1829</v>
      </c>
      <c r="D1161" s="1317"/>
      <c r="E1161" s="675">
        <v>1</v>
      </c>
      <c r="F1161" s="676" t="s">
        <v>366</v>
      </c>
      <c r="G1161" s="670"/>
      <c r="H1161" s="670"/>
      <c r="I1161" s="670">
        <f>[53]노임단가!$T$5</f>
        <v>172068</v>
      </c>
      <c r="J1161" s="670">
        <f>INT(E1161*I1161)</f>
        <v>172068</v>
      </c>
      <c r="K1161" s="670"/>
      <c r="L1161" s="670"/>
      <c r="M1161" s="670">
        <f>G1161+I1161+K1161</f>
        <v>172068</v>
      </c>
      <c r="N1161" s="670">
        <f>H1161+J1161+L1161</f>
        <v>172068</v>
      </c>
      <c r="O1161" s="671"/>
      <c r="P1161" s="672"/>
      <c r="Q1161" s="665" t="s">
        <v>1833</v>
      </c>
    </row>
    <row r="1162" spans="1:17" s="760" customFormat="1" ht="17.100000000000001" customHeight="1">
      <c r="A1162" s="776" t="s">
        <v>1814</v>
      </c>
      <c r="B1162" s="777"/>
      <c r="C1162" s="776" t="s">
        <v>1830</v>
      </c>
      <c r="D1162" s="777"/>
      <c r="E1162" s="761">
        <f>E1146</f>
        <v>7.6923076923076927E-2</v>
      </c>
      <c r="F1162" s="755" t="s">
        <v>1831</v>
      </c>
      <c r="G1162" s="756"/>
      <c r="H1162" s="756"/>
      <c r="I1162" s="756">
        <f>[53]노임단가!$BK$4</f>
        <v>277276</v>
      </c>
      <c r="J1162" s="756">
        <f>INT(E1162*I1162)</f>
        <v>21328</v>
      </c>
      <c r="K1162" s="756"/>
      <c r="L1162" s="756"/>
      <c r="M1162" s="756">
        <f>G1162+I1162+K1162</f>
        <v>277276</v>
      </c>
      <c r="N1162" s="756">
        <f>H1162+J1162+L1162</f>
        <v>21328</v>
      </c>
      <c r="O1162" s="757"/>
      <c r="P1162" s="758"/>
    </row>
    <row r="1163" spans="1:17" s="665" customFormat="1" ht="17.100000000000001" customHeight="1">
      <c r="A1163" s="1318" t="s">
        <v>1320</v>
      </c>
      <c r="B1163" s="1319"/>
      <c r="C1163" s="1316"/>
      <c r="D1163" s="1317"/>
      <c r="E1163" s="686"/>
      <c r="F1163" s="676"/>
      <c r="G1163" s="670"/>
      <c r="H1163" s="670" t="e">
        <f>SUM(H1149:H1162)</f>
        <v>#REF!</v>
      </c>
      <c r="I1163" s="670"/>
      <c r="J1163" s="670" t="e">
        <f>SUM(J1149:J1162)</f>
        <v>#REF!</v>
      </c>
      <c r="K1163" s="670"/>
      <c r="L1163" s="670" t="e">
        <f>SUM(L1149:L1162)</f>
        <v>#REF!</v>
      </c>
      <c r="M1163" s="670"/>
      <c r="N1163" s="670" t="e">
        <f>SUM(N1149:N1162)</f>
        <v>#REF!</v>
      </c>
      <c r="O1163" s="671"/>
      <c r="P1163" s="672"/>
      <c r="Q1163" s="665" t="s">
        <v>1833</v>
      </c>
    </row>
    <row r="1164" spans="1:17" s="665" customFormat="1" ht="17.100000000000001" customHeight="1">
      <c r="A1164" s="668">
        <f>A1148+1</f>
        <v>227</v>
      </c>
      <c r="B1164" s="1320" t="s">
        <v>1835</v>
      </c>
      <c r="C1164" s="1320"/>
      <c r="D1164" s="1320"/>
      <c r="E1164" s="1320"/>
      <c r="F1164" s="669" t="s">
        <v>30</v>
      </c>
      <c r="G1164" s="670"/>
      <c r="H1164" s="670"/>
      <c r="I1164" s="670"/>
      <c r="J1164" s="670"/>
      <c r="K1164" s="670"/>
      <c r="L1164" s="670"/>
      <c r="M1164" s="670"/>
      <c r="N1164" s="670"/>
      <c r="O1164" s="671"/>
      <c r="P1164" s="672"/>
      <c r="Q1164" s="665" t="s">
        <v>1833</v>
      </c>
    </row>
    <row r="1165" spans="1:17" s="665" customFormat="1" ht="17.100000000000001" customHeight="1">
      <c r="A1165" s="1316" t="s">
        <v>927</v>
      </c>
      <c r="B1165" s="1317"/>
      <c r="C1165" s="1316" t="s">
        <v>1836</v>
      </c>
      <c r="D1165" s="1317"/>
      <c r="E1165" s="686">
        <v>1</v>
      </c>
      <c r="F1165" s="676" t="s">
        <v>30</v>
      </c>
      <c r="G1165" s="670" t="e">
        <f>#REF!</f>
        <v>#REF!</v>
      </c>
      <c r="H1165" s="670" t="e">
        <f>INT(E1165*G1165)</f>
        <v>#REF!</v>
      </c>
      <c r="I1165" s="670"/>
      <c r="J1165" s="670"/>
      <c r="K1165" s="670"/>
      <c r="L1165" s="670"/>
      <c r="M1165" s="670" t="e">
        <f>G1165+I1165+K1165</f>
        <v>#REF!</v>
      </c>
      <c r="N1165" s="670" t="e">
        <f>H1165+J1165+L1165</f>
        <v>#REF!</v>
      </c>
      <c r="O1165" s="671"/>
      <c r="P1165" s="672"/>
      <c r="Q1165" s="665" t="s">
        <v>1833</v>
      </c>
    </row>
    <row r="1166" spans="1:17" s="665" customFormat="1" ht="17.100000000000001" customHeight="1">
      <c r="A1166" s="1316" t="s">
        <v>1621</v>
      </c>
      <c r="B1166" s="1317"/>
      <c r="C1166" s="1316"/>
      <c r="D1166" s="1317"/>
      <c r="E1166" s="686">
        <v>1.6E-2</v>
      </c>
      <c r="F1166" s="676" t="s">
        <v>366</v>
      </c>
      <c r="G1166" s="670"/>
      <c r="H1166" s="670"/>
      <c r="I1166" s="670">
        <f>[53]노임단가!$T$10</f>
        <v>275790</v>
      </c>
      <c r="J1166" s="670">
        <f>INT(E1166*I1166)</f>
        <v>4412</v>
      </c>
      <c r="K1166" s="670"/>
      <c r="L1166" s="670"/>
      <c r="M1166" s="670">
        <f>G1166+I1166+K1166</f>
        <v>275790</v>
      </c>
      <c r="N1166" s="670">
        <f>H1166+J1166+L1166</f>
        <v>4412</v>
      </c>
      <c r="O1166" s="671"/>
      <c r="P1166" s="672"/>
      <c r="Q1166" s="665" t="s">
        <v>1833</v>
      </c>
    </row>
    <row r="1167" spans="1:17" s="665" customFormat="1" ht="17.100000000000001" customHeight="1">
      <c r="A1167" s="1318" t="s">
        <v>1320</v>
      </c>
      <c r="B1167" s="1319"/>
      <c r="C1167" s="1371"/>
      <c r="D1167" s="1372"/>
      <c r="E1167" s="677"/>
      <c r="F1167" s="676"/>
      <c r="G1167" s="670"/>
      <c r="H1167" s="670" t="e">
        <f>SUM(H1165:H1166)</f>
        <v>#REF!</v>
      </c>
      <c r="I1167" s="670"/>
      <c r="J1167" s="670">
        <f>SUM(J1165:J1166)</f>
        <v>4412</v>
      </c>
      <c r="K1167" s="670"/>
      <c r="L1167" s="670"/>
      <c r="M1167" s="670"/>
      <c r="N1167" s="670" t="e">
        <f>SUM(N1165:N1166)</f>
        <v>#REF!</v>
      </c>
      <c r="O1167" s="671"/>
      <c r="P1167" s="672"/>
      <c r="Q1167" s="665" t="s">
        <v>1833</v>
      </c>
    </row>
    <row r="1168" spans="1:17" s="665" customFormat="1" ht="17.100000000000001" customHeight="1">
      <c r="A1168" s="668">
        <f>A1164+1</f>
        <v>228</v>
      </c>
      <c r="B1168" s="1320" t="s">
        <v>1837</v>
      </c>
      <c r="C1168" s="1320"/>
      <c r="D1168" s="1320" t="s">
        <v>1838</v>
      </c>
      <c r="E1168" s="1320"/>
      <c r="F1168" s="669" t="s">
        <v>575</v>
      </c>
      <c r="G1168" s="670"/>
      <c r="H1168" s="670"/>
      <c r="I1168" s="670"/>
      <c r="J1168" s="670"/>
      <c r="K1168" s="670"/>
      <c r="L1168" s="670"/>
      <c r="M1168" s="670"/>
      <c r="N1168" s="670"/>
      <c r="O1168" s="699" t="s">
        <v>1562</v>
      </c>
      <c r="P1168" s="672"/>
      <c r="Q1168" s="665" t="s">
        <v>1833</v>
      </c>
    </row>
    <row r="1169" spans="1:17" s="665" customFormat="1" ht="17.100000000000001" customHeight="1">
      <c r="A1169" s="1316" t="s">
        <v>1809</v>
      </c>
      <c r="B1169" s="1317"/>
      <c r="C1169" s="1316" t="s">
        <v>1810</v>
      </c>
      <c r="D1169" s="1317"/>
      <c r="E1169" s="701">
        <v>8.4000000000000005E-2</v>
      </c>
      <c r="F1169" s="676" t="s">
        <v>850</v>
      </c>
      <c r="G1169" s="670" t="e">
        <f>$H$560</f>
        <v>#REF!</v>
      </c>
      <c r="H1169" s="670" t="e">
        <f>INT(E1169*G1169)</f>
        <v>#REF!</v>
      </c>
      <c r="I1169" s="670">
        <f>$J$560</f>
        <v>586878</v>
      </c>
      <c r="J1169" s="670">
        <f>INT(E1169*I1169)</f>
        <v>49297</v>
      </c>
      <c r="K1169" s="670">
        <f>$L$560</f>
        <v>5742</v>
      </c>
      <c r="L1169" s="670">
        <f>INT(E1169*K1169)</f>
        <v>482</v>
      </c>
      <c r="M1169" s="670" t="e">
        <f t="shared" ref="M1169:N1172" si="145">G1169+I1169+K1169</f>
        <v>#REF!</v>
      </c>
      <c r="N1169" s="670" t="e">
        <f t="shared" si="145"/>
        <v>#REF!</v>
      </c>
      <c r="O1169" s="671">
        <f>$A$553</f>
        <v>140</v>
      </c>
      <c r="P1169" s="672"/>
      <c r="Q1169" s="665" t="s">
        <v>1833</v>
      </c>
    </row>
    <row r="1170" spans="1:17" s="665" customFormat="1" ht="17.100000000000001" customHeight="1">
      <c r="A1170" s="1316" t="s">
        <v>1839</v>
      </c>
      <c r="B1170" s="1317"/>
      <c r="C1170" s="1316" t="s">
        <v>1810</v>
      </c>
      <c r="D1170" s="1317"/>
      <c r="E1170" s="675">
        <v>0.1</v>
      </c>
      <c r="F1170" s="676" t="s">
        <v>850</v>
      </c>
      <c r="G1170" s="670" t="e">
        <f>$H$560</f>
        <v>#REF!</v>
      </c>
      <c r="H1170" s="670" t="e">
        <f>INT(E1170*G1170)</f>
        <v>#REF!</v>
      </c>
      <c r="I1170" s="670">
        <f>$J$560</f>
        <v>586878</v>
      </c>
      <c r="J1170" s="670">
        <f>INT(E1170*I1170)</f>
        <v>58687</v>
      </c>
      <c r="K1170" s="670">
        <f>$L$560</f>
        <v>5742</v>
      </c>
      <c r="L1170" s="670">
        <f>INT(E1170*K1170)</f>
        <v>574</v>
      </c>
      <c r="M1170" s="670" t="e">
        <f t="shared" si="145"/>
        <v>#REF!</v>
      </c>
      <c r="N1170" s="670" t="e">
        <f t="shared" si="145"/>
        <v>#REF!</v>
      </c>
      <c r="O1170" s="671">
        <f>$A$553</f>
        <v>140</v>
      </c>
      <c r="P1170" s="672"/>
      <c r="Q1170" s="665" t="s">
        <v>1833</v>
      </c>
    </row>
    <row r="1171" spans="1:17" s="665" customFormat="1" ht="17.100000000000001" customHeight="1">
      <c r="A1171" s="1316" t="s">
        <v>1840</v>
      </c>
      <c r="B1171" s="1317"/>
      <c r="C1171" s="1338" t="s">
        <v>1841</v>
      </c>
      <c r="D1171" s="1317"/>
      <c r="E1171" s="675">
        <v>0.45</v>
      </c>
      <c r="F1171" s="676" t="s">
        <v>645</v>
      </c>
      <c r="G1171" s="670" t="e">
        <f>$H$726</f>
        <v>#REF!</v>
      </c>
      <c r="H1171" s="670" t="e">
        <f>INT(E1171*G1171)</f>
        <v>#REF!</v>
      </c>
      <c r="I1171" s="670">
        <f>$J$726</f>
        <v>34461</v>
      </c>
      <c r="J1171" s="670">
        <f>INT(E1171*I1171)</f>
        <v>15507</v>
      </c>
      <c r="K1171" s="670"/>
      <c r="L1171" s="670"/>
      <c r="M1171" s="670" t="e">
        <f t="shared" si="145"/>
        <v>#REF!</v>
      </c>
      <c r="N1171" s="670" t="e">
        <f t="shared" si="145"/>
        <v>#REF!</v>
      </c>
      <c r="O1171" s="671">
        <f>$A$721</f>
        <v>163</v>
      </c>
      <c r="P1171" s="672"/>
      <c r="Q1171" s="665" t="s">
        <v>1833</v>
      </c>
    </row>
    <row r="1172" spans="1:17" s="665" customFormat="1" ht="17.100000000000001" customHeight="1">
      <c r="A1172" s="1316" t="s">
        <v>1842</v>
      </c>
      <c r="B1172" s="1317"/>
      <c r="C1172" s="1338" t="s">
        <v>1843</v>
      </c>
      <c r="D1172" s="1378"/>
      <c r="E1172" s="701">
        <v>1.327</v>
      </c>
      <c r="F1172" s="676" t="s">
        <v>645</v>
      </c>
      <c r="G1172" s="670" t="e">
        <f>$H$714</f>
        <v>#REF!</v>
      </c>
      <c r="H1172" s="670" t="e">
        <f>INT(E1172*G1172)</f>
        <v>#REF!</v>
      </c>
      <c r="I1172" s="670">
        <f>$J$714</f>
        <v>38182</v>
      </c>
      <c r="J1172" s="670">
        <f>INT(E1172*I1172)</f>
        <v>50667</v>
      </c>
      <c r="K1172" s="670"/>
      <c r="L1172" s="670"/>
      <c r="M1172" s="670" t="e">
        <f t="shared" si="145"/>
        <v>#REF!</v>
      </c>
      <c r="N1172" s="670" t="e">
        <f t="shared" si="145"/>
        <v>#REF!</v>
      </c>
      <c r="O1172" s="671">
        <f>$A$709</f>
        <v>161</v>
      </c>
      <c r="P1172" s="672"/>
      <c r="Q1172" s="665" t="s">
        <v>1833</v>
      </c>
    </row>
    <row r="1173" spans="1:17" s="665" customFormat="1" ht="17.100000000000001" customHeight="1">
      <c r="A1173" s="1316" t="s">
        <v>1844</v>
      </c>
      <c r="B1173" s="1317"/>
      <c r="C1173" s="1316" t="s">
        <v>1827</v>
      </c>
      <c r="D1173" s="1317"/>
      <c r="E1173" s="677">
        <v>1</v>
      </c>
      <c r="F1173" s="676" t="s">
        <v>1828</v>
      </c>
      <c r="G1173" s="778"/>
      <c r="H1173" s="778"/>
      <c r="I1173" s="670"/>
      <c r="J1173" s="670"/>
      <c r="K1173" s="670"/>
      <c r="L1173" s="670"/>
      <c r="M1173" s="778"/>
      <c r="N1173" s="778"/>
      <c r="O1173" s="671"/>
      <c r="P1173" s="672"/>
      <c r="Q1173" s="665" t="s">
        <v>1833</v>
      </c>
    </row>
    <row r="1174" spans="1:17" s="665" customFormat="1" ht="17.100000000000001" customHeight="1">
      <c r="A1174" s="1316" t="s">
        <v>628</v>
      </c>
      <c r="B1174" s="1317"/>
      <c r="C1174" s="1338" t="s">
        <v>1829</v>
      </c>
      <c r="D1174" s="1378"/>
      <c r="E1174" s="675">
        <v>0.02</v>
      </c>
      <c r="F1174" s="676" t="s">
        <v>366</v>
      </c>
      <c r="G1174" s="778"/>
      <c r="H1174" s="778"/>
      <c r="I1174" s="670">
        <f>[53]노임단가!$T$6</f>
        <v>226122</v>
      </c>
      <c r="J1174" s="670">
        <f>INT(E1174*I1174)</f>
        <v>4522</v>
      </c>
      <c r="K1174" s="670"/>
      <c r="L1174" s="670"/>
      <c r="M1174" s="670">
        <f>G1174+I1174+K1174</f>
        <v>226122</v>
      </c>
      <c r="N1174" s="670">
        <f>H1174+J1174+L1174</f>
        <v>4522</v>
      </c>
      <c r="O1174" s="671"/>
      <c r="P1174" s="672"/>
      <c r="Q1174" s="665" t="s">
        <v>1833</v>
      </c>
    </row>
    <row r="1175" spans="1:17" s="665" customFormat="1" ht="17.100000000000001" customHeight="1">
      <c r="A1175" s="1318" t="s">
        <v>1320</v>
      </c>
      <c r="B1175" s="1319"/>
      <c r="C1175" s="1371"/>
      <c r="D1175" s="1372"/>
      <c r="E1175" s="677"/>
      <c r="F1175" s="676"/>
      <c r="G1175" s="670"/>
      <c r="H1175" s="670" t="e">
        <f>SUM(H1169:H1174)</f>
        <v>#REF!</v>
      </c>
      <c r="I1175" s="670"/>
      <c r="J1175" s="670">
        <f>SUM(J1169:J1174)</f>
        <v>178680</v>
      </c>
      <c r="K1175" s="670"/>
      <c r="L1175" s="670">
        <f>SUM(L1169:L1174)</f>
        <v>1056</v>
      </c>
      <c r="M1175" s="670"/>
      <c r="N1175" s="670" t="e">
        <f>SUM(N1169:N1174)</f>
        <v>#REF!</v>
      </c>
      <c r="O1175" s="671"/>
      <c r="P1175" s="672"/>
      <c r="Q1175" s="665" t="s">
        <v>1833</v>
      </c>
    </row>
    <row r="1176" spans="1:17" s="665" customFormat="1" ht="17.100000000000001" customHeight="1">
      <c r="A1176" s="668">
        <f>A1168+1</f>
        <v>229</v>
      </c>
      <c r="B1176" s="1320" t="s">
        <v>1837</v>
      </c>
      <c r="C1176" s="1320"/>
      <c r="D1176" s="1320" t="s">
        <v>1845</v>
      </c>
      <c r="E1176" s="1320"/>
      <c r="F1176" s="669" t="s">
        <v>575</v>
      </c>
      <c r="G1176" s="670"/>
      <c r="H1176" s="670"/>
      <c r="I1176" s="670"/>
      <c r="J1176" s="670"/>
      <c r="K1176" s="670"/>
      <c r="L1176" s="670"/>
      <c r="M1176" s="670"/>
      <c r="N1176" s="670"/>
      <c r="O1176" s="699" t="s">
        <v>1562</v>
      </c>
      <c r="P1176" s="672"/>
      <c r="Q1176" s="665" t="s">
        <v>1833</v>
      </c>
    </row>
    <row r="1177" spans="1:17" s="665" customFormat="1" ht="17.100000000000001" customHeight="1">
      <c r="A1177" s="1316" t="s">
        <v>1809</v>
      </c>
      <c r="B1177" s="1317"/>
      <c r="C1177" s="1316" t="s">
        <v>1810</v>
      </c>
      <c r="D1177" s="1317"/>
      <c r="E1177" s="701">
        <v>8.4000000000000005E-2</v>
      </c>
      <c r="F1177" s="676" t="s">
        <v>850</v>
      </c>
      <c r="G1177" s="670" t="e">
        <f>$H$560</f>
        <v>#REF!</v>
      </c>
      <c r="H1177" s="670" t="e">
        <f>INT(E1177*G1177)</f>
        <v>#REF!</v>
      </c>
      <c r="I1177" s="670">
        <f>$J$560</f>
        <v>586878</v>
      </c>
      <c r="J1177" s="670">
        <f>INT(E1177*I1177)</f>
        <v>49297</v>
      </c>
      <c r="K1177" s="670">
        <f>$L$560</f>
        <v>5742</v>
      </c>
      <c r="L1177" s="670">
        <f>INT(E1177*K1177)</f>
        <v>482</v>
      </c>
      <c r="M1177" s="670" t="e">
        <f t="shared" ref="M1177:N1180" si="146">G1177+I1177+K1177</f>
        <v>#REF!</v>
      </c>
      <c r="N1177" s="670" t="e">
        <f t="shared" si="146"/>
        <v>#REF!</v>
      </c>
      <c r="O1177" s="671">
        <f>$A$553</f>
        <v>140</v>
      </c>
      <c r="P1177" s="672"/>
      <c r="Q1177" s="665" t="s">
        <v>1833</v>
      </c>
    </row>
    <row r="1178" spans="1:17" s="665" customFormat="1" ht="17.100000000000001" customHeight="1">
      <c r="A1178" s="1316" t="s">
        <v>1839</v>
      </c>
      <c r="B1178" s="1317"/>
      <c r="C1178" s="1316" t="s">
        <v>1810</v>
      </c>
      <c r="D1178" s="1317"/>
      <c r="E1178" s="675">
        <v>0.16</v>
      </c>
      <c r="F1178" s="676" t="s">
        <v>850</v>
      </c>
      <c r="G1178" s="670" t="e">
        <f>$H$560</f>
        <v>#REF!</v>
      </c>
      <c r="H1178" s="670" t="e">
        <f>INT(E1178*G1178)</f>
        <v>#REF!</v>
      </c>
      <c r="I1178" s="670">
        <f>$J$560</f>
        <v>586878</v>
      </c>
      <c r="J1178" s="670">
        <f>INT(E1178*I1178)</f>
        <v>93900</v>
      </c>
      <c r="K1178" s="670">
        <f>$L$560</f>
        <v>5742</v>
      </c>
      <c r="L1178" s="670">
        <f>INT(E1178*K1178)</f>
        <v>918</v>
      </c>
      <c r="M1178" s="670" t="e">
        <f t="shared" si="146"/>
        <v>#REF!</v>
      </c>
      <c r="N1178" s="670" t="e">
        <f t="shared" si="146"/>
        <v>#REF!</v>
      </c>
      <c r="O1178" s="671">
        <f>$A$553</f>
        <v>140</v>
      </c>
      <c r="P1178" s="672"/>
      <c r="Q1178" s="665" t="s">
        <v>1833</v>
      </c>
    </row>
    <row r="1179" spans="1:17" s="665" customFormat="1" ht="17.100000000000001" customHeight="1">
      <c r="A1179" s="1316" t="s">
        <v>1840</v>
      </c>
      <c r="B1179" s="1317"/>
      <c r="C1179" s="1338" t="s">
        <v>1841</v>
      </c>
      <c r="D1179" s="1317"/>
      <c r="E1179" s="675">
        <v>0.45</v>
      </c>
      <c r="F1179" s="676" t="s">
        <v>645</v>
      </c>
      <c r="G1179" s="670" t="e">
        <f>$H$726</f>
        <v>#REF!</v>
      </c>
      <c r="H1179" s="670" t="e">
        <f>INT(E1179*G1179)</f>
        <v>#REF!</v>
      </c>
      <c r="I1179" s="670">
        <f>$J$726</f>
        <v>34461</v>
      </c>
      <c r="J1179" s="670">
        <f>INT(E1179*I1179)</f>
        <v>15507</v>
      </c>
      <c r="K1179" s="670"/>
      <c r="L1179" s="670"/>
      <c r="M1179" s="670" t="e">
        <f t="shared" si="146"/>
        <v>#REF!</v>
      </c>
      <c r="N1179" s="670" t="e">
        <f t="shared" si="146"/>
        <v>#REF!</v>
      </c>
      <c r="O1179" s="671">
        <f>$A$721</f>
        <v>163</v>
      </c>
      <c r="P1179" s="672"/>
      <c r="Q1179" s="665" t="s">
        <v>1833</v>
      </c>
    </row>
    <row r="1180" spans="1:17" s="665" customFormat="1" ht="17.100000000000001" customHeight="1">
      <c r="A1180" s="1316" t="s">
        <v>1842</v>
      </c>
      <c r="B1180" s="1317"/>
      <c r="C1180" s="1338" t="s">
        <v>1843</v>
      </c>
      <c r="D1180" s="1378"/>
      <c r="E1180" s="701">
        <v>2.1269999999999998</v>
      </c>
      <c r="F1180" s="676" t="s">
        <v>645</v>
      </c>
      <c r="G1180" s="670" t="e">
        <f>$H$714</f>
        <v>#REF!</v>
      </c>
      <c r="H1180" s="670" t="e">
        <f>INT(E1180*G1180)</f>
        <v>#REF!</v>
      </c>
      <c r="I1180" s="670">
        <f>$J$714</f>
        <v>38182</v>
      </c>
      <c r="J1180" s="670">
        <f>INT(E1180*I1180)</f>
        <v>81213</v>
      </c>
      <c r="K1180" s="670"/>
      <c r="L1180" s="670"/>
      <c r="M1180" s="670" t="e">
        <f t="shared" si="146"/>
        <v>#REF!</v>
      </c>
      <c r="N1180" s="670" t="e">
        <f t="shared" si="146"/>
        <v>#REF!</v>
      </c>
      <c r="O1180" s="671">
        <f>$A$709</f>
        <v>161</v>
      </c>
      <c r="P1180" s="672"/>
      <c r="Q1180" s="665" t="s">
        <v>1833</v>
      </c>
    </row>
    <row r="1181" spans="1:17" s="665" customFormat="1" ht="17.100000000000001" customHeight="1">
      <c r="A1181" s="1316" t="s">
        <v>1844</v>
      </c>
      <c r="B1181" s="1317"/>
      <c r="C1181" s="1316" t="s">
        <v>1827</v>
      </c>
      <c r="D1181" s="1317"/>
      <c r="E1181" s="677">
        <v>1</v>
      </c>
      <c r="F1181" s="676" t="s">
        <v>1828</v>
      </c>
      <c r="G1181" s="778"/>
      <c r="H1181" s="778"/>
      <c r="I1181" s="670"/>
      <c r="J1181" s="670"/>
      <c r="K1181" s="670"/>
      <c r="L1181" s="670"/>
      <c r="M1181" s="778"/>
      <c r="N1181" s="778"/>
      <c r="O1181" s="671"/>
      <c r="P1181" s="672"/>
      <c r="Q1181" s="665" t="s">
        <v>1833</v>
      </c>
    </row>
    <row r="1182" spans="1:17" s="665" customFormat="1" ht="17.100000000000001" customHeight="1">
      <c r="A1182" s="1316" t="s">
        <v>628</v>
      </c>
      <c r="B1182" s="1317"/>
      <c r="C1182" s="1338" t="s">
        <v>1829</v>
      </c>
      <c r="D1182" s="1378"/>
      <c r="E1182" s="675">
        <v>0.02</v>
      </c>
      <c r="F1182" s="676" t="s">
        <v>366</v>
      </c>
      <c r="G1182" s="778"/>
      <c r="H1182" s="778"/>
      <c r="I1182" s="670">
        <f>[53]노임단가!$T$6</f>
        <v>226122</v>
      </c>
      <c r="J1182" s="670">
        <f>INT(E1182*I1182)</f>
        <v>4522</v>
      </c>
      <c r="K1182" s="670"/>
      <c r="L1182" s="670"/>
      <c r="M1182" s="670">
        <f>G1182+I1182+K1182</f>
        <v>226122</v>
      </c>
      <c r="N1182" s="670">
        <f>H1182+J1182+L1182</f>
        <v>4522</v>
      </c>
      <c r="O1182" s="671"/>
      <c r="P1182" s="672"/>
      <c r="Q1182" s="665" t="s">
        <v>1833</v>
      </c>
    </row>
    <row r="1183" spans="1:17" s="665" customFormat="1" ht="17.100000000000001" customHeight="1">
      <c r="A1183" s="1318" t="s">
        <v>1320</v>
      </c>
      <c r="B1183" s="1319"/>
      <c r="C1183" s="1371"/>
      <c r="D1183" s="1372"/>
      <c r="E1183" s="677"/>
      <c r="F1183" s="676"/>
      <c r="G1183" s="670"/>
      <c r="H1183" s="670" t="e">
        <f>SUM(H1177:H1182)</f>
        <v>#REF!</v>
      </c>
      <c r="I1183" s="670"/>
      <c r="J1183" s="670">
        <f>SUM(J1177:J1182)</f>
        <v>244439</v>
      </c>
      <c r="K1183" s="670"/>
      <c r="L1183" s="670">
        <f>SUM(L1177:L1182)</f>
        <v>1400</v>
      </c>
      <c r="M1183" s="670"/>
      <c r="N1183" s="670" t="e">
        <f>SUM(N1177:N1182)</f>
        <v>#REF!</v>
      </c>
      <c r="O1183" s="671"/>
      <c r="P1183" s="672"/>
      <c r="Q1183" s="665" t="s">
        <v>1833</v>
      </c>
    </row>
    <row r="1184" spans="1:17" s="665" customFormat="1" ht="17.100000000000001" customHeight="1">
      <c r="A1184" s="668">
        <f>A1176+1</f>
        <v>230</v>
      </c>
      <c r="B1184" s="1320" t="s">
        <v>1837</v>
      </c>
      <c r="C1184" s="1320"/>
      <c r="D1184" s="1320" t="s">
        <v>1846</v>
      </c>
      <c r="E1184" s="1320"/>
      <c r="F1184" s="669" t="s">
        <v>575</v>
      </c>
      <c r="G1184" s="670"/>
      <c r="H1184" s="670"/>
      <c r="I1184" s="670"/>
      <c r="J1184" s="670"/>
      <c r="K1184" s="670"/>
      <c r="L1184" s="670"/>
      <c r="M1184" s="670"/>
      <c r="N1184" s="670"/>
      <c r="O1184" s="699" t="s">
        <v>1562</v>
      </c>
      <c r="P1184" s="672"/>
      <c r="Q1184" s="665" t="s">
        <v>1833</v>
      </c>
    </row>
    <row r="1185" spans="1:17" s="665" customFormat="1" ht="17.100000000000001" customHeight="1">
      <c r="A1185" s="1316" t="s">
        <v>1809</v>
      </c>
      <c r="B1185" s="1317"/>
      <c r="C1185" s="1316" t="s">
        <v>1810</v>
      </c>
      <c r="D1185" s="1317"/>
      <c r="E1185" s="701">
        <v>8.4000000000000005E-2</v>
      </c>
      <c r="F1185" s="676" t="s">
        <v>850</v>
      </c>
      <c r="G1185" s="670" t="e">
        <f>$H$560</f>
        <v>#REF!</v>
      </c>
      <c r="H1185" s="670" t="e">
        <f>INT(E1185*G1185)</f>
        <v>#REF!</v>
      </c>
      <c r="I1185" s="670">
        <f>$J$560</f>
        <v>586878</v>
      </c>
      <c r="J1185" s="670">
        <f>INT(E1185*I1185)</f>
        <v>49297</v>
      </c>
      <c r="K1185" s="670">
        <f>$L$560</f>
        <v>5742</v>
      </c>
      <c r="L1185" s="670">
        <f>INT(E1185*K1185)</f>
        <v>482</v>
      </c>
      <c r="M1185" s="670" t="e">
        <f t="shared" ref="M1185:N1188" si="147">G1185+I1185+K1185</f>
        <v>#REF!</v>
      </c>
      <c r="N1185" s="670" t="e">
        <f t="shared" si="147"/>
        <v>#REF!</v>
      </c>
      <c r="O1185" s="671">
        <f>$A$553</f>
        <v>140</v>
      </c>
      <c r="P1185" s="672"/>
      <c r="Q1185" s="665" t="s">
        <v>1833</v>
      </c>
    </row>
    <row r="1186" spans="1:17" s="665" customFormat="1" ht="17.100000000000001" customHeight="1">
      <c r="A1186" s="1316" t="s">
        <v>1839</v>
      </c>
      <c r="B1186" s="1317"/>
      <c r="C1186" s="1316" t="s">
        <v>1810</v>
      </c>
      <c r="D1186" s="1317"/>
      <c r="E1186" s="675">
        <v>0.22</v>
      </c>
      <c r="F1186" s="676" t="s">
        <v>850</v>
      </c>
      <c r="G1186" s="670" t="e">
        <f>$H$560</f>
        <v>#REF!</v>
      </c>
      <c r="H1186" s="670" t="e">
        <f>INT(E1186*G1186)</f>
        <v>#REF!</v>
      </c>
      <c r="I1186" s="670">
        <f>$J$560</f>
        <v>586878</v>
      </c>
      <c r="J1186" s="670">
        <f>INT(E1186*I1186)</f>
        <v>129113</v>
      </c>
      <c r="K1186" s="670">
        <f>$L$560</f>
        <v>5742</v>
      </c>
      <c r="L1186" s="670">
        <f>INT(E1186*K1186)</f>
        <v>1263</v>
      </c>
      <c r="M1186" s="670" t="e">
        <f t="shared" si="147"/>
        <v>#REF!</v>
      </c>
      <c r="N1186" s="670" t="e">
        <f t="shared" si="147"/>
        <v>#REF!</v>
      </c>
      <c r="O1186" s="671">
        <f>$A$553</f>
        <v>140</v>
      </c>
      <c r="P1186" s="672"/>
      <c r="Q1186" s="665" t="s">
        <v>1833</v>
      </c>
    </row>
    <row r="1187" spans="1:17" s="665" customFormat="1" ht="17.100000000000001" customHeight="1">
      <c r="A1187" s="1316" t="s">
        <v>1840</v>
      </c>
      <c r="B1187" s="1317"/>
      <c r="C1187" s="1338" t="s">
        <v>1841</v>
      </c>
      <c r="D1187" s="1317"/>
      <c r="E1187" s="675">
        <v>0.45</v>
      </c>
      <c r="F1187" s="676" t="s">
        <v>645</v>
      </c>
      <c r="G1187" s="670" t="e">
        <f>$H$726</f>
        <v>#REF!</v>
      </c>
      <c r="H1187" s="670" t="e">
        <f>INT(E1187*G1187)</f>
        <v>#REF!</v>
      </c>
      <c r="I1187" s="670">
        <f>$J$726</f>
        <v>34461</v>
      </c>
      <c r="J1187" s="670">
        <f>INT(E1187*I1187)</f>
        <v>15507</v>
      </c>
      <c r="K1187" s="670"/>
      <c r="L1187" s="670"/>
      <c r="M1187" s="670" t="e">
        <f t="shared" si="147"/>
        <v>#REF!</v>
      </c>
      <c r="N1187" s="670" t="e">
        <f t="shared" si="147"/>
        <v>#REF!</v>
      </c>
      <c r="O1187" s="671">
        <f>$A$721</f>
        <v>163</v>
      </c>
      <c r="P1187" s="672"/>
      <c r="Q1187" s="665" t="s">
        <v>1833</v>
      </c>
    </row>
    <row r="1188" spans="1:17" s="665" customFormat="1" ht="17.100000000000001" customHeight="1">
      <c r="A1188" s="1316" t="s">
        <v>1842</v>
      </c>
      <c r="B1188" s="1317"/>
      <c r="C1188" s="1338" t="s">
        <v>1843</v>
      </c>
      <c r="D1188" s="1378"/>
      <c r="E1188" s="701">
        <v>2.927</v>
      </c>
      <c r="F1188" s="676" t="s">
        <v>645</v>
      </c>
      <c r="G1188" s="670" t="e">
        <f>$H$714</f>
        <v>#REF!</v>
      </c>
      <c r="H1188" s="670" t="e">
        <f>INT(E1188*G1188)</f>
        <v>#REF!</v>
      </c>
      <c r="I1188" s="670">
        <f>$J$714</f>
        <v>38182</v>
      </c>
      <c r="J1188" s="670">
        <f>INT(E1188*I1188)</f>
        <v>111758</v>
      </c>
      <c r="K1188" s="670"/>
      <c r="L1188" s="670"/>
      <c r="M1188" s="670" t="e">
        <f t="shared" si="147"/>
        <v>#REF!</v>
      </c>
      <c r="N1188" s="670" t="e">
        <f t="shared" si="147"/>
        <v>#REF!</v>
      </c>
      <c r="O1188" s="671">
        <f>$A$709</f>
        <v>161</v>
      </c>
      <c r="P1188" s="672"/>
      <c r="Q1188" s="665" t="s">
        <v>1833</v>
      </c>
    </row>
    <row r="1189" spans="1:17" s="665" customFormat="1" ht="17.100000000000001" customHeight="1">
      <c r="A1189" s="1316" t="s">
        <v>1844</v>
      </c>
      <c r="B1189" s="1317"/>
      <c r="C1189" s="1316" t="s">
        <v>1827</v>
      </c>
      <c r="D1189" s="1317"/>
      <c r="E1189" s="677">
        <v>1</v>
      </c>
      <c r="F1189" s="676" t="s">
        <v>1828</v>
      </c>
      <c r="G1189" s="778"/>
      <c r="H1189" s="778"/>
      <c r="I1189" s="670"/>
      <c r="J1189" s="670"/>
      <c r="K1189" s="670"/>
      <c r="L1189" s="670"/>
      <c r="M1189" s="778"/>
      <c r="N1189" s="778"/>
      <c r="O1189" s="671"/>
      <c r="P1189" s="672"/>
      <c r="Q1189" s="665" t="s">
        <v>1833</v>
      </c>
    </row>
    <row r="1190" spans="1:17" s="665" customFormat="1" ht="17.100000000000001" customHeight="1">
      <c r="A1190" s="1316" t="s">
        <v>628</v>
      </c>
      <c r="B1190" s="1317"/>
      <c r="C1190" s="1338" t="s">
        <v>1829</v>
      </c>
      <c r="D1190" s="1378"/>
      <c r="E1190" s="675">
        <v>0.02</v>
      </c>
      <c r="F1190" s="676" t="s">
        <v>366</v>
      </c>
      <c r="G1190" s="778"/>
      <c r="H1190" s="778"/>
      <c r="I1190" s="670">
        <f>[53]노임단가!$T$6</f>
        <v>226122</v>
      </c>
      <c r="J1190" s="670">
        <f>INT(E1190*I1190)</f>
        <v>4522</v>
      </c>
      <c r="K1190" s="670"/>
      <c r="L1190" s="670"/>
      <c r="M1190" s="670">
        <f>G1190+I1190+K1190</f>
        <v>226122</v>
      </c>
      <c r="N1190" s="670">
        <f>H1190+J1190+L1190</f>
        <v>4522</v>
      </c>
      <c r="O1190" s="671"/>
      <c r="P1190" s="672"/>
      <c r="Q1190" s="665" t="s">
        <v>1833</v>
      </c>
    </row>
    <row r="1191" spans="1:17" s="665" customFormat="1" ht="17.100000000000001" customHeight="1">
      <c r="A1191" s="1318" t="s">
        <v>1320</v>
      </c>
      <c r="B1191" s="1319"/>
      <c r="C1191" s="1371"/>
      <c r="D1191" s="1372"/>
      <c r="E1191" s="677"/>
      <c r="F1191" s="676"/>
      <c r="G1191" s="670"/>
      <c r="H1191" s="670" t="e">
        <f>SUM(H1185:H1190)</f>
        <v>#REF!</v>
      </c>
      <c r="I1191" s="670"/>
      <c r="J1191" s="670">
        <f>SUM(J1185:J1190)</f>
        <v>310197</v>
      </c>
      <c r="K1191" s="670"/>
      <c r="L1191" s="670">
        <f>SUM(L1185:L1190)</f>
        <v>1745</v>
      </c>
      <c r="M1191" s="670"/>
      <c r="N1191" s="670" t="e">
        <f>SUM(N1185:N1190)</f>
        <v>#REF!</v>
      </c>
      <c r="O1191" s="671"/>
      <c r="P1191" s="672"/>
      <c r="Q1191" s="665" t="s">
        <v>1833</v>
      </c>
    </row>
    <row r="1192" spans="1:17" s="665" customFormat="1" ht="17.100000000000001" customHeight="1">
      <c r="A1192" s="668">
        <f>A1184+1</f>
        <v>231</v>
      </c>
      <c r="B1192" s="1320" t="s">
        <v>1837</v>
      </c>
      <c r="C1192" s="1320"/>
      <c r="D1192" s="1320" t="s">
        <v>1847</v>
      </c>
      <c r="E1192" s="1320"/>
      <c r="F1192" s="669" t="s">
        <v>575</v>
      </c>
      <c r="G1192" s="670"/>
      <c r="H1192" s="670"/>
      <c r="I1192" s="670"/>
      <c r="J1192" s="670"/>
      <c r="K1192" s="670"/>
      <c r="L1192" s="670"/>
      <c r="M1192" s="670"/>
      <c r="N1192" s="670"/>
      <c r="O1192" s="699" t="s">
        <v>1562</v>
      </c>
      <c r="P1192" s="672"/>
      <c r="Q1192" s="665" t="s">
        <v>1833</v>
      </c>
    </row>
    <row r="1193" spans="1:17" s="665" customFormat="1" ht="17.100000000000001" customHeight="1">
      <c r="A1193" s="1316" t="s">
        <v>1809</v>
      </c>
      <c r="B1193" s="1317"/>
      <c r="C1193" s="1316" t="s">
        <v>1810</v>
      </c>
      <c r="D1193" s="1317"/>
      <c r="E1193" s="701">
        <v>8.4000000000000005E-2</v>
      </c>
      <c r="F1193" s="676" t="s">
        <v>850</v>
      </c>
      <c r="G1193" s="670" t="e">
        <f>$H$560</f>
        <v>#REF!</v>
      </c>
      <c r="H1193" s="670" t="e">
        <f>INT(E1193*G1193)</f>
        <v>#REF!</v>
      </c>
      <c r="I1193" s="670">
        <f>$J$560</f>
        <v>586878</v>
      </c>
      <c r="J1193" s="670">
        <f>INT(E1193*I1193)</f>
        <v>49297</v>
      </c>
      <c r="K1193" s="670">
        <f>$L$560</f>
        <v>5742</v>
      </c>
      <c r="L1193" s="670">
        <f>INT(E1193*K1193)</f>
        <v>482</v>
      </c>
      <c r="M1193" s="670" t="e">
        <f t="shared" ref="M1193:N1196" si="148">G1193+I1193+K1193</f>
        <v>#REF!</v>
      </c>
      <c r="N1193" s="670" t="e">
        <f t="shared" si="148"/>
        <v>#REF!</v>
      </c>
      <c r="O1193" s="671">
        <f>$A$553</f>
        <v>140</v>
      </c>
      <c r="P1193" s="672"/>
      <c r="Q1193" s="665" t="s">
        <v>1833</v>
      </c>
    </row>
    <row r="1194" spans="1:17" s="665" customFormat="1" ht="17.100000000000001" customHeight="1">
      <c r="A1194" s="1316" t="s">
        <v>1839</v>
      </c>
      <c r="B1194" s="1317"/>
      <c r="C1194" s="1316" t="s">
        <v>1810</v>
      </c>
      <c r="D1194" s="1317"/>
      <c r="E1194" s="675">
        <v>0.28000000000000003</v>
      </c>
      <c r="F1194" s="676" t="s">
        <v>850</v>
      </c>
      <c r="G1194" s="670" t="e">
        <f>$H$560</f>
        <v>#REF!</v>
      </c>
      <c r="H1194" s="670" t="e">
        <f>INT(E1194*G1194)</f>
        <v>#REF!</v>
      </c>
      <c r="I1194" s="670">
        <f>$J$560</f>
        <v>586878</v>
      </c>
      <c r="J1194" s="670">
        <f>INT(E1194*I1194)</f>
        <v>164325</v>
      </c>
      <c r="K1194" s="670">
        <f>$L$560</f>
        <v>5742</v>
      </c>
      <c r="L1194" s="670">
        <f>INT(E1194*K1194)</f>
        <v>1607</v>
      </c>
      <c r="M1194" s="670" t="e">
        <f t="shared" si="148"/>
        <v>#REF!</v>
      </c>
      <c r="N1194" s="670" t="e">
        <f t="shared" si="148"/>
        <v>#REF!</v>
      </c>
      <c r="O1194" s="671">
        <f>$A$553</f>
        <v>140</v>
      </c>
      <c r="P1194" s="672"/>
      <c r="Q1194" s="665" t="s">
        <v>1833</v>
      </c>
    </row>
    <row r="1195" spans="1:17" s="665" customFormat="1" ht="17.100000000000001" customHeight="1">
      <c r="A1195" s="1316" t="s">
        <v>1840</v>
      </c>
      <c r="B1195" s="1317"/>
      <c r="C1195" s="1338" t="s">
        <v>1841</v>
      </c>
      <c r="D1195" s="1317"/>
      <c r="E1195" s="675">
        <v>0.45</v>
      </c>
      <c r="F1195" s="676" t="s">
        <v>645</v>
      </c>
      <c r="G1195" s="670" t="e">
        <f>$H$726</f>
        <v>#REF!</v>
      </c>
      <c r="H1195" s="670" t="e">
        <f>INT(E1195*G1195)</f>
        <v>#REF!</v>
      </c>
      <c r="I1195" s="670">
        <f>$J$726</f>
        <v>34461</v>
      </c>
      <c r="J1195" s="670">
        <f>INT(E1195*I1195)</f>
        <v>15507</v>
      </c>
      <c r="K1195" s="670"/>
      <c r="L1195" s="670"/>
      <c r="M1195" s="670" t="e">
        <f t="shared" si="148"/>
        <v>#REF!</v>
      </c>
      <c r="N1195" s="670" t="e">
        <f t="shared" si="148"/>
        <v>#REF!</v>
      </c>
      <c r="O1195" s="671">
        <f>$A$721</f>
        <v>163</v>
      </c>
      <c r="P1195" s="672"/>
      <c r="Q1195" s="665" t="s">
        <v>1833</v>
      </c>
    </row>
    <row r="1196" spans="1:17" s="665" customFormat="1" ht="17.100000000000001" customHeight="1">
      <c r="A1196" s="1316" t="s">
        <v>1842</v>
      </c>
      <c r="B1196" s="1317"/>
      <c r="C1196" s="1338" t="s">
        <v>1843</v>
      </c>
      <c r="D1196" s="1378"/>
      <c r="E1196" s="701">
        <v>3.7269999999999999</v>
      </c>
      <c r="F1196" s="676" t="s">
        <v>645</v>
      </c>
      <c r="G1196" s="670" t="e">
        <f>$H$714</f>
        <v>#REF!</v>
      </c>
      <c r="H1196" s="670" t="e">
        <f>INT(E1196*G1196)</f>
        <v>#REF!</v>
      </c>
      <c r="I1196" s="670">
        <f>$J$714</f>
        <v>38182</v>
      </c>
      <c r="J1196" s="670">
        <f>INT(E1196*I1196)</f>
        <v>142304</v>
      </c>
      <c r="K1196" s="670"/>
      <c r="L1196" s="670"/>
      <c r="M1196" s="670" t="e">
        <f t="shared" si="148"/>
        <v>#REF!</v>
      </c>
      <c r="N1196" s="670" t="e">
        <f t="shared" si="148"/>
        <v>#REF!</v>
      </c>
      <c r="O1196" s="671">
        <f>$A$709</f>
        <v>161</v>
      </c>
      <c r="P1196" s="672"/>
      <c r="Q1196" s="665" t="s">
        <v>1833</v>
      </c>
    </row>
    <row r="1197" spans="1:17" s="665" customFormat="1" ht="17.100000000000001" customHeight="1">
      <c r="A1197" s="1316" t="s">
        <v>1844</v>
      </c>
      <c r="B1197" s="1317"/>
      <c r="C1197" s="1316" t="s">
        <v>1827</v>
      </c>
      <c r="D1197" s="1317"/>
      <c r="E1197" s="677">
        <v>1</v>
      </c>
      <c r="F1197" s="676" t="s">
        <v>1828</v>
      </c>
      <c r="G1197" s="778"/>
      <c r="H1197" s="778"/>
      <c r="I1197" s="670"/>
      <c r="J1197" s="670"/>
      <c r="K1197" s="670"/>
      <c r="L1197" s="670"/>
      <c r="M1197" s="778"/>
      <c r="N1197" s="778"/>
      <c r="O1197" s="671"/>
      <c r="P1197" s="672"/>
      <c r="Q1197" s="665" t="s">
        <v>1833</v>
      </c>
    </row>
    <row r="1198" spans="1:17" s="665" customFormat="1" ht="17.100000000000001" customHeight="1">
      <c r="A1198" s="1316" t="s">
        <v>628</v>
      </c>
      <c r="B1198" s="1317"/>
      <c r="C1198" s="1338" t="s">
        <v>1829</v>
      </c>
      <c r="D1198" s="1378"/>
      <c r="E1198" s="675">
        <v>0.02</v>
      </c>
      <c r="F1198" s="676" t="s">
        <v>366</v>
      </c>
      <c r="G1198" s="778"/>
      <c r="H1198" s="778"/>
      <c r="I1198" s="670">
        <f>[53]노임단가!$T$6</f>
        <v>226122</v>
      </c>
      <c r="J1198" s="670">
        <f>INT(E1198*I1198)</f>
        <v>4522</v>
      </c>
      <c r="K1198" s="670"/>
      <c r="L1198" s="670"/>
      <c r="M1198" s="670">
        <f>G1198+I1198+K1198</f>
        <v>226122</v>
      </c>
      <c r="N1198" s="670">
        <f>H1198+J1198+L1198</f>
        <v>4522</v>
      </c>
      <c r="O1198" s="671"/>
      <c r="P1198" s="672"/>
      <c r="Q1198" s="665" t="s">
        <v>1833</v>
      </c>
    </row>
    <row r="1199" spans="1:17" s="665" customFormat="1" ht="17.100000000000001" customHeight="1">
      <c r="A1199" s="1318" t="s">
        <v>1320</v>
      </c>
      <c r="B1199" s="1319"/>
      <c r="C1199" s="1371"/>
      <c r="D1199" s="1372"/>
      <c r="E1199" s="677"/>
      <c r="F1199" s="676"/>
      <c r="G1199" s="670"/>
      <c r="H1199" s="670" t="e">
        <f>SUM(H1193:H1198)</f>
        <v>#REF!</v>
      </c>
      <c r="I1199" s="670"/>
      <c r="J1199" s="670">
        <f>SUM(J1193:J1198)</f>
        <v>375955</v>
      </c>
      <c r="K1199" s="670"/>
      <c r="L1199" s="670">
        <f>SUM(L1193:L1198)</f>
        <v>2089</v>
      </c>
      <c r="M1199" s="670"/>
      <c r="N1199" s="670" t="e">
        <f>SUM(N1193:N1198)</f>
        <v>#REF!</v>
      </c>
      <c r="O1199" s="671"/>
      <c r="P1199" s="672"/>
      <c r="Q1199" s="665" t="s">
        <v>1833</v>
      </c>
    </row>
    <row r="1200" spans="1:17" s="665" customFormat="1" ht="17.100000000000001" customHeight="1">
      <c r="A1200" s="668">
        <f>A1192+1</f>
        <v>232</v>
      </c>
      <c r="B1200" s="1320" t="s">
        <v>1848</v>
      </c>
      <c r="C1200" s="1320"/>
      <c r="D1200" s="1320" t="s">
        <v>1838</v>
      </c>
      <c r="E1200" s="1320"/>
      <c r="F1200" s="669" t="s">
        <v>575</v>
      </c>
      <c r="G1200" s="670"/>
      <c r="H1200" s="670"/>
      <c r="I1200" s="670"/>
      <c r="J1200" s="670"/>
      <c r="K1200" s="670"/>
      <c r="L1200" s="670"/>
      <c r="M1200" s="670"/>
      <c r="N1200" s="670"/>
      <c r="O1200" s="699" t="s">
        <v>1562</v>
      </c>
      <c r="P1200" s="672"/>
      <c r="Q1200" s="665" t="s">
        <v>1833</v>
      </c>
    </row>
    <row r="1201" spans="1:17" s="665" customFormat="1" ht="17.100000000000001" customHeight="1">
      <c r="A1201" s="1316" t="s">
        <v>1809</v>
      </c>
      <c r="B1201" s="1317"/>
      <c r="C1201" s="1316" t="s">
        <v>1810</v>
      </c>
      <c r="D1201" s="1317"/>
      <c r="E1201" s="701">
        <v>0.13600000000000001</v>
      </c>
      <c r="F1201" s="676" t="s">
        <v>850</v>
      </c>
      <c r="G1201" s="670" t="e">
        <f>$H$560</f>
        <v>#REF!</v>
      </c>
      <c r="H1201" s="670" t="e">
        <f>INT(E1201*G1201)</f>
        <v>#REF!</v>
      </c>
      <c r="I1201" s="670">
        <f>$J$560</f>
        <v>586878</v>
      </c>
      <c r="J1201" s="670">
        <f>INT(E1201*I1201)</f>
        <v>79815</v>
      </c>
      <c r="K1201" s="670">
        <f>$L$560</f>
        <v>5742</v>
      </c>
      <c r="L1201" s="670">
        <f>INT(E1201*K1201)</f>
        <v>780</v>
      </c>
      <c r="M1201" s="670" t="e">
        <f t="shared" ref="M1201:N1204" si="149">G1201+I1201+K1201</f>
        <v>#REF!</v>
      </c>
      <c r="N1201" s="670" t="e">
        <f t="shared" si="149"/>
        <v>#REF!</v>
      </c>
      <c r="O1201" s="671">
        <f>$A$553</f>
        <v>140</v>
      </c>
      <c r="P1201" s="672"/>
      <c r="Q1201" s="665" t="s">
        <v>1833</v>
      </c>
    </row>
    <row r="1202" spans="1:17" s="665" customFormat="1" ht="17.100000000000001" customHeight="1">
      <c r="A1202" s="1316" t="s">
        <v>1839</v>
      </c>
      <c r="B1202" s="1317"/>
      <c r="C1202" s="1316" t="s">
        <v>1810</v>
      </c>
      <c r="D1202" s="1317"/>
      <c r="E1202" s="701">
        <v>0.157</v>
      </c>
      <c r="F1202" s="676" t="s">
        <v>850</v>
      </c>
      <c r="G1202" s="670" t="e">
        <f>$H$560</f>
        <v>#REF!</v>
      </c>
      <c r="H1202" s="670" t="e">
        <f>INT(E1202*G1202)</f>
        <v>#REF!</v>
      </c>
      <c r="I1202" s="670">
        <f>$J$560</f>
        <v>586878</v>
      </c>
      <c r="J1202" s="670">
        <f>INT(E1202*I1202)</f>
        <v>92139</v>
      </c>
      <c r="K1202" s="670">
        <f>$L$560</f>
        <v>5742</v>
      </c>
      <c r="L1202" s="670">
        <f>INT(E1202*K1202)</f>
        <v>901</v>
      </c>
      <c r="M1202" s="670" t="e">
        <f t="shared" si="149"/>
        <v>#REF!</v>
      </c>
      <c r="N1202" s="670" t="e">
        <f t="shared" si="149"/>
        <v>#REF!</v>
      </c>
      <c r="O1202" s="671">
        <f>$A$553</f>
        <v>140</v>
      </c>
      <c r="P1202" s="672"/>
      <c r="Q1202" s="665" t="s">
        <v>1833</v>
      </c>
    </row>
    <row r="1203" spans="1:17" s="665" customFormat="1" ht="17.100000000000001" customHeight="1">
      <c r="A1203" s="1316" t="s">
        <v>1840</v>
      </c>
      <c r="B1203" s="1317"/>
      <c r="C1203" s="1338" t="s">
        <v>1841</v>
      </c>
      <c r="D1203" s="1317"/>
      <c r="E1203" s="679">
        <v>0.6</v>
      </c>
      <c r="F1203" s="676" t="s">
        <v>645</v>
      </c>
      <c r="G1203" s="670" t="e">
        <f>$H$726</f>
        <v>#REF!</v>
      </c>
      <c r="H1203" s="670" t="e">
        <f>INT(E1203*G1203)</f>
        <v>#REF!</v>
      </c>
      <c r="I1203" s="670">
        <f>$J$726</f>
        <v>34461</v>
      </c>
      <c r="J1203" s="670">
        <f>INT(E1203*I1203)</f>
        <v>20676</v>
      </c>
      <c r="K1203" s="670"/>
      <c r="L1203" s="670"/>
      <c r="M1203" s="670" t="e">
        <f t="shared" si="149"/>
        <v>#REF!</v>
      </c>
      <c r="N1203" s="670" t="e">
        <f t="shared" si="149"/>
        <v>#REF!</v>
      </c>
      <c r="O1203" s="671">
        <f>$A$721</f>
        <v>163</v>
      </c>
      <c r="P1203" s="672"/>
      <c r="Q1203" s="665" t="s">
        <v>1833</v>
      </c>
    </row>
    <row r="1204" spans="1:17" s="665" customFormat="1" ht="17.100000000000001" customHeight="1">
      <c r="A1204" s="1316" t="s">
        <v>1842</v>
      </c>
      <c r="B1204" s="1317"/>
      <c r="C1204" s="1338" t="s">
        <v>1843</v>
      </c>
      <c r="D1204" s="1378"/>
      <c r="E1204" s="701">
        <v>2.077</v>
      </c>
      <c r="F1204" s="676" t="s">
        <v>645</v>
      </c>
      <c r="G1204" s="670" t="e">
        <f>$H$714</f>
        <v>#REF!</v>
      </c>
      <c r="H1204" s="670" t="e">
        <f>INT(E1204*G1204)</f>
        <v>#REF!</v>
      </c>
      <c r="I1204" s="670">
        <f>$J$714</f>
        <v>38182</v>
      </c>
      <c r="J1204" s="670">
        <f>INT(E1204*I1204)</f>
        <v>79304</v>
      </c>
      <c r="K1204" s="670"/>
      <c r="L1204" s="670"/>
      <c r="M1204" s="670" t="e">
        <f t="shared" si="149"/>
        <v>#REF!</v>
      </c>
      <c r="N1204" s="670" t="e">
        <f t="shared" si="149"/>
        <v>#REF!</v>
      </c>
      <c r="O1204" s="671">
        <f>$A$709</f>
        <v>161</v>
      </c>
      <c r="P1204" s="672"/>
      <c r="Q1204" s="665" t="s">
        <v>1833</v>
      </c>
    </row>
    <row r="1205" spans="1:17" s="665" customFormat="1" ht="17.100000000000001" customHeight="1">
      <c r="A1205" s="1316" t="s">
        <v>1844</v>
      </c>
      <c r="B1205" s="1317"/>
      <c r="C1205" s="1316" t="s">
        <v>1827</v>
      </c>
      <c r="D1205" s="1317"/>
      <c r="E1205" s="677">
        <v>1</v>
      </c>
      <c r="F1205" s="676" t="s">
        <v>1828</v>
      </c>
      <c r="G1205" s="778"/>
      <c r="H1205" s="778"/>
      <c r="I1205" s="670"/>
      <c r="J1205" s="670"/>
      <c r="K1205" s="670"/>
      <c r="L1205" s="670"/>
      <c r="M1205" s="778"/>
      <c r="N1205" s="778"/>
      <c r="O1205" s="671"/>
      <c r="P1205" s="672"/>
      <c r="Q1205" s="665" t="s">
        <v>1833</v>
      </c>
    </row>
    <row r="1206" spans="1:17" s="665" customFormat="1" ht="17.100000000000001" customHeight="1">
      <c r="A1206" s="1316" t="s">
        <v>628</v>
      </c>
      <c r="B1206" s="1317"/>
      <c r="C1206" s="1338" t="s">
        <v>1829</v>
      </c>
      <c r="D1206" s="1378"/>
      <c r="E1206" s="675">
        <v>0.02</v>
      </c>
      <c r="F1206" s="676" t="s">
        <v>366</v>
      </c>
      <c r="G1206" s="778"/>
      <c r="H1206" s="778"/>
      <c r="I1206" s="670">
        <f>[53]노임단가!$T$6</f>
        <v>226122</v>
      </c>
      <c r="J1206" s="670">
        <f>INT(E1206*I1206)</f>
        <v>4522</v>
      </c>
      <c r="K1206" s="670"/>
      <c r="L1206" s="670"/>
      <c r="M1206" s="670">
        <f>G1206+I1206+K1206</f>
        <v>226122</v>
      </c>
      <c r="N1206" s="670">
        <f>H1206+J1206+L1206</f>
        <v>4522</v>
      </c>
      <c r="O1206" s="671"/>
      <c r="P1206" s="672"/>
      <c r="Q1206" s="665" t="s">
        <v>1833</v>
      </c>
    </row>
    <row r="1207" spans="1:17" s="665" customFormat="1" ht="17.100000000000001" customHeight="1">
      <c r="A1207" s="1318" t="s">
        <v>1320</v>
      </c>
      <c r="B1207" s="1319"/>
      <c r="C1207" s="1371"/>
      <c r="D1207" s="1372"/>
      <c r="E1207" s="677"/>
      <c r="F1207" s="676"/>
      <c r="G1207" s="670"/>
      <c r="H1207" s="670" t="e">
        <f>SUM(H1201:H1206)</f>
        <v>#REF!</v>
      </c>
      <c r="I1207" s="670"/>
      <c r="J1207" s="670">
        <f>SUM(J1201:J1206)</f>
        <v>276456</v>
      </c>
      <c r="K1207" s="670"/>
      <c r="L1207" s="670">
        <f>SUM(L1201:L1206)</f>
        <v>1681</v>
      </c>
      <c r="M1207" s="670"/>
      <c r="N1207" s="670" t="e">
        <f>SUM(N1201:N1206)</f>
        <v>#REF!</v>
      </c>
      <c r="O1207" s="671"/>
      <c r="P1207" s="672"/>
      <c r="Q1207" s="665" t="s">
        <v>1833</v>
      </c>
    </row>
    <row r="1208" spans="1:17" s="665" customFormat="1" ht="17.100000000000001" customHeight="1">
      <c r="A1208" s="668">
        <f>A1200+1</f>
        <v>233</v>
      </c>
      <c r="B1208" s="1320" t="s">
        <v>1848</v>
      </c>
      <c r="C1208" s="1320"/>
      <c r="D1208" s="1320" t="s">
        <v>1845</v>
      </c>
      <c r="E1208" s="1320"/>
      <c r="F1208" s="669" t="s">
        <v>575</v>
      </c>
      <c r="G1208" s="670"/>
      <c r="H1208" s="670"/>
      <c r="I1208" s="670"/>
      <c r="J1208" s="670"/>
      <c r="K1208" s="670"/>
      <c r="L1208" s="670"/>
      <c r="M1208" s="670"/>
      <c r="N1208" s="670"/>
      <c r="O1208" s="699" t="s">
        <v>1562</v>
      </c>
      <c r="P1208" s="672"/>
      <c r="Q1208" s="665" t="s">
        <v>1833</v>
      </c>
    </row>
    <row r="1209" spans="1:17" s="665" customFormat="1" ht="17.100000000000001" customHeight="1">
      <c r="A1209" s="1316" t="s">
        <v>1809</v>
      </c>
      <c r="B1209" s="1317"/>
      <c r="C1209" s="1316" t="s">
        <v>1810</v>
      </c>
      <c r="D1209" s="1317"/>
      <c r="E1209" s="701">
        <v>0.13600000000000001</v>
      </c>
      <c r="F1209" s="676" t="s">
        <v>850</v>
      </c>
      <c r="G1209" s="670" t="e">
        <f>$H$560</f>
        <v>#REF!</v>
      </c>
      <c r="H1209" s="670" t="e">
        <f>INT(E1209*G1209)</f>
        <v>#REF!</v>
      </c>
      <c r="I1209" s="670">
        <f>$J$560</f>
        <v>586878</v>
      </c>
      <c r="J1209" s="670">
        <f>INT(E1209*I1209)</f>
        <v>79815</v>
      </c>
      <c r="K1209" s="670">
        <f>$L$560</f>
        <v>5742</v>
      </c>
      <c r="L1209" s="670">
        <f>INT(E1209*K1209)</f>
        <v>780</v>
      </c>
      <c r="M1209" s="670" t="e">
        <f t="shared" ref="M1209:N1212" si="150">G1209+I1209+K1209</f>
        <v>#REF!</v>
      </c>
      <c r="N1209" s="670" t="e">
        <f t="shared" si="150"/>
        <v>#REF!</v>
      </c>
      <c r="O1209" s="671">
        <f>$A$553</f>
        <v>140</v>
      </c>
      <c r="P1209" s="672"/>
      <c r="Q1209" s="665" t="s">
        <v>1833</v>
      </c>
    </row>
    <row r="1210" spans="1:17" s="665" customFormat="1" ht="17.100000000000001" customHeight="1">
      <c r="A1210" s="1316" t="s">
        <v>1839</v>
      </c>
      <c r="B1210" s="1317"/>
      <c r="C1210" s="1316" t="s">
        <v>1810</v>
      </c>
      <c r="D1210" s="1317"/>
      <c r="E1210" s="701">
        <v>0.247</v>
      </c>
      <c r="F1210" s="676" t="s">
        <v>850</v>
      </c>
      <c r="G1210" s="670" t="e">
        <f>$H$560</f>
        <v>#REF!</v>
      </c>
      <c r="H1210" s="670" t="e">
        <f>INT(E1210*G1210)</f>
        <v>#REF!</v>
      </c>
      <c r="I1210" s="670">
        <f>$J$560</f>
        <v>586878</v>
      </c>
      <c r="J1210" s="670">
        <f>INT(E1210*I1210)</f>
        <v>144958</v>
      </c>
      <c r="K1210" s="670">
        <f>$L$560</f>
        <v>5742</v>
      </c>
      <c r="L1210" s="670">
        <f>INT(E1210*K1210)</f>
        <v>1418</v>
      </c>
      <c r="M1210" s="670" t="e">
        <f t="shared" si="150"/>
        <v>#REF!</v>
      </c>
      <c r="N1210" s="670" t="e">
        <f t="shared" si="150"/>
        <v>#REF!</v>
      </c>
      <c r="O1210" s="671">
        <f>$A$553</f>
        <v>140</v>
      </c>
      <c r="P1210" s="672"/>
      <c r="Q1210" s="665" t="s">
        <v>1833</v>
      </c>
    </row>
    <row r="1211" spans="1:17" s="665" customFormat="1" ht="17.100000000000001" customHeight="1">
      <c r="A1211" s="1316" t="s">
        <v>1840</v>
      </c>
      <c r="B1211" s="1317"/>
      <c r="C1211" s="1338" t="s">
        <v>1841</v>
      </c>
      <c r="D1211" s="1317"/>
      <c r="E1211" s="679">
        <v>0.6</v>
      </c>
      <c r="F1211" s="676" t="s">
        <v>645</v>
      </c>
      <c r="G1211" s="670" t="e">
        <f>$H$726</f>
        <v>#REF!</v>
      </c>
      <c r="H1211" s="670" t="e">
        <f>INT(E1211*G1211)</f>
        <v>#REF!</v>
      </c>
      <c r="I1211" s="670">
        <f>$J$726</f>
        <v>34461</v>
      </c>
      <c r="J1211" s="670">
        <f>INT(E1211*I1211)</f>
        <v>20676</v>
      </c>
      <c r="K1211" s="670">
        <f>$L$726</f>
        <v>0</v>
      </c>
      <c r="L1211" s="670">
        <f>INT(E1211*K1211)</f>
        <v>0</v>
      </c>
      <c r="M1211" s="670" t="e">
        <f t="shared" si="150"/>
        <v>#REF!</v>
      </c>
      <c r="N1211" s="670" t="e">
        <f t="shared" si="150"/>
        <v>#REF!</v>
      </c>
      <c r="O1211" s="671">
        <f>$A$721</f>
        <v>163</v>
      </c>
      <c r="P1211" s="672"/>
      <c r="Q1211" s="665" t="s">
        <v>1833</v>
      </c>
    </row>
    <row r="1212" spans="1:17" s="665" customFormat="1" ht="17.100000000000001" customHeight="1">
      <c r="A1212" s="1316" t="s">
        <v>1842</v>
      </c>
      <c r="B1212" s="1317"/>
      <c r="C1212" s="1338" t="s">
        <v>1843</v>
      </c>
      <c r="D1212" s="1378"/>
      <c r="E1212" s="701">
        <v>3.2770000000000001</v>
      </c>
      <c r="F1212" s="676" t="s">
        <v>645</v>
      </c>
      <c r="G1212" s="670" t="e">
        <f>$H$714</f>
        <v>#REF!</v>
      </c>
      <c r="H1212" s="670" t="e">
        <f>INT(E1212*G1212)</f>
        <v>#REF!</v>
      </c>
      <c r="I1212" s="670">
        <f>$J$714</f>
        <v>38182</v>
      </c>
      <c r="J1212" s="670">
        <f>INT(E1212*I1212)</f>
        <v>125122</v>
      </c>
      <c r="K1212" s="670">
        <f>$L$714</f>
        <v>0</v>
      </c>
      <c r="L1212" s="670">
        <f>INT(E1212*K1212)</f>
        <v>0</v>
      </c>
      <c r="M1212" s="670" t="e">
        <f t="shared" si="150"/>
        <v>#REF!</v>
      </c>
      <c r="N1212" s="670" t="e">
        <f t="shared" si="150"/>
        <v>#REF!</v>
      </c>
      <c r="O1212" s="671">
        <f>$A$709</f>
        <v>161</v>
      </c>
      <c r="P1212" s="672"/>
      <c r="Q1212" s="665" t="s">
        <v>1833</v>
      </c>
    </row>
    <row r="1213" spans="1:17" s="665" customFormat="1" ht="17.100000000000001" customHeight="1">
      <c r="A1213" s="1316" t="s">
        <v>1844</v>
      </c>
      <c r="B1213" s="1317"/>
      <c r="C1213" s="1316" t="s">
        <v>1827</v>
      </c>
      <c r="D1213" s="1317"/>
      <c r="E1213" s="677">
        <v>1</v>
      </c>
      <c r="F1213" s="676" t="s">
        <v>1828</v>
      </c>
      <c r="G1213" s="778"/>
      <c r="H1213" s="778"/>
      <c r="I1213" s="670"/>
      <c r="J1213" s="670"/>
      <c r="K1213" s="670"/>
      <c r="L1213" s="670"/>
      <c r="M1213" s="778"/>
      <c r="N1213" s="778"/>
      <c r="O1213" s="671"/>
      <c r="P1213" s="672"/>
      <c r="Q1213" s="665" t="s">
        <v>1833</v>
      </c>
    </row>
    <row r="1214" spans="1:17" s="665" customFormat="1" ht="17.100000000000001" customHeight="1">
      <c r="A1214" s="1316" t="s">
        <v>628</v>
      </c>
      <c r="B1214" s="1317"/>
      <c r="C1214" s="1338" t="s">
        <v>1829</v>
      </c>
      <c r="D1214" s="1378"/>
      <c r="E1214" s="675">
        <v>0.02</v>
      </c>
      <c r="F1214" s="676" t="s">
        <v>366</v>
      </c>
      <c r="G1214" s="778"/>
      <c r="H1214" s="778"/>
      <c r="I1214" s="670">
        <f>[53]노임단가!$T$6</f>
        <v>226122</v>
      </c>
      <c r="J1214" s="670">
        <f>INT(E1214*I1214)</f>
        <v>4522</v>
      </c>
      <c r="K1214" s="670"/>
      <c r="L1214" s="670"/>
      <c r="M1214" s="670">
        <f>G1214+I1214+K1214</f>
        <v>226122</v>
      </c>
      <c r="N1214" s="670">
        <f>H1214+J1214+L1214</f>
        <v>4522</v>
      </c>
      <c r="O1214" s="671"/>
      <c r="P1214" s="672"/>
      <c r="Q1214" s="665" t="s">
        <v>1833</v>
      </c>
    </row>
    <row r="1215" spans="1:17" s="665" customFormat="1" ht="17.100000000000001" customHeight="1">
      <c r="A1215" s="1318" t="s">
        <v>1320</v>
      </c>
      <c r="B1215" s="1319"/>
      <c r="C1215" s="1371"/>
      <c r="D1215" s="1372"/>
      <c r="E1215" s="677"/>
      <c r="F1215" s="676"/>
      <c r="G1215" s="670"/>
      <c r="H1215" s="670" t="e">
        <f>SUM(H1209:H1214)</f>
        <v>#REF!</v>
      </c>
      <c r="I1215" s="670"/>
      <c r="J1215" s="670">
        <f>SUM(J1209:J1214)</f>
        <v>375093</v>
      </c>
      <c r="K1215" s="670"/>
      <c r="L1215" s="670">
        <f>SUM(L1209:L1214)</f>
        <v>2198</v>
      </c>
      <c r="M1215" s="670"/>
      <c r="N1215" s="670" t="e">
        <f>SUM(N1209:N1214)</f>
        <v>#REF!</v>
      </c>
      <c r="O1215" s="671"/>
      <c r="P1215" s="672"/>
      <c r="Q1215" s="665" t="s">
        <v>1833</v>
      </c>
    </row>
    <row r="1216" spans="1:17" s="665" customFormat="1" ht="17.100000000000001" customHeight="1">
      <c r="A1216" s="668">
        <f>A1208+1</f>
        <v>234</v>
      </c>
      <c r="B1216" s="1320" t="s">
        <v>1848</v>
      </c>
      <c r="C1216" s="1320"/>
      <c r="D1216" s="1320" t="s">
        <v>1846</v>
      </c>
      <c r="E1216" s="1320"/>
      <c r="F1216" s="669" t="s">
        <v>575</v>
      </c>
      <c r="G1216" s="670"/>
      <c r="H1216" s="670"/>
      <c r="I1216" s="670"/>
      <c r="J1216" s="670"/>
      <c r="K1216" s="670"/>
      <c r="L1216" s="670"/>
      <c r="M1216" s="670"/>
      <c r="N1216" s="670"/>
      <c r="O1216" s="699" t="s">
        <v>1562</v>
      </c>
      <c r="P1216" s="672"/>
      <c r="Q1216" s="665" t="s">
        <v>1833</v>
      </c>
    </row>
    <row r="1217" spans="1:22" s="665" customFormat="1" ht="17.100000000000001" customHeight="1">
      <c r="A1217" s="1316" t="s">
        <v>1809</v>
      </c>
      <c r="B1217" s="1317"/>
      <c r="C1217" s="1316" t="s">
        <v>1810</v>
      </c>
      <c r="D1217" s="1317"/>
      <c r="E1217" s="701">
        <v>0.13600000000000001</v>
      </c>
      <c r="F1217" s="676" t="s">
        <v>850</v>
      </c>
      <c r="G1217" s="670" t="e">
        <f>$H$560</f>
        <v>#REF!</v>
      </c>
      <c r="H1217" s="670" t="e">
        <f>INT(E1217*G1217)</f>
        <v>#REF!</v>
      </c>
      <c r="I1217" s="670">
        <f>$J$560</f>
        <v>586878</v>
      </c>
      <c r="J1217" s="670">
        <f>INT(E1217*I1217)</f>
        <v>79815</v>
      </c>
      <c r="K1217" s="670">
        <f>$L$560</f>
        <v>5742</v>
      </c>
      <c r="L1217" s="670">
        <f>INT(E1217*K1217)</f>
        <v>780</v>
      </c>
      <c r="M1217" s="670" t="e">
        <f t="shared" ref="M1217:N1220" si="151">G1217+I1217+K1217</f>
        <v>#REF!</v>
      </c>
      <c r="N1217" s="670" t="e">
        <f t="shared" si="151"/>
        <v>#REF!</v>
      </c>
      <c r="O1217" s="671">
        <f>$A$553</f>
        <v>140</v>
      </c>
      <c r="P1217" s="672"/>
      <c r="Q1217" s="665" t="s">
        <v>1833</v>
      </c>
    </row>
    <row r="1218" spans="1:22" s="665" customFormat="1" ht="17.100000000000001" customHeight="1">
      <c r="A1218" s="1316" t="s">
        <v>1839</v>
      </c>
      <c r="B1218" s="1317"/>
      <c r="C1218" s="1316" t="s">
        <v>1810</v>
      </c>
      <c r="D1218" s="1317"/>
      <c r="E1218" s="701">
        <v>0.33700000000000002</v>
      </c>
      <c r="F1218" s="676" t="s">
        <v>850</v>
      </c>
      <c r="G1218" s="670" t="e">
        <f>$H$560</f>
        <v>#REF!</v>
      </c>
      <c r="H1218" s="670" t="e">
        <f>INT(E1218*G1218)</f>
        <v>#REF!</v>
      </c>
      <c r="I1218" s="670">
        <f>$J$560</f>
        <v>586878</v>
      </c>
      <c r="J1218" s="670">
        <f>INT(E1218*I1218)</f>
        <v>197777</v>
      </c>
      <c r="K1218" s="670">
        <f>$L$560</f>
        <v>5742</v>
      </c>
      <c r="L1218" s="670">
        <f>INT(E1218*K1218)</f>
        <v>1935</v>
      </c>
      <c r="M1218" s="670" t="e">
        <f t="shared" si="151"/>
        <v>#REF!</v>
      </c>
      <c r="N1218" s="670" t="e">
        <f t="shared" si="151"/>
        <v>#REF!</v>
      </c>
      <c r="O1218" s="671">
        <f>$A$553</f>
        <v>140</v>
      </c>
      <c r="P1218" s="672"/>
      <c r="Q1218" s="665" t="s">
        <v>1833</v>
      </c>
    </row>
    <row r="1219" spans="1:22" s="665" customFormat="1" ht="17.100000000000001" customHeight="1">
      <c r="A1219" s="1316" t="s">
        <v>1840</v>
      </c>
      <c r="B1219" s="1317"/>
      <c r="C1219" s="1338" t="s">
        <v>1841</v>
      </c>
      <c r="D1219" s="1317"/>
      <c r="E1219" s="679">
        <v>0.6</v>
      </c>
      <c r="F1219" s="676" t="s">
        <v>645</v>
      </c>
      <c r="G1219" s="670" t="e">
        <f>$H$726</f>
        <v>#REF!</v>
      </c>
      <c r="H1219" s="670" t="e">
        <f>INT(E1219*G1219)</f>
        <v>#REF!</v>
      </c>
      <c r="I1219" s="670">
        <f>$J$726</f>
        <v>34461</v>
      </c>
      <c r="J1219" s="670">
        <f>INT(E1219*I1219)</f>
        <v>20676</v>
      </c>
      <c r="K1219" s="670">
        <f>$L$726</f>
        <v>0</v>
      </c>
      <c r="L1219" s="670">
        <f>INT(E1219*K1219)</f>
        <v>0</v>
      </c>
      <c r="M1219" s="670" t="e">
        <f t="shared" si="151"/>
        <v>#REF!</v>
      </c>
      <c r="N1219" s="670" t="e">
        <f t="shared" si="151"/>
        <v>#REF!</v>
      </c>
      <c r="O1219" s="671">
        <f>$A$721</f>
        <v>163</v>
      </c>
      <c r="P1219" s="672"/>
      <c r="Q1219" s="665" t="s">
        <v>1833</v>
      </c>
    </row>
    <row r="1220" spans="1:22" s="665" customFormat="1" ht="17.100000000000001" customHeight="1">
      <c r="A1220" s="1316" t="s">
        <v>1842</v>
      </c>
      <c r="B1220" s="1317"/>
      <c r="C1220" s="1338" t="s">
        <v>1843</v>
      </c>
      <c r="D1220" s="1378"/>
      <c r="E1220" s="701">
        <v>4.4770000000000003</v>
      </c>
      <c r="F1220" s="676" t="s">
        <v>645</v>
      </c>
      <c r="G1220" s="670" t="e">
        <f>$H$714</f>
        <v>#REF!</v>
      </c>
      <c r="H1220" s="670" t="e">
        <f>INT(E1220*G1220)</f>
        <v>#REF!</v>
      </c>
      <c r="I1220" s="670">
        <f>$J$714</f>
        <v>38182</v>
      </c>
      <c r="J1220" s="670">
        <f>INT(E1220*I1220)</f>
        <v>170940</v>
      </c>
      <c r="K1220" s="670">
        <f>$L$714</f>
        <v>0</v>
      </c>
      <c r="L1220" s="670">
        <f>INT(E1220*K1220)</f>
        <v>0</v>
      </c>
      <c r="M1220" s="670" t="e">
        <f t="shared" si="151"/>
        <v>#REF!</v>
      </c>
      <c r="N1220" s="670" t="e">
        <f t="shared" si="151"/>
        <v>#REF!</v>
      </c>
      <c r="O1220" s="671">
        <f>$A$709</f>
        <v>161</v>
      </c>
      <c r="P1220" s="672"/>
      <c r="Q1220" s="665" t="s">
        <v>1833</v>
      </c>
    </row>
    <row r="1221" spans="1:22" s="665" customFormat="1" ht="17.100000000000001" customHeight="1">
      <c r="A1221" s="1316" t="s">
        <v>1844</v>
      </c>
      <c r="B1221" s="1317"/>
      <c r="C1221" s="1316" t="s">
        <v>1827</v>
      </c>
      <c r="D1221" s="1317"/>
      <c r="E1221" s="677">
        <v>1</v>
      </c>
      <c r="F1221" s="676" t="s">
        <v>1828</v>
      </c>
      <c r="G1221" s="778"/>
      <c r="H1221" s="778"/>
      <c r="I1221" s="670"/>
      <c r="J1221" s="670"/>
      <c r="K1221" s="670"/>
      <c r="L1221" s="670"/>
      <c r="M1221" s="778"/>
      <c r="N1221" s="778"/>
      <c r="O1221" s="671"/>
      <c r="P1221" s="672"/>
      <c r="Q1221" s="665" t="s">
        <v>1833</v>
      </c>
    </row>
    <row r="1222" spans="1:22" s="665" customFormat="1" ht="17.100000000000001" customHeight="1">
      <c r="A1222" s="1316" t="s">
        <v>628</v>
      </c>
      <c r="B1222" s="1317"/>
      <c r="C1222" s="1338" t="s">
        <v>1829</v>
      </c>
      <c r="D1222" s="1378"/>
      <c r="E1222" s="675">
        <v>0.02</v>
      </c>
      <c r="F1222" s="676" t="s">
        <v>366</v>
      </c>
      <c r="G1222" s="778"/>
      <c r="H1222" s="778"/>
      <c r="I1222" s="670">
        <f>[53]노임단가!$T$6</f>
        <v>226122</v>
      </c>
      <c r="J1222" s="670">
        <f>INT(E1222*I1222)</f>
        <v>4522</v>
      </c>
      <c r="K1222" s="670"/>
      <c r="L1222" s="670"/>
      <c r="M1222" s="670">
        <f>G1222+I1222+K1222</f>
        <v>226122</v>
      </c>
      <c r="N1222" s="670">
        <f>H1222+J1222+L1222</f>
        <v>4522</v>
      </c>
      <c r="O1222" s="671"/>
      <c r="P1222" s="672"/>
      <c r="Q1222" s="665" t="s">
        <v>1833</v>
      </c>
    </row>
    <row r="1223" spans="1:22" s="665" customFormat="1" ht="17.100000000000001" customHeight="1">
      <c r="A1223" s="1318" t="s">
        <v>1320</v>
      </c>
      <c r="B1223" s="1319"/>
      <c r="C1223" s="1371"/>
      <c r="D1223" s="1372"/>
      <c r="E1223" s="677"/>
      <c r="F1223" s="676"/>
      <c r="G1223" s="670"/>
      <c r="H1223" s="670" t="e">
        <f>SUM(H1217:H1222)</f>
        <v>#REF!</v>
      </c>
      <c r="I1223" s="670"/>
      <c r="J1223" s="670">
        <f>SUM(J1217:J1222)</f>
        <v>473730</v>
      </c>
      <c r="K1223" s="670"/>
      <c r="L1223" s="670">
        <f>SUM(L1217:L1222)</f>
        <v>2715</v>
      </c>
      <c r="M1223" s="670"/>
      <c r="N1223" s="670" t="e">
        <f>SUM(N1217:N1222)</f>
        <v>#REF!</v>
      </c>
      <c r="O1223" s="671"/>
      <c r="P1223" s="672"/>
      <c r="Q1223" s="665" t="s">
        <v>1833</v>
      </c>
    </row>
    <row r="1224" spans="1:22" s="665" customFormat="1" ht="17.100000000000001" customHeight="1">
      <c r="A1224" s="668">
        <f>A1216+1</f>
        <v>235</v>
      </c>
      <c r="B1224" s="1320" t="s">
        <v>1848</v>
      </c>
      <c r="C1224" s="1320"/>
      <c r="D1224" s="1320" t="s">
        <v>1847</v>
      </c>
      <c r="E1224" s="1320"/>
      <c r="F1224" s="669" t="s">
        <v>575</v>
      </c>
      <c r="G1224" s="670"/>
      <c r="H1224" s="670"/>
      <c r="I1224" s="670"/>
      <c r="J1224" s="670"/>
      <c r="K1224" s="670"/>
      <c r="L1224" s="670"/>
      <c r="M1224" s="670"/>
      <c r="N1224" s="670"/>
      <c r="O1224" s="699" t="s">
        <v>1562</v>
      </c>
      <c r="P1224" s="672"/>
      <c r="Q1224" s="665" t="s">
        <v>1833</v>
      </c>
    </row>
    <row r="1225" spans="1:22" s="665" customFormat="1" ht="17.100000000000001" customHeight="1">
      <c r="A1225" s="1316" t="s">
        <v>1809</v>
      </c>
      <c r="B1225" s="1317"/>
      <c r="C1225" s="1316" t="s">
        <v>1810</v>
      </c>
      <c r="D1225" s="1317"/>
      <c r="E1225" s="701">
        <v>0.13600000000000001</v>
      </c>
      <c r="F1225" s="676" t="s">
        <v>850</v>
      </c>
      <c r="G1225" s="670" t="e">
        <f>$H$560</f>
        <v>#REF!</v>
      </c>
      <c r="H1225" s="670" t="e">
        <f>INT(E1225*G1225)</f>
        <v>#REF!</v>
      </c>
      <c r="I1225" s="670">
        <f>$J$560</f>
        <v>586878</v>
      </c>
      <c r="J1225" s="670">
        <f>INT(E1225*I1225)</f>
        <v>79815</v>
      </c>
      <c r="K1225" s="670">
        <f>$L$560</f>
        <v>5742</v>
      </c>
      <c r="L1225" s="670">
        <f>INT(E1225*K1225)</f>
        <v>780</v>
      </c>
      <c r="M1225" s="670" t="e">
        <f t="shared" ref="M1225:N1228" si="152">G1225+I1225+K1225</f>
        <v>#REF!</v>
      </c>
      <c r="N1225" s="670" t="e">
        <f t="shared" si="152"/>
        <v>#REF!</v>
      </c>
      <c r="O1225" s="671">
        <f>$A$553</f>
        <v>140</v>
      </c>
      <c r="P1225" s="672"/>
      <c r="Q1225" s="665" t="s">
        <v>1833</v>
      </c>
    </row>
    <row r="1226" spans="1:22" s="665" customFormat="1" ht="17.100000000000001" customHeight="1">
      <c r="A1226" s="1316" t="s">
        <v>1839</v>
      </c>
      <c r="B1226" s="1317"/>
      <c r="C1226" s="1316" t="s">
        <v>1810</v>
      </c>
      <c r="D1226" s="1317"/>
      <c r="E1226" s="701">
        <v>0.42699999999999999</v>
      </c>
      <c r="F1226" s="676" t="s">
        <v>850</v>
      </c>
      <c r="G1226" s="670" t="e">
        <f>$H$560</f>
        <v>#REF!</v>
      </c>
      <c r="H1226" s="670" t="e">
        <f>INT(E1226*G1226)</f>
        <v>#REF!</v>
      </c>
      <c r="I1226" s="670">
        <f>$J$560</f>
        <v>586878</v>
      </c>
      <c r="J1226" s="670">
        <f>INT(E1226*I1226)</f>
        <v>250596</v>
      </c>
      <c r="K1226" s="670">
        <f>$L$560</f>
        <v>5742</v>
      </c>
      <c r="L1226" s="670">
        <f>INT(E1226*K1226)</f>
        <v>2451</v>
      </c>
      <c r="M1226" s="670" t="e">
        <f t="shared" si="152"/>
        <v>#REF!</v>
      </c>
      <c r="N1226" s="670" t="e">
        <f t="shared" si="152"/>
        <v>#REF!</v>
      </c>
      <c r="O1226" s="671">
        <f>$A$553</f>
        <v>140</v>
      </c>
      <c r="P1226" s="672"/>
      <c r="Q1226" s="665" t="s">
        <v>1833</v>
      </c>
      <c r="U1226" s="688"/>
      <c r="V1226" s="688"/>
    </row>
    <row r="1227" spans="1:22" s="688" customFormat="1" ht="17.100000000000001" customHeight="1">
      <c r="A1227" s="1316" t="s">
        <v>1840</v>
      </c>
      <c r="B1227" s="1317"/>
      <c r="C1227" s="1338" t="s">
        <v>1841</v>
      </c>
      <c r="D1227" s="1317"/>
      <c r="E1227" s="679">
        <v>0.6</v>
      </c>
      <c r="F1227" s="676" t="s">
        <v>645</v>
      </c>
      <c r="G1227" s="670" t="e">
        <f>$H$726</f>
        <v>#REF!</v>
      </c>
      <c r="H1227" s="670" t="e">
        <f>INT(E1227*G1227)</f>
        <v>#REF!</v>
      </c>
      <c r="I1227" s="670">
        <f>$J$726</f>
        <v>34461</v>
      </c>
      <c r="J1227" s="670">
        <f>INT(E1227*I1227)</f>
        <v>20676</v>
      </c>
      <c r="K1227" s="670">
        <f>$L$726</f>
        <v>0</v>
      </c>
      <c r="L1227" s="670">
        <f>INT(E1227*K1227)</f>
        <v>0</v>
      </c>
      <c r="M1227" s="670" t="e">
        <f t="shared" si="152"/>
        <v>#REF!</v>
      </c>
      <c r="N1227" s="670" t="e">
        <f t="shared" si="152"/>
        <v>#REF!</v>
      </c>
      <c r="O1227" s="671">
        <f>$A$721</f>
        <v>163</v>
      </c>
      <c r="P1227" s="672"/>
      <c r="Q1227" s="665" t="s">
        <v>1833</v>
      </c>
      <c r="R1227" s="665"/>
      <c r="S1227" s="665"/>
      <c r="T1227" s="665"/>
      <c r="U1227" s="665"/>
      <c r="V1227" s="665"/>
    </row>
    <row r="1228" spans="1:22" s="665" customFormat="1" ht="17.100000000000001" customHeight="1">
      <c r="A1228" s="1316" t="s">
        <v>1842</v>
      </c>
      <c r="B1228" s="1317"/>
      <c r="C1228" s="1338" t="s">
        <v>1843</v>
      </c>
      <c r="D1228" s="1378"/>
      <c r="E1228" s="701">
        <v>5.6769999999999996</v>
      </c>
      <c r="F1228" s="676" t="s">
        <v>645</v>
      </c>
      <c r="G1228" s="670" t="e">
        <f>$H$714</f>
        <v>#REF!</v>
      </c>
      <c r="H1228" s="670" t="e">
        <f>INT(E1228*G1228)</f>
        <v>#REF!</v>
      </c>
      <c r="I1228" s="670">
        <f>$J$714</f>
        <v>38182</v>
      </c>
      <c r="J1228" s="670">
        <f>INT(E1228*I1228)</f>
        <v>216759</v>
      </c>
      <c r="K1228" s="670">
        <f>$L$714</f>
        <v>0</v>
      </c>
      <c r="L1228" s="670">
        <f>INT(E1228*K1228)</f>
        <v>0</v>
      </c>
      <c r="M1228" s="670" t="e">
        <f t="shared" si="152"/>
        <v>#REF!</v>
      </c>
      <c r="N1228" s="670" t="e">
        <f t="shared" si="152"/>
        <v>#REF!</v>
      </c>
      <c r="O1228" s="671">
        <f>$A$709</f>
        <v>161</v>
      </c>
      <c r="P1228" s="672"/>
      <c r="Q1228" s="665" t="s">
        <v>1833</v>
      </c>
    </row>
    <row r="1229" spans="1:22" s="665" customFormat="1" ht="17.100000000000001" customHeight="1">
      <c r="A1229" s="1316" t="s">
        <v>1844</v>
      </c>
      <c r="B1229" s="1317"/>
      <c r="C1229" s="1316" t="s">
        <v>1827</v>
      </c>
      <c r="D1229" s="1317"/>
      <c r="E1229" s="677">
        <v>1</v>
      </c>
      <c r="F1229" s="676" t="s">
        <v>1828</v>
      </c>
      <c r="G1229" s="778"/>
      <c r="H1229" s="778"/>
      <c r="I1229" s="670"/>
      <c r="J1229" s="670"/>
      <c r="K1229" s="670"/>
      <c r="L1229" s="670"/>
      <c r="M1229" s="778"/>
      <c r="N1229" s="778"/>
      <c r="O1229" s="671"/>
      <c r="P1229" s="672"/>
      <c r="Q1229" s="665" t="s">
        <v>1833</v>
      </c>
    </row>
    <row r="1230" spans="1:22" s="665" customFormat="1" ht="17.100000000000001" customHeight="1">
      <c r="A1230" s="1316" t="s">
        <v>628</v>
      </c>
      <c r="B1230" s="1317"/>
      <c r="C1230" s="1338" t="s">
        <v>1829</v>
      </c>
      <c r="D1230" s="1378"/>
      <c r="E1230" s="675">
        <v>0.02</v>
      </c>
      <c r="F1230" s="676" t="s">
        <v>366</v>
      </c>
      <c r="G1230" s="778"/>
      <c r="H1230" s="778"/>
      <c r="I1230" s="670">
        <f>[53]노임단가!$T$6</f>
        <v>226122</v>
      </c>
      <c r="J1230" s="670">
        <f>INT(E1230*I1230)</f>
        <v>4522</v>
      </c>
      <c r="K1230" s="670"/>
      <c r="L1230" s="670"/>
      <c r="M1230" s="670">
        <f>G1230+I1230+K1230</f>
        <v>226122</v>
      </c>
      <c r="N1230" s="670">
        <f>H1230+J1230+L1230</f>
        <v>4522</v>
      </c>
      <c r="O1230" s="671"/>
      <c r="P1230" s="672"/>
      <c r="Q1230" s="665" t="s">
        <v>1833</v>
      </c>
    </row>
    <row r="1231" spans="1:22" s="665" customFormat="1" ht="17.100000000000001" customHeight="1">
      <c r="A1231" s="1318" t="s">
        <v>1320</v>
      </c>
      <c r="B1231" s="1319"/>
      <c r="C1231" s="1371"/>
      <c r="D1231" s="1372"/>
      <c r="E1231" s="677"/>
      <c r="F1231" s="676"/>
      <c r="G1231" s="670"/>
      <c r="H1231" s="670" t="e">
        <f>SUM(H1225:H1230)</f>
        <v>#REF!</v>
      </c>
      <c r="I1231" s="670"/>
      <c r="J1231" s="670">
        <f>SUM(J1225:J1230)</f>
        <v>572368</v>
      </c>
      <c r="K1231" s="670"/>
      <c r="L1231" s="670">
        <f>SUM(L1225:L1230)</f>
        <v>3231</v>
      </c>
      <c r="M1231" s="670"/>
      <c r="N1231" s="670" t="e">
        <f>SUM(N1225:N1230)</f>
        <v>#REF!</v>
      </c>
      <c r="O1231" s="671"/>
      <c r="P1231" s="672"/>
      <c r="Q1231" s="665" t="s">
        <v>1833</v>
      </c>
      <c r="R1231" s="688"/>
      <c r="S1231" s="688"/>
      <c r="T1231" s="688"/>
    </row>
    <row r="1232" spans="1:22" s="665" customFormat="1" ht="17.100000000000001" customHeight="1">
      <c r="A1232" s="668">
        <f>A1224+1</f>
        <v>236</v>
      </c>
      <c r="B1232" s="1320" t="s">
        <v>1848</v>
      </c>
      <c r="C1232" s="1320"/>
      <c r="D1232" s="1320" t="s">
        <v>1849</v>
      </c>
      <c r="E1232" s="1320"/>
      <c r="F1232" s="669" t="s">
        <v>575</v>
      </c>
      <c r="G1232" s="670"/>
      <c r="H1232" s="670"/>
      <c r="I1232" s="670"/>
      <c r="J1232" s="670"/>
      <c r="K1232" s="670"/>
      <c r="L1232" s="670"/>
      <c r="M1232" s="670"/>
      <c r="N1232" s="670"/>
      <c r="O1232" s="699" t="s">
        <v>1562</v>
      </c>
      <c r="P1232" s="672"/>
      <c r="Q1232" s="665" t="s">
        <v>1833</v>
      </c>
    </row>
    <row r="1233" spans="1:22" s="665" customFormat="1" ht="17.100000000000001" customHeight="1">
      <c r="A1233" s="1316" t="s">
        <v>1809</v>
      </c>
      <c r="B1233" s="1317"/>
      <c r="C1233" s="1316" t="s">
        <v>1810</v>
      </c>
      <c r="D1233" s="1317"/>
      <c r="E1233" s="701">
        <v>0.13600000000000001</v>
      </c>
      <c r="F1233" s="676" t="s">
        <v>850</v>
      </c>
      <c r="G1233" s="670" t="e">
        <f>$H$560</f>
        <v>#REF!</v>
      </c>
      <c r="H1233" s="670" t="e">
        <f>INT(E1233*G1233)</f>
        <v>#REF!</v>
      </c>
      <c r="I1233" s="670">
        <f>$J$560</f>
        <v>586878</v>
      </c>
      <c r="J1233" s="670">
        <f>INT(E1233*I1233)</f>
        <v>79815</v>
      </c>
      <c r="K1233" s="670">
        <f>$L$560</f>
        <v>5742</v>
      </c>
      <c r="L1233" s="670">
        <f>INT(E1233*K1233)</f>
        <v>780</v>
      </c>
      <c r="M1233" s="670" t="e">
        <f t="shared" ref="M1233:N1236" si="153">G1233+I1233+K1233</f>
        <v>#REF!</v>
      </c>
      <c r="N1233" s="670" t="e">
        <f t="shared" si="153"/>
        <v>#REF!</v>
      </c>
      <c r="O1233" s="671">
        <f>$A$553</f>
        <v>140</v>
      </c>
      <c r="P1233" s="672"/>
      <c r="Q1233" s="665" t="s">
        <v>1833</v>
      </c>
    </row>
    <row r="1234" spans="1:22" s="665" customFormat="1" ht="17.100000000000001" customHeight="1">
      <c r="A1234" s="1316" t="s">
        <v>1839</v>
      </c>
      <c r="B1234" s="1317"/>
      <c r="C1234" s="1316" t="s">
        <v>1810</v>
      </c>
      <c r="D1234" s="1317"/>
      <c r="E1234" s="675">
        <v>0.23</v>
      </c>
      <c r="F1234" s="676" t="s">
        <v>850</v>
      </c>
      <c r="G1234" s="670" t="e">
        <f>$H$560</f>
        <v>#REF!</v>
      </c>
      <c r="H1234" s="670" t="e">
        <f>INT(E1234*G1234)</f>
        <v>#REF!</v>
      </c>
      <c r="I1234" s="670">
        <f>$J$560</f>
        <v>586878</v>
      </c>
      <c r="J1234" s="670">
        <f>INT(E1234*I1234)</f>
        <v>134981</v>
      </c>
      <c r="K1234" s="670">
        <f>$L$560</f>
        <v>5742</v>
      </c>
      <c r="L1234" s="670">
        <f>INT(E1234*K1234)</f>
        <v>1320</v>
      </c>
      <c r="M1234" s="670" t="e">
        <f t="shared" si="153"/>
        <v>#REF!</v>
      </c>
      <c r="N1234" s="670" t="e">
        <f t="shared" si="153"/>
        <v>#REF!</v>
      </c>
      <c r="O1234" s="671">
        <f>$A$553</f>
        <v>140</v>
      </c>
      <c r="P1234" s="672"/>
      <c r="Q1234" s="665" t="s">
        <v>1833</v>
      </c>
    </row>
    <row r="1235" spans="1:22" s="665" customFormat="1" ht="17.100000000000001" customHeight="1">
      <c r="A1235" s="1316" t="s">
        <v>1840</v>
      </c>
      <c r="B1235" s="1317"/>
      <c r="C1235" s="1338" t="s">
        <v>1841</v>
      </c>
      <c r="D1235" s="1317"/>
      <c r="E1235" s="679">
        <v>0.6</v>
      </c>
      <c r="F1235" s="676" t="s">
        <v>645</v>
      </c>
      <c r="G1235" s="670" t="e">
        <f>$H$726</f>
        <v>#REF!</v>
      </c>
      <c r="H1235" s="670" t="e">
        <f>INT(E1235*G1235)</f>
        <v>#REF!</v>
      </c>
      <c r="I1235" s="670">
        <f>$J$726</f>
        <v>34461</v>
      </c>
      <c r="J1235" s="670">
        <f>INT(E1235*I1235)</f>
        <v>20676</v>
      </c>
      <c r="K1235" s="670">
        <f>$L$726</f>
        <v>0</v>
      </c>
      <c r="L1235" s="670">
        <f>INT(E1235*K1235)</f>
        <v>0</v>
      </c>
      <c r="M1235" s="670" t="e">
        <f t="shared" si="153"/>
        <v>#REF!</v>
      </c>
      <c r="N1235" s="670" t="e">
        <f t="shared" si="153"/>
        <v>#REF!</v>
      </c>
      <c r="O1235" s="671">
        <f>$A$721</f>
        <v>163</v>
      </c>
      <c r="P1235" s="672"/>
      <c r="Q1235" s="665" t="s">
        <v>1833</v>
      </c>
    </row>
    <row r="1236" spans="1:22" s="665" customFormat="1" ht="17.100000000000001" customHeight="1">
      <c r="A1236" s="1316" t="s">
        <v>1842</v>
      </c>
      <c r="B1236" s="1317"/>
      <c r="C1236" s="1338" t="s">
        <v>1843</v>
      </c>
      <c r="D1236" s="1378"/>
      <c r="E1236" s="701">
        <v>3.0459999999999998</v>
      </c>
      <c r="F1236" s="676" t="s">
        <v>645</v>
      </c>
      <c r="G1236" s="670" t="e">
        <f>$H$714</f>
        <v>#REF!</v>
      </c>
      <c r="H1236" s="670" t="e">
        <f>INT(E1236*G1236)</f>
        <v>#REF!</v>
      </c>
      <c r="I1236" s="670">
        <f>$J$714</f>
        <v>38182</v>
      </c>
      <c r="J1236" s="670">
        <f>INT(E1236*I1236)</f>
        <v>116302</v>
      </c>
      <c r="K1236" s="670">
        <f>$L$714</f>
        <v>0</v>
      </c>
      <c r="L1236" s="670">
        <f>INT(E1236*K1236)</f>
        <v>0</v>
      </c>
      <c r="M1236" s="670" t="e">
        <f t="shared" si="153"/>
        <v>#REF!</v>
      </c>
      <c r="N1236" s="670" t="e">
        <f t="shared" si="153"/>
        <v>#REF!</v>
      </c>
      <c r="O1236" s="671">
        <f>$A$709</f>
        <v>161</v>
      </c>
      <c r="P1236" s="672"/>
      <c r="Q1236" s="665" t="s">
        <v>1833</v>
      </c>
      <c r="U1236" s="688"/>
      <c r="V1236" s="688"/>
    </row>
    <row r="1237" spans="1:22" s="688" customFormat="1" ht="17.100000000000001" customHeight="1">
      <c r="A1237" s="1316" t="s">
        <v>1844</v>
      </c>
      <c r="B1237" s="1317"/>
      <c r="C1237" s="1316" t="s">
        <v>1827</v>
      </c>
      <c r="D1237" s="1317"/>
      <c r="E1237" s="677">
        <v>1</v>
      </c>
      <c r="F1237" s="676" t="s">
        <v>1828</v>
      </c>
      <c r="G1237" s="778"/>
      <c r="H1237" s="778"/>
      <c r="I1237" s="670"/>
      <c r="J1237" s="670"/>
      <c r="K1237" s="670"/>
      <c r="L1237" s="670"/>
      <c r="M1237" s="778"/>
      <c r="N1237" s="778"/>
      <c r="O1237" s="671"/>
      <c r="P1237" s="672"/>
      <c r="Q1237" s="665" t="s">
        <v>1833</v>
      </c>
      <c r="R1237" s="665"/>
      <c r="S1237" s="665"/>
      <c r="T1237" s="665"/>
      <c r="U1237" s="665"/>
      <c r="V1237" s="665"/>
    </row>
    <row r="1238" spans="1:22" s="665" customFormat="1" ht="17.100000000000001" customHeight="1">
      <c r="A1238" s="1316" t="s">
        <v>628</v>
      </c>
      <c r="B1238" s="1317"/>
      <c r="C1238" s="1338" t="s">
        <v>1829</v>
      </c>
      <c r="D1238" s="1378"/>
      <c r="E1238" s="675">
        <v>0.02</v>
      </c>
      <c r="F1238" s="676" t="s">
        <v>366</v>
      </c>
      <c r="G1238" s="778"/>
      <c r="H1238" s="778"/>
      <c r="I1238" s="670">
        <f>[53]노임단가!$T$6</f>
        <v>226122</v>
      </c>
      <c r="J1238" s="670">
        <f>INT(E1238*I1238)</f>
        <v>4522</v>
      </c>
      <c r="K1238" s="670"/>
      <c r="L1238" s="670"/>
      <c r="M1238" s="670">
        <f>G1238+I1238+K1238</f>
        <v>226122</v>
      </c>
      <c r="N1238" s="670">
        <f>H1238+J1238+L1238</f>
        <v>4522</v>
      </c>
      <c r="O1238" s="671"/>
      <c r="P1238" s="672"/>
      <c r="Q1238" s="665" t="s">
        <v>1833</v>
      </c>
    </row>
    <row r="1239" spans="1:22" s="665" customFormat="1" ht="17.100000000000001" customHeight="1">
      <c r="A1239" s="1318" t="s">
        <v>1320</v>
      </c>
      <c r="B1239" s="1319"/>
      <c r="C1239" s="1371"/>
      <c r="D1239" s="1372"/>
      <c r="E1239" s="677"/>
      <c r="F1239" s="676"/>
      <c r="G1239" s="670"/>
      <c r="H1239" s="670" t="e">
        <f>SUM(H1233:H1238)</f>
        <v>#REF!</v>
      </c>
      <c r="I1239" s="670"/>
      <c r="J1239" s="670">
        <f>SUM(J1233:J1238)</f>
        <v>356296</v>
      </c>
      <c r="K1239" s="670"/>
      <c r="L1239" s="670">
        <f>SUM(L1233:L1238)</f>
        <v>2100</v>
      </c>
      <c r="M1239" s="670"/>
      <c r="N1239" s="670" t="e">
        <f>SUM(N1233:N1238)</f>
        <v>#REF!</v>
      </c>
      <c r="O1239" s="671"/>
      <c r="P1239" s="672"/>
      <c r="Q1239" s="665" t="s">
        <v>1833</v>
      </c>
    </row>
    <row r="1240" spans="1:22" s="665" customFormat="1" ht="17.100000000000001" customHeight="1">
      <c r="A1240" s="668">
        <f>A1232+1</f>
        <v>237</v>
      </c>
      <c r="B1240" s="1320" t="s">
        <v>1848</v>
      </c>
      <c r="C1240" s="1320"/>
      <c r="D1240" s="1320" t="s">
        <v>1850</v>
      </c>
      <c r="E1240" s="1320"/>
      <c r="F1240" s="669" t="s">
        <v>575</v>
      </c>
      <c r="G1240" s="670"/>
      <c r="H1240" s="670"/>
      <c r="I1240" s="670"/>
      <c r="J1240" s="670"/>
      <c r="K1240" s="670"/>
      <c r="L1240" s="670"/>
      <c r="M1240" s="670"/>
      <c r="N1240" s="670"/>
      <c r="O1240" s="699" t="s">
        <v>1562</v>
      </c>
      <c r="P1240" s="672"/>
      <c r="Q1240" s="665" t="s">
        <v>1833</v>
      </c>
    </row>
    <row r="1241" spans="1:22" s="665" customFormat="1" ht="17.100000000000001" customHeight="1">
      <c r="A1241" s="1316" t="s">
        <v>1809</v>
      </c>
      <c r="B1241" s="1317"/>
      <c r="C1241" s="1316" t="s">
        <v>1810</v>
      </c>
      <c r="D1241" s="1317"/>
      <c r="E1241" s="701">
        <v>0.13600000000000001</v>
      </c>
      <c r="F1241" s="676" t="s">
        <v>850</v>
      </c>
      <c r="G1241" s="670" t="e">
        <f>$H$560</f>
        <v>#REF!</v>
      </c>
      <c r="H1241" s="670" t="e">
        <f>INT(E1241*G1241)</f>
        <v>#REF!</v>
      </c>
      <c r="I1241" s="670">
        <f>$J$560</f>
        <v>586878</v>
      </c>
      <c r="J1241" s="670">
        <f>INT(E1241*I1241)</f>
        <v>79815</v>
      </c>
      <c r="K1241" s="670">
        <f>$L$560</f>
        <v>5742</v>
      </c>
      <c r="L1241" s="670">
        <f>INT(E1241*K1241)</f>
        <v>780</v>
      </c>
      <c r="M1241" s="670" t="e">
        <f t="shared" ref="M1241:N1244" si="154">G1241+I1241+K1241</f>
        <v>#REF!</v>
      </c>
      <c r="N1241" s="670" t="e">
        <f t="shared" si="154"/>
        <v>#REF!</v>
      </c>
      <c r="O1241" s="671">
        <f>$A$553</f>
        <v>140</v>
      </c>
      <c r="P1241" s="672"/>
      <c r="Q1241" s="665" t="s">
        <v>1833</v>
      </c>
      <c r="R1241" s="688"/>
      <c r="S1241" s="688"/>
      <c r="T1241" s="688"/>
    </row>
    <row r="1242" spans="1:22" s="665" customFormat="1" ht="17.100000000000001" customHeight="1">
      <c r="A1242" s="1316" t="s">
        <v>1839</v>
      </c>
      <c r="B1242" s="1317"/>
      <c r="C1242" s="1316" t="s">
        <v>1810</v>
      </c>
      <c r="D1242" s="1317"/>
      <c r="E1242" s="675">
        <v>0.32</v>
      </c>
      <c r="F1242" s="676" t="s">
        <v>850</v>
      </c>
      <c r="G1242" s="670" t="e">
        <f>$H$560</f>
        <v>#REF!</v>
      </c>
      <c r="H1242" s="670" t="e">
        <f>INT(E1242*G1242)</f>
        <v>#REF!</v>
      </c>
      <c r="I1242" s="670">
        <f>$J$560</f>
        <v>586878</v>
      </c>
      <c r="J1242" s="670">
        <f>INT(E1242*I1242)</f>
        <v>187800</v>
      </c>
      <c r="K1242" s="670">
        <f>$L$560</f>
        <v>5742</v>
      </c>
      <c r="L1242" s="670">
        <f>INT(E1242*K1242)</f>
        <v>1837</v>
      </c>
      <c r="M1242" s="670" t="e">
        <f t="shared" si="154"/>
        <v>#REF!</v>
      </c>
      <c r="N1242" s="670" t="e">
        <f t="shared" si="154"/>
        <v>#REF!</v>
      </c>
      <c r="O1242" s="671">
        <f>$A$553</f>
        <v>140</v>
      </c>
      <c r="P1242" s="672"/>
      <c r="Q1242" s="665" t="s">
        <v>1833</v>
      </c>
    </row>
    <row r="1243" spans="1:22" s="665" customFormat="1" ht="17.100000000000001" customHeight="1">
      <c r="A1243" s="1316" t="s">
        <v>1840</v>
      </c>
      <c r="B1243" s="1317"/>
      <c r="C1243" s="1338" t="s">
        <v>1841</v>
      </c>
      <c r="D1243" s="1317"/>
      <c r="E1243" s="679">
        <v>0.6</v>
      </c>
      <c r="F1243" s="676" t="s">
        <v>645</v>
      </c>
      <c r="G1243" s="670" t="e">
        <f>$H$726</f>
        <v>#REF!</v>
      </c>
      <c r="H1243" s="670" t="e">
        <f>INT(E1243*G1243)</f>
        <v>#REF!</v>
      </c>
      <c r="I1243" s="670">
        <f>$J$726</f>
        <v>34461</v>
      </c>
      <c r="J1243" s="670">
        <f>INT(E1243*I1243)</f>
        <v>20676</v>
      </c>
      <c r="K1243" s="670">
        <f>$L$726</f>
        <v>0</v>
      </c>
      <c r="L1243" s="670">
        <f>INT(E1243*K1243)</f>
        <v>0</v>
      </c>
      <c r="M1243" s="670" t="e">
        <f t="shared" si="154"/>
        <v>#REF!</v>
      </c>
      <c r="N1243" s="670" t="e">
        <f t="shared" si="154"/>
        <v>#REF!</v>
      </c>
      <c r="O1243" s="671">
        <f>$A$721</f>
        <v>163</v>
      </c>
      <c r="P1243" s="672"/>
      <c r="Q1243" s="665" t="s">
        <v>1833</v>
      </c>
    </row>
    <row r="1244" spans="1:22" s="665" customFormat="1" ht="17.100000000000001" customHeight="1">
      <c r="A1244" s="1316" t="s">
        <v>1842</v>
      </c>
      <c r="B1244" s="1317"/>
      <c r="C1244" s="1338" t="s">
        <v>1843</v>
      </c>
      <c r="D1244" s="1378"/>
      <c r="E1244" s="701">
        <v>4.2460000000000004</v>
      </c>
      <c r="F1244" s="676" t="s">
        <v>645</v>
      </c>
      <c r="G1244" s="670" t="e">
        <f>$H$714</f>
        <v>#REF!</v>
      </c>
      <c r="H1244" s="670" t="e">
        <f>INT(E1244*G1244)</f>
        <v>#REF!</v>
      </c>
      <c r="I1244" s="670">
        <f>$J$714</f>
        <v>38182</v>
      </c>
      <c r="J1244" s="670">
        <f>INT(E1244*I1244)</f>
        <v>162120</v>
      </c>
      <c r="K1244" s="670">
        <f>$L$714</f>
        <v>0</v>
      </c>
      <c r="L1244" s="670">
        <f>INT(E1244*K1244)</f>
        <v>0</v>
      </c>
      <c r="M1244" s="670" t="e">
        <f t="shared" si="154"/>
        <v>#REF!</v>
      </c>
      <c r="N1244" s="670" t="e">
        <f t="shared" si="154"/>
        <v>#REF!</v>
      </c>
      <c r="O1244" s="671">
        <f>$A$709</f>
        <v>161</v>
      </c>
      <c r="P1244" s="672"/>
      <c r="Q1244" s="665" t="s">
        <v>1833</v>
      </c>
    </row>
    <row r="1245" spans="1:22" s="665" customFormat="1" ht="17.100000000000001" customHeight="1">
      <c r="A1245" s="1316" t="s">
        <v>1844</v>
      </c>
      <c r="B1245" s="1317"/>
      <c r="C1245" s="1316" t="s">
        <v>1827</v>
      </c>
      <c r="D1245" s="1317"/>
      <c r="E1245" s="677">
        <v>1</v>
      </c>
      <c r="F1245" s="676" t="s">
        <v>1828</v>
      </c>
      <c r="G1245" s="778"/>
      <c r="H1245" s="778"/>
      <c r="I1245" s="670"/>
      <c r="J1245" s="670"/>
      <c r="K1245" s="670"/>
      <c r="L1245" s="670"/>
      <c r="M1245" s="778"/>
      <c r="N1245" s="778"/>
      <c r="O1245" s="671"/>
      <c r="P1245" s="672"/>
      <c r="Q1245" s="665" t="s">
        <v>1833</v>
      </c>
    </row>
    <row r="1246" spans="1:22" s="665" customFormat="1" ht="17.100000000000001" customHeight="1">
      <c r="A1246" s="1316" t="s">
        <v>628</v>
      </c>
      <c r="B1246" s="1317"/>
      <c r="C1246" s="1338" t="s">
        <v>1829</v>
      </c>
      <c r="D1246" s="1378"/>
      <c r="E1246" s="675">
        <v>0.02</v>
      </c>
      <c r="F1246" s="676" t="s">
        <v>366</v>
      </c>
      <c r="G1246" s="778"/>
      <c r="H1246" s="778"/>
      <c r="I1246" s="670">
        <f>[53]노임단가!$T$6</f>
        <v>226122</v>
      </c>
      <c r="J1246" s="670">
        <f>INT(E1246*I1246)</f>
        <v>4522</v>
      </c>
      <c r="K1246" s="670"/>
      <c r="L1246" s="670"/>
      <c r="M1246" s="670">
        <f>G1246+I1246+K1246</f>
        <v>226122</v>
      </c>
      <c r="N1246" s="670">
        <f>H1246+J1246+L1246</f>
        <v>4522</v>
      </c>
      <c r="O1246" s="671"/>
      <c r="P1246" s="672"/>
      <c r="Q1246" s="665" t="s">
        <v>1833</v>
      </c>
      <c r="U1246" s="688"/>
      <c r="V1246" s="688"/>
    </row>
    <row r="1247" spans="1:22" s="688" customFormat="1" ht="17.100000000000001" customHeight="1">
      <c r="A1247" s="1318" t="s">
        <v>1320</v>
      </c>
      <c r="B1247" s="1319"/>
      <c r="C1247" s="1371"/>
      <c r="D1247" s="1372"/>
      <c r="E1247" s="677"/>
      <c r="F1247" s="676"/>
      <c r="G1247" s="670"/>
      <c r="H1247" s="670" t="e">
        <f>SUM(H1241:H1246)</f>
        <v>#REF!</v>
      </c>
      <c r="I1247" s="670"/>
      <c r="J1247" s="670">
        <f>SUM(J1241:J1246)</f>
        <v>454933</v>
      </c>
      <c r="K1247" s="670"/>
      <c r="L1247" s="670">
        <f>SUM(L1241:L1246)</f>
        <v>2617</v>
      </c>
      <c r="M1247" s="670"/>
      <c r="N1247" s="670" t="e">
        <f>SUM(N1241:N1246)</f>
        <v>#REF!</v>
      </c>
      <c r="O1247" s="671"/>
      <c r="P1247" s="672"/>
      <c r="Q1247" s="665" t="s">
        <v>1833</v>
      </c>
      <c r="R1247" s="665"/>
      <c r="S1247" s="665"/>
      <c r="T1247" s="665"/>
      <c r="U1247" s="665"/>
      <c r="V1247" s="665"/>
    </row>
    <row r="1248" spans="1:22" s="665" customFormat="1" ht="17.100000000000001" customHeight="1">
      <c r="A1248" s="668">
        <f>A1240+1</f>
        <v>238</v>
      </c>
      <c r="B1248" s="1320" t="s">
        <v>1848</v>
      </c>
      <c r="C1248" s="1320"/>
      <c r="D1248" s="1320" t="s">
        <v>1851</v>
      </c>
      <c r="E1248" s="1320"/>
      <c r="F1248" s="669" t="s">
        <v>575</v>
      </c>
      <c r="G1248" s="670"/>
      <c r="H1248" s="670"/>
      <c r="I1248" s="670"/>
      <c r="J1248" s="670"/>
      <c r="K1248" s="670"/>
      <c r="L1248" s="670"/>
      <c r="M1248" s="670"/>
      <c r="N1248" s="670"/>
      <c r="O1248" s="699" t="s">
        <v>1562</v>
      </c>
      <c r="P1248" s="672"/>
      <c r="Q1248" s="665" t="s">
        <v>1833</v>
      </c>
    </row>
    <row r="1249" spans="1:21" s="665" customFormat="1" ht="17.100000000000001" customHeight="1">
      <c r="A1249" s="1316" t="s">
        <v>1809</v>
      </c>
      <c r="B1249" s="1317"/>
      <c r="C1249" s="1316" t="s">
        <v>1810</v>
      </c>
      <c r="D1249" s="1317"/>
      <c r="E1249" s="701">
        <v>0.13600000000000001</v>
      </c>
      <c r="F1249" s="676" t="s">
        <v>850</v>
      </c>
      <c r="G1249" s="670" t="e">
        <f>$H$560</f>
        <v>#REF!</v>
      </c>
      <c r="H1249" s="670" t="e">
        <f>INT(E1249*G1249)</f>
        <v>#REF!</v>
      </c>
      <c r="I1249" s="670">
        <f>$J$560</f>
        <v>586878</v>
      </c>
      <c r="J1249" s="670">
        <f>INT(E1249*I1249)</f>
        <v>79815</v>
      </c>
      <c r="K1249" s="670">
        <f>$L$560</f>
        <v>5742</v>
      </c>
      <c r="L1249" s="670">
        <f>INT(E1249*K1249)</f>
        <v>780</v>
      </c>
      <c r="M1249" s="670" t="e">
        <f t="shared" ref="M1249:N1252" si="155">G1249+I1249+K1249</f>
        <v>#REF!</v>
      </c>
      <c r="N1249" s="670" t="e">
        <f t="shared" si="155"/>
        <v>#REF!</v>
      </c>
      <c r="O1249" s="671">
        <f>$A$553</f>
        <v>140</v>
      </c>
      <c r="P1249" s="672"/>
      <c r="Q1249" s="665" t="s">
        <v>1833</v>
      </c>
    </row>
    <row r="1250" spans="1:21" s="665" customFormat="1" ht="17.100000000000001" customHeight="1">
      <c r="A1250" s="1316" t="s">
        <v>1839</v>
      </c>
      <c r="B1250" s="1317"/>
      <c r="C1250" s="1316" t="s">
        <v>1810</v>
      </c>
      <c r="D1250" s="1317"/>
      <c r="E1250" s="675">
        <v>0.41</v>
      </c>
      <c r="F1250" s="676" t="s">
        <v>850</v>
      </c>
      <c r="G1250" s="670" t="e">
        <f>$H$560</f>
        <v>#REF!</v>
      </c>
      <c r="H1250" s="670" t="e">
        <f>INT(E1250*G1250)</f>
        <v>#REF!</v>
      </c>
      <c r="I1250" s="670">
        <f>$J$560</f>
        <v>586878</v>
      </c>
      <c r="J1250" s="670">
        <f>INT(E1250*I1250)</f>
        <v>240619</v>
      </c>
      <c r="K1250" s="670">
        <f>$L$560</f>
        <v>5742</v>
      </c>
      <c r="L1250" s="670">
        <f>INT(E1250*K1250)</f>
        <v>2354</v>
      </c>
      <c r="M1250" s="670" t="e">
        <f t="shared" si="155"/>
        <v>#REF!</v>
      </c>
      <c r="N1250" s="670" t="e">
        <f t="shared" si="155"/>
        <v>#REF!</v>
      </c>
      <c r="O1250" s="671">
        <f>$A$553</f>
        <v>140</v>
      </c>
      <c r="P1250" s="672"/>
      <c r="Q1250" s="665" t="s">
        <v>1833</v>
      </c>
    </row>
    <row r="1251" spans="1:21" s="665" customFormat="1" ht="17.100000000000001" customHeight="1">
      <c r="A1251" s="1316" t="s">
        <v>1840</v>
      </c>
      <c r="B1251" s="1317"/>
      <c r="C1251" s="1338" t="s">
        <v>1841</v>
      </c>
      <c r="D1251" s="1317"/>
      <c r="E1251" s="679">
        <v>0.6</v>
      </c>
      <c r="F1251" s="676" t="s">
        <v>645</v>
      </c>
      <c r="G1251" s="670" t="e">
        <f>$H$726</f>
        <v>#REF!</v>
      </c>
      <c r="H1251" s="670" t="e">
        <f>INT(E1251*G1251)</f>
        <v>#REF!</v>
      </c>
      <c r="I1251" s="670">
        <f>$J$726</f>
        <v>34461</v>
      </c>
      <c r="J1251" s="670">
        <f>INT(E1251*I1251)</f>
        <v>20676</v>
      </c>
      <c r="K1251" s="670">
        <f>$L$726</f>
        <v>0</v>
      </c>
      <c r="L1251" s="670">
        <f>INT(E1251*K1251)</f>
        <v>0</v>
      </c>
      <c r="M1251" s="670" t="e">
        <f t="shared" si="155"/>
        <v>#REF!</v>
      </c>
      <c r="N1251" s="670" t="e">
        <f t="shared" si="155"/>
        <v>#REF!</v>
      </c>
      <c r="O1251" s="671">
        <f>$A$721</f>
        <v>163</v>
      </c>
      <c r="P1251" s="672"/>
      <c r="Q1251" s="665" t="s">
        <v>1833</v>
      </c>
      <c r="R1251" s="688"/>
      <c r="S1251" s="688"/>
      <c r="T1251" s="688"/>
    </row>
    <row r="1252" spans="1:21" s="665" customFormat="1" ht="17.100000000000001" customHeight="1">
      <c r="A1252" s="1316" t="s">
        <v>1842</v>
      </c>
      <c r="B1252" s="1317"/>
      <c r="C1252" s="1338" t="s">
        <v>1843</v>
      </c>
      <c r="D1252" s="1378"/>
      <c r="E1252" s="701">
        <v>5.4459999999999997</v>
      </c>
      <c r="F1252" s="676" t="s">
        <v>645</v>
      </c>
      <c r="G1252" s="670" t="e">
        <f>$H$714</f>
        <v>#REF!</v>
      </c>
      <c r="H1252" s="670" t="e">
        <f>INT(E1252*G1252)</f>
        <v>#REF!</v>
      </c>
      <c r="I1252" s="670">
        <f>$J$714</f>
        <v>38182</v>
      </c>
      <c r="J1252" s="670">
        <f>INT(E1252*I1252)</f>
        <v>207939</v>
      </c>
      <c r="K1252" s="670">
        <f>$L$714</f>
        <v>0</v>
      </c>
      <c r="L1252" s="670">
        <f>INT(E1252*K1252)</f>
        <v>0</v>
      </c>
      <c r="M1252" s="670" t="e">
        <f t="shared" si="155"/>
        <v>#REF!</v>
      </c>
      <c r="N1252" s="670" t="e">
        <f t="shared" si="155"/>
        <v>#REF!</v>
      </c>
      <c r="O1252" s="671">
        <f>$A$709</f>
        <v>161</v>
      </c>
      <c r="P1252" s="672"/>
      <c r="Q1252" s="665" t="s">
        <v>1833</v>
      </c>
    </row>
    <row r="1253" spans="1:21" s="665" customFormat="1" ht="17.100000000000001" customHeight="1">
      <c r="A1253" s="1316" t="s">
        <v>1844</v>
      </c>
      <c r="B1253" s="1317"/>
      <c r="C1253" s="1316" t="s">
        <v>1827</v>
      </c>
      <c r="D1253" s="1317"/>
      <c r="E1253" s="677">
        <v>1</v>
      </c>
      <c r="F1253" s="676" t="s">
        <v>1828</v>
      </c>
      <c r="G1253" s="778"/>
      <c r="H1253" s="778"/>
      <c r="I1253" s="670"/>
      <c r="J1253" s="670"/>
      <c r="K1253" s="670"/>
      <c r="L1253" s="670"/>
      <c r="M1253" s="778"/>
      <c r="N1253" s="778"/>
      <c r="O1253" s="671"/>
      <c r="P1253" s="672"/>
      <c r="Q1253" s="665" t="s">
        <v>1833</v>
      </c>
    </row>
    <row r="1254" spans="1:21" s="665" customFormat="1" ht="17.100000000000001" customHeight="1">
      <c r="A1254" s="1316" t="s">
        <v>628</v>
      </c>
      <c r="B1254" s="1317"/>
      <c r="C1254" s="1338" t="s">
        <v>1829</v>
      </c>
      <c r="D1254" s="1378"/>
      <c r="E1254" s="675">
        <v>0.02</v>
      </c>
      <c r="F1254" s="676" t="s">
        <v>366</v>
      </c>
      <c r="G1254" s="778"/>
      <c r="H1254" s="778"/>
      <c r="I1254" s="670">
        <f>[53]노임단가!$T$6</f>
        <v>226122</v>
      </c>
      <c r="J1254" s="670">
        <f>INT(E1254*I1254)</f>
        <v>4522</v>
      </c>
      <c r="K1254" s="670"/>
      <c r="L1254" s="670"/>
      <c r="M1254" s="670">
        <f>G1254+I1254+K1254</f>
        <v>226122</v>
      </c>
      <c r="N1254" s="670">
        <f>H1254+J1254+L1254</f>
        <v>4522</v>
      </c>
      <c r="O1254" s="671"/>
      <c r="P1254" s="672"/>
      <c r="Q1254" s="665" t="s">
        <v>1833</v>
      </c>
    </row>
    <row r="1255" spans="1:21" s="665" customFormat="1" ht="17.100000000000001" customHeight="1">
      <c r="A1255" s="1318" t="s">
        <v>1320</v>
      </c>
      <c r="B1255" s="1319"/>
      <c r="C1255" s="1371"/>
      <c r="D1255" s="1372"/>
      <c r="E1255" s="677"/>
      <c r="F1255" s="676"/>
      <c r="G1255" s="670"/>
      <c r="H1255" s="670" t="e">
        <f>SUM(H1249:H1254)</f>
        <v>#REF!</v>
      </c>
      <c r="I1255" s="670"/>
      <c r="J1255" s="670">
        <f>SUM(J1249:J1254)</f>
        <v>553571</v>
      </c>
      <c r="K1255" s="670"/>
      <c r="L1255" s="670">
        <f>SUM(L1249:L1254)</f>
        <v>3134</v>
      </c>
      <c r="M1255" s="670"/>
      <c r="N1255" s="670" t="e">
        <f>SUM(N1249:N1254)</f>
        <v>#REF!</v>
      </c>
      <c r="O1255" s="671"/>
      <c r="P1255" s="672"/>
      <c r="Q1255" s="665" t="s">
        <v>1833</v>
      </c>
    </row>
    <row r="1256" spans="1:21" s="760" customFormat="1" ht="17.100000000000001" customHeight="1">
      <c r="A1256" s="779">
        <f>A1248+1</f>
        <v>239</v>
      </c>
      <c r="B1256" s="1389" t="s">
        <v>1852</v>
      </c>
      <c r="C1256" s="1389"/>
      <c r="D1256" s="1389" t="s">
        <v>1853</v>
      </c>
      <c r="E1256" s="1389"/>
      <c r="F1256" s="780" t="s">
        <v>575</v>
      </c>
      <c r="G1256" s="756"/>
      <c r="H1256" s="756"/>
      <c r="I1256" s="756"/>
      <c r="J1256" s="756"/>
      <c r="K1256" s="756"/>
      <c r="L1256" s="756"/>
      <c r="M1256" s="756"/>
      <c r="N1256" s="756"/>
      <c r="O1256" s="781" t="s">
        <v>1338</v>
      </c>
      <c r="P1256" s="758" t="s">
        <v>1854</v>
      </c>
      <c r="T1256" s="760" t="s">
        <v>1855</v>
      </c>
    </row>
    <row r="1257" spans="1:21" s="760" customFormat="1" ht="17.100000000000001" customHeight="1">
      <c r="A1257" s="1339" t="s">
        <v>628</v>
      </c>
      <c r="B1257" s="1340"/>
      <c r="C1257" s="1368"/>
      <c r="D1257" s="1390"/>
      <c r="E1257" s="754">
        <f>T1258</f>
        <v>2.1739130434782608E-2</v>
      </c>
      <c r="F1257" s="755" t="s">
        <v>366</v>
      </c>
      <c r="G1257" s="782"/>
      <c r="H1257" s="782"/>
      <c r="I1257" s="756">
        <f>[53]노임단가!$T$6</f>
        <v>226122</v>
      </c>
      <c r="J1257" s="756">
        <f>INT(E1257*I1257)</f>
        <v>4915</v>
      </c>
      <c r="K1257" s="756"/>
      <c r="L1257" s="756"/>
      <c r="M1257" s="756">
        <f>G1257+I1257+K1257</f>
        <v>226122</v>
      </c>
      <c r="N1257" s="756">
        <f>H1257+J1257+L1257</f>
        <v>4915</v>
      </c>
      <c r="O1257" s="757"/>
      <c r="P1257" s="758" t="s">
        <v>1856</v>
      </c>
      <c r="R1257" s="760" t="s">
        <v>1855</v>
      </c>
      <c r="S1257" s="760" t="s">
        <v>1857</v>
      </c>
      <c r="T1257" s="760" t="s">
        <v>1811</v>
      </c>
    </row>
    <row r="1258" spans="1:21" s="760" customFormat="1" ht="17.100000000000001" customHeight="1">
      <c r="A1258" s="1339" t="s">
        <v>1858</v>
      </c>
      <c r="B1258" s="1340"/>
      <c r="C1258" s="1339"/>
      <c r="D1258" s="1340"/>
      <c r="E1258" s="754">
        <f>T1259</f>
        <v>2.1739130434782608E-2</v>
      </c>
      <c r="F1258" s="755" t="s">
        <v>1831</v>
      </c>
      <c r="G1258" s="756"/>
      <c r="H1258" s="756"/>
      <c r="I1258" s="756">
        <f>[53]노임단가!$T$5</f>
        <v>172068</v>
      </c>
      <c r="J1258" s="756">
        <f>INT(E1258*I1258)</f>
        <v>3740</v>
      </c>
      <c r="K1258" s="756"/>
      <c r="L1258" s="756"/>
      <c r="M1258" s="756">
        <f>G1258+I1258+K1258</f>
        <v>172068</v>
      </c>
      <c r="N1258" s="756">
        <f>H1258+J1258+L1258</f>
        <v>3740</v>
      </c>
      <c r="O1258" s="757"/>
      <c r="P1258" s="758" t="s">
        <v>1859</v>
      </c>
      <c r="Q1258" s="783">
        <v>1</v>
      </c>
      <c r="R1258" s="783">
        <v>46</v>
      </c>
      <c r="S1258" s="783">
        <v>44</v>
      </c>
      <c r="T1258" s="760">
        <f>Q1258/R1258</f>
        <v>2.1739130434782608E-2</v>
      </c>
    </row>
    <row r="1259" spans="1:21" s="760" customFormat="1" ht="17.100000000000001" customHeight="1">
      <c r="A1259" s="1385" t="s">
        <v>1320</v>
      </c>
      <c r="B1259" s="1386"/>
      <c r="C1259" s="1387"/>
      <c r="D1259" s="1388"/>
      <c r="E1259" s="784"/>
      <c r="F1259" s="755"/>
      <c r="G1259" s="756"/>
      <c r="H1259" s="756">
        <f>SUM(H1257:H1258)</f>
        <v>0</v>
      </c>
      <c r="I1259" s="756"/>
      <c r="J1259" s="756">
        <f>SUM(J1257:J1258)</f>
        <v>8655</v>
      </c>
      <c r="K1259" s="756"/>
      <c r="L1259" s="756">
        <f>SUM(L1257:L1258)</f>
        <v>0</v>
      </c>
      <c r="M1259" s="756"/>
      <c r="N1259" s="756">
        <f>SUM(N1257:N1258)</f>
        <v>8655</v>
      </c>
      <c r="O1259" s="757"/>
      <c r="P1259" s="758" t="s">
        <v>1858</v>
      </c>
      <c r="Q1259" s="783">
        <v>1</v>
      </c>
      <c r="R1259" s="783">
        <v>46</v>
      </c>
      <c r="S1259" s="783">
        <v>44</v>
      </c>
      <c r="T1259" s="760">
        <f>Q1259/R1259</f>
        <v>2.1739130434782608E-2</v>
      </c>
    </row>
    <row r="1260" spans="1:21" s="711" customFormat="1" ht="17.100000000000001" customHeight="1">
      <c r="A1260" s="779">
        <f>A1256+1</f>
        <v>240</v>
      </c>
      <c r="B1260" s="1389" t="s">
        <v>1860</v>
      </c>
      <c r="C1260" s="1389"/>
      <c r="D1260" s="1389" t="s">
        <v>1853</v>
      </c>
      <c r="E1260" s="1389"/>
      <c r="F1260" s="780" t="s">
        <v>575</v>
      </c>
      <c r="G1260" s="756"/>
      <c r="H1260" s="756"/>
      <c r="I1260" s="756"/>
      <c r="J1260" s="756"/>
      <c r="K1260" s="756"/>
      <c r="L1260" s="756"/>
      <c r="M1260" s="756"/>
      <c r="N1260" s="756"/>
      <c r="O1260" s="781" t="s">
        <v>1338</v>
      </c>
      <c r="P1260" s="710"/>
      <c r="T1260" s="711" t="s">
        <v>1857</v>
      </c>
    </row>
    <row r="1261" spans="1:21" s="711" customFormat="1" ht="17.100000000000001" customHeight="1">
      <c r="A1261" s="1339" t="s">
        <v>628</v>
      </c>
      <c r="B1261" s="1340"/>
      <c r="C1261" s="1368"/>
      <c r="D1261" s="1390"/>
      <c r="E1261" s="754">
        <f>T1261</f>
        <v>2.2727272727272728E-2</v>
      </c>
      <c r="F1261" s="755" t="s">
        <v>366</v>
      </c>
      <c r="G1261" s="782"/>
      <c r="H1261" s="782"/>
      <c r="I1261" s="756">
        <f>[53]노임단가!$T$6</f>
        <v>226122</v>
      </c>
      <c r="J1261" s="756">
        <f>INT(E1261*I1261)</f>
        <v>5139</v>
      </c>
      <c r="K1261" s="756"/>
      <c r="L1261" s="756"/>
      <c r="M1261" s="756">
        <f>G1261+I1261+K1261</f>
        <v>226122</v>
      </c>
      <c r="N1261" s="756">
        <f>H1261+J1261+L1261</f>
        <v>5139</v>
      </c>
      <c r="O1261" s="757"/>
      <c r="P1261" s="710"/>
      <c r="T1261" s="711">
        <f>Q1258/S1258</f>
        <v>2.2727272727272728E-2</v>
      </c>
    </row>
    <row r="1262" spans="1:21" s="711" customFormat="1" ht="17.100000000000001" customHeight="1">
      <c r="A1262" s="1339" t="s">
        <v>1858</v>
      </c>
      <c r="B1262" s="1340"/>
      <c r="C1262" s="1339"/>
      <c r="D1262" s="1340"/>
      <c r="E1262" s="754">
        <f>T1262</f>
        <v>2.2727272727272728E-2</v>
      </c>
      <c r="F1262" s="755" t="s">
        <v>1831</v>
      </c>
      <c r="G1262" s="756"/>
      <c r="H1262" s="756"/>
      <c r="I1262" s="756">
        <f>[53]노임단가!$T$5</f>
        <v>172068</v>
      </c>
      <c r="J1262" s="756">
        <f>INT(E1262*I1262)</f>
        <v>3910</v>
      </c>
      <c r="K1262" s="756"/>
      <c r="L1262" s="756"/>
      <c r="M1262" s="756">
        <f>G1262+I1262+K1262</f>
        <v>172068</v>
      </c>
      <c r="N1262" s="756">
        <f>H1262+J1262+L1262</f>
        <v>3910</v>
      </c>
      <c r="O1262" s="757"/>
      <c r="P1262" s="710"/>
      <c r="T1262" s="711">
        <f>Q1259/S1259</f>
        <v>2.2727272727272728E-2</v>
      </c>
    </row>
    <row r="1263" spans="1:21" s="711" customFormat="1" ht="17.100000000000001" customHeight="1">
      <c r="A1263" s="1385" t="s">
        <v>1320</v>
      </c>
      <c r="B1263" s="1386"/>
      <c r="C1263" s="1387"/>
      <c r="D1263" s="1388"/>
      <c r="E1263" s="784"/>
      <c r="F1263" s="755"/>
      <c r="G1263" s="756"/>
      <c r="H1263" s="756">
        <f>SUM(H1261:H1262)</f>
        <v>0</v>
      </c>
      <c r="I1263" s="756"/>
      <c r="J1263" s="756">
        <f>SUM(J1261:J1262)</f>
        <v>9049</v>
      </c>
      <c r="K1263" s="756"/>
      <c r="L1263" s="756">
        <f>SUM(L1261:L1262)</f>
        <v>0</v>
      </c>
      <c r="M1263" s="756"/>
      <c r="N1263" s="756">
        <f>SUM(N1261:N1262)</f>
        <v>9049</v>
      </c>
      <c r="O1263" s="757"/>
      <c r="P1263" s="710" t="s">
        <v>1861</v>
      </c>
      <c r="Q1263" s="716"/>
      <c r="R1263" s="716" t="s">
        <v>1855</v>
      </c>
      <c r="S1263" s="716" t="s">
        <v>1857</v>
      </c>
      <c r="T1263" s="711" t="s">
        <v>1855</v>
      </c>
      <c r="U1263" s="711" t="s">
        <v>1857</v>
      </c>
    </row>
    <row r="1264" spans="1:21" s="711" customFormat="1" ht="17.100000000000001" customHeight="1">
      <c r="A1264" s="779">
        <f>A1260+1</f>
        <v>241</v>
      </c>
      <c r="B1264" s="1389" t="s">
        <v>1852</v>
      </c>
      <c r="C1264" s="1389"/>
      <c r="D1264" s="1389" t="s">
        <v>1862</v>
      </c>
      <c r="E1264" s="1389"/>
      <c r="F1264" s="780" t="s">
        <v>575</v>
      </c>
      <c r="G1264" s="756"/>
      <c r="H1264" s="756"/>
      <c r="I1264" s="756"/>
      <c r="J1264" s="756"/>
      <c r="K1264" s="756"/>
      <c r="L1264" s="756"/>
      <c r="M1264" s="756"/>
      <c r="N1264" s="756"/>
      <c r="O1264" s="781" t="s">
        <v>1338</v>
      </c>
      <c r="P1264" s="710" t="s">
        <v>1863</v>
      </c>
      <c r="Q1264" s="716">
        <v>1</v>
      </c>
      <c r="R1264" s="716">
        <v>130</v>
      </c>
      <c r="S1264" s="716">
        <v>113</v>
      </c>
      <c r="T1264" s="711">
        <f>Q1264/R1264</f>
        <v>7.6923076923076927E-3</v>
      </c>
      <c r="U1264" s="711">
        <f>Q1264/S1264</f>
        <v>8.8495575221238937E-3</v>
      </c>
    </row>
    <row r="1265" spans="1:22" s="711" customFormat="1" ht="17.100000000000001" customHeight="1">
      <c r="A1265" s="1339" t="s">
        <v>1719</v>
      </c>
      <c r="B1265" s="1340"/>
      <c r="C1265" s="1368"/>
      <c r="D1265" s="1390"/>
      <c r="E1265" s="754">
        <f>T1264</f>
        <v>7.6923076923076927E-3</v>
      </c>
      <c r="F1265" s="755" t="s">
        <v>366</v>
      </c>
      <c r="G1265" s="782"/>
      <c r="H1265" s="782"/>
      <c r="I1265" s="756">
        <f>[53]노임단가!$BK$17</f>
        <v>262580</v>
      </c>
      <c r="J1265" s="756">
        <f>INT(E1265*I1265)</f>
        <v>2019</v>
      </c>
      <c r="K1265" s="756"/>
      <c r="L1265" s="756"/>
      <c r="M1265" s="756">
        <f t="shared" ref="M1265:N1267" si="156">G1265+I1265+K1265</f>
        <v>262580</v>
      </c>
      <c r="N1265" s="756">
        <f t="shared" si="156"/>
        <v>2019</v>
      </c>
      <c r="O1265" s="757"/>
      <c r="P1265" s="710" t="s">
        <v>1858</v>
      </c>
      <c r="Q1265" s="716">
        <v>2</v>
      </c>
      <c r="R1265" s="716">
        <v>130</v>
      </c>
      <c r="S1265" s="716">
        <v>113</v>
      </c>
      <c r="T1265" s="711">
        <f>Q1265/R1265</f>
        <v>1.5384615384615385E-2</v>
      </c>
      <c r="U1265" s="711">
        <f>Q1265/S1265</f>
        <v>1.7699115044247787E-2</v>
      </c>
    </row>
    <row r="1266" spans="1:22" s="711" customFormat="1" ht="17.100000000000001" customHeight="1">
      <c r="A1266" s="1339" t="s">
        <v>1858</v>
      </c>
      <c r="B1266" s="1340"/>
      <c r="C1266" s="1339"/>
      <c r="D1266" s="1340"/>
      <c r="E1266" s="754">
        <f>T1265</f>
        <v>1.5384615384615385E-2</v>
      </c>
      <c r="F1266" s="755" t="s">
        <v>1831</v>
      </c>
      <c r="G1266" s="756"/>
      <c r="H1266" s="756"/>
      <c r="I1266" s="756">
        <f>[53]노임단가!$T$5</f>
        <v>172068</v>
      </c>
      <c r="J1266" s="756">
        <f>INT(E1266*I1266)</f>
        <v>2647</v>
      </c>
      <c r="K1266" s="756"/>
      <c r="L1266" s="756"/>
      <c r="M1266" s="756">
        <f t="shared" si="156"/>
        <v>172068</v>
      </c>
      <c r="N1266" s="756">
        <f t="shared" si="156"/>
        <v>2647</v>
      </c>
      <c r="O1266" s="757"/>
      <c r="P1266" s="710" t="s">
        <v>1864</v>
      </c>
      <c r="Q1266" s="716">
        <v>1</v>
      </c>
      <c r="R1266" s="716">
        <v>130</v>
      </c>
      <c r="S1266" s="716">
        <v>113</v>
      </c>
      <c r="T1266" s="711">
        <f>Q1266/R1266</f>
        <v>7.6923076923076927E-3</v>
      </c>
      <c r="U1266" s="711">
        <f>Q1266/S1266</f>
        <v>8.8495575221238937E-3</v>
      </c>
    </row>
    <row r="1267" spans="1:22" s="711" customFormat="1" ht="17.100000000000001" customHeight="1">
      <c r="A1267" s="785" t="s">
        <v>1865</v>
      </c>
      <c r="B1267" s="780"/>
      <c r="C1267" s="785" t="e">
        <f>#REF!</f>
        <v>#REF!</v>
      </c>
      <c r="D1267" s="780"/>
      <c r="E1267" s="754">
        <f>T1266</f>
        <v>7.6923076923076927E-3</v>
      </c>
      <c r="F1267" s="755" t="s">
        <v>1866</v>
      </c>
      <c r="G1267" s="756" t="e">
        <f>#REF!</f>
        <v>#REF!</v>
      </c>
      <c r="H1267" s="756" t="e">
        <f>E1267*G1267</f>
        <v>#REF!</v>
      </c>
      <c r="I1267" s="756" t="e">
        <f>#REF!</f>
        <v>#REF!</v>
      </c>
      <c r="J1267" s="756" t="e">
        <f>E1267*I1267</f>
        <v>#REF!</v>
      </c>
      <c r="K1267" s="756" t="e">
        <f>#REF!</f>
        <v>#REF!</v>
      </c>
      <c r="L1267" s="756" t="e">
        <f>E1267*K1267</f>
        <v>#REF!</v>
      </c>
      <c r="M1267" s="756" t="e">
        <f t="shared" si="156"/>
        <v>#REF!</v>
      </c>
      <c r="N1267" s="756" t="e">
        <f t="shared" si="156"/>
        <v>#REF!</v>
      </c>
      <c r="O1267" s="757"/>
      <c r="P1267" s="710"/>
      <c r="Q1267" s="716"/>
      <c r="R1267" s="716"/>
      <c r="S1267" s="716"/>
    </row>
    <row r="1268" spans="1:22" s="711" customFormat="1" ht="17.100000000000001" customHeight="1">
      <c r="A1268" s="1385" t="s">
        <v>1320</v>
      </c>
      <c r="B1268" s="1386"/>
      <c r="C1268" s="1387"/>
      <c r="D1268" s="1388"/>
      <c r="E1268" s="784"/>
      <c r="F1268" s="755"/>
      <c r="G1268" s="756"/>
      <c r="H1268" s="756" t="e">
        <f>SUM(H1265:H1267)</f>
        <v>#REF!</v>
      </c>
      <c r="I1268" s="756"/>
      <c r="J1268" s="756" t="e">
        <f>SUM(J1265:J1267)</f>
        <v>#REF!</v>
      </c>
      <c r="K1268" s="756"/>
      <c r="L1268" s="756" t="e">
        <f>SUM(L1265:L1267)</f>
        <v>#REF!</v>
      </c>
      <c r="M1268" s="756"/>
      <c r="N1268" s="756" t="e">
        <f>SUM(N1265:N1267)</f>
        <v>#REF!</v>
      </c>
      <c r="O1268" s="757"/>
      <c r="P1268" s="710"/>
    </row>
    <row r="1269" spans="1:22" s="711" customFormat="1" ht="17.100000000000001" customHeight="1">
      <c r="A1269" s="779">
        <f>A1264+1</f>
        <v>242</v>
      </c>
      <c r="B1269" s="1389" t="s">
        <v>1860</v>
      </c>
      <c r="C1269" s="1389"/>
      <c r="D1269" s="1389" t="s">
        <v>1862</v>
      </c>
      <c r="E1269" s="1389"/>
      <c r="F1269" s="780" t="s">
        <v>575</v>
      </c>
      <c r="G1269" s="756"/>
      <c r="H1269" s="756"/>
      <c r="I1269" s="756"/>
      <c r="J1269" s="756"/>
      <c r="K1269" s="756"/>
      <c r="L1269" s="756"/>
      <c r="M1269" s="756"/>
      <c r="N1269" s="756"/>
      <c r="O1269" s="781" t="s">
        <v>1338</v>
      </c>
      <c r="P1269" s="710"/>
    </row>
    <row r="1270" spans="1:22" s="711" customFormat="1" ht="17.100000000000001" customHeight="1">
      <c r="A1270" s="1339" t="s">
        <v>1719</v>
      </c>
      <c r="B1270" s="1340"/>
      <c r="C1270" s="1368"/>
      <c r="D1270" s="1390"/>
      <c r="E1270" s="754">
        <f>U1264</f>
        <v>8.8495575221238937E-3</v>
      </c>
      <c r="F1270" s="755" t="s">
        <v>366</v>
      </c>
      <c r="G1270" s="782"/>
      <c r="H1270" s="782"/>
      <c r="I1270" s="756">
        <f>[53]노임단가!$T$6</f>
        <v>226122</v>
      </c>
      <c r="J1270" s="756">
        <f>INT(E1270*I1270)</f>
        <v>2001</v>
      </c>
      <c r="K1270" s="756"/>
      <c r="L1270" s="756"/>
      <c r="M1270" s="756">
        <f t="shared" ref="M1270:N1272" si="157">G1270+I1270+K1270</f>
        <v>226122</v>
      </c>
      <c r="N1270" s="756">
        <f t="shared" si="157"/>
        <v>2001</v>
      </c>
      <c r="O1270" s="757"/>
      <c r="P1270" s="710"/>
    </row>
    <row r="1271" spans="1:22" s="711" customFormat="1" ht="17.100000000000001" customHeight="1">
      <c r="A1271" s="1339" t="s">
        <v>1858</v>
      </c>
      <c r="B1271" s="1340"/>
      <c r="C1271" s="1339"/>
      <c r="D1271" s="1340"/>
      <c r="E1271" s="754">
        <f>U1265</f>
        <v>1.7699115044247787E-2</v>
      </c>
      <c r="F1271" s="755" t="s">
        <v>1831</v>
      </c>
      <c r="G1271" s="756"/>
      <c r="H1271" s="756"/>
      <c r="I1271" s="756">
        <f>[53]노임단가!T18</f>
        <v>222306</v>
      </c>
      <c r="J1271" s="756">
        <f>INT(E1271*I1271)</f>
        <v>3934</v>
      </c>
      <c r="K1271" s="756"/>
      <c r="L1271" s="756"/>
      <c r="M1271" s="756">
        <f t="shared" si="157"/>
        <v>222306</v>
      </c>
      <c r="N1271" s="756">
        <f t="shared" si="157"/>
        <v>3934</v>
      </c>
      <c r="O1271" s="757"/>
      <c r="P1271" s="710"/>
    </row>
    <row r="1272" spans="1:22" s="711" customFormat="1" ht="17.100000000000001" customHeight="1">
      <c r="A1272" s="785" t="s">
        <v>1865</v>
      </c>
      <c r="B1272" s="780"/>
      <c r="C1272" s="785" t="e">
        <f>#REF!</f>
        <v>#REF!</v>
      </c>
      <c r="D1272" s="780"/>
      <c r="E1272" s="754">
        <f>U1266</f>
        <v>8.8495575221238937E-3</v>
      </c>
      <c r="F1272" s="755" t="s">
        <v>1866</v>
      </c>
      <c r="G1272" s="756" t="e">
        <f>#REF!</f>
        <v>#REF!</v>
      </c>
      <c r="H1272" s="756" t="e">
        <f>E1272*G1272</f>
        <v>#REF!</v>
      </c>
      <c r="I1272" s="756" t="e">
        <f>#REF!</f>
        <v>#REF!</v>
      </c>
      <c r="J1272" s="756" t="e">
        <f>E1272*I1272</f>
        <v>#REF!</v>
      </c>
      <c r="K1272" s="756" t="e">
        <f>#REF!</f>
        <v>#REF!</v>
      </c>
      <c r="L1272" s="756" t="e">
        <f>E1272*K1272</f>
        <v>#REF!</v>
      </c>
      <c r="M1272" s="756" t="e">
        <f t="shared" si="157"/>
        <v>#REF!</v>
      </c>
      <c r="N1272" s="756" t="e">
        <f t="shared" si="157"/>
        <v>#REF!</v>
      </c>
      <c r="O1272" s="757"/>
      <c r="P1272" s="710"/>
    </row>
    <row r="1273" spans="1:22" s="711" customFormat="1" ht="17.100000000000001" customHeight="1">
      <c r="A1273" s="1385" t="s">
        <v>1320</v>
      </c>
      <c r="B1273" s="1386"/>
      <c r="C1273" s="1387"/>
      <c r="D1273" s="1388"/>
      <c r="E1273" s="784"/>
      <c r="F1273" s="755"/>
      <c r="G1273" s="756"/>
      <c r="H1273" s="756" t="e">
        <f>SUM(H1270:H1272)</f>
        <v>#REF!</v>
      </c>
      <c r="I1273" s="756"/>
      <c r="J1273" s="756" t="e">
        <f>SUM(J1270:J1272)</f>
        <v>#REF!</v>
      </c>
      <c r="K1273" s="756"/>
      <c r="L1273" s="756" t="e">
        <f>SUM(L1270:L1272)</f>
        <v>#REF!</v>
      </c>
      <c r="M1273" s="756"/>
      <c r="N1273" s="756" t="e">
        <f>SUM(N1270:N1272)</f>
        <v>#REF!</v>
      </c>
      <c r="O1273" s="757"/>
      <c r="P1273" s="710"/>
      <c r="Q1273" s="711" t="s">
        <v>1833</v>
      </c>
      <c r="U1273" s="713"/>
      <c r="V1273" s="713"/>
    </row>
    <row r="1274" spans="1:22" s="665" customFormat="1" ht="17.100000000000001" customHeight="1">
      <c r="A1274" s="668">
        <f>A1269+1</f>
        <v>243</v>
      </c>
      <c r="B1274" s="1320" t="s">
        <v>1867</v>
      </c>
      <c r="C1274" s="1320"/>
      <c r="D1274" s="1320" t="s">
        <v>1868</v>
      </c>
      <c r="E1274" s="1320"/>
      <c r="F1274" s="669" t="s">
        <v>575</v>
      </c>
      <c r="G1274" s="670"/>
      <c r="H1274" s="670"/>
      <c r="I1274" s="670"/>
      <c r="J1274" s="670"/>
      <c r="K1274" s="670"/>
      <c r="L1274" s="670"/>
      <c r="M1274" s="670"/>
      <c r="N1274" s="670"/>
      <c r="O1274" s="699" t="s">
        <v>1562</v>
      </c>
      <c r="P1274" s="672"/>
      <c r="Q1274" s="665" t="s">
        <v>1833</v>
      </c>
      <c r="U1274" s="688"/>
      <c r="V1274" s="688"/>
    </row>
    <row r="1275" spans="1:22" s="688" customFormat="1" ht="17.100000000000001" customHeight="1">
      <c r="A1275" s="1316" t="s">
        <v>1809</v>
      </c>
      <c r="B1275" s="1317"/>
      <c r="C1275" s="1316" t="s">
        <v>1810</v>
      </c>
      <c r="D1275" s="1317"/>
      <c r="E1275" s="701">
        <v>0.121</v>
      </c>
      <c r="F1275" s="676" t="s">
        <v>850</v>
      </c>
      <c r="G1275" s="670" t="e">
        <f>$H$560</f>
        <v>#REF!</v>
      </c>
      <c r="H1275" s="670" t="e">
        <f>INT(E1275*G1275)</f>
        <v>#REF!</v>
      </c>
      <c r="I1275" s="670">
        <f>$J$560</f>
        <v>586878</v>
      </c>
      <c r="J1275" s="670">
        <f>INT(E1275*I1275)</f>
        <v>71012</v>
      </c>
      <c r="K1275" s="670">
        <f>$L$560</f>
        <v>5742</v>
      </c>
      <c r="L1275" s="670">
        <f>INT(E1275*K1275)</f>
        <v>694</v>
      </c>
      <c r="M1275" s="670" t="e">
        <f t="shared" ref="M1275:N1278" si="158">G1275+I1275+K1275</f>
        <v>#REF!</v>
      </c>
      <c r="N1275" s="670" t="e">
        <f t="shared" si="158"/>
        <v>#REF!</v>
      </c>
      <c r="O1275" s="671">
        <f>$A$553</f>
        <v>140</v>
      </c>
      <c r="P1275" s="672" t="s">
        <v>1549</v>
      </c>
      <c r="Q1275" s="687" t="s">
        <v>1423</v>
      </c>
      <c r="R1275" s="688" t="s">
        <v>1424</v>
      </c>
      <c r="S1275" s="688" t="s">
        <v>1425</v>
      </c>
      <c r="T1275" s="688" t="s">
        <v>1426</v>
      </c>
      <c r="U1275" s="665"/>
      <c r="V1275" s="665"/>
    </row>
    <row r="1276" spans="1:22" s="665" customFormat="1" ht="17.100000000000001" customHeight="1">
      <c r="A1276" s="1316" t="s">
        <v>1839</v>
      </c>
      <c r="B1276" s="1317"/>
      <c r="C1276" s="1316" t="s">
        <v>1810</v>
      </c>
      <c r="D1276" s="1317"/>
      <c r="E1276" s="701">
        <v>0.217</v>
      </c>
      <c r="F1276" s="676" t="s">
        <v>850</v>
      </c>
      <c r="G1276" s="670" t="e">
        <f>$H$560</f>
        <v>#REF!</v>
      </c>
      <c r="H1276" s="670" t="e">
        <f>INT(E1276*G1276)</f>
        <v>#REF!</v>
      </c>
      <c r="I1276" s="670">
        <f>$J$560</f>
        <v>586878</v>
      </c>
      <c r="J1276" s="670">
        <f>INT(E1276*I1276)</f>
        <v>127352</v>
      </c>
      <c r="K1276" s="670">
        <f>$L$560</f>
        <v>5742</v>
      </c>
      <c r="L1276" s="670">
        <f>INT(E1276*K1276)</f>
        <v>1246</v>
      </c>
      <c r="M1276" s="670" t="e">
        <f t="shared" si="158"/>
        <v>#REF!</v>
      </c>
      <c r="N1276" s="670" t="e">
        <f t="shared" si="158"/>
        <v>#REF!</v>
      </c>
      <c r="O1276" s="671">
        <f>$A$553</f>
        <v>140</v>
      </c>
      <c r="P1276" s="672" t="s">
        <v>1869</v>
      </c>
      <c r="Q1276" s="688">
        <v>215</v>
      </c>
      <c r="R1276" s="688">
        <f>Q1276</f>
        <v>215</v>
      </c>
      <c r="S1276" s="688">
        <v>2</v>
      </c>
      <c r="T1276" s="690">
        <f>ROUND(S1276/R1276,4)</f>
        <v>9.2999999999999992E-3</v>
      </c>
    </row>
    <row r="1277" spans="1:22" s="665" customFormat="1" ht="17.100000000000001" customHeight="1">
      <c r="A1277" s="1316" t="s">
        <v>1840</v>
      </c>
      <c r="B1277" s="1317"/>
      <c r="C1277" s="1338" t="s">
        <v>1841</v>
      </c>
      <c r="D1277" s="1317"/>
      <c r="E1277" s="679">
        <v>0.6</v>
      </c>
      <c r="F1277" s="676" t="s">
        <v>645</v>
      </c>
      <c r="G1277" s="670" t="e">
        <f>$H$726</f>
        <v>#REF!</v>
      </c>
      <c r="H1277" s="670" t="e">
        <f>INT(E1277*G1277)</f>
        <v>#REF!</v>
      </c>
      <c r="I1277" s="670">
        <f>$J$726</f>
        <v>34461</v>
      </c>
      <c r="J1277" s="670">
        <f>INT(E1277*I1277)</f>
        <v>20676</v>
      </c>
      <c r="K1277" s="670">
        <f>$L$726</f>
        <v>0</v>
      </c>
      <c r="L1277" s="670">
        <f>INT(E1277*K1277)</f>
        <v>0</v>
      </c>
      <c r="M1277" s="670" t="e">
        <f t="shared" si="158"/>
        <v>#REF!</v>
      </c>
      <c r="N1277" s="670" t="e">
        <f t="shared" si="158"/>
        <v>#REF!</v>
      </c>
      <c r="O1277" s="671">
        <f>$A$721</f>
        <v>163</v>
      </c>
      <c r="P1277" s="672"/>
      <c r="Q1277" s="688">
        <f t="shared" ref="Q1277:R1279" si="159">Q1276</f>
        <v>215</v>
      </c>
      <c r="R1277" s="688">
        <f t="shared" si="159"/>
        <v>215</v>
      </c>
      <c r="S1277" s="688">
        <v>1</v>
      </c>
      <c r="T1277" s="690">
        <f>ROUND(S1277/R1277,4)</f>
        <v>4.7000000000000002E-3</v>
      </c>
    </row>
    <row r="1278" spans="1:22" s="665" customFormat="1" ht="17.100000000000001" customHeight="1">
      <c r="A1278" s="1316" t="s">
        <v>1842</v>
      </c>
      <c r="B1278" s="1317"/>
      <c r="C1278" s="1338" t="s">
        <v>1843</v>
      </c>
      <c r="D1278" s="1378"/>
      <c r="E1278" s="675">
        <v>2.88</v>
      </c>
      <c r="F1278" s="676" t="s">
        <v>645</v>
      </c>
      <c r="G1278" s="670" t="e">
        <f>$H$714</f>
        <v>#REF!</v>
      </c>
      <c r="H1278" s="670" t="e">
        <f>INT(E1278*G1278)</f>
        <v>#REF!</v>
      </c>
      <c r="I1278" s="670">
        <f>$J$714</f>
        <v>38182</v>
      </c>
      <c r="J1278" s="670">
        <f>INT(E1278*I1278)</f>
        <v>109964</v>
      </c>
      <c r="K1278" s="670">
        <f>$L$714</f>
        <v>0</v>
      </c>
      <c r="L1278" s="670">
        <f>INT(E1278*K1278)</f>
        <v>0</v>
      </c>
      <c r="M1278" s="670" t="e">
        <f t="shared" si="158"/>
        <v>#REF!</v>
      </c>
      <c r="N1278" s="670" t="e">
        <f t="shared" si="158"/>
        <v>#REF!</v>
      </c>
      <c r="O1278" s="671">
        <f>$A$709</f>
        <v>161</v>
      </c>
      <c r="P1278" s="672"/>
      <c r="Q1278" s="688">
        <f t="shared" si="159"/>
        <v>215</v>
      </c>
      <c r="R1278" s="688">
        <f t="shared" si="159"/>
        <v>215</v>
      </c>
      <c r="S1278" s="688">
        <v>8</v>
      </c>
      <c r="T1278" s="690">
        <f>ROUND(S1278/R1278,4)</f>
        <v>3.7199999999999997E-2</v>
      </c>
    </row>
    <row r="1279" spans="1:22" s="665" customFormat="1" ht="17.100000000000001" customHeight="1">
      <c r="A1279" s="1316" t="s">
        <v>1844</v>
      </c>
      <c r="B1279" s="1317"/>
      <c r="C1279" s="1316" t="s">
        <v>1827</v>
      </c>
      <c r="D1279" s="1317"/>
      <c r="E1279" s="677">
        <v>1</v>
      </c>
      <c r="F1279" s="676" t="s">
        <v>1828</v>
      </c>
      <c r="G1279" s="778"/>
      <c r="H1279" s="778"/>
      <c r="I1279" s="670"/>
      <c r="J1279" s="670"/>
      <c r="K1279" s="670"/>
      <c r="L1279" s="670"/>
      <c r="M1279" s="778"/>
      <c r="N1279" s="778"/>
      <c r="O1279" s="671"/>
      <c r="P1279" s="672"/>
      <c r="Q1279" s="688">
        <f t="shared" si="159"/>
        <v>215</v>
      </c>
      <c r="R1279" s="688">
        <f t="shared" si="159"/>
        <v>215</v>
      </c>
      <c r="S1279" s="728">
        <v>8</v>
      </c>
      <c r="T1279" s="690">
        <f>ROUND(S1279/R1279,4)</f>
        <v>3.7199999999999997E-2</v>
      </c>
    </row>
    <row r="1280" spans="1:22" s="665" customFormat="1" ht="17.100000000000001" customHeight="1">
      <c r="A1280" s="1316" t="s">
        <v>628</v>
      </c>
      <c r="B1280" s="1317"/>
      <c r="C1280" s="1338" t="s">
        <v>1829</v>
      </c>
      <c r="D1280" s="1378"/>
      <c r="E1280" s="675">
        <v>0.02</v>
      </c>
      <c r="F1280" s="676" t="s">
        <v>366</v>
      </c>
      <c r="G1280" s="778"/>
      <c r="H1280" s="778"/>
      <c r="I1280" s="670">
        <f>[53]노임단가!$T$6</f>
        <v>226122</v>
      </c>
      <c r="J1280" s="670">
        <f>INT(E1280*I1280)</f>
        <v>4522</v>
      </c>
      <c r="K1280" s="670"/>
      <c r="L1280" s="670"/>
      <c r="M1280" s="670">
        <f>G1280+I1280+K1280</f>
        <v>226122</v>
      </c>
      <c r="N1280" s="670">
        <f>H1280+J1280+L1280</f>
        <v>4522</v>
      </c>
      <c r="O1280" s="671"/>
      <c r="P1280" s="672"/>
    </row>
    <row r="1281" spans="1:22" s="665" customFormat="1" ht="17.100000000000001" customHeight="1">
      <c r="A1281" s="1383" t="s">
        <v>1320</v>
      </c>
      <c r="B1281" s="1384"/>
      <c r="C1281" s="1371"/>
      <c r="D1281" s="1372"/>
      <c r="E1281" s="677"/>
      <c r="F1281" s="676"/>
      <c r="G1281" s="670"/>
      <c r="H1281" s="670" t="e">
        <f>SUM(H1275:H1280)</f>
        <v>#REF!</v>
      </c>
      <c r="I1281" s="670"/>
      <c r="J1281" s="670">
        <f>SUM(J1275:J1280)</f>
        <v>333526</v>
      </c>
      <c r="K1281" s="670"/>
      <c r="L1281" s="670">
        <f>SUM(L1275:L1280)</f>
        <v>1940</v>
      </c>
      <c r="M1281" s="670"/>
      <c r="N1281" s="670" t="e">
        <f>SUM(N1275:N1280)</f>
        <v>#REF!</v>
      </c>
      <c r="O1281" s="671"/>
      <c r="P1281" s="672" t="s">
        <v>1549</v>
      </c>
    </row>
    <row r="1282" spans="1:22" s="665" customFormat="1" ht="17.100000000000001" customHeight="1">
      <c r="A1282" s="668">
        <f>A1274+1</f>
        <v>244</v>
      </c>
      <c r="B1282" s="1320" t="s">
        <v>1867</v>
      </c>
      <c r="C1282" s="1320"/>
      <c r="D1282" s="1320" t="s">
        <v>1870</v>
      </c>
      <c r="E1282" s="1320"/>
      <c r="F1282" s="669" t="s">
        <v>575</v>
      </c>
      <c r="G1282" s="670"/>
      <c r="H1282" s="670"/>
      <c r="I1282" s="670"/>
      <c r="J1282" s="670"/>
      <c r="K1282" s="670"/>
      <c r="L1282" s="670"/>
      <c r="M1282" s="670"/>
      <c r="N1282" s="670"/>
      <c r="O1282" s="699" t="s">
        <v>1562</v>
      </c>
      <c r="P1282" s="672" t="s">
        <v>1869</v>
      </c>
      <c r="Q1282" s="688">
        <v>360</v>
      </c>
      <c r="R1282" s="688">
        <v>335</v>
      </c>
      <c r="S1282" s="688">
        <v>2</v>
      </c>
      <c r="T1282" s="690">
        <f>ROUND(S1282/R1282,4)</f>
        <v>6.0000000000000001E-3</v>
      </c>
    </row>
    <row r="1283" spans="1:22" s="665" customFormat="1" ht="17.100000000000001" customHeight="1">
      <c r="A1283" s="1316" t="s">
        <v>1809</v>
      </c>
      <c r="B1283" s="1317"/>
      <c r="C1283" s="1316" t="s">
        <v>1810</v>
      </c>
      <c r="D1283" s="1317"/>
      <c r="E1283" s="701">
        <v>0.22600000000000001</v>
      </c>
      <c r="F1283" s="676" t="s">
        <v>850</v>
      </c>
      <c r="G1283" s="670" t="e">
        <f>$H$560</f>
        <v>#REF!</v>
      </c>
      <c r="H1283" s="670" t="e">
        <f>INT(E1283*G1283)</f>
        <v>#REF!</v>
      </c>
      <c r="I1283" s="670">
        <f>$J$560</f>
        <v>586878</v>
      </c>
      <c r="J1283" s="670">
        <f>INT(E1283*I1283)</f>
        <v>132634</v>
      </c>
      <c r="K1283" s="670">
        <f>$L$560</f>
        <v>5742</v>
      </c>
      <c r="L1283" s="670">
        <f>INT(E1283*K1283)</f>
        <v>1297</v>
      </c>
      <c r="M1283" s="670" t="e">
        <f t="shared" ref="M1283:N1286" si="160">G1283+I1283+K1283</f>
        <v>#REF!</v>
      </c>
      <c r="N1283" s="670" t="e">
        <f t="shared" si="160"/>
        <v>#REF!</v>
      </c>
      <c r="O1283" s="671">
        <f>$A$553</f>
        <v>140</v>
      </c>
      <c r="P1283" s="672"/>
      <c r="Q1283" s="688">
        <f t="shared" ref="Q1283:R1285" si="161">Q1282</f>
        <v>360</v>
      </c>
      <c r="R1283" s="688">
        <f t="shared" si="161"/>
        <v>335</v>
      </c>
      <c r="S1283" s="688">
        <v>1</v>
      </c>
      <c r="T1283" s="690">
        <f>ROUND(S1283/R1283,4)</f>
        <v>3.0000000000000001E-3</v>
      </c>
    </row>
    <row r="1284" spans="1:22" s="665" customFormat="1" ht="17.100000000000001" customHeight="1">
      <c r="A1284" s="1316" t="s">
        <v>1839</v>
      </c>
      <c r="B1284" s="1317"/>
      <c r="C1284" s="1316" t="s">
        <v>1810</v>
      </c>
      <c r="D1284" s="1317"/>
      <c r="E1284" s="701">
        <v>0.36199999999999999</v>
      </c>
      <c r="F1284" s="676" t="s">
        <v>850</v>
      </c>
      <c r="G1284" s="670" t="e">
        <f>$H$560</f>
        <v>#REF!</v>
      </c>
      <c r="H1284" s="670" t="e">
        <f>INT(E1284*G1284)</f>
        <v>#REF!</v>
      </c>
      <c r="I1284" s="670">
        <f>$J$560</f>
        <v>586878</v>
      </c>
      <c r="J1284" s="670">
        <f>INT(E1284*I1284)</f>
        <v>212449</v>
      </c>
      <c r="K1284" s="670">
        <f>$L$560</f>
        <v>5742</v>
      </c>
      <c r="L1284" s="670">
        <f>INT(E1284*K1284)</f>
        <v>2078</v>
      </c>
      <c r="M1284" s="670" t="e">
        <f t="shared" si="160"/>
        <v>#REF!</v>
      </c>
      <c r="N1284" s="670" t="e">
        <f t="shared" si="160"/>
        <v>#REF!</v>
      </c>
      <c r="O1284" s="671">
        <f>$A$553</f>
        <v>140</v>
      </c>
      <c r="P1284" s="672"/>
      <c r="Q1284" s="688">
        <f t="shared" si="161"/>
        <v>360</v>
      </c>
      <c r="R1284" s="688">
        <f t="shared" si="161"/>
        <v>335</v>
      </c>
      <c r="S1284" s="688">
        <v>8</v>
      </c>
      <c r="T1284" s="690">
        <f>ROUND(S1284/R1284,4)</f>
        <v>2.3900000000000001E-2</v>
      </c>
    </row>
    <row r="1285" spans="1:22" s="665" customFormat="1" ht="17.100000000000001" customHeight="1">
      <c r="A1285" s="1316" t="s">
        <v>1840</v>
      </c>
      <c r="B1285" s="1317"/>
      <c r="C1285" s="1338" t="s">
        <v>1841</v>
      </c>
      <c r="D1285" s="1317"/>
      <c r="E1285" s="679">
        <v>0.9</v>
      </c>
      <c r="F1285" s="676" t="s">
        <v>645</v>
      </c>
      <c r="G1285" s="670" t="e">
        <f>$H$726</f>
        <v>#REF!</v>
      </c>
      <c r="H1285" s="670" t="e">
        <f>INT(E1285*G1285)</f>
        <v>#REF!</v>
      </c>
      <c r="I1285" s="670">
        <f>$J$726</f>
        <v>34461</v>
      </c>
      <c r="J1285" s="670">
        <f>INT(E1285*I1285)</f>
        <v>31014</v>
      </c>
      <c r="K1285" s="670">
        <f>$L$726</f>
        <v>0</v>
      </c>
      <c r="L1285" s="670">
        <f>INT(E1285*K1285)</f>
        <v>0</v>
      </c>
      <c r="M1285" s="670" t="e">
        <f t="shared" si="160"/>
        <v>#REF!</v>
      </c>
      <c r="N1285" s="670" t="e">
        <f t="shared" si="160"/>
        <v>#REF!</v>
      </c>
      <c r="O1285" s="671">
        <f>$A$721</f>
        <v>163</v>
      </c>
      <c r="P1285" s="672"/>
      <c r="Q1285" s="688">
        <f t="shared" si="161"/>
        <v>360</v>
      </c>
      <c r="R1285" s="688">
        <f t="shared" si="161"/>
        <v>335</v>
      </c>
      <c r="S1285" s="728">
        <v>8</v>
      </c>
      <c r="T1285" s="690">
        <f>ROUND(S1285/R1285,4)</f>
        <v>2.3900000000000001E-2</v>
      </c>
    </row>
    <row r="1286" spans="1:22" s="665" customFormat="1" ht="17.100000000000001" customHeight="1">
      <c r="A1286" s="1316" t="s">
        <v>1842</v>
      </c>
      <c r="B1286" s="1317"/>
      <c r="C1286" s="1338" t="s">
        <v>1843</v>
      </c>
      <c r="D1286" s="1378"/>
      <c r="E1286" s="675">
        <v>4.78</v>
      </c>
      <c r="F1286" s="676" t="s">
        <v>645</v>
      </c>
      <c r="G1286" s="670" t="e">
        <f>$H$714</f>
        <v>#REF!</v>
      </c>
      <c r="H1286" s="670" t="e">
        <f>INT(E1286*G1286)</f>
        <v>#REF!</v>
      </c>
      <c r="I1286" s="670">
        <f>$J$714</f>
        <v>38182</v>
      </c>
      <c r="J1286" s="670">
        <f>INT(E1286*I1286)</f>
        <v>182509</v>
      </c>
      <c r="K1286" s="670">
        <f>$L$714</f>
        <v>0</v>
      </c>
      <c r="L1286" s="670">
        <f>INT(E1286*K1286)</f>
        <v>0</v>
      </c>
      <c r="M1286" s="670" t="e">
        <f t="shared" si="160"/>
        <v>#REF!</v>
      </c>
      <c r="N1286" s="670" t="e">
        <f t="shared" si="160"/>
        <v>#REF!</v>
      </c>
      <c r="O1286" s="671">
        <f>$A$709</f>
        <v>161</v>
      </c>
      <c r="P1286" s="672"/>
    </row>
    <row r="1287" spans="1:22" s="665" customFormat="1" ht="17.100000000000001" customHeight="1">
      <c r="A1287" s="1316" t="s">
        <v>1844</v>
      </c>
      <c r="B1287" s="1317"/>
      <c r="C1287" s="1316" t="s">
        <v>1827</v>
      </c>
      <c r="D1287" s="1317"/>
      <c r="E1287" s="677">
        <v>1</v>
      </c>
      <c r="F1287" s="676" t="s">
        <v>1828</v>
      </c>
      <c r="G1287" s="778"/>
      <c r="H1287" s="778"/>
      <c r="I1287" s="670"/>
      <c r="J1287" s="670"/>
      <c r="K1287" s="670"/>
      <c r="L1287" s="670"/>
      <c r="M1287" s="778"/>
      <c r="N1287" s="778"/>
      <c r="O1287" s="671"/>
      <c r="P1287" s="672" t="s">
        <v>1549</v>
      </c>
      <c r="Q1287" s="687" t="s">
        <v>1423</v>
      </c>
      <c r="R1287" s="688" t="s">
        <v>1424</v>
      </c>
      <c r="S1287" s="688" t="s">
        <v>1425</v>
      </c>
      <c r="T1287" s="688" t="s">
        <v>1426</v>
      </c>
    </row>
    <row r="1288" spans="1:22" s="665" customFormat="1" ht="17.100000000000001" customHeight="1">
      <c r="A1288" s="1316" t="s">
        <v>628</v>
      </c>
      <c r="B1288" s="1317"/>
      <c r="C1288" s="1338" t="s">
        <v>1829</v>
      </c>
      <c r="D1288" s="1378"/>
      <c r="E1288" s="675">
        <v>0.04</v>
      </c>
      <c r="F1288" s="676" t="s">
        <v>366</v>
      </c>
      <c r="G1288" s="778"/>
      <c r="H1288" s="778"/>
      <c r="I1288" s="670">
        <f>[53]노임단가!$T$6</f>
        <v>226122</v>
      </c>
      <c r="J1288" s="670">
        <f>INT(E1288*I1288)</f>
        <v>9044</v>
      </c>
      <c r="K1288" s="670"/>
      <c r="L1288" s="670"/>
      <c r="M1288" s="670">
        <f>G1288+I1288+K1288</f>
        <v>226122</v>
      </c>
      <c r="N1288" s="670">
        <f>H1288+J1288+L1288</f>
        <v>9044</v>
      </c>
      <c r="O1288" s="671"/>
      <c r="P1288" s="672" t="s">
        <v>1871</v>
      </c>
      <c r="Q1288" s="688">
        <v>90</v>
      </c>
      <c r="R1288" s="688">
        <f>Q1288</f>
        <v>90</v>
      </c>
      <c r="S1288" s="688">
        <v>0</v>
      </c>
      <c r="T1288" s="688"/>
      <c r="U1288" s="688"/>
      <c r="V1288" s="688"/>
    </row>
    <row r="1289" spans="1:22" s="688" customFormat="1" ht="17.100000000000001" customHeight="1">
      <c r="A1289" s="1383" t="s">
        <v>1320</v>
      </c>
      <c r="B1289" s="1384"/>
      <c r="C1289" s="1371"/>
      <c r="D1289" s="1372"/>
      <c r="E1289" s="677"/>
      <c r="F1289" s="676"/>
      <c r="G1289" s="670"/>
      <c r="H1289" s="670" t="e">
        <f>SUM(H1283:H1288)</f>
        <v>#REF!</v>
      </c>
      <c r="I1289" s="670"/>
      <c r="J1289" s="670">
        <f>SUM(J1283:J1288)</f>
        <v>567650</v>
      </c>
      <c r="K1289" s="670"/>
      <c r="L1289" s="670">
        <f>SUM(L1283:L1288)</f>
        <v>3375</v>
      </c>
      <c r="M1289" s="670"/>
      <c r="N1289" s="670" t="e">
        <f>SUM(N1283:N1288)</f>
        <v>#REF!</v>
      </c>
      <c r="O1289" s="671"/>
      <c r="P1289" s="672"/>
      <c r="Q1289" s="688">
        <f>Q1288</f>
        <v>90</v>
      </c>
      <c r="R1289" s="688">
        <f>R1288</f>
        <v>90</v>
      </c>
      <c r="S1289" s="688">
        <v>0</v>
      </c>
      <c r="T1289" s="690">
        <f t="shared" ref="T1289:T1340" si="162">ROUND(S1289/R1289,4)</f>
        <v>0</v>
      </c>
      <c r="U1289" s="665"/>
      <c r="V1289" s="665"/>
    </row>
    <row r="1290" spans="1:22" s="665" customFormat="1" ht="17.100000000000001" customHeight="1">
      <c r="A1290" s="668">
        <f>A1282+1</f>
        <v>245</v>
      </c>
      <c r="B1290" s="1320" t="s">
        <v>1867</v>
      </c>
      <c r="C1290" s="1320"/>
      <c r="D1290" s="1320" t="s">
        <v>1872</v>
      </c>
      <c r="E1290" s="1320"/>
      <c r="F1290" s="669" t="s">
        <v>575</v>
      </c>
      <c r="G1290" s="670"/>
      <c r="H1290" s="670"/>
      <c r="I1290" s="670"/>
      <c r="J1290" s="670"/>
      <c r="K1290" s="670"/>
      <c r="L1290" s="670"/>
      <c r="M1290" s="670"/>
      <c r="N1290" s="670"/>
      <c r="O1290" s="699" t="s">
        <v>1562</v>
      </c>
      <c r="P1290" s="672"/>
      <c r="Q1290" s="688">
        <f>Q1289</f>
        <v>90</v>
      </c>
      <c r="R1290" s="688">
        <f>R1289</f>
        <v>90</v>
      </c>
      <c r="S1290" s="728">
        <v>1</v>
      </c>
      <c r="T1290" s="690">
        <f t="shared" si="162"/>
        <v>1.11E-2</v>
      </c>
    </row>
    <row r="1291" spans="1:22" s="665" customFormat="1" ht="17.100000000000001" customHeight="1">
      <c r="A1291" s="1316" t="s">
        <v>1809</v>
      </c>
      <c r="B1291" s="1317"/>
      <c r="C1291" s="1316" t="s">
        <v>1810</v>
      </c>
      <c r="D1291" s="1317"/>
      <c r="E1291" s="701">
        <v>0.33100000000000002</v>
      </c>
      <c r="F1291" s="676" t="s">
        <v>850</v>
      </c>
      <c r="G1291" s="670" t="e">
        <f>$H$560</f>
        <v>#REF!</v>
      </c>
      <c r="H1291" s="670" t="e">
        <f>INT(E1291*G1291)</f>
        <v>#REF!</v>
      </c>
      <c r="I1291" s="670">
        <f>$J$560</f>
        <v>586878</v>
      </c>
      <c r="J1291" s="670">
        <f>INT(E1291*I1291)</f>
        <v>194256</v>
      </c>
      <c r="K1291" s="670">
        <f>$L$560</f>
        <v>5742</v>
      </c>
      <c r="L1291" s="670">
        <f>INT(E1291*K1291)</f>
        <v>1900</v>
      </c>
      <c r="M1291" s="670" t="e">
        <f t="shared" ref="M1291:N1294" si="163">G1291+I1291+K1291</f>
        <v>#REF!</v>
      </c>
      <c r="N1291" s="670" t="e">
        <f t="shared" si="163"/>
        <v>#REF!</v>
      </c>
      <c r="O1291" s="671">
        <f>$A$553</f>
        <v>140</v>
      </c>
      <c r="P1291" s="672"/>
      <c r="Q1291" s="688">
        <f t="shared" ref="Q1291:R1295" si="164">Q1290</f>
        <v>90</v>
      </c>
      <c r="R1291" s="688">
        <f t="shared" si="164"/>
        <v>90</v>
      </c>
      <c r="S1291" s="728">
        <v>2</v>
      </c>
      <c r="T1291" s="690">
        <f t="shared" si="162"/>
        <v>2.2200000000000001E-2</v>
      </c>
    </row>
    <row r="1292" spans="1:22" s="665" customFormat="1" ht="17.100000000000001" customHeight="1">
      <c r="A1292" s="1316" t="s">
        <v>1839</v>
      </c>
      <c r="B1292" s="1317"/>
      <c r="C1292" s="1316" t="s">
        <v>1810</v>
      </c>
      <c r="D1292" s="1317"/>
      <c r="E1292" s="701">
        <v>0.50600000000000001</v>
      </c>
      <c r="F1292" s="676" t="s">
        <v>850</v>
      </c>
      <c r="G1292" s="670" t="e">
        <f>$H$560</f>
        <v>#REF!</v>
      </c>
      <c r="H1292" s="670" t="e">
        <f>INT(E1292*G1292)</f>
        <v>#REF!</v>
      </c>
      <c r="I1292" s="670">
        <f>$J$560</f>
        <v>586878</v>
      </c>
      <c r="J1292" s="670">
        <f>INT(E1292*I1292)</f>
        <v>296960</v>
      </c>
      <c r="K1292" s="670">
        <f>$L$560</f>
        <v>5742</v>
      </c>
      <c r="L1292" s="670">
        <f>INT(E1292*K1292)</f>
        <v>2905</v>
      </c>
      <c r="M1292" s="670" t="e">
        <f t="shared" si="163"/>
        <v>#REF!</v>
      </c>
      <c r="N1292" s="670" t="e">
        <f t="shared" si="163"/>
        <v>#REF!</v>
      </c>
      <c r="O1292" s="671">
        <f>$A$553</f>
        <v>140</v>
      </c>
      <c r="P1292" s="672"/>
      <c r="Q1292" s="688">
        <f t="shared" si="164"/>
        <v>90</v>
      </c>
      <c r="R1292" s="688">
        <f t="shared" si="164"/>
        <v>90</v>
      </c>
      <c r="S1292" s="728">
        <v>8</v>
      </c>
      <c r="T1292" s="690">
        <f t="shared" si="162"/>
        <v>8.8900000000000007E-2</v>
      </c>
    </row>
    <row r="1293" spans="1:22" s="665" customFormat="1" ht="17.100000000000001" customHeight="1">
      <c r="A1293" s="1316" t="s">
        <v>1840</v>
      </c>
      <c r="B1293" s="1317"/>
      <c r="C1293" s="1338" t="s">
        <v>1841</v>
      </c>
      <c r="D1293" s="1317"/>
      <c r="E1293" s="679">
        <v>1.2</v>
      </c>
      <c r="F1293" s="676" t="s">
        <v>645</v>
      </c>
      <c r="G1293" s="670" t="e">
        <f>$H$726</f>
        <v>#REF!</v>
      </c>
      <c r="H1293" s="670" t="e">
        <f>INT(E1293*G1293)</f>
        <v>#REF!</v>
      </c>
      <c r="I1293" s="670">
        <f>$J$726</f>
        <v>34461</v>
      </c>
      <c r="J1293" s="670">
        <f>INT(E1293*I1293)</f>
        <v>41353</v>
      </c>
      <c r="K1293" s="670">
        <f>$L$726</f>
        <v>0</v>
      </c>
      <c r="L1293" s="670">
        <f>INT(E1293*K1293)</f>
        <v>0</v>
      </c>
      <c r="M1293" s="670" t="e">
        <f t="shared" si="163"/>
        <v>#REF!</v>
      </c>
      <c r="N1293" s="670" t="e">
        <f t="shared" si="163"/>
        <v>#REF!</v>
      </c>
      <c r="O1293" s="671">
        <f>$A$721</f>
        <v>163</v>
      </c>
      <c r="P1293" s="672"/>
      <c r="Q1293" s="688">
        <f>Q1291</f>
        <v>90</v>
      </c>
      <c r="R1293" s="688">
        <f>R1291</f>
        <v>90</v>
      </c>
      <c r="S1293" s="728"/>
      <c r="T1293" s="690">
        <f t="shared" si="162"/>
        <v>0</v>
      </c>
    </row>
    <row r="1294" spans="1:22" s="665" customFormat="1" ht="17.100000000000001" customHeight="1">
      <c r="A1294" s="1316" t="s">
        <v>1842</v>
      </c>
      <c r="B1294" s="1317"/>
      <c r="C1294" s="1338" t="s">
        <v>1843</v>
      </c>
      <c r="D1294" s="1378"/>
      <c r="E1294" s="675">
        <v>6.68</v>
      </c>
      <c r="F1294" s="676" t="s">
        <v>645</v>
      </c>
      <c r="G1294" s="670" t="e">
        <f>$H$714</f>
        <v>#REF!</v>
      </c>
      <c r="H1294" s="670" t="e">
        <f>INT(E1294*G1294)</f>
        <v>#REF!</v>
      </c>
      <c r="I1294" s="670">
        <f>$J$714</f>
        <v>38182</v>
      </c>
      <c r="J1294" s="670">
        <f>INT(E1294*I1294)</f>
        <v>255055</v>
      </c>
      <c r="K1294" s="670">
        <f>$L$714</f>
        <v>0</v>
      </c>
      <c r="L1294" s="670">
        <f>INT(E1294*K1294)</f>
        <v>0</v>
      </c>
      <c r="M1294" s="670" t="e">
        <f t="shared" si="163"/>
        <v>#REF!</v>
      </c>
      <c r="N1294" s="670" t="e">
        <f t="shared" si="163"/>
        <v>#REF!</v>
      </c>
      <c r="O1294" s="671">
        <f>$A$709</f>
        <v>161</v>
      </c>
      <c r="P1294" s="672"/>
      <c r="Q1294" s="688">
        <f t="shared" si="164"/>
        <v>90</v>
      </c>
      <c r="R1294" s="688">
        <f t="shared" si="164"/>
        <v>90</v>
      </c>
      <c r="S1294" s="728">
        <f>0.18*0.2*0.004</f>
        <v>1.44E-4</v>
      </c>
      <c r="T1294" s="690">
        <f t="shared" si="162"/>
        <v>0</v>
      </c>
    </row>
    <row r="1295" spans="1:22" s="665" customFormat="1" ht="17.100000000000001" customHeight="1">
      <c r="A1295" s="1316" t="s">
        <v>1844</v>
      </c>
      <c r="B1295" s="1317"/>
      <c r="C1295" s="1316" t="s">
        <v>1827</v>
      </c>
      <c r="D1295" s="1317"/>
      <c r="E1295" s="677">
        <v>1</v>
      </c>
      <c r="F1295" s="676" t="s">
        <v>1828</v>
      </c>
      <c r="G1295" s="778"/>
      <c r="H1295" s="778"/>
      <c r="I1295" s="670"/>
      <c r="J1295" s="670"/>
      <c r="K1295" s="670"/>
      <c r="L1295" s="670"/>
      <c r="M1295" s="778"/>
      <c r="N1295" s="778"/>
      <c r="O1295" s="671"/>
      <c r="P1295" s="672"/>
      <c r="Q1295" s="688">
        <f t="shared" si="164"/>
        <v>90</v>
      </c>
      <c r="R1295" s="688">
        <f t="shared" si="164"/>
        <v>90</v>
      </c>
      <c r="S1295" s="728"/>
      <c r="T1295" s="690">
        <f t="shared" si="162"/>
        <v>0</v>
      </c>
    </row>
    <row r="1296" spans="1:22" s="665" customFormat="1" ht="17.100000000000001" customHeight="1">
      <c r="A1296" s="1316" t="s">
        <v>628</v>
      </c>
      <c r="B1296" s="1317"/>
      <c r="C1296" s="1338" t="s">
        <v>1829</v>
      </c>
      <c r="D1296" s="1378"/>
      <c r="E1296" s="675">
        <v>0.06</v>
      </c>
      <c r="F1296" s="676" t="s">
        <v>366</v>
      </c>
      <c r="G1296" s="778"/>
      <c r="H1296" s="778"/>
      <c r="I1296" s="670">
        <f>[53]노임단가!$T$6</f>
        <v>226122</v>
      </c>
      <c r="J1296" s="670">
        <f>INT(E1296*I1296)</f>
        <v>13567</v>
      </c>
      <c r="K1296" s="670"/>
      <c r="L1296" s="670"/>
      <c r="M1296" s="670">
        <f>G1296+I1296+K1296</f>
        <v>226122</v>
      </c>
      <c r="N1296" s="670">
        <f>H1296+J1296+L1296</f>
        <v>13567</v>
      </c>
      <c r="O1296" s="671"/>
      <c r="P1296" s="672"/>
      <c r="S1296" s="665">
        <f>S1295/R1295</f>
        <v>0</v>
      </c>
      <c r="T1296" s="690" t="e">
        <f t="shared" si="162"/>
        <v>#DIV/0!</v>
      </c>
    </row>
    <row r="1297" spans="1:22" s="665" customFormat="1" ht="17.100000000000001" customHeight="1">
      <c r="A1297" s="1383" t="s">
        <v>1320</v>
      </c>
      <c r="B1297" s="1384"/>
      <c r="C1297" s="1371"/>
      <c r="D1297" s="1372"/>
      <c r="E1297" s="677"/>
      <c r="F1297" s="676"/>
      <c r="G1297" s="670"/>
      <c r="H1297" s="670" t="e">
        <f>SUM(H1291:H1296)</f>
        <v>#REF!</v>
      </c>
      <c r="I1297" s="670"/>
      <c r="J1297" s="670">
        <f>SUM(J1291:J1296)</f>
        <v>801191</v>
      </c>
      <c r="K1297" s="670"/>
      <c r="L1297" s="670">
        <f>SUM(L1291:L1296)</f>
        <v>4805</v>
      </c>
      <c r="M1297" s="670"/>
      <c r="N1297" s="670" t="e">
        <f>SUM(N1291:N1296)</f>
        <v>#REF!</v>
      </c>
      <c r="O1297" s="671"/>
      <c r="P1297" s="672" t="s">
        <v>1549</v>
      </c>
      <c r="Q1297" s="687" t="s">
        <v>1423</v>
      </c>
      <c r="R1297" s="688" t="s">
        <v>1424</v>
      </c>
      <c r="S1297" s="688" t="s">
        <v>1425</v>
      </c>
      <c r="T1297" s="688" t="s">
        <v>1426</v>
      </c>
    </row>
    <row r="1298" spans="1:22" s="665" customFormat="1" ht="17.100000000000001" customHeight="1">
      <c r="A1298" s="668">
        <f>A1290+1</f>
        <v>246</v>
      </c>
      <c r="B1298" s="1320" t="s">
        <v>1867</v>
      </c>
      <c r="C1298" s="1320"/>
      <c r="D1298" s="1320" t="s">
        <v>1873</v>
      </c>
      <c r="E1298" s="1320"/>
      <c r="F1298" s="669" t="s">
        <v>575</v>
      </c>
      <c r="G1298" s="670"/>
      <c r="H1298" s="670"/>
      <c r="I1298" s="670"/>
      <c r="J1298" s="670"/>
      <c r="K1298" s="670"/>
      <c r="L1298" s="670"/>
      <c r="M1298" s="670"/>
      <c r="N1298" s="670"/>
      <c r="O1298" s="699" t="s">
        <v>1562</v>
      </c>
      <c r="P1298" s="672" t="s">
        <v>1871</v>
      </c>
      <c r="Q1298" s="688">
        <v>65</v>
      </c>
      <c r="R1298" s="688">
        <f>Q1298</f>
        <v>65</v>
      </c>
      <c r="S1298" s="688">
        <v>0</v>
      </c>
      <c r="T1298" s="690">
        <f t="shared" si="162"/>
        <v>0</v>
      </c>
      <c r="U1298" s="688"/>
      <c r="V1298" s="688"/>
    </row>
    <row r="1299" spans="1:22" s="688" customFormat="1" ht="17.100000000000001" customHeight="1">
      <c r="A1299" s="1316" t="s">
        <v>1809</v>
      </c>
      <c r="B1299" s="1317"/>
      <c r="C1299" s="1316" t="s">
        <v>1810</v>
      </c>
      <c r="D1299" s="1317"/>
      <c r="E1299" s="701">
        <v>0.436</v>
      </c>
      <c r="F1299" s="676" t="s">
        <v>850</v>
      </c>
      <c r="G1299" s="670" t="e">
        <f>$H$560</f>
        <v>#REF!</v>
      </c>
      <c r="H1299" s="670" t="e">
        <f>INT(E1299*G1299)</f>
        <v>#REF!</v>
      </c>
      <c r="I1299" s="670">
        <f>$J$560</f>
        <v>586878</v>
      </c>
      <c r="J1299" s="670">
        <f>INT(E1299*I1299)</f>
        <v>255878</v>
      </c>
      <c r="K1299" s="670">
        <f>$L$560</f>
        <v>5742</v>
      </c>
      <c r="L1299" s="670">
        <f>INT(E1299*K1299)</f>
        <v>2503</v>
      </c>
      <c r="M1299" s="670" t="e">
        <f t="shared" ref="M1299:N1302" si="165">G1299+I1299+K1299</f>
        <v>#REF!</v>
      </c>
      <c r="N1299" s="670" t="e">
        <f t="shared" si="165"/>
        <v>#REF!</v>
      </c>
      <c r="O1299" s="671">
        <f>$A$553</f>
        <v>140</v>
      </c>
      <c r="P1299" s="672"/>
      <c r="Q1299" s="688">
        <f t="shared" ref="Q1299:R1305" si="166">Q1298</f>
        <v>65</v>
      </c>
      <c r="R1299" s="688">
        <f t="shared" si="166"/>
        <v>65</v>
      </c>
      <c r="S1299" s="688">
        <v>0</v>
      </c>
      <c r="T1299" s="690">
        <f t="shared" si="162"/>
        <v>0</v>
      </c>
      <c r="U1299" s="665"/>
      <c r="V1299" s="665"/>
    </row>
    <row r="1300" spans="1:22" s="665" customFormat="1" ht="17.100000000000001" customHeight="1">
      <c r="A1300" s="1316" t="s">
        <v>1839</v>
      </c>
      <c r="B1300" s="1317"/>
      <c r="C1300" s="1316" t="s">
        <v>1810</v>
      </c>
      <c r="D1300" s="1317"/>
      <c r="E1300" s="675">
        <v>0.65</v>
      </c>
      <c r="F1300" s="676" t="s">
        <v>850</v>
      </c>
      <c r="G1300" s="670" t="e">
        <f>$H$560</f>
        <v>#REF!</v>
      </c>
      <c r="H1300" s="670" t="e">
        <f>INT(E1300*G1300)</f>
        <v>#REF!</v>
      </c>
      <c r="I1300" s="670">
        <f>$J$560</f>
        <v>586878</v>
      </c>
      <c r="J1300" s="670">
        <f>INT(E1300*I1300)</f>
        <v>381470</v>
      </c>
      <c r="K1300" s="670">
        <f>$L$560</f>
        <v>5742</v>
      </c>
      <c r="L1300" s="670">
        <f>INT(E1300*K1300)</f>
        <v>3732</v>
      </c>
      <c r="M1300" s="670" t="e">
        <f t="shared" si="165"/>
        <v>#REF!</v>
      </c>
      <c r="N1300" s="670" t="e">
        <f t="shared" si="165"/>
        <v>#REF!</v>
      </c>
      <c r="O1300" s="671">
        <f>$A$553</f>
        <v>140</v>
      </c>
      <c r="P1300" s="672"/>
      <c r="Q1300" s="688">
        <f>Q1299</f>
        <v>65</v>
      </c>
      <c r="R1300" s="688">
        <f>R1299</f>
        <v>65</v>
      </c>
      <c r="S1300" s="728">
        <v>1</v>
      </c>
      <c r="T1300" s="690">
        <f t="shared" si="162"/>
        <v>1.54E-2</v>
      </c>
    </row>
    <row r="1301" spans="1:22" s="665" customFormat="1" ht="17.100000000000001" customHeight="1">
      <c r="A1301" s="1316" t="s">
        <v>1840</v>
      </c>
      <c r="B1301" s="1317"/>
      <c r="C1301" s="1338" t="s">
        <v>1841</v>
      </c>
      <c r="D1301" s="1317"/>
      <c r="E1301" s="679">
        <v>1.5</v>
      </c>
      <c r="F1301" s="676" t="s">
        <v>645</v>
      </c>
      <c r="G1301" s="670" t="e">
        <f>$H$726</f>
        <v>#REF!</v>
      </c>
      <c r="H1301" s="670" t="e">
        <f>INT(E1301*G1301)</f>
        <v>#REF!</v>
      </c>
      <c r="I1301" s="670">
        <f>$J$726</f>
        <v>34461</v>
      </c>
      <c r="J1301" s="670">
        <f>INT(E1301*I1301)</f>
        <v>51691</v>
      </c>
      <c r="K1301" s="670">
        <f>$L$726</f>
        <v>0</v>
      </c>
      <c r="L1301" s="670">
        <f>INT(E1301*K1301)</f>
        <v>0</v>
      </c>
      <c r="M1301" s="670" t="e">
        <f t="shared" si="165"/>
        <v>#REF!</v>
      </c>
      <c r="N1301" s="670" t="e">
        <f t="shared" si="165"/>
        <v>#REF!</v>
      </c>
      <c r="O1301" s="671">
        <f>$A$721</f>
        <v>163</v>
      </c>
      <c r="P1301" s="672"/>
      <c r="Q1301" s="688">
        <f t="shared" si="166"/>
        <v>65</v>
      </c>
      <c r="R1301" s="688">
        <f t="shared" si="166"/>
        <v>65</v>
      </c>
      <c r="S1301" s="728">
        <v>2</v>
      </c>
      <c r="T1301" s="690">
        <f t="shared" si="162"/>
        <v>3.0800000000000001E-2</v>
      </c>
    </row>
    <row r="1302" spans="1:22" s="665" customFormat="1" ht="17.100000000000001" customHeight="1">
      <c r="A1302" s="1316" t="s">
        <v>1842</v>
      </c>
      <c r="B1302" s="1317"/>
      <c r="C1302" s="1338" t="s">
        <v>1843</v>
      </c>
      <c r="D1302" s="1378"/>
      <c r="E1302" s="675">
        <v>8.58</v>
      </c>
      <c r="F1302" s="676" t="s">
        <v>645</v>
      </c>
      <c r="G1302" s="670" t="e">
        <f>$H$714</f>
        <v>#REF!</v>
      </c>
      <c r="H1302" s="670" t="e">
        <f>INT(E1302*G1302)</f>
        <v>#REF!</v>
      </c>
      <c r="I1302" s="670">
        <f>$J$714</f>
        <v>38182</v>
      </c>
      <c r="J1302" s="670">
        <f>INT(E1302*I1302)</f>
        <v>327601</v>
      </c>
      <c r="K1302" s="670">
        <f>$L$714</f>
        <v>0</v>
      </c>
      <c r="L1302" s="670">
        <f>INT(E1302*K1302)</f>
        <v>0</v>
      </c>
      <c r="M1302" s="670" t="e">
        <f t="shared" si="165"/>
        <v>#REF!</v>
      </c>
      <c r="N1302" s="670" t="e">
        <f t="shared" si="165"/>
        <v>#REF!</v>
      </c>
      <c r="O1302" s="671">
        <f>$A$709</f>
        <v>161</v>
      </c>
      <c r="P1302" s="672"/>
      <c r="Q1302" s="688">
        <f t="shared" si="166"/>
        <v>65</v>
      </c>
      <c r="R1302" s="688">
        <f t="shared" si="166"/>
        <v>65</v>
      </c>
      <c r="S1302" s="728">
        <v>8</v>
      </c>
      <c r="T1302" s="690">
        <f>ROUND(S1302/R1302,4)</f>
        <v>0.1231</v>
      </c>
    </row>
    <row r="1303" spans="1:22" s="665" customFormat="1" ht="17.100000000000001" customHeight="1">
      <c r="A1303" s="1316" t="s">
        <v>1844</v>
      </c>
      <c r="B1303" s="1317"/>
      <c r="C1303" s="1316" t="s">
        <v>1827</v>
      </c>
      <c r="D1303" s="1317"/>
      <c r="E1303" s="677">
        <v>1</v>
      </c>
      <c r="F1303" s="676" t="s">
        <v>1828</v>
      </c>
      <c r="G1303" s="778"/>
      <c r="H1303" s="778"/>
      <c r="I1303" s="670"/>
      <c r="J1303" s="670"/>
      <c r="K1303" s="670"/>
      <c r="L1303" s="670"/>
      <c r="M1303" s="778"/>
      <c r="N1303" s="778"/>
      <c r="O1303" s="671"/>
      <c r="P1303" s="672"/>
      <c r="Q1303" s="688">
        <f>Q1301</f>
        <v>65</v>
      </c>
      <c r="R1303" s="688">
        <f>R1301</f>
        <v>65</v>
      </c>
      <c r="S1303" s="728"/>
      <c r="T1303" s="690">
        <f t="shared" si="162"/>
        <v>0</v>
      </c>
    </row>
    <row r="1304" spans="1:22" s="665" customFormat="1" ht="17.100000000000001" customHeight="1">
      <c r="A1304" s="1316" t="s">
        <v>628</v>
      </c>
      <c r="B1304" s="1317"/>
      <c r="C1304" s="1338" t="s">
        <v>1829</v>
      </c>
      <c r="D1304" s="1378"/>
      <c r="E1304" s="675">
        <v>0.08</v>
      </c>
      <c r="F1304" s="676" t="s">
        <v>366</v>
      </c>
      <c r="G1304" s="778"/>
      <c r="H1304" s="778"/>
      <c r="I1304" s="670">
        <f>[53]노임단가!$T$6</f>
        <v>226122</v>
      </c>
      <c r="J1304" s="670">
        <f>INT(E1304*I1304)</f>
        <v>18089</v>
      </c>
      <c r="K1304" s="670"/>
      <c r="L1304" s="670"/>
      <c r="M1304" s="670">
        <f>G1304+I1304+K1304</f>
        <v>226122</v>
      </c>
      <c r="N1304" s="670">
        <f>H1304+J1304+L1304</f>
        <v>18089</v>
      </c>
      <c r="O1304" s="671"/>
      <c r="P1304" s="672"/>
      <c r="Q1304" s="688">
        <f t="shared" si="166"/>
        <v>65</v>
      </c>
      <c r="R1304" s="688">
        <f t="shared" si="166"/>
        <v>65</v>
      </c>
      <c r="S1304" s="728">
        <f>0.2*0.25*0.004</f>
        <v>2.0000000000000001E-4</v>
      </c>
      <c r="T1304" s="690">
        <f t="shared" si="162"/>
        <v>0</v>
      </c>
    </row>
    <row r="1305" spans="1:22" s="665" customFormat="1" ht="17.100000000000001" customHeight="1">
      <c r="A1305" s="1383" t="s">
        <v>1320</v>
      </c>
      <c r="B1305" s="1384"/>
      <c r="C1305" s="1371"/>
      <c r="D1305" s="1372"/>
      <c r="E1305" s="677"/>
      <c r="F1305" s="676"/>
      <c r="G1305" s="670"/>
      <c r="H1305" s="670" t="e">
        <f>SUM(H1299:H1304)</f>
        <v>#REF!</v>
      </c>
      <c r="I1305" s="670"/>
      <c r="J1305" s="670">
        <f>SUM(J1299:J1304)</f>
        <v>1034729</v>
      </c>
      <c r="K1305" s="670"/>
      <c r="L1305" s="670">
        <f>SUM(L1299:L1304)</f>
        <v>6235</v>
      </c>
      <c r="M1305" s="670"/>
      <c r="N1305" s="670" t="e">
        <f>SUM(N1299:N1304)</f>
        <v>#REF!</v>
      </c>
      <c r="O1305" s="671"/>
      <c r="P1305" s="672"/>
      <c r="Q1305" s="688">
        <f t="shared" si="166"/>
        <v>65</v>
      </c>
      <c r="R1305" s="688">
        <f t="shared" si="166"/>
        <v>65</v>
      </c>
      <c r="S1305" s="728"/>
      <c r="T1305" s="690">
        <f t="shared" si="162"/>
        <v>0</v>
      </c>
    </row>
    <row r="1306" spans="1:22" s="665" customFormat="1" ht="17.100000000000001" customHeight="1">
      <c r="A1306" s="668">
        <f>A1298+1</f>
        <v>247</v>
      </c>
      <c r="B1306" s="1320" t="s">
        <v>1874</v>
      </c>
      <c r="C1306" s="1320"/>
      <c r="D1306" s="1320" t="s">
        <v>1875</v>
      </c>
      <c r="E1306" s="1320"/>
      <c r="F1306" s="669" t="s">
        <v>272</v>
      </c>
      <c r="G1306" s="670"/>
      <c r="H1306" s="670"/>
      <c r="I1306" s="670"/>
      <c r="J1306" s="670"/>
      <c r="K1306" s="670"/>
      <c r="L1306" s="670"/>
      <c r="M1306" s="670"/>
      <c r="N1306" s="670"/>
      <c r="O1306" s="671"/>
      <c r="P1306" s="672"/>
      <c r="T1306" s="690" t="e">
        <f t="shared" si="162"/>
        <v>#DIV/0!</v>
      </c>
    </row>
    <row r="1307" spans="1:22" s="665" customFormat="1" ht="17.100000000000001" customHeight="1">
      <c r="A1307" s="1316" t="s">
        <v>628</v>
      </c>
      <c r="B1307" s="1317"/>
      <c r="C1307" s="1381"/>
      <c r="D1307" s="1317"/>
      <c r="E1307" s="683">
        <f>T1276</f>
        <v>9.2999999999999992E-3</v>
      </c>
      <c r="F1307" s="676" t="s">
        <v>366</v>
      </c>
      <c r="G1307" s="670"/>
      <c r="H1307" s="670"/>
      <c r="I1307" s="670">
        <f>[53]노임단가!$T$6</f>
        <v>226122</v>
      </c>
      <c r="J1307" s="670">
        <f>INT(E1307*I1307)</f>
        <v>2102</v>
      </c>
      <c r="K1307" s="670"/>
      <c r="L1307" s="670"/>
      <c r="M1307" s="670">
        <f t="shared" ref="M1307:N1310" si="167">G1307+I1307+K1307</f>
        <v>226122</v>
      </c>
      <c r="N1307" s="670">
        <f t="shared" si="167"/>
        <v>2102</v>
      </c>
      <c r="O1307" s="671"/>
      <c r="P1307" s="672" t="s">
        <v>1549</v>
      </c>
      <c r="Q1307" s="687" t="s">
        <v>1423</v>
      </c>
      <c r="R1307" s="688" t="s">
        <v>1876</v>
      </c>
      <c r="S1307" s="688" t="s">
        <v>1425</v>
      </c>
      <c r="T1307" s="688" t="s">
        <v>1426</v>
      </c>
    </row>
    <row r="1308" spans="1:22" s="665" customFormat="1" ht="17.100000000000001" customHeight="1">
      <c r="A1308" s="1316" t="s">
        <v>248</v>
      </c>
      <c r="B1308" s="1317"/>
      <c r="C1308" s="1338"/>
      <c r="D1308" s="1317"/>
      <c r="E1308" s="683">
        <f>T1277</f>
        <v>4.7000000000000002E-3</v>
      </c>
      <c r="F1308" s="676" t="s">
        <v>366</v>
      </c>
      <c r="G1308" s="670"/>
      <c r="H1308" s="670"/>
      <c r="I1308" s="670">
        <f>[53]노임단가!$T$5</f>
        <v>172068</v>
      </c>
      <c r="J1308" s="670">
        <f>INT(E1308*I1308)</f>
        <v>808</v>
      </c>
      <c r="K1308" s="670"/>
      <c r="L1308" s="670"/>
      <c r="M1308" s="670">
        <f t="shared" si="167"/>
        <v>172068</v>
      </c>
      <c r="N1308" s="670">
        <f t="shared" si="167"/>
        <v>808</v>
      </c>
      <c r="O1308" s="671"/>
      <c r="P1308" s="672" t="s">
        <v>1871</v>
      </c>
      <c r="Q1308" s="688">
        <v>40</v>
      </c>
      <c r="R1308" s="688">
        <f>Q1308</f>
        <v>40</v>
      </c>
      <c r="S1308" s="688">
        <v>0</v>
      </c>
      <c r="T1308" s="690">
        <f t="shared" si="162"/>
        <v>0</v>
      </c>
    </row>
    <row r="1309" spans="1:22" s="665" customFormat="1" ht="17.100000000000001" customHeight="1">
      <c r="A1309" s="1316" t="s">
        <v>277</v>
      </c>
      <c r="B1309" s="1317"/>
      <c r="C1309" s="1316" t="s">
        <v>395</v>
      </c>
      <c r="D1309" s="1317"/>
      <c r="E1309" s="683">
        <f>T1278</f>
        <v>3.7199999999999997E-2</v>
      </c>
      <c r="F1309" s="676" t="s">
        <v>418</v>
      </c>
      <c r="G1309" s="670" t="e">
        <f>#REF!</f>
        <v>#REF!</v>
      </c>
      <c r="H1309" s="670" t="e">
        <f>INT(E1309*G1309)</f>
        <v>#REF!</v>
      </c>
      <c r="I1309" s="670" t="e">
        <f>#REF!</f>
        <v>#REF!</v>
      </c>
      <c r="J1309" s="670" t="e">
        <f>INT(E1309*I1309)</f>
        <v>#REF!</v>
      </c>
      <c r="K1309" s="670" t="e">
        <f>#REF!</f>
        <v>#REF!</v>
      </c>
      <c r="L1309" s="670" t="e">
        <f>INT(E1309*K1309)</f>
        <v>#REF!</v>
      </c>
      <c r="M1309" s="670" t="e">
        <f t="shared" si="167"/>
        <v>#REF!</v>
      </c>
      <c r="N1309" s="670" t="e">
        <f t="shared" si="167"/>
        <v>#REF!</v>
      </c>
      <c r="O1309" s="671"/>
      <c r="P1309" s="672"/>
      <c r="Q1309" s="688">
        <f>Q1308</f>
        <v>40</v>
      </c>
      <c r="R1309" s="688">
        <f>R1308</f>
        <v>40</v>
      </c>
      <c r="S1309" s="688">
        <v>0</v>
      </c>
      <c r="T1309" s="690">
        <f t="shared" si="162"/>
        <v>0</v>
      </c>
    </row>
    <row r="1310" spans="1:22" s="665" customFormat="1" ht="17.100000000000001" customHeight="1">
      <c r="A1310" s="1316" t="s">
        <v>1161</v>
      </c>
      <c r="B1310" s="1317"/>
      <c r="C1310" s="1316" t="s">
        <v>642</v>
      </c>
      <c r="D1310" s="1317"/>
      <c r="E1310" s="683">
        <f>T1279</f>
        <v>3.7199999999999997E-2</v>
      </c>
      <c r="F1310" s="676" t="s">
        <v>418</v>
      </c>
      <c r="G1310" s="670" t="e">
        <f>#REF!</f>
        <v>#REF!</v>
      </c>
      <c r="H1310" s="670" t="e">
        <f>INT(E1310*G1310)</f>
        <v>#REF!</v>
      </c>
      <c r="I1310" s="670" t="e">
        <f>#REF!</f>
        <v>#REF!</v>
      </c>
      <c r="J1310" s="670" t="e">
        <f>INT(E1310*I1310)</f>
        <v>#REF!</v>
      </c>
      <c r="K1310" s="670" t="e">
        <f>#REF!</f>
        <v>#REF!</v>
      </c>
      <c r="L1310" s="670" t="e">
        <f>INT(E1310*K1310)</f>
        <v>#REF!</v>
      </c>
      <c r="M1310" s="670" t="e">
        <f t="shared" si="167"/>
        <v>#REF!</v>
      </c>
      <c r="N1310" s="670" t="e">
        <f t="shared" si="167"/>
        <v>#REF!</v>
      </c>
      <c r="O1310" s="671"/>
      <c r="P1310" s="672"/>
      <c r="Q1310" s="688">
        <f>Q1309</f>
        <v>40</v>
      </c>
      <c r="R1310" s="688">
        <f>R1309</f>
        <v>40</v>
      </c>
      <c r="S1310" s="728">
        <v>1</v>
      </c>
      <c r="T1310" s="690">
        <f t="shared" si="162"/>
        <v>2.5000000000000001E-2</v>
      </c>
    </row>
    <row r="1311" spans="1:22" s="665" customFormat="1" ht="17.100000000000001" customHeight="1">
      <c r="A1311" s="1318" t="s">
        <v>1320</v>
      </c>
      <c r="B1311" s="1319"/>
      <c r="C1311" s="1371"/>
      <c r="D1311" s="1372"/>
      <c r="E1311" s="677"/>
      <c r="F1311" s="676"/>
      <c r="G1311" s="670"/>
      <c r="H1311" s="670" t="e">
        <f>SUM(H1307:H1310)</f>
        <v>#REF!</v>
      </c>
      <c r="I1311" s="670"/>
      <c r="J1311" s="670" t="e">
        <f>SUM(J1307:J1310)</f>
        <v>#REF!</v>
      </c>
      <c r="K1311" s="670"/>
      <c r="L1311" s="670" t="e">
        <f>SUM(L1307:L1310)</f>
        <v>#REF!</v>
      </c>
      <c r="M1311" s="670"/>
      <c r="N1311" s="670" t="e">
        <f>SUM(N1307:N1310)</f>
        <v>#REF!</v>
      </c>
      <c r="O1311" s="671"/>
      <c r="P1311" s="672"/>
      <c r="Q1311" s="688">
        <f t="shared" ref="Q1311:R1315" si="168">Q1310</f>
        <v>40</v>
      </c>
      <c r="R1311" s="688">
        <f t="shared" si="168"/>
        <v>40</v>
      </c>
      <c r="S1311" s="728">
        <v>2</v>
      </c>
      <c r="T1311" s="690">
        <f t="shared" si="162"/>
        <v>0.05</v>
      </c>
    </row>
    <row r="1312" spans="1:22" s="665" customFormat="1" ht="17.100000000000001" customHeight="1">
      <c r="A1312" s="668">
        <f>A1306+1</f>
        <v>248</v>
      </c>
      <c r="B1312" s="1320" t="s">
        <v>1877</v>
      </c>
      <c r="C1312" s="1320"/>
      <c r="D1312" s="1320" t="s">
        <v>1878</v>
      </c>
      <c r="E1312" s="1320"/>
      <c r="F1312" s="669" t="s">
        <v>272</v>
      </c>
      <c r="G1312" s="670"/>
      <c r="H1312" s="670"/>
      <c r="I1312" s="670"/>
      <c r="J1312" s="670"/>
      <c r="K1312" s="670"/>
      <c r="L1312" s="670"/>
      <c r="M1312" s="670"/>
      <c r="N1312" s="670"/>
      <c r="O1312" s="671"/>
      <c r="P1312" s="672"/>
      <c r="Q1312" s="688">
        <f t="shared" si="168"/>
        <v>40</v>
      </c>
      <c r="R1312" s="688">
        <f t="shared" si="168"/>
        <v>40</v>
      </c>
      <c r="S1312" s="728">
        <v>8</v>
      </c>
      <c r="T1312" s="690">
        <f>ROUND(S1312/R1312,4)</f>
        <v>0.2</v>
      </c>
    </row>
    <row r="1313" spans="1:20" s="665" customFormat="1" ht="17.100000000000001" customHeight="1">
      <c r="A1313" s="1316" t="s">
        <v>628</v>
      </c>
      <c r="B1313" s="1317"/>
      <c r="C1313" s="1381"/>
      <c r="D1313" s="1317"/>
      <c r="E1313" s="683">
        <f>T1282</f>
        <v>6.0000000000000001E-3</v>
      </c>
      <c r="F1313" s="676" t="s">
        <v>366</v>
      </c>
      <c r="G1313" s="670"/>
      <c r="H1313" s="670"/>
      <c r="I1313" s="670">
        <f>[53]노임단가!$T$6</f>
        <v>226122</v>
      </c>
      <c r="J1313" s="670">
        <f>INT(E1313*I1313)</f>
        <v>1356</v>
      </c>
      <c r="K1313" s="670"/>
      <c r="L1313" s="670"/>
      <c r="M1313" s="670">
        <f t="shared" ref="M1313:N1316" si="169">G1313+I1313+K1313</f>
        <v>226122</v>
      </c>
      <c r="N1313" s="670">
        <f t="shared" si="169"/>
        <v>1356</v>
      </c>
      <c r="O1313" s="671"/>
      <c r="P1313" s="672"/>
      <c r="Q1313" s="688">
        <f>Q1311</f>
        <v>40</v>
      </c>
      <c r="R1313" s="688">
        <f>R1311</f>
        <v>40</v>
      </c>
      <c r="S1313" s="728"/>
      <c r="T1313" s="690">
        <f t="shared" si="162"/>
        <v>0</v>
      </c>
    </row>
    <row r="1314" spans="1:20" s="665" customFormat="1" ht="17.100000000000001" customHeight="1">
      <c r="A1314" s="1316" t="s">
        <v>248</v>
      </c>
      <c r="B1314" s="1317"/>
      <c r="C1314" s="1338"/>
      <c r="D1314" s="1317"/>
      <c r="E1314" s="683">
        <f>T1283</f>
        <v>3.0000000000000001E-3</v>
      </c>
      <c r="F1314" s="676" t="s">
        <v>366</v>
      </c>
      <c r="G1314" s="670"/>
      <c r="H1314" s="670"/>
      <c r="I1314" s="670">
        <f>[53]노임단가!$T$5</f>
        <v>172068</v>
      </c>
      <c r="J1314" s="670">
        <f>INT(E1314*I1314)</f>
        <v>516</v>
      </c>
      <c r="K1314" s="670"/>
      <c r="L1314" s="670"/>
      <c r="M1314" s="670">
        <f t="shared" si="169"/>
        <v>172068</v>
      </c>
      <c r="N1314" s="670">
        <f t="shared" si="169"/>
        <v>516</v>
      </c>
      <c r="O1314" s="671"/>
      <c r="P1314" s="672"/>
      <c r="Q1314" s="688">
        <f t="shared" si="168"/>
        <v>40</v>
      </c>
      <c r="R1314" s="688">
        <f t="shared" si="168"/>
        <v>40</v>
      </c>
      <c r="S1314" s="728">
        <f>0.2*0.3*0.004</f>
        <v>2.4000000000000001E-4</v>
      </c>
      <c r="T1314" s="690">
        <f t="shared" si="162"/>
        <v>0</v>
      </c>
    </row>
    <row r="1315" spans="1:20" s="665" customFormat="1" ht="17.100000000000001" customHeight="1">
      <c r="A1315" s="1316" t="s">
        <v>277</v>
      </c>
      <c r="B1315" s="1317"/>
      <c r="C1315" s="1316" t="s">
        <v>395</v>
      </c>
      <c r="D1315" s="1317"/>
      <c r="E1315" s="683">
        <f>T1284</f>
        <v>2.3900000000000001E-2</v>
      </c>
      <c r="F1315" s="676" t="s">
        <v>418</v>
      </c>
      <c r="G1315" s="670" t="e">
        <f>#REF!</f>
        <v>#REF!</v>
      </c>
      <c r="H1315" s="670" t="e">
        <f>INT(E1315*G1315)</f>
        <v>#REF!</v>
      </c>
      <c r="I1315" s="670" t="e">
        <f>#REF!</f>
        <v>#REF!</v>
      </c>
      <c r="J1315" s="670" t="e">
        <f>INT(E1315*I1315)</f>
        <v>#REF!</v>
      </c>
      <c r="K1315" s="670" t="e">
        <f>#REF!</f>
        <v>#REF!</v>
      </c>
      <c r="L1315" s="670" t="e">
        <f>INT(E1315*K1315)</f>
        <v>#REF!</v>
      </c>
      <c r="M1315" s="670" t="e">
        <f t="shared" si="169"/>
        <v>#REF!</v>
      </c>
      <c r="N1315" s="670" t="e">
        <f t="shared" si="169"/>
        <v>#REF!</v>
      </c>
      <c r="O1315" s="671"/>
      <c r="P1315" s="672"/>
      <c r="Q1315" s="688">
        <f t="shared" si="168"/>
        <v>40</v>
      </c>
      <c r="R1315" s="688">
        <f t="shared" si="168"/>
        <v>40</v>
      </c>
      <c r="S1315" s="728"/>
      <c r="T1315" s="690">
        <f t="shared" si="162"/>
        <v>0</v>
      </c>
    </row>
    <row r="1316" spans="1:20" s="665" customFormat="1" ht="17.100000000000001" customHeight="1">
      <c r="A1316" s="1316" t="s">
        <v>1161</v>
      </c>
      <c r="B1316" s="1317"/>
      <c r="C1316" s="1316" t="s">
        <v>642</v>
      </c>
      <c r="D1316" s="1317"/>
      <c r="E1316" s="683">
        <f>T1285</f>
        <v>2.3900000000000001E-2</v>
      </c>
      <c r="F1316" s="676" t="s">
        <v>418</v>
      </c>
      <c r="G1316" s="670" t="e">
        <f>#REF!</f>
        <v>#REF!</v>
      </c>
      <c r="H1316" s="670" t="e">
        <f>INT(E1316*G1316)</f>
        <v>#REF!</v>
      </c>
      <c r="I1316" s="670" t="e">
        <f>#REF!</f>
        <v>#REF!</v>
      </c>
      <c r="J1316" s="670" t="e">
        <f>INT(E1316*I1316)</f>
        <v>#REF!</v>
      </c>
      <c r="K1316" s="670" t="e">
        <f>#REF!</f>
        <v>#REF!</v>
      </c>
      <c r="L1316" s="670" t="e">
        <f>INT(E1316*K1316)</f>
        <v>#REF!</v>
      </c>
      <c r="M1316" s="670" t="e">
        <f t="shared" si="169"/>
        <v>#REF!</v>
      </c>
      <c r="N1316" s="670" t="e">
        <f t="shared" si="169"/>
        <v>#REF!</v>
      </c>
      <c r="O1316" s="671"/>
      <c r="P1316" s="672"/>
      <c r="T1316" s="690" t="e">
        <f t="shared" si="162"/>
        <v>#DIV/0!</v>
      </c>
    </row>
    <row r="1317" spans="1:20" s="665" customFormat="1" ht="17.100000000000001" customHeight="1">
      <c r="A1317" s="1318" t="s">
        <v>1320</v>
      </c>
      <c r="B1317" s="1319"/>
      <c r="C1317" s="1371"/>
      <c r="D1317" s="1372"/>
      <c r="E1317" s="677"/>
      <c r="F1317" s="676"/>
      <c r="G1317" s="670"/>
      <c r="H1317" s="670" t="e">
        <f>SUM(H1313:H1316)</f>
        <v>#REF!</v>
      </c>
      <c r="I1317" s="670"/>
      <c r="J1317" s="670" t="e">
        <f>SUM(J1313:J1316)</f>
        <v>#REF!</v>
      </c>
      <c r="K1317" s="670"/>
      <c r="L1317" s="670" t="e">
        <f>SUM(L1313:L1316)</f>
        <v>#REF!</v>
      </c>
      <c r="M1317" s="670"/>
      <c r="N1317" s="670" t="e">
        <f>SUM(N1313:N1316)</f>
        <v>#REF!</v>
      </c>
      <c r="O1317" s="671"/>
      <c r="P1317" s="672" t="s">
        <v>1549</v>
      </c>
      <c r="Q1317" s="687" t="s">
        <v>1423</v>
      </c>
      <c r="R1317" s="688" t="s">
        <v>1876</v>
      </c>
      <c r="S1317" s="688" t="s">
        <v>1425</v>
      </c>
      <c r="T1317" s="688" t="s">
        <v>1426</v>
      </c>
    </row>
    <row r="1318" spans="1:20" s="665" customFormat="1" ht="17.100000000000001" customHeight="1">
      <c r="A1318" s="668">
        <f>A1312+1</f>
        <v>249</v>
      </c>
      <c r="B1318" s="1320" t="s">
        <v>1879</v>
      </c>
      <c r="C1318" s="1320"/>
      <c r="D1318" s="1320" t="s">
        <v>1880</v>
      </c>
      <c r="E1318" s="1320"/>
      <c r="F1318" s="669" t="s">
        <v>272</v>
      </c>
      <c r="G1318" s="670"/>
      <c r="H1318" s="670"/>
      <c r="I1318" s="670"/>
      <c r="J1318" s="670"/>
      <c r="K1318" s="670"/>
      <c r="L1318" s="670"/>
      <c r="M1318" s="670"/>
      <c r="N1318" s="670"/>
      <c r="O1318" s="699" t="s">
        <v>1562</v>
      </c>
      <c r="P1318" s="672" t="s">
        <v>1871</v>
      </c>
      <c r="Q1318" s="688">
        <v>115</v>
      </c>
      <c r="R1318" s="688">
        <f>Q1318</f>
        <v>115</v>
      </c>
      <c r="S1318" s="688">
        <v>0</v>
      </c>
      <c r="T1318" s="690">
        <f t="shared" si="162"/>
        <v>0</v>
      </c>
    </row>
    <row r="1319" spans="1:20" s="665" customFormat="1" ht="17.100000000000001" customHeight="1">
      <c r="A1319" s="1316" t="s">
        <v>1881</v>
      </c>
      <c r="B1319" s="1317"/>
      <c r="C1319" s="1316" t="s">
        <v>1882</v>
      </c>
      <c r="D1319" s="1317"/>
      <c r="E1319" s="675">
        <v>1.03</v>
      </c>
      <c r="F1319" s="676" t="s">
        <v>30</v>
      </c>
      <c r="G1319" s="778"/>
      <c r="H1319" s="778"/>
      <c r="I1319" s="670"/>
      <c r="J1319" s="670"/>
      <c r="K1319" s="670"/>
      <c r="L1319" s="670"/>
      <c r="M1319" s="670"/>
      <c r="N1319" s="670"/>
      <c r="O1319" s="671"/>
      <c r="P1319" s="672"/>
      <c r="Q1319" s="688">
        <f>Q1318</f>
        <v>115</v>
      </c>
      <c r="R1319" s="688">
        <f>R1318</f>
        <v>115</v>
      </c>
      <c r="S1319" s="688">
        <v>0</v>
      </c>
      <c r="T1319" s="690">
        <f t="shared" si="162"/>
        <v>0</v>
      </c>
    </row>
    <row r="1320" spans="1:20" s="665" customFormat="1" ht="17.100000000000001" customHeight="1">
      <c r="A1320" s="1316" t="s">
        <v>1883</v>
      </c>
      <c r="B1320" s="1317"/>
      <c r="C1320" s="1316" t="s">
        <v>1761</v>
      </c>
      <c r="D1320" s="1317"/>
      <c r="E1320" s="675">
        <v>1.03</v>
      </c>
      <c r="F1320" s="676" t="s">
        <v>30</v>
      </c>
      <c r="G1320" s="670"/>
      <c r="H1320" s="670"/>
      <c r="I1320" s="670"/>
      <c r="J1320" s="670"/>
      <c r="K1320" s="670">
        <f>[53]운반공!$BQ$622</f>
        <v>364</v>
      </c>
      <c r="L1320" s="670">
        <f>INT(E1320*K1320)</f>
        <v>374</v>
      </c>
      <c r="M1320" s="670">
        <f t="shared" ref="M1320:N1326" si="170">G1320+I1320+K1320</f>
        <v>364</v>
      </c>
      <c r="N1320" s="670">
        <f t="shared" si="170"/>
        <v>374</v>
      </c>
      <c r="O1320" s="671"/>
      <c r="P1320" s="672"/>
      <c r="Q1320" s="688">
        <f>Q1319</f>
        <v>115</v>
      </c>
      <c r="R1320" s="688">
        <f>R1319</f>
        <v>115</v>
      </c>
      <c r="S1320" s="728">
        <v>1</v>
      </c>
      <c r="T1320" s="690">
        <f t="shared" si="162"/>
        <v>8.6999999999999994E-3</v>
      </c>
    </row>
    <row r="1321" spans="1:20" s="665" customFormat="1" ht="17.100000000000001" customHeight="1">
      <c r="A1321" s="1316" t="s">
        <v>248</v>
      </c>
      <c r="B1321" s="1317"/>
      <c r="C1321" s="1338"/>
      <c r="D1321" s="1317"/>
      <c r="E1321" s="701">
        <f>T1290</f>
        <v>1.11E-2</v>
      </c>
      <c r="F1321" s="676" t="s">
        <v>366</v>
      </c>
      <c r="G1321" s="670"/>
      <c r="H1321" s="670"/>
      <c r="I1321" s="670">
        <f>[53]노임단가!$T$5</f>
        <v>172068</v>
      </c>
      <c r="J1321" s="670">
        <f t="shared" ref="J1321:J1326" si="171">INT(E1321*I1321)</f>
        <v>1909</v>
      </c>
      <c r="K1321" s="670"/>
      <c r="L1321" s="670"/>
      <c r="M1321" s="670">
        <f t="shared" si="170"/>
        <v>172068</v>
      </c>
      <c r="N1321" s="670">
        <f t="shared" si="170"/>
        <v>1909</v>
      </c>
      <c r="O1321" s="671"/>
      <c r="P1321" s="672"/>
      <c r="Q1321" s="688">
        <f t="shared" ref="Q1321:R1325" si="172">Q1320</f>
        <v>115</v>
      </c>
      <c r="R1321" s="688">
        <f t="shared" si="172"/>
        <v>115</v>
      </c>
      <c r="S1321" s="728">
        <v>2</v>
      </c>
      <c r="T1321" s="690">
        <f t="shared" si="162"/>
        <v>1.7399999999999999E-2</v>
      </c>
    </row>
    <row r="1322" spans="1:20" s="665" customFormat="1" ht="17.100000000000001" customHeight="1">
      <c r="A1322" s="1316" t="s">
        <v>628</v>
      </c>
      <c r="B1322" s="1317"/>
      <c r="C1322" s="1381"/>
      <c r="D1322" s="1317"/>
      <c r="E1322" s="701">
        <f>T1291</f>
        <v>2.2200000000000001E-2</v>
      </c>
      <c r="F1322" s="676" t="s">
        <v>366</v>
      </c>
      <c r="G1322" s="670"/>
      <c r="H1322" s="670"/>
      <c r="I1322" s="670">
        <f>[53]노임단가!$T$6</f>
        <v>226122</v>
      </c>
      <c r="J1322" s="670">
        <f t="shared" si="171"/>
        <v>5019</v>
      </c>
      <c r="K1322" s="670"/>
      <c r="L1322" s="670"/>
      <c r="M1322" s="670">
        <f t="shared" si="170"/>
        <v>226122</v>
      </c>
      <c r="N1322" s="670">
        <f t="shared" si="170"/>
        <v>5019</v>
      </c>
      <c r="O1322" s="671"/>
      <c r="P1322" s="672"/>
      <c r="Q1322" s="688">
        <f t="shared" si="172"/>
        <v>115</v>
      </c>
      <c r="R1322" s="688">
        <f t="shared" si="172"/>
        <v>115</v>
      </c>
      <c r="S1322" s="728">
        <v>8</v>
      </c>
      <c r="T1322" s="690">
        <f>ROUND(S1322/R1322,4)</f>
        <v>6.9599999999999995E-2</v>
      </c>
    </row>
    <row r="1323" spans="1:20" s="665" customFormat="1" ht="17.100000000000001" customHeight="1">
      <c r="A1323" s="1316" t="s">
        <v>481</v>
      </c>
      <c r="B1323" s="1317"/>
      <c r="C1323" s="786" t="s">
        <v>395</v>
      </c>
      <c r="D1323" s="669"/>
      <c r="E1323" s="683">
        <f>T1292</f>
        <v>8.8900000000000007E-2</v>
      </c>
      <c r="F1323" s="676" t="s">
        <v>418</v>
      </c>
      <c r="G1323" s="670" t="e">
        <f>#REF!</f>
        <v>#REF!</v>
      </c>
      <c r="H1323" s="670" t="e">
        <f>INT(E1323*G1323)</f>
        <v>#REF!</v>
      </c>
      <c r="I1323" s="670" t="e">
        <f>#REF!</f>
        <v>#REF!</v>
      </c>
      <c r="J1323" s="670" t="e">
        <f t="shared" si="171"/>
        <v>#REF!</v>
      </c>
      <c r="K1323" s="670" t="e">
        <f>#REF!</f>
        <v>#REF!</v>
      </c>
      <c r="L1323" s="670" t="e">
        <f>INT(E1323*K1323)</f>
        <v>#REF!</v>
      </c>
      <c r="M1323" s="670" t="e">
        <f t="shared" si="170"/>
        <v>#REF!</v>
      </c>
      <c r="N1323" s="670" t="e">
        <f t="shared" si="170"/>
        <v>#REF!</v>
      </c>
      <c r="O1323" s="671"/>
      <c r="P1323" s="672"/>
      <c r="Q1323" s="688">
        <f>Q1321</f>
        <v>115</v>
      </c>
      <c r="R1323" s="688">
        <f>R1321</f>
        <v>115</v>
      </c>
      <c r="S1323" s="728"/>
      <c r="T1323" s="690">
        <f t="shared" si="162"/>
        <v>0</v>
      </c>
    </row>
    <row r="1324" spans="1:20" s="665" customFormat="1" ht="17.100000000000001" customHeight="1">
      <c r="A1324" s="1316" t="s">
        <v>1884</v>
      </c>
      <c r="B1324" s="1317"/>
      <c r="C1324" s="1338" t="s">
        <v>1885</v>
      </c>
      <c r="D1324" s="1317"/>
      <c r="E1324" s="701">
        <f>[53]구조물공!$BE$123</f>
        <v>4.5999999999999999E-2</v>
      </c>
      <c r="F1324" s="676" t="s">
        <v>850</v>
      </c>
      <c r="G1324" s="670" t="e">
        <f>$H$552</f>
        <v>#REF!</v>
      </c>
      <c r="H1324" s="670" t="e">
        <f>INT(E1324*G1324)</f>
        <v>#REF!</v>
      </c>
      <c r="I1324" s="670">
        <f>$J$552</f>
        <v>373604</v>
      </c>
      <c r="J1324" s="670">
        <f t="shared" si="171"/>
        <v>17185</v>
      </c>
      <c r="K1324" s="670">
        <f>$L$552</f>
        <v>5742</v>
      </c>
      <c r="L1324" s="670">
        <f>INT(E1324*K1324)</f>
        <v>264</v>
      </c>
      <c r="M1324" s="670" t="e">
        <f t="shared" si="170"/>
        <v>#REF!</v>
      </c>
      <c r="N1324" s="670" t="e">
        <f t="shared" si="170"/>
        <v>#REF!</v>
      </c>
      <c r="O1324" s="671">
        <f>$A$545</f>
        <v>139</v>
      </c>
      <c r="P1324" s="672"/>
      <c r="Q1324" s="688">
        <f t="shared" si="172"/>
        <v>115</v>
      </c>
      <c r="R1324" s="688">
        <f t="shared" si="172"/>
        <v>115</v>
      </c>
      <c r="S1324" s="728">
        <f>0.12*0.12*0.004</f>
        <v>5.7599999999999997E-5</v>
      </c>
      <c r="T1324" s="690">
        <f t="shared" si="162"/>
        <v>0</v>
      </c>
    </row>
    <row r="1325" spans="1:20" s="665" customFormat="1" ht="17.100000000000001" customHeight="1">
      <c r="A1325" s="1316" t="s">
        <v>1886</v>
      </c>
      <c r="B1325" s="1317"/>
      <c r="C1325" s="1381" t="s">
        <v>1529</v>
      </c>
      <c r="D1325" s="1317"/>
      <c r="E1325" s="683">
        <v>1.44E-4</v>
      </c>
      <c r="F1325" s="676" t="s">
        <v>850</v>
      </c>
      <c r="G1325" s="670" t="e">
        <f>$H$484</f>
        <v>#REF!</v>
      </c>
      <c r="H1325" s="670" t="e">
        <f>INT(E1325*G1325)</f>
        <v>#REF!</v>
      </c>
      <c r="I1325" s="670">
        <f>$J$484</f>
        <v>73989</v>
      </c>
      <c r="J1325" s="670">
        <f t="shared" si="171"/>
        <v>10</v>
      </c>
      <c r="K1325" s="670">
        <f>$L$484</f>
        <v>11220</v>
      </c>
      <c r="L1325" s="670">
        <f>INT(E1325*K1325)</f>
        <v>1</v>
      </c>
      <c r="M1325" s="670" t="e">
        <f t="shared" si="170"/>
        <v>#REF!</v>
      </c>
      <c r="N1325" s="670" t="e">
        <f t="shared" si="170"/>
        <v>#REF!</v>
      </c>
      <c r="O1325" s="671">
        <f>$A$479</f>
        <v>130</v>
      </c>
      <c r="P1325" s="672"/>
      <c r="Q1325" s="688">
        <f t="shared" si="172"/>
        <v>115</v>
      </c>
      <c r="R1325" s="688">
        <f t="shared" si="172"/>
        <v>115</v>
      </c>
      <c r="S1325" s="728"/>
      <c r="T1325" s="690">
        <f t="shared" si="162"/>
        <v>0</v>
      </c>
    </row>
    <row r="1326" spans="1:20" s="665" customFormat="1" ht="17.100000000000001" customHeight="1">
      <c r="A1326" s="1316" t="s">
        <v>1887</v>
      </c>
      <c r="B1326" s="1317"/>
      <c r="C1326" s="1338" t="s">
        <v>1841</v>
      </c>
      <c r="D1326" s="1317"/>
      <c r="E1326" s="675">
        <v>0.36</v>
      </c>
      <c r="F1326" s="676" t="s">
        <v>645</v>
      </c>
      <c r="G1326" s="778" t="e">
        <f>$H$726</f>
        <v>#REF!</v>
      </c>
      <c r="H1326" s="670" t="e">
        <f>INT(E1326*G1326)</f>
        <v>#REF!</v>
      </c>
      <c r="I1326" s="778">
        <f>$J$726</f>
        <v>34461</v>
      </c>
      <c r="J1326" s="670">
        <f t="shared" si="171"/>
        <v>12405</v>
      </c>
      <c r="K1326" s="670"/>
      <c r="L1326" s="670"/>
      <c r="M1326" s="670" t="e">
        <f t="shared" si="170"/>
        <v>#REF!</v>
      </c>
      <c r="N1326" s="670" t="e">
        <f t="shared" si="170"/>
        <v>#REF!</v>
      </c>
      <c r="O1326" s="671">
        <f>$A$721</f>
        <v>163</v>
      </c>
      <c r="P1326" s="672"/>
      <c r="Q1326" s="688"/>
      <c r="R1326" s="688"/>
      <c r="S1326" s="728"/>
      <c r="T1326" s="690" t="e">
        <f t="shared" si="162"/>
        <v>#DIV/0!</v>
      </c>
    </row>
    <row r="1327" spans="1:20" s="665" customFormat="1" ht="17.100000000000001" customHeight="1">
      <c r="A1327" s="1318" t="s">
        <v>1320</v>
      </c>
      <c r="B1327" s="1319"/>
      <c r="C1327" s="1371"/>
      <c r="D1327" s="1372"/>
      <c r="E1327" s="677"/>
      <c r="F1327" s="676"/>
      <c r="G1327" s="670"/>
      <c r="H1327" s="670" t="e">
        <f>SUM(H1319:H1326)</f>
        <v>#REF!</v>
      </c>
      <c r="I1327" s="670"/>
      <c r="J1327" s="670" t="e">
        <f>SUM(J1319:J1326)</f>
        <v>#REF!</v>
      </c>
      <c r="K1327" s="670"/>
      <c r="L1327" s="670" t="e">
        <f>SUM(L1319:L1326)</f>
        <v>#REF!</v>
      </c>
      <c r="M1327" s="670"/>
      <c r="N1327" s="670" t="e">
        <f>SUM(N1319:N1326)</f>
        <v>#REF!</v>
      </c>
      <c r="O1327" s="671"/>
      <c r="P1327" s="672" t="s">
        <v>1549</v>
      </c>
      <c r="Q1327" s="687" t="s">
        <v>1423</v>
      </c>
      <c r="R1327" s="688" t="s">
        <v>1876</v>
      </c>
      <c r="S1327" s="688" t="s">
        <v>1425</v>
      </c>
      <c r="T1327" s="688" t="s">
        <v>1426</v>
      </c>
    </row>
    <row r="1328" spans="1:20" s="665" customFormat="1" ht="17.100000000000001" customHeight="1">
      <c r="A1328" s="668">
        <f>A1318+1</f>
        <v>250</v>
      </c>
      <c r="B1328" s="1320" t="s">
        <v>1879</v>
      </c>
      <c r="C1328" s="1320"/>
      <c r="D1328" s="1320" t="s">
        <v>1875</v>
      </c>
      <c r="E1328" s="1320"/>
      <c r="F1328" s="669" t="s">
        <v>272</v>
      </c>
      <c r="G1328" s="670"/>
      <c r="H1328" s="670"/>
      <c r="I1328" s="670"/>
      <c r="J1328" s="670"/>
      <c r="K1328" s="670"/>
      <c r="L1328" s="670"/>
      <c r="M1328" s="670"/>
      <c r="N1328" s="670"/>
      <c r="O1328" s="699" t="s">
        <v>1562</v>
      </c>
      <c r="P1328" s="672" t="s">
        <v>1871</v>
      </c>
      <c r="Q1328" s="688">
        <v>120</v>
      </c>
      <c r="R1328" s="688">
        <f>Q1328</f>
        <v>120</v>
      </c>
      <c r="S1328" s="688">
        <v>0</v>
      </c>
      <c r="T1328" s="690">
        <f t="shared" si="162"/>
        <v>0</v>
      </c>
    </row>
    <row r="1329" spans="1:20" s="665" customFormat="1" ht="17.100000000000001" customHeight="1">
      <c r="A1329" s="1316" t="s">
        <v>1881</v>
      </c>
      <c r="B1329" s="1317"/>
      <c r="C1329" s="1316" t="s">
        <v>1888</v>
      </c>
      <c r="D1329" s="1317"/>
      <c r="E1329" s="675">
        <v>1.03</v>
      </c>
      <c r="F1329" s="676" t="s">
        <v>30</v>
      </c>
      <c r="G1329" s="778"/>
      <c r="H1329" s="778"/>
      <c r="I1329" s="670"/>
      <c r="J1329" s="670"/>
      <c r="K1329" s="670"/>
      <c r="L1329" s="670"/>
      <c r="M1329" s="670"/>
      <c r="N1329" s="670"/>
      <c r="O1329" s="671"/>
      <c r="P1329" s="672"/>
      <c r="Q1329" s="688">
        <f>Q1328</f>
        <v>120</v>
      </c>
      <c r="R1329" s="688">
        <f>R1328</f>
        <v>120</v>
      </c>
      <c r="S1329" s="688">
        <v>0</v>
      </c>
      <c r="T1329" s="690">
        <f t="shared" si="162"/>
        <v>0</v>
      </c>
    </row>
    <row r="1330" spans="1:20" s="665" customFormat="1" ht="17.100000000000001" customHeight="1">
      <c r="A1330" s="1316" t="s">
        <v>1883</v>
      </c>
      <c r="B1330" s="1317"/>
      <c r="C1330" s="1316" t="s">
        <v>1761</v>
      </c>
      <c r="D1330" s="1317"/>
      <c r="E1330" s="675">
        <v>1.03</v>
      </c>
      <c r="F1330" s="676" t="s">
        <v>30</v>
      </c>
      <c r="G1330" s="670"/>
      <c r="H1330" s="670"/>
      <c r="I1330" s="670"/>
      <c r="J1330" s="670"/>
      <c r="K1330" s="670">
        <f>[53]운반공!$BQ$623</f>
        <v>507</v>
      </c>
      <c r="L1330" s="670">
        <f>INT(E1330*K1330)</f>
        <v>522</v>
      </c>
      <c r="M1330" s="670">
        <f>G1330+I1330+K1330</f>
        <v>507</v>
      </c>
      <c r="N1330" s="670">
        <f>H1330+J1330+L1330</f>
        <v>522</v>
      </c>
      <c r="O1330" s="671"/>
      <c r="P1330" s="672"/>
      <c r="Q1330" s="688">
        <f>Q1329</f>
        <v>120</v>
      </c>
      <c r="R1330" s="688">
        <f>R1329</f>
        <v>120</v>
      </c>
      <c r="S1330" s="728">
        <v>1</v>
      </c>
      <c r="T1330" s="690">
        <f t="shared" si="162"/>
        <v>8.3000000000000001E-3</v>
      </c>
    </row>
    <row r="1331" spans="1:20" s="665" customFormat="1" ht="17.100000000000001" customHeight="1">
      <c r="A1331" s="1316" t="s">
        <v>248</v>
      </c>
      <c r="B1331" s="1317"/>
      <c r="C1331" s="1338"/>
      <c r="D1331" s="1317"/>
      <c r="E1331" s="683">
        <f>T1300</f>
        <v>1.54E-2</v>
      </c>
      <c r="F1331" s="676" t="s">
        <v>366</v>
      </c>
      <c r="G1331" s="670"/>
      <c r="H1331" s="670"/>
      <c r="I1331" s="670">
        <f>[53]노임단가!$T$5</f>
        <v>172068</v>
      </c>
      <c r="J1331" s="670">
        <f t="shared" ref="J1331:J1336" si="173">INT(E1331*I1331)</f>
        <v>2649</v>
      </c>
      <c r="K1331" s="670"/>
      <c r="L1331" s="670"/>
      <c r="M1331" s="670">
        <f t="shared" ref="M1331:N1336" si="174">G1331+I1331+K1331</f>
        <v>172068</v>
      </c>
      <c r="N1331" s="670">
        <f t="shared" si="174"/>
        <v>2649</v>
      </c>
      <c r="O1331" s="671"/>
      <c r="P1331" s="672"/>
      <c r="Q1331" s="688">
        <f t="shared" ref="Q1331:R1335" si="175">Q1330</f>
        <v>120</v>
      </c>
      <c r="R1331" s="688">
        <f t="shared" si="175"/>
        <v>120</v>
      </c>
      <c r="S1331" s="728">
        <v>2</v>
      </c>
      <c r="T1331" s="690">
        <f t="shared" si="162"/>
        <v>1.67E-2</v>
      </c>
    </row>
    <row r="1332" spans="1:20" s="665" customFormat="1" ht="17.100000000000001" customHeight="1">
      <c r="A1332" s="1316" t="s">
        <v>628</v>
      </c>
      <c r="B1332" s="1317"/>
      <c r="C1332" s="1381"/>
      <c r="D1332" s="1317"/>
      <c r="E1332" s="683">
        <f>T1301</f>
        <v>3.0800000000000001E-2</v>
      </c>
      <c r="F1332" s="676" t="s">
        <v>366</v>
      </c>
      <c r="G1332" s="670"/>
      <c r="H1332" s="670"/>
      <c r="I1332" s="670">
        <f>[53]노임단가!$T$6</f>
        <v>226122</v>
      </c>
      <c r="J1332" s="670">
        <f t="shared" si="173"/>
        <v>6964</v>
      </c>
      <c r="K1332" s="670"/>
      <c r="L1332" s="670"/>
      <c r="M1332" s="670">
        <f t="shared" si="174"/>
        <v>226122</v>
      </c>
      <c r="N1332" s="670">
        <f t="shared" si="174"/>
        <v>6964</v>
      </c>
      <c r="O1332" s="671"/>
      <c r="P1332" s="672"/>
      <c r="Q1332" s="688">
        <f t="shared" si="175"/>
        <v>120</v>
      </c>
      <c r="R1332" s="688">
        <f t="shared" si="175"/>
        <v>120</v>
      </c>
      <c r="S1332" s="728">
        <v>8</v>
      </c>
      <c r="T1332" s="690">
        <f>ROUND(S1332/R1332,4)</f>
        <v>6.6699999999999995E-2</v>
      </c>
    </row>
    <row r="1333" spans="1:20" s="665" customFormat="1" ht="17.100000000000001" customHeight="1">
      <c r="A1333" s="1316" t="s">
        <v>481</v>
      </c>
      <c r="B1333" s="1317"/>
      <c r="C1333" s="786" t="s">
        <v>395</v>
      </c>
      <c r="D1333" s="669"/>
      <c r="E1333" s="683">
        <f>T1302</f>
        <v>0.1231</v>
      </c>
      <c r="F1333" s="676" t="s">
        <v>418</v>
      </c>
      <c r="G1333" s="670" t="e">
        <f>#REF!</f>
        <v>#REF!</v>
      </c>
      <c r="H1333" s="670" t="e">
        <f>INT(E1333*G1333)</f>
        <v>#REF!</v>
      </c>
      <c r="I1333" s="670" t="e">
        <f>#REF!</f>
        <v>#REF!</v>
      </c>
      <c r="J1333" s="670" t="e">
        <f t="shared" si="173"/>
        <v>#REF!</v>
      </c>
      <c r="K1333" s="670" t="e">
        <f>#REF!</f>
        <v>#REF!</v>
      </c>
      <c r="L1333" s="670" t="e">
        <f>INT(E1333*K1333)</f>
        <v>#REF!</v>
      </c>
      <c r="M1333" s="670" t="e">
        <f t="shared" si="174"/>
        <v>#REF!</v>
      </c>
      <c r="N1333" s="670" t="e">
        <f t="shared" si="174"/>
        <v>#REF!</v>
      </c>
      <c r="O1333" s="671"/>
      <c r="P1333" s="672"/>
      <c r="Q1333" s="688">
        <f>Q1331</f>
        <v>120</v>
      </c>
      <c r="R1333" s="688">
        <f>R1331</f>
        <v>120</v>
      </c>
      <c r="S1333" s="728"/>
      <c r="T1333" s="690">
        <f t="shared" si="162"/>
        <v>0</v>
      </c>
    </row>
    <row r="1334" spans="1:20" s="665" customFormat="1" ht="17.100000000000001" customHeight="1">
      <c r="A1334" s="1316" t="s">
        <v>1884</v>
      </c>
      <c r="B1334" s="1317"/>
      <c r="C1334" s="1338" t="s">
        <v>1885</v>
      </c>
      <c r="D1334" s="1317"/>
      <c r="E1334" s="701">
        <f>[53]구조물공!$BE$124</f>
        <v>4.9000000000000002E-2</v>
      </c>
      <c r="F1334" s="676" t="s">
        <v>850</v>
      </c>
      <c r="G1334" s="670" t="e">
        <f>$H$552</f>
        <v>#REF!</v>
      </c>
      <c r="H1334" s="670" t="e">
        <f>INT(E1334*G1334)</f>
        <v>#REF!</v>
      </c>
      <c r="I1334" s="670">
        <f>$J$552</f>
        <v>373604</v>
      </c>
      <c r="J1334" s="670">
        <f t="shared" si="173"/>
        <v>18306</v>
      </c>
      <c r="K1334" s="670">
        <f>$L$552</f>
        <v>5742</v>
      </c>
      <c r="L1334" s="670">
        <f>INT(E1334*K1334)</f>
        <v>281</v>
      </c>
      <c r="M1334" s="670" t="e">
        <f t="shared" si="174"/>
        <v>#REF!</v>
      </c>
      <c r="N1334" s="670" t="e">
        <f t="shared" si="174"/>
        <v>#REF!</v>
      </c>
      <c r="O1334" s="671">
        <f>$A$545</f>
        <v>139</v>
      </c>
      <c r="P1334" s="672"/>
      <c r="Q1334" s="688">
        <f t="shared" si="175"/>
        <v>120</v>
      </c>
      <c r="R1334" s="688">
        <f t="shared" si="175"/>
        <v>120</v>
      </c>
      <c r="S1334" s="728">
        <f>0.15*0.15*0.004</f>
        <v>8.9999999999999992E-5</v>
      </c>
      <c r="T1334" s="690">
        <f t="shared" si="162"/>
        <v>0</v>
      </c>
    </row>
    <row r="1335" spans="1:20" s="665" customFormat="1" ht="17.100000000000001" customHeight="1">
      <c r="A1335" s="1316" t="s">
        <v>1886</v>
      </c>
      <c r="B1335" s="1317"/>
      <c r="C1335" s="1381" t="s">
        <v>1529</v>
      </c>
      <c r="D1335" s="1317"/>
      <c r="E1335" s="683">
        <v>2.0000000000000001E-4</v>
      </c>
      <c r="F1335" s="676" t="s">
        <v>850</v>
      </c>
      <c r="G1335" s="670" t="e">
        <f>$H$484</f>
        <v>#REF!</v>
      </c>
      <c r="H1335" s="670" t="e">
        <f>INT(E1335*G1335)</f>
        <v>#REF!</v>
      </c>
      <c r="I1335" s="670">
        <f>$J$484</f>
        <v>73989</v>
      </c>
      <c r="J1335" s="670">
        <f t="shared" si="173"/>
        <v>14</v>
      </c>
      <c r="K1335" s="670">
        <f>$L$484</f>
        <v>11220</v>
      </c>
      <c r="L1335" s="670">
        <f>INT(E1335*K1335)</f>
        <v>2</v>
      </c>
      <c r="M1335" s="670" t="e">
        <f t="shared" si="174"/>
        <v>#REF!</v>
      </c>
      <c r="N1335" s="670" t="e">
        <f t="shared" si="174"/>
        <v>#REF!</v>
      </c>
      <c r="O1335" s="671">
        <f>$A$479</f>
        <v>130</v>
      </c>
      <c r="P1335" s="672"/>
      <c r="Q1335" s="688">
        <f t="shared" si="175"/>
        <v>120</v>
      </c>
      <c r="R1335" s="688">
        <f t="shared" si="175"/>
        <v>120</v>
      </c>
      <c r="S1335" s="728"/>
      <c r="T1335" s="690">
        <f t="shared" si="162"/>
        <v>0</v>
      </c>
    </row>
    <row r="1336" spans="1:20" s="665" customFormat="1" ht="17.100000000000001" customHeight="1">
      <c r="A1336" s="1316" t="s">
        <v>1887</v>
      </c>
      <c r="B1336" s="1317"/>
      <c r="C1336" s="1338" t="s">
        <v>1841</v>
      </c>
      <c r="D1336" s="1317"/>
      <c r="E1336" s="675">
        <v>0.36</v>
      </c>
      <c r="F1336" s="676" t="s">
        <v>645</v>
      </c>
      <c r="G1336" s="778" t="e">
        <f>$H$726</f>
        <v>#REF!</v>
      </c>
      <c r="H1336" s="670" t="e">
        <f>INT(E1336*G1336)</f>
        <v>#REF!</v>
      </c>
      <c r="I1336" s="778">
        <f>$J$726</f>
        <v>34461</v>
      </c>
      <c r="J1336" s="670">
        <f t="shared" si="173"/>
        <v>12405</v>
      </c>
      <c r="K1336" s="670"/>
      <c r="L1336" s="670"/>
      <c r="M1336" s="670" t="e">
        <f t="shared" si="174"/>
        <v>#REF!</v>
      </c>
      <c r="N1336" s="670" t="e">
        <f t="shared" si="174"/>
        <v>#REF!</v>
      </c>
      <c r="O1336" s="671">
        <f>$A$721</f>
        <v>163</v>
      </c>
      <c r="P1336" s="672"/>
      <c r="T1336" s="690" t="e">
        <f t="shared" si="162"/>
        <v>#DIV/0!</v>
      </c>
    </row>
    <row r="1337" spans="1:20" s="665" customFormat="1" ht="17.100000000000001" customHeight="1">
      <c r="A1337" s="1318" t="s">
        <v>1320</v>
      </c>
      <c r="B1337" s="1319"/>
      <c r="C1337" s="1371"/>
      <c r="D1337" s="1372"/>
      <c r="E1337" s="677"/>
      <c r="F1337" s="676"/>
      <c r="G1337" s="670"/>
      <c r="H1337" s="670" t="e">
        <f>SUM(H1329:H1336)</f>
        <v>#REF!</v>
      </c>
      <c r="I1337" s="670"/>
      <c r="J1337" s="670" t="e">
        <f>SUM(J1329:J1336)</f>
        <v>#REF!</v>
      </c>
      <c r="K1337" s="670"/>
      <c r="L1337" s="670" t="e">
        <f>SUM(L1329:L1336)</f>
        <v>#REF!</v>
      </c>
      <c r="M1337" s="670"/>
      <c r="N1337" s="670" t="e">
        <f>SUM(N1329:N1336)</f>
        <v>#REF!</v>
      </c>
      <c r="O1337" s="671"/>
      <c r="P1337" s="672" t="s">
        <v>1549</v>
      </c>
      <c r="Q1337" s="687" t="s">
        <v>1423</v>
      </c>
      <c r="R1337" s="688" t="s">
        <v>1876</v>
      </c>
      <c r="S1337" s="688" t="s">
        <v>1425</v>
      </c>
      <c r="T1337" s="688" t="s">
        <v>1426</v>
      </c>
    </row>
    <row r="1338" spans="1:20" s="665" customFormat="1" ht="17.100000000000001" customHeight="1">
      <c r="A1338" s="668">
        <f>A1328+1</f>
        <v>251</v>
      </c>
      <c r="B1338" s="1320" t="s">
        <v>1879</v>
      </c>
      <c r="C1338" s="1320"/>
      <c r="D1338" s="1320" t="s">
        <v>1889</v>
      </c>
      <c r="E1338" s="1320"/>
      <c r="F1338" s="669" t="s">
        <v>272</v>
      </c>
      <c r="G1338" s="670"/>
      <c r="H1338" s="670"/>
      <c r="I1338" s="670"/>
      <c r="J1338" s="670"/>
      <c r="K1338" s="670"/>
      <c r="L1338" s="670"/>
      <c r="M1338" s="670"/>
      <c r="N1338" s="670"/>
      <c r="O1338" s="699" t="s">
        <v>1562</v>
      </c>
      <c r="P1338" s="672" t="s">
        <v>1871</v>
      </c>
      <c r="Q1338" s="688">
        <v>120</v>
      </c>
      <c r="R1338" s="688">
        <f>Q1338</f>
        <v>120</v>
      </c>
      <c r="S1338" s="688">
        <v>0</v>
      </c>
      <c r="T1338" s="690">
        <f t="shared" si="162"/>
        <v>0</v>
      </c>
    </row>
    <row r="1339" spans="1:20" s="665" customFormat="1" ht="17.100000000000001" customHeight="1">
      <c r="A1339" s="1316" t="s">
        <v>1881</v>
      </c>
      <c r="B1339" s="1317"/>
      <c r="C1339" s="1316" t="s">
        <v>1890</v>
      </c>
      <c r="D1339" s="1317"/>
      <c r="E1339" s="675">
        <v>1.03</v>
      </c>
      <c r="F1339" s="676" t="s">
        <v>30</v>
      </c>
      <c r="G1339" s="778"/>
      <c r="H1339" s="778"/>
      <c r="I1339" s="670"/>
      <c r="J1339" s="670"/>
      <c r="K1339" s="670"/>
      <c r="L1339" s="670"/>
      <c r="M1339" s="670"/>
      <c r="N1339" s="670"/>
      <c r="O1339" s="671"/>
      <c r="P1339" s="672"/>
      <c r="Q1339" s="688">
        <f t="shared" ref="Q1339:R1345" si="176">Q1338</f>
        <v>120</v>
      </c>
      <c r="R1339" s="688">
        <f t="shared" si="176"/>
        <v>120</v>
      </c>
      <c r="S1339" s="688">
        <v>0</v>
      </c>
      <c r="T1339" s="690">
        <f t="shared" si="162"/>
        <v>0</v>
      </c>
    </row>
    <row r="1340" spans="1:20" s="665" customFormat="1" ht="17.100000000000001" customHeight="1">
      <c r="A1340" s="1316" t="s">
        <v>1883</v>
      </c>
      <c r="B1340" s="1317"/>
      <c r="C1340" s="1316" t="s">
        <v>1761</v>
      </c>
      <c r="D1340" s="1317"/>
      <c r="E1340" s="675">
        <v>1.03</v>
      </c>
      <c r="F1340" s="676" t="s">
        <v>30</v>
      </c>
      <c r="G1340" s="670"/>
      <c r="H1340" s="670"/>
      <c r="I1340" s="670"/>
      <c r="J1340" s="670"/>
      <c r="K1340" s="670">
        <f>[53]운반공!$BQ$624</f>
        <v>608</v>
      </c>
      <c r="L1340" s="670">
        <f>INT(E1340*K1340)</f>
        <v>626</v>
      </c>
      <c r="M1340" s="670">
        <f>G1340+I1340+K1340</f>
        <v>608</v>
      </c>
      <c r="N1340" s="670">
        <f>H1340+J1340+L1340</f>
        <v>626</v>
      </c>
      <c r="O1340" s="671"/>
      <c r="P1340" s="672"/>
      <c r="Q1340" s="688">
        <f>Q1339</f>
        <v>120</v>
      </c>
      <c r="R1340" s="688">
        <f>R1339</f>
        <v>120</v>
      </c>
      <c r="S1340" s="728">
        <v>1</v>
      </c>
      <c r="T1340" s="690">
        <f t="shared" si="162"/>
        <v>8.3000000000000001E-3</v>
      </c>
    </row>
    <row r="1341" spans="1:20" s="665" customFormat="1" ht="17.100000000000001" customHeight="1">
      <c r="A1341" s="1316" t="s">
        <v>248</v>
      </c>
      <c r="B1341" s="1317"/>
      <c r="C1341" s="1338"/>
      <c r="D1341" s="1317"/>
      <c r="E1341" s="683">
        <f>T1310</f>
        <v>2.5000000000000001E-2</v>
      </c>
      <c r="F1341" s="676" t="s">
        <v>366</v>
      </c>
      <c r="G1341" s="670"/>
      <c r="H1341" s="670"/>
      <c r="I1341" s="670">
        <f>[53]노임단가!$T$5</f>
        <v>172068</v>
      </c>
      <c r="J1341" s="670">
        <f t="shared" ref="J1341:J1346" si="177">INT(E1341*I1341)</f>
        <v>4301</v>
      </c>
      <c r="K1341" s="670"/>
      <c r="L1341" s="670"/>
      <c r="M1341" s="670">
        <f t="shared" ref="M1341:N1346" si="178">G1341+I1341+K1341</f>
        <v>172068</v>
      </c>
      <c r="N1341" s="670">
        <f t="shared" si="178"/>
        <v>4301</v>
      </c>
      <c r="O1341" s="671"/>
      <c r="P1341" s="672"/>
      <c r="Q1341" s="688">
        <f t="shared" si="176"/>
        <v>120</v>
      </c>
      <c r="R1341" s="688">
        <f t="shared" si="176"/>
        <v>120</v>
      </c>
      <c r="S1341" s="728">
        <v>2</v>
      </c>
      <c r="T1341" s="690">
        <f>ROUND(S1341/R1341,4)</f>
        <v>1.67E-2</v>
      </c>
    </row>
    <row r="1342" spans="1:20" s="665" customFormat="1" ht="17.100000000000001" customHeight="1">
      <c r="A1342" s="1316" t="s">
        <v>628</v>
      </c>
      <c r="B1342" s="1317"/>
      <c r="C1342" s="1381"/>
      <c r="D1342" s="1317"/>
      <c r="E1342" s="683">
        <f>T1311</f>
        <v>0.05</v>
      </c>
      <c r="F1342" s="676" t="s">
        <v>366</v>
      </c>
      <c r="G1342" s="670"/>
      <c r="H1342" s="670"/>
      <c r="I1342" s="670">
        <f>[53]노임단가!$T$6</f>
        <v>226122</v>
      </c>
      <c r="J1342" s="670">
        <f t="shared" si="177"/>
        <v>11306</v>
      </c>
      <c r="K1342" s="670"/>
      <c r="L1342" s="670"/>
      <c r="M1342" s="670">
        <f t="shared" si="178"/>
        <v>226122</v>
      </c>
      <c r="N1342" s="670">
        <f t="shared" si="178"/>
        <v>11306</v>
      </c>
      <c r="O1342" s="671"/>
      <c r="P1342" s="672"/>
      <c r="Q1342" s="688">
        <f t="shared" si="176"/>
        <v>120</v>
      </c>
      <c r="R1342" s="688">
        <f t="shared" si="176"/>
        <v>120</v>
      </c>
      <c r="S1342" s="728">
        <v>8</v>
      </c>
      <c r="T1342" s="690">
        <f>ROUND(S1342/R1342,4)</f>
        <v>6.6699999999999995E-2</v>
      </c>
    </row>
    <row r="1343" spans="1:20" s="665" customFormat="1" ht="17.100000000000001" customHeight="1">
      <c r="A1343" s="1316" t="s">
        <v>481</v>
      </c>
      <c r="B1343" s="1317"/>
      <c r="C1343" s="786" t="s">
        <v>395</v>
      </c>
      <c r="D1343" s="669"/>
      <c r="E1343" s="683">
        <f>T1312</f>
        <v>0.2</v>
      </c>
      <c r="F1343" s="676" t="s">
        <v>418</v>
      </c>
      <c r="G1343" s="670" t="e">
        <f>#REF!</f>
        <v>#REF!</v>
      </c>
      <c r="H1343" s="670" t="e">
        <f>INT(E1343*G1343)</f>
        <v>#REF!</v>
      </c>
      <c r="I1343" s="670" t="e">
        <f>#REF!</f>
        <v>#REF!</v>
      </c>
      <c r="J1343" s="670" t="e">
        <f t="shared" si="177"/>
        <v>#REF!</v>
      </c>
      <c r="K1343" s="670" t="e">
        <f>#REF!</f>
        <v>#REF!</v>
      </c>
      <c r="L1343" s="670" t="e">
        <f>INT(E1343*K1343)</f>
        <v>#REF!</v>
      </c>
      <c r="M1343" s="670" t="e">
        <f t="shared" si="178"/>
        <v>#REF!</v>
      </c>
      <c r="N1343" s="670" t="e">
        <f t="shared" si="178"/>
        <v>#REF!</v>
      </c>
      <c r="O1343" s="671"/>
      <c r="P1343" s="672"/>
      <c r="Q1343" s="688">
        <f>Q1341</f>
        <v>120</v>
      </c>
      <c r="R1343" s="688">
        <f>R1341</f>
        <v>120</v>
      </c>
      <c r="S1343" s="728"/>
      <c r="T1343" s="690">
        <f>ROUND(S1343/R1343,4)</f>
        <v>0</v>
      </c>
    </row>
    <row r="1344" spans="1:20" s="665" customFormat="1" ht="17.100000000000001" customHeight="1">
      <c r="A1344" s="1316" t="s">
        <v>1884</v>
      </c>
      <c r="B1344" s="1317"/>
      <c r="C1344" s="1338" t="s">
        <v>1885</v>
      </c>
      <c r="D1344" s="1317"/>
      <c r="E1344" s="701">
        <f>[53]구조물공!$BE$125</f>
        <v>4.9000000000000002E-2</v>
      </c>
      <c r="F1344" s="676" t="s">
        <v>850</v>
      </c>
      <c r="G1344" s="670" t="e">
        <f>$H$552</f>
        <v>#REF!</v>
      </c>
      <c r="H1344" s="670" t="e">
        <f>INT(E1344*G1344)</f>
        <v>#REF!</v>
      </c>
      <c r="I1344" s="670">
        <f>$J$552</f>
        <v>373604</v>
      </c>
      <c r="J1344" s="670">
        <f t="shared" si="177"/>
        <v>18306</v>
      </c>
      <c r="K1344" s="670">
        <f>$L$552</f>
        <v>5742</v>
      </c>
      <c r="L1344" s="670">
        <f>INT(E1344*K1344)</f>
        <v>281</v>
      </c>
      <c r="M1344" s="670" t="e">
        <f t="shared" si="178"/>
        <v>#REF!</v>
      </c>
      <c r="N1344" s="670" t="e">
        <f t="shared" si="178"/>
        <v>#REF!</v>
      </c>
      <c r="O1344" s="671">
        <f>$A$545</f>
        <v>139</v>
      </c>
      <c r="P1344" s="672"/>
      <c r="Q1344" s="688">
        <f t="shared" si="176"/>
        <v>120</v>
      </c>
      <c r="R1344" s="688">
        <f t="shared" si="176"/>
        <v>120</v>
      </c>
      <c r="S1344" s="728">
        <f>0.15*0.15*0.004</f>
        <v>8.9999999999999992E-5</v>
      </c>
      <c r="T1344" s="690">
        <f>ROUND(S1344/R1344,4)</f>
        <v>0</v>
      </c>
    </row>
    <row r="1345" spans="1:22" s="665" customFormat="1" ht="17.100000000000001" customHeight="1">
      <c r="A1345" s="1316" t="s">
        <v>1886</v>
      </c>
      <c r="B1345" s="1317"/>
      <c r="C1345" s="1381" t="s">
        <v>1529</v>
      </c>
      <c r="D1345" s="1317"/>
      <c r="E1345" s="683">
        <v>2.4000000000000001E-4</v>
      </c>
      <c r="F1345" s="676" t="s">
        <v>850</v>
      </c>
      <c r="G1345" s="670" t="e">
        <f>$H$484</f>
        <v>#REF!</v>
      </c>
      <c r="H1345" s="670" t="e">
        <f>INT(E1345*G1345)</f>
        <v>#REF!</v>
      </c>
      <c r="I1345" s="670">
        <f>$J$484</f>
        <v>73989</v>
      </c>
      <c r="J1345" s="670">
        <f t="shared" si="177"/>
        <v>17</v>
      </c>
      <c r="K1345" s="670">
        <f>$L$484</f>
        <v>11220</v>
      </c>
      <c r="L1345" s="670">
        <f>INT(E1345*K1345)</f>
        <v>2</v>
      </c>
      <c r="M1345" s="670" t="e">
        <f t="shared" si="178"/>
        <v>#REF!</v>
      </c>
      <c r="N1345" s="670" t="e">
        <f t="shared" si="178"/>
        <v>#REF!</v>
      </c>
      <c r="O1345" s="671">
        <f>$A$479</f>
        <v>130</v>
      </c>
      <c r="P1345" s="672"/>
      <c r="Q1345" s="688">
        <f t="shared" si="176"/>
        <v>120</v>
      </c>
      <c r="R1345" s="688">
        <f t="shared" si="176"/>
        <v>120</v>
      </c>
      <c r="S1345" s="728"/>
      <c r="T1345" s="690">
        <f>ROUND(S1345/R1345,4)</f>
        <v>0</v>
      </c>
    </row>
    <row r="1346" spans="1:22" s="665" customFormat="1" ht="17.100000000000001" customHeight="1">
      <c r="A1346" s="1316" t="s">
        <v>1887</v>
      </c>
      <c r="B1346" s="1317"/>
      <c r="C1346" s="1338" t="s">
        <v>1841</v>
      </c>
      <c r="D1346" s="1317"/>
      <c r="E1346" s="675">
        <v>0.36</v>
      </c>
      <c r="F1346" s="676" t="s">
        <v>645</v>
      </c>
      <c r="G1346" s="778" t="e">
        <f>$H$726</f>
        <v>#REF!</v>
      </c>
      <c r="H1346" s="670" t="e">
        <f>INT(E1346*G1346)</f>
        <v>#REF!</v>
      </c>
      <c r="I1346" s="778">
        <f>$J$726</f>
        <v>34461</v>
      </c>
      <c r="J1346" s="670">
        <f t="shared" si="177"/>
        <v>12405</v>
      </c>
      <c r="K1346" s="670"/>
      <c r="L1346" s="670"/>
      <c r="M1346" s="670" t="e">
        <f t="shared" si="178"/>
        <v>#REF!</v>
      </c>
      <c r="N1346" s="670" t="e">
        <f t="shared" si="178"/>
        <v>#REF!</v>
      </c>
      <c r="O1346" s="671">
        <f>$A$721</f>
        <v>163</v>
      </c>
      <c r="P1346" s="672"/>
    </row>
    <row r="1347" spans="1:22" s="665" customFormat="1" ht="17.100000000000001" customHeight="1">
      <c r="A1347" s="1318" t="s">
        <v>1320</v>
      </c>
      <c r="B1347" s="1319"/>
      <c r="C1347" s="1371"/>
      <c r="D1347" s="1372"/>
      <c r="E1347" s="677"/>
      <c r="F1347" s="676"/>
      <c r="G1347" s="670"/>
      <c r="H1347" s="670" t="e">
        <f>SUM(H1339:H1346)</f>
        <v>#REF!</v>
      </c>
      <c r="I1347" s="670"/>
      <c r="J1347" s="670" t="e">
        <f>SUM(J1339:J1346)</f>
        <v>#REF!</v>
      </c>
      <c r="K1347" s="670"/>
      <c r="L1347" s="670" t="e">
        <f>SUM(L1339:L1346)</f>
        <v>#REF!</v>
      </c>
      <c r="M1347" s="670"/>
      <c r="N1347" s="670" t="e">
        <f>SUM(N1339:N1346)</f>
        <v>#REF!</v>
      </c>
      <c r="O1347" s="671"/>
      <c r="P1347" s="672" t="s">
        <v>1549</v>
      </c>
      <c r="Q1347" s="687" t="s">
        <v>1423</v>
      </c>
      <c r="R1347" s="688" t="s">
        <v>1876</v>
      </c>
      <c r="S1347" s="688" t="s">
        <v>1425</v>
      </c>
      <c r="T1347" s="688" t="s">
        <v>1426</v>
      </c>
    </row>
    <row r="1348" spans="1:22" s="665" customFormat="1" ht="17.100000000000001" customHeight="1">
      <c r="A1348" s="668">
        <f>A1338+1</f>
        <v>252</v>
      </c>
      <c r="B1348" s="1320" t="s">
        <v>1891</v>
      </c>
      <c r="C1348" s="1320"/>
      <c r="D1348" s="1320" t="s">
        <v>1892</v>
      </c>
      <c r="E1348" s="1320"/>
      <c r="F1348" s="669" t="s">
        <v>272</v>
      </c>
      <c r="G1348" s="670"/>
      <c r="H1348" s="670"/>
      <c r="I1348" s="670"/>
      <c r="J1348" s="670"/>
      <c r="K1348" s="670"/>
      <c r="L1348" s="670"/>
      <c r="M1348" s="670"/>
      <c r="N1348" s="670"/>
      <c r="O1348" s="699" t="s">
        <v>1562</v>
      </c>
      <c r="P1348" s="672" t="s">
        <v>1871</v>
      </c>
      <c r="Q1348" s="688">
        <v>115</v>
      </c>
      <c r="R1348" s="688">
        <f>Q1348</f>
        <v>115</v>
      </c>
      <c r="S1348" s="688">
        <v>0</v>
      </c>
      <c r="T1348" s="688"/>
    </row>
    <row r="1349" spans="1:22" s="665" customFormat="1" ht="17.100000000000001" customHeight="1">
      <c r="A1349" s="1316" t="s">
        <v>1893</v>
      </c>
      <c r="B1349" s="1317"/>
      <c r="C1349" s="1316" t="s">
        <v>1894</v>
      </c>
      <c r="D1349" s="1317"/>
      <c r="E1349" s="675">
        <v>1.03</v>
      </c>
      <c r="F1349" s="676" t="s">
        <v>30</v>
      </c>
      <c r="G1349" s="778"/>
      <c r="H1349" s="778"/>
      <c r="I1349" s="670"/>
      <c r="J1349" s="670"/>
      <c r="K1349" s="670"/>
      <c r="L1349" s="670"/>
      <c r="M1349" s="670"/>
      <c r="N1349" s="670"/>
      <c r="O1349" s="671"/>
      <c r="P1349" s="672"/>
      <c r="Q1349" s="688">
        <f>Q1348</f>
        <v>115</v>
      </c>
      <c r="R1349" s="688">
        <f>R1348</f>
        <v>115</v>
      </c>
      <c r="S1349" s="728">
        <v>1</v>
      </c>
      <c r="T1349" s="690">
        <f t="shared" ref="T1349:T1355" si="179">ROUND(S1349/R1349,4)</f>
        <v>8.6999999999999994E-3</v>
      </c>
    </row>
    <row r="1350" spans="1:22" s="665" customFormat="1" ht="17.100000000000001" customHeight="1">
      <c r="A1350" s="1316" t="s">
        <v>1895</v>
      </c>
      <c r="B1350" s="1317"/>
      <c r="C1350" s="1316" t="s">
        <v>1761</v>
      </c>
      <c r="D1350" s="1317"/>
      <c r="E1350" s="675">
        <v>1.03</v>
      </c>
      <c r="F1350" s="676" t="s">
        <v>30</v>
      </c>
      <c r="G1350" s="670"/>
      <c r="H1350" s="670"/>
      <c r="I1350" s="670"/>
      <c r="J1350" s="670"/>
      <c r="K1350" s="670">
        <f>[53]운반공!$BQ$620</f>
        <v>146</v>
      </c>
      <c r="L1350" s="670">
        <f>INT(E1350*K1350)</f>
        <v>150</v>
      </c>
      <c r="M1350" s="670">
        <f>G1350+I1350+K1350</f>
        <v>146</v>
      </c>
      <c r="N1350" s="670">
        <f>H1350+J1350+L1350</f>
        <v>150</v>
      </c>
      <c r="O1350" s="671"/>
      <c r="P1350" s="672"/>
      <c r="Q1350" s="688">
        <f t="shared" ref="Q1350:R1354" si="180">Q1349</f>
        <v>115</v>
      </c>
      <c r="R1350" s="688">
        <f t="shared" si="180"/>
        <v>115</v>
      </c>
      <c r="S1350" s="728">
        <v>2</v>
      </c>
      <c r="T1350" s="690">
        <f t="shared" si="179"/>
        <v>1.7399999999999999E-2</v>
      </c>
    </row>
    <row r="1351" spans="1:22" s="665" customFormat="1" ht="17.100000000000001" customHeight="1">
      <c r="A1351" s="1316" t="s">
        <v>248</v>
      </c>
      <c r="B1351" s="1317"/>
      <c r="C1351" s="1338"/>
      <c r="D1351" s="1317"/>
      <c r="E1351" s="683">
        <f>T1320</f>
        <v>8.6999999999999994E-3</v>
      </c>
      <c r="F1351" s="676" t="s">
        <v>366</v>
      </c>
      <c r="G1351" s="670"/>
      <c r="H1351" s="670"/>
      <c r="I1351" s="670">
        <f>[53]노임단가!$T$5</f>
        <v>172068</v>
      </c>
      <c r="J1351" s="670">
        <f t="shared" ref="J1351:J1356" si="181">INT(E1351*I1351)</f>
        <v>1496</v>
      </c>
      <c r="K1351" s="670"/>
      <c r="L1351" s="670"/>
      <c r="M1351" s="670">
        <f t="shared" ref="M1351:N1356" si="182">G1351+I1351+K1351</f>
        <v>172068</v>
      </c>
      <c r="N1351" s="670">
        <f t="shared" si="182"/>
        <v>1496</v>
      </c>
      <c r="O1351" s="671"/>
      <c r="P1351" s="672"/>
      <c r="Q1351" s="688">
        <f t="shared" si="180"/>
        <v>115</v>
      </c>
      <c r="R1351" s="688">
        <f t="shared" si="180"/>
        <v>115</v>
      </c>
      <c r="S1351" s="728">
        <v>8</v>
      </c>
      <c r="T1351" s="690">
        <f t="shared" si="179"/>
        <v>6.9599999999999995E-2</v>
      </c>
    </row>
    <row r="1352" spans="1:22" s="665" customFormat="1" ht="17.100000000000001" customHeight="1">
      <c r="A1352" s="1316" t="s">
        <v>628</v>
      </c>
      <c r="B1352" s="1317"/>
      <c r="C1352" s="1381"/>
      <c r="D1352" s="1317"/>
      <c r="E1352" s="683">
        <f>T1321</f>
        <v>1.7399999999999999E-2</v>
      </c>
      <c r="F1352" s="676" t="s">
        <v>366</v>
      </c>
      <c r="G1352" s="670"/>
      <c r="H1352" s="670"/>
      <c r="I1352" s="670">
        <f>[53]노임단가!$T$6</f>
        <v>226122</v>
      </c>
      <c r="J1352" s="670">
        <f t="shared" si="181"/>
        <v>3934</v>
      </c>
      <c r="K1352" s="670"/>
      <c r="L1352" s="670"/>
      <c r="M1352" s="670">
        <f t="shared" si="182"/>
        <v>226122</v>
      </c>
      <c r="N1352" s="670">
        <f t="shared" si="182"/>
        <v>3934</v>
      </c>
      <c r="O1352" s="671"/>
      <c r="P1352" s="672"/>
      <c r="Q1352" s="688">
        <f>Q1350</f>
        <v>115</v>
      </c>
      <c r="R1352" s="688">
        <f>R1350</f>
        <v>115</v>
      </c>
      <c r="S1352" s="728"/>
      <c r="T1352" s="690">
        <f t="shared" si="179"/>
        <v>0</v>
      </c>
    </row>
    <row r="1353" spans="1:22" s="665" customFormat="1" ht="17.100000000000001" customHeight="1">
      <c r="A1353" s="1316" t="s">
        <v>481</v>
      </c>
      <c r="B1353" s="1317"/>
      <c r="C1353" s="786" t="s">
        <v>395</v>
      </c>
      <c r="D1353" s="669"/>
      <c r="E1353" s="683">
        <f>T1322</f>
        <v>6.9599999999999995E-2</v>
      </c>
      <c r="F1353" s="676" t="s">
        <v>418</v>
      </c>
      <c r="G1353" s="670" t="e">
        <f>#REF!</f>
        <v>#REF!</v>
      </c>
      <c r="H1353" s="670" t="e">
        <f>INT(E1353*G1353)</f>
        <v>#REF!</v>
      </c>
      <c r="I1353" s="670" t="e">
        <f>#REF!</f>
        <v>#REF!</v>
      </c>
      <c r="J1353" s="670" t="e">
        <f t="shared" si="181"/>
        <v>#REF!</v>
      </c>
      <c r="K1353" s="670" t="e">
        <f>#REF!</f>
        <v>#REF!</v>
      </c>
      <c r="L1353" s="670" t="e">
        <f>INT(E1353*K1353)</f>
        <v>#REF!</v>
      </c>
      <c r="M1353" s="670" t="e">
        <f t="shared" si="182"/>
        <v>#REF!</v>
      </c>
      <c r="N1353" s="670" t="e">
        <f t="shared" si="182"/>
        <v>#REF!</v>
      </c>
      <c r="O1353" s="671"/>
      <c r="P1353" s="672"/>
      <c r="Q1353" s="688">
        <f t="shared" si="180"/>
        <v>115</v>
      </c>
      <c r="R1353" s="688">
        <f t="shared" si="180"/>
        <v>115</v>
      </c>
      <c r="S1353" s="728">
        <f>0.12*0.12*0.004</f>
        <v>5.7599999999999997E-5</v>
      </c>
      <c r="T1353" s="690">
        <f t="shared" si="179"/>
        <v>0</v>
      </c>
      <c r="U1353" s="688"/>
      <c r="V1353" s="688"/>
    </row>
    <row r="1354" spans="1:22" s="688" customFormat="1" ht="17.100000000000001" customHeight="1">
      <c r="A1354" s="1316" t="s">
        <v>1884</v>
      </c>
      <c r="B1354" s="1317"/>
      <c r="C1354" s="1338" t="s">
        <v>1885</v>
      </c>
      <c r="D1354" s="1317"/>
      <c r="E1354" s="701">
        <f>[53]구조물공!$BE$126</f>
        <v>4.2999999999999997E-2</v>
      </c>
      <c r="F1354" s="676" t="s">
        <v>850</v>
      </c>
      <c r="G1354" s="670" t="e">
        <f>$H$552</f>
        <v>#REF!</v>
      </c>
      <c r="H1354" s="670" t="e">
        <f>INT(E1354*G1354)</f>
        <v>#REF!</v>
      </c>
      <c r="I1354" s="670">
        <f>$J$552</f>
        <v>373604</v>
      </c>
      <c r="J1354" s="670">
        <f t="shared" si="181"/>
        <v>16064</v>
      </c>
      <c r="K1354" s="670">
        <f>$L$552</f>
        <v>5742</v>
      </c>
      <c r="L1354" s="670">
        <f>INT(E1354*K1354)</f>
        <v>246</v>
      </c>
      <c r="M1354" s="670" t="e">
        <f t="shared" si="182"/>
        <v>#REF!</v>
      </c>
      <c r="N1354" s="670" t="e">
        <f t="shared" si="182"/>
        <v>#REF!</v>
      </c>
      <c r="O1354" s="671">
        <f>$A$545</f>
        <v>139</v>
      </c>
      <c r="P1354" s="672"/>
      <c r="Q1354" s="688">
        <f t="shared" si="180"/>
        <v>115</v>
      </c>
      <c r="R1354" s="688">
        <f t="shared" si="180"/>
        <v>115</v>
      </c>
      <c r="S1354" s="728"/>
      <c r="T1354" s="690">
        <f t="shared" si="179"/>
        <v>0</v>
      </c>
      <c r="U1354" s="665"/>
      <c r="V1354" s="665"/>
    </row>
    <row r="1355" spans="1:22" s="665" customFormat="1" ht="17.100000000000001" customHeight="1">
      <c r="A1355" s="1316" t="s">
        <v>1886</v>
      </c>
      <c r="B1355" s="1317"/>
      <c r="C1355" s="1381" t="s">
        <v>1529</v>
      </c>
      <c r="D1355" s="1317"/>
      <c r="E1355" s="683">
        <v>5.7599999999999997E-5</v>
      </c>
      <c r="F1355" s="676" t="s">
        <v>850</v>
      </c>
      <c r="G1355" s="670" t="e">
        <f>$H$484</f>
        <v>#REF!</v>
      </c>
      <c r="H1355" s="670" t="e">
        <f>INT(E1355*G1355)</f>
        <v>#REF!</v>
      </c>
      <c r="I1355" s="670">
        <f>$J$484</f>
        <v>73989</v>
      </c>
      <c r="J1355" s="670">
        <f t="shared" si="181"/>
        <v>4</v>
      </c>
      <c r="K1355" s="670">
        <f>$L$484</f>
        <v>11220</v>
      </c>
      <c r="L1355" s="670">
        <f>INT(E1355*K1355)</f>
        <v>0</v>
      </c>
      <c r="M1355" s="670" t="e">
        <f t="shared" si="182"/>
        <v>#REF!</v>
      </c>
      <c r="N1355" s="670" t="e">
        <f t="shared" si="182"/>
        <v>#REF!</v>
      </c>
      <c r="O1355" s="671">
        <f>$A$479</f>
        <v>130</v>
      </c>
      <c r="P1355" s="672"/>
      <c r="Q1355" s="688">
        <f>Q1354</f>
        <v>115</v>
      </c>
      <c r="R1355" s="688">
        <f>R1354</f>
        <v>115</v>
      </c>
      <c r="S1355" s="728"/>
      <c r="T1355" s="690">
        <f t="shared" si="179"/>
        <v>0</v>
      </c>
    </row>
    <row r="1356" spans="1:22" s="665" customFormat="1" ht="17.100000000000001" customHeight="1">
      <c r="A1356" s="1316" t="s">
        <v>1887</v>
      </c>
      <c r="B1356" s="1317"/>
      <c r="C1356" s="1338" t="s">
        <v>1841</v>
      </c>
      <c r="D1356" s="1317"/>
      <c r="E1356" s="675">
        <v>0.36</v>
      </c>
      <c r="F1356" s="676" t="s">
        <v>645</v>
      </c>
      <c r="G1356" s="778" t="e">
        <f>$H$726</f>
        <v>#REF!</v>
      </c>
      <c r="H1356" s="670" t="e">
        <f>INT(E1356*G1356)</f>
        <v>#REF!</v>
      </c>
      <c r="I1356" s="778">
        <f>$J$726</f>
        <v>34461</v>
      </c>
      <c r="J1356" s="670">
        <f t="shared" si="181"/>
        <v>12405</v>
      </c>
      <c r="K1356" s="670"/>
      <c r="L1356" s="670"/>
      <c r="M1356" s="670" t="e">
        <f t="shared" si="182"/>
        <v>#REF!</v>
      </c>
      <c r="N1356" s="670" t="e">
        <f t="shared" si="182"/>
        <v>#REF!</v>
      </c>
      <c r="O1356" s="671">
        <f>$A$721</f>
        <v>163</v>
      </c>
      <c r="P1356" s="672" t="s">
        <v>1549</v>
      </c>
      <c r="Q1356" s="687" t="s">
        <v>1423</v>
      </c>
      <c r="R1356" s="688" t="s">
        <v>1876</v>
      </c>
      <c r="S1356" s="688" t="s">
        <v>1425</v>
      </c>
      <c r="T1356" s="688" t="s">
        <v>1426</v>
      </c>
    </row>
    <row r="1357" spans="1:22" s="665" customFormat="1" ht="17.100000000000001" customHeight="1">
      <c r="A1357" s="1318" t="s">
        <v>1320</v>
      </c>
      <c r="B1357" s="1319"/>
      <c r="C1357" s="1371"/>
      <c r="D1357" s="1372"/>
      <c r="E1357" s="677"/>
      <c r="F1357" s="676"/>
      <c r="G1357" s="670"/>
      <c r="H1357" s="670" t="e">
        <f>SUM(H1349:H1356)</f>
        <v>#REF!</v>
      </c>
      <c r="I1357" s="670"/>
      <c r="J1357" s="670" t="e">
        <f>SUM(J1349:J1356)</f>
        <v>#REF!</v>
      </c>
      <c r="K1357" s="670"/>
      <c r="L1357" s="670" t="e">
        <f>SUM(L1349:L1356)</f>
        <v>#REF!</v>
      </c>
      <c r="M1357" s="670"/>
      <c r="N1357" s="670" t="e">
        <f>SUM(N1349:N1356)</f>
        <v>#REF!</v>
      </c>
      <c r="O1357" s="671"/>
      <c r="P1357" s="672" t="s">
        <v>1871</v>
      </c>
      <c r="Q1357" s="688">
        <v>100</v>
      </c>
      <c r="R1357" s="688">
        <f>Q1357</f>
        <v>100</v>
      </c>
      <c r="S1357" s="688">
        <v>0</v>
      </c>
      <c r="T1357" s="688"/>
    </row>
    <row r="1358" spans="1:22" s="665" customFormat="1" ht="17.100000000000001" customHeight="1">
      <c r="A1358" s="668">
        <f>A1348+1</f>
        <v>253</v>
      </c>
      <c r="B1358" s="1320" t="s">
        <v>1891</v>
      </c>
      <c r="C1358" s="1320"/>
      <c r="D1358" s="1320" t="s">
        <v>1878</v>
      </c>
      <c r="E1358" s="1320"/>
      <c r="F1358" s="669" t="s">
        <v>272</v>
      </c>
      <c r="G1358" s="670"/>
      <c r="H1358" s="670"/>
      <c r="I1358" s="670"/>
      <c r="J1358" s="670"/>
      <c r="K1358" s="670"/>
      <c r="L1358" s="670"/>
      <c r="M1358" s="670"/>
      <c r="N1358" s="670"/>
      <c r="O1358" s="699" t="s">
        <v>1562</v>
      </c>
      <c r="P1358" s="672"/>
      <c r="Q1358" s="688">
        <f>Q1357</f>
        <v>100</v>
      </c>
      <c r="R1358" s="688">
        <f>R1357</f>
        <v>100</v>
      </c>
      <c r="S1358" s="728">
        <v>1</v>
      </c>
      <c r="T1358" s="690">
        <f>ROUND(S1358/R1358,4)</f>
        <v>0.01</v>
      </c>
    </row>
    <row r="1359" spans="1:22" s="665" customFormat="1" ht="17.100000000000001" customHeight="1">
      <c r="A1359" s="1316" t="s">
        <v>1893</v>
      </c>
      <c r="B1359" s="1317"/>
      <c r="C1359" s="1316" t="s">
        <v>1896</v>
      </c>
      <c r="D1359" s="1317"/>
      <c r="E1359" s="675">
        <v>1.03</v>
      </c>
      <c r="F1359" s="676" t="s">
        <v>30</v>
      </c>
      <c r="G1359" s="778"/>
      <c r="H1359" s="778"/>
      <c r="I1359" s="670"/>
      <c r="J1359" s="670"/>
      <c r="K1359" s="670"/>
      <c r="L1359" s="670"/>
      <c r="M1359" s="670"/>
      <c r="N1359" s="670"/>
      <c r="O1359" s="671"/>
      <c r="P1359" s="672"/>
      <c r="Q1359" s="688">
        <f t="shared" ref="Q1359:R1363" si="183">Q1358</f>
        <v>100</v>
      </c>
      <c r="R1359" s="688">
        <f t="shared" si="183"/>
        <v>100</v>
      </c>
      <c r="S1359" s="728">
        <v>2</v>
      </c>
      <c r="T1359" s="690">
        <f>ROUND(S1359/R1359,4)</f>
        <v>0.02</v>
      </c>
    </row>
    <row r="1360" spans="1:22" s="665" customFormat="1" ht="17.100000000000001" customHeight="1">
      <c r="A1360" s="1316" t="s">
        <v>1895</v>
      </c>
      <c r="B1360" s="1317"/>
      <c r="C1360" s="1316" t="s">
        <v>1761</v>
      </c>
      <c r="D1360" s="1317"/>
      <c r="E1360" s="675">
        <v>1.03</v>
      </c>
      <c r="F1360" s="676" t="s">
        <v>30</v>
      </c>
      <c r="G1360" s="670"/>
      <c r="H1360" s="670"/>
      <c r="I1360" s="670"/>
      <c r="J1360" s="670"/>
      <c r="K1360" s="670">
        <f>[53]운반공!$BQ$621</f>
        <v>229</v>
      </c>
      <c r="L1360" s="670">
        <f>INT(E1360*K1360)</f>
        <v>235</v>
      </c>
      <c r="M1360" s="670">
        <f>G1360+I1360+K1360</f>
        <v>229</v>
      </c>
      <c r="N1360" s="670">
        <f>H1360+J1360+L1360</f>
        <v>235</v>
      </c>
      <c r="O1360" s="671"/>
      <c r="P1360" s="672"/>
      <c r="Q1360" s="688">
        <f t="shared" si="183"/>
        <v>100</v>
      </c>
      <c r="R1360" s="688">
        <f t="shared" si="183"/>
        <v>100</v>
      </c>
      <c r="S1360" s="728">
        <v>8</v>
      </c>
      <c r="T1360" s="690">
        <f>ROUND(S1360/R1360,4)</f>
        <v>0.08</v>
      </c>
    </row>
    <row r="1361" spans="1:22" s="665" customFormat="1" ht="17.100000000000001" customHeight="1">
      <c r="A1361" s="1316" t="s">
        <v>248</v>
      </c>
      <c r="B1361" s="1317"/>
      <c r="C1361" s="1338"/>
      <c r="D1361" s="1317"/>
      <c r="E1361" s="683">
        <f>T1330</f>
        <v>8.3000000000000001E-3</v>
      </c>
      <c r="F1361" s="676" t="s">
        <v>366</v>
      </c>
      <c r="G1361" s="670"/>
      <c r="H1361" s="670"/>
      <c r="I1361" s="670">
        <f>[53]노임단가!$T$5</f>
        <v>172068</v>
      </c>
      <c r="J1361" s="670">
        <f t="shared" ref="J1361:J1366" si="184">INT(E1361*I1361)</f>
        <v>1428</v>
      </c>
      <c r="K1361" s="670"/>
      <c r="L1361" s="670"/>
      <c r="M1361" s="670">
        <f t="shared" ref="M1361:N1366" si="185">G1361+I1361+K1361</f>
        <v>172068</v>
      </c>
      <c r="N1361" s="670">
        <f t="shared" si="185"/>
        <v>1428</v>
      </c>
      <c r="O1361" s="671"/>
      <c r="P1361" s="672"/>
      <c r="Q1361" s="688">
        <f>Q1359</f>
        <v>100</v>
      </c>
      <c r="R1361" s="688">
        <f>R1359</f>
        <v>100</v>
      </c>
      <c r="S1361" s="728"/>
      <c r="T1361" s="690">
        <f>ROUND(S1361/R1361,4)</f>
        <v>0</v>
      </c>
    </row>
    <row r="1362" spans="1:22" s="665" customFormat="1" ht="17.100000000000001" customHeight="1">
      <c r="A1362" s="1316" t="s">
        <v>628</v>
      </c>
      <c r="B1362" s="1317"/>
      <c r="C1362" s="1381"/>
      <c r="D1362" s="1317"/>
      <c r="E1362" s="683">
        <f>T1331</f>
        <v>1.67E-2</v>
      </c>
      <c r="F1362" s="676" t="s">
        <v>366</v>
      </c>
      <c r="G1362" s="670"/>
      <c r="H1362" s="670"/>
      <c r="I1362" s="670">
        <f>[53]노임단가!$T$6</f>
        <v>226122</v>
      </c>
      <c r="J1362" s="670">
        <f t="shared" si="184"/>
        <v>3776</v>
      </c>
      <c r="K1362" s="670"/>
      <c r="L1362" s="670"/>
      <c r="M1362" s="670">
        <f t="shared" si="185"/>
        <v>226122</v>
      </c>
      <c r="N1362" s="670">
        <f t="shared" si="185"/>
        <v>3776</v>
      </c>
      <c r="O1362" s="671"/>
      <c r="P1362" s="672"/>
      <c r="Q1362" s="688">
        <f t="shared" si="183"/>
        <v>100</v>
      </c>
      <c r="R1362" s="688">
        <f t="shared" si="183"/>
        <v>100</v>
      </c>
      <c r="S1362" s="728">
        <f>0.15*0.15*0.004</f>
        <v>8.9999999999999992E-5</v>
      </c>
      <c r="T1362" s="690">
        <f>ROUND(S1362,4)</f>
        <v>1E-4</v>
      </c>
    </row>
    <row r="1363" spans="1:22" s="665" customFormat="1" ht="17.100000000000001" customHeight="1">
      <c r="A1363" s="1316" t="s">
        <v>481</v>
      </c>
      <c r="B1363" s="1317"/>
      <c r="C1363" s="786" t="s">
        <v>395</v>
      </c>
      <c r="D1363" s="669"/>
      <c r="E1363" s="683">
        <f>T1332</f>
        <v>6.6699999999999995E-2</v>
      </c>
      <c r="F1363" s="676" t="s">
        <v>418</v>
      </c>
      <c r="G1363" s="670" t="e">
        <f>#REF!</f>
        <v>#REF!</v>
      </c>
      <c r="H1363" s="670" t="e">
        <f>INT(E1363*G1363)</f>
        <v>#REF!</v>
      </c>
      <c r="I1363" s="670" t="e">
        <f>#REF!</f>
        <v>#REF!</v>
      </c>
      <c r="J1363" s="670" t="e">
        <f t="shared" si="184"/>
        <v>#REF!</v>
      </c>
      <c r="K1363" s="670" t="e">
        <f>#REF!</f>
        <v>#REF!</v>
      </c>
      <c r="L1363" s="670" t="e">
        <f>INT(E1363*K1363)</f>
        <v>#REF!</v>
      </c>
      <c r="M1363" s="670" t="e">
        <f t="shared" si="185"/>
        <v>#REF!</v>
      </c>
      <c r="N1363" s="670" t="e">
        <f t="shared" si="185"/>
        <v>#REF!</v>
      </c>
      <c r="O1363" s="671"/>
      <c r="P1363" s="672"/>
      <c r="Q1363" s="688">
        <f t="shared" si="183"/>
        <v>100</v>
      </c>
      <c r="R1363" s="688">
        <f t="shared" si="183"/>
        <v>100</v>
      </c>
      <c r="S1363" s="728"/>
      <c r="T1363" s="690">
        <f>ROUND(S1363/R1363,4)</f>
        <v>0</v>
      </c>
      <c r="U1363" s="688"/>
      <c r="V1363" s="688"/>
    </row>
    <row r="1364" spans="1:22" s="688" customFormat="1" ht="17.100000000000001" customHeight="1">
      <c r="A1364" s="1316" t="s">
        <v>1884</v>
      </c>
      <c r="B1364" s="1317"/>
      <c r="C1364" s="1338" t="s">
        <v>1885</v>
      </c>
      <c r="D1364" s="1317"/>
      <c r="E1364" s="701">
        <f>[53]구조물공!$BE$127</f>
        <v>4.7E-2</v>
      </c>
      <c r="F1364" s="676" t="s">
        <v>850</v>
      </c>
      <c r="G1364" s="670" t="e">
        <f>$H$552</f>
        <v>#REF!</v>
      </c>
      <c r="H1364" s="670" t="e">
        <f>INT(E1364*G1364)</f>
        <v>#REF!</v>
      </c>
      <c r="I1364" s="670">
        <f>$J$552</f>
        <v>373604</v>
      </c>
      <c r="J1364" s="670">
        <f t="shared" si="184"/>
        <v>17559</v>
      </c>
      <c r="K1364" s="670">
        <f>$L$552</f>
        <v>5742</v>
      </c>
      <c r="L1364" s="670">
        <f>INT(E1364*K1364)</f>
        <v>269</v>
      </c>
      <c r="M1364" s="670" t="e">
        <f t="shared" si="185"/>
        <v>#REF!</v>
      </c>
      <c r="N1364" s="670" t="e">
        <f t="shared" si="185"/>
        <v>#REF!</v>
      </c>
      <c r="O1364" s="671">
        <f>$A$545</f>
        <v>139</v>
      </c>
      <c r="P1364" s="672"/>
      <c r="Q1364" s="688">
        <f>Q1363</f>
        <v>100</v>
      </c>
      <c r="R1364" s="688">
        <f>R1363</f>
        <v>100</v>
      </c>
      <c r="S1364" s="728"/>
      <c r="T1364" s="690">
        <f>S1364/R1364</f>
        <v>0</v>
      </c>
      <c r="U1364" s="665"/>
      <c r="V1364" s="665"/>
    </row>
    <row r="1365" spans="1:22" s="665" customFormat="1" ht="17.100000000000001" customHeight="1">
      <c r="A1365" s="1316" t="s">
        <v>1886</v>
      </c>
      <c r="B1365" s="1317"/>
      <c r="C1365" s="1381" t="s">
        <v>1529</v>
      </c>
      <c r="D1365" s="1317"/>
      <c r="E1365" s="683">
        <v>9.0000000000000006E-5</v>
      </c>
      <c r="F1365" s="676" t="s">
        <v>850</v>
      </c>
      <c r="G1365" s="670" t="e">
        <f>$H$484</f>
        <v>#REF!</v>
      </c>
      <c r="H1365" s="670" t="e">
        <f>INT(E1365*G1365)</f>
        <v>#REF!</v>
      </c>
      <c r="I1365" s="670">
        <f>$J$484</f>
        <v>73989</v>
      </c>
      <c r="J1365" s="670">
        <f t="shared" si="184"/>
        <v>6</v>
      </c>
      <c r="K1365" s="670">
        <f>$L$484</f>
        <v>11220</v>
      </c>
      <c r="L1365" s="670">
        <f>INT(E1365*K1365)</f>
        <v>1</v>
      </c>
      <c r="M1365" s="670" t="e">
        <f t="shared" si="185"/>
        <v>#REF!</v>
      </c>
      <c r="N1365" s="670" t="e">
        <f t="shared" si="185"/>
        <v>#REF!</v>
      </c>
      <c r="O1365" s="671">
        <f>$A$479</f>
        <v>130</v>
      </c>
      <c r="P1365" s="672" t="s">
        <v>1549</v>
      </c>
      <c r="Q1365" s="687" t="s">
        <v>1423</v>
      </c>
      <c r="R1365" s="688" t="s">
        <v>1876</v>
      </c>
      <c r="S1365" s="688" t="s">
        <v>1425</v>
      </c>
      <c r="T1365" s="688" t="s">
        <v>1426</v>
      </c>
    </row>
    <row r="1366" spans="1:22" s="665" customFormat="1" ht="17.100000000000001" customHeight="1">
      <c r="A1366" s="1316" t="s">
        <v>1887</v>
      </c>
      <c r="B1366" s="1317"/>
      <c r="C1366" s="1338" t="s">
        <v>1841</v>
      </c>
      <c r="D1366" s="1317"/>
      <c r="E1366" s="675">
        <v>0.36</v>
      </c>
      <c r="F1366" s="676" t="s">
        <v>645</v>
      </c>
      <c r="G1366" s="778" t="e">
        <f>$H$726</f>
        <v>#REF!</v>
      </c>
      <c r="H1366" s="670" t="e">
        <f>INT(E1366*G1366)</f>
        <v>#REF!</v>
      </c>
      <c r="I1366" s="778">
        <f>$J$726</f>
        <v>34461</v>
      </c>
      <c r="J1366" s="670">
        <f t="shared" si="184"/>
        <v>12405</v>
      </c>
      <c r="K1366" s="670"/>
      <c r="L1366" s="670"/>
      <c r="M1366" s="670" t="e">
        <f t="shared" si="185"/>
        <v>#REF!</v>
      </c>
      <c r="N1366" s="670" t="e">
        <f t="shared" si="185"/>
        <v>#REF!</v>
      </c>
      <c r="O1366" s="671">
        <f>$A$721</f>
        <v>163</v>
      </c>
      <c r="P1366" s="672" t="s">
        <v>1871</v>
      </c>
      <c r="Q1366" s="688">
        <v>100</v>
      </c>
      <c r="R1366" s="688">
        <f>Q1366</f>
        <v>100</v>
      </c>
      <c r="S1366" s="688">
        <v>0</v>
      </c>
      <c r="T1366" s="688"/>
    </row>
    <row r="1367" spans="1:22" s="665" customFormat="1" ht="17.100000000000001" customHeight="1">
      <c r="A1367" s="1318" t="s">
        <v>1320</v>
      </c>
      <c r="B1367" s="1319"/>
      <c r="C1367" s="1371"/>
      <c r="D1367" s="1372"/>
      <c r="E1367" s="677"/>
      <c r="F1367" s="676"/>
      <c r="G1367" s="670"/>
      <c r="H1367" s="670" t="e">
        <f>SUM(H1359:H1366)</f>
        <v>#REF!</v>
      </c>
      <c r="I1367" s="670"/>
      <c r="J1367" s="670" t="e">
        <f>SUM(J1359:J1366)</f>
        <v>#REF!</v>
      </c>
      <c r="K1367" s="670"/>
      <c r="L1367" s="670" t="e">
        <f>SUM(L1359:L1366)</f>
        <v>#REF!</v>
      </c>
      <c r="M1367" s="670"/>
      <c r="N1367" s="670" t="e">
        <f>SUM(N1359:N1366)</f>
        <v>#REF!</v>
      </c>
      <c r="O1367" s="671"/>
      <c r="P1367" s="672"/>
      <c r="Q1367" s="688">
        <f>Q1366</f>
        <v>100</v>
      </c>
      <c r="R1367" s="688">
        <f>R1366</f>
        <v>100</v>
      </c>
      <c r="S1367" s="728">
        <v>1</v>
      </c>
      <c r="T1367" s="690">
        <f>ROUND(S1367/R1367,4)</f>
        <v>0.01</v>
      </c>
    </row>
    <row r="1368" spans="1:22" s="665" customFormat="1" ht="17.100000000000001" customHeight="1">
      <c r="A1368" s="668">
        <f>A1358+1</f>
        <v>254</v>
      </c>
      <c r="B1368" s="1320" t="s">
        <v>1891</v>
      </c>
      <c r="C1368" s="1320"/>
      <c r="D1368" s="1320" t="s">
        <v>1897</v>
      </c>
      <c r="E1368" s="1320"/>
      <c r="F1368" s="669" t="s">
        <v>272</v>
      </c>
      <c r="G1368" s="670"/>
      <c r="H1368" s="670"/>
      <c r="I1368" s="670"/>
      <c r="J1368" s="670"/>
      <c r="K1368" s="670"/>
      <c r="L1368" s="670"/>
      <c r="M1368" s="670"/>
      <c r="N1368" s="670"/>
      <c r="O1368" s="699" t="s">
        <v>1562</v>
      </c>
      <c r="P1368" s="672"/>
      <c r="Q1368" s="688">
        <f t="shared" ref="Q1368:R1373" si="186">Q1367</f>
        <v>100</v>
      </c>
      <c r="R1368" s="688">
        <f t="shared" si="186"/>
        <v>100</v>
      </c>
      <c r="S1368" s="728">
        <v>2</v>
      </c>
      <c r="T1368" s="690">
        <f>ROUND(S1368/R1368,4)</f>
        <v>0.02</v>
      </c>
    </row>
    <row r="1369" spans="1:22" s="665" customFormat="1" ht="17.100000000000001" customHeight="1">
      <c r="A1369" s="1316" t="s">
        <v>1893</v>
      </c>
      <c r="B1369" s="1317"/>
      <c r="C1369" s="1316" t="s">
        <v>1896</v>
      </c>
      <c r="D1369" s="1317"/>
      <c r="E1369" s="675">
        <v>1.03</v>
      </c>
      <c r="F1369" s="676" t="s">
        <v>30</v>
      </c>
      <c r="G1369" s="778"/>
      <c r="H1369" s="778"/>
      <c r="I1369" s="670"/>
      <c r="J1369" s="670"/>
      <c r="K1369" s="670"/>
      <c r="L1369" s="670"/>
      <c r="M1369" s="670"/>
      <c r="N1369" s="670"/>
      <c r="O1369" s="671"/>
      <c r="P1369" s="672"/>
      <c r="Q1369" s="688">
        <f t="shared" si="186"/>
        <v>100</v>
      </c>
      <c r="R1369" s="688">
        <f t="shared" si="186"/>
        <v>100</v>
      </c>
      <c r="S1369" s="728">
        <v>8</v>
      </c>
      <c r="T1369" s="690">
        <f>ROUND(S1369/R1369,4)</f>
        <v>0.08</v>
      </c>
    </row>
    <row r="1370" spans="1:22" s="665" customFormat="1" ht="17.100000000000001" customHeight="1">
      <c r="A1370" s="1316" t="s">
        <v>1895</v>
      </c>
      <c r="B1370" s="1317"/>
      <c r="C1370" s="1316" t="s">
        <v>1761</v>
      </c>
      <c r="D1370" s="1317"/>
      <c r="E1370" s="675">
        <v>1.03</v>
      </c>
      <c r="F1370" s="676" t="s">
        <v>30</v>
      </c>
      <c r="G1370" s="670"/>
      <c r="H1370" s="670"/>
      <c r="I1370" s="670"/>
      <c r="J1370" s="670"/>
      <c r="K1370" s="670">
        <f>[53]운반공!$BQ$621</f>
        <v>229</v>
      </c>
      <c r="L1370" s="670">
        <f>INT(E1370*K1370)</f>
        <v>235</v>
      </c>
      <c r="M1370" s="670">
        <f>G1370+I1370+K1370</f>
        <v>229</v>
      </c>
      <c r="N1370" s="670">
        <f>H1370+J1370+L1370</f>
        <v>235</v>
      </c>
      <c r="O1370" s="671"/>
      <c r="P1370" s="672"/>
      <c r="Q1370" s="688">
        <f>Q1368</f>
        <v>100</v>
      </c>
      <c r="R1370" s="688">
        <f>R1368</f>
        <v>100</v>
      </c>
      <c r="S1370" s="728"/>
      <c r="T1370" s="690">
        <f>ROUND(S1370/R1370,4)</f>
        <v>0</v>
      </c>
    </row>
    <row r="1371" spans="1:22" s="665" customFormat="1" ht="17.100000000000001" customHeight="1">
      <c r="A1371" s="1316" t="s">
        <v>248</v>
      </c>
      <c r="B1371" s="1317"/>
      <c r="C1371" s="1338"/>
      <c r="D1371" s="1317"/>
      <c r="E1371" s="683">
        <f>T1340</f>
        <v>8.3000000000000001E-3</v>
      </c>
      <c r="F1371" s="676" t="s">
        <v>366</v>
      </c>
      <c r="G1371" s="670"/>
      <c r="H1371" s="670"/>
      <c r="I1371" s="670">
        <f>[53]노임단가!$T$5</f>
        <v>172068</v>
      </c>
      <c r="J1371" s="670">
        <f t="shared" ref="J1371:J1376" si="187">INT(E1371*I1371)</f>
        <v>1428</v>
      </c>
      <c r="K1371" s="670"/>
      <c r="L1371" s="670"/>
      <c r="M1371" s="670">
        <f t="shared" ref="M1371:N1376" si="188">G1371+I1371+K1371</f>
        <v>172068</v>
      </c>
      <c r="N1371" s="670">
        <f t="shared" si="188"/>
        <v>1428</v>
      </c>
      <c r="O1371" s="671"/>
      <c r="P1371" s="672"/>
      <c r="Q1371" s="688">
        <f t="shared" si="186"/>
        <v>100</v>
      </c>
      <c r="R1371" s="688">
        <f t="shared" si="186"/>
        <v>100</v>
      </c>
      <c r="S1371" s="728">
        <f>0.15*0.15*0.004</f>
        <v>8.9999999999999992E-5</v>
      </c>
      <c r="T1371" s="690">
        <f>ROUND(S1371,4)</f>
        <v>1E-4</v>
      </c>
    </row>
    <row r="1372" spans="1:22" s="665" customFormat="1" ht="17.100000000000001" customHeight="1">
      <c r="A1372" s="1316" t="s">
        <v>628</v>
      </c>
      <c r="B1372" s="1317"/>
      <c r="C1372" s="1381"/>
      <c r="D1372" s="1317"/>
      <c r="E1372" s="683">
        <f>T1341</f>
        <v>1.67E-2</v>
      </c>
      <c r="F1372" s="676" t="s">
        <v>366</v>
      </c>
      <c r="G1372" s="670"/>
      <c r="H1372" s="670"/>
      <c r="I1372" s="670">
        <f>[53]노임단가!$T$6</f>
        <v>226122</v>
      </c>
      <c r="J1372" s="670">
        <f t="shared" si="187"/>
        <v>3776</v>
      </c>
      <c r="K1372" s="670"/>
      <c r="L1372" s="670"/>
      <c r="M1372" s="670">
        <f t="shared" si="188"/>
        <v>226122</v>
      </c>
      <c r="N1372" s="670">
        <f t="shared" si="188"/>
        <v>3776</v>
      </c>
      <c r="O1372" s="671"/>
      <c r="P1372" s="672"/>
      <c r="Q1372" s="688">
        <f t="shared" si="186"/>
        <v>100</v>
      </c>
      <c r="R1372" s="688">
        <f t="shared" si="186"/>
        <v>100</v>
      </c>
      <c r="S1372" s="728"/>
      <c r="T1372" s="690">
        <f>ROUND(S1372/R1372,4)</f>
        <v>0</v>
      </c>
    </row>
    <row r="1373" spans="1:22" s="665" customFormat="1" ht="17.100000000000001" customHeight="1">
      <c r="A1373" s="1316" t="s">
        <v>481</v>
      </c>
      <c r="B1373" s="1317"/>
      <c r="C1373" s="786" t="s">
        <v>395</v>
      </c>
      <c r="D1373" s="669"/>
      <c r="E1373" s="683">
        <f>T1342</f>
        <v>6.6699999999999995E-2</v>
      </c>
      <c r="F1373" s="676" t="s">
        <v>418</v>
      </c>
      <c r="G1373" s="670" t="e">
        <f>#REF!</f>
        <v>#REF!</v>
      </c>
      <c r="H1373" s="670" t="e">
        <f>INT(E1373*G1373)</f>
        <v>#REF!</v>
      </c>
      <c r="I1373" s="670" t="e">
        <f>#REF!</f>
        <v>#REF!</v>
      </c>
      <c r="J1373" s="670" t="e">
        <f t="shared" si="187"/>
        <v>#REF!</v>
      </c>
      <c r="K1373" s="670" t="e">
        <f>#REF!</f>
        <v>#REF!</v>
      </c>
      <c r="L1373" s="670" t="e">
        <f>INT(E1373*K1373)</f>
        <v>#REF!</v>
      </c>
      <c r="M1373" s="670" t="e">
        <f t="shared" si="188"/>
        <v>#REF!</v>
      </c>
      <c r="N1373" s="670" t="e">
        <f t="shared" si="188"/>
        <v>#REF!</v>
      </c>
      <c r="O1373" s="671"/>
      <c r="P1373" s="672"/>
      <c r="Q1373" s="688">
        <f t="shared" si="186"/>
        <v>100</v>
      </c>
      <c r="R1373" s="688">
        <f t="shared" si="186"/>
        <v>100</v>
      </c>
      <c r="S1373" s="728"/>
      <c r="T1373" s="690">
        <f>S1373/R1373</f>
        <v>0</v>
      </c>
      <c r="U1373" s="688"/>
      <c r="V1373" s="688"/>
    </row>
    <row r="1374" spans="1:22" s="688" customFormat="1" ht="17.100000000000001" customHeight="1">
      <c r="A1374" s="1316" t="s">
        <v>1884</v>
      </c>
      <c r="B1374" s="1317"/>
      <c r="C1374" s="1338" t="s">
        <v>1885</v>
      </c>
      <c r="D1374" s="1317"/>
      <c r="E1374" s="701">
        <f>[53]구조물공!$BE$127</f>
        <v>4.7E-2</v>
      </c>
      <c r="F1374" s="676" t="s">
        <v>850</v>
      </c>
      <c r="G1374" s="670" t="e">
        <f>$H$552</f>
        <v>#REF!</v>
      </c>
      <c r="H1374" s="670" t="e">
        <f>INT(E1374*G1374)</f>
        <v>#REF!</v>
      </c>
      <c r="I1374" s="670">
        <f>$J$552</f>
        <v>373604</v>
      </c>
      <c r="J1374" s="670">
        <f t="shared" si="187"/>
        <v>17559</v>
      </c>
      <c r="K1374" s="670">
        <f>$L$552</f>
        <v>5742</v>
      </c>
      <c r="L1374" s="670">
        <f>INT(E1374*K1374)</f>
        <v>269</v>
      </c>
      <c r="M1374" s="670" t="e">
        <f t="shared" si="188"/>
        <v>#REF!</v>
      </c>
      <c r="N1374" s="670" t="e">
        <f t="shared" si="188"/>
        <v>#REF!</v>
      </c>
      <c r="O1374" s="671">
        <f>$A$545</f>
        <v>139</v>
      </c>
      <c r="P1374" s="672" t="s">
        <v>1549</v>
      </c>
      <c r="Q1374" s="687" t="s">
        <v>1423</v>
      </c>
      <c r="R1374" s="688" t="s">
        <v>1876</v>
      </c>
      <c r="S1374" s="688" t="s">
        <v>1425</v>
      </c>
      <c r="T1374" s="688" t="s">
        <v>1426</v>
      </c>
      <c r="U1374" s="665"/>
      <c r="V1374" s="665"/>
    </row>
    <row r="1375" spans="1:22" s="665" customFormat="1" ht="17.100000000000001" customHeight="1">
      <c r="A1375" s="1316" t="s">
        <v>1886</v>
      </c>
      <c r="B1375" s="1317"/>
      <c r="C1375" s="1381" t="s">
        <v>1529</v>
      </c>
      <c r="D1375" s="1317"/>
      <c r="E1375" s="683">
        <v>8.9999999999999992E-5</v>
      </c>
      <c r="F1375" s="676" t="s">
        <v>850</v>
      </c>
      <c r="G1375" s="670" t="e">
        <f>$H$484</f>
        <v>#REF!</v>
      </c>
      <c r="H1375" s="670" t="e">
        <f>INT(E1375*G1375)</f>
        <v>#REF!</v>
      </c>
      <c r="I1375" s="670">
        <f>$J$484</f>
        <v>73989</v>
      </c>
      <c r="J1375" s="670">
        <f t="shared" si="187"/>
        <v>6</v>
      </c>
      <c r="K1375" s="670">
        <f>$L$484</f>
        <v>11220</v>
      </c>
      <c r="L1375" s="670">
        <f>INT(E1375*K1375)</f>
        <v>1</v>
      </c>
      <c r="M1375" s="670" t="e">
        <f t="shared" si="188"/>
        <v>#REF!</v>
      </c>
      <c r="N1375" s="670" t="e">
        <f t="shared" si="188"/>
        <v>#REF!</v>
      </c>
      <c r="O1375" s="671">
        <f>$A$479</f>
        <v>130</v>
      </c>
      <c r="P1375" s="672" t="s">
        <v>1871</v>
      </c>
      <c r="Q1375" s="688">
        <v>65</v>
      </c>
      <c r="R1375" s="688">
        <f>Q1375</f>
        <v>65</v>
      </c>
      <c r="S1375" s="688">
        <v>0</v>
      </c>
      <c r="T1375" s="688"/>
    </row>
    <row r="1376" spans="1:22" s="665" customFormat="1" ht="17.100000000000001" customHeight="1">
      <c r="A1376" s="1316" t="s">
        <v>1887</v>
      </c>
      <c r="B1376" s="1317"/>
      <c r="C1376" s="1338" t="s">
        <v>1841</v>
      </c>
      <c r="D1376" s="1317"/>
      <c r="E1376" s="675">
        <v>0.18</v>
      </c>
      <c r="F1376" s="676" t="s">
        <v>645</v>
      </c>
      <c r="G1376" s="778" t="e">
        <f>$H$726</f>
        <v>#REF!</v>
      </c>
      <c r="H1376" s="670" t="e">
        <f>INT(E1376*G1376)</f>
        <v>#REF!</v>
      </c>
      <c r="I1376" s="778">
        <f>$J$726</f>
        <v>34461</v>
      </c>
      <c r="J1376" s="670">
        <f t="shared" si="187"/>
        <v>6202</v>
      </c>
      <c r="K1376" s="670"/>
      <c r="L1376" s="670"/>
      <c r="M1376" s="670" t="e">
        <f t="shared" si="188"/>
        <v>#REF!</v>
      </c>
      <c r="N1376" s="670" t="e">
        <f t="shared" si="188"/>
        <v>#REF!</v>
      </c>
      <c r="O1376" s="671">
        <f>$A$721</f>
        <v>163</v>
      </c>
      <c r="P1376" s="672"/>
      <c r="Q1376" s="688">
        <f>Q1375</f>
        <v>65</v>
      </c>
      <c r="R1376" s="688">
        <f>R1375</f>
        <v>65</v>
      </c>
      <c r="S1376" s="728">
        <v>1</v>
      </c>
      <c r="T1376" s="690">
        <f>ROUND(S1376/R1376,4)</f>
        <v>1.54E-2</v>
      </c>
    </row>
    <row r="1377" spans="1:22" s="665" customFormat="1" ht="17.100000000000001" customHeight="1">
      <c r="A1377" s="1318" t="s">
        <v>1320</v>
      </c>
      <c r="B1377" s="1319"/>
      <c r="C1377" s="1371"/>
      <c r="D1377" s="1372"/>
      <c r="E1377" s="677"/>
      <c r="F1377" s="676"/>
      <c r="G1377" s="670"/>
      <c r="H1377" s="670" t="e">
        <f>SUM(H1369:H1376)</f>
        <v>#REF!</v>
      </c>
      <c r="I1377" s="670"/>
      <c r="J1377" s="670" t="e">
        <f>SUM(J1369:J1376)</f>
        <v>#REF!</v>
      </c>
      <c r="K1377" s="670"/>
      <c r="L1377" s="670" t="e">
        <f>SUM(L1369:L1376)</f>
        <v>#REF!</v>
      </c>
      <c r="M1377" s="670"/>
      <c r="N1377" s="670" t="e">
        <f>SUM(N1369:N1376)</f>
        <v>#REF!</v>
      </c>
      <c r="O1377" s="671"/>
      <c r="P1377" s="672"/>
      <c r="Q1377" s="688">
        <f t="shared" ref="Q1377:R1382" si="189">Q1376</f>
        <v>65</v>
      </c>
      <c r="R1377" s="688">
        <f t="shared" si="189"/>
        <v>65</v>
      </c>
      <c r="S1377" s="728">
        <v>2</v>
      </c>
      <c r="T1377" s="690">
        <f>ROUND(S1377/R1377,4)</f>
        <v>3.0800000000000001E-2</v>
      </c>
    </row>
    <row r="1378" spans="1:22" s="665" customFormat="1" ht="17.100000000000001" customHeight="1">
      <c r="A1378" s="668">
        <f>A1368+1</f>
        <v>255</v>
      </c>
      <c r="B1378" s="1320" t="s">
        <v>1898</v>
      </c>
      <c r="C1378" s="1320"/>
      <c r="D1378" s="1320" t="s">
        <v>1899</v>
      </c>
      <c r="E1378" s="1320"/>
      <c r="F1378" s="669" t="s">
        <v>272</v>
      </c>
      <c r="G1378" s="670"/>
      <c r="H1378" s="670"/>
      <c r="I1378" s="670"/>
      <c r="J1378" s="670"/>
      <c r="K1378" s="670"/>
      <c r="L1378" s="670"/>
      <c r="M1378" s="670"/>
      <c r="N1378" s="670"/>
      <c r="O1378" s="699"/>
      <c r="P1378" s="672"/>
      <c r="Q1378" s="688">
        <f t="shared" si="189"/>
        <v>65</v>
      </c>
      <c r="R1378" s="688">
        <f t="shared" si="189"/>
        <v>65</v>
      </c>
      <c r="S1378" s="728">
        <v>8</v>
      </c>
      <c r="T1378" s="690">
        <f>ROUND(S1378/R1378,4)</f>
        <v>0.1231</v>
      </c>
    </row>
    <row r="1379" spans="1:22" s="665" customFormat="1" ht="17.100000000000001" customHeight="1">
      <c r="A1379" s="1316" t="s">
        <v>918</v>
      </c>
      <c r="B1379" s="1317"/>
      <c r="C1379" s="1316" t="s">
        <v>919</v>
      </c>
      <c r="D1379" s="1317"/>
      <c r="E1379" s="675">
        <v>1.03</v>
      </c>
      <c r="F1379" s="676" t="s">
        <v>30</v>
      </c>
      <c r="G1379" s="778" t="e">
        <f>#REF!</f>
        <v>#REF!</v>
      </c>
      <c r="H1379" s="670" t="e">
        <f>INT(E1379*G1379)</f>
        <v>#REF!</v>
      </c>
      <c r="I1379" s="670"/>
      <c r="J1379" s="670"/>
      <c r="K1379" s="670">
        <f>[53]운반공!$BY$616</f>
        <v>589</v>
      </c>
      <c r="L1379" s="670">
        <f>INT(E1379*K1379)</f>
        <v>606</v>
      </c>
      <c r="M1379" s="670" t="e">
        <f>G1379+I1379+K1379</f>
        <v>#REF!</v>
      </c>
      <c r="N1379" s="670" t="e">
        <f>H1379+J1379+L1379</f>
        <v>#REF!</v>
      </c>
      <c r="O1379" s="671"/>
      <c r="P1379" s="672"/>
      <c r="Q1379" s="688">
        <f>Q1377</f>
        <v>65</v>
      </c>
      <c r="R1379" s="688">
        <f>R1377</f>
        <v>65</v>
      </c>
      <c r="S1379" s="728"/>
      <c r="T1379" s="690">
        <f>ROUND(S1379/R1379,4)</f>
        <v>0</v>
      </c>
    </row>
    <row r="1380" spans="1:22" s="665" customFormat="1" ht="17.100000000000001" customHeight="1">
      <c r="A1380" s="1316" t="s">
        <v>248</v>
      </c>
      <c r="B1380" s="1317"/>
      <c r="C1380" s="1338"/>
      <c r="D1380" s="1317"/>
      <c r="E1380" s="683">
        <f>T1349</f>
        <v>8.6999999999999994E-3</v>
      </c>
      <c r="F1380" s="676" t="s">
        <v>366</v>
      </c>
      <c r="G1380" s="670"/>
      <c r="H1380" s="670"/>
      <c r="I1380" s="670">
        <f>[53]노임단가!$T$5</f>
        <v>172068</v>
      </c>
      <c r="J1380" s="670">
        <f t="shared" ref="J1380:J1385" si="190">INT(E1380*I1380)</f>
        <v>1496</v>
      </c>
      <c r="K1380" s="670"/>
      <c r="L1380" s="670"/>
      <c r="M1380" s="670">
        <f t="shared" ref="M1380:N1385" si="191">G1380+I1380+K1380</f>
        <v>172068</v>
      </c>
      <c r="N1380" s="670">
        <f t="shared" si="191"/>
        <v>1496</v>
      </c>
      <c r="O1380" s="671"/>
      <c r="P1380" s="672"/>
      <c r="Q1380" s="688">
        <f t="shared" si="189"/>
        <v>65</v>
      </c>
      <c r="R1380" s="688">
        <f t="shared" si="189"/>
        <v>65</v>
      </c>
      <c r="S1380" s="728">
        <f>0.18*0.25*0.004</f>
        <v>1.7999999999999998E-4</v>
      </c>
      <c r="T1380" s="690">
        <f>ROUND(S1380,4)</f>
        <v>2.0000000000000001E-4</v>
      </c>
    </row>
    <row r="1381" spans="1:22" s="665" customFormat="1" ht="17.100000000000001" customHeight="1">
      <c r="A1381" s="1316" t="s">
        <v>628</v>
      </c>
      <c r="B1381" s="1317"/>
      <c r="C1381" s="1381"/>
      <c r="D1381" s="1317"/>
      <c r="E1381" s="683">
        <f>T1350</f>
        <v>1.7399999999999999E-2</v>
      </c>
      <c r="F1381" s="676" t="s">
        <v>366</v>
      </c>
      <c r="G1381" s="670"/>
      <c r="H1381" s="670"/>
      <c r="I1381" s="670">
        <f>[53]노임단가!$T$6</f>
        <v>226122</v>
      </c>
      <c r="J1381" s="670">
        <f t="shared" si="190"/>
        <v>3934</v>
      </c>
      <c r="K1381" s="670"/>
      <c r="L1381" s="670"/>
      <c r="M1381" s="670">
        <f t="shared" si="191"/>
        <v>226122</v>
      </c>
      <c r="N1381" s="670">
        <f t="shared" si="191"/>
        <v>3934</v>
      </c>
      <c r="O1381" s="671"/>
      <c r="P1381" s="672"/>
      <c r="Q1381" s="688">
        <f t="shared" si="189"/>
        <v>65</v>
      </c>
      <c r="R1381" s="688">
        <f t="shared" si="189"/>
        <v>65</v>
      </c>
      <c r="S1381" s="728"/>
      <c r="T1381" s="690">
        <f>ROUND(S1381/R1381,4)</f>
        <v>0</v>
      </c>
    </row>
    <row r="1382" spans="1:22" s="665" customFormat="1" ht="17.100000000000001" customHeight="1">
      <c r="A1382" s="1316" t="s">
        <v>481</v>
      </c>
      <c r="B1382" s="1317"/>
      <c r="C1382" s="786" t="s">
        <v>395</v>
      </c>
      <c r="D1382" s="669"/>
      <c r="E1382" s="683">
        <f>T1351</f>
        <v>6.9599999999999995E-2</v>
      </c>
      <c r="F1382" s="676" t="s">
        <v>418</v>
      </c>
      <c r="G1382" s="670" t="e">
        <f>#REF!</f>
        <v>#REF!</v>
      </c>
      <c r="H1382" s="670" t="e">
        <f>INT(E1382*G1382)</f>
        <v>#REF!</v>
      </c>
      <c r="I1382" s="670" t="e">
        <f>#REF!</f>
        <v>#REF!</v>
      </c>
      <c r="J1382" s="670" t="e">
        <f t="shared" si="190"/>
        <v>#REF!</v>
      </c>
      <c r="K1382" s="670" t="e">
        <f>#REF!</f>
        <v>#REF!</v>
      </c>
      <c r="L1382" s="670" t="e">
        <f>INT(E1382*K1382)</f>
        <v>#REF!</v>
      </c>
      <c r="M1382" s="670" t="e">
        <f t="shared" si="191"/>
        <v>#REF!</v>
      </c>
      <c r="N1382" s="670" t="e">
        <f t="shared" si="191"/>
        <v>#REF!</v>
      </c>
      <c r="O1382" s="671"/>
      <c r="P1382" s="672"/>
      <c r="Q1382" s="688">
        <f t="shared" si="189"/>
        <v>65</v>
      </c>
      <c r="R1382" s="688">
        <f t="shared" si="189"/>
        <v>65</v>
      </c>
      <c r="S1382" s="728"/>
      <c r="T1382" s="690">
        <f>S1382/R1382</f>
        <v>0</v>
      </c>
    </row>
    <row r="1383" spans="1:22" s="665" customFormat="1" ht="17.100000000000001" customHeight="1">
      <c r="A1383" s="1316" t="s">
        <v>1884</v>
      </c>
      <c r="B1383" s="1317"/>
      <c r="C1383" s="1338" t="s">
        <v>1885</v>
      </c>
      <c r="D1383" s="1317"/>
      <c r="E1383" s="701">
        <f>[53]구조물공!$BE$128</f>
        <v>4.2999999999999997E-2</v>
      </c>
      <c r="F1383" s="676" t="s">
        <v>850</v>
      </c>
      <c r="G1383" s="670" t="e">
        <f>$H$552</f>
        <v>#REF!</v>
      </c>
      <c r="H1383" s="670" t="e">
        <f>INT(E1383*G1383)</f>
        <v>#REF!</v>
      </c>
      <c r="I1383" s="670">
        <f>$J$552</f>
        <v>373604</v>
      </c>
      <c r="J1383" s="670">
        <f t="shared" si="190"/>
        <v>16064</v>
      </c>
      <c r="K1383" s="670">
        <f>$L$552</f>
        <v>5742</v>
      </c>
      <c r="L1383" s="670">
        <f>INT(E1383*K1383)</f>
        <v>246</v>
      </c>
      <c r="M1383" s="670" t="e">
        <f t="shared" si="191"/>
        <v>#REF!</v>
      </c>
      <c r="N1383" s="670" t="e">
        <f t="shared" si="191"/>
        <v>#REF!</v>
      </c>
      <c r="O1383" s="671">
        <f>$A$545</f>
        <v>139</v>
      </c>
      <c r="P1383" s="672" t="s">
        <v>1549</v>
      </c>
      <c r="Q1383" s="687" t="s">
        <v>1423</v>
      </c>
      <c r="R1383" s="688" t="s">
        <v>1876</v>
      </c>
      <c r="S1383" s="688" t="s">
        <v>1425</v>
      </c>
      <c r="T1383" s="688" t="s">
        <v>1426</v>
      </c>
      <c r="U1383" s="688"/>
      <c r="V1383" s="688"/>
    </row>
    <row r="1384" spans="1:22" s="688" customFormat="1" ht="17.100000000000001" customHeight="1">
      <c r="A1384" s="1316" t="s">
        <v>1886</v>
      </c>
      <c r="B1384" s="1317"/>
      <c r="C1384" s="1381" t="s">
        <v>1529</v>
      </c>
      <c r="D1384" s="1317"/>
      <c r="E1384" s="683">
        <v>5.7599999999999997E-5</v>
      </c>
      <c r="F1384" s="676" t="s">
        <v>850</v>
      </c>
      <c r="G1384" s="670" t="e">
        <f>$H$484</f>
        <v>#REF!</v>
      </c>
      <c r="H1384" s="670" t="e">
        <f>INT(E1384*G1384)</f>
        <v>#REF!</v>
      </c>
      <c r="I1384" s="670">
        <f>$J$484</f>
        <v>73989</v>
      </c>
      <c r="J1384" s="670">
        <f t="shared" si="190"/>
        <v>4</v>
      </c>
      <c r="K1384" s="670">
        <f>$L$484</f>
        <v>11220</v>
      </c>
      <c r="L1384" s="670">
        <f>INT(E1384*K1384)</f>
        <v>0</v>
      </c>
      <c r="M1384" s="670" t="e">
        <f t="shared" si="191"/>
        <v>#REF!</v>
      </c>
      <c r="N1384" s="670" t="e">
        <f t="shared" si="191"/>
        <v>#REF!</v>
      </c>
      <c r="O1384" s="671">
        <f>$A$479</f>
        <v>130</v>
      </c>
      <c r="P1384" s="672" t="s">
        <v>1871</v>
      </c>
      <c r="Q1384" s="688">
        <v>40</v>
      </c>
      <c r="R1384" s="688">
        <f>Q1384</f>
        <v>40</v>
      </c>
      <c r="S1384" s="688">
        <v>0</v>
      </c>
      <c r="U1384" s="665"/>
      <c r="V1384" s="665"/>
    </row>
    <row r="1385" spans="1:22" s="665" customFormat="1" ht="17.100000000000001" customHeight="1">
      <c r="A1385" s="1316" t="s">
        <v>1887</v>
      </c>
      <c r="B1385" s="1317"/>
      <c r="C1385" s="1338" t="s">
        <v>1841</v>
      </c>
      <c r="D1385" s="1317"/>
      <c r="E1385" s="675">
        <v>0.36</v>
      </c>
      <c r="F1385" s="676" t="s">
        <v>645</v>
      </c>
      <c r="G1385" s="778" t="e">
        <f>$H$726</f>
        <v>#REF!</v>
      </c>
      <c r="H1385" s="670" t="e">
        <f>INT(E1385*G1385)</f>
        <v>#REF!</v>
      </c>
      <c r="I1385" s="778">
        <f>$J$726</f>
        <v>34461</v>
      </c>
      <c r="J1385" s="670">
        <f t="shared" si="190"/>
        <v>12405</v>
      </c>
      <c r="K1385" s="670"/>
      <c r="L1385" s="670"/>
      <c r="M1385" s="670" t="e">
        <f t="shared" si="191"/>
        <v>#REF!</v>
      </c>
      <c r="N1385" s="670" t="e">
        <f t="shared" si="191"/>
        <v>#REF!</v>
      </c>
      <c r="O1385" s="671">
        <f>$A$721</f>
        <v>163</v>
      </c>
      <c r="P1385" s="672"/>
      <c r="Q1385" s="688">
        <f>Q1384</f>
        <v>40</v>
      </c>
      <c r="R1385" s="688">
        <f>R1384</f>
        <v>40</v>
      </c>
      <c r="S1385" s="728">
        <v>1</v>
      </c>
      <c r="T1385" s="690">
        <f>ROUND(S1385/R1385,4)</f>
        <v>2.5000000000000001E-2</v>
      </c>
    </row>
    <row r="1386" spans="1:22" s="665" customFormat="1" ht="17.100000000000001" customHeight="1">
      <c r="A1386" s="1318" t="s">
        <v>1320</v>
      </c>
      <c r="B1386" s="1319"/>
      <c r="C1386" s="1371"/>
      <c r="D1386" s="1372"/>
      <c r="E1386" s="677"/>
      <c r="F1386" s="676"/>
      <c r="G1386" s="670"/>
      <c r="H1386" s="670" t="e">
        <f>SUM(H1379:H1385)</f>
        <v>#REF!</v>
      </c>
      <c r="I1386" s="670"/>
      <c r="J1386" s="670" t="e">
        <f>SUM(J1379:J1385)</f>
        <v>#REF!</v>
      </c>
      <c r="K1386" s="670"/>
      <c r="L1386" s="670" t="e">
        <f>SUM(L1379:L1385)</f>
        <v>#REF!</v>
      </c>
      <c r="M1386" s="670"/>
      <c r="N1386" s="670" t="e">
        <f>SUM(N1379:N1385)</f>
        <v>#REF!</v>
      </c>
      <c r="O1386" s="671"/>
      <c r="P1386" s="672"/>
      <c r="Q1386" s="688">
        <f t="shared" ref="Q1386:R1391" si="192">Q1385</f>
        <v>40</v>
      </c>
      <c r="R1386" s="688">
        <f t="shared" si="192"/>
        <v>40</v>
      </c>
      <c r="S1386" s="728">
        <v>2</v>
      </c>
      <c r="T1386" s="690">
        <f>ROUND(S1386/R1386,4)</f>
        <v>0.05</v>
      </c>
    </row>
    <row r="1387" spans="1:22" s="665" customFormat="1" ht="17.100000000000001" customHeight="1">
      <c r="A1387" s="668">
        <f>A1378+1</f>
        <v>256</v>
      </c>
      <c r="B1387" s="1320" t="s">
        <v>1898</v>
      </c>
      <c r="C1387" s="1320"/>
      <c r="D1387" s="1320" t="s">
        <v>1900</v>
      </c>
      <c r="E1387" s="1320"/>
      <c r="F1387" s="669" t="s">
        <v>272</v>
      </c>
      <c r="G1387" s="670"/>
      <c r="H1387" s="670"/>
      <c r="I1387" s="670"/>
      <c r="J1387" s="670"/>
      <c r="K1387" s="670"/>
      <c r="L1387" s="670"/>
      <c r="M1387" s="670"/>
      <c r="N1387" s="670"/>
      <c r="O1387" s="699"/>
      <c r="P1387" s="672"/>
      <c r="Q1387" s="688">
        <f t="shared" si="192"/>
        <v>40</v>
      </c>
      <c r="R1387" s="688">
        <f t="shared" si="192"/>
        <v>40</v>
      </c>
      <c r="S1387" s="728">
        <v>8</v>
      </c>
      <c r="T1387" s="690">
        <f>ROUND(S1387/R1387,4)</f>
        <v>0.2</v>
      </c>
    </row>
    <row r="1388" spans="1:22" s="665" customFormat="1" ht="17.100000000000001" customHeight="1">
      <c r="A1388" s="1316" t="s">
        <v>918</v>
      </c>
      <c r="B1388" s="1317"/>
      <c r="C1388" s="1316" t="s">
        <v>1901</v>
      </c>
      <c r="D1388" s="1317"/>
      <c r="E1388" s="675">
        <v>1.03</v>
      </c>
      <c r="F1388" s="676" t="s">
        <v>30</v>
      </c>
      <c r="G1388" s="778" t="e">
        <f>#REF!</f>
        <v>#REF!</v>
      </c>
      <c r="H1388" s="670" t="e">
        <f>INT(E1388*G1388)</f>
        <v>#REF!</v>
      </c>
      <c r="I1388" s="670"/>
      <c r="J1388" s="670"/>
      <c r="K1388" s="670">
        <f>[53]운반공!$BY$617</f>
        <v>930</v>
      </c>
      <c r="L1388" s="670">
        <f>INT(E1388*K1388)</f>
        <v>957</v>
      </c>
      <c r="M1388" s="670" t="e">
        <f>G1388+I1388+K1388</f>
        <v>#REF!</v>
      </c>
      <c r="N1388" s="670" t="e">
        <f>H1388+J1388+L1388</f>
        <v>#REF!</v>
      </c>
      <c r="O1388" s="671"/>
      <c r="P1388" s="672"/>
      <c r="Q1388" s="688">
        <f>Q1386</f>
        <v>40</v>
      </c>
      <c r="R1388" s="688">
        <f>R1386</f>
        <v>40</v>
      </c>
      <c r="S1388" s="728"/>
      <c r="T1388" s="690">
        <f>ROUND(S1388/R1388,4)</f>
        <v>0</v>
      </c>
    </row>
    <row r="1389" spans="1:22" s="665" customFormat="1" ht="17.100000000000001" customHeight="1">
      <c r="A1389" s="1316">
        <f>Q1357</f>
        <v>100</v>
      </c>
      <c r="B1389" s="1317"/>
      <c r="C1389" s="1338"/>
      <c r="D1389" s="1317"/>
      <c r="E1389" s="683">
        <f>T1358</f>
        <v>0.01</v>
      </c>
      <c r="F1389" s="676" t="s">
        <v>366</v>
      </c>
      <c r="G1389" s="670"/>
      <c r="H1389" s="670"/>
      <c r="I1389" s="670">
        <f>[53]노임단가!$T$5</f>
        <v>172068</v>
      </c>
      <c r="J1389" s="670">
        <f t="shared" ref="J1389:J1394" si="193">INT(E1389*I1389)</f>
        <v>1720</v>
      </c>
      <c r="K1389" s="670"/>
      <c r="L1389" s="670"/>
      <c r="M1389" s="670">
        <f t="shared" ref="M1389:N1394" si="194">G1389+I1389+K1389</f>
        <v>172068</v>
      </c>
      <c r="N1389" s="670">
        <f t="shared" si="194"/>
        <v>1720</v>
      </c>
      <c r="O1389" s="671"/>
      <c r="P1389" s="672"/>
      <c r="Q1389" s="688">
        <f t="shared" si="192"/>
        <v>40</v>
      </c>
      <c r="R1389" s="688">
        <f t="shared" si="192"/>
        <v>40</v>
      </c>
      <c r="S1389" s="728">
        <f>0.18*0.3*0.004</f>
        <v>2.1599999999999999E-4</v>
      </c>
      <c r="T1389" s="690">
        <f>ROUND(S1389,4)</f>
        <v>2.0000000000000001E-4</v>
      </c>
    </row>
    <row r="1390" spans="1:22" s="665" customFormat="1" ht="17.100000000000001" customHeight="1">
      <c r="A1390" s="1316" t="s">
        <v>628</v>
      </c>
      <c r="B1390" s="1317"/>
      <c r="C1390" s="1381"/>
      <c r="D1390" s="1317"/>
      <c r="E1390" s="683">
        <f>T1359</f>
        <v>0.02</v>
      </c>
      <c r="F1390" s="676" t="s">
        <v>366</v>
      </c>
      <c r="G1390" s="670"/>
      <c r="H1390" s="670"/>
      <c r="I1390" s="670">
        <f>[53]노임단가!$T$6</f>
        <v>226122</v>
      </c>
      <c r="J1390" s="670">
        <f t="shared" si="193"/>
        <v>4522</v>
      </c>
      <c r="K1390" s="670"/>
      <c r="L1390" s="670"/>
      <c r="M1390" s="670">
        <f t="shared" si="194"/>
        <v>226122</v>
      </c>
      <c r="N1390" s="670">
        <f t="shared" si="194"/>
        <v>4522</v>
      </c>
      <c r="O1390" s="671"/>
      <c r="P1390" s="672"/>
      <c r="Q1390" s="688">
        <f t="shared" si="192"/>
        <v>40</v>
      </c>
      <c r="R1390" s="688">
        <f t="shared" si="192"/>
        <v>40</v>
      </c>
      <c r="S1390" s="728"/>
      <c r="T1390" s="690">
        <f>ROUND(S1390/R1390,4)</f>
        <v>0</v>
      </c>
    </row>
    <row r="1391" spans="1:22" s="665" customFormat="1" ht="17.100000000000001" customHeight="1">
      <c r="A1391" s="1316" t="s">
        <v>481</v>
      </c>
      <c r="B1391" s="1317"/>
      <c r="C1391" s="786" t="s">
        <v>395</v>
      </c>
      <c r="D1391" s="669"/>
      <c r="E1391" s="683">
        <f>T1360</f>
        <v>0.08</v>
      </c>
      <c r="F1391" s="676" t="s">
        <v>418</v>
      </c>
      <c r="G1391" s="670" t="e">
        <f>#REF!</f>
        <v>#REF!</v>
      </c>
      <c r="H1391" s="670" t="e">
        <f>INT(E1391*G1391)</f>
        <v>#REF!</v>
      </c>
      <c r="I1391" s="670" t="e">
        <f>#REF!</f>
        <v>#REF!</v>
      </c>
      <c r="J1391" s="670" t="e">
        <f t="shared" si="193"/>
        <v>#REF!</v>
      </c>
      <c r="K1391" s="670" t="e">
        <f>#REF!</f>
        <v>#REF!</v>
      </c>
      <c r="L1391" s="670" t="e">
        <f>INT(E1391*K1391)</f>
        <v>#REF!</v>
      </c>
      <c r="M1391" s="670" t="e">
        <f t="shared" si="194"/>
        <v>#REF!</v>
      </c>
      <c r="N1391" s="670" t="e">
        <f t="shared" si="194"/>
        <v>#REF!</v>
      </c>
      <c r="O1391" s="671"/>
      <c r="P1391" s="672"/>
      <c r="Q1391" s="688">
        <f t="shared" si="192"/>
        <v>40</v>
      </c>
      <c r="R1391" s="688">
        <f t="shared" si="192"/>
        <v>40</v>
      </c>
      <c r="S1391" s="728"/>
      <c r="T1391" s="690">
        <f>S1391/R1391</f>
        <v>0</v>
      </c>
    </row>
    <row r="1392" spans="1:22" s="665" customFormat="1" ht="17.100000000000001" customHeight="1">
      <c r="A1392" s="1316" t="s">
        <v>1884</v>
      </c>
      <c r="B1392" s="1317"/>
      <c r="C1392" s="1338" t="s">
        <v>1885</v>
      </c>
      <c r="D1392" s="1317"/>
      <c r="E1392" s="701">
        <f>[53]구조물공!$BE$129</f>
        <v>4.7E-2</v>
      </c>
      <c r="F1392" s="676" t="s">
        <v>850</v>
      </c>
      <c r="G1392" s="670" t="e">
        <f>$H$552</f>
        <v>#REF!</v>
      </c>
      <c r="H1392" s="670" t="e">
        <f>INT(E1392*G1392)</f>
        <v>#REF!</v>
      </c>
      <c r="I1392" s="670">
        <f>$J$552</f>
        <v>373604</v>
      </c>
      <c r="J1392" s="670">
        <f t="shared" si="193"/>
        <v>17559</v>
      </c>
      <c r="K1392" s="670">
        <f>$L$552</f>
        <v>5742</v>
      </c>
      <c r="L1392" s="670">
        <f>INT(E1392*K1392)</f>
        <v>269</v>
      </c>
      <c r="M1392" s="670" t="e">
        <f t="shared" si="194"/>
        <v>#REF!</v>
      </c>
      <c r="N1392" s="670" t="e">
        <f t="shared" si="194"/>
        <v>#REF!</v>
      </c>
      <c r="O1392" s="671">
        <f>$A$545</f>
        <v>139</v>
      </c>
      <c r="P1392" s="672" t="s">
        <v>1549</v>
      </c>
      <c r="Q1392" s="687" t="s">
        <v>1423</v>
      </c>
      <c r="R1392" s="688" t="s">
        <v>1876</v>
      </c>
      <c r="S1392" s="688" t="s">
        <v>1425</v>
      </c>
      <c r="T1392" s="688" t="s">
        <v>1426</v>
      </c>
    </row>
    <row r="1393" spans="1:22" s="665" customFormat="1" ht="17.100000000000001" customHeight="1">
      <c r="A1393" s="1316" t="s">
        <v>1886</v>
      </c>
      <c r="B1393" s="1317"/>
      <c r="C1393" s="1381" t="s">
        <v>1529</v>
      </c>
      <c r="D1393" s="1317"/>
      <c r="E1393" s="683">
        <v>8.9999999999999992E-5</v>
      </c>
      <c r="F1393" s="676" t="s">
        <v>850</v>
      </c>
      <c r="G1393" s="670" t="e">
        <f>$H$484</f>
        <v>#REF!</v>
      </c>
      <c r="H1393" s="670" t="e">
        <f>INT(E1393*G1393)</f>
        <v>#REF!</v>
      </c>
      <c r="I1393" s="670">
        <f>$J$484</f>
        <v>73989</v>
      </c>
      <c r="J1393" s="670">
        <f t="shared" si="193"/>
        <v>6</v>
      </c>
      <c r="K1393" s="670">
        <f>$L$484</f>
        <v>11220</v>
      </c>
      <c r="L1393" s="670">
        <f>INT(E1393*K1393)</f>
        <v>1</v>
      </c>
      <c r="M1393" s="670" t="e">
        <f t="shared" si="194"/>
        <v>#REF!</v>
      </c>
      <c r="N1393" s="670" t="e">
        <f t="shared" si="194"/>
        <v>#REF!</v>
      </c>
      <c r="O1393" s="671">
        <f>$A$479</f>
        <v>130</v>
      </c>
      <c r="P1393" s="672" t="s">
        <v>1871</v>
      </c>
      <c r="Q1393" s="688">
        <v>75</v>
      </c>
      <c r="R1393" s="688">
        <f>Q1393</f>
        <v>75</v>
      </c>
      <c r="S1393" s="688">
        <v>0</v>
      </c>
      <c r="T1393" s="688"/>
      <c r="U1393" s="688"/>
      <c r="V1393" s="688"/>
    </row>
    <row r="1394" spans="1:22" s="688" customFormat="1" ht="17.100000000000001" customHeight="1">
      <c r="A1394" s="1316" t="s">
        <v>1887</v>
      </c>
      <c r="B1394" s="1317"/>
      <c r="C1394" s="1338" t="s">
        <v>1841</v>
      </c>
      <c r="D1394" s="1317"/>
      <c r="E1394" s="675">
        <v>0.36</v>
      </c>
      <c r="F1394" s="676" t="s">
        <v>645</v>
      </c>
      <c r="G1394" s="778" t="e">
        <f>$H$726</f>
        <v>#REF!</v>
      </c>
      <c r="H1394" s="670" t="e">
        <f>INT(E1394*G1394)</f>
        <v>#REF!</v>
      </c>
      <c r="I1394" s="778">
        <f>$J$726</f>
        <v>34461</v>
      </c>
      <c r="J1394" s="670">
        <f t="shared" si="193"/>
        <v>12405</v>
      </c>
      <c r="K1394" s="670"/>
      <c r="L1394" s="670"/>
      <c r="M1394" s="670" t="e">
        <f t="shared" si="194"/>
        <v>#REF!</v>
      </c>
      <c r="N1394" s="670" t="e">
        <f t="shared" si="194"/>
        <v>#REF!</v>
      </c>
      <c r="O1394" s="671">
        <f>$A$721</f>
        <v>163</v>
      </c>
      <c r="P1394" s="672"/>
      <c r="Q1394" s="688">
        <f t="shared" ref="Q1394:R1400" si="195">Q1393</f>
        <v>75</v>
      </c>
      <c r="R1394" s="688">
        <f t="shared" si="195"/>
        <v>75</v>
      </c>
      <c r="U1394" s="665"/>
      <c r="V1394" s="665"/>
    </row>
    <row r="1395" spans="1:22" s="665" customFormat="1" ht="17.100000000000001" customHeight="1">
      <c r="A1395" s="1318" t="s">
        <v>1320</v>
      </c>
      <c r="B1395" s="1319"/>
      <c r="C1395" s="1371"/>
      <c r="D1395" s="1372"/>
      <c r="E1395" s="677"/>
      <c r="F1395" s="676"/>
      <c r="G1395" s="670"/>
      <c r="H1395" s="670" t="e">
        <f>SUM(H1388:H1394)</f>
        <v>#REF!</v>
      </c>
      <c r="I1395" s="670"/>
      <c r="J1395" s="670" t="e">
        <f>SUM(J1388:J1394)</f>
        <v>#REF!</v>
      </c>
      <c r="K1395" s="670"/>
      <c r="L1395" s="670" t="e">
        <f>SUM(L1388:L1394)</f>
        <v>#REF!</v>
      </c>
      <c r="M1395" s="670"/>
      <c r="N1395" s="670" t="e">
        <f>SUM(N1388:N1394)</f>
        <v>#REF!</v>
      </c>
      <c r="O1395" s="671"/>
      <c r="P1395" s="672"/>
      <c r="Q1395" s="688">
        <f>Q1394</f>
        <v>75</v>
      </c>
      <c r="R1395" s="688">
        <f>R1394</f>
        <v>75</v>
      </c>
      <c r="S1395" s="728">
        <v>1</v>
      </c>
      <c r="T1395" s="690">
        <f>ROUND(S1395/R1395,4)</f>
        <v>1.3299999999999999E-2</v>
      </c>
    </row>
    <row r="1396" spans="1:22" s="665" customFormat="1" ht="17.100000000000001" customHeight="1">
      <c r="A1396" s="668">
        <f>A1387+1</f>
        <v>257</v>
      </c>
      <c r="B1396" s="1320" t="s">
        <v>1898</v>
      </c>
      <c r="C1396" s="1320"/>
      <c r="D1396" s="1320" t="s">
        <v>1902</v>
      </c>
      <c r="E1396" s="1320"/>
      <c r="F1396" s="669" t="s">
        <v>272</v>
      </c>
      <c r="G1396" s="670"/>
      <c r="H1396" s="670"/>
      <c r="I1396" s="670"/>
      <c r="J1396" s="670"/>
      <c r="K1396" s="670"/>
      <c r="L1396" s="670"/>
      <c r="M1396" s="670"/>
      <c r="N1396" s="670"/>
      <c r="O1396" s="699"/>
      <c r="P1396" s="672"/>
      <c r="Q1396" s="688">
        <f t="shared" si="195"/>
        <v>75</v>
      </c>
      <c r="R1396" s="688">
        <f t="shared" si="195"/>
        <v>75</v>
      </c>
      <c r="S1396" s="728">
        <v>2</v>
      </c>
      <c r="T1396" s="690">
        <f>ROUND(S1396/R1396,4)</f>
        <v>2.6700000000000002E-2</v>
      </c>
    </row>
    <row r="1397" spans="1:22" s="665" customFormat="1" ht="17.100000000000001" customHeight="1">
      <c r="A1397" s="1316" t="s">
        <v>918</v>
      </c>
      <c r="B1397" s="1317"/>
      <c r="C1397" s="1316" t="s">
        <v>1901</v>
      </c>
      <c r="D1397" s="1317"/>
      <c r="E1397" s="675">
        <v>1.03</v>
      </c>
      <c r="F1397" s="676" t="s">
        <v>30</v>
      </c>
      <c r="G1397" s="778" t="e">
        <f>#REF!</f>
        <v>#REF!</v>
      </c>
      <c r="H1397" s="670" t="e">
        <f>INT(E1397*G1397)</f>
        <v>#REF!</v>
      </c>
      <c r="I1397" s="670"/>
      <c r="J1397" s="670"/>
      <c r="K1397" s="670">
        <f>[53]운반공!$BY$617</f>
        <v>930</v>
      </c>
      <c r="L1397" s="670">
        <f>INT(E1397*K1397)</f>
        <v>957</v>
      </c>
      <c r="M1397" s="670" t="e">
        <f>G1397+I1397+K1397</f>
        <v>#REF!</v>
      </c>
      <c r="N1397" s="670" t="e">
        <f>H1397+J1397+L1397</f>
        <v>#REF!</v>
      </c>
      <c r="O1397" s="671"/>
      <c r="P1397" s="672"/>
      <c r="Q1397" s="688">
        <f t="shared" si="195"/>
        <v>75</v>
      </c>
      <c r="R1397" s="688">
        <f t="shared" si="195"/>
        <v>75</v>
      </c>
      <c r="S1397" s="728">
        <v>8</v>
      </c>
      <c r="T1397" s="690">
        <f>ROUND(S1397/R1397,4)</f>
        <v>0.1067</v>
      </c>
    </row>
    <row r="1398" spans="1:22" s="665" customFormat="1" ht="17.100000000000001" customHeight="1">
      <c r="A1398" s="1316" t="s">
        <v>248</v>
      </c>
      <c r="B1398" s="1317"/>
      <c r="C1398" s="1338"/>
      <c r="D1398" s="1317"/>
      <c r="E1398" s="683">
        <f>T1367</f>
        <v>0.01</v>
      </c>
      <c r="F1398" s="676" t="s">
        <v>366</v>
      </c>
      <c r="G1398" s="670"/>
      <c r="H1398" s="670"/>
      <c r="I1398" s="670">
        <f>[53]노임단가!$T$5</f>
        <v>172068</v>
      </c>
      <c r="J1398" s="670">
        <f t="shared" ref="J1398:J1403" si="196">INT(E1398*I1398)</f>
        <v>1720</v>
      </c>
      <c r="K1398" s="670"/>
      <c r="L1398" s="670"/>
      <c r="M1398" s="670">
        <f t="shared" ref="M1398:N1403" si="197">G1398+I1398+K1398</f>
        <v>172068</v>
      </c>
      <c r="N1398" s="670">
        <f t="shared" si="197"/>
        <v>1720</v>
      </c>
      <c r="O1398" s="671"/>
      <c r="P1398" s="672"/>
      <c r="Q1398" s="688">
        <f>Q1396</f>
        <v>75</v>
      </c>
      <c r="R1398" s="688">
        <f>R1396</f>
        <v>75</v>
      </c>
      <c r="S1398" s="728"/>
      <c r="T1398" s="690"/>
    </row>
    <row r="1399" spans="1:22" s="665" customFormat="1" ht="17.100000000000001" customHeight="1">
      <c r="A1399" s="1316" t="s">
        <v>628</v>
      </c>
      <c r="B1399" s="1317"/>
      <c r="C1399" s="1381"/>
      <c r="D1399" s="1317"/>
      <c r="E1399" s="683">
        <f>T1368</f>
        <v>0.02</v>
      </c>
      <c r="F1399" s="676" t="s">
        <v>366</v>
      </c>
      <c r="G1399" s="670"/>
      <c r="H1399" s="670"/>
      <c r="I1399" s="670">
        <f>[53]노임단가!$T$6</f>
        <v>226122</v>
      </c>
      <c r="J1399" s="670">
        <f t="shared" si="196"/>
        <v>4522</v>
      </c>
      <c r="K1399" s="670"/>
      <c r="L1399" s="670"/>
      <c r="M1399" s="670">
        <f t="shared" si="197"/>
        <v>226122</v>
      </c>
      <c r="N1399" s="670">
        <f t="shared" si="197"/>
        <v>4522</v>
      </c>
      <c r="O1399" s="671"/>
      <c r="P1399" s="672"/>
      <c r="Q1399" s="688">
        <f t="shared" si="195"/>
        <v>75</v>
      </c>
      <c r="R1399" s="688">
        <f t="shared" si="195"/>
        <v>75</v>
      </c>
      <c r="S1399" s="728">
        <f>0.18*0.2*0.004</f>
        <v>1.44E-4</v>
      </c>
      <c r="T1399" s="690">
        <f>ROUND(S1399,4)</f>
        <v>1E-4</v>
      </c>
    </row>
    <row r="1400" spans="1:22" s="665" customFormat="1" ht="17.100000000000001" customHeight="1">
      <c r="A1400" s="1316" t="s">
        <v>481</v>
      </c>
      <c r="B1400" s="1317"/>
      <c r="C1400" s="786" t="s">
        <v>395</v>
      </c>
      <c r="D1400" s="669"/>
      <c r="E1400" s="683">
        <f>T1369</f>
        <v>0.08</v>
      </c>
      <c r="F1400" s="676" t="s">
        <v>418</v>
      </c>
      <c r="G1400" s="670" t="e">
        <f>#REF!</f>
        <v>#REF!</v>
      </c>
      <c r="H1400" s="670" t="e">
        <f>INT(E1400*G1400)</f>
        <v>#REF!</v>
      </c>
      <c r="I1400" s="670" t="e">
        <f>#REF!</f>
        <v>#REF!</v>
      </c>
      <c r="J1400" s="670" t="e">
        <f t="shared" si="196"/>
        <v>#REF!</v>
      </c>
      <c r="K1400" s="670" t="e">
        <f>#REF!</f>
        <v>#REF!</v>
      </c>
      <c r="L1400" s="670" t="e">
        <f>INT(E1400*K1400)</f>
        <v>#REF!</v>
      </c>
      <c r="M1400" s="670" t="e">
        <f t="shared" si="197"/>
        <v>#REF!</v>
      </c>
      <c r="N1400" s="670" t="e">
        <f t="shared" si="197"/>
        <v>#REF!</v>
      </c>
      <c r="O1400" s="671"/>
      <c r="P1400" s="672"/>
      <c r="Q1400" s="688">
        <f t="shared" si="195"/>
        <v>75</v>
      </c>
      <c r="R1400" s="688">
        <f t="shared" si="195"/>
        <v>75</v>
      </c>
      <c r="S1400" s="728"/>
      <c r="T1400" s="690">
        <f>ROUND(S1400/R1399,4)</f>
        <v>0</v>
      </c>
    </row>
    <row r="1401" spans="1:22" s="665" customFormat="1" ht="17.100000000000001" customHeight="1">
      <c r="A1401" s="1316" t="s">
        <v>1884</v>
      </c>
      <c r="B1401" s="1317"/>
      <c r="C1401" s="1338" t="s">
        <v>1885</v>
      </c>
      <c r="D1401" s="1317"/>
      <c r="E1401" s="701">
        <f>[53]구조물공!$BE$129</f>
        <v>4.7E-2</v>
      </c>
      <c r="F1401" s="676" t="s">
        <v>850</v>
      </c>
      <c r="G1401" s="670" t="e">
        <f>$H$552</f>
        <v>#REF!</v>
      </c>
      <c r="H1401" s="670" t="e">
        <f>INT(E1401*G1401)</f>
        <v>#REF!</v>
      </c>
      <c r="I1401" s="670">
        <f>$J$552</f>
        <v>373604</v>
      </c>
      <c r="J1401" s="670">
        <f t="shared" si="196"/>
        <v>17559</v>
      </c>
      <c r="K1401" s="670">
        <f>$L$552</f>
        <v>5742</v>
      </c>
      <c r="L1401" s="670">
        <f>INT(E1401*K1401)</f>
        <v>269</v>
      </c>
      <c r="M1401" s="670" t="e">
        <f t="shared" si="197"/>
        <v>#REF!</v>
      </c>
      <c r="N1401" s="670" t="e">
        <f t="shared" si="197"/>
        <v>#REF!</v>
      </c>
      <c r="O1401" s="671">
        <f>$A$545</f>
        <v>139</v>
      </c>
      <c r="P1401" s="672"/>
      <c r="S1401" s="728"/>
      <c r="T1401" s="690"/>
    </row>
    <row r="1402" spans="1:22" s="665" customFormat="1" ht="17.100000000000001" customHeight="1">
      <c r="A1402" s="1316" t="s">
        <v>1886</v>
      </c>
      <c r="B1402" s="1317"/>
      <c r="C1402" s="1381" t="s">
        <v>1529</v>
      </c>
      <c r="D1402" s="1317"/>
      <c r="E1402" s="683">
        <v>8.9999999999999992E-5</v>
      </c>
      <c r="F1402" s="676" t="s">
        <v>850</v>
      </c>
      <c r="G1402" s="670" t="e">
        <f>$H$484</f>
        <v>#REF!</v>
      </c>
      <c r="H1402" s="670" t="e">
        <f>INT(E1402*G1402)</f>
        <v>#REF!</v>
      </c>
      <c r="I1402" s="670">
        <f>$J$484</f>
        <v>73989</v>
      </c>
      <c r="J1402" s="670">
        <f t="shared" si="196"/>
        <v>6</v>
      </c>
      <c r="K1402" s="670">
        <f>$L$484</f>
        <v>11220</v>
      </c>
      <c r="L1402" s="670">
        <f>INT(E1402*K1402)</f>
        <v>1</v>
      </c>
      <c r="M1402" s="670" t="e">
        <f t="shared" si="197"/>
        <v>#REF!</v>
      </c>
      <c r="N1402" s="670" t="e">
        <f t="shared" si="197"/>
        <v>#REF!</v>
      </c>
      <c r="O1402" s="671">
        <f>$A$479</f>
        <v>130</v>
      </c>
      <c r="P1402" s="672" t="s">
        <v>1549</v>
      </c>
      <c r="Q1402" s="687" t="s">
        <v>1423</v>
      </c>
      <c r="R1402" s="688" t="s">
        <v>1876</v>
      </c>
      <c r="S1402" s="688" t="s">
        <v>1425</v>
      </c>
      <c r="T1402" s="688" t="s">
        <v>1426</v>
      </c>
    </row>
    <row r="1403" spans="1:22" s="665" customFormat="1" ht="17.100000000000001" customHeight="1">
      <c r="A1403" s="1316" t="s">
        <v>1887</v>
      </c>
      <c r="B1403" s="1317"/>
      <c r="C1403" s="1338" t="s">
        <v>1841</v>
      </c>
      <c r="D1403" s="1317"/>
      <c r="E1403" s="675">
        <v>0.18</v>
      </c>
      <c r="F1403" s="676" t="s">
        <v>645</v>
      </c>
      <c r="G1403" s="778" t="e">
        <f>$H$726</f>
        <v>#REF!</v>
      </c>
      <c r="H1403" s="670" t="e">
        <f>INT(E1403*G1403)</f>
        <v>#REF!</v>
      </c>
      <c r="I1403" s="778">
        <f>$J$726</f>
        <v>34461</v>
      </c>
      <c r="J1403" s="670">
        <f t="shared" si="196"/>
        <v>6202</v>
      </c>
      <c r="K1403" s="670"/>
      <c r="L1403" s="670"/>
      <c r="M1403" s="670" t="e">
        <f t="shared" si="197"/>
        <v>#REF!</v>
      </c>
      <c r="N1403" s="670" t="e">
        <f t="shared" si="197"/>
        <v>#REF!</v>
      </c>
      <c r="O1403" s="671">
        <f>$A$721</f>
        <v>163</v>
      </c>
      <c r="P1403" s="672" t="s">
        <v>1871</v>
      </c>
      <c r="Q1403" s="688">
        <v>60</v>
      </c>
      <c r="R1403" s="688">
        <f>Q1403</f>
        <v>60</v>
      </c>
      <c r="S1403" s="688">
        <v>0</v>
      </c>
      <c r="T1403" s="688"/>
      <c r="U1403" s="688"/>
      <c r="V1403" s="688"/>
    </row>
    <row r="1404" spans="1:22" s="688" customFormat="1" ht="17.100000000000001" customHeight="1">
      <c r="A1404" s="1318" t="s">
        <v>1320</v>
      </c>
      <c r="B1404" s="1319"/>
      <c r="C1404" s="1371"/>
      <c r="D1404" s="1372"/>
      <c r="E1404" s="677"/>
      <c r="F1404" s="676"/>
      <c r="G1404" s="670"/>
      <c r="H1404" s="670" t="e">
        <f>SUM(H1397:H1403)</f>
        <v>#REF!</v>
      </c>
      <c r="I1404" s="670"/>
      <c r="J1404" s="670" t="e">
        <f>SUM(J1397:J1403)</f>
        <v>#REF!</v>
      </c>
      <c r="K1404" s="670"/>
      <c r="L1404" s="670" t="e">
        <f>SUM(L1397:L1403)</f>
        <v>#REF!</v>
      </c>
      <c r="M1404" s="670"/>
      <c r="N1404" s="670" t="e">
        <f>SUM(N1397:N1403)</f>
        <v>#REF!</v>
      </c>
      <c r="O1404" s="671"/>
      <c r="P1404" s="672"/>
      <c r="Q1404" s="688">
        <f t="shared" ref="Q1404:R1410" si="198">Q1403</f>
        <v>60</v>
      </c>
      <c r="R1404" s="688">
        <f t="shared" si="198"/>
        <v>60</v>
      </c>
      <c r="U1404" s="665"/>
      <c r="V1404" s="665"/>
    </row>
    <row r="1405" spans="1:22" s="665" customFormat="1" ht="17.100000000000001" customHeight="1">
      <c r="A1405" s="668">
        <f>A1396+1</f>
        <v>258</v>
      </c>
      <c r="B1405" s="1320" t="s">
        <v>1903</v>
      </c>
      <c r="C1405" s="1320"/>
      <c r="D1405" s="1320" t="s">
        <v>1904</v>
      </c>
      <c r="E1405" s="1320"/>
      <c r="F1405" s="669" t="s">
        <v>272</v>
      </c>
      <c r="G1405" s="670"/>
      <c r="H1405" s="670"/>
      <c r="I1405" s="670"/>
      <c r="J1405" s="670"/>
      <c r="K1405" s="670"/>
      <c r="L1405" s="670"/>
      <c r="M1405" s="670"/>
      <c r="N1405" s="670"/>
      <c r="O1405" s="699"/>
      <c r="P1405" s="672"/>
      <c r="Q1405" s="688">
        <f>Q1404</f>
        <v>60</v>
      </c>
      <c r="R1405" s="688">
        <f>R1404</f>
        <v>60</v>
      </c>
      <c r="S1405" s="728">
        <v>1</v>
      </c>
      <c r="T1405" s="690">
        <f>ROUND(S1405/R1405,4)</f>
        <v>1.67E-2</v>
      </c>
    </row>
    <row r="1406" spans="1:22" s="665" customFormat="1" ht="17.100000000000001" customHeight="1">
      <c r="A1406" s="1316" t="s">
        <v>921</v>
      </c>
      <c r="B1406" s="1317"/>
      <c r="C1406" s="1316" t="s">
        <v>922</v>
      </c>
      <c r="D1406" s="1317"/>
      <c r="E1406" s="675">
        <v>1.03</v>
      </c>
      <c r="F1406" s="676" t="s">
        <v>30</v>
      </c>
      <c r="G1406" s="778" t="e">
        <f>#REF!</f>
        <v>#REF!</v>
      </c>
      <c r="H1406" s="670" t="e">
        <f>INT(E1406*G1406)</f>
        <v>#REF!</v>
      </c>
      <c r="I1406" s="670"/>
      <c r="J1406" s="670"/>
      <c r="K1406" s="670">
        <f>[53]운반공!$BY$618</f>
        <v>1998</v>
      </c>
      <c r="L1406" s="670">
        <f>INT(E1406*K1406)</f>
        <v>2057</v>
      </c>
      <c r="M1406" s="670" t="e">
        <f>G1406+I1406+K1406</f>
        <v>#REF!</v>
      </c>
      <c r="N1406" s="670" t="e">
        <f>H1406+J1406+L1406</f>
        <v>#REF!</v>
      </c>
      <c r="O1406" s="671"/>
      <c r="P1406" s="672"/>
      <c r="Q1406" s="688">
        <f t="shared" si="198"/>
        <v>60</v>
      </c>
      <c r="R1406" s="688">
        <f t="shared" si="198"/>
        <v>60</v>
      </c>
      <c r="S1406" s="728">
        <v>2</v>
      </c>
      <c r="T1406" s="690">
        <f>ROUND(S1406/R1406,4)</f>
        <v>3.3300000000000003E-2</v>
      </c>
    </row>
    <row r="1407" spans="1:22" s="665" customFormat="1" ht="17.100000000000001" customHeight="1">
      <c r="A1407" s="1316" t="s">
        <v>248</v>
      </c>
      <c r="B1407" s="1317"/>
      <c r="C1407" s="1338"/>
      <c r="D1407" s="1317"/>
      <c r="E1407" s="683">
        <f>T1376</f>
        <v>1.54E-2</v>
      </c>
      <c r="F1407" s="676" t="s">
        <v>366</v>
      </c>
      <c r="G1407" s="670"/>
      <c r="H1407" s="670"/>
      <c r="I1407" s="670">
        <f>[53]노임단가!$T$5</f>
        <v>172068</v>
      </c>
      <c r="J1407" s="670">
        <f t="shared" ref="J1407:J1412" si="199">INT(E1407*I1407)</f>
        <v>2649</v>
      </c>
      <c r="K1407" s="670"/>
      <c r="L1407" s="670"/>
      <c r="M1407" s="670">
        <f t="shared" ref="M1407:N1412" si="200">G1407+I1407+K1407</f>
        <v>172068</v>
      </c>
      <c r="N1407" s="670">
        <f t="shared" si="200"/>
        <v>2649</v>
      </c>
      <c r="O1407" s="671"/>
      <c r="P1407" s="672"/>
      <c r="Q1407" s="688">
        <f t="shared" si="198"/>
        <v>60</v>
      </c>
      <c r="R1407" s="688">
        <f t="shared" si="198"/>
        <v>60</v>
      </c>
      <c r="S1407" s="728">
        <v>8</v>
      </c>
      <c r="T1407" s="690">
        <f>ROUND(S1407/R1407,4)</f>
        <v>0.1333</v>
      </c>
    </row>
    <row r="1408" spans="1:22" s="665" customFormat="1" ht="17.100000000000001" customHeight="1">
      <c r="A1408" s="1316" t="s">
        <v>628</v>
      </c>
      <c r="B1408" s="1317"/>
      <c r="C1408" s="1381"/>
      <c r="D1408" s="1317"/>
      <c r="E1408" s="683">
        <f>T1377</f>
        <v>3.0800000000000001E-2</v>
      </c>
      <c r="F1408" s="676" t="s">
        <v>366</v>
      </c>
      <c r="G1408" s="670"/>
      <c r="H1408" s="670"/>
      <c r="I1408" s="670">
        <f>[53]노임단가!$T$6</f>
        <v>226122</v>
      </c>
      <c r="J1408" s="670">
        <f t="shared" si="199"/>
        <v>6964</v>
      </c>
      <c r="K1408" s="670"/>
      <c r="L1408" s="670"/>
      <c r="M1408" s="670">
        <f t="shared" si="200"/>
        <v>226122</v>
      </c>
      <c r="N1408" s="670">
        <f t="shared" si="200"/>
        <v>6964</v>
      </c>
      <c r="O1408" s="671"/>
      <c r="P1408" s="672"/>
      <c r="Q1408" s="688">
        <f>Q1406</f>
        <v>60</v>
      </c>
      <c r="R1408" s="688">
        <f>R1406</f>
        <v>60</v>
      </c>
      <c r="S1408" s="728"/>
      <c r="T1408" s="690">
        <f>ROUND(S1408/R1408,4)</f>
        <v>0</v>
      </c>
    </row>
    <row r="1409" spans="1:20" s="665" customFormat="1" ht="17.100000000000001" customHeight="1">
      <c r="A1409" s="1316" t="s">
        <v>481</v>
      </c>
      <c r="B1409" s="1317"/>
      <c r="C1409" s="786" t="s">
        <v>395</v>
      </c>
      <c r="D1409" s="669"/>
      <c r="E1409" s="683">
        <f>T1378</f>
        <v>0.1231</v>
      </c>
      <c r="F1409" s="676" t="s">
        <v>418</v>
      </c>
      <c r="G1409" s="670" t="e">
        <f>#REF!</f>
        <v>#REF!</v>
      </c>
      <c r="H1409" s="670" t="e">
        <f>INT(E1409*G1409)</f>
        <v>#REF!</v>
      </c>
      <c r="I1409" s="670" t="e">
        <f>#REF!</f>
        <v>#REF!</v>
      </c>
      <c r="J1409" s="670" t="e">
        <f t="shared" si="199"/>
        <v>#REF!</v>
      </c>
      <c r="K1409" s="670" t="e">
        <f>#REF!</f>
        <v>#REF!</v>
      </c>
      <c r="L1409" s="670" t="e">
        <f>INT(E1409*K1409)</f>
        <v>#REF!</v>
      </c>
      <c r="M1409" s="670" t="e">
        <f t="shared" si="200"/>
        <v>#REF!</v>
      </c>
      <c r="N1409" s="670" t="e">
        <f t="shared" si="200"/>
        <v>#REF!</v>
      </c>
      <c r="O1409" s="671"/>
      <c r="P1409" s="672"/>
      <c r="Q1409" s="688">
        <f>Q1408</f>
        <v>60</v>
      </c>
      <c r="R1409" s="688">
        <f>R1408</f>
        <v>60</v>
      </c>
      <c r="S1409" s="728">
        <f>0.2*0.25*0.004</f>
        <v>2.0000000000000001E-4</v>
      </c>
      <c r="T1409" s="690">
        <f>ROUND(S1409,4)</f>
        <v>2.0000000000000001E-4</v>
      </c>
    </row>
    <row r="1410" spans="1:20" s="665" customFormat="1" ht="17.100000000000001" customHeight="1">
      <c r="A1410" s="1316" t="s">
        <v>1884</v>
      </c>
      <c r="B1410" s="1317"/>
      <c r="C1410" s="1338" t="s">
        <v>1885</v>
      </c>
      <c r="D1410" s="1317"/>
      <c r="E1410" s="701">
        <f>[53]구조물공!$BE$130</f>
        <v>5.3999999999999999E-2</v>
      </c>
      <c r="F1410" s="676" t="s">
        <v>850</v>
      </c>
      <c r="G1410" s="670" t="e">
        <f>$H$552</f>
        <v>#REF!</v>
      </c>
      <c r="H1410" s="670" t="e">
        <f>INT(E1410*G1410)</f>
        <v>#REF!</v>
      </c>
      <c r="I1410" s="670">
        <f>$J$552</f>
        <v>373604</v>
      </c>
      <c r="J1410" s="670">
        <f t="shared" si="199"/>
        <v>20174</v>
      </c>
      <c r="K1410" s="670">
        <f>$L$552</f>
        <v>5742</v>
      </c>
      <c r="L1410" s="670">
        <f>INT(E1410*K1410)</f>
        <v>310</v>
      </c>
      <c r="M1410" s="670" t="e">
        <f t="shared" si="200"/>
        <v>#REF!</v>
      </c>
      <c r="N1410" s="670" t="e">
        <f t="shared" si="200"/>
        <v>#REF!</v>
      </c>
      <c r="O1410" s="671">
        <f>$A$545</f>
        <v>139</v>
      </c>
      <c r="P1410" s="672"/>
      <c r="Q1410" s="688">
        <f t="shared" si="198"/>
        <v>60</v>
      </c>
      <c r="R1410" s="688">
        <f t="shared" si="198"/>
        <v>60</v>
      </c>
      <c r="S1410" s="728"/>
      <c r="T1410" s="690"/>
    </row>
    <row r="1411" spans="1:20" s="665" customFormat="1" ht="17.100000000000001" customHeight="1">
      <c r="A1411" s="1316" t="s">
        <v>1886</v>
      </c>
      <c r="B1411" s="1317"/>
      <c r="C1411" s="1381" t="s">
        <v>1529</v>
      </c>
      <c r="D1411" s="1317"/>
      <c r="E1411" s="683">
        <v>1.7999999999999998E-4</v>
      </c>
      <c r="F1411" s="676" t="s">
        <v>850</v>
      </c>
      <c r="G1411" s="670" t="e">
        <f>$H$484</f>
        <v>#REF!</v>
      </c>
      <c r="H1411" s="670" t="e">
        <f>INT(E1411*G1411)</f>
        <v>#REF!</v>
      </c>
      <c r="I1411" s="670">
        <f>$J$484</f>
        <v>73989</v>
      </c>
      <c r="J1411" s="670">
        <f t="shared" si="199"/>
        <v>13</v>
      </c>
      <c r="K1411" s="670">
        <f>$L$484</f>
        <v>11220</v>
      </c>
      <c r="L1411" s="670">
        <f>INT(E1411*K1411)</f>
        <v>2</v>
      </c>
      <c r="M1411" s="670" t="e">
        <f t="shared" si="200"/>
        <v>#REF!</v>
      </c>
      <c r="N1411" s="670" t="e">
        <f t="shared" si="200"/>
        <v>#REF!</v>
      </c>
      <c r="O1411" s="671">
        <f>$A$479</f>
        <v>130</v>
      </c>
      <c r="P1411" s="672"/>
      <c r="S1411" s="728"/>
      <c r="T1411" s="690"/>
    </row>
    <row r="1412" spans="1:20" s="665" customFormat="1" ht="17.100000000000001" customHeight="1">
      <c r="A1412" s="1316" t="s">
        <v>1887</v>
      </c>
      <c r="B1412" s="1317"/>
      <c r="C1412" s="1338" t="s">
        <v>1841</v>
      </c>
      <c r="D1412" s="1317"/>
      <c r="E1412" s="675">
        <v>0.36</v>
      </c>
      <c r="F1412" s="676" t="s">
        <v>645</v>
      </c>
      <c r="G1412" s="778" t="e">
        <f>$H$726</f>
        <v>#REF!</v>
      </c>
      <c r="H1412" s="670" t="e">
        <f>INT(E1412*G1412)</f>
        <v>#REF!</v>
      </c>
      <c r="I1412" s="778">
        <f>$J$726</f>
        <v>34461</v>
      </c>
      <c r="J1412" s="670">
        <f t="shared" si="199"/>
        <v>12405</v>
      </c>
      <c r="K1412" s="670"/>
      <c r="L1412" s="670"/>
      <c r="M1412" s="670" t="e">
        <f t="shared" si="200"/>
        <v>#REF!</v>
      </c>
      <c r="N1412" s="670" t="e">
        <f t="shared" si="200"/>
        <v>#REF!</v>
      </c>
      <c r="O1412" s="671">
        <f>$A$721</f>
        <v>163</v>
      </c>
      <c r="P1412" s="672" t="s">
        <v>1549</v>
      </c>
      <c r="Q1412" s="687" t="s">
        <v>1423</v>
      </c>
      <c r="R1412" s="688" t="s">
        <v>1876</v>
      </c>
      <c r="S1412" s="688" t="s">
        <v>1425</v>
      </c>
      <c r="T1412" s="688" t="s">
        <v>1426</v>
      </c>
    </row>
    <row r="1413" spans="1:20" s="665" customFormat="1" ht="17.100000000000001" customHeight="1">
      <c r="A1413" s="1318" t="s">
        <v>1320</v>
      </c>
      <c r="B1413" s="1319"/>
      <c r="C1413" s="1371"/>
      <c r="D1413" s="1372"/>
      <c r="E1413" s="677"/>
      <c r="F1413" s="676"/>
      <c r="G1413" s="670"/>
      <c r="H1413" s="670" t="e">
        <f>SUM(H1406:H1412)</f>
        <v>#REF!</v>
      </c>
      <c r="I1413" s="670"/>
      <c r="J1413" s="670" t="e">
        <f>SUM(J1406:J1412)</f>
        <v>#REF!</v>
      </c>
      <c r="K1413" s="670"/>
      <c r="L1413" s="670" t="e">
        <f>SUM(L1406:L1412)</f>
        <v>#REF!</v>
      </c>
      <c r="M1413" s="670"/>
      <c r="N1413" s="670" t="e">
        <f>SUM(N1406:N1412)</f>
        <v>#REF!</v>
      </c>
      <c r="O1413" s="671"/>
      <c r="P1413" s="672" t="s">
        <v>1871</v>
      </c>
      <c r="Q1413" s="688">
        <v>35</v>
      </c>
      <c r="R1413" s="688">
        <f>Q1413</f>
        <v>35</v>
      </c>
      <c r="S1413" s="688">
        <v>0</v>
      </c>
      <c r="T1413" s="688"/>
    </row>
    <row r="1414" spans="1:20" s="665" customFormat="1" ht="17.100000000000001" customHeight="1">
      <c r="A1414" s="668">
        <f>A1405+1</f>
        <v>259</v>
      </c>
      <c r="B1414" s="1320" t="s">
        <v>1903</v>
      </c>
      <c r="C1414" s="1320"/>
      <c r="D1414" s="1320" t="s">
        <v>1905</v>
      </c>
      <c r="E1414" s="1320"/>
      <c r="F1414" s="669" t="s">
        <v>272</v>
      </c>
      <c r="G1414" s="670"/>
      <c r="H1414" s="670"/>
      <c r="I1414" s="670"/>
      <c r="J1414" s="670"/>
      <c r="K1414" s="670"/>
      <c r="L1414" s="670"/>
      <c r="M1414" s="670"/>
      <c r="N1414" s="670"/>
      <c r="O1414" s="699"/>
      <c r="P1414" s="672"/>
      <c r="Q1414" s="688">
        <f t="shared" ref="Q1414:R1420" si="201">Q1413</f>
        <v>35</v>
      </c>
      <c r="R1414" s="688">
        <f t="shared" si="201"/>
        <v>35</v>
      </c>
      <c r="S1414" s="688"/>
      <c r="T1414" s="688"/>
    </row>
    <row r="1415" spans="1:20" s="665" customFormat="1" ht="17.100000000000001" customHeight="1">
      <c r="A1415" s="1316" t="s">
        <v>921</v>
      </c>
      <c r="B1415" s="1317"/>
      <c r="C1415" s="1316" t="s">
        <v>923</v>
      </c>
      <c r="D1415" s="1317"/>
      <c r="E1415" s="675">
        <v>1.03</v>
      </c>
      <c r="F1415" s="676" t="s">
        <v>30</v>
      </c>
      <c r="G1415" s="778" t="e">
        <f>#REF!</f>
        <v>#REF!</v>
      </c>
      <c r="H1415" s="670" t="e">
        <f>INT(E1415*G1415)</f>
        <v>#REF!</v>
      </c>
      <c r="I1415" s="670"/>
      <c r="J1415" s="670"/>
      <c r="K1415" s="670">
        <f>[53]운반공!$BY$619</f>
        <v>2424</v>
      </c>
      <c r="L1415" s="670">
        <f>INT(E1415*K1415)</f>
        <v>2496</v>
      </c>
      <c r="M1415" s="670" t="e">
        <f>G1415+I1415+K1415</f>
        <v>#REF!</v>
      </c>
      <c r="N1415" s="670" t="e">
        <f>H1415+J1415+L1415</f>
        <v>#REF!</v>
      </c>
      <c r="O1415" s="671"/>
      <c r="P1415" s="672"/>
      <c r="Q1415" s="688">
        <f>Q1414</f>
        <v>35</v>
      </c>
      <c r="R1415" s="688">
        <f>R1414</f>
        <v>35</v>
      </c>
      <c r="S1415" s="728">
        <v>1</v>
      </c>
      <c r="T1415" s="690">
        <f>ROUND(S1415/R1415,4)</f>
        <v>2.86E-2</v>
      </c>
    </row>
    <row r="1416" spans="1:20" s="665" customFormat="1" ht="17.100000000000001" customHeight="1">
      <c r="A1416" s="1316" t="s">
        <v>248</v>
      </c>
      <c r="B1416" s="1317"/>
      <c r="C1416" s="1338"/>
      <c r="D1416" s="1317"/>
      <c r="E1416" s="683">
        <f>T1385</f>
        <v>2.5000000000000001E-2</v>
      </c>
      <c r="F1416" s="676" t="s">
        <v>366</v>
      </c>
      <c r="G1416" s="670"/>
      <c r="H1416" s="670"/>
      <c r="I1416" s="670">
        <f>[53]노임단가!$T$5</f>
        <v>172068</v>
      </c>
      <c r="J1416" s="670">
        <f t="shared" ref="J1416:J1421" si="202">INT(E1416*I1416)</f>
        <v>4301</v>
      </c>
      <c r="K1416" s="670"/>
      <c r="L1416" s="670"/>
      <c r="M1416" s="670">
        <f t="shared" ref="M1416:N1421" si="203">G1416+I1416+K1416</f>
        <v>172068</v>
      </c>
      <c r="N1416" s="670">
        <f t="shared" si="203"/>
        <v>4301</v>
      </c>
      <c r="O1416" s="671"/>
      <c r="P1416" s="672"/>
      <c r="Q1416" s="688">
        <f t="shared" si="201"/>
        <v>35</v>
      </c>
      <c r="R1416" s="688">
        <f t="shared" si="201"/>
        <v>35</v>
      </c>
      <c r="S1416" s="728">
        <v>2</v>
      </c>
      <c r="T1416" s="690">
        <f>ROUND(S1416/R1416,4)</f>
        <v>5.7099999999999998E-2</v>
      </c>
    </row>
    <row r="1417" spans="1:20" s="665" customFormat="1" ht="17.100000000000001" customHeight="1">
      <c r="A1417" s="1316" t="s">
        <v>628</v>
      </c>
      <c r="B1417" s="1317"/>
      <c r="C1417" s="1381"/>
      <c r="D1417" s="1317"/>
      <c r="E1417" s="683">
        <f>T1386</f>
        <v>0.05</v>
      </c>
      <c r="F1417" s="676" t="s">
        <v>366</v>
      </c>
      <c r="G1417" s="670"/>
      <c r="H1417" s="670"/>
      <c r="I1417" s="670">
        <f>[53]노임단가!$T$6</f>
        <v>226122</v>
      </c>
      <c r="J1417" s="670">
        <f t="shared" si="202"/>
        <v>11306</v>
      </c>
      <c r="K1417" s="670"/>
      <c r="L1417" s="670"/>
      <c r="M1417" s="670">
        <f t="shared" si="203"/>
        <v>226122</v>
      </c>
      <c r="N1417" s="670">
        <f t="shared" si="203"/>
        <v>11306</v>
      </c>
      <c r="O1417" s="671"/>
      <c r="P1417" s="672"/>
      <c r="Q1417" s="688">
        <f t="shared" si="201"/>
        <v>35</v>
      </c>
      <c r="R1417" s="688">
        <f t="shared" si="201"/>
        <v>35</v>
      </c>
      <c r="S1417" s="728">
        <v>8</v>
      </c>
      <c r="T1417" s="690">
        <f>ROUND(S1417/R1417,4)</f>
        <v>0.2286</v>
      </c>
    </row>
    <row r="1418" spans="1:20" s="665" customFormat="1" ht="17.100000000000001" customHeight="1">
      <c r="A1418" s="1316" t="s">
        <v>481</v>
      </c>
      <c r="B1418" s="1317"/>
      <c r="C1418" s="786" t="s">
        <v>395</v>
      </c>
      <c r="D1418" s="669"/>
      <c r="E1418" s="683">
        <f>T1387</f>
        <v>0.2</v>
      </c>
      <c r="F1418" s="676" t="s">
        <v>418</v>
      </c>
      <c r="G1418" s="670" t="e">
        <f>#REF!</f>
        <v>#REF!</v>
      </c>
      <c r="H1418" s="670" t="e">
        <f>INT(E1418*G1418)</f>
        <v>#REF!</v>
      </c>
      <c r="I1418" s="670" t="e">
        <f>#REF!</f>
        <v>#REF!</v>
      </c>
      <c r="J1418" s="670" t="e">
        <f t="shared" si="202"/>
        <v>#REF!</v>
      </c>
      <c r="K1418" s="670" t="e">
        <f>#REF!</f>
        <v>#REF!</v>
      </c>
      <c r="L1418" s="670" t="e">
        <f>INT(E1418*K1418)</f>
        <v>#REF!</v>
      </c>
      <c r="M1418" s="670" t="e">
        <f t="shared" si="203"/>
        <v>#REF!</v>
      </c>
      <c r="N1418" s="670" t="e">
        <f t="shared" si="203"/>
        <v>#REF!</v>
      </c>
      <c r="O1418" s="671"/>
      <c r="P1418" s="672"/>
      <c r="Q1418" s="688">
        <f>Q1416</f>
        <v>35</v>
      </c>
      <c r="R1418" s="688">
        <f>R1416</f>
        <v>35</v>
      </c>
      <c r="S1418" s="728"/>
      <c r="T1418" s="690">
        <f>ROUND(S1418/R1418,4)</f>
        <v>0</v>
      </c>
    </row>
    <row r="1419" spans="1:20" s="665" customFormat="1" ht="17.100000000000001" customHeight="1">
      <c r="A1419" s="1316" t="s">
        <v>1884</v>
      </c>
      <c r="B1419" s="1317"/>
      <c r="C1419" s="1338" t="s">
        <v>1885</v>
      </c>
      <c r="D1419" s="1317"/>
      <c r="E1419" s="701">
        <f>[53]구조물공!$BE$131</f>
        <v>5.3999999999999999E-2</v>
      </c>
      <c r="F1419" s="676" t="s">
        <v>850</v>
      </c>
      <c r="G1419" s="670" t="e">
        <f>$H$552</f>
        <v>#REF!</v>
      </c>
      <c r="H1419" s="670" t="e">
        <f>INT(E1419*G1419)</f>
        <v>#REF!</v>
      </c>
      <c r="I1419" s="670">
        <f>$J$552</f>
        <v>373604</v>
      </c>
      <c r="J1419" s="670">
        <f t="shared" si="202"/>
        <v>20174</v>
      </c>
      <c r="K1419" s="670">
        <f>$L$552</f>
        <v>5742</v>
      </c>
      <c r="L1419" s="670">
        <f>INT(E1419*K1419)</f>
        <v>310</v>
      </c>
      <c r="M1419" s="670" t="e">
        <f t="shared" si="203"/>
        <v>#REF!</v>
      </c>
      <c r="N1419" s="670" t="e">
        <f t="shared" si="203"/>
        <v>#REF!</v>
      </c>
      <c r="O1419" s="671">
        <f>$A$545</f>
        <v>139</v>
      </c>
      <c r="P1419" s="672"/>
      <c r="Q1419" s="688">
        <f t="shared" si="201"/>
        <v>35</v>
      </c>
      <c r="R1419" s="688">
        <f t="shared" si="201"/>
        <v>35</v>
      </c>
      <c r="S1419" s="728">
        <f>0.2*0.3*0.004</f>
        <v>2.4000000000000001E-4</v>
      </c>
      <c r="T1419" s="690">
        <f>ROUND(S1419,4)</f>
        <v>2.0000000000000001E-4</v>
      </c>
    </row>
    <row r="1420" spans="1:20" s="665" customFormat="1" ht="17.100000000000001" customHeight="1">
      <c r="A1420" s="1316" t="s">
        <v>1886</v>
      </c>
      <c r="B1420" s="1317"/>
      <c r="C1420" s="1381" t="s">
        <v>1529</v>
      </c>
      <c r="D1420" s="1317"/>
      <c r="E1420" s="683">
        <v>2.1599999999999999E-4</v>
      </c>
      <c r="F1420" s="676" t="s">
        <v>850</v>
      </c>
      <c r="G1420" s="670" t="e">
        <f>$H$484</f>
        <v>#REF!</v>
      </c>
      <c r="H1420" s="670" t="e">
        <f>INT(E1420*G1420)</f>
        <v>#REF!</v>
      </c>
      <c r="I1420" s="670">
        <f>$J$484</f>
        <v>73989</v>
      </c>
      <c r="J1420" s="670">
        <f t="shared" si="202"/>
        <v>15</v>
      </c>
      <c r="K1420" s="670">
        <f>$L$484</f>
        <v>11220</v>
      </c>
      <c r="L1420" s="670">
        <f>INT(E1420*K1420)</f>
        <v>2</v>
      </c>
      <c r="M1420" s="670" t="e">
        <f t="shared" si="203"/>
        <v>#REF!</v>
      </c>
      <c r="N1420" s="670" t="e">
        <f t="shared" si="203"/>
        <v>#REF!</v>
      </c>
      <c r="O1420" s="671">
        <f>$A$479</f>
        <v>130</v>
      </c>
      <c r="P1420" s="672"/>
      <c r="Q1420" s="688">
        <f t="shared" si="201"/>
        <v>35</v>
      </c>
      <c r="R1420" s="688">
        <f t="shared" si="201"/>
        <v>35</v>
      </c>
      <c r="S1420" s="728"/>
      <c r="T1420" s="690"/>
    </row>
    <row r="1421" spans="1:20" s="665" customFormat="1" ht="17.100000000000001" customHeight="1">
      <c r="A1421" s="1316" t="s">
        <v>1887</v>
      </c>
      <c r="B1421" s="1317"/>
      <c r="C1421" s="1338" t="s">
        <v>1841</v>
      </c>
      <c r="D1421" s="1317"/>
      <c r="E1421" s="675">
        <v>0.36</v>
      </c>
      <c r="F1421" s="676" t="s">
        <v>645</v>
      </c>
      <c r="G1421" s="778" t="e">
        <f>$H$726</f>
        <v>#REF!</v>
      </c>
      <c r="H1421" s="670" t="e">
        <f>INT(E1421*G1421)</f>
        <v>#REF!</v>
      </c>
      <c r="I1421" s="778">
        <f>$J$726</f>
        <v>34461</v>
      </c>
      <c r="J1421" s="670">
        <f t="shared" si="202"/>
        <v>12405</v>
      </c>
      <c r="K1421" s="670"/>
      <c r="L1421" s="670"/>
      <c r="M1421" s="670" t="e">
        <f t="shared" si="203"/>
        <v>#REF!</v>
      </c>
      <c r="N1421" s="670" t="e">
        <f t="shared" si="203"/>
        <v>#REF!</v>
      </c>
      <c r="O1421" s="671">
        <f>$A$721</f>
        <v>163</v>
      </c>
      <c r="P1421" s="672"/>
      <c r="S1421" s="728"/>
      <c r="T1421" s="690"/>
    </row>
    <row r="1422" spans="1:20" s="665" customFormat="1" ht="17.100000000000001" customHeight="1">
      <c r="A1422" s="1318" t="s">
        <v>1320</v>
      </c>
      <c r="B1422" s="1319"/>
      <c r="C1422" s="1371"/>
      <c r="D1422" s="1372"/>
      <c r="E1422" s="677"/>
      <c r="F1422" s="676"/>
      <c r="G1422" s="670"/>
      <c r="H1422" s="670" t="e">
        <f>SUM(H1415:H1421)</f>
        <v>#REF!</v>
      </c>
      <c r="I1422" s="670"/>
      <c r="J1422" s="670" t="e">
        <f>SUM(J1415:J1421)</f>
        <v>#REF!</v>
      </c>
      <c r="K1422" s="670"/>
      <c r="L1422" s="670" t="e">
        <f>SUM(L1415:L1421)</f>
        <v>#REF!</v>
      </c>
      <c r="M1422" s="670"/>
      <c r="N1422" s="670" t="e">
        <f>SUM(N1415:N1421)</f>
        <v>#REF!</v>
      </c>
      <c r="O1422" s="671"/>
      <c r="P1422" s="672" t="s">
        <v>1549</v>
      </c>
      <c r="Q1422" s="687" t="s">
        <v>1423</v>
      </c>
      <c r="R1422" s="688" t="s">
        <v>1876</v>
      </c>
      <c r="S1422" s="688" t="s">
        <v>1425</v>
      </c>
      <c r="T1422" s="688" t="s">
        <v>1426</v>
      </c>
    </row>
    <row r="1423" spans="1:20" s="665" customFormat="1" ht="17.100000000000001" customHeight="1">
      <c r="A1423" s="668">
        <f>A1414+1</f>
        <v>260</v>
      </c>
      <c r="B1423" s="1320" t="s">
        <v>1879</v>
      </c>
      <c r="C1423" s="1320"/>
      <c r="D1423" s="1320" t="s">
        <v>1906</v>
      </c>
      <c r="E1423" s="1320"/>
      <c r="F1423" s="669" t="s">
        <v>272</v>
      </c>
      <c r="G1423" s="670"/>
      <c r="H1423" s="670"/>
      <c r="I1423" s="670"/>
      <c r="J1423" s="670"/>
      <c r="K1423" s="670"/>
      <c r="L1423" s="670"/>
      <c r="M1423" s="670"/>
      <c r="N1423" s="670"/>
      <c r="O1423" s="699" t="s">
        <v>1562</v>
      </c>
      <c r="P1423" s="672" t="s">
        <v>1871</v>
      </c>
      <c r="Q1423" s="688">
        <v>110</v>
      </c>
      <c r="R1423" s="688">
        <f>Q1423</f>
        <v>110</v>
      </c>
      <c r="S1423" s="688">
        <v>0</v>
      </c>
      <c r="T1423" s="688"/>
    </row>
    <row r="1424" spans="1:20" s="665" customFormat="1" ht="17.100000000000001" customHeight="1">
      <c r="A1424" s="1316" t="s">
        <v>1881</v>
      </c>
      <c r="B1424" s="1317"/>
      <c r="C1424" s="1316" t="s">
        <v>1882</v>
      </c>
      <c r="D1424" s="1317"/>
      <c r="E1424" s="675">
        <v>1.03</v>
      </c>
      <c r="F1424" s="676" t="s">
        <v>30</v>
      </c>
      <c r="G1424" s="778"/>
      <c r="H1424" s="778"/>
      <c r="I1424" s="670"/>
      <c r="J1424" s="670"/>
      <c r="K1424" s="670"/>
      <c r="L1424" s="670"/>
      <c r="M1424" s="670"/>
      <c r="N1424" s="670"/>
      <c r="O1424" s="671"/>
      <c r="P1424" s="672"/>
      <c r="Q1424" s="688">
        <f t="shared" ref="Q1424:R1430" si="204">Q1423</f>
        <v>110</v>
      </c>
      <c r="R1424" s="688">
        <f t="shared" si="204"/>
        <v>110</v>
      </c>
      <c r="S1424" s="688"/>
      <c r="T1424" s="688"/>
    </row>
    <row r="1425" spans="1:20" s="665" customFormat="1" ht="17.100000000000001" customHeight="1">
      <c r="A1425" s="1316" t="s">
        <v>1883</v>
      </c>
      <c r="B1425" s="1317"/>
      <c r="C1425" s="1316" t="s">
        <v>1761</v>
      </c>
      <c r="D1425" s="1317"/>
      <c r="E1425" s="675">
        <v>1.03</v>
      </c>
      <c r="F1425" s="676" t="s">
        <v>30</v>
      </c>
      <c r="G1425" s="670"/>
      <c r="H1425" s="670"/>
      <c r="I1425" s="670"/>
      <c r="J1425" s="670"/>
      <c r="K1425" s="670">
        <f>[53]운반공!$BQ$622</f>
        <v>364</v>
      </c>
      <c r="L1425" s="670">
        <f>INT(E1425*K1425)</f>
        <v>374</v>
      </c>
      <c r="M1425" s="670">
        <f>G1425+I1425+K1425</f>
        <v>364</v>
      </c>
      <c r="N1425" s="670">
        <f>H1425+J1425+L1425</f>
        <v>374</v>
      </c>
      <c r="O1425" s="671"/>
      <c r="P1425" s="672"/>
      <c r="Q1425" s="688">
        <f>Q1424</f>
        <v>110</v>
      </c>
      <c r="R1425" s="688">
        <f>R1424</f>
        <v>110</v>
      </c>
      <c r="S1425" s="728">
        <v>1</v>
      </c>
      <c r="T1425" s="690">
        <f>ROUND(S1425/R1425,4)</f>
        <v>9.1000000000000004E-3</v>
      </c>
    </row>
    <row r="1426" spans="1:20" s="665" customFormat="1" ht="17.100000000000001" customHeight="1">
      <c r="A1426" s="1316" t="s">
        <v>248</v>
      </c>
      <c r="B1426" s="1317"/>
      <c r="C1426" s="1338"/>
      <c r="D1426" s="1317"/>
      <c r="E1426" s="683">
        <f>T1395</f>
        <v>1.3299999999999999E-2</v>
      </c>
      <c r="F1426" s="676" t="s">
        <v>366</v>
      </c>
      <c r="G1426" s="670"/>
      <c r="H1426" s="670"/>
      <c r="I1426" s="670">
        <f>[53]노임단가!$T$5</f>
        <v>172068</v>
      </c>
      <c r="J1426" s="670">
        <f t="shared" ref="J1426:J1431" si="205">INT(E1426*I1426)</f>
        <v>2288</v>
      </c>
      <c r="K1426" s="670"/>
      <c r="L1426" s="670"/>
      <c r="M1426" s="670">
        <f t="shared" ref="M1426:N1431" si="206">G1426+I1426+K1426</f>
        <v>172068</v>
      </c>
      <c r="N1426" s="670">
        <f t="shared" si="206"/>
        <v>2288</v>
      </c>
      <c r="O1426" s="671"/>
      <c r="P1426" s="672"/>
      <c r="Q1426" s="688">
        <f t="shared" si="204"/>
        <v>110</v>
      </c>
      <c r="R1426" s="688">
        <f t="shared" si="204"/>
        <v>110</v>
      </c>
      <c r="S1426" s="728">
        <v>2</v>
      </c>
      <c r="T1426" s="690">
        <f>ROUND(S1426/R1426,4)</f>
        <v>1.8200000000000001E-2</v>
      </c>
    </row>
    <row r="1427" spans="1:20" s="665" customFormat="1" ht="17.100000000000001" customHeight="1">
      <c r="A1427" s="1316" t="s">
        <v>628</v>
      </c>
      <c r="B1427" s="1317"/>
      <c r="C1427" s="1381"/>
      <c r="D1427" s="1317"/>
      <c r="E1427" s="683">
        <f>T1396</f>
        <v>2.6700000000000002E-2</v>
      </c>
      <c r="F1427" s="676" t="s">
        <v>366</v>
      </c>
      <c r="G1427" s="670"/>
      <c r="H1427" s="670"/>
      <c r="I1427" s="670">
        <f>[53]노임단가!$T$6</f>
        <v>226122</v>
      </c>
      <c r="J1427" s="670">
        <f t="shared" si="205"/>
        <v>6037</v>
      </c>
      <c r="K1427" s="670"/>
      <c r="L1427" s="670"/>
      <c r="M1427" s="670">
        <f t="shared" si="206"/>
        <v>226122</v>
      </c>
      <c r="N1427" s="670">
        <f t="shared" si="206"/>
        <v>6037</v>
      </c>
      <c r="O1427" s="671"/>
      <c r="P1427" s="672"/>
      <c r="Q1427" s="688">
        <f t="shared" si="204"/>
        <v>110</v>
      </c>
      <c r="R1427" s="688">
        <f t="shared" si="204"/>
        <v>110</v>
      </c>
      <c r="S1427" s="728">
        <v>8</v>
      </c>
      <c r="T1427" s="690">
        <f>ROUND(S1427/R1427,4)</f>
        <v>7.2700000000000001E-2</v>
      </c>
    </row>
    <row r="1428" spans="1:20" s="665" customFormat="1" ht="17.100000000000001" customHeight="1">
      <c r="A1428" s="1316" t="s">
        <v>481</v>
      </c>
      <c r="B1428" s="1317"/>
      <c r="C1428" s="786" t="s">
        <v>395</v>
      </c>
      <c r="D1428" s="669"/>
      <c r="E1428" s="683">
        <f>T1397</f>
        <v>0.1067</v>
      </c>
      <c r="F1428" s="676" t="s">
        <v>418</v>
      </c>
      <c r="G1428" s="670" t="e">
        <f>#REF!</f>
        <v>#REF!</v>
      </c>
      <c r="H1428" s="670" t="e">
        <f>INT(E1428*G1428)</f>
        <v>#REF!</v>
      </c>
      <c r="I1428" s="670" t="e">
        <f>#REF!</f>
        <v>#REF!</v>
      </c>
      <c r="J1428" s="670" t="e">
        <f t="shared" si="205"/>
        <v>#REF!</v>
      </c>
      <c r="K1428" s="670" t="e">
        <f>#REF!</f>
        <v>#REF!</v>
      </c>
      <c r="L1428" s="670" t="e">
        <f>INT(E1428*K1428)</f>
        <v>#REF!</v>
      </c>
      <c r="M1428" s="670" t="e">
        <f t="shared" si="206"/>
        <v>#REF!</v>
      </c>
      <c r="N1428" s="670" t="e">
        <f t="shared" si="206"/>
        <v>#REF!</v>
      </c>
      <c r="O1428" s="671"/>
      <c r="P1428" s="672"/>
      <c r="Q1428" s="688">
        <f>Q1426</f>
        <v>110</v>
      </c>
      <c r="R1428" s="688">
        <f>R1426</f>
        <v>110</v>
      </c>
      <c r="S1428" s="728"/>
      <c r="T1428" s="690">
        <f>ROUND(S1428/R1428,4)</f>
        <v>0</v>
      </c>
    </row>
    <row r="1429" spans="1:20" s="665" customFormat="1" ht="17.100000000000001" customHeight="1">
      <c r="A1429" s="1316" t="s">
        <v>1884</v>
      </c>
      <c r="B1429" s="1317"/>
      <c r="C1429" s="1338" t="s">
        <v>1885</v>
      </c>
      <c r="D1429" s="1317"/>
      <c r="E1429" s="701">
        <f>[53]구조물공!$BE$123</f>
        <v>4.5999999999999999E-2</v>
      </c>
      <c r="F1429" s="676" t="s">
        <v>850</v>
      </c>
      <c r="G1429" s="670" t="e">
        <f>$H$552</f>
        <v>#REF!</v>
      </c>
      <c r="H1429" s="670" t="e">
        <f>INT(E1429*G1429)</f>
        <v>#REF!</v>
      </c>
      <c r="I1429" s="670">
        <f>$J$552</f>
        <v>373604</v>
      </c>
      <c r="J1429" s="670">
        <f t="shared" si="205"/>
        <v>17185</v>
      </c>
      <c r="K1429" s="670">
        <f>$L$552</f>
        <v>5742</v>
      </c>
      <c r="L1429" s="670">
        <f>INT(E1429*K1429)</f>
        <v>264</v>
      </c>
      <c r="M1429" s="670" t="e">
        <f t="shared" si="206"/>
        <v>#REF!</v>
      </c>
      <c r="N1429" s="670" t="e">
        <f t="shared" si="206"/>
        <v>#REF!</v>
      </c>
      <c r="O1429" s="671">
        <f>$A$545</f>
        <v>139</v>
      </c>
      <c r="P1429" s="672"/>
      <c r="Q1429" s="688">
        <f t="shared" si="204"/>
        <v>110</v>
      </c>
      <c r="R1429" s="688">
        <f t="shared" si="204"/>
        <v>110</v>
      </c>
      <c r="S1429" s="728">
        <f>0.12*0.12*0.004</f>
        <v>5.7599999999999997E-5</v>
      </c>
      <c r="T1429" s="690">
        <f>ROUND(S1429/R1429,4)</f>
        <v>0</v>
      </c>
    </row>
    <row r="1430" spans="1:20" s="665" customFormat="1" ht="17.100000000000001" customHeight="1">
      <c r="A1430" s="1316" t="s">
        <v>1886</v>
      </c>
      <c r="B1430" s="1317"/>
      <c r="C1430" s="1381" t="s">
        <v>1529</v>
      </c>
      <c r="D1430" s="1317"/>
      <c r="E1430" s="683">
        <v>1.44E-4</v>
      </c>
      <c r="F1430" s="676" t="s">
        <v>850</v>
      </c>
      <c r="G1430" s="670" t="e">
        <f>$H$484</f>
        <v>#REF!</v>
      </c>
      <c r="H1430" s="670" t="e">
        <f>INT(E1430*G1430)</f>
        <v>#REF!</v>
      </c>
      <c r="I1430" s="670">
        <f>$J$484</f>
        <v>73989</v>
      </c>
      <c r="J1430" s="670">
        <f t="shared" si="205"/>
        <v>10</v>
      </c>
      <c r="K1430" s="670">
        <f>$L$484</f>
        <v>11220</v>
      </c>
      <c r="L1430" s="670">
        <f>INT(E1430*K1430)</f>
        <v>1</v>
      </c>
      <c r="M1430" s="670" t="e">
        <f t="shared" si="206"/>
        <v>#REF!</v>
      </c>
      <c r="N1430" s="670" t="e">
        <f t="shared" si="206"/>
        <v>#REF!</v>
      </c>
      <c r="O1430" s="671">
        <f>$A$479</f>
        <v>130</v>
      </c>
      <c r="P1430" s="672"/>
      <c r="Q1430" s="688">
        <f t="shared" si="204"/>
        <v>110</v>
      </c>
      <c r="R1430" s="688">
        <f t="shared" si="204"/>
        <v>110</v>
      </c>
      <c r="S1430" s="728"/>
      <c r="T1430" s="690"/>
    </row>
    <row r="1431" spans="1:20" s="665" customFormat="1" ht="17.100000000000001" customHeight="1">
      <c r="A1431" s="1316" t="s">
        <v>1887</v>
      </c>
      <c r="B1431" s="1317"/>
      <c r="C1431" s="1338" t="s">
        <v>1841</v>
      </c>
      <c r="D1431" s="1317"/>
      <c r="E1431" s="675">
        <v>0.36</v>
      </c>
      <c r="F1431" s="676" t="s">
        <v>645</v>
      </c>
      <c r="G1431" s="778" t="e">
        <f>$H$726</f>
        <v>#REF!</v>
      </c>
      <c r="H1431" s="670" t="e">
        <f>INT(E1431*G1431)</f>
        <v>#REF!</v>
      </c>
      <c r="I1431" s="778">
        <f>$J$726</f>
        <v>34461</v>
      </c>
      <c r="J1431" s="670">
        <f t="shared" si="205"/>
        <v>12405</v>
      </c>
      <c r="K1431" s="670"/>
      <c r="L1431" s="670"/>
      <c r="M1431" s="670" t="e">
        <f t="shared" si="206"/>
        <v>#REF!</v>
      </c>
      <c r="N1431" s="670" t="e">
        <f t="shared" si="206"/>
        <v>#REF!</v>
      </c>
      <c r="O1431" s="671">
        <f>$A$721</f>
        <v>163</v>
      </c>
      <c r="P1431" s="672"/>
      <c r="S1431" s="728"/>
      <c r="T1431" s="690"/>
    </row>
    <row r="1432" spans="1:20" s="665" customFormat="1" ht="17.100000000000001" customHeight="1">
      <c r="A1432" s="1318" t="s">
        <v>1320</v>
      </c>
      <c r="B1432" s="1319"/>
      <c r="C1432" s="1371"/>
      <c r="D1432" s="1372"/>
      <c r="E1432" s="677"/>
      <c r="F1432" s="676"/>
      <c r="G1432" s="670"/>
      <c r="H1432" s="670" t="e">
        <f>SUM(H1424:H1431)</f>
        <v>#REF!</v>
      </c>
      <c r="I1432" s="670"/>
      <c r="J1432" s="670" t="e">
        <f>SUM(J1424:J1431)</f>
        <v>#REF!</v>
      </c>
      <c r="K1432" s="670"/>
      <c r="L1432" s="670" t="e">
        <f>SUM(L1424:L1431)</f>
        <v>#REF!</v>
      </c>
      <c r="M1432" s="670"/>
      <c r="N1432" s="670" t="e">
        <f>SUM(N1424:N1431)</f>
        <v>#REF!</v>
      </c>
      <c r="O1432" s="671"/>
      <c r="P1432" s="672" t="s">
        <v>1549</v>
      </c>
      <c r="Q1432" s="687" t="s">
        <v>1423</v>
      </c>
      <c r="R1432" s="688" t="s">
        <v>1876</v>
      </c>
      <c r="S1432" s="688" t="s">
        <v>1425</v>
      </c>
      <c r="T1432" s="688" t="s">
        <v>1426</v>
      </c>
    </row>
    <row r="1433" spans="1:20" s="665" customFormat="1" ht="17.100000000000001" customHeight="1">
      <c r="A1433" s="668">
        <f>A1423+1</f>
        <v>261</v>
      </c>
      <c r="B1433" s="1320" t="s">
        <v>1879</v>
      </c>
      <c r="C1433" s="1320"/>
      <c r="D1433" s="1320" t="s">
        <v>1907</v>
      </c>
      <c r="E1433" s="1320"/>
      <c r="F1433" s="669" t="s">
        <v>272</v>
      </c>
      <c r="G1433" s="670"/>
      <c r="H1433" s="670"/>
      <c r="I1433" s="670"/>
      <c r="J1433" s="670"/>
      <c r="K1433" s="670"/>
      <c r="L1433" s="670"/>
      <c r="M1433" s="670"/>
      <c r="N1433" s="670"/>
      <c r="O1433" s="699" t="s">
        <v>1562</v>
      </c>
      <c r="P1433" s="672" t="s">
        <v>1871</v>
      </c>
      <c r="Q1433" s="688">
        <v>85</v>
      </c>
      <c r="R1433" s="688">
        <f>Q1433</f>
        <v>85</v>
      </c>
      <c r="S1433" s="688">
        <v>0</v>
      </c>
      <c r="T1433" s="688"/>
    </row>
    <row r="1434" spans="1:20" s="665" customFormat="1" ht="17.100000000000001" customHeight="1">
      <c r="A1434" s="1316" t="s">
        <v>1881</v>
      </c>
      <c r="B1434" s="1317"/>
      <c r="C1434" s="1316" t="s">
        <v>1888</v>
      </c>
      <c r="D1434" s="1317"/>
      <c r="E1434" s="675">
        <v>1.03</v>
      </c>
      <c r="F1434" s="676" t="s">
        <v>30</v>
      </c>
      <c r="G1434" s="778"/>
      <c r="H1434" s="778"/>
      <c r="I1434" s="670"/>
      <c r="J1434" s="670"/>
      <c r="K1434" s="670"/>
      <c r="L1434" s="670"/>
      <c r="M1434" s="670"/>
      <c r="N1434" s="670"/>
      <c r="O1434" s="671"/>
      <c r="P1434" s="672"/>
      <c r="Q1434" s="688">
        <f t="shared" ref="Q1434:R1440" si="207">Q1433</f>
        <v>85</v>
      </c>
      <c r="R1434" s="688">
        <f t="shared" si="207"/>
        <v>85</v>
      </c>
      <c r="S1434" s="688"/>
      <c r="T1434" s="688"/>
    </row>
    <row r="1435" spans="1:20" s="665" customFormat="1" ht="17.100000000000001" customHeight="1">
      <c r="A1435" s="1316" t="s">
        <v>1883</v>
      </c>
      <c r="B1435" s="1317"/>
      <c r="C1435" s="1316" t="s">
        <v>1761</v>
      </c>
      <c r="D1435" s="1317"/>
      <c r="E1435" s="675">
        <v>1.03</v>
      </c>
      <c r="F1435" s="676" t="s">
        <v>30</v>
      </c>
      <c r="G1435" s="670"/>
      <c r="H1435" s="670"/>
      <c r="I1435" s="670"/>
      <c r="J1435" s="670"/>
      <c r="K1435" s="670">
        <f>[53]운반공!$BQ$623</f>
        <v>507</v>
      </c>
      <c r="L1435" s="670">
        <f>INT(E1435*K1435)</f>
        <v>522</v>
      </c>
      <c r="M1435" s="670">
        <f>G1435+I1435+K1435</f>
        <v>507</v>
      </c>
      <c r="N1435" s="670">
        <f>H1435+J1435+L1435</f>
        <v>522</v>
      </c>
      <c r="O1435" s="671"/>
      <c r="P1435" s="672"/>
      <c r="Q1435" s="688">
        <f>Q1434</f>
        <v>85</v>
      </c>
      <c r="R1435" s="688">
        <f>R1434</f>
        <v>85</v>
      </c>
      <c r="S1435" s="728">
        <v>1</v>
      </c>
      <c r="T1435" s="690">
        <f>ROUND(S1435/R1435,4)</f>
        <v>1.18E-2</v>
      </c>
    </row>
    <row r="1436" spans="1:20" s="665" customFormat="1" ht="17.100000000000001" customHeight="1">
      <c r="A1436" s="1316" t="s">
        <v>248</v>
      </c>
      <c r="B1436" s="1317"/>
      <c r="C1436" s="1338"/>
      <c r="D1436" s="1317"/>
      <c r="E1436" s="683">
        <f>T1405</f>
        <v>1.67E-2</v>
      </c>
      <c r="F1436" s="676" t="s">
        <v>366</v>
      </c>
      <c r="G1436" s="670"/>
      <c r="H1436" s="670"/>
      <c r="I1436" s="670">
        <f>[53]노임단가!$T$5</f>
        <v>172068</v>
      </c>
      <c r="J1436" s="670">
        <f t="shared" ref="J1436:J1441" si="208">INT(E1436*I1436)</f>
        <v>2873</v>
      </c>
      <c r="K1436" s="670"/>
      <c r="L1436" s="670"/>
      <c r="M1436" s="670">
        <f t="shared" ref="M1436:N1441" si="209">G1436+I1436+K1436</f>
        <v>172068</v>
      </c>
      <c r="N1436" s="670">
        <f t="shared" si="209"/>
        <v>2873</v>
      </c>
      <c r="O1436" s="671"/>
      <c r="P1436" s="672"/>
      <c r="Q1436" s="688">
        <f t="shared" si="207"/>
        <v>85</v>
      </c>
      <c r="R1436" s="688">
        <f t="shared" si="207"/>
        <v>85</v>
      </c>
      <c r="S1436" s="728">
        <v>2</v>
      </c>
      <c r="T1436" s="690">
        <f>ROUND(S1436/R1436,4)</f>
        <v>2.35E-2</v>
      </c>
    </row>
    <row r="1437" spans="1:20" s="665" customFormat="1" ht="17.100000000000001" customHeight="1">
      <c r="A1437" s="1316" t="s">
        <v>628</v>
      </c>
      <c r="B1437" s="1317"/>
      <c r="C1437" s="1381"/>
      <c r="D1437" s="1317"/>
      <c r="E1437" s="683">
        <f>T1406</f>
        <v>3.3300000000000003E-2</v>
      </c>
      <c r="F1437" s="676" t="s">
        <v>366</v>
      </c>
      <c r="G1437" s="670"/>
      <c r="H1437" s="670"/>
      <c r="I1437" s="670">
        <f>[53]노임단가!$T$6</f>
        <v>226122</v>
      </c>
      <c r="J1437" s="670">
        <f t="shared" si="208"/>
        <v>7529</v>
      </c>
      <c r="K1437" s="670"/>
      <c r="L1437" s="670"/>
      <c r="M1437" s="670">
        <f t="shared" si="209"/>
        <v>226122</v>
      </c>
      <c r="N1437" s="670">
        <f t="shared" si="209"/>
        <v>7529</v>
      </c>
      <c r="O1437" s="671"/>
      <c r="P1437" s="672"/>
      <c r="Q1437" s="688">
        <f t="shared" si="207"/>
        <v>85</v>
      </c>
      <c r="R1437" s="688">
        <f t="shared" si="207"/>
        <v>85</v>
      </c>
      <c r="S1437" s="728">
        <v>8</v>
      </c>
      <c r="T1437" s="690">
        <f>ROUND(S1437/R1437,4)</f>
        <v>9.4100000000000003E-2</v>
      </c>
    </row>
    <row r="1438" spans="1:20" s="665" customFormat="1" ht="17.100000000000001" customHeight="1">
      <c r="A1438" s="1316" t="s">
        <v>481</v>
      </c>
      <c r="B1438" s="1317"/>
      <c r="C1438" s="786" t="s">
        <v>395</v>
      </c>
      <c r="D1438" s="669"/>
      <c r="E1438" s="683">
        <f>T1407</f>
        <v>0.1333</v>
      </c>
      <c r="F1438" s="676" t="s">
        <v>418</v>
      </c>
      <c r="G1438" s="670" t="e">
        <f>#REF!</f>
        <v>#REF!</v>
      </c>
      <c r="H1438" s="670" t="e">
        <f>INT(E1438*G1438)</f>
        <v>#REF!</v>
      </c>
      <c r="I1438" s="670" t="e">
        <f>#REF!</f>
        <v>#REF!</v>
      </c>
      <c r="J1438" s="670" t="e">
        <f t="shared" si="208"/>
        <v>#REF!</v>
      </c>
      <c r="K1438" s="670" t="e">
        <f>#REF!</f>
        <v>#REF!</v>
      </c>
      <c r="L1438" s="670" t="e">
        <f>INT(E1438*K1438)</f>
        <v>#REF!</v>
      </c>
      <c r="M1438" s="670" t="e">
        <f t="shared" si="209"/>
        <v>#REF!</v>
      </c>
      <c r="N1438" s="670" t="e">
        <f t="shared" si="209"/>
        <v>#REF!</v>
      </c>
      <c r="O1438" s="671"/>
      <c r="P1438" s="672"/>
      <c r="Q1438" s="688">
        <f>Q1436</f>
        <v>85</v>
      </c>
      <c r="R1438" s="688">
        <f>R1436</f>
        <v>85</v>
      </c>
      <c r="S1438" s="728"/>
      <c r="T1438" s="690">
        <f>ROUND(S1438/R1438,4)</f>
        <v>0</v>
      </c>
    </row>
    <row r="1439" spans="1:20" s="665" customFormat="1" ht="17.100000000000001" customHeight="1">
      <c r="A1439" s="1316" t="s">
        <v>1884</v>
      </c>
      <c r="B1439" s="1317"/>
      <c r="C1439" s="1338" t="s">
        <v>1885</v>
      </c>
      <c r="D1439" s="1317"/>
      <c r="E1439" s="701">
        <f>[53]구조물공!$BE$124</f>
        <v>4.9000000000000002E-2</v>
      </c>
      <c r="F1439" s="676" t="s">
        <v>850</v>
      </c>
      <c r="G1439" s="670" t="e">
        <f>$H$552</f>
        <v>#REF!</v>
      </c>
      <c r="H1439" s="670" t="e">
        <f>INT(E1439*G1439)</f>
        <v>#REF!</v>
      </c>
      <c r="I1439" s="670">
        <f>$J$552</f>
        <v>373604</v>
      </c>
      <c r="J1439" s="670">
        <f t="shared" si="208"/>
        <v>18306</v>
      </c>
      <c r="K1439" s="670">
        <f>$L$552</f>
        <v>5742</v>
      </c>
      <c r="L1439" s="670">
        <f>INT(E1439*K1439)</f>
        <v>281</v>
      </c>
      <c r="M1439" s="670" t="e">
        <f t="shared" si="209"/>
        <v>#REF!</v>
      </c>
      <c r="N1439" s="670" t="e">
        <f t="shared" si="209"/>
        <v>#REF!</v>
      </c>
      <c r="O1439" s="671">
        <f>$A$545</f>
        <v>139</v>
      </c>
      <c r="P1439" s="672"/>
      <c r="Q1439" s="688">
        <f t="shared" si="207"/>
        <v>85</v>
      </c>
      <c r="R1439" s="688">
        <f t="shared" si="207"/>
        <v>85</v>
      </c>
      <c r="S1439" s="728">
        <f>0.15*0.15*0.004</f>
        <v>8.9999999999999992E-5</v>
      </c>
      <c r="T1439" s="690">
        <f>ROUND(S1439,4)</f>
        <v>1E-4</v>
      </c>
    </row>
    <row r="1440" spans="1:20" s="665" customFormat="1" ht="17.100000000000001" customHeight="1">
      <c r="A1440" s="1316" t="s">
        <v>1886</v>
      </c>
      <c r="B1440" s="1317"/>
      <c r="C1440" s="1381" t="s">
        <v>1529</v>
      </c>
      <c r="D1440" s="1317"/>
      <c r="E1440" s="683">
        <v>2.0000000000000001E-4</v>
      </c>
      <c r="F1440" s="676" t="s">
        <v>850</v>
      </c>
      <c r="G1440" s="670" t="e">
        <f>$H$484</f>
        <v>#REF!</v>
      </c>
      <c r="H1440" s="670" t="e">
        <f>INT(E1440*G1440)</f>
        <v>#REF!</v>
      </c>
      <c r="I1440" s="670">
        <f>$J$484</f>
        <v>73989</v>
      </c>
      <c r="J1440" s="670">
        <f t="shared" si="208"/>
        <v>14</v>
      </c>
      <c r="K1440" s="670">
        <f>$L$484</f>
        <v>11220</v>
      </c>
      <c r="L1440" s="670">
        <f>INT(E1440*K1440)</f>
        <v>2</v>
      </c>
      <c r="M1440" s="670" t="e">
        <f t="shared" si="209"/>
        <v>#REF!</v>
      </c>
      <c r="N1440" s="670" t="e">
        <f t="shared" si="209"/>
        <v>#REF!</v>
      </c>
      <c r="O1440" s="671">
        <f>$A$479</f>
        <v>130</v>
      </c>
      <c r="P1440" s="672"/>
      <c r="Q1440" s="688">
        <f t="shared" si="207"/>
        <v>85</v>
      </c>
      <c r="R1440" s="688">
        <f t="shared" si="207"/>
        <v>85</v>
      </c>
      <c r="S1440" s="728"/>
      <c r="T1440" s="690"/>
    </row>
    <row r="1441" spans="1:20" s="665" customFormat="1" ht="17.100000000000001" customHeight="1">
      <c r="A1441" s="1316" t="s">
        <v>1887</v>
      </c>
      <c r="B1441" s="1317"/>
      <c r="C1441" s="1338" t="s">
        <v>1841</v>
      </c>
      <c r="D1441" s="1317"/>
      <c r="E1441" s="675">
        <v>0.36</v>
      </c>
      <c r="F1441" s="676" t="s">
        <v>645</v>
      </c>
      <c r="G1441" s="778" t="e">
        <f>$H$726</f>
        <v>#REF!</v>
      </c>
      <c r="H1441" s="670" t="e">
        <f>INT(E1441*G1441)</f>
        <v>#REF!</v>
      </c>
      <c r="I1441" s="778">
        <f>$J$726</f>
        <v>34461</v>
      </c>
      <c r="J1441" s="670">
        <f t="shared" si="208"/>
        <v>12405</v>
      </c>
      <c r="K1441" s="670"/>
      <c r="L1441" s="670"/>
      <c r="M1441" s="670" t="e">
        <f t="shared" si="209"/>
        <v>#REF!</v>
      </c>
      <c r="N1441" s="670" t="e">
        <f t="shared" si="209"/>
        <v>#REF!</v>
      </c>
      <c r="O1441" s="671">
        <f>$A$721</f>
        <v>163</v>
      </c>
      <c r="P1441" s="672"/>
      <c r="S1441" s="728"/>
      <c r="T1441" s="690"/>
    </row>
    <row r="1442" spans="1:20" s="665" customFormat="1" ht="17.100000000000001" customHeight="1">
      <c r="A1442" s="1318" t="s">
        <v>1320</v>
      </c>
      <c r="B1442" s="1319"/>
      <c r="C1442" s="1371"/>
      <c r="D1442" s="1372"/>
      <c r="E1442" s="677"/>
      <c r="F1442" s="676"/>
      <c r="G1442" s="670"/>
      <c r="H1442" s="670" t="e">
        <f>SUM(H1434:H1441)</f>
        <v>#REF!</v>
      </c>
      <c r="I1442" s="670"/>
      <c r="J1442" s="670" t="e">
        <f>SUM(J1434:J1441)</f>
        <v>#REF!</v>
      </c>
      <c r="K1442" s="670"/>
      <c r="L1442" s="670" t="e">
        <f>SUM(L1434:L1441)</f>
        <v>#REF!</v>
      </c>
      <c r="M1442" s="670"/>
      <c r="N1442" s="670" t="e">
        <f>SUM(N1434:N1441)</f>
        <v>#REF!</v>
      </c>
      <c r="O1442" s="671"/>
      <c r="P1442" s="672" t="s">
        <v>1549</v>
      </c>
      <c r="Q1442" s="687" t="s">
        <v>1423</v>
      </c>
      <c r="R1442" s="688" t="s">
        <v>1876</v>
      </c>
      <c r="S1442" s="688" t="s">
        <v>1425</v>
      </c>
      <c r="T1442" s="688" t="s">
        <v>1426</v>
      </c>
    </row>
    <row r="1443" spans="1:20" s="665" customFormat="1" ht="17.100000000000001" customHeight="1">
      <c r="A1443" s="668">
        <f>A1433+1</f>
        <v>262</v>
      </c>
      <c r="B1443" s="1320" t="s">
        <v>1879</v>
      </c>
      <c r="C1443" s="1320"/>
      <c r="D1443" s="1320" t="s">
        <v>1908</v>
      </c>
      <c r="E1443" s="1320"/>
      <c r="F1443" s="669" t="s">
        <v>272</v>
      </c>
      <c r="G1443" s="670"/>
      <c r="H1443" s="670"/>
      <c r="I1443" s="670"/>
      <c r="J1443" s="670"/>
      <c r="K1443" s="670"/>
      <c r="L1443" s="670"/>
      <c r="M1443" s="670"/>
      <c r="N1443" s="670"/>
      <c r="O1443" s="699" t="s">
        <v>1562</v>
      </c>
      <c r="P1443" s="672" t="s">
        <v>1871</v>
      </c>
      <c r="Q1443" s="688">
        <v>85</v>
      </c>
      <c r="R1443" s="688">
        <f>Q1443</f>
        <v>85</v>
      </c>
      <c r="S1443" s="688">
        <v>0</v>
      </c>
      <c r="T1443" s="688"/>
    </row>
    <row r="1444" spans="1:20" s="665" customFormat="1" ht="17.100000000000001" customHeight="1">
      <c r="A1444" s="1316" t="s">
        <v>1881</v>
      </c>
      <c r="B1444" s="1317"/>
      <c r="C1444" s="1316" t="s">
        <v>1890</v>
      </c>
      <c r="D1444" s="1317"/>
      <c r="E1444" s="675">
        <v>1.03</v>
      </c>
      <c r="F1444" s="676" t="s">
        <v>30</v>
      </c>
      <c r="G1444" s="778"/>
      <c r="H1444" s="778"/>
      <c r="I1444" s="670"/>
      <c r="J1444" s="670"/>
      <c r="K1444" s="670"/>
      <c r="L1444" s="670"/>
      <c r="M1444" s="670"/>
      <c r="N1444" s="670"/>
      <c r="O1444" s="671"/>
      <c r="P1444" s="672"/>
      <c r="Q1444" s="688">
        <f t="shared" ref="Q1444:R1450" si="210">Q1443</f>
        <v>85</v>
      </c>
      <c r="R1444" s="688">
        <f t="shared" si="210"/>
        <v>85</v>
      </c>
      <c r="S1444" s="688"/>
      <c r="T1444" s="688"/>
    </row>
    <row r="1445" spans="1:20" s="665" customFormat="1" ht="17.100000000000001" customHeight="1">
      <c r="A1445" s="1316" t="s">
        <v>1883</v>
      </c>
      <c r="B1445" s="1317"/>
      <c r="C1445" s="1316" t="s">
        <v>1761</v>
      </c>
      <c r="D1445" s="1317"/>
      <c r="E1445" s="675">
        <v>1.03</v>
      </c>
      <c r="F1445" s="676" t="s">
        <v>30</v>
      </c>
      <c r="G1445" s="670"/>
      <c r="H1445" s="670"/>
      <c r="I1445" s="670"/>
      <c r="J1445" s="670"/>
      <c r="K1445" s="670">
        <f>[53]운반공!$BQ$624</f>
        <v>608</v>
      </c>
      <c r="L1445" s="670">
        <f>INT(E1445*K1445)</f>
        <v>626</v>
      </c>
      <c r="M1445" s="670">
        <f>G1445+I1445+K1445</f>
        <v>608</v>
      </c>
      <c r="N1445" s="670">
        <f>H1445+J1445+L1445</f>
        <v>626</v>
      </c>
      <c r="O1445" s="671"/>
      <c r="P1445" s="672"/>
      <c r="Q1445" s="688">
        <f>Q1444</f>
        <v>85</v>
      </c>
      <c r="R1445" s="688">
        <f>R1444</f>
        <v>85</v>
      </c>
      <c r="S1445" s="728">
        <v>1</v>
      </c>
      <c r="T1445" s="690">
        <f>ROUND(S1445/R1445,4)</f>
        <v>1.18E-2</v>
      </c>
    </row>
    <row r="1446" spans="1:20" s="665" customFormat="1" ht="17.100000000000001" customHeight="1">
      <c r="A1446" s="1316" t="s">
        <v>248</v>
      </c>
      <c r="B1446" s="1317"/>
      <c r="C1446" s="1338"/>
      <c r="D1446" s="1317"/>
      <c r="E1446" s="683">
        <f>T1415</f>
        <v>2.86E-2</v>
      </c>
      <c r="F1446" s="676" t="s">
        <v>366</v>
      </c>
      <c r="G1446" s="670"/>
      <c r="H1446" s="670"/>
      <c r="I1446" s="670">
        <f>[53]노임단가!$T$5</f>
        <v>172068</v>
      </c>
      <c r="J1446" s="670">
        <f t="shared" ref="J1446:J1451" si="211">INT(E1446*I1446)</f>
        <v>4921</v>
      </c>
      <c r="K1446" s="670"/>
      <c r="L1446" s="670"/>
      <c r="M1446" s="670">
        <f t="shared" ref="M1446:N1451" si="212">G1446+I1446+K1446</f>
        <v>172068</v>
      </c>
      <c r="N1446" s="670">
        <f t="shared" si="212"/>
        <v>4921</v>
      </c>
      <c r="O1446" s="671"/>
      <c r="P1446" s="672"/>
      <c r="Q1446" s="688">
        <f t="shared" si="210"/>
        <v>85</v>
      </c>
      <c r="R1446" s="688">
        <f t="shared" si="210"/>
        <v>85</v>
      </c>
      <c r="S1446" s="728">
        <v>2</v>
      </c>
      <c r="T1446" s="690">
        <f>ROUND(S1446/R1446,4)</f>
        <v>2.35E-2</v>
      </c>
    </row>
    <row r="1447" spans="1:20" s="665" customFormat="1" ht="17.100000000000001" customHeight="1">
      <c r="A1447" s="1316" t="s">
        <v>628</v>
      </c>
      <c r="B1447" s="1317"/>
      <c r="C1447" s="1381"/>
      <c r="D1447" s="1317"/>
      <c r="E1447" s="683">
        <f>T1416</f>
        <v>5.7099999999999998E-2</v>
      </c>
      <c r="F1447" s="676" t="s">
        <v>366</v>
      </c>
      <c r="G1447" s="670"/>
      <c r="H1447" s="670"/>
      <c r="I1447" s="670">
        <f>[53]노임단가!$T$6</f>
        <v>226122</v>
      </c>
      <c r="J1447" s="670">
        <f t="shared" si="211"/>
        <v>12911</v>
      </c>
      <c r="K1447" s="670"/>
      <c r="L1447" s="670"/>
      <c r="M1447" s="670">
        <f t="shared" si="212"/>
        <v>226122</v>
      </c>
      <c r="N1447" s="670">
        <f t="shared" si="212"/>
        <v>12911</v>
      </c>
      <c r="O1447" s="671"/>
      <c r="P1447" s="672"/>
      <c r="Q1447" s="688">
        <f t="shared" si="210"/>
        <v>85</v>
      </c>
      <c r="R1447" s="688">
        <f t="shared" si="210"/>
        <v>85</v>
      </c>
      <c r="S1447" s="728">
        <v>8</v>
      </c>
      <c r="T1447" s="690">
        <f>ROUND(S1447/R1447,4)</f>
        <v>9.4100000000000003E-2</v>
      </c>
    </row>
    <row r="1448" spans="1:20" s="665" customFormat="1" ht="17.100000000000001" customHeight="1">
      <c r="A1448" s="1316" t="s">
        <v>481</v>
      </c>
      <c r="B1448" s="1317"/>
      <c r="C1448" s="786" t="s">
        <v>395</v>
      </c>
      <c r="D1448" s="669"/>
      <c r="E1448" s="683">
        <f>T1417</f>
        <v>0.2286</v>
      </c>
      <c r="F1448" s="676" t="s">
        <v>418</v>
      </c>
      <c r="G1448" s="670" t="e">
        <f>#REF!</f>
        <v>#REF!</v>
      </c>
      <c r="H1448" s="670" t="e">
        <f>INT(E1448*G1448)</f>
        <v>#REF!</v>
      </c>
      <c r="I1448" s="670" t="e">
        <f>#REF!</f>
        <v>#REF!</v>
      </c>
      <c r="J1448" s="670" t="e">
        <f t="shared" si="211"/>
        <v>#REF!</v>
      </c>
      <c r="K1448" s="670" t="e">
        <f>#REF!</f>
        <v>#REF!</v>
      </c>
      <c r="L1448" s="670" t="e">
        <f>INT(E1448*K1448)</f>
        <v>#REF!</v>
      </c>
      <c r="M1448" s="670" t="e">
        <f t="shared" si="212"/>
        <v>#REF!</v>
      </c>
      <c r="N1448" s="670" t="e">
        <f t="shared" si="212"/>
        <v>#REF!</v>
      </c>
      <c r="O1448" s="671"/>
      <c r="P1448" s="672"/>
      <c r="Q1448" s="688">
        <f>Q1446</f>
        <v>85</v>
      </c>
      <c r="R1448" s="688">
        <f>R1446</f>
        <v>85</v>
      </c>
      <c r="S1448" s="728"/>
      <c r="T1448" s="690">
        <f>ROUND(S1448/R1448,4)</f>
        <v>0</v>
      </c>
    </row>
    <row r="1449" spans="1:20" s="665" customFormat="1" ht="17.100000000000001" customHeight="1">
      <c r="A1449" s="1316" t="s">
        <v>1884</v>
      </c>
      <c r="B1449" s="1317"/>
      <c r="C1449" s="1338" t="s">
        <v>1885</v>
      </c>
      <c r="D1449" s="1317"/>
      <c r="E1449" s="701">
        <f>[53]구조물공!$BE$125</f>
        <v>4.9000000000000002E-2</v>
      </c>
      <c r="F1449" s="676" t="s">
        <v>850</v>
      </c>
      <c r="G1449" s="670" t="e">
        <f>$H$552</f>
        <v>#REF!</v>
      </c>
      <c r="H1449" s="670" t="e">
        <f>INT(E1449*G1449)</f>
        <v>#REF!</v>
      </c>
      <c r="I1449" s="670">
        <f>$J$552</f>
        <v>373604</v>
      </c>
      <c r="J1449" s="670">
        <f t="shared" si="211"/>
        <v>18306</v>
      </c>
      <c r="K1449" s="670">
        <f>$L$552</f>
        <v>5742</v>
      </c>
      <c r="L1449" s="670">
        <f>INT(E1449*K1449)</f>
        <v>281</v>
      </c>
      <c r="M1449" s="670" t="e">
        <f t="shared" si="212"/>
        <v>#REF!</v>
      </c>
      <c r="N1449" s="670" t="e">
        <f t="shared" si="212"/>
        <v>#REF!</v>
      </c>
      <c r="O1449" s="671">
        <f>$A$545</f>
        <v>139</v>
      </c>
      <c r="P1449" s="672"/>
      <c r="Q1449" s="688">
        <f t="shared" si="210"/>
        <v>85</v>
      </c>
      <c r="R1449" s="688">
        <f t="shared" si="210"/>
        <v>85</v>
      </c>
      <c r="S1449" s="728">
        <f>0.15*0.15*0.004</f>
        <v>8.9999999999999992E-5</v>
      </c>
      <c r="T1449" s="690">
        <f>ROUND(S1449/R1449,4)</f>
        <v>0</v>
      </c>
    </row>
    <row r="1450" spans="1:20" s="665" customFormat="1" ht="17.100000000000001" customHeight="1">
      <c r="A1450" s="1316" t="s">
        <v>1886</v>
      </c>
      <c r="B1450" s="1317"/>
      <c r="C1450" s="1381" t="s">
        <v>1529</v>
      </c>
      <c r="D1450" s="1317"/>
      <c r="E1450" s="683">
        <v>2.4000000000000001E-4</v>
      </c>
      <c r="F1450" s="676" t="s">
        <v>850</v>
      </c>
      <c r="G1450" s="670" t="e">
        <f>$H$484</f>
        <v>#REF!</v>
      </c>
      <c r="H1450" s="670" t="e">
        <f>INT(E1450*G1450)</f>
        <v>#REF!</v>
      </c>
      <c r="I1450" s="670">
        <f>$J$484</f>
        <v>73989</v>
      </c>
      <c r="J1450" s="670">
        <f t="shared" si="211"/>
        <v>17</v>
      </c>
      <c r="K1450" s="670">
        <f>$L$484</f>
        <v>11220</v>
      </c>
      <c r="L1450" s="670">
        <f>INT(E1450*K1450)</f>
        <v>2</v>
      </c>
      <c r="M1450" s="670" t="e">
        <f t="shared" si="212"/>
        <v>#REF!</v>
      </c>
      <c r="N1450" s="670" t="e">
        <f t="shared" si="212"/>
        <v>#REF!</v>
      </c>
      <c r="O1450" s="671">
        <f>$A$479</f>
        <v>130</v>
      </c>
      <c r="P1450" s="672"/>
      <c r="Q1450" s="688">
        <f t="shared" si="210"/>
        <v>85</v>
      </c>
      <c r="R1450" s="688">
        <f t="shared" si="210"/>
        <v>85</v>
      </c>
      <c r="S1450" s="728"/>
      <c r="T1450" s="690"/>
    </row>
    <row r="1451" spans="1:20" s="665" customFormat="1" ht="17.100000000000001" customHeight="1">
      <c r="A1451" s="1316" t="s">
        <v>1887</v>
      </c>
      <c r="B1451" s="1317"/>
      <c r="C1451" s="1338" t="s">
        <v>1841</v>
      </c>
      <c r="D1451" s="1317"/>
      <c r="E1451" s="675">
        <v>0.36</v>
      </c>
      <c r="F1451" s="676" t="s">
        <v>645</v>
      </c>
      <c r="G1451" s="778" t="e">
        <f>$H$726</f>
        <v>#REF!</v>
      </c>
      <c r="H1451" s="670" t="e">
        <f>INT(E1451*G1451)</f>
        <v>#REF!</v>
      </c>
      <c r="I1451" s="778">
        <f>$J$726</f>
        <v>34461</v>
      </c>
      <c r="J1451" s="670">
        <f t="shared" si="211"/>
        <v>12405</v>
      </c>
      <c r="K1451" s="670"/>
      <c r="L1451" s="670"/>
      <c r="M1451" s="670" t="e">
        <f t="shared" si="212"/>
        <v>#REF!</v>
      </c>
      <c r="N1451" s="670" t="e">
        <f t="shared" si="212"/>
        <v>#REF!</v>
      </c>
      <c r="O1451" s="671">
        <f>$A$721</f>
        <v>163</v>
      </c>
      <c r="P1451" s="672"/>
      <c r="S1451" s="728"/>
      <c r="T1451" s="690"/>
    </row>
    <row r="1452" spans="1:20" s="665" customFormat="1" ht="17.100000000000001" customHeight="1">
      <c r="A1452" s="1318" t="s">
        <v>1320</v>
      </c>
      <c r="B1452" s="1319"/>
      <c r="C1452" s="1371"/>
      <c r="D1452" s="1372"/>
      <c r="E1452" s="677"/>
      <c r="F1452" s="676"/>
      <c r="G1452" s="670"/>
      <c r="H1452" s="670" t="e">
        <f>SUM(H1444:H1451)</f>
        <v>#REF!</v>
      </c>
      <c r="I1452" s="670"/>
      <c r="J1452" s="670" t="e">
        <f>SUM(J1444:J1451)</f>
        <v>#REF!</v>
      </c>
      <c r="K1452" s="670"/>
      <c r="L1452" s="670" t="e">
        <f>SUM(L1444:L1451)</f>
        <v>#REF!</v>
      </c>
      <c r="M1452" s="670"/>
      <c r="N1452" s="670" t="e">
        <f>SUM(N1444:N1451)</f>
        <v>#REF!</v>
      </c>
      <c r="O1452" s="671"/>
      <c r="P1452" s="672" t="s">
        <v>1549</v>
      </c>
      <c r="Q1452" s="687" t="s">
        <v>1423</v>
      </c>
      <c r="R1452" s="688" t="s">
        <v>1876</v>
      </c>
      <c r="S1452" s="688" t="s">
        <v>1425</v>
      </c>
      <c r="T1452" s="688" t="s">
        <v>1426</v>
      </c>
    </row>
    <row r="1453" spans="1:20" s="665" customFormat="1" ht="17.100000000000001" customHeight="1">
      <c r="A1453" s="668">
        <f>A1443+1</f>
        <v>263</v>
      </c>
      <c r="B1453" s="1320" t="s">
        <v>1891</v>
      </c>
      <c r="C1453" s="1320"/>
      <c r="D1453" s="1320" t="s">
        <v>1909</v>
      </c>
      <c r="E1453" s="1320"/>
      <c r="F1453" s="669" t="s">
        <v>272</v>
      </c>
      <c r="G1453" s="670"/>
      <c r="H1453" s="670"/>
      <c r="I1453" s="670"/>
      <c r="J1453" s="670"/>
      <c r="K1453" s="670"/>
      <c r="L1453" s="670"/>
      <c r="M1453" s="670"/>
      <c r="N1453" s="670"/>
      <c r="O1453" s="699" t="s">
        <v>1562</v>
      </c>
      <c r="P1453" s="672" t="s">
        <v>1871</v>
      </c>
      <c r="Q1453" s="688">
        <v>110</v>
      </c>
      <c r="R1453" s="688">
        <f>Q1453</f>
        <v>110</v>
      </c>
      <c r="S1453" s="688">
        <v>0</v>
      </c>
      <c r="T1453" s="688"/>
    </row>
    <row r="1454" spans="1:20" s="665" customFormat="1" ht="17.100000000000001" customHeight="1">
      <c r="A1454" s="1316" t="s">
        <v>1893</v>
      </c>
      <c r="B1454" s="1317"/>
      <c r="C1454" s="1316" t="s">
        <v>1894</v>
      </c>
      <c r="D1454" s="1317"/>
      <c r="E1454" s="675">
        <v>1.03</v>
      </c>
      <c r="F1454" s="676" t="s">
        <v>30</v>
      </c>
      <c r="G1454" s="778"/>
      <c r="H1454" s="778"/>
      <c r="I1454" s="670"/>
      <c r="J1454" s="670"/>
      <c r="K1454" s="670"/>
      <c r="L1454" s="670"/>
      <c r="M1454" s="670"/>
      <c r="N1454" s="670"/>
      <c r="O1454" s="671"/>
      <c r="P1454" s="672"/>
      <c r="Q1454" s="688">
        <f>Q1453</f>
        <v>110</v>
      </c>
      <c r="R1454" s="688">
        <f>R1453</f>
        <v>110</v>
      </c>
      <c r="S1454" s="728">
        <v>1</v>
      </c>
      <c r="T1454" s="690">
        <f>ROUND(S1454/R1454,4)</f>
        <v>9.1000000000000004E-3</v>
      </c>
    </row>
    <row r="1455" spans="1:20" s="665" customFormat="1" ht="17.100000000000001" customHeight="1">
      <c r="A1455" s="1316" t="s">
        <v>1895</v>
      </c>
      <c r="B1455" s="1317"/>
      <c r="C1455" s="1316" t="s">
        <v>1761</v>
      </c>
      <c r="D1455" s="1317"/>
      <c r="E1455" s="675">
        <v>1.03</v>
      </c>
      <c r="F1455" s="676" t="s">
        <v>30</v>
      </c>
      <c r="G1455" s="670"/>
      <c r="H1455" s="670"/>
      <c r="I1455" s="670"/>
      <c r="J1455" s="670"/>
      <c r="K1455" s="670">
        <f>[53]운반공!$BQ$620</f>
        <v>146</v>
      </c>
      <c r="L1455" s="670">
        <f>INT(E1455*K1455)</f>
        <v>150</v>
      </c>
      <c r="M1455" s="670">
        <f>G1455+I1455+K1455</f>
        <v>146</v>
      </c>
      <c r="N1455" s="670">
        <f>H1455+J1455+L1455</f>
        <v>150</v>
      </c>
      <c r="O1455" s="671"/>
      <c r="P1455" s="672"/>
      <c r="Q1455" s="688">
        <f t="shared" ref="Q1455:R1460" si="213">Q1454</f>
        <v>110</v>
      </c>
      <c r="R1455" s="688">
        <f t="shared" si="213"/>
        <v>110</v>
      </c>
      <c r="S1455" s="728">
        <v>2</v>
      </c>
      <c r="T1455" s="690">
        <f>ROUND(S1455/R1455,4)</f>
        <v>1.8200000000000001E-2</v>
      </c>
    </row>
    <row r="1456" spans="1:20" s="665" customFormat="1" ht="17.100000000000001" customHeight="1">
      <c r="A1456" s="1316" t="s">
        <v>248</v>
      </c>
      <c r="B1456" s="1317"/>
      <c r="C1456" s="1338"/>
      <c r="D1456" s="1317"/>
      <c r="E1456" s="683">
        <f>T1425</f>
        <v>9.1000000000000004E-3</v>
      </c>
      <c r="F1456" s="676" t="s">
        <v>366</v>
      </c>
      <c r="G1456" s="670"/>
      <c r="H1456" s="670"/>
      <c r="I1456" s="670">
        <f>[53]노임단가!$T$5</f>
        <v>172068</v>
      </c>
      <c r="J1456" s="670">
        <f t="shared" ref="J1456:J1461" si="214">INT(E1456*I1456)</f>
        <v>1565</v>
      </c>
      <c r="K1456" s="670"/>
      <c r="L1456" s="670"/>
      <c r="M1456" s="670">
        <f t="shared" ref="M1456:N1461" si="215">G1456+I1456+K1456</f>
        <v>172068</v>
      </c>
      <c r="N1456" s="670">
        <f t="shared" si="215"/>
        <v>1565</v>
      </c>
      <c r="O1456" s="671"/>
      <c r="P1456" s="672"/>
      <c r="Q1456" s="688">
        <f t="shared" si="213"/>
        <v>110</v>
      </c>
      <c r="R1456" s="688">
        <f t="shared" si="213"/>
        <v>110</v>
      </c>
      <c r="S1456" s="728">
        <v>8</v>
      </c>
      <c r="T1456" s="690">
        <f>ROUND(S1456/R1456,4)</f>
        <v>7.2700000000000001E-2</v>
      </c>
    </row>
    <row r="1457" spans="1:20" s="665" customFormat="1" ht="17.100000000000001" customHeight="1">
      <c r="A1457" s="1316" t="s">
        <v>628</v>
      </c>
      <c r="B1457" s="1317"/>
      <c r="C1457" s="1381"/>
      <c r="D1457" s="1317"/>
      <c r="E1457" s="683">
        <f>T1426</f>
        <v>1.8200000000000001E-2</v>
      </c>
      <c r="F1457" s="676" t="s">
        <v>366</v>
      </c>
      <c r="G1457" s="670"/>
      <c r="H1457" s="670"/>
      <c r="I1457" s="670">
        <f>[53]노임단가!$T$6</f>
        <v>226122</v>
      </c>
      <c r="J1457" s="670">
        <f t="shared" si="214"/>
        <v>4115</v>
      </c>
      <c r="K1457" s="670"/>
      <c r="L1457" s="670"/>
      <c r="M1457" s="670">
        <f t="shared" si="215"/>
        <v>226122</v>
      </c>
      <c r="N1457" s="670">
        <f t="shared" si="215"/>
        <v>4115</v>
      </c>
      <c r="O1457" s="671"/>
      <c r="P1457" s="672"/>
      <c r="Q1457" s="688">
        <f>Q1455</f>
        <v>110</v>
      </c>
      <c r="R1457" s="688">
        <f>R1455</f>
        <v>110</v>
      </c>
      <c r="S1457" s="728"/>
      <c r="T1457" s="690">
        <f>ROUND(S1457/R1457,4)</f>
        <v>0</v>
      </c>
    </row>
    <row r="1458" spans="1:20" s="665" customFormat="1" ht="17.100000000000001" customHeight="1">
      <c r="A1458" s="1316" t="s">
        <v>481</v>
      </c>
      <c r="B1458" s="1317"/>
      <c r="C1458" s="786" t="s">
        <v>395</v>
      </c>
      <c r="D1458" s="669"/>
      <c r="E1458" s="683">
        <f>T1427</f>
        <v>7.2700000000000001E-2</v>
      </c>
      <c r="F1458" s="676" t="s">
        <v>418</v>
      </c>
      <c r="G1458" s="670" t="e">
        <f>#REF!</f>
        <v>#REF!</v>
      </c>
      <c r="H1458" s="670" t="e">
        <f>INT(E1458*G1458)</f>
        <v>#REF!</v>
      </c>
      <c r="I1458" s="670" t="e">
        <f>#REF!</f>
        <v>#REF!</v>
      </c>
      <c r="J1458" s="670" t="e">
        <f t="shared" si="214"/>
        <v>#REF!</v>
      </c>
      <c r="K1458" s="670" t="e">
        <f>#REF!</f>
        <v>#REF!</v>
      </c>
      <c r="L1458" s="670" t="e">
        <f>INT(E1458*K1458)</f>
        <v>#REF!</v>
      </c>
      <c r="M1458" s="670" t="e">
        <f t="shared" si="215"/>
        <v>#REF!</v>
      </c>
      <c r="N1458" s="670" t="e">
        <f t="shared" si="215"/>
        <v>#REF!</v>
      </c>
      <c r="O1458" s="671"/>
      <c r="P1458" s="672"/>
      <c r="Q1458" s="688">
        <f t="shared" si="213"/>
        <v>110</v>
      </c>
      <c r="R1458" s="688">
        <f t="shared" si="213"/>
        <v>110</v>
      </c>
      <c r="S1458" s="728">
        <f>0.12*0.12*0.004</f>
        <v>5.7599999999999997E-5</v>
      </c>
      <c r="T1458" s="690">
        <f>ROUND(S1458,4)</f>
        <v>1E-4</v>
      </c>
    </row>
    <row r="1459" spans="1:20" s="665" customFormat="1" ht="17.100000000000001" customHeight="1">
      <c r="A1459" s="1316" t="s">
        <v>1884</v>
      </c>
      <c r="B1459" s="1317"/>
      <c r="C1459" s="1338" t="s">
        <v>1885</v>
      </c>
      <c r="D1459" s="1317"/>
      <c r="E1459" s="701">
        <f>[53]구조물공!$BE$126</f>
        <v>4.2999999999999997E-2</v>
      </c>
      <c r="F1459" s="676" t="s">
        <v>850</v>
      </c>
      <c r="G1459" s="670" t="e">
        <f>$H$552</f>
        <v>#REF!</v>
      </c>
      <c r="H1459" s="670" t="e">
        <f>INT(E1459*G1459)</f>
        <v>#REF!</v>
      </c>
      <c r="I1459" s="670">
        <f>$J$552</f>
        <v>373604</v>
      </c>
      <c r="J1459" s="670">
        <f t="shared" si="214"/>
        <v>16064</v>
      </c>
      <c r="K1459" s="670">
        <f>$L$552</f>
        <v>5742</v>
      </c>
      <c r="L1459" s="670">
        <f>INT(E1459*K1459)</f>
        <v>246</v>
      </c>
      <c r="M1459" s="670" t="e">
        <f t="shared" si="215"/>
        <v>#REF!</v>
      </c>
      <c r="N1459" s="670" t="e">
        <f t="shared" si="215"/>
        <v>#REF!</v>
      </c>
      <c r="O1459" s="671">
        <f>$A$545</f>
        <v>139</v>
      </c>
      <c r="P1459" s="672"/>
      <c r="Q1459" s="688">
        <f>Q1458</f>
        <v>110</v>
      </c>
      <c r="R1459" s="688">
        <f>R1458</f>
        <v>110</v>
      </c>
      <c r="S1459" s="728"/>
      <c r="T1459" s="690">
        <f>ROUND(S1459/R1459,4)</f>
        <v>0</v>
      </c>
    </row>
    <row r="1460" spans="1:20" s="665" customFormat="1" ht="17.100000000000001" customHeight="1">
      <c r="A1460" s="1316" t="s">
        <v>1886</v>
      </c>
      <c r="B1460" s="1317"/>
      <c r="C1460" s="1381" t="s">
        <v>1529</v>
      </c>
      <c r="D1460" s="1317"/>
      <c r="E1460" s="683">
        <v>5.7599999999999997E-5</v>
      </c>
      <c r="F1460" s="676" t="s">
        <v>850</v>
      </c>
      <c r="G1460" s="670" t="e">
        <f>$H$484</f>
        <v>#REF!</v>
      </c>
      <c r="H1460" s="670" t="e">
        <f>INT(E1460*G1460)</f>
        <v>#REF!</v>
      </c>
      <c r="I1460" s="670">
        <f>$J$484</f>
        <v>73989</v>
      </c>
      <c r="J1460" s="670">
        <f t="shared" si="214"/>
        <v>4</v>
      </c>
      <c r="K1460" s="670">
        <f>$L$484</f>
        <v>11220</v>
      </c>
      <c r="L1460" s="670">
        <f>INT(E1460*K1460)</f>
        <v>0</v>
      </c>
      <c r="M1460" s="670" t="e">
        <f t="shared" si="215"/>
        <v>#REF!</v>
      </c>
      <c r="N1460" s="670" t="e">
        <f t="shared" si="215"/>
        <v>#REF!</v>
      </c>
      <c r="O1460" s="671">
        <f>$A$479</f>
        <v>130</v>
      </c>
      <c r="P1460" s="672"/>
      <c r="Q1460" s="688">
        <f t="shared" si="213"/>
        <v>110</v>
      </c>
      <c r="R1460" s="688">
        <f t="shared" si="213"/>
        <v>110</v>
      </c>
      <c r="S1460" s="728"/>
      <c r="T1460" s="690">
        <f>S1460/R1460</f>
        <v>0</v>
      </c>
    </row>
    <row r="1461" spans="1:20" s="665" customFormat="1" ht="17.100000000000001" customHeight="1">
      <c r="A1461" s="1316" t="s">
        <v>1887</v>
      </c>
      <c r="B1461" s="1317"/>
      <c r="C1461" s="1338" t="s">
        <v>1841</v>
      </c>
      <c r="D1461" s="1317"/>
      <c r="E1461" s="675">
        <v>0.36</v>
      </c>
      <c r="F1461" s="676" t="s">
        <v>645</v>
      </c>
      <c r="G1461" s="778" t="e">
        <f>$H$726</f>
        <v>#REF!</v>
      </c>
      <c r="H1461" s="670" t="e">
        <f>INT(E1461*G1461)</f>
        <v>#REF!</v>
      </c>
      <c r="I1461" s="778">
        <f>$J$726</f>
        <v>34461</v>
      </c>
      <c r="J1461" s="670">
        <f t="shared" si="214"/>
        <v>12405</v>
      </c>
      <c r="K1461" s="670"/>
      <c r="L1461" s="670"/>
      <c r="M1461" s="670" t="e">
        <f t="shared" si="215"/>
        <v>#REF!</v>
      </c>
      <c r="N1461" s="670" t="e">
        <f t="shared" si="215"/>
        <v>#REF!</v>
      </c>
      <c r="O1461" s="671">
        <f>$A$721</f>
        <v>163</v>
      </c>
      <c r="P1461" s="672" t="s">
        <v>1549</v>
      </c>
      <c r="Q1461" s="687" t="s">
        <v>1423</v>
      </c>
      <c r="R1461" s="688" t="s">
        <v>1876</v>
      </c>
      <c r="S1461" s="688" t="s">
        <v>1425</v>
      </c>
      <c r="T1461" s="688" t="s">
        <v>1426</v>
      </c>
    </row>
    <row r="1462" spans="1:20" s="665" customFormat="1" ht="17.100000000000001" customHeight="1">
      <c r="A1462" s="1318" t="s">
        <v>1320</v>
      </c>
      <c r="B1462" s="1319"/>
      <c r="C1462" s="1371"/>
      <c r="D1462" s="1372"/>
      <c r="E1462" s="677"/>
      <c r="F1462" s="676"/>
      <c r="G1462" s="670"/>
      <c r="H1462" s="670" t="e">
        <f>SUM(H1454:H1461)</f>
        <v>#REF!</v>
      </c>
      <c r="I1462" s="670"/>
      <c r="J1462" s="670" t="e">
        <f>SUM(J1454:J1461)</f>
        <v>#REF!</v>
      </c>
      <c r="K1462" s="670"/>
      <c r="L1462" s="670" t="e">
        <f>SUM(L1454:L1461)</f>
        <v>#REF!</v>
      </c>
      <c r="M1462" s="670"/>
      <c r="N1462" s="670" t="e">
        <f>SUM(N1454:N1461)</f>
        <v>#REF!</v>
      </c>
      <c r="O1462" s="671"/>
      <c r="P1462" s="672" t="s">
        <v>1871</v>
      </c>
      <c r="Q1462" s="688">
        <v>85</v>
      </c>
      <c r="R1462" s="688">
        <f>Q1462</f>
        <v>85</v>
      </c>
      <c r="S1462" s="688">
        <v>0</v>
      </c>
      <c r="T1462" s="688"/>
    </row>
    <row r="1463" spans="1:20" s="665" customFormat="1" ht="17.100000000000001" customHeight="1">
      <c r="A1463" s="668">
        <f>A1453+1</f>
        <v>264</v>
      </c>
      <c r="B1463" s="1320" t="s">
        <v>1891</v>
      </c>
      <c r="C1463" s="1320"/>
      <c r="D1463" s="1320" t="s">
        <v>1910</v>
      </c>
      <c r="E1463" s="1320"/>
      <c r="F1463" s="669" t="s">
        <v>272</v>
      </c>
      <c r="G1463" s="670"/>
      <c r="H1463" s="670"/>
      <c r="I1463" s="670"/>
      <c r="J1463" s="670"/>
      <c r="K1463" s="670"/>
      <c r="L1463" s="670"/>
      <c r="M1463" s="670"/>
      <c r="N1463" s="670"/>
      <c r="O1463" s="699" t="s">
        <v>1562</v>
      </c>
      <c r="P1463" s="672"/>
      <c r="Q1463" s="688">
        <f>Q1462</f>
        <v>85</v>
      </c>
      <c r="R1463" s="688">
        <f>R1462</f>
        <v>85</v>
      </c>
      <c r="S1463" s="728">
        <v>1</v>
      </c>
      <c r="T1463" s="690">
        <f>ROUND(S1463/R1463,4)</f>
        <v>1.18E-2</v>
      </c>
    </row>
    <row r="1464" spans="1:20" s="665" customFormat="1" ht="17.100000000000001" customHeight="1">
      <c r="A1464" s="1316" t="s">
        <v>1893</v>
      </c>
      <c r="B1464" s="1317"/>
      <c r="C1464" s="1316" t="s">
        <v>1911</v>
      </c>
      <c r="D1464" s="1317"/>
      <c r="E1464" s="675">
        <v>1.03</v>
      </c>
      <c r="F1464" s="676" t="s">
        <v>30</v>
      </c>
      <c r="G1464" s="778"/>
      <c r="H1464" s="778"/>
      <c r="I1464" s="670"/>
      <c r="J1464" s="670"/>
      <c r="K1464" s="670"/>
      <c r="L1464" s="670"/>
      <c r="M1464" s="670"/>
      <c r="N1464" s="670"/>
      <c r="O1464" s="671"/>
      <c r="P1464" s="672"/>
      <c r="Q1464" s="688">
        <f t="shared" ref="Q1464:R1469" si="216">Q1463</f>
        <v>85</v>
      </c>
      <c r="R1464" s="688">
        <f t="shared" si="216"/>
        <v>85</v>
      </c>
      <c r="S1464" s="728">
        <v>2</v>
      </c>
      <c r="T1464" s="690">
        <f>ROUND(S1464/R1464,4)</f>
        <v>2.35E-2</v>
      </c>
    </row>
    <row r="1465" spans="1:20" s="665" customFormat="1" ht="17.100000000000001" customHeight="1">
      <c r="A1465" s="1316" t="s">
        <v>1895</v>
      </c>
      <c r="B1465" s="1317"/>
      <c r="C1465" s="1316" t="s">
        <v>1761</v>
      </c>
      <c r="D1465" s="1317"/>
      <c r="E1465" s="675">
        <v>1.03</v>
      </c>
      <c r="F1465" s="676" t="s">
        <v>30</v>
      </c>
      <c r="G1465" s="670"/>
      <c r="H1465" s="670"/>
      <c r="I1465" s="670"/>
      <c r="J1465" s="670"/>
      <c r="K1465" s="670">
        <f>[53]운반공!$BQ$621</f>
        <v>229</v>
      </c>
      <c r="L1465" s="670">
        <f>INT(E1465*K1465)</f>
        <v>235</v>
      </c>
      <c r="M1465" s="670">
        <f>G1465+I1465+K1465</f>
        <v>229</v>
      </c>
      <c r="N1465" s="670">
        <f>H1465+J1465+L1465</f>
        <v>235</v>
      </c>
      <c r="O1465" s="671"/>
      <c r="P1465" s="672"/>
      <c r="Q1465" s="688">
        <f t="shared" si="216"/>
        <v>85</v>
      </c>
      <c r="R1465" s="688">
        <f t="shared" si="216"/>
        <v>85</v>
      </c>
      <c r="S1465" s="728">
        <v>8</v>
      </c>
      <c r="T1465" s="690">
        <f>ROUND(S1465/R1465,4)</f>
        <v>9.4100000000000003E-2</v>
      </c>
    </row>
    <row r="1466" spans="1:20" s="665" customFormat="1" ht="17.100000000000001" customHeight="1">
      <c r="A1466" s="1316" t="s">
        <v>248</v>
      </c>
      <c r="B1466" s="1317"/>
      <c r="C1466" s="1338"/>
      <c r="D1466" s="1317"/>
      <c r="E1466" s="683">
        <f>T1435</f>
        <v>1.18E-2</v>
      </c>
      <c r="F1466" s="676" t="s">
        <v>366</v>
      </c>
      <c r="G1466" s="670"/>
      <c r="H1466" s="670"/>
      <c r="I1466" s="670">
        <f>[53]노임단가!$T$5</f>
        <v>172068</v>
      </c>
      <c r="J1466" s="670">
        <f t="shared" ref="J1466:J1471" si="217">INT(E1466*I1466)</f>
        <v>2030</v>
      </c>
      <c r="K1466" s="670"/>
      <c r="L1466" s="670"/>
      <c r="M1466" s="670">
        <f t="shared" ref="M1466:N1471" si="218">G1466+I1466+K1466</f>
        <v>172068</v>
      </c>
      <c r="N1466" s="670">
        <f t="shared" si="218"/>
        <v>2030</v>
      </c>
      <c r="O1466" s="671"/>
      <c r="P1466" s="672"/>
      <c r="Q1466" s="688">
        <f>Q1464</f>
        <v>85</v>
      </c>
      <c r="R1466" s="688">
        <f>R1464</f>
        <v>85</v>
      </c>
      <c r="S1466" s="728"/>
      <c r="T1466" s="690">
        <f>ROUND(S1466/R1466,4)</f>
        <v>0</v>
      </c>
    </row>
    <row r="1467" spans="1:20" s="665" customFormat="1" ht="17.100000000000001" customHeight="1">
      <c r="A1467" s="1316" t="s">
        <v>628</v>
      </c>
      <c r="B1467" s="1317"/>
      <c r="C1467" s="1381"/>
      <c r="D1467" s="1317"/>
      <c r="E1467" s="683">
        <f>T1436</f>
        <v>2.35E-2</v>
      </c>
      <c r="F1467" s="676" t="s">
        <v>366</v>
      </c>
      <c r="G1467" s="670"/>
      <c r="H1467" s="670"/>
      <c r="I1467" s="670">
        <f>[53]노임단가!$T$6</f>
        <v>226122</v>
      </c>
      <c r="J1467" s="670">
        <f t="shared" si="217"/>
        <v>5313</v>
      </c>
      <c r="K1467" s="670"/>
      <c r="L1467" s="670"/>
      <c r="M1467" s="670">
        <f t="shared" si="218"/>
        <v>226122</v>
      </c>
      <c r="N1467" s="670">
        <f t="shared" si="218"/>
        <v>5313</v>
      </c>
      <c r="O1467" s="671"/>
      <c r="P1467" s="672"/>
      <c r="Q1467" s="688">
        <f t="shared" si="216"/>
        <v>85</v>
      </c>
      <c r="R1467" s="688">
        <f t="shared" si="216"/>
        <v>85</v>
      </c>
      <c r="S1467" s="728">
        <f>0.15*0.15*0.004</f>
        <v>8.9999999999999992E-5</v>
      </c>
      <c r="T1467" s="690">
        <f>ROUND(S1467,4)</f>
        <v>1E-4</v>
      </c>
    </row>
    <row r="1468" spans="1:20" s="665" customFormat="1" ht="17.100000000000001" customHeight="1">
      <c r="A1468" s="1316" t="s">
        <v>481</v>
      </c>
      <c r="B1468" s="1317"/>
      <c r="C1468" s="786" t="s">
        <v>395</v>
      </c>
      <c r="D1468" s="669"/>
      <c r="E1468" s="683">
        <f>T1437</f>
        <v>9.4100000000000003E-2</v>
      </c>
      <c r="F1468" s="676" t="s">
        <v>418</v>
      </c>
      <c r="G1468" s="670" t="e">
        <f>#REF!</f>
        <v>#REF!</v>
      </c>
      <c r="H1468" s="670" t="e">
        <f>INT(E1468*G1468)</f>
        <v>#REF!</v>
      </c>
      <c r="I1468" s="670" t="e">
        <f>#REF!</f>
        <v>#REF!</v>
      </c>
      <c r="J1468" s="670" t="e">
        <f t="shared" si="217"/>
        <v>#REF!</v>
      </c>
      <c r="K1468" s="670" t="e">
        <f>#REF!</f>
        <v>#REF!</v>
      </c>
      <c r="L1468" s="670" t="e">
        <f>INT(E1468*K1468)</f>
        <v>#REF!</v>
      </c>
      <c r="M1468" s="670" t="e">
        <f t="shared" si="218"/>
        <v>#REF!</v>
      </c>
      <c r="N1468" s="670" t="e">
        <f t="shared" si="218"/>
        <v>#REF!</v>
      </c>
      <c r="O1468" s="671"/>
      <c r="P1468" s="672"/>
      <c r="Q1468" s="688">
        <f>Q1467</f>
        <v>85</v>
      </c>
      <c r="R1468" s="688">
        <f>R1467</f>
        <v>85</v>
      </c>
      <c r="S1468" s="728"/>
      <c r="T1468" s="690">
        <f>ROUND(S1468/R1468,4)</f>
        <v>0</v>
      </c>
    </row>
    <row r="1469" spans="1:20" s="665" customFormat="1" ht="17.100000000000001" customHeight="1">
      <c r="A1469" s="1316" t="s">
        <v>1884</v>
      </c>
      <c r="B1469" s="1317"/>
      <c r="C1469" s="1338" t="s">
        <v>1885</v>
      </c>
      <c r="D1469" s="1317"/>
      <c r="E1469" s="701">
        <f>[53]구조물공!$BE$127</f>
        <v>4.7E-2</v>
      </c>
      <c r="F1469" s="676" t="s">
        <v>850</v>
      </c>
      <c r="G1469" s="670" t="e">
        <f>$H$552</f>
        <v>#REF!</v>
      </c>
      <c r="H1469" s="670" t="e">
        <f>INT(E1469*G1469)</f>
        <v>#REF!</v>
      </c>
      <c r="I1469" s="670">
        <f>$J$552</f>
        <v>373604</v>
      </c>
      <c r="J1469" s="670">
        <f t="shared" si="217"/>
        <v>17559</v>
      </c>
      <c r="K1469" s="670">
        <f>$L$552</f>
        <v>5742</v>
      </c>
      <c r="L1469" s="670">
        <f>INT(E1469*K1469)</f>
        <v>269</v>
      </c>
      <c r="M1469" s="670" t="e">
        <f t="shared" si="218"/>
        <v>#REF!</v>
      </c>
      <c r="N1469" s="670" t="e">
        <f t="shared" si="218"/>
        <v>#REF!</v>
      </c>
      <c r="O1469" s="671">
        <f>$A$545</f>
        <v>139</v>
      </c>
      <c r="P1469" s="672"/>
      <c r="Q1469" s="688">
        <f t="shared" si="216"/>
        <v>85</v>
      </c>
      <c r="R1469" s="688">
        <f t="shared" si="216"/>
        <v>85</v>
      </c>
      <c r="S1469" s="728"/>
      <c r="T1469" s="690">
        <f>S1469/R1469</f>
        <v>0</v>
      </c>
    </row>
    <row r="1470" spans="1:20" s="665" customFormat="1" ht="17.100000000000001" customHeight="1">
      <c r="A1470" s="1316" t="s">
        <v>1886</v>
      </c>
      <c r="B1470" s="1317"/>
      <c r="C1470" s="1381" t="s">
        <v>1529</v>
      </c>
      <c r="D1470" s="1317"/>
      <c r="E1470" s="683">
        <v>9.0000000000000006E-5</v>
      </c>
      <c r="F1470" s="676" t="s">
        <v>850</v>
      </c>
      <c r="G1470" s="670" t="e">
        <f>$H$484</f>
        <v>#REF!</v>
      </c>
      <c r="H1470" s="670" t="e">
        <f>INT(E1470*G1470)</f>
        <v>#REF!</v>
      </c>
      <c r="I1470" s="670">
        <f>$J$484</f>
        <v>73989</v>
      </c>
      <c r="J1470" s="670">
        <f t="shared" si="217"/>
        <v>6</v>
      </c>
      <c r="K1470" s="670">
        <f>$L$484</f>
        <v>11220</v>
      </c>
      <c r="L1470" s="670">
        <f>INT(E1470*K1470)</f>
        <v>1</v>
      </c>
      <c r="M1470" s="670" t="e">
        <f t="shared" si="218"/>
        <v>#REF!</v>
      </c>
      <c r="N1470" s="670" t="e">
        <f t="shared" si="218"/>
        <v>#REF!</v>
      </c>
      <c r="O1470" s="671">
        <f>$A$479</f>
        <v>130</v>
      </c>
      <c r="P1470" s="672" t="s">
        <v>1549</v>
      </c>
      <c r="Q1470" s="687" t="s">
        <v>1423</v>
      </c>
      <c r="R1470" s="688" t="s">
        <v>1876</v>
      </c>
      <c r="S1470" s="688" t="s">
        <v>1425</v>
      </c>
      <c r="T1470" s="688" t="s">
        <v>1426</v>
      </c>
    </row>
    <row r="1471" spans="1:20" s="665" customFormat="1" ht="17.100000000000001" customHeight="1">
      <c r="A1471" s="1316" t="s">
        <v>1887</v>
      </c>
      <c r="B1471" s="1317"/>
      <c r="C1471" s="1338" t="s">
        <v>1841</v>
      </c>
      <c r="D1471" s="1317"/>
      <c r="E1471" s="675">
        <v>0.36</v>
      </c>
      <c r="F1471" s="676" t="s">
        <v>645</v>
      </c>
      <c r="G1471" s="778" t="e">
        <f>$H$726</f>
        <v>#REF!</v>
      </c>
      <c r="H1471" s="670" t="e">
        <f>INT(E1471*G1471)</f>
        <v>#REF!</v>
      </c>
      <c r="I1471" s="778">
        <f>$J$726</f>
        <v>34461</v>
      </c>
      <c r="J1471" s="670">
        <f t="shared" si="217"/>
        <v>12405</v>
      </c>
      <c r="K1471" s="670"/>
      <c r="L1471" s="670"/>
      <c r="M1471" s="670" t="e">
        <f t="shared" si="218"/>
        <v>#REF!</v>
      </c>
      <c r="N1471" s="670" t="e">
        <f t="shared" si="218"/>
        <v>#REF!</v>
      </c>
      <c r="O1471" s="671">
        <f>$A$721</f>
        <v>163</v>
      </c>
      <c r="P1471" s="672" t="s">
        <v>1871</v>
      </c>
      <c r="Q1471" s="688">
        <v>85</v>
      </c>
      <c r="R1471" s="688">
        <f>Q1471</f>
        <v>85</v>
      </c>
      <c r="S1471" s="688">
        <v>0</v>
      </c>
      <c r="T1471" s="688"/>
    </row>
    <row r="1472" spans="1:20" s="665" customFormat="1" ht="17.100000000000001" customHeight="1">
      <c r="A1472" s="1318" t="s">
        <v>1320</v>
      </c>
      <c r="B1472" s="1319"/>
      <c r="C1472" s="1371"/>
      <c r="D1472" s="1372"/>
      <c r="E1472" s="677"/>
      <c r="F1472" s="676"/>
      <c r="G1472" s="670"/>
      <c r="H1472" s="670" t="e">
        <f>SUM(H1464:H1471)</f>
        <v>#REF!</v>
      </c>
      <c r="I1472" s="670"/>
      <c r="J1472" s="670" t="e">
        <f>SUM(J1464:J1471)</f>
        <v>#REF!</v>
      </c>
      <c r="K1472" s="670"/>
      <c r="L1472" s="670" t="e">
        <f>SUM(L1464:L1471)</f>
        <v>#REF!</v>
      </c>
      <c r="M1472" s="670"/>
      <c r="N1472" s="670" t="e">
        <f>SUM(N1464:N1471)</f>
        <v>#REF!</v>
      </c>
      <c r="O1472" s="671"/>
      <c r="P1472" s="672"/>
      <c r="Q1472" s="688">
        <f>Q1471</f>
        <v>85</v>
      </c>
      <c r="R1472" s="688">
        <f>R1471</f>
        <v>85</v>
      </c>
      <c r="S1472" s="728">
        <v>1</v>
      </c>
      <c r="T1472" s="690">
        <f>ROUND(S1472/R1472,4)</f>
        <v>1.18E-2</v>
      </c>
    </row>
    <row r="1473" spans="1:20" s="665" customFormat="1" ht="17.100000000000001" customHeight="1">
      <c r="A1473" s="668">
        <f>A1463+1</f>
        <v>265</v>
      </c>
      <c r="B1473" s="1320" t="s">
        <v>1891</v>
      </c>
      <c r="C1473" s="1320"/>
      <c r="D1473" s="1320" t="s">
        <v>1912</v>
      </c>
      <c r="E1473" s="1320"/>
      <c r="F1473" s="669" t="s">
        <v>272</v>
      </c>
      <c r="G1473" s="670"/>
      <c r="H1473" s="670"/>
      <c r="I1473" s="670"/>
      <c r="J1473" s="670"/>
      <c r="K1473" s="670"/>
      <c r="L1473" s="670"/>
      <c r="M1473" s="670"/>
      <c r="N1473" s="670"/>
      <c r="O1473" s="699" t="s">
        <v>1562</v>
      </c>
      <c r="P1473" s="672"/>
      <c r="Q1473" s="688">
        <f t="shared" ref="Q1473:R1476" si="219">Q1472</f>
        <v>85</v>
      </c>
      <c r="R1473" s="688">
        <f t="shared" si="219"/>
        <v>85</v>
      </c>
      <c r="S1473" s="728">
        <v>2</v>
      </c>
      <c r="T1473" s="690">
        <f>ROUND(S1473/R1473,4)</f>
        <v>2.35E-2</v>
      </c>
    </row>
    <row r="1474" spans="1:20" s="665" customFormat="1" ht="17.100000000000001" customHeight="1">
      <c r="A1474" s="1316" t="s">
        <v>1893</v>
      </c>
      <c r="B1474" s="1317"/>
      <c r="C1474" s="1316" t="s">
        <v>1911</v>
      </c>
      <c r="D1474" s="1317"/>
      <c r="E1474" s="675">
        <v>1.03</v>
      </c>
      <c r="F1474" s="676" t="s">
        <v>30</v>
      </c>
      <c r="G1474" s="778"/>
      <c r="H1474" s="778"/>
      <c r="I1474" s="670"/>
      <c r="J1474" s="670"/>
      <c r="K1474" s="670"/>
      <c r="L1474" s="670"/>
      <c r="M1474" s="670"/>
      <c r="N1474" s="670"/>
      <c r="O1474" s="671"/>
      <c r="P1474" s="672"/>
      <c r="Q1474" s="688">
        <f t="shared" si="219"/>
        <v>85</v>
      </c>
      <c r="R1474" s="688">
        <f t="shared" si="219"/>
        <v>85</v>
      </c>
      <c r="S1474" s="728">
        <v>8</v>
      </c>
      <c r="T1474" s="690">
        <f>ROUND(S1474/R1474,4)</f>
        <v>9.4100000000000003E-2</v>
      </c>
    </row>
    <row r="1475" spans="1:20" s="665" customFormat="1" ht="17.100000000000001" customHeight="1">
      <c r="A1475" s="1316" t="s">
        <v>1895</v>
      </c>
      <c r="B1475" s="1317"/>
      <c r="C1475" s="1316" t="s">
        <v>1761</v>
      </c>
      <c r="D1475" s="1317"/>
      <c r="E1475" s="675">
        <v>1.03</v>
      </c>
      <c r="F1475" s="676" t="s">
        <v>30</v>
      </c>
      <c r="G1475" s="670"/>
      <c r="H1475" s="670"/>
      <c r="I1475" s="670"/>
      <c r="J1475" s="670"/>
      <c r="K1475" s="670">
        <f>[53]운반공!$BQ$621</f>
        <v>229</v>
      </c>
      <c r="L1475" s="670">
        <f>INT(E1475*K1475)</f>
        <v>235</v>
      </c>
      <c r="M1475" s="670">
        <f>G1475+I1475+K1475</f>
        <v>229</v>
      </c>
      <c r="N1475" s="670">
        <f>H1475+J1475+L1475</f>
        <v>235</v>
      </c>
      <c r="O1475" s="671"/>
      <c r="P1475" s="672"/>
      <c r="Q1475" s="688">
        <f>Q1473</f>
        <v>85</v>
      </c>
      <c r="R1475" s="688">
        <f>R1473</f>
        <v>85</v>
      </c>
      <c r="S1475" s="728"/>
      <c r="T1475" s="690">
        <f>ROUND(S1475/R1475,4)</f>
        <v>0</v>
      </c>
    </row>
    <row r="1476" spans="1:20" s="665" customFormat="1" ht="17.100000000000001" customHeight="1">
      <c r="A1476" s="1316" t="s">
        <v>248</v>
      </c>
      <c r="B1476" s="1317"/>
      <c r="C1476" s="1338"/>
      <c r="D1476" s="1317"/>
      <c r="E1476" s="683">
        <v>0.01</v>
      </c>
      <c r="F1476" s="676" t="s">
        <v>366</v>
      </c>
      <c r="G1476" s="670"/>
      <c r="H1476" s="670"/>
      <c r="I1476" s="670">
        <f>[53]노임단가!$T$5</f>
        <v>172068</v>
      </c>
      <c r="J1476" s="670">
        <f t="shared" ref="J1476:J1481" si="220">INT(E1476*I1476)</f>
        <v>1720</v>
      </c>
      <c r="K1476" s="670"/>
      <c r="L1476" s="670"/>
      <c r="M1476" s="670">
        <f t="shared" ref="M1476:N1481" si="221">G1476+I1476+K1476</f>
        <v>172068</v>
      </c>
      <c r="N1476" s="670">
        <f t="shared" si="221"/>
        <v>1720</v>
      </c>
      <c r="O1476" s="671"/>
      <c r="P1476" s="672"/>
      <c r="Q1476" s="688">
        <f t="shared" si="219"/>
        <v>85</v>
      </c>
      <c r="R1476" s="688">
        <f t="shared" si="219"/>
        <v>85</v>
      </c>
      <c r="S1476" s="728">
        <f>0.15*0.15*0.004</f>
        <v>8.9999999999999992E-5</v>
      </c>
      <c r="T1476" s="690">
        <f>ROUND(S1476,4)</f>
        <v>1E-4</v>
      </c>
    </row>
    <row r="1477" spans="1:20" s="665" customFormat="1" ht="17.100000000000001" customHeight="1">
      <c r="A1477" s="1316" t="s">
        <v>628</v>
      </c>
      <c r="B1477" s="1317"/>
      <c r="C1477" s="1381"/>
      <c r="D1477" s="1317"/>
      <c r="E1477" s="683">
        <v>0.03</v>
      </c>
      <c r="F1477" s="676" t="s">
        <v>366</v>
      </c>
      <c r="G1477" s="670"/>
      <c r="H1477" s="670"/>
      <c r="I1477" s="670">
        <f>[53]노임단가!$T$6</f>
        <v>226122</v>
      </c>
      <c r="J1477" s="670">
        <f t="shared" si="220"/>
        <v>6783</v>
      </c>
      <c r="K1477" s="670"/>
      <c r="L1477" s="670"/>
      <c r="M1477" s="670">
        <f t="shared" si="221"/>
        <v>226122</v>
      </c>
      <c r="N1477" s="670">
        <f t="shared" si="221"/>
        <v>6783</v>
      </c>
      <c r="O1477" s="671"/>
      <c r="P1477" s="672"/>
      <c r="Q1477" s="688">
        <f>Q1476</f>
        <v>85</v>
      </c>
      <c r="R1477" s="688">
        <f>R1476</f>
        <v>85</v>
      </c>
      <c r="S1477" s="728"/>
      <c r="T1477" s="690">
        <f>ROUND(S1477/R1477,4)</f>
        <v>0</v>
      </c>
    </row>
    <row r="1478" spans="1:20" s="665" customFormat="1" ht="17.100000000000001" customHeight="1">
      <c r="A1478" s="1316" t="s">
        <v>481</v>
      </c>
      <c r="B1478" s="1317"/>
      <c r="C1478" s="786" t="s">
        <v>395</v>
      </c>
      <c r="D1478" s="669"/>
      <c r="E1478" s="683">
        <f>T1447</f>
        <v>9.4100000000000003E-2</v>
      </c>
      <c r="F1478" s="676" t="s">
        <v>418</v>
      </c>
      <c r="G1478" s="670" t="e">
        <f>#REF!</f>
        <v>#REF!</v>
      </c>
      <c r="H1478" s="670" t="e">
        <f>INT(E1478*G1478)</f>
        <v>#REF!</v>
      </c>
      <c r="I1478" s="670" t="e">
        <f>#REF!</f>
        <v>#REF!</v>
      </c>
      <c r="J1478" s="670" t="e">
        <f t="shared" si="220"/>
        <v>#REF!</v>
      </c>
      <c r="K1478" s="670" t="e">
        <f>#REF!</f>
        <v>#REF!</v>
      </c>
      <c r="L1478" s="670" t="e">
        <f>INT(E1478*K1478)</f>
        <v>#REF!</v>
      </c>
      <c r="M1478" s="670" t="e">
        <f t="shared" si="221"/>
        <v>#REF!</v>
      </c>
      <c r="N1478" s="670" t="e">
        <f t="shared" si="221"/>
        <v>#REF!</v>
      </c>
      <c r="O1478" s="671"/>
      <c r="P1478" s="672"/>
      <c r="Q1478" s="688">
        <f>Q1477</f>
        <v>85</v>
      </c>
      <c r="R1478" s="688">
        <f>R1477</f>
        <v>85</v>
      </c>
      <c r="S1478" s="728"/>
      <c r="T1478" s="690">
        <f>S1478/R1478</f>
        <v>0</v>
      </c>
    </row>
    <row r="1479" spans="1:20" s="665" customFormat="1" ht="17.100000000000001" customHeight="1">
      <c r="A1479" s="1316" t="s">
        <v>1884</v>
      </c>
      <c r="B1479" s="1317"/>
      <c r="C1479" s="1338" t="s">
        <v>1885</v>
      </c>
      <c r="D1479" s="1317"/>
      <c r="E1479" s="701">
        <f>[53]구조물공!$BE$127</f>
        <v>4.7E-2</v>
      </c>
      <c r="F1479" s="676" t="s">
        <v>850</v>
      </c>
      <c r="G1479" s="670" t="e">
        <f>$H$552</f>
        <v>#REF!</v>
      </c>
      <c r="H1479" s="670" t="e">
        <f>INT(E1479*G1479)</f>
        <v>#REF!</v>
      </c>
      <c r="I1479" s="670">
        <f>$J$552</f>
        <v>373604</v>
      </c>
      <c r="J1479" s="670">
        <f t="shared" si="220"/>
        <v>17559</v>
      </c>
      <c r="K1479" s="670">
        <f>$L$552</f>
        <v>5742</v>
      </c>
      <c r="L1479" s="670">
        <f>INT(E1479*K1479)</f>
        <v>269</v>
      </c>
      <c r="M1479" s="670" t="e">
        <f t="shared" si="221"/>
        <v>#REF!</v>
      </c>
      <c r="N1479" s="670" t="e">
        <f t="shared" si="221"/>
        <v>#REF!</v>
      </c>
      <c r="O1479" s="671">
        <f>$A$545</f>
        <v>139</v>
      </c>
      <c r="P1479" s="672" t="s">
        <v>1549</v>
      </c>
      <c r="Q1479" s="687" t="s">
        <v>1423</v>
      </c>
      <c r="R1479" s="688" t="s">
        <v>1876</v>
      </c>
      <c r="S1479" s="688" t="s">
        <v>1425</v>
      </c>
      <c r="T1479" s="688" t="s">
        <v>1426</v>
      </c>
    </row>
    <row r="1480" spans="1:20" s="665" customFormat="1" ht="17.100000000000001" customHeight="1">
      <c r="A1480" s="1316" t="s">
        <v>1886</v>
      </c>
      <c r="B1480" s="1317"/>
      <c r="C1480" s="1381" t="s">
        <v>1529</v>
      </c>
      <c r="D1480" s="1317"/>
      <c r="E1480" s="683">
        <v>9.0000000000000006E-5</v>
      </c>
      <c r="F1480" s="676" t="s">
        <v>850</v>
      </c>
      <c r="G1480" s="670" t="e">
        <f>$H$484</f>
        <v>#REF!</v>
      </c>
      <c r="H1480" s="670" t="e">
        <f>INT(E1480*G1480)</f>
        <v>#REF!</v>
      </c>
      <c r="I1480" s="670">
        <f>$J$484</f>
        <v>73989</v>
      </c>
      <c r="J1480" s="670">
        <f t="shared" si="220"/>
        <v>6</v>
      </c>
      <c r="K1480" s="670">
        <f>$L$484</f>
        <v>11220</v>
      </c>
      <c r="L1480" s="670">
        <f>INT(E1480*K1480)</f>
        <v>1</v>
      </c>
      <c r="M1480" s="670" t="e">
        <f t="shared" si="221"/>
        <v>#REF!</v>
      </c>
      <c r="N1480" s="670" t="e">
        <f t="shared" si="221"/>
        <v>#REF!</v>
      </c>
      <c r="O1480" s="671">
        <f>$A$479</f>
        <v>130</v>
      </c>
      <c r="P1480" s="672" t="s">
        <v>1871</v>
      </c>
      <c r="Q1480" s="688">
        <v>60</v>
      </c>
      <c r="R1480" s="688">
        <f>Q1480</f>
        <v>60</v>
      </c>
      <c r="S1480" s="688">
        <v>0</v>
      </c>
      <c r="T1480" s="688"/>
    </row>
    <row r="1481" spans="1:20" s="665" customFormat="1" ht="17.100000000000001" customHeight="1">
      <c r="A1481" s="1316" t="s">
        <v>1887</v>
      </c>
      <c r="B1481" s="1317"/>
      <c r="C1481" s="1338" t="s">
        <v>1841</v>
      </c>
      <c r="D1481" s="1317"/>
      <c r="E1481" s="675">
        <v>0.18</v>
      </c>
      <c r="F1481" s="676" t="s">
        <v>645</v>
      </c>
      <c r="G1481" s="778" t="e">
        <f>$H$726</f>
        <v>#REF!</v>
      </c>
      <c r="H1481" s="670" t="e">
        <f>INT(E1481*G1481)</f>
        <v>#REF!</v>
      </c>
      <c r="I1481" s="778">
        <f>$J$726</f>
        <v>34461</v>
      </c>
      <c r="J1481" s="670">
        <f t="shared" si="220"/>
        <v>6202</v>
      </c>
      <c r="K1481" s="670"/>
      <c r="L1481" s="670"/>
      <c r="M1481" s="670" t="e">
        <f t="shared" si="221"/>
        <v>#REF!</v>
      </c>
      <c r="N1481" s="670" t="e">
        <f t="shared" si="221"/>
        <v>#REF!</v>
      </c>
      <c r="O1481" s="671">
        <f>$A$721</f>
        <v>163</v>
      </c>
      <c r="P1481" s="672"/>
      <c r="Q1481" s="688">
        <f>Q1480</f>
        <v>60</v>
      </c>
      <c r="R1481" s="688">
        <f>R1480</f>
        <v>60</v>
      </c>
      <c r="S1481" s="728">
        <v>1</v>
      </c>
      <c r="T1481" s="690">
        <f>ROUND(S1481/R1481,4)</f>
        <v>1.67E-2</v>
      </c>
    </row>
    <row r="1482" spans="1:20" s="665" customFormat="1" ht="17.100000000000001" customHeight="1">
      <c r="A1482" s="1318" t="s">
        <v>1320</v>
      </c>
      <c r="B1482" s="1319"/>
      <c r="C1482" s="1371"/>
      <c r="D1482" s="1372"/>
      <c r="E1482" s="677"/>
      <c r="F1482" s="676"/>
      <c r="G1482" s="670"/>
      <c r="H1482" s="670" t="e">
        <f>SUM(H1474:H1481)</f>
        <v>#REF!</v>
      </c>
      <c r="I1482" s="670"/>
      <c r="J1482" s="670" t="e">
        <f>SUM(J1474:J1481)</f>
        <v>#REF!</v>
      </c>
      <c r="K1482" s="670"/>
      <c r="L1482" s="670" t="e">
        <f>SUM(L1474:L1481)</f>
        <v>#REF!</v>
      </c>
      <c r="M1482" s="670"/>
      <c r="N1482" s="670" t="e">
        <f>SUM(N1474:N1481)</f>
        <v>#REF!</v>
      </c>
      <c r="O1482" s="671"/>
      <c r="P1482" s="672"/>
      <c r="Q1482" s="688">
        <f t="shared" ref="Q1482:R1485" si="222">Q1481</f>
        <v>60</v>
      </c>
      <c r="R1482" s="688">
        <f t="shared" si="222"/>
        <v>60</v>
      </c>
      <c r="S1482" s="728">
        <v>2</v>
      </c>
      <c r="T1482" s="690">
        <f>ROUND(S1482/R1482,4)</f>
        <v>3.3300000000000003E-2</v>
      </c>
    </row>
    <row r="1483" spans="1:20" s="665" customFormat="1" ht="17.100000000000001" customHeight="1">
      <c r="A1483" s="668">
        <f>A1473+1</f>
        <v>266</v>
      </c>
      <c r="B1483" s="1320" t="s">
        <v>1898</v>
      </c>
      <c r="C1483" s="1320"/>
      <c r="D1483" s="1320" t="s">
        <v>1913</v>
      </c>
      <c r="E1483" s="1320"/>
      <c r="F1483" s="669" t="s">
        <v>272</v>
      </c>
      <c r="G1483" s="670"/>
      <c r="H1483" s="670"/>
      <c r="I1483" s="670"/>
      <c r="J1483" s="670"/>
      <c r="K1483" s="670"/>
      <c r="L1483" s="670"/>
      <c r="M1483" s="670"/>
      <c r="N1483" s="670"/>
      <c r="O1483" s="699"/>
      <c r="P1483" s="672"/>
      <c r="Q1483" s="688">
        <f t="shared" si="222"/>
        <v>60</v>
      </c>
      <c r="R1483" s="688">
        <f t="shared" si="222"/>
        <v>60</v>
      </c>
      <c r="S1483" s="728">
        <v>8</v>
      </c>
      <c r="T1483" s="690">
        <f>ROUND(S1483/R1483,4)</f>
        <v>0.1333</v>
      </c>
    </row>
    <row r="1484" spans="1:20" s="665" customFormat="1" ht="17.100000000000001" customHeight="1">
      <c r="A1484" s="1316" t="s">
        <v>918</v>
      </c>
      <c r="B1484" s="1317"/>
      <c r="C1484" s="1316" t="s">
        <v>919</v>
      </c>
      <c r="D1484" s="1317"/>
      <c r="E1484" s="675">
        <v>1.03</v>
      </c>
      <c r="F1484" s="676" t="s">
        <v>30</v>
      </c>
      <c r="G1484" s="778" t="e">
        <f>#REF!</f>
        <v>#REF!</v>
      </c>
      <c r="H1484" s="670" t="e">
        <f>INT(E1484*G1484)</f>
        <v>#REF!</v>
      </c>
      <c r="I1484" s="670"/>
      <c r="J1484" s="670"/>
      <c r="K1484" s="670">
        <f>[53]운반공!$BY$616</f>
        <v>589</v>
      </c>
      <c r="L1484" s="670">
        <f>INT(E1484*K1484)</f>
        <v>606</v>
      </c>
      <c r="M1484" s="670" t="e">
        <f>G1484+I1484+K1484</f>
        <v>#REF!</v>
      </c>
      <c r="N1484" s="670" t="e">
        <f>H1484+J1484+L1484</f>
        <v>#REF!</v>
      </c>
      <c r="O1484" s="671"/>
      <c r="P1484" s="672"/>
      <c r="Q1484" s="688">
        <f>Q1482</f>
        <v>60</v>
      </c>
      <c r="R1484" s="688">
        <f>R1482</f>
        <v>60</v>
      </c>
      <c r="S1484" s="728"/>
      <c r="T1484" s="690">
        <f>ROUND(S1484/R1484,4)</f>
        <v>0</v>
      </c>
    </row>
    <row r="1485" spans="1:20" s="665" customFormat="1" ht="17.100000000000001" customHeight="1">
      <c r="A1485" s="1316" t="s">
        <v>248</v>
      </c>
      <c r="B1485" s="1317"/>
      <c r="C1485" s="1338"/>
      <c r="D1485" s="1317"/>
      <c r="E1485" s="683">
        <f>T1454</f>
        <v>9.1000000000000004E-3</v>
      </c>
      <c r="F1485" s="676" t="s">
        <v>366</v>
      </c>
      <c r="G1485" s="670"/>
      <c r="H1485" s="670"/>
      <c r="I1485" s="670">
        <f>[53]노임단가!$T$5</f>
        <v>172068</v>
      </c>
      <c r="J1485" s="670">
        <f t="shared" ref="J1485:J1490" si="223">INT(E1485*I1485)</f>
        <v>1565</v>
      </c>
      <c r="K1485" s="670"/>
      <c r="L1485" s="670"/>
      <c r="M1485" s="670">
        <f t="shared" ref="M1485:N1490" si="224">G1485+I1485+K1485</f>
        <v>172068</v>
      </c>
      <c r="N1485" s="670">
        <f t="shared" si="224"/>
        <v>1565</v>
      </c>
      <c r="O1485" s="671"/>
      <c r="P1485" s="672"/>
      <c r="Q1485" s="688">
        <f t="shared" si="222"/>
        <v>60</v>
      </c>
      <c r="R1485" s="688">
        <f t="shared" si="222"/>
        <v>60</v>
      </c>
      <c r="S1485" s="728">
        <f>0.18*0.205*0.004</f>
        <v>1.4759999999999998E-4</v>
      </c>
      <c r="T1485" s="690">
        <f>ROUND(S1485,4)</f>
        <v>1E-4</v>
      </c>
    </row>
    <row r="1486" spans="1:20" s="665" customFormat="1" ht="17.100000000000001" customHeight="1">
      <c r="A1486" s="1316" t="s">
        <v>628</v>
      </c>
      <c r="B1486" s="1317"/>
      <c r="C1486" s="1381"/>
      <c r="D1486" s="1317"/>
      <c r="E1486" s="683">
        <f>T1455</f>
        <v>1.8200000000000001E-2</v>
      </c>
      <c r="F1486" s="676" t="s">
        <v>366</v>
      </c>
      <c r="G1486" s="670"/>
      <c r="H1486" s="670"/>
      <c r="I1486" s="670">
        <f>[53]노임단가!$T$6</f>
        <v>226122</v>
      </c>
      <c r="J1486" s="670">
        <f t="shared" si="223"/>
        <v>4115</v>
      </c>
      <c r="K1486" s="670"/>
      <c r="L1486" s="670"/>
      <c r="M1486" s="670">
        <f t="shared" si="224"/>
        <v>226122</v>
      </c>
      <c r="N1486" s="670">
        <f t="shared" si="224"/>
        <v>4115</v>
      </c>
      <c r="O1486" s="671"/>
      <c r="P1486" s="672"/>
      <c r="Q1486" s="688">
        <f>Q1485</f>
        <v>60</v>
      </c>
      <c r="R1486" s="688">
        <f>R1485</f>
        <v>60</v>
      </c>
      <c r="S1486" s="728"/>
      <c r="T1486" s="690">
        <f>ROUND(S1486/R1486,4)</f>
        <v>0</v>
      </c>
    </row>
    <row r="1487" spans="1:20" s="665" customFormat="1" ht="17.100000000000001" customHeight="1">
      <c r="A1487" s="1316" t="s">
        <v>481</v>
      </c>
      <c r="B1487" s="1317"/>
      <c r="C1487" s="786" t="s">
        <v>395</v>
      </c>
      <c r="D1487" s="669"/>
      <c r="E1487" s="683">
        <f>T1456</f>
        <v>7.2700000000000001E-2</v>
      </c>
      <c r="F1487" s="676" t="s">
        <v>418</v>
      </c>
      <c r="G1487" s="670" t="e">
        <f>#REF!</f>
        <v>#REF!</v>
      </c>
      <c r="H1487" s="670" t="e">
        <f>INT(E1487*G1487)</f>
        <v>#REF!</v>
      </c>
      <c r="I1487" s="670" t="e">
        <f>#REF!</f>
        <v>#REF!</v>
      </c>
      <c r="J1487" s="670" t="e">
        <f t="shared" si="223"/>
        <v>#REF!</v>
      </c>
      <c r="K1487" s="670" t="e">
        <f>#REF!</f>
        <v>#REF!</v>
      </c>
      <c r="L1487" s="670" t="e">
        <f>INT(E1487*K1487)</f>
        <v>#REF!</v>
      </c>
      <c r="M1487" s="670" t="e">
        <f t="shared" si="224"/>
        <v>#REF!</v>
      </c>
      <c r="N1487" s="670" t="e">
        <f t="shared" si="224"/>
        <v>#REF!</v>
      </c>
      <c r="O1487" s="671"/>
      <c r="P1487" s="672"/>
      <c r="Q1487" s="688">
        <f>Q1486</f>
        <v>60</v>
      </c>
      <c r="R1487" s="688">
        <f>R1486</f>
        <v>60</v>
      </c>
      <c r="S1487" s="728"/>
      <c r="T1487" s="690">
        <f>S1487/R1487</f>
        <v>0</v>
      </c>
    </row>
    <row r="1488" spans="1:20" s="665" customFormat="1" ht="17.100000000000001" customHeight="1">
      <c r="A1488" s="1316" t="s">
        <v>1884</v>
      </c>
      <c r="B1488" s="1317"/>
      <c r="C1488" s="1338" t="s">
        <v>1885</v>
      </c>
      <c r="D1488" s="1317"/>
      <c r="E1488" s="701">
        <f>[53]구조물공!$BE$128</f>
        <v>4.2999999999999997E-2</v>
      </c>
      <c r="F1488" s="676" t="s">
        <v>850</v>
      </c>
      <c r="G1488" s="670" t="e">
        <f>$H$552</f>
        <v>#REF!</v>
      </c>
      <c r="H1488" s="670" t="e">
        <f>INT(E1488*G1488)</f>
        <v>#REF!</v>
      </c>
      <c r="I1488" s="670">
        <f>$J$552</f>
        <v>373604</v>
      </c>
      <c r="J1488" s="670">
        <f t="shared" si="223"/>
        <v>16064</v>
      </c>
      <c r="K1488" s="670">
        <f>$L$552</f>
        <v>5742</v>
      </c>
      <c r="L1488" s="670">
        <f>INT(E1488*K1488)</f>
        <v>246</v>
      </c>
      <c r="M1488" s="670" t="e">
        <f t="shared" si="224"/>
        <v>#REF!</v>
      </c>
      <c r="N1488" s="670" t="e">
        <f t="shared" si="224"/>
        <v>#REF!</v>
      </c>
      <c r="O1488" s="671">
        <f>$A$545</f>
        <v>139</v>
      </c>
      <c r="P1488" s="672" t="s">
        <v>1549</v>
      </c>
      <c r="Q1488" s="687" t="s">
        <v>1423</v>
      </c>
      <c r="R1488" s="688" t="s">
        <v>1876</v>
      </c>
      <c r="S1488" s="688" t="s">
        <v>1425</v>
      </c>
      <c r="T1488" s="688" t="s">
        <v>1426</v>
      </c>
    </row>
    <row r="1489" spans="1:22" s="665" customFormat="1" ht="17.100000000000001" customHeight="1">
      <c r="A1489" s="1316" t="s">
        <v>1886</v>
      </c>
      <c r="B1489" s="1317"/>
      <c r="C1489" s="1381" t="s">
        <v>1529</v>
      </c>
      <c r="D1489" s="1382"/>
      <c r="E1489" s="683">
        <v>5.7599999999999997E-5</v>
      </c>
      <c r="F1489" s="676" t="s">
        <v>850</v>
      </c>
      <c r="G1489" s="670" t="e">
        <f>$H$484</f>
        <v>#REF!</v>
      </c>
      <c r="H1489" s="670" t="e">
        <f>INT(E1489*G1489)</f>
        <v>#REF!</v>
      </c>
      <c r="I1489" s="670">
        <f>$J$484</f>
        <v>73989</v>
      </c>
      <c r="J1489" s="670">
        <f t="shared" si="223"/>
        <v>4</v>
      </c>
      <c r="K1489" s="670">
        <f>$L$484</f>
        <v>11220</v>
      </c>
      <c r="L1489" s="670">
        <f>INT(E1489*K1489)</f>
        <v>0</v>
      </c>
      <c r="M1489" s="670" t="e">
        <f t="shared" si="224"/>
        <v>#REF!</v>
      </c>
      <c r="N1489" s="670" t="e">
        <f t="shared" si="224"/>
        <v>#REF!</v>
      </c>
      <c r="O1489" s="671">
        <f>$A$479</f>
        <v>130</v>
      </c>
      <c r="P1489" s="672" t="s">
        <v>1871</v>
      </c>
      <c r="Q1489" s="688">
        <v>60</v>
      </c>
      <c r="R1489" s="688">
        <f>Q1489</f>
        <v>60</v>
      </c>
      <c r="S1489" s="688">
        <v>0</v>
      </c>
      <c r="T1489" s="688"/>
    </row>
    <row r="1490" spans="1:22" s="665" customFormat="1" ht="17.100000000000001" customHeight="1">
      <c r="A1490" s="1316" t="s">
        <v>1887</v>
      </c>
      <c r="B1490" s="1317"/>
      <c r="C1490" s="1338" t="s">
        <v>1841</v>
      </c>
      <c r="D1490" s="1317"/>
      <c r="E1490" s="675">
        <v>0.36</v>
      </c>
      <c r="F1490" s="676" t="s">
        <v>645</v>
      </c>
      <c r="G1490" s="778" t="e">
        <f>$H$726</f>
        <v>#REF!</v>
      </c>
      <c r="H1490" s="670" t="e">
        <f>INT(E1490*G1490)</f>
        <v>#REF!</v>
      </c>
      <c r="I1490" s="778">
        <f>$J$726</f>
        <v>34461</v>
      </c>
      <c r="J1490" s="670">
        <f t="shared" si="223"/>
        <v>12405</v>
      </c>
      <c r="K1490" s="670"/>
      <c r="L1490" s="670"/>
      <c r="M1490" s="670" t="e">
        <f t="shared" si="224"/>
        <v>#REF!</v>
      </c>
      <c r="N1490" s="670" t="e">
        <f t="shared" si="224"/>
        <v>#REF!</v>
      </c>
      <c r="O1490" s="671">
        <f>$A$721</f>
        <v>163</v>
      </c>
      <c r="P1490" s="672"/>
      <c r="Q1490" s="688">
        <f>Q1489</f>
        <v>60</v>
      </c>
      <c r="R1490" s="688">
        <f>R1489</f>
        <v>60</v>
      </c>
      <c r="S1490" s="728">
        <v>1</v>
      </c>
      <c r="T1490" s="690">
        <f>ROUND(S1490/R1490,4)</f>
        <v>1.67E-2</v>
      </c>
    </row>
    <row r="1491" spans="1:22" s="665" customFormat="1" ht="17.100000000000001" customHeight="1">
      <c r="A1491" s="1318" t="s">
        <v>1320</v>
      </c>
      <c r="B1491" s="1319"/>
      <c r="C1491" s="1371"/>
      <c r="D1491" s="1372"/>
      <c r="E1491" s="677"/>
      <c r="F1491" s="676"/>
      <c r="G1491" s="670"/>
      <c r="H1491" s="670" t="e">
        <f>SUM(H1484:H1490)</f>
        <v>#REF!</v>
      </c>
      <c r="I1491" s="670"/>
      <c r="J1491" s="670" t="e">
        <f>SUM(J1484:J1490)</f>
        <v>#REF!</v>
      </c>
      <c r="K1491" s="670"/>
      <c r="L1491" s="670" t="e">
        <f>SUM(L1484:L1490)</f>
        <v>#REF!</v>
      </c>
      <c r="M1491" s="670"/>
      <c r="N1491" s="670" t="e">
        <f>SUM(N1484:N1490)</f>
        <v>#REF!</v>
      </c>
      <c r="O1491" s="671"/>
      <c r="P1491" s="672"/>
      <c r="Q1491" s="688">
        <f t="shared" ref="Q1491:R1494" si="225">Q1490</f>
        <v>60</v>
      </c>
      <c r="R1491" s="688">
        <f t="shared" si="225"/>
        <v>60</v>
      </c>
      <c r="S1491" s="728">
        <v>2</v>
      </c>
      <c r="T1491" s="690">
        <f>ROUND(S1491/R1491,4)</f>
        <v>3.3300000000000003E-2</v>
      </c>
    </row>
    <row r="1492" spans="1:22" s="665" customFormat="1" ht="17.100000000000001" customHeight="1">
      <c r="A1492" s="668">
        <f>A1483+1</f>
        <v>267</v>
      </c>
      <c r="B1492" s="1320" t="s">
        <v>1898</v>
      </c>
      <c r="C1492" s="1320"/>
      <c r="D1492" s="1320" t="s">
        <v>1914</v>
      </c>
      <c r="E1492" s="1320"/>
      <c r="F1492" s="669" t="s">
        <v>272</v>
      </c>
      <c r="G1492" s="670"/>
      <c r="H1492" s="670"/>
      <c r="I1492" s="670"/>
      <c r="J1492" s="670"/>
      <c r="K1492" s="670"/>
      <c r="L1492" s="670"/>
      <c r="M1492" s="670"/>
      <c r="N1492" s="670"/>
      <c r="O1492" s="699"/>
      <c r="P1492" s="672"/>
      <c r="Q1492" s="688">
        <f t="shared" si="225"/>
        <v>60</v>
      </c>
      <c r="R1492" s="688">
        <f t="shared" si="225"/>
        <v>60</v>
      </c>
      <c r="S1492" s="728">
        <v>8</v>
      </c>
      <c r="T1492" s="690">
        <f>ROUND(S1492/R1492,4)</f>
        <v>0.1333</v>
      </c>
    </row>
    <row r="1493" spans="1:22" s="665" customFormat="1" ht="17.100000000000001" customHeight="1">
      <c r="A1493" s="1316" t="s">
        <v>918</v>
      </c>
      <c r="B1493" s="1317"/>
      <c r="C1493" s="1316" t="s">
        <v>1901</v>
      </c>
      <c r="D1493" s="1317"/>
      <c r="E1493" s="675">
        <v>1.03</v>
      </c>
      <c r="F1493" s="676" t="s">
        <v>30</v>
      </c>
      <c r="G1493" s="778" t="e">
        <f>#REF!</f>
        <v>#REF!</v>
      </c>
      <c r="H1493" s="670" t="e">
        <f>INT(E1493*G1493)</f>
        <v>#REF!</v>
      </c>
      <c r="I1493" s="670"/>
      <c r="J1493" s="670"/>
      <c r="K1493" s="670">
        <f>[53]운반공!$BY$617</f>
        <v>930</v>
      </c>
      <c r="L1493" s="670">
        <f>INT(E1493*K1493)</f>
        <v>957</v>
      </c>
      <c r="M1493" s="670" t="e">
        <f>G1493+I1493+K1493</f>
        <v>#REF!</v>
      </c>
      <c r="N1493" s="670" t="e">
        <f>H1493+J1493+L1493</f>
        <v>#REF!</v>
      </c>
      <c r="O1493" s="671"/>
      <c r="P1493" s="672"/>
      <c r="Q1493" s="688">
        <f>Q1491</f>
        <v>60</v>
      </c>
      <c r="R1493" s="688">
        <f>R1491</f>
        <v>60</v>
      </c>
      <c r="S1493" s="728"/>
      <c r="T1493" s="690">
        <f>ROUND(S1493/R1493,4)</f>
        <v>0</v>
      </c>
    </row>
    <row r="1494" spans="1:22" s="665" customFormat="1" ht="17.100000000000001" customHeight="1">
      <c r="A1494" s="1316" t="s">
        <v>248</v>
      </c>
      <c r="B1494" s="1317"/>
      <c r="C1494" s="1338"/>
      <c r="D1494" s="1317"/>
      <c r="E1494" s="683">
        <f>T1463</f>
        <v>1.18E-2</v>
      </c>
      <c r="F1494" s="676" t="s">
        <v>366</v>
      </c>
      <c r="G1494" s="670"/>
      <c r="H1494" s="670"/>
      <c r="I1494" s="670">
        <f>[53]노임단가!$T$5</f>
        <v>172068</v>
      </c>
      <c r="J1494" s="670">
        <f t="shared" ref="J1494:J1499" si="226">INT(E1494*I1494)</f>
        <v>2030</v>
      </c>
      <c r="K1494" s="670"/>
      <c r="L1494" s="670"/>
      <c r="M1494" s="670">
        <f t="shared" ref="M1494:N1499" si="227">G1494+I1494+K1494</f>
        <v>172068</v>
      </c>
      <c r="N1494" s="670">
        <f t="shared" si="227"/>
        <v>2030</v>
      </c>
      <c r="O1494" s="671"/>
      <c r="P1494" s="672"/>
      <c r="Q1494" s="688">
        <f t="shared" si="225"/>
        <v>60</v>
      </c>
      <c r="R1494" s="688">
        <f t="shared" si="225"/>
        <v>60</v>
      </c>
      <c r="S1494" s="728">
        <f>0.18*0.21*0.004</f>
        <v>1.5120000000000002E-4</v>
      </c>
      <c r="T1494" s="690">
        <f>ROUND(S1494,4)</f>
        <v>2.0000000000000001E-4</v>
      </c>
    </row>
    <row r="1495" spans="1:22" s="665" customFormat="1" ht="17.100000000000001" customHeight="1">
      <c r="A1495" s="1316" t="s">
        <v>628</v>
      </c>
      <c r="B1495" s="1317"/>
      <c r="C1495" s="1381"/>
      <c r="D1495" s="1317"/>
      <c r="E1495" s="683">
        <f>T1464</f>
        <v>2.35E-2</v>
      </c>
      <c r="F1495" s="676" t="s">
        <v>366</v>
      </c>
      <c r="G1495" s="670"/>
      <c r="H1495" s="670"/>
      <c r="I1495" s="670">
        <f>[53]노임단가!$T$6</f>
        <v>226122</v>
      </c>
      <c r="J1495" s="670">
        <f t="shared" si="226"/>
        <v>5313</v>
      </c>
      <c r="K1495" s="670"/>
      <c r="L1495" s="670"/>
      <c r="M1495" s="670">
        <f t="shared" si="227"/>
        <v>226122</v>
      </c>
      <c r="N1495" s="670">
        <f t="shared" si="227"/>
        <v>5313</v>
      </c>
      <c r="O1495" s="671"/>
      <c r="P1495" s="672"/>
      <c r="Q1495" s="688">
        <f>Q1494</f>
        <v>60</v>
      </c>
      <c r="R1495" s="688">
        <f>R1494</f>
        <v>60</v>
      </c>
      <c r="S1495" s="728"/>
      <c r="T1495" s="690">
        <f>ROUND(S1495/R1495,4)</f>
        <v>0</v>
      </c>
    </row>
    <row r="1496" spans="1:22" s="665" customFormat="1" ht="17.100000000000001" customHeight="1">
      <c r="A1496" s="1316" t="s">
        <v>481</v>
      </c>
      <c r="B1496" s="1317"/>
      <c r="C1496" s="786" t="s">
        <v>395</v>
      </c>
      <c r="D1496" s="669"/>
      <c r="E1496" s="683">
        <f>T1465</f>
        <v>9.4100000000000003E-2</v>
      </c>
      <c r="F1496" s="676" t="s">
        <v>418</v>
      </c>
      <c r="G1496" s="670" t="e">
        <f>#REF!</f>
        <v>#REF!</v>
      </c>
      <c r="H1496" s="670" t="e">
        <f>INT(E1496*G1496)</f>
        <v>#REF!</v>
      </c>
      <c r="I1496" s="670" t="e">
        <f>#REF!</f>
        <v>#REF!</v>
      </c>
      <c r="J1496" s="670" t="e">
        <f t="shared" si="226"/>
        <v>#REF!</v>
      </c>
      <c r="K1496" s="670" t="e">
        <f>#REF!</f>
        <v>#REF!</v>
      </c>
      <c r="L1496" s="670" t="e">
        <f>INT(E1496*K1496)</f>
        <v>#REF!</v>
      </c>
      <c r="M1496" s="670" t="e">
        <f t="shared" si="227"/>
        <v>#REF!</v>
      </c>
      <c r="N1496" s="670" t="e">
        <f t="shared" si="227"/>
        <v>#REF!</v>
      </c>
      <c r="O1496" s="671"/>
      <c r="P1496" s="672"/>
      <c r="Q1496" s="688">
        <f>Q1495</f>
        <v>60</v>
      </c>
      <c r="R1496" s="688">
        <f>R1495</f>
        <v>60</v>
      </c>
      <c r="S1496" s="728"/>
      <c r="T1496" s="690">
        <f>S1496/R1496</f>
        <v>0</v>
      </c>
    </row>
    <row r="1497" spans="1:22" s="665" customFormat="1" ht="17.100000000000001" customHeight="1">
      <c r="A1497" s="1316" t="s">
        <v>1884</v>
      </c>
      <c r="B1497" s="1317"/>
      <c r="C1497" s="1338" t="s">
        <v>1885</v>
      </c>
      <c r="D1497" s="1317"/>
      <c r="E1497" s="701">
        <f>[53]구조물공!$BE$129</f>
        <v>4.7E-2</v>
      </c>
      <c r="F1497" s="676" t="s">
        <v>850</v>
      </c>
      <c r="G1497" s="670" t="e">
        <f>$H$552</f>
        <v>#REF!</v>
      </c>
      <c r="H1497" s="670" t="e">
        <f>INT(E1497*G1497)</f>
        <v>#REF!</v>
      </c>
      <c r="I1497" s="670">
        <f>$J$552</f>
        <v>373604</v>
      </c>
      <c r="J1497" s="670">
        <f t="shared" si="226"/>
        <v>17559</v>
      </c>
      <c r="K1497" s="670">
        <f>$L$552</f>
        <v>5742</v>
      </c>
      <c r="L1497" s="670">
        <f>INT(E1497*K1497)</f>
        <v>269</v>
      </c>
      <c r="M1497" s="670" t="e">
        <f t="shared" si="227"/>
        <v>#REF!</v>
      </c>
      <c r="N1497" s="670" t="e">
        <f t="shared" si="227"/>
        <v>#REF!</v>
      </c>
      <c r="O1497" s="671">
        <f>$A$545</f>
        <v>139</v>
      </c>
      <c r="P1497" s="672" t="s">
        <v>1549</v>
      </c>
      <c r="Q1497" s="687" t="s">
        <v>1423</v>
      </c>
      <c r="R1497" s="688" t="s">
        <v>1424</v>
      </c>
      <c r="S1497" s="688" t="s">
        <v>1425</v>
      </c>
      <c r="T1497" s="688" t="s">
        <v>1426</v>
      </c>
    </row>
    <row r="1498" spans="1:22" s="665" customFormat="1" ht="17.100000000000001" customHeight="1">
      <c r="A1498" s="1316" t="s">
        <v>1886</v>
      </c>
      <c r="B1498" s="1317"/>
      <c r="C1498" s="1381" t="s">
        <v>1529</v>
      </c>
      <c r="D1498" s="1382"/>
      <c r="E1498" s="683">
        <v>1E-4</v>
      </c>
      <c r="F1498" s="676" t="s">
        <v>850</v>
      </c>
      <c r="G1498" s="670" t="e">
        <f>$H$484</f>
        <v>#REF!</v>
      </c>
      <c r="H1498" s="670" t="e">
        <f>INT(E1498*G1498)</f>
        <v>#REF!</v>
      </c>
      <c r="I1498" s="670">
        <f>$J$484</f>
        <v>73989</v>
      </c>
      <c r="J1498" s="670">
        <f t="shared" si="226"/>
        <v>7</v>
      </c>
      <c r="K1498" s="670">
        <f>$L$484</f>
        <v>11220</v>
      </c>
      <c r="L1498" s="670">
        <f>INT(E1498*K1498)</f>
        <v>1</v>
      </c>
      <c r="M1498" s="670" t="e">
        <f t="shared" si="227"/>
        <v>#REF!</v>
      </c>
      <c r="N1498" s="670" t="e">
        <f t="shared" si="227"/>
        <v>#REF!</v>
      </c>
      <c r="O1498" s="671">
        <f>$A$479</f>
        <v>130</v>
      </c>
      <c r="P1498" s="672" t="s">
        <v>1915</v>
      </c>
      <c r="Q1498" s="688">
        <v>80</v>
      </c>
      <c r="R1498" s="688">
        <f>Q1498</f>
        <v>80</v>
      </c>
      <c r="S1498" s="688">
        <v>0</v>
      </c>
      <c r="T1498" s="688"/>
      <c r="U1498" s="688"/>
      <c r="V1498" s="688"/>
    </row>
    <row r="1499" spans="1:22" s="688" customFormat="1" ht="17.100000000000001" customHeight="1">
      <c r="A1499" s="1316" t="s">
        <v>1887</v>
      </c>
      <c r="B1499" s="1317"/>
      <c r="C1499" s="1338" t="s">
        <v>1841</v>
      </c>
      <c r="D1499" s="1378"/>
      <c r="E1499" s="675">
        <v>0.36</v>
      </c>
      <c r="F1499" s="676" t="s">
        <v>645</v>
      </c>
      <c r="G1499" s="778" t="e">
        <f>$H$726</f>
        <v>#REF!</v>
      </c>
      <c r="H1499" s="670" t="e">
        <f>INT(E1499*G1499)</f>
        <v>#REF!</v>
      </c>
      <c r="I1499" s="778">
        <f>$J$726</f>
        <v>34461</v>
      </c>
      <c r="J1499" s="670">
        <f t="shared" si="226"/>
        <v>12405</v>
      </c>
      <c r="K1499" s="670"/>
      <c r="L1499" s="670"/>
      <c r="M1499" s="670" t="e">
        <f t="shared" si="227"/>
        <v>#REF!</v>
      </c>
      <c r="N1499" s="670" t="e">
        <f t="shared" si="227"/>
        <v>#REF!</v>
      </c>
      <c r="O1499" s="671">
        <f>$A$721</f>
        <v>163</v>
      </c>
      <c r="P1499" s="672"/>
      <c r="Q1499" s="688">
        <f>Q1498</f>
        <v>80</v>
      </c>
      <c r="R1499" s="688">
        <f>R1498</f>
        <v>80</v>
      </c>
      <c r="S1499" s="688">
        <v>0</v>
      </c>
      <c r="T1499" s="690">
        <f t="shared" ref="T1499:T1507" si="228">ROUND(S1499/R1499,4)</f>
        <v>0</v>
      </c>
      <c r="U1499" s="665"/>
      <c r="V1499" s="665"/>
    </row>
    <row r="1500" spans="1:22" s="688" customFormat="1" ht="17.100000000000001" customHeight="1">
      <c r="A1500" s="1318" t="s">
        <v>1320</v>
      </c>
      <c r="B1500" s="1319"/>
      <c r="C1500" s="1371"/>
      <c r="D1500" s="1372"/>
      <c r="E1500" s="677"/>
      <c r="F1500" s="676"/>
      <c r="G1500" s="670"/>
      <c r="H1500" s="670" t="e">
        <f>SUM(H1493:H1499)</f>
        <v>#REF!</v>
      </c>
      <c r="I1500" s="670"/>
      <c r="J1500" s="670" t="e">
        <f>SUM(J1493:J1499)</f>
        <v>#REF!</v>
      </c>
      <c r="K1500" s="670"/>
      <c r="L1500" s="670" t="e">
        <f>SUM(L1493:L1499)</f>
        <v>#REF!</v>
      </c>
      <c r="M1500" s="670"/>
      <c r="N1500" s="670" t="e">
        <f>SUM(N1493:N1499)</f>
        <v>#REF!</v>
      </c>
      <c r="O1500" s="671"/>
      <c r="P1500" s="672"/>
      <c r="Q1500" s="688">
        <f>Q1499</f>
        <v>80</v>
      </c>
      <c r="R1500" s="688">
        <f>R1499</f>
        <v>80</v>
      </c>
      <c r="S1500" s="688">
        <v>8</v>
      </c>
      <c r="T1500" s="690">
        <f t="shared" si="228"/>
        <v>0.1</v>
      </c>
      <c r="U1500" s="665"/>
      <c r="V1500" s="665"/>
    </row>
    <row r="1501" spans="1:22" s="665" customFormat="1" ht="17.100000000000001" customHeight="1">
      <c r="A1501" s="668">
        <f>A1492+1</f>
        <v>268</v>
      </c>
      <c r="B1501" s="1320" t="s">
        <v>1898</v>
      </c>
      <c r="C1501" s="1320"/>
      <c r="D1501" s="1320" t="s">
        <v>1916</v>
      </c>
      <c r="E1501" s="1320"/>
      <c r="F1501" s="669" t="s">
        <v>272</v>
      </c>
      <c r="G1501" s="670"/>
      <c r="H1501" s="670"/>
      <c r="I1501" s="670"/>
      <c r="J1501" s="670"/>
      <c r="K1501" s="670"/>
      <c r="L1501" s="670"/>
      <c r="M1501" s="670"/>
      <c r="N1501" s="670"/>
      <c r="O1501" s="699"/>
      <c r="P1501" s="672"/>
      <c r="Q1501" s="688">
        <f>Q1499</f>
        <v>80</v>
      </c>
      <c r="R1501" s="688">
        <f>R1499</f>
        <v>80</v>
      </c>
      <c r="S1501" s="688">
        <v>8</v>
      </c>
      <c r="T1501" s="690">
        <f t="shared" si="228"/>
        <v>0.1</v>
      </c>
    </row>
    <row r="1502" spans="1:22" s="665" customFormat="1" ht="17.100000000000001" customHeight="1">
      <c r="A1502" s="1316" t="s">
        <v>918</v>
      </c>
      <c r="B1502" s="1317"/>
      <c r="C1502" s="1316" t="s">
        <v>1901</v>
      </c>
      <c r="D1502" s="1317"/>
      <c r="E1502" s="675">
        <v>1.03</v>
      </c>
      <c r="F1502" s="676" t="s">
        <v>30</v>
      </c>
      <c r="G1502" s="778" t="e">
        <f>#REF!</f>
        <v>#REF!</v>
      </c>
      <c r="H1502" s="670" t="e">
        <f>INT(E1502*G1502)</f>
        <v>#REF!</v>
      </c>
      <c r="I1502" s="670"/>
      <c r="J1502" s="670"/>
      <c r="K1502" s="670">
        <f>[53]운반공!$BY$617</f>
        <v>930</v>
      </c>
      <c r="L1502" s="670">
        <f>INT(E1502*K1502)</f>
        <v>957</v>
      </c>
      <c r="M1502" s="670" t="e">
        <f t="shared" ref="M1502:N1508" si="229">G1502+I1502+K1502</f>
        <v>#REF!</v>
      </c>
      <c r="N1502" s="670" t="e">
        <f t="shared" si="229"/>
        <v>#REF!</v>
      </c>
      <c r="O1502" s="671"/>
      <c r="P1502" s="672"/>
      <c r="Q1502" s="688">
        <f t="shared" ref="Q1502:R1506" si="230">Q1501</f>
        <v>80</v>
      </c>
      <c r="R1502" s="688">
        <f t="shared" si="230"/>
        <v>80</v>
      </c>
      <c r="S1502" s="728">
        <v>1</v>
      </c>
      <c r="T1502" s="690">
        <f t="shared" si="228"/>
        <v>1.2500000000000001E-2</v>
      </c>
    </row>
    <row r="1503" spans="1:22" s="665" customFormat="1" ht="17.100000000000001" customHeight="1">
      <c r="A1503" s="1316" t="s">
        <v>248</v>
      </c>
      <c r="B1503" s="1317"/>
      <c r="C1503" s="1338"/>
      <c r="D1503" s="1317"/>
      <c r="E1503" s="683">
        <f>T1472</f>
        <v>1.18E-2</v>
      </c>
      <c r="F1503" s="676" t="s">
        <v>366</v>
      </c>
      <c r="G1503" s="670"/>
      <c r="H1503" s="670"/>
      <c r="I1503" s="670">
        <f>[53]노임단가!$T$5</f>
        <v>172068</v>
      </c>
      <c r="J1503" s="670">
        <f t="shared" ref="J1503:J1508" si="231">INT(E1503*I1503)</f>
        <v>2030</v>
      </c>
      <c r="K1503" s="670"/>
      <c r="L1503" s="670"/>
      <c r="M1503" s="670">
        <f t="shared" si="229"/>
        <v>172068</v>
      </c>
      <c r="N1503" s="670">
        <f t="shared" si="229"/>
        <v>2030</v>
      </c>
      <c r="O1503" s="671"/>
      <c r="P1503" s="672"/>
      <c r="Q1503" s="688">
        <f t="shared" si="230"/>
        <v>80</v>
      </c>
      <c r="R1503" s="688">
        <f t="shared" si="230"/>
        <v>80</v>
      </c>
      <c r="S1503" s="728">
        <v>2</v>
      </c>
      <c r="T1503" s="690">
        <f t="shared" si="228"/>
        <v>2.5000000000000001E-2</v>
      </c>
    </row>
    <row r="1504" spans="1:22" s="665" customFormat="1" ht="17.100000000000001" customHeight="1">
      <c r="A1504" s="1316" t="s">
        <v>628</v>
      </c>
      <c r="B1504" s="1317"/>
      <c r="C1504" s="1381"/>
      <c r="D1504" s="1317"/>
      <c r="E1504" s="683">
        <f>T1473</f>
        <v>2.35E-2</v>
      </c>
      <c r="F1504" s="676" t="s">
        <v>366</v>
      </c>
      <c r="G1504" s="670"/>
      <c r="H1504" s="670"/>
      <c r="I1504" s="670">
        <f>[53]노임단가!$T$6</f>
        <v>226122</v>
      </c>
      <c r="J1504" s="670">
        <f t="shared" si="231"/>
        <v>5313</v>
      </c>
      <c r="K1504" s="670"/>
      <c r="L1504" s="670"/>
      <c r="M1504" s="670">
        <f t="shared" si="229"/>
        <v>226122</v>
      </c>
      <c r="N1504" s="670">
        <f t="shared" si="229"/>
        <v>5313</v>
      </c>
      <c r="O1504" s="671"/>
      <c r="P1504" s="672"/>
      <c r="Q1504" s="688">
        <f t="shared" si="230"/>
        <v>80</v>
      </c>
      <c r="R1504" s="688">
        <f t="shared" si="230"/>
        <v>80</v>
      </c>
      <c r="S1504" s="728"/>
      <c r="T1504" s="690">
        <f t="shared" si="228"/>
        <v>0</v>
      </c>
    </row>
    <row r="1505" spans="1:22" s="665" customFormat="1" ht="17.100000000000001" customHeight="1">
      <c r="A1505" s="1316" t="s">
        <v>481</v>
      </c>
      <c r="B1505" s="1317"/>
      <c r="C1505" s="786" t="s">
        <v>395</v>
      </c>
      <c r="D1505" s="669"/>
      <c r="E1505" s="683">
        <f>T1474</f>
        <v>9.4100000000000003E-2</v>
      </c>
      <c r="F1505" s="676" t="s">
        <v>418</v>
      </c>
      <c r="G1505" s="670" t="e">
        <f>#REF!</f>
        <v>#REF!</v>
      </c>
      <c r="H1505" s="670" t="e">
        <f>INT(E1505*G1505)</f>
        <v>#REF!</v>
      </c>
      <c r="I1505" s="670" t="e">
        <f>#REF!</f>
        <v>#REF!</v>
      </c>
      <c r="J1505" s="670" t="e">
        <f t="shared" si="231"/>
        <v>#REF!</v>
      </c>
      <c r="K1505" s="670" t="e">
        <f>#REF!</f>
        <v>#REF!</v>
      </c>
      <c r="L1505" s="670" t="e">
        <f>INT(E1505*K1505)</f>
        <v>#REF!</v>
      </c>
      <c r="M1505" s="670" t="e">
        <f t="shared" si="229"/>
        <v>#REF!</v>
      </c>
      <c r="N1505" s="670" t="e">
        <f t="shared" si="229"/>
        <v>#REF!</v>
      </c>
      <c r="O1505" s="671"/>
      <c r="P1505" s="672"/>
      <c r="Q1505" s="688">
        <f t="shared" si="230"/>
        <v>80</v>
      </c>
      <c r="R1505" s="688">
        <f t="shared" si="230"/>
        <v>80</v>
      </c>
      <c r="S1505" s="728">
        <f>0.18*0.2*0.004</f>
        <v>1.44E-4</v>
      </c>
      <c r="T1505" s="690">
        <f t="shared" si="228"/>
        <v>0</v>
      </c>
    </row>
    <row r="1506" spans="1:22" s="665" customFormat="1" ht="17.100000000000001" customHeight="1">
      <c r="A1506" s="1316" t="s">
        <v>1884</v>
      </c>
      <c r="B1506" s="1317"/>
      <c r="C1506" s="1338" t="s">
        <v>1885</v>
      </c>
      <c r="D1506" s="1317"/>
      <c r="E1506" s="701">
        <f>[53]구조물공!$BE$129</f>
        <v>4.7E-2</v>
      </c>
      <c r="F1506" s="676" t="s">
        <v>850</v>
      </c>
      <c r="G1506" s="670" t="e">
        <f>$H$552</f>
        <v>#REF!</v>
      </c>
      <c r="H1506" s="670" t="e">
        <f>INT(E1506*G1506)</f>
        <v>#REF!</v>
      </c>
      <c r="I1506" s="670">
        <f>$J$552</f>
        <v>373604</v>
      </c>
      <c r="J1506" s="670">
        <f t="shared" si="231"/>
        <v>17559</v>
      </c>
      <c r="K1506" s="670">
        <f>$L$552</f>
        <v>5742</v>
      </c>
      <c r="L1506" s="670">
        <f>INT(E1506*K1506)</f>
        <v>269</v>
      </c>
      <c r="M1506" s="670" t="e">
        <f t="shared" si="229"/>
        <v>#REF!</v>
      </c>
      <c r="N1506" s="670" t="e">
        <f t="shared" si="229"/>
        <v>#REF!</v>
      </c>
      <c r="O1506" s="671">
        <f>$A$545</f>
        <v>139</v>
      </c>
      <c r="P1506" s="672"/>
      <c r="Q1506" s="688">
        <f t="shared" si="230"/>
        <v>80</v>
      </c>
      <c r="R1506" s="688">
        <f t="shared" si="230"/>
        <v>80</v>
      </c>
      <c r="S1506" s="728"/>
      <c r="T1506" s="690">
        <f t="shared" si="228"/>
        <v>0</v>
      </c>
    </row>
    <row r="1507" spans="1:22" s="665" customFormat="1" ht="17.100000000000001" customHeight="1">
      <c r="A1507" s="1316" t="s">
        <v>1886</v>
      </c>
      <c r="B1507" s="1317"/>
      <c r="C1507" s="1381" t="s">
        <v>1529</v>
      </c>
      <c r="D1507" s="1382"/>
      <c r="E1507" s="683">
        <v>9.0000000000000006E-5</v>
      </c>
      <c r="F1507" s="676" t="s">
        <v>850</v>
      </c>
      <c r="G1507" s="670" t="e">
        <f>$H$484</f>
        <v>#REF!</v>
      </c>
      <c r="H1507" s="670" t="e">
        <f>INT(E1507*G1507)</f>
        <v>#REF!</v>
      </c>
      <c r="I1507" s="670">
        <f>$J$484</f>
        <v>73989</v>
      </c>
      <c r="J1507" s="670">
        <f t="shared" si="231"/>
        <v>6</v>
      </c>
      <c r="K1507" s="670">
        <f>$L$484</f>
        <v>11220</v>
      </c>
      <c r="L1507" s="670">
        <f>INT(E1507*K1507)</f>
        <v>1</v>
      </c>
      <c r="M1507" s="670" t="e">
        <f t="shared" si="229"/>
        <v>#REF!</v>
      </c>
      <c r="N1507" s="670" t="e">
        <f t="shared" si="229"/>
        <v>#REF!</v>
      </c>
      <c r="O1507" s="671">
        <f>$A$479</f>
        <v>130</v>
      </c>
      <c r="P1507" s="672"/>
      <c r="S1507" s="665">
        <f>S1506/R1506</f>
        <v>0</v>
      </c>
      <c r="T1507" s="690" t="e">
        <f t="shared" si="228"/>
        <v>#DIV/0!</v>
      </c>
    </row>
    <row r="1508" spans="1:22" s="665" customFormat="1" ht="17.100000000000001" customHeight="1">
      <c r="A1508" s="1316" t="s">
        <v>1887</v>
      </c>
      <c r="B1508" s="1317"/>
      <c r="C1508" s="1338" t="s">
        <v>1841</v>
      </c>
      <c r="D1508" s="1378"/>
      <c r="E1508" s="675">
        <v>0.18</v>
      </c>
      <c r="F1508" s="676" t="s">
        <v>645</v>
      </c>
      <c r="G1508" s="778" t="e">
        <f>$H$726</f>
        <v>#REF!</v>
      </c>
      <c r="H1508" s="670" t="e">
        <f>INT(E1508*G1508)</f>
        <v>#REF!</v>
      </c>
      <c r="I1508" s="778">
        <f>$J$726</f>
        <v>34461</v>
      </c>
      <c r="J1508" s="670">
        <f t="shared" si="231"/>
        <v>6202</v>
      </c>
      <c r="K1508" s="670"/>
      <c r="L1508" s="670"/>
      <c r="M1508" s="670" t="e">
        <f t="shared" si="229"/>
        <v>#REF!</v>
      </c>
      <c r="N1508" s="670" t="e">
        <f t="shared" si="229"/>
        <v>#REF!</v>
      </c>
      <c r="O1508" s="671">
        <f>$A$721</f>
        <v>163</v>
      </c>
      <c r="P1508" s="672" t="s">
        <v>1549</v>
      </c>
      <c r="Q1508" s="687" t="s">
        <v>1423</v>
      </c>
      <c r="R1508" s="688" t="s">
        <v>1424</v>
      </c>
      <c r="S1508" s="688" t="s">
        <v>1425</v>
      </c>
      <c r="T1508" s="688" t="s">
        <v>1426</v>
      </c>
    </row>
    <row r="1509" spans="1:22" s="665" customFormat="1" ht="17.100000000000001" customHeight="1">
      <c r="A1509" s="1318" t="s">
        <v>1320</v>
      </c>
      <c r="B1509" s="1319"/>
      <c r="C1509" s="1371"/>
      <c r="D1509" s="1372"/>
      <c r="E1509" s="677"/>
      <c r="F1509" s="676"/>
      <c r="G1509" s="670"/>
      <c r="H1509" s="670" t="e">
        <f>SUM(H1502:H1508)</f>
        <v>#REF!</v>
      </c>
      <c r="I1509" s="670"/>
      <c r="J1509" s="670" t="e">
        <f>SUM(J1502:J1508)</f>
        <v>#REF!</v>
      </c>
      <c r="K1509" s="670"/>
      <c r="L1509" s="670" t="e">
        <f>SUM(L1502:L1508)</f>
        <v>#REF!</v>
      </c>
      <c r="M1509" s="670"/>
      <c r="N1509" s="670" t="e">
        <f>SUM(N1502:N1508)</f>
        <v>#REF!</v>
      </c>
      <c r="O1509" s="671"/>
      <c r="P1509" s="672" t="s">
        <v>1915</v>
      </c>
      <c r="Q1509" s="688">
        <v>55</v>
      </c>
      <c r="R1509" s="688">
        <f>Q1509</f>
        <v>55</v>
      </c>
      <c r="S1509" s="688">
        <v>0</v>
      </c>
      <c r="T1509" s="690">
        <f t="shared" ref="T1509:T1518" si="232">ROUND(S1509/R1509,4)</f>
        <v>0</v>
      </c>
      <c r="U1509" s="688"/>
      <c r="V1509" s="688"/>
    </row>
    <row r="1510" spans="1:22" s="688" customFormat="1" ht="17.100000000000001" customHeight="1">
      <c r="A1510" s="668">
        <f>A1501+1</f>
        <v>269</v>
      </c>
      <c r="B1510" s="1320" t="s">
        <v>1903</v>
      </c>
      <c r="C1510" s="1320"/>
      <c r="D1510" s="1320" t="s">
        <v>1917</v>
      </c>
      <c r="E1510" s="1320"/>
      <c r="F1510" s="669" t="s">
        <v>272</v>
      </c>
      <c r="G1510" s="670"/>
      <c r="H1510" s="670"/>
      <c r="I1510" s="670"/>
      <c r="J1510" s="670"/>
      <c r="K1510" s="670"/>
      <c r="L1510" s="670"/>
      <c r="M1510" s="670"/>
      <c r="N1510" s="670"/>
      <c r="O1510" s="671"/>
      <c r="P1510" s="672"/>
      <c r="Q1510" s="688">
        <f>Q1509</f>
        <v>55</v>
      </c>
      <c r="R1510" s="688">
        <f>R1509</f>
        <v>55</v>
      </c>
      <c r="S1510" s="688">
        <v>0</v>
      </c>
      <c r="T1510" s="690">
        <f t="shared" si="232"/>
        <v>0</v>
      </c>
      <c r="U1510" s="665"/>
      <c r="V1510" s="665"/>
    </row>
    <row r="1511" spans="1:22" s="688" customFormat="1" ht="17.100000000000001" customHeight="1">
      <c r="A1511" s="1316" t="s">
        <v>921</v>
      </c>
      <c r="B1511" s="1317"/>
      <c r="C1511" s="1316" t="s">
        <v>922</v>
      </c>
      <c r="D1511" s="1317"/>
      <c r="E1511" s="675">
        <v>1.03</v>
      </c>
      <c r="F1511" s="676" t="s">
        <v>30</v>
      </c>
      <c r="G1511" s="778" t="e">
        <f>#REF!</f>
        <v>#REF!</v>
      </c>
      <c r="H1511" s="670" t="e">
        <f>INT(E1511*G1511)</f>
        <v>#REF!</v>
      </c>
      <c r="I1511" s="670"/>
      <c r="J1511" s="670"/>
      <c r="K1511" s="670">
        <f>[53]운반공!$BY$618</f>
        <v>1998</v>
      </c>
      <c r="L1511" s="670">
        <f>INT(E1511*K1511)</f>
        <v>2057</v>
      </c>
      <c r="M1511" s="670" t="e">
        <f>G1511+I1511+K1511</f>
        <v>#REF!</v>
      </c>
      <c r="N1511" s="670" t="e">
        <f>H1511+J1511+L1511</f>
        <v>#REF!</v>
      </c>
      <c r="O1511" s="671"/>
      <c r="P1511" s="672"/>
      <c r="Q1511" s="688">
        <f>Q1510</f>
        <v>55</v>
      </c>
      <c r="R1511" s="688">
        <f>R1510</f>
        <v>55</v>
      </c>
      <c r="S1511" s="688">
        <v>8</v>
      </c>
      <c r="T1511" s="690">
        <f t="shared" si="232"/>
        <v>0.14549999999999999</v>
      </c>
      <c r="U1511" s="665"/>
      <c r="V1511" s="665"/>
    </row>
    <row r="1512" spans="1:22" s="665" customFormat="1" ht="17.100000000000001" customHeight="1">
      <c r="A1512" s="1316" t="s">
        <v>248</v>
      </c>
      <c r="B1512" s="1317"/>
      <c r="C1512" s="1338"/>
      <c r="D1512" s="1317"/>
      <c r="E1512" s="683">
        <f>T1481</f>
        <v>1.67E-2</v>
      </c>
      <c r="F1512" s="676" t="s">
        <v>366</v>
      </c>
      <c r="G1512" s="670"/>
      <c r="H1512" s="670"/>
      <c r="I1512" s="670">
        <f>[53]노임단가!$T$5</f>
        <v>172068</v>
      </c>
      <c r="J1512" s="670">
        <f t="shared" ref="J1512:J1517" si="233">INT(E1512*I1512)</f>
        <v>2873</v>
      </c>
      <c r="K1512" s="670"/>
      <c r="L1512" s="670"/>
      <c r="M1512" s="670">
        <f t="shared" ref="M1512:N1517" si="234">G1512+I1512+K1512</f>
        <v>172068</v>
      </c>
      <c r="N1512" s="670">
        <f t="shared" si="234"/>
        <v>2873</v>
      </c>
      <c r="O1512" s="671"/>
      <c r="P1512" s="672"/>
      <c r="Q1512" s="688">
        <f>Q1510</f>
        <v>55</v>
      </c>
      <c r="R1512" s="688">
        <f>R1510</f>
        <v>55</v>
      </c>
      <c r="S1512" s="688">
        <v>8</v>
      </c>
      <c r="T1512" s="690">
        <f t="shared" si="232"/>
        <v>0.14549999999999999</v>
      </c>
    </row>
    <row r="1513" spans="1:22" s="665" customFormat="1" ht="17.100000000000001" customHeight="1">
      <c r="A1513" s="1316" t="s">
        <v>628</v>
      </c>
      <c r="B1513" s="1317"/>
      <c r="C1513" s="1381"/>
      <c r="D1513" s="1317"/>
      <c r="E1513" s="683">
        <f>T1482</f>
        <v>3.3300000000000003E-2</v>
      </c>
      <c r="F1513" s="676" t="s">
        <v>366</v>
      </c>
      <c r="G1513" s="670"/>
      <c r="H1513" s="670"/>
      <c r="I1513" s="670">
        <f>[53]노임단가!$T$6</f>
        <v>226122</v>
      </c>
      <c r="J1513" s="670">
        <f t="shared" si="233"/>
        <v>7529</v>
      </c>
      <c r="K1513" s="670"/>
      <c r="L1513" s="670"/>
      <c r="M1513" s="670">
        <f t="shared" si="234"/>
        <v>226122</v>
      </c>
      <c r="N1513" s="670">
        <f t="shared" si="234"/>
        <v>7529</v>
      </c>
      <c r="O1513" s="671"/>
      <c r="P1513" s="672"/>
      <c r="Q1513" s="688">
        <f t="shared" ref="Q1513:R1517" si="235">Q1512</f>
        <v>55</v>
      </c>
      <c r="R1513" s="688">
        <f t="shared" si="235"/>
        <v>55</v>
      </c>
      <c r="S1513" s="728">
        <v>1</v>
      </c>
      <c r="T1513" s="690">
        <f t="shared" si="232"/>
        <v>1.8200000000000001E-2</v>
      </c>
    </row>
    <row r="1514" spans="1:22" s="665" customFormat="1" ht="17.100000000000001" customHeight="1">
      <c r="A1514" s="1316" t="s">
        <v>481</v>
      </c>
      <c r="B1514" s="1317"/>
      <c r="C1514" s="786" t="s">
        <v>395</v>
      </c>
      <c r="D1514" s="669"/>
      <c r="E1514" s="683">
        <f>T1483</f>
        <v>0.1333</v>
      </c>
      <c r="F1514" s="676" t="s">
        <v>418</v>
      </c>
      <c r="G1514" s="670" t="e">
        <f>#REF!</f>
        <v>#REF!</v>
      </c>
      <c r="H1514" s="670" t="e">
        <f>INT(E1514*G1514)</f>
        <v>#REF!</v>
      </c>
      <c r="I1514" s="670" t="e">
        <f>#REF!</f>
        <v>#REF!</v>
      </c>
      <c r="J1514" s="670" t="e">
        <f t="shared" si="233"/>
        <v>#REF!</v>
      </c>
      <c r="K1514" s="670" t="e">
        <f>#REF!</f>
        <v>#REF!</v>
      </c>
      <c r="L1514" s="670" t="e">
        <f>INT(E1514*K1514)</f>
        <v>#REF!</v>
      </c>
      <c r="M1514" s="670" t="e">
        <f t="shared" si="234"/>
        <v>#REF!</v>
      </c>
      <c r="N1514" s="670" t="e">
        <f t="shared" si="234"/>
        <v>#REF!</v>
      </c>
      <c r="O1514" s="671"/>
      <c r="P1514" s="672"/>
      <c r="Q1514" s="688">
        <f t="shared" si="235"/>
        <v>55</v>
      </c>
      <c r="R1514" s="688">
        <f t="shared" si="235"/>
        <v>55</v>
      </c>
      <c r="S1514" s="728">
        <v>2</v>
      </c>
      <c r="T1514" s="690">
        <f t="shared" si="232"/>
        <v>3.6400000000000002E-2</v>
      </c>
    </row>
    <row r="1515" spans="1:22" s="665" customFormat="1" ht="17.100000000000001" customHeight="1">
      <c r="A1515" s="1316" t="s">
        <v>1884</v>
      </c>
      <c r="B1515" s="1317"/>
      <c r="C1515" s="1338" t="s">
        <v>1885</v>
      </c>
      <c r="D1515" s="1317"/>
      <c r="E1515" s="701">
        <f>[53]구조물공!$BE$130</f>
        <v>5.3999999999999999E-2</v>
      </c>
      <c r="F1515" s="676" t="s">
        <v>850</v>
      </c>
      <c r="G1515" s="670" t="e">
        <f>$H$552</f>
        <v>#REF!</v>
      </c>
      <c r="H1515" s="670" t="e">
        <f>INT(E1515*G1515)</f>
        <v>#REF!</v>
      </c>
      <c r="I1515" s="670">
        <f>$J$552</f>
        <v>373604</v>
      </c>
      <c r="J1515" s="670">
        <f t="shared" si="233"/>
        <v>20174</v>
      </c>
      <c r="K1515" s="670">
        <f>$L$552</f>
        <v>5742</v>
      </c>
      <c r="L1515" s="670">
        <f>INT(E1515*K1515)</f>
        <v>310</v>
      </c>
      <c r="M1515" s="670" t="e">
        <f t="shared" si="234"/>
        <v>#REF!</v>
      </c>
      <c r="N1515" s="670" t="e">
        <f t="shared" si="234"/>
        <v>#REF!</v>
      </c>
      <c r="O1515" s="671">
        <f>$A$545</f>
        <v>139</v>
      </c>
      <c r="P1515" s="672"/>
      <c r="Q1515" s="688">
        <f t="shared" si="235"/>
        <v>55</v>
      </c>
      <c r="R1515" s="688">
        <f t="shared" si="235"/>
        <v>55</v>
      </c>
      <c r="S1515" s="728"/>
      <c r="T1515" s="690">
        <f t="shared" si="232"/>
        <v>0</v>
      </c>
    </row>
    <row r="1516" spans="1:22" s="665" customFormat="1" ht="17.100000000000001" customHeight="1">
      <c r="A1516" s="1316" t="s">
        <v>1886</v>
      </c>
      <c r="B1516" s="1317"/>
      <c r="C1516" s="1381" t="s">
        <v>1529</v>
      </c>
      <c r="D1516" s="1382"/>
      <c r="E1516" s="683">
        <v>1.4759999999999998E-4</v>
      </c>
      <c r="F1516" s="676" t="s">
        <v>850</v>
      </c>
      <c r="G1516" s="670" t="e">
        <f>$H$484</f>
        <v>#REF!</v>
      </c>
      <c r="H1516" s="670" t="e">
        <f>INT(E1516*G1516)</f>
        <v>#REF!</v>
      </c>
      <c r="I1516" s="670">
        <f>$J$484</f>
        <v>73989</v>
      </c>
      <c r="J1516" s="670">
        <f t="shared" si="233"/>
        <v>10</v>
      </c>
      <c r="K1516" s="670">
        <f>$L$484</f>
        <v>11220</v>
      </c>
      <c r="L1516" s="670">
        <f>INT(E1516*K1516)</f>
        <v>1</v>
      </c>
      <c r="M1516" s="670" t="e">
        <f t="shared" si="234"/>
        <v>#REF!</v>
      </c>
      <c r="N1516" s="670" t="e">
        <f t="shared" si="234"/>
        <v>#REF!</v>
      </c>
      <c r="O1516" s="671">
        <f>$A$479</f>
        <v>130</v>
      </c>
      <c r="P1516" s="672"/>
      <c r="Q1516" s="688">
        <f t="shared" si="235"/>
        <v>55</v>
      </c>
      <c r="R1516" s="688">
        <f t="shared" si="235"/>
        <v>55</v>
      </c>
      <c r="S1516" s="728">
        <f>0.2*0.25*0.004</f>
        <v>2.0000000000000001E-4</v>
      </c>
      <c r="T1516" s="690">
        <f t="shared" si="232"/>
        <v>0</v>
      </c>
    </row>
    <row r="1517" spans="1:22" s="665" customFormat="1" ht="17.100000000000001" customHeight="1">
      <c r="A1517" s="1316" t="s">
        <v>1887</v>
      </c>
      <c r="B1517" s="1317"/>
      <c r="C1517" s="1338" t="s">
        <v>1841</v>
      </c>
      <c r="D1517" s="1378"/>
      <c r="E1517" s="675">
        <v>0.36</v>
      </c>
      <c r="F1517" s="676" t="s">
        <v>645</v>
      </c>
      <c r="G1517" s="778" t="e">
        <f>$H$726</f>
        <v>#REF!</v>
      </c>
      <c r="H1517" s="670" t="e">
        <f>INT(E1517*G1517)</f>
        <v>#REF!</v>
      </c>
      <c r="I1517" s="778">
        <f>$J$726</f>
        <v>34461</v>
      </c>
      <c r="J1517" s="670">
        <f t="shared" si="233"/>
        <v>12405</v>
      </c>
      <c r="K1517" s="670"/>
      <c r="L1517" s="670"/>
      <c r="M1517" s="670" t="e">
        <f t="shared" si="234"/>
        <v>#REF!</v>
      </c>
      <c r="N1517" s="670" t="e">
        <f t="shared" si="234"/>
        <v>#REF!</v>
      </c>
      <c r="O1517" s="671">
        <f>$A$721</f>
        <v>163</v>
      </c>
      <c r="P1517" s="672"/>
      <c r="Q1517" s="688">
        <f t="shared" si="235"/>
        <v>55</v>
      </c>
      <c r="R1517" s="688">
        <f t="shared" si="235"/>
        <v>55</v>
      </c>
      <c r="S1517" s="728"/>
      <c r="T1517" s="690">
        <f t="shared" si="232"/>
        <v>0</v>
      </c>
    </row>
    <row r="1518" spans="1:22" s="665" customFormat="1" ht="17.100000000000001" customHeight="1">
      <c r="A1518" s="1318" t="s">
        <v>1320</v>
      </c>
      <c r="B1518" s="1319"/>
      <c r="C1518" s="1371"/>
      <c r="D1518" s="1372"/>
      <c r="E1518" s="677"/>
      <c r="F1518" s="676"/>
      <c r="G1518" s="670"/>
      <c r="H1518" s="670" t="e">
        <f>SUM(H1511:H1517)</f>
        <v>#REF!</v>
      </c>
      <c r="I1518" s="670"/>
      <c r="J1518" s="670" t="e">
        <f>SUM(J1511:J1517)</f>
        <v>#REF!</v>
      </c>
      <c r="K1518" s="670"/>
      <c r="L1518" s="670" t="e">
        <f>SUM(L1511:L1517)</f>
        <v>#REF!</v>
      </c>
      <c r="M1518" s="670"/>
      <c r="N1518" s="670" t="e">
        <f>SUM(N1511:N1517)</f>
        <v>#REF!</v>
      </c>
      <c r="O1518" s="671"/>
      <c r="P1518" s="672"/>
      <c r="T1518" s="690" t="e">
        <f t="shared" si="232"/>
        <v>#DIV/0!</v>
      </c>
    </row>
    <row r="1519" spans="1:22" s="665" customFormat="1" ht="17.100000000000001" customHeight="1">
      <c r="A1519" s="668">
        <f>A1510+1</f>
        <v>270</v>
      </c>
      <c r="B1519" s="1320" t="s">
        <v>1903</v>
      </c>
      <c r="C1519" s="1320"/>
      <c r="D1519" s="1320" t="s">
        <v>1918</v>
      </c>
      <c r="E1519" s="1320"/>
      <c r="F1519" s="669" t="s">
        <v>272</v>
      </c>
      <c r="G1519" s="670"/>
      <c r="H1519" s="670"/>
      <c r="I1519" s="670"/>
      <c r="J1519" s="670"/>
      <c r="K1519" s="670"/>
      <c r="L1519" s="670"/>
      <c r="M1519" s="670"/>
      <c r="N1519" s="670"/>
      <c r="O1519" s="671"/>
      <c r="P1519" s="672" t="s">
        <v>1549</v>
      </c>
      <c r="Q1519" s="687" t="s">
        <v>1423</v>
      </c>
      <c r="R1519" s="688" t="s">
        <v>1876</v>
      </c>
      <c r="S1519" s="688" t="s">
        <v>1425</v>
      </c>
      <c r="T1519" s="688" t="s">
        <v>1426</v>
      </c>
    </row>
    <row r="1520" spans="1:22" s="665" customFormat="1" ht="17.100000000000001" customHeight="1">
      <c r="A1520" s="1316" t="s">
        <v>921</v>
      </c>
      <c r="B1520" s="1317"/>
      <c r="C1520" s="1316" t="s">
        <v>923</v>
      </c>
      <c r="D1520" s="1317"/>
      <c r="E1520" s="675">
        <v>1.03</v>
      </c>
      <c r="F1520" s="676" t="s">
        <v>30</v>
      </c>
      <c r="G1520" s="778" t="e">
        <f>#REF!</f>
        <v>#REF!</v>
      </c>
      <c r="H1520" s="670" t="e">
        <f>INT(E1520*G1520)</f>
        <v>#REF!</v>
      </c>
      <c r="I1520" s="670"/>
      <c r="J1520" s="670"/>
      <c r="K1520" s="670">
        <f>[53]운반공!$BY$619</f>
        <v>2424</v>
      </c>
      <c r="L1520" s="670">
        <f>INT(E1520*K1520)</f>
        <v>2496</v>
      </c>
      <c r="M1520" s="670" t="e">
        <f>G1520+I1520+K1520</f>
        <v>#REF!</v>
      </c>
      <c r="N1520" s="670" t="e">
        <f>H1520+J1520+L1520</f>
        <v>#REF!</v>
      </c>
      <c r="O1520" s="671"/>
      <c r="P1520" s="672" t="s">
        <v>1915</v>
      </c>
      <c r="Q1520" s="688">
        <v>40</v>
      </c>
      <c r="R1520" s="688">
        <f>Q1520</f>
        <v>40</v>
      </c>
      <c r="S1520" s="688">
        <v>0</v>
      </c>
      <c r="T1520" s="690">
        <f t="shared" ref="T1520:T1529" si="236">ROUND(S1520/R1520,4)</f>
        <v>0</v>
      </c>
    </row>
    <row r="1521" spans="1:20" s="665" customFormat="1" ht="17.100000000000001" customHeight="1">
      <c r="A1521" s="1316" t="s">
        <v>248</v>
      </c>
      <c r="B1521" s="1317"/>
      <c r="C1521" s="1338"/>
      <c r="D1521" s="1317"/>
      <c r="E1521" s="683">
        <f>T1490</f>
        <v>1.67E-2</v>
      </c>
      <c r="F1521" s="676" t="s">
        <v>366</v>
      </c>
      <c r="G1521" s="670"/>
      <c r="H1521" s="670"/>
      <c r="I1521" s="670">
        <f>[53]노임단가!$T$5</f>
        <v>172068</v>
      </c>
      <c r="J1521" s="670">
        <f t="shared" ref="J1521:J1526" si="237">INT(E1521*I1521)</f>
        <v>2873</v>
      </c>
      <c r="K1521" s="670"/>
      <c r="L1521" s="670"/>
      <c r="M1521" s="670">
        <f t="shared" ref="M1521:N1526" si="238">G1521+I1521+K1521</f>
        <v>172068</v>
      </c>
      <c r="N1521" s="670">
        <f t="shared" si="238"/>
        <v>2873</v>
      </c>
      <c r="O1521" s="671"/>
      <c r="P1521" s="672"/>
      <c r="Q1521" s="688">
        <f>Q1520</f>
        <v>40</v>
      </c>
      <c r="R1521" s="688">
        <f>R1520</f>
        <v>40</v>
      </c>
      <c r="S1521" s="688">
        <v>0</v>
      </c>
      <c r="T1521" s="690">
        <f t="shared" si="236"/>
        <v>0</v>
      </c>
    </row>
    <row r="1522" spans="1:20" s="665" customFormat="1" ht="17.100000000000001" customHeight="1">
      <c r="A1522" s="1316" t="s">
        <v>628</v>
      </c>
      <c r="B1522" s="1317"/>
      <c r="C1522" s="1381"/>
      <c r="D1522" s="1317"/>
      <c r="E1522" s="683">
        <f>T1491</f>
        <v>3.3300000000000003E-2</v>
      </c>
      <c r="F1522" s="676" t="s">
        <v>366</v>
      </c>
      <c r="G1522" s="670"/>
      <c r="H1522" s="670"/>
      <c r="I1522" s="670">
        <f>[53]노임단가!$T$6</f>
        <v>226122</v>
      </c>
      <c r="J1522" s="670">
        <f t="shared" si="237"/>
        <v>7529</v>
      </c>
      <c r="K1522" s="670"/>
      <c r="L1522" s="670"/>
      <c r="M1522" s="670">
        <f t="shared" si="238"/>
        <v>226122</v>
      </c>
      <c r="N1522" s="670">
        <f t="shared" si="238"/>
        <v>7529</v>
      </c>
      <c r="O1522" s="671"/>
      <c r="P1522" s="672"/>
      <c r="Q1522" s="688">
        <f>Q1521</f>
        <v>40</v>
      </c>
      <c r="R1522" s="688">
        <f>R1521</f>
        <v>40</v>
      </c>
      <c r="S1522" s="688">
        <v>8</v>
      </c>
      <c r="T1522" s="690">
        <f>ROUND(S1522/R1522,4)</f>
        <v>0.2</v>
      </c>
    </row>
    <row r="1523" spans="1:20" s="665" customFormat="1" ht="17.100000000000001" customHeight="1">
      <c r="A1523" s="1316" t="s">
        <v>481</v>
      </c>
      <c r="B1523" s="1317"/>
      <c r="C1523" s="786" t="s">
        <v>395</v>
      </c>
      <c r="D1523" s="669"/>
      <c r="E1523" s="683">
        <f>T1492</f>
        <v>0.1333</v>
      </c>
      <c r="F1523" s="676" t="s">
        <v>418</v>
      </c>
      <c r="G1523" s="670" t="e">
        <f>#REF!</f>
        <v>#REF!</v>
      </c>
      <c r="H1523" s="670" t="e">
        <f>INT(E1523*G1523)</f>
        <v>#REF!</v>
      </c>
      <c r="I1523" s="670" t="e">
        <f>#REF!</f>
        <v>#REF!</v>
      </c>
      <c r="J1523" s="670" t="e">
        <f t="shared" si="237"/>
        <v>#REF!</v>
      </c>
      <c r="K1523" s="670" t="e">
        <f>#REF!</f>
        <v>#REF!</v>
      </c>
      <c r="L1523" s="670" t="e">
        <f>INT(E1523*K1523)</f>
        <v>#REF!</v>
      </c>
      <c r="M1523" s="670" t="e">
        <f t="shared" si="238"/>
        <v>#REF!</v>
      </c>
      <c r="N1523" s="670" t="e">
        <f t="shared" si="238"/>
        <v>#REF!</v>
      </c>
      <c r="O1523" s="671"/>
      <c r="P1523" s="672"/>
      <c r="Q1523" s="688">
        <f>Q1521</f>
        <v>40</v>
      </c>
      <c r="R1523" s="688">
        <f>R1521</f>
        <v>40</v>
      </c>
      <c r="S1523" s="688">
        <v>8</v>
      </c>
      <c r="T1523" s="690">
        <f t="shared" si="236"/>
        <v>0.2</v>
      </c>
    </row>
    <row r="1524" spans="1:20" s="665" customFormat="1" ht="17.100000000000001" customHeight="1">
      <c r="A1524" s="1316" t="s">
        <v>1884</v>
      </c>
      <c r="B1524" s="1317"/>
      <c r="C1524" s="1338" t="s">
        <v>1885</v>
      </c>
      <c r="D1524" s="1317"/>
      <c r="E1524" s="701">
        <f>[53]구조물공!$BE$131</f>
        <v>5.3999999999999999E-2</v>
      </c>
      <c r="F1524" s="676" t="s">
        <v>850</v>
      </c>
      <c r="G1524" s="670" t="e">
        <f>$H$552</f>
        <v>#REF!</v>
      </c>
      <c r="H1524" s="670" t="e">
        <f>INT(E1524*G1524)</f>
        <v>#REF!</v>
      </c>
      <c r="I1524" s="670">
        <f>$J$552</f>
        <v>373604</v>
      </c>
      <c r="J1524" s="670">
        <f t="shared" si="237"/>
        <v>20174</v>
      </c>
      <c r="K1524" s="670">
        <f>$L$552</f>
        <v>5742</v>
      </c>
      <c r="L1524" s="670">
        <f>INT(E1524*K1524)</f>
        <v>310</v>
      </c>
      <c r="M1524" s="670" t="e">
        <f t="shared" si="238"/>
        <v>#REF!</v>
      </c>
      <c r="N1524" s="670" t="e">
        <f t="shared" si="238"/>
        <v>#REF!</v>
      </c>
      <c r="O1524" s="671">
        <f>$A$545</f>
        <v>139</v>
      </c>
      <c r="P1524" s="672"/>
      <c r="Q1524" s="688">
        <f t="shared" ref="Q1524:R1528" si="239">Q1523</f>
        <v>40</v>
      </c>
      <c r="R1524" s="688">
        <f t="shared" si="239"/>
        <v>40</v>
      </c>
      <c r="S1524" s="728">
        <v>1</v>
      </c>
      <c r="T1524" s="690">
        <f t="shared" si="236"/>
        <v>2.5000000000000001E-2</v>
      </c>
    </row>
    <row r="1525" spans="1:20" s="665" customFormat="1" ht="17.100000000000001" customHeight="1">
      <c r="A1525" s="1316" t="s">
        <v>1886</v>
      </c>
      <c r="B1525" s="1317"/>
      <c r="C1525" s="1381" t="s">
        <v>1529</v>
      </c>
      <c r="D1525" s="1382"/>
      <c r="E1525" s="683">
        <v>1.5120000000000002E-4</v>
      </c>
      <c r="F1525" s="676" t="s">
        <v>850</v>
      </c>
      <c r="G1525" s="670" t="e">
        <f>$H$484</f>
        <v>#REF!</v>
      </c>
      <c r="H1525" s="670" t="e">
        <f>INT(E1525*G1525)</f>
        <v>#REF!</v>
      </c>
      <c r="I1525" s="670">
        <f>$J$484</f>
        <v>73989</v>
      </c>
      <c r="J1525" s="670">
        <f t="shared" si="237"/>
        <v>11</v>
      </c>
      <c r="K1525" s="670">
        <f>$L$484</f>
        <v>11220</v>
      </c>
      <c r="L1525" s="670">
        <f>INT(E1525*K1525)</f>
        <v>1</v>
      </c>
      <c r="M1525" s="670" t="e">
        <f t="shared" si="238"/>
        <v>#REF!</v>
      </c>
      <c r="N1525" s="670" t="e">
        <f t="shared" si="238"/>
        <v>#REF!</v>
      </c>
      <c r="O1525" s="671">
        <f>$A$479</f>
        <v>130</v>
      </c>
      <c r="P1525" s="672"/>
      <c r="Q1525" s="688">
        <f t="shared" si="239"/>
        <v>40</v>
      </c>
      <c r="R1525" s="688">
        <f t="shared" si="239"/>
        <v>40</v>
      </c>
      <c r="S1525" s="728">
        <v>2</v>
      </c>
      <c r="T1525" s="690">
        <f t="shared" si="236"/>
        <v>0.05</v>
      </c>
    </row>
    <row r="1526" spans="1:20" s="665" customFormat="1" ht="17.100000000000001" customHeight="1">
      <c r="A1526" s="1316" t="s">
        <v>1887</v>
      </c>
      <c r="B1526" s="1317"/>
      <c r="C1526" s="1338" t="s">
        <v>1841</v>
      </c>
      <c r="D1526" s="1378"/>
      <c r="E1526" s="675">
        <v>0.36</v>
      </c>
      <c r="F1526" s="676" t="s">
        <v>645</v>
      </c>
      <c r="G1526" s="778" t="e">
        <f>$H$726</f>
        <v>#REF!</v>
      </c>
      <c r="H1526" s="670" t="e">
        <f>INT(E1526*G1526)</f>
        <v>#REF!</v>
      </c>
      <c r="I1526" s="778">
        <f>$J$726</f>
        <v>34461</v>
      </c>
      <c r="J1526" s="670">
        <f t="shared" si="237"/>
        <v>12405</v>
      </c>
      <c r="K1526" s="670"/>
      <c r="L1526" s="670"/>
      <c r="M1526" s="670" t="e">
        <f t="shared" si="238"/>
        <v>#REF!</v>
      </c>
      <c r="N1526" s="670" t="e">
        <f t="shared" si="238"/>
        <v>#REF!</v>
      </c>
      <c r="O1526" s="671">
        <f>$A$721</f>
        <v>163</v>
      </c>
      <c r="P1526" s="672"/>
      <c r="Q1526" s="688">
        <f t="shared" si="239"/>
        <v>40</v>
      </c>
      <c r="R1526" s="688">
        <f t="shared" si="239"/>
        <v>40</v>
      </c>
      <c r="S1526" s="728"/>
      <c r="T1526" s="690">
        <f t="shared" si="236"/>
        <v>0</v>
      </c>
    </row>
    <row r="1527" spans="1:20" s="665" customFormat="1" ht="17.100000000000001" customHeight="1">
      <c r="A1527" s="1318" t="s">
        <v>1320</v>
      </c>
      <c r="B1527" s="1319"/>
      <c r="C1527" s="1371"/>
      <c r="D1527" s="1372"/>
      <c r="E1527" s="677"/>
      <c r="F1527" s="676"/>
      <c r="G1527" s="670"/>
      <c r="H1527" s="670" t="e">
        <f>SUM(H1520:H1526)</f>
        <v>#REF!</v>
      </c>
      <c r="I1527" s="670"/>
      <c r="J1527" s="670" t="e">
        <f>SUM(J1520:J1526)</f>
        <v>#REF!</v>
      </c>
      <c r="K1527" s="670"/>
      <c r="L1527" s="670" t="e">
        <f>SUM(L1520:L1526)</f>
        <v>#REF!</v>
      </c>
      <c r="M1527" s="670"/>
      <c r="N1527" s="670" t="e">
        <f>SUM(N1520:N1526)</f>
        <v>#REF!</v>
      </c>
      <c r="O1527" s="671"/>
      <c r="P1527" s="672"/>
      <c r="Q1527" s="688">
        <f t="shared" si="239"/>
        <v>40</v>
      </c>
      <c r="R1527" s="688">
        <f t="shared" si="239"/>
        <v>40</v>
      </c>
      <c r="S1527" s="728">
        <f>0.2*0.3*0.004</f>
        <v>2.4000000000000001E-4</v>
      </c>
      <c r="T1527" s="690">
        <f t="shared" si="236"/>
        <v>0</v>
      </c>
    </row>
    <row r="1528" spans="1:20" s="665" customFormat="1" ht="17.100000000000001" customHeight="1">
      <c r="A1528" s="668">
        <f>A1519+1</f>
        <v>271</v>
      </c>
      <c r="B1528" s="1320" t="s">
        <v>1919</v>
      </c>
      <c r="C1528" s="1320"/>
      <c r="D1528" s="1320" t="s">
        <v>1880</v>
      </c>
      <c r="E1528" s="1320"/>
      <c r="F1528" s="669" t="s">
        <v>272</v>
      </c>
      <c r="G1528" s="670"/>
      <c r="H1528" s="670"/>
      <c r="I1528" s="670"/>
      <c r="J1528" s="670"/>
      <c r="K1528" s="670"/>
      <c r="L1528" s="670"/>
      <c r="M1528" s="670"/>
      <c r="N1528" s="670"/>
      <c r="O1528" s="699" t="s">
        <v>1562</v>
      </c>
      <c r="P1528" s="672"/>
      <c r="Q1528" s="688">
        <f t="shared" si="239"/>
        <v>40</v>
      </c>
      <c r="R1528" s="688">
        <f t="shared" si="239"/>
        <v>40</v>
      </c>
      <c r="S1528" s="728"/>
      <c r="T1528" s="690">
        <f t="shared" si="236"/>
        <v>0</v>
      </c>
    </row>
    <row r="1529" spans="1:20" s="665" customFormat="1" ht="17.100000000000001" customHeight="1">
      <c r="A1529" s="1316" t="s">
        <v>1881</v>
      </c>
      <c r="B1529" s="1317"/>
      <c r="C1529" s="1316" t="s">
        <v>1882</v>
      </c>
      <c r="D1529" s="1317"/>
      <c r="E1529" s="675">
        <v>1.03</v>
      </c>
      <c r="F1529" s="676" t="s">
        <v>30</v>
      </c>
      <c r="G1529" s="778"/>
      <c r="H1529" s="778"/>
      <c r="I1529" s="670"/>
      <c r="J1529" s="670"/>
      <c r="K1529" s="670"/>
      <c r="L1529" s="670"/>
      <c r="M1529" s="670"/>
      <c r="N1529" s="670"/>
      <c r="O1529" s="671"/>
      <c r="P1529" s="672"/>
      <c r="T1529" s="690" t="e">
        <f t="shared" si="236"/>
        <v>#DIV/0!</v>
      </c>
    </row>
    <row r="1530" spans="1:20" s="665" customFormat="1" ht="17.100000000000001" customHeight="1">
      <c r="A1530" s="1316" t="s">
        <v>1883</v>
      </c>
      <c r="B1530" s="1317"/>
      <c r="C1530" s="1316" t="s">
        <v>1761</v>
      </c>
      <c r="D1530" s="1317"/>
      <c r="E1530" s="675">
        <v>1.03</v>
      </c>
      <c r="F1530" s="676" t="s">
        <v>30</v>
      </c>
      <c r="G1530" s="670"/>
      <c r="H1530" s="670"/>
      <c r="I1530" s="670"/>
      <c r="J1530" s="670"/>
      <c r="K1530" s="670">
        <f>[53]운반공!$BQ$622</f>
        <v>364</v>
      </c>
      <c r="L1530" s="670">
        <f>INT(E1530*K1530)</f>
        <v>374</v>
      </c>
      <c r="M1530" s="670">
        <f t="shared" ref="M1530:N1537" si="240">G1530+I1530+K1530</f>
        <v>364</v>
      </c>
      <c r="N1530" s="670">
        <f t="shared" si="240"/>
        <v>374</v>
      </c>
      <c r="O1530" s="671"/>
      <c r="P1530" s="672" t="s">
        <v>1549</v>
      </c>
      <c r="Q1530" s="687" t="s">
        <v>1423</v>
      </c>
      <c r="R1530" s="688" t="s">
        <v>1876</v>
      </c>
      <c r="S1530" s="688" t="s">
        <v>1425</v>
      </c>
      <c r="T1530" s="688" t="s">
        <v>1426</v>
      </c>
    </row>
    <row r="1531" spans="1:20" s="665" customFormat="1" ht="17.100000000000001" customHeight="1">
      <c r="A1531" s="1316" t="s">
        <v>1161</v>
      </c>
      <c r="B1531" s="1317"/>
      <c r="C1531" s="1316" t="s">
        <v>642</v>
      </c>
      <c r="D1531" s="1317"/>
      <c r="E1531" s="683">
        <f>T1500</f>
        <v>0.1</v>
      </c>
      <c r="F1531" s="676" t="s">
        <v>418</v>
      </c>
      <c r="G1531" s="670" t="e">
        <f>#REF!</f>
        <v>#REF!</v>
      </c>
      <c r="H1531" s="670" t="e">
        <f>INT(E1531*G1531)</f>
        <v>#REF!</v>
      </c>
      <c r="I1531" s="670" t="e">
        <f>#REF!</f>
        <v>#REF!</v>
      </c>
      <c r="J1531" s="670" t="e">
        <f>INT(E1531*I1531)</f>
        <v>#REF!</v>
      </c>
      <c r="K1531" s="670" t="e">
        <f>#REF!</f>
        <v>#REF!</v>
      </c>
      <c r="L1531" s="670" t="e">
        <f>INT(E1531*K1531)</f>
        <v>#REF!</v>
      </c>
      <c r="M1531" s="670" t="e">
        <f t="shared" si="240"/>
        <v>#REF!</v>
      </c>
      <c r="N1531" s="670" t="e">
        <f t="shared" si="240"/>
        <v>#REF!</v>
      </c>
      <c r="O1531" s="671"/>
      <c r="P1531" s="672" t="s">
        <v>1915</v>
      </c>
      <c r="Q1531" s="688">
        <v>110</v>
      </c>
      <c r="R1531" s="688">
        <f>Q1531</f>
        <v>110</v>
      </c>
      <c r="S1531" s="688">
        <v>0</v>
      </c>
      <c r="T1531" s="690">
        <f t="shared" ref="T1531:T1540" si="241">ROUND(S1531/R1531,4)</f>
        <v>0</v>
      </c>
    </row>
    <row r="1532" spans="1:20" s="665" customFormat="1" ht="17.100000000000001" customHeight="1">
      <c r="A1532" s="1316" t="s">
        <v>481</v>
      </c>
      <c r="B1532" s="1317"/>
      <c r="C1532" s="1316" t="s">
        <v>395</v>
      </c>
      <c r="D1532" s="1317"/>
      <c r="E1532" s="683">
        <f>T1501</f>
        <v>0.1</v>
      </c>
      <c r="F1532" s="676" t="s">
        <v>418</v>
      </c>
      <c r="G1532" s="778" t="e">
        <f>#REF!</f>
        <v>#REF!</v>
      </c>
      <c r="H1532" s="670" t="e">
        <f>INT(E1532*G1532)</f>
        <v>#REF!</v>
      </c>
      <c r="I1532" s="670" t="e">
        <f>#REF!</f>
        <v>#REF!</v>
      </c>
      <c r="J1532" s="670" t="e">
        <f t="shared" ref="J1532:J1537" si="242">INT(E1532*I1532)</f>
        <v>#REF!</v>
      </c>
      <c r="K1532" s="670" t="e">
        <f>#REF!</f>
        <v>#REF!</v>
      </c>
      <c r="L1532" s="670" t="e">
        <f>INT(E1532*K1532)</f>
        <v>#REF!</v>
      </c>
      <c r="M1532" s="670" t="e">
        <f t="shared" si="240"/>
        <v>#REF!</v>
      </c>
      <c r="N1532" s="670" t="e">
        <f t="shared" si="240"/>
        <v>#REF!</v>
      </c>
      <c r="O1532" s="671"/>
      <c r="P1532" s="672"/>
      <c r="Q1532" s="688">
        <f>Q1531</f>
        <v>110</v>
      </c>
      <c r="R1532" s="688">
        <f>R1531</f>
        <v>110</v>
      </c>
      <c r="S1532" s="688">
        <v>0</v>
      </c>
      <c r="T1532" s="690">
        <f t="shared" si="241"/>
        <v>0</v>
      </c>
    </row>
    <row r="1533" spans="1:20" s="665" customFormat="1" ht="17.100000000000001" customHeight="1">
      <c r="A1533" s="1316" t="s">
        <v>248</v>
      </c>
      <c r="B1533" s="1317"/>
      <c r="C1533" s="1338"/>
      <c r="D1533" s="1317"/>
      <c r="E1533" s="683">
        <f>T1502</f>
        <v>1.2500000000000001E-2</v>
      </c>
      <c r="F1533" s="676" t="s">
        <v>366</v>
      </c>
      <c r="G1533" s="670"/>
      <c r="H1533" s="670"/>
      <c r="I1533" s="670">
        <f>[53]노임단가!$T$5</f>
        <v>172068</v>
      </c>
      <c r="J1533" s="670">
        <f t="shared" si="242"/>
        <v>2150</v>
      </c>
      <c r="K1533" s="670"/>
      <c r="L1533" s="670"/>
      <c r="M1533" s="670">
        <f t="shared" si="240"/>
        <v>172068</v>
      </c>
      <c r="N1533" s="670">
        <f t="shared" si="240"/>
        <v>2150</v>
      </c>
      <c r="O1533" s="671"/>
      <c r="P1533" s="672"/>
      <c r="Q1533" s="688">
        <f>Q1532</f>
        <v>110</v>
      </c>
      <c r="R1533" s="688">
        <f>R1532</f>
        <v>110</v>
      </c>
      <c r="S1533" s="688">
        <v>8</v>
      </c>
      <c r="T1533" s="690">
        <f>ROUND(S1533/R1533,4)</f>
        <v>7.2700000000000001E-2</v>
      </c>
    </row>
    <row r="1534" spans="1:20" s="665" customFormat="1" ht="17.100000000000001" customHeight="1">
      <c r="A1534" s="1316" t="s">
        <v>628</v>
      </c>
      <c r="B1534" s="1317"/>
      <c r="C1534" s="1381"/>
      <c r="D1534" s="1317"/>
      <c r="E1534" s="683">
        <f>T1503</f>
        <v>2.5000000000000001E-2</v>
      </c>
      <c r="F1534" s="676" t="s">
        <v>366</v>
      </c>
      <c r="G1534" s="670"/>
      <c r="H1534" s="670"/>
      <c r="I1534" s="670">
        <f>[53]노임단가!$T$6</f>
        <v>226122</v>
      </c>
      <c r="J1534" s="670">
        <f t="shared" si="242"/>
        <v>5653</v>
      </c>
      <c r="K1534" s="670"/>
      <c r="L1534" s="670"/>
      <c r="M1534" s="670">
        <f t="shared" si="240"/>
        <v>226122</v>
      </c>
      <c r="N1534" s="670">
        <f t="shared" si="240"/>
        <v>5653</v>
      </c>
      <c r="O1534" s="671"/>
      <c r="P1534" s="672"/>
      <c r="Q1534" s="688">
        <f>Q1532</f>
        <v>110</v>
      </c>
      <c r="R1534" s="688">
        <f>R1532</f>
        <v>110</v>
      </c>
      <c r="S1534" s="688">
        <v>8</v>
      </c>
      <c r="T1534" s="690">
        <f t="shared" si="241"/>
        <v>7.2700000000000001E-2</v>
      </c>
    </row>
    <row r="1535" spans="1:20" s="665" customFormat="1" ht="17.100000000000001" customHeight="1">
      <c r="A1535" s="1316" t="s">
        <v>1884</v>
      </c>
      <c r="B1535" s="1317"/>
      <c r="C1535" s="1338" t="s">
        <v>1885</v>
      </c>
      <c r="D1535" s="1317"/>
      <c r="E1535" s="701">
        <f>[53]구조물공!$BE$123</f>
        <v>4.5999999999999999E-2</v>
      </c>
      <c r="F1535" s="676" t="s">
        <v>850</v>
      </c>
      <c r="G1535" s="670" t="e">
        <f>$H$552</f>
        <v>#REF!</v>
      </c>
      <c r="H1535" s="670" t="e">
        <f>INT(E1535*G1535)</f>
        <v>#REF!</v>
      </c>
      <c r="I1535" s="670">
        <f>$J$552</f>
        <v>373604</v>
      </c>
      <c r="J1535" s="670">
        <f t="shared" si="242"/>
        <v>17185</v>
      </c>
      <c r="K1535" s="670">
        <f>$L$552</f>
        <v>5742</v>
      </c>
      <c r="L1535" s="670">
        <f>INT(E1535*K1535)</f>
        <v>264</v>
      </c>
      <c r="M1535" s="670" t="e">
        <f t="shared" si="240"/>
        <v>#REF!</v>
      </c>
      <c r="N1535" s="670" t="e">
        <f t="shared" si="240"/>
        <v>#REF!</v>
      </c>
      <c r="O1535" s="671">
        <f>$A$545</f>
        <v>139</v>
      </c>
      <c r="P1535" s="672"/>
      <c r="Q1535" s="688">
        <f t="shared" ref="Q1535:R1539" si="243">Q1534</f>
        <v>110</v>
      </c>
      <c r="R1535" s="688">
        <f t="shared" si="243"/>
        <v>110</v>
      </c>
      <c r="S1535" s="728">
        <v>1</v>
      </c>
      <c r="T1535" s="690">
        <f t="shared" si="241"/>
        <v>9.1000000000000004E-3</v>
      </c>
    </row>
    <row r="1536" spans="1:20" s="665" customFormat="1" ht="17.100000000000001" customHeight="1">
      <c r="A1536" s="1316" t="s">
        <v>1886</v>
      </c>
      <c r="B1536" s="1317"/>
      <c r="C1536" s="1381" t="s">
        <v>1529</v>
      </c>
      <c r="D1536" s="1317"/>
      <c r="E1536" s="683">
        <v>1.44E-4</v>
      </c>
      <c r="F1536" s="676" t="s">
        <v>850</v>
      </c>
      <c r="G1536" s="670" t="e">
        <f>$H$484</f>
        <v>#REF!</v>
      </c>
      <c r="H1536" s="670" t="e">
        <f>INT(E1536*G1536)</f>
        <v>#REF!</v>
      </c>
      <c r="I1536" s="670">
        <f>$J$484</f>
        <v>73989</v>
      </c>
      <c r="J1536" s="670">
        <f t="shared" si="242"/>
        <v>10</v>
      </c>
      <c r="K1536" s="670">
        <f>$L$484</f>
        <v>11220</v>
      </c>
      <c r="L1536" s="670">
        <f>INT(E1536*K1536)</f>
        <v>1</v>
      </c>
      <c r="M1536" s="670" t="e">
        <f t="shared" si="240"/>
        <v>#REF!</v>
      </c>
      <c r="N1536" s="670" t="e">
        <f t="shared" si="240"/>
        <v>#REF!</v>
      </c>
      <c r="O1536" s="671">
        <f>$A$479</f>
        <v>130</v>
      </c>
      <c r="P1536" s="672"/>
      <c r="Q1536" s="688">
        <f t="shared" si="243"/>
        <v>110</v>
      </c>
      <c r="R1536" s="688">
        <f t="shared" si="243"/>
        <v>110</v>
      </c>
      <c r="S1536" s="728">
        <v>2</v>
      </c>
      <c r="T1536" s="690">
        <f t="shared" si="241"/>
        <v>1.8200000000000001E-2</v>
      </c>
    </row>
    <row r="1537" spans="1:20" s="665" customFormat="1" ht="17.100000000000001" customHeight="1">
      <c r="A1537" s="1316" t="s">
        <v>1887</v>
      </c>
      <c r="B1537" s="1317"/>
      <c r="C1537" s="1338" t="s">
        <v>1841</v>
      </c>
      <c r="D1537" s="1317"/>
      <c r="E1537" s="675">
        <v>0.36</v>
      </c>
      <c r="F1537" s="676" t="s">
        <v>645</v>
      </c>
      <c r="G1537" s="778" t="e">
        <f>$H$726</f>
        <v>#REF!</v>
      </c>
      <c r="H1537" s="670" t="e">
        <f>INT(E1537*G1537)</f>
        <v>#REF!</v>
      </c>
      <c r="I1537" s="778">
        <f>$J$726</f>
        <v>34461</v>
      </c>
      <c r="J1537" s="670">
        <f t="shared" si="242"/>
        <v>12405</v>
      </c>
      <c r="K1537" s="670"/>
      <c r="L1537" s="670"/>
      <c r="M1537" s="670" t="e">
        <f t="shared" si="240"/>
        <v>#REF!</v>
      </c>
      <c r="N1537" s="670" t="e">
        <f t="shared" si="240"/>
        <v>#REF!</v>
      </c>
      <c r="O1537" s="671">
        <f>$A$721</f>
        <v>163</v>
      </c>
      <c r="P1537" s="672"/>
      <c r="Q1537" s="688">
        <f t="shared" si="243"/>
        <v>110</v>
      </c>
      <c r="R1537" s="688">
        <f t="shared" si="243"/>
        <v>110</v>
      </c>
      <c r="S1537" s="728"/>
      <c r="T1537" s="690">
        <f t="shared" si="241"/>
        <v>0</v>
      </c>
    </row>
    <row r="1538" spans="1:20" s="665" customFormat="1" ht="17.100000000000001" customHeight="1">
      <c r="A1538" s="1318" t="s">
        <v>1320</v>
      </c>
      <c r="B1538" s="1319"/>
      <c r="C1538" s="1371"/>
      <c r="D1538" s="1372"/>
      <c r="E1538" s="677"/>
      <c r="F1538" s="676"/>
      <c r="G1538" s="670"/>
      <c r="H1538" s="670" t="e">
        <f>SUM(H1529:H1537)</f>
        <v>#REF!</v>
      </c>
      <c r="I1538" s="670"/>
      <c r="J1538" s="670" t="e">
        <f>SUM(J1529:J1537)</f>
        <v>#REF!</v>
      </c>
      <c r="K1538" s="670"/>
      <c r="L1538" s="670" t="e">
        <f>SUM(L1529:L1537)</f>
        <v>#REF!</v>
      </c>
      <c r="M1538" s="670"/>
      <c r="N1538" s="670" t="e">
        <f>SUM(N1529:N1537)</f>
        <v>#REF!</v>
      </c>
      <c r="O1538" s="671"/>
      <c r="P1538" s="672"/>
      <c r="Q1538" s="688">
        <f t="shared" si="243"/>
        <v>110</v>
      </c>
      <c r="R1538" s="688">
        <f t="shared" si="243"/>
        <v>110</v>
      </c>
      <c r="S1538" s="728">
        <f>0.12*0.12*0.004</f>
        <v>5.7599999999999997E-5</v>
      </c>
      <c r="T1538" s="690">
        <f t="shared" si="241"/>
        <v>0</v>
      </c>
    </row>
    <row r="1539" spans="1:20" s="665" customFormat="1" ht="17.100000000000001" customHeight="1">
      <c r="A1539" s="668">
        <f>A1528+1</f>
        <v>272</v>
      </c>
      <c r="B1539" s="1320" t="s">
        <v>1919</v>
      </c>
      <c r="C1539" s="1320"/>
      <c r="D1539" s="1320" t="s">
        <v>1875</v>
      </c>
      <c r="E1539" s="1320"/>
      <c r="F1539" s="669" t="s">
        <v>272</v>
      </c>
      <c r="G1539" s="670"/>
      <c r="H1539" s="670"/>
      <c r="I1539" s="670"/>
      <c r="J1539" s="670"/>
      <c r="K1539" s="670"/>
      <c r="L1539" s="670"/>
      <c r="M1539" s="670"/>
      <c r="N1539" s="670"/>
      <c r="O1539" s="699" t="s">
        <v>1562</v>
      </c>
      <c r="P1539" s="672"/>
      <c r="Q1539" s="688">
        <f t="shared" si="243"/>
        <v>110</v>
      </c>
      <c r="R1539" s="688">
        <f t="shared" si="243"/>
        <v>110</v>
      </c>
      <c r="S1539" s="728"/>
      <c r="T1539" s="690">
        <f t="shared" si="241"/>
        <v>0</v>
      </c>
    </row>
    <row r="1540" spans="1:20" s="665" customFormat="1" ht="17.100000000000001" customHeight="1">
      <c r="A1540" s="1316" t="s">
        <v>1881</v>
      </c>
      <c r="B1540" s="1317"/>
      <c r="C1540" s="1316" t="s">
        <v>1888</v>
      </c>
      <c r="D1540" s="1317"/>
      <c r="E1540" s="675">
        <v>1.03</v>
      </c>
      <c r="F1540" s="676" t="s">
        <v>30</v>
      </c>
      <c r="G1540" s="778"/>
      <c r="H1540" s="778"/>
      <c r="I1540" s="670"/>
      <c r="J1540" s="670"/>
      <c r="K1540" s="670"/>
      <c r="L1540" s="670"/>
      <c r="M1540" s="670"/>
      <c r="N1540" s="670"/>
      <c r="O1540" s="671"/>
      <c r="P1540" s="672"/>
      <c r="Q1540" s="688"/>
      <c r="R1540" s="688"/>
      <c r="S1540" s="728"/>
      <c r="T1540" s="690" t="e">
        <f t="shared" si="241"/>
        <v>#DIV/0!</v>
      </c>
    </row>
    <row r="1541" spans="1:20" s="665" customFormat="1" ht="17.100000000000001" customHeight="1">
      <c r="A1541" s="1316" t="s">
        <v>1883</v>
      </c>
      <c r="B1541" s="1317"/>
      <c r="C1541" s="1316" t="s">
        <v>1761</v>
      </c>
      <c r="D1541" s="1317"/>
      <c r="E1541" s="675">
        <v>1.03</v>
      </c>
      <c r="F1541" s="676" t="s">
        <v>30</v>
      </c>
      <c r="G1541" s="670"/>
      <c r="H1541" s="670"/>
      <c r="I1541" s="670"/>
      <c r="J1541" s="670"/>
      <c r="K1541" s="670">
        <f>[53]운반공!$BQ$623</f>
        <v>507</v>
      </c>
      <c r="L1541" s="670">
        <f>INT(E1541*K1541)</f>
        <v>522</v>
      </c>
      <c r="M1541" s="670">
        <f>G1541+I1541+K1541</f>
        <v>507</v>
      </c>
      <c r="N1541" s="670">
        <f>H1541+J1541+L1541</f>
        <v>522</v>
      </c>
      <c r="O1541" s="671"/>
      <c r="P1541" s="672" t="s">
        <v>1549</v>
      </c>
      <c r="Q1541" s="687" t="s">
        <v>1423</v>
      </c>
      <c r="R1541" s="688" t="s">
        <v>1876</v>
      </c>
      <c r="S1541" s="688" t="s">
        <v>1425</v>
      </c>
      <c r="T1541" s="688" t="s">
        <v>1426</v>
      </c>
    </row>
    <row r="1542" spans="1:20" s="665" customFormat="1" ht="17.100000000000001" customHeight="1">
      <c r="A1542" s="1316" t="s">
        <v>1161</v>
      </c>
      <c r="B1542" s="1317"/>
      <c r="C1542" s="1316" t="s">
        <v>642</v>
      </c>
      <c r="D1542" s="1317"/>
      <c r="E1542" s="683">
        <f>T1511</f>
        <v>0.14549999999999999</v>
      </c>
      <c r="F1542" s="676" t="s">
        <v>418</v>
      </c>
      <c r="G1542" s="670" t="e">
        <f>#REF!</f>
        <v>#REF!</v>
      </c>
      <c r="H1542" s="670" t="e">
        <f>INT(E1542*G1542)</f>
        <v>#REF!</v>
      </c>
      <c r="I1542" s="670" t="e">
        <f>#REF!</f>
        <v>#REF!</v>
      </c>
      <c r="J1542" s="670" t="e">
        <f>INT(E1542*I1542)</f>
        <v>#REF!</v>
      </c>
      <c r="K1542" s="670" t="e">
        <f>#REF!</f>
        <v>#REF!</v>
      </c>
      <c r="L1542" s="670" t="e">
        <f>INT(E1542*K1542)</f>
        <v>#REF!</v>
      </c>
      <c r="M1542" s="670" t="e">
        <f>G1542+I1542+K1542</f>
        <v>#REF!</v>
      </c>
      <c r="N1542" s="670" t="e">
        <f>H1542+J1542+L1542</f>
        <v>#REF!</v>
      </c>
      <c r="O1542" s="671"/>
      <c r="P1542" s="672" t="s">
        <v>1915</v>
      </c>
      <c r="Q1542" s="688">
        <v>85</v>
      </c>
      <c r="R1542" s="688">
        <f>Q1542</f>
        <v>85</v>
      </c>
      <c r="S1542" s="688">
        <v>0</v>
      </c>
      <c r="T1542" s="690">
        <f t="shared" ref="T1542:T1551" si="244">ROUND(S1542/R1542,4)</f>
        <v>0</v>
      </c>
    </row>
    <row r="1543" spans="1:20" s="665" customFormat="1" ht="17.100000000000001" customHeight="1">
      <c r="A1543" s="1316" t="s">
        <v>481</v>
      </c>
      <c r="B1543" s="1317"/>
      <c r="C1543" s="1316" t="s">
        <v>395</v>
      </c>
      <c r="D1543" s="1317"/>
      <c r="E1543" s="683">
        <f>T1512</f>
        <v>0.14549999999999999</v>
      </c>
      <c r="F1543" s="676" t="s">
        <v>418</v>
      </c>
      <c r="G1543" s="778" t="e">
        <f>#REF!</f>
        <v>#REF!</v>
      </c>
      <c r="H1543" s="670" t="e">
        <f>INT(E1543*G1543)</f>
        <v>#REF!</v>
      </c>
      <c r="I1543" s="670" t="e">
        <f>#REF!</f>
        <v>#REF!</v>
      </c>
      <c r="J1543" s="670" t="e">
        <f t="shared" ref="J1543:J1548" si="245">INT(E1543*I1543)</f>
        <v>#REF!</v>
      </c>
      <c r="K1543" s="670" t="e">
        <f>#REF!</f>
        <v>#REF!</v>
      </c>
      <c r="L1543" s="670" t="e">
        <f>INT(E1543*K1543)</f>
        <v>#REF!</v>
      </c>
      <c r="M1543" s="670" t="e">
        <f t="shared" ref="M1543:N1548" si="246">G1543+I1543+K1543</f>
        <v>#REF!</v>
      </c>
      <c r="N1543" s="670" t="e">
        <f t="shared" si="246"/>
        <v>#REF!</v>
      </c>
      <c r="O1543" s="671"/>
      <c r="P1543" s="672"/>
      <c r="Q1543" s="688">
        <f>Q1542</f>
        <v>85</v>
      </c>
      <c r="R1543" s="688">
        <f>R1542</f>
        <v>85</v>
      </c>
      <c r="S1543" s="688">
        <v>0</v>
      </c>
      <c r="T1543" s="690">
        <f t="shared" si="244"/>
        <v>0</v>
      </c>
    </row>
    <row r="1544" spans="1:20" s="665" customFormat="1" ht="17.100000000000001" customHeight="1">
      <c r="A1544" s="1316" t="s">
        <v>248</v>
      </c>
      <c r="B1544" s="1317"/>
      <c r="C1544" s="1338"/>
      <c r="D1544" s="1317"/>
      <c r="E1544" s="683">
        <f>T1513</f>
        <v>1.8200000000000001E-2</v>
      </c>
      <c r="F1544" s="676" t="s">
        <v>366</v>
      </c>
      <c r="G1544" s="670"/>
      <c r="H1544" s="670"/>
      <c r="I1544" s="670">
        <f>[53]노임단가!$T$5</f>
        <v>172068</v>
      </c>
      <c r="J1544" s="670">
        <f t="shared" si="245"/>
        <v>3131</v>
      </c>
      <c r="K1544" s="670"/>
      <c r="L1544" s="670"/>
      <c r="M1544" s="670">
        <f t="shared" si="246"/>
        <v>172068</v>
      </c>
      <c r="N1544" s="670">
        <f t="shared" si="246"/>
        <v>3131</v>
      </c>
      <c r="O1544" s="671"/>
      <c r="P1544" s="672"/>
      <c r="Q1544" s="688">
        <f>Q1542</f>
        <v>85</v>
      </c>
      <c r="R1544" s="688">
        <f>R1542</f>
        <v>85</v>
      </c>
      <c r="S1544" s="688">
        <v>8</v>
      </c>
      <c r="T1544" s="690">
        <f>ROUND(S1544/R1544,4)</f>
        <v>9.4100000000000003E-2</v>
      </c>
    </row>
    <row r="1545" spans="1:20" s="665" customFormat="1" ht="17.100000000000001" customHeight="1">
      <c r="A1545" s="1316" t="s">
        <v>628</v>
      </c>
      <c r="B1545" s="1317"/>
      <c r="C1545" s="1381"/>
      <c r="D1545" s="1317"/>
      <c r="E1545" s="683">
        <f>T1514</f>
        <v>3.6400000000000002E-2</v>
      </c>
      <c r="F1545" s="676" t="s">
        <v>366</v>
      </c>
      <c r="G1545" s="670"/>
      <c r="H1545" s="670"/>
      <c r="I1545" s="670">
        <f>[53]노임단가!$T$6</f>
        <v>226122</v>
      </c>
      <c r="J1545" s="670">
        <f t="shared" si="245"/>
        <v>8230</v>
      </c>
      <c r="K1545" s="670"/>
      <c r="L1545" s="670"/>
      <c r="M1545" s="670">
        <f t="shared" si="246"/>
        <v>226122</v>
      </c>
      <c r="N1545" s="670">
        <f t="shared" si="246"/>
        <v>8230</v>
      </c>
      <c r="O1545" s="671"/>
      <c r="P1545" s="672"/>
      <c r="Q1545" s="688">
        <f>Q1543</f>
        <v>85</v>
      </c>
      <c r="R1545" s="688">
        <f>R1543</f>
        <v>85</v>
      </c>
      <c r="S1545" s="688">
        <v>8</v>
      </c>
      <c r="T1545" s="690">
        <f t="shared" si="244"/>
        <v>9.4100000000000003E-2</v>
      </c>
    </row>
    <row r="1546" spans="1:20" s="665" customFormat="1" ht="17.100000000000001" customHeight="1">
      <c r="A1546" s="1316" t="s">
        <v>1884</v>
      </c>
      <c r="B1546" s="1317"/>
      <c r="C1546" s="1338" t="s">
        <v>1885</v>
      </c>
      <c r="D1546" s="1317"/>
      <c r="E1546" s="701">
        <f>[53]구조물공!$BE$124</f>
        <v>4.9000000000000002E-2</v>
      </c>
      <c r="F1546" s="676" t="s">
        <v>850</v>
      </c>
      <c r="G1546" s="670" t="e">
        <f>$H$552</f>
        <v>#REF!</v>
      </c>
      <c r="H1546" s="670" t="e">
        <f>INT(E1546*G1546)</f>
        <v>#REF!</v>
      </c>
      <c r="I1546" s="670">
        <f>$J$552</f>
        <v>373604</v>
      </c>
      <c r="J1546" s="670">
        <f t="shared" si="245"/>
        <v>18306</v>
      </c>
      <c r="K1546" s="670">
        <f>$L$552</f>
        <v>5742</v>
      </c>
      <c r="L1546" s="670">
        <f>INT(E1546*K1546)</f>
        <v>281</v>
      </c>
      <c r="M1546" s="670" t="e">
        <f t="shared" si="246"/>
        <v>#REF!</v>
      </c>
      <c r="N1546" s="670" t="e">
        <f t="shared" si="246"/>
        <v>#REF!</v>
      </c>
      <c r="O1546" s="671">
        <f>$A$545</f>
        <v>139</v>
      </c>
      <c r="P1546" s="672"/>
      <c r="Q1546" s="688">
        <f t="shared" ref="Q1546:R1550" si="247">Q1545</f>
        <v>85</v>
      </c>
      <c r="R1546" s="688">
        <f t="shared" si="247"/>
        <v>85</v>
      </c>
      <c r="S1546" s="728">
        <v>1</v>
      </c>
      <c r="T1546" s="690">
        <f t="shared" si="244"/>
        <v>1.18E-2</v>
      </c>
    </row>
    <row r="1547" spans="1:20" s="665" customFormat="1" ht="17.100000000000001" customHeight="1">
      <c r="A1547" s="1316" t="s">
        <v>1886</v>
      </c>
      <c r="B1547" s="1317"/>
      <c r="C1547" s="1381" t="s">
        <v>1529</v>
      </c>
      <c r="D1547" s="1317"/>
      <c r="E1547" s="683">
        <v>2.0000000000000001E-4</v>
      </c>
      <c r="F1547" s="676" t="s">
        <v>850</v>
      </c>
      <c r="G1547" s="670" t="e">
        <f>$H$484</f>
        <v>#REF!</v>
      </c>
      <c r="H1547" s="670" t="e">
        <f>INT(E1547*G1547)</f>
        <v>#REF!</v>
      </c>
      <c r="I1547" s="670">
        <f>$J$484</f>
        <v>73989</v>
      </c>
      <c r="J1547" s="670">
        <f t="shared" si="245"/>
        <v>14</v>
      </c>
      <c r="K1547" s="670">
        <f>$L$484</f>
        <v>11220</v>
      </c>
      <c r="L1547" s="670">
        <f>INT(E1547*K1547)</f>
        <v>2</v>
      </c>
      <c r="M1547" s="670" t="e">
        <f t="shared" si="246"/>
        <v>#REF!</v>
      </c>
      <c r="N1547" s="670" t="e">
        <f t="shared" si="246"/>
        <v>#REF!</v>
      </c>
      <c r="O1547" s="671">
        <f>$A$479</f>
        <v>130</v>
      </c>
      <c r="P1547" s="672"/>
      <c r="Q1547" s="688">
        <f t="shared" si="247"/>
        <v>85</v>
      </c>
      <c r="R1547" s="688">
        <f t="shared" si="247"/>
        <v>85</v>
      </c>
      <c r="S1547" s="728">
        <v>2</v>
      </c>
      <c r="T1547" s="690">
        <f t="shared" si="244"/>
        <v>2.35E-2</v>
      </c>
    </row>
    <row r="1548" spans="1:20" s="665" customFormat="1" ht="17.100000000000001" customHeight="1">
      <c r="A1548" s="1316" t="s">
        <v>1887</v>
      </c>
      <c r="B1548" s="1317"/>
      <c r="C1548" s="1338" t="s">
        <v>1841</v>
      </c>
      <c r="D1548" s="1317"/>
      <c r="E1548" s="675">
        <v>0.36</v>
      </c>
      <c r="F1548" s="676" t="s">
        <v>645</v>
      </c>
      <c r="G1548" s="778" t="e">
        <f>$H$726</f>
        <v>#REF!</v>
      </c>
      <c r="H1548" s="670" t="e">
        <f>INT(E1548*G1548)</f>
        <v>#REF!</v>
      </c>
      <c r="I1548" s="778">
        <f>$J$726</f>
        <v>34461</v>
      </c>
      <c r="J1548" s="670">
        <f t="shared" si="245"/>
        <v>12405</v>
      </c>
      <c r="K1548" s="670"/>
      <c r="L1548" s="670"/>
      <c r="M1548" s="670" t="e">
        <f t="shared" si="246"/>
        <v>#REF!</v>
      </c>
      <c r="N1548" s="670" t="e">
        <f t="shared" si="246"/>
        <v>#REF!</v>
      </c>
      <c r="O1548" s="671">
        <f>$A$721</f>
        <v>163</v>
      </c>
      <c r="P1548" s="672"/>
      <c r="Q1548" s="688">
        <f t="shared" si="247"/>
        <v>85</v>
      </c>
      <c r="R1548" s="688">
        <f t="shared" si="247"/>
        <v>85</v>
      </c>
      <c r="S1548" s="728"/>
      <c r="T1548" s="690">
        <f t="shared" si="244"/>
        <v>0</v>
      </c>
    </row>
    <row r="1549" spans="1:20" s="665" customFormat="1" ht="17.100000000000001" customHeight="1">
      <c r="A1549" s="1318" t="s">
        <v>1320</v>
      </c>
      <c r="B1549" s="1319"/>
      <c r="C1549" s="1371"/>
      <c r="D1549" s="1372"/>
      <c r="E1549" s="677"/>
      <c r="F1549" s="676"/>
      <c r="G1549" s="670"/>
      <c r="H1549" s="670" t="e">
        <f>SUM(H1540:H1548)</f>
        <v>#REF!</v>
      </c>
      <c r="I1549" s="670"/>
      <c r="J1549" s="670" t="e">
        <f>SUM(J1540:J1548)</f>
        <v>#REF!</v>
      </c>
      <c r="K1549" s="670"/>
      <c r="L1549" s="670" t="e">
        <f>SUM(L1540:L1548)</f>
        <v>#REF!</v>
      </c>
      <c r="M1549" s="670"/>
      <c r="N1549" s="670" t="e">
        <f>SUM(N1540:N1548)</f>
        <v>#REF!</v>
      </c>
      <c r="O1549" s="671"/>
      <c r="P1549" s="672"/>
      <c r="Q1549" s="688">
        <f t="shared" si="247"/>
        <v>85</v>
      </c>
      <c r="R1549" s="688">
        <f t="shared" si="247"/>
        <v>85</v>
      </c>
      <c r="S1549" s="728">
        <f>0.15*0.15*0.004</f>
        <v>8.9999999999999992E-5</v>
      </c>
      <c r="T1549" s="690">
        <f t="shared" si="244"/>
        <v>0</v>
      </c>
    </row>
    <row r="1550" spans="1:20" s="665" customFormat="1" ht="17.100000000000001" customHeight="1">
      <c r="A1550" s="668">
        <f>A1539+1</f>
        <v>273</v>
      </c>
      <c r="B1550" s="1320" t="s">
        <v>1919</v>
      </c>
      <c r="C1550" s="1320"/>
      <c r="D1550" s="1320" t="s">
        <v>1889</v>
      </c>
      <c r="E1550" s="1320"/>
      <c r="F1550" s="669" t="s">
        <v>272</v>
      </c>
      <c r="G1550" s="670"/>
      <c r="H1550" s="670"/>
      <c r="I1550" s="670"/>
      <c r="J1550" s="670"/>
      <c r="K1550" s="670"/>
      <c r="L1550" s="670"/>
      <c r="M1550" s="670"/>
      <c r="N1550" s="670"/>
      <c r="O1550" s="699" t="s">
        <v>1562</v>
      </c>
      <c r="P1550" s="672"/>
      <c r="Q1550" s="688">
        <f t="shared" si="247"/>
        <v>85</v>
      </c>
      <c r="R1550" s="688">
        <f t="shared" si="247"/>
        <v>85</v>
      </c>
      <c r="S1550" s="728"/>
      <c r="T1550" s="690">
        <f t="shared" si="244"/>
        <v>0</v>
      </c>
    </row>
    <row r="1551" spans="1:20" s="665" customFormat="1" ht="17.100000000000001" customHeight="1">
      <c r="A1551" s="1316" t="s">
        <v>1881</v>
      </c>
      <c r="B1551" s="1317"/>
      <c r="C1551" s="1316" t="s">
        <v>1890</v>
      </c>
      <c r="D1551" s="1317"/>
      <c r="E1551" s="675">
        <v>1.03</v>
      </c>
      <c r="F1551" s="676" t="s">
        <v>30</v>
      </c>
      <c r="G1551" s="778"/>
      <c r="H1551" s="778"/>
      <c r="I1551" s="670"/>
      <c r="J1551" s="670"/>
      <c r="K1551" s="670"/>
      <c r="L1551" s="670"/>
      <c r="M1551" s="670"/>
      <c r="N1551" s="670"/>
      <c r="O1551" s="671"/>
      <c r="P1551" s="672"/>
      <c r="T1551" s="690" t="e">
        <f t="shared" si="244"/>
        <v>#DIV/0!</v>
      </c>
    </row>
    <row r="1552" spans="1:20" s="665" customFormat="1" ht="17.100000000000001" customHeight="1">
      <c r="A1552" s="1316" t="s">
        <v>1883</v>
      </c>
      <c r="B1552" s="1317"/>
      <c r="C1552" s="1316" t="s">
        <v>1761</v>
      </c>
      <c r="D1552" s="1317"/>
      <c r="E1552" s="675">
        <v>1.03</v>
      </c>
      <c r="F1552" s="676" t="s">
        <v>30</v>
      </c>
      <c r="G1552" s="670"/>
      <c r="H1552" s="670"/>
      <c r="I1552" s="670"/>
      <c r="J1552" s="670"/>
      <c r="K1552" s="670">
        <f>[53]운반공!$BQ$624</f>
        <v>608</v>
      </c>
      <c r="L1552" s="670">
        <f>INT(E1552*K1552)</f>
        <v>626</v>
      </c>
      <c r="M1552" s="670">
        <f>G1552+I1552+K1552</f>
        <v>608</v>
      </c>
      <c r="N1552" s="670">
        <f>H1552+J1552+L1552</f>
        <v>626</v>
      </c>
      <c r="O1552" s="671"/>
      <c r="P1552" s="672" t="s">
        <v>1549</v>
      </c>
      <c r="Q1552" s="687" t="s">
        <v>1423</v>
      </c>
      <c r="R1552" s="688" t="s">
        <v>1876</v>
      </c>
      <c r="S1552" s="688" t="s">
        <v>1425</v>
      </c>
      <c r="T1552" s="688" t="s">
        <v>1426</v>
      </c>
    </row>
    <row r="1553" spans="1:20" s="665" customFormat="1" ht="17.100000000000001" customHeight="1">
      <c r="A1553" s="1316" t="s">
        <v>1161</v>
      </c>
      <c r="B1553" s="1317"/>
      <c r="C1553" s="1316" t="s">
        <v>642</v>
      </c>
      <c r="D1553" s="1317"/>
      <c r="E1553" s="683">
        <v>0.2</v>
      </c>
      <c r="F1553" s="676" t="s">
        <v>418</v>
      </c>
      <c r="G1553" s="670" t="e">
        <f>#REF!</f>
        <v>#REF!</v>
      </c>
      <c r="H1553" s="670" t="e">
        <f>INT(E1553*G1553)</f>
        <v>#REF!</v>
      </c>
      <c r="I1553" s="670" t="e">
        <f>#REF!</f>
        <v>#REF!</v>
      </c>
      <c r="J1553" s="670" t="e">
        <f>INT(E1553*I1553)</f>
        <v>#REF!</v>
      </c>
      <c r="K1553" s="670" t="e">
        <f>#REF!</f>
        <v>#REF!</v>
      </c>
      <c r="L1553" s="670" t="e">
        <f>INT(E1553*K1553)</f>
        <v>#REF!</v>
      </c>
      <c r="M1553" s="670" t="e">
        <f>G1553+I1553+K1553</f>
        <v>#REF!</v>
      </c>
      <c r="N1553" s="670" t="e">
        <f>H1553+J1553+L1553</f>
        <v>#REF!</v>
      </c>
      <c r="O1553" s="671"/>
      <c r="P1553" s="672" t="s">
        <v>1915</v>
      </c>
      <c r="Q1553" s="688">
        <v>100</v>
      </c>
      <c r="R1553" s="688">
        <v>85</v>
      </c>
      <c r="S1553" s="688">
        <v>0</v>
      </c>
      <c r="T1553" s="690">
        <f t="shared" ref="T1553:T1561" si="248">ROUND(S1553/R1553,4)</f>
        <v>0</v>
      </c>
    </row>
    <row r="1554" spans="1:20" s="665" customFormat="1" ht="17.100000000000001" customHeight="1">
      <c r="A1554" s="1316" t="s">
        <v>481</v>
      </c>
      <c r="B1554" s="1317"/>
      <c r="C1554" s="1316" t="s">
        <v>395</v>
      </c>
      <c r="D1554" s="1317"/>
      <c r="E1554" s="683">
        <v>0.2</v>
      </c>
      <c r="F1554" s="676" t="s">
        <v>418</v>
      </c>
      <c r="G1554" s="778" t="e">
        <f>#REF!</f>
        <v>#REF!</v>
      </c>
      <c r="H1554" s="670" t="e">
        <f>INT(E1554*G1554)</f>
        <v>#REF!</v>
      </c>
      <c r="I1554" s="670" t="e">
        <f>#REF!</f>
        <v>#REF!</v>
      </c>
      <c r="J1554" s="670" t="e">
        <f t="shared" ref="J1554:J1559" si="249">INT(E1554*I1554)</f>
        <v>#REF!</v>
      </c>
      <c r="K1554" s="670" t="e">
        <f>#REF!</f>
        <v>#REF!</v>
      </c>
      <c r="L1554" s="670" t="e">
        <f>INT(E1554*K1554)</f>
        <v>#REF!</v>
      </c>
      <c r="M1554" s="670" t="e">
        <f t="shared" ref="M1554:N1559" si="250">G1554+I1554+K1554</f>
        <v>#REF!</v>
      </c>
      <c r="N1554" s="670" t="e">
        <f t="shared" si="250"/>
        <v>#REF!</v>
      </c>
      <c r="O1554" s="671"/>
      <c r="P1554" s="672"/>
      <c r="Q1554" s="688">
        <f>Q1553</f>
        <v>100</v>
      </c>
      <c r="R1554" s="688">
        <f>R1553</f>
        <v>85</v>
      </c>
      <c r="S1554" s="688">
        <v>0</v>
      </c>
      <c r="T1554" s="690">
        <f t="shared" si="248"/>
        <v>0</v>
      </c>
    </row>
    <row r="1555" spans="1:20" s="665" customFormat="1" ht="17.100000000000001" customHeight="1">
      <c r="A1555" s="1316" t="s">
        <v>248</v>
      </c>
      <c r="B1555" s="1317"/>
      <c r="C1555" s="1338"/>
      <c r="D1555" s="1317"/>
      <c r="E1555" s="683">
        <v>0.25</v>
      </c>
      <c r="F1555" s="676" t="s">
        <v>366</v>
      </c>
      <c r="G1555" s="670"/>
      <c r="H1555" s="670"/>
      <c r="I1555" s="670">
        <f>[53]노임단가!$T$5</f>
        <v>172068</v>
      </c>
      <c r="J1555" s="670">
        <f t="shared" si="249"/>
        <v>43017</v>
      </c>
      <c r="K1555" s="670"/>
      <c r="L1555" s="670"/>
      <c r="M1555" s="670">
        <f t="shared" si="250"/>
        <v>172068</v>
      </c>
      <c r="N1555" s="670">
        <f t="shared" si="250"/>
        <v>43017</v>
      </c>
      <c r="O1555" s="671"/>
      <c r="P1555" s="672"/>
      <c r="Q1555" s="688">
        <f>Q1553</f>
        <v>100</v>
      </c>
      <c r="R1555" s="688">
        <f>R1553</f>
        <v>85</v>
      </c>
      <c r="S1555" s="688">
        <v>8</v>
      </c>
      <c r="T1555" s="690">
        <f t="shared" si="248"/>
        <v>9.4100000000000003E-2</v>
      </c>
    </row>
    <row r="1556" spans="1:20" s="665" customFormat="1" ht="17.100000000000001" customHeight="1">
      <c r="A1556" s="1316" t="s">
        <v>628</v>
      </c>
      <c r="B1556" s="1317"/>
      <c r="C1556" s="1381"/>
      <c r="D1556" s="1317"/>
      <c r="E1556" s="683">
        <v>0.05</v>
      </c>
      <c r="F1556" s="676" t="s">
        <v>366</v>
      </c>
      <c r="G1556" s="670"/>
      <c r="H1556" s="670"/>
      <c r="I1556" s="670">
        <f>[53]노임단가!$T$6</f>
        <v>226122</v>
      </c>
      <c r="J1556" s="670">
        <f t="shared" si="249"/>
        <v>11306</v>
      </c>
      <c r="K1556" s="670"/>
      <c r="L1556" s="670"/>
      <c r="M1556" s="670">
        <f t="shared" si="250"/>
        <v>226122</v>
      </c>
      <c r="N1556" s="670">
        <f t="shared" si="250"/>
        <v>11306</v>
      </c>
      <c r="O1556" s="671"/>
      <c r="P1556" s="672"/>
      <c r="Q1556" s="688">
        <f>Q1554</f>
        <v>100</v>
      </c>
      <c r="R1556" s="688">
        <f>R1554</f>
        <v>85</v>
      </c>
      <c r="S1556" s="688">
        <v>8</v>
      </c>
      <c r="T1556" s="690">
        <f t="shared" si="248"/>
        <v>9.4100000000000003E-2</v>
      </c>
    </row>
    <row r="1557" spans="1:20" s="665" customFormat="1" ht="17.100000000000001" customHeight="1">
      <c r="A1557" s="1316" t="s">
        <v>1884</v>
      </c>
      <c r="B1557" s="1317"/>
      <c r="C1557" s="1338" t="s">
        <v>1885</v>
      </c>
      <c r="D1557" s="1317"/>
      <c r="E1557" s="701">
        <f>[53]구조물공!$BE$125</f>
        <v>4.9000000000000002E-2</v>
      </c>
      <c r="F1557" s="676" t="s">
        <v>850</v>
      </c>
      <c r="G1557" s="670" t="e">
        <f>$H$552</f>
        <v>#REF!</v>
      </c>
      <c r="H1557" s="670" t="e">
        <f>INT(E1557*G1557)</f>
        <v>#REF!</v>
      </c>
      <c r="I1557" s="670">
        <f>$J$552</f>
        <v>373604</v>
      </c>
      <c r="J1557" s="670">
        <f t="shared" si="249"/>
        <v>18306</v>
      </c>
      <c r="K1557" s="670">
        <f>$L$552</f>
        <v>5742</v>
      </c>
      <c r="L1557" s="670">
        <f>INT(E1557*K1557)</f>
        <v>281</v>
      </c>
      <c r="M1557" s="670" t="e">
        <f t="shared" si="250"/>
        <v>#REF!</v>
      </c>
      <c r="N1557" s="670" t="e">
        <f t="shared" si="250"/>
        <v>#REF!</v>
      </c>
      <c r="O1557" s="671">
        <f>$A$545</f>
        <v>139</v>
      </c>
      <c r="P1557" s="672"/>
      <c r="Q1557" s="688">
        <f t="shared" ref="Q1557:R1561" si="251">Q1556</f>
        <v>100</v>
      </c>
      <c r="R1557" s="688">
        <f t="shared" si="251"/>
        <v>85</v>
      </c>
      <c r="S1557" s="728">
        <v>1</v>
      </c>
      <c r="T1557" s="690">
        <f t="shared" si="248"/>
        <v>1.18E-2</v>
      </c>
    </row>
    <row r="1558" spans="1:20" s="665" customFormat="1" ht="17.100000000000001" customHeight="1">
      <c r="A1558" s="1316" t="s">
        <v>1886</v>
      </c>
      <c r="B1558" s="1317"/>
      <c r="C1558" s="1381" t="s">
        <v>1529</v>
      </c>
      <c r="D1558" s="1317"/>
      <c r="E1558" s="683">
        <v>2.4000000000000001E-4</v>
      </c>
      <c r="F1558" s="676" t="s">
        <v>850</v>
      </c>
      <c r="G1558" s="670" t="e">
        <f>$H$484</f>
        <v>#REF!</v>
      </c>
      <c r="H1558" s="670" t="e">
        <f>INT(E1558*G1558)</f>
        <v>#REF!</v>
      </c>
      <c r="I1558" s="670">
        <f>$J$484</f>
        <v>73989</v>
      </c>
      <c r="J1558" s="670">
        <f t="shared" si="249"/>
        <v>17</v>
      </c>
      <c r="K1558" s="670">
        <f>$L$484</f>
        <v>11220</v>
      </c>
      <c r="L1558" s="670">
        <f>INT(E1558*K1558)</f>
        <v>2</v>
      </c>
      <c r="M1558" s="670" t="e">
        <f t="shared" si="250"/>
        <v>#REF!</v>
      </c>
      <c r="N1558" s="670" t="e">
        <f t="shared" si="250"/>
        <v>#REF!</v>
      </c>
      <c r="O1558" s="671">
        <f>$A$479</f>
        <v>130</v>
      </c>
      <c r="P1558" s="672"/>
      <c r="Q1558" s="688">
        <f t="shared" si="251"/>
        <v>100</v>
      </c>
      <c r="R1558" s="688">
        <f t="shared" si="251"/>
        <v>85</v>
      </c>
      <c r="S1558" s="728">
        <v>2</v>
      </c>
      <c r="T1558" s="690">
        <f t="shared" si="248"/>
        <v>2.35E-2</v>
      </c>
    </row>
    <row r="1559" spans="1:20" s="665" customFormat="1" ht="17.100000000000001" customHeight="1">
      <c r="A1559" s="1316" t="s">
        <v>1887</v>
      </c>
      <c r="B1559" s="1317"/>
      <c r="C1559" s="1338" t="s">
        <v>1841</v>
      </c>
      <c r="D1559" s="1317"/>
      <c r="E1559" s="675">
        <v>0.36</v>
      </c>
      <c r="F1559" s="676" t="s">
        <v>645</v>
      </c>
      <c r="G1559" s="778" t="e">
        <f>$H$726</f>
        <v>#REF!</v>
      </c>
      <c r="H1559" s="670" t="e">
        <f>INT(E1559*G1559)</f>
        <v>#REF!</v>
      </c>
      <c r="I1559" s="778">
        <f>$J$726</f>
        <v>34461</v>
      </c>
      <c r="J1559" s="670">
        <f t="shared" si="249"/>
        <v>12405</v>
      </c>
      <c r="K1559" s="670"/>
      <c r="L1559" s="670"/>
      <c r="M1559" s="670" t="e">
        <f t="shared" si="250"/>
        <v>#REF!</v>
      </c>
      <c r="N1559" s="670" t="e">
        <f t="shared" si="250"/>
        <v>#REF!</v>
      </c>
      <c r="O1559" s="671">
        <f>$A$721</f>
        <v>163</v>
      </c>
      <c r="P1559" s="672"/>
      <c r="Q1559" s="688">
        <f t="shared" si="251"/>
        <v>100</v>
      </c>
      <c r="R1559" s="688">
        <f t="shared" si="251"/>
        <v>85</v>
      </c>
      <c r="S1559" s="728"/>
      <c r="T1559" s="690">
        <f t="shared" si="248"/>
        <v>0</v>
      </c>
    </row>
    <row r="1560" spans="1:20" s="665" customFormat="1" ht="17.100000000000001" customHeight="1">
      <c r="A1560" s="1318" t="s">
        <v>1320</v>
      </c>
      <c r="B1560" s="1319"/>
      <c r="C1560" s="1371"/>
      <c r="D1560" s="1372"/>
      <c r="E1560" s="677"/>
      <c r="F1560" s="676"/>
      <c r="G1560" s="670"/>
      <c r="H1560" s="670" t="e">
        <f>SUM(H1551:H1559)</f>
        <v>#REF!</v>
      </c>
      <c r="I1560" s="670"/>
      <c r="J1560" s="670" t="e">
        <f>SUM(J1551:J1559)</f>
        <v>#REF!</v>
      </c>
      <c r="K1560" s="670"/>
      <c r="L1560" s="670" t="e">
        <f>SUM(L1551:L1559)</f>
        <v>#REF!</v>
      </c>
      <c r="M1560" s="670"/>
      <c r="N1560" s="670" t="e">
        <f>SUM(N1551:N1559)</f>
        <v>#REF!</v>
      </c>
      <c r="O1560" s="671"/>
      <c r="P1560" s="672"/>
      <c r="Q1560" s="688">
        <f t="shared" si="251"/>
        <v>100</v>
      </c>
      <c r="R1560" s="688">
        <f t="shared" si="251"/>
        <v>85</v>
      </c>
      <c r="S1560" s="728">
        <f>0.15*0.15*0.004</f>
        <v>8.9999999999999992E-5</v>
      </c>
      <c r="T1560" s="690">
        <f t="shared" si="248"/>
        <v>0</v>
      </c>
    </row>
    <row r="1561" spans="1:20" s="665" customFormat="1" ht="17.100000000000001" customHeight="1">
      <c r="A1561" s="668">
        <f>A1550+1</f>
        <v>274</v>
      </c>
      <c r="B1561" s="1320" t="s">
        <v>1920</v>
      </c>
      <c r="C1561" s="1320"/>
      <c r="D1561" s="1320" t="s">
        <v>1892</v>
      </c>
      <c r="E1561" s="1320"/>
      <c r="F1561" s="669" t="s">
        <v>272</v>
      </c>
      <c r="G1561" s="670"/>
      <c r="H1561" s="670"/>
      <c r="I1561" s="670"/>
      <c r="J1561" s="670"/>
      <c r="K1561" s="670"/>
      <c r="L1561" s="670"/>
      <c r="M1561" s="670"/>
      <c r="N1561" s="670"/>
      <c r="O1561" s="699" t="s">
        <v>1562</v>
      </c>
      <c r="P1561" s="672"/>
      <c r="Q1561" s="688">
        <f t="shared" si="251"/>
        <v>100</v>
      </c>
      <c r="R1561" s="688">
        <f t="shared" si="251"/>
        <v>85</v>
      </c>
      <c r="S1561" s="728"/>
      <c r="T1561" s="690">
        <f t="shared" si="248"/>
        <v>0</v>
      </c>
    </row>
    <row r="1562" spans="1:20" s="665" customFormat="1" ht="17.100000000000001" customHeight="1">
      <c r="A1562" s="1316" t="s">
        <v>1893</v>
      </c>
      <c r="B1562" s="1317"/>
      <c r="C1562" s="1316" t="s">
        <v>1894</v>
      </c>
      <c r="D1562" s="1317"/>
      <c r="E1562" s="675">
        <v>1.03</v>
      </c>
      <c r="F1562" s="676" t="s">
        <v>30</v>
      </c>
      <c r="G1562" s="778"/>
      <c r="H1562" s="778"/>
      <c r="I1562" s="670"/>
      <c r="J1562" s="670"/>
      <c r="K1562" s="670"/>
      <c r="L1562" s="670"/>
      <c r="M1562" s="670"/>
      <c r="N1562" s="670"/>
      <c r="O1562" s="671"/>
      <c r="P1562" s="672"/>
    </row>
    <row r="1563" spans="1:20" s="711" customFormat="1" ht="17.100000000000001" customHeight="1">
      <c r="A1563" s="1316" t="s">
        <v>1895</v>
      </c>
      <c r="B1563" s="1317"/>
      <c r="C1563" s="1316" t="s">
        <v>1761</v>
      </c>
      <c r="D1563" s="1317"/>
      <c r="E1563" s="675">
        <v>1.03</v>
      </c>
      <c r="F1563" s="676" t="s">
        <v>30</v>
      </c>
      <c r="G1563" s="670"/>
      <c r="H1563" s="670"/>
      <c r="I1563" s="670"/>
      <c r="J1563" s="670"/>
      <c r="K1563" s="670">
        <f>[53]운반공!$BQ$620</f>
        <v>146</v>
      </c>
      <c r="L1563" s="670">
        <f>INT(E1563*K1563)</f>
        <v>150</v>
      </c>
      <c r="M1563" s="670">
        <f>G1563+I1563+K1563</f>
        <v>146</v>
      </c>
      <c r="N1563" s="670">
        <f>H1563+J1563+L1563</f>
        <v>150</v>
      </c>
      <c r="O1563" s="671"/>
      <c r="P1563" s="710"/>
      <c r="Q1563" s="711" t="s">
        <v>1660</v>
      </c>
    </row>
    <row r="1564" spans="1:20" s="711" customFormat="1" ht="17.100000000000001" customHeight="1">
      <c r="A1564" s="1316" t="s">
        <v>1161</v>
      </c>
      <c r="B1564" s="1317"/>
      <c r="C1564" s="1316" t="s">
        <v>642</v>
      </c>
      <c r="D1564" s="1317"/>
      <c r="E1564" s="683">
        <f>T1533</f>
        <v>7.2700000000000001E-2</v>
      </c>
      <c r="F1564" s="676" t="s">
        <v>418</v>
      </c>
      <c r="G1564" s="670" t="e">
        <f>#REF!</f>
        <v>#REF!</v>
      </c>
      <c r="H1564" s="670" t="e">
        <f>INT(E1564*G1564)</f>
        <v>#REF!</v>
      </c>
      <c r="I1564" s="670" t="e">
        <f>#REF!</f>
        <v>#REF!</v>
      </c>
      <c r="J1564" s="670" t="e">
        <f>INT(E1564*I1564)</f>
        <v>#REF!</v>
      </c>
      <c r="K1564" s="670" t="e">
        <f>#REF!</f>
        <v>#REF!</v>
      </c>
      <c r="L1564" s="670" t="e">
        <f>INT(E1564*K1564)</f>
        <v>#REF!</v>
      </c>
      <c r="M1564" s="670" t="e">
        <f>G1564+I1564+K1564</f>
        <v>#REF!</v>
      </c>
      <c r="N1564" s="670" t="e">
        <f>H1564+J1564+L1564</f>
        <v>#REF!</v>
      </c>
      <c r="O1564" s="671"/>
      <c r="P1564" s="714" t="s">
        <v>1921</v>
      </c>
      <c r="Q1564" s="711">
        <f>0.45*0.19</f>
        <v>8.5500000000000007E-2</v>
      </c>
    </row>
    <row r="1565" spans="1:20" s="725" customFormat="1" ht="17.100000000000001" customHeight="1">
      <c r="A1565" s="1316" t="s">
        <v>481</v>
      </c>
      <c r="B1565" s="1317"/>
      <c r="C1565" s="1316" t="s">
        <v>395</v>
      </c>
      <c r="D1565" s="1317"/>
      <c r="E1565" s="683">
        <f>T1534</f>
        <v>7.2700000000000001E-2</v>
      </c>
      <c r="F1565" s="676" t="s">
        <v>418</v>
      </c>
      <c r="G1565" s="778" t="e">
        <f>#REF!</f>
        <v>#REF!</v>
      </c>
      <c r="H1565" s="670" t="e">
        <f>INT(E1565*G1565)</f>
        <v>#REF!</v>
      </c>
      <c r="I1565" s="670" t="e">
        <f>#REF!</f>
        <v>#REF!</v>
      </c>
      <c r="J1565" s="670" t="e">
        <f t="shared" ref="J1565:J1570" si="252">INT(E1565*I1565)</f>
        <v>#REF!</v>
      </c>
      <c r="K1565" s="670" t="e">
        <f>#REF!</f>
        <v>#REF!</v>
      </c>
      <c r="L1565" s="670" t="e">
        <f>INT(E1565*K1565)</f>
        <v>#REF!</v>
      </c>
      <c r="M1565" s="670" t="e">
        <f t="shared" ref="M1565:N1570" si="253">G1565+I1565+K1565</f>
        <v>#REF!</v>
      </c>
      <c r="N1565" s="670" t="e">
        <f t="shared" si="253"/>
        <v>#REF!</v>
      </c>
      <c r="O1565" s="671"/>
      <c r="P1565" s="1379" t="s">
        <v>1922</v>
      </c>
      <c r="Q1565" s="1380"/>
    </row>
    <row r="1566" spans="1:20" s="711" customFormat="1" ht="17.100000000000001" customHeight="1">
      <c r="A1566" s="1316" t="s">
        <v>248</v>
      </c>
      <c r="B1566" s="1317"/>
      <c r="C1566" s="1338"/>
      <c r="D1566" s="1317"/>
      <c r="E1566" s="683">
        <f>T1535</f>
        <v>9.1000000000000004E-3</v>
      </c>
      <c r="F1566" s="676" t="s">
        <v>366</v>
      </c>
      <c r="G1566" s="670"/>
      <c r="H1566" s="670"/>
      <c r="I1566" s="670">
        <f>[53]노임단가!$T$5</f>
        <v>172068</v>
      </c>
      <c r="J1566" s="670">
        <f t="shared" si="252"/>
        <v>1565</v>
      </c>
      <c r="K1566" s="670"/>
      <c r="L1566" s="670"/>
      <c r="M1566" s="670">
        <f t="shared" si="253"/>
        <v>172068</v>
      </c>
      <c r="N1566" s="670">
        <f t="shared" si="253"/>
        <v>1565</v>
      </c>
      <c r="O1566" s="671"/>
    </row>
    <row r="1567" spans="1:20" s="711" customFormat="1" ht="17.100000000000001" customHeight="1">
      <c r="A1567" s="1316" t="s">
        <v>628</v>
      </c>
      <c r="B1567" s="1317"/>
      <c r="C1567" s="1381"/>
      <c r="D1567" s="1317"/>
      <c r="E1567" s="683">
        <f>T1536</f>
        <v>1.8200000000000001E-2</v>
      </c>
      <c r="F1567" s="676" t="s">
        <v>366</v>
      </c>
      <c r="G1567" s="670"/>
      <c r="H1567" s="670"/>
      <c r="I1567" s="670">
        <f>[53]노임단가!$T$6</f>
        <v>226122</v>
      </c>
      <c r="J1567" s="670">
        <f t="shared" si="252"/>
        <v>4115</v>
      </c>
      <c r="K1567" s="670"/>
      <c r="L1567" s="670"/>
      <c r="M1567" s="670">
        <f t="shared" si="253"/>
        <v>226122</v>
      </c>
      <c r="N1567" s="670">
        <f t="shared" si="253"/>
        <v>4115</v>
      </c>
      <c r="O1567" s="671"/>
      <c r="P1567" s="714"/>
    </row>
    <row r="1568" spans="1:20" s="711" customFormat="1" ht="17.100000000000001" customHeight="1">
      <c r="A1568" s="1316" t="s">
        <v>1884</v>
      </c>
      <c r="B1568" s="1317"/>
      <c r="C1568" s="1338" t="s">
        <v>1885</v>
      </c>
      <c r="D1568" s="1317"/>
      <c r="E1568" s="701">
        <f>[53]구조물공!$BE$126</f>
        <v>4.2999999999999997E-2</v>
      </c>
      <c r="F1568" s="676" t="s">
        <v>850</v>
      </c>
      <c r="G1568" s="670" t="e">
        <f>$H$552</f>
        <v>#REF!</v>
      </c>
      <c r="H1568" s="670" t="e">
        <f>INT(E1568*G1568)</f>
        <v>#REF!</v>
      </c>
      <c r="I1568" s="670">
        <f>$J$552</f>
        <v>373604</v>
      </c>
      <c r="J1568" s="670">
        <f t="shared" si="252"/>
        <v>16064</v>
      </c>
      <c r="K1568" s="670">
        <f>$L$552</f>
        <v>5742</v>
      </c>
      <c r="L1568" s="670">
        <f>INT(E1568*K1568)</f>
        <v>246</v>
      </c>
      <c r="M1568" s="670" t="e">
        <f t="shared" si="253"/>
        <v>#REF!</v>
      </c>
      <c r="N1568" s="670" t="e">
        <f t="shared" si="253"/>
        <v>#REF!</v>
      </c>
      <c r="O1568" s="671">
        <f>$A$545</f>
        <v>139</v>
      </c>
      <c r="P1568" s="714"/>
    </row>
    <row r="1569" spans="1:17" s="711" customFormat="1" ht="17.100000000000001" customHeight="1">
      <c r="A1569" s="1316" t="s">
        <v>1886</v>
      </c>
      <c r="B1569" s="1317"/>
      <c r="C1569" s="1381" t="s">
        <v>1529</v>
      </c>
      <c r="D1569" s="1317"/>
      <c r="E1569" s="683">
        <v>5.7599999999999997E-5</v>
      </c>
      <c r="F1569" s="676" t="s">
        <v>850</v>
      </c>
      <c r="G1569" s="670" t="e">
        <f>$H$484</f>
        <v>#REF!</v>
      </c>
      <c r="H1569" s="670" t="e">
        <f>INT(E1569*G1569)</f>
        <v>#REF!</v>
      </c>
      <c r="I1569" s="670">
        <f>$J$484</f>
        <v>73989</v>
      </c>
      <c r="J1569" s="670">
        <f t="shared" si="252"/>
        <v>4</v>
      </c>
      <c r="K1569" s="670">
        <f>$L$484</f>
        <v>11220</v>
      </c>
      <c r="L1569" s="670">
        <f>INT(E1569*K1569)</f>
        <v>0</v>
      </c>
      <c r="M1569" s="670" t="e">
        <f t="shared" si="253"/>
        <v>#REF!</v>
      </c>
      <c r="N1569" s="670" t="e">
        <f t="shared" si="253"/>
        <v>#REF!</v>
      </c>
      <c r="O1569" s="671">
        <f>$A$479</f>
        <v>130</v>
      </c>
      <c r="P1569" s="714"/>
    </row>
    <row r="1570" spans="1:17" s="711" customFormat="1" ht="17.100000000000001" customHeight="1">
      <c r="A1570" s="1316" t="s">
        <v>1887</v>
      </c>
      <c r="B1570" s="1317"/>
      <c r="C1570" s="1338" t="s">
        <v>1841</v>
      </c>
      <c r="D1570" s="1317"/>
      <c r="E1570" s="675">
        <v>0.36</v>
      </c>
      <c r="F1570" s="676" t="s">
        <v>645</v>
      </c>
      <c r="G1570" s="778" t="e">
        <f>$H$726</f>
        <v>#REF!</v>
      </c>
      <c r="H1570" s="670" t="e">
        <f>INT(E1570*G1570)</f>
        <v>#REF!</v>
      </c>
      <c r="I1570" s="778">
        <f>$J$726</f>
        <v>34461</v>
      </c>
      <c r="J1570" s="670">
        <f t="shared" si="252"/>
        <v>12405</v>
      </c>
      <c r="K1570" s="670"/>
      <c r="L1570" s="670"/>
      <c r="M1570" s="670" t="e">
        <f t="shared" si="253"/>
        <v>#REF!</v>
      </c>
      <c r="N1570" s="670" t="e">
        <f t="shared" si="253"/>
        <v>#REF!</v>
      </c>
      <c r="O1570" s="671">
        <f>$A$721</f>
        <v>163</v>
      </c>
      <c r="P1570" s="714"/>
    </row>
    <row r="1571" spans="1:17" s="711" customFormat="1" ht="17.100000000000001" customHeight="1">
      <c r="A1571" s="1318" t="s">
        <v>1320</v>
      </c>
      <c r="B1571" s="1319"/>
      <c r="C1571" s="1371"/>
      <c r="D1571" s="1372"/>
      <c r="E1571" s="677"/>
      <c r="F1571" s="676"/>
      <c r="G1571" s="670"/>
      <c r="H1571" s="670" t="e">
        <f>SUM(H1562:H1570)</f>
        <v>#REF!</v>
      </c>
      <c r="I1571" s="670"/>
      <c r="J1571" s="670" t="e">
        <f>SUM(J1562:J1570)</f>
        <v>#REF!</v>
      </c>
      <c r="K1571" s="670"/>
      <c r="L1571" s="670" t="e">
        <f>SUM(L1562:L1570)</f>
        <v>#REF!</v>
      </c>
      <c r="M1571" s="670"/>
      <c r="N1571" s="670" t="e">
        <f>SUM(N1562:N1570)</f>
        <v>#REF!</v>
      </c>
      <c r="O1571" s="671"/>
      <c r="P1571" s="710"/>
    </row>
    <row r="1572" spans="1:17" s="711" customFormat="1" ht="17.100000000000001" customHeight="1">
      <c r="A1572" s="668">
        <f>A1561+1</f>
        <v>275</v>
      </c>
      <c r="B1572" s="1320" t="s">
        <v>1920</v>
      </c>
      <c r="C1572" s="1320"/>
      <c r="D1572" s="1320" t="s">
        <v>1878</v>
      </c>
      <c r="E1572" s="1320"/>
      <c r="F1572" s="669" t="s">
        <v>272</v>
      </c>
      <c r="G1572" s="670"/>
      <c r="H1572" s="670"/>
      <c r="I1572" s="670"/>
      <c r="J1572" s="670"/>
      <c r="K1572" s="670"/>
      <c r="L1572" s="670"/>
      <c r="M1572" s="670"/>
      <c r="N1572" s="670"/>
      <c r="O1572" s="699" t="s">
        <v>1562</v>
      </c>
      <c r="P1572" s="710"/>
      <c r="Q1572" s="711" t="s">
        <v>1660</v>
      </c>
    </row>
    <row r="1573" spans="1:17" s="711" customFormat="1" ht="17.100000000000001" customHeight="1">
      <c r="A1573" s="1316" t="s">
        <v>1893</v>
      </c>
      <c r="B1573" s="1317"/>
      <c r="C1573" s="1316" t="s">
        <v>1896</v>
      </c>
      <c r="D1573" s="1317"/>
      <c r="E1573" s="675">
        <v>1.03</v>
      </c>
      <c r="F1573" s="676" t="s">
        <v>30</v>
      </c>
      <c r="G1573" s="778"/>
      <c r="H1573" s="778"/>
      <c r="I1573" s="670"/>
      <c r="J1573" s="670"/>
      <c r="K1573" s="670"/>
      <c r="L1573" s="670"/>
      <c r="M1573" s="670"/>
      <c r="N1573" s="670"/>
      <c r="O1573" s="671"/>
      <c r="P1573" s="714" t="s">
        <v>1921</v>
      </c>
    </row>
    <row r="1574" spans="1:17" s="725" customFormat="1" ht="17.100000000000001" customHeight="1">
      <c r="A1574" s="1316" t="s">
        <v>1895</v>
      </c>
      <c r="B1574" s="1317"/>
      <c r="C1574" s="1316" t="s">
        <v>1761</v>
      </c>
      <c r="D1574" s="1317"/>
      <c r="E1574" s="675">
        <v>1.03</v>
      </c>
      <c r="F1574" s="676" t="s">
        <v>30</v>
      </c>
      <c r="G1574" s="670"/>
      <c r="H1574" s="670"/>
      <c r="I1574" s="670"/>
      <c r="J1574" s="670"/>
      <c r="K1574" s="670">
        <f>[53]운반공!$BQ$621</f>
        <v>229</v>
      </c>
      <c r="L1574" s="670">
        <f>INT(E1574*K1574)</f>
        <v>235</v>
      </c>
      <c r="M1574" s="670">
        <f>G1574+I1574+K1574</f>
        <v>229</v>
      </c>
      <c r="N1574" s="670">
        <f>H1574+J1574+L1574</f>
        <v>235</v>
      </c>
      <c r="O1574" s="671"/>
      <c r="P1574" s="1379" t="s">
        <v>1922</v>
      </c>
      <c r="Q1574" s="1380"/>
    </row>
    <row r="1575" spans="1:17" s="711" customFormat="1" ht="17.100000000000001" customHeight="1">
      <c r="A1575" s="1316" t="s">
        <v>1161</v>
      </c>
      <c r="B1575" s="1317"/>
      <c r="C1575" s="1316" t="s">
        <v>642</v>
      </c>
      <c r="D1575" s="1317"/>
      <c r="E1575" s="683">
        <f>T1544</f>
        <v>9.4100000000000003E-2</v>
      </c>
      <c r="F1575" s="676" t="s">
        <v>418</v>
      </c>
      <c r="G1575" s="670" t="e">
        <f>#REF!</f>
        <v>#REF!</v>
      </c>
      <c r="H1575" s="670" t="e">
        <f>INT(E1575*G1575)</f>
        <v>#REF!</v>
      </c>
      <c r="I1575" s="670" t="e">
        <f>#REF!</f>
        <v>#REF!</v>
      </c>
      <c r="J1575" s="670" t="e">
        <f>INT(E1575*I1575)</f>
        <v>#REF!</v>
      </c>
      <c r="K1575" s="670" t="e">
        <f>#REF!</f>
        <v>#REF!</v>
      </c>
      <c r="L1575" s="670" t="e">
        <f>INT(E1575*K1575)</f>
        <v>#REF!</v>
      </c>
      <c r="M1575" s="670" t="e">
        <f>G1575+I1575+K1575</f>
        <v>#REF!</v>
      </c>
      <c r="N1575" s="670" t="e">
        <f>H1575+J1575+L1575</f>
        <v>#REF!</v>
      </c>
      <c r="O1575" s="671"/>
      <c r="P1575" s="710"/>
    </row>
    <row r="1576" spans="1:17" s="711" customFormat="1" ht="17.100000000000001" customHeight="1">
      <c r="A1576" s="1316" t="s">
        <v>481</v>
      </c>
      <c r="B1576" s="1317"/>
      <c r="C1576" s="1316" t="s">
        <v>395</v>
      </c>
      <c r="D1576" s="1317"/>
      <c r="E1576" s="683">
        <f>T1545</f>
        <v>9.4100000000000003E-2</v>
      </c>
      <c r="F1576" s="676" t="s">
        <v>418</v>
      </c>
      <c r="G1576" s="778" t="e">
        <f>#REF!</f>
        <v>#REF!</v>
      </c>
      <c r="H1576" s="670" t="e">
        <f>INT(E1576*G1576)</f>
        <v>#REF!</v>
      </c>
      <c r="I1576" s="670" t="e">
        <f>#REF!</f>
        <v>#REF!</v>
      </c>
      <c r="J1576" s="670" t="e">
        <f t="shared" ref="J1576:J1581" si="254">INT(E1576*I1576)</f>
        <v>#REF!</v>
      </c>
      <c r="K1576" s="670" t="e">
        <f>#REF!</f>
        <v>#REF!</v>
      </c>
      <c r="L1576" s="670" t="e">
        <f>INT(E1576*K1576)</f>
        <v>#REF!</v>
      </c>
      <c r="M1576" s="670" t="e">
        <f t="shared" ref="M1576:N1581" si="255">G1576+I1576+K1576</f>
        <v>#REF!</v>
      </c>
      <c r="N1576" s="670" t="e">
        <f t="shared" si="255"/>
        <v>#REF!</v>
      </c>
      <c r="O1576" s="671"/>
      <c r="P1576" s="714"/>
    </row>
    <row r="1577" spans="1:17" s="711" customFormat="1" ht="17.100000000000001" customHeight="1">
      <c r="A1577" s="1316" t="s">
        <v>248</v>
      </c>
      <c r="B1577" s="1317"/>
      <c r="C1577" s="1338"/>
      <c r="D1577" s="1317"/>
      <c r="E1577" s="683">
        <f>T1546</f>
        <v>1.18E-2</v>
      </c>
      <c r="F1577" s="676" t="s">
        <v>366</v>
      </c>
      <c r="G1577" s="670"/>
      <c r="H1577" s="670"/>
      <c r="I1577" s="670">
        <f>[53]노임단가!$T$5</f>
        <v>172068</v>
      </c>
      <c r="J1577" s="670">
        <f t="shared" si="254"/>
        <v>2030</v>
      </c>
      <c r="K1577" s="670"/>
      <c r="L1577" s="670"/>
      <c r="M1577" s="670">
        <f t="shared" si="255"/>
        <v>172068</v>
      </c>
      <c r="N1577" s="670">
        <f t="shared" si="255"/>
        <v>2030</v>
      </c>
      <c r="O1577" s="671"/>
      <c r="P1577" s="714"/>
    </row>
    <row r="1578" spans="1:17" s="711" customFormat="1" ht="17.100000000000001" customHeight="1">
      <c r="A1578" s="1316" t="s">
        <v>628</v>
      </c>
      <c r="B1578" s="1317"/>
      <c r="C1578" s="1381"/>
      <c r="D1578" s="1317"/>
      <c r="E1578" s="683">
        <f>T1547</f>
        <v>2.35E-2</v>
      </c>
      <c r="F1578" s="676" t="s">
        <v>366</v>
      </c>
      <c r="G1578" s="670"/>
      <c r="H1578" s="670"/>
      <c r="I1578" s="670">
        <f>[53]노임단가!$T$6</f>
        <v>226122</v>
      </c>
      <c r="J1578" s="670">
        <f t="shared" si="254"/>
        <v>5313</v>
      </c>
      <c r="K1578" s="670"/>
      <c r="L1578" s="670"/>
      <c r="M1578" s="670">
        <f t="shared" si="255"/>
        <v>226122</v>
      </c>
      <c r="N1578" s="670">
        <f t="shared" si="255"/>
        <v>5313</v>
      </c>
      <c r="O1578" s="671"/>
      <c r="P1578" s="714"/>
    </row>
    <row r="1579" spans="1:17" s="711" customFormat="1" ht="17.100000000000001" customHeight="1">
      <c r="A1579" s="1316" t="s">
        <v>1884</v>
      </c>
      <c r="B1579" s="1317"/>
      <c r="C1579" s="1338" t="s">
        <v>1885</v>
      </c>
      <c r="D1579" s="1317"/>
      <c r="E1579" s="701">
        <f>[53]구조물공!$BE$127</f>
        <v>4.7E-2</v>
      </c>
      <c r="F1579" s="676" t="s">
        <v>850</v>
      </c>
      <c r="G1579" s="670" t="e">
        <f>$H$552</f>
        <v>#REF!</v>
      </c>
      <c r="H1579" s="670" t="e">
        <f>INT(E1579*G1579)</f>
        <v>#REF!</v>
      </c>
      <c r="I1579" s="670">
        <f>$J$552</f>
        <v>373604</v>
      </c>
      <c r="J1579" s="670">
        <f t="shared" si="254"/>
        <v>17559</v>
      </c>
      <c r="K1579" s="670">
        <f>$L$552</f>
        <v>5742</v>
      </c>
      <c r="L1579" s="670">
        <f>INT(E1579*K1579)</f>
        <v>269</v>
      </c>
      <c r="M1579" s="670" t="e">
        <f t="shared" si="255"/>
        <v>#REF!</v>
      </c>
      <c r="N1579" s="670" t="e">
        <f t="shared" si="255"/>
        <v>#REF!</v>
      </c>
      <c r="O1579" s="671">
        <f>$A$545</f>
        <v>139</v>
      </c>
      <c r="P1579" s="714"/>
    </row>
    <row r="1580" spans="1:17" s="711" customFormat="1" ht="17.100000000000001" customHeight="1">
      <c r="A1580" s="1316" t="s">
        <v>1886</v>
      </c>
      <c r="B1580" s="1317"/>
      <c r="C1580" s="1381" t="s">
        <v>1529</v>
      </c>
      <c r="D1580" s="1317"/>
      <c r="E1580" s="683">
        <v>9.0000000000000006E-5</v>
      </c>
      <c r="F1580" s="676" t="s">
        <v>850</v>
      </c>
      <c r="G1580" s="670" t="e">
        <f>$H$484</f>
        <v>#REF!</v>
      </c>
      <c r="H1580" s="670" t="e">
        <f>INT(E1580*G1580)</f>
        <v>#REF!</v>
      </c>
      <c r="I1580" s="670">
        <f>$J$484</f>
        <v>73989</v>
      </c>
      <c r="J1580" s="670">
        <f t="shared" si="254"/>
        <v>6</v>
      </c>
      <c r="K1580" s="670">
        <f>$L$484</f>
        <v>11220</v>
      </c>
      <c r="L1580" s="670">
        <f>INT(E1580*K1580)</f>
        <v>1</v>
      </c>
      <c r="M1580" s="670" t="e">
        <f t="shared" si="255"/>
        <v>#REF!</v>
      </c>
      <c r="N1580" s="670" t="e">
        <f t="shared" si="255"/>
        <v>#REF!</v>
      </c>
      <c r="O1580" s="671">
        <f>$A$479</f>
        <v>130</v>
      </c>
      <c r="P1580" s="710"/>
    </row>
    <row r="1581" spans="1:17" s="711" customFormat="1" ht="17.100000000000001" customHeight="1">
      <c r="A1581" s="1316" t="s">
        <v>1887</v>
      </c>
      <c r="B1581" s="1317"/>
      <c r="C1581" s="1338" t="s">
        <v>1841</v>
      </c>
      <c r="D1581" s="1317"/>
      <c r="E1581" s="675">
        <v>0.36</v>
      </c>
      <c r="F1581" s="676" t="s">
        <v>645</v>
      </c>
      <c r="G1581" s="778" t="e">
        <f>$H$726</f>
        <v>#REF!</v>
      </c>
      <c r="H1581" s="670" t="e">
        <f>INT(E1581*G1581)</f>
        <v>#REF!</v>
      </c>
      <c r="I1581" s="778">
        <f>$J$726</f>
        <v>34461</v>
      </c>
      <c r="J1581" s="670">
        <f t="shared" si="254"/>
        <v>12405</v>
      </c>
      <c r="K1581" s="670"/>
      <c r="L1581" s="670"/>
      <c r="M1581" s="670" t="e">
        <f t="shared" si="255"/>
        <v>#REF!</v>
      </c>
      <c r="N1581" s="670" t="e">
        <f t="shared" si="255"/>
        <v>#REF!</v>
      </c>
      <c r="O1581" s="671">
        <f>$A$721</f>
        <v>163</v>
      </c>
      <c r="P1581" s="710"/>
      <c r="Q1581" s="711" t="s">
        <v>1660</v>
      </c>
    </row>
    <row r="1582" spans="1:17" s="711" customFormat="1" ht="17.100000000000001" customHeight="1">
      <c r="A1582" s="1318" t="s">
        <v>1320</v>
      </c>
      <c r="B1582" s="1319"/>
      <c r="C1582" s="1371"/>
      <c r="D1582" s="1372"/>
      <c r="E1582" s="677"/>
      <c r="F1582" s="676"/>
      <c r="G1582" s="670"/>
      <c r="H1582" s="670" t="e">
        <f>SUM(H1573:H1581)</f>
        <v>#REF!</v>
      </c>
      <c r="I1582" s="670"/>
      <c r="J1582" s="670" t="e">
        <f>SUM(J1573:J1581)</f>
        <v>#REF!</v>
      </c>
      <c r="K1582" s="670"/>
      <c r="L1582" s="670" t="e">
        <f>SUM(L1573:L1581)</f>
        <v>#REF!</v>
      </c>
      <c r="M1582" s="670"/>
      <c r="N1582" s="670" t="e">
        <f>SUM(N1573:N1581)</f>
        <v>#REF!</v>
      </c>
      <c r="O1582" s="671"/>
      <c r="P1582" s="710"/>
    </row>
    <row r="1583" spans="1:17" s="711" customFormat="1" ht="17.100000000000001" customHeight="1">
      <c r="A1583" s="668">
        <f>A1572+1</f>
        <v>276</v>
      </c>
      <c r="B1583" s="1320" t="s">
        <v>1920</v>
      </c>
      <c r="C1583" s="1320"/>
      <c r="D1583" s="1320" t="s">
        <v>1897</v>
      </c>
      <c r="E1583" s="1320"/>
      <c r="F1583" s="669" t="s">
        <v>272</v>
      </c>
      <c r="G1583" s="670"/>
      <c r="H1583" s="670"/>
      <c r="I1583" s="670"/>
      <c r="J1583" s="670"/>
      <c r="K1583" s="670"/>
      <c r="L1583" s="670"/>
      <c r="M1583" s="670"/>
      <c r="N1583" s="670"/>
      <c r="O1583" s="699" t="s">
        <v>1562</v>
      </c>
      <c r="P1583" s="710"/>
    </row>
    <row r="1584" spans="1:17" s="725" customFormat="1" ht="17.100000000000001" customHeight="1">
      <c r="A1584" s="1316" t="s">
        <v>1893</v>
      </c>
      <c r="B1584" s="1317"/>
      <c r="C1584" s="1316" t="s">
        <v>1896</v>
      </c>
      <c r="D1584" s="1317"/>
      <c r="E1584" s="675">
        <v>1.03</v>
      </c>
      <c r="F1584" s="676" t="s">
        <v>30</v>
      </c>
      <c r="G1584" s="778"/>
      <c r="H1584" s="778"/>
      <c r="I1584" s="670"/>
      <c r="J1584" s="670"/>
      <c r="K1584" s="670"/>
      <c r="L1584" s="670"/>
      <c r="M1584" s="670"/>
      <c r="N1584" s="670"/>
      <c r="O1584" s="671"/>
      <c r="P1584" s="1379" t="s">
        <v>1922</v>
      </c>
      <c r="Q1584" s="1380"/>
    </row>
    <row r="1585" spans="1:22" s="711" customFormat="1" ht="17.100000000000001" customHeight="1">
      <c r="A1585" s="1316" t="s">
        <v>1895</v>
      </c>
      <c r="B1585" s="1317"/>
      <c r="C1585" s="1316" t="s">
        <v>1761</v>
      </c>
      <c r="D1585" s="1317"/>
      <c r="E1585" s="675">
        <v>1.03</v>
      </c>
      <c r="F1585" s="676" t="s">
        <v>30</v>
      </c>
      <c r="G1585" s="670"/>
      <c r="H1585" s="670"/>
      <c r="I1585" s="670"/>
      <c r="J1585" s="670"/>
      <c r="K1585" s="670">
        <f>[53]운반공!$BQ$621</f>
        <v>229</v>
      </c>
      <c r="L1585" s="670">
        <f>INT(E1585*K1585)</f>
        <v>235</v>
      </c>
      <c r="M1585" s="670">
        <f>G1585+I1585+K1585</f>
        <v>229</v>
      </c>
      <c r="N1585" s="670">
        <f>H1585+J1585+L1585</f>
        <v>235</v>
      </c>
      <c r="O1585" s="671"/>
      <c r="P1585" s="714"/>
    </row>
    <row r="1586" spans="1:22" s="711" customFormat="1" ht="17.100000000000001" customHeight="1">
      <c r="A1586" s="1316" t="s">
        <v>1161</v>
      </c>
      <c r="B1586" s="1317"/>
      <c r="C1586" s="1316" t="s">
        <v>642</v>
      </c>
      <c r="D1586" s="1317"/>
      <c r="E1586" s="683">
        <f>T1555</f>
        <v>9.4100000000000003E-2</v>
      </c>
      <c r="F1586" s="676" t="s">
        <v>418</v>
      </c>
      <c r="G1586" s="670" t="e">
        <f>#REF!</f>
        <v>#REF!</v>
      </c>
      <c r="H1586" s="670" t="e">
        <f>INT(E1586*G1586)</f>
        <v>#REF!</v>
      </c>
      <c r="I1586" s="670" t="e">
        <f>#REF!</f>
        <v>#REF!</v>
      </c>
      <c r="J1586" s="670" t="e">
        <f>INT(E1586*I1586)</f>
        <v>#REF!</v>
      </c>
      <c r="K1586" s="670" t="e">
        <f>#REF!</f>
        <v>#REF!</v>
      </c>
      <c r="L1586" s="670" t="e">
        <f>INT(E1586*K1586)</f>
        <v>#REF!</v>
      </c>
      <c r="M1586" s="670" t="e">
        <f>G1586+I1586+K1586</f>
        <v>#REF!</v>
      </c>
      <c r="N1586" s="670" t="e">
        <f>H1586+J1586+L1586</f>
        <v>#REF!</v>
      </c>
      <c r="O1586" s="671"/>
      <c r="P1586" s="714"/>
    </row>
    <row r="1587" spans="1:22" s="711" customFormat="1" ht="17.100000000000001" customHeight="1">
      <c r="A1587" s="1316" t="s">
        <v>481</v>
      </c>
      <c r="B1587" s="1317"/>
      <c r="C1587" s="1316" t="s">
        <v>359</v>
      </c>
      <c r="D1587" s="1317"/>
      <c r="E1587" s="683">
        <f>T1556</f>
        <v>9.4100000000000003E-2</v>
      </c>
      <c r="F1587" s="676" t="s">
        <v>418</v>
      </c>
      <c r="G1587" s="778" t="e">
        <f>#REF!</f>
        <v>#REF!</v>
      </c>
      <c r="H1587" s="670" t="e">
        <f>INT(E1587*G1587)</f>
        <v>#REF!</v>
      </c>
      <c r="I1587" s="670" t="e">
        <f>#REF!</f>
        <v>#REF!</v>
      </c>
      <c r="J1587" s="670" t="e">
        <f t="shared" ref="J1587:J1592" si="256">INT(E1587*I1587)</f>
        <v>#REF!</v>
      </c>
      <c r="K1587" s="670" t="e">
        <f>#REF!</f>
        <v>#REF!</v>
      </c>
      <c r="L1587" s="670" t="e">
        <f>INT(E1587*K1587)</f>
        <v>#REF!</v>
      </c>
      <c r="M1587" s="670" t="e">
        <f t="shared" ref="M1587:N1592" si="257">G1587+I1587+K1587</f>
        <v>#REF!</v>
      </c>
      <c r="N1587" s="670" t="e">
        <f t="shared" si="257"/>
        <v>#REF!</v>
      </c>
      <c r="O1587" s="671"/>
      <c r="P1587" s="714"/>
    </row>
    <row r="1588" spans="1:22" s="711" customFormat="1" ht="17.100000000000001" customHeight="1">
      <c r="A1588" s="1316" t="s">
        <v>248</v>
      </c>
      <c r="B1588" s="1317"/>
      <c r="C1588" s="1338"/>
      <c r="D1588" s="1317"/>
      <c r="E1588" s="683">
        <f>T1557</f>
        <v>1.18E-2</v>
      </c>
      <c r="F1588" s="676" t="s">
        <v>366</v>
      </c>
      <c r="G1588" s="670"/>
      <c r="H1588" s="670"/>
      <c r="I1588" s="670">
        <f>[53]노임단가!$T$5</f>
        <v>172068</v>
      </c>
      <c r="J1588" s="670">
        <f t="shared" si="256"/>
        <v>2030</v>
      </c>
      <c r="K1588" s="670"/>
      <c r="L1588" s="670"/>
      <c r="M1588" s="670">
        <f t="shared" si="257"/>
        <v>172068</v>
      </c>
      <c r="N1588" s="670">
        <f t="shared" si="257"/>
        <v>2030</v>
      </c>
      <c r="O1588" s="671"/>
      <c r="P1588" s="714"/>
    </row>
    <row r="1589" spans="1:22" s="711" customFormat="1" ht="17.100000000000001" customHeight="1">
      <c r="A1589" s="1316" t="s">
        <v>628</v>
      </c>
      <c r="B1589" s="1317"/>
      <c r="C1589" s="1381"/>
      <c r="D1589" s="1317"/>
      <c r="E1589" s="683">
        <f>T1558</f>
        <v>2.35E-2</v>
      </c>
      <c r="F1589" s="676" t="s">
        <v>366</v>
      </c>
      <c r="G1589" s="670"/>
      <c r="H1589" s="670"/>
      <c r="I1589" s="670">
        <f>[53]노임단가!$T$6</f>
        <v>226122</v>
      </c>
      <c r="J1589" s="670">
        <f t="shared" si="256"/>
        <v>5313</v>
      </c>
      <c r="K1589" s="670"/>
      <c r="L1589" s="670"/>
      <c r="M1589" s="670">
        <f t="shared" si="257"/>
        <v>226122</v>
      </c>
      <c r="N1589" s="670">
        <f t="shared" si="257"/>
        <v>5313</v>
      </c>
      <c r="O1589" s="671"/>
      <c r="P1589" s="714"/>
      <c r="U1589" s="713"/>
      <c r="V1589" s="713"/>
    </row>
    <row r="1590" spans="1:22" s="713" customFormat="1" ht="17.100000000000001" customHeight="1">
      <c r="A1590" s="1316" t="s">
        <v>1884</v>
      </c>
      <c r="B1590" s="1317"/>
      <c r="C1590" s="1338" t="s">
        <v>1885</v>
      </c>
      <c r="D1590" s="1317"/>
      <c r="E1590" s="701">
        <f>[53]구조물공!$BE$127</f>
        <v>4.7E-2</v>
      </c>
      <c r="F1590" s="676" t="s">
        <v>850</v>
      </c>
      <c r="G1590" s="670" t="e">
        <f>$H$552</f>
        <v>#REF!</v>
      </c>
      <c r="H1590" s="670" t="e">
        <f>INT(E1590*G1590)</f>
        <v>#REF!</v>
      </c>
      <c r="I1590" s="670">
        <f>$J$552</f>
        <v>373604</v>
      </c>
      <c r="J1590" s="670">
        <f t="shared" si="256"/>
        <v>17559</v>
      </c>
      <c r="K1590" s="670">
        <f>$L$552</f>
        <v>5742</v>
      </c>
      <c r="L1590" s="670">
        <f>INT(E1590*K1590)</f>
        <v>269</v>
      </c>
      <c r="M1590" s="670" t="e">
        <f t="shared" si="257"/>
        <v>#REF!</v>
      </c>
      <c r="N1590" s="670" t="e">
        <f t="shared" si="257"/>
        <v>#REF!</v>
      </c>
      <c r="O1590" s="671">
        <f>$A$545</f>
        <v>139</v>
      </c>
      <c r="P1590" s="710"/>
      <c r="Q1590" s="711"/>
      <c r="R1590" s="711"/>
      <c r="S1590" s="711"/>
      <c r="T1590" s="711"/>
    </row>
    <row r="1591" spans="1:22" s="713" customFormat="1" ht="17.100000000000001" customHeight="1">
      <c r="A1591" s="1316" t="s">
        <v>1886</v>
      </c>
      <c r="B1591" s="1317"/>
      <c r="C1591" s="1381" t="s">
        <v>1529</v>
      </c>
      <c r="D1591" s="1317"/>
      <c r="E1591" s="683">
        <v>8.9999999999999992E-5</v>
      </c>
      <c r="F1591" s="676" t="s">
        <v>850</v>
      </c>
      <c r="G1591" s="670" t="e">
        <f>$H$484</f>
        <v>#REF!</v>
      </c>
      <c r="H1591" s="670" t="e">
        <f>INT(E1591*G1591)</f>
        <v>#REF!</v>
      </c>
      <c r="I1591" s="670">
        <f>$J$484</f>
        <v>73989</v>
      </c>
      <c r="J1591" s="670">
        <f t="shared" si="256"/>
        <v>6</v>
      </c>
      <c r="K1591" s="670">
        <f>$L$484</f>
        <v>11220</v>
      </c>
      <c r="L1591" s="670">
        <f>INT(E1591*K1591)</f>
        <v>1</v>
      </c>
      <c r="M1591" s="670" t="e">
        <f t="shared" si="257"/>
        <v>#REF!</v>
      </c>
      <c r="N1591" s="670" t="e">
        <f t="shared" si="257"/>
        <v>#REF!</v>
      </c>
      <c r="O1591" s="671">
        <f>$A$479</f>
        <v>130</v>
      </c>
      <c r="P1591" s="710"/>
      <c r="Q1591" s="711" t="s">
        <v>1660</v>
      </c>
      <c r="R1591" s="711"/>
      <c r="S1591" s="711"/>
      <c r="T1591" s="711"/>
    </row>
    <row r="1592" spans="1:22" s="713" customFormat="1" ht="17.100000000000001" customHeight="1">
      <c r="A1592" s="1316" t="s">
        <v>1887</v>
      </c>
      <c r="B1592" s="1317"/>
      <c r="C1592" s="1338" t="s">
        <v>1841</v>
      </c>
      <c r="D1592" s="1317"/>
      <c r="E1592" s="675">
        <v>0.18</v>
      </c>
      <c r="F1592" s="676" t="s">
        <v>645</v>
      </c>
      <c r="G1592" s="778" t="e">
        <f>$H$726</f>
        <v>#REF!</v>
      </c>
      <c r="H1592" s="670" t="e">
        <f>INT(E1592*G1592)</f>
        <v>#REF!</v>
      </c>
      <c r="I1592" s="778">
        <f>$J$726</f>
        <v>34461</v>
      </c>
      <c r="J1592" s="670">
        <f t="shared" si="256"/>
        <v>6202</v>
      </c>
      <c r="K1592" s="670"/>
      <c r="L1592" s="670"/>
      <c r="M1592" s="670" t="e">
        <f t="shared" si="257"/>
        <v>#REF!</v>
      </c>
      <c r="N1592" s="670" t="e">
        <f t="shared" si="257"/>
        <v>#REF!</v>
      </c>
      <c r="O1592" s="671">
        <f>$A$721</f>
        <v>163</v>
      </c>
      <c r="P1592" s="710"/>
      <c r="Q1592" s="711"/>
      <c r="R1592" s="711"/>
      <c r="S1592" s="711"/>
      <c r="T1592" s="711"/>
    </row>
    <row r="1593" spans="1:22" s="713" customFormat="1" ht="17.100000000000001" customHeight="1">
      <c r="A1593" s="1318" t="s">
        <v>1320</v>
      </c>
      <c r="B1593" s="1319"/>
      <c r="C1593" s="1371"/>
      <c r="D1593" s="1372"/>
      <c r="E1593" s="677"/>
      <c r="F1593" s="676"/>
      <c r="G1593" s="670"/>
      <c r="H1593" s="670" t="e">
        <f>SUM(H1584:H1592)</f>
        <v>#REF!</v>
      </c>
      <c r="I1593" s="670"/>
      <c r="J1593" s="670" t="e">
        <f>SUM(J1584:J1592)</f>
        <v>#REF!</v>
      </c>
      <c r="K1593" s="670"/>
      <c r="L1593" s="670" t="e">
        <f>SUM(L1584:L1592)</f>
        <v>#REF!</v>
      </c>
      <c r="M1593" s="670"/>
      <c r="N1593" s="670" t="e">
        <f>SUM(N1584:N1592)</f>
        <v>#REF!</v>
      </c>
      <c r="O1593" s="671"/>
      <c r="P1593" s="710"/>
      <c r="Q1593" s="711"/>
      <c r="R1593" s="711"/>
      <c r="S1593" s="711"/>
      <c r="T1593" s="711"/>
    </row>
    <row r="1594" spans="1:22" s="725" customFormat="1" ht="17.100000000000001" customHeight="1">
      <c r="A1594" s="668">
        <f>A1583+1</f>
        <v>277</v>
      </c>
      <c r="B1594" s="1320" t="s">
        <v>1923</v>
      </c>
      <c r="C1594" s="1320"/>
      <c r="D1594" s="1320" t="s">
        <v>1924</v>
      </c>
      <c r="E1594" s="1320"/>
      <c r="F1594" s="669" t="s">
        <v>272</v>
      </c>
      <c r="G1594" s="670"/>
      <c r="H1594" s="670"/>
      <c r="I1594" s="670"/>
      <c r="J1594" s="670"/>
      <c r="K1594" s="670"/>
      <c r="L1594" s="670"/>
      <c r="M1594" s="670"/>
      <c r="N1594" s="670"/>
      <c r="O1594" s="671"/>
      <c r="P1594" s="1379" t="s">
        <v>1922</v>
      </c>
      <c r="Q1594" s="1380"/>
    </row>
    <row r="1595" spans="1:22" s="713" customFormat="1" ht="17.100000000000001" customHeight="1">
      <c r="A1595" s="1316" t="s">
        <v>1839</v>
      </c>
      <c r="B1595" s="1317"/>
      <c r="C1595" s="1316" t="s">
        <v>1925</v>
      </c>
      <c r="D1595" s="1317"/>
      <c r="E1595" s="683">
        <v>8.5500000000000007E-2</v>
      </c>
      <c r="F1595" s="676" t="s">
        <v>850</v>
      </c>
      <c r="G1595" s="670" t="e">
        <f>$H$504</f>
        <v>#REF!</v>
      </c>
      <c r="H1595" s="670" t="e">
        <f t="shared" ref="H1595:H1601" si="258">INT(E1595*G1595)</f>
        <v>#REF!</v>
      </c>
      <c r="I1595" s="670">
        <f>$J$504</f>
        <v>373604</v>
      </c>
      <c r="J1595" s="670">
        <f>INT(E1595*I1595)</f>
        <v>31943</v>
      </c>
      <c r="K1595" s="670">
        <f>$L$504</f>
        <v>7436</v>
      </c>
      <c r="L1595" s="670">
        <f>INT(E1595*K1595)</f>
        <v>635</v>
      </c>
      <c r="M1595" s="670" t="e">
        <f t="shared" ref="M1595:N1601" si="259">G1595+I1595+K1595</f>
        <v>#REF!</v>
      </c>
      <c r="N1595" s="670" t="e">
        <f t="shared" si="259"/>
        <v>#REF!</v>
      </c>
      <c r="O1595" s="707">
        <f>$A$497</f>
        <v>133</v>
      </c>
      <c r="P1595" s="714"/>
      <c r="S1595" s="711"/>
      <c r="T1595" s="711"/>
    </row>
    <row r="1596" spans="1:22" s="713" customFormat="1" ht="17.100000000000001" customHeight="1">
      <c r="A1596" s="1316" t="s">
        <v>1926</v>
      </c>
      <c r="B1596" s="1317"/>
      <c r="C1596" s="1338" t="s">
        <v>1927</v>
      </c>
      <c r="D1596" s="1378"/>
      <c r="E1596" s="683">
        <v>1.5E-3</v>
      </c>
      <c r="F1596" s="676" t="s">
        <v>366</v>
      </c>
      <c r="G1596" s="670"/>
      <c r="H1596" s="670"/>
      <c r="I1596" s="670">
        <f>[53]노임단가!$BK$4</f>
        <v>277276</v>
      </c>
      <c r="J1596" s="670">
        <f>INT(E1596*I1596)</f>
        <v>415</v>
      </c>
      <c r="K1596" s="670"/>
      <c r="L1596" s="670"/>
      <c r="M1596" s="670">
        <f t="shared" si="259"/>
        <v>277276</v>
      </c>
      <c r="N1596" s="670">
        <f t="shared" si="259"/>
        <v>415</v>
      </c>
      <c r="O1596" s="671"/>
      <c r="P1596" s="714"/>
      <c r="Q1596" s="787"/>
      <c r="R1596" s="788"/>
      <c r="S1596" s="717"/>
      <c r="T1596" s="717"/>
    </row>
    <row r="1597" spans="1:22" s="713" customFormat="1" ht="17.100000000000001" customHeight="1">
      <c r="A1597" s="1316" t="s">
        <v>1887</v>
      </c>
      <c r="B1597" s="1317"/>
      <c r="C1597" s="1338" t="s">
        <v>1843</v>
      </c>
      <c r="D1597" s="1317"/>
      <c r="E1597" s="679">
        <v>0.2</v>
      </c>
      <c r="F1597" s="676" t="s">
        <v>850</v>
      </c>
      <c r="G1597" s="670" t="e">
        <f>$H$714</f>
        <v>#REF!</v>
      </c>
      <c r="H1597" s="670" t="e">
        <f t="shared" si="258"/>
        <v>#REF!</v>
      </c>
      <c r="I1597" s="670">
        <f>$J$714</f>
        <v>38182</v>
      </c>
      <c r="J1597" s="670">
        <f>INT(E1597*I1597)</f>
        <v>7636</v>
      </c>
      <c r="K1597" s="670"/>
      <c r="L1597" s="670"/>
      <c r="M1597" s="670" t="e">
        <f t="shared" si="259"/>
        <v>#REF!</v>
      </c>
      <c r="N1597" s="670" t="e">
        <f t="shared" si="259"/>
        <v>#REF!</v>
      </c>
      <c r="O1597" s="707">
        <f>$A$709</f>
        <v>161</v>
      </c>
      <c r="P1597" s="714"/>
      <c r="Q1597" s="788"/>
      <c r="S1597" s="789"/>
      <c r="T1597" s="717"/>
    </row>
    <row r="1598" spans="1:22" s="713" customFormat="1" ht="17.100000000000001" customHeight="1">
      <c r="A1598" s="1316" t="s">
        <v>1928</v>
      </c>
      <c r="B1598" s="1317"/>
      <c r="C1598" s="1338" t="s">
        <v>1929</v>
      </c>
      <c r="D1598" s="1317"/>
      <c r="E1598" s="677">
        <v>1</v>
      </c>
      <c r="F1598" s="676" t="s">
        <v>30</v>
      </c>
      <c r="G1598" s="670">
        <v>100</v>
      </c>
      <c r="H1598" s="670">
        <f t="shared" si="258"/>
        <v>100</v>
      </c>
      <c r="I1598" s="670"/>
      <c r="J1598" s="670"/>
      <c r="K1598" s="670"/>
      <c r="L1598" s="670"/>
      <c r="M1598" s="670">
        <f t="shared" si="259"/>
        <v>100</v>
      </c>
      <c r="N1598" s="670">
        <f t="shared" si="259"/>
        <v>100</v>
      </c>
      <c r="O1598" s="707"/>
      <c r="P1598" s="714"/>
      <c r="S1598" s="717"/>
      <c r="T1598" s="717"/>
    </row>
    <row r="1599" spans="1:22" s="713" customFormat="1" ht="17.100000000000001" customHeight="1">
      <c r="A1599" s="1316" t="s">
        <v>1930</v>
      </c>
      <c r="B1599" s="1317"/>
      <c r="C1599" s="1338" t="s">
        <v>1931</v>
      </c>
      <c r="D1599" s="1317"/>
      <c r="E1599" s="701">
        <v>7.4999999999999997E-2</v>
      </c>
      <c r="F1599" s="676" t="s">
        <v>272</v>
      </c>
      <c r="G1599" s="670" t="e">
        <f>$H$206</f>
        <v>#REF!</v>
      </c>
      <c r="H1599" s="670" t="e">
        <f t="shared" si="258"/>
        <v>#REF!</v>
      </c>
      <c r="I1599" s="670" t="e">
        <f>$J$206</f>
        <v>#REF!</v>
      </c>
      <c r="J1599" s="670" t="e">
        <f>INT(E1599*I1599)</f>
        <v>#REF!</v>
      </c>
      <c r="K1599" s="670" t="e">
        <f>$L$206</f>
        <v>#REF!</v>
      </c>
      <c r="L1599" s="670" t="e">
        <f>INT(E1599*K1599)</f>
        <v>#REF!</v>
      </c>
      <c r="M1599" s="670" t="e">
        <f t="shared" si="259"/>
        <v>#REF!</v>
      </c>
      <c r="N1599" s="670" t="e">
        <f t="shared" si="259"/>
        <v>#REF!</v>
      </c>
      <c r="O1599" s="707">
        <f>$A$201</f>
        <v>51</v>
      </c>
      <c r="P1599" s="714"/>
      <c r="S1599" s="717"/>
      <c r="T1599" s="717"/>
    </row>
    <row r="1600" spans="1:22" s="713" customFormat="1" ht="17.100000000000001" customHeight="1">
      <c r="A1600" s="1316" t="s">
        <v>1932</v>
      </c>
      <c r="B1600" s="1317"/>
      <c r="C1600" s="1338" t="s">
        <v>1933</v>
      </c>
      <c r="D1600" s="1317"/>
      <c r="E1600" s="701">
        <v>7.4999999999999997E-2</v>
      </c>
      <c r="F1600" s="676" t="s">
        <v>272</v>
      </c>
      <c r="G1600" s="670" t="e">
        <f>$H$2550</f>
        <v>#REF!</v>
      </c>
      <c r="H1600" s="670" t="e">
        <f t="shared" si="258"/>
        <v>#REF!</v>
      </c>
      <c r="I1600" s="670">
        <f>$J$2550</f>
        <v>1124</v>
      </c>
      <c r="J1600" s="670">
        <f>INT(E1600*I1600)</f>
        <v>84</v>
      </c>
      <c r="K1600" s="670"/>
      <c r="L1600" s="670"/>
      <c r="M1600" s="670" t="e">
        <f t="shared" si="259"/>
        <v>#REF!</v>
      </c>
      <c r="N1600" s="670" t="e">
        <f t="shared" si="259"/>
        <v>#REF!</v>
      </c>
      <c r="O1600" s="707">
        <f>$A$2545</f>
        <v>371</v>
      </c>
      <c r="P1600" s="710"/>
      <c r="S1600" s="717"/>
      <c r="T1600" s="717"/>
    </row>
    <row r="1601" spans="1:20" s="688" customFormat="1" ht="17.100000000000001" customHeight="1">
      <c r="A1601" s="1316" t="s">
        <v>1934</v>
      </c>
      <c r="B1601" s="1317"/>
      <c r="C1601" s="1338"/>
      <c r="D1601" s="1317"/>
      <c r="E1601" s="675">
        <v>0.45</v>
      </c>
      <c r="F1601" s="676" t="s">
        <v>645</v>
      </c>
      <c r="G1601" s="670" t="e">
        <f>$H$634</f>
        <v>#REF!</v>
      </c>
      <c r="H1601" s="670" t="e">
        <f t="shared" si="258"/>
        <v>#REF!</v>
      </c>
      <c r="I1601" s="670">
        <f>$J$634</f>
        <v>688</v>
      </c>
      <c r="J1601" s="670">
        <f>INT(E1601*I1601)</f>
        <v>309</v>
      </c>
      <c r="K1601" s="670"/>
      <c r="L1601" s="670"/>
      <c r="M1601" s="670" t="e">
        <f t="shared" si="259"/>
        <v>#REF!</v>
      </c>
      <c r="N1601" s="670" t="e">
        <f t="shared" si="259"/>
        <v>#REF!</v>
      </c>
      <c r="O1601" s="707">
        <f>$A$631</f>
        <v>152</v>
      </c>
      <c r="P1601" s="672"/>
      <c r="Q1601" s="687" t="s">
        <v>1935</v>
      </c>
      <c r="R1601" s="688" t="s">
        <v>1936</v>
      </c>
      <c r="S1601" s="688" t="s">
        <v>1425</v>
      </c>
      <c r="T1601" s="688" t="s">
        <v>1426</v>
      </c>
    </row>
    <row r="1602" spans="1:20" s="688" customFormat="1" ht="17.100000000000001" customHeight="1">
      <c r="A1602" s="1318" t="s">
        <v>1320</v>
      </c>
      <c r="B1602" s="1319"/>
      <c r="C1602" s="1371"/>
      <c r="D1602" s="1372"/>
      <c r="E1602" s="677"/>
      <c r="F1602" s="676"/>
      <c r="G1602" s="670"/>
      <c r="H1602" s="670" t="e">
        <f>SUM(H1595:H1601)</f>
        <v>#REF!</v>
      </c>
      <c r="I1602" s="670"/>
      <c r="J1602" s="670" t="e">
        <f>SUM(J1595:J1601)</f>
        <v>#REF!</v>
      </c>
      <c r="K1602" s="670"/>
      <c r="L1602" s="670" t="e">
        <f>SUM(L1595:L1601)</f>
        <v>#REF!</v>
      </c>
      <c r="M1602" s="670"/>
      <c r="N1602" s="670" t="e">
        <f>SUM(N1595:N1601)</f>
        <v>#REF!</v>
      </c>
      <c r="O1602" s="671"/>
      <c r="P1602" s="672"/>
      <c r="Q1602" s="688">
        <v>100</v>
      </c>
      <c r="R1602" s="688">
        <v>100</v>
      </c>
      <c r="S1602" s="688">
        <v>0</v>
      </c>
    </row>
    <row r="1603" spans="1:20" s="688" customFormat="1" ht="17.100000000000001" customHeight="1">
      <c r="A1603" s="668">
        <f>A1594+1</f>
        <v>278</v>
      </c>
      <c r="B1603" s="1320" t="s">
        <v>1937</v>
      </c>
      <c r="C1603" s="1320"/>
      <c r="D1603" s="1320" t="s">
        <v>1938</v>
      </c>
      <c r="E1603" s="1320"/>
      <c r="F1603" s="669" t="s">
        <v>272</v>
      </c>
      <c r="G1603" s="670"/>
      <c r="H1603" s="670"/>
      <c r="I1603" s="670"/>
      <c r="J1603" s="670"/>
      <c r="K1603" s="670"/>
      <c r="L1603" s="670"/>
      <c r="M1603" s="670"/>
      <c r="N1603" s="670"/>
      <c r="O1603" s="671"/>
      <c r="P1603" s="672"/>
      <c r="Q1603" s="688">
        <f>Q1602</f>
        <v>100</v>
      </c>
      <c r="R1603" s="688">
        <v>100</v>
      </c>
      <c r="S1603" s="688">
        <v>2</v>
      </c>
      <c r="T1603" s="690">
        <f>ROUND(S1603/R1603,4)</f>
        <v>0.02</v>
      </c>
    </row>
    <row r="1604" spans="1:20" s="688" customFormat="1" ht="17.100000000000001" customHeight="1">
      <c r="A1604" s="1316" t="s">
        <v>1839</v>
      </c>
      <c r="B1604" s="1317"/>
      <c r="C1604" s="1316" t="s">
        <v>1925</v>
      </c>
      <c r="D1604" s="1317"/>
      <c r="E1604" s="701">
        <v>9.5000000000000001E-2</v>
      </c>
      <c r="F1604" s="676" t="s">
        <v>850</v>
      </c>
      <c r="G1604" s="670" t="e">
        <f>$H$504</f>
        <v>#REF!</v>
      </c>
      <c r="H1604" s="670" t="e">
        <f t="shared" ref="H1604:H1610" si="260">INT(E1604*G1604)</f>
        <v>#REF!</v>
      </c>
      <c r="I1604" s="670">
        <f>$J$504</f>
        <v>373604</v>
      </c>
      <c r="J1604" s="670">
        <f>INT(E1604*I1604)</f>
        <v>35492</v>
      </c>
      <c r="K1604" s="670">
        <f>$L$504</f>
        <v>7436</v>
      </c>
      <c r="L1604" s="670">
        <f>INT(E1604*K1604)</f>
        <v>706</v>
      </c>
      <c r="M1604" s="670" t="e">
        <f t="shared" ref="M1604:N1610" si="261">G1604+I1604+K1604</f>
        <v>#REF!</v>
      </c>
      <c r="N1604" s="670" t="e">
        <f t="shared" si="261"/>
        <v>#REF!</v>
      </c>
      <c r="O1604" s="707">
        <f>$A$497</f>
        <v>133</v>
      </c>
      <c r="P1604" s="672"/>
      <c r="Q1604" s="688">
        <f>Q1603</f>
        <v>100</v>
      </c>
      <c r="R1604" s="688">
        <f>R1603</f>
        <v>100</v>
      </c>
      <c r="S1604" s="728">
        <v>1</v>
      </c>
      <c r="T1604" s="690">
        <f>ROUND(S1604/R1604,4)</f>
        <v>0.01</v>
      </c>
    </row>
    <row r="1605" spans="1:20" s="688" customFormat="1" ht="17.100000000000001" customHeight="1">
      <c r="A1605" s="1316" t="s">
        <v>1926</v>
      </c>
      <c r="B1605" s="1317"/>
      <c r="C1605" s="1338" t="s">
        <v>1927</v>
      </c>
      <c r="D1605" s="1378"/>
      <c r="E1605" s="683">
        <v>1.6999999999999999E-3</v>
      </c>
      <c r="F1605" s="676" t="s">
        <v>366</v>
      </c>
      <c r="G1605" s="670"/>
      <c r="H1605" s="670"/>
      <c r="I1605" s="670">
        <f>[53]노임단가!$BK$4</f>
        <v>277276</v>
      </c>
      <c r="J1605" s="670">
        <f>INT(E1605*I1605)</f>
        <v>471</v>
      </c>
      <c r="K1605" s="670"/>
      <c r="L1605" s="670"/>
      <c r="M1605" s="670">
        <f t="shared" si="261"/>
        <v>277276</v>
      </c>
      <c r="N1605" s="670">
        <f t="shared" si="261"/>
        <v>471</v>
      </c>
      <c r="O1605" s="671"/>
      <c r="P1605" s="705"/>
      <c r="Q1605" s="688">
        <f>Q1604</f>
        <v>100</v>
      </c>
      <c r="R1605" s="688">
        <f>R1604</f>
        <v>100</v>
      </c>
      <c r="S1605" s="728">
        <v>5</v>
      </c>
      <c r="T1605" s="690">
        <f>ROUND(S1605/R1605,4)</f>
        <v>0.05</v>
      </c>
    </row>
    <row r="1606" spans="1:20" s="688" customFormat="1" ht="17.100000000000001" customHeight="1">
      <c r="A1606" s="1316" t="s">
        <v>1887</v>
      </c>
      <c r="B1606" s="1317"/>
      <c r="C1606" s="1338" t="s">
        <v>1843</v>
      </c>
      <c r="D1606" s="1317"/>
      <c r="E1606" s="679">
        <v>0.2</v>
      </c>
      <c r="F1606" s="676" t="s">
        <v>850</v>
      </c>
      <c r="G1606" s="670" t="e">
        <f>$H$714</f>
        <v>#REF!</v>
      </c>
      <c r="H1606" s="670" t="e">
        <f t="shared" si="260"/>
        <v>#REF!</v>
      </c>
      <c r="I1606" s="670">
        <f>$J$714</f>
        <v>38182</v>
      </c>
      <c r="J1606" s="670">
        <f>INT(E1606*I1606)</f>
        <v>7636</v>
      </c>
      <c r="K1606" s="670"/>
      <c r="L1606" s="670"/>
      <c r="M1606" s="670" t="e">
        <f t="shared" si="261"/>
        <v>#REF!</v>
      </c>
      <c r="N1606" s="670" t="e">
        <f t="shared" si="261"/>
        <v>#REF!</v>
      </c>
      <c r="O1606" s="707">
        <f>$A$709</f>
        <v>161</v>
      </c>
      <c r="P1606" s="672"/>
      <c r="Q1606" s="687"/>
    </row>
    <row r="1607" spans="1:20" s="688" customFormat="1" ht="17.100000000000001" customHeight="1">
      <c r="A1607" s="1316" t="s">
        <v>1928</v>
      </c>
      <c r="B1607" s="1317"/>
      <c r="C1607" s="1338" t="s">
        <v>1939</v>
      </c>
      <c r="D1607" s="1317"/>
      <c r="E1607" s="677">
        <v>1</v>
      </c>
      <c r="F1607" s="676" t="s">
        <v>30</v>
      </c>
      <c r="G1607" s="670">
        <v>100</v>
      </c>
      <c r="H1607" s="670">
        <f t="shared" si="260"/>
        <v>100</v>
      </c>
      <c r="I1607" s="670"/>
      <c r="J1607" s="670"/>
      <c r="K1607" s="670"/>
      <c r="L1607" s="670"/>
      <c r="M1607" s="670">
        <f t="shared" si="261"/>
        <v>100</v>
      </c>
      <c r="N1607" s="670">
        <f t="shared" si="261"/>
        <v>100</v>
      </c>
      <c r="O1607" s="707"/>
      <c r="P1607" s="672"/>
    </row>
    <row r="1608" spans="1:20" s="688" customFormat="1" ht="17.100000000000001" customHeight="1">
      <c r="A1608" s="1316" t="s">
        <v>1448</v>
      </c>
      <c r="B1608" s="1317"/>
      <c r="C1608" s="1338" t="s">
        <v>1931</v>
      </c>
      <c r="D1608" s="1317"/>
      <c r="E1608" s="683">
        <v>8.3299999999999999E-2</v>
      </c>
      <c r="F1608" s="676" t="s">
        <v>272</v>
      </c>
      <c r="G1608" s="670" t="e">
        <f>$H$206</f>
        <v>#REF!</v>
      </c>
      <c r="H1608" s="670" t="e">
        <f t="shared" si="260"/>
        <v>#REF!</v>
      </c>
      <c r="I1608" s="670" t="e">
        <f>$J$206</f>
        <v>#REF!</v>
      </c>
      <c r="J1608" s="670" t="e">
        <f>INT(E1608*I1608)</f>
        <v>#REF!</v>
      </c>
      <c r="K1608" s="670" t="e">
        <f>$L$206</f>
        <v>#REF!</v>
      </c>
      <c r="L1608" s="670" t="e">
        <f>INT(E1608*K1608)</f>
        <v>#REF!</v>
      </c>
      <c r="M1608" s="670" t="e">
        <f t="shared" si="261"/>
        <v>#REF!</v>
      </c>
      <c r="N1608" s="670" t="e">
        <f t="shared" si="261"/>
        <v>#REF!</v>
      </c>
      <c r="O1608" s="707">
        <f>$A$201</f>
        <v>51</v>
      </c>
      <c r="P1608" s="672"/>
    </row>
    <row r="1609" spans="1:20" s="688" customFormat="1" ht="17.100000000000001" customHeight="1">
      <c r="A1609" s="1316" t="s">
        <v>1932</v>
      </c>
      <c r="B1609" s="1317"/>
      <c r="C1609" s="1338" t="s">
        <v>1933</v>
      </c>
      <c r="D1609" s="1317"/>
      <c r="E1609" s="683">
        <v>8.3299999999999999E-2</v>
      </c>
      <c r="F1609" s="676" t="s">
        <v>272</v>
      </c>
      <c r="G1609" s="670" t="e">
        <f>$H$2550</f>
        <v>#REF!</v>
      </c>
      <c r="H1609" s="670" t="e">
        <f t="shared" si="260"/>
        <v>#REF!</v>
      </c>
      <c r="I1609" s="670">
        <f>$J$2550</f>
        <v>1124</v>
      </c>
      <c r="J1609" s="670">
        <f>INT(E1609*I1609)</f>
        <v>93</v>
      </c>
      <c r="K1609" s="670"/>
      <c r="L1609" s="670"/>
      <c r="M1609" s="670" t="e">
        <f t="shared" si="261"/>
        <v>#REF!</v>
      </c>
      <c r="N1609" s="670" t="e">
        <f t="shared" si="261"/>
        <v>#REF!</v>
      </c>
      <c r="O1609" s="707">
        <f>$A$2545</f>
        <v>371</v>
      </c>
      <c r="P1609" s="672"/>
    </row>
    <row r="1610" spans="1:20" s="688" customFormat="1" ht="17.100000000000001" customHeight="1">
      <c r="A1610" s="1316" t="s">
        <v>1934</v>
      </c>
      <c r="B1610" s="1317"/>
      <c r="C1610" s="1338"/>
      <c r="D1610" s="1317"/>
      <c r="E1610" s="679">
        <v>0.5</v>
      </c>
      <c r="F1610" s="676" t="s">
        <v>645</v>
      </c>
      <c r="G1610" s="670" t="e">
        <f>$H$634</f>
        <v>#REF!</v>
      </c>
      <c r="H1610" s="670" t="e">
        <f t="shared" si="260"/>
        <v>#REF!</v>
      </c>
      <c r="I1610" s="670">
        <f>$J$634</f>
        <v>688</v>
      </c>
      <c r="J1610" s="670">
        <f>INT(E1610*I1610)</f>
        <v>344</v>
      </c>
      <c r="K1610" s="670"/>
      <c r="L1610" s="670"/>
      <c r="M1610" s="670" t="e">
        <f t="shared" si="261"/>
        <v>#REF!</v>
      </c>
      <c r="N1610" s="670" t="e">
        <f t="shared" si="261"/>
        <v>#REF!</v>
      </c>
      <c r="O1610" s="707">
        <f>$A$631</f>
        <v>152</v>
      </c>
      <c r="P1610" s="672"/>
    </row>
    <row r="1611" spans="1:20" s="688" customFormat="1" ht="17.100000000000001" customHeight="1">
      <c r="A1611" s="1318" t="s">
        <v>1320</v>
      </c>
      <c r="B1611" s="1319"/>
      <c r="C1611" s="1371"/>
      <c r="D1611" s="1372"/>
      <c r="E1611" s="677"/>
      <c r="F1611" s="676"/>
      <c r="G1611" s="670"/>
      <c r="H1611" s="670" t="e">
        <f>SUM(H1604:H1610)</f>
        <v>#REF!</v>
      </c>
      <c r="I1611" s="670"/>
      <c r="J1611" s="670" t="e">
        <f>SUM(J1604:J1610)</f>
        <v>#REF!</v>
      </c>
      <c r="K1611" s="670"/>
      <c r="L1611" s="670" t="e">
        <f>SUM(L1604:L1610)</f>
        <v>#REF!</v>
      </c>
      <c r="M1611" s="670"/>
      <c r="N1611" s="670" t="e">
        <f>SUM(N1604:N1610)</f>
        <v>#REF!</v>
      </c>
      <c r="O1611" s="671"/>
      <c r="P1611" s="672"/>
    </row>
    <row r="1612" spans="1:20" s="688" customFormat="1" ht="17.100000000000001" customHeight="1">
      <c r="A1612" s="668">
        <f>A1603+1</f>
        <v>279</v>
      </c>
      <c r="B1612" s="1320" t="s">
        <v>1923</v>
      </c>
      <c r="C1612" s="1320"/>
      <c r="D1612" s="1320" t="s">
        <v>1940</v>
      </c>
      <c r="E1612" s="1320"/>
      <c r="F1612" s="669" t="s">
        <v>272</v>
      </c>
      <c r="G1612" s="670"/>
      <c r="H1612" s="670"/>
      <c r="I1612" s="670"/>
      <c r="J1612" s="670"/>
      <c r="K1612" s="670"/>
      <c r="L1612" s="670"/>
      <c r="M1612" s="670"/>
      <c r="N1612" s="670"/>
      <c r="O1612" s="671" t="s">
        <v>1562</v>
      </c>
      <c r="P1612" s="672"/>
    </row>
    <row r="1613" spans="1:20" s="688" customFormat="1" ht="17.100000000000001" customHeight="1">
      <c r="A1613" s="1316" t="s">
        <v>1563</v>
      </c>
      <c r="B1613" s="1317"/>
      <c r="C1613" s="1316" t="s">
        <v>1941</v>
      </c>
      <c r="D1613" s="1317"/>
      <c r="E1613" s="683">
        <v>8.72E-2</v>
      </c>
      <c r="F1613" s="676" t="s">
        <v>850</v>
      </c>
      <c r="G1613" s="670"/>
      <c r="H1613" s="670"/>
      <c r="I1613" s="670"/>
      <c r="J1613" s="670"/>
      <c r="K1613" s="670"/>
      <c r="L1613" s="670"/>
      <c r="M1613" s="670"/>
      <c r="N1613" s="670"/>
      <c r="O1613" s="671"/>
      <c r="P1613" s="672"/>
    </row>
    <row r="1614" spans="1:20" s="688" customFormat="1" ht="17.100000000000001" customHeight="1">
      <c r="A1614" s="1316" t="s">
        <v>1942</v>
      </c>
      <c r="B1614" s="1317"/>
      <c r="C1614" s="1316" t="s">
        <v>1943</v>
      </c>
      <c r="D1614" s="1317"/>
      <c r="E1614" s="683">
        <v>8.5500000000000007E-2</v>
      </c>
      <c r="F1614" s="676" t="s">
        <v>850</v>
      </c>
      <c r="G1614" s="670" t="e">
        <f>$H$599</f>
        <v>#REF!</v>
      </c>
      <c r="H1614" s="670" t="e">
        <f>INT(E1614*G1614)</f>
        <v>#REF!</v>
      </c>
      <c r="I1614" s="670" t="e">
        <f>$J$599</f>
        <v>#REF!</v>
      </c>
      <c r="J1614" s="670" t="e">
        <f>INT(E1614*I1614)</f>
        <v>#REF!</v>
      </c>
      <c r="K1614" s="670" t="e">
        <f>$L$599</f>
        <v>#REF!</v>
      </c>
      <c r="L1614" s="670" t="e">
        <f>INT(E1614*K1614)</f>
        <v>#REF!</v>
      </c>
      <c r="M1614" s="670" t="e">
        <f t="shared" ref="M1614:N1620" si="262">G1614+I1614+K1614</f>
        <v>#REF!</v>
      </c>
      <c r="N1614" s="670" t="e">
        <f t="shared" si="262"/>
        <v>#REF!</v>
      </c>
      <c r="O1614" s="671">
        <f>$A$593</f>
        <v>146</v>
      </c>
      <c r="P1614" s="672"/>
    </row>
    <row r="1615" spans="1:20" s="688" customFormat="1" ht="17.100000000000001" customHeight="1">
      <c r="A1615" s="1316" t="s">
        <v>1926</v>
      </c>
      <c r="B1615" s="1317"/>
      <c r="C1615" s="1338" t="s">
        <v>1927</v>
      </c>
      <c r="D1615" s="1378"/>
      <c r="E1615" s="683">
        <v>1.5E-3</v>
      </c>
      <c r="F1615" s="676" t="s">
        <v>366</v>
      </c>
      <c r="G1615" s="670"/>
      <c r="H1615" s="670"/>
      <c r="I1615" s="670">
        <f>[53]노임단가!$BK$4</f>
        <v>277276</v>
      </c>
      <c r="J1615" s="670">
        <f>INT(E1615*I1615)</f>
        <v>415</v>
      </c>
      <c r="K1615" s="670"/>
      <c r="L1615" s="670"/>
      <c r="M1615" s="670">
        <f t="shared" si="262"/>
        <v>277276</v>
      </c>
      <c r="N1615" s="670">
        <f t="shared" si="262"/>
        <v>415</v>
      </c>
      <c r="O1615" s="671"/>
      <c r="P1615" s="672"/>
    </row>
    <row r="1616" spans="1:20" s="688" customFormat="1" ht="17.100000000000001" customHeight="1">
      <c r="A1616" s="1316" t="s">
        <v>1887</v>
      </c>
      <c r="B1616" s="1317"/>
      <c r="C1616" s="1338" t="s">
        <v>1843</v>
      </c>
      <c r="D1616" s="1317"/>
      <c r="E1616" s="679">
        <v>0.2</v>
      </c>
      <c r="F1616" s="676" t="s">
        <v>645</v>
      </c>
      <c r="G1616" s="670" t="e">
        <f>$H$714</f>
        <v>#REF!</v>
      </c>
      <c r="H1616" s="670" t="e">
        <f>INT(E1616*G1616)</f>
        <v>#REF!</v>
      </c>
      <c r="I1616" s="670">
        <f>$J$714</f>
        <v>38182</v>
      </c>
      <c r="J1616" s="670">
        <f>INT(E1616*I1616)</f>
        <v>7636</v>
      </c>
      <c r="K1616" s="670"/>
      <c r="L1616" s="670"/>
      <c r="M1616" s="670" t="e">
        <f t="shared" si="262"/>
        <v>#REF!</v>
      </c>
      <c r="N1616" s="670" t="e">
        <f t="shared" si="262"/>
        <v>#REF!</v>
      </c>
      <c r="O1616" s="707">
        <f>$A$709</f>
        <v>161</v>
      </c>
      <c r="P1616" s="672" t="s">
        <v>1944</v>
      </c>
      <c r="Q1616" s="687" t="s">
        <v>1423</v>
      </c>
      <c r="R1616" s="688" t="s">
        <v>1936</v>
      </c>
      <c r="S1616" s="688" t="s">
        <v>1425</v>
      </c>
      <c r="T1616" s="688" t="s">
        <v>1426</v>
      </c>
    </row>
    <row r="1617" spans="1:20" s="688" customFormat="1" ht="17.100000000000001" customHeight="1">
      <c r="A1617" s="1316" t="s">
        <v>1928</v>
      </c>
      <c r="B1617" s="1317"/>
      <c r="C1617" s="1338" t="s">
        <v>1929</v>
      </c>
      <c r="D1617" s="1317"/>
      <c r="E1617" s="677">
        <v>1</v>
      </c>
      <c r="F1617" s="676" t="s">
        <v>30</v>
      </c>
      <c r="G1617" s="670">
        <v>100</v>
      </c>
      <c r="H1617" s="670">
        <f>INT(E1617*G1617)</f>
        <v>100</v>
      </c>
      <c r="I1617" s="670"/>
      <c r="J1617" s="670"/>
      <c r="K1617" s="670"/>
      <c r="L1617" s="670"/>
      <c r="M1617" s="670">
        <f t="shared" si="262"/>
        <v>100</v>
      </c>
      <c r="N1617" s="670">
        <f t="shared" si="262"/>
        <v>100</v>
      </c>
      <c r="O1617" s="707"/>
      <c r="P1617" s="672" t="s">
        <v>1945</v>
      </c>
      <c r="Q1617" s="688">
        <v>1560</v>
      </c>
      <c r="R1617" s="688">
        <f>Q1617</f>
        <v>1560</v>
      </c>
      <c r="S1617" s="688">
        <v>2</v>
      </c>
      <c r="T1617" s="690">
        <f>ROUND(S1617/R1617,4)</f>
        <v>1.2999999999999999E-3</v>
      </c>
    </row>
    <row r="1618" spans="1:20" s="688" customFormat="1" ht="17.100000000000001" customHeight="1">
      <c r="A1618" s="1316" t="s">
        <v>1448</v>
      </c>
      <c r="B1618" s="1317"/>
      <c r="C1618" s="1338" t="s">
        <v>1931</v>
      </c>
      <c r="D1618" s="1378"/>
      <c r="E1618" s="701">
        <v>7.4999999999999997E-2</v>
      </c>
      <c r="F1618" s="676" t="s">
        <v>272</v>
      </c>
      <c r="G1618" s="670" t="e">
        <f>$H$206</f>
        <v>#REF!</v>
      </c>
      <c r="H1618" s="670" t="e">
        <f>INT(E1618*G1618)</f>
        <v>#REF!</v>
      </c>
      <c r="I1618" s="670" t="e">
        <f>$J$206</f>
        <v>#REF!</v>
      </c>
      <c r="J1618" s="670" t="e">
        <f>INT(E1618*I1618)</f>
        <v>#REF!</v>
      </c>
      <c r="K1618" s="670" t="e">
        <f>$L$206</f>
        <v>#REF!</v>
      </c>
      <c r="L1618" s="670" t="e">
        <f>INT(E1618*K1618)</f>
        <v>#REF!</v>
      </c>
      <c r="M1618" s="670" t="e">
        <f t="shared" si="262"/>
        <v>#REF!</v>
      </c>
      <c r="N1618" s="670" t="e">
        <f t="shared" si="262"/>
        <v>#REF!</v>
      </c>
      <c r="O1618" s="707">
        <f>$A$201</f>
        <v>51</v>
      </c>
      <c r="P1618" s="672"/>
      <c r="Q1618" s="688">
        <f>Q1617</f>
        <v>1560</v>
      </c>
      <c r="R1618" s="688">
        <f>R1617</f>
        <v>1560</v>
      </c>
      <c r="S1618" s="688">
        <v>1</v>
      </c>
      <c r="T1618" s="690">
        <f>ROUND(S1618/R1618,4)</f>
        <v>5.9999999999999995E-4</v>
      </c>
    </row>
    <row r="1619" spans="1:20" s="688" customFormat="1" ht="17.100000000000001" customHeight="1">
      <c r="A1619" s="1316" t="s">
        <v>1932</v>
      </c>
      <c r="B1619" s="1317"/>
      <c r="C1619" s="1338" t="s">
        <v>1933</v>
      </c>
      <c r="D1619" s="1317"/>
      <c r="E1619" s="701">
        <v>7.4999999999999997E-2</v>
      </c>
      <c r="F1619" s="676" t="s">
        <v>272</v>
      </c>
      <c r="G1619" s="670" t="e">
        <f>$H$2550</f>
        <v>#REF!</v>
      </c>
      <c r="H1619" s="670" t="e">
        <f>INT(E1619*G1619)</f>
        <v>#REF!</v>
      </c>
      <c r="I1619" s="670">
        <f>$J$2550</f>
        <v>1124</v>
      </c>
      <c r="J1619" s="670">
        <f>INT(E1619*I1619)</f>
        <v>84</v>
      </c>
      <c r="K1619" s="670"/>
      <c r="L1619" s="670"/>
      <c r="M1619" s="670" t="e">
        <f t="shared" si="262"/>
        <v>#REF!</v>
      </c>
      <c r="N1619" s="670" t="e">
        <f t="shared" si="262"/>
        <v>#REF!</v>
      </c>
      <c r="O1619" s="707">
        <f>$A$2545</f>
        <v>371</v>
      </c>
      <c r="P1619" s="672"/>
      <c r="S1619" s="728"/>
      <c r="T1619" s="690"/>
    </row>
    <row r="1620" spans="1:20" s="688" customFormat="1" ht="17.100000000000001" customHeight="1">
      <c r="A1620" s="1316" t="s">
        <v>1934</v>
      </c>
      <c r="B1620" s="1317"/>
      <c r="C1620" s="1338"/>
      <c r="D1620" s="1317"/>
      <c r="E1620" s="675">
        <v>0.45</v>
      </c>
      <c r="F1620" s="676" t="s">
        <v>645</v>
      </c>
      <c r="G1620" s="670" t="e">
        <f>$H$634</f>
        <v>#REF!</v>
      </c>
      <c r="H1620" s="670" t="e">
        <f>INT(E1620*G1620)</f>
        <v>#REF!</v>
      </c>
      <c r="I1620" s="670">
        <f>$J$634</f>
        <v>688</v>
      </c>
      <c r="J1620" s="670">
        <f>INT(E1620*I1620)</f>
        <v>309</v>
      </c>
      <c r="K1620" s="670"/>
      <c r="L1620" s="670"/>
      <c r="M1620" s="670" t="e">
        <f t="shared" si="262"/>
        <v>#REF!</v>
      </c>
      <c r="N1620" s="670" t="e">
        <f t="shared" si="262"/>
        <v>#REF!</v>
      </c>
      <c r="O1620" s="707">
        <f>$A$631</f>
        <v>152</v>
      </c>
      <c r="P1620" s="672"/>
      <c r="Q1620" s="687" t="s">
        <v>1423</v>
      </c>
      <c r="R1620" s="688" t="s">
        <v>1936</v>
      </c>
      <c r="S1620" s="688" t="s">
        <v>1425</v>
      </c>
      <c r="T1620" s="688" t="s">
        <v>1426</v>
      </c>
    </row>
    <row r="1621" spans="1:20" s="688" customFormat="1" ht="17.100000000000001" customHeight="1">
      <c r="A1621" s="1318" t="s">
        <v>1320</v>
      </c>
      <c r="B1621" s="1319"/>
      <c r="C1621" s="1371"/>
      <c r="D1621" s="1372"/>
      <c r="E1621" s="677"/>
      <c r="F1621" s="676"/>
      <c r="G1621" s="670"/>
      <c r="H1621" s="670" t="e">
        <f>SUM(H1613:H1620)</f>
        <v>#REF!</v>
      </c>
      <c r="I1621" s="670"/>
      <c r="J1621" s="670" t="e">
        <f>SUM(J1613:J1620)</f>
        <v>#REF!</v>
      </c>
      <c r="K1621" s="670"/>
      <c r="L1621" s="670" t="e">
        <f>SUM(L1613:L1620)</f>
        <v>#REF!</v>
      </c>
      <c r="M1621" s="670"/>
      <c r="N1621" s="670" t="e">
        <f>SUM(N1613:N1620)</f>
        <v>#REF!</v>
      </c>
      <c r="O1621" s="671"/>
      <c r="P1621" s="672"/>
      <c r="Q1621" s="688">
        <v>1350</v>
      </c>
      <c r="R1621" s="688">
        <f>Q1621</f>
        <v>1350</v>
      </c>
      <c r="S1621" s="688">
        <v>2</v>
      </c>
      <c r="T1621" s="690">
        <f>ROUND(S1621/R1621,4)</f>
        <v>1.5E-3</v>
      </c>
    </row>
    <row r="1622" spans="1:20" s="688" customFormat="1" ht="17.100000000000001" customHeight="1">
      <c r="A1622" s="668">
        <f>A1612+1</f>
        <v>280</v>
      </c>
      <c r="B1622" s="1320" t="s">
        <v>1937</v>
      </c>
      <c r="C1622" s="1320"/>
      <c r="D1622" s="1320" t="s">
        <v>1946</v>
      </c>
      <c r="E1622" s="1320"/>
      <c r="F1622" s="669" t="s">
        <v>272</v>
      </c>
      <c r="G1622" s="670"/>
      <c r="H1622" s="670"/>
      <c r="I1622" s="670"/>
      <c r="J1622" s="670"/>
      <c r="K1622" s="670"/>
      <c r="L1622" s="670"/>
      <c r="M1622" s="670"/>
      <c r="N1622" s="670"/>
      <c r="O1622" s="671" t="s">
        <v>1562</v>
      </c>
      <c r="P1622" s="672"/>
      <c r="Q1622" s="688">
        <v>1350</v>
      </c>
      <c r="R1622" s="688">
        <f>R1621</f>
        <v>1350</v>
      </c>
      <c r="S1622" s="688">
        <v>1</v>
      </c>
      <c r="T1622" s="690">
        <f>ROUND(S1622/R1622,4)</f>
        <v>6.9999999999999999E-4</v>
      </c>
    </row>
    <row r="1623" spans="1:20" s="688" customFormat="1" ht="17.100000000000001" customHeight="1">
      <c r="A1623" s="1316" t="s">
        <v>1563</v>
      </c>
      <c r="B1623" s="1317"/>
      <c r="C1623" s="1316" t="s">
        <v>1941</v>
      </c>
      <c r="D1623" s="1317"/>
      <c r="E1623" s="683">
        <v>9.69E-2</v>
      </c>
      <c r="F1623" s="676" t="s">
        <v>850</v>
      </c>
      <c r="G1623" s="670"/>
      <c r="H1623" s="670"/>
      <c r="I1623" s="670"/>
      <c r="J1623" s="670"/>
      <c r="K1623" s="670"/>
      <c r="L1623" s="670"/>
      <c r="M1623" s="670"/>
      <c r="N1623" s="670"/>
      <c r="O1623" s="671"/>
      <c r="P1623" s="672"/>
      <c r="Q1623" s="690">
        <f>4/(1.5/0.3)</f>
        <v>0.8</v>
      </c>
    </row>
    <row r="1624" spans="1:20" s="688" customFormat="1" ht="17.100000000000001" customHeight="1">
      <c r="A1624" s="1316" t="s">
        <v>1942</v>
      </c>
      <c r="B1624" s="1317"/>
      <c r="C1624" s="1316" t="s">
        <v>1943</v>
      </c>
      <c r="D1624" s="1317"/>
      <c r="E1624" s="701">
        <v>9.5000000000000001E-2</v>
      </c>
      <c r="F1624" s="676" t="s">
        <v>850</v>
      </c>
      <c r="G1624" s="670" t="e">
        <f>$H$599</f>
        <v>#REF!</v>
      </c>
      <c r="H1624" s="670" t="e">
        <f>INT(E1624*G1624)</f>
        <v>#REF!</v>
      </c>
      <c r="I1624" s="670" t="e">
        <f>$J$599</f>
        <v>#REF!</v>
      </c>
      <c r="J1624" s="670" t="e">
        <f>INT(E1624*I1624)</f>
        <v>#REF!</v>
      </c>
      <c r="K1624" s="670" t="e">
        <f>$L$599</f>
        <v>#REF!</v>
      </c>
      <c r="L1624" s="670" t="e">
        <f>INT(E1624*K1624)</f>
        <v>#REF!</v>
      </c>
      <c r="M1624" s="670" t="e">
        <f t="shared" ref="M1624:N1630" si="263">G1624+I1624+K1624</f>
        <v>#REF!</v>
      </c>
      <c r="N1624" s="670" t="e">
        <f t="shared" si="263"/>
        <v>#REF!</v>
      </c>
      <c r="O1624" s="671">
        <f>$A$593</f>
        <v>146</v>
      </c>
      <c r="P1624" s="672" t="s">
        <v>1944</v>
      </c>
      <c r="Q1624" s="687" t="s">
        <v>1551</v>
      </c>
      <c r="R1624" s="688" t="s">
        <v>1447</v>
      </c>
      <c r="S1624" s="688" t="s">
        <v>1425</v>
      </c>
      <c r="T1624" s="688" t="s">
        <v>1426</v>
      </c>
    </row>
    <row r="1625" spans="1:20" s="688" customFormat="1" ht="17.100000000000001" customHeight="1">
      <c r="A1625" s="1316" t="s">
        <v>1926</v>
      </c>
      <c r="B1625" s="1317"/>
      <c r="C1625" s="1338" t="s">
        <v>1927</v>
      </c>
      <c r="D1625" s="1378"/>
      <c r="E1625" s="683">
        <v>1.6999999999999999E-3</v>
      </c>
      <c r="F1625" s="676" t="s">
        <v>366</v>
      </c>
      <c r="G1625" s="670"/>
      <c r="H1625" s="670"/>
      <c r="I1625" s="670">
        <f>[53]노임단가!$BK$4</f>
        <v>277276</v>
      </c>
      <c r="J1625" s="670">
        <f>INT(E1625*I1625)</f>
        <v>471</v>
      </c>
      <c r="K1625" s="670"/>
      <c r="L1625" s="670"/>
      <c r="M1625" s="670">
        <f t="shared" si="263"/>
        <v>277276</v>
      </c>
      <c r="N1625" s="670">
        <f t="shared" si="263"/>
        <v>471</v>
      </c>
      <c r="O1625" s="671"/>
      <c r="P1625" s="672" t="s">
        <v>1947</v>
      </c>
      <c r="Q1625" s="688">
        <v>150</v>
      </c>
      <c r="R1625" s="688">
        <f>(Q1625)/(0.2*100)</f>
        <v>7.5</v>
      </c>
      <c r="S1625" s="688">
        <v>0</v>
      </c>
      <c r="T1625" s="690">
        <f>20*1.04*1.6/1.3</f>
        <v>25.6</v>
      </c>
    </row>
    <row r="1626" spans="1:20" s="688" customFormat="1" ht="17.100000000000001" customHeight="1">
      <c r="A1626" s="1316" t="s">
        <v>1887</v>
      </c>
      <c r="B1626" s="1317"/>
      <c r="C1626" s="1338" t="s">
        <v>1843</v>
      </c>
      <c r="D1626" s="1317"/>
      <c r="E1626" s="679">
        <v>0.2</v>
      </c>
      <c r="F1626" s="676" t="s">
        <v>645</v>
      </c>
      <c r="G1626" s="670" t="e">
        <f>$H$714</f>
        <v>#REF!</v>
      </c>
      <c r="H1626" s="670" t="e">
        <f>INT(E1626*G1626)</f>
        <v>#REF!</v>
      </c>
      <c r="I1626" s="670">
        <f>$J$714</f>
        <v>38182</v>
      </c>
      <c r="J1626" s="670">
        <f>INT(E1626*I1626)</f>
        <v>7636</v>
      </c>
      <c r="K1626" s="670"/>
      <c r="L1626" s="670"/>
      <c r="M1626" s="670" t="e">
        <f t="shared" si="263"/>
        <v>#REF!</v>
      </c>
      <c r="N1626" s="670" t="e">
        <f t="shared" si="263"/>
        <v>#REF!</v>
      </c>
      <c r="O1626" s="707">
        <f>$A$709</f>
        <v>161</v>
      </c>
      <c r="P1626" s="672"/>
      <c r="Q1626" s="688">
        <f t="shared" ref="Q1626:R1631" si="264">Q1625</f>
        <v>150</v>
      </c>
      <c r="R1626" s="688">
        <f t="shared" si="264"/>
        <v>7.5</v>
      </c>
      <c r="S1626" s="688">
        <v>0</v>
      </c>
      <c r="T1626" s="690">
        <f t="shared" ref="T1626:T1631" si="265">ROUND(S1626/R1626,4)</f>
        <v>0</v>
      </c>
    </row>
    <row r="1627" spans="1:20" s="688" customFormat="1" ht="17.100000000000001" customHeight="1">
      <c r="A1627" s="1316" t="s">
        <v>1928</v>
      </c>
      <c r="B1627" s="1317"/>
      <c r="C1627" s="1338" t="s">
        <v>1939</v>
      </c>
      <c r="D1627" s="1317"/>
      <c r="E1627" s="677">
        <v>1</v>
      </c>
      <c r="F1627" s="676" t="s">
        <v>30</v>
      </c>
      <c r="G1627" s="670">
        <v>100</v>
      </c>
      <c r="H1627" s="670">
        <f>INT(E1627*G1627)</f>
        <v>100</v>
      </c>
      <c r="I1627" s="670"/>
      <c r="J1627" s="670"/>
      <c r="K1627" s="670"/>
      <c r="L1627" s="670"/>
      <c r="M1627" s="670">
        <f t="shared" si="263"/>
        <v>100</v>
      </c>
      <c r="N1627" s="670">
        <f t="shared" si="263"/>
        <v>100</v>
      </c>
      <c r="O1627" s="707"/>
      <c r="P1627" s="672"/>
      <c r="Q1627" s="688">
        <f t="shared" si="264"/>
        <v>150</v>
      </c>
      <c r="R1627" s="688">
        <f t="shared" si="264"/>
        <v>7.5</v>
      </c>
      <c r="S1627" s="688">
        <v>2</v>
      </c>
      <c r="T1627" s="690">
        <f t="shared" si="265"/>
        <v>0.26669999999999999</v>
      </c>
    </row>
    <row r="1628" spans="1:20" s="688" customFormat="1" ht="17.100000000000001" customHeight="1">
      <c r="A1628" s="1316" t="s">
        <v>1448</v>
      </c>
      <c r="B1628" s="1317"/>
      <c r="C1628" s="1338" t="s">
        <v>1931</v>
      </c>
      <c r="D1628" s="1378"/>
      <c r="E1628" s="701">
        <v>8.3000000000000004E-2</v>
      </c>
      <c r="F1628" s="676" t="s">
        <v>272</v>
      </c>
      <c r="G1628" s="670" t="e">
        <f>$H$206</f>
        <v>#REF!</v>
      </c>
      <c r="H1628" s="670" t="e">
        <f>INT(E1628*G1628)</f>
        <v>#REF!</v>
      </c>
      <c r="I1628" s="670" t="e">
        <f>$J$206</f>
        <v>#REF!</v>
      </c>
      <c r="J1628" s="670" t="e">
        <f>INT(E1628*I1628)</f>
        <v>#REF!</v>
      </c>
      <c r="K1628" s="670" t="e">
        <f>$L$206</f>
        <v>#REF!</v>
      </c>
      <c r="L1628" s="670" t="e">
        <f>INT(E1628*K1628)</f>
        <v>#REF!</v>
      </c>
      <c r="M1628" s="670" t="e">
        <f t="shared" si="263"/>
        <v>#REF!</v>
      </c>
      <c r="N1628" s="670" t="e">
        <f t="shared" si="263"/>
        <v>#REF!</v>
      </c>
      <c r="O1628" s="707">
        <f>$A$201</f>
        <v>51</v>
      </c>
      <c r="P1628" s="672"/>
      <c r="Q1628" s="688">
        <f t="shared" si="264"/>
        <v>150</v>
      </c>
      <c r="R1628" s="688">
        <f t="shared" si="264"/>
        <v>7.5</v>
      </c>
      <c r="S1628" s="688">
        <v>2</v>
      </c>
      <c r="T1628" s="690">
        <f t="shared" si="265"/>
        <v>0.26669999999999999</v>
      </c>
    </row>
    <row r="1629" spans="1:20" s="688" customFormat="1" ht="17.100000000000001" customHeight="1">
      <c r="A1629" s="1316" t="s">
        <v>1932</v>
      </c>
      <c r="B1629" s="1317"/>
      <c r="C1629" s="1338" t="s">
        <v>1933</v>
      </c>
      <c r="D1629" s="1317"/>
      <c r="E1629" s="701">
        <v>8.3000000000000004E-2</v>
      </c>
      <c r="F1629" s="676" t="s">
        <v>272</v>
      </c>
      <c r="G1629" s="670" t="e">
        <f>$H$2550</f>
        <v>#REF!</v>
      </c>
      <c r="H1629" s="670" t="e">
        <f>INT(E1629*G1629)</f>
        <v>#REF!</v>
      </c>
      <c r="I1629" s="670">
        <f>$J$2550</f>
        <v>1124</v>
      </c>
      <c r="J1629" s="670">
        <f>INT(E1629*I1629)</f>
        <v>93</v>
      </c>
      <c r="K1629" s="670"/>
      <c r="L1629" s="670"/>
      <c r="M1629" s="670" t="e">
        <f t="shared" si="263"/>
        <v>#REF!</v>
      </c>
      <c r="N1629" s="670" t="e">
        <f t="shared" si="263"/>
        <v>#REF!</v>
      </c>
      <c r="O1629" s="707">
        <f>$A$2545</f>
        <v>371</v>
      </c>
      <c r="P1629" s="672"/>
      <c r="Q1629" s="688">
        <f t="shared" si="264"/>
        <v>150</v>
      </c>
      <c r="R1629" s="688">
        <f t="shared" si="264"/>
        <v>7.5</v>
      </c>
      <c r="S1629" s="688">
        <v>8</v>
      </c>
      <c r="T1629" s="690">
        <f t="shared" si="265"/>
        <v>1.0667</v>
      </c>
    </row>
    <row r="1630" spans="1:20" s="688" customFormat="1" ht="17.100000000000001" customHeight="1">
      <c r="A1630" s="1316" t="s">
        <v>1934</v>
      </c>
      <c r="B1630" s="1317"/>
      <c r="C1630" s="1338"/>
      <c r="D1630" s="1317"/>
      <c r="E1630" s="679">
        <v>0.5</v>
      </c>
      <c r="F1630" s="676" t="s">
        <v>645</v>
      </c>
      <c r="G1630" s="670" t="e">
        <f>$H$634</f>
        <v>#REF!</v>
      </c>
      <c r="H1630" s="670" t="e">
        <f>INT(E1630*G1630)</f>
        <v>#REF!</v>
      </c>
      <c r="I1630" s="670">
        <f>$J$634</f>
        <v>688</v>
      </c>
      <c r="J1630" s="670">
        <f>INT(E1630*I1630)</f>
        <v>344</v>
      </c>
      <c r="K1630" s="670"/>
      <c r="L1630" s="670"/>
      <c r="M1630" s="670" t="e">
        <f t="shared" si="263"/>
        <v>#REF!</v>
      </c>
      <c r="N1630" s="670" t="e">
        <f t="shared" si="263"/>
        <v>#REF!</v>
      </c>
      <c r="O1630" s="707">
        <f>$A$631</f>
        <v>152</v>
      </c>
      <c r="P1630" s="672"/>
      <c r="Q1630" s="688">
        <f t="shared" si="264"/>
        <v>150</v>
      </c>
      <c r="R1630" s="688">
        <f t="shared" si="264"/>
        <v>7.5</v>
      </c>
      <c r="S1630" s="688">
        <v>8</v>
      </c>
      <c r="T1630" s="690">
        <f t="shared" si="265"/>
        <v>1.0667</v>
      </c>
    </row>
    <row r="1631" spans="1:20" s="688" customFormat="1" ht="17.100000000000001" customHeight="1">
      <c r="A1631" s="1318" t="s">
        <v>1320</v>
      </c>
      <c r="B1631" s="1319"/>
      <c r="C1631" s="1371"/>
      <c r="D1631" s="1372"/>
      <c r="E1631" s="677"/>
      <c r="F1631" s="676"/>
      <c r="G1631" s="670"/>
      <c r="H1631" s="670" t="e">
        <f>SUM(H1623:H1630)</f>
        <v>#REF!</v>
      </c>
      <c r="I1631" s="670"/>
      <c r="J1631" s="670" t="e">
        <f>SUM(J1623:J1630)</f>
        <v>#REF!</v>
      </c>
      <c r="K1631" s="670"/>
      <c r="L1631" s="670" t="e">
        <f>SUM(L1623:L1630)</f>
        <v>#REF!</v>
      </c>
      <c r="M1631" s="670"/>
      <c r="N1631" s="670" t="e">
        <f>SUM(N1623:N1630)</f>
        <v>#REF!</v>
      </c>
      <c r="O1631" s="671"/>
      <c r="P1631" s="672"/>
      <c r="Q1631" s="688">
        <f t="shared" si="264"/>
        <v>150</v>
      </c>
      <c r="R1631" s="688">
        <f t="shared" si="264"/>
        <v>7.5</v>
      </c>
      <c r="S1631" s="688">
        <v>4</v>
      </c>
      <c r="T1631" s="690">
        <f t="shared" si="265"/>
        <v>0.5333</v>
      </c>
    </row>
    <row r="1632" spans="1:20" s="688" customFormat="1" ht="17.100000000000001" customHeight="1">
      <c r="A1632" s="668">
        <f>A1622+1</f>
        <v>281</v>
      </c>
      <c r="B1632" s="1320" t="s">
        <v>1948</v>
      </c>
      <c r="C1632" s="1320"/>
      <c r="D1632" s="1320" t="s">
        <v>1949</v>
      </c>
      <c r="E1632" s="1320"/>
      <c r="F1632" s="669" t="s">
        <v>575</v>
      </c>
      <c r="G1632" s="670"/>
      <c r="H1632" s="670"/>
      <c r="I1632" s="670"/>
      <c r="J1632" s="670"/>
      <c r="K1632" s="670"/>
      <c r="L1632" s="670"/>
      <c r="M1632" s="670"/>
      <c r="N1632" s="670"/>
      <c r="O1632" s="671" t="s">
        <v>1562</v>
      </c>
      <c r="P1632" s="672"/>
    </row>
    <row r="1633" spans="1:20" s="688" customFormat="1" ht="17.100000000000001" customHeight="1">
      <c r="A1633" s="1316" t="s">
        <v>1950</v>
      </c>
      <c r="B1633" s="1317"/>
      <c r="C1633" s="1320" t="s">
        <v>1951</v>
      </c>
      <c r="D1633" s="1320"/>
      <c r="E1633" s="677"/>
      <c r="F1633" s="676" t="s">
        <v>30</v>
      </c>
      <c r="G1633" s="670"/>
      <c r="H1633" s="670">
        <f>INT(G1633*E1633)</f>
        <v>0</v>
      </c>
      <c r="I1633" s="670"/>
      <c r="J1633" s="670"/>
      <c r="K1633" s="670"/>
      <c r="L1633" s="670"/>
      <c r="M1633" s="670">
        <f t="shared" ref="M1633:N1636" si="266">G1633+I1633+K1633</f>
        <v>0</v>
      </c>
      <c r="N1633" s="670">
        <f t="shared" si="266"/>
        <v>0</v>
      </c>
      <c r="O1633" s="671" t="s">
        <v>1952</v>
      </c>
      <c r="P1633" s="672" t="s">
        <v>1944</v>
      </c>
      <c r="Q1633" s="687" t="s">
        <v>1551</v>
      </c>
      <c r="R1633" s="688" t="s">
        <v>1447</v>
      </c>
      <c r="S1633" s="688" t="s">
        <v>1425</v>
      </c>
      <c r="T1633" s="688" t="s">
        <v>1426</v>
      </c>
    </row>
    <row r="1634" spans="1:20" s="688" customFormat="1" ht="17.100000000000001" customHeight="1">
      <c r="A1634" s="1316" t="s">
        <v>628</v>
      </c>
      <c r="B1634" s="1317"/>
      <c r="C1634" s="1316"/>
      <c r="D1634" s="1317"/>
      <c r="E1634" s="675">
        <v>0.02</v>
      </c>
      <c r="F1634" s="676" t="s">
        <v>366</v>
      </c>
      <c r="G1634" s="670"/>
      <c r="H1634" s="670"/>
      <c r="I1634" s="670">
        <f>[53]노임단가!$T$6</f>
        <v>226122</v>
      </c>
      <c r="J1634" s="670">
        <f>INT(E1634*I1634)</f>
        <v>4522</v>
      </c>
      <c r="K1634" s="670"/>
      <c r="L1634" s="670"/>
      <c r="M1634" s="670">
        <f t="shared" si="266"/>
        <v>226122</v>
      </c>
      <c r="N1634" s="670">
        <f t="shared" si="266"/>
        <v>4522</v>
      </c>
      <c r="O1634" s="671"/>
      <c r="P1634" s="672" t="s">
        <v>1953</v>
      </c>
      <c r="Q1634" s="688">
        <v>225</v>
      </c>
      <c r="R1634" s="688">
        <f>(Q1634)/(0.2*100)</f>
        <v>11.25</v>
      </c>
      <c r="S1634" s="688">
        <v>0</v>
      </c>
      <c r="T1634" s="690">
        <f>20*1.04*1.6/1.3</f>
        <v>25.6</v>
      </c>
    </row>
    <row r="1635" spans="1:20" s="688" customFormat="1" ht="17.100000000000001" customHeight="1">
      <c r="A1635" s="1316" t="s">
        <v>248</v>
      </c>
      <c r="B1635" s="1317"/>
      <c r="C1635" s="1338"/>
      <c r="D1635" s="1317"/>
      <c r="E1635" s="675">
        <v>0.01</v>
      </c>
      <c r="F1635" s="676" t="s">
        <v>366</v>
      </c>
      <c r="G1635" s="670"/>
      <c r="H1635" s="670"/>
      <c r="I1635" s="670">
        <f>[53]노임단가!$T$5</f>
        <v>172068</v>
      </c>
      <c r="J1635" s="670">
        <f>INT(E1635*I1635)</f>
        <v>1720</v>
      </c>
      <c r="K1635" s="670"/>
      <c r="L1635" s="670"/>
      <c r="M1635" s="670">
        <f t="shared" si="266"/>
        <v>172068</v>
      </c>
      <c r="N1635" s="670">
        <f t="shared" si="266"/>
        <v>1720</v>
      </c>
      <c r="O1635" s="671"/>
      <c r="P1635" s="672"/>
      <c r="Q1635" s="688">
        <f t="shared" ref="Q1635:R1640" si="267">Q1634</f>
        <v>225</v>
      </c>
      <c r="R1635" s="688">
        <f t="shared" si="267"/>
        <v>11.25</v>
      </c>
      <c r="S1635" s="688">
        <v>0</v>
      </c>
      <c r="T1635" s="690">
        <f t="shared" ref="T1635:T1640" si="268">ROUND(S1635/R1635,4)</f>
        <v>0</v>
      </c>
    </row>
    <row r="1636" spans="1:20" s="688" customFormat="1" ht="17.100000000000001" customHeight="1">
      <c r="A1636" s="1316" t="s">
        <v>1954</v>
      </c>
      <c r="B1636" s="1317"/>
      <c r="C1636" s="1338" t="s">
        <v>1469</v>
      </c>
      <c r="D1636" s="1317"/>
      <c r="E1636" s="790">
        <v>0.05</v>
      </c>
      <c r="F1636" s="676" t="s">
        <v>672</v>
      </c>
      <c r="G1636" s="670">
        <f>J1634+J1635</f>
        <v>6242</v>
      </c>
      <c r="H1636" s="670">
        <f>INT(E1636*G1636)</f>
        <v>312</v>
      </c>
      <c r="I1636" s="670"/>
      <c r="J1636" s="670"/>
      <c r="K1636" s="791"/>
      <c r="L1636" s="791"/>
      <c r="M1636" s="670">
        <f>G1636+I1636+K1636</f>
        <v>6242</v>
      </c>
      <c r="N1636" s="670">
        <f t="shared" si="266"/>
        <v>312</v>
      </c>
      <c r="O1636" s="707"/>
      <c r="P1636" s="672"/>
      <c r="Q1636" s="688">
        <f t="shared" si="267"/>
        <v>225</v>
      </c>
      <c r="R1636" s="688">
        <f t="shared" si="267"/>
        <v>11.25</v>
      </c>
      <c r="S1636" s="688">
        <v>2</v>
      </c>
      <c r="T1636" s="690">
        <f t="shared" si="268"/>
        <v>0.17780000000000001</v>
      </c>
    </row>
    <row r="1637" spans="1:20" s="688" customFormat="1" ht="17.100000000000001" customHeight="1">
      <c r="A1637" s="1318" t="s">
        <v>1320</v>
      </c>
      <c r="B1637" s="1319"/>
      <c r="C1637" s="1371"/>
      <c r="D1637" s="1372"/>
      <c r="E1637" s="677"/>
      <c r="F1637" s="676"/>
      <c r="G1637" s="670"/>
      <c r="H1637" s="670">
        <f>SUM(H1633:H1636)</f>
        <v>312</v>
      </c>
      <c r="I1637" s="670"/>
      <c r="J1637" s="670">
        <f>SUM(J1633:J1636)</f>
        <v>6242</v>
      </c>
      <c r="K1637" s="670"/>
      <c r="L1637" s="670">
        <f>SUM(L1633:L1636)</f>
        <v>0</v>
      </c>
      <c r="M1637" s="670"/>
      <c r="N1637" s="670">
        <f>SUM(N1633:N1636)</f>
        <v>6554</v>
      </c>
      <c r="O1637" s="671"/>
      <c r="P1637" s="672"/>
      <c r="Q1637" s="688">
        <f t="shared" si="267"/>
        <v>225</v>
      </c>
      <c r="R1637" s="688">
        <f t="shared" si="267"/>
        <v>11.25</v>
      </c>
      <c r="S1637" s="688">
        <v>1</v>
      </c>
      <c r="T1637" s="690">
        <f t="shared" si="268"/>
        <v>8.8900000000000007E-2</v>
      </c>
    </row>
    <row r="1638" spans="1:20" s="688" customFormat="1" ht="17.100000000000001" customHeight="1">
      <c r="A1638" s="668">
        <f>A1632+1</f>
        <v>282</v>
      </c>
      <c r="B1638" s="1320" t="s">
        <v>1955</v>
      </c>
      <c r="C1638" s="1320"/>
      <c r="D1638" s="1320"/>
      <c r="E1638" s="1320"/>
      <c r="F1638" s="669" t="s">
        <v>575</v>
      </c>
      <c r="G1638" s="670"/>
      <c r="H1638" s="670"/>
      <c r="I1638" s="670"/>
      <c r="J1638" s="670"/>
      <c r="K1638" s="670"/>
      <c r="L1638" s="670"/>
      <c r="M1638" s="670"/>
      <c r="N1638" s="670"/>
      <c r="O1638" s="671"/>
      <c r="P1638" s="672"/>
      <c r="Q1638" s="688">
        <f t="shared" si="267"/>
        <v>225</v>
      </c>
      <c r="R1638" s="688">
        <f t="shared" si="267"/>
        <v>11.25</v>
      </c>
      <c r="S1638" s="688">
        <v>8</v>
      </c>
      <c r="T1638" s="690">
        <f t="shared" si="268"/>
        <v>0.71109999999999995</v>
      </c>
    </row>
    <row r="1639" spans="1:20" s="688" customFormat="1" ht="17.100000000000001" customHeight="1">
      <c r="A1639" s="1320" t="s">
        <v>1948</v>
      </c>
      <c r="B1639" s="1320"/>
      <c r="C1639" s="1338">
        <v>0.5</v>
      </c>
      <c r="D1639" s="1317"/>
      <c r="E1639" s="686">
        <v>0.5</v>
      </c>
      <c r="F1639" s="676" t="s">
        <v>1112</v>
      </c>
      <c r="G1639" s="670">
        <f>$H$1637</f>
        <v>312</v>
      </c>
      <c r="H1639" s="670">
        <f>INT(G1639*E1639)</f>
        <v>156</v>
      </c>
      <c r="I1639" s="670">
        <f>$J$1637</f>
        <v>6242</v>
      </c>
      <c r="J1639" s="670">
        <f>INT(I1639*E1639)</f>
        <v>3121</v>
      </c>
      <c r="K1639" s="670">
        <f>$L$1637</f>
        <v>0</v>
      </c>
      <c r="L1639" s="670">
        <f>INT(K1639*E1639)</f>
        <v>0</v>
      </c>
      <c r="M1639" s="670">
        <f>G1639+I1639+K1639</f>
        <v>6554</v>
      </c>
      <c r="N1639" s="670">
        <f>H1639+J1639+L1639</f>
        <v>3277</v>
      </c>
      <c r="O1639" s="671">
        <f>$A$1632</f>
        <v>281</v>
      </c>
      <c r="P1639" s="672"/>
      <c r="Q1639" s="688">
        <f t="shared" si="267"/>
        <v>225</v>
      </c>
      <c r="R1639" s="688">
        <f t="shared" si="267"/>
        <v>11.25</v>
      </c>
      <c r="S1639" s="688">
        <v>8</v>
      </c>
      <c r="T1639" s="690">
        <f t="shared" si="268"/>
        <v>0.71109999999999995</v>
      </c>
    </row>
    <row r="1640" spans="1:20" s="688" customFormat="1" ht="17.100000000000001" customHeight="1">
      <c r="A1640" s="1318" t="s">
        <v>1320</v>
      </c>
      <c r="B1640" s="1319"/>
      <c r="C1640" s="1371"/>
      <c r="D1640" s="1372"/>
      <c r="E1640" s="677"/>
      <c r="F1640" s="676"/>
      <c r="G1640" s="670"/>
      <c r="H1640" s="670">
        <f>SUM(H1639)</f>
        <v>156</v>
      </c>
      <c r="I1640" s="670"/>
      <c r="J1640" s="670">
        <f>SUM(J1639)</f>
        <v>3121</v>
      </c>
      <c r="K1640" s="670"/>
      <c r="L1640" s="670">
        <f>SUM(L1639)</f>
        <v>0</v>
      </c>
      <c r="M1640" s="670"/>
      <c r="N1640" s="670">
        <f>SUM(N1639)</f>
        <v>3277</v>
      </c>
      <c r="O1640" s="671"/>
      <c r="P1640" s="672"/>
      <c r="Q1640" s="688">
        <f t="shared" si="267"/>
        <v>225</v>
      </c>
      <c r="R1640" s="688">
        <f t="shared" si="267"/>
        <v>11.25</v>
      </c>
      <c r="S1640" s="688">
        <v>4</v>
      </c>
      <c r="T1640" s="690">
        <f t="shared" si="268"/>
        <v>0.35560000000000003</v>
      </c>
    </row>
    <row r="1641" spans="1:20" s="688" customFormat="1" ht="17.100000000000001" customHeight="1">
      <c r="A1641" s="668">
        <f>A1638+1</f>
        <v>283</v>
      </c>
      <c r="B1641" s="1320" t="s">
        <v>1956</v>
      </c>
      <c r="C1641" s="1320"/>
      <c r="D1641" s="1320" t="s">
        <v>1957</v>
      </c>
      <c r="E1641" s="1320"/>
      <c r="F1641" s="669" t="s">
        <v>850</v>
      </c>
      <c r="G1641" s="670"/>
      <c r="H1641" s="670"/>
      <c r="I1641" s="670"/>
      <c r="J1641" s="670"/>
      <c r="K1641" s="670"/>
      <c r="L1641" s="670"/>
      <c r="M1641" s="670"/>
      <c r="N1641" s="670"/>
      <c r="O1641" s="671"/>
      <c r="P1641" s="672"/>
      <c r="T1641" s="690"/>
    </row>
    <row r="1642" spans="1:20" s="688" customFormat="1" ht="17.100000000000001" customHeight="1">
      <c r="A1642" s="1316" t="s">
        <v>1958</v>
      </c>
      <c r="B1642" s="1317"/>
      <c r="C1642" s="1316" t="s">
        <v>1959</v>
      </c>
      <c r="D1642" s="1317"/>
      <c r="E1642" s="677">
        <v>1</v>
      </c>
      <c r="F1642" s="676" t="s">
        <v>850</v>
      </c>
      <c r="G1642" s="670" t="e">
        <f>$H$552</f>
        <v>#REF!</v>
      </c>
      <c r="H1642" s="670" t="e">
        <f>INT(E1642*G1642)</f>
        <v>#REF!</v>
      </c>
      <c r="I1642" s="670">
        <f>$J$552</f>
        <v>373604</v>
      </c>
      <c r="J1642" s="670">
        <f>INT(E1642*I1642)</f>
        <v>373604</v>
      </c>
      <c r="K1642" s="670">
        <f>$L$552</f>
        <v>5742</v>
      </c>
      <c r="L1642" s="670">
        <f>INT(E1642*K1642)</f>
        <v>5742</v>
      </c>
      <c r="M1642" s="670" t="e">
        <f>G1642+I1642+K1642</f>
        <v>#REF!</v>
      </c>
      <c r="N1642" s="670" t="e">
        <f>H1642+J1642+L1642</f>
        <v>#REF!</v>
      </c>
      <c r="O1642" s="671">
        <f>A545</f>
        <v>139</v>
      </c>
      <c r="P1642" s="672" t="s">
        <v>1944</v>
      </c>
      <c r="Q1642" s="687" t="s">
        <v>1551</v>
      </c>
      <c r="R1642" s="688" t="s">
        <v>1447</v>
      </c>
      <c r="S1642" s="688" t="s">
        <v>1425</v>
      </c>
      <c r="T1642" s="688" t="s">
        <v>1426</v>
      </c>
    </row>
    <row r="1643" spans="1:20" s="688" customFormat="1" ht="17.100000000000001" customHeight="1">
      <c r="A1643" s="1318" t="s">
        <v>1320</v>
      </c>
      <c r="B1643" s="1319"/>
      <c r="C1643" s="1371"/>
      <c r="D1643" s="1372"/>
      <c r="E1643" s="677"/>
      <c r="F1643" s="676"/>
      <c r="G1643" s="670"/>
      <c r="H1643" s="670" t="e">
        <f>SUM(H1642:H1642)</f>
        <v>#REF!</v>
      </c>
      <c r="I1643" s="670"/>
      <c r="J1643" s="670">
        <f>SUM(J1642:J1642)</f>
        <v>373604</v>
      </c>
      <c r="K1643" s="670"/>
      <c r="L1643" s="670">
        <f>SUM(L1642:L1642)</f>
        <v>5742</v>
      </c>
      <c r="M1643" s="670"/>
      <c r="N1643" s="670" t="e">
        <f>SUM(N1642:N1642)</f>
        <v>#REF!</v>
      </c>
      <c r="O1643" s="671"/>
      <c r="P1643" s="672" t="s">
        <v>1960</v>
      </c>
      <c r="Q1643" s="688">
        <v>550</v>
      </c>
      <c r="R1643" s="688">
        <f>(Q1643)/(0.2*100)</f>
        <v>27.5</v>
      </c>
      <c r="S1643" s="688">
        <v>0</v>
      </c>
      <c r="T1643" s="690">
        <f>20*1.04*1.6/1.3</f>
        <v>25.6</v>
      </c>
    </row>
    <row r="1644" spans="1:20" s="688" customFormat="1" ht="17.100000000000001" customHeight="1">
      <c r="A1644" s="668">
        <f>A1641+1</f>
        <v>284</v>
      </c>
      <c r="B1644" s="1320" t="s">
        <v>1956</v>
      </c>
      <c r="C1644" s="1320"/>
      <c r="D1644" s="1320" t="s">
        <v>1961</v>
      </c>
      <c r="E1644" s="1320"/>
      <c r="F1644" s="669" t="s">
        <v>850</v>
      </c>
      <c r="G1644" s="670"/>
      <c r="H1644" s="670"/>
      <c r="I1644" s="670"/>
      <c r="J1644" s="670"/>
      <c r="K1644" s="670"/>
      <c r="L1644" s="670"/>
      <c r="M1644" s="670"/>
      <c r="N1644" s="670"/>
      <c r="O1644" s="671"/>
      <c r="P1644" s="672"/>
      <c r="Q1644" s="688">
        <f t="shared" ref="Q1644:R1648" si="269">Q1643</f>
        <v>550</v>
      </c>
      <c r="R1644" s="688">
        <f t="shared" si="269"/>
        <v>27.5</v>
      </c>
      <c r="S1644" s="688">
        <v>0</v>
      </c>
      <c r="T1644" s="690">
        <f>ROUND(S1644/R1644,4)</f>
        <v>0</v>
      </c>
    </row>
    <row r="1645" spans="1:20" s="688" customFormat="1" ht="17.100000000000001" customHeight="1">
      <c r="A1645" s="1316" t="s">
        <v>1958</v>
      </c>
      <c r="B1645" s="1317"/>
      <c r="C1645" s="1316" t="s">
        <v>1962</v>
      </c>
      <c r="D1645" s="1317"/>
      <c r="E1645" s="677">
        <v>1</v>
      </c>
      <c r="F1645" s="676" t="s">
        <v>850</v>
      </c>
      <c r="G1645" s="670" t="e">
        <f>$H$560</f>
        <v>#REF!</v>
      </c>
      <c r="H1645" s="670" t="e">
        <f>INT(E1645*G1645)</f>
        <v>#REF!</v>
      </c>
      <c r="I1645" s="670">
        <f>$J$560</f>
        <v>586878</v>
      </c>
      <c r="J1645" s="670">
        <f>INT(E1645*I1645)</f>
        <v>586878</v>
      </c>
      <c r="K1645" s="670">
        <f>$L$560</f>
        <v>5742</v>
      </c>
      <c r="L1645" s="670">
        <f>INT(E1645*K1645)</f>
        <v>5742</v>
      </c>
      <c r="M1645" s="670" t="e">
        <f>G1645+I1645+K1645</f>
        <v>#REF!</v>
      </c>
      <c r="N1645" s="670" t="e">
        <f>H1645+J1645+L1645</f>
        <v>#REF!</v>
      </c>
      <c r="O1645" s="671">
        <f>$A$553</f>
        <v>140</v>
      </c>
      <c r="P1645" s="672"/>
      <c r="Q1645" s="688">
        <f t="shared" si="269"/>
        <v>550</v>
      </c>
      <c r="R1645" s="688">
        <f t="shared" si="269"/>
        <v>27.5</v>
      </c>
      <c r="S1645" s="688">
        <v>2</v>
      </c>
      <c r="T1645" s="690">
        <f>ROUND(S1645/R1645,4)</f>
        <v>7.2700000000000001E-2</v>
      </c>
    </row>
    <row r="1646" spans="1:20" s="688" customFormat="1" ht="17.100000000000001" customHeight="1">
      <c r="A1646" s="1318" t="s">
        <v>1320</v>
      </c>
      <c r="B1646" s="1319"/>
      <c r="C1646" s="1371"/>
      <c r="D1646" s="1372"/>
      <c r="E1646" s="677"/>
      <c r="F1646" s="676"/>
      <c r="G1646" s="670"/>
      <c r="H1646" s="670" t="e">
        <f>SUM(H1645:H1645)</f>
        <v>#REF!</v>
      </c>
      <c r="I1646" s="670"/>
      <c r="J1646" s="670">
        <f>SUM(J1645:J1645)</f>
        <v>586878</v>
      </c>
      <c r="K1646" s="670"/>
      <c r="L1646" s="670">
        <f>SUM(L1645:L1645)</f>
        <v>5742</v>
      </c>
      <c r="M1646" s="670"/>
      <c r="N1646" s="670" t="e">
        <f>SUM(N1645:N1645)</f>
        <v>#REF!</v>
      </c>
      <c r="O1646" s="671"/>
      <c r="P1646" s="672"/>
      <c r="Q1646" s="688">
        <f>Q1645</f>
        <v>550</v>
      </c>
      <c r="R1646" s="688">
        <f>R1645</f>
        <v>27.5</v>
      </c>
      <c r="S1646" s="688">
        <v>8</v>
      </c>
      <c r="T1646" s="690">
        <f>ROUND(S1646/R1646,4)</f>
        <v>0.29089999999999999</v>
      </c>
    </row>
    <row r="1647" spans="1:20" s="688" customFormat="1" ht="17.100000000000001" customHeight="1">
      <c r="A1647" s="668">
        <f>A1644+1</f>
        <v>285</v>
      </c>
      <c r="B1647" s="1320" t="s">
        <v>1963</v>
      </c>
      <c r="C1647" s="1320"/>
      <c r="D1647" s="1320" t="s">
        <v>1964</v>
      </c>
      <c r="E1647" s="1320"/>
      <c r="F1647" s="669" t="s">
        <v>272</v>
      </c>
      <c r="G1647" s="670"/>
      <c r="H1647" s="670"/>
      <c r="I1647" s="670"/>
      <c r="J1647" s="670"/>
      <c r="K1647" s="670"/>
      <c r="L1647" s="670"/>
      <c r="M1647" s="670"/>
      <c r="N1647" s="670"/>
      <c r="O1647" s="671"/>
      <c r="P1647" s="672"/>
      <c r="Q1647" s="688">
        <f t="shared" si="269"/>
        <v>550</v>
      </c>
      <c r="R1647" s="688">
        <f t="shared" si="269"/>
        <v>27.5</v>
      </c>
      <c r="S1647" s="688">
        <v>8</v>
      </c>
      <c r="T1647" s="690">
        <f>ROUND(S1647/R1647,4)</f>
        <v>0.29089999999999999</v>
      </c>
    </row>
    <row r="1648" spans="1:20" s="688" customFormat="1" ht="17.100000000000001" customHeight="1">
      <c r="A1648" s="1316" t="s">
        <v>628</v>
      </c>
      <c r="B1648" s="1317"/>
      <c r="C1648" s="1316"/>
      <c r="D1648" s="1317"/>
      <c r="E1648" s="683">
        <v>1.2999999999999999E-3</v>
      </c>
      <c r="F1648" s="676" t="s">
        <v>366</v>
      </c>
      <c r="G1648" s="670"/>
      <c r="H1648" s="670"/>
      <c r="I1648" s="670">
        <f>[53]노임단가!T6</f>
        <v>226122</v>
      </c>
      <c r="J1648" s="670">
        <f>INT(E1648*I1648)</f>
        <v>293</v>
      </c>
      <c r="K1648" s="670"/>
      <c r="L1648" s="670"/>
      <c r="M1648" s="670">
        <f>G1648+I1648+K1648</f>
        <v>226122</v>
      </c>
      <c r="N1648" s="670">
        <f>H1648+J1648+L1648</f>
        <v>293</v>
      </c>
      <c r="O1648" s="671"/>
      <c r="P1648" s="672"/>
      <c r="Q1648" s="688">
        <f t="shared" si="269"/>
        <v>550</v>
      </c>
      <c r="R1648" s="688">
        <f t="shared" si="269"/>
        <v>27.5</v>
      </c>
      <c r="S1648" s="688">
        <v>4</v>
      </c>
      <c r="T1648" s="690">
        <f>ROUND(S1648/R1648,4)</f>
        <v>0.14549999999999999</v>
      </c>
    </row>
    <row r="1649" spans="1:20" s="688" customFormat="1" ht="17.100000000000001" customHeight="1">
      <c r="A1649" s="1316" t="s">
        <v>248</v>
      </c>
      <c r="B1649" s="1317"/>
      <c r="C1649" s="1316"/>
      <c r="D1649" s="1317"/>
      <c r="E1649" s="686">
        <v>5.9999999999999995E-4</v>
      </c>
      <c r="F1649" s="676" t="s">
        <v>366</v>
      </c>
      <c r="G1649" s="670"/>
      <c r="H1649" s="670"/>
      <c r="I1649" s="670">
        <f>[53]노임단가!T5</f>
        <v>172068</v>
      </c>
      <c r="J1649" s="670">
        <f>INT(E1649*I1649)</f>
        <v>103</v>
      </c>
      <c r="K1649" s="670"/>
      <c r="L1649" s="670"/>
      <c r="M1649" s="670">
        <f>G1649+I1649+K1649</f>
        <v>172068</v>
      </c>
      <c r="N1649" s="670">
        <f>H1649+J1649+L1649</f>
        <v>103</v>
      </c>
      <c r="O1649" s="671"/>
      <c r="P1649" s="699"/>
      <c r="Q1649" s="792"/>
      <c r="T1649" s="690"/>
    </row>
    <row r="1650" spans="1:20" s="688" customFormat="1" ht="17.100000000000001" customHeight="1">
      <c r="A1650" s="1318" t="s">
        <v>1320</v>
      </c>
      <c r="B1650" s="1319"/>
      <c r="C1650" s="1371"/>
      <c r="D1650" s="1372"/>
      <c r="E1650" s="677"/>
      <c r="F1650" s="676"/>
      <c r="G1650" s="670"/>
      <c r="H1650" s="670"/>
      <c r="I1650" s="670"/>
      <c r="J1650" s="670">
        <f>SUM(J1648:J1649)</f>
        <v>396</v>
      </c>
      <c r="K1650" s="670"/>
      <c r="L1650" s="670"/>
      <c r="M1650" s="670"/>
      <c r="N1650" s="670">
        <f>SUM(N1648:N1649)</f>
        <v>396</v>
      </c>
      <c r="O1650" s="671"/>
      <c r="P1650" s="672" t="s">
        <v>1944</v>
      </c>
      <c r="Q1650" s="687" t="s">
        <v>1551</v>
      </c>
      <c r="R1650" s="688" t="s">
        <v>1447</v>
      </c>
      <c r="S1650" s="688" t="s">
        <v>1425</v>
      </c>
      <c r="T1650" s="688" t="s">
        <v>1426</v>
      </c>
    </row>
    <row r="1651" spans="1:20" s="688" customFormat="1" ht="17.100000000000001" customHeight="1">
      <c r="A1651" s="668">
        <f>A1647+1</f>
        <v>286</v>
      </c>
      <c r="B1651" s="1320" t="s">
        <v>1963</v>
      </c>
      <c r="C1651" s="1320"/>
      <c r="D1651" s="1320" t="s">
        <v>1965</v>
      </c>
      <c r="E1651" s="1320"/>
      <c r="F1651" s="669" t="s">
        <v>272</v>
      </c>
      <c r="G1651" s="670"/>
      <c r="H1651" s="670"/>
      <c r="I1651" s="670"/>
      <c r="J1651" s="670"/>
      <c r="K1651" s="670"/>
      <c r="L1651" s="670"/>
      <c r="M1651" s="670"/>
      <c r="N1651" s="670"/>
      <c r="O1651" s="671"/>
      <c r="P1651" s="672" t="s">
        <v>1947</v>
      </c>
      <c r="Q1651" s="688">
        <v>150</v>
      </c>
      <c r="R1651" s="688">
        <f>(Q1651)/(0.3*100)</f>
        <v>5</v>
      </c>
      <c r="S1651" s="688">
        <v>0</v>
      </c>
      <c r="T1651" s="690">
        <f>30*1.04*1.6/1.3</f>
        <v>38.400000000000006</v>
      </c>
    </row>
    <row r="1652" spans="1:20" s="688" customFormat="1" ht="17.100000000000001" customHeight="1">
      <c r="A1652" s="1316" t="s">
        <v>628</v>
      </c>
      <c r="B1652" s="1317"/>
      <c r="C1652" s="1316"/>
      <c r="D1652" s="1317"/>
      <c r="E1652" s="683">
        <v>1.5E-3</v>
      </c>
      <c r="F1652" s="676" t="s">
        <v>366</v>
      </c>
      <c r="G1652" s="670"/>
      <c r="H1652" s="670"/>
      <c r="I1652" s="670">
        <f>[53]노임단가!T6</f>
        <v>226122</v>
      </c>
      <c r="J1652" s="670">
        <f>INT(E1652*I1652)</f>
        <v>339</v>
      </c>
      <c r="K1652" s="670"/>
      <c r="L1652" s="670"/>
      <c r="M1652" s="670">
        <f>G1652+I1652+K1652</f>
        <v>226122</v>
      </c>
      <c r="N1652" s="670">
        <f>H1652+J1652+L1652</f>
        <v>339</v>
      </c>
      <c r="O1652" s="671"/>
      <c r="P1652" s="672"/>
      <c r="Q1652" s="688">
        <f t="shared" ref="Q1652:R1657" si="270">Q1651</f>
        <v>150</v>
      </c>
      <c r="R1652" s="688">
        <f t="shared" si="270"/>
        <v>5</v>
      </c>
      <c r="S1652" s="688">
        <v>0</v>
      </c>
      <c r="T1652" s="690">
        <f t="shared" ref="T1652:T1657" si="271">ROUND(S1652/R1652,4)</f>
        <v>0</v>
      </c>
    </row>
    <row r="1653" spans="1:20" s="688" customFormat="1" ht="17.100000000000001" customHeight="1">
      <c r="A1653" s="1316" t="s">
        <v>248</v>
      </c>
      <c r="B1653" s="1317"/>
      <c r="C1653" s="1316"/>
      <c r="D1653" s="1317"/>
      <c r="E1653" s="686">
        <v>6.9999999999999999E-4</v>
      </c>
      <c r="F1653" s="676" t="s">
        <v>366</v>
      </c>
      <c r="G1653" s="670"/>
      <c r="H1653" s="670"/>
      <c r="I1653" s="670">
        <f>[53]노임단가!T5</f>
        <v>172068</v>
      </c>
      <c r="J1653" s="670">
        <f>INT(E1653*I1653)</f>
        <v>120</v>
      </c>
      <c r="K1653" s="670"/>
      <c r="L1653" s="670"/>
      <c r="M1653" s="670">
        <f>G1653+I1653+K1653</f>
        <v>172068</v>
      </c>
      <c r="N1653" s="670">
        <f>H1653+J1653+L1653</f>
        <v>120</v>
      </c>
      <c r="O1653" s="671"/>
      <c r="P1653" s="672"/>
      <c r="Q1653" s="688">
        <f t="shared" si="270"/>
        <v>150</v>
      </c>
      <c r="R1653" s="688">
        <f t="shared" si="270"/>
        <v>5</v>
      </c>
      <c r="S1653" s="688">
        <v>2</v>
      </c>
      <c r="T1653" s="690">
        <f t="shared" si="271"/>
        <v>0.4</v>
      </c>
    </row>
    <row r="1654" spans="1:20" s="688" customFormat="1" ht="17.100000000000001" customHeight="1">
      <c r="A1654" s="1318" t="s">
        <v>1320</v>
      </c>
      <c r="B1654" s="1319"/>
      <c r="C1654" s="1371"/>
      <c r="D1654" s="1372"/>
      <c r="E1654" s="677"/>
      <c r="F1654" s="676"/>
      <c r="G1654" s="670"/>
      <c r="H1654" s="670"/>
      <c r="I1654" s="670"/>
      <c r="J1654" s="670">
        <f>SUM(J1652:J1653)</f>
        <v>459</v>
      </c>
      <c r="K1654" s="670"/>
      <c r="L1654" s="670"/>
      <c r="M1654" s="670"/>
      <c r="N1654" s="670">
        <f>SUM(N1652:N1653)</f>
        <v>459</v>
      </c>
      <c r="O1654" s="671"/>
      <c r="P1654" s="672"/>
      <c r="Q1654" s="688">
        <f t="shared" si="270"/>
        <v>150</v>
      </c>
      <c r="R1654" s="688">
        <f t="shared" si="270"/>
        <v>5</v>
      </c>
      <c r="S1654" s="688">
        <v>2</v>
      </c>
      <c r="T1654" s="690">
        <f t="shared" si="271"/>
        <v>0.4</v>
      </c>
    </row>
    <row r="1655" spans="1:20" s="688" customFormat="1" ht="17.100000000000001" customHeight="1">
      <c r="A1655" s="668">
        <f>A1651+1</f>
        <v>287</v>
      </c>
      <c r="B1655" s="1320" t="s">
        <v>1966</v>
      </c>
      <c r="C1655" s="1320"/>
      <c r="D1655" s="1320" t="s">
        <v>1967</v>
      </c>
      <c r="E1655" s="1320"/>
      <c r="F1655" s="669" t="s">
        <v>1458</v>
      </c>
      <c r="G1655" s="698"/>
      <c r="H1655" s="698"/>
      <c r="I1655" s="698"/>
      <c r="J1655" s="698"/>
      <c r="K1655" s="670"/>
      <c r="L1655" s="670"/>
      <c r="M1655" s="670"/>
      <c r="N1655" s="698"/>
      <c r="O1655" s="699"/>
      <c r="P1655" s="672"/>
      <c r="Q1655" s="688">
        <f t="shared" si="270"/>
        <v>150</v>
      </c>
      <c r="R1655" s="688">
        <f t="shared" si="270"/>
        <v>5</v>
      </c>
      <c r="S1655" s="688">
        <v>8</v>
      </c>
      <c r="T1655" s="690">
        <f t="shared" si="271"/>
        <v>1.6</v>
      </c>
    </row>
    <row r="1656" spans="1:20" s="688" customFormat="1" ht="17.100000000000001" customHeight="1">
      <c r="A1656" s="1316" t="s">
        <v>1968</v>
      </c>
      <c r="B1656" s="1317"/>
      <c r="C1656" s="1316" t="s">
        <v>1969</v>
      </c>
      <c r="D1656" s="1317"/>
      <c r="E1656" s="683">
        <v>25.6</v>
      </c>
      <c r="F1656" s="676" t="s">
        <v>850</v>
      </c>
      <c r="G1656" s="670" t="e">
        <f>#REF!</f>
        <v>#REF!</v>
      </c>
      <c r="H1656" s="670" t="e">
        <f>INT(E1656*G1656)</f>
        <v>#REF!</v>
      </c>
      <c r="I1656" s="670"/>
      <c r="J1656" s="670"/>
      <c r="K1656" s="670"/>
      <c r="L1656" s="670"/>
      <c r="M1656" s="670" t="e">
        <f t="shared" ref="M1656:N1662" si="272">G1656+I1656+K1656</f>
        <v>#REF!</v>
      </c>
      <c r="N1656" s="670" t="e">
        <f t="shared" si="272"/>
        <v>#REF!</v>
      </c>
      <c r="O1656" s="671"/>
      <c r="P1656" s="672"/>
      <c r="Q1656" s="688">
        <f t="shared" si="270"/>
        <v>150</v>
      </c>
      <c r="R1656" s="688">
        <f t="shared" si="270"/>
        <v>5</v>
      </c>
      <c r="S1656" s="688">
        <v>8</v>
      </c>
      <c r="T1656" s="690">
        <f t="shared" si="271"/>
        <v>1.6</v>
      </c>
    </row>
    <row r="1657" spans="1:20" s="688" customFormat="1" ht="17.100000000000001" customHeight="1">
      <c r="A1657" s="1316" t="s">
        <v>1068</v>
      </c>
      <c r="B1657" s="1317"/>
      <c r="C1657" s="1316"/>
      <c r="D1657" s="1317"/>
      <c r="E1657" s="677">
        <v>2</v>
      </c>
      <c r="F1657" s="676" t="s">
        <v>915</v>
      </c>
      <c r="G1657" s="670" t="e">
        <f>#REF!*1000</f>
        <v>#REF!</v>
      </c>
      <c r="H1657" s="670" t="e">
        <f>INT(E1657*G1657)</f>
        <v>#REF!</v>
      </c>
      <c r="I1657" s="670"/>
      <c r="J1657" s="670"/>
      <c r="K1657" s="670"/>
      <c r="L1657" s="670"/>
      <c r="M1657" s="670" t="e">
        <f t="shared" si="272"/>
        <v>#REF!</v>
      </c>
      <c r="N1657" s="670" t="e">
        <f t="shared" si="272"/>
        <v>#REF!</v>
      </c>
      <c r="O1657" s="671"/>
      <c r="P1657" s="672"/>
      <c r="Q1657" s="688">
        <f t="shared" si="270"/>
        <v>150</v>
      </c>
      <c r="R1657" s="688">
        <f t="shared" si="270"/>
        <v>5</v>
      </c>
      <c r="S1657" s="688">
        <v>4</v>
      </c>
      <c r="T1657" s="690">
        <f t="shared" si="271"/>
        <v>0.8</v>
      </c>
    </row>
    <row r="1658" spans="1:20" s="688" customFormat="1" ht="17.100000000000001" customHeight="1">
      <c r="A1658" s="1316" t="s">
        <v>1970</v>
      </c>
      <c r="B1658" s="1317"/>
      <c r="C1658" s="1316"/>
      <c r="D1658" s="1317"/>
      <c r="E1658" s="686">
        <v>0.26669999999999999</v>
      </c>
      <c r="F1658" s="676" t="s">
        <v>366</v>
      </c>
      <c r="G1658" s="670"/>
      <c r="H1658" s="670"/>
      <c r="I1658" s="670">
        <f>[53]노임단가!$T$21</f>
        <v>221015</v>
      </c>
      <c r="J1658" s="670">
        <f>INT(E1658*I1658)</f>
        <v>58944</v>
      </c>
      <c r="K1658" s="670"/>
      <c r="L1658" s="670"/>
      <c r="M1658" s="670">
        <f t="shared" si="272"/>
        <v>221015</v>
      </c>
      <c r="N1658" s="670">
        <f t="shared" si="272"/>
        <v>58944</v>
      </c>
      <c r="O1658" s="671"/>
      <c r="P1658" s="672"/>
    </row>
    <row r="1659" spans="1:20" s="688" customFormat="1" ht="17.100000000000001" customHeight="1">
      <c r="A1659" s="1316" t="s">
        <v>248</v>
      </c>
      <c r="B1659" s="1317"/>
      <c r="C1659" s="1316"/>
      <c r="D1659" s="1317"/>
      <c r="E1659" s="686">
        <v>0.26669999999999999</v>
      </c>
      <c r="F1659" s="676" t="s">
        <v>366</v>
      </c>
      <c r="G1659" s="670"/>
      <c r="H1659" s="670"/>
      <c r="I1659" s="670">
        <f>[53]노임단가!$T$5</f>
        <v>172068</v>
      </c>
      <c r="J1659" s="670">
        <f>INT(E1659*I1659)</f>
        <v>45890</v>
      </c>
      <c r="K1659" s="670"/>
      <c r="L1659" s="670"/>
      <c r="M1659" s="670">
        <f t="shared" si="272"/>
        <v>172068</v>
      </c>
      <c r="N1659" s="670">
        <f t="shared" si="272"/>
        <v>45890</v>
      </c>
      <c r="O1659" s="671"/>
      <c r="P1659" s="672" t="s">
        <v>1944</v>
      </c>
      <c r="Q1659" s="687" t="s">
        <v>1551</v>
      </c>
      <c r="R1659" s="688" t="s">
        <v>1447</v>
      </c>
      <c r="S1659" s="688" t="s">
        <v>1425</v>
      </c>
      <c r="T1659" s="688" t="s">
        <v>1426</v>
      </c>
    </row>
    <row r="1660" spans="1:20" s="688" customFormat="1" ht="17.100000000000001" customHeight="1">
      <c r="A1660" s="1316" t="s">
        <v>409</v>
      </c>
      <c r="B1660" s="1317"/>
      <c r="C1660" s="1316" t="s">
        <v>397</v>
      </c>
      <c r="D1660" s="1317"/>
      <c r="E1660" s="686">
        <v>1.0666</v>
      </c>
      <c r="F1660" s="676" t="s">
        <v>418</v>
      </c>
      <c r="G1660" s="670" t="e">
        <f>#REF!</f>
        <v>#REF!</v>
      </c>
      <c r="H1660" s="670" t="e">
        <f>INT(E1660*G1660)</f>
        <v>#REF!</v>
      </c>
      <c r="I1660" s="670" t="e">
        <f>#REF!</f>
        <v>#REF!</v>
      </c>
      <c r="J1660" s="670" t="e">
        <f>INT(E1660*I1660)</f>
        <v>#REF!</v>
      </c>
      <c r="K1660" s="670" t="e">
        <f>#REF!</f>
        <v>#REF!</v>
      </c>
      <c r="L1660" s="670" t="e">
        <f>INT(E1660*K1660)</f>
        <v>#REF!</v>
      </c>
      <c r="M1660" s="670" t="e">
        <f t="shared" si="272"/>
        <v>#REF!</v>
      </c>
      <c r="N1660" s="670" t="e">
        <f t="shared" si="272"/>
        <v>#REF!</v>
      </c>
      <c r="O1660" s="671"/>
      <c r="P1660" s="672" t="s">
        <v>1953</v>
      </c>
      <c r="Q1660" s="688">
        <v>225</v>
      </c>
      <c r="R1660" s="688">
        <f>(Q1660)/(0.3*100)</f>
        <v>7.5</v>
      </c>
      <c r="S1660" s="688">
        <v>0</v>
      </c>
      <c r="T1660" s="690">
        <f>30*1.04*1.6/1.3</f>
        <v>38.400000000000006</v>
      </c>
    </row>
    <row r="1661" spans="1:20" s="688" customFormat="1" ht="17.100000000000001" customHeight="1">
      <c r="A1661" s="1316" t="s">
        <v>554</v>
      </c>
      <c r="B1661" s="1317"/>
      <c r="C1661" s="1316" t="s">
        <v>1181</v>
      </c>
      <c r="D1661" s="1317"/>
      <c r="E1661" s="686">
        <v>1.0666</v>
      </c>
      <c r="F1661" s="676" t="s">
        <v>418</v>
      </c>
      <c r="G1661" s="670" t="e">
        <f>#REF!</f>
        <v>#REF!</v>
      </c>
      <c r="H1661" s="670" t="e">
        <f>INT(E1661*G1661)</f>
        <v>#REF!</v>
      </c>
      <c r="I1661" s="670" t="e">
        <f>#REF!</f>
        <v>#REF!</v>
      </c>
      <c r="J1661" s="670" t="e">
        <f>INT(E1661*I1661)</f>
        <v>#REF!</v>
      </c>
      <c r="K1661" s="670" t="e">
        <f>#REF!</f>
        <v>#REF!</v>
      </c>
      <c r="L1661" s="670" t="e">
        <f>INT(E1661*K1661)</f>
        <v>#REF!</v>
      </c>
      <c r="M1661" s="670" t="e">
        <f t="shared" si="272"/>
        <v>#REF!</v>
      </c>
      <c r="N1661" s="670" t="e">
        <f t="shared" si="272"/>
        <v>#REF!</v>
      </c>
      <c r="O1661" s="671"/>
      <c r="P1661" s="672"/>
      <c r="Q1661" s="688">
        <f t="shared" ref="Q1661:R1666" si="273">Q1660</f>
        <v>225</v>
      </c>
      <c r="R1661" s="688">
        <f t="shared" si="273"/>
        <v>7.5</v>
      </c>
      <c r="S1661" s="688">
        <v>0</v>
      </c>
      <c r="T1661" s="690">
        <f t="shared" ref="T1661:T1666" si="274">ROUND(S1661/R1661,4)</f>
        <v>0</v>
      </c>
    </row>
    <row r="1662" spans="1:20" s="688" customFormat="1" ht="17.100000000000001" customHeight="1">
      <c r="A1662" s="1316" t="s">
        <v>630</v>
      </c>
      <c r="B1662" s="1317"/>
      <c r="C1662" s="1316" t="s">
        <v>1251</v>
      </c>
      <c r="D1662" s="1317"/>
      <c r="E1662" s="686">
        <v>0.5333</v>
      </c>
      <c r="F1662" s="676" t="s">
        <v>418</v>
      </c>
      <c r="G1662" s="670" t="e">
        <f>#REF!</f>
        <v>#REF!</v>
      </c>
      <c r="H1662" s="670" t="e">
        <f>INT(E1662*G1662)</f>
        <v>#REF!</v>
      </c>
      <c r="I1662" s="670" t="e">
        <f>#REF!</f>
        <v>#REF!</v>
      </c>
      <c r="J1662" s="670" t="e">
        <f>INT(E1662*I1662)</f>
        <v>#REF!</v>
      </c>
      <c r="K1662" s="670" t="e">
        <f>#REF!</f>
        <v>#REF!</v>
      </c>
      <c r="L1662" s="670" t="e">
        <f>INT(E1662*K1662)</f>
        <v>#REF!</v>
      </c>
      <c r="M1662" s="670" t="e">
        <f t="shared" si="272"/>
        <v>#REF!</v>
      </c>
      <c r="N1662" s="670" t="e">
        <f t="shared" si="272"/>
        <v>#REF!</v>
      </c>
      <c r="O1662" s="671"/>
      <c r="P1662" s="672"/>
      <c r="Q1662" s="688">
        <f t="shared" si="273"/>
        <v>225</v>
      </c>
      <c r="R1662" s="688">
        <f t="shared" si="273"/>
        <v>7.5</v>
      </c>
      <c r="S1662" s="688">
        <v>2</v>
      </c>
      <c r="T1662" s="690">
        <f t="shared" si="274"/>
        <v>0.26669999999999999</v>
      </c>
    </row>
    <row r="1663" spans="1:20" s="688" customFormat="1" ht="17.100000000000001" customHeight="1">
      <c r="A1663" s="1318" t="s">
        <v>1320</v>
      </c>
      <c r="B1663" s="1319"/>
      <c r="C1663" s="1316"/>
      <c r="D1663" s="1317"/>
      <c r="E1663" s="686"/>
      <c r="F1663" s="676"/>
      <c r="G1663" s="670"/>
      <c r="H1663" s="670" t="e">
        <f>SUM(H1656:H1662)</f>
        <v>#REF!</v>
      </c>
      <c r="I1663" s="670"/>
      <c r="J1663" s="670" t="e">
        <f>SUM(J1656:J1662)</f>
        <v>#REF!</v>
      </c>
      <c r="K1663" s="670"/>
      <c r="L1663" s="670" t="e">
        <f>SUM(L1656:L1662)</f>
        <v>#REF!</v>
      </c>
      <c r="M1663" s="670"/>
      <c r="N1663" s="670" t="e">
        <f>SUM(N1656:N1662)</f>
        <v>#REF!</v>
      </c>
      <c r="O1663" s="671"/>
      <c r="P1663" s="672"/>
      <c r="Q1663" s="688">
        <f t="shared" si="273"/>
        <v>225</v>
      </c>
      <c r="R1663" s="688">
        <f t="shared" si="273"/>
        <v>7.5</v>
      </c>
      <c r="S1663" s="688">
        <v>1</v>
      </c>
      <c r="T1663" s="690">
        <f t="shared" si="274"/>
        <v>0.1333</v>
      </c>
    </row>
    <row r="1664" spans="1:20" s="688" customFormat="1" ht="17.100000000000001" customHeight="1">
      <c r="A1664" s="668">
        <f>A1655+1</f>
        <v>288</v>
      </c>
      <c r="B1664" s="1320" t="s">
        <v>1966</v>
      </c>
      <c r="C1664" s="1320"/>
      <c r="D1664" s="1320" t="s">
        <v>1971</v>
      </c>
      <c r="E1664" s="1320"/>
      <c r="F1664" s="669" t="s">
        <v>1458</v>
      </c>
      <c r="G1664" s="698"/>
      <c r="H1664" s="698"/>
      <c r="I1664" s="698"/>
      <c r="J1664" s="698"/>
      <c r="K1664" s="670"/>
      <c r="L1664" s="670"/>
      <c r="M1664" s="670"/>
      <c r="N1664" s="698"/>
      <c r="O1664" s="699"/>
      <c r="P1664" s="672"/>
      <c r="Q1664" s="688">
        <f>Q1663</f>
        <v>225</v>
      </c>
      <c r="R1664" s="688">
        <f>R1663</f>
        <v>7.5</v>
      </c>
      <c r="S1664" s="688">
        <v>8</v>
      </c>
      <c r="T1664" s="690">
        <f t="shared" si="274"/>
        <v>1.0667</v>
      </c>
    </row>
    <row r="1665" spans="1:20" s="688" customFormat="1" ht="17.100000000000001" customHeight="1">
      <c r="A1665" s="1316" t="s">
        <v>1968</v>
      </c>
      <c r="B1665" s="1317"/>
      <c r="C1665" s="1316" t="s">
        <v>1969</v>
      </c>
      <c r="D1665" s="1317"/>
      <c r="E1665" s="683">
        <v>25.6</v>
      </c>
      <c r="F1665" s="676" t="s">
        <v>850</v>
      </c>
      <c r="G1665" s="670" t="e">
        <f>#REF!</f>
        <v>#REF!</v>
      </c>
      <c r="H1665" s="670" t="e">
        <f>INT(E1665*G1665)</f>
        <v>#REF!</v>
      </c>
      <c r="I1665" s="670"/>
      <c r="J1665" s="670"/>
      <c r="K1665" s="670"/>
      <c r="L1665" s="670"/>
      <c r="M1665" s="670" t="e">
        <f t="shared" ref="M1665:N1671" si="275">G1665+I1665+K1665</f>
        <v>#REF!</v>
      </c>
      <c r="N1665" s="670" t="e">
        <f t="shared" si="275"/>
        <v>#REF!</v>
      </c>
      <c r="O1665" s="671"/>
      <c r="P1665" s="672"/>
      <c r="Q1665" s="688">
        <f t="shared" si="273"/>
        <v>225</v>
      </c>
      <c r="R1665" s="688">
        <f t="shared" si="273"/>
        <v>7.5</v>
      </c>
      <c r="S1665" s="688">
        <v>8</v>
      </c>
      <c r="T1665" s="690">
        <f t="shared" si="274"/>
        <v>1.0667</v>
      </c>
    </row>
    <row r="1666" spans="1:20" s="688" customFormat="1" ht="17.100000000000001" customHeight="1">
      <c r="A1666" s="1316" t="s">
        <v>1068</v>
      </c>
      <c r="B1666" s="1317"/>
      <c r="C1666" s="1316"/>
      <c r="D1666" s="1317"/>
      <c r="E1666" s="677">
        <v>2</v>
      </c>
      <c r="F1666" s="676" t="s">
        <v>915</v>
      </c>
      <c r="G1666" s="670" t="e">
        <f>#REF!*1000</f>
        <v>#REF!</v>
      </c>
      <c r="H1666" s="670" t="e">
        <f>INT(E1666*G1666)</f>
        <v>#REF!</v>
      </c>
      <c r="I1666" s="670"/>
      <c r="J1666" s="670"/>
      <c r="K1666" s="670"/>
      <c r="L1666" s="670"/>
      <c r="M1666" s="670" t="e">
        <f t="shared" si="275"/>
        <v>#REF!</v>
      </c>
      <c r="N1666" s="670" t="e">
        <f t="shared" si="275"/>
        <v>#REF!</v>
      </c>
      <c r="O1666" s="671"/>
      <c r="P1666" s="672"/>
      <c r="Q1666" s="688">
        <f t="shared" si="273"/>
        <v>225</v>
      </c>
      <c r="R1666" s="688">
        <f t="shared" si="273"/>
        <v>7.5</v>
      </c>
      <c r="S1666" s="688">
        <v>4</v>
      </c>
      <c r="T1666" s="690">
        <f t="shared" si="274"/>
        <v>0.5333</v>
      </c>
    </row>
    <row r="1667" spans="1:20" s="688" customFormat="1" ht="17.100000000000001" customHeight="1">
      <c r="A1667" s="1316" t="s">
        <v>1970</v>
      </c>
      <c r="B1667" s="1317"/>
      <c r="C1667" s="1316"/>
      <c r="D1667" s="1317"/>
      <c r="E1667" s="686">
        <v>0.17780000000000001</v>
      </c>
      <c r="F1667" s="676" t="s">
        <v>366</v>
      </c>
      <c r="G1667" s="670"/>
      <c r="H1667" s="670"/>
      <c r="I1667" s="670">
        <f>[53]노임단가!$T$21</f>
        <v>221015</v>
      </c>
      <c r="J1667" s="670">
        <f>INT(E1667*I1667)</f>
        <v>39296</v>
      </c>
      <c r="K1667" s="670"/>
      <c r="L1667" s="670"/>
      <c r="M1667" s="670">
        <f>G1667+I1667+K1667</f>
        <v>221015</v>
      </c>
      <c r="N1667" s="670">
        <f>H1667+J1667+L1667</f>
        <v>39296</v>
      </c>
      <c r="O1667" s="671"/>
      <c r="P1667" s="672"/>
    </row>
    <row r="1668" spans="1:20" s="688" customFormat="1" ht="17.100000000000001" customHeight="1">
      <c r="A1668" s="1316" t="s">
        <v>248</v>
      </c>
      <c r="B1668" s="1317"/>
      <c r="C1668" s="1316"/>
      <c r="D1668" s="1317"/>
      <c r="E1668" s="686">
        <v>8.8900000000000007E-2</v>
      </c>
      <c r="F1668" s="676" t="s">
        <v>366</v>
      </c>
      <c r="G1668" s="670"/>
      <c r="H1668" s="670"/>
      <c r="I1668" s="670">
        <f>[53]노임단가!$T$5</f>
        <v>172068</v>
      </c>
      <c r="J1668" s="670">
        <f>INT(E1668*I1668)</f>
        <v>15296</v>
      </c>
      <c r="K1668" s="670"/>
      <c r="L1668" s="670"/>
      <c r="M1668" s="670">
        <f t="shared" si="275"/>
        <v>172068</v>
      </c>
      <c r="N1668" s="670">
        <f t="shared" si="275"/>
        <v>15296</v>
      </c>
      <c r="O1668" s="671"/>
      <c r="P1668" s="672" t="s">
        <v>1944</v>
      </c>
      <c r="Q1668" s="687" t="s">
        <v>1551</v>
      </c>
      <c r="R1668" s="688" t="s">
        <v>1447</v>
      </c>
      <c r="S1668" s="688" t="s">
        <v>1425</v>
      </c>
      <c r="T1668" s="688" t="s">
        <v>1426</v>
      </c>
    </row>
    <row r="1669" spans="1:20" s="688" customFormat="1" ht="17.100000000000001" customHeight="1">
      <c r="A1669" s="1316" t="s">
        <v>409</v>
      </c>
      <c r="B1669" s="1317"/>
      <c r="C1669" s="1316" t="s">
        <v>401</v>
      </c>
      <c r="D1669" s="1317"/>
      <c r="E1669" s="686">
        <v>0.71109999999999995</v>
      </c>
      <c r="F1669" s="676" t="s">
        <v>418</v>
      </c>
      <c r="G1669" s="670" t="e">
        <f>#REF!</f>
        <v>#REF!</v>
      </c>
      <c r="H1669" s="670" t="e">
        <f>INT(E1669*G1669)</f>
        <v>#REF!</v>
      </c>
      <c r="I1669" s="670" t="e">
        <f>#REF!</f>
        <v>#REF!</v>
      </c>
      <c r="J1669" s="670" t="e">
        <f>INT(E1669*I1669)</f>
        <v>#REF!</v>
      </c>
      <c r="K1669" s="670" t="e">
        <f>#REF!</f>
        <v>#REF!</v>
      </c>
      <c r="L1669" s="670" t="e">
        <f>INT(E1669*K1669)</f>
        <v>#REF!</v>
      </c>
      <c r="M1669" s="670" t="e">
        <f t="shared" si="275"/>
        <v>#REF!</v>
      </c>
      <c r="N1669" s="670" t="e">
        <f t="shared" si="275"/>
        <v>#REF!</v>
      </c>
      <c r="O1669" s="671"/>
      <c r="P1669" s="672" t="s">
        <v>1960</v>
      </c>
      <c r="Q1669" s="688">
        <v>550</v>
      </c>
      <c r="R1669" s="688">
        <f>(Q1669)/(0.3*100)</f>
        <v>18.333333333333332</v>
      </c>
      <c r="S1669" s="688">
        <v>0</v>
      </c>
      <c r="T1669" s="690">
        <f>30*1.04*1.6/1.3</f>
        <v>38.400000000000006</v>
      </c>
    </row>
    <row r="1670" spans="1:20" s="688" customFormat="1" ht="17.100000000000001" customHeight="1">
      <c r="A1670" s="1316" t="s">
        <v>1183</v>
      </c>
      <c r="B1670" s="1317"/>
      <c r="C1670" s="1316" t="s">
        <v>1100</v>
      </c>
      <c r="D1670" s="1317"/>
      <c r="E1670" s="686">
        <v>0.71109999999999995</v>
      </c>
      <c r="F1670" s="676" t="s">
        <v>418</v>
      </c>
      <c r="G1670" s="670" t="e">
        <f>#REF!</f>
        <v>#REF!</v>
      </c>
      <c r="H1670" s="670" t="e">
        <f>INT(E1670*G1670)</f>
        <v>#REF!</v>
      </c>
      <c r="I1670" s="670" t="e">
        <f>#REF!</f>
        <v>#REF!</v>
      </c>
      <c r="J1670" s="670" t="e">
        <f>INT(E1670*I1670)</f>
        <v>#REF!</v>
      </c>
      <c r="K1670" s="670" t="e">
        <f>#REF!</f>
        <v>#REF!</v>
      </c>
      <c r="L1670" s="670" t="e">
        <f>INT(E1670*K1670)</f>
        <v>#REF!</v>
      </c>
      <c r="M1670" s="670" t="e">
        <f t="shared" si="275"/>
        <v>#REF!</v>
      </c>
      <c r="N1670" s="670" t="e">
        <f t="shared" si="275"/>
        <v>#REF!</v>
      </c>
      <c r="O1670" s="671"/>
      <c r="P1670" s="672"/>
      <c r="Q1670" s="688">
        <f t="shared" ref="Q1670:R1674" si="276">Q1669</f>
        <v>550</v>
      </c>
      <c r="R1670" s="688">
        <f t="shared" si="276"/>
        <v>18.333333333333332</v>
      </c>
      <c r="S1670" s="688">
        <v>0</v>
      </c>
      <c r="T1670" s="690">
        <f>ROUND(S1670/R1670,4)</f>
        <v>0</v>
      </c>
    </row>
    <row r="1671" spans="1:20" s="688" customFormat="1" ht="17.100000000000001" customHeight="1">
      <c r="A1671" s="1316" t="s">
        <v>630</v>
      </c>
      <c r="B1671" s="1317"/>
      <c r="C1671" s="1316" t="s">
        <v>1395</v>
      </c>
      <c r="D1671" s="1317"/>
      <c r="E1671" s="686">
        <v>0.35560000000000003</v>
      </c>
      <c r="F1671" s="676" t="s">
        <v>418</v>
      </c>
      <c r="G1671" s="670" t="e">
        <f>#REF!</f>
        <v>#REF!</v>
      </c>
      <c r="H1671" s="670" t="e">
        <f>INT(E1671*G1671)</f>
        <v>#REF!</v>
      </c>
      <c r="I1671" s="670" t="e">
        <f>#REF!</f>
        <v>#REF!</v>
      </c>
      <c r="J1671" s="670" t="e">
        <f>INT(E1671*I1671)</f>
        <v>#REF!</v>
      </c>
      <c r="K1671" s="670" t="e">
        <f>#REF!</f>
        <v>#REF!</v>
      </c>
      <c r="L1671" s="670" t="e">
        <f>INT(E1671*K1671)</f>
        <v>#REF!</v>
      </c>
      <c r="M1671" s="670" t="e">
        <f t="shared" si="275"/>
        <v>#REF!</v>
      </c>
      <c r="N1671" s="670" t="e">
        <f t="shared" si="275"/>
        <v>#REF!</v>
      </c>
      <c r="O1671" s="671"/>
      <c r="P1671" s="672"/>
      <c r="Q1671" s="688">
        <f t="shared" si="276"/>
        <v>550</v>
      </c>
      <c r="R1671" s="688">
        <f t="shared" si="276"/>
        <v>18.333333333333332</v>
      </c>
      <c r="S1671" s="688">
        <v>2</v>
      </c>
      <c r="T1671" s="690">
        <f>ROUND(S1671/R1671,4)</f>
        <v>0.1091</v>
      </c>
    </row>
    <row r="1672" spans="1:20" s="688" customFormat="1" ht="17.100000000000001" customHeight="1">
      <c r="A1672" s="1318" t="s">
        <v>1320</v>
      </c>
      <c r="B1672" s="1319"/>
      <c r="C1672" s="1316"/>
      <c r="D1672" s="1317"/>
      <c r="E1672" s="686"/>
      <c r="F1672" s="676"/>
      <c r="G1672" s="670"/>
      <c r="H1672" s="670" t="e">
        <f>SUM(H1665:H1671)</f>
        <v>#REF!</v>
      </c>
      <c r="I1672" s="670"/>
      <c r="J1672" s="670" t="e">
        <f>SUM(J1665:J1671)</f>
        <v>#REF!</v>
      </c>
      <c r="K1672" s="670"/>
      <c r="L1672" s="670" t="e">
        <f>SUM(L1665:L1671)</f>
        <v>#REF!</v>
      </c>
      <c r="M1672" s="670"/>
      <c r="N1672" s="670" t="e">
        <f>SUM(N1665:N1671)</f>
        <v>#REF!</v>
      </c>
      <c r="O1672" s="671"/>
      <c r="P1672" s="672"/>
      <c r="Q1672" s="688">
        <f>Q1671</f>
        <v>550</v>
      </c>
      <c r="R1672" s="688">
        <f>R1671</f>
        <v>18.333333333333332</v>
      </c>
      <c r="S1672" s="688">
        <v>8</v>
      </c>
      <c r="T1672" s="690">
        <f>ROUND(S1672/R1672,4)</f>
        <v>0.43640000000000001</v>
      </c>
    </row>
    <row r="1673" spans="1:20" s="688" customFormat="1" ht="17.100000000000001" customHeight="1">
      <c r="A1673" s="668">
        <f>A1664+1</f>
        <v>289</v>
      </c>
      <c r="B1673" s="1320" t="s">
        <v>1966</v>
      </c>
      <c r="C1673" s="1320"/>
      <c r="D1673" s="1320" t="s">
        <v>1972</v>
      </c>
      <c r="E1673" s="1320"/>
      <c r="F1673" s="669" t="s">
        <v>1458</v>
      </c>
      <c r="G1673" s="698"/>
      <c r="H1673" s="698"/>
      <c r="I1673" s="698"/>
      <c r="J1673" s="698"/>
      <c r="K1673" s="670"/>
      <c r="L1673" s="670"/>
      <c r="M1673" s="670"/>
      <c r="N1673" s="698"/>
      <c r="O1673" s="699"/>
      <c r="P1673" s="672"/>
      <c r="Q1673" s="688">
        <f t="shared" si="276"/>
        <v>550</v>
      </c>
      <c r="R1673" s="688">
        <f t="shared" si="276"/>
        <v>18.333333333333332</v>
      </c>
      <c r="S1673" s="688">
        <v>8</v>
      </c>
      <c r="T1673" s="690">
        <f>ROUND(S1673/R1673,4)</f>
        <v>0.43640000000000001</v>
      </c>
    </row>
    <row r="1674" spans="1:20" s="688" customFormat="1" ht="17.100000000000001" customHeight="1">
      <c r="A1674" s="1316" t="s">
        <v>1968</v>
      </c>
      <c r="B1674" s="1317"/>
      <c r="C1674" s="1316" t="s">
        <v>1969</v>
      </c>
      <c r="D1674" s="1317"/>
      <c r="E1674" s="683">
        <v>25.6</v>
      </c>
      <c r="F1674" s="676" t="s">
        <v>850</v>
      </c>
      <c r="G1674" s="670" t="e">
        <f>#REF!</f>
        <v>#REF!</v>
      </c>
      <c r="H1674" s="670" t="e">
        <f>INT(E1674*G1674)</f>
        <v>#REF!</v>
      </c>
      <c r="I1674" s="670"/>
      <c r="J1674" s="670"/>
      <c r="K1674" s="670"/>
      <c r="L1674" s="670"/>
      <c r="M1674" s="670" t="e">
        <f t="shared" ref="M1674:N1679" si="277">G1674+I1674+K1674</f>
        <v>#REF!</v>
      </c>
      <c r="N1674" s="670" t="e">
        <f t="shared" si="277"/>
        <v>#REF!</v>
      </c>
      <c r="O1674" s="671"/>
      <c r="P1674" s="672"/>
      <c r="Q1674" s="688">
        <f t="shared" si="276"/>
        <v>550</v>
      </c>
      <c r="R1674" s="688">
        <f t="shared" si="276"/>
        <v>18.333333333333332</v>
      </c>
      <c r="S1674" s="688">
        <v>4</v>
      </c>
      <c r="T1674" s="690">
        <f>ROUND(S1674/R1674,4)</f>
        <v>0.21820000000000001</v>
      </c>
    </row>
    <row r="1675" spans="1:20" s="688" customFormat="1" ht="17.100000000000001" customHeight="1">
      <c r="A1675" s="1316" t="s">
        <v>1068</v>
      </c>
      <c r="B1675" s="1317"/>
      <c r="C1675" s="1316"/>
      <c r="D1675" s="1317"/>
      <c r="E1675" s="677">
        <v>2</v>
      </c>
      <c r="F1675" s="676" t="s">
        <v>915</v>
      </c>
      <c r="G1675" s="670" t="e">
        <f>#REF!*1000</f>
        <v>#REF!</v>
      </c>
      <c r="H1675" s="670" t="e">
        <f>INT(E1675*G1675)</f>
        <v>#REF!</v>
      </c>
      <c r="I1675" s="670"/>
      <c r="J1675" s="670"/>
      <c r="K1675" s="670"/>
      <c r="L1675" s="670"/>
      <c r="M1675" s="670" t="e">
        <f t="shared" si="277"/>
        <v>#REF!</v>
      </c>
      <c r="N1675" s="670" t="e">
        <f t="shared" si="277"/>
        <v>#REF!</v>
      </c>
      <c r="O1675" s="671"/>
      <c r="P1675" s="672"/>
      <c r="Q1675" s="688">
        <f>100*0.4*1.2307*1.04</f>
        <v>51.197119999999998</v>
      </c>
    </row>
    <row r="1676" spans="1:20" s="688" customFormat="1" ht="17.100000000000001" customHeight="1">
      <c r="A1676" s="1316" t="s">
        <v>1970</v>
      </c>
      <c r="B1676" s="1317"/>
      <c r="C1676" s="1316"/>
      <c r="D1676" s="1317"/>
      <c r="E1676" s="686">
        <v>7.2700000000000001E-2</v>
      </c>
      <c r="F1676" s="676" t="s">
        <v>366</v>
      </c>
      <c r="G1676" s="670"/>
      <c r="H1676" s="670"/>
      <c r="I1676" s="670">
        <f>[53]노임단가!$T$21</f>
        <v>221015</v>
      </c>
      <c r="J1676" s="670">
        <f>INT(E1676*I1676)</f>
        <v>16067</v>
      </c>
      <c r="K1676" s="670"/>
      <c r="L1676" s="670"/>
      <c r="M1676" s="670">
        <f t="shared" si="277"/>
        <v>221015</v>
      </c>
      <c r="N1676" s="670">
        <f t="shared" si="277"/>
        <v>16067</v>
      </c>
      <c r="O1676" s="671"/>
      <c r="P1676" s="672" t="s">
        <v>1944</v>
      </c>
      <c r="Q1676" s="687" t="s">
        <v>1551</v>
      </c>
      <c r="R1676" s="688" t="s">
        <v>1447</v>
      </c>
      <c r="S1676" s="688" t="s">
        <v>1425</v>
      </c>
      <c r="T1676" s="688" t="s">
        <v>1426</v>
      </c>
    </row>
    <row r="1677" spans="1:20" s="688" customFormat="1" ht="17.100000000000001" customHeight="1">
      <c r="A1677" s="1316" t="s">
        <v>1973</v>
      </c>
      <c r="B1677" s="1317"/>
      <c r="C1677" s="1316" t="s">
        <v>1150</v>
      </c>
      <c r="D1677" s="1317"/>
      <c r="E1677" s="686">
        <v>0.29089999999999999</v>
      </c>
      <c r="F1677" s="676" t="s">
        <v>418</v>
      </c>
      <c r="G1677" s="670" t="e">
        <f>#REF!</f>
        <v>#REF!</v>
      </c>
      <c r="H1677" s="670" t="e">
        <f>INT(E1677*G1677)</f>
        <v>#REF!</v>
      </c>
      <c r="I1677" s="670" t="e">
        <f>#REF!</f>
        <v>#REF!</v>
      </c>
      <c r="J1677" s="670" t="e">
        <f>INT(E1677*I1677)</f>
        <v>#REF!</v>
      </c>
      <c r="K1677" s="670" t="e">
        <f>#REF!</f>
        <v>#REF!</v>
      </c>
      <c r="L1677" s="670" t="e">
        <f>INT(E1677*K1677)</f>
        <v>#REF!</v>
      </c>
      <c r="M1677" s="670" t="e">
        <f t="shared" si="277"/>
        <v>#REF!</v>
      </c>
      <c r="N1677" s="670" t="e">
        <f t="shared" si="277"/>
        <v>#REF!</v>
      </c>
      <c r="O1677" s="671"/>
      <c r="P1677" s="672" t="s">
        <v>1960</v>
      </c>
      <c r="Q1677" s="688">
        <v>550</v>
      </c>
      <c r="R1677" s="688">
        <f>(Q1677)/(0.4*100)</f>
        <v>13.75</v>
      </c>
      <c r="S1677" s="688">
        <v>0</v>
      </c>
      <c r="T1677" s="690">
        <f>40*1.04*1.6/1.3</f>
        <v>51.2</v>
      </c>
    </row>
    <row r="1678" spans="1:20" s="688" customFormat="1" ht="17.100000000000001" customHeight="1">
      <c r="A1678" s="1316" t="s">
        <v>1183</v>
      </c>
      <c r="B1678" s="1317"/>
      <c r="C1678" s="1316" t="s">
        <v>1100</v>
      </c>
      <c r="D1678" s="1317"/>
      <c r="E1678" s="686">
        <v>0.29089999999999999</v>
      </c>
      <c r="F1678" s="676" t="s">
        <v>418</v>
      </c>
      <c r="G1678" s="670" t="e">
        <f>$G$1670</f>
        <v>#REF!</v>
      </c>
      <c r="H1678" s="670" t="e">
        <f>INT(E1678*G1678)</f>
        <v>#REF!</v>
      </c>
      <c r="I1678" s="670" t="e">
        <f>$I$1670</f>
        <v>#REF!</v>
      </c>
      <c r="J1678" s="670" t="e">
        <f>INT(E1678*I1678)</f>
        <v>#REF!</v>
      </c>
      <c r="K1678" s="670" t="e">
        <f>$K$1670</f>
        <v>#REF!</v>
      </c>
      <c r="L1678" s="670" t="e">
        <f>INT(E1678*K1678)</f>
        <v>#REF!</v>
      </c>
      <c r="M1678" s="670" t="e">
        <f t="shared" si="277"/>
        <v>#REF!</v>
      </c>
      <c r="N1678" s="670" t="e">
        <f t="shared" si="277"/>
        <v>#REF!</v>
      </c>
      <c r="O1678" s="671"/>
      <c r="P1678" s="672"/>
      <c r="Q1678" s="688">
        <f t="shared" ref="Q1678:R1682" si="278">Q1677</f>
        <v>550</v>
      </c>
      <c r="R1678" s="688">
        <f t="shared" si="278"/>
        <v>13.75</v>
      </c>
      <c r="S1678" s="688">
        <v>0</v>
      </c>
      <c r="T1678" s="690">
        <f>ROUND(S1678/R1678,4)</f>
        <v>0</v>
      </c>
    </row>
    <row r="1679" spans="1:20" s="688" customFormat="1" ht="17.100000000000001" customHeight="1">
      <c r="A1679" s="1316" t="s">
        <v>630</v>
      </c>
      <c r="B1679" s="1317"/>
      <c r="C1679" s="1316" t="s">
        <v>1395</v>
      </c>
      <c r="D1679" s="1317"/>
      <c r="E1679" s="686">
        <v>0.14549999999999999</v>
      </c>
      <c r="F1679" s="676" t="s">
        <v>418</v>
      </c>
      <c r="G1679" s="670" t="e">
        <f>#REF!</f>
        <v>#REF!</v>
      </c>
      <c r="H1679" s="670" t="e">
        <f>INT(E1679*G1679)</f>
        <v>#REF!</v>
      </c>
      <c r="I1679" s="670" t="e">
        <f>#REF!</f>
        <v>#REF!</v>
      </c>
      <c r="J1679" s="670" t="e">
        <f>INT(E1679*I1679)</f>
        <v>#REF!</v>
      </c>
      <c r="K1679" s="670" t="e">
        <f>#REF!</f>
        <v>#REF!</v>
      </c>
      <c r="L1679" s="670" t="e">
        <f>INT(E1679*K1679)</f>
        <v>#REF!</v>
      </c>
      <c r="M1679" s="670" t="e">
        <f t="shared" si="277"/>
        <v>#REF!</v>
      </c>
      <c r="N1679" s="670" t="e">
        <f t="shared" si="277"/>
        <v>#REF!</v>
      </c>
      <c r="O1679" s="671"/>
      <c r="P1679" s="672"/>
      <c r="Q1679" s="688">
        <f t="shared" si="278"/>
        <v>550</v>
      </c>
      <c r="R1679" s="688">
        <f t="shared" si="278"/>
        <v>13.75</v>
      </c>
      <c r="S1679" s="688">
        <v>2</v>
      </c>
      <c r="T1679" s="690">
        <f>ROUND(S1679/R1679,4)</f>
        <v>0.14549999999999999</v>
      </c>
    </row>
    <row r="1680" spans="1:20" s="688" customFormat="1" ht="17.100000000000001" customHeight="1">
      <c r="A1680" s="1318" t="s">
        <v>1320</v>
      </c>
      <c r="B1680" s="1319"/>
      <c r="C1680" s="1316"/>
      <c r="D1680" s="1317"/>
      <c r="E1680" s="686"/>
      <c r="F1680" s="676"/>
      <c r="G1680" s="670"/>
      <c r="H1680" s="670" t="e">
        <f>SUM(H1674:H1679)</f>
        <v>#REF!</v>
      </c>
      <c r="I1680" s="670"/>
      <c r="J1680" s="670" t="e">
        <f>SUM(J1674:J1679)</f>
        <v>#REF!</v>
      </c>
      <c r="K1680" s="670"/>
      <c r="L1680" s="670" t="e">
        <f>SUM(L1674:L1679)</f>
        <v>#REF!</v>
      </c>
      <c r="M1680" s="670"/>
      <c r="N1680" s="670" t="e">
        <f>SUM(N1674:N1679)</f>
        <v>#REF!</v>
      </c>
      <c r="O1680" s="671"/>
      <c r="P1680" s="672"/>
      <c r="Q1680" s="688">
        <f t="shared" si="278"/>
        <v>550</v>
      </c>
      <c r="R1680" s="688">
        <f t="shared" si="278"/>
        <v>13.75</v>
      </c>
      <c r="S1680" s="688">
        <v>8</v>
      </c>
      <c r="T1680" s="690">
        <f>ROUND(S1680/R1680,4)</f>
        <v>0.58179999999999998</v>
      </c>
    </row>
    <row r="1681" spans="1:20" s="688" customFormat="1" ht="17.100000000000001" customHeight="1">
      <c r="A1681" s="668">
        <f>A1673+1</f>
        <v>290</v>
      </c>
      <c r="B1681" s="1320" t="s">
        <v>1966</v>
      </c>
      <c r="C1681" s="1320"/>
      <c r="D1681" s="1320" t="s">
        <v>1974</v>
      </c>
      <c r="E1681" s="1320"/>
      <c r="F1681" s="669" t="s">
        <v>1458</v>
      </c>
      <c r="H1681" s="698"/>
      <c r="I1681" s="698"/>
      <c r="J1681" s="698"/>
      <c r="K1681" s="670"/>
      <c r="L1681" s="670"/>
      <c r="M1681" s="670"/>
      <c r="N1681" s="698"/>
      <c r="O1681" s="699"/>
      <c r="P1681" s="672"/>
      <c r="Q1681" s="688">
        <f t="shared" si="278"/>
        <v>550</v>
      </c>
      <c r="R1681" s="688">
        <f t="shared" si="278"/>
        <v>13.75</v>
      </c>
      <c r="S1681" s="688">
        <v>8</v>
      </c>
      <c r="T1681" s="690">
        <f>ROUND(S1681/R1681,4)</f>
        <v>0.58179999999999998</v>
      </c>
    </row>
    <row r="1682" spans="1:20" s="688" customFormat="1" ht="17.100000000000001" customHeight="1">
      <c r="A1682" s="1316" t="s">
        <v>1968</v>
      </c>
      <c r="B1682" s="1317"/>
      <c r="C1682" s="1316" t="s">
        <v>1969</v>
      </c>
      <c r="D1682" s="1317"/>
      <c r="E1682" s="683">
        <v>38.4</v>
      </c>
      <c r="F1682" s="676" t="s">
        <v>850</v>
      </c>
      <c r="G1682" s="670" t="e">
        <f>#REF!</f>
        <v>#REF!</v>
      </c>
      <c r="H1682" s="670" t="e">
        <f>INT(E1682*G1682)</f>
        <v>#REF!</v>
      </c>
      <c r="I1682" s="670"/>
      <c r="J1682" s="670"/>
      <c r="K1682" s="670"/>
      <c r="L1682" s="670"/>
      <c r="M1682" s="670" t="e">
        <f t="shared" ref="M1682:N1688" si="279">G1682+I1682+K1682</f>
        <v>#REF!</v>
      </c>
      <c r="N1682" s="670" t="e">
        <f t="shared" si="279"/>
        <v>#REF!</v>
      </c>
      <c r="O1682" s="671"/>
      <c r="P1682" s="672"/>
      <c r="Q1682" s="688">
        <f t="shared" si="278"/>
        <v>550</v>
      </c>
      <c r="R1682" s="688">
        <f t="shared" si="278"/>
        <v>13.75</v>
      </c>
      <c r="S1682" s="688">
        <v>4</v>
      </c>
      <c r="T1682" s="690">
        <f>ROUND(S1682/R1682,4)</f>
        <v>0.29089999999999999</v>
      </c>
    </row>
    <row r="1683" spans="1:20" s="688" customFormat="1" ht="17.100000000000001" customHeight="1">
      <c r="A1683" s="1316" t="s">
        <v>1068</v>
      </c>
      <c r="B1683" s="1317"/>
      <c r="C1683" s="1316"/>
      <c r="D1683" s="1317"/>
      <c r="E1683" s="677">
        <v>3</v>
      </c>
      <c r="F1683" s="676" t="s">
        <v>915</v>
      </c>
      <c r="G1683" s="670" t="e">
        <f>#REF!*1000</f>
        <v>#REF!</v>
      </c>
      <c r="H1683" s="670" t="e">
        <f>INT(E1683*G1683)</f>
        <v>#REF!</v>
      </c>
      <c r="I1683" s="670"/>
      <c r="J1683" s="670"/>
      <c r="K1683" s="670"/>
      <c r="L1683" s="670"/>
      <c r="M1683" s="670" t="e">
        <f t="shared" si="279"/>
        <v>#REF!</v>
      </c>
      <c r="N1683" s="670" t="e">
        <f t="shared" si="279"/>
        <v>#REF!</v>
      </c>
      <c r="O1683" s="671"/>
      <c r="P1683" s="672"/>
    </row>
    <row r="1684" spans="1:20" s="688" customFormat="1" ht="17.100000000000001" customHeight="1">
      <c r="A1684" s="1316" t="s">
        <v>1970</v>
      </c>
      <c r="B1684" s="1317"/>
      <c r="C1684" s="1316"/>
      <c r="D1684" s="1317"/>
      <c r="E1684" s="686">
        <v>0.4</v>
      </c>
      <c r="F1684" s="676" t="s">
        <v>366</v>
      </c>
      <c r="G1684" s="670"/>
      <c r="H1684" s="670"/>
      <c r="I1684" s="670">
        <f>[53]노임단가!$T$21</f>
        <v>221015</v>
      </c>
      <c r="J1684" s="670">
        <f>INT(E1684*I1684)</f>
        <v>88406</v>
      </c>
      <c r="K1684" s="670"/>
      <c r="L1684" s="670"/>
      <c r="M1684" s="670">
        <f t="shared" si="279"/>
        <v>221015</v>
      </c>
      <c r="N1684" s="670">
        <f t="shared" si="279"/>
        <v>88406</v>
      </c>
      <c r="O1684" s="671"/>
      <c r="P1684" s="672" t="s">
        <v>1944</v>
      </c>
      <c r="Q1684" s="687" t="s">
        <v>1551</v>
      </c>
      <c r="R1684" s="688" t="s">
        <v>1447</v>
      </c>
      <c r="S1684" s="688" t="s">
        <v>1425</v>
      </c>
      <c r="T1684" s="688" t="s">
        <v>1426</v>
      </c>
    </row>
    <row r="1685" spans="1:20" s="688" customFormat="1" ht="17.100000000000001" customHeight="1">
      <c r="A1685" s="1316" t="s">
        <v>248</v>
      </c>
      <c r="B1685" s="1317"/>
      <c r="C1685" s="1316"/>
      <c r="D1685" s="1317"/>
      <c r="E1685" s="686">
        <v>0.4</v>
      </c>
      <c r="F1685" s="676" t="s">
        <v>366</v>
      </c>
      <c r="G1685" s="670"/>
      <c r="H1685" s="670"/>
      <c r="I1685" s="670">
        <f>[53]노임단가!$T$5</f>
        <v>172068</v>
      </c>
      <c r="J1685" s="670">
        <f>INT(E1685*I1685)</f>
        <v>68827</v>
      </c>
      <c r="K1685" s="670"/>
      <c r="L1685" s="670"/>
      <c r="M1685" s="670">
        <f t="shared" si="279"/>
        <v>172068</v>
      </c>
      <c r="N1685" s="670">
        <f t="shared" si="279"/>
        <v>68827</v>
      </c>
      <c r="O1685" s="671"/>
      <c r="P1685" s="672" t="s">
        <v>1975</v>
      </c>
      <c r="Q1685" s="688">
        <v>135</v>
      </c>
      <c r="R1685" s="688">
        <f>(Q1685)/(0.1*100)</f>
        <v>13.5</v>
      </c>
      <c r="S1685" s="688">
        <v>0</v>
      </c>
      <c r="T1685" s="690">
        <f>10*1.04*1.6/1.3</f>
        <v>12.8</v>
      </c>
    </row>
    <row r="1686" spans="1:20" s="688" customFormat="1" ht="17.100000000000001" customHeight="1">
      <c r="A1686" s="1316" t="s">
        <v>409</v>
      </c>
      <c r="B1686" s="1317"/>
      <c r="C1686" s="1316" t="s">
        <v>397</v>
      </c>
      <c r="D1686" s="1317"/>
      <c r="E1686" s="686">
        <v>1.6</v>
      </c>
      <c r="F1686" s="676" t="s">
        <v>418</v>
      </c>
      <c r="G1686" s="670" t="e">
        <f>#REF!</f>
        <v>#REF!</v>
      </c>
      <c r="H1686" s="670" t="e">
        <f>INT(E1686*G1686)</f>
        <v>#REF!</v>
      </c>
      <c r="I1686" s="670" t="e">
        <f>#REF!</f>
        <v>#REF!</v>
      </c>
      <c r="J1686" s="670" t="e">
        <f>INT(E1686*I1686)</f>
        <v>#REF!</v>
      </c>
      <c r="K1686" s="670" t="e">
        <f>#REF!</f>
        <v>#REF!</v>
      </c>
      <c r="L1686" s="670" t="e">
        <f>INT(E1686*K1686)</f>
        <v>#REF!</v>
      </c>
      <c r="M1686" s="670" t="e">
        <f t="shared" si="279"/>
        <v>#REF!</v>
      </c>
      <c r="N1686" s="670" t="e">
        <f t="shared" si="279"/>
        <v>#REF!</v>
      </c>
      <c r="O1686" s="671"/>
      <c r="P1686" s="672"/>
      <c r="Q1686" s="688">
        <f t="shared" ref="Q1686:R1691" si="280">Q1685</f>
        <v>135</v>
      </c>
      <c r="R1686" s="688">
        <f t="shared" si="280"/>
        <v>13.5</v>
      </c>
      <c r="S1686" s="688">
        <v>0</v>
      </c>
      <c r="T1686" s="690">
        <f t="shared" ref="T1686:T1691" si="281">ROUND(S1686/R1686,4)</f>
        <v>0</v>
      </c>
    </row>
    <row r="1687" spans="1:20" s="688" customFormat="1" ht="17.100000000000001" customHeight="1">
      <c r="A1687" s="1316" t="s">
        <v>554</v>
      </c>
      <c r="B1687" s="1317"/>
      <c r="C1687" s="1316" t="s">
        <v>1181</v>
      </c>
      <c r="D1687" s="1317"/>
      <c r="E1687" s="686">
        <v>1.6</v>
      </c>
      <c r="F1687" s="676" t="s">
        <v>418</v>
      </c>
      <c r="G1687" s="670" t="e">
        <f>#REF!</f>
        <v>#REF!</v>
      </c>
      <c r="H1687" s="670" t="e">
        <f>INT(E1687*G1687)</f>
        <v>#REF!</v>
      </c>
      <c r="I1687" s="670" t="e">
        <f>#REF!</f>
        <v>#REF!</v>
      </c>
      <c r="J1687" s="670" t="e">
        <f>INT(E1687*I1687)</f>
        <v>#REF!</v>
      </c>
      <c r="K1687" s="670" t="e">
        <f>#REF!</f>
        <v>#REF!</v>
      </c>
      <c r="L1687" s="670" t="e">
        <f>INT(E1687*K1687)</f>
        <v>#REF!</v>
      </c>
      <c r="M1687" s="670" t="e">
        <f t="shared" si="279"/>
        <v>#REF!</v>
      </c>
      <c r="N1687" s="670" t="e">
        <f t="shared" si="279"/>
        <v>#REF!</v>
      </c>
      <c r="O1687" s="671"/>
      <c r="P1687" s="672"/>
      <c r="Q1687" s="688">
        <f t="shared" si="280"/>
        <v>135</v>
      </c>
      <c r="R1687" s="688">
        <f t="shared" si="280"/>
        <v>13.5</v>
      </c>
      <c r="S1687" s="688">
        <v>2</v>
      </c>
      <c r="T1687" s="690">
        <f t="shared" si="281"/>
        <v>0.14810000000000001</v>
      </c>
    </row>
    <row r="1688" spans="1:20" s="688" customFormat="1" ht="17.100000000000001" customHeight="1">
      <c r="A1688" s="1316" t="s">
        <v>630</v>
      </c>
      <c r="B1688" s="1317"/>
      <c r="C1688" s="1316" t="s">
        <v>1251</v>
      </c>
      <c r="D1688" s="1317"/>
      <c r="E1688" s="686">
        <v>0.8</v>
      </c>
      <c r="F1688" s="676" t="s">
        <v>418</v>
      </c>
      <c r="G1688" s="670" t="e">
        <f>#REF!</f>
        <v>#REF!</v>
      </c>
      <c r="H1688" s="670" t="e">
        <f>INT(E1688*G1688)</f>
        <v>#REF!</v>
      </c>
      <c r="I1688" s="670" t="e">
        <f>#REF!</f>
        <v>#REF!</v>
      </c>
      <c r="J1688" s="670" t="e">
        <f>INT(E1688*I1688)</f>
        <v>#REF!</v>
      </c>
      <c r="K1688" s="670" t="e">
        <f>#REF!</f>
        <v>#REF!</v>
      </c>
      <c r="L1688" s="670" t="e">
        <f>INT(E1688*K1688)</f>
        <v>#REF!</v>
      </c>
      <c r="M1688" s="670" t="e">
        <f t="shared" si="279"/>
        <v>#REF!</v>
      </c>
      <c r="N1688" s="670" t="e">
        <f t="shared" si="279"/>
        <v>#REF!</v>
      </c>
      <c r="O1688" s="671"/>
      <c r="P1688" s="672"/>
      <c r="Q1688" s="688">
        <f t="shared" si="280"/>
        <v>135</v>
      </c>
      <c r="R1688" s="688">
        <f t="shared" si="280"/>
        <v>13.5</v>
      </c>
      <c r="S1688" s="688">
        <v>2</v>
      </c>
      <c r="T1688" s="690">
        <f t="shared" si="281"/>
        <v>0.14810000000000001</v>
      </c>
    </row>
    <row r="1689" spans="1:20" s="688" customFormat="1" ht="17.100000000000001" customHeight="1">
      <c r="A1689" s="1318" t="s">
        <v>1320</v>
      </c>
      <c r="B1689" s="1319"/>
      <c r="C1689" s="1316"/>
      <c r="D1689" s="1317"/>
      <c r="E1689" s="686"/>
      <c r="F1689" s="676"/>
      <c r="G1689" s="670"/>
      <c r="H1689" s="670" t="e">
        <f>SUM(H1682:H1688)</f>
        <v>#REF!</v>
      </c>
      <c r="I1689" s="670"/>
      <c r="J1689" s="670" t="e">
        <f>SUM(J1682:J1688)</f>
        <v>#REF!</v>
      </c>
      <c r="K1689" s="670"/>
      <c r="L1689" s="670" t="e">
        <f>SUM(L1682:L1688)</f>
        <v>#REF!</v>
      </c>
      <c r="M1689" s="670"/>
      <c r="N1689" s="670" t="e">
        <f>SUM(N1682:N1688)</f>
        <v>#REF!</v>
      </c>
      <c r="O1689" s="671"/>
      <c r="P1689" s="672"/>
      <c r="Q1689" s="688">
        <f t="shared" si="280"/>
        <v>135</v>
      </c>
      <c r="R1689" s="688">
        <f t="shared" si="280"/>
        <v>13.5</v>
      </c>
      <c r="S1689" s="688">
        <v>8</v>
      </c>
      <c r="T1689" s="690">
        <f t="shared" si="281"/>
        <v>0.59260000000000002</v>
      </c>
    </row>
    <row r="1690" spans="1:20" s="688" customFormat="1" ht="17.100000000000001" customHeight="1">
      <c r="A1690" s="668">
        <f>A1681+1</f>
        <v>291</v>
      </c>
      <c r="B1690" s="1320" t="s">
        <v>1966</v>
      </c>
      <c r="C1690" s="1320"/>
      <c r="D1690" s="1320" t="s">
        <v>1976</v>
      </c>
      <c r="E1690" s="1320"/>
      <c r="F1690" s="669" t="s">
        <v>1458</v>
      </c>
      <c r="G1690" s="698"/>
      <c r="H1690" s="698"/>
      <c r="I1690" s="698"/>
      <c r="J1690" s="698"/>
      <c r="K1690" s="670"/>
      <c r="L1690" s="670"/>
      <c r="M1690" s="670"/>
      <c r="N1690" s="698"/>
      <c r="O1690" s="699"/>
      <c r="P1690" s="672"/>
      <c r="Q1690" s="688">
        <f t="shared" si="280"/>
        <v>135</v>
      </c>
      <c r="R1690" s="688">
        <f t="shared" si="280"/>
        <v>13.5</v>
      </c>
      <c r="S1690" s="688">
        <v>8</v>
      </c>
      <c r="T1690" s="690">
        <f t="shared" si="281"/>
        <v>0.59260000000000002</v>
      </c>
    </row>
    <row r="1691" spans="1:20" s="688" customFormat="1" ht="17.100000000000001" customHeight="1">
      <c r="A1691" s="1316" t="s">
        <v>1968</v>
      </c>
      <c r="B1691" s="1317"/>
      <c r="C1691" s="1316" t="s">
        <v>1969</v>
      </c>
      <c r="D1691" s="1317"/>
      <c r="E1691" s="683">
        <v>38.4</v>
      </c>
      <c r="F1691" s="676" t="s">
        <v>850</v>
      </c>
      <c r="G1691" s="670" t="e">
        <f>#REF!</f>
        <v>#REF!</v>
      </c>
      <c r="H1691" s="670" t="e">
        <f>INT(E1691*G1691)</f>
        <v>#REF!</v>
      </c>
      <c r="I1691" s="670"/>
      <c r="J1691" s="670"/>
      <c r="K1691" s="670"/>
      <c r="L1691" s="670"/>
      <c r="M1691" s="670" t="e">
        <f t="shared" ref="M1691:N1697" si="282">G1691+I1691+K1691</f>
        <v>#REF!</v>
      </c>
      <c r="N1691" s="670" t="e">
        <f t="shared" si="282"/>
        <v>#REF!</v>
      </c>
      <c r="O1691" s="671"/>
      <c r="P1691" s="672"/>
      <c r="Q1691" s="688">
        <f t="shared" si="280"/>
        <v>135</v>
      </c>
      <c r="R1691" s="688">
        <f t="shared" si="280"/>
        <v>13.5</v>
      </c>
      <c r="S1691" s="688">
        <v>4</v>
      </c>
      <c r="T1691" s="690">
        <f t="shared" si="281"/>
        <v>0.29630000000000001</v>
      </c>
    </row>
    <row r="1692" spans="1:20" s="688" customFormat="1" ht="17.100000000000001" customHeight="1">
      <c r="A1692" s="1316" t="s">
        <v>1068</v>
      </c>
      <c r="B1692" s="1317"/>
      <c r="C1692" s="1316"/>
      <c r="D1692" s="1317"/>
      <c r="E1692" s="677">
        <v>3</v>
      </c>
      <c r="F1692" s="676" t="s">
        <v>915</v>
      </c>
      <c r="G1692" s="670" t="e">
        <f>#REF!*1000</f>
        <v>#REF!</v>
      </c>
      <c r="H1692" s="670" t="e">
        <f>INT(E1692*G1692)</f>
        <v>#REF!</v>
      </c>
      <c r="I1692" s="670"/>
      <c r="J1692" s="670"/>
      <c r="K1692" s="670"/>
      <c r="L1692" s="670"/>
      <c r="M1692" s="670" t="e">
        <f t="shared" si="282"/>
        <v>#REF!</v>
      </c>
      <c r="N1692" s="670" t="e">
        <f t="shared" si="282"/>
        <v>#REF!</v>
      </c>
      <c r="O1692" s="671"/>
      <c r="P1692" s="672"/>
      <c r="T1692" s="690"/>
    </row>
    <row r="1693" spans="1:20" s="688" customFormat="1" ht="17.100000000000001" customHeight="1">
      <c r="A1693" s="1316" t="s">
        <v>1970</v>
      </c>
      <c r="B1693" s="1317"/>
      <c r="C1693" s="1316"/>
      <c r="D1693" s="1317"/>
      <c r="E1693" s="686">
        <v>0.26669999999999999</v>
      </c>
      <c r="F1693" s="676" t="s">
        <v>366</v>
      </c>
      <c r="G1693" s="670"/>
      <c r="H1693" s="670"/>
      <c r="I1693" s="670">
        <f>[53]노임단가!$T$21</f>
        <v>221015</v>
      </c>
      <c r="J1693" s="670">
        <f>INT(E1693*I1693)</f>
        <v>58944</v>
      </c>
      <c r="K1693" s="670"/>
      <c r="L1693" s="670"/>
      <c r="M1693" s="670">
        <f t="shared" si="282"/>
        <v>221015</v>
      </c>
      <c r="N1693" s="670">
        <f t="shared" si="282"/>
        <v>58944</v>
      </c>
      <c r="O1693" s="671"/>
      <c r="P1693" s="672" t="s">
        <v>1944</v>
      </c>
      <c r="Q1693" s="687" t="s">
        <v>1551</v>
      </c>
      <c r="R1693" s="688" t="s">
        <v>1447</v>
      </c>
      <c r="S1693" s="688" t="s">
        <v>1425</v>
      </c>
      <c r="T1693" s="688" t="s">
        <v>1426</v>
      </c>
    </row>
    <row r="1694" spans="1:20" s="688" customFormat="1" ht="17.100000000000001" customHeight="1">
      <c r="A1694" s="1316" t="s">
        <v>248</v>
      </c>
      <c r="B1694" s="1317"/>
      <c r="C1694" s="1316"/>
      <c r="D1694" s="1317"/>
      <c r="E1694" s="686">
        <v>0.1333</v>
      </c>
      <c r="F1694" s="676" t="s">
        <v>366</v>
      </c>
      <c r="G1694" s="670"/>
      <c r="H1694" s="670"/>
      <c r="I1694" s="670">
        <f>[53]노임단가!$T$5</f>
        <v>172068</v>
      </c>
      <c r="J1694" s="670">
        <f>INT(E1694*I1694)</f>
        <v>22936</v>
      </c>
      <c r="K1694" s="670"/>
      <c r="L1694" s="670"/>
      <c r="M1694" s="670">
        <f t="shared" si="282"/>
        <v>172068</v>
      </c>
      <c r="N1694" s="670">
        <f t="shared" si="282"/>
        <v>22936</v>
      </c>
      <c r="O1694" s="671"/>
      <c r="P1694" s="672" t="s">
        <v>1975</v>
      </c>
      <c r="Q1694" s="688">
        <v>135</v>
      </c>
      <c r="R1694" s="688">
        <f>(Q1694)/(0.15*100)</f>
        <v>9</v>
      </c>
      <c r="S1694" s="688">
        <v>0</v>
      </c>
      <c r="T1694" s="690">
        <f>15*1.04*1.6/1.3</f>
        <v>19.200000000000003</v>
      </c>
    </row>
    <row r="1695" spans="1:20" s="688" customFormat="1" ht="17.100000000000001" customHeight="1">
      <c r="A1695" s="1316" t="s">
        <v>409</v>
      </c>
      <c r="B1695" s="1317"/>
      <c r="C1695" s="1316" t="s">
        <v>401</v>
      </c>
      <c r="D1695" s="1317"/>
      <c r="E1695" s="686">
        <v>1.0667</v>
      </c>
      <c r="F1695" s="676" t="s">
        <v>418</v>
      </c>
      <c r="G1695" s="670" t="e">
        <f>#REF!</f>
        <v>#REF!</v>
      </c>
      <c r="H1695" s="670" t="e">
        <f>INT(E1695*G1695)</f>
        <v>#REF!</v>
      </c>
      <c r="I1695" s="670" t="e">
        <f>#REF!</f>
        <v>#REF!</v>
      </c>
      <c r="J1695" s="670" t="e">
        <f>INT(E1695*I1695)</f>
        <v>#REF!</v>
      </c>
      <c r="K1695" s="670" t="e">
        <f>#REF!</f>
        <v>#REF!</v>
      </c>
      <c r="L1695" s="670" t="e">
        <f>INT(E1695*K1695)</f>
        <v>#REF!</v>
      </c>
      <c r="M1695" s="670" t="e">
        <f t="shared" si="282"/>
        <v>#REF!</v>
      </c>
      <c r="N1695" s="670" t="e">
        <f t="shared" si="282"/>
        <v>#REF!</v>
      </c>
      <c r="O1695" s="671"/>
      <c r="P1695" s="672"/>
      <c r="Q1695" s="688">
        <f t="shared" ref="Q1695:R1700" si="283">Q1694</f>
        <v>135</v>
      </c>
      <c r="R1695" s="688">
        <f t="shared" si="283"/>
        <v>9</v>
      </c>
      <c r="S1695" s="688">
        <v>0</v>
      </c>
      <c r="T1695" s="690">
        <f t="shared" ref="T1695:T1700" si="284">ROUND(S1695/R1695,4)</f>
        <v>0</v>
      </c>
    </row>
    <row r="1696" spans="1:20" s="688" customFormat="1" ht="17.100000000000001" customHeight="1">
      <c r="A1696" s="1316" t="s">
        <v>1183</v>
      </c>
      <c r="B1696" s="1317"/>
      <c r="C1696" s="1316" t="s">
        <v>1100</v>
      </c>
      <c r="D1696" s="1317"/>
      <c r="E1696" s="686">
        <v>1.0667</v>
      </c>
      <c r="F1696" s="676" t="s">
        <v>418</v>
      </c>
      <c r="G1696" s="670" t="e">
        <f>#REF!</f>
        <v>#REF!</v>
      </c>
      <c r="H1696" s="670" t="e">
        <f>INT(E1696*G1696)</f>
        <v>#REF!</v>
      </c>
      <c r="I1696" s="670" t="e">
        <f>#REF!</f>
        <v>#REF!</v>
      </c>
      <c r="J1696" s="670" t="e">
        <f>INT(E1696*I1696)</f>
        <v>#REF!</v>
      </c>
      <c r="K1696" s="670" t="e">
        <f>#REF!</f>
        <v>#REF!</v>
      </c>
      <c r="L1696" s="670" t="e">
        <f>INT(E1696*K1696)</f>
        <v>#REF!</v>
      </c>
      <c r="M1696" s="670" t="e">
        <f t="shared" si="282"/>
        <v>#REF!</v>
      </c>
      <c r="N1696" s="670" t="e">
        <f t="shared" si="282"/>
        <v>#REF!</v>
      </c>
      <c r="O1696" s="671"/>
      <c r="P1696" s="672"/>
      <c r="Q1696" s="688">
        <f t="shared" si="283"/>
        <v>135</v>
      </c>
      <c r="R1696" s="688">
        <f t="shared" si="283"/>
        <v>9</v>
      </c>
      <c r="S1696" s="688">
        <v>2</v>
      </c>
      <c r="T1696" s="690">
        <f t="shared" si="284"/>
        <v>0.22220000000000001</v>
      </c>
    </row>
    <row r="1697" spans="1:20" s="688" customFormat="1" ht="17.100000000000001" customHeight="1">
      <c r="A1697" s="1316" t="s">
        <v>630</v>
      </c>
      <c r="B1697" s="1317"/>
      <c r="C1697" s="1316" t="s">
        <v>1395</v>
      </c>
      <c r="D1697" s="1317"/>
      <c r="E1697" s="686">
        <v>0.5333</v>
      </c>
      <c r="F1697" s="676" t="s">
        <v>418</v>
      </c>
      <c r="G1697" s="670" t="e">
        <f>#REF!</f>
        <v>#REF!</v>
      </c>
      <c r="H1697" s="670" t="e">
        <f>INT(E1697*G1697)</f>
        <v>#REF!</v>
      </c>
      <c r="I1697" s="670" t="e">
        <f>#REF!</f>
        <v>#REF!</v>
      </c>
      <c r="J1697" s="670" t="e">
        <f>INT(E1697*I1697)</f>
        <v>#REF!</v>
      </c>
      <c r="K1697" s="670" t="e">
        <f>#REF!</f>
        <v>#REF!</v>
      </c>
      <c r="L1697" s="670" t="e">
        <f>INT(E1697*K1697)</f>
        <v>#REF!</v>
      </c>
      <c r="M1697" s="670" t="e">
        <f t="shared" si="282"/>
        <v>#REF!</v>
      </c>
      <c r="N1697" s="670" t="e">
        <f t="shared" si="282"/>
        <v>#REF!</v>
      </c>
      <c r="O1697" s="671"/>
      <c r="P1697" s="672"/>
      <c r="Q1697" s="688">
        <f t="shared" si="283"/>
        <v>135</v>
      </c>
      <c r="R1697" s="688">
        <f t="shared" si="283"/>
        <v>9</v>
      </c>
      <c r="S1697" s="688">
        <v>2</v>
      </c>
      <c r="T1697" s="690">
        <f t="shared" si="284"/>
        <v>0.22220000000000001</v>
      </c>
    </row>
    <row r="1698" spans="1:20" s="688" customFormat="1" ht="17.100000000000001" customHeight="1">
      <c r="A1698" s="1318" t="s">
        <v>1320</v>
      </c>
      <c r="B1698" s="1319"/>
      <c r="C1698" s="1316"/>
      <c r="D1698" s="1317"/>
      <c r="E1698" s="686"/>
      <c r="F1698" s="676"/>
      <c r="G1698" s="670"/>
      <c r="H1698" s="670" t="e">
        <f>SUM(H1691:H1697)</f>
        <v>#REF!</v>
      </c>
      <c r="I1698" s="670"/>
      <c r="J1698" s="670" t="e">
        <f>SUM(J1691:J1697)</f>
        <v>#REF!</v>
      </c>
      <c r="K1698" s="670"/>
      <c r="L1698" s="670" t="e">
        <f>SUM(L1691:L1697)</f>
        <v>#REF!</v>
      </c>
      <c r="M1698" s="670"/>
      <c r="N1698" s="670" t="e">
        <f>SUM(N1691:N1697)</f>
        <v>#REF!</v>
      </c>
      <c r="O1698" s="671"/>
      <c r="P1698" s="672"/>
      <c r="Q1698" s="688">
        <f t="shared" si="283"/>
        <v>135</v>
      </c>
      <c r="R1698" s="688">
        <f t="shared" si="283"/>
        <v>9</v>
      </c>
      <c r="S1698" s="688">
        <v>8</v>
      </c>
      <c r="T1698" s="690">
        <f t="shared" si="284"/>
        <v>0.88890000000000002</v>
      </c>
    </row>
    <row r="1699" spans="1:20" s="688" customFormat="1" ht="17.100000000000001" customHeight="1">
      <c r="A1699" s="668">
        <f>A1690+1</f>
        <v>292</v>
      </c>
      <c r="B1699" s="1320" t="s">
        <v>1966</v>
      </c>
      <c r="C1699" s="1320"/>
      <c r="D1699" s="1320" t="s">
        <v>1977</v>
      </c>
      <c r="E1699" s="1320"/>
      <c r="F1699" s="669" t="s">
        <v>1458</v>
      </c>
      <c r="G1699" s="698"/>
      <c r="H1699" s="698"/>
      <c r="I1699" s="698"/>
      <c r="J1699" s="698"/>
      <c r="K1699" s="670"/>
      <c r="L1699" s="670"/>
      <c r="M1699" s="670"/>
      <c r="N1699" s="698"/>
      <c r="O1699" s="699"/>
      <c r="P1699" s="672"/>
      <c r="Q1699" s="688">
        <f t="shared" si="283"/>
        <v>135</v>
      </c>
      <c r="R1699" s="688">
        <f t="shared" si="283"/>
        <v>9</v>
      </c>
      <c r="S1699" s="688">
        <v>8</v>
      </c>
      <c r="T1699" s="690">
        <f t="shared" si="284"/>
        <v>0.88890000000000002</v>
      </c>
    </row>
    <row r="1700" spans="1:20" s="688" customFormat="1" ht="17.100000000000001" customHeight="1">
      <c r="A1700" s="1316" t="s">
        <v>1968</v>
      </c>
      <c r="B1700" s="1317"/>
      <c r="C1700" s="1316" t="s">
        <v>1969</v>
      </c>
      <c r="D1700" s="1317"/>
      <c r="E1700" s="683">
        <v>38.4</v>
      </c>
      <c r="F1700" s="676" t="s">
        <v>850</v>
      </c>
      <c r="G1700" s="670" t="e">
        <f>#REF!</f>
        <v>#REF!</v>
      </c>
      <c r="H1700" s="670" t="e">
        <f>INT(E1700*G1700)</f>
        <v>#REF!</v>
      </c>
      <c r="I1700" s="670"/>
      <c r="J1700" s="670"/>
      <c r="K1700" s="670"/>
      <c r="L1700" s="670"/>
      <c r="M1700" s="670" t="e">
        <f t="shared" ref="M1700:N1705" si="285">G1700+I1700+K1700</f>
        <v>#REF!</v>
      </c>
      <c r="N1700" s="670" t="e">
        <f t="shared" si="285"/>
        <v>#REF!</v>
      </c>
      <c r="O1700" s="671"/>
      <c r="P1700" s="672"/>
      <c r="Q1700" s="688">
        <f t="shared" si="283"/>
        <v>135</v>
      </c>
      <c r="R1700" s="688">
        <f t="shared" si="283"/>
        <v>9</v>
      </c>
      <c r="S1700" s="688">
        <v>4</v>
      </c>
      <c r="T1700" s="690">
        <f t="shared" si="284"/>
        <v>0.44440000000000002</v>
      </c>
    </row>
    <row r="1701" spans="1:20" s="688" customFormat="1" ht="17.100000000000001" customHeight="1">
      <c r="A1701" s="1316" t="s">
        <v>1068</v>
      </c>
      <c r="B1701" s="1317"/>
      <c r="C1701" s="1316"/>
      <c r="D1701" s="1317"/>
      <c r="E1701" s="677">
        <v>3</v>
      </c>
      <c r="F1701" s="676" t="s">
        <v>915</v>
      </c>
      <c r="G1701" s="670" t="e">
        <f>#REF!*1000</f>
        <v>#REF!</v>
      </c>
      <c r="H1701" s="670" t="e">
        <f>INT(E1701*G1701)</f>
        <v>#REF!</v>
      </c>
      <c r="I1701" s="670"/>
      <c r="J1701" s="670"/>
      <c r="K1701" s="670"/>
      <c r="L1701" s="670"/>
      <c r="M1701" s="670" t="e">
        <f t="shared" si="285"/>
        <v>#REF!</v>
      </c>
      <c r="N1701" s="670" t="e">
        <f t="shared" si="285"/>
        <v>#REF!</v>
      </c>
      <c r="O1701" s="671"/>
      <c r="P1701" s="672"/>
      <c r="T1701" s="690"/>
    </row>
    <row r="1702" spans="1:20" s="688" customFormat="1" ht="17.100000000000001" customHeight="1">
      <c r="A1702" s="1316" t="s">
        <v>1970</v>
      </c>
      <c r="B1702" s="1317"/>
      <c r="C1702" s="1316"/>
      <c r="D1702" s="1317"/>
      <c r="E1702" s="683">
        <v>0.1091</v>
      </c>
      <c r="F1702" s="676" t="s">
        <v>366</v>
      </c>
      <c r="G1702" s="670"/>
      <c r="H1702" s="670"/>
      <c r="I1702" s="670">
        <f>[53]노임단가!$T$21</f>
        <v>221015</v>
      </c>
      <c r="J1702" s="670">
        <f>INT(E1702*I1702)</f>
        <v>24112</v>
      </c>
      <c r="K1702" s="670"/>
      <c r="L1702" s="670"/>
      <c r="M1702" s="670">
        <f t="shared" si="285"/>
        <v>221015</v>
      </c>
      <c r="N1702" s="670">
        <f t="shared" si="285"/>
        <v>24112</v>
      </c>
      <c r="O1702" s="671"/>
      <c r="P1702" s="672" t="s">
        <v>1944</v>
      </c>
      <c r="Q1702" s="687" t="s">
        <v>1551</v>
      </c>
      <c r="R1702" s="688" t="s">
        <v>1447</v>
      </c>
      <c r="S1702" s="688" t="s">
        <v>1425</v>
      </c>
      <c r="T1702" s="688" t="s">
        <v>1426</v>
      </c>
    </row>
    <row r="1703" spans="1:20" s="688" customFormat="1" ht="17.100000000000001" customHeight="1">
      <c r="A1703" s="1316" t="s">
        <v>1973</v>
      </c>
      <c r="B1703" s="1317"/>
      <c r="C1703" s="1316" t="s">
        <v>1150</v>
      </c>
      <c r="D1703" s="1317"/>
      <c r="E1703" s="683">
        <v>0.43640000000000001</v>
      </c>
      <c r="F1703" s="676" t="s">
        <v>418</v>
      </c>
      <c r="G1703" s="670" t="e">
        <f>#REF!</f>
        <v>#REF!</v>
      </c>
      <c r="H1703" s="670" t="e">
        <f>INT(E1703*G1703)</f>
        <v>#REF!</v>
      </c>
      <c r="I1703" s="670" t="e">
        <f>#REF!</f>
        <v>#REF!</v>
      </c>
      <c r="J1703" s="670" t="e">
        <f>INT(E1703*I1703)</f>
        <v>#REF!</v>
      </c>
      <c r="K1703" s="670" t="e">
        <f>#REF!</f>
        <v>#REF!</v>
      </c>
      <c r="L1703" s="670" t="e">
        <f>INT(E1703*K1703)</f>
        <v>#REF!</v>
      </c>
      <c r="M1703" s="670" t="e">
        <f t="shared" si="285"/>
        <v>#REF!</v>
      </c>
      <c r="N1703" s="670" t="e">
        <f t="shared" si="285"/>
        <v>#REF!</v>
      </c>
      <c r="O1703" s="671"/>
      <c r="P1703" s="672" t="s">
        <v>1975</v>
      </c>
      <c r="Q1703" s="688">
        <v>135</v>
      </c>
      <c r="R1703" s="688">
        <f>(Q1703)/(0.15*100)</f>
        <v>9</v>
      </c>
      <c r="S1703" s="688">
        <v>0</v>
      </c>
      <c r="T1703" s="690">
        <f>15*1.04*1.6/1.3</f>
        <v>19.200000000000003</v>
      </c>
    </row>
    <row r="1704" spans="1:20" s="688" customFormat="1" ht="17.100000000000001" customHeight="1">
      <c r="A1704" s="1316" t="s">
        <v>1183</v>
      </c>
      <c r="B1704" s="1317"/>
      <c r="C1704" s="1316" t="s">
        <v>1100</v>
      </c>
      <c r="D1704" s="1317"/>
      <c r="E1704" s="683">
        <v>0.43640000000000001</v>
      </c>
      <c r="F1704" s="676" t="s">
        <v>418</v>
      </c>
      <c r="G1704" s="670" t="e">
        <f>$G$1670</f>
        <v>#REF!</v>
      </c>
      <c r="H1704" s="670" t="e">
        <f>INT(E1704*G1704)</f>
        <v>#REF!</v>
      </c>
      <c r="I1704" s="670" t="e">
        <f>$I$1670</f>
        <v>#REF!</v>
      </c>
      <c r="J1704" s="670" t="e">
        <f>INT(E1704*I1704)</f>
        <v>#REF!</v>
      </c>
      <c r="K1704" s="670" t="e">
        <f>$K$1670</f>
        <v>#REF!</v>
      </c>
      <c r="L1704" s="670" t="e">
        <f>INT(E1704*K1704)</f>
        <v>#REF!</v>
      </c>
      <c r="M1704" s="670" t="e">
        <f t="shared" si="285"/>
        <v>#REF!</v>
      </c>
      <c r="N1704" s="670" t="e">
        <f t="shared" si="285"/>
        <v>#REF!</v>
      </c>
      <c r="O1704" s="671"/>
      <c r="P1704" s="672"/>
      <c r="Q1704" s="688">
        <f t="shared" ref="Q1704:R1709" si="286">Q1703</f>
        <v>135</v>
      </c>
      <c r="R1704" s="688">
        <f t="shared" si="286"/>
        <v>9</v>
      </c>
      <c r="S1704" s="688">
        <v>0</v>
      </c>
      <c r="T1704" s="690">
        <f t="shared" ref="T1704:T1709" si="287">ROUND(S1704/R1704,4)</f>
        <v>0</v>
      </c>
    </row>
    <row r="1705" spans="1:20" s="688" customFormat="1" ht="17.100000000000001" customHeight="1">
      <c r="A1705" s="1316" t="s">
        <v>630</v>
      </c>
      <c r="B1705" s="1317"/>
      <c r="C1705" s="1316" t="s">
        <v>1395</v>
      </c>
      <c r="D1705" s="1317"/>
      <c r="E1705" s="683">
        <v>0.21820000000000001</v>
      </c>
      <c r="F1705" s="676" t="s">
        <v>418</v>
      </c>
      <c r="G1705" s="670" t="e">
        <f>#REF!</f>
        <v>#REF!</v>
      </c>
      <c r="H1705" s="670" t="e">
        <f>INT(E1705*G1705)</f>
        <v>#REF!</v>
      </c>
      <c r="I1705" s="670" t="e">
        <f>#REF!</f>
        <v>#REF!</v>
      </c>
      <c r="J1705" s="670" t="e">
        <f>INT(E1705*I1705)</f>
        <v>#REF!</v>
      </c>
      <c r="K1705" s="670" t="e">
        <f>#REF!</f>
        <v>#REF!</v>
      </c>
      <c r="L1705" s="670" t="e">
        <f>INT(E1705*K1705)</f>
        <v>#REF!</v>
      </c>
      <c r="M1705" s="670" t="e">
        <f t="shared" si="285"/>
        <v>#REF!</v>
      </c>
      <c r="N1705" s="670" t="e">
        <f t="shared" si="285"/>
        <v>#REF!</v>
      </c>
      <c r="O1705" s="671"/>
      <c r="P1705" s="672"/>
      <c r="Q1705" s="688">
        <f t="shared" si="286"/>
        <v>135</v>
      </c>
      <c r="R1705" s="688">
        <f t="shared" si="286"/>
        <v>9</v>
      </c>
      <c r="S1705" s="688">
        <v>1</v>
      </c>
      <c r="T1705" s="690">
        <f t="shared" si="287"/>
        <v>0.1111</v>
      </c>
    </row>
    <row r="1706" spans="1:20" s="688" customFormat="1" ht="17.100000000000001" customHeight="1">
      <c r="A1706" s="1318" t="s">
        <v>1320</v>
      </c>
      <c r="B1706" s="1319"/>
      <c r="C1706" s="1316"/>
      <c r="D1706" s="1317"/>
      <c r="E1706" s="686"/>
      <c r="F1706" s="676"/>
      <c r="G1706" s="670"/>
      <c r="H1706" s="670" t="e">
        <f>SUM(H1700:H1705)</f>
        <v>#REF!</v>
      </c>
      <c r="I1706" s="670"/>
      <c r="J1706" s="670" t="e">
        <f>SUM(J1700:J1705)</f>
        <v>#REF!</v>
      </c>
      <c r="K1706" s="670"/>
      <c r="L1706" s="670" t="e">
        <f>SUM(L1700:L1705)</f>
        <v>#REF!</v>
      </c>
      <c r="M1706" s="670"/>
      <c r="N1706" s="670" t="e">
        <f>SUM(N1700:N1705)</f>
        <v>#REF!</v>
      </c>
      <c r="O1706" s="671"/>
      <c r="P1706" s="672"/>
      <c r="Q1706" s="688">
        <f t="shared" si="286"/>
        <v>135</v>
      </c>
      <c r="R1706" s="688">
        <f t="shared" si="286"/>
        <v>9</v>
      </c>
      <c r="S1706" s="688">
        <v>3</v>
      </c>
      <c r="T1706" s="690">
        <f t="shared" si="287"/>
        <v>0.33329999999999999</v>
      </c>
    </row>
    <row r="1707" spans="1:20" s="688" customFormat="1" ht="17.100000000000001" customHeight="1">
      <c r="A1707" s="668">
        <f>A1699+1</f>
        <v>293</v>
      </c>
      <c r="B1707" s="1320" t="s">
        <v>1966</v>
      </c>
      <c r="C1707" s="1320"/>
      <c r="D1707" s="1320" t="s">
        <v>1978</v>
      </c>
      <c r="E1707" s="1320"/>
      <c r="F1707" s="669" t="s">
        <v>1458</v>
      </c>
      <c r="G1707" s="698"/>
      <c r="H1707" s="698"/>
      <c r="I1707" s="698"/>
      <c r="J1707" s="698"/>
      <c r="K1707" s="670"/>
      <c r="L1707" s="670"/>
      <c r="M1707" s="670"/>
      <c r="N1707" s="698"/>
      <c r="O1707" s="699"/>
      <c r="P1707" s="672"/>
      <c r="Q1707" s="688">
        <f t="shared" si="286"/>
        <v>135</v>
      </c>
      <c r="R1707" s="688">
        <f t="shared" si="286"/>
        <v>9</v>
      </c>
      <c r="S1707" s="688">
        <v>8</v>
      </c>
      <c r="T1707" s="690">
        <f t="shared" si="287"/>
        <v>0.88890000000000002</v>
      </c>
    </row>
    <row r="1708" spans="1:20" s="688" customFormat="1" ht="17.100000000000001" customHeight="1">
      <c r="A1708" s="1316" t="s">
        <v>1968</v>
      </c>
      <c r="B1708" s="1317"/>
      <c r="C1708" s="1316" t="s">
        <v>1969</v>
      </c>
      <c r="D1708" s="1317"/>
      <c r="E1708" s="686">
        <v>51.2</v>
      </c>
      <c r="F1708" s="676" t="s">
        <v>850</v>
      </c>
      <c r="G1708" s="670" t="e">
        <f>#REF!</f>
        <v>#REF!</v>
      </c>
      <c r="H1708" s="670" t="e">
        <f>INT(E1708*G1708)</f>
        <v>#REF!</v>
      </c>
      <c r="I1708" s="670"/>
      <c r="J1708" s="670"/>
      <c r="K1708" s="670"/>
      <c r="L1708" s="670"/>
      <c r="M1708" s="670" t="e">
        <f t="shared" ref="M1708:N1713" si="288">G1708+I1708+K1708</f>
        <v>#REF!</v>
      </c>
      <c r="N1708" s="670" t="e">
        <f t="shared" si="288"/>
        <v>#REF!</v>
      </c>
      <c r="O1708" s="671"/>
      <c r="P1708" s="672"/>
      <c r="Q1708" s="688">
        <f t="shared" si="286"/>
        <v>135</v>
      </c>
      <c r="R1708" s="688">
        <f t="shared" si="286"/>
        <v>9</v>
      </c>
      <c r="S1708" s="688">
        <v>8</v>
      </c>
      <c r="T1708" s="690">
        <f t="shared" si="287"/>
        <v>0.88890000000000002</v>
      </c>
    </row>
    <row r="1709" spans="1:20" s="688" customFormat="1" ht="17.100000000000001" customHeight="1">
      <c r="A1709" s="1316" t="s">
        <v>1068</v>
      </c>
      <c r="B1709" s="1317"/>
      <c r="C1709" s="1316"/>
      <c r="D1709" s="1317"/>
      <c r="E1709" s="778">
        <v>4</v>
      </c>
      <c r="F1709" s="676" t="s">
        <v>915</v>
      </c>
      <c r="G1709" s="670" t="e">
        <f>#REF!*1000</f>
        <v>#REF!</v>
      </c>
      <c r="H1709" s="670" t="e">
        <f>INT(E1709*G1709)</f>
        <v>#REF!</v>
      </c>
      <c r="I1709" s="670"/>
      <c r="J1709" s="670"/>
      <c r="K1709" s="670"/>
      <c r="L1709" s="670"/>
      <c r="M1709" s="670" t="e">
        <f t="shared" si="288"/>
        <v>#REF!</v>
      </c>
      <c r="N1709" s="670" t="e">
        <f t="shared" si="288"/>
        <v>#REF!</v>
      </c>
      <c r="O1709" s="671"/>
      <c r="P1709" s="672"/>
      <c r="Q1709" s="688">
        <f t="shared" si="286"/>
        <v>135</v>
      </c>
      <c r="R1709" s="688">
        <f t="shared" si="286"/>
        <v>9</v>
      </c>
      <c r="S1709" s="688">
        <v>4</v>
      </c>
      <c r="T1709" s="690">
        <f t="shared" si="287"/>
        <v>0.44440000000000002</v>
      </c>
    </row>
    <row r="1710" spans="1:20" s="688" customFormat="1" ht="17.100000000000001" customHeight="1">
      <c r="A1710" s="1316" t="s">
        <v>1970</v>
      </c>
      <c r="B1710" s="1317"/>
      <c r="C1710" s="1316"/>
      <c r="D1710" s="1317"/>
      <c r="E1710" s="686">
        <v>0.14549999999999999</v>
      </c>
      <c r="F1710" s="676" t="s">
        <v>366</v>
      </c>
      <c r="G1710" s="670"/>
      <c r="H1710" s="670"/>
      <c r="I1710" s="670">
        <f>[53]노임단가!$T$21</f>
        <v>221015</v>
      </c>
      <c r="J1710" s="670">
        <f>INT(E1710*I1710)</f>
        <v>32157</v>
      </c>
      <c r="K1710" s="670"/>
      <c r="L1710" s="670"/>
      <c r="M1710" s="670">
        <f t="shared" si="288"/>
        <v>221015</v>
      </c>
      <c r="N1710" s="670">
        <f t="shared" si="288"/>
        <v>32157</v>
      </c>
      <c r="O1710" s="671"/>
      <c r="P1710" s="672"/>
    </row>
    <row r="1711" spans="1:20" s="688" customFormat="1" ht="17.100000000000001" customHeight="1">
      <c r="A1711" s="1316" t="s">
        <v>1973</v>
      </c>
      <c r="B1711" s="1317"/>
      <c r="C1711" s="1316" t="s">
        <v>1150</v>
      </c>
      <c r="D1711" s="1317"/>
      <c r="E1711" s="686">
        <v>0.58179999999999998</v>
      </c>
      <c r="F1711" s="676" t="s">
        <v>418</v>
      </c>
      <c r="G1711" s="670" t="e">
        <f>$G$1677</f>
        <v>#REF!</v>
      </c>
      <c r="H1711" s="670" t="e">
        <f>INT(E1711*G1711)</f>
        <v>#REF!</v>
      </c>
      <c r="I1711" s="670" t="e">
        <f>$I$1677</f>
        <v>#REF!</v>
      </c>
      <c r="J1711" s="670" t="e">
        <f>INT(E1711*I1711)</f>
        <v>#REF!</v>
      </c>
      <c r="K1711" s="670" t="e">
        <f>$K$1677</f>
        <v>#REF!</v>
      </c>
      <c r="L1711" s="670" t="e">
        <f>INT(E1711*K1711)</f>
        <v>#REF!</v>
      </c>
      <c r="M1711" s="670" t="e">
        <f t="shared" si="288"/>
        <v>#REF!</v>
      </c>
      <c r="N1711" s="670" t="e">
        <f t="shared" si="288"/>
        <v>#REF!</v>
      </c>
      <c r="O1711" s="671"/>
      <c r="P1711" s="672" t="s">
        <v>1944</v>
      </c>
      <c r="Q1711" s="687" t="s">
        <v>1551</v>
      </c>
      <c r="R1711" s="688" t="s">
        <v>1447</v>
      </c>
      <c r="S1711" s="688" t="s">
        <v>1425</v>
      </c>
      <c r="T1711" s="688" t="s">
        <v>1426</v>
      </c>
    </row>
    <row r="1712" spans="1:20" s="688" customFormat="1" ht="17.100000000000001" customHeight="1">
      <c r="A1712" s="1316" t="s">
        <v>1183</v>
      </c>
      <c r="B1712" s="1317"/>
      <c r="C1712" s="1316" t="s">
        <v>1100</v>
      </c>
      <c r="D1712" s="1317"/>
      <c r="E1712" s="686">
        <v>0.58179999999999998</v>
      </c>
      <c r="F1712" s="676" t="s">
        <v>418</v>
      </c>
      <c r="G1712" s="670" t="e">
        <f>$G$1670</f>
        <v>#REF!</v>
      </c>
      <c r="H1712" s="670" t="e">
        <f>INT(E1712*G1712)</f>
        <v>#REF!</v>
      </c>
      <c r="I1712" s="670" t="e">
        <f>$I$1670</f>
        <v>#REF!</v>
      </c>
      <c r="J1712" s="670" t="e">
        <f>INT(E1712*I1712)</f>
        <v>#REF!</v>
      </c>
      <c r="K1712" s="670" t="e">
        <f>$K$1670</f>
        <v>#REF!</v>
      </c>
      <c r="L1712" s="670" t="e">
        <f>INT(E1712*K1712)</f>
        <v>#REF!</v>
      </c>
      <c r="M1712" s="670" t="e">
        <f t="shared" si="288"/>
        <v>#REF!</v>
      </c>
      <c r="N1712" s="670" t="e">
        <f t="shared" si="288"/>
        <v>#REF!</v>
      </c>
      <c r="O1712" s="671"/>
      <c r="P1712" s="672" t="s">
        <v>1975</v>
      </c>
      <c r="Q1712" s="688">
        <v>135</v>
      </c>
      <c r="R1712" s="688">
        <f>(Q1712)/(0.2*100)</f>
        <v>6.75</v>
      </c>
      <c r="S1712" s="688">
        <v>0</v>
      </c>
      <c r="T1712" s="690">
        <f>20*1.04*1.6/1.3</f>
        <v>25.6</v>
      </c>
    </row>
    <row r="1713" spans="1:22" s="688" customFormat="1" ht="17.100000000000001" customHeight="1">
      <c r="A1713" s="1316" t="s">
        <v>630</v>
      </c>
      <c r="B1713" s="1317"/>
      <c r="C1713" s="1316" t="s">
        <v>1395</v>
      </c>
      <c r="D1713" s="1317"/>
      <c r="E1713" s="686">
        <v>0.29089999999999999</v>
      </c>
      <c r="F1713" s="676" t="s">
        <v>418</v>
      </c>
      <c r="G1713" s="670" t="e">
        <f>#REF!</f>
        <v>#REF!</v>
      </c>
      <c r="H1713" s="670" t="e">
        <f>INT(E1713*G1713)</f>
        <v>#REF!</v>
      </c>
      <c r="I1713" s="670" t="e">
        <f>#REF!</f>
        <v>#REF!</v>
      </c>
      <c r="J1713" s="670" t="e">
        <f>INT(E1713*I1713)</f>
        <v>#REF!</v>
      </c>
      <c r="K1713" s="670" t="e">
        <f>#REF!</f>
        <v>#REF!</v>
      </c>
      <c r="L1713" s="670" t="e">
        <f>INT(E1713*K1713)</f>
        <v>#REF!</v>
      </c>
      <c r="M1713" s="670" t="e">
        <f t="shared" si="288"/>
        <v>#REF!</v>
      </c>
      <c r="N1713" s="670" t="e">
        <f t="shared" si="288"/>
        <v>#REF!</v>
      </c>
      <c r="O1713" s="671"/>
      <c r="P1713" s="672"/>
      <c r="Q1713" s="688">
        <f t="shared" ref="Q1713:R1718" si="289">Q1712</f>
        <v>135</v>
      </c>
      <c r="R1713" s="688">
        <f t="shared" si="289"/>
        <v>6.75</v>
      </c>
      <c r="S1713" s="688">
        <v>0</v>
      </c>
      <c r="T1713" s="690">
        <f t="shared" ref="T1713:T1718" si="290">ROUND(S1713/R1713,4)</f>
        <v>0</v>
      </c>
    </row>
    <row r="1714" spans="1:22" s="688" customFormat="1" ht="17.100000000000001" customHeight="1">
      <c r="A1714" s="1318" t="s">
        <v>1320</v>
      </c>
      <c r="B1714" s="1319"/>
      <c r="C1714" s="1316"/>
      <c r="D1714" s="1317"/>
      <c r="E1714" s="686"/>
      <c r="F1714" s="676"/>
      <c r="G1714" s="670"/>
      <c r="H1714" s="670" t="e">
        <f>SUM(H1708:H1713)</f>
        <v>#REF!</v>
      </c>
      <c r="I1714" s="670"/>
      <c r="J1714" s="670" t="e">
        <f>SUM(J1708:J1713)</f>
        <v>#REF!</v>
      </c>
      <c r="K1714" s="670"/>
      <c r="L1714" s="670" t="e">
        <f>SUM(L1708:L1713)</f>
        <v>#REF!</v>
      </c>
      <c r="M1714" s="670"/>
      <c r="N1714" s="670" t="e">
        <f>SUM(N1708:N1713)</f>
        <v>#REF!</v>
      </c>
      <c r="O1714" s="671"/>
      <c r="P1714" s="672"/>
      <c r="Q1714" s="688">
        <f t="shared" si="289"/>
        <v>135</v>
      </c>
      <c r="R1714" s="688">
        <f t="shared" si="289"/>
        <v>6.75</v>
      </c>
      <c r="S1714" s="688">
        <v>2</v>
      </c>
      <c r="T1714" s="690">
        <f t="shared" si="290"/>
        <v>0.29630000000000001</v>
      </c>
    </row>
    <row r="1715" spans="1:22" s="688" customFormat="1" ht="17.100000000000001" customHeight="1">
      <c r="A1715" s="668">
        <f>A1707+1</f>
        <v>294</v>
      </c>
      <c r="B1715" s="1320" t="s">
        <v>1979</v>
      </c>
      <c r="C1715" s="1320"/>
      <c r="D1715" s="1377" t="s">
        <v>1980</v>
      </c>
      <c r="E1715" s="1377"/>
      <c r="F1715" s="669" t="s">
        <v>1458</v>
      </c>
      <c r="G1715" s="698"/>
      <c r="H1715" s="698"/>
      <c r="I1715" s="698"/>
      <c r="J1715" s="698"/>
      <c r="K1715" s="670"/>
      <c r="L1715" s="670"/>
      <c r="M1715" s="670"/>
      <c r="N1715" s="698"/>
      <c r="O1715" s="699"/>
      <c r="P1715" s="672"/>
      <c r="Q1715" s="688">
        <f t="shared" si="289"/>
        <v>135</v>
      </c>
      <c r="R1715" s="688">
        <f t="shared" si="289"/>
        <v>6.75</v>
      </c>
      <c r="S1715" s="688">
        <v>2</v>
      </c>
      <c r="T1715" s="690">
        <f t="shared" si="290"/>
        <v>0.29630000000000001</v>
      </c>
    </row>
    <row r="1716" spans="1:22" s="688" customFormat="1" ht="17.100000000000001" customHeight="1">
      <c r="A1716" s="1316" t="s">
        <v>1981</v>
      </c>
      <c r="B1716" s="1317"/>
      <c r="C1716" s="1316" t="s">
        <v>1982</v>
      </c>
      <c r="D1716" s="1317"/>
      <c r="E1716" s="683">
        <v>12.8</v>
      </c>
      <c r="F1716" s="676" t="s">
        <v>850</v>
      </c>
      <c r="G1716" s="670" t="e">
        <f>#REF!</f>
        <v>#REF!</v>
      </c>
      <c r="H1716" s="670" t="e">
        <f>INT(E1716*G1716)</f>
        <v>#REF!</v>
      </c>
      <c r="I1716" s="670"/>
      <c r="J1716" s="670"/>
      <c r="K1716" s="670"/>
      <c r="L1716" s="670"/>
      <c r="M1716" s="670" t="e">
        <f t="shared" ref="M1716:N1722" si="291">G1716+I1716+K1716</f>
        <v>#REF!</v>
      </c>
      <c r="N1716" s="670" t="e">
        <f t="shared" si="291"/>
        <v>#REF!</v>
      </c>
      <c r="O1716" s="671"/>
      <c r="P1716" s="672"/>
      <c r="Q1716" s="688">
        <f t="shared" si="289"/>
        <v>135</v>
      </c>
      <c r="R1716" s="688">
        <f t="shared" si="289"/>
        <v>6.75</v>
      </c>
      <c r="S1716" s="688">
        <v>8</v>
      </c>
      <c r="T1716" s="690">
        <f t="shared" si="290"/>
        <v>1.1852</v>
      </c>
    </row>
    <row r="1717" spans="1:22" s="688" customFormat="1" ht="17.100000000000001" customHeight="1">
      <c r="A1717" s="1316" t="s">
        <v>1068</v>
      </c>
      <c r="B1717" s="1317"/>
      <c r="C1717" s="1316"/>
      <c r="D1717" s="1317"/>
      <c r="E1717" s="683">
        <v>1</v>
      </c>
      <c r="F1717" s="676" t="s">
        <v>915</v>
      </c>
      <c r="G1717" s="670" t="e">
        <f>#REF!*1000</f>
        <v>#REF!</v>
      </c>
      <c r="H1717" s="670" t="e">
        <f>INT(E1717*G1717)</f>
        <v>#REF!</v>
      </c>
      <c r="I1717" s="670"/>
      <c r="J1717" s="670"/>
      <c r="K1717" s="670"/>
      <c r="L1717" s="670"/>
      <c r="M1717" s="670" t="e">
        <f t="shared" si="291"/>
        <v>#REF!</v>
      </c>
      <c r="N1717" s="670" t="e">
        <f t="shared" si="291"/>
        <v>#REF!</v>
      </c>
      <c r="O1717" s="671"/>
      <c r="P1717" s="672"/>
      <c r="Q1717" s="688">
        <f t="shared" si="289"/>
        <v>135</v>
      </c>
      <c r="R1717" s="688">
        <f t="shared" si="289"/>
        <v>6.75</v>
      </c>
      <c r="S1717" s="688">
        <v>8</v>
      </c>
      <c r="T1717" s="690">
        <f t="shared" si="290"/>
        <v>1.1852</v>
      </c>
      <c r="U1717" s="728"/>
      <c r="V1717" s="728"/>
    </row>
    <row r="1718" spans="1:22" s="728" customFormat="1" ht="17.100000000000001" customHeight="1">
      <c r="A1718" s="1316" t="s">
        <v>1970</v>
      </c>
      <c r="B1718" s="1317"/>
      <c r="C1718" s="1316"/>
      <c r="D1718" s="1317"/>
      <c r="E1718" s="686">
        <v>0.14810000000000001</v>
      </c>
      <c r="F1718" s="676" t="s">
        <v>366</v>
      </c>
      <c r="G1718" s="670"/>
      <c r="H1718" s="670"/>
      <c r="I1718" s="670">
        <f>[53]노임단가!$T$21</f>
        <v>221015</v>
      </c>
      <c r="J1718" s="670">
        <f>INT(E1718*I1718)</f>
        <v>32732</v>
      </c>
      <c r="K1718" s="670"/>
      <c r="L1718" s="670"/>
      <c r="M1718" s="670">
        <f t="shared" si="291"/>
        <v>221015</v>
      </c>
      <c r="N1718" s="670">
        <f t="shared" si="291"/>
        <v>32732</v>
      </c>
      <c r="O1718" s="671"/>
      <c r="P1718" s="672"/>
      <c r="Q1718" s="688">
        <f t="shared" si="289"/>
        <v>135</v>
      </c>
      <c r="R1718" s="688">
        <f t="shared" si="289"/>
        <v>6.75</v>
      </c>
      <c r="S1718" s="688">
        <v>4</v>
      </c>
      <c r="T1718" s="690">
        <f t="shared" si="290"/>
        <v>0.59260000000000002</v>
      </c>
    </row>
    <row r="1719" spans="1:22" s="728" customFormat="1" ht="17.100000000000001" customHeight="1">
      <c r="A1719" s="1316" t="s">
        <v>248</v>
      </c>
      <c r="B1719" s="1317"/>
      <c r="C1719" s="1316"/>
      <c r="D1719" s="1317"/>
      <c r="E1719" s="683">
        <v>0.14810000000000001</v>
      </c>
      <c r="F1719" s="676" t="s">
        <v>366</v>
      </c>
      <c r="G1719" s="670"/>
      <c r="H1719" s="670"/>
      <c r="I1719" s="670">
        <f>[53]노임단가!$T$5</f>
        <v>172068</v>
      </c>
      <c r="J1719" s="670">
        <f>INT(E1719*I1719)</f>
        <v>25483</v>
      </c>
      <c r="K1719" s="670"/>
      <c r="L1719" s="670"/>
      <c r="M1719" s="670">
        <f t="shared" si="291"/>
        <v>172068</v>
      </c>
      <c r="N1719" s="670">
        <f t="shared" si="291"/>
        <v>25483</v>
      </c>
      <c r="O1719" s="671"/>
      <c r="P1719" s="672"/>
      <c r="Q1719" s="688"/>
      <c r="R1719" s="688"/>
      <c r="S1719" s="688"/>
      <c r="T1719" s="688"/>
    </row>
    <row r="1720" spans="1:22" s="728" customFormat="1" ht="17.100000000000001" customHeight="1">
      <c r="A1720" s="1316" t="s">
        <v>409</v>
      </c>
      <c r="B1720" s="1317"/>
      <c r="C1720" s="1316" t="s">
        <v>397</v>
      </c>
      <c r="D1720" s="1317"/>
      <c r="E1720" s="683">
        <v>0.59260000000000002</v>
      </c>
      <c r="F1720" s="676" t="s">
        <v>418</v>
      </c>
      <c r="G1720" s="670" t="e">
        <f>$G$1660</f>
        <v>#REF!</v>
      </c>
      <c r="H1720" s="670" t="e">
        <f>INT(E1720*G1720)</f>
        <v>#REF!</v>
      </c>
      <c r="I1720" s="670" t="e">
        <f>$I$1660</f>
        <v>#REF!</v>
      </c>
      <c r="J1720" s="670" t="e">
        <f>INT(E1720*I1720)</f>
        <v>#REF!</v>
      </c>
      <c r="K1720" s="670" t="e">
        <f>$K$1660</f>
        <v>#REF!</v>
      </c>
      <c r="L1720" s="670" t="e">
        <f>INT(E1720*K1720)</f>
        <v>#REF!</v>
      </c>
      <c r="M1720" s="670" t="e">
        <f t="shared" si="291"/>
        <v>#REF!</v>
      </c>
      <c r="N1720" s="670" t="e">
        <f t="shared" si="291"/>
        <v>#REF!</v>
      </c>
      <c r="O1720" s="671"/>
      <c r="P1720" s="672" t="s">
        <v>1944</v>
      </c>
      <c r="Q1720" s="687" t="s">
        <v>1551</v>
      </c>
      <c r="R1720" s="688" t="s">
        <v>1447</v>
      </c>
      <c r="S1720" s="688" t="s">
        <v>1425</v>
      </c>
      <c r="T1720" s="688" t="s">
        <v>1426</v>
      </c>
    </row>
    <row r="1721" spans="1:22" s="728" customFormat="1" ht="17.100000000000001" customHeight="1">
      <c r="A1721" s="1316" t="s">
        <v>554</v>
      </c>
      <c r="B1721" s="1317"/>
      <c r="C1721" s="1316" t="s">
        <v>1181</v>
      </c>
      <c r="D1721" s="1317"/>
      <c r="E1721" s="683">
        <v>0.59260000000000002</v>
      </c>
      <c r="F1721" s="676" t="s">
        <v>418</v>
      </c>
      <c r="G1721" s="670" t="e">
        <f>$G$1661</f>
        <v>#REF!</v>
      </c>
      <c r="H1721" s="670" t="e">
        <f>INT(E1721*G1721)</f>
        <v>#REF!</v>
      </c>
      <c r="I1721" s="670" t="e">
        <f>$I$1661</f>
        <v>#REF!</v>
      </c>
      <c r="J1721" s="670" t="e">
        <f>INT(E1721*I1721)</f>
        <v>#REF!</v>
      </c>
      <c r="K1721" s="670" t="e">
        <f>$K$1661</f>
        <v>#REF!</v>
      </c>
      <c r="L1721" s="670" t="e">
        <f>INT(E1721*K1721)</f>
        <v>#REF!</v>
      </c>
      <c r="M1721" s="670" t="e">
        <f t="shared" si="291"/>
        <v>#REF!</v>
      </c>
      <c r="N1721" s="670" t="e">
        <f t="shared" si="291"/>
        <v>#REF!</v>
      </c>
      <c r="O1721" s="671"/>
      <c r="P1721" s="672" t="s">
        <v>1983</v>
      </c>
      <c r="Q1721" s="688">
        <v>200</v>
      </c>
      <c r="R1721" s="688">
        <f>(Q1721)/(0.2*100)</f>
        <v>10</v>
      </c>
      <c r="S1721" s="688">
        <v>0</v>
      </c>
      <c r="T1721" s="793">
        <f>20*1.04*1.6/1.3</f>
        <v>25.6</v>
      </c>
    </row>
    <row r="1722" spans="1:22" s="728" customFormat="1" ht="17.100000000000001" customHeight="1">
      <c r="A1722" s="1316" t="s">
        <v>630</v>
      </c>
      <c r="B1722" s="1317"/>
      <c r="C1722" s="1316" t="s">
        <v>1251</v>
      </c>
      <c r="D1722" s="1317"/>
      <c r="E1722" s="683">
        <v>0.29630000000000001</v>
      </c>
      <c r="F1722" s="676" t="s">
        <v>418</v>
      </c>
      <c r="G1722" s="670" t="e">
        <f>#REF!</f>
        <v>#REF!</v>
      </c>
      <c r="H1722" s="670" t="e">
        <f>INT(E1722*G1722)</f>
        <v>#REF!</v>
      </c>
      <c r="I1722" s="670" t="e">
        <f>#REF!</f>
        <v>#REF!</v>
      </c>
      <c r="J1722" s="670" t="e">
        <f>INT(E1722*I1722)</f>
        <v>#REF!</v>
      </c>
      <c r="K1722" s="670" t="e">
        <f>#REF!</f>
        <v>#REF!</v>
      </c>
      <c r="L1722" s="670" t="e">
        <f>INT(E1722*K1722)</f>
        <v>#REF!</v>
      </c>
      <c r="M1722" s="670" t="e">
        <f t="shared" si="291"/>
        <v>#REF!</v>
      </c>
      <c r="N1722" s="670" t="e">
        <f t="shared" si="291"/>
        <v>#REF!</v>
      </c>
      <c r="O1722" s="671"/>
      <c r="P1722" s="672"/>
      <c r="Q1722" s="688">
        <f t="shared" ref="Q1722:R1727" si="292">Q1721</f>
        <v>200</v>
      </c>
      <c r="R1722" s="688">
        <f t="shared" si="292"/>
        <v>10</v>
      </c>
      <c r="S1722" s="688">
        <v>0</v>
      </c>
      <c r="T1722" s="690">
        <f t="shared" ref="T1722:T1727" si="293">ROUND(S1722/R1722,4)</f>
        <v>0</v>
      </c>
    </row>
    <row r="1723" spans="1:22" s="728" customFormat="1" ht="17.100000000000001" customHeight="1">
      <c r="A1723" s="1318" t="s">
        <v>1320</v>
      </c>
      <c r="B1723" s="1319"/>
      <c r="C1723" s="1316"/>
      <c r="D1723" s="1317"/>
      <c r="E1723" s="686"/>
      <c r="F1723" s="676"/>
      <c r="G1723" s="670"/>
      <c r="H1723" s="670" t="e">
        <f>SUM(H1716:H1722)</f>
        <v>#REF!</v>
      </c>
      <c r="I1723" s="670"/>
      <c r="J1723" s="670" t="e">
        <f>SUM(J1716:J1722)</f>
        <v>#REF!</v>
      </c>
      <c r="K1723" s="670"/>
      <c r="L1723" s="670" t="e">
        <f>SUM(L1716:L1722)</f>
        <v>#REF!</v>
      </c>
      <c r="M1723" s="670"/>
      <c r="N1723" s="670" t="e">
        <f>SUM(N1716:N1722)</f>
        <v>#REF!</v>
      </c>
      <c r="O1723" s="671"/>
      <c r="P1723" s="672"/>
      <c r="Q1723" s="688">
        <f t="shared" si="292"/>
        <v>200</v>
      </c>
      <c r="R1723" s="688">
        <f t="shared" si="292"/>
        <v>10</v>
      </c>
      <c r="S1723" s="688">
        <v>2</v>
      </c>
      <c r="T1723" s="690">
        <f t="shared" si="293"/>
        <v>0.2</v>
      </c>
    </row>
    <row r="1724" spans="1:22" s="728" customFormat="1" ht="17.100000000000001" customHeight="1">
      <c r="A1724" s="668">
        <f>A1715+1</f>
        <v>295</v>
      </c>
      <c r="B1724" s="1320" t="s">
        <v>1979</v>
      </c>
      <c r="C1724" s="1320"/>
      <c r="D1724" s="1377" t="s">
        <v>1984</v>
      </c>
      <c r="E1724" s="1377"/>
      <c r="F1724" s="669" t="s">
        <v>1458</v>
      </c>
      <c r="G1724" s="698"/>
      <c r="H1724" s="698"/>
      <c r="I1724" s="698"/>
      <c r="J1724" s="698"/>
      <c r="K1724" s="670"/>
      <c r="L1724" s="670"/>
      <c r="M1724" s="670"/>
      <c r="N1724" s="698"/>
      <c r="O1724" s="699"/>
      <c r="P1724" s="672"/>
      <c r="Q1724" s="688">
        <f t="shared" si="292"/>
        <v>200</v>
      </c>
      <c r="R1724" s="688">
        <f t="shared" si="292"/>
        <v>10</v>
      </c>
      <c r="S1724" s="688">
        <v>1</v>
      </c>
      <c r="T1724" s="690">
        <f t="shared" si="293"/>
        <v>0.1</v>
      </c>
    </row>
    <row r="1725" spans="1:22" s="728" customFormat="1" ht="17.100000000000001" customHeight="1">
      <c r="A1725" s="1316" t="s">
        <v>1981</v>
      </c>
      <c r="B1725" s="1317"/>
      <c r="C1725" s="1316" t="s">
        <v>1982</v>
      </c>
      <c r="D1725" s="1317"/>
      <c r="E1725" s="683">
        <v>19.2</v>
      </c>
      <c r="F1725" s="676" t="s">
        <v>850</v>
      </c>
      <c r="G1725" s="670" t="e">
        <f>#REF!</f>
        <v>#REF!</v>
      </c>
      <c r="H1725" s="670" t="e">
        <f>INT(E1725*G1725)</f>
        <v>#REF!</v>
      </c>
      <c r="I1725" s="670"/>
      <c r="J1725" s="670"/>
      <c r="K1725" s="670"/>
      <c r="L1725" s="670"/>
      <c r="M1725" s="670" t="e">
        <f t="shared" ref="M1725:N1731" si="294">G1725+I1725+K1725</f>
        <v>#REF!</v>
      </c>
      <c r="N1725" s="670" t="e">
        <f t="shared" si="294"/>
        <v>#REF!</v>
      </c>
      <c r="O1725" s="671"/>
      <c r="P1725" s="672"/>
      <c r="Q1725" s="688">
        <f t="shared" si="292"/>
        <v>200</v>
      </c>
      <c r="R1725" s="688">
        <f t="shared" si="292"/>
        <v>10</v>
      </c>
      <c r="S1725" s="688">
        <v>8</v>
      </c>
      <c r="T1725" s="690">
        <f t="shared" si="293"/>
        <v>0.8</v>
      </c>
    </row>
    <row r="1726" spans="1:22" s="728" customFormat="1" ht="17.100000000000001" customHeight="1">
      <c r="A1726" s="1316" t="s">
        <v>1068</v>
      </c>
      <c r="B1726" s="1317"/>
      <c r="C1726" s="1316"/>
      <c r="D1726" s="1317"/>
      <c r="E1726" s="683">
        <v>1.5</v>
      </c>
      <c r="F1726" s="676" t="s">
        <v>915</v>
      </c>
      <c r="G1726" s="670" t="e">
        <f>#REF!*1000</f>
        <v>#REF!</v>
      </c>
      <c r="H1726" s="670" t="e">
        <f>INT(E1726*G1726)</f>
        <v>#REF!</v>
      </c>
      <c r="I1726" s="670"/>
      <c r="J1726" s="670"/>
      <c r="K1726" s="670"/>
      <c r="L1726" s="670"/>
      <c r="M1726" s="670" t="e">
        <f t="shared" si="294"/>
        <v>#REF!</v>
      </c>
      <c r="N1726" s="670" t="e">
        <f t="shared" si="294"/>
        <v>#REF!</v>
      </c>
      <c r="O1726" s="671"/>
      <c r="P1726" s="672"/>
      <c r="Q1726" s="688">
        <f t="shared" si="292"/>
        <v>200</v>
      </c>
      <c r="R1726" s="688">
        <f t="shared" si="292"/>
        <v>10</v>
      </c>
      <c r="S1726" s="688">
        <v>8</v>
      </c>
      <c r="T1726" s="690">
        <f t="shared" si="293"/>
        <v>0.8</v>
      </c>
    </row>
    <row r="1727" spans="1:22" s="728" customFormat="1" ht="17.100000000000001" customHeight="1">
      <c r="A1727" s="1316" t="s">
        <v>1970</v>
      </c>
      <c r="B1727" s="1317"/>
      <c r="C1727" s="1316"/>
      <c r="D1727" s="1317"/>
      <c r="E1727" s="686">
        <v>0.22220000000000001</v>
      </c>
      <c r="F1727" s="676" t="s">
        <v>366</v>
      </c>
      <c r="G1727" s="670"/>
      <c r="H1727" s="670"/>
      <c r="I1727" s="670">
        <f>[53]노임단가!$T$21</f>
        <v>221015</v>
      </c>
      <c r="J1727" s="670">
        <f>INT(E1727*I1727)</f>
        <v>49109</v>
      </c>
      <c r="K1727" s="670"/>
      <c r="L1727" s="670"/>
      <c r="M1727" s="670">
        <f t="shared" si="294"/>
        <v>221015</v>
      </c>
      <c r="N1727" s="670">
        <f t="shared" si="294"/>
        <v>49109</v>
      </c>
      <c r="O1727" s="671"/>
      <c r="P1727" s="672"/>
      <c r="Q1727" s="688">
        <f t="shared" si="292"/>
        <v>200</v>
      </c>
      <c r="R1727" s="688">
        <f t="shared" si="292"/>
        <v>10</v>
      </c>
      <c r="S1727" s="688">
        <v>4</v>
      </c>
      <c r="T1727" s="690">
        <f t="shared" si="293"/>
        <v>0.4</v>
      </c>
    </row>
    <row r="1728" spans="1:22" s="728" customFormat="1" ht="17.100000000000001" customHeight="1">
      <c r="A1728" s="1316" t="s">
        <v>248</v>
      </c>
      <c r="B1728" s="1317"/>
      <c r="C1728" s="1316"/>
      <c r="D1728" s="1317"/>
      <c r="E1728" s="683">
        <v>0.22220000000000001</v>
      </c>
      <c r="F1728" s="676" t="s">
        <v>366</v>
      </c>
      <c r="G1728" s="670"/>
      <c r="H1728" s="670"/>
      <c r="I1728" s="670">
        <f>[53]노임단가!$T$5</f>
        <v>172068</v>
      </c>
      <c r="J1728" s="670">
        <f>INT(E1728*I1728)</f>
        <v>38233</v>
      </c>
      <c r="K1728" s="670"/>
      <c r="L1728" s="670"/>
      <c r="M1728" s="670">
        <f t="shared" si="294"/>
        <v>172068</v>
      </c>
      <c r="N1728" s="670">
        <f t="shared" si="294"/>
        <v>38233</v>
      </c>
      <c r="O1728" s="671"/>
      <c r="P1728" s="672"/>
      <c r="Q1728" s="688"/>
      <c r="R1728" s="688"/>
      <c r="T1728" s="690"/>
      <c r="U1728" s="688"/>
      <c r="V1728" s="688"/>
    </row>
    <row r="1729" spans="1:20" s="688" customFormat="1" ht="17.100000000000001" customHeight="1">
      <c r="A1729" s="1316" t="s">
        <v>409</v>
      </c>
      <c r="B1729" s="1317"/>
      <c r="C1729" s="1316" t="s">
        <v>397</v>
      </c>
      <c r="D1729" s="1317"/>
      <c r="E1729" s="683">
        <v>0.88890000000000002</v>
      </c>
      <c r="F1729" s="676" t="s">
        <v>418</v>
      </c>
      <c r="G1729" s="670" t="e">
        <f>$G$1660</f>
        <v>#REF!</v>
      </c>
      <c r="H1729" s="670" t="e">
        <f>INT(E1729*G1729)</f>
        <v>#REF!</v>
      </c>
      <c r="I1729" s="670" t="e">
        <f>$I$1660</f>
        <v>#REF!</v>
      </c>
      <c r="J1729" s="670" t="e">
        <f>INT(E1729*I1729)</f>
        <v>#REF!</v>
      </c>
      <c r="K1729" s="670" t="e">
        <f>$K$1660</f>
        <v>#REF!</v>
      </c>
      <c r="L1729" s="670" t="e">
        <f>INT(E1729*K1729)</f>
        <v>#REF!</v>
      </c>
      <c r="M1729" s="670" t="e">
        <f t="shared" si="294"/>
        <v>#REF!</v>
      </c>
      <c r="N1729" s="670" t="e">
        <f t="shared" si="294"/>
        <v>#REF!</v>
      </c>
      <c r="O1729" s="671"/>
      <c r="P1729" s="672" t="s">
        <v>1944</v>
      </c>
      <c r="Q1729" s="687" t="s">
        <v>1551</v>
      </c>
      <c r="R1729" s="688" t="s">
        <v>1447</v>
      </c>
      <c r="S1729" s="688" t="s">
        <v>1425</v>
      </c>
      <c r="T1729" s="688" t="s">
        <v>1426</v>
      </c>
    </row>
    <row r="1730" spans="1:20" s="688" customFormat="1" ht="17.100000000000001" customHeight="1">
      <c r="A1730" s="1316" t="s">
        <v>554</v>
      </c>
      <c r="B1730" s="1317"/>
      <c r="C1730" s="1316" t="s">
        <v>1181</v>
      </c>
      <c r="D1730" s="1317"/>
      <c r="E1730" s="683">
        <v>0.88890000000000002</v>
      </c>
      <c r="F1730" s="676" t="s">
        <v>418</v>
      </c>
      <c r="G1730" s="670" t="e">
        <f>$G$1661</f>
        <v>#REF!</v>
      </c>
      <c r="H1730" s="670" t="e">
        <f>INT(E1730*G1730)</f>
        <v>#REF!</v>
      </c>
      <c r="I1730" s="670" t="e">
        <f>$I$1661</f>
        <v>#REF!</v>
      </c>
      <c r="J1730" s="670" t="e">
        <f>INT(E1730*I1730)</f>
        <v>#REF!</v>
      </c>
      <c r="K1730" s="670" t="e">
        <f>$K$1661</f>
        <v>#REF!</v>
      </c>
      <c r="L1730" s="670" t="e">
        <f>INT(E1730*K1730)</f>
        <v>#REF!</v>
      </c>
      <c r="M1730" s="670" t="e">
        <f t="shared" si="294"/>
        <v>#REF!</v>
      </c>
      <c r="N1730" s="670" t="e">
        <f t="shared" si="294"/>
        <v>#REF!</v>
      </c>
      <c r="O1730" s="671"/>
      <c r="P1730" s="672" t="s">
        <v>1983</v>
      </c>
      <c r="Q1730" s="688">
        <v>500</v>
      </c>
      <c r="R1730" s="688">
        <f>(Q1730)/(0.2*100)</f>
        <v>25</v>
      </c>
      <c r="S1730" s="688">
        <v>0</v>
      </c>
      <c r="T1730" s="690">
        <f>20*1.04*1.6/1.3</f>
        <v>25.6</v>
      </c>
    </row>
    <row r="1731" spans="1:20" s="688" customFormat="1" ht="17.100000000000001" customHeight="1">
      <c r="A1731" s="1316" t="s">
        <v>630</v>
      </c>
      <c r="B1731" s="1317"/>
      <c r="C1731" s="1316" t="s">
        <v>1251</v>
      </c>
      <c r="D1731" s="1317"/>
      <c r="E1731" s="683">
        <v>0.44440000000000002</v>
      </c>
      <c r="F1731" s="676" t="s">
        <v>418</v>
      </c>
      <c r="G1731" s="670" t="e">
        <f>#REF!</f>
        <v>#REF!</v>
      </c>
      <c r="H1731" s="670" t="e">
        <f>INT(E1731*G1731)</f>
        <v>#REF!</v>
      </c>
      <c r="I1731" s="670" t="e">
        <f>#REF!</f>
        <v>#REF!</v>
      </c>
      <c r="J1731" s="670" t="e">
        <f>INT(E1731*I1731)</f>
        <v>#REF!</v>
      </c>
      <c r="K1731" s="670" t="e">
        <f>#REF!</f>
        <v>#REF!</v>
      </c>
      <c r="L1731" s="670" t="e">
        <f>INT(E1731*K1731)</f>
        <v>#REF!</v>
      </c>
      <c r="M1731" s="670" t="e">
        <f t="shared" si="294"/>
        <v>#REF!</v>
      </c>
      <c r="N1731" s="670" t="e">
        <f t="shared" si="294"/>
        <v>#REF!</v>
      </c>
      <c r="O1731" s="671"/>
      <c r="P1731" s="672"/>
      <c r="Q1731" s="688">
        <f t="shared" ref="Q1731:R1735" si="295">Q1730</f>
        <v>500</v>
      </c>
      <c r="R1731" s="688">
        <f t="shared" si="295"/>
        <v>25</v>
      </c>
      <c r="S1731" s="688">
        <v>0</v>
      </c>
      <c r="T1731" s="690">
        <f>ROUND(S1731/R1731,4)</f>
        <v>0</v>
      </c>
    </row>
    <row r="1732" spans="1:20" s="688" customFormat="1" ht="17.100000000000001" customHeight="1">
      <c r="A1732" s="1318" t="s">
        <v>1320</v>
      </c>
      <c r="B1732" s="1319"/>
      <c r="C1732" s="1316"/>
      <c r="D1732" s="1317"/>
      <c r="E1732" s="686"/>
      <c r="F1732" s="676"/>
      <c r="G1732" s="670"/>
      <c r="H1732" s="670" t="e">
        <f>SUM(H1725:H1731)</f>
        <v>#REF!</v>
      </c>
      <c r="I1732" s="670"/>
      <c r="J1732" s="670" t="e">
        <f>SUM(J1725:J1731)</f>
        <v>#REF!</v>
      </c>
      <c r="K1732" s="670"/>
      <c r="L1732" s="670" t="e">
        <f>SUM(L1725:L1731)</f>
        <v>#REF!</v>
      </c>
      <c r="M1732" s="670"/>
      <c r="N1732" s="670" t="e">
        <f>SUM(N1725:N1731)</f>
        <v>#REF!</v>
      </c>
      <c r="O1732" s="671"/>
      <c r="P1732" s="672"/>
      <c r="Q1732" s="688">
        <f t="shared" si="295"/>
        <v>500</v>
      </c>
      <c r="R1732" s="688">
        <f t="shared" si="295"/>
        <v>25</v>
      </c>
      <c r="S1732" s="688">
        <v>2</v>
      </c>
      <c r="T1732" s="690">
        <f>ROUND(S1732/R1732,4)</f>
        <v>0.08</v>
      </c>
    </row>
    <row r="1733" spans="1:20" s="688" customFormat="1" ht="17.100000000000001" customHeight="1">
      <c r="A1733" s="668">
        <f>A1724+1</f>
        <v>296</v>
      </c>
      <c r="B1733" s="1320" t="s">
        <v>1985</v>
      </c>
      <c r="C1733" s="1320"/>
      <c r="D1733" s="1377" t="s">
        <v>1984</v>
      </c>
      <c r="E1733" s="1377"/>
      <c r="F1733" s="669" t="s">
        <v>1458</v>
      </c>
      <c r="G1733" s="698"/>
      <c r="H1733" s="698"/>
      <c r="I1733" s="698"/>
      <c r="J1733" s="698"/>
      <c r="K1733" s="670"/>
      <c r="L1733" s="670"/>
      <c r="M1733" s="670"/>
      <c r="N1733" s="698"/>
      <c r="O1733" s="699"/>
      <c r="P1733" s="672"/>
      <c r="Q1733" s="688">
        <f t="shared" si="295"/>
        <v>500</v>
      </c>
      <c r="R1733" s="688">
        <f t="shared" si="295"/>
        <v>25</v>
      </c>
      <c r="S1733" s="688">
        <v>8</v>
      </c>
      <c r="T1733" s="690">
        <f>ROUND(S1733/R1733,4)</f>
        <v>0.32</v>
      </c>
    </row>
    <row r="1734" spans="1:20" s="688" customFormat="1" ht="17.100000000000001" customHeight="1">
      <c r="A1734" s="1362" t="s">
        <v>1986</v>
      </c>
      <c r="B1734" s="1363"/>
      <c r="C1734" s="1362" t="s">
        <v>1982</v>
      </c>
      <c r="D1734" s="1363"/>
      <c r="E1734" s="683">
        <v>19.2</v>
      </c>
      <c r="F1734" s="676" t="s">
        <v>850</v>
      </c>
      <c r="G1734" s="670" t="e">
        <f>#REF!</f>
        <v>#REF!</v>
      </c>
      <c r="H1734" s="670" t="e">
        <f>INT(E1734*G1734)</f>
        <v>#REF!</v>
      </c>
      <c r="I1734" s="670"/>
      <c r="J1734" s="670"/>
      <c r="K1734" s="670"/>
      <c r="L1734" s="670"/>
      <c r="M1734" s="670" t="e">
        <f t="shared" ref="M1734:N1740" si="296">G1734+I1734+K1734</f>
        <v>#REF!</v>
      </c>
      <c r="N1734" s="670" t="e">
        <f t="shared" si="296"/>
        <v>#REF!</v>
      </c>
      <c r="O1734" s="671"/>
      <c r="P1734" s="672"/>
      <c r="Q1734" s="688">
        <f t="shared" si="295"/>
        <v>500</v>
      </c>
      <c r="R1734" s="688">
        <f t="shared" si="295"/>
        <v>25</v>
      </c>
      <c r="S1734" s="688">
        <v>8</v>
      </c>
      <c r="T1734" s="690">
        <f>ROUND(S1734/R1734,4)</f>
        <v>0.32</v>
      </c>
    </row>
    <row r="1735" spans="1:20" s="688" customFormat="1" ht="17.100000000000001" customHeight="1">
      <c r="A1735" s="1362" t="s">
        <v>1068</v>
      </c>
      <c r="B1735" s="1363"/>
      <c r="C1735" s="1362"/>
      <c r="D1735" s="1363"/>
      <c r="E1735" s="683">
        <v>1.5</v>
      </c>
      <c r="F1735" s="676" t="s">
        <v>915</v>
      </c>
      <c r="G1735" s="670" t="e">
        <f>#REF!*1000</f>
        <v>#REF!</v>
      </c>
      <c r="H1735" s="670" t="e">
        <f>INT(E1735*G1735)</f>
        <v>#REF!</v>
      </c>
      <c r="I1735" s="670"/>
      <c r="J1735" s="670"/>
      <c r="K1735" s="670"/>
      <c r="L1735" s="670"/>
      <c r="M1735" s="670" t="e">
        <f t="shared" si="296"/>
        <v>#REF!</v>
      </c>
      <c r="N1735" s="670" t="e">
        <f t="shared" si="296"/>
        <v>#REF!</v>
      </c>
      <c r="O1735" s="671"/>
      <c r="P1735" s="672"/>
      <c r="Q1735" s="688">
        <f t="shared" si="295"/>
        <v>500</v>
      </c>
      <c r="R1735" s="688">
        <f t="shared" si="295"/>
        <v>25</v>
      </c>
      <c r="S1735" s="688">
        <v>4</v>
      </c>
      <c r="T1735" s="690">
        <f>ROUND(S1735/R1735,4)</f>
        <v>0.16</v>
      </c>
    </row>
    <row r="1736" spans="1:20" s="688" customFormat="1" ht="17.100000000000001" customHeight="1">
      <c r="A1736" s="1316" t="s">
        <v>1970</v>
      </c>
      <c r="B1736" s="1317"/>
      <c r="C1736" s="1316"/>
      <c r="D1736" s="1317"/>
      <c r="E1736" s="686">
        <v>0.14810000000000001</v>
      </c>
      <c r="F1736" s="676" t="s">
        <v>366</v>
      </c>
      <c r="G1736" s="670"/>
      <c r="H1736" s="670"/>
      <c r="I1736" s="670">
        <f>[53]노임단가!$T$21</f>
        <v>221015</v>
      </c>
      <c r="J1736" s="670">
        <f>INT(E1736*I1736)</f>
        <v>32732</v>
      </c>
      <c r="K1736" s="670"/>
      <c r="L1736" s="670"/>
      <c r="M1736" s="670">
        <f t="shared" si="296"/>
        <v>221015</v>
      </c>
      <c r="N1736" s="670">
        <f t="shared" si="296"/>
        <v>32732</v>
      </c>
      <c r="O1736" s="671"/>
      <c r="P1736" s="672"/>
      <c r="T1736" s="690"/>
    </row>
    <row r="1737" spans="1:20" s="688" customFormat="1" ht="17.100000000000001" customHeight="1">
      <c r="A1737" s="1362" t="s">
        <v>248</v>
      </c>
      <c r="B1737" s="1363"/>
      <c r="C1737" s="1362"/>
      <c r="D1737" s="1363"/>
      <c r="E1737" s="683">
        <v>0.33329999999999999</v>
      </c>
      <c r="F1737" s="676" t="s">
        <v>366</v>
      </c>
      <c r="G1737" s="670"/>
      <c r="H1737" s="670"/>
      <c r="I1737" s="670">
        <f>[53]노임단가!$T$5</f>
        <v>172068</v>
      </c>
      <c r="J1737" s="670">
        <f>INT(E1737*I1737)</f>
        <v>57350</v>
      </c>
      <c r="K1737" s="670"/>
      <c r="L1737" s="670"/>
      <c r="M1737" s="670">
        <f t="shared" si="296"/>
        <v>172068</v>
      </c>
      <c r="N1737" s="670">
        <f t="shared" si="296"/>
        <v>57350</v>
      </c>
      <c r="O1737" s="671"/>
      <c r="P1737" s="672"/>
      <c r="T1737" s="690"/>
    </row>
    <row r="1738" spans="1:20" s="688" customFormat="1" ht="17.100000000000001" customHeight="1">
      <c r="A1738" s="1362" t="s">
        <v>409</v>
      </c>
      <c r="B1738" s="1363"/>
      <c r="C1738" s="1362" t="s">
        <v>397</v>
      </c>
      <c r="D1738" s="1363"/>
      <c r="E1738" s="683">
        <v>0.88890000000000002</v>
      </c>
      <c r="F1738" s="676" t="s">
        <v>418</v>
      </c>
      <c r="G1738" s="670" t="e">
        <f>$G$1660</f>
        <v>#REF!</v>
      </c>
      <c r="H1738" s="670" t="e">
        <f>INT(E1738*G1738)</f>
        <v>#REF!</v>
      </c>
      <c r="I1738" s="670" t="e">
        <f>$I$1660</f>
        <v>#REF!</v>
      </c>
      <c r="J1738" s="670" t="e">
        <f>INT(E1738*I1738)</f>
        <v>#REF!</v>
      </c>
      <c r="K1738" s="670" t="e">
        <f>$K$1660</f>
        <v>#REF!</v>
      </c>
      <c r="L1738" s="670" t="e">
        <f>INT(E1738*K1738)</f>
        <v>#REF!</v>
      </c>
      <c r="M1738" s="670" t="e">
        <f t="shared" si="296"/>
        <v>#REF!</v>
      </c>
      <c r="N1738" s="670" t="e">
        <f t="shared" si="296"/>
        <v>#REF!</v>
      </c>
      <c r="O1738" s="671"/>
      <c r="P1738" s="794" t="s">
        <v>1987</v>
      </c>
      <c r="S1738" s="728"/>
      <c r="T1738" s="690"/>
    </row>
    <row r="1739" spans="1:20" s="688" customFormat="1" ht="17.100000000000001" customHeight="1">
      <c r="A1739" s="1362" t="s">
        <v>554</v>
      </c>
      <c r="B1739" s="1363"/>
      <c r="C1739" s="1362" t="s">
        <v>1181</v>
      </c>
      <c r="D1739" s="1363"/>
      <c r="E1739" s="683">
        <v>0.88890000000000002</v>
      </c>
      <c r="F1739" s="676" t="s">
        <v>418</v>
      </c>
      <c r="G1739" s="670" t="e">
        <f>$G$1661</f>
        <v>#REF!</v>
      </c>
      <c r="H1739" s="670" t="e">
        <f>INT(E1739*G1739)</f>
        <v>#REF!</v>
      </c>
      <c r="I1739" s="670" t="e">
        <f>$I$1661</f>
        <v>#REF!</v>
      </c>
      <c r="J1739" s="670" t="e">
        <f>INT(E1739*I1739)</f>
        <v>#REF!</v>
      </c>
      <c r="K1739" s="670" t="e">
        <f>$K$1661</f>
        <v>#REF!</v>
      </c>
      <c r="L1739" s="670" t="e">
        <f>INT(E1739*K1739)</f>
        <v>#REF!</v>
      </c>
      <c r="M1739" s="670" t="e">
        <f t="shared" si="296"/>
        <v>#REF!</v>
      </c>
      <c r="N1739" s="670" t="e">
        <f t="shared" si="296"/>
        <v>#REF!</v>
      </c>
      <c r="O1739" s="671"/>
      <c r="P1739" s="794" t="s">
        <v>1987</v>
      </c>
      <c r="S1739" s="728"/>
      <c r="T1739" s="690"/>
    </row>
    <row r="1740" spans="1:20" s="688" customFormat="1" ht="17.100000000000001" customHeight="1">
      <c r="A1740" s="1362" t="s">
        <v>630</v>
      </c>
      <c r="B1740" s="1363"/>
      <c r="C1740" s="1362" t="s">
        <v>1251</v>
      </c>
      <c r="D1740" s="1363"/>
      <c r="E1740" s="683">
        <v>0.44440000000000002</v>
      </c>
      <c r="F1740" s="676" t="s">
        <v>418</v>
      </c>
      <c r="G1740" s="670" t="e">
        <f>#REF!</f>
        <v>#REF!</v>
      </c>
      <c r="H1740" s="670" t="e">
        <f>INT(E1740*G1740)</f>
        <v>#REF!</v>
      </c>
      <c r="I1740" s="670" t="e">
        <f>#REF!</f>
        <v>#REF!</v>
      </c>
      <c r="J1740" s="670" t="e">
        <f>INT(E1740*I1740)</f>
        <v>#REF!</v>
      </c>
      <c r="K1740" s="670" t="e">
        <f>#REF!</f>
        <v>#REF!</v>
      </c>
      <c r="L1740" s="670" t="e">
        <f>INT(E1740*K1740)</f>
        <v>#REF!</v>
      </c>
      <c r="M1740" s="670" t="e">
        <f t="shared" si="296"/>
        <v>#REF!</v>
      </c>
      <c r="N1740" s="670" t="e">
        <f t="shared" si="296"/>
        <v>#REF!</v>
      </c>
      <c r="O1740" s="671"/>
      <c r="P1740" s="794" t="s">
        <v>1987</v>
      </c>
      <c r="S1740" s="728"/>
      <c r="T1740" s="690"/>
    </row>
    <row r="1741" spans="1:20" s="688" customFormat="1" ht="17.100000000000001" customHeight="1">
      <c r="A1741" s="1318" t="s">
        <v>1320</v>
      </c>
      <c r="B1741" s="1319"/>
      <c r="C1741" s="1316"/>
      <c r="D1741" s="1317"/>
      <c r="E1741" s="686"/>
      <c r="F1741" s="676"/>
      <c r="G1741" s="670"/>
      <c r="H1741" s="670" t="e">
        <f>SUM(H1734:H1740)</f>
        <v>#REF!</v>
      </c>
      <c r="I1741" s="670"/>
      <c r="J1741" s="670" t="e">
        <f>SUM(J1734:J1740)</f>
        <v>#REF!</v>
      </c>
      <c r="K1741" s="670"/>
      <c r="L1741" s="670" t="e">
        <f>SUM(L1734:L1740)</f>
        <v>#REF!</v>
      </c>
      <c r="M1741" s="670"/>
      <c r="N1741" s="670" t="e">
        <f>SUM(N1734:N1740)</f>
        <v>#REF!</v>
      </c>
      <c r="O1741" s="671"/>
      <c r="P1741" s="794" t="s">
        <v>1987</v>
      </c>
      <c r="S1741" s="728"/>
      <c r="T1741" s="690"/>
    </row>
    <row r="1742" spans="1:20" s="688" customFormat="1" ht="17.100000000000001" customHeight="1">
      <c r="A1742" s="668">
        <f>A1733+1</f>
        <v>297</v>
      </c>
      <c r="B1742" s="1320" t="s">
        <v>1979</v>
      </c>
      <c r="C1742" s="1320"/>
      <c r="D1742" s="1377" t="s">
        <v>1988</v>
      </c>
      <c r="E1742" s="1377"/>
      <c r="F1742" s="669" t="s">
        <v>1458</v>
      </c>
      <c r="G1742" s="698"/>
      <c r="H1742" s="698"/>
      <c r="I1742" s="698"/>
      <c r="J1742" s="698"/>
      <c r="K1742" s="670"/>
      <c r="L1742" s="670"/>
      <c r="M1742" s="670"/>
      <c r="N1742" s="698"/>
      <c r="O1742" s="699"/>
      <c r="P1742" s="794" t="s">
        <v>1987</v>
      </c>
      <c r="S1742" s="728"/>
      <c r="T1742" s="690"/>
    </row>
    <row r="1743" spans="1:20" s="688" customFormat="1" ht="17.100000000000001" customHeight="1">
      <c r="A1743" s="1316" t="s">
        <v>1981</v>
      </c>
      <c r="B1743" s="1317"/>
      <c r="C1743" s="1316" t="s">
        <v>1982</v>
      </c>
      <c r="D1743" s="1317"/>
      <c r="E1743" s="686">
        <v>25.6</v>
      </c>
      <c r="F1743" s="676" t="s">
        <v>850</v>
      </c>
      <c r="G1743" s="670" t="e">
        <f>#REF!</f>
        <v>#REF!</v>
      </c>
      <c r="H1743" s="670" t="e">
        <f>INT(E1743*G1743)</f>
        <v>#REF!</v>
      </c>
      <c r="I1743" s="670"/>
      <c r="J1743" s="670"/>
      <c r="K1743" s="670"/>
      <c r="L1743" s="670"/>
      <c r="M1743" s="670" t="e">
        <f t="shared" ref="M1743:N1749" si="297">G1743+I1743+K1743</f>
        <v>#REF!</v>
      </c>
      <c r="N1743" s="670" t="e">
        <f t="shared" si="297"/>
        <v>#REF!</v>
      </c>
      <c r="O1743" s="671"/>
      <c r="P1743" s="794" t="s">
        <v>1987</v>
      </c>
      <c r="S1743" s="728"/>
      <c r="T1743" s="690"/>
    </row>
    <row r="1744" spans="1:20" s="688" customFormat="1" ht="17.100000000000001" customHeight="1">
      <c r="A1744" s="1316" t="s">
        <v>1068</v>
      </c>
      <c r="B1744" s="1317"/>
      <c r="C1744" s="1316"/>
      <c r="D1744" s="1317"/>
      <c r="E1744" s="686">
        <v>2</v>
      </c>
      <c r="F1744" s="676" t="s">
        <v>915</v>
      </c>
      <c r="G1744" s="670" t="e">
        <f>#REF!*1000</f>
        <v>#REF!</v>
      </c>
      <c r="H1744" s="670" t="e">
        <f>INT(E1744*G1744)</f>
        <v>#REF!</v>
      </c>
      <c r="I1744" s="670"/>
      <c r="J1744" s="670"/>
      <c r="K1744" s="670"/>
      <c r="L1744" s="670"/>
      <c r="M1744" s="670" t="e">
        <f t="shared" si="297"/>
        <v>#REF!</v>
      </c>
      <c r="N1744" s="670" t="e">
        <f t="shared" si="297"/>
        <v>#REF!</v>
      </c>
      <c r="O1744" s="671"/>
      <c r="P1744" s="794" t="s">
        <v>1987</v>
      </c>
      <c r="Q1744" s="687"/>
    </row>
    <row r="1745" spans="1:20" s="688" customFormat="1" ht="17.100000000000001" customHeight="1">
      <c r="A1745" s="1316" t="s">
        <v>1970</v>
      </c>
      <c r="B1745" s="1317"/>
      <c r="C1745" s="1316"/>
      <c r="D1745" s="1317"/>
      <c r="E1745" s="686">
        <v>0.29630000000000001</v>
      </c>
      <c r="F1745" s="676" t="s">
        <v>366</v>
      </c>
      <c r="G1745" s="670"/>
      <c r="H1745" s="670"/>
      <c r="I1745" s="670">
        <f>[53]노임단가!$T$21</f>
        <v>221015</v>
      </c>
      <c r="J1745" s="670">
        <f>INT(E1745*I1745)</f>
        <v>65486</v>
      </c>
      <c r="K1745" s="670"/>
      <c r="L1745" s="670"/>
      <c r="M1745" s="670">
        <f t="shared" si="297"/>
        <v>221015</v>
      </c>
      <c r="N1745" s="670">
        <f t="shared" si="297"/>
        <v>65486</v>
      </c>
      <c r="O1745" s="671"/>
      <c r="P1745" s="794" t="s">
        <v>1987</v>
      </c>
    </row>
    <row r="1746" spans="1:20" s="688" customFormat="1" ht="17.100000000000001" customHeight="1">
      <c r="A1746" s="1316" t="s">
        <v>248</v>
      </c>
      <c r="B1746" s="1317"/>
      <c r="C1746" s="1316"/>
      <c r="D1746" s="1317"/>
      <c r="E1746" s="686">
        <v>0.29630000000000001</v>
      </c>
      <c r="F1746" s="676" t="s">
        <v>366</v>
      </c>
      <c r="G1746" s="670"/>
      <c r="H1746" s="670"/>
      <c r="I1746" s="670">
        <f>[53]노임단가!$T$5</f>
        <v>172068</v>
      </c>
      <c r="J1746" s="670">
        <f>INT(E1746*I1746)</f>
        <v>50983</v>
      </c>
      <c r="K1746" s="670"/>
      <c r="L1746" s="670"/>
      <c r="M1746" s="670">
        <f t="shared" si="297"/>
        <v>172068</v>
      </c>
      <c r="N1746" s="670">
        <f t="shared" si="297"/>
        <v>50983</v>
      </c>
      <c r="O1746" s="671"/>
      <c r="P1746" s="794" t="s">
        <v>1987</v>
      </c>
    </row>
    <row r="1747" spans="1:20" s="688" customFormat="1" ht="17.100000000000001" customHeight="1">
      <c r="A1747" s="1316" t="s">
        <v>409</v>
      </c>
      <c r="B1747" s="1317"/>
      <c r="C1747" s="1316" t="s">
        <v>397</v>
      </c>
      <c r="D1747" s="1317"/>
      <c r="E1747" s="686">
        <v>1.1852</v>
      </c>
      <c r="F1747" s="676" t="s">
        <v>418</v>
      </c>
      <c r="G1747" s="670" t="e">
        <f>$G$1660</f>
        <v>#REF!</v>
      </c>
      <c r="H1747" s="670" t="e">
        <f>INT(E1747*G1747)</f>
        <v>#REF!</v>
      </c>
      <c r="I1747" s="670" t="e">
        <f>$I$1660</f>
        <v>#REF!</v>
      </c>
      <c r="J1747" s="670" t="e">
        <f>INT(E1747*I1747)</f>
        <v>#REF!</v>
      </c>
      <c r="K1747" s="670" t="e">
        <f>$K$1660</f>
        <v>#REF!</v>
      </c>
      <c r="L1747" s="670" t="e">
        <f>INT(E1747*K1747)</f>
        <v>#REF!</v>
      </c>
      <c r="M1747" s="670" t="e">
        <f t="shared" si="297"/>
        <v>#REF!</v>
      </c>
      <c r="N1747" s="670" t="e">
        <f t="shared" si="297"/>
        <v>#REF!</v>
      </c>
      <c r="O1747" s="671"/>
      <c r="P1747" s="794" t="s">
        <v>1987</v>
      </c>
      <c r="T1747" s="690"/>
    </row>
    <row r="1748" spans="1:20" s="688" customFormat="1" ht="17.100000000000001" customHeight="1">
      <c r="A1748" s="1316" t="s">
        <v>554</v>
      </c>
      <c r="B1748" s="1317"/>
      <c r="C1748" s="1316" t="s">
        <v>1181</v>
      </c>
      <c r="D1748" s="1317"/>
      <c r="E1748" s="686">
        <v>1.1852</v>
      </c>
      <c r="F1748" s="676" t="s">
        <v>418</v>
      </c>
      <c r="G1748" s="670" t="e">
        <f>$G$1661</f>
        <v>#REF!</v>
      </c>
      <c r="H1748" s="670" t="e">
        <f>INT(E1748*G1748)</f>
        <v>#REF!</v>
      </c>
      <c r="I1748" s="670" t="e">
        <f>$I$1661</f>
        <v>#REF!</v>
      </c>
      <c r="J1748" s="670" t="e">
        <f>INT(E1748*I1748)</f>
        <v>#REF!</v>
      </c>
      <c r="K1748" s="670" t="e">
        <f>$K$1661</f>
        <v>#REF!</v>
      </c>
      <c r="L1748" s="670" t="e">
        <f>INT(E1748*K1748)</f>
        <v>#REF!</v>
      </c>
      <c r="M1748" s="670" t="e">
        <f t="shared" si="297"/>
        <v>#REF!</v>
      </c>
      <c r="N1748" s="670" t="e">
        <f t="shared" si="297"/>
        <v>#REF!</v>
      </c>
      <c r="O1748" s="671"/>
      <c r="P1748" s="794" t="s">
        <v>1987</v>
      </c>
      <c r="T1748" s="690"/>
    </row>
    <row r="1749" spans="1:20" s="688" customFormat="1" ht="17.100000000000001" customHeight="1">
      <c r="A1749" s="1316" t="s">
        <v>630</v>
      </c>
      <c r="B1749" s="1317"/>
      <c r="C1749" s="1316" t="s">
        <v>1251</v>
      </c>
      <c r="D1749" s="1317"/>
      <c r="E1749" s="686">
        <v>0.59260000000000002</v>
      </c>
      <c r="F1749" s="676" t="s">
        <v>418</v>
      </c>
      <c r="G1749" s="670" t="e">
        <f>#REF!</f>
        <v>#REF!</v>
      </c>
      <c r="H1749" s="670" t="e">
        <f>INT(E1749*G1749)</f>
        <v>#REF!</v>
      </c>
      <c r="I1749" s="670" t="e">
        <f>#REF!</f>
        <v>#REF!</v>
      </c>
      <c r="J1749" s="670" t="e">
        <f>INT(E1749*I1749)</f>
        <v>#REF!</v>
      </c>
      <c r="K1749" s="670" t="e">
        <f>#REF!</f>
        <v>#REF!</v>
      </c>
      <c r="L1749" s="670" t="e">
        <f>INT(E1749*K1749)</f>
        <v>#REF!</v>
      </c>
      <c r="M1749" s="670" t="e">
        <f t="shared" si="297"/>
        <v>#REF!</v>
      </c>
      <c r="N1749" s="670" t="e">
        <f t="shared" si="297"/>
        <v>#REF!</v>
      </c>
      <c r="O1749" s="671"/>
      <c r="P1749" s="794" t="s">
        <v>1987</v>
      </c>
      <c r="S1749" s="728"/>
      <c r="T1749" s="690"/>
    </row>
    <row r="1750" spans="1:20" s="688" customFormat="1" ht="17.100000000000001" customHeight="1">
      <c r="A1750" s="1318" t="s">
        <v>1320</v>
      </c>
      <c r="B1750" s="1319"/>
      <c r="C1750" s="1316"/>
      <c r="D1750" s="1317"/>
      <c r="E1750" s="686"/>
      <c r="F1750" s="676"/>
      <c r="G1750" s="670"/>
      <c r="H1750" s="670" t="e">
        <f>SUM(H1743:H1749)</f>
        <v>#REF!</v>
      </c>
      <c r="I1750" s="670"/>
      <c r="J1750" s="670" t="e">
        <f>SUM(J1743:J1749)</f>
        <v>#REF!</v>
      </c>
      <c r="K1750" s="670"/>
      <c r="L1750" s="670" t="e">
        <f>SUM(L1743:L1749)</f>
        <v>#REF!</v>
      </c>
      <c r="M1750" s="670"/>
      <c r="N1750" s="670" t="e">
        <f>SUM(N1743:N1749)</f>
        <v>#REF!</v>
      </c>
      <c r="O1750" s="671"/>
      <c r="P1750" s="794" t="s">
        <v>1987</v>
      </c>
      <c r="S1750" s="728"/>
      <c r="T1750" s="690"/>
    </row>
    <row r="1751" spans="1:20" s="688" customFormat="1" ht="17.100000000000001" customHeight="1">
      <c r="A1751" s="668">
        <f>A1742+1</f>
        <v>298</v>
      </c>
      <c r="B1751" s="1320" t="s">
        <v>1979</v>
      </c>
      <c r="C1751" s="1320"/>
      <c r="D1751" s="1320" t="s">
        <v>1971</v>
      </c>
      <c r="E1751" s="1320"/>
      <c r="F1751" s="669" t="s">
        <v>1458</v>
      </c>
      <c r="G1751" s="698"/>
      <c r="H1751" s="698"/>
      <c r="I1751" s="698"/>
      <c r="J1751" s="698"/>
      <c r="K1751" s="670"/>
      <c r="L1751" s="670"/>
      <c r="M1751" s="670"/>
      <c r="N1751" s="698"/>
      <c r="O1751" s="699"/>
      <c r="P1751" s="794" t="s">
        <v>1987</v>
      </c>
      <c r="S1751" s="728"/>
      <c r="T1751" s="690"/>
    </row>
    <row r="1752" spans="1:20" s="688" customFormat="1" ht="17.100000000000001" customHeight="1">
      <c r="A1752" s="1316" t="s">
        <v>1981</v>
      </c>
      <c r="B1752" s="1317"/>
      <c r="C1752" s="1316" t="s">
        <v>1982</v>
      </c>
      <c r="D1752" s="1317"/>
      <c r="E1752" s="683">
        <v>25.6</v>
      </c>
      <c r="F1752" s="676" t="s">
        <v>850</v>
      </c>
      <c r="G1752" s="670" t="e">
        <f>#REF!</f>
        <v>#REF!</v>
      </c>
      <c r="H1752" s="670" t="e">
        <f>INT(E1752*G1752)</f>
        <v>#REF!</v>
      </c>
      <c r="I1752" s="670"/>
      <c r="J1752" s="670"/>
      <c r="K1752" s="670"/>
      <c r="L1752" s="670"/>
      <c r="M1752" s="670" t="e">
        <f t="shared" ref="M1752:N1758" si="298">G1752+I1752+K1752</f>
        <v>#REF!</v>
      </c>
      <c r="N1752" s="670" t="e">
        <f t="shared" si="298"/>
        <v>#REF!</v>
      </c>
      <c r="O1752" s="671"/>
      <c r="P1752" s="794" t="s">
        <v>1987</v>
      </c>
      <c r="S1752" s="728"/>
      <c r="T1752" s="690"/>
    </row>
    <row r="1753" spans="1:20" s="688" customFormat="1" ht="17.100000000000001" customHeight="1">
      <c r="A1753" s="1316" t="s">
        <v>1068</v>
      </c>
      <c r="B1753" s="1317"/>
      <c r="C1753" s="1316"/>
      <c r="D1753" s="1317"/>
      <c r="E1753" s="683">
        <v>2</v>
      </c>
      <c r="F1753" s="676" t="s">
        <v>915</v>
      </c>
      <c r="G1753" s="670" t="e">
        <f>#REF!*1000</f>
        <v>#REF!</v>
      </c>
      <c r="H1753" s="670" t="e">
        <f>INT(E1753*G1753)</f>
        <v>#REF!</v>
      </c>
      <c r="I1753" s="670"/>
      <c r="J1753" s="670"/>
      <c r="K1753" s="670"/>
      <c r="L1753" s="670"/>
      <c r="M1753" s="670" t="e">
        <f t="shared" si="298"/>
        <v>#REF!</v>
      </c>
      <c r="N1753" s="670" t="e">
        <f t="shared" si="298"/>
        <v>#REF!</v>
      </c>
      <c r="O1753" s="671"/>
      <c r="P1753" s="794" t="s">
        <v>1987</v>
      </c>
      <c r="S1753" s="728"/>
      <c r="T1753" s="690"/>
    </row>
    <row r="1754" spans="1:20" s="688" customFormat="1" ht="17.100000000000001" customHeight="1">
      <c r="A1754" s="1316" t="s">
        <v>1970</v>
      </c>
      <c r="B1754" s="1317"/>
      <c r="C1754" s="1316"/>
      <c r="D1754" s="1317"/>
      <c r="E1754" s="686">
        <v>0.2</v>
      </c>
      <c r="F1754" s="676" t="s">
        <v>366</v>
      </c>
      <c r="G1754" s="670"/>
      <c r="H1754" s="670"/>
      <c r="I1754" s="670">
        <f>[53]노임단가!$T$21</f>
        <v>221015</v>
      </c>
      <c r="J1754" s="670">
        <f>INT(E1754*I1754)</f>
        <v>44203</v>
      </c>
      <c r="K1754" s="670"/>
      <c r="L1754" s="670"/>
      <c r="M1754" s="670">
        <f t="shared" si="298"/>
        <v>221015</v>
      </c>
      <c r="N1754" s="670">
        <f t="shared" si="298"/>
        <v>44203</v>
      </c>
      <c r="O1754" s="671"/>
      <c r="P1754" s="794" t="s">
        <v>1987</v>
      </c>
      <c r="S1754" s="728"/>
      <c r="T1754" s="690"/>
    </row>
    <row r="1755" spans="1:20" s="688" customFormat="1" ht="17.100000000000001" customHeight="1">
      <c r="A1755" s="1316" t="s">
        <v>248</v>
      </c>
      <c r="B1755" s="1317"/>
      <c r="C1755" s="1316"/>
      <c r="D1755" s="1317"/>
      <c r="E1755" s="686">
        <v>0.1</v>
      </c>
      <c r="F1755" s="676" t="s">
        <v>366</v>
      </c>
      <c r="G1755" s="670"/>
      <c r="H1755" s="670"/>
      <c r="I1755" s="670">
        <f>[53]노임단가!$T$5</f>
        <v>172068</v>
      </c>
      <c r="J1755" s="670">
        <f>INT(E1755*I1755)</f>
        <v>17206</v>
      </c>
      <c r="K1755" s="670"/>
      <c r="L1755" s="670"/>
      <c r="M1755" s="670">
        <f t="shared" si="298"/>
        <v>172068</v>
      </c>
      <c r="N1755" s="670">
        <f t="shared" si="298"/>
        <v>17206</v>
      </c>
      <c r="O1755" s="671"/>
      <c r="P1755" s="794" t="s">
        <v>1987</v>
      </c>
      <c r="Q1755" s="687"/>
    </row>
    <row r="1756" spans="1:20" s="688" customFormat="1" ht="17.100000000000001" customHeight="1">
      <c r="A1756" s="1316" t="s">
        <v>409</v>
      </c>
      <c r="B1756" s="1317"/>
      <c r="C1756" s="1316" t="s">
        <v>401</v>
      </c>
      <c r="D1756" s="1317"/>
      <c r="E1756" s="686">
        <v>0.8</v>
      </c>
      <c r="F1756" s="676" t="s">
        <v>418</v>
      </c>
      <c r="G1756" s="670" t="e">
        <f>$G$1669</f>
        <v>#REF!</v>
      </c>
      <c r="H1756" s="670" t="e">
        <f>INT(E1756*G1756)</f>
        <v>#REF!</v>
      </c>
      <c r="I1756" s="670" t="e">
        <f>$I$1669</f>
        <v>#REF!</v>
      </c>
      <c r="J1756" s="670" t="e">
        <f>INT(E1756*I1756)</f>
        <v>#REF!</v>
      </c>
      <c r="K1756" s="670" t="e">
        <f>$K$1669</f>
        <v>#REF!</v>
      </c>
      <c r="L1756" s="670" t="e">
        <f>INT(E1756*K1756)</f>
        <v>#REF!</v>
      </c>
      <c r="M1756" s="670" t="e">
        <f t="shared" si="298"/>
        <v>#REF!</v>
      </c>
      <c r="N1756" s="670" t="e">
        <f t="shared" si="298"/>
        <v>#REF!</v>
      </c>
      <c r="O1756" s="671"/>
      <c r="P1756" s="794" t="s">
        <v>1987</v>
      </c>
    </row>
    <row r="1757" spans="1:20" s="688" customFormat="1" ht="17.100000000000001" customHeight="1">
      <c r="A1757" s="1316" t="s">
        <v>1183</v>
      </c>
      <c r="B1757" s="1317"/>
      <c r="C1757" s="1316" t="s">
        <v>1100</v>
      </c>
      <c r="D1757" s="1317"/>
      <c r="E1757" s="686">
        <v>0.8</v>
      </c>
      <c r="F1757" s="676" t="s">
        <v>418</v>
      </c>
      <c r="G1757" s="670" t="e">
        <f>$G$1670</f>
        <v>#REF!</v>
      </c>
      <c r="H1757" s="670" t="e">
        <f>INT(E1757*G1757)</f>
        <v>#REF!</v>
      </c>
      <c r="I1757" s="670" t="e">
        <f>$I$1670</f>
        <v>#REF!</v>
      </c>
      <c r="J1757" s="670" t="e">
        <f>INT(E1757*I1757)</f>
        <v>#REF!</v>
      </c>
      <c r="K1757" s="670" t="e">
        <f>$K$1670</f>
        <v>#REF!</v>
      </c>
      <c r="L1757" s="670" t="e">
        <f>INT(E1757*K1757)</f>
        <v>#REF!</v>
      </c>
      <c r="M1757" s="670" t="e">
        <f t="shared" si="298"/>
        <v>#REF!</v>
      </c>
      <c r="N1757" s="670" t="e">
        <f t="shared" si="298"/>
        <v>#REF!</v>
      </c>
      <c r="O1757" s="671"/>
      <c r="P1757" s="672" t="s">
        <v>1944</v>
      </c>
      <c r="Q1757" s="687" t="s">
        <v>1446</v>
      </c>
      <c r="R1757" s="688" t="s">
        <v>1876</v>
      </c>
      <c r="S1757" s="688" t="s">
        <v>1425</v>
      </c>
      <c r="T1757" s="688" t="s">
        <v>1426</v>
      </c>
    </row>
    <row r="1758" spans="1:20" s="688" customFormat="1" ht="17.100000000000001" customHeight="1">
      <c r="A1758" s="1316" t="s">
        <v>630</v>
      </c>
      <c r="B1758" s="1317"/>
      <c r="C1758" s="1316" t="s">
        <v>1395</v>
      </c>
      <c r="D1758" s="1317"/>
      <c r="E1758" s="686">
        <v>0.4</v>
      </c>
      <c r="F1758" s="676" t="s">
        <v>418</v>
      </c>
      <c r="G1758" s="670" t="e">
        <f>#REF!</f>
        <v>#REF!</v>
      </c>
      <c r="H1758" s="670" t="e">
        <f>INT(E1758*G1758)</f>
        <v>#REF!</v>
      </c>
      <c r="I1758" s="670" t="e">
        <f>#REF!</f>
        <v>#REF!</v>
      </c>
      <c r="J1758" s="670" t="e">
        <f>INT(E1758*I1758)</f>
        <v>#REF!</v>
      </c>
      <c r="K1758" s="670" t="e">
        <f>#REF!</f>
        <v>#REF!</v>
      </c>
      <c r="L1758" s="670" t="e">
        <f>INT(E1758*K1758)</f>
        <v>#REF!</v>
      </c>
      <c r="M1758" s="670" t="e">
        <f t="shared" si="298"/>
        <v>#REF!</v>
      </c>
      <c r="N1758" s="670" t="e">
        <f t="shared" si="298"/>
        <v>#REF!</v>
      </c>
      <c r="O1758" s="671"/>
      <c r="P1758" s="672" t="s">
        <v>1989</v>
      </c>
      <c r="Q1758" s="688">
        <v>320</v>
      </c>
      <c r="R1758" s="688">
        <f>(Q1758)</f>
        <v>320</v>
      </c>
      <c r="S1758" s="688">
        <v>0</v>
      </c>
      <c r="T1758" s="690"/>
    </row>
    <row r="1759" spans="1:20" s="688" customFormat="1" ht="17.100000000000001" customHeight="1">
      <c r="A1759" s="1318" t="s">
        <v>1320</v>
      </c>
      <c r="B1759" s="1319"/>
      <c r="C1759" s="1316"/>
      <c r="D1759" s="1317"/>
      <c r="E1759" s="686"/>
      <c r="F1759" s="676"/>
      <c r="G1759" s="670"/>
      <c r="H1759" s="670" t="e">
        <f>SUM(H1752:H1758)</f>
        <v>#REF!</v>
      </c>
      <c r="I1759" s="670"/>
      <c r="J1759" s="670" t="e">
        <f>SUM(J1752:J1758)</f>
        <v>#REF!</v>
      </c>
      <c r="K1759" s="670"/>
      <c r="L1759" s="670" t="e">
        <f>SUM(L1752:L1758)</f>
        <v>#REF!</v>
      </c>
      <c r="M1759" s="670"/>
      <c r="N1759" s="670" t="e">
        <f>SUM(N1752:N1758)</f>
        <v>#REF!</v>
      </c>
      <c r="O1759" s="671"/>
      <c r="P1759" s="794"/>
      <c r="Q1759" s="688">
        <f t="shared" ref="Q1759:R1765" si="299">Q1758</f>
        <v>320</v>
      </c>
      <c r="R1759" s="688">
        <f t="shared" si="299"/>
        <v>320</v>
      </c>
      <c r="S1759" s="688">
        <v>0</v>
      </c>
      <c r="T1759" s="690">
        <f t="shared" ref="T1759:T1765" si="300">ROUND(S1759/R1759,4)</f>
        <v>0</v>
      </c>
    </row>
    <row r="1760" spans="1:20" s="688" customFormat="1" ht="17.100000000000001" customHeight="1">
      <c r="A1760" s="668">
        <f>A1751+1</f>
        <v>299</v>
      </c>
      <c r="B1760" s="1320" t="s">
        <v>1979</v>
      </c>
      <c r="C1760" s="1320"/>
      <c r="D1760" s="1320" t="s">
        <v>1972</v>
      </c>
      <c r="E1760" s="1320"/>
      <c r="F1760" s="669" t="s">
        <v>1458</v>
      </c>
      <c r="G1760" s="698"/>
      <c r="H1760" s="698"/>
      <c r="I1760" s="698"/>
      <c r="J1760" s="698"/>
      <c r="K1760" s="670"/>
      <c r="L1760" s="670"/>
      <c r="M1760" s="670"/>
      <c r="N1760" s="698"/>
      <c r="O1760" s="699"/>
      <c r="P1760" s="794"/>
      <c r="Q1760" s="688">
        <f t="shared" si="299"/>
        <v>320</v>
      </c>
      <c r="R1760" s="688">
        <f t="shared" si="299"/>
        <v>320</v>
      </c>
      <c r="S1760" s="688">
        <v>2</v>
      </c>
      <c r="T1760" s="690">
        <f t="shared" si="300"/>
        <v>6.3E-3</v>
      </c>
    </row>
    <row r="1761" spans="1:20" s="688" customFormat="1" ht="17.100000000000001" customHeight="1">
      <c r="A1761" s="1316" t="s">
        <v>1981</v>
      </c>
      <c r="B1761" s="1317"/>
      <c r="C1761" s="1316" t="s">
        <v>1982</v>
      </c>
      <c r="D1761" s="1317"/>
      <c r="E1761" s="683">
        <v>25.6</v>
      </c>
      <c r="F1761" s="676" t="s">
        <v>850</v>
      </c>
      <c r="G1761" s="670" t="e">
        <f>#REF!</f>
        <v>#REF!</v>
      </c>
      <c r="H1761" s="670" t="e">
        <f>INT(E1761*G1761)</f>
        <v>#REF!</v>
      </c>
      <c r="I1761" s="670"/>
      <c r="J1761" s="795">
        <f>100*0.2*1.04*1.6/1.3</f>
        <v>25.6</v>
      </c>
      <c r="K1761" s="670"/>
      <c r="L1761" s="670"/>
      <c r="M1761" s="670" t="e">
        <f t="shared" ref="M1761:N1766" si="301">G1761+I1761+K1761</f>
        <v>#REF!</v>
      </c>
      <c r="N1761" s="670" t="e">
        <f t="shared" si="301"/>
        <v>#REF!</v>
      </c>
      <c r="O1761" s="671"/>
      <c r="P1761" s="794"/>
      <c r="Q1761" s="688">
        <f t="shared" si="299"/>
        <v>320</v>
      </c>
      <c r="R1761" s="688">
        <f t="shared" si="299"/>
        <v>320</v>
      </c>
      <c r="S1761" s="688">
        <v>1</v>
      </c>
      <c r="T1761" s="690">
        <f t="shared" si="300"/>
        <v>3.0999999999999999E-3</v>
      </c>
    </row>
    <row r="1762" spans="1:20" s="688" customFormat="1" ht="17.100000000000001" customHeight="1">
      <c r="A1762" s="1316" t="s">
        <v>1068</v>
      </c>
      <c r="B1762" s="1317"/>
      <c r="C1762" s="1316"/>
      <c r="D1762" s="1317"/>
      <c r="E1762" s="683">
        <v>2</v>
      </c>
      <c r="F1762" s="676" t="s">
        <v>915</v>
      </c>
      <c r="G1762" s="670" t="e">
        <f>#REF!*1000</f>
        <v>#REF!</v>
      </c>
      <c r="H1762" s="670" t="e">
        <f>INT(E1762*G1762)</f>
        <v>#REF!</v>
      </c>
      <c r="I1762" s="670"/>
      <c r="J1762" s="670"/>
      <c r="K1762" s="670"/>
      <c r="L1762" s="670"/>
      <c r="M1762" s="670" t="e">
        <f t="shared" si="301"/>
        <v>#REF!</v>
      </c>
      <c r="N1762" s="670" t="e">
        <f t="shared" si="301"/>
        <v>#REF!</v>
      </c>
      <c r="O1762" s="671"/>
      <c r="P1762" s="794"/>
      <c r="Q1762" s="688">
        <f t="shared" si="299"/>
        <v>320</v>
      </c>
      <c r="R1762" s="688">
        <f t="shared" si="299"/>
        <v>320</v>
      </c>
      <c r="S1762" s="688">
        <v>8</v>
      </c>
      <c r="T1762" s="690">
        <f t="shared" si="300"/>
        <v>2.5000000000000001E-2</v>
      </c>
    </row>
    <row r="1763" spans="1:20" s="688" customFormat="1" ht="17.100000000000001" customHeight="1">
      <c r="A1763" s="1316" t="s">
        <v>1970</v>
      </c>
      <c r="B1763" s="1317"/>
      <c r="C1763" s="1316"/>
      <c r="D1763" s="1317"/>
      <c r="E1763" s="686">
        <v>0.08</v>
      </c>
      <c r="F1763" s="676" t="s">
        <v>366</v>
      </c>
      <c r="G1763" s="670"/>
      <c r="H1763" s="670"/>
      <c r="I1763" s="670">
        <f>[53]노임단가!$T$21</f>
        <v>221015</v>
      </c>
      <c r="J1763" s="670">
        <f>INT(E1763*I1763)</f>
        <v>17681</v>
      </c>
      <c r="K1763" s="670"/>
      <c r="L1763" s="670"/>
      <c r="M1763" s="670">
        <f t="shared" si="301"/>
        <v>221015</v>
      </c>
      <c r="N1763" s="670">
        <f t="shared" si="301"/>
        <v>17681</v>
      </c>
      <c r="O1763" s="671"/>
      <c r="P1763" s="794"/>
      <c r="Q1763" s="688">
        <f t="shared" si="299"/>
        <v>320</v>
      </c>
      <c r="R1763" s="688">
        <f t="shared" si="299"/>
        <v>320</v>
      </c>
      <c r="S1763" s="688">
        <v>8</v>
      </c>
      <c r="T1763" s="690">
        <f t="shared" si="300"/>
        <v>2.5000000000000001E-2</v>
      </c>
    </row>
    <row r="1764" spans="1:20" s="688" customFormat="1" ht="17.100000000000001" customHeight="1">
      <c r="A1764" s="1316" t="s">
        <v>1973</v>
      </c>
      <c r="B1764" s="1317"/>
      <c r="C1764" s="1316" t="s">
        <v>1150</v>
      </c>
      <c r="D1764" s="1317"/>
      <c r="E1764" s="683">
        <v>0.32</v>
      </c>
      <c r="F1764" s="676" t="s">
        <v>418</v>
      </c>
      <c r="G1764" s="670" t="e">
        <f>$G$1677</f>
        <v>#REF!</v>
      </c>
      <c r="H1764" s="670" t="e">
        <f>INT(E1764*G1764)</f>
        <v>#REF!</v>
      </c>
      <c r="I1764" s="670" t="e">
        <f>$I$1677</f>
        <v>#REF!</v>
      </c>
      <c r="J1764" s="670" t="e">
        <f>INT(E1764*I1764)</f>
        <v>#REF!</v>
      </c>
      <c r="K1764" s="670" t="e">
        <f>$K$1677</f>
        <v>#REF!</v>
      </c>
      <c r="L1764" s="670" t="e">
        <f>INT(E1764*K1764)</f>
        <v>#REF!</v>
      </c>
      <c r="M1764" s="670" t="e">
        <f t="shared" si="301"/>
        <v>#REF!</v>
      </c>
      <c r="N1764" s="670" t="e">
        <f t="shared" si="301"/>
        <v>#REF!</v>
      </c>
      <c r="O1764" s="671"/>
      <c r="P1764" s="794"/>
      <c r="Q1764" s="688">
        <f t="shared" si="299"/>
        <v>320</v>
      </c>
      <c r="R1764" s="688">
        <f t="shared" si="299"/>
        <v>320</v>
      </c>
      <c r="S1764" s="688">
        <v>8</v>
      </c>
      <c r="T1764" s="690">
        <f t="shared" si="300"/>
        <v>2.5000000000000001E-2</v>
      </c>
    </row>
    <row r="1765" spans="1:20" s="688" customFormat="1" ht="17.100000000000001" customHeight="1">
      <c r="A1765" s="1316" t="s">
        <v>1183</v>
      </c>
      <c r="B1765" s="1317"/>
      <c r="C1765" s="1316" t="s">
        <v>1100</v>
      </c>
      <c r="D1765" s="1317"/>
      <c r="E1765" s="683">
        <v>0.32</v>
      </c>
      <c r="F1765" s="676" t="s">
        <v>418</v>
      </c>
      <c r="G1765" s="670" t="e">
        <f>$G$1670</f>
        <v>#REF!</v>
      </c>
      <c r="H1765" s="670" t="e">
        <f>INT(E1765*G1765)</f>
        <v>#REF!</v>
      </c>
      <c r="I1765" s="670" t="e">
        <f>$I$1670</f>
        <v>#REF!</v>
      </c>
      <c r="J1765" s="670" t="e">
        <f>INT(E1765*I1765)</f>
        <v>#REF!</v>
      </c>
      <c r="K1765" s="670" t="e">
        <f>$K$1670</f>
        <v>#REF!</v>
      </c>
      <c r="L1765" s="670" t="e">
        <f>INT(E1765*K1765)</f>
        <v>#REF!</v>
      </c>
      <c r="M1765" s="670" t="e">
        <f t="shared" si="301"/>
        <v>#REF!</v>
      </c>
      <c r="N1765" s="670" t="e">
        <f t="shared" si="301"/>
        <v>#REF!</v>
      </c>
      <c r="O1765" s="671"/>
      <c r="P1765" s="794"/>
      <c r="Q1765" s="688">
        <f t="shared" si="299"/>
        <v>320</v>
      </c>
      <c r="R1765" s="688">
        <f t="shared" si="299"/>
        <v>320</v>
      </c>
      <c r="S1765" s="688">
        <v>4</v>
      </c>
      <c r="T1765" s="690">
        <f t="shared" si="300"/>
        <v>1.2500000000000001E-2</v>
      </c>
    </row>
    <row r="1766" spans="1:20" s="688" customFormat="1" ht="17.100000000000001" customHeight="1">
      <c r="A1766" s="1316" t="s">
        <v>630</v>
      </c>
      <c r="B1766" s="1317"/>
      <c r="C1766" s="1316" t="s">
        <v>1395</v>
      </c>
      <c r="D1766" s="1317"/>
      <c r="E1766" s="683">
        <v>0.16</v>
      </c>
      <c r="F1766" s="676" t="s">
        <v>418</v>
      </c>
      <c r="G1766" s="670" t="e">
        <f>#REF!</f>
        <v>#REF!</v>
      </c>
      <c r="H1766" s="670" t="e">
        <f>INT(E1766*G1766)</f>
        <v>#REF!</v>
      </c>
      <c r="I1766" s="670" t="e">
        <f>#REF!</f>
        <v>#REF!</v>
      </c>
      <c r="J1766" s="670" t="e">
        <f>INT(E1766*I1766)</f>
        <v>#REF!</v>
      </c>
      <c r="K1766" s="670" t="e">
        <f>#REF!</f>
        <v>#REF!</v>
      </c>
      <c r="L1766" s="670" t="e">
        <f>INT(E1766*K1766)</f>
        <v>#REF!</v>
      </c>
      <c r="M1766" s="670" t="e">
        <f t="shared" si="301"/>
        <v>#REF!</v>
      </c>
      <c r="N1766" s="670" t="e">
        <f t="shared" si="301"/>
        <v>#REF!</v>
      </c>
      <c r="O1766" s="671"/>
      <c r="P1766" s="794"/>
    </row>
    <row r="1767" spans="1:20" s="688" customFormat="1" ht="17.100000000000001" customHeight="1">
      <c r="A1767" s="1318" t="s">
        <v>1320</v>
      </c>
      <c r="B1767" s="1319"/>
      <c r="C1767" s="1316"/>
      <c r="D1767" s="1317"/>
      <c r="E1767" s="686"/>
      <c r="F1767" s="676"/>
      <c r="G1767" s="670"/>
      <c r="H1767" s="670" t="e">
        <f>SUM(H1761:H1766)</f>
        <v>#REF!</v>
      </c>
      <c r="I1767" s="670"/>
      <c r="J1767" s="670" t="e">
        <f>SUM(J1761:J1766)</f>
        <v>#REF!</v>
      </c>
      <c r="K1767" s="670"/>
      <c r="L1767" s="670" t="e">
        <f>SUM(L1761:L1766)</f>
        <v>#REF!</v>
      </c>
      <c r="M1767" s="670"/>
      <c r="N1767" s="670" t="e">
        <f>SUM(N1761:N1766)</f>
        <v>#REF!</v>
      </c>
      <c r="O1767" s="671"/>
      <c r="P1767" s="672" t="s">
        <v>1944</v>
      </c>
      <c r="Q1767" s="687" t="s">
        <v>1446</v>
      </c>
      <c r="R1767" s="688" t="s">
        <v>1447</v>
      </c>
      <c r="S1767" s="688" t="s">
        <v>1425</v>
      </c>
      <c r="T1767" s="688" t="s">
        <v>1426</v>
      </c>
    </row>
    <row r="1768" spans="1:20" s="688" customFormat="1" ht="17.100000000000001" customHeight="1">
      <c r="A1768" s="668">
        <f>A1760+1</f>
        <v>300</v>
      </c>
      <c r="B1768" s="1320" t="s">
        <v>1990</v>
      </c>
      <c r="C1768" s="1320"/>
      <c r="D1768" s="1320" t="s">
        <v>1853</v>
      </c>
      <c r="E1768" s="1320"/>
      <c r="F1768" s="669" t="s">
        <v>1458</v>
      </c>
      <c r="G1768" s="698"/>
      <c r="H1768" s="698"/>
      <c r="I1768" s="698"/>
      <c r="J1768" s="698"/>
      <c r="K1768" s="670"/>
      <c r="L1768" s="670"/>
      <c r="M1768" s="670"/>
      <c r="N1768" s="698"/>
      <c r="O1768" s="699"/>
      <c r="P1768" s="672" t="s">
        <v>1991</v>
      </c>
      <c r="Q1768" s="688">
        <v>1750</v>
      </c>
      <c r="R1768" s="688">
        <f>(Q1768)/100</f>
        <v>17.5</v>
      </c>
      <c r="S1768" s="688">
        <v>0</v>
      </c>
      <c r="T1768" s="690"/>
    </row>
    <row r="1769" spans="1:20" s="688" customFormat="1" ht="17.100000000000001" customHeight="1">
      <c r="A1769" s="1367" t="s">
        <v>1992</v>
      </c>
      <c r="B1769" s="1327"/>
      <c r="C1769" s="1367" t="s">
        <v>1993</v>
      </c>
      <c r="D1769" s="1327"/>
      <c r="E1769" s="796">
        <v>75</v>
      </c>
      <c r="F1769" s="749" t="s">
        <v>801</v>
      </c>
      <c r="G1769" s="750" t="e">
        <f>#REF!</f>
        <v>#REF!</v>
      </c>
      <c r="H1769" s="750" t="e">
        <f>INT(E1769*G1769)</f>
        <v>#REF!</v>
      </c>
      <c r="I1769" s="750"/>
      <c r="J1769" s="750"/>
      <c r="K1769" s="750">
        <f>[53]운반공!$BI$584</f>
        <v>45</v>
      </c>
      <c r="L1769" s="750">
        <f>INT(E1769*K1769)</f>
        <v>3375</v>
      </c>
      <c r="M1769" s="750" t="e">
        <f t="shared" ref="M1769:N1771" si="302">G1769+I1769+K1769</f>
        <v>#REF!</v>
      </c>
      <c r="N1769" s="750" t="e">
        <f t="shared" si="302"/>
        <v>#REF!</v>
      </c>
      <c r="O1769" s="751" t="s">
        <v>1994</v>
      </c>
      <c r="P1769" s="672"/>
      <c r="Q1769" s="688">
        <f t="shared" ref="Q1769:R1773" si="303">Q1768</f>
        <v>1750</v>
      </c>
      <c r="R1769" s="688">
        <f t="shared" si="303"/>
        <v>17.5</v>
      </c>
      <c r="S1769" s="688">
        <v>0</v>
      </c>
      <c r="T1769" s="690">
        <f t="shared" ref="T1769:T1777" si="304">ROUND(S1769/R1769,4)</f>
        <v>0</v>
      </c>
    </row>
    <row r="1770" spans="1:20" s="688" customFormat="1" ht="17.100000000000001" customHeight="1">
      <c r="A1770" s="1316" t="s">
        <v>248</v>
      </c>
      <c r="B1770" s="1317"/>
      <c r="C1770" s="1316"/>
      <c r="D1770" s="1317"/>
      <c r="E1770" s="701">
        <v>2.5000000000000001E-2</v>
      </c>
      <c r="F1770" s="676" t="s">
        <v>366</v>
      </c>
      <c r="G1770" s="670"/>
      <c r="H1770" s="670"/>
      <c r="I1770" s="670">
        <f>[53]노임단가!$T$5</f>
        <v>172068</v>
      </c>
      <c r="J1770" s="670">
        <f>INT(E1770*I1770)</f>
        <v>4301</v>
      </c>
      <c r="K1770" s="670"/>
      <c r="L1770" s="670"/>
      <c r="M1770" s="670">
        <f t="shared" si="302"/>
        <v>172068</v>
      </c>
      <c r="N1770" s="670">
        <f t="shared" si="302"/>
        <v>4301</v>
      </c>
      <c r="O1770" s="671"/>
      <c r="P1770" s="672"/>
      <c r="Q1770" s="688">
        <f t="shared" si="303"/>
        <v>1750</v>
      </c>
      <c r="R1770" s="688">
        <f t="shared" si="303"/>
        <v>17.5</v>
      </c>
      <c r="S1770" s="688">
        <v>3</v>
      </c>
      <c r="T1770" s="690">
        <f t="shared" si="304"/>
        <v>0.1714</v>
      </c>
    </row>
    <row r="1771" spans="1:20" s="688" customFormat="1" ht="17.100000000000001" customHeight="1">
      <c r="A1771" s="1316" t="s">
        <v>1217</v>
      </c>
      <c r="B1771" s="1317"/>
      <c r="C1771" s="1316" t="s">
        <v>1995</v>
      </c>
      <c r="D1771" s="1317"/>
      <c r="E1771" s="683">
        <v>0.1</v>
      </c>
      <c r="F1771" s="676" t="s">
        <v>418</v>
      </c>
      <c r="G1771" s="670" t="e">
        <f>#REF!</f>
        <v>#REF!</v>
      </c>
      <c r="H1771" s="670" t="e">
        <f>INT(E1771*G1771)</f>
        <v>#REF!</v>
      </c>
      <c r="I1771" s="670" t="e">
        <f>#REF!</f>
        <v>#REF!</v>
      </c>
      <c r="J1771" s="670" t="e">
        <f>INT(E1771*I1771)</f>
        <v>#REF!</v>
      </c>
      <c r="K1771" s="670" t="e">
        <f>#REF!</f>
        <v>#REF!</v>
      </c>
      <c r="L1771" s="670" t="e">
        <f>INT(E1771*K1771)</f>
        <v>#REF!</v>
      </c>
      <c r="M1771" s="670" t="e">
        <f t="shared" si="302"/>
        <v>#REF!</v>
      </c>
      <c r="N1771" s="670" t="e">
        <f t="shared" si="302"/>
        <v>#REF!</v>
      </c>
      <c r="O1771" s="671"/>
      <c r="P1771" s="672"/>
      <c r="Q1771" s="688">
        <f t="shared" si="303"/>
        <v>1750</v>
      </c>
      <c r="R1771" s="688">
        <f t="shared" si="303"/>
        <v>17.5</v>
      </c>
      <c r="S1771" s="688">
        <v>1</v>
      </c>
      <c r="T1771" s="690">
        <f t="shared" si="304"/>
        <v>5.7099999999999998E-2</v>
      </c>
    </row>
    <row r="1772" spans="1:20" s="688" customFormat="1" ht="17.100000000000001" customHeight="1">
      <c r="A1772" s="1318" t="s">
        <v>1320</v>
      </c>
      <c r="B1772" s="1319"/>
      <c r="C1772" s="1316"/>
      <c r="D1772" s="1317"/>
      <c r="E1772" s="686"/>
      <c r="F1772" s="676"/>
      <c r="G1772" s="670"/>
      <c r="H1772" s="670" t="e">
        <f>SUM(H1769:H1771)</f>
        <v>#REF!</v>
      </c>
      <c r="I1772" s="670"/>
      <c r="J1772" s="670" t="e">
        <f>SUM(J1769:J1771)</f>
        <v>#REF!</v>
      </c>
      <c r="K1772" s="670"/>
      <c r="L1772" s="670" t="e">
        <f>SUM(L1769:L1771)</f>
        <v>#REF!</v>
      </c>
      <c r="M1772" s="670"/>
      <c r="N1772" s="670" t="e">
        <f>SUM(N1769:N1771)</f>
        <v>#REF!</v>
      </c>
      <c r="O1772" s="671"/>
      <c r="P1772" s="672"/>
      <c r="Q1772" s="688">
        <f t="shared" si="303"/>
        <v>1750</v>
      </c>
      <c r="R1772" s="688">
        <f t="shared" si="303"/>
        <v>17.5</v>
      </c>
      <c r="S1772" s="688">
        <v>8</v>
      </c>
      <c r="T1772" s="690">
        <f t="shared" si="304"/>
        <v>0.45710000000000001</v>
      </c>
    </row>
    <row r="1773" spans="1:20" s="688" customFormat="1" ht="17.100000000000001" customHeight="1">
      <c r="A1773" s="668">
        <f>A1768+1</f>
        <v>301</v>
      </c>
      <c r="B1773" s="1320" t="s">
        <v>1990</v>
      </c>
      <c r="C1773" s="1320"/>
      <c r="D1773" s="1320" t="s">
        <v>1996</v>
      </c>
      <c r="E1773" s="1320"/>
      <c r="F1773" s="669" t="s">
        <v>1458</v>
      </c>
      <c r="G1773" s="698"/>
      <c r="H1773" s="698"/>
      <c r="I1773" s="698"/>
      <c r="J1773" s="698"/>
      <c r="K1773" s="670"/>
      <c r="L1773" s="670"/>
      <c r="M1773" s="670"/>
      <c r="N1773" s="698"/>
      <c r="O1773" s="699"/>
      <c r="P1773" s="672"/>
      <c r="Q1773" s="688">
        <f t="shared" si="303"/>
        <v>1750</v>
      </c>
      <c r="R1773" s="688">
        <f t="shared" si="303"/>
        <v>17.5</v>
      </c>
      <c r="S1773" s="688">
        <v>8</v>
      </c>
      <c r="T1773" s="690">
        <f t="shared" si="304"/>
        <v>0.45710000000000001</v>
      </c>
    </row>
    <row r="1774" spans="1:20" s="688" customFormat="1" ht="17.100000000000001" customHeight="1">
      <c r="A1774" s="1367" t="s">
        <v>1992</v>
      </c>
      <c r="B1774" s="1327"/>
      <c r="C1774" s="1367" t="s">
        <v>1993</v>
      </c>
      <c r="D1774" s="1327"/>
      <c r="E1774" s="796">
        <v>75</v>
      </c>
      <c r="F1774" s="749" t="s">
        <v>801</v>
      </c>
      <c r="G1774" s="750" t="e">
        <f>#REF!</f>
        <v>#REF!</v>
      </c>
      <c r="H1774" s="750" t="e">
        <f>INT(E1774*G1774)</f>
        <v>#REF!</v>
      </c>
      <c r="I1774" s="750"/>
      <c r="J1774" s="750"/>
      <c r="K1774" s="750">
        <f>[53]운반공!$BI$584</f>
        <v>45</v>
      </c>
      <c r="L1774" s="750">
        <f>INT(E1774*K1774)</f>
        <v>3375</v>
      </c>
      <c r="M1774" s="750" t="e">
        <f t="shared" ref="M1774:N1776" si="305">G1774+I1774+K1774</f>
        <v>#REF!</v>
      </c>
      <c r="N1774" s="750" t="e">
        <f t="shared" si="305"/>
        <v>#REF!</v>
      </c>
      <c r="O1774" s="751" t="s">
        <v>1994</v>
      </c>
      <c r="P1774" s="672"/>
      <c r="Q1774" s="688">
        <f>Q1773</f>
        <v>1750</v>
      </c>
      <c r="R1774" s="688">
        <f>R1773</f>
        <v>17.5</v>
      </c>
      <c r="S1774" s="688">
        <v>8</v>
      </c>
      <c r="T1774" s="690">
        <f t="shared" si="304"/>
        <v>0.45710000000000001</v>
      </c>
    </row>
    <row r="1775" spans="1:20" s="688" customFormat="1" ht="17.100000000000001" customHeight="1">
      <c r="A1775" s="1316" t="s">
        <v>248</v>
      </c>
      <c r="B1775" s="1317"/>
      <c r="C1775" s="1316"/>
      <c r="D1775" s="1317"/>
      <c r="E1775" s="701">
        <v>5.0000000000000001E-3</v>
      </c>
      <c r="F1775" s="676" t="s">
        <v>366</v>
      </c>
      <c r="G1775" s="670"/>
      <c r="H1775" s="670"/>
      <c r="I1775" s="670">
        <f>[53]노임단가!$T$5</f>
        <v>172068</v>
      </c>
      <c r="J1775" s="670">
        <f>INT(E1775*I1775)</f>
        <v>860</v>
      </c>
      <c r="K1775" s="670"/>
      <c r="L1775" s="670"/>
      <c r="M1775" s="670">
        <f t="shared" si="305"/>
        <v>172068</v>
      </c>
      <c r="N1775" s="670">
        <f t="shared" si="305"/>
        <v>860</v>
      </c>
      <c r="O1775" s="671"/>
      <c r="P1775" s="672"/>
      <c r="Q1775" s="688">
        <f t="shared" ref="Q1775:R1777" si="306">Q1774</f>
        <v>1750</v>
      </c>
      <c r="R1775" s="688">
        <f t="shared" si="306"/>
        <v>17.5</v>
      </c>
      <c r="S1775" s="688">
        <v>8</v>
      </c>
      <c r="T1775" s="690">
        <f t="shared" si="304"/>
        <v>0.45710000000000001</v>
      </c>
    </row>
    <row r="1776" spans="1:20" s="728" customFormat="1" ht="17.100000000000001" customHeight="1">
      <c r="A1776" s="1316" t="s">
        <v>1997</v>
      </c>
      <c r="B1776" s="1317"/>
      <c r="C1776" s="1316" t="s">
        <v>1998</v>
      </c>
      <c r="D1776" s="1317"/>
      <c r="E1776" s="686">
        <v>0.04</v>
      </c>
      <c r="F1776" s="676" t="s">
        <v>418</v>
      </c>
      <c r="G1776" s="670" t="e">
        <f>#REF!</f>
        <v>#REF!</v>
      </c>
      <c r="H1776" s="670" t="e">
        <f>INT(E1776*G1776)</f>
        <v>#REF!</v>
      </c>
      <c r="I1776" s="670" t="e">
        <f>#REF!</f>
        <v>#REF!</v>
      </c>
      <c r="J1776" s="670" t="e">
        <f>INT(E1776*I1776)</f>
        <v>#REF!</v>
      </c>
      <c r="K1776" s="670" t="e">
        <f>#REF!</f>
        <v>#REF!</v>
      </c>
      <c r="L1776" s="670" t="e">
        <f>INT(E1776*K1776)</f>
        <v>#REF!</v>
      </c>
      <c r="M1776" s="670" t="e">
        <f t="shared" si="305"/>
        <v>#REF!</v>
      </c>
      <c r="N1776" s="670" t="e">
        <f t="shared" si="305"/>
        <v>#REF!</v>
      </c>
      <c r="O1776" s="671"/>
      <c r="P1776" s="672"/>
      <c r="Q1776" s="688">
        <f t="shared" si="306"/>
        <v>1750</v>
      </c>
      <c r="R1776" s="688">
        <f t="shared" si="306"/>
        <v>17.5</v>
      </c>
      <c r="S1776" s="688">
        <v>8</v>
      </c>
      <c r="T1776" s="690">
        <f t="shared" si="304"/>
        <v>0.45710000000000001</v>
      </c>
    </row>
    <row r="1777" spans="1:20" s="688" customFormat="1" ht="17.100000000000001" customHeight="1">
      <c r="A1777" s="1318" t="s">
        <v>1320</v>
      </c>
      <c r="B1777" s="1319"/>
      <c r="C1777" s="1316"/>
      <c r="D1777" s="1317"/>
      <c r="E1777" s="686"/>
      <c r="F1777" s="676"/>
      <c r="G1777" s="670"/>
      <c r="H1777" s="670" t="e">
        <f>SUM(H1774:H1776)</f>
        <v>#REF!</v>
      </c>
      <c r="I1777" s="670"/>
      <c r="J1777" s="670" t="e">
        <f>SUM(J1774:J1776)</f>
        <v>#REF!</v>
      </c>
      <c r="K1777" s="670"/>
      <c r="L1777" s="670" t="e">
        <f>SUM(L1774:L1776)</f>
        <v>#REF!</v>
      </c>
      <c r="M1777" s="670"/>
      <c r="N1777" s="670" t="e">
        <f>SUM(N1774:N1776)</f>
        <v>#REF!</v>
      </c>
      <c r="O1777" s="671"/>
      <c r="P1777" s="672"/>
      <c r="Q1777" s="688">
        <f t="shared" si="306"/>
        <v>1750</v>
      </c>
      <c r="R1777" s="688">
        <f t="shared" si="306"/>
        <v>17.5</v>
      </c>
      <c r="S1777" s="688">
        <v>4</v>
      </c>
      <c r="T1777" s="690">
        <f t="shared" si="304"/>
        <v>0.2286</v>
      </c>
    </row>
    <row r="1778" spans="1:20" s="688" customFormat="1" ht="17.100000000000001" customHeight="1">
      <c r="A1778" s="668">
        <f>A1773+1</f>
        <v>302</v>
      </c>
      <c r="B1778" s="1320" t="s">
        <v>1999</v>
      </c>
      <c r="C1778" s="1320"/>
      <c r="D1778" s="1320" t="s">
        <v>1853</v>
      </c>
      <c r="E1778" s="1320"/>
      <c r="F1778" s="669" t="s">
        <v>1458</v>
      </c>
      <c r="G1778" s="698"/>
      <c r="H1778" s="698"/>
      <c r="I1778" s="698"/>
      <c r="J1778" s="698"/>
      <c r="K1778" s="670"/>
      <c r="L1778" s="670"/>
      <c r="M1778" s="670"/>
      <c r="N1778" s="698"/>
      <c r="O1778" s="699"/>
      <c r="P1778" s="672"/>
    </row>
    <row r="1779" spans="1:20" s="688" customFormat="1" ht="17.100000000000001" customHeight="1">
      <c r="A1779" s="1367" t="s">
        <v>1992</v>
      </c>
      <c r="B1779" s="1327"/>
      <c r="C1779" s="1367" t="s">
        <v>2000</v>
      </c>
      <c r="D1779" s="1327"/>
      <c r="E1779" s="796">
        <v>30</v>
      </c>
      <c r="F1779" s="749" t="s">
        <v>801</v>
      </c>
      <c r="G1779" s="750" t="e">
        <f>#REF!</f>
        <v>#REF!</v>
      </c>
      <c r="H1779" s="750" t="e">
        <f>INT(E1779*G1779)</f>
        <v>#REF!</v>
      </c>
      <c r="I1779" s="750"/>
      <c r="J1779" s="750"/>
      <c r="K1779" s="750">
        <f>[53]운반공!$BI$584</f>
        <v>45</v>
      </c>
      <c r="L1779" s="750">
        <f>INT(E1779*K1779)</f>
        <v>1350</v>
      </c>
      <c r="M1779" s="750" t="e">
        <f t="shared" ref="M1779:N1781" si="307">G1779+I1779+K1779</f>
        <v>#REF!</v>
      </c>
      <c r="N1779" s="750" t="e">
        <f t="shared" si="307"/>
        <v>#REF!</v>
      </c>
      <c r="O1779" s="751" t="s">
        <v>1994</v>
      </c>
      <c r="P1779" s="672" t="s">
        <v>1944</v>
      </c>
      <c r="Q1779" s="687" t="s">
        <v>1446</v>
      </c>
      <c r="R1779" s="688" t="s">
        <v>1447</v>
      </c>
      <c r="S1779" s="688" t="s">
        <v>1425</v>
      </c>
      <c r="T1779" s="688" t="s">
        <v>1426</v>
      </c>
    </row>
    <row r="1780" spans="1:20" s="688" customFormat="1" ht="17.100000000000001" customHeight="1">
      <c r="A1780" s="1316" t="s">
        <v>248</v>
      </c>
      <c r="B1780" s="1317"/>
      <c r="C1780" s="1316"/>
      <c r="D1780" s="1317"/>
      <c r="E1780" s="701">
        <v>2.5000000000000001E-2</v>
      </c>
      <c r="F1780" s="676" t="s">
        <v>366</v>
      </c>
      <c r="G1780" s="670"/>
      <c r="H1780" s="670"/>
      <c r="I1780" s="670">
        <f>[53]노임단가!$T$5</f>
        <v>172068</v>
      </c>
      <c r="J1780" s="670">
        <f>INT(E1780*I1780)</f>
        <v>4301</v>
      </c>
      <c r="K1780" s="670"/>
      <c r="L1780" s="670"/>
      <c r="M1780" s="670">
        <f t="shared" si="307"/>
        <v>172068</v>
      </c>
      <c r="N1780" s="670">
        <f t="shared" si="307"/>
        <v>4301</v>
      </c>
      <c r="O1780" s="671"/>
      <c r="P1780" s="672" t="s">
        <v>1991</v>
      </c>
      <c r="Q1780" s="688">
        <v>1600</v>
      </c>
      <c r="R1780" s="688">
        <f>(Q1780)/100</f>
        <v>16</v>
      </c>
      <c r="S1780" s="688">
        <v>0</v>
      </c>
      <c r="T1780" s="690"/>
    </row>
    <row r="1781" spans="1:20" s="688" customFormat="1" ht="17.100000000000001" customHeight="1">
      <c r="A1781" s="1316" t="s">
        <v>1217</v>
      </c>
      <c r="B1781" s="1317"/>
      <c r="C1781" s="1316" t="s">
        <v>1995</v>
      </c>
      <c r="D1781" s="1317"/>
      <c r="E1781" s="683">
        <v>0.1</v>
      </c>
      <c r="F1781" s="676" t="s">
        <v>418</v>
      </c>
      <c r="G1781" s="670" t="e">
        <f>#REF!</f>
        <v>#REF!</v>
      </c>
      <c r="H1781" s="670" t="e">
        <f>INT(E1781*G1781)</f>
        <v>#REF!</v>
      </c>
      <c r="I1781" s="670" t="e">
        <f>#REF!</f>
        <v>#REF!</v>
      </c>
      <c r="J1781" s="670" t="e">
        <f>INT(E1781*I1781)</f>
        <v>#REF!</v>
      </c>
      <c r="K1781" s="670" t="e">
        <f>#REF!</f>
        <v>#REF!</v>
      </c>
      <c r="L1781" s="670" t="e">
        <f>INT(E1781*K1781)</f>
        <v>#REF!</v>
      </c>
      <c r="M1781" s="670" t="e">
        <f t="shared" si="307"/>
        <v>#REF!</v>
      </c>
      <c r="N1781" s="670" t="e">
        <f t="shared" si="307"/>
        <v>#REF!</v>
      </c>
      <c r="O1781" s="671"/>
      <c r="P1781" s="672"/>
      <c r="Q1781" s="688">
        <f t="shared" ref="Q1781:R1788" si="308">Q1780</f>
        <v>1600</v>
      </c>
      <c r="R1781" s="688">
        <f t="shared" si="308"/>
        <v>16</v>
      </c>
      <c r="S1781" s="688">
        <v>0</v>
      </c>
      <c r="T1781" s="690">
        <f t="shared" ref="T1781:T1789" si="309">ROUND(S1781/R1781,4)</f>
        <v>0</v>
      </c>
    </row>
    <row r="1782" spans="1:20" s="688" customFormat="1" ht="17.100000000000001" customHeight="1">
      <c r="A1782" s="1318" t="s">
        <v>1320</v>
      </c>
      <c r="B1782" s="1319"/>
      <c r="C1782" s="1316"/>
      <c r="D1782" s="1317"/>
      <c r="E1782" s="686"/>
      <c r="F1782" s="676"/>
      <c r="G1782" s="670"/>
      <c r="H1782" s="670" t="e">
        <f>SUM(H1779:H1781)</f>
        <v>#REF!</v>
      </c>
      <c r="I1782" s="670"/>
      <c r="J1782" s="670" t="e">
        <f>SUM(J1779:J1781)</f>
        <v>#REF!</v>
      </c>
      <c r="K1782" s="670"/>
      <c r="L1782" s="670" t="e">
        <f>SUM(L1779:L1781)</f>
        <v>#REF!</v>
      </c>
      <c r="M1782" s="670"/>
      <c r="N1782" s="670" t="e">
        <f>SUM(N1779:N1781)</f>
        <v>#REF!</v>
      </c>
      <c r="O1782" s="671"/>
      <c r="P1782" s="672"/>
      <c r="Q1782" s="688">
        <f t="shared" si="308"/>
        <v>1600</v>
      </c>
      <c r="R1782" s="688">
        <f t="shared" si="308"/>
        <v>16</v>
      </c>
      <c r="S1782" s="688">
        <v>3</v>
      </c>
      <c r="T1782" s="690">
        <f t="shared" si="309"/>
        <v>0.1875</v>
      </c>
    </row>
    <row r="1783" spans="1:20" s="688" customFormat="1" ht="17.100000000000001" customHeight="1">
      <c r="A1783" s="668">
        <f>A1778+1</f>
        <v>303</v>
      </c>
      <c r="B1783" s="1320" t="s">
        <v>1999</v>
      </c>
      <c r="C1783" s="1320"/>
      <c r="D1783" s="1320" t="s">
        <v>1996</v>
      </c>
      <c r="E1783" s="1320"/>
      <c r="F1783" s="669" t="s">
        <v>1458</v>
      </c>
      <c r="G1783" s="698"/>
      <c r="H1783" s="698"/>
      <c r="I1783" s="698"/>
      <c r="J1783" s="698"/>
      <c r="K1783" s="670"/>
      <c r="L1783" s="670"/>
      <c r="M1783" s="670"/>
      <c r="N1783" s="698"/>
      <c r="O1783" s="751" t="s">
        <v>1994</v>
      </c>
      <c r="P1783" s="672"/>
      <c r="Q1783" s="688">
        <f t="shared" si="308"/>
        <v>1600</v>
      </c>
      <c r="R1783" s="688">
        <f t="shared" si="308"/>
        <v>16</v>
      </c>
      <c r="S1783" s="688">
        <v>1</v>
      </c>
      <c r="T1783" s="690">
        <f t="shared" si="309"/>
        <v>6.25E-2</v>
      </c>
    </row>
    <row r="1784" spans="1:20" s="688" customFormat="1" ht="17.100000000000001" customHeight="1">
      <c r="A1784" s="1367" t="s">
        <v>1992</v>
      </c>
      <c r="B1784" s="1327"/>
      <c r="C1784" s="1367" t="s">
        <v>2000</v>
      </c>
      <c r="D1784" s="1327"/>
      <c r="E1784" s="796">
        <v>30</v>
      </c>
      <c r="F1784" s="749" t="s">
        <v>801</v>
      </c>
      <c r="G1784" s="750" t="e">
        <f>#REF!</f>
        <v>#REF!</v>
      </c>
      <c r="H1784" s="750" t="e">
        <f>INT(E1784*G1784)</f>
        <v>#REF!</v>
      </c>
      <c r="I1784" s="750"/>
      <c r="J1784" s="750"/>
      <c r="K1784" s="750">
        <f>[53]운반공!$BI$584</f>
        <v>45</v>
      </c>
      <c r="L1784" s="750">
        <f>INT(E1784*K1784)</f>
        <v>1350</v>
      </c>
      <c r="M1784" s="750" t="e">
        <f t="shared" ref="M1784:N1786" si="310">G1784+I1784+K1784</f>
        <v>#REF!</v>
      </c>
      <c r="N1784" s="750" t="e">
        <f t="shared" si="310"/>
        <v>#REF!</v>
      </c>
      <c r="O1784" s="751"/>
      <c r="P1784" s="672"/>
      <c r="Q1784" s="688">
        <f t="shared" si="308"/>
        <v>1600</v>
      </c>
      <c r="R1784" s="688">
        <f t="shared" si="308"/>
        <v>16</v>
      </c>
      <c r="S1784" s="688">
        <v>8</v>
      </c>
      <c r="T1784" s="690">
        <f t="shared" si="309"/>
        <v>0.5</v>
      </c>
    </row>
    <row r="1785" spans="1:20" s="688" customFormat="1" ht="17.100000000000001" customHeight="1">
      <c r="A1785" s="1316" t="s">
        <v>248</v>
      </c>
      <c r="B1785" s="1317"/>
      <c r="C1785" s="1316"/>
      <c r="D1785" s="1317"/>
      <c r="E1785" s="701">
        <v>5.0000000000000001E-3</v>
      </c>
      <c r="F1785" s="676" t="s">
        <v>366</v>
      </c>
      <c r="G1785" s="670"/>
      <c r="H1785" s="670"/>
      <c r="I1785" s="670">
        <f>[53]노임단가!$T$5</f>
        <v>172068</v>
      </c>
      <c r="J1785" s="670">
        <f>INT(E1785*I1785)</f>
        <v>860</v>
      </c>
      <c r="K1785" s="670"/>
      <c r="L1785" s="670"/>
      <c r="M1785" s="670">
        <f t="shared" si="310"/>
        <v>172068</v>
      </c>
      <c r="N1785" s="670">
        <f t="shared" si="310"/>
        <v>860</v>
      </c>
      <c r="O1785" s="671"/>
      <c r="P1785" s="672"/>
      <c r="Q1785" s="688">
        <f t="shared" si="308"/>
        <v>1600</v>
      </c>
      <c r="R1785" s="688">
        <f t="shared" si="308"/>
        <v>16</v>
      </c>
      <c r="S1785" s="688">
        <v>8</v>
      </c>
      <c r="T1785" s="690">
        <f t="shared" si="309"/>
        <v>0.5</v>
      </c>
    </row>
    <row r="1786" spans="1:20" s="688" customFormat="1" ht="17.100000000000001" customHeight="1">
      <c r="A1786" s="1316" t="s">
        <v>1997</v>
      </c>
      <c r="B1786" s="1317"/>
      <c r="C1786" s="1316" t="s">
        <v>1998</v>
      </c>
      <c r="D1786" s="1317"/>
      <c r="E1786" s="686">
        <v>0.04</v>
      </c>
      <c r="F1786" s="676" t="s">
        <v>418</v>
      </c>
      <c r="G1786" s="670" t="e">
        <f>#REF!</f>
        <v>#REF!</v>
      </c>
      <c r="H1786" s="670" t="e">
        <f>INT(E1786*G1786)</f>
        <v>#REF!</v>
      </c>
      <c r="I1786" s="670" t="e">
        <f>#REF!</f>
        <v>#REF!</v>
      </c>
      <c r="J1786" s="670" t="e">
        <f>INT(E1786*I1786)</f>
        <v>#REF!</v>
      </c>
      <c r="K1786" s="670" t="e">
        <f>#REF!</f>
        <v>#REF!</v>
      </c>
      <c r="L1786" s="670" t="e">
        <f>INT(E1786*K1786)</f>
        <v>#REF!</v>
      </c>
      <c r="M1786" s="670" t="e">
        <f t="shared" si="310"/>
        <v>#REF!</v>
      </c>
      <c r="N1786" s="670" t="e">
        <f t="shared" si="310"/>
        <v>#REF!</v>
      </c>
      <c r="O1786" s="671"/>
      <c r="P1786" s="672"/>
      <c r="Q1786" s="688">
        <f t="shared" si="308"/>
        <v>1600</v>
      </c>
      <c r="R1786" s="688">
        <f t="shared" si="308"/>
        <v>16</v>
      </c>
      <c r="S1786" s="688">
        <v>8</v>
      </c>
      <c r="T1786" s="690">
        <f t="shared" si="309"/>
        <v>0.5</v>
      </c>
    </row>
    <row r="1787" spans="1:20" s="688" customFormat="1" ht="17.100000000000001" customHeight="1">
      <c r="A1787" s="1318" t="s">
        <v>1320</v>
      </c>
      <c r="B1787" s="1319"/>
      <c r="C1787" s="1316"/>
      <c r="D1787" s="1317"/>
      <c r="E1787" s="686"/>
      <c r="F1787" s="676"/>
      <c r="G1787" s="670"/>
      <c r="H1787" s="670" t="e">
        <f>SUM(H1784:H1786)</f>
        <v>#REF!</v>
      </c>
      <c r="I1787" s="670"/>
      <c r="J1787" s="670" t="e">
        <f>SUM(J1784:J1786)</f>
        <v>#REF!</v>
      </c>
      <c r="K1787" s="670"/>
      <c r="L1787" s="670" t="e">
        <f>SUM(L1784:L1786)</f>
        <v>#REF!</v>
      </c>
      <c r="M1787" s="670"/>
      <c r="N1787" s="670" t="e">
        <f>SUM(N1784:N1786)</f>
        <v>#REF!</v>
      </c>
      <c r="O1787" s="671"/>
      <c r="P1787" s="672"/>
      <c r="Q1787" s="688">
        <f t="shared" si="308"/>
        <v>1600</v>
      </c>
      <c r="R1787" s="688">
        <f t="shared" si="308"/>
        <v>16</v>
      </c>
      <c r="S1787" s="688">
        <v>8</v>
      </c>
      <c r="T1787" s="690">
        <f t="shared" si="309"/>
        <v>0.5</v>
      </c>
    </row>
    <row r="1788" spans="1:20" s="688" customFormat="1" ht="17.100000000000001" customHeight="1">
      <c r="A1788" s="797">
        <f>A1783+1</f>
        <v>304</v>
      </c>
      <c r="B1788" s="1328" t="s">
        <v>2001</v>
      </c>
      <c r="C1788" s="1328"/>
      <c r="D1788" s="1328" t="s">
        <v>2002</v>
      </c>
      <c r="E1788" s="1328"/>
      <c r="F1788" s="798" t="s">
        <v>645</v>
      </c>
      <c r="G1788" s="799"/>
      <c r="H1788" s="799"/>
      <c r="I1788" s="799"/>
      <c r="J1788" s="799"/>
      <c r="K1788" s="750"/>
      <c r="L1788" s="750"/>
      <c r="M1788" s="750"/>
      <c r="N1788" s="799"/>
      <c r="O1788" s="800" t="s">
        <v>1562</v>
      </c>
      <c r="P1788" s="672"/>
      <c r="Q1788" s="688">
        <f t="shared" si="308"/>
        <v>1600</v>
      </c>
      <c r="R1788" s="688">
        <f t="shared" si="308"/>
        <v>16</v>
      </c>
      <c r="S1788" s="688">
        <v>8</v>
      </c>
      <c r="T1788" s="690">
        <f>ROUND(S1788/R1788,4)</f>
        <v>0.5</v>
      </c>
    </row>
    <row r="1789" spans="1:20" s="688" customFormat="1" ht="17.100000000000001" customHeight="1">
      <c r="A1789" s="1367" t="s">
        <v>1676</v>
      </c>
      <c r="B1789" s="1327"/>
      <c r="C1789" s="1367" t="s">
        <v>1677</v>
      </c>
      <c r="D1789" s="1327"/>
      <c r="E1789" s="801"/>
      <c r="F1789" s="749" t="s">
        <v>915</v>
      </c>
      <c r="G1789" s="750"/>
      <c r="H1789" s="750"/>
      <c r="I1789" s="750"/>
      <c r="J1789" s="750"/>
      <c r="K1789" s="750"/>
      <c r="L1789" s="750"/>
      <c r="M1789" s="750"/>
      <c r="N1789" s="750"/>
      <c r="O1789" s="751"/>
      <c r="P1789" s="672"/>
      <c r="Q1789" s="688">
        <f>Q1787</f>
        <v>1600</v>
      </c>
      <c r="R1789" s="688">
        <f>R1787</f>
        <v>16</v>
      </c>
      <c r="S1789" s="688">
        <v>4</v>
      </c>
      <c r="T1789" s="690">
        <f t="shared" si="309"/>
        <v>0.25</v>
      </c>
    </row>
    <row r="1790" spans="1:20" s="688" customFormat="1" ht="17.100000000000001" customHeight="1">
      <c r="A1790" s="1367" t="s">
        <v>2003</v>
      </c>
      <c r="B1790" s="1327"/>
      <c r="C1790" s="1367" t="s">
        <v>2004</v>
      </c>
      <c r="D1790" s="1327"/>
      <c r="E1790" s="802">
        <v>0.01</v>
      </c>
      <c r="F1790" s="798" t="s">
        <v>1458</v>
      </c>
      <c r="G1790" s="750" t="e">
        <f>$H$1772</f>
        <v>#REF!</v>
      </c>
      <c r="H1790" s="750" t="e">
        <f>INT(E1790*G1790)</f>
        <v>#REF!</v>
      </c>
      <c r="I1790" s="670" t="e">
        <f>$J$1772</f>
        <v>#REF!</v>
      </c>
      <c r="J1790" s="750" t="e">
        <f t="shared" ref="J1790:J1795" si="311">INT(E1790*I1790)</f>
        <v>#REF!</v>
      </c>
      <c r="K1790" s="670" t="e">
        <f>$L$1772</f>
        <v>#REF!</v>
      </c>
      <c r="L1790" s="750" t="e">
        <f>INT(E1790*K1790)</f>
        <v>#REF!</v>
      </c>
      <c r="M1790" s="750" t="e">
        <f t="shared" ref="M1790:N1796" si="312">G1790+I1790+K1790</f>
        <v>#REF!</v>
      </c>
      <c r="N1790" s="750" t="e">
        <f t="shared" si="312"/>
        <v>#REF!</v>
      </c>
      <c r="O1790" s="751">
        <f>A1768</f>
        <v>300</v>
      </c>
      <c r="P1790" s="672"/>
    </row>
    <row r="1791" spans="1:20" s="688" customFormat="1" ht="17.100000000000001" customHeight="1">
      <c r="A1791" s="1367" t="s">
        <v>540</v>
      </c>
      <c r="B1791" s="1327"/>
      <c r="C1791" s="1367"/>
      <c r="D1791" s="1327"/>
      <c r="E1791" s="802">
        <v>6.3E-3</v>
      </c>
      <c r="F1791" s="749" t="s">
        <v>366</v>
      </c>
      <c r="G1791" s="750"/>
      <c r="H1791" s="750"/>
      <c r="I1791" s="670">
        <f>[53]노임단가!$T$22</f>
        <v>273308</v>
      </c>
      <c r="J1791" s="750">
        <f t="shared" si="311"/>
        <v>1721</v>
      </c>
      <c r="K1791" s="670"/>
      <c r="L1791" s="750"/>
      <c r="M1791" s="750">
        <f t="shared" si="312"/>
        <v>273308</v>
      </c>
      <c r="N1791" s="750">
        <f t="shared" si="312"/>
        <v>1721</v>
      </c>
      <c r="O1791" s="751"/>
      <c r="P1791" s="794"/>
      <c r="Q1791" s="687" t="s">
        <v>1446</v>
      </c>
      <c r="R1791" s="688" t="s">
        <v>1447</v>
      </c>
      <c r="S1791" s="688" t="s">
        <v>1425</v>
      </c>
      <c r="T1791" s="688" t="s">
        <v>1426</v>
      </c>
    </row>
    <row r="1792" spans="1:20" s="688" customFormat="1" ht="17.100000000000001" customHeight="1">
      <c r="A1792" s="1367" t="s">
        <v>248</v>
      </c>
      <c r="B1792" s="1327"/>
      <c r="C1792" s="1367" t="s">
        <v>2005</v>
      </c>
      <c r="D1792" s="1327"/>
      <c r="E1792" s="802">
        <v>3.0999999999999999E-3</v>
      </c>
      <c r="F1792" s="749" t="s">
        <v>366</v>
      </c>
      <c r="G1792" s="750"/>
      <c r="H1792" s="750"/>
      <c r="I1792" s="670">
        <f>[53]노임단가!$T$5</f>
        <v>172068</v>
      </c>
      <c r="J1792" s="750">
        <f t="shared" si="311"/>
        <v>533</v>
      </c>
      <c r="K1792" s="670"/>
      <c r="L1792" s="750"/>
      <c r="M1792" s="750">
        <f t="shared" si="312"/>
        <v>172068</v>
      </c>
      <c r="N1792" s="750">
        <f t="shared" si="312"/>
        <v>533</v>
      </c>
      <c r="O1792" s="751"/>
      <c r="P1792" s="672" t="s">
        <v>2006</v>
      </c>
      <c r="Q1792" s="688">
        <v>2700</v>
      </c>
      <c r="R1792" s="688">
        <f>(Q1792)/100</f>
        <v>27</v>
      </c>
      <c r="S1792" s="688">
        <v>0</v>
      </c>
      <c r="T1792" s="690"/>
    </row>
    <row r="1793" spans="1:22" s="688" customFormat="1" ht="17.100000000000001" customHeight="1">
      <c r="A1793" s="1367" t="s">
        <v>465</v>
      </c>
      <c r="B1793" s="1327"/>
      <c r="C1793" s="1367" t="s">
        <v>466</v>
      </c>
      <c r="D1793" s="1327"/>
      <c r="E1793" s="802">
        <v>2.5000000000000001E-2</v>
      </c>
      <c r="F1793" s="749" t="s">
        <v>418</v>
      </c>
      <c r="G1793" s="670" t="e">
        <f>#REF!</f>
        <v>#REF!</v>
      </c>
      <c r="H1793" s="750" t="e">
        <f>INT(E1793*G1793)</f>
        <v>#REF!</v>
      </c>
      <c r="I1793" s="670" t="e">
        <f>#REF!</f>
        <v>#REF!</v>
      </c>
      <c r="J1793" s="750" t="e">
        <f t="shared" si="311"/>
        <v>#REF!</v>
      </c>
      <c r="K1793" s="670" t="e">
        <f>#REF!</f>
        <v>#REF!</v>
      </c>
      <c r="L1793" s="750" t="e">
        <f>INT(E1793*K1793)</f>
        <v>#REF!</v>
      </c>
      <c r="M1793" s="750" t="e">
        <f t="shared" si="312"/>
        <v>#REF!</v>
      </c>
      <c r="N1793" s="750" t="e">
        <f t="shared" si="312"/>
        <v>#REF!</v>
      </c>
      <c r="O1793" s="751"/>
      <c r="P1793" s="672"/>
      <c r="Q1793" s="688">
        <f t="shared" ref="Q1793:R1800" si="313">Q1792</f>
        <v>2700</v>
      </c>
      <c r="R1793" s="688">
        <f t="shared" si="313"/>
        <v>27</v>
      </c>
      <c r="S1793" s="688">
        <v>0</v>
      </c>
      <c r="T1793" s="690">
        <f t="shared" ref="T1793:T1800" si="314">ROUND(S1793/R1793,4)</f>
        <v>0</v>
      </c>
    </row>
    <row r="1794" spans="1:22" s="688" customFormat="1" ht="17.100000000000001" customHeight="1">
      <c r="A1794" s="1367" t="s">
        <v>554</v>
      </c>
      <c r="B1794" s="1327"/>
      <c r="C1794" s="1367" t="s">
        <v>1181</v>
      </c>
      <c r="D1794" s="1327"/>
      <c r="E1794" s="802">
        <v>2.5000000000000001E-2</v>
      </c>
      <c r="F1794" s="749" t="s">
        <v>418</v>
      </c>
      <c r="G1794" s="670" t="e">
        <f>$G$1661</f>
        <v>#REF!</v>
      </c>
      <c r="H1794" s="750" t="e">
        <f>INT(E1794*G1794)</f>
        <v>#REF!</v>
      </c>
      <c r="I1794" s="670" t="e">
        <f>$I$1661</f>
        <v>#REF!</v>
      </c>
      <c r="J1794" s="750" t="e">
        <f t="shared" si="311"/>
        <v>#REF!</v>
      </c>
      <c r="K1794" s="670" t="e">
        <f>$K$1661</f>
        <v>#REF!</v>
      </c>
      <c r="L1794" s="750" t="e">
        <f>INT(E1794*K1794)</f>
        <v>#REF!</v>
      </c>
      <c r="M1794" s="750" t="e">
        <f t="shared" si="312"/>
        <v>#REF!</v>
      </c>
      <c r="N1794" s="750" t="e">
        <f t="shared" si="312"/>
        <v>#REF!</v>
      </c>
      <c r="O1794" s="751"/>
      <c r="P1794" s="672"/>
      <c r="Q1794" s="688">
        <f t="shared" si="313"/>
        <v>2700</v>
      </c>
      <c r="R1794" s="688">
        <f t="shared" si="313"/>
        <v>27</v>
      </c>
      <c r="S1794" s="688">
        <v>4</v>
      </c>
      <c r="T1794" s="690">
        <f t="shared" si="314"/>
        <v>0.14810000000000001</v>
      </c>
      <c r="U1794" s="728"/>
      <c r="V1794" s="728"/>
    </row>
    <row r="1795" spans="1:22" s="728" customFormat="1" ht="17.100000000000001" customHeight="1">
      <c r="A1795" s="1367" t="s">
        <v>515</v>
      </c>
      <c r="B1795" s="1327"/>
      <c r="C1795" s="1367" t="s">
        <v>555</v>
      </c>
      <c r="D1795" s="1327"/>
      <c r="E1795" s="802">
        <v>2.5000000000000001E-2</v>
      </c>
      <c r="F1795" s="749" t="s">
        <v>418</v>
      </c>
      <c r="G1795" s="670" t="e">
        <f>#REF!</f>
        <v>#REF!</v>
      </c>
      <c r="H1795" s="750" t="e">
        <f>INT(E1795*G1795)</f>
        <v>#REF!</v>
      </c>
      <c r="I1795" s="670" t="e">
        <f>#REF!</f>
        <v>#REF!</v>
      </c>
      <c r="J1795" s="750" t="e">
        <f t="shared" si="311"/>
        <v>#REF!</v>
      </c>
      <c r="K1795" s="670" t="e">
        <f>#REF!</f>
        <v>#REF!</v>
      </c>
      <c r="L1795" s="750" t="e">
        <f>INT(E1795*K1795)</f>
        <v>#REF!</v>
      </c>
      <c r="M1795" s="750" t="e">
        <f t="shared" si="312"/>
        <v>#REF!</v>
      </c>
      <c r="N1795" s="750" t="e">
        <f t="shared" si="312"/>
        <v>#REF!</v>
      </c>
      <c r="O1795" s="751"/>
      <c r="P1795" s="672"/>
      <c r="Q1795" s="688">
        <f t="shared" si="313"/>
        <v>2700</v>
      </c>
      <c r="R1795" s="688">
        <f t="shared" si="313"/>
        <v>27</v>
      </c>
      <c r="S1795" s="688">
        <v>1</v>
      </c>
      <c r="T1795" s="690">
        <f t="shared" si="314"/>
        <v>3.6999999999999998E-2</v>
      </c>
    </row>
    <row r="1796" spans="1:22" s="728" customFormat="1" ht="17.100000000000001" customHeight="1">
      <c r="A1796" s="1367" t="s">
        <v>630</v>
      </c>
      <c r="B1796" s="1327"/>
      <c r="C1796" s="1367" t="s">
        <v>1251</v>
      </c>
      <c r="D1796" s="1327"/>
      <c r="E1796" s="802">
        <v>1.2500000000000001E-2</v>
      </c>
      <c r="F1796" s="749" t="s">
        <v>418</v>
      </c>
      <c r="G1796" s="670" t="e">
        <f>#REF!</f>
        <v>#REF!</v>
      </c>
      <c r="H1796" s="670" t="e">
        <f>INT(E1796*G1796)</f>
        <v>#REF!</v>
      </c>
      <c r="I1796" s="670" t="e">
        <f>#REF!</f>
        <v>#REF!</v>
      </c>
      <c r="J1796" s="670" t="e">
        <f>INT(E1796*I1796)</f>
        <v>#REF!</v>
      </c>
      <c r="K1796" s="670" t="e">
        <f>#REF!</f>
        <v>#REF!</v>
      </c>
      <c r="L1796" s="670" t="e">
        <f>INT(E1796*K1796)</f>
        <v>#REF!</v>
      </c>
      <c r="M1796" s="750" t="e">
        <f t="shared" si="312"/>
        <v>#REF!</v>
      </c>
      <c r="N1796" s="750" t="e">
        <f t="shared" si="312"/>
        <v>#REF!</v>
      </c>
      <c r="O1796" s="751"/>
      <c r="P1796" s="672"/>
      <c r="Q1796" s="688">
        <f t="shared" si="313"/>
        <v>2700</v>
      </c>
      <c r="R1796" s="688">
        <f t="shared" si="313"/>
        <v>27</v>
      </c>
      <c r="S1796" s="688">
        <v>8</v>
      </c>
      <c r="T1796" s="690">
        <f t="shared" si="314"/>
        <v>0.29630000000000001</v>
      </c>
      <c r="U1796" s="688"/>
      <c r="V1796" s="688"/>
    </row>
    <row r="1797" spans="1:22" s="688" customFormat="1" ht="17.100000000000001" customHeight="1">
      <c r="A1797" s="1373" t="s">
        <v>1320</v>
      </c>
      <c r="B1797" s="1374"/>
      <c r="C1797" s="1375"/>
      <c r="D1797" s="1376"/>
      <c r="E1797" s="803"/>
      <c r="F1797" s="749"/>
      <c r="G1797" s="750"/>
      <c r="H1797" s="750" t="e">
        <f>SUM(H1789:H1796)</f>
        <v>#REF!</v>
      </c>
      <c r="I1797" s="750"/>
      <c r="J1797" s="750" t="e">
        <f>SUM(J1789:J1796)</f>
        <v>#REF!</v>
      </c>
      <c r="K1797" s="750"/>
      <c r="L1797" s="750" t="e">
        <f>SUM(L1789:L1796)</f>
        <v>#REF!</v>
      </c>
      <c r="M1797" s="750"/>
      <c r="N1797" s="750" t="e">
        <f>SUM(N1789:N1796)</f>
        <v>#REF!</v>
      </c>
      <c r="O1797" s="751"/>
      <c r="P1797" s="672"/>
      <c r="Q1797" s="688">
        <f t="shared" si="313"/>
        <v>2700</v>
      </c>
      <c r="R1797" s="688">
        <f t="shared" si="313"/>
        <v>27</v>
      </c>
      <c r="S1797" s="688">
        <v>8</v>
      </c>
      <c r="T1797" s="690">
        <f t="shared" si="314"/>
        <v>0.29630000000000001</v>
      </c>
      <c r="U1797" s="728"/>
      <c r="V1797" s="728"/>
    </row>
    <row r="1798" spans="1:22" s="728" customFormat="1" ht="17.100000000000001" customHeight="1">
      <c r="A1798" s="668">
        <f>A1788+1</f>
        <v>305</v>
      </c>
      <c r="B1798" s="1320" t="s">
        <v>2001</v>
      </c>
      <c r="C1798" s="1320"/>
      <c r="D1798" s="1328" t="s">
        <v>2007</v>
      </c>
      <c r="E1798" s="1328"/>
      <c r="F1798" s="669" t="s">
        <v>1458</v>
      </c>
      <c r="G1798" s="698"/>
      <c r="H1798" s="698"/>
      <c r="I1798" s="698"/>
      <c r="J1798" s="698"/>
      <c r="K1798" s="670"/>
      <c r="L1798" s="670"/>
      <c r="M1798" s="670"/>
      <c r="N1798" s="698"/>
      <c r="O1798" s="800" t="s">
        <v>1562</v>
      </c>
      <c r="P1798" s="672"/>
      <c r="Q1798" s="688">
        <f t="shared" si="313"/>
        <v>2700</v>
      </c>
      <c r="R1798" s="688">
        <f t="shared" si="313"/>
        <v>27</v>
      </c>
      <c r="S1798" s="688">
        <v>8</v>
      </c>
      <c r="T1798" s="690">
        <f t="shared" si="314"/>
        <v>0.29630000000000001</v>
      </c>
    </row>
    <row r="1799" spans="1:22" s="728" customFormat="1" ht="17.100000000000001" customHeight="1">
      <c r="A1799" s="1316" t="s">
        <v>1676</v>
      </c>
      <c r="B1799" s="1317"/>
      <c r="C1799" s="1316" t="s">
        <v>1677</v>
      </c>
      <c r="D1799" s="1317"/>
      <c r="E1799" s="686"/>
      <c r="F1799" s="676" t="s">
        <v>915</v>
      </c>
      <c r="G1799" s="670"/>
      <c r="H1799" s="670"/>
      <c r="I1799" s="670"/>
      <c r="J1799" s="670"/>
      <c r="K1799" s="670"/>
      <c r="L1799" s="670"/>
      <c r="M1799" s="670"/>
      <c r="N1799" s="670"/>
      <c r="O1799" s="671"/>
      <c r="P1799" s="672"/>
      <c r="Q1799" s="688">
        <f t="shared" si="313"/>
        <v>2700</v>
      </c>
      <c r="R1799" s="688">
        <f t="shared" si="313"/>
        <v>27</v>
      </c>
      <c r="S1799" s="688">
        <v>8</v>
      </c>
      <c r="T1799" s="690">
        <f t="shared" si="314"/>
        <v>0.29630000000000001</v>
      </c>
    </row>
    <row r="1800" spans="1:22" s="728" customFormat="1" ht="17.100000000000001" customHeight="1">
      <c r="A1800" s="1316" t="s">
        <v>2008</v>
      </c>
      <c r="B1800" s="1317"/>
      <c r="C1800" s="1316" t="s">
        <v>2004</v>
      </c>
      <c r="D1800" s="1317"/>
      <c r="E1800" s="677">
        <v>1</v>
      </c>
      <c r="F1800" s="676" t="s">
        <v>1458</v>
      </c>
      <c r="G1800" s="670" t="e">
        <f>$H$1777</f>
        <v>#REF!</v>
      </c>
      <c r="H1800" s="670" t="e">
        <f>INT(E1800*G1800)</f>
        <v>#REF!</v>
      </c>
      <c r="I1800" s="670" t="e">
        <f>$J$1777</f>
        <v>#REF!</v>
      </c>
      <c r="J1800" s="670" t="e">
        <f>INT(E1800*I1800)</f>
        <v>#REF!</v>
      </c>
      <c r="K1800" s="670" t="e">
        <f>$L$1777</f>
        <v>#REF!</v>
      </c>
      <c r="L1800" s="670" t="e">
        <f>INT(E1800*K1800)</f>
        <v>#REF!</v>
      </c>
      <c r="M1800" s="670" t="e">
        <f>G1800+I1800+K1800</f>
        <v>#REF!</v>
      </c>
      <c r="N1800" s="670" t="e">
        <f>H1800+J1800+L1800</f>
        <v>#REF!</v>
      </c>
      <c r="O1800" s="671">
        <f>$A$1773</f>
        <v>301</v>
      </c>
      <c r="P1800" s="672"/>
      <c r="Q1800" s="688">
        <f t="shared" si="313"/>
        <v>2700</v>
      </c>
      <c r="R1800" s="688">
        <f t="shared" si="313"/>
        <v>27</v>
      </c>
      <c r="S1800" s="688">
        <v>4</v>
      </c>
      <c r="T1800" s="690">
        <f t="shared" si="314"/>
        <v>0.14810000000000001</v>
      </c>
    </row>
    <row r="1801" spans="1:22" s="728" customFormat="1" ht="17.100000000000001" customHeight="1">
      <c r="A1801" s="1316" t="s">
        <v>540</v>
      </c>
      <c r="B1801" s="1317"/>
      <c r="C1801" s="1316"/>
      <c r="D1801" s="1317"/>
      <c r="E1801" s="683">
        <v>0.1714</v>
      </c>
      <c r="F1801" s="676" t="s">
        <v>366</v>
      </c>
      <c r="G1801" s="670"/>
      <c r="H1801" s="670"/>
      <c r="I1801" s="670">
        <f>[53]노임단가!$T$22</f>
        <v>273308</v>
      </c>
      <c r="J1801" s="670">
        <f t="shared" ref="J1801:J1807" si="315">INT(E1801*I1801)</f>
        <v>46844</v>
      </c>
      <c r="K1801" s="670"/>
      <c r="L1801" s="670"/>
      <c r="M1801" s="670">
        <f t="shared" ref="M1801:N1808" si="316">G1801+I1801+K1801</f>
        <v>273308</v>
      </c>
      <c r="N1801" s="670">
        <f t="shared" si="316"/>
        <v>46844</v>
      </c>
      <c r="O1801" s="671"/>
      <c r="P1801" s="672"/>
      <c r="Q1801" s="688"/>
      <c r="R1801" s="688"/>
      <c r="S1801" s="688"/>
      <c r="T1801" s="688"/>
    </row>
    <row r="1802" spans="1:22" s="728" customFormat="1" ht="17.100000000000001" customHeight="1">
      <c r="A1802" s="1316" t="s">
        <v>248</v>
      </c>
      <c r="B1802" s="1317"/>
      <c r="C1802" s="1367" t="s">
        <v>2005</v>
      </c>
      <c r="D1802" s="1327"/>
      <c r="E1802" s="683">
        <v>5.7099999999999998E-2</v>
      </c>
      <c r="F1802" s="676" t="s">
        <v>366</v>
      </c>
      <c r="G1802" s="670"/>
      <c r="H1802" s="670"/>
      <c r="I1802" s="670">
        <f>[53]노임단가!$T$5</f>
        <v>172068</v>
      </c>
      <c r="J1802" s="670">
        <f t="shared" si="315"/>
        <v>9825</v>
      </c>
      <c r="K1802" s="670"/>
      <c r="L1802" s="670"/>
      <c r="M1802" s="670">
        <f t="shared" si="316"/>
        <v>172068</v>
      </c>
      <c r="N1802" s="670">
        <f t="shared" si="316"/>
        <v>9825</v>
      </c>
      <c r="O1802" s="671"/>
      <c r="P1802" s="794"/>
      <c r="Q1802" s="687" t="s">
        <v>1446</v>
      </c>
      <c r="R1802" s="688" t="s">
        <v>1447</v>
      </c>
      <c r="S1802" s="688" t="s">
        <v>1425</v>
      </c>
      <c r="T1802" s="688" t="s">
        <v>1426</v>
      </c>
    </row>
    <row r="1803" spans="1:22" s="728" customFormat="1" ht="17.100000000000001" customHeight="1">
      <c r="A1803" s="1316" t="s">
        <v>1209</v>
      </c>
      <c r="B1803" s="1317"/>
      <c r="C1803" s="1316" t="s">
        <v>1210</v>
      </c>
      <c r="D1803" s="1317"/>
      <c r="E1803" s="686">
        <v>0.45710000000000001</v>
      </c>
      <c r="F1803" s="676" t="s">
        <v>418</v>
      </c>
      <c r="G1803" s="670" t="e">
        <f>#REF!</f>
        <v>#REF!</v>
      </c>
      <c r="H1803" s="670" t="e">
        <f t="shared" ref="H1803:H1808" si="317">INT(E1803*G1803)</f>
        <v>#REF!</v>
      </c>
      <c r="I1803" s="670" t="e">
        <f>#REF!</f>
        <v>#REF!</v>
      </c>
      <c r="J1803" s="670" t="e">
        <f t="shared" si="315"/>
        <v>#REF!</v>
      </c>
      <c r="K1803" s="670" t="e">
        <f>#REF!</f>
        <v>#REF!</v>
      </c>
      <c r="L1803" s="670" t="e">
        <f t="shared" ref="L1803:L1808" si="318">INT(E1803*K1803)</f>
        <v>#REF!</v>
      </c>
      <c r="M1803" s="670" t="e">
        <f t="shared" si="316"/>
        <v>#REF!</v>
      </c>
      <c r="N1803" s="670" t="e">
        <f t="shared" si="316"/>
        <v>#REF!</v>
      </c>
      <c r="O1803" s="671"/>
      <c r="P1803" s="672" t="s">
        <v>2006</v>
      </c>
      <c r="Q1803" s="688">
        <v>2500</v>
      </c>
      <c r="R1803" s="688">
        <f>(Q1803)/100</f>
        <v>25</v>
      </c>
      <c r="S1803" s="688">
        <v>0</v>
      </c>
      <c r="T1803" s="690"/>
    </row>
    <row r="1804" spans="1:22" s="728" customFormat="1" ht="17.100000000000001" customHeight="1">
      <c r="A1804" s="1362" t="s">
        <v>409</v>
      </c>
      <c r="B1804" s="1363"/>
      <c r="C1804" s="1362" t="s">
        <v>397</v>
      </c>
      <c r="D1804" s="1363"/>
      <c r="E1804" s="686">
        <v>0.45710000000000001</v>
      </c>
      <c r="F1804" s="676" t="s">
        <v>418</v>
      </c>
      <c r="G1804" s="670" t="e">
        <f>$G$1660</f>
        <v>#REF!</v>
      </c>
      <c r="H1804" s="670" t="e">
        <f t="shared" si="317"/>
        <v>#REF!</v>
      </c>
      <c r="I1804" s="670" t="e">
        <f>$I$1660</f>
        <v>#REF!</v>
      </c>
      <c r="J1804" s="670" t="e">
        <f t="shared" si="315"/>
        <v>#REF!</v>
      </c>
      <c r="K1804" s="670" t="e">
        <f>$K$1660</f>
        <v>#REF!</v>
      </c>
      <c r="L1804" s="670" t="e">
        <f t="shared" si="318"/>
        <v>#REF!</v>
      </c>
      <c r="M1804" s="670" t="e">
        <f t="shared" si="316"/>
        <v>#REF!</v>
      </c>
      <c r="N1804" s="670" t="e">
        <f t="shared" si="316"/>
        <v>#REF!</v>
      </c>
      <c r="O1804" s="671"/>
      <c r="P1804" s="672"/>
      <c r="Q1804" s="688">
        <f t="shared" ref="Q1804:R1811" si="319">Q1803</f>
        <v>2500</v>
      </c>
      <c r="R1804" s="688">
        <f t="shared" si="319"/>
        <v>25</v>
      </c>
      <c r="S1804" s="688">
        <v>0</v>
      </c>
      <c r="T1804" s="690">
        <f t="shared" ref="T1804:T1811" si="320">ROUND(S1804/R1804,4)</f>
        <v>0</v>
      </c>
    </row>
    <row r="1805" spans="1:22" s="728" customFormat="1" ht="17.100000000000001" customHeight="1">
      <c r="A1805" s="1316" t="s">
        <v>1172</v>
      </c>
      <c r="B1805" s="1317"/>
      <c r="C1805" s="1316" t="s">
        <v>1173</v>
      </c>
      <c r="D1805" s="1317"/>
      <c r="E1805" s="686">
        <v>0.45710000000000001</v>
      </c>
      <c r="F1805" s="676" t="s">
        <v>418</v>
      </c>
      <c r="G1805" s="670" t="e">
        <f>#REF!</f>
        <v>#REF!</v>
      </c>
      <c r="H1805" s="670" t="e">
        <f t="shared" si="317"/>
        <v>#REF!</v>
      </c>
      <c r="I1805" s="670" t="e">
        <f>#REF!</f>
        <v>#REF!</v>
      </c>
      <c r="J1805" s="670" t="e">
        <f t="shared" si="315"/>
        <v>#REF!</v>
      </c>
      <c r="K1805" s="670" t="e">
        <f>#REF!</f>
        <v>#REF!</v>
      </c>
      <c r="L1805" s="670" t="e">
        <f t="shared" si="318"/>
        <v>#REF!</v>
      </c>
      <c r="M1805" s="670" t="e">
        <f t="shared" si="316"/>
        <v>#REF!</v>
      </c>
      <c r="N1805" s="670" t="e">
        <f t="shared" si="316"/>
        <v>#REF!</v>
      </c>
      <c r="O1805" s="671"/>
      <c r="P1805" s="672"/>
      <c r="Q1805" s="688">
        <f t="shared" si="319"/>
        <v>2500</v>
      </c>
      <c r="R1805" s="688">
        <f t="shared" si="319"/>
        <v>25</v>
      </c>
      <c r="S1805" s="688">
        <v>4</v>
      </c>
      <c r="T1805" s="690">
        <f t="shared" si="320"/>
        <v>0.16</v>
      </c>
    </row>
    <row r="1806" spans="1:22" s="728" customFormat="1" ht="17.100000000000001" customHeight="1">
      <c r="A1806" s="1316" t="s">
        <v>1188</v>
      </c>
      <c r="B1806" s="1317"/>
      <c r="C1806" s="1316" t="s">
        <v>1178</v>
      </c>
      <c r="D1806" s="1317"/>
      <c r="E1806" s="686">
        <v>0.45710000000000001</v>
      </c>
      <c r="F1806" s="676" t="s">
        <v>418</v>
      </c>
      <c r="G1806" s="670" t="e">
        <f>#REF!</f>
        <v>#REF!</v>
      </c>
      <c r="H1806" s="670" t="e">
        <f t="shared" si="317"/>
        <v>#REF!</v>
      </c>
      <c r="I1806" s="670" t="e">
        <f>#REF!</f>
        <v>#REF!</v>
      </c>
      <c r="J1806" s="670" t="e">
        <f t="shared" si="315"/>
        <v>#REF!</v>
      </c>
      <c r="K1806" s="670" t="e">
        <f>#REF!</f>
        <v>#REF!</v>
      </c>
      <c r="L1806" s="670" t="e">
        <f t="shared" si="318"/>
        <v>#REF!</v>
      </c>
      <c r="M1806" s="670" t="e">
        <f t="shared" si="316"/>
        <v>#REF!</v>
      </c>
      <c r="N1806" s="670" t="e">
        <f t="shared" si="316"/>
        <v>#REF!</v>
      </c>
      <c r="O1806" s="671"/>
      <c r="P1806" s="672"/>
      <c r="Q1806" s="688">
        <f t="shared" si="319"/>
        <v>2500</v>
      </c>
      <c r="R1806" s="688">
        <f t="shared" si="319"/>
        <v>25</v>
      </c>
      <c r="S1806" s="688">
        <v>1</v>
      </c>
      <c r="T1806" s="690">
        <f t="shared" si="320"/>
        <v>0.04</v>
      </c>
      <c r="U1806" s="688"/>
      <c r="V1806" s="688"/>
    </row>
    <row r="1807" spans="1:22" s="688" customFormat="1" ht="17.100000000000001" customHeight="1">
      <c r="A1807" s="1316" t="s">
        <v>1177</v>
      </c>
      <c r="B1807" s="1317"/>
      <c r="C1807" s="1316" t="s">
        <v>1178</v>
      </c>
      <c r="D1807" s="1317"/>
      <c r="E1807" s="686">
        <v>0.45710000000000001</v>
      </c>
      <c r="F1807" s="676" t="s">
        <v>418</v>
      </c>
      <c r="G1807" s="670" t="e">
        <f>#REF!</f>
        <v>#REF!</v>
      </c>
      <c r="H1807" s="670" t="e">
        <f t="shared" si="317"/>
        <v>#REF!</v>
      </c>
      <c r="I1807" s="670" t="e">
        <f>#REF!</f>
        <v>#REF!</v>
      </c>
      <c r="J1807" s="670" t="e">
        <f t="shared" si="315"/>
        <v>#REF!</v>
      </c>
      <c r="K1807" s="670" t="e">
        <f>#REF!</f>
        <v>#REF!</v>
      </c>
      <c r="L1807" s="670" t="e">
        <f t="shared" si="318"/>
        <v>#REF!</v>
      </c>
      <c r="M1807" s="670" t="e">
        <f t="shared" si="316"/>
        <v>#REF!</v>
      </c>
      <c r="N1807" s="670" t="e">
        <f t="shared" si="316"/>
        <v>#REF!</v>
      </c>
      <c r="O1807" s="671"/>
      <c r="P1807" s="672"/>
      <c r="Q1807" s="688">
        <f t="shared" si="319"/>
        <v>2500</v>
      </c>
      <c r="R1807" s="688">
        <f t="shared" si="319"/>
        <v>25</v>
      </c>
      <c r="S1807" s="688">
        <v>8</v>
      </c>
      <c r="T1807" s="690">
        <f t="shared" si="320"/>
        <v>0.32</v>
      </c>
    </row>
    <row r="1808" spans="1:22" s="688" customFormat="1" ht="17.100000000000001" customHeight="1">
      <c r="A1808" s="1316" t="s">
        <v>630</v>
      </c>
      <c r="B1808" s="1317"/>
      <c r="C1808" s="1367" t="s">
        <v>1251</v>
      </c>
      <c r="D1808" s="1327"/>
      <c r="E1808" s="683">
        <v>0.2286</v>
      </c>
      <c r="F1808" s="676" t="s">
        <v>418</v>
      </c>
      <c r="G1808" s="670" t="e">
        <f>#REF!</f>
        <v>#REF!</v>
      </c>
      <c r="H1808" s="670" t="e">
        <f t="shared" si="317"/>
        <v>#REF!</v>
      </c>
      <c r="I1808" s="670" t="e">
        <f>#REF!</f>
        <v>#REF!</v>
      </c>
      <c r="J1808" s="670" t="e">
        <f>INT(E1808*I1808)</f>
        <v>#REF!</v>
      </c>
      <c r="K1808" s="670" t="e">
        <f>#REF!</f>
        <v>#REF!</v>
      </c>
      <c r="L1808" s="670" t="e">
        <f t="shared" si="318"/>
        <v>#REF!</v>
      </c>
      <c r="M1808" s="670" t="e">
        <f t="shared" si="316"/>
        <v>#REF!</v>
      </c>
      <c r="N1808" s="670" t="e">
        <f t="shared" si="316"/>
        <v>#REF!</v>
      </c>
      <c r="O1808" s="671"/>
      <c r="P1808" s="672"/>
      <c r="Q1808" s="688">
        <f t="shared" si="319"/>
        <v>2500</v>
      </c>
      <c r="R1808" s="688">
        <f t="shared" si="319"/>
        <v>25</v>
      </c>
      <c r="S1808" s="688">
        <v>8</v>
      </c>
      <c r="T1808" s="690">
        <f t="shared" si="320"/>
        <v>0.32</v>
      </c>
    </row>
    <row r="1809" spans="1:22" s="688" customFormat="1" ht="17.100000000000001" customHeight="1">
      <c r="A1809" s="1318" t="s">
        <v>1320</v>
      </c>
      <c r="B1809" s="1319"/>
      <c r="C1809" s="1316"/>
      <c r="D1809" s="1317"/>
      <c r="E1809" s="686"/>
      <c r="F1809" s="676"/>
      <c r="G1809" s="670"/>
      <c r="H1809" s="670" t="e">
        <f>SUM(H1799:H1808)</f>
        <v>#REF!</v>
      </c>
      <c r="I1809" s="670"/>
      <c r="J1809" s="670" t="e">
        <f>SUM(J1799:J1808)</f>
        <v>#REF!</v>
      </c>
      <c r="K1809" s="670"/>
      <c r="L1809" s="670" t="e">
        <f>SUM(L1799:L1808)</f>
        <v>#REF!</v>
      </c>
      <c r="M1809" s="670"/>
      <c r="N1809" s="670" t="e">
        <f>SUM(N1799:N1808)</f>
        <v>#REF!</v>
      </c>
      <c r="O1809" s="671"/>
      <c r="P1809" s="672"/>
      <c r="Q1809" s="688">
        <f t="shared" si="319"/>
        <v>2500</v>
      </c>
      <c r="R1809" s="688">
        <f t="shared" si="319"/>
        <v>25</v>
      </c>
      <c r="S1809" s="688">
        <v>8</v>
      </c>
      <c r="T1809" s="690">
        <f t="shared" si="320"/>
        <v>0.32</v>
      </c>
    </row>
    <row r="1810" spans="1:22" s="688" customFormat="1" ht="17.100000000000001" customHeight="1">
      <c r="A1810" s="668">
        <f>A1798+1</f>
        <v>306</v>
      </c>
      <c r="B1810" s="1320" t="s">
        <v>2001</v>
      </c>
      <c r="C1810" s="1320"/>
      <c r="D1810" s="1328" t="s">
        <v>2009</v>
      </c>
      <c r="E1810" s="1328"/>
      <c r="F1810" s="669" t="s">
        <v>1458</v>
      </c>
      <c r="G1810" s="698"/>
      <c r="H1810" s="698"/>
      <c r="I1810" s="698"/>
      <c r="J1810" s="698"/>
      <c r="K1810" s="670"/>
      <c r="L1810" s="670"/>
      <c r="M1810" s="670"/>
      <c r="N1810" s="698"/>
      <c r="O1810" s="800" t="s">
        <v>1562</v>
      </c>
      <c r="P1810" s="672"/>
      <c r="Q1810" s="688">
        <f t="shared" si="319"/>
        <v>2500</v>
      </c>
      <c r="R1810" s="688">
        <f t="shared" si="319"/>
        <v>25</v>
      </c>
      <c r="S1810" s="688">
        <v>8</v>
      </c>
      <c r="T1810" s="690">
        <f t="shared" si="320"/>
        <v>0.32</v>
      </c>
    </row>
    <row r="1811" spans="1:22" s="688" customFormat="1" ht="17.100000000000001" customHeight="1">
      <c r="A1811" s="1316" t="s">
        <v>1676</v>
      </c>
      <c r="B1811" s="1317"/>
      <c r="C1811" s="1316" t="s">
        <v>1677</v>
      </c>
      <c r="D1811" s="1317"/>
      <c r="E1811" s="686"/>
      <c r="F1811" s="676" t="s">
        <v>915</v>
      </c>
      <c r="G1811" s="670"/>
      <c r="H1811" s="670"/>
      <c r="I1811" s="670"/>
      <c r="J1811" s="670"/>
      <c r="K1811" s="670"/>
      <c r="L1811" s="670"/>
      <c r="M1811" s="670"/>
      <c r="N1811" s="670"/>
      <c r="O1811" s="671"/>
      <c r="P1811" s="672"/>
      <c r="Q1811" s="688">
        <f t="shared" si="319"/>
        <v>2500</v>
      </c>
      <c r="R1811" s="688">
        <f t="shared" si="319"/>
        <v>25</v>
      </c>
      <c r="S1811" s="688">
        <v>4</v>
      </c>
      <c r="T1811" s="690">
        <f t="shared" si="320"/>
        <v>0.16</v>
      </c>
    </row>
    <row r="1812" spans="1:22" s="688" customFormat="1" ht="17.100000000000001" customHeight="1">
      <c r="A1812" s="1316" t="s">
        <v>2008</v>
      </c>
      <c r="B1812" s="1317"/>
      <c r="C1812" s="1316" t="s">
        <v>2004</v>
      </c>
      <c r="D1812" s="1317"/>
      <c r="E1812" s="677">
        <v>1</v>
      </c>
      <c r="F1812" s="676" t="s">
        <v>1458</v>
      </c>
      <c r="G1812" s="670" t="e">
        <f>$H$1777</f>
        <v>#REF!</v>
      </c>
      <c r="H1812" s="670" t="e">
        <f>INT(E1812*G1812)</f>
        <v>#REF!</v>
      </c>
      <c r="I1812" s="670" t="e">
        <f>$J$1777</f>
        <v>#REF!</v>
      </c>
      <c r="J1812" s="670" t="e">
        <f>INT(E1812*I1812)</f>
        <v>#REF!</v>
      </c>
      <c r="K1812" s="670" t="e">
        <f>$L$1777</f>
        <v>#REF!</v>
      </c>
      <c r="L1812" s="670" t="e">
        <f>INT(E1812*K1812)</f>
        <v>#REF!</v>
      </c>
      <c r="M1812" s="670" t="e">
        <f>G1812+I1812+K1812</f>
        <v>#REF!</v>
      </c>
      <c r="N1812" s="670" t="e">
        <f>H1812+J1812+L1812</f>
        <v>#REF!</v>
      </c>
      <c r="O1812" s="671">
        <f>$A$1773</f>
        <v>301</v>
      </c>
      <c r="P1812" s="672"/>
      <c r="Q1812" s="687"/>
      <c r="S1812" s="728"/>
      <c r="T1812" s="728"/>
    </row>
    <row r="1813" spans="1:22" s="688" customFormat="1" ht="17.100000000000001" customHeight="1">
      <c r="A1813" s="1316" t="s">
        <v>540</v>
      </c>
      <c r="B1813" s="1317"/>
      <c r="C1813" s="1316"/>
      <c r="D1813" s="1317"/>
      <c r="E1813" s="683">
        <v>0.1875</v>
      </c>
      <c r="F1813" s="676" t="s">
        <v>366</v>
      </c>
      <c r="G1813" s="670"/>
      <c r="H1813" s="670"/>
      <c r="I1813" s="670">
        <f>[53]노임단가!$T$22</f>
        <v>273308</v>
      </c>
      <c r="J1813" s="670">
        <f t="shared" ref="J1813:J1819" si="321">INT(E1813*I1813)</f>
        <v>51245</v>
      </c>
      <c r="K1813" s="670"/>
      <c r="L1813" s="670"/>
      <c r="M1813" s="670">
        <f t="shared" ref="M1813:N1820" si="322">G1813+I1813+K1813</f>
        <v>273308</v>
      </c>
      <c r="N1813" s="670">
        <f t="shared" si="322"/>
        <v>51245</v>
      </c>
      <c r="O1813" s="671"/>
      <c r="P1813" s="794"/>
      <c r="Q1813" s="687" t="s">
        <v>1446</v>
      </c>
      <c r="R1813" s="688" t="s">
        <v>1447</v>
      </c>
      <c r="S1813" s="688" t="s">
        <v>1425</v>
      </c>
      <c r="T1813" s="688" t="s">
        <v>1426</v>
      </c>
    </row>
    <row r="1814" spans="1:22" s="688" customFormat="1" ht="17.100000000000001" customHeight="1">
      <c r="A1814" s="1316" t="s">
        <v>248</v>
      </c>
      <c r="B1814" s="1317"/>
      <c r="C1814" s="1367" t="s">
        <v>2005</v>
      </c>
      <c r="D1814" s="1327"/>
      <c r="E1814" s="683">
        <v>6.25E-2</v>
      </c>
      <c r="F1814" s="676" t="s">
        <v>366</v>
      </c>
      <c r="G1814" s="670"/>
      <c r="H1814" s="670"/>
      <c r="I1814" s="670">
        <f>[53]노임단가!$T$5</f>
        <v>172068</v>
      </c>
      <c r="J1814" s="670">
        <f t="shared" si="321"/>
        <v>10754</v>
      </c>
      <c r="K1814" s="670"/>
      <c r="L1814" s="670"/>
      <c r="M1814" s="670">
        <f t="shared" si="322"/>
        <v>172068</v>
      </c>
      <c r="N1814" s="670">
        <f t="shared" si="322"/>
        <v>10754</v>
      </c>
      <c r="O1814" s="671"/>
      <c r="P1814" s="672" t="s">
        <v>2006</v>
      </c>
      <c r="Q1814" s="688">
        <v>4900</v>
      </c>
      <c r="R1814" s="688">
        <f>(Q1814)/100</f>
        <v>49</v>
      </c>
      <c r="S1814" s="688">
        <v>0</v>
      </c>
      <c r="T1814" s="690"/>
    </row>
    <row r="1815" spans="1:22" s="688" customFormat="1" ht="17.100000000000001" customHeight="1">
      <c r="A1815" s="1316" t="s">
        <v>1209</v>
      </c>
      <c r="B1815" s="1317"/>
      <c r="C1815" s="1316" t="s">
        <v>1210</v>
      </c>
      <c r="D1815" s="1317"/>
      <c r="E1815" s="686">
        <v>0.5</v>
      </c>
      <c r="F1815" s="676" t="s">
        <v>418</v>
      </c>
      <c r="G1815" s="670" t="e">
        <f>#REF!</f>
        <v>#REF!</v>
      </c>
      <c r="H1815" s="670" t="e">
        <f t="shared" ref="H1815:H1820" si="323">INT(E1815*G1815)</f>
        <v>#REF!</v>
      </c>
      <c r="I1815" s="670" t="e">
        <f>#REF!</f>
        <v>#REF!</v>
      </c>
      <c r="J1815" s="670" t="e">
        <f t="shared" si="321"/>
        <v>#REF!</v>
      </c>
      <c r="K1815" s="670" t="e">
        <f>#REF!</f>
        <v>#REF!</v>
      </c>
      <c r="L1815" s="670" t="e">
        <f t="shared" ref="L1815:L1820" si="324">INT(E1815*K1815)</f>
        <v>#REF!</v>
      </c>
      <c r="M1815" s="670" t="e">
        <f t="shared" si="322"/>
        <v>#REF!</v>
      </c>
      <c r="N1815" s="670" t="e">
        <f t="shared" si="322"/>
        <v>#REF!</v>
      </c>
      <c r="O1815" s="671"/>
      <c r="P1815" s="672"/>
      <c r="Q1815" s="688">
        <f t="shared" ref="Q1815:R1822" si="325">Q1814</f>
        <v>4900</v>
      </c>
      <c r="R1815" s="688">
        <f t="shared" si="325"/>
        <v>49</v>
      </c>
      <c r="S1815" s="688">
        <v>0</v>
      </c>
      <c r="T1815" s="690">
        <f t="shared" ref="T1815:T1822" si="326">ROUND(S1815/R1815,4)</f>
        <v>0</v>
      </c>
    </row>
    <row r="1816" spans="1:22" s="688" customFormat="1" ht="17.100000000000001" customHeight="1">
      <c r="A1816" s="1362" t="s">
        <v>409</v>
      </c>
      <c r="B1816" s="1363"/>
      <c r="C1816" s="1362" t="s">
        <v>397</v>
      </c>
      <c r="D1816" s="1363"/>
      <c r="E1816" s="686">
        <v>0.5</v>
      </c>
      <c r="F1816" s="676" t="s">
        <v>418</v>
      </c>
      <c r="G1816" s="670" t="e">
        <f>$G$1660</f>
        <v>#REF!</v>
      </c>
      <c r="H1816" s="670" t="e">
        <f t="shared" si="323"/>
        <v>#REF!</v>
      </c>
      <c r="I1816" s="670" t="e">
        <f>$I$1660</f>
        <v>#REF!</v>
      </c>
      <c r="J1816" s="670" t="e">
        <f t="shared" si="321"/>
        <v>#REF!</v>
      </c>
      <c r="K1816" s="670" t="e">
        <f>$K$1660</f>
        <v>#REF!</v>
      </c>
      <c r="L1816" s="670" t="e">
        <f t="shared" si="324"/>
        <v>#REF!</v>
      </c>
      <c r="M1816" s="670" t="e">
        <f t="shared" si="322"/>
        <v>#REF!</v>
      </c>
      <c r="N1816" s="670" t="e">
        <f t="shared" si="322"/>
        <v>#REF!</v>
      </c>
      <c r="O1816" s="671"/>
      <c r="P1816" s="672"/>
      <c r="Q1816" s="688">
        <f t="shared" si="325"/>
        <v>4900</v>
      </c>
      <c r="R1816" s="688">
        <f t="shared" si="325"/>
        <v>49</v>
      </c>
      <c r="S1816" s="688">
        <v>4</v>
      </c>
      <c r="T1816" s="690">
        <f t="shared" si="326"/>
        <v>8.1600000000000006E-2</v>
      </c>
    </row>
    <row r="1817" spans="1:22" s="688" customFormat="1" ht="17.100000000000001" customHeight="1">
      <c r="A1817" s="1316" t="s">
        <v>1172</v>
      </c>
      <c r="B1817" s="1317"/>
      <c r="C1817" s="1316" t="s">
        <v>1173</v>
      </c>
      <c r="D1817" s="1317"/>
      <c r="E1817" s="686">
        <v>0.5</v>
      </c>
      <c r="F1817" s="676" t="s">
        <v>418</v>
      </c>
      <c r="G1817" s="670" t="e">
        <f>#REF!</f>
        <v>#REF!</v>
      </c>
      <c r="H1817" s="670" t="e">
        <f t="shared" si="323"/>
        <v>#REF!</v>
      </c>
      <c r="I1817" s="670" t="e">
        <f>#REF!</f>
        <v>#REF!</v>
      </c>
      <c r="J1817" s="670" t="e">
        <f t="shared" si="321"/>
        <v>#REF!</v>
      </c>
      <c r="K1817" s="670" t="e">
        <f>#REF!</f>
        <v>#REF!</v>
      </c>
      <c r="L1817" s="670" t="e">
        <f t="shared" si="324"/>
        <v>#REF!</v>
      </c>
      <c r="M1817" s="670" t="e">
        <f t="shared" si="322"/>
        <v>#REF!</v>
      </c>
      <c r="N1817" s="670" t="e">
        <f t="shared" si="322"/>
        <v>#REF!</v>
      </c>
      <c r="O1817" s="671"/>
      <c r="P1817" s="672"/>
      <c r="Q1817" s="688">
        <f t="shared" si="325"/>
        <v>4900</v>
      </c>
      <c r="R1817" s="688">
        <f t="shared" si="325"/>
        <v>49</v>
      </c>
      <c r="S1817" s="688">
        <v>1</v>
      </c>
      <c r="T1817" s="690">
        <f t="shared" si="326"/>
        <v>2.0400000000000001E-2</v>
      </c>
    </row>
    <row r="1818" spans="1:22" s="688" customFormat="1" ht="17.100000000000001" customHeight="1">
      <c r="A1818" s="1316" t="s">
        <v>1188</v>
      </c>
      <c r="B1818" s="1317"/>
      <c r="C1818" s="1316" t="s">
        <v>1178</v>
      </c>
      <c r="D1818" s="1317"/>
      <c r="E1818" s="686">
        <v>0.5</v>
      </c>
      <c r="F1818" s="676" t="s">
        <v>418</v>
      </c>
      <c r="G1818" s="670" t="e">
        <f>#REF!</f>
        <v>#REF!</v>
      </c>
      <c r="H1818" s="670" t="e">
        <f t="shared" si="323"/>
        <v>#REF!</v>
      </c>
      <c r="I1818" s="670" t="e">
        <f>#REF!</f>
        <v>#REF!</v>
      </c>
      <c r="J1818" s="670" t="e">
        <f t="shared" si="321"/>
        <v>#REF!</v>
      </c>
      <c r="K1818" s="670" t="e">
        <f>#REF!</f>
        <v>#REF!</v>
      </c>
      <c r="L1818" s="670" t="e">
        <f t="shared" si="324"/>
        <v>#REF!</v>
      </c>
      <c r="M1818" s="670" t="e">
        <f t="shared" si="322"/>
        <v>#REF!</v>
      </c>
      <c r="N1818" s="670" t="e">
        <f t="shared" si="322"/>
        <v>#REF!</v>
      </c>
      <c r="O1818" s="671"/>
      <c r="P1818" s="672"/>
      <c r="Q1818" s="688">
        <f t="shared" si="325"/>
        <v>4900</v>
      </c>
      <c r="R1818" s="688">
        <f t="shared" si="325"/>
        <v>49</v>
      </c>
      <c r="S1818" s="688">
        <v>8</v>
      </c>
      <c r="T1818" s="690">
        <f t="shared" si="326"/>
        <v>0.1633</v>
      </c>
    </row>
    <row r="1819" spans="1:22" s="688" customFormat="1" ht="17.100000000000001" customHeight="1">
      <c r="A1819" s="1316" t="s">
        <v>1177</v>
      </c>
      <c r="B1819" s="1317"/>
      <c r="C1819" s="1316" t="s">
        <v>1178</v>
      </c>
      <c r="D1819" s="1317"/>
      <c r="E1819" s="686">
        <v>0.5</v>
      </c>
      <c r="F1819" s="676" t="s">
        <v>418</v>
      </c>
      <c r="G1819" s="670" t="e">
        <f>#REF!</f>
        <v>#REF!</v>
      </c>
      <c r="H1819" s="670" t="e">
        <f t="shared" si="323"/>
        <v>#REF!</v>
      </c>
      <c r="I1819" s="670" t="e">
        <f>#REF!</f>
        <v>#REF!</v>
      </c>
      <c r="J1819" s="670" t="e">
        <f t="shared" si="321"/>
        <v>#REF!</v>
      </c>
      <c r="K1819" s="670" t="e">
        <f>#REF!</f>
        <v>#REF!</v>
      </c>
      <c r="L1819" s="670" t="e">
        <f t="shared" si="324"/>
        <v>#REF!</v>
      </c>
      <c r="M1819" s="670" t="e">
        <f t="shared" si="322"/>
        <v>#REF!</v>
      </c>
      <c r="N1819" s="670" t="e">
        <f t="shared" si="322"/>
        <v>#REF!</v>
      </c>
      <c r="O1819" s="671"/>
      <c r="P1819" s="672"/>
      <c r="Q1819" s="688">
        <f t="shared" si="325"/>
        <v>4900</v>
      </c>
      <c r="R1819" s="688">
        <f t="shared" si="325"/>
        <v>49</v>
      </c>
      <c r="S1819" s="688">
        <v>8</v>
      </c>
      <c r="T1819" s="690">
        <f t="shared" si="326"/>
        <v>0.1633</v>
      </c>
    </row>
    <row r="1820" spans="1:22" s="688" customFormat="1" ht="17.100000000000001" customHeight="1">
      <c r="A1820" s="1316" t="s">
        <v>630</v>
      </c>
      <c r="B1820" s="1317"/>
      <c r="C1820" s="1367" t="s">
        <v>1251</v>
      </c>
      <c r="D1820" s="1327"/>
      <c r="E1820" s="683">
        <v>0.25</v>
      </c>
      <c r="F1820" s="676" t="s">
        <v>418</v>
      </c>
      <c r="G1820" s="670" t="e">
        <f>#REF!</f>
        <v>#REF!</v>
      </c>
      <c r="H1820" s="670" t="e">
        <f t="shared" si="323"/>
        <v>#REF!</v>
      </c>
      <c r="I1820" s="670" t="e">
        <f>#REF!</f>
        <v>#REF!</v>
      </c>
      <c r="J1820" s="670" t="e">
        <f>INT(E1820*I1820)</f>
        <v>#REF!</v>
      </c>
      <c r="K1820" s="670" t="e">
        <f>#REF!</f>
        <v>#REF!</v>
      </c>
      <c r="L1820" s="670" t="e">
        <f t="shared" si="324"/>
        <v>#REF!</v>
      </c>
      <c r="M1820" s="670" t="e">
        <f t="shared" si="322"/>
        <v>#REF!</v>
      </c>
      <c r="N1820" s="670" t="e">
        <f t="shared" si="322"/>
        <v>#REF!</v>
      </c>
      <c r="O1820" s="671"/>
      <c r="P1820" s="672"/>
      <c r="Q1820" s="688">
        <f t="shared" si="325"/>
        <v>4900</v>
      </c>
      <c r="R1820" s="688">
        <f t="shared" si="325"/>
        <v>49</v>
      </c>
      <c r="S1820" s="688">
        <v>8</v>
      </c>
      <c r="T1820" s="690">
        <f t="shared" si="326"/>
        <v>0.1633</v>
      </c>
    </row>
    <row r="1821" spans="1:22" s="688" customFormat="1" ht="17.100000000000001" customHeight="1">
      <c r="A1821" s="1318" t="s">
        <v>1320</v>
      </c>
      <c r="B1821" s="1319"/>
      <c r="C1821" s="1316"/>
      <c r="D1821" s="1317"/>
      <c r="E1821" s="686"/>
      <c r="F1821" s="676"/>
      <c r="G1821" s="670"/>
      <c r="H1821" s="670" t="e">
        <f>SUM(H1811:H1820)</f>
        <v>#REF!</v>
      </c>
      <c r="I1821" s="670"/>
      <c r="J1821" s="670" t="e">
        <f>SUM(J1811:J1820)</f>
        <v>#REF!</v>
      </c>
      <c r="K1821" s="670"/>
      <c r="L1821" s="670" t="e">
        <f>SUM(L1811:L1820)</f>
        <v>#REF!</v>
      </c>
      <c r="M1821" s="670"/>
      <c r="N1821" s="670" t="e">
        <f>SUM(N1811:N1820)</f>
        <v>#REF!</v>
      </c>
      <c r="O1821" s="671"/>
      <c r="P1821" s="672"/>
      <c r="Q1821" s="688">
        <f t="shared" si="325"/>
        <v>4900</v>
      </c>
      <c r="R1821" s="688">
        <f t="shared" si="325"/>
        <v>49</v>
      </c>
      <c r="S1821" s="688">
        <v>8</v>
      </c>
      <c r="T1821" s="690">
        <f t="shared" si="326"/>
        <v>0.1633</v>
      </c>
      <c r="U1821" s="690">
        <f>ROUND(T1828,-4)</f>
        <v>0</v>
      </c>
      <c r="V1821" s="690"/>
    </row>
    <row r="1822" spans="1:22" s="688" customFormat="1" ht="17.100000000000001" customHeight="1">
      <c r="A1822" s="668">
        <f>A1810+1</f>
        <v>307</v>
      </c>
      <c r="B1822" s="1320" t="s">
        <v>2001</v>
      </c>
      <c r="C1822" s="1320"/>
      <c r="D1822" s="1320" t="s">
        <v>2010</v>
      </c>
      <c r="E1822" s="1320"/>
      <c r="F1822" s="669" t="s">
        <v>1458</v>
      </c>
      <c r="G1822" s="698"/>
      <c r="H1822" s="698"/>
      <c r="I1822" s="698"/>
      <c r="J1822" s="698"/>
      <c r="K1822" s="670"/>
      <c r="L1822" s="670"/>
      <c r="M1822" s="670"/>
      <c r="N1822" s="698"/>
      <c r="O1822" s="800" t="s">
        <v>1562</v>
      </c>
      <c r="P1822" s="672"/>
      <c r="Q1822" s="688">
        <f t="shared" si="325"/>
        <v>4900</v>
      </c>
      <c r="R1822" s="688">
        <f t="shared" si="325"/>
        <v>49</v>
      </c>
      <c r="S1822" s="688">
        <v>4</v>
      </c>
      <c r="T1822" s="690">
        <f t="shared" si="326"/>
        <v>8.1600000000000006E-2</v>
      </c>
    </row>
    <row r="1823" spans="1:22" s="688" customFormat="1" ht="17.100000000000001" customHeight="1">
      <c r="A1823" s="1316" t="s">
        <v>1676</v>
      </c>
      <c r="B1823" s="1317"/>
      <c r="C1823" s="1316" t="s">
        <v>1677</v>
      </c>
      <c r="D1823" s="1317"/>
      <c r="E1823" s="686"/>
      <c r="F1823" s="676" t="s">
        <v>915</v>
      </c>
      <c r="G1823" s="670"/>
      <c r="H1823" s="670"/>
      <c r="I1823" s="670"/>
      <c r="J1823" s="670"/>
      <c r="K1823" s="670"/>
      <c r="L1823" s="670"/>
      <c r="M1823" s="670"/>
      <c r="N1823" s="670"/>
      <c r="O1823" s="671"/>
      <c r="P1823" s="672"/>
      <c r="Q1823" s="687"/>
      <c r="S1823" s="728"/>
      <c r="T1823" s="690"/>
    </row>
    <row r="1824" spans="1:22" s="688" customFormat="1" ht="17.100000000000001" customHeight="1">
      <c r="A1824" s="1316" t="s">
        <v>2008</v>
      </c>
      <c r="B1824" s="1317"/>
      <c r="C1824" s="1316" t="s">
        <v>2004</v>
      </c>
      <c r="D1824" s="1317"/>
      <c r="E1824" s="677">
        <v>1</v>
      </c>
      <c r="F1824" s="676" t="s">
        <v>1458</v>
      </c>
      <c r="G1824" s="670" t="e">
        <f>$H$1777</f>
        <v>#REF!</v>
      </c>
      <c r="H1824" s="670" t="e">
        <f>INT(E1824*G1824)</f>
        <v>#REF!</v>
      </c>
      <c r="I1824" s="670" t="e">
        <f>$J$1777</f>
        <v>#REF!</v>
      </c>
      <c r="J1824" s="670" t="e">
        <f>INT(E1824*I1824)</f>
        <v>#REF!</v>
      </c>
      <c r="K1824" s="670" t="e">
        <f>$L$1777</f>
        <v>#REF!</v>
      </c>
      <c r="L1824" s="670" t="e">
        <f>INT(E1824*K1824)</f>
        <v>#REF!</v>
      </c>
      <c r="M1824" s="670" t="e">
        <f>G1824+I1824+K1824</f>
        <v>#REF!</v>
      </c>
      <c r="N1824" s="670" t="e">
        <f>H1824+J1824+L1824</f>
        <v>#REF!</v>
      </c>
      <c r="O1824" s="671">
        <f>$A$1773</f>
        <v>301</v>
      </c>
      <c r="P1824" s="794"/>
      <c r="Q1824" s="687" t="s">
        <v>1446</v>
      </c>
      <c r="R1824" s="688" t="s">
        <v>1447</v>
      </c>
      <c r="S1824" s="688" t="s">
        <v>1425</v>
      </c>
      <c r="T1824" s="688" t="s">
        <v>1426</v>
      </c>
    </row>
    <row r="1825" spans="1:20" s="688" customFormat="1" ht="17.100000000000001" customHeight="1">
      <c r="A1825" s="1316" t="s">
        <v>540</v>
      </c>
      <c r="B1825" s="1317"/>
      <c r="C1825" s="1316"/>
      <c r="D1825" s="1317"/>
      <c r="E1825" s="686">
        <v>0.14810000000000001</v>
      </c>
      <c r="F1825" s="676" t="s">
        <v>366</v>
      </c>
      <c r="G1825" s="670"/>
      <c r="H1825" s="670"/>
      <c r="I1825" s="670">
        <f>[53]노임단가!$T$22</f>
        <v>273308</v>
      </c>
      <c r="J1825" s="670">
        <f t="shared" ref="J1825:J1830" si="327">INT(E1825*I1825)</f>
        <v>40476</v>
      </c>
      <c r="K1825" s="670"/>
      <c r="L1825" s="670"/>
      <c r="M1825" s="670">
        <f t="shared" ref="M1825:N1831" si="328">G1825+I1825+K1825</f>
        <v>273308</v>
      </c>
      <c r="N1825" s="670">
        <f t="shared" si="328"/>
        <v>40476</v>
      </c>
      <c r="O1825" s="671"/>
      <c r="P1825" s="672" t="s">
        <v>2006</v>
      </c>
      <c r="Q1825" s="688">
        <v>4500</v>
      </c>
      <c r="R1825" s="688">
        <f>(Q1825)/100</f>
        <v>45</v>
      </c>
      <c r="S1825" s="688">
        <v>0</v>
      </c>
      <c r="T1825" s="690"/>
    </row>
    <row r="1826" spans="1:20" s="688" customFormat="1" ht="17.100000000000001" customHeight="1">
      <c r="A1826" s="1316" t="s">
        <v>248</v>
      </c>
      <c r="B1826" s="1317"/>
      <c r="C1826" s="1316"/>
      <c r="D1826" s="1317"/>
      <c r="E1826" s="686">
        <v>3.6999999999999998E-2</v>
      </c>
      <c r="F1826" s="676" t="s">
        <v>366</v>
      </c>
      <c r="G1826" s="670"/>
      <c r="H1826" s="670"/>
      <c r="I1826" s="670">
        <f>[53]노임단가!$T$5</f>
        <v>172068</v>
      </c>
      <c r="J1826" s="670">
        <f t="shared" si="327"/>
        <v>6366</v>
      </c>
      <c r="K1826" s="670"/>
      <c r="L1826" s="670"/>
      <c r="M1826" s="670">
        <f t="shared" si="328"/>
        <v>172068</v>
      </c>
      <c r="N1826" s="670">
        <f t="shared" si="328"/>
        <v>6366</v>
      </c>
      <c r="O1826" s="671"/>
      <c r="P1826" s="672"/>
      <c r="Q1826" s="688">
        <f t="shared" ref="Q1826:R1833" si="329">Q1825</f>
        <v>4500</v>
      </c>
      <c r="R1826" s="688">
        <f t="shared" si="329"/>
        <v>45</v>
      </c>
      <c r="S1826" s="688">
        <v>0</v>
      </c>
      <c r="T1826" s="690">
        <f t="shared" ref="T1826:T1833" si="330">ROUND(S1826/R1826,4)</f>
        <v>0</v>
      </c>
    </row>
    <row r="1827" spans="1:20" s="688" customFormat="1" ht="17.100000000000001" customHeight="1">
      <c r="A1827" s="1316" t="s">
        <v>1209</v>
      </c>
      <c r="B1827" s="1317"/>
      <c r="C1827" s="1316" t="s">
        <v>2011</v>
      </c>
      <c r="D1827" s="1317"/>
      <c r="E1827" s="686">
        <v>0.29630000000000001</v>
      </c>
      <c r="F1827" s="676" t="s">
        <v>418</v>
      </c>
      <c r="G1827" s="670" t="e">
        <f>#REF!</f>
        <v>#REF!</v>
      </c>
      <c r="H1827" s="670" t="e">
        <f>INT(E1827*G1827)</f>
        <v>#REF!</v>
      </c>
      <c r="I1827" s="670" t="e">
        <f>#REF!</f>
        <v>#REF!</v>
      </c>
      <c r="J1827" s="670" t="e">
        <f t="shared" si="327"/>
        <v>#REF!</v>
      </c>
      <c r="K1827" s="670" t="e">
        <f>#REF!</f>
        <v>#REF!</v>
      </c>
      <c r="L1827" s="670" t="e">
        <f>INT(E1827*K1827)</f>
        <v>#REF!</v>
      </c>
      <c r="M1827" s="670" t="e">
        <f t="shared" si="328"/>
        <v>#REF!</v>
      </c>
      <c r="N1827" s="670" t="e">
        <f t="shared" si="328"/>
        <v>#REF!</v>
      </c>
      <c r="O1827" s="671"/>
      <c r="P1827" s="672"/>
      <c r="Q1827" s="688">
        <f t="shared" si="329"/>
        <v>4500</v>
      </c>
      <c r="R1827" s="688">
        <f t="shared" si="329"/>
        <v>45</v>
      </c>
      <c r="S1827" s="688">
        <v>4</v>
      </c>
      <c r="T1827" s="690">
        <f t="shared" si="330"/>
        <v>8.8900000000000007E-2</v>
      </c>
    </row>
    <row r="1828" spans="1:20" s="688" customFormat="1" ht="17.100000000000001" customHeight="1">
      <c r="A1828" s="1316" t="s">
        <v>1172</v>
      </c>
      <c r="B1828" s="1317"/>
      <c r="C1828" s="1316" t="s">
        <v>1175</v>
      </c>
      <c r="D1828" s="1317"/>
      <c r="E1828" s="686">
        <v>0.29630000000000001</v>
      </c>
      <c r="F1828" s="676" t="s">
        <v>418</v>
      </c>
      <c r="G1828" s="670" t="e">
        <f>#REF!</f>
        <v>#REF!</v>
      </c>
      <c r="H1828" s="670" t="e">
        <f>INT(E1828*G1828)</f>
        <v>#REF!</v>
      </c>
      <c r="I1828" s="670" t="e">
        <f>#REF!</f>
        <v>#REF!</v>
      </c>
      <c r="J1828" s="670" t="e">
        <f t="shared" si="327"/>
        <v>#REF!</v>
      </c>
      <c r="K1828" s="670" t="e">
        <f>#REF!</f>
        <v>#REF!</v>
      </c>
      <c r="L1828" s="670" t="e">
        <f>INT(E1828*K1828)</f>
        <v>#REF!</v>
      </c>
      <c r="M1828" s="670" t="e">
        <f t="shared" si="328"/>
        <v>#REF!</v>
      </c>
      <c r="N1828" s="670" t="e">
        <f t="shared" si="328"/>
        <v>#REF!</v>
      </c>
      <c r="O1828" s="671"/>
      <c r="P1828" s="672"/>
      <c r="Q1828" s="688">
        <f t="shared" si="329"/>
        <v>4500</v>
      </c>
      <c r="R1828" s="688">
        <f t="shared" si="329"/>
        <v>45</v>
      </c>
      <c r="S1828" s="688">
        <v>1</v>
      </c>
      <c r="T1828" s="690">
        <f t="shared" si="330"/>
        <v>2.2200000000000001E-2</v>
      </c>
    </row>
    <row r="1829" spans="1:20" s="688" customFormat="1" ht="17.100000000000001" customHeight="1">
      <c r="A1829" s="1316" t="s">
        <v>1188</v>
      </c>
      <c r="B1829" s="1317"/>
      <c r="C1829" s="1316" t="s">
        <v>1190</v>
      </c>
      <c r="D1829" s="1317"/>
      <c r="E1829" s="686">
        <v>0.29630000000000001</v>
      </c>
      <c r="F1829" s="676" t="s">
        <v>418</v>
      </c>
      <c r="G1829" s="670" t="e">
        <f>#REF!</f>
        <v>#REF!</v>
      </c>
      <c r="H1829" s="670" t="e">
        <f>INT(E1829*G1829)</f>
        <v>#REF!</v>
      </c>
      <c r="I1829" s="670" t="e">
        <f>#REF!</f>
        <v>#REF!</v>
      </c>
      <c r="J1829" s="670" t="e">
        <f t="shared" si="327"/>
        <v>#REF!</v>
      </c>
      <c r="K1829" s="670" t="e">
        <f>#REF!</f>
        <v>#REF!</v>
      </c>
      <c r="L1829" s="670" t="e">
        <f>INT(E1829*K1829)</f>
        <v>#REF!</v>
      </c>
      <c r="M1829" s="670" t="e">
        <f t="shared" si="328"/>
        <v>#REF!</v>
      </c>
      <c r="N1829" s="670" t="e">
        <f t="shared" si="328"/>
        <v>#REF!</v>
      </c>
      <c r="O1829" s="671"/>
      <c r="P1829" s="672"/>
      <c r="Q1829" s="688">
        <f t="shared" si="329"/>
        <v>4500</v>
      </c>
      <c r="R1829" s="688">
        <f t="shared" si="329"/>
        <v>45</v>
      </c>
      <c r="S1829" s="688">
        <v>8</v>
      </c>
      <c r="T1829" s="690">
        <f t="shared" si="330"/>
        <v>0.17780000000000001</v>
      </c>
    </row>
    <row r="1830" spans="1:20" s="688" customFormat="1" ht="17.100000000000001" customHeight="1">
      <c r="A1830" s="1316" t="s">
        <v>1177</v>
      </c>
      <c r="B1830" s="1317"/>
      <c r="C1830" s="1316" t="s">
        <v>1178</v>
      </c>
      <c r="D1830" s="1317"/>
      <c r="E1830" s="686">
        <v>0.29630000000000001</v>
      </c>
      <c r="F1830" s="676" t="s">
        <v>418</v>
      </c>
      <c r="G1830" s="670" t="e">
        <f>#REF!</f>
        <v>#REF!</v>
      </c>
      <c r="H1830" s="670" t="e">
        <f>INT(E1830*G1830)</f>
        <v>#REF!</v>
      </c>
      <c r="I1830" s="670" t="e">
        <f>#REF!</f>
        <v>#REF!</v>
      </c>
      <c r="J1830" s="670" t="e">
        <f t="shared" si="327"/>
        <v>#REF!</v>
      </c>
      <c r="K1830" s="670" t="e">
        <f>#REF!</f>
        <v>#REF!</v>
      </c>
      <c r="L1830" s="670" t="e">
        <f>INT(E1830*K1830)</f>
        <v>#REF!</v>
      </c>
      <c r="M1830" s="670" t="e">
        <f t="shared" si="328"/>
        <v>#REF!</v>
      </c>
      <c r="N1830" s="670" t="e">
        <f t="shared" si="328"/>
        <v>#REF!</v>
      </c>
      <c r="O1830" s="671"/>
      <c r="P1830" s="672"/>
      <c r="Q1830" s="688">
        <f t="shared" si="329"/>
        <v>4500</v>
      </c>
      <c r="R1830" s="688">
        <f t="shared" si="329"/>
        <v>45</v>
      </c>
      <c r="S1830" s="688">
        <v>8</v>
      </c>
      <c r="T1830" s="690">
        <f t="shared" si="330"/>
        <v>0.17780000000000001</v>
      </c>
    </row>
    <row r="1831" spans="1:20" s="688" customFormat="1" ht="17.100000000000001" customHeight="1">
      <c r="A1831" s="1316" t="s">
        <v>630</v>
      </c>
      <c r="B1831" s="1317"/>
      <c r="C1831" s="1316" t="s">
        <v>1395</v>
      </c>
      <c r="D1831" s="1317"/>
      <c r="E1831" s="686">
        <v>0.14810000000000001</v>
      </c>
      <c r="F1831" s="676" t="s">
        <v>418</v>
      </c>
      <c r="G1831" s="670" t="e">
        <f>#REF!</f>
        <v>#REF!</v>
      </c>
      <c r="H1831" s="670" t="e">
        <f>INT(E1831*G1831)</f>
        <v>#REF!</v>
      </c>
      <c r="I1831" s="670" t="e">
        <f>#REF!</f>
        <v>#REF!</v>
      </c>
      <c r="J1831" s="670" t="e">
        <f>INT(E1831*I1831)</f>
        <v>#REF!</v>
      </c>
      <c r="K1831" s="670" t="e">
        <f>#REF!</f>
        <v>#REF!</v>
      </c>
      <c r="L1831" s="670" t="e">
        <f>INT(E1831*K1831)</f>
        <v>#REF!</v>
      </c>
      <c r="M1831" s="670" t="e">
        <f t="shared" si="328"/>
        <v>#REF!</v>
      </c>
      <c r="N1831" s="670" t="e">
        <f t="shared" si="328"/>
        <v>#REF!</v>
      </c>
      <c r="O1831" s="671"/>
      <c r="P1831" s="672"/>
      <c r="Q1831" s="688">
        <f t="shared" si="329"/>
        <v>4500</v>
      </c>
      <c r="R1831" s="688">
        <f t="shared" si="329"/>
        <v>45</v>
      </c>
      <c r="S1831" s="688">
        <v>8</v>
      </c>
      <c r="T1831" s="690">
        <f t="shared" si="330"/>
        <v>0.17780000000000001</v>
      </c>
    </row>
    <row r="1832" spans="1:20" s="688" customFormat="1" ht="17.100000000000001" customHeight="1">
      <c r="A1832" s="1318" t="s">
        <v>1320</v>
      </c>
      <c r="B1832" s="1319"/>
      <c r="C1832" s="1316"/>
      <c r="D1832" s="1317"/>
      <c r="E1832" s="686"/>
      <c r="F1832" s="676"/>
      <c r="G1832" s="670"/>
      <c r="H1832" s="670" t="e">
        <f>SUM(H1823:H1831)</f>
        <v>#REF!</v>
      </c>
      <c r="I1832" s="670"/>
      <c r="J1832" s="670" t="e">
        <f>SUM(J1823:J1831)</f>
        <v>#REF!</v>
      </c>
      <c r="K1832" s="670"/>
      <c r="L1832" s="670" t="e">
        <f>SUM(L1823:L1831)</f>
        <v>#REF!</v>
      </c>
      <c r="M1832" s="670"/>
      <c r="N1832" s="670" t="e">
        <f>SUM(N1823:N1831)</f>
        <v>#REF!</v>
      </c>
      <c r="O1832" s="671"/>
      <c r="P1832" s="672"/>
      <c r="Q1832" s="688">
        <f t="shared" si="329"/>
        <v>4500</v>
      </c>
      <c r="R1832" s="688">
        <f t="shared" si="329"/>
        <v>45</v>
      </c>
      <c r="S1832" s="688">
        <v>8</v>
      </c>
      <c r="T1832" s="690">
        <f t="shared" si="330"/>
        <v>0.17780000000000001</v>
      </c>
    </row>
    <row r="1833" spans="1:20" s="688" customFormat="1" ht="17.100000000000001" customHeight="1">
      <c r="A1833" s="668">
        <f>A1822+1</f>
        <v>308</v>
      </c>
      <c r="B1833" s="1320" t="s">
        <v>2001</v>
      </c>
      <c r="C1833" s="1320"/>
      <c r="D1833" s="1320" t="s">
        <v>2012</v>
      </c>
      <c r="E1833" s="1320"/>
      <c r="F1833" s="669" t="s">
        <v>1458</v>
      </c>
      <c r="G1833" s="698"/>
      <c r="H1833" s="698"/>
      <c r="I1833" s="698"/>
      <c r="J1833" s="698"/>
      <c r="K1833" s="670"/>
      <c r="L1833" s="670"/>
      <c r="M1833" s="670"/>
      <c r="N1833" s="698"/>
      <c r="O1833" s="800" t="s">
        <v>1562</v>
      </c>
      <c r="P1833" s="672"/>
      <c r="Q1833" s="688">
        <f t="shared" si="329"/>
        <v>4500</v>
      </c>
      <c r="R1833" s="688">
        <f t="shared" si="329"/>
        <v>45</v>
      </c>
      <c r="S1833" s="688">
        <v>4</v>
      </c>
      <c r="T1833" s="690">
        <f t="shared" si="330"/>
        <v>8.8900000000000007E-2</v>
      </c>
    </row>
    <row r="1834" spans="1:20" s="688" customFormat="1" ht="17.100000000000001" customHeight="1">
      <c r="A1834" s="1316" t="s">
        <v>1676</v>
      </c>
      <c r="B1834" s="1317"/>
      <c r="C1834" s="1316" t="s">
        <v>1677</v>
      </c>
      <c r="D1834" s="1317"/>
      <c r="E1834" s="686"/>
      <c r="F1834" s="676" t="s">
        <v>915</v>
      </c>
      <c r="G1834" s="670"/>
      <c r="H1834" s="670"/>
      <c r="I1834" s="670"/>
      <c r="J1834" s="670"/>
      <c r="K1834" s="670"/>
      <c r="L1834" s="670"/>
      <c r="M1834" s="670"/>
      <c r="N1834" s="670"/>
      <c r="O1834" s="671"/>
      <c r="P1834" s="672"/>
      <c r="Q1834" s="687"/>
    </row>
    <row r="1835" spans="1:20" s="688" customFormat="1" ht="17.100000000000001" customHeight="1">
      <c r="A1835" s="1316" t="s">
        <v>2008</v>
      </c>
      <c r="B1835" s="1317"/>
      <c r="C1835" s="1316" t="s">
        <v>2004</v>
      </c>
      <c r="D1835" s="1317"/>
      <c r="E1835" s="677">
        <v>1</v>
      </c>
      <c r="F1835" s="676" t="s">
        <v>1458</v>
      </c>
      <c r="G1835" s="670" t="e">
        <f>$H$1777</f>
        <v>#REF!</v>
      </c>
      <c r="H1835" s="670" t="e">
        <f>INT(E1835*G1835)</f>
        <v>#REF!</v>
      </c>
      <c r="I1835" s="670" t="e">
        <f>$J$1777</f>
        <v>#REF!</v>
      </c>
      <c r="J1835" s="670" t="e">
        <f>INT(E1835*I1835)</f>
        <v>#REF!</v>
      </c>
      <c r="K1835" s="670" t="e">
        <f>$L$1777</f>
        <v>#REF!</v>
      </c>
      <c r="L1835" s="670" t="e">
        <f>INT(E1835*K1835)</f>
        <v>#REF!</v>
      </c>
      <c r="M1835" s="670" t="e">
        <f>G1835+I1835+K1835</f>
        <v>#REF!</v>
      </c>
      <c r="N1835" s="670" t="e">
        <f>H1835+J1835+L1835</f>
        <v>#REF!</v>
      </c>
      <c r="O1835" s="671">
        <f>$A$1773</f>
        <v>301</v>
      </c>
      <c r="P1835" s="672" t="s">
        <v>1944</v>
      </c>
      <c r="Q1835" s="687" t="s">
        <v>1446</v>
      </c>
      <c r="R1835" s="688" t="s">
        <v>1876</v>
      </c>
      <c r="S1835" s="688" t="s">
        <v>1425</v>
      </c>
      <c r="T1835" s="688" t="s">
        <v>1426</v>
      </c>
    </row>
    <row r="1836" spans="1:20" s="688" customFormat="1" ht="17.100000000000001" customHeight="1">
      <c r="A1836" s="1316" t="s">
        <v>540</v>
      </c>
      <c r="B1836" s="1317"/>
      <c r="C1836" s="1316"/>
      <c r="D1836" s="1317"/>
      <c r="E1836" s="683">
        <v>0.16</v>
      </c>
      <c r="F1836" s="676" t="s">
        <v>366</v>
      </c>
      <c r="G1836" s="670"/>
      <c r="H1836" s="670"/>
      <c r="I1836" s="670">
        <f>[53]노임단가!$T$22</f>
        <v>273308</v>
      </c>
      <c r="J1836" s="670">
        <f t="shared" ref="J1836:J1841" si="331">INT(E1836*I1836)</f>
        <v>43729</v>
      </c>
      <c r="K1836" s="670"/>
      <c r="L1836" s="670"/>
      <c r="M1836" s="670">
        <f t="shared" ref="M1836:N1842" si="332">G1836+I1836+K1836</f>
        <v>273308</v>
      </c>
      <c r="N1836" s="670">
        <f t="shared" si="332"/>
        <v>43729</v>
      </c>
      <c r="O1836" s="671"/>
      <c r="P1836" s="672" t="s">
        <v>2013</v>
      </c>
      <c r="Q1836" s="688">
        <v>300</v>
      </c>
      <c r="R1836" s="688">
        <f>(Q1836)</f>
        <v>300</v>
      </c>
      <c r="S1836" s="688">
        <v>0</v>
      </c>
      <c r="T1836" s="690"/>
    </row>
    <row r="1837" spans="1:20" s="688" customFormat="1" ht="17.100000000000001" customHeight="1">
      <c r="A1837" s="1316" t="s">
        <v>248</v>
      </c>
      <c r="B1837" s="1317"/>
      <c r="C1837" s="1316"/>
      <c r="D1837" s="1317"/>
      <c r="E1837" s="683">
        <v>0.04</v>
      </c>
      <c r="F1837" s="676" t="s">
        <v>366</v>
      </c>
      <c r="G1837" s="670"/>
      <c r="H1837" s="670"/>
      <c r="I1837" s="670">
        <f>[53]노임단가!$T$5</f>
        <v>172068</v>
      </c>
      <c r="J1837" s="670">
        <f t="shared" si="331"/>
        <v>6882</v>
      </c>
      <c r="K1837" s="670"/>
      <c r="L1837" s="670"/>
      <c r="M1837" s="670">
        <f t="shared" si="332"/>
        <v>172068</v>
      </c>
      <c r="N1837" s="670">
        <f t="shared" si="332"/>
        <v>6882</v>
      </c>
      <c r="O1837" s="671"/>
      <c r="P1837" s="672"/>
      <c r="Q1837" s="688">
        <f t="shared" ref="Q1837:R1843" si="333">Q1836</f>
        <v>300</v>
      </c>
      <c r="R1837" s="688">
        <f t="shared" si="333"/>
        <v>300</v>
      </c>
      <c r="S1837" s="688">
        <v>0</v>
      </c>
      <c r="T1837" s="690">
        <f t="shared" ref="T1837:T1843" si="334">ROUND(S1837/R1837,4)</f>
        <v>0</v>
      </c>
    </row>
    <row r="1838" spans="1:20" s="688" customFormat="1" ht="17.100000000000001" customHeight="1">
      <c r="A1838" s="1316" t="s">
        <v>1209</v>
      </c>
      <c r="B1838" s="1317"/>
      <c r="C1838" s="1316" t="s">
        <v>2011</v>
      </c>
      <c r="D1838" s="1317"/>
      <c r="E1838" s="683">
        <v>0.32</v>
      </c>
      <c r="F1838" s="676" t="s">
        <v>418</v>
      </c>
      <c r="G1838" s="670" t="e">
        <f>$G$1827</f>
        <v>#REF!</v>
      </c>
      <c r="H1838" s="670" t="e">
        <f>INT(E1838*G1838)</f>
        <v>#REF!</v>
      </c>
      <c r="I1838" s="670" t="e">
        <f>$I$1827</f>
        <v>#REF!</v>
      </c>
      <c r="J1838" s="670" t="e">
        <f t="shared" si="331"/>
        <v>#REF!</v>
      </c>
      <c r="K1838" s="670" t="e">
        <f>$K$1827</f>
        <v>#REF!</v>
      </c>
      <c r="L1838" s="670" t="e">
        <f>INT(E1838*K1838)</f>
        <v>#REF!</v>
      </c>
      <c r="M1838" s="670" t="e">
        <f t="shared" si="332"/>
        <v>#REF!</v>
      </c>
      <c r="N1838" s="670" t="e">
        <f t="shared" si="332"/>
        <v>#REF!</v>
      </c>
      <c r="O1838" s="671"/>
      <c r="P1838" s="794"/>
      <c r="Q1838" s="688">
        <f t="shared" si="333"/>
        <v>300</v>
      </c>
      <c r="R1838" s="688">
        <f t="shared" si="333"/>
        <v>300</v>
      </c>
      <c r="S1838" s="688">
        <v>2</v>
      </c>
      <c r="T1838" s="690">
        <f t="shared" si="334"/>
        <v>6.7000000000000002E-3</v>
      </c>
    </row>
    <row r="1839" spans="1:20" s="688" customFormat="1" ht="17.100000000000001" customHeight="1">
      <c r="A1839" s="1316" t="s">
        <v>1172</v>
      </c>
      <c r="B1839" s="1317"/>
      <c r="C1839" s="1316" t="s">
        <v>1175</v>
      </c>
      <c r="D1839" s="1317"/>
      <c r="E1839" s="683">
        <v>0.32</v>
      </c>
      <c r="F1839" s="676" t="s">
        <v>418</v>
      </c>
      <c r="G1839" s="670" t="e">
        <f>#REF!</f>
        <v>#REF!</v>
      </c>
      <c r="H1839" s="670" t="e">
        <f>INT(E1839*G1839)</f>
        <v>#REF!</v>
      </c>
      <c r="I1839" s="670" t="e">
        <f>#REF!</f>
        <v>#REF!</v>
      </c>
      <c r="J1839" s="670" t="e">
        <f t="shared" si="331"/>
        <v>#REF!</v>
      </c>
      <c r="K1839" s="670" t="e">
        <f>#REF!</f>
        <v>#REF!</v>
      </c>
      <c r="L1839" s="670" t="e">
        <f>INT(E1839*K1839)</f>
        <v>#REF!</v>
      </c>
      <c r="M1839" s="670" t="e">
        <f t="shared" si="332"/>
        <v>#REF!</v>
      </c>
      <c r="N1839" s="670" t="e">
        <f t="shared" si="332"/>
        <v>#REF!</v>
      </c>
      <c r="O1839" s="671"/>
      <c r="P1839" s="794"/>
      <c r="Q1839" s="688">
        <f t="shared" si="333"/>
        <v>300</v>
      </c>
      <c r="R1839" s="688">
        <f t="shared" si="333"/>
        <v>300</v>
      </c>
      <c r="S1839" s="688">
        <v>1</v>
      </c>
      <c r="T1839" s="690">
        <f t="shared" si="334"/>
        <v>3.3E-3</v>
      </c>
    </row>
    <row r="1840" spans="1:20" s="688" customFormat="1" ht="17.100000000000001" customHeight="1">
      <c r="A1840" s="1316" t="s">
        <v>1188</v>
      </c>
      <c r="B1840" s="1317"/>
      <c r="C1840" s="1316" t="s">
        <v>1190</v>
      </c>
      <c r="D1840" s="1317"/>
      <c r="E1840" s="683">
        <v>0.32</v>
      </c>
      <c r="F1840" s="676" t="s">
        <v>418</v>
      </c>
      <c r="G1840" s="670" t="e">
        <f>#REF!</f>
        <v>#REF!</v>
      </c>
      <c r="H1840" s="670" t="e">
        <f>INT(E1840*G1840)</f>
        <v>#REF!</v>
      </c>
      <c r="I1840" s="670" t="e">
        <f>#REF!</f>
        <v>#REF!</v>
      </c>
      <c r="J1840" s="670" t="e">
        <f t="shared" si="331"/>
        <v>#REF!</v>
      </c>
      <c r="K1840" s="670" t="e">
        <f>#REF!</f>
        <v>#REF!</v>
      </c>
      <c r="L1840" s="670" t="e">
        <f>INT(E1840*K1840)</f>
        <v>#REF!</v>
      </c>
      <c r="M1840" s="670" t="e">
        <f t="shared" si="332"/>
        <v>#REF!</v>
      </c>
      <c r="N1840" s="670" t="e">
        <f t="shared" si="332"/>
        <v>#REF!</v>
      </c>
      <c r="O1840" s="671"/>
      <c r="P1840" s="794"/>
      <c r="Q1840" s="688">
        <f t="shared" si="333"/>
        <v>300</v>
      </c>
      <c r="R1840" s="688">
        <f t="shared" si="333"/>
        <v>300</v>
      </c>
      <c r="S1840" s="688">
        <v>8</v>
      </c>
      <c r="T1840" s="690">
        <f t="shared" si="334"/>
        <v>2.6700000000000002E-2</v>
      </c>
    </row>
    <row r="1841" spans="1:20" s="688" customFormat="1" ht="17.100000000000001" customHeight="1">
      <c r="A1841" s="1316" t="s">
        <v>1177</v>
      </c>
      <c r="B1841" s="1317"/>
      <c r="C1841" s="1316" t="s">
        <v>1178</v>
      </c>
      <c r="D1841" s="1317"/>
      <c r="E1841" s="683">
        <v>0.32</v>
      </c>
      <c r="F1841" s="676" t="s">
        <v>418</v>
      </c>
      <c r="G1841" s="670" t="e">
        <f>#REF!</f>
        <v>#REF!</v>
      </c>
      <c r="H1841" s="670" t="e">
        <f>INT(E1841*G1841)</f>
        <v>#REF!</v>
      </c>
      <c r="I1841" s="670" t="e">
        <f>#REF!</f>
        <v>#REF!</v>
      </c>
      <c r="J1841" s="670" t="e">
        <f t="shared" si="331"/>
        <v>#REF!</v>
      </c>
      <c r="K1841" s="670" t="e">
        <f>#REF!</f>
        <v>#REF!</v>
      </c>
      <c r="L1841" s="670" t="e">
        <f>INT(E1841*K1841)</f>
        <v>#REF!</v>
      </c>
      <c r="M1841" s="670" t="e">
        <f t="shared" si="332"/>
        <v>#REF!</v>
      </c>
      <c r="N1841" s="670" t="e">
        <f t="shared" si="332"/>
        <v>#REF!</v>
      </c>
      <c r="O1841" s="671"/>
      <c r="P1841" s="794"/>
      <c r="Q1841" s="688">
        <f t="shared" si="333"/>
        <v>300</v>
      </c>
      <c r="R1841" s="688">
        <f t="shared" si="333"/>
        <v>300</v>
      </c>
      <c r="S1841" s="688">
        <v>8</v>
      </c>
      <c r="T1841" s="690">
        <f t="shared" si="334"/>
        <v>2.6700000000000002E-2</v>
      </c>
    </row>
    <row r="1842" spans="1:20" s="688" customFormat="1" ht="17.100000000000001" customHeight="1">
      <c r="A1842" s="1316" t="s">
        <v>630</v>
      </c>
      <c r="B1842" s="1317"/>
      <c r="C1842" s="1316" t="s">
        <v>1395</v>
      </c>
      <c r="D1842" s="1317"/>
      <c r="E1842" s="683">
        <v>0.16</v>
      </c>
      <c r="F1842" s="676" t="s">
        <v>418</v>
      </c>
      <c r="G1842" s="670" t="e">
        <f>#REF!</f>
        <v>#REF!</v>
      </c>
      <c r="H1842" s="670" t="e">
        <f>INT(E1842*G1842)</f>
        <v>#REF!</v>
      </c>
      <c r="I1842" s="670" t="e">
        <f>#REF!</f>
        <v>#REF!</v>
      </c>
      <c r="J1842" s="670" t="e">
        <f>INT(E1842*I1842)</f>
        <v>#REF!</v>
      </c>
      <c r="K1842" s="670" t="e">
        <f>#REF!</f>
        <v>#REF!</v>
      </c>
      <c r="L1842" s="670" t="e">
        <f>INT(E1842*K1842)</f>
        <v>#REF!</v>
      </c>
      <c r="M1842" s="670" t="e">
        <f t="shared" si="332"/>
        <v>#REF!</v>
      </c>
      <c r="N1842" s="670" t="e">
        <f t="shared" si="332"/>
        <v>#REF!</v>
      </c>
      <c r="O1842" s="671"/>
      <c r="P1842" s="794"/>
      <c r="Q1842" s="688">
        <f t="shared" si="333"/>
        <v>300</v>
      </c>
      <c r="R1842" s="688">
        <f t="shared" si="333"/>
        <v>300</v>
      </c>
      <c r="S1842" s="688">
        <v>8</v>
      </c>
      <c r="T1842" s="690">
        <f t="shared" si="334"/>
        <v>2.6700000000000002E-2</v>
      </c>
    </row>
    <row r="1843" spans="1:20" s="688" customFormat="1" ht="17.100000000000001" customHeight="1">
      <c r="A1843" s="1318" t="s">
        <v>1320</v>
      </c>
      <c r="B1843" s="1319"/>
      <c r="C1843" s="1316"/>
      <c r="D1843" s="1317"/>
      <c r="E1843" s="686"/>
      <c r="F1843" s="676"/>
      <c r="G1843" s="670"/>
      <c r="H1843" s="670" t="e">
        <f>SUM(H1834:H1842)</f>
        <v>#REF!</v>
      </c>
      <c r="I1843" s="670"/>
      <c r="J1843" s="670" t="e">
        <f>SUM(J1834:J1842)</f>
        <v>#REF!</v>
      </c>
      <c r="K1843" s="670"/>
      <c r="L1843" s="670" t="e">
        <f>SUM(L1834:L1842)</f>
        <v>#REF!</v>
      </c>
      <c r="M1843" s="670"/>
      <c r="N1843" s="670" t="e">
        <f>SUM(N1834:N1842)</f>
        <v>#REF!</v>
      </c>
      <c r="O1843" s="671"/>
      <c r="P1843" s="794"/>
      <c r="Q1843" s="688">
        <f t="shared" si="333"/>
        <v>300</v>
      </c>
      <c r="R1843" s="688">
        <f t="shared" si="333"/>
        <v>300</v>
      </c>
      <c r="S1843" s="688">
        <v>4</v>
      </c>
      <c r="T1843" s="690">
        <f t="shared" si="334"/>
        <v>1.3299999999999999E-2</v>
      </c>
    </row>
    <row r="1844" spans="1:20" s="688" customFormat="1" ht="17.100000000000001" customHeight="1">
      <c r="A1844" s="668">
        <f>A1833+1</f>
        <v>309</v>
      </c>
      <c r="B1844" s="1320" t="s">
        <v>2001</v>
      </c>
      <c r="C1844" s="1320"/>
      <c r="D1844" s="1320" t="s">
        <v>2014</v>
      </c>
      <c r="E1844" s="1320"/>
      <c r="F1844" s="669" t="s">
        <v>1458</v>
      </c>
      <c r="G1844" s="698"/>
      <c r="H1844" s="698"/>
      <c r="I1844" s="698"/>
      <c r="J1844" s="698"/>
      <c r="K1844" s="670"/>
      <c r="L1844" s="670"/>
      <c r="M1844" s="670"/>
      <c r="N1844" s="698"/>
      <c r="O1844" s="800" t="s">
        <v>1562</v>
      </c>
      <c r="P1844" s="794"/>
      <c r="Q1844" s="804"/>
    </row>
    <row r="1845" spans="1:20" s="688" customFormat="1" ht="17.100000000000001" customHeight="1">
      <c r="A1845" s="1316" t="s">
        <v>1676</v>
      </c>
      <c r="B1845" s="1317"/>
      <c r="C1845" s="1316" t="s">
        <v>1677</v>
      </c>
      <c r="D1845" s="1317"/>
      <c r="E1845" s="686"/>
      <c r="F1845" s="676" t="s">
        <v>915</v>
      </c>
      <c r="G1845" s="670"/>
      <c r="H1845" s="670"/>
      <c r="I1845" s="670"/>
      <c r="J1845" s="670"/>
      <c r="K1845" s="670"/>
      <c r="L1845" s="670"/>
      <c r="M1845" s="670"/>
      <c r="N1845" s="670"/>
      <c r="O1845" s="671"/>
      <c r="P1845" s="672" t="s">
        <v>1944</v>
      </c>
      <c r="Q1845" s="687" t="s">
        <v>1446</v>
      </c>
      <c r="R1845" s="688" t="s">
        <v>1447</v>
      </c>
      <c r="S1845" s="688" t="s">
        <v>1425</v>
      </c>
      <c r="T1845" s="688" t="s">
        <v>1426</v>
      </c>
    </row>
    <row r="1846" spans="1:20" s="688" customFormat="1" ht="17.100000000000001" customHeight="1">
      <c r="A1846" s="1316" t="s">
        <v>2008</v>
      </c>
      <c r="B1846" s="1317"/>
      <c r="C1846" s="1316" t="s">
        <v>2004</v>
      </c>
      <c r="D1846" s="1317"/>
      <c r="E1846" s="677">
        <v>1</v>
      </c>
      <c r="F1846" s="676" t="s">
        <v>1458</v>
      </c>
      <c r="G1846" s="670" t="e">
        <f>$H$1777</f>
        <v>#REF!</v>
      </c>
      <c r="H1846" s="670" t="e">
        <f>INT(E1846*G1846)</f>
        <v>#REF!</v>
      </c>
      <c r="I1846" s="670" t="e">
        <f>$J$1777</f>
        <v>#REF!</v>
      </c>
      <c r="J1846" s="670" t="e">
        <f>INT(E1846*I1846)</f>
        <v>#REF!</v>
      </c>
      <c r="K1846" s="670" t="e">
        <f>$L$1777</f>
        <v>#REF!</v>
      </c>
      <c r="L1846" s="670" t="e">
        <f>INT(E1846*K1846)</f>
        <v>#REF!</v>
      </c>
      <c r="M1846" s="670" t="e">
        <f>G1846+I1846+K1846</f>
        <v>#REF!</v>
      </c>
      <c r="N1846" s="670" t="e">
        <f>H1846+J1846+L1846</f>
        <v>#REF!</v>
      </c>
      <c r="O1846" s="671">
        <f>A1773</f>
        <v>301</v>
      </c>
      <c r="P1846" s="672" t="s">
        <v>2015</v>
      </c>
      <c r="Q1846" s="688">
        <v>1600</v>
      </c>
      <c r="R1846" s="688">
        <f>(Q1846)/100</f>
        <v>16</v>
      </c>
      <c r="S1846" s="688">
        <v>0</v>
      </c>
      <c r="T1846" s="690"/>
    </row>
    <row r="1847" spans="1:20" s="688" customFormat="1" ht="17.100000000000001" customHeight="1">
      <c r="A1847" s="1316" t="s">
        <v>540</v>
      </c>
      <c r="B1847" s="1317"/>
      <c r="C1847" s="1316"/>
      <c r="D1847" s="1317"/>
      <c r="E1847" s="686">
        <v>8.1600000000000006E-2</v>
      </c>
      <c r="F1847" s="676" t="s">
        <v>366</v>
      </c>
      <c r="G1847" s="670"/>
      <c r="H1847" s="670"/>
      <c r="I1847" s="670">
        <f>[53]노임단가!$T$22</f>
        <v>273308</v>
      </c>
      <c r="J1847" s="670">
        <f t="shared" ref="J1847:J1852" si="335">INT(E1847*I1847)</f>
        <v>22301</v>
      </c>
      <c r="K1847" s="670"/>
      <c r="L1847" s="670"/>
      <c r="M1847" s="670">
        <f t="shared" ref="M1847:N1853" si="336">G1847+I1847+K1847</f>
        <v>273308</v>
      </c>
      <c r="N1847" s="670">
        <f t="shared" si="336"/>
        <v>22301</v>
      </c>
      <c r="O1847" s="671"/>
      <c r="P1847" s="672"/>
      <c r="Q1847" s="688">
        <f t="shared" ref="Q1847:R1855" si="337">Q1846</f>
        <v>1600</v>
      </c>
      <c r="R1847" s="688">
        <f t="shared" si="337"/>
        <v>16</v>
      </c>
      <c r="S1847" s="688">
        <v>0</v>
      </c>
      <c r="T1847" s="690">
        <f t="shared" ref="T1847:T1855" si="338">ROUND(S1847/R1847,4)</f>
        <v>0</v>
      </c>
    </row>
    <row r="1848" spans="1:20" s="688" customFormat="1" ht="17.100000000000001" customHeight="1">
      <c r="A1848" s="1316" t="s">
        <v>248</v>
      </c>
      <c r="B1848" s="1317"/>
      <c r="C1848" s="1316"/>
      <c r="D1848" s="1317"/>
      <c r="E1848" s="686">
        <v>2.0400000000000001E-2</v>
      </c>
      <c r="F1848" s="676" t="s">
        <v>366</v>
      </c>
      <c r="G1848" s="670"/>
      <c r="H1848" s="670"/>
      <c r="I1848" s="670">
        <f>[53]노임단가!$T$5</f>
        <v>172068</v>
      </c>
      <c r="J1848" s="670">
        <f t="shared" si="335"/>
        <v>3510</v>
      </c>
      <c r="K1848" s="670"/>
      <c r="L1848" s="670"/>
      <c r="M1848" s="670">
        <f t="shared" si="336"/>
        <v>172068</v>
      </c>
      <c r="N1848" s="670">
        <f t="shared" si="336"/>
        <v>3510</v>
      </c>
      <c r="O1848" s="671"/>
      <c r="P1848" s="672"/>
      <c r="Q1848" s="688">
        <f t="shared" si="337"/>
        <v>1600</v>
      </c>
      <c r="R1848" s="688">
        <f t="shared" si="337"/>
        <v>16</v>
      </c>
      <c r="S1848" s="688">
        <v>3</v>
      </c>
      <c r="T1848" s="690">
        <f t="shared" si="338"/>
        <v>0.1875</v>
      </c>
    </row>
    <row r="1849" spans="1:20" s="688" customFormat="1" ht="17.100000000000001" customHeight="1">
      <c r="A1849" s="1316" t="s">
        <v>1209</v>
      </c>
      <c r="B1849" s="1317"/>
      <c r="C1849" s="1316" t="s">
        <v>2011</v>
      </c>
      <c r="D1849" s="1317"/>
      <c r="E1849" s="686">
        <v>0.1633</v>
      </c>
      <c r="F1849" s="676" t="s">
        <v>418</v>
      </c>
      <c r="G1849" s="670" t="e">
        <f>#REF!</f>
        <v>#REF!</v>
      </c>
      <c r="H1849" s="670" t="e">
        <f>INT(E1849*G1849)</f>
        <v>#REF!</v>
      </c>
      <c r="I1849" s="670" t="e">
        <f>#REF!</f>
        <v>#REF!</v>
      </c>
      <c r="J1849" s="670" t="e">
        <f t="shared" si="335"/>
        <v>#REF!</v>
      </c>
      <c r="K1849" s="670" t="e">
        <f>#REF!</f>
        <v>#REF!</v>
      </c>
      <c r="L1849" s="670" t="e">
        <f>INT(E1849*K1849)</f>
        <v>#REF!</v>
      </c>
      <c r="M1849" s="670" t="e">
        <f t="shared" si="336"/>
        <v>#REF!</v>
      </c>
      <c r="N1849" s="670" t="e">
        <f t="shared" si="336"/>
        <v>#REF!</v>
      </c>
      <c r="O1849" s="671"/>
      <c r="P1849" s="672"/>
      <c r="Q1849" s="688">
        <f t="shared" si="337"/>
        <v>1600</v>
      </c>
      <c r="R1849" s="688">
        <f t="shared" si="337"/>
        <v>16</v>
      </c>
      <c r="S1849" s="688">
        <v>1</v>
      </c>
      <c r="T1849" s="690">
        <f t="shared" si="338"/>
        <v>6.25E-2</v>
      </c>
    </row>
    <row r="1850" spans="1:20" s="688" customFormat="1" ht="17.100000000000001" customHeight="1">
      <c r="A1850" s="1316" t="s">
        <v>1172</v>
      </c>
      <c r="B1850" s="1317"/>
      <c r="C1850" s="1316" t="s">
        <v>1175</v>
      </c>
      <c r="D1850" s="1317"/>
      <c r="E1850" s="686">
        <v>0.1633</v>
      </c>
      <c r="F1850" s="676" t="s">
        <v>418</v>
      </c>
      <c r="G1850" s="670" t="e">
        <f>#REF!</f>
        <v>#REF!</v>
      </c>
      <c r="H1850" s="670" t="e">
        <f>INT(E1850*G1850)</f>
        <v>#REF!</v>
      </c>
      <c r="I1850" s="670" t="e">
        <f>#REF!</f>
        <v>#REF!</v>
      </c>
      <c r="J1850" s="670" t="e">
        <f t="shared" si="335"/>
        <v>#REF!</v>
      </c>
      <c r="K1850" s="670" t="e">
        <f>#REF!</f>
        <v>#REF!</v>
      </c>
      <c r="L1850" s="670" t="e">
        <f>INT(E1850*K1850)</f>
        <v>#REF!</v>
      </c>
      <c r="M1850" s="670" t="e">
        <f t="shared" si="336"/>
        <v>#REF!</v>
      </c>
      <c r="N1850" s="670" t="e">
        <f t="shared" si="336"/>
        <v>#REF!</v>
      </c>
      <c r="O1850" s="671"/>
      <c r="P1850" s="672"/>
      <c r="Q1850" s="688">
        <f t="shared" si="337"/>
        <v>1600</v>
      </c>
      <c r="R1850" s="688">
        <f t="shared" si="337"/>
        <v>16</v>
      </c>
      <c r="S1850" s="688">
        <v>8</v>
      </c>
      <c r="T1850" s="690">
        <f t="shared" si="338"/>
        <v>0.5</v>
      </c>
    </row>
    <row r="1851" spans="1:20" s="688" customFormat="1" ht="17.100000000000001" customHeight="1">
      <c r="A1851" s="1316" t="s">
        <v>1188</v>
      </c>
      <c r="B1851" s="1317"/>
      <c r="C1851" s="1316" t="s">
        <v>1190</v>
      </c>
      <c r="D1851" s="1317"/>
      <c r="E1851" s="686">
        <v>0.1633</v>
      </c>
      <c r="F1851" s="676" t="s">
        <v>418</v>
      </c>
      <c r="G1851" s="670" t="e">
        <f>#REF!</f>
        <v>#REF!</v>
      </c>
      <c r="H1851" s="670" t="e">
        <f>INT(E1851*G1851)</f>
        <v>#REF!</v>
      </c>
      <c r="I1851" s="670" t="e">
        <f>#REF!</f>
        <v>#REF!</v>
      </c>
      <c r="J1851" s="670" t="e">
        <f t="shared" si="335"/>
        <v>#REF!</v>
      </c>
      <c r="K1851" s="670" t="e">
        <f>#REF!</f>
        <v>#REF!</v>
      </c>
      <c r="L1851" s="670" t="e">
        <f>INT(E1851*K1851)</f>
        <v>#REF!</v>
      </c>
      <c r="M1851" s="670" t="e">
        <f t="shared" si="336"/>
        <v>#REF!</v>
      </c>
      <c r="N1851" s="670" t="e">
        <f t="shared" si="336"/>
        <v>#REF!</v>
      </c>
      <c r="O1851" s="671"/>
      <c r="P1851" s="672"/>
      <c r="Q1851" s="688">
        <f t="shared" si="337"/>
        <v>1600</v>
      </c>
      <c r="R1851" s="688">
        <f t="shared" si="337"/>
        <v>16</v>
      </c>
      <c r="S1851" s="688">
        <v>8</v>
      </c>
      <c r="T1851" s="690">
        <f t="shared" si="338"/>
        <v>0.5</v>
      </c>
    </row>
    <row r="1852" spans="1:20" s="688" customFormat="1" ht="17.100000000000001" customHeight="1">
      <c r="A1852" s="1316" t="s">
        <v>1177</v>
      </c>
      <c r="B1852" s="1317"/>
      <c r="C1852" s="1316" t="s">
        <v>1178</v>
      </c>
      <c r="D1852" s="1317"/>
      <c r="E1852" s="686">
        <v>0.1633</v>
      </c>
      <c r="F1852" s="676" t="s">
        <v>418</v>
      </c>
      <c r="G1852" s="670" t="e">
        <f>#REF!</f>
        <v>#REF!</v>
      </c>
      <c r="H1852" s="670" t="e">
        <f>INT(E1852*G1852)</f>
        <v>#REF!</v>
      </c>
      <c r="I1852" s="670" t="e">
        <f>#REF!</f>
        <v>#REF!</v>
      </c>
      <c r="J1852" s="670" t="e">
        <f t="shared" si="335"/>
        <v>#REF!</v>
      </c>
      <c r="K1852" s="670" t="e">
        <f>#REF!</f>
        <v>#REF!</v>
      </c>
      <c r="L1852" s="670" t="e">
        <f>INT(E1852*K1852)</f>
        <v>#REF!</v>
      </c>
      <c r="M1852" s="670" t="e">
        <f t="shared" si="336"/>
        <v>#REF!</v>
      </c>
      <c r="N1852" s="670" t="e">
        <f t="shared" si="336"/>
        <v>#REF!</v>
      </c>
      <c r="O1852" s="671"/>
      <c r="P1852" s="672"/>
      <c r="Q1852" s="688">
        <f t="shared" si="337"/>
        <v>1600</v>
      </c>
      <c r="R1852" s="688">
        <f t="shared" si="337"/>
        <v>16</v>
      </c>
      <c r="S1852" s="688">
        <v>8</v>
      </c>
      <c r="T1852" s="690">
        <f t="shared" si="338"/>
        <v>0.5</v>
      </c>
    </row>
    <row r="1853" spans="1:20" s="688" customFormat="1" ht="17.100000000000001" customHeight="1">
      <c r="A1853" s="1316" t="s">
        <v>630</v>
      </c>
      <c r="B1853" s="1317"/>
      <c r="C1853" s="1316" t="s">
        <v>1395</v>
      </c>
      <c r="D1853" s="1317"/>
      <c r="E1853" s="686">
        <v>8.1600000000000006E-2</v>
      </c>
      <c r="F1853" s="676" t="s">
        <v>418</v>
      </c>
      <c r="G1853" s="670" t="e">
        <f>#REF!</f>
        <v>#REF!</v>
      </c>
      <c r="H1853" s="670" t="e">
        <f>INT(E1853*G1853)</f>
        <v>#REF!</v>
      </c>
      <c r="I1853" s="670" t="e">
        <f>#REF!</f>
        <v>#REF!</v>
      </c>
      <c r="J1853" s="670" t="e">
        <f>INT(E1853*I1853)</f>
        <v>#REF!</v>
      </c>
      <c r="K1853" s="670" t="e">
        <f>#REF!</f>
        <v>#REF!</v>
      </c>
      <c r="L1853" s="670" t="e">
        <f>INT(E1853*K1853)</f>
        <v>#REF!</v>
      </c>
      <c r="M1853" s="670" t="e">
        <f t="shared" si="336"/>
        <v>#REF!</v>
      </c>
      <c r="N1853" s="670" t="e">
        <f t="shared" si="336"/>
        <v>#REF!</v>
      </c>
      <c r="O1853" s="671"/>
      <c r="P1853" s="672"/>
      <c r="Q1853" s="688">
        <f t="shared" si="337"/>
        <v>1600</v>
      </c>
      <c r="R1853" s="688">
        <f t="shared" si="337"/>
        <v>16</v>
      </c>
      <c r="S1853" s="688">
        <v>8</v>
      </c>
      <c r="T1853" s="690">
        <f t="shared" si="338"/>
        <v>0.5</v>
      </c>
    </row>
    <row r="1854" spans="1:20" s="688" customFormat="1" ht="17.100000000000001" customHeight="1">
      <c r="A1854" s="1318" t="s">
        <v>1320</v>
      </c>
      <c r="B1854" s="1319"/>
      <c r="C1854" s="1316"/>
      <c r="D1854" s="1317"/>
      <c r="E1854" s="686"/>
      <c r="F1854" s="676"/>
      <c r="G1854" s="670"/>
      <c r="H1854" s="670" t="e">
        <f>SUM(H1845:H1853)</f>
        <v>#REF!</v>
      </c>
      <c r="I1854" s="670"/>
      <c r="J1854" s="670" t="e">
        <f>SUM(J1845:J1853)</f>
        <v>#REF!</v>
      </c>
      <c r="K1854" s="670"/>
      <c r="L1854" s="670" t="e">
        <f>SUM(L1845:L1853)</f>
        <v>#REF!</v>
      </c>
      <c r="M1854" s="670"/>
      <c r="N1854" s="670" t="e">
        <f>SUM(N1845:N1853)</f>
        <v>#REF!</v>
      </c>
      <c r="O1854" s="671"/>
      <c r="P1854" s="672"/>
      <c r="Q1854" s="688">
        <f t="shared" si="337"/>
        <v>1600</v>
      </c>
      <c r="R1854" s="688">
        <f t="shared" si="337"/>
        <v>16</v>
      </c>
      <c r="S1854" s="688">
        <v>8</v>
      </c>
      <c r="T1854" s="690">
        <f t="shared" si="338"/>
        <v>0.5</v>
      </c>
    </row>
    <row r="1855" spans="1:20" s="688" customFormat="1" ht="17.100000000000001" customHeight="1">
      <c r="A1855" s="668">
        <f>A1844+1</f>
        <v>310</v>
      </c>
      <c r="B1855" s="1320" t="s">
        <v>2001</v>
      </c>
      <c r="C1855" s="1320"/>
      <c r="D1855" s="1320" t="s">
        <v>2016</v>
      </c>
      <c r="E1855" s="1320"/>
      <c r="F1855" s="669" t="s">
        <v>1458</v>
      </c>
      <c r="G1855" s="698"/>
      <c r="H1855" s="698"/>
      <c r="I1855" s="698"/>
      <c r="J1855" s="698"/>
      <c r="K1855" s="670"/>
      <c r="L1855" s="670"/>
      <c r="M1855" s="670"/>
      <c r="N1855" s="698"/>
      <c r="O1855" s="800" t="s">
        <v>1562</v>
      </c>
      <c r="P1855" s="672"/>
      <c r="Q1855" s="688">
        <f t="shared" si="337"/>
        <v>1600</v>
      </c>
      <c r="R1855" s="688">
        <f t="shared" si="337"/>
        <v>16</v>
      </c>
      <c r="S1855" s="688">
        <v>4</v>
      </c>
      <c r="T1855" s="690">
        <f t="shared" si="338"/>
        <v>0.25</v>
      </c>
    </row>
    <row r="1856" spans="1:20" s="688" customFormat="1" ht="17.100000000000001" customHeight="1">
      <c r="A1856" s="1316" t="s">
        <v>1676</v>
      </c>
      <c r="B1856" s="1317"/>
      <c r="C1856" s="1316" t="s">
        <v>1677</v>
      </c>
      <c r="D1856" s="1317"/>
      <c r="E1856" s="686"/>
      <c r="F1856" s="676" t="s">
        <v>915</v>
      </c>
      <c r="G1856" s="670"/>
      <c r="H1856" s="670"/>
      <c r="I1856" s="670"/>
      <c r="J1856" s="670"/>
      <c r="K1856" s="670"/>
      <c r="L1856" s="670"/>
      <c r="M1856" s="670"/>
      <c r="N1856" s="670"/>
      <c r="O1856" s="671"/>
      <c r="P1856" s="672"/>
      <c r="T1856" s="690"/>
    </row>
    <row r="1857" spans="1:20" s="688" customFormat="1" ht="17.100000000000001" customHeight="1">
      <c r="A1857" s="1316" t="s">
        <v>2008</v>
      </c>
      <c r="B1857" s="1317"/>
      <c r="C1857" s="1316" t="s">
        <v>2004</v>
      </c>
      <c r="D1857" s="1317"/>
      <c r="E1857" s="677">
        <v>1</v>
      </c>
      <c r="F1857" s="676" t="s">
        <v>1458</v>
      </c>
      <c r="G1857" s="670" t="e">
        <f>$H$1777</f>
        <v>#REF!</v>
      </c>
      <c r="H1857" s="670" t="e">
        <f>INT(E1857*G1857)</f>
        <v>#REF!</v>
      </c>
      <c r="I1857" s="670" t="e">
        <f>$J$1777</f>
        <v>#REF!</v>
      </c>
      <c r="J1857" s="670" t="e">
        <f>INT(E1857*I1857)</f>
        <v>#REF!</v>
      </c>
      <c r="K1857" s="670" t="e">
        <f>$L$1777</f>
        <v>#REF!</v>
      </c>
      <c r="L1857" s="670" t="e">
        <f>INT(E1857*K1857)</f>
        <v>#REF!</v>
      </c>
      <c r="M1857" s="670" t="e">
        <f>G1857+I1857+K1857</f>
        <v>#REF!</v>
      </c>
      <c r="N1857" s="670" t="e">
        <f>H1857+J1857+L1857</f>
        <v>#REF!</v>
      </c>
      <c r="O1857" s="671">
        <f>A1773</f>
        <v>301</v>
      </c>
      <c r="P1857" s="672" t="s">
        <v>1944</v>
      </c>
      <c r="Q1857" s="687" t="s">
        <v>1446</v>
      </c>
      <c r="R1857" s="688" t="s">
        <v>1447</v>
      </c>
      <c r="S1857" s="688" t="s">
        <v>1425</v>
      </c>
      <c r="T1857" s="688" t="s">
        <v>1426</v>
      </c>
    </row>
    <row r="1858" spans="1:20" s="688" customFormat="1" ht="17.100000000000001" customHeight="1">
      <c r="A1858" s="1316" t="s">
        <v>540</v>
      </c>
      <c r="B1858" s="1317"/>
      <c r="C1858" s="1316"/>
      <c r="D1858" s="1317"/>
      <c r="E1858" s="686">
        <v>8.8900000000000007E-2</v>
      </c>
      <c r="F1858" s="676" t="s">
        <v>366</v>
      </c>
      <c r="G1858" s="670"/>
      <c r="H1858" s="670"/>
      <c r="I1858" s="670">
        <f>[53]노임단가!$T$22</f>
        <v>273308</v>
      </c>
      <c r="J1858" s="670">
        <f t="shared" ref="J1858:J1863" si="339">INT(E1858*I1858)</f>
        <v>24297</v>
      </c>
      <c r="K1858" s="670"/>
      <c r="L1858" s="670"/>
      <c r="M1858" s="670">
        <f t="shared" ref="M1858:N1864" si="340">G1858+I1858+K1858</f>
        <v>273308</v>
      </c>
      <c r="N1858" s="670">
        <f t="shared" si="340"/>
        <v>24297</v>
      </c>
      <c r="O1858" s="671"/>
      <c r="P1858" s="672" t="s">
        <v>2017</v>
      </c>
      <c r="Q1858" s="688">
        <v>2600</v>
      </c>
      <c r="R1858" s="688">
        <f>(Q1858)/100</f>
        <v>26</v>
      </c>
      <c r="S1858" s="688">
        <v>0</v>
      </c>
      <c r="T1858" s="690"/>
    </row>
    <row r="1859" spans="1:20" s="688" customFormat="1" ht="17.100000000000001" customHeight="1">
      <c r="A1859" s="1316" t="s">
        <v>248</v>
      </c>
      <c r="B1859" s="1317"/>
      <c r="C1859" s="1316"/>
      <c r="D1859" s="1317"/>
      <c r="E1859" s="686">
        <v>2.2200000000000001E-2</v>
      </c>
      <c r="F1859" s="676" t="s">
        <v>366</v>
      </c>
      <c r="G1859" s="670"/>
      <c r="H1859" s="670"/>
      <c r="I1859" s="670">
        <f>[53]노임단가!$T$5</f>
        <v>172068</v>
      </c>
      <c r="J1859" s="670">
        <f t="shared" si="339"/>
        <v>3819</v>
      </c>
      <c r="K1859" s="670"/>
      <c r="L1859" s="670"/>
      <c r="M1859" s="670">
        <f t="shared" si="340"/>
        <v>172068</v>
      </c>
      <c r="N1859" s="670">
        <f t="shared" si="340"/>
        <v>3819</v>
      </c>
      <c r="O1859" s="671"/>
      <c r="P1859" s="672"/>
      <c r="Q1859" s="688">
        <f t="shared" ref="Q1859:R1866" si="341">Q1858</f>
        <v>2600</v>
      </c>
      <c r="R1859" s="688">
        <f t="shared" si="341"/>
        <v>26</v>
      </c>
      <c r="S1859" s="688">
        <v>0</v>
      </c>
      <c r="T1859" s="690">
        <f t="shared" ref="T1859:T1866" si="342">ROUND(S1859/R1859,4)</f>
        <v>0</v>
      </c>
    </row>
    <row r="1860" spans="1:20" s="688" customFormat="1" ht="17.100000000000001" customHeight="1">
      <c r="A1860" s="1316" t="s">
        <v>1209</v>
      </c>
      <c r="B1860" s="1317"/>
      <c r="C1860" s="1316" t="s">
        <v>2011</v>
      </c>
      <c r="D1860" s="1317"/>
      <c r="E1860" s="686">
        <v>0.17780000000000001</v>
      </c>
      <c r="F1860" s="676" t="s">
        <v>418</v>
      </c>
      <c r="G1860" s="670" t="e">
        <f>$G$1827</f>
        <v>#REF!</v>
      </c>
      <c r="H1860" s="670" t="e">
        <f>INT(E1860*G1860)</f>
        <v>#REF!</v>
      </c>
      <c r="I1860" s="670" t="e">
        <f>$I$1827</f>
        <v>#REF!</v>
      </c>
      <c r="J1860" s="670" t="e">
        <f t="shared" si="339"/>
        <v>#REF!</v>
      </c>
      <c r="K1860" s="670" t="e">
        <f>$K$1827</f>
        <v>#REF!</v>
      </c>
      <c r="L1860" s="670" t="e">
        <f>INT(E1860*K1860)</f>
        <v>#REF!</v>
      </c>
      <c r="M1860" s="670" t="e">
        <f t="shared" si="340"/>
        <v>#REF!</v>
      </c>
      <c r="N1860" s="670" t="e">
        <f t="shared" si="340"/>
        <v>#REF!</v>
      </c>
      <c r="O1860" s="671"/>
      <c r="P1860" s="672"/>
      <c r="Q1860" s="688">
        <f t="shared" si="341"/>
        <v>2600</v>
      </c>
      <c r="R1860" s="688">
        <f t="shared" si="341"/>
        <v>26</v>
      </c>
      <c r="S1860" s="688">
        <v>4</v>
      </c>
      <c r="T1860" s="690">
        <f t="shared" si="342"/>
        <v>0.15379999999999999</v>
      </c>
    </row>
    <row r="1861" spans="1:20" s="688" customFormat="1" ht="17.100000000000001" customHeight="1">
      <c r="A1861" s="1316" t="s">
        <v>1172</v>
      </c>
      <c r="B1861" s="1317"/>
      <c r="C1861" s="1316" t="s">
        <v>1175</v>
      </c>
      <c r="D1861" s="1317"/>
      <c r="E1861" s="686">
        <v>0.17780000000000001</v>
      </c>
      <c r="F1861" s="676" t="s">
        <v>418</v>
      </c>
      <c r="G1861" s="670" t="e">
        <f>#REF!</f>
        <v>#REF!</v>
      </c>
      <c r="H1861" s="670" t="e">
        <f>INT(E1861*G1861)</f>
        <v>#REF!</v>
      </c>
      <c r="I1861" s="670" t="e">
        <f>#REF!</f>
        <v>#REF!</v>
      </c>
      <c r="J1861" s="670" t="e">
        <f t="shared" si="339"/>
        <v>#REF!</v>
      </c>
      <c r="K1861" s="670" t="e">
        <f>#REF!</f>
        <v>#REF!</v>
      </c>
      <c r="L1861" s="670" t="e">
        <f>INT(E1861*K1861)</f>
        <v>#REF!</v>
      </c>
      <c r="M1861" s="670" t="e">
        <f t="shared" si="340"/>
        <v>#REF!</v>
      </c>
      <c r="N1861" s="670" t="e">
        <f t="shared" si="340"/>
        <v>#REF!</v>
      </c>
      <c r="O1861" s="671"/>
      <c r="P1861" s="672"/>
      <c r="Q1861" s="688">
        <f t="shared" si="341"/>
        <v>2600</v>
      </c>
      <c r="R1861" s="688">
        <f t="shared" si="341"/>
        <v>26</v>
      </c>
      <c r="S1861" s="688">
        <v>1</v>
      </c>
      <c r="T1861" s="690">
        <f t="shared" si="342"/>
        <v>3.85E-2</v>
      </c>
    </row>
    <row r="1862" spans="1:20" s="688" customFormat="1" ht="17.100000000000001" customHeight="1">
      <c r="A1862" s="1316" t="s">
        <v>1188</v>
      </c>
      <c r="B1862" s="1317"/>
      <c r="C1862" s="1316" t="s">
        <v>1190</v>
      </c>
      <c r="D1862" s="1317"/>
      <c r="E1862" s="686">
        <v>0.17780000000000001</v>
      </c>
      <c r="F1862" s="676" t="s">
        <v>418</v>
      </c>
      <c r="G1862" s="670" t="e">
        <f>#REF!</f>
        <v>#REF!</v>
      </c>
      <c r="H1862" s="670" t="e">
        <f>INT(E1862*G1862)</f>
        <v>#REF!</v>
      </c>
      <c r="I1862" s="670" t="e">
        <f>#REF!</f>
        <v>#REF!</v>
      </c>
      <c r="J1862" s="670" t="e">
        <f t="shared" si="339"/>
        <v>#REF!</v>
      </c>
      <c r="K1862" s="670" t="e">
        <f>#REF!</f>
        <v>#REF!</v>
      </c>
      <c r="L1862" s="670" t="e">
        <f>INT(E1862*K1862)</f>
        <v>#REF!</v>
      </c>
      <c r="M1862" s="670" t="e">
        <f t="shared" si="340"/>
        <v>#REF!</v>
      </c>
      <c r="N1862" s="670" t="e">
        <f t="shared" si="340"/>
        <v>#REF!</v>
      </c>
      <c r="O1862" s="671"/>
      <c r="P1862" s="672"/>
      <c r="Q1862" s="688">
        <f t="shared" si="341"/>
        <v>2600</v>
      </c>
      <c r="R1862" s="688">
        <f t="shared" si="341"/>
        <v>26</v>
      </c>
      <c r="S1862" s="688">
        <v>8</v>
      </c>
      <c r="T1862" s="690">
        <f t="shared" si="342"/>
        <v>0.30769999999999997</v>
      </c>
    </row>
    <row r="1863" spans="1:20" s="688" customFormat="1" ht="17.100000000000001" customHeight="1">
      <c r="A1863" s="1316" t="s">
        <v>1177</v>
      </c>
      <c r="B1863" s="1317"/>
      <c r="C1863" s="1316" t="s">
        <v>1178</v>
      </c>
      <c r="D1863" s="1317"/>
      <c r="E1863" s="686">
        <v>0.17780000000000001</v>
      </c>
      <c r="F1863" s="676" t="s">
        <v>418</v>
      </c>
      <c r="G1863" s="670" t="e">
        <f>#REF!</f>
        <v>#REF!</v>
      </c>
      <c r="H1863" s="670" t="e">
        <f>INT(E1863*G1863)</f>
        <v>#REF!</v>
      </c>
      <c r="I1863" s="670" t="e">
        <f>#REF!</f>
        <v>#REF!</v>
      </c>
      <c r="J1863" s="670" t="e">
        <f t="shared" si="339"/>
        <v>#REF!</v>
      </c>
      <c r="K1863" s="670" t="e">
        <f>#REF!</f>
        <v>#REF!</v>
      </c>
      <c r="L1863" s="670" t="e">
        <f>INT(E1863*K1863)</f>
        <v>#REF!</v>
      </c>
      <c r="M1863" s="670" t="e">
        <f t="shared" si="340"/>
        <v>#REF!</v>
      </c>
      <c r="N1863" s="670" t="e">
        <f t="shared" si="340"/>
        <v>#REF!</v>
      </c>
      <c r="O1863" s="671"/>
      <c r="P1863" s="672"/>
      <c r="Q1863" s="688">
        <f t="shared" si="341"/>
        <v>2600</v>
      </c>
      <c r="R1863" s="688">
        <f t="shared" si="341"/>
        <v>26</v>
      </c>
      <c r="S1863" s="688">
        <v>8</v>
      </c>
      <c r="T1863" s="690">
        <f t="shared" si="342"/>
        <v>0.30769999999999997</v>
      </c>
    </row>
    <row r="1864" spans="1:20" s="688" customFormat="1" ht="17.100000000000001" customHeight="1">
      <c r="A1864" s="1316" t="s">
        <v>630</v>
      </c>
      <c r="B1864" s="1317"/>
      <c r="C1864" s="1316" t="s">
        <v>1395</v>
      </c>
      <c r="D1864" s="1317"/>
      <c r="E1864" s="686">
        <v>8.8900000000000007E-2</v>
      </c>
      <c r="F1864" s="676" t="s">
        <v>418</v>
      </c>
      <c r="G1864" s="670" t="e">
        <f>#REF!</f>
        <v>#REF!</v>
      </c>
      <c r="H1864" s="670" t="e">
        <f>INT(E1864*G1864)</f>
        <v>#REF!</v>
      </c>
      <c r="I1864" s="670" t="e">
        <f>#REF!</f>
        <v>#REF!</v>
      </c>
      <c r="J1864" s="670" t="e">
        <f>INT(E1864*I1864)</f>
        <v>#REF!</v>
      </c>
      <c r="K1864" s="670" t="e">
        <f>#REF!</f>
        <v>#REF!</v>
      </c>
      <c r="L1864" s="670" t="e">
        <f>INT(E1864*K1864)</f>
        <v>#REF!</v>
      </c>
      <c r="M1864" s="670" t="e">
        <f t="shared" si="340"/>
        <v>#REF!</v>
      </c>
      <c r="N1864" s="670" t="e">
        <f t="shared" si="340"/>
        <v>#REF!</v>
      </c>
      <c r="O1864" s="671"/>
      <c r="P1864" s="672"/>
      <c r="Q1864" s="688">
        <f t="shared" si="341"/>
        <v>2600</v>
      </c>
      <c r="R1864" s="688">
        <f t="shared" si="341"/>
        <v>26</v>
      </c>
      <c r="S1864" s="688">
        <v>8</v>
      </c>
      <c r="T1864" s="690">
        <f t="shared" si="342"/>
        <v>0.30769999999999997</v>
      </c>
    </row>
    <row r="1865" spans="1:20" s="688" customFormat="1" ht="17.100000000000001" customHeight="1">
      <c r="A1865" s="1318" t="s">
        <v>1320</v>
      </c>
      <c r="B1865" s="1319"/>
      <c r="C1865" s="1316"/>
      <c r="D1865" s="1317"/>
      <c r="E1865" s="686"/>
      <c r="F1865" s="676"/>
      <c r="G1865" s="670"/>
      <c r="H1865" s="670" t="e">
        <f>SUM(H1856:H1864)</f>
        <v>#REF!</v>
      </c>
      <c r="I1865" s="670"/>
      <c r="J1865" s="670" t="e">
        <f>SUM(J1856:J1864)</f>
        <v>#REF!</v>
      </c>
      <c r="K1865" s="670"/>
      <c r="L1865" s="670" t="e">
        <f>SUM(L1856:L1864)</f>
        <v>#REF!</v>
      </c>
      <c r="M1865" s="670"/>
      <c r="N1865" s="670" t="e">
        <f>SUM(N1856:N1864)</f>
        <v>#REF!</v>
      </c>
      <c r="O1865" s="671"/>
      <c r="P1865" s="672"/>
      <c r="Q1865" s="688">
        <f t="shared" si="341"/>
        <v>2600</v>
      </c>
      <c r="R1865" s="688">
        <f t="shared" si="341"/>
        <v>26</v>
      </c>
      <c r="S1865" s="688">
        <v>8</v>
      </c>
      <c r="T1865" s="690">
        <f t="shared" si="342"/>
        <v>0.30769999999999997</v>
      </c>
    </row>
    <row r="1866" spans="1:20" s="688" customFormat="1" ht="17.100000000000001" customHeight="1">
      <c r="A1866" s="797">
        <f>A1855+1</f>
        <v>311</v>
      </c>
      <c r="B1866" s="1328" t="s">
        <v>2018</v>
      </c>
      <c r="C1866" s="1328"/>
      <c r="D1866" s="1328" t="s">
        <v>2002</v>
      </c>
      <c r="E1866" s="1328"/>
      <c r="F1866" s="798" t="s">
        <v>645</v>
      </c>
      <c r="G1866" s="805"/>
      <c r="H1866" s="799"/>
      <c r="I1866" s="799"/>
      <c r="J1866" s="799"/>
      <c r="K1866" s="750"/>
      <c r="L1866" s="750"/>
      <c r="M1866" s="750"/>
      <c r="N1866" s="799"/>
      <c r="O1866" s="800" t="s">
        <v>1562</v>
      </c>
      <c r="P1866" s="672"/>
      <c r="Q1866" s="688">
        <f t="shared" si="341"/>
        <v>2600</v>
      </c>
      <c r="R1866" s="688">
        <f t="shared" si="341"/>
        <v>26</v>
      </c>
      <c r="S1866" s="688">
        <v>4</v>
      </c>
      <c r="T1866" s="690">
        <f t="shared" si="342"/>
        <v>0.15379999999999999</v>
      </c>
    </row>
    <row r="1867" spans="1:20" s="688" customFormat="1" ht="17.100000000000001" customHeight="1">
      <c r="A1867" s="1367" t="s">
        <v>2019</v>
      </c>
      <c r="B1867" s="1327"/>
      <c r="C1867" s="1367" t="s">
        <v>2020</v>
      </c>
      <c r="D1867" s="1327"/>
      <c r="E1867" s="801"/>
      <c r="F1867" s="749" t="s">
        <v>2021</v>
      </c>
      <c r="G1867" s="750"/>
      <c r="H1867" s="750"/>
      <c r="I1867" s="750"/>
      <c r="J1867" s="750"/>
      <c r="K1867" s="750"/>
      <c r="L1867" s="750"/>
      <c r="M1867" s="750"/>
      <c r="N1867" s="750"/>
      <c r="O1867" s="751"/>
      <c r="P1867" s="672"/>
    </row>
    <row r="1868" spans="1:20" s="688" customFormat="1" ht="17.100000000000001" customHeight="1">
      <c r="A1868" s="1316" t="s">
        <v>2022</v>
      </c>
      <c r="B1868" s="1317"/>
      <c r="C1868" s="1316" t="s">
        <v>2023</v>
      </c>
      <c r="D1868" s="1317"/>
      <c r="E1868" s="675">
        <v>0.01</v>
      </c>
      <c r="F1868" s="676" t="s">
        <v>1458</v>
      </c>
      <c r="G1868" s="670" t="e">
        <f>$H$1782</f>
        <v>#REF!</v>
      </c>
      <c r="H1868" s="670" t="e">
        <f>INT(E1868*G1868)</f>
        <v>#REF!</v>
      </c>
      <c r="I1868" s="670" t="e">
        <f>$J$1782</f>
        <v>#REF!</v>
      </c>
      <c r="J1868" s="670" t="e">
        <f t="shared" ref="J1868:J1874" si="343">INT(E1868*I1868)</f>
        <v>#REF!</v>
      </c>
      <c r="K1868" s="670" t="e">
        <f>$L$1782</f>
        <v>#REF!</v>
      </c>
      <c r="L1868" s="670" t="e">
        <f>INT(E1868*K1868)</f>
        <v>#REF!</v>
      </c>
      <c r="M1868" s="670" t="e">
        <f>G1868+I1868+K1868</f>
        <v>#REF!</v>
      </c>
      <c r="N1868" s="670" t="e">
        <f>H1868+J1868+L1868</f>
        <v>#REF!</v>
      </c>
      <c r="O1868" s="671">
        <f>$A$1778</f>
        <v>302</v>
      </c>
      <c r="P1868" s="672" t="s">
        <v>1944</v>
      </c>
      <c r="Q1868" s="687" t="s">
        <v>1446</v>
      </c>
      <c r="R1868" s="688" t="s">
        <v>1447</v>
      </c>
      <c r="S1868" s="688" t="s">
        <v>1425</v>
      </c>
      <c r="T1868" s="688" t="s">
        <v>1426</v>
      </c>
    </row>
    <row r="1869" spans="1:20" s="688" customFormat="1" ht="17.100000000000001" customHeight="1">
      <c r="A1869" s="1367" t="s">
        <v>2024</v>
      </c>
      <c r="B1869" s="1327"/>
      <c r="C1869" s="1367"/>
      <c r="D1869" s="1327"/>
      <c r="E1869" s="683">
        <v>6.7000000000000002E-3</v>
      </c>
      <c r="F1869" s="749" t="s">
        <v>533</v>
      </c>
      <c r="G1869" s="750"/>
      <c r="H1869" s="750"/>
      <c r="I1869" s="670">
        <f>[53]노임단가!$T$22</f>
        <v>273308</v>
      </c>
      <c r="J1869" s="750">
        <f t="shared" si="343"/>
        <v>1831</v>
      </c>
      <c r="K1869" s="670"/>
      <c r="L1869" s="750"/>
      <c r="M1869" s="750">
        <f t="shared" ref="M1869:N1874" si="344">G1869+I1869+K1869</f>
        <v>273308</v>
      </c>
      <c r="N1869" s="750">
        <f t="shared" si="344"/>
        <v>1831</v>
      </c>
      <c r="O1869" s="751"/>
      <c r="P1869" s="672" t="s">
        <v>2017</v>
      </c>
      <c r="Q1869" s="688">
        <v>4800</v>
      </c>
      <c r="R1869" s="688">
        <f>(Q1869)/100</f>
        <v>48</v>
      </c>
      <c r="S1869" s="688">
        <v>0</v>
      </c>
      <c r="T1869" s="690"/>
    </row>
    <row r="1870" spans="1:20" s="688" customFormat="1" ht="17.100000000000001" customHeight="1">
      <c r="A1870" s="1367" t="s">
        <v>280</v>
      </c>
      <c r="B1870" s="1327"/>
      <c r="C1870" s="1367"/>
      <c r="D1870" s="1327"/>
      <c r="E1870" s="683">
        <v>3.3E-3</v>
      </c>
      <c r="F1870" s="749" t="s">
        <v>533</v>
      </c>
      <c r="G1870" s="750"/>
      <c r="H1870" s="750"/>
      <c r="I1870" s="670">
        <f>[53]노임단가!$T$5</f>
        <v>172068</v>
      </c>
      <c r="J1870" s="750">
        <f t="shared" si="343"/>
        <v>567</v>
      </c>
      <c r="K1870" s="670"/>
      <c r="L1870" s="750"/>
      <c r="M1870" s="750">
        <f t="shared" si="344"/>
        <v>172068</v>
      </c>
      <c r="N1870" s="750">
        <f t="shared" si="344"/>
        <v>567</v>
      </c>
      <c r="O1870" s="751"/>
      <c r="P1870" s="672"/>
      <c r="Q1870" s="688">
        <f t="shared" ref="Q1870:R1877" si="345">Q1869</f>
        <v>4800</v>
      </c>
      <c r="R1870" s="688">
        <f t="shared" si="345"/>
        <v>48</v>
      </c>
      <c r="S1870" s="688">
        <v>0</v>
      </c>
      <c r="T1870" s="690">
        <f t="shared" ref="T1870:T1877" si="346">ROUND(S1870/R1870,4)</f>
        <v>0</v>
      </c>
    </row>
    <row r="1871" spans="1:20" s="688" customFormat="1" ht="17.100000000000001" customHeight="1">
      <c r="A1871" s="1367" t="s">
        <v>551</v>
      </c>
      <c r="B1871" s="1327"/>
      <c r="C1871" s="1367" t="s">
        <v>2025</v>
      </c>
      <c r="D1871" s="1327"/>
      <c r="E1871" s="683">
        <v>2.6700000000000002E-2</v>
      </c>
      <c r="F1871" s="749" t="s">
        <v>557</v>
      </c>
      <c r="G1871" s="670" t="e">
        <f>#REF!</f>
        <v>#REF!</v>
      </c>
      <c r="H1871" s="750" t="e">
        <f>INT(E1871*G1871)</f>
        <v>#REF!</v>
      </c>
      <c r="I1871" s="670" t="e">
        <f>#REF!</f>
        <v>#REF!</v>
      </c>
      <c r="J1871" s="750" t="e">
        <f t="shared" si="343"/>
        <v>#REF!</v>
      </c>
      <c r="K1871" s="670" t="e">
        <f>#REF!</f>
        <v>#REF!</v>
      </c>
      <c r="L1871" s="750" t="e">
        <f>INT(E1871*K1871)</f>
        <v>#REF!</v>
      </c>
      <c r="M1871" s="750" t="e">
        <f t="shared" si="344"/>
        <v>#REF!</v>
      </c>
      <c r="N1871" s="750" t="e">
        <f t="shared" si="344"/>
        <v>#REF!</v>
      </c>
      <c r="O1871" s="751"/>
      <c r="P1871" s="672"/>
      <c r="Q1871" s="688">
        <f t="shared" si="345"/>
        <v>4800</v>
      </c>
      <c r="R1871" s="688">
        <f t="shared" si="345"/>
        <v>48</v>
      </c>
      <c r="S1871" s="688">
        <v>4</v>
      </c>
      <c r="T1871" s="690">
        <f t="shared" si="346"/>
        <v>8.3299999999999999E-2</v>
      </c>
    </row>
    <row r="1872" spans="1:20" s="688" customFormat="1" ht="17.100000000000001" customHeight="1">
      <c r="A1872" s="1367" t="s">
        <v>2026</v>
      </c>
      <c r="B1872" s="1327"/>
      <c r="C1872" s="1367" t="s">
        <v>636</v>
      </c>
      <c r="D1872" s="1327"/>
      <c r="E1872" s="683">
        <v>2.6700000000000002E-2</v>
      </c>
      <c r="F1872" s="749" t="s">
        <v>557</v>
      </c>
      <c r="G1872" s="670" t="e">
        <f>$G$1661</f>
        <v>#REF!</v>
      </c>
      <c r="H1872" s="750" t="e">
        <f>INT(E1872*G1872)</f>
        <v>#REF!</v>
      </c>
      <c r="I1872" s="670" t="e">
        <f>$I$1661</f>
        <v>#REF!</v>
      </c>
      <c r="J1872" s="750" t="e">
        <f t="shared" si="343"/>
        <v>#REF!</v>
      </c>
      <c r="K1872" s="670" t="e">
        <f>$K$1661</f>
        <v>#REF!</v>
      </c>
      <c r="L1872" s="750" t="e">
        <f>INT(E1872*K1872)</f>
        <v>#REF!</v>
      </c>
      <c r="M1872" s="750" t="e">
        <f t="shared" si="344"/>
        <v>#REF!</v>
      </c>
      <c r="N1872" s="750" t="e">
        <f t="shared" si="344"/>
        <v>#REF!</v>
      </c>
      <c r="O1872" s="751"/>
      <c r="P1872" s="672"/>
      <c r="Q1872" s="688">
        <f t="shared" si="345"/>
        <v>4800</v>
      </c>
      <c r="R1872" s="688">
        <f t="shared" si="345"/>
        <v>48</v>
      </c>
      <c r="S1872" s="688">
        <v>1</v>
      </c>
      <c r="T1872" s="690">
        <f t="shared" si="346"/>
        <v>2.0799999999999999E-2</v>
      </c>
    </row>
    <row r="1873" spans="1:20" s="688" customFormat="1" ht="17.100000000000001" customHeight="1">
      <c r="A1873" s="1367" t="s">
        <v>2027</v>
      </c>
      <c r="B1873" s="1327"/>
      <c r="C1873" s="1367" t="s">
        <v>2028</v>
      </c>
      <c r="D1873" s="1327"/>
      <c r="E1873" s="683">
        <v>2.6700000000000002E-2</v>
      </c>
      <c r="F1873" s="749" t="s">
        <v>557</v>
      </c>
      <c r="G1873" s="670" t="e">
        <f>#REF!</f>
        <v>#REF!</v>
      </c>
      <c r="H1873" s="750" t="e">
        <f>INT(E1873*G1873)</f>
        <v>#REF!</v>
      </c>
      <c r="I1873" s="670" t="e">
        <f>#REF!</f>
        <v>#REF!</v>
      </c>
      <c r="J1873" s="750" t="e">
        <f t="shared" si="343"/>
        <v>#REF!</v>
      </c>
      <c r="K1873" s="670" t="e">
        <f>#REF!</f>
        <v>#REF!</v>
      </c>
      <c r="L1873" s="750" t="e">
        <f>INT(E1873*K1873)</f>
        <v>#REF!</v>
      </c>
      <c r="M1873" s="750" t="e">
        <f t="shared" si="344"/>
        <v>#REF!</v>
      </c>
      <c r="N1873" s="750" t="e">
        <f t="shared" si="344"/>
        <v>#REF!</v>
      </c>
      <c r="O1873" s="751"/>
      <c r="P1873" s="672"/>
      <c r="Q1873" s="688">
        <f t="shared" si="345"/>
        <v>4800</v>
      </c>
      <c r="R1873" s="688">
        <f t="shared" si="345"/>
        <v>48</v>
      </c>
      <c r="S1873" s="688">
        <v>8</v>
      </c>
      <c r="T1873" s="690">
        <f t="shared" si="346"/>
        <v>0.16669999999999999</v>
      </c>
    </row>
    <row r="1874" spans="1:20" s="688" customFormat="1" ht="17.100000000000001" customHeight="1">
      <c r="A1874" s="1367" t="s">
        <v>2029</v>
      </c>
      <c r="B1874" s="1327"/>
      <c r="C1874" s="1367" t="s">
        <v>2030</v>
      </c>
      <c r="D1874" s="1327"/>
      <c r="E1874" s="683">
        <v>1.3299999999999999E-2</v>
      </c>
      <c r="F1874" s="749" t="s">
        <v>557</v>
      </c>
      <c r="G1874" s="670" t="e">
        <f>#REF!</f>
        <v>#REF!</v>
      </c>
      <c r="H1874" s="670" t="e">
        <f>INT(E1874*G1874)</f>
        <v>#REF!</v>
      </c>
      <c r="I1874" s="670" t="e">
        <f>#REF!</f>
        <v>#REF!</v>
      </c>
      <c r="J1874" s="670" t="e">
        <f t="shared" si="343"/>
        <v>#REF!</v>
      </c>
      <c r="K1874" s="670" t="e">
        <f>#REF!</f>
        <v>#REF!</v>
      </c>
      <c r="L1874" s="670" t="e">
        <f>INT(E1874*K1874)</f>
        <v>#REF!</v>
      </c>
      <c r="M1874" s="750" t="e">
        <f t="shared" si="344"/>
        <v>#REF!</v>
      </c>
      <c r="N1874" s="750" t="e">
        <f t="shared" si="344"/>
        <v>#REF!</v>
      </c>
      <c r="O1874" s="751"/>
      <c r="P1874" s="672"/>
      <c r="Q1874" s="688">
        <f t="shared" si="345"/>
        <v>4800</v>
      </c>
      <c r="R1874" s="688">
        <f t="shared" si="345"/>
        <v>48</v>
      </c>
      <c r="S1874" s="688">
        <v>8</v>
      </c>
      <c r="T1874" s="690">
        <f t="shared" si="346"/>
        <v>0.16669999999999999</v>
      </c>
    </row>
    <row r="1875" spans="1:20" s="688" customFormat="1" ht="17.100000000000001" customHeight="1">
      <c r="A1875" s="1373" t="s">
        <v>2031</v>
      </c>
      <c r="B1875" s="1374"/>
      <c r="C1875" s="1367"/>
      <c r="D1875" s="1327"/>
      <c r="E1875" s="801"/>
      <c r="F1875" s="749"/>
      <c r="G1875" s="750"/>
      <c r="H1875" s="750" t="e">
        <f>SUM(H1867:H1874)</f>
        <v>#REF!</v>
      </c>
      <c r="I1875" s="750"/>
      <c r="J1875" s="750" t="e">
        <f>SUM(J1867:J1874)</f>
        <v>#REF!</v>
      </c>
      <c r="K1875" s="750"/>
      <c r="L1875" s="750" t="e">
        <f>SUM(L1867:L1874)</f>
        <v>#REF!</v>
      </c>
      <c r="M1875" s="750"/>
      <c r="N1875" s="750" t="e">
        <f>SUM(N1867:N1874)</f>
        <v>#REF!</v>
      </c>
      <c r="O1875" s="751"/>
      <c r="P1875" s="672"/>
      <c r="Q1875" s="688">
        <f t="shared" si="345"/>
        <v>4800</v>
      </c>
      <c r="R1875" s="688">
        <f t="shared" si="345"/>
        <v>48</v>
      </c>
      <c r="S1875" s="688">
        <v>8</v>
      </c>
      <c r="T1875" s="690">
        <f t="shared" si="346"/>
        <v>0.16669999999999999</v>
      </c>
    </row>
    <row r="1876" spans="1:20" s="688" customFormat="1" ht="17.100000000000001" customHeight="1">
      <c r="A1876" s="668">
        <f>A1866+1</f>
        <v>312</v>
      </c>
      <c r="B1876" s="1320" t="s">
        <v>2032</v>
      </c>
      <c r="C1876" s="1320"/>
      <c r="D1876" s="1328" t="s">
        <v>2007</v>
      </c>
      <c r="E1876" s="1328"/>
      <c r="F1876" s="669" t="s">
        <v>1458</v>
      </c>
      <c r="G1876" s="698"/>
      <c r="H1876" s="698"/>
      <c r="I1876" s="698"/>
      <c r="J1876" s="698"/>
      <c r="K1876" s="670"/>
      <c r="L1876" s="670"/>
      <c r="M1876" s="670"/>
      <c r="N1876" s="698"/>
      <c r="O1876" s="800" t="s">
        <v>1562</v>
      </c>
      <c r="P1876" s="672"/>
      <c r="Q1876" s="688">
        <f t="shared" si="345"/>
        <v>4800</v>
      </c>
      <c r="R1876" s="688">
        <f t="shared" si="345"/>
        <v>48</v>
      </c>
      <c r="S1876" s="688">
        <v>8</v>
      </c>
      <c r="T1876" s="690">
        <f t="shared" si="346"/>
        <v>0.16669999999999999</v>
      </c>
    </row>
    <row r="1877" spans="1:20" s="688" customFormat="1" ht="17.100000000000001" customHeight="1">
      <c r="A1877" s="1316" t="s">
        <v>1676</v>
      </c>
      <c r="B1877" s="1317"/>
      <c r="C1877" s="1316" t="s">
        <v>2033</v>
      </c>
      <c r="D1877" s="1317"/>
      <c r="E1877" s="686"/>
      <c r="F1877" s="676" t="s">
        <v>915</v>
      </c>
      <c r="G1877" s="670"/>
      <c r="H1877" s="670"/>
      <c r="I1877" s="670"/>
      <c r="J1877" s="670"/>
      <c r="K1877" s="670"/>
      <c r="L1877" s="670"/>
      <c r="M1877" s="670"/>
      <c r="N1877" s="670"/>
      <c r="O1877" s="671"/>
      <c r="P1877" s="672"/>
      <c r="Q1877" s="688">
        <f t="shared" si="345"/>
        <v>4800</v>
      </c>
      <c r="R1877" s="688">
        <f t="shared" si="345"/>
        <v>48</v>
      </c>
      <c r="S1877" s="688">
        <v>4</v>
      </c>
      <c r="T1877" s="690">
        <f t="shared" si="346"/>
        <v>8.3299999999999999E-2</v>
      </c>
    </row>
    <row r="1878" spans="1:20" s="688" customFormat="1" ht="17.100000000000001" customHeight="1">
      <c r="A1878" s="1316" t="s">
        <v>2034</v>
      </c>
      <c r="B1878" s="1317"/>
      <c r="C1878" s="1316" t="s">
        <v>2023</v>
      </c>
      <c r="D1878" s="1317"/>
      <c r="E1878" s="677">
        <v>1</v>
      </c>
      <c r="F1878" s="676" t="s">
        <v>1458</v>
      </c>
      <c r="G1878" s="670" t="e">
        <f>$H$1787</f>
        <v>#REF!</v>
      </c>
      <c r="H1878" s="670" t="e">
        <f>INT(E1878*G1878)</f>
        <v>#REF!</v>
      </c>
      <c r="I1878" s="670" t="e">
        <f>$J$1787</f>
        <v>#REF!</v>
      </c>
      <c r="J1878" s="670" t="e">
        <f>INT(E1878*I1878)</f>
        <v>#REF!</v>
      </c>
      <c r="K1878" s="670" t="e">
        <f>$L$1787</f>
        <v>#REF!</v>
      </c>
      <c r="L1878" s="670" t="e">
        <f>INT(E1878*K1878)</f>
        <v>#REF!</v>
      </c>
      <c r="M1878" s="670" t="e">
        <f>G1878+I1878+K1878</f>
        <v>#REF!</v>
      </c>
      <c r="N1878" s="670" t="e">
        <f>H1878+J1878+L1878</f>
        <v>#REF!</v>
      </c>
      <c r="O1878" s="671">
        <f>$A$1783</f>
        <v>303</v>
      </c>
      <c r="P1878" s="672"/>
    </row>
    <row r="1879" spans="1:20" s="688" customFormat="1" ht="17.100000000000001" customHeight="1">
      <c r="A1879" s="1316" t="s">
        <v>540</v>
      </c>
      <c r="B1879" s="1317"/>
      <c r="C1879" s="1316"/>
      <c r="D1879" s="1317"/>
      <c r="E1879" s="686">
        <v>0.1875</v>
      </c>
      <c r="F1879" s="676" t="s">
        <v>366</v>
      </c>
      <c r="G1879" s="670"/>
      <c r="H1879" s="670"/>
      <c r="I1879" s="670">
        <f>[53]노임단가!$T$22</f>
        <v>273308</v>
      </c>
      <c r="J1879" s="670">
        <f t="shared" ref="J1879:J1885" si="347">INT(E1879*I1879)</f>
        <v>51245</v>
      </c>
      <c r="K1879" s="670"/>
      <c r="L1879" s="670"/>
      <c r="M1879" s="670">
        <f t="shared" ref="M1879:N1886" si="348">G1879+I1879+K1879</f>
        <v>273308</v>
      </c>
      <c r="N1879" s="670">
        <f t="shared" si="348"/>
        <v>51245</v>
      </c>
      <c r="O1879" s="671"/>
      <c r="P1879" s="794"/>
      <c r="Q1879" s="687" t="s">
        <v>1446</v>
      </c>
      <c r="R1879" s="688" t="s">
        <v>1447</v>
      </c>
      <c r="S1879" s="688" t="s">
        <v>1425</v>
      </c>
      <c r="T1879" s="688" t="s">
        <v>1426</v>
      </c>
    </row>
    <row r="1880" spans="1:20" s="688" customFormat="1" ht="17.100000000000001" customHeight="1">
      <c r="A1880" s="1316" t="s">
        <v>248</v>
      </c>
      <c r="B1880" s="1317"/>
      <c r="C1880" s="1316"/>
      <c r="D1880" s="1317"/>
      <c r="E1880" s="686">
        <v>6.25E-2</v>
      </c>
      <c r="F1880" s="676" t="s">
        <v>366</v>
      </c>
      <c r="G1880" s="670"/>
      <c r="H1880" s="670"/>
      <c r="I1880" s="670">
        <f>[53]노임단가!$T$5</f>
        <v>172068</v>
      </c>
      <c r="J1880" s="670">
        <f t="shared" si="347"/>
        <v>10754</v>
      </c>
      <c r="K1880" s="670"/>
      <c r="L1880" s="670"/>
      <c r="M1880" s="670">
        <f t="shared" si="348"/>
        <v>172068</v>
      </c>
      <c r="N1880" s="670">
        <f t="shared" si="348"/>
        <v>10754</v>
      </c>
      <c r="O1880" s="671"/>
      <c r="P1880" s="672"/>
      <c r="Q1880" s="688">
        <v>2500</v>
      </c>
      <c r="R1880" s="688">
        <f>(Q1880)/100</f>
        <v>25</v>
      </c>
      <c r="S1880" s="688">
        <v>0</v>
      </c>
      <c r="T1880" s="690"/>
    </row>
    <row r="1881" spans="1:20" s="688" customFormat="1" ht="17.100000000000001" customHeight="1">
      <c r="A1881" s="1316" t="s">
        <v>1209</v>
      </c>
      <c r="B1881" s="1317"/>
      <c r="C1881" s="1316" t="s">
        <v>1210</v>
      </c>
      <c r="D1881" s="1317"/>
      <c r="E1881" s="686">
        <v>0.5</v>
      </c>
      <c r="F1881" s="676" t="s">
        <v>418</v>
      </c>
      <c r="G1881" s="670" t="e">
        <f>#REF!</f>
        <v>#REF!</v>
      </c>
      <c r="H1881" s="670" t="e">
        <f t="shared" ref="H1881:H1886" si="349">INT(E1881*G1881)</f>
        <v>#REF!</v>
      </c>
      <c r="I1881" s="670" t="e">
        <f>#REF!</f>
        <v>#REF!</v>
      </c>
      <c r="J1881" s="670" t="e">
        <f t="shared" si="347"/>
        <v>#REF!</v>
      </c>
      <c r="K1881" s="670" t="e">
        <f>#REF!</f>
        <v>#REF!</v>
      </c>
      <c r="L1881" s="670" t="e">
        <f t="shared" ref="L1881:L1886" si="350">INT(E1881*K1881)</f>
        <v>#REF!</v>
      </c>
      <c r="M1881" s="670" t="e">
        <f t="shared" si="348"/>
        <v>#REF!</v>
      </c>
      <c r="N1881" s="670" t="e">
        <f t="shared" si="348"/>
        <v>#REF!</v>
      </c>
      <c r="O1881" s="671"/>
      <c r="P1881" s="672"/>
      <c r="Q1881" s="688">
        <f t="shared" ref="Q1881:R1887" si="351">Q1880</f>
        <v>2500</v>
      </c>
      <c r="R1881" s="688">
        <f t="shared" si="351"/>
        <v>25</v>
      </c>
      <c r="S1881" s="688">
        <v>0</v>
      </c>
      <c r="T1881" s="690">
        <f t="shared" ref="T1881:T1887" si="352">ROUND(S1881/R1881,4)</f>
        <v>0</v>
      </c>
    </row>
    <row r="1882" spans="1:20" s="688" customFormat="1" ht="17.100000000000001" customHeight="1">
      <c r="A1882" s="1362" t="s">
        <v>409</v>
      </c>
      <c r="B1882" s="1363"/>
      <c r="C1882" s="1362" t="s">
        <v>397</v>
      </c>
      <c r="D1882" s="1363"/>
      <c r="E1882" s="686">
        <v>0.5</v>
      </c>
      <c r="F1882" s="676" t="s">
        <v>418</v>
      </c>
      <c r="G1882" s="670" t="e">
        <f>$G$1660</f>
        <v>#REF!</v>
      </c>
      <c r="H1882" s="670" t="e">
        <f t="shared" si="349"/>
        <v>#REF!</v>
      </c>
      <c r="I1882" s="670" t="e">
        <f>$I$1660</f>
        <v>#REF!</v>
      </c>
      <c r="J1882" s="670" t="e">
        <f t="shared" si="347"/>
        <v>#REF!</v>
      </c>
      <c r="K1882" s="670" t="e">
        <f>$K$1660</f>
        <v>#REF!</v>
      </c>
      <c r="L1882" s="670" t="e">
        <f t="shared" si="350"/>
        <v>#REF!</v>
      </c>
      <c r="M1882" s="670" t="e">
        <f t="shared" si="348"/>
        <v>#REF!</v>
      </c>
      <c r="N1882" s="670" t="e">
        <f t="shared" si="348"/>
        <v>#REF!</v>
      </c>
      <c r="O1882" s="671"/>
      <c r="P1882" s="672"/>
      <c r="Q1882" s="688">
        <f t="shared" si="351"/>
        <v>2500</v>
      </c>
      <c r="R1882" s="688">
        <f t="shared" si="351"/>
        <v>25</v>
      </c>
      <c r="S1882" s="688">
        <v>4</v>
      </c>
      <c r="T1882" s="690">
        <f t="shared" si="352"/>
        <v>0.16</v>
      </c>
    </row>
    <row r="1883" spans="1:20" s="688" customFormat="1" ht="17.100000000000001" customHeight="1">
      <c r="A1883" s="1316" t="s">
        <v>1172</v>
      </c>
      <c r="B1883" s="1317"/>
      <c r="C1883" s="1316" t="s">
        <v>1173</v>
      </c>
      <c r="D1883" s="1317"/>
      <c r="E1883" s="686">
        <v>0.5</v>
      </c>
      <c r="F1883" s="676" t="s">
        <v>418</v>
      </c>
      <c r="G1883" s="670" t="e">
        <f>#REF!</f>
        <v>#REF!</v>
      </c>
      <c r="H1883" s="670" t="e">
        <f t="shared" si="349"/>
        <v>#REF!</v>
      </c>
      <c r="I1883" s="670" t="e">
        <f>#REF!</f>
        <v>#REF!</v>
      </c>
      <c r="J1883" s="670" t="e">
        <f t="shared" si="347"/>
        <v>#REF!</v>
      </c>
      <c r="K1883" s="670" t="e">
        <f>#REF!</f>
        <v>#REF!</v>
      </c>
      <c r="L1883" s="670" t="e">
        <f t="shared" si="350"/>
        <v>#REF!</v>
      </c>
      <c r="M1883" s="670" t="e">
        <f t="shared" si="348"/>
        <v>#REF!</v>
      </c>
      <c r="N1883" s="670" t="e">
        <f t="shared" si="348"/>
        <v>#REF!</v>
      </c>
      <c r="O1883" s="671"/>
      <c r="P1883" s="672"/>
      <c r="Q1883" s="688">
        <f t="shared" si="351"/>
        <v>2500</v>
      </c>
      <c r="R1883" s="688">
        <f t="shared" si="351"/>
        <v>25</v>
      </c>
      <c r="S1883" s="688">
        <v>1</v>
      </c>
      <c r="T1883" s="690">
        <f t="shared" si="352"/>
        <v>0.04</v>
      </c>
    </row>
    <row r="1884" spans="1:20" s="688" customFormat="1" ht="17.100000000000001" customHeight="1">
      <c r="A1884" s="1316" t="s">
        <v>1188</v>
      </c>
      <c r="B1884" s="1317"/>
      <c r="C1884" s="1316" t="s">
        <v>1178</v>
      </c>
      <c r="D1884" s="1317"/>
      <c r="E1884" s="686">
        <v>0.5</v>
      </c>
      <c r="F1884" s="676" t="s">
        <v>418</v>
      </c>
      <c r="G1884" s="670" t="e">
        <f>#REF!</f>
        <v>#REF!</v>
      </c>
      <c r="H1884" s="670" t="e">
        <f t="shared" si="349"/>
        <v>#REF!</v>
      </c>
      <c r="I1884" s="670" t="e">
        <f>#REF!</f>
        <v>#REF!</v>
      </c>
      <c r="J1884" s="670" t="e">
        <f t="shared" si="347"/>
        <v>#REF!</v>
      </c>
      <c r="K1884" s="670" t="e">
        <f>#REF!</f>
        <v>#REF!</v>
      </c>
      <c r="L1884" s="670" t="e">
        <f t="shared" si="350"/>
        <v>#REF!</v>
      </c>
      <c r="M1884" s="670" t="e">
        <f t="shared" si="348"/>
        <v>#REF!</v>
      </c>
      <c r="N1884" s="670" t="e">
        <f t="shared" si="348"/>
        <v>#REF!</v>
      </c>
      <c r="O1884" s="671"/>
      <c r="P1884" s="672"/>
      <c r="Q1884" s="688">
        <f t="shared" si="351"/>
        <v>2500</v>
      </c>
      <c r="R1884" s="688">
        <f t="shared" si="351"/>
        <v>25</v>
      </c>
      <c r="S1884" s="688">
        <v>8</v>
      </c>
      <c r="T1884" s="690">
        <f t="shared" si="352"/>
        <v>0.32</v>
      </c>
    </row>
    <row r="1885" spans="1:20" s="688" customFormat="1" ht="17.100000000000001" customHeight="1">
      <c r="A1885" s="1316" t="s">
        <v>1177</v>
      </c>
      <c r="B1885" s="1317"/>
      <c r="C1885" s="1316" t="s">
        <v>1178</v>
      </c>
      <c r="D1885" s="1317"/>
      <c r="E1885" s="686">
        <v>0.5</v>
      </c>
      <c r="F1885" s="676" t="s">
        <v>418</v>
      </c>
      <c r="G1885" s="670" t="e">
        <f>#REF!</f>
        <v>#REF!</v>
      </c>
      <c r="H1885" s="670" t="e">
        <f t="shared" si="349"/>
        <v>#REF!</v>
      </c>
      <c r="I1885" s="670" t="e">
        <f>#REF!</f>
        <v>#REF!</v>
      </c>
      <c r="J1885" s="670" t="e">
        <f t="shared" si="347"/>
        <v>#REF!</v>
      </c>
      <c r="K1885" s="670" t="e">
        <f>#REF!</f>
        <v>#REF!</v>
      </c>
      <c r="L1885" s="670" t="e">
        <f t="shared" si="350"/>
        <v>#REF!</v>
      </c>
      <c r="M1885" s="670" t="e">
        <f t="shared" si="348"/>
        <v>#REF!</v>
      </c>
      <c r="N1885" s="670" t="e">
        <f t="shared" si="348"/>
        <v>#REF!</v>
      </c>
      <c r="O1885" s="671"/>
      <c r="P1885" s="672"/>
      <c r="Q1885" s="688">
        <f t="shared" si="351"/>
        <v>2500</v>
      </c>
      <c r="R1885" s="688">
        <f t="shared" si="351"/>
        <v>25</v>
      </c>
      <c r="S1885" s="688">
        <v>16</v>
      </c>
      <c r="T1885" s="690">
        <f t="shared" si="352"/>
        <v>0.64</v>
      </c>
    </row>
    <row r="1886" spans="1:20" s="688" customFormat="1" ht="17.100000000000001" customHeight="1">
      <c r="A1886" s="1316" t="s">
        <v>630</v>
      </c>
      <c r="B1886" s="1317"/>
      <c r="C1886" s="1367" t="s">
        <v>1251</v>
      </c>
      <c r="D1886" s="1327"/>
      <c r="E1886" s="686">
        <v>0.25</v>
      </c>
      <c r="F1886" s="676" t="s">
        <v>418</v>
      </c>
      <c r="G1886" s="670" t="e">
        <f>#REF!</f>
        <v>#REF!</v>
      </c>
      <c r="H1886" s="670" t="e">
        <f t="shared" si="349"/>
        <v>#REF!</v>
      </c>
      <c r="I1886" s="670" t="e">
        <f>#REF!</f>
        <v>#REF!</v>
      </c>
      <c r="J1886" s="670" t="e">
        <f>INT(E1886*I1886)</f>
        <v>#REF!</v>
      </c>
      <c r="K1886" s="670" t="e">
        <f>#REF!</f>
        <v>#REF!</v>
      </c>
      <c r="L1886" s="670" t="e">
        <f t="shared" si="350"/>
        <v>#REF!</v>
      </c>
      <c r="M1886" s="670" t="e">
        <f t="shared" si="348"/>
        <v>#REF!</v>
      </c>
      <c r="N1886" s="670" t="e">
        <f t="shared" si="348"/>
        <v>#REF!</v>
      </c>
      <c r="O1886" s="671"/>
      <c r="P1886" s="672"/>
      <c r="Q1886" s="688">
        <f t="shared" si="351"/>
        <v>2500</v>
      </c>
      <c r="R1886" s="688">
        <f t="shared" si="351"/>
        <v>25</v>
      </c>
      <c r="S1886" s="688">
        <v>8</v>
      </c>
      <c r="T1886" s="690">
        <f t="shared" si="352"/>
        <v>0.32</v>
      </c>
    </row>
    <row r="1887" spans="1:20" s="688" customFormat="1" ht="17.100000000000001" customHeight="1">
      <c r="A1887" s="1318" t="s">
        <v>1320</v>
      </c>
      <c r="B1887" s="1319"/>
      <c r="C1887" s="1316"/>
      <c r="D1887" s="1317"/>
      <c r="E1887" s="686"/>
      <c r="F1887" s="676"/>
      <c r="G1887" s="670"/>
      <c r="H1887" s="670" t="e">
        <f>SUM(H1877:H1886)</f>
        <v>#REF!</v>
      </c>
      <c r="I1887" s="670"/>
      <c r="J1887" s="670" t="e">
        <f>SUM(J1877:J1886)</f>
        <v>#REF!</v>
      </c>
      <c r="K1887" s="670"/>
      <c r="L1887" s="670" t="e">
        <f>SUM(L1877:L1886)</f>
        <v>#REF!</v>
      </c>
      <c r="M1887" s="670"/>
      <c r="N1887" s="670" t="e">
        <f>SUM(N1877:N1886)</f>
        <v>#REF!</v>
      </c>
      <c r="O1887" s="671"/>
      <c r="P1887" s="672"/>
      <c r="Q1887" s="688">
        <f t="shared" si="351"/>
        <v>2500</v>
      </c>
      <c r="R1887" s="688">
        <f t="shared" si="351"/>
        <v>25</v>
      </c>
      <c r="S1887" s="688">
        <v>4</v>
      </c>
      <c r="T1887" s="690">
        <f t="shared" si="352"/>
        <v>0.16</v>
      </c>
    </row>
    <row r="1888" spans="1:20" s="688" customFormat="1" ht="17.100000000000001" customHeight="1">
      <c r="A1888" s="668">
        <f>A1876+1</f>
        <v>313</v>
      </c>
      <c r="B1888" s="1320" t="s">
        <v>2032</v>
      </c>
      <c r="C1888" s="1320"/>
      <c r="D1888" s="1320" t="s">
        <v>2010</v>
      </c>
      <c r="E1888" s="1320"/>
      <c r="F1888" s="669" t="s">
        <v>1458</v>
      </c>
      <c r="G1888" s="698"/>
      <c r="H1888" s="698"/>
      <c r="I1888" s="698"/>
      <c r="J1888" s="698"/>
      <c r="K1888" s="670"/>
      <c r="L1888" s="670"/>
      <c r="M1888" s="670"/>
      <c r="N1888" s="698"/>
      <c r="O1888" s="800" t="s">
        <v>1562</v>
      </c>
      <c r="P1888" s="672"/>
    </row>
    <row r="1889" spans="1:20" s="688" customFormat="1" ht="17.100000000000001" customHeight="1">
      <c r="A1889" s="1316" t="s">
        <v>1676</v>
      </c>
      <c r="B1889" s="1317"/>
      <c r="C1889" s="1316" t="s">
        <v>2033</v>
      </c>
      <c r="D1889" s="1317"/>
      <c r="E1889" s="686"/>
      <c r="F1889" s="676" t="s">
        <v>915</v>
      </c>
      <c r="G1889" s="670"/>
      <c r="H1889" s="670"/>
      <c r="I1889" s="670"/>
      <c r="J1889" s="670"/>
      <c r="K1889" s="670"/>
      <c r="L1889" s="670"/>
      <c r="M1889" s="670"/>
      <c r="N1889" s="670"/>
      <c r="O1889" s="671"/>
      <c r="P1889" s="794"/>
      <c r="Q1889" s="687" t="s">
        <v>1446</v>
      </c>
      <c r="R1889" s="688" t="s">
        <v>1447</v>
      </c>
      <c r="S1889" s="688" t="s">
        <v>1425</v>
      </c>
      <c r="T1889" s="688" t="s">
        <v>1426</v>
      </c>
    </row>
    <row r="1890" spans="1:20" s="688" customFormat="1" ht="17.100000000000001" customHeight="1">
      <c r="A1890" s="1316" t="s">
        <v>2034</v>
      </c>
      <c r="B1890" s="1317"/>
      <c r="C1890" s="1316" t="s">
        <v>2023</v>
      </c>
      <c r="D1890" s="1317"/>
      <c r="E1890" s="677">
        <v>1</v>
      </c>
      <c r="F1890" s="676" t="s">
        <v>1458</v>
      </c>
      <c r="G1890" s="670" t="e">
        <f>$H$1787</f>
        <v>#REF!</v>
      </c>
      <c r="H1890" s="670" t="e">
        <f>INT(E1890*G1890)</f>
        <v>#REF!</v>
      </c>
      <c r="I1890" s="670" t="e">
        <f>$J$1787</f>
        <v>#REF!</v>
      </c>
      <c r="J1890" s="670" t="e">
        <f>INT(E1890*I1890)</f>
        <v>#REF!</v>
      </c>
      <c r="K1890" s="670" t="e">
        <f>$L$1787</f>
        <v>#REF!</v>
      </c>
      <c r="L1890" s="670" t="e">
        <f>INT(E1890*K1890)</f>
        <v>#REF!</v>
      </c>
      <c r="M1890" s="670" t="e">
        <f>G1890+I1890+K1890</f>
        <v>#REF!</v>
      </c>
      <c r="N1890" s="670" t="e">
        <f>H1890+J1890+L1890</f>
        <v>#REF!</v>
      </c>
      <c r="O1890" s="671">
        <f>$A$1783</f>
        <v>303</v>
      </c>
      <c r="P1890" s="672"/>
      <c r="Q1890" s="688">
        <v>4500</v>
      </c>
      <c r="R1890" s="688">
        <f>(Q1890)/100</f>
        <v>45</v>
      </c>
      <c r="S1890" s="688">
        <v>0</v>
      </c>
      <c r="T1890" s="690"/>
    </row>
    <row r="1891" spans="1:20" s="688" customFormat="1" ht="17.100000000000001" customHeight="1">
      <c r="A1891" s="1316" t="s">
        <v>540</v>
      </c>
      <c r="B1891" s="1317"/>
      <c r="C1891" s="1316"/>
      <c r="D1891" s="1317"/>
      <c r="E1891" s="686">
        <v>0.15379999999999999</v>
      </c>
      <c r="F1891" s="676" t="s">
        <v>366</v>
      </c>
      <c r="G1891" s="670"/>
      <c r="H1891" s="670"/>
      <c r="I1891" s="670">
        <f>[53]노임단가!$T$22</f>
        <v>273308</v>
      </c>
      <c r="J1891" s="670">
        <f t="shared" ref="J1891:J1896" si="353">INT(E1891*I1891)</f>
        <v>42034</v>
      </c>
      <c r="K1891" s="670"/>
      <c r="L1891" s="670"/>
      <c r="M1891" s="670">
        <f t="shared" ref="M1891:N1897" si="354">G1891+I1891+K1891</f>
        <v>273308</v>
      </c>
      <c r="N1891" s="670">
        <f t="shared" si="354"/>
        <v>42034</v>
      </c>
      <c r="O1891" s="671"/>
      <c r="P1891" s="672"/>
      <c r="Q1891" s="688">
        <f t="shared" ref="Q1891:R1897" si="355">Q1890</f>
        <v>4500</v>
      </c>
      <c r="R1891" s="688">
        <f t="shared" si="355"/>
        <v>45</v>
      </c>
      <c r="S1891" s="688">
        <v>0</v>
      </c>
      <c r="T1891" s="690">
        <f t="shared" ref="T1891:T1897" si="356">ROUND(S1891/R1891,4)</f>
        <v>0</v>
      </c>
    </row>
    <row r="1892" spans="1:20" s="688" customFormat="1" ht="17.100000000000001" customHeight="1">
      <c r="A1892" s="1316" t="s">
        <v>248</v>
      </c>
      <c r="B1892" s="1317"/>
      <c r="C1892" s="1316"/>
      <c r="D1892" s="1317"/>
      <c r="E1892" s="686">
        <v>3.85E-2</v>
      </c>
      <c r="F1892" s="676" t="s">
        <v>366</v>
      </c>
      <c r="G1892" s="670"/>
      <c r="H1892" s="670"/>
      <c r="I1892" s="670">
        <f>[53]노임단가!$T$5</f>
        <v>172068</v>
      </c>
      <c r="J1892" s="670">
        <f t="shared" si="353"/>
        <v>6624</v>
      </c>
      <c r="K1892" s="670"/>
      <c r="L1892" s="670"/>
      <c r="M1892" s="670">
        <f t="shared" si="354"/>
        <v>172068</v>
      </c>
      <c r="N1892" s="670">
        <f t="shared" si="354"/>
        <v>6624</v>
      </c>
      <c r="O1892" s="671"/>
      <c r="P1892" s="672"/>
      <c r="Q1892" s="688">
        <f t="shared" si="355"/>
        <v>4500</v>
      </c>
      <c r="R1892" s="688">
        <f t="shared" si="355"/>
        <v>45</v>
      </c>
      <c r="S1892" s="688">
        <v>4</v>
      </c>
      <c r="T1892" s="690">
        <f t="shared" si="356"/>
        <v>8.8900000000000007E-2</v>
      </c>
    </row>
    <row r="1893" spans="1:20" s="688" customFormat="1" ht="17.100000000000001" customHeight="1">
      <c r="A1893" s="1316" t="s">
        <v>1209</v>
      </c>
      <c r="B1893" s="1317"/>
      <c r="C1893" s="1316" t="s">
        <v>2011</v>
      </c>
      <c r="D1893" s="1317"/>
      <c r="E1893" s="686">
        <v>0.30769999999999997</v>
      </c>
      <c r="F1893" s="676" t="s">
        <v>418</v>
      </c>
      <c r="G1893" s="670" t="e">
        <f>$G$1827</f>
        <v>#REF!</v>
      </c>
      <c r="H1893" s="670" t="e">
        <f>INT(E1893*G1893)</f>
        <v>#REF!</v>
      </c>
      <c r="I1893" s="670" t="e">
        <f>$I$1827</f>
        <v>#REF!</v>
      </c>
      <c r="J1893" s="670" t="e">
        <f t="shared" si="353"/>
        <v>#REF!</v>
      </c>
      <c r="K1893" s="670" t="e">
        <f>$K$1827</f>
        <v>#REF!</v>
      </c>
      <c r="L1893" s="670" t="e">
        <f>INT(E1893*K1893)</f>
        <v>#REF!</v>
      </c>
      <c r="M1893" s="670" t="e">
        <f t="shared" si="354"/>
        <v>#REF!</v>
      </c>
      <c r="N1893" s="670" t="e">
        <f t="shared" si="354"/>
        <v>#REF!</v>
      </c>
      <c r="O1893" s="671"/>
      <c r="P1893" s="672"/>
      <c r="Q1893" s="688">
        <f t="shared" si="355"/>
        <v>4500</v>
      </c>
      <c r="R1893" s="688">
        <f t="shared" si="355"/>
        <v>45</v>
      </c>
      <c r="S1893" s="688">
        <v>1</v>
      </c>
      <c r="T1893" s="690">
        <f t="shared" si="356"/>
        <v>2.2200000000000001E-2</v>
      </c>
    </row>
    <row r="1894" spans="1:20" s="688" customFormat="1" ht="17.100000000000001" customHeight="1">
      <c r="A1894" s="1316" t="s">
        <v>1172</v>
      </c>
      <c r="B1894" s="1317"/>
      <c r="C1894" s="1316" t="s">
        <v>1175</v>
      </c>
      <c r="D1894" s="1317"/>
      <c r="E1894" s="686">
        <v>0.30769999999999997</v>
      </c>
      <c r="F1894" s="676" t="s">
        <v>418</v>
      </c>
      <c r="G1894" s="670" t="e">
        <f>#REF!</f>
        <v>#REF!</v>
      </c>
      <c r="H1894" s="670" t="e">
        <f>INT(E1894*G1894)</f>
        <v>#REF!</v>
      </c>
      <c r="I1894" s="670" t="e">
        <f>#REF!</f>
        <v>#REF!</v>
      </c>
      <c r="J1894" s="670" t="e">
        <f t="shared" si="353"/>
        <v>#REF!</v>
      </c>
      <c r="K1894" s="670" t="e">
        <f>#REF!</f>
        <v>#REF!</v>
      </c>
      <c r="L1894" s="670" t="e">
        <f>INT(E1894*K1894)</f>
        <v>#REF!</v>
      </c>
      <c r="M1894" s="670" t="e">
        <f t="shared" si="354"/>
        <v>#REF!</v>
      </c>
      <c r="N1894" s="670" t="e">
        <f t="shared" si="354"/>
        <v>#REF!</v>
      </c>
      <c r="O1894" s="671"/>
      <c r="P1894" s="672"/>
      <c r="Q1894" s="688">
        <f t="shared" si="355"/>
        <v>4500</v>
      </c>
      <c r="R1894" s="688">
        <f t="shared" si="355"/>
        <v>45</v>
      </c>
      <c r="S1894" s="688">
        <v>8</v>
      </c>
      <c r="T1894" s="690">
        <f t="shared" si="356"/>
        <v>0.17780000000000001</v>
      </c>
    </row>
    <row r="1895" spans="1:20" s="688" customFormat="1" ht="17.100000000000001" customHeight="1">
      <c r="A1895" s="1316" t="s">
        <v>1188</v>
      </c>
      <c r="B1895" s="1317"/>
      <c r="C1895" s="1316" t="s">
        <v>1190</v>
      </c>
      <c r="D1895" s="1317"/>
      <c r="E1895" s="686">
        <v>0.30769999999999997</v>
      </c>
      <c r="F1895" s="676" t="s">
        <v>418</v>
      </c>
      <c r="G1895" s="670" t="e">
        <f>#REF!</f>
        <v>#REF!</v>
      </c>
      <c r="H1895" s="670" t="e">
        <f>INT(E1895*G1895)</f>
        <v>#REF!</v>
      </c>
      <c r="I1895" s="670" t="e">
        <f>#REF!</f>
        <v>#REF!</v>
      </c>
      <c r="J1895" s="670" t="e">
        <f t="shared" si="353"/>
        <v>#REF!</v>
      </c>
      <c r="K1895" s="670" t="e">
        <f>#REF!</f>
        <v>#REF!</v>
      </c>
      <c r="L1895" s="670" t="e">
        <f>INT(E1895*K1895)</f>
        <v>#REF!</v>
      </c>
      <c r="M1895" s="670" t="e">
        <f t="shared" si="354"/>
        <v>#REF!</v>
      </c>
      <c r="N1895" s="670" t="e">
        <f t="shared" si="354"/>
        <v>#REF!</v>
      </c>
      <c r="O1895" s="671"/>
      <c r="P1895" s="672"/>
      <c r="Q1895" s="688">
        <f t="shared" si="355"/>
        <v>4500</v>
      </c>
      <c r="R1895" s="688">
        <f t="shared" si="355"/>
        <v>45</v>
      </c>
      <c r="S1895" s="688">
        <v>16</v>
      </c>
      <c r="T1895" s="690">
        <f t="shared" si="356"/>
        <v>0.35560000000000003</v>
      </c>
    </row>
    <row r="1896" spans="1:20" s="688" customFormat="1" ht="17.100000000000001" customHeight="1">
      <c r="A1896" s="1316" t="s">
        <v>1177</v>
      </c>
      <c r="B1896" s="1317"/>
      <c r="C1896" s="1316" t="s">
        <v>1178</v>
      </c>
      <c r="D1896" s="1317"/>
      <c r="E1896" s="686">
        <v>0.30769999999999997</v>
      </c>
      <c r="F1896" s="676" t="s">
        <v>418</v>
      </c>
      <c r="G1896" s="670" t="e">
        <f>#REF!</f>
        <v>#REF!</v>
      </c>
      <c r="H1896" s="670" t="e">
        <f>INT(E1896*G1896)</f>
        <v>#REF!</v>
      </c>
      <c r="I1896" s="670" t="e">
        <f>#REF!</f>
        <v>#REF!</v>
      </c>
      <c r="J1896" s="670" t="e">
        <f t="shared" si="353"/>
        <v>#REF!</v>
      </c>
      <c r="K1896" s="670" t="e">
        <f>#REF!</f>
        <v>#REF!</v>
      </c>
      <c r="L1896" s="670" t="e">
        <f>INT(E1896*K1896)</f>
        <v>#REF!</v>
      </c>
      <c r="M1896" s="670" t="e">
        <f t="shared" si="354"/>
        <v>#REF!</v>
      </c>
      <c r="N1896" s="670" t="e">
        <f t="shared" si="354"/>
        <v>#REF!</v>
      </c>
      <c r="O1896" s="671"/>
      <c r="P1896" s="672"/>
      <c r="Q1896" s="688">
        <f t="shared" si="355"/>
        <v>4500</v>
      </c>
      <c r="R1896" s="688">
        <f t="shared" si="355"/>
        <v>45</v>
      </c>
      <c r="S1896" s="688">
        <v>8</v>
      </c>
      <c r="T1896" s="690">
        <f t="shared" si="356"/>
        <v>0.17780000000000001</v>
      </c>
    </row>
    <row r="1897" spans="1:20" s="688" customFormat="1" ht="17.100000000000001" customHeight="1">
      <c r="A1897" s="1316" t="s">
        <v>630</v>
      </c>
      <c r="B1897" s="1317"/>
      <c r="C1897" s="1316" t="s">
        <v>1395</v>
      </c>
      <c r="D1897" s="1317"/>
      <c r="E1897" s="686">
        <v>0.15379999999999999</v>
      </c>
      <c r="F1897" s="676" t="s">
        <v>418</v>
      </c>
      <c r="G1897" s="670" t="e">
        <f>#REF!</f>
        <v>#REF!</v>
      </c>
      <c r="H1897" s="670" t="e">
        <f>INT(E1897*G1897)</f>
        <v>#REF!</v>
      </c>
      <c r="I1897" s="670" t="e">
        <f>#REF!</f>
        <v>#REF!</v>
      </c>
      <c r="J1897" s="670" t="e">
        <f>INT(E1897*I1897)</f>
        <v>#REF!</v>
      </c>
      <c r="K1897" s="670" t="e">
        <f>#REF!</f>
        <v>#REF!</v>
      </c>
      <c r="L1897" s="670" t="e">
        <f>INT(E1897*K1897)</f>
        <v>#REF!</v>
      </c>
      <c r="M1897" s="670" t="e">
        <f t="shared" si="354"/>
        <v>#REF!</v>
      </c>
      <c r="N1897" s="670" t="e">
        <f t="shared" si="354"/>
        <v>#REF!</v>
      </c>
      <c r="O1897" s="671"/>
      <c r="P1897" s="672"/>
      <c r="Q1897" s="688">
        <f t="shared" si="355"/>
        <v>4500</v>
      </c>
      <c r="R1897" s="688">
        <f t="shared" si="355"/>
        <v>45</v>
      </c>
      <c r="S1897" s="688">
        <v>4</v>
      </c>
      <c r="T1897" s="690">
        <f t="shared" si="356"/>
        <v>8.8900000000000007E-2</v>
      </c>
    </row>
    <row r="1898" spans="1:20" s="688" customFormat="1" ht="17.100000000000001" customHeight="1">
      <c r="A1898" s="1318" t="s">
        <v>1320</v>
      </c>
      <c r="B1898" s="1319"/>
      <c r="C1898" s="1316"/>
      <c r="D1898" s="1317"/>
      <c r="E1898" s="686"/>
      <c r="F1898" s="676"/>
      <c r="G1898" s="670"/>
      <c r="H1898" s="670" t="e">
        <f>SUM(H1889:H1897)</f>
        <v>#REF!</v>
      </c>
      <c r="I1898" s="670"/>
      <c r="J1898" s="670" t="e">
        <f>SUM(J1889:J1897)</f>
        <v>#REF!</v>
      </c>
      <c r="K1898" s="670"/>
      <c r="L1898" s="670" t="e">
        <f>SUM(L1889:L1897)</f>
        <v>#REF!</v>
      </c>
      <c r="M1898" s="670"/>
      <c r="N1898" s="670" t="e">
        <f>SUM(N1889:N1897)</f>
        <v>#REF!</v>
      </c>
      <c r="O1898" s="671"/>
      <c r="P1898" s="672"/>
      <c r="S1898" s="728"/>
      <c r="T1898" s="690"/>
    </row>
    <row r="1899" spans="1:20" s="688" customFormat="1" ht="17.100000000000001" customHeight="1">
      <c r="A1899" s="668">
        <f>A1888+1</f>
        <v>314</v>
      </c>
      <c r="B1899" s="1320" t="s">
        <v>2032</v>
      </c>
      <c r="C1899" s="1320"/>
      <c r="D1899" s="1320" t="s">
        <v>2014</v>
      </c>
      <c r="E1899" s="1320"/>
      <c r="F1899" s="669" t="s">
        <v>1458</v>
      </c>
      <c r="G1899" s="698"/>
      <c r="H1899" s="698"/>
      <c r="I1899" s="698"/>
      <c r="J1899" s="698"/>
      <c r="K1899" s="670"/>
      <c r="L1899" s="670"/>
      <c r="M1899" s="670"/>
      <c r="N1899" s="698"/>
      <c r="O1899" s="800" t="s">
        <v>1562</v>
      </c>
      <c r="P1899" s="794"/>
      <c r="Q1899" s="687" t="s">
        <v>1446</v>
      </c>
      <c r="R1899" s="688" t="s">
        <v>1447</v>
      </c>
      <c r="S1899" s="688" t="s">
        <v>1425</v>
      </c>
      <c r="T1899" s="688" t="s">
        <v>1426</v>
      </c>
    </row>
    <row r="1900" spans="1:20" s="688" customFormat="1" ht="17.100000000000001" customHeight="1">
      <c r="A1900" s="1316" t="s">
        <v>1676</v>
      </c>
      <c r="B1900" s="1317"/>
      <c r="C1900" s="1316" t="s">
        <v>2033</v>
      </c>
      <c r="D1900" s="1317"/>
      <c r="E1900" s="686"/>
      <c r="F1900" s="676" t="s">
        <v>915</v>
      </c>
      <c r="G1900" s="670"/>
      <c r="H1900" s="670"/>
      <c r="I1900" s="670"/>
      <c r="J1900" s="670"/>
      <c r="K1900" s="670"/>
      <c r="L1900" s="670"/>
      <c r="M1900" s="670"/>
      <c r="N1900" s="670"/>
      <c r="O1900" s="671"/>
      <c r="P1900" s="672"/>
      <c r="Q1900" s="688">
        <v>2100</v>
      </c>
      <c r="R1900" s="688">
        <f>(Q1900)/100</f>
        <v>21</v>
      </c>
      <c r="S1900" s="688">
        <v>0</v>
      </c>
      <c r="T1900" s="690"/>
    </row>
    <row r="1901" spans="1:20" s="688" customFormat="1" ht="17.100000000000001" customHeight="1">
      <c r="A1901" s="1316" t="s">
        <v>2034</v>
      </c>
      <c r="B1901" s="1317"/>
      <c r="C1901" s="1316" t="s">
        <v>2023</v>
      </c>
      <c r="D1901" s="1317"/>
      <c r="E1901" s="677">
        <v>1</v>
      </c>
      <c r="F1901" s="676" t="s">
        <v>1458</v>
      </c>
      <c r="G1901" s="670" t="e">
        <f>$H$1787</f>
        <v>#REF!</v>
      </c>
      <c r="H1901" s="670" t="e">
        <f>INT(E1901*G1901)</f>
        <v>#REF!</v>
      </c>
      <c r="I1901" s="670" t="e">
        <f>$J$1787</f>
        <v>#REF!</v>
      </c>
      <c r="J1901" s="670" t="e">
        <f>INT(E1901*I1901)</f>
        <v>#REF!</v>
      </c>
      <c r="K1901" s="670" t="e">
        <f>$L$1787</f>
        <v>#REF!</v>
      </c>
      <c r="L1901" s="670" t="e">
        <f>INT(E1901*K1901)</f>
        <v>#REF!</v>
      </c>
      <c r="M1901" s="670" t="e">
        <f>G1901+I1901+K1901</f>
        <v>#REF!</v>
      </c>
      <c r="N1901" s="670" t="e">
        <f>H1901+J1901+L1901</f>
        <v>#REF!</v>
      </c>
      <c r="O1901" s="671">
        <f>$A$1783</f>
        <v>303</v>
      </c>
      <c r="P1901" s="672"/>
      <c r="Q1901" s="688">
        <f t="shared" ref="Q1901:R1907" si="357">Q1900</f>
        <v>2100</v>
      </c>
      <c r="R1901" s="688">
        <f t="shared" si="357"/>
        <v>21</v>
      </c>
      <c r="S1901" s="688">
        <v>0</v>
      </c>
      <c r="T1901" s="690">
        <f t="shared" ref="T1901:T1907" si="358">ROUND(S1901/R1901,4)</f>
        <v>0</v>
      </c>
    </row>
    <row r="1902" spans="1:20" s="688" customFormat="1" ht="17.100000000000001" customHeight="1">
      <c r="A1902" s="1316" t="s">
        <v>540</v>
      </c>
      <c r="B1902" s="1317"/>
      <c r="C1902" s="1316"/>
      <c r="D1902" s="1317"/>
      <c r="E1902" s="686">
        <v>8.3299999999999999E-2</v>
      </c>
      <c r="F1902" s="676" t="s">
        <v>366</v>
      </c>
      <c r="G1902" s="670"/>
      <c r="H1902" s="670"/>
      <c r="I1902" s="670">
        <f>[53]노임단가!$T$22</f>
        <v>273308</v>
      </c>
      <c r="J1902" s="670">
        <f t="shared" ref="J1902:J1907" si="359">INT(E1902*I1902)</f>
        <v>22766</v>
      </c>
      <c r="K1902" s="670"/>
      <c r="L1902" s="670"/>
      <c r="M1902" s="670">
        <f t="shared" ref="M1902:N1908" si="360">G1902+I1902+K1902</f>
        <v>273308</v>
      </c>
      <c r="N1902" s="670">
        <f t="shared" si="360"/>
        <v>22766</v>
      </c>
      <c r="O1902" s="671"/>
      <c r="P1902" s="672"/>
      <c r="Q1902" s="688">
        <f t="shared" si="357"/>
        <v>2100</v>
      </c>
      <c r="R1902" s="688">
        <f t="shared" si="357"/>
        <v>21</v>
      </c>
      <c r="S1902" s="688">
        <v>4</v>
      </c>
      <c r="T1902" s="690">
        <f t="shared" si="358"/>
        <v>0.1905</v>
      </c>
    </row>
    <row r="1903" spans="1:20" s="688" customFormat="1" ht="17.100000000000001" customHeight="1">
      <c r="A1903" s="1316" t="s">
        <v>248</v>
      </c>
      <c r="B1903" s="1317"/>
      <c r="C1903" s="1316"/>
      <c r="D1903" s="1317"/>
      <c r="E1903" s="686">
        <v>2.0799999999999999E-2</v>
      </c>
      <c r="F1903" s="676" t="s">
        <v>366</v>
      </c>
      <c r="G1903" s="670"/>
      <c r="H1903" s="670"/>
      <c r="I1903" s="670">
        <f>[53]노임단가!$T$5</f>
        <v>172068</v>
      </c>
      <c r="J1903" s="670">
        <f t="shared" si="359"/>
        <v>3579</v>
      </c>
      <c r="K1903" s="670"/>
      <c r="L1903" s="670"/>
      <c r="M1903" s="670">
        <f t="shared" si="360"/>
        <v>172068</v>
      </c>
      <c r="N1903" s="670">
        <f t="shared" si="360"/>
        <v>3579</v>
      </c>
      <c r="O1903" s="671"/>
      <c r="P1903" s="672"/>
      <c r="Q1903" s="688">
        <f t="shared" si="357"/>
        <v>2100</v>
      </c>
      <c r="R1903" s="688">
        <f t="shared" si="357"/>
        <v>21</v>
      </c>
      <c r="S1903" s="688">
        <v>1</v>
      </c>
      <c r="T1903" s="690">
        <f t="shared" si="358"/>
        <v>4.7600000000000003E-2</v>
      </c>
    </row>
    <row r="1904" spans="1:20" s="688" customFormat="1" ht="17.100000000000001" customHeight="1">
      <c r="A1904" s="1316" t="s">
        <v>1209</v>
      </c>
      <c r="B1904" s="1317"/>
      <c r="C1904" s="1316" t="s">
        <v>2011</v>
      </c>
      <c r="D1904" s="1317"/>
      <c r="E1904" s="686">
        <v>0.16669999999999999</v>
      </c>
      <c r="F1904" s="676" t="s">
        <v>418</v>
      </c>
      <c r="G1904" s="670" t="e">
        <f>#REF!</f>
        <v>#REF!</v>
      </c>
      <c r="H1904" s="670" t="e">
        <f>INT(E1904*G1904)</f>
        <v>#REF!</v>
      </c>
      <c r="I1904" s="670" t="e">
        <f>#REF!</f>
        <v>#REF!</v>
      </c>
      <c r="J1904" s="670" t="e">
        <f t="shared" si="359"/>
        <v>#REF!</v>
      </c>
      <c r="K1904" s="670" t="e">
        <f>#REF!</f>
        <v>#REF!</v>
      </c>
      <c r="L1904" s="670" t="e">
        <f>INT(E1904*K1904)</f>
        <v>#REF!</v>
      </c>
      <c r="M1904" s="670" t="e">
        <f t="shared" si="360"/>
        <v>#REF!</v>
      </c>
      <c r="N1904" s="670" t="e">
        <f t="shared" si="360"/>
        <v>#REF!</v>
      </c>
      <c r="O1904" s="671"/>
      <c r="P1904" s="672"/>
      <c r="Q1904" s="688">
        <f t="shared" si="357"/>
        <v>2100</v>
      </c>
      <c r="R1904" s="688">
        <f t="shared" si="357"/>
        <v>21</v>
      </c>
      <c r="S1904" s="688">
        <v>8</v>
      </c>
      <c r="T1904" s="690">
        <f t="shared" si="358"/>
        <v>0.38100000000000001</v>
      </c>
    </row>
    <row r="1905" spans="1:22" s="688" customFormat="1" ht="17.100000000000001" customHeight="1">
      <c r="A1905" s="1316" t="s">
        <v>1172</v>
      </c>
      <c r="B1905" s="1317"/>
      <c r="C1905" s="1316" t="s">
        <v>1175</v>
      </c>
      <c r="D1905" s="1317"/>
      <c r="E1905" s="686">
        <v>0.16669999999999999</v>
      </c>
      <c r="F1905" s="676" t="s">
        <v>418</v>
      </c>
      <c r="G1905" s="670" t="e">
        <f>#REF!</f>
        <v>#REF!</v>
      </c>
      <c r="H1905" s="670" t="e">
        <f>INT(E1905*G1905)</f>
        <v>#REF!</v>
      </c>
      <c r="I1905" s="670" t="e">
        <f>#REF!</f>
        <v>#REF!</v>
      </c>
      <c r="J1905" s="670" t="e">
        <f t="shared" si="359"/>
        <v>#REF!</v>
      </c>
      <c r="K1905" s="670" t="e">
        <f>#REF!</f>
        <v>#REF!</v>
      </c>
      <c r="L1905" s="670" t="e">
        <f>INT(E1905*K1905)</f>
        <v>#REF!</v>
      </c>
      <c r="M1905" s="670" t="e">
        <f t="shared" si="360"/>
        <v>#REF!</v>
      </c>
      <c r="N1905" s="670" t="e">
        <f t="shared" si="360"/>
        <v>#REF!</v>
      </c>
      <c r="O1905" s="671"/>
      <c r="P1905" s="672"/>
      <c r="Q1905" s="688">
        <f t="shared" si="357"/>
        <v>2100</v>
      </c>
      <c r="R1905" s="688">
        <f t="shared" si="357"/>
        <v>21</v>
      </c>
      <c r="S1905" s="688">
        <v>16</v>
      </c>
      <c r="T1905" s="690">
        <f t="shared" si="358"/>
        <v>0.76190000000000002</v>
      </c>
    </row>
    <row r="1906" spans="1:22" s="688" customFormat="1" ht="17.100000000000001" customHeight="1">
      <c r="A1906" s="1316" t="s">
        <v>1188</v>
      </c>
      <c r="B1906" s="1317"/>
      <c r="C1906" s="1316" t="s">
        <v>1190</v>
      </c>
      <c r="D1906" s="1317"/>
      <c r="E1906" s="686">
        <v>0.16669999999999999</v>
      </c>
      <c r="F1906" s="676" t="s">
        <v>418</v>
      </c>
      <c r="G1906" s="670" t="e">
        <f>#REF!</f>
        <v>#REF!</v>
      </c>
      <c r="H1906" s="670" t="e">
        <f>INT(E1906*G1906)</f>
        <v>#REF!</v>
      </c>
      <c r="I1906" s="670" t="e">
        <f>#REF!</f>
        <v>#REF!</v>
      </c>
      <c r="J1906" s="670" t="e">
        <f t="shared" si="359"/>
        <v>#REF!</v>
      </c>
      <c r="K1906" s="670" t="e">
        <f>#REF!</f>
        <v>#REF!</v>
      </c>
      <c r="L1906" s="670" t="e">
        <f>INT(E1906*K1906)</f>
        <v>#REF!</v>
      </c>
      <c r="M1906" s="670" t="e">
        <f t="shared" si="360"/>
        <v>#REF!</v>
      </c>
      <c r="N1906" s="670" t="e">
        <f t="shared" si="360"/>
        <v>#REF!</v>
      </c>
      <c r="O1906" s="671"/>
      <c r="P1906" s="672"/>
      <c r="Q1906" s="688">
        <f t="shared" si="357"/>
        <v>2100</v>
      </c>
      <c r="R1906" s="688">
        <f t="shared" si="357"/>
        <v>21</v>
      </c>
      <c r="S1906" s="688">
        <v>8</v>
      </c>
      <c r="T1906" s="690">
        <f t="shared" si="358"/>
        <v>0.38100000000000001</v>
      </c>
    </row>
    <row r="1907" spans="1:22" s="688" customFormat="1" ht="17.100000000000001" customHeight="1">
      <c r="A1907" s="1316" t="s">
        <v>1177</v>
      </c>
      <c r="B1907" s="1317"/>
      <c r="C1907" s="1316" t="s">
        <v>1178</v>
      </c>
      <c r="D1907" s="1317"/>
      <c r="E1907" s="686">
        <v>0.16669999999999999</v>
      </c>
      <c r="F1907" s="676" t="s">
        <v>418</v>
      </c>
      <c r="G1907" s="670" t="e">
        <f>#REF!</f>
        <v>#REF!</v>
      </c>
      <c r="H1907" s="670" t="e">
        <f>INT(E1907*G1907)</f>
        <v>#REF!</v>
      </c>
      <c r="I1907" s="670" t="e">
        <f>#REF!</f>
        <v>#REF!</v>
      </c>
      <c r="J1907" s="670" t="e">
        <f t="shared" si="359"/>
        <v>#REF!</v>
      </c>
      <c r="K1907" s="670" t="e">
        <f>#REF!</f>
        <v>#REF!</v>
      </c>
      <c r="L1907" s="670" t="e">
        <f>INT(E1907*K1907)</f>
        <v>#REF!</v>
      </c>
      <c r="M1907" s="670" t="e">
        <f t="shared" si="360"/>
        <v>#REF!</v>
      </c>
      <c r="N1907" s="670" t="e">
        <f t="shared" si="360"/>
        <v>#REF!</v>
      </c>
      <c r="O1907" s="671"/>
      <c r="P1907" s="672"/>
      <c r="Q1907" s="688">
        <f t="shared" si="357"/>
        <v>2100</v>
      </c>
      <c r="R1907" s="688">
        <f t="shared" si="357"/>
        <v>21</v>
      </c>
      <c r="S1907" s="688">
        <v>4</v>
      </c>
      <c r="T1907" s="690">
        <f t="shared" si="358"/>
        <v>0.1905</v>
      </c>
    </row>
    <row r="1908" spans="1:22" s="688" customFormat="1" ht="17.100000000000001" customHeight="1">
      <c r="A1908" s="1316" t="s">
        <v>630</v>
      </c>
      <c r="B1908" s="1317"/>
      <c r="C1908" s="1316" t="s">
        <v>1395</v>
      </c>
      <c r="D1908" s="1317"/>
      <c r="E1908" s="686">
        <v>8.3299999999999999E-2</v>
      </c>
      <c r="F1908" s="676" t="s">
        <v>418</v>
      </c>
      <c r="G1908" s="670" t="e">
        <f>#REF!</f>
        <v>#REF!</v>
      </c>
      <c r="H1908" s="670" t="e">
        <f>INT(E1908*G1908)</f>
        <v>#REF!</v>
      </c>
      <c r="I1908" s="670" t="e">
        <f>#REF!</f>
        <v>#REF!</v>
      </c>
      <c r="J1908" s="670" t="e">
        <f>INT(E1908*I1908)</f>
        <v>#REF!</v>
      </c>
      <c r="K1908" s="670" t="e">
        <f>#REF!</f>
        <v>#REF!</v>
      </c>
      <c r="L1908" s="670" t="e">
        <f>INT(E1908*K1908)</f>
        <v>#REF!</v>
      </c>
      <c r="M1908" s="670" t="e">
        <f t="shared" si="360"/>
        <v>#REF!</v>
      </c>
      <c r="N1908" s="670" t="e">
        <f t="shared" si="360"/>
        <v>#REF!</v>
      </c>
      <c r="O1908" s="671"/>
      <c r="P1908" s="672"/>
      <c r="S1908" s="728"/>
      <c r="T1908" s="690"/>
    </row>
    <row r="1909" spans="1:22" s="688" customFormat="1" ht="17.100000000000001" customHeight="1">
      <c r="A1909" s="1318" t="s">
        <v>1320</v>
      </c>
      <c r="B1909" s="1319"/>
      <c r="C1909" s="1316"/>
      <c r="D1909" s="1317"/>
      <c r="E1909" s="686"/>
      <c r="F1909" s="676"/>
      <c r="G1909" s="670"/>
      <c r="H1909" s="670" t="e">
        <f>SUM(H1900:H1908)</f>
        <v>#REF!</v>
      </c>
      <c r="I1909" s="670"/>
      <c r="J1909" s="670" t="e">
        <f>SUM(J1900:J1908)</f>
        <v>#REF!</v>
      </c>
      <c r="K1909" s="670"/>
      <c r="L1909" s="670" t="e">
        <f>SUM(L1900:L1908)</f>
        <v>#REF!</v>
      </c>
      <c r="M1909" s="670"/>
      <c r="N1909" s="670" t="e">
        <f>SUM(N1900:N1908)</f>
        <v>#REF!</v>
      </c>
      <c r="O1909" s="671"/>
      <c r="P1909" s="794"/>
      <c r="Q1909" s="687" t="s">
        <v>1446</v>
      </c>
      <c r="R1909" s="688" t="s">
        <v>1447</v>
      </c>
      <c r="S1909" s="688" t="s">
        <v>1425</v>
      </c>
      <c r="T1909" s="688" t="s">
        <v>1426</v>
      </c>
    </row>
    <row r="1910" spans="1:22" s="688" customFormat="1" ht="17.100000000000001" customHeight="1">
      <c r="A1910" s="668">
        <f>A1899+1</f>
        <v>315</v>
      </c>
      <c r="B1910" s="1320" t="s">
        <v>2035</v>
      </c>
      <c r="C1910" s="1320"/>
      <c r="D1910" s="1320" t="s">
        <v>2036</v>
      </c>
      <c r="E1910" s="1320"/>
      <c r="F1910" s="669" t="s">
        <v>1458</v>
      </c>
      <c r="G1910" s="698"/>
      <c r="H1910" s="698"/>
      <c r="I1910" s="698"/>
      <c r="J1910" s="698"/>
      <c r="K1910" s="670"/>
      <c r="L1910" s="670"/>
      <c r="M1910" s="670"/>
      <c r="N1910" s="698"/>
      <c r="O1910" s="800" t="s">
        <v>1562</v>
      </c>
      <c r="P1910" s="672"/>
      <c r="Q1910" s="688">
        <v>4000</v>
      </c>
      <c r="R1910" s="688">
        <f>(Q1910)/100</f>
        <v>40</v>
      </c>
      <c r="S1910" s="688">
        <v>0</v>
      </c>
      <c r="T1910" s="690"/>
    </row>
    <row r="1911" spans="1:22" s="688" customFormat="1" ht="17.100000000000001" customHeight="1">
      <c r="A1911" s="1316" t="s">
        <v>1676</v>
      </c>
      <c r="B1911" s="1317"/>
      <c r="C1911" s="1316" t="s">
        <v>1827</v>
      </c>
      <c r="D1911" s="1317"/>
      <c r="E1911" s="686"/>
      <c r="F1911" s="676" t="s">
        <v>915</v>
      </c>
      <c r="G1911" s="670"/>
      <c r="H1911" s="670"/>
      <c r="I1911" s="670"/>
      <c r="J1911" s="670"/>
      <c r="K1911" s="670"/>
      <c r="L1911" s="670"/>
      <c r="M1911" s="670"/>
      <c r="N1911" s="670"/>
      <c r="O1911" s="671"/>
      <c r="P1911" s="672"/>
      <c r="Q1911" s="688">
        <f t="shared" ref="Q1911:R1917" si="361">Q1910</f>
        <v>4000</v>
      </c>
      <c r="R1911" s="688">
        <f t="shared" si="361"/>
        <v>40</v>
      </c>
      <c r="S1911" s="688">
        <v>0</v>
      </c>
      <c r="T1911" s="690">
        <f t="shared" ref="T1911:T1917" si="362">ROUND(S1911/R1911,4)</f>
        <v>0</v>
      </c>
    </row>
    <row r="1912" spans="1:22" s="688" customFormat="1" ht="17.100000000000001" customHeight="1">
      <c r="A1912" s="1316" t="s">
        <v>2034</v>
      </c>
      <c r="B1912" s="1317"/>
      <c r="C1912" s="1316" t="s">
        <v>2023</v>
      </c>
      <c r="D1912" s="1317"/>
      <c r="E1912" s="677">
        <v>1</v>
      </c>
      <c r="F1912" s="676" t="s">
        <v>1458</v>
      </c>
      <c r="G1912" s="670" t="e">
        <f>$H$1787</f>
        <v>#REF!</v>
      </c>
      <c r="H1912" s="670" t="e">
        <f>INT(E1912*G1912)</f>
        <v>#REF!</v>
      </c>
      <c r="I1912" s="670" t="e">
        <f>$J$1787</f>
        <v>#REF!</v>
      </c>
      <c r="J1912" s="670" t="e">
        <f t="shared" ref="J1912:J1918" si="363">INT(E1912*I1912)</f>
        <v>#REF!</v>
      </c>
      <c r="K1912" s="670" t="e">
        <f>$L$1787</f>
        <v>#REF!</v>
      </c>
      <c r="L1912" s="670" t="e">
        <f>INT(E1912*K1912)</f>
        <v>#REF!</v>
      </c>
      <c r="M1912" s="670" t="e">
        <f>G1912+I1912+K1912</f>
        <v>#REF!</v>
      </c>
      <c r="N1912" s="670" t="e">
        <f>H1912+J1912+L1912</f>
        <v>#REF!</v>
      </c>
      <c r="O1912" s="671">
        <f>$A$1783</f>
        <v>303</v>
      </c>
      <c r="P1912" s="672"/>
      <c r="Q1912" s="688">
        <f t="shared" si="361"/>
        <v>4000</v>
      </c>
      <c r="R1912" s="688">
        <f t="shared" si="361"/>
        <v>40</v>
      </c>
      <c r="S1912" s="688">
        <v>4</v>
      </c>
      <c r="T1912" s="690">
        <f t="shared" si="362"/>
        <v>0.1</v>
      </c>
    </row>
    <row r="1913" spans="1:22" s="688" customFormat="1" ht="17.100000000000001" customHeight="1">
      <c r="A1913" s="1316" t="s">
        <v>540</v>
      </c>
      <c r="B1913" s="1317"/>
      <c r="C1913" s="1316"/>
      <c r="D1913" s="1317"/>
      <c r="E1913" s="683">
        <v>0.16</v>
      </c>
      <c r="F1913" s="676" t="s">
        <v>366</v>
      </c>
      <c r="G1913" s="670"/>
      <c r="H1913" s="670"/>
      <c r="I1913" s="670">
        <f>[53]노임단가!$T$22</f>
        <v>273308</v>
      </c>
      <c r="J1913" s="670">
        <f t="shared" si="363"/>
        <v>43729</v>
      </c>
      <c r="K1913" s="670"/>
      <c r="L1913" s="670"/>
      <c r="M1913" s="670">
        <f t="shared" ref="M1913:N1918" si="364">G1913+I1913+K1913</f>
        <v>273308</v>
      </c>
      <c r="N1913" s="670">
        <f t="shared" si="364"/>
        <v>43729</v>
      </c>
      <c r="O1913" s="671"/>
      <c r="P1913" s="672"/>
      <c r="Q1913" s="688">
        <f t="shared" si="361"/>
        <v>4000</v>
      </c>
      <c r="R1913" s="688">
        <f t="shared" si="361"/>
        <v>40</v>
      </c>
      <c r="S1913" s="688">
        <v>1</v>
      </c>
      <c r="T1913" s="690">
        <f t="shared" si="362"/>
        <v>2.5000000000000001E-2</v>
      </c>
    </row>
    <row r="1914" spans="1:22" s="688" customFormat="1" ht="17.100000000000001" customHeight="1">
      <c r="A1914" s="1316" t="s">
        <v>248</v>
      </c>
      <c r="B1914" s="1317"/>
      <c r="C1914" s="1316"/>
      <c r="D1914" s="1317"/>
      <c r="E1914" s="683">
        <v>0.04</v>
      </c>
      <c r="F1914" s="676" t="s">
        <v>366</v>
      </c>
      <c r="G1914" s="670"/>
      <c r="H1914" s="670"/>
      <c r="I1914" s="670">
        <f>[53]노임단가!$T$5</f>
        <v>172068</v>
      </c>
      <c r="J1914" s="670">
        <f t="shared" si="363"/>
        <v>6882</v>
      </c>
      <c r="K1914" s="670"/>
      <c r="L1914" s="670"/>
      <c r="M1914" s="670">
        <f t="shared" si="364"/>
        <v>172068</v>
      </c>
      <c r="N1914" s="670">
        <f t="shared" si="364"/>
        <v>6882</v>
      </c>
      <c r="O1914" s="671"/>
      <c r="P1914" s="672"/>
      <c r="Q1914" s="688">
        <f t="shared" si="361"/>
        <v>4000</v>
      </c>
      <c r="R1914" s="688">
        <f t="shared" si="361"/>
        <v>40</v>
      </c>
      <c r="S1914" s="688">
        <v>8</v>
      </c>
      <c r="T1914" s="690">
        <f t="shared" si="362"/>
        <v>0.2</v>
      </c>
      <c r="U1914" s="665"/>
      <c r="V1914" s="665"/>
    </row>
    <row r="1915" spans="1:22" s="665" customFormat="1" ht="17.100000000000001" customHeight="1">
      <c r="A1915" s="1316" t="s">
        <v>1209</v>
      </c>
      <c r="B1915" s="1317"/>
      <c r="C1915" s="1316" t="s">
        <v>2011</v>
      </c>
      <c r="D1915" s="1317"/>
      <c r="E1915" s="683">
        <v>0.32</v>
      </c>
      <c r="F1915" s="676" t="s">
        <v>418</v>
      </c>
      <c r="G1915" s="670" t="e">
        <f>$G$1827</f>
        <v>#REF!</v>
      </c>
      <c r="H1915" s="670" t="e">
        <f>INT(E1915*G1915)</f>
        <v>#REF!</v>
      </c>
      <c r="I1915" s="670" t="e">
        <f>$I$1827</f>
        <v>#REF!</v>
      </c>
      <c r="J1915" s="670" t="e">
        <f t="shared" si="363"/>
        <v>#REF!</v>
      </c>
      <c r="K1915" s="670" t="e">
        <f>$K$1827</f>
        <v>#REF!</v>
      </c>
      <c r="L1915" s="670" t="e">
        <f>INT(E1915*K1915)</f>
        <v>#REF!</v>
      </c>
      <c r="M1915" s="670" t="e">
        <f t="shared" si="364"/>
        <v>#REF!</v>
      </c>
      <c r="N1915" s="670" t="e">
        <f t="shared" si="364"/>
        <v>#REF!</v>
      </c>
      <c r="O1915" s="671"/>
      <c r="P1915" s="672"/>
      <c r="Q1915" s="688">
        <f t="shared" si="361"/>
        <v>4000</v>
      </c>
      <c r="R1915" s="688">
        <f t="shared" si="361"/>
        <v>40</v>
      </c>
      <c r="S1915" s="688">
        <v>16</v>
      </c>
      <c r="T1915" s="690">
        <f t="shared" si="362"/>
        <v>0.4</v>
      </c>
    </row>
    <row r="1916" spans="1:22" s="665" customFormat="1" ht="17.100000000000001" customHeight="1">
      <c r="A1916" s="1316" t="s">
        <v>1172</v>
      </c>
      <c r="B1916" s="1317"/>
      <c r="C1916" s="1316" t="s">
        <v>1175</v>
      </c>
      <c r="D1916" s="1317"/>
      <c r="E1916" s="683">
        <v>0.64</v>
      </c>
      <c r="F1916" s="676" t="s">
        <v>418</v>
      </c>
      <c r="G1916" s="670" t="e">
        <f>$G$1828</f>
        <v>#REF!</v>
      </c>
      <c r="H1916" s="670" t="e">
        <f>INT(E1916*G1916)</f>
        <v>#REF!</v>
      </c>
      <c r="I1916" s="670" t="e">
        <f>$I$1828</f>
        <v>#REF!</v>
      </c>
      <c r="J1916" s="670" t="e">
        <f t="shared" si="363"/>
        <v>#REF!</v>
      </c>
      <c r="K1916" s="670" t="e">
        <f>$K$1828</f>
        <v>#REF!</v>
      </c>
      <c r="L1916" s="670" t="e">
        <f>INT(E1916*K1916)</f>
        <v>#REF!</v>
      </c>
      <c r="M1916" s="670" t="e">
        <f t="shared" si="364"/>
        <v>#REF!</v>
      </c>
      <c r="N1916" s="670" t="e">
        <f t="shared" si="364"/>
        <v>#REF!</v>
      </c>
      <c r="O1916" s="671"/>
      <c r="P1916" s="672"/>
      <c r="Q1916" s="688">
        <f t="shared" si="361"/>
        <v>4000</v>
      </c>
      <c r="R1916" s="688">
        <f t="shared" si="361"/>
        <v>40</v>
      </c>
      <c r="S1916" s="688">
        <v>8</v>
      </c>
      <c r="T1916" s="690">
        <f t="shared" si="362"/>
        <v>0.2</v>
      </c>
    </row>
    <row r="1917" spans="1:22" s="665" customFormat="1" ht="17.100000000000001" customHeight="1">
      <c r="A1917" s="1316" t="s">
        <v>1177</v>
      </c>
      <c r="B1917" s="1317"/>
      <c r="C1917" s="1316" t="s">
        <v>1178</v>
      </c>
      <c r="D1917" s="1317"/>
      <c r="E1917" s="683">
        <v>0.32</v>
      </c>
      <c r="F1917" s="676" t="s">
        <v>418</v>
      </c>
      <c r="G1917" s="670" t="e">
        <f>#REF!</f>
        <v>#REF!</v>
      </c>
      <c r="H1917" s="670" t="e">
        <f>INT(E1917*G1917)</f>
        <v>#REF!</v>
      </c>
      <c r="I1917" s="670" t="e">
        <f>#REF!</f>
        <v>#REF!</v>
      </c>
      <c r="J1917" s="670" t="e">
        <f t="shared" si="363"/>
        <v>#REF!</v>
      </c>
      <c r="K1917" s="670" t="e">
        <f>#REF!</f>
        <v>#REF!</v>
      </c>
      <c r="L1917" s="670" t="e">
        <f>INT(E1917*K1917)</f>
        <v>#REF!</v>
      </c>
      <c r="M1917" s="670" t="e">
        <f t="shared" si="364"/>
        <v>#REF!</v>
      </c>
      <c r="N1917" s="670" t="e">
        <f t="shared" si="364"/>
        <v>#REF!</v>
      </c>
      <c r="O1917" s="671"/>
      <c r="P1917" s="672"/>
      <c r="Q1917" s="688">
        <f t="shared" si="361"/>
        <v>4000</v>
      </c>
      <c r="R1917" s="688">
        <f t="shared" si="361"/>
        <v>40</v>
      </c>
      <c r="S1917" s="688">
        <v>4</v>
      </c>
      <c r="T1917" s="690">
        <f t="shared" si="362"/>
        <v>0.1</v>
      </c>
    </row>
    <row r="1918" spans="1:22" s="665" customFormat="1" ht="17.100000000000001" customHeight="1">
      <c r="A1918" s="1316" t="s">
        <v>630</v>
      </c>
      <c r="B1918" s="1317"/>
      <c r="C1918" s="1316" t="s">
        <v>1395</v>
      </c>
      <c r="D1918" s="1317"/>
      <c r="E1918" s="683">
        <v>0.16</v>
      </c>
      <c r="F1918" s="676" t="s">
        <v>418</v>
      </c>
      <c r="G1918" s="670" t="e">
        <f>#REF!</f>
        <v>#REF!</v>
      </c>
      <c r="H1918" s="670" t="e">
        <f>INT(E1918*G1918)</f>
        <v>#REF!</v>
      </c>
      <c r="I1918" s="670" t="e">
        <f>#REF!</f>
        <v>#REF!</v>
      </c>
      <c r="J1918" s="670" t="e">
        <f t="shared" si="363"/>
        <v>#REF!</v>
      </c>
      <c r="K1918" s="670" t="e">
        <f>#REF!</f>
        <v>#REF!</v>
      </c>
      <c r="L1918" s="670" t="e">
        <f>INT(E1918*K1918)</f>
        <v>#REF!</v>
      </c>
      <c r="M1918" s="670" t="e">
        <f t="shared" si="364"/>
        <v>#REF!</v>
      </c>
      <c r="N1918" s="670" t="e">
        <f t="shared" si="364"/>
        <v>#REF!</v>
      </c>
      <c r="O1918" s="671"/>
      <c r="P1918" s="672"/>
      <c r="Q1918" s="688"/>
      <c r="R1918" s="688"/>
      <c r="S1918" s="728"/>
      <c r="T1918" s="690"/>
    </row>
    <row r="1919" spans="1:22" s="665" customFormat="1" ht="17.100000000000001" customHeight="1">
      <c r="A1919" s="1318" t="s">
        <v>1320</v>
      </c>
      <c r="B1919" s="1319"/>
      <c r="C1919" s="1316"/>
      <c r="D1919" s="1317"/>
      <c r="E1919" s="686"/>
      <c r="F1919" s="676"/>
      <c r="G1919" s="670"/>
      <c r="H1919" s="670" t="e">
        <f>SUM(H1911:H1918)</f>
        <v>#REF!</v>
      </c>
      <c r="I1919" s="670"/>
      <c r="J1919" s="670" t="e">
        <f>SUM(J1911:J1918)</f>
        <v>#REF!</v>
      </c>
      <c r="K1919" s="670"/>
      <c r="L1919" s="670" t="e">
        <f>SUM(L1911:L1918)</f>
        <v>#REF!</v>
      </c>
      <c r="M1919" s="670"/>
      <c r="N1919" s="670" t="e">
        <f>SUM(N1911:N1918)</f>
        <v>#REF!</v>
      </c>
      <c r="O1919" s="671"/>
      <c r="P1919" s="794" t="s">
        <v>1576</v>
      </c>
      <c r="Q1919" s="806" t="s">
        <v>1446</v>
      </c>
      <c r="R1919" s="688" t="s">
        <v>1447</v>
      </c>
      <c r="S1919" s="688" t="s">
        <v>1425</v>
      </c>
      <c r="T1919" s="688" t="s">
        <v>1426</v>
      </c>
    </row>
    <row r="1920" spans="1:22" s="665" customFormat="1" ht="17.100000000000001" customHeight="1">
      <c r="A1920" s="668">
        <f>A1910+1</f>
        <v>316</v>
      </c>
      <c r="B1920" s="1320" t="s">
        <v>2035</v>
      </c>
      <c r="C1920" s="1320"/>
      <c r="D1920" s="1320" t="s">
        <v>2037</v>
      </c>
      <c r="E1920" s="1320"/>
      <c r="F1920" s="669" t="s">
        <v>1458</v>
      </c>
      <c r="G1920" s="698"/>
      <c r="H1920" s="698"/>
      <c r="I1920" s="698"/>
      <c r="J1920" s="698"/>
      <c r="K1920" s="670"/>
      <c r="L1920" s="670"/>
      <c r="M1920" s="670"/>
      <c r="N1920" s="698"/>
      <c r="O1920" s="800" t="s">
        <v>1562</v>
      </c>
      <c r="P1920" s="807" t="s">
        <v>2038</v>
      </c>
      <c r="Q1920" s="688">
        <v>5000</v>
      </c>
      <c r="R1920" s="688">
        <f>(Q1920)/100</f>
        <v>50</v>
      </c>
      <c r="S1920" s="688">
        <v>0</v>
      </c>
      <c r="T1920" s="690"/>
      <c r="U1920" s="688"/>
      <c r="V1920" s="688"/>
    </row>
    <row r="1921" spans="1:22" s="688" customFormat="1" ht="17.100000000000001" customHeight="1">
      <c r="A1921" s="1316" t="s">
        <v>1676</v>
      </c>
      <c r="B1921" s="1317"/>
      <c r="C1921" s="1316" t="s">
        <v>1827</v>
      </c>
      <c r="D1921" s="1317"/>
      <c r="E1921" s="686"/>
      <c r="F1921" s="676" t="s">
        <v>915</v>
      </c>
      <c r="G1921" s="670"/>
      <c r="H1921" s="670"/>
      <c r="I1921" s="670"/>
      <c r="J1921" s="670"/>
      <c r="K1921" s="670"/>
      <c r="L1921" s="670"/>
      <c r="M1921" s="670"/>
      <c r="N1921" s="670"/>
      <c r="O1921" s="671"/>
      <c r="P1921" s="672"/>
      <c r="Q1921" s="688">
        <f t="shared" ref="Q1921:R1932" si="365">Q1920</f>
        <v>5000</v>
      </c>
      <c r="R1921" s="688">
        <f t="shared" si="365"/>
        <v>50</v>
      </c>
      <c r="S1921" s="688">
        <v>0</v>
      </c>
      <c r="T1921" s="690">
        <f t="shared" ref="T1921:T1933" si="366">ROUND(S1921/R1921,4)</f>
        <v>0</v>
      </c>
    </row>
    <row r="1922" spans="1:22" s="688" customFormat="1" ht="17.100000000000001" customHeight="1">
      <c r="A1922" s="1316" t="s">
        <v>2034</v>
      </c>
      <c r="B1922" s="1317"/>
      <c r="C1922" s="1316" t="s">
        <v>2023</v>
      </c>
      <c r="D1922" s="1317"/>
      <c r="E1922" s="677">
        <v>1</v>
      </c>
      <c r="F1922" s="676" t="s">
        <v>1458</v>
      </c>
      <c r="G1922" s="670" t="e">
        <f>$H$1787</f>
        <v>#REF!</v>
      </c>
      <c r="H1922" s="670" t="e">
        <f>INT(E1922*G1922)</f>
        <v>#REF!</v>
      </c>
      <c r="I1922" s="670" t="e">
        <f>$J$1787</f>
        <v>#REF!</v>
      </c>
      <c r="J1922" s="670" t="e">
        <f t="shared" ref="J1922:J1928" si="367">INT(E1922*I1922)</f>
        <v>#REF!</v>
      </c>
      <c r="K1922" s="670" t="e">
        <f>$L$1787</f>
        <v>#REF!</v>
      </c>
      <c r="L1922" s="670" t="e">
        <f>INT(E1922*K1922)</f>
        <v>#REF!</v>
      </c>
      <c r="M1922" s="670" t="e">
        <f>G1922+I1922+K1922</f>
        <v>#REF!</v>
      </c>
      <c r="N1922" s="670" t="e">
        <f>H1922+J1922+L1922</f>
        <v>#REF!</v>
      </c>
      <c r="O1922" s="671">
        <f>$A$1783</f>
        <v>303</v>
      </c>
      <c r="P1922" s="672"/>
      <c r="T1922" s="690"/>
    </row>
    <row r="1923" spans="1:22" s="688" customFormat="1" ht="17.100000000000001" customHeight="1">
      <c r="A1923" s="1316" t="s">
        <v>540</v>
      </c>
      <c r="B1923" s="1317"/>
      <c r="C1923" s="1316"/>
      <c r="D1923" s="1317"/>
      <c r="E1923" s="683">
        <v>8.8900000000000007E-2</v>
      </c>
      <c r="F1923" s="676" t="s">
        <v>366</v>
      </c>
      <c r="G1923" s="670"/>
      <c r="H1923" s="670"/>
      <c r="I1923" s="670">
        <f>[53]노임단가!$T$22</f>
        <v>273308</v>
      </c>
      <c r="J1923" s="670">
        <f t="shared" si="367"/>
        <v>24297</v>
      </c>
      <c r="K1923" s="670"/>
      <c r="L1923" s="670"/>
      <c r="M1923" s="670">
        <f t="shared" ref="M1923:N1928" si="368">G1923+I1923+K1923</f>
        <v>273308</v>
      </c>
      <c r="N1923" s="670">
        <f t="shared" si="368"/>
        <v>24297</v>
      </c>
      <c r="O1923" s="671"/>
      <c r="P1923" s="672"/>
      <c r="Q1923" s="688">
        <f>Q1921</f>
        <v>5000</v>
      </c>
      <c r="R1923" s="688">
        <f>R1921</f>
        <v>50</v>
      </c>
      <c r="S1923" s="688">
        <v>4</v>
      </c>
      <c r="T1923" s="690">
        <f t="shared" si="366"/>
        <v>0.08</v>
      </c>
    </row>
    <row r="1924" spans="1:22" s="688" customFormat="1" ht="17.100000000000001" customHeight="1">
      <c r="A1924" s="1316" t="s">
        <v>248</v>
      </c>
      <c r="B1924" s="1317"/>
      <c r="C1924" s="1316"/>
      <c r="D1924" s="1317"/>
      <c r="E1924" s="683">
        <v>2.2200000000000001E-2</v>
      </c>
      <c r="F1924" s="676" t="s">
        <v>366</v>
      </c>
      <c r="G1924" s="670"/>
      <c r="H1924" s="670"/>
      <c r="I1924" s="670">
        <f>[53]노임단가!$T$5</f>
        <v>172068</v>
      </c>
      <c r="J1924" s="670">
        <f t="shared" si="367"/>
        <v>3819</v>
      </c>
      <c r="K1924" s="670"/>
      <c r="L1924" s="670"/>
      <c r="M1924" s="670">
        <f t="shared" si="368"/>
        <v>172068</v>
      </c>
      <c r="N1924" s="670">
        <f t="shared" si="368"/>
        <v>3819</v>
      </c>
      <c r="O1924" s="671"/>
      <c r="P1924" s="672"/>
      <c r="Q1924" s="688">
        <f>Q1923</f>
        <v>5000</v>
      </c>
      <c r="R1924" s="688">
        <f>R1923</f>
        <v>50</v>
      </c>
      <c r="S1924" s="688">
        <v>2</v>
      </c>
      <c r="T1924" s="690">
        <f t="shared" si="366"/>
        <v>0.04</v>
      </c>
    </row>
    <row r="1925" spans="1:22" s="688" customFormat="1" ht="17.100000000000001" customHeight="1">
      <c r="A1925" s="1316" t="s">
        <v>1209</v>
      </c>
      <c r="B1925" s="1317"/>
      <c r="C1925" s="1316" t="s">
        <v>2011</v>
      </c>
      <c r="D1925" s="1317"/>
      <c r="E1925" s="683">
        <v>0.17780000000000001</v>
      </c>
      <c r="F1925" s="676" t="s">
        <v>418</v>
      </c>
      <c r="G1925" s="670" t="e">
        <f>$G$1827</f>
        <v>#REF!</v>
      </c>
      <c r="H1925" s="670" t="e">
        <f>INT(E1925*G1925)</f>
        <v>#REF!</v>
      </c>
      <c r="I1925" s="670" t="e">
        <f>$I$1827</f>
        <v>#REF!</v>
      </c>
      <c r="J1925" s="670" t="e">
        <f t="shared" si="367"/>
        <v>#REF!</v>
      </c>
      <c r="K1925" s="670" t="e">
        <f>$K$1827</f>
        <v>#REF!</v>
      </c>
      <c r="L1925" s="670" t="e">
        <f>INT(E1925*K1925)</f>
        <v>#REF!</v>
      </c>
      <c r="M1925" s="670" t="e">
        <f t="shared" si="368"/>
        <v>#REF!</v>
      </c>
      <c r="N1925" s="670" t="e">
        <f t="shared" si="368"/>
        <v>#REF!</v>
      </c>
      <c r="O1925" s="671"/>
      <c r="P1925" s="672"/>
      <c r="Q1925" s="688">
        <f t="shared" si="365"/>
        <v>5000</v>
      </c>
      <c r="R1925" s="688">
        <f t="shared" si="365"/>
        <v>50</v>
      </c>
      <c r="S1925" s="688">
        <v>16</v>
      </c>
      <c r="T1925" s="690">
        <f t="shared" si="366"/>
        <v>0.32</v>
      </c>
    </row>
    <row r="1926" spans="1:22" s="688" customFormat="1" ht="17.100000000000001" customHeight="1">
      <c r="A1926" s="1316" t="s">
        <v>1172</v>
      </c>
      <c r="B1926" s="1317"/>
      <c r="C1926" s="1316" t="s">
        <v>1175</v>
      </c>
      <c r="D1926" s="1317"/>
      <c r="E1926" s="683">
        <v>0.35560000000000003</v>
      </c>
      <c r="F1926" s="676" t="s">
        <v>418</v>
      </c>
      <c r="G1926" s="670" t="e">
        <f>$G$1828</f>
        <v>#REF!</v>
      </c>
      <c r="H1926" s="670" t="e">
        <f>INT(E1926*G1926)</f>
        <v>#REF!</v>
      </c>
      <c r="I1926" s="670" t="e">
        <f>$I$1828</f>
        <v>#REF!</v>
      </c>
      <c r="J1926" s="670" t="e">
        <f t="shared" si="367"/>
        <v>#REF!</v>
      </c>
      <c r="K1926" s="670" t="e">
        <f>$K$1828</f>
        <v>#REF!</v>
      </c>
      <c r="L1926" s="670" t="e">
        <f>INT(E1926*K1926)</f>
        <v>#REF!</v>
      </c>
      <c r="M1926" s="670" t="e">
        <f t="shared" si="368"/>
        <v>#REF!</v>
      </c>
      <c r="N1926" s="670" t="e">
        <f t="shared" si="368"/>
        <v>#REF!</v>
      </c>
      <c r="O1926" s="671"/>
      <c r="P1926" s="672"/>
      <c r="Q1926" s="688">
        <f t="shared" si="365"/>
        <v>5000</v>
      </c>
      <c r="R1926" s="688">
        <f t="shared" si="365"/>
        <v>50</v>
      </c>
      <c r="S1926" s="688">
        <v>8</v>
      </c>
      <c r="T1926" s="690">
        <f>ROUND(S1926/R1926,4)</f>
        <v>0.16</v>
      </c>
    </row>
    <row r="1927" spans="1:22" s="688" customFormat="1" ht="17.100000000000001" customHeight="1">
      <c r="A1927" s="1316" t="s">
        <v>1177</v>
      </c>
      <c r="B1927" s="1317"/>
      <c r="C1927" s="1316" t="s">
        <v>1178</v>
      </c>
      <c r="D1927" s="1317"/>
      <c r="E1927" s="683">
        <v>0.17780000000000001</v>
      </c>
      <c r="F1927" s="676" t="s">
        <v>418</v>
      </c>
      <c r="G1927" s="670" t="e">
        <f>#REF!</f>
        <v>#REF!</v>
      </c>
      <c r="H1927" s="670" t="e">
        <f>INT(E1927*G1927)</f>
        <v>#REF!</v>
      </c>
      <c r="I1927" s="670" t="e">
        <f>#REF!</f>
        <v>#REF!</v>
      </c>
      <c r="J1927" s="670" t="e">
        <f t="shared" si="367"/>
        <v>#REF!</v>
      </c>
      <c r="K1927" s="670" t="e">
        <f>#REF!</f>
        <v>#REF!</v>
      </c>
      <c r="L1927" s="670" t="e">
        <f>INT(E1927*K1927)</f>
        <v>#REF!</v>
      </c>
      <c r="M1927" s="670" t="e">
        <f t="shared" si="368"/>
        <v>#REF!</v>
      </c>
      <c r="N1927" s="670" t="e">
        <f t="shared" si="368"/>
        <v>#REF!</v>
      </c>
      <c r="O1927" s="671"/>
      <c r="P1927" s="672"/>
      <c r="Q1927" s="688">
        <f t="shared" si="365"/>
        <v>5000</v>
      </c>
      <c r="R1927" s="688">
        <f t="shared" si="365"/>
        <v>50</v>
      </c>
      <c r="S1927" s="688">
        <v>24</v>
      </c>
      <c r="T1927" s="690">
        <f>ROUND(S1927/R1927,4)</f>
        <v>0.48</v>
      </c>
    </row>
    <row r="1928" spans="1:22" s="688" customFormat="1" ht="17.100000000000001" customHeight="1">
      <c r="A1928" s="1316" t="s">
        <v>630</v>
      </c>
      <c r="B1928" s="1317"/>
      <c r="C1928" s="1316" t="s">
        <v>1395</v>
      </c>
      <c r="D1928" s="1317"/>
      <c r="E1928" s="683">
        <v>8.8900000000000007E-2</v>
      </c>
      <c r="F1928" s="676" t="s">
        <v>418</v>
      </c>
      <c r="G1928" s="670" t="e">
        <f>#REF!</f>
        <v>#REF!</v>
      </c>
      <c r="H1928" s="670" t="e">
        <f>INT(E1928*G1928)</f>
        <v>#REF!</v>
      </c>
      <c r="I1928" s="670" t="e">
        <f>#REF!</f>
        <v>#REF!</v>
      </c>
      <c r="J1928" s="670" t="e">
        <f t="shared" si="367"/>
        <v>#REF!</v>
      </c>
      <c r="K1928" s="670" t="e">
        <f>#REF!</f>
        <v>#REF!</v>
      </c>
      <c r="L1928" s="670" t="e">
        <f>INT(E1928*K1928)</f>
        <v>#REF!</v>
      </c>
      <c r="M1928" s="670" t="e">
        <f t="shared" si="368"/>
        <v>#REF!</v>
      </c>
      <c r="N1928" s="670" t="e">
        <f t="shared" si="368"/>
        <v>#REF!</v>
      </c>
      <c r="O1928" s="671"/>
      <c r="P1928" s="672"/>
      <c r="Q1928" s="688">
        <f t="shared" si="365"/>
        <v>5000</v>
      </c>
      <c r="R1928" s="688">
        <f t="shared" si="365"/>
        <v>50</v>
      </c>
      <c r="S1928" s="688">
        <v>8</v>
      </c>
      <c r="T1928" s="690">
        <f t="shared" si="366"/>
        <v>0.16</v>
      </c>
    </row>
    <row r="1929" spans="1:22" s="688" customFormat="1" ht="17.100000000000001" customHeight="1">
      <c r="A1929" s="1318" t="s">
        <v>1320</v>
      </c>
      <c r="B1929" s="1319"/>
      <c r="C1929" s="1316"/>
      <c r="D1929" s="1317"/>
      <c r="E1929" s="686"/>
      <c r="F1929" s="676"/>
      <c r="G1929" s="670"/>
      <c r="H1929" s="670" t="e">
        <f>SUM(H1921:H1928)</f>
        <v>#REF!</v>
      </c>
      <c r="I1929" s="670"/>
      <c r="J1929" s="670" t="e">
        <f>SUM(J1921:J1928)</f>
        <v>#REF!</v>
      </c>
      <c r="K1929" s="670"/>
      <c r="L1929" s="670" t="e">
        <f>SUM(L1921:L1928)</f>
        <v>#REF!</v>
      </c>
      <c r="M1929" s="670"/>
      <c r="N1929" s="670" t="e">
        <f>SUM(N1921:N1928)</f>
        <v>#REF!</v>
      </c>
      <c r="O1929" s="671"/>
      <c r="P1929" s="672"/>
      <c r="Q1929" s="688">
        <f t="shared" si="365"/>
        <v>5000</v>
      </c>
      <c r="R1929" s="688">
        <f t="shared" si="365"/>
        <v>50</v>
      </c>
      <c r="S1929" s="688">
        <v>8</v>
      </c>
      <c r="T1929" s="690">
        <f t="shared" si="366"/>
        <v>0.16</v>
      </c>
    </row>
    <row r="1930" spans="1:22" s="688" customFormat="1" ht="17.100000000000001" customHeight="1">
      <c r="A1930" s="668">
        <f>A1920+1</f>
        <v>317</v>
      </c>
      <c r="B1930" s="1320" t="s">
        <v>2039</v>
      </c>
      <c r="C1930" s="1320"/>
      <c r="D1930" s="1320" t="s">
        <v>2040</v>
      </c>
      <c r="E1930" s="1320"/>
      <c r="F1930" s="669" t="s">
        <v>1458</v>
      </c>
      <c r="G1930" s="698"/>
      <c r="H1930" s="698"/>
      <c r="I1930" s="698"/>
      <c r="J1930" s="698"/>
      <c r="K1930" s="670"/>
      <c r="L1930" s="670"/>
      <c r="M1930" s="670"/>
      <c r="N1930" s="698"/>
      <c r="O1930" s="800" t="s">
        <v>1562</v>
      </c>
      <c r="P1930" s="672"/>
      <c r="Q1930" s="688">
        <f t="shared" si="365"/>
        <v>5000</v>
      </c>
      <c r="R1930" s="688">
        <f t="shared" si="365"/>
        <v>50</v>
      </c>
      <c r="S1930" s="688">
        <v>8</v>
      </c>
      <c r="T1930" s="690">
        <f t="shared" si="366"/>
        <v>0.16</v>
      </c>
    </row>
    <row r="1931" spans="1:22" s="688" customFormat="1" ht="17.100000000000001" customHeight="1">
      <c r="A1931" s="1316" t="s">
        <v>1676</v>
      </c>
      <c r="B1931" s="1317"/>
      <c r="C1931" s="1316" t="s">
        <v>1827</v>
      </c>
      <c r="D1931" s="1317"/>
      <c r="E1931" s="686"/>
      <c r="F1931" s="676" t="s">
        <v>915</v>
      </c>
      <c r="G1931" s="670"/>
      <c r="H1931" s="670"/>
      <c r="I1931" s="670"/>
      <c r="J1931" s="670"/>
      <c r="K1931" s="670"/>
      <c r="L1931" s="670"/>
      <c r="M1931" s="670"/>
      <c r="N1931" s="670"/>
      <c r="O1931" s="671"/>
      <c r="P1931" s="672"/>
      <c r="Q1931" s="688">
        <f t="shared" si="365"/>
        <v>5000</v>
      </c>
      <c r="R1931" s="688">
        <f t="shared" si="365"/>
        <v>50</v>
      </c>
      <c r="S1931" s="688">
        <v>8</v>
      </c>
      <c r="T1931" s="690">
        <f t="shared" si="366"/>
        <v>0.16</v>
      </c>
    </row>
    <row r="1932" spans="1:22" s="688" customFormat="1" ht="17.100000000000001" customHeight="1">
      <c r="A1932" s="1316" t="s">
        <v>2034</v>
      </c>
      <c r="B1932" s="1317"/>
      <c r="C1932" s="1316" t="s">
        <v>2023</v>
      </c>
      <c r="D1932" s="1317"/>
      <c r="E1932" s="677">
        <v>1</v>
      </c>
      <c r="F1932" s="676" t="s">
        <v>1458</v>
      </c>
      <c r="G1932" s="670" t="e">
        <f>$H$1787</f>
        <v>#REF!</v>
      </c>
      <c r="H1932" s="670" t="e">
        <f>INT(E1932*G1932)</f>
        <v>#REF!</v>
      </c>
      <c r="I1932" s="670" t="e">
        <f>$J$1787</f>
        <v>#REF!</v>
      </c>
      <c r="J1932" s="670" t="e">
        <f t="shared" ref="J1932:J1938" si="369">INT(E1932*I1932)</f>
        <v>#REF!</v>
      </c>
      <c r="K1932" s="670" t="e">
        <f>$L$1787</f>
        <v>#REF!</v>
      </c>
      <c r="L1932" s="670" t="e">
        <f>INT(E1932*K1932)</f>
        <v>#REF!</v>
      </c>
      <c r="M1932" s="670" t="e">
        <f>G1932+I1932+K1932</f>
        <v>#REF!</v>
      </c>
      <c r="N1932" s="670" t="e">
        <f>H1932+J1932+L1932</f>
        <v>#REF!</v>
      </c>
      <c r="O1932" s="671">
        <f>$A$1783</f>
        <v>303</v>
      </c>
      <c r="P1932" s="672"/>
      <c r="Q1932" s="688">
        <f t="shared" si="365"/>
        <v>5000</v>
      </c>
      <c r="R1932" s="688">
        <f t="shared" si="365"/>
        <v>50</v>
      </c>
      <c r="S1932" s="688">
        <v>8</v>
      </c>
      <c r="T1932" s="690">
        <f t="shared" si="366"/>
        <v>0.16</v>
      </c>
    </row>
    <row r="1933" spans="1:22" s="688" customFormat="1" ht="17.100000000000001" customHeight="1">
      <c r="A1933" s="1316" t="s">
        <v>540</v>
      </c>
      <c r="B1933" s="1317"/>
      <c r="C1933" s="1316"/>
      <c r="D1933" s="1317"/>
      <c r="E1933" s="683">
        <v>0.1905</v>
      </c>
      <c r="F1933" s="676" t="s">
        <v>366</v>
      </c>
      <c r="G1933" s="670"/>
      <c r="H1933" s="670"/>
      <c r="I1933" s="670">
        <f>[53]노임단가!$T$22</f>
        <v>273308</v>
      </c>
      <c r="J1933" s="670">
        <f t="shared" si="369"/>
        <v>52065</v>
      </c>
      <c r="K1933" s="670"/>
      <c r="L1933" s="670"/>
      <c r="M1933" s="670">
        <f t="shared" ref="M1933:N1938" si="370">G1933+I1933+K1933</f>
        <v>273308</v>
      </c>
      <c r="N1933" s="670">
        <f t="shared" si="370"/>
        <v>52065</v>
      </c>
      <c r="O1933" s="671"/>
      <c r="P1933" s="672"/>
      <c r="Q1933" s="688">
        <f>Q1931</f>
        <v>5000</v>
      </c>
      <c r="R1933" s="688">
        <f>R1931</f>
        <v>50</v>
      </c>
      <c r="S1933" s="688">
        <v>8</v>
      </c>
      <c r="T1933" s="690">
        <f t="shared" si="366"/>
        <v>0.16</v>
      </c>
    </row>
    <row r="1934" spans="1:22" s="665" customFormat="1" ht="17.100000000000001" customHeight="1">
      <c r="A1934" s="1316" t="s">
        <v>248</v>
      </c>
      <c r="B1934" s="1317"/>
      <c r="C1934" s="1316"/>
      <c r="D1934" s="1317"/>
      <c r="E1934" s="683">
        <v>4.7600000000000003E-2</v>
      </c>
      <c r="F1934" s="676" t="s">
        <v>366</v>
      </c>
      <c r="G1934" s="670"/>
      <c r="H1934" s="670"/>
      <c r="I1934" s="670">
        <f>[53]노임단가!$T$5</f>
        <v>172068</v>
      </c>
      <c r="J1934" s="670">
        <f t="shared" si="369"/>
        <v>8190</v>
      </c>
      <c r="K1934" s="670"/>
      <c r="L1934" s="670"/>
      <c r="M1934" s="670">
        <f t="shared" si="370"/>
        <v>172068</v>
      </c>
      <c r="N1934" s="670">
        <f t="shared" si="370"/>
        <v>8190</v>
      </c>
      <c r="O1934" s="671"/>
      <c r="P1934" s="672"/>
      <c r="Q1934" s="688"/>
      <c r="R1934" s="688"/>
      <c r="S1934" s="688"/>
      <c r="T1934" s="690"/>
    </row>
    <row r="1935" spans="1:22" s="665" customFormat="1" ht="17.100000000000001" customHeight="1">
      <c r="A1935" s="1316" t="s">
        <v>1209</v>
      </c>
      <c r="B1935" s="1317"/>
      <c r="C1935" s="1316" t="s">
        <v>2011</v>
      </c>
      <c r="D1935" s="1317"/>
      <c r="E1935" s="683">
        <v>0.38100000000000001</v>
      </c>
      <c r="F1935" s="676" t="s">
        <v>418</v>
      </c>
      <c r="G1935" s="670" t="e">
        <f>$G$1827</f>
        <v>#REF!</v>
      </c>
      <c r="H1935" s="670" t="e">
        <f>INT(E1935*G1935)</f>
        <v>#REF!</v>
      </c>
      <c r="I1935" s="670" t="e">
        <f>$I$1827</f>
        <v>#REF!</v>
      </c>
      <c r="J1935" s="670" t="e">
        <f t="shared" si="369"/>
        <v>#REF!</v>
      </c>
      <c r="K1935" s="670" t="e">
        <f>$K$1827</f>
        <v>#REF!</v>
      </c>
      <c r="L1935" s="670" t="e">
        <f>INT(E1935*K1935)</f>
        <v>#REF!</v>
      </c>
      <c r="M1935" s="670" t="e">
        <f t="shared" si="370"/>
        <v>#REF!</v>
      </c>
      <c r="N1935" s="670" t="e">
        <f t="shared" si="370"/>
        <v>#REF!</v>
      </c>
      <c r="O1935" s="671"/>
      <c r="P1935" s="794" t="s">
        <v>2041</v>
      </c>
      <c r="Q1935" s="806" t="s">
        <v>1446</v>
      </c>
      <c r="R1935" s="688" t="s">
        <v>1447</v>
      </c>
      <c r="S1935" s="688" t="s">
        <v>1425</v>
      </c>
      <c r="T1935" s="688" t="s">
        <v>1426</v>
      </c>
    </row>
    <row r="1936" spans="1:22" s="665" customFormat="1" ht="17.100000000000001" customHeight="1">
      <c r="A1936" s="1316" t="s">
        <v>1172</v>
      </c>
      <c r="B1936" s="1317"/>
      <c r="C1936" s="1316" t="s">
        <v>1175</v>
      </c>
      <c r="D1936" s="1317"/>
      <c r="E1936" s="683">
        <v>0.76190000000000002</v>
      </c>
      <c r="F1936" s="676" t="s">
        <v>418</v>
      </c>
      <c r="G1936" s="670" t="e">
        <f>$G$1828</f>
        <v>#REF!</v>
      </c>
      <c r="H1936" s="670" t="e">
        <f>INT(E1936*G1936)</f>
        <v>#REF!</v>
      </c>
      <c r="I1936" s="670" t="e">
        <f>$I$1828</f>
        <v>#REF!</v>
      </c>
      <c r="J1936" s="670" t="e">
        <f t="shared" si="369"/>
        <v>#REF!</v>
      </c>
      <c r="K1936" s="670" t="e">
        <f>$K$1828</f>
        <v>#REF!</v>
      </c>
      <c r="L1936" s="670" t="e">
        <f>INT(E1936*K1936)</f>
        <v>#REF!</v>
      </c>
      <c r="M1936" s="670" t="e">
        <f t="shared" si="370"/>
        <v>#REF!</v>
      </c>
      <c r="N1936" s="670" t="e">
        <f t="shared" si="370"/>
        <v>#REF!</v>
      </c>
      <c r="O1936" s="671"/>
      <c r="P1936" s="807" t="s">
        <v>2042</v>
      </c>
      <c r="Q1936" s="688">
        <v>2600</v>
      </c>
      <c r="R1936" s="688">
        <f>(Q1936)/100</f>
        <v>26</v>
      </c>
      <c r="S1936" s="688">
        <v>0</v>
      </c>
      <c r="T1936" s="690"/>
      <c r="U1936" s="688"/>
      <c r="V1936" s="688"/>
    </row>
    <row r="1937" spans="1:22" s="688" customFormat="1" ht="17.100000000000001" customHeight="1">
      <c r="A1937" s="1316" t="s">
        <v>1177</v>
      </c>
      <c r="B1937" s="1317"/>
      <c r="C1937" s="1316" t="s">
        <v>1178</v>
      </c>
      <c r="D1937" s="1317"/>
      <c r="E1937" s="683">
        <v>0.38100000000000001</v>
      </c>
      <c r="F1937" s="676" t="s">
        <v>418</v>
      </c>
      <c r="G1937" s="670" t="e">
        <f>#REF!</f>
        <v>#REF!</v>
      </c>
      <c r="H1937" s="670" t="e">
        <f>INT(E1937*G1937)</f>
        <v>#REF!</v>
      </c>
      <c r="I1937" s="670" t="e">
        <f>#REF!</f>
        <v>#REF!</v>
      </c>
      <c r="J1937" s="670" t="e">
        <f t="shared" si="369"/>
        <v>#REF!</v>
      </c>
      <c r="K1937" s="670" t="e">
        <f>#REF!</f>
        <v>#REF!</v>
      </c>
      <c r="L1937" s="670" t="e">
        <f>INT(E1937*K1937)</f>
        <v>#REF!</v>
      </c>
      <c r="M1937" s="670" t="e">
        <f t="shared" si="370"/>
        <v>#REF!</v>
      </c>
      <c r="N1937" s="670" t="e">
        <f t="shared" si="370"/>
        <v>#REF!</v>
      </c>
      <c r="O1937" s="671"/>
      <c r="P1937" s="672"/>
      <c r="Q1937" s="688">
        <f t="shared" ref="Q1937:R1948" si="371">Q1936</f>
        <v>2600</v>
      </c>
      <c r="R1937" s="688">
        <f t="shared" si="371"/>
        <v>26</v>
      </c>
      <c r="S1937" s="688">
        <v>0</v>
      </c>
      <c r="T1937" s="690">
        <f t="shared" ref="T1937:T1949" si="372">ROUND(S1937/R1937,4)</f>
        <v>0</v>
      </c>
    </row>
    <row r="1938" spans="1:22" s="688" customFormat="1" ht="17.100000000000001" customHeight="1">
      <c r="A1938" s="1316" t="s">
        <v>630</v>
      </c>
      <c r="B1938" s="1317"/>
      <c r="C1938" s="1316" t="s">
        <v>1395</v>
      </c>
      <c r="D1938" s="1317"/>
      <c r="E1938" s="683">
        <v>0.1905</v>
      </c>
      <c r="F1938" s="676" t="s">
        <v>418</v>
      </c>
      <c r="G1938" s="670" t="e">
        <f>#REF!</f>
        <v>#REF!</v>
      </c>
      <c r="H1938" s="670" t="e">
        <f>INT(E1938*G1938)</f>
        <v>#REF!</v>
      </c>
      <c r="I1938" s="670" t="e">
        <f>#REF!</f>
        <v>#REF!</v>
      </c>
      <c r="J1938" s="670" t="e">
        <f t="shared" si="369"/>
        <v>#REF!</v>
      </c>
      <c r="K1938" s="670" t="e">
        <f>#REF!</f>
        <v>#REF!</v>
      </c>
      <c r="L1938" s="670" t="e">
        <f>INT(E1938*K1938)</f>
        <v>#REF!</v>
      </c>
      <c r="M1938" s="670" t="e">
        <f t="shared" si="370"/>
        <v>#REF!</v>
      </c>
      <c r="N1938" s="670" t="e">
        <f t="shared" si="370"/>
        <v>#REF!</v>
      </c>
      <c r="O1938" s="671"/>
      <c r="P1938" s="672"/>
      <c r="T1938" s="690"/>
    </row>
    <row r="1939" spans="1:22" s="688" customFormat="1" ht="17.100000000000001" customHeight="1">
      <c r="A1939" s="1318" t="s">
        <v>1320</v>
      </c>
      <c r="B1939" s="1319"/>
      <c r="C1939" s="1316"/>
      <c r="D1939" s="1317"/>
      <c r="E1939" s="686"/>
      <c r="F1939" s="676"/>
      <c r="G1939" s="670"/>
      <c r="H1939" s="670" t="e">
        <f>SUM(H1931:H1938)</f>
        <v>#REF!</v>
      </c>
      <c r="I1939" s="670"/>
      <c r="J1939" s="670" t="e">
        <f>SUM(J1931:J1938)</f>
        <v>#REF!</v>
      </c>
      <c r="K1939" s="670"/>
      <c r="L1939" s="670" t="e">
        <f>SUM(L1931:L1938)</f>
        <v>#REF!</v>
      </c>
      <c r="M1939" s="670"/>
      <c r="N1939" s="670" t="e">
        <f>SUM(N1931:N1938)</f>
        <v>#REF!</v>
      </c>
      <c r="O1939" s="671"/>
      <c r="P1939" s="672"/>
      <c r="Q1939" s="688">
        <f>Q1937</f>
        <v>2600</v>
      </c>
      <c r="R1939" s="688">
        <f>R1937</f>
        <v>26</v>
      </c>
      <c r="S1939" s="688">
        <v>4</v>
      </c>
      <c r="T1939" s="690">
        <f t="shared" si="372"/>
        <v>0.15379999999999999</v>
      </c>
    </row>
    <row r="1940" spans="1:22" s="688" customFormat="1" ht="17.100000000000001" customHeight="1">
      <c r="A1940" s="668">
        <f>A1930+1</f>
        <v>318</v>
      </c>
      <c r="B1940" s="1320" t="s">
        <v>2039</v>
      </c>
      <c r="C1940" s="1320"/>
      <c r="D1940" s="1320" t="s">
        <v>2043</v>
      </c>
      <c r="E1940" s="1320"/>
      <c r="F1940" s="669" t="s">
        <v>1458</v>
      </c>
      <c r="G1940" s="698"/>
      <c r="H1940" s="698"/>
      <c r="I1940" s="698"/>
      <c r="J1940" s="698"/>
      <c r="K1940" s="670"/>
      <c r="L1940" s="670"/>
      <c r="M1940" s="670"/>
      <c r="N1940" s="698"/>
      <c r="O1940" s="800" t="s">
        <v>1562</v>
      </c>
      <c r="P1940" s="672"/>
      <c r="Q1940" s="688">
        <f t="shared" si="371"/>
        <v>2600</v>
      </c>
      <c r="R1940" s="688">
        <f t="shared" si="371"/>
        <v>26</v>
      </c>
      <c r="S1940" s="688">
        <v>2</v>
      </c>
      <c r="T1940" s="690">
        <f t="shared" si="372"/>
        <v>7.6899999999999996E-2</v>
      </c>
    </row>
    <row r="1941" spans="1:22" s="688" customFormat="1" ht="17.100000000000001" customHeight="1">
      <c r="A1941" s="1316" t="s">
        <v>1676</v>
      </c>
      <c r="B1941" s="1317"/>
      <c r="C1941" s="1316" t="s">
        <v>1827</v>
      </c>
      <c r="D1941" s="1317"/>
      <c r="E1941" s="686"/>
      <c r="F1941" s="676" t="s">
        <v>915</v>
      </c>
      <c r="G1941" s="670"/>
      <c r="H1941" s="670"/>
      <c r="I1941" s="670"/>
      <c r="J1941" s="670"/>
      <c r="K1941" s="670"/>
      <c r="L1941" s="670"/>
      <c r="M1941" s="670"/>
      <c r="N1941" s="670"/>
      <c r="O1941" s="671"/>
      <c r="P1941" s="672"/>
      <c r="Q1941" s="688">
        <f t="shared" si="371"/>
        <v>2600</v>
      </c>
      <c r="R1941" s="688">
        <f t="shared" si="371"/>
        <v>26</v>
      </c>
      <c r="S1941" s="688">
        <v>16</v>
      </c>
      <c r="T1941" s="690">
        <f t="shared" si="372"/>
        <v>0.61539999999999995</v>
      </c>
    </row>
    <row r="1942" spans="1:22" s="688" customFormat="1" ht="17.100000000000001" customHeight="1">
      <c r="A1942" s="1316" t="s">
        <v>2034</v>
      </c>
      <c r="B1942" s="1317"/>
      <c r="C1942" s="1316" t="s">
        <v>2023</v>
      </c>
      <c r="D1942" s="1317"/>
      <c r="E1942" s="677">
        <v>1</v>
      </c>
      <c r="F1942" s="676" t="s">
        <v>1458</v>
      </c>
      <c r="G1942" s="670" t="e">
        <f>$H$1787</f>
        <v>#REF!</v>
      </c>
      <c r="H1942" s="670" t="e">
        <f>INT(E1942*G1942)</f>
        <v>#REF!</v>
      </c>
      <c r="I1942" s="670" t="e">
        <f>$J$1787</f>
        <v>#REF!</v>
      </c>
      <c r="J1942" s="670" t="e">
        <f t="shared" ref="J1942:J1948" si="373">INT(E1942*I1942)</f>
        <v>#REF!</v>
      </c>
      <c r="K1942" s="670" t="e">
        <f>$L$1787</f>
        <v>#REF!</v>
      </c>
      <c r="L1942" s="670" t="e">
        <f>INT(E1942*K1942)</f>
        <v>#REF!</v>
      </c>
      <c r="M1942" s="670" t="e">
        <f>G1942+I1942+K1942</f>
        <v>#REF!</v>
      </c>
      <c r="N1942" s="670" t="e">
        <f>H1942+J1942+L1942</f>
        <v>#REF!</v>
      </c>
      <c r="O1942" s="671">
        <f>$A$1783</f>
        <v>303</v>
      </c>
      <c r="P1942" s="672"/>
      <c r="Q1942" s="688">
        <f t="shared" si="371"/>
        <v>2600</v>
      </c>
      <c r="R1942" s="688">
        <f t="shared" si="371"/>
        <v>26</v>
      </c>
      <c r="S1942" s="688">
        <v>8</v>
      </c>
      <c r="T1942" s="690">
        <f>ROUND(S1942/R1942,4)</f>
        <v>0.30769999999999997</v>
      </c>
    </row>
    <row r="1943" spans="1:22" s="688" customFormat="1" ht="17.100000000000001" customHeight="1">
      <c r="A1943" s="1316" t="s">
        <v>540</v>
      </c>
      <c r="B1943" s="1317"/>
      <c r="C1943" s="1316"/>
      <c r="D1943" s="1317"/>
      <c r="E1943" s="683">
        <v>0.1</v>
      </c>
      <c r="F1943" s="676" t="s">
        <v>366</v>
      </c>
      <c r="G1943" s="670"/>
      <c r="H1943" s="670"/>
      <c r="I1943" s="670">
        <f>[53]노임단가!$T$22</f>
        <v>273308</v>
      </c>
      <c r="J1943" s="670">
        <f t="shared" si="373"/>
        <v>27330</v>
      </c>
      <c r="K1943" s="670"/>
      <c r="L1943" s="670"/>
      <c r="M1943" s="670">
        <f t="shared" ref="M1943:N1948" si="374">G1943+I1943+K1943</f>
        <v>273308</v>
      </c>
      <c r="N1943" s="670">
        <f t="shared" si="374"/>
        <v>27330</v>
      </c>
      <c r="O1943" s="671"/>
      <c r="P1943" s="672"/>
      <c r="Q1943" s="688">
        <f t="shared" si="371"/>
        <v>2600</v>
      </c>
      <c r="R1943" s="688">
        <f t="shared" si="371"/>
        <v>26</v>
      </c>
      <c r="S1943" s="688">
        <v>24</v>
      </c>
      <c r="T1943" s="690">
        <f>ROUND(S1943/R1943,4)</f>
        <v>0.92310000000000003</v>
      </c>
    </row>
    <row r="1944" spans="1:22" s="688" customFormat="1" ht="17.100000000000001" customHeight="1">
      <c r="A1944" s="1316" t="s">
        <v>248</v>
      </c>
      <c r="B1944" s="1317"/>
      <c r="C1944" s="1316"/>
      <c r="D1944" s="1317"/>
      <c r="E1944" s="701">
        <v>2.5000000000000001E-2</v>
      </c>
      <c r="F1944" s="676" t="s">
        <v>366</v>
      </c>
      <c r="G1944" s="670"/>
      <c r="H1944" s="670"/>
      <c r="I1944" s="670">
        <f>[53]노임단가!$T$5</f>
        <v>172068</v>
      </c>
      <c r="J1944" s="670">
        <f t="shared" si="373"/>
        <v>4301</v>
      </c>
      <c r="K1944" s="670"/>
      <c r="L1944" s="670"/>
      <c r="M1944" s="670">
        <f t="shared" si="374"/>
        <v>172068</v>
      </c>
      <c r="N1944" s="670">
        <f t="shared" si="374"/>
        <v>4301</v>
      </c>
      <c r="O1944" s="671"/>
      <c r="P1944" s="672"/>
      <c r="Q1944" s="688">
        <f t="shared" si="371"/>
        <v>2600</v>
      </c>
      <c r="R1944" s="688">
        <f t="shared" si="371"/>
        <v>26</v>
      </c>
      <c r="S1944" s="688">
        <v>8</v>
      </c>
      <c r="T1944" s="690">
        <f t="shared" si="372"/>
        <v>0.30769999999999997</v>
      </c>
    </row>
    <row r="1945" spans="1:22" s="688" customFormat="1" ht="17.100000000000001" customHeight="1">
      <c r="A1945" s="1316" t="s">
        <v>1209</v>
      </c>
      <c r="B1945" s="1317"/>
      <c r="C1945" s="1316" t="s">
        <v>2011</v>
      </c>
      <c r="D1945" s="1317"/>
      <c r="E1945" s="683">
        <v>0.2</v>
      </c>
      <c r="F1945" s="676" t="s">
        <v>418</v>
      </c>
      <c r="G1945" s="670" t="e">
        <f>$G$1827</f>
        <v>#REF!</v>
      </c>
      <c r="H1945" s="670" t="e">
        <f>INT(E1945*G1945)</f>
        <v>#REF!</v>
      </c>
      <c r="I1945" s="670" t="e">
        <f>$I$1827</f>
        <v>#REF!</v>
      </c>
      <c r="J1945" s="670" t="e">
        <f t="shared" si="373"/>
        <v>#REF!</v>
      </c>
      <c r="K1945" s="670" t="e">
        <f>$K$1827</f>
        <v>#REF!</v>
      </c>
      <c r="L1945" s="670" t="e">
        <f>INT(E1945*K1945)</f>
        <v>#REF!</v>
      </c>
      <c r="M1945" s="670" t="e">
        <f t="shared" si="374"/>
        <v>#REF!</v>
      </c>
      <c r="N1945" s="670" t="e">
        <f t="shared" si="374"/>
        <v>#REF!</v>
      </c>
      <c r="O1945" s="671"/>
      <c r="P1945" s="672"/>
      <c r="Q1945" s="688">
        <f t="shared" si="371"/>
        <v>2600</v>
      </c>
      <c r="R1945" s="688">
        <f t="shared" si="371"/>
        <v>26</v>
      </c>
      <c r="S1945" s="688">
        <v>8</v>
      </c>
      <c r="T1945" s="690">
        <f t="shared" si="372"/>
        <v>0.30769999999999997</v>
      </c>
    </row>
    <row r="1946" spans="1:22" s="688" customFormat="1" ht="17.100000000000001" customHeight="1">
      <c r="A1946" s="1316" t="s">
        <v>1172</v>
      </c>
      <c r="B1946" s="1317"/>
      <c r="C1946" s="1316" t="s">
        <v>1175</v>
      </c>
      <c r="D1946" s="1317"/>
      <c r="E1946" s="683">
        <v>0.4</v>
      </c>
      <c r="F1946" s="676" t="s">
        <v>418</v>
      </c>
      <c r="G1946" s="670" t="e">
        <f>$G$1828</f>
        <v>#REF!</v>
      </c>
      <c r="H1946" s="670" t="e">
        <f>INT(E1946*G1946)</f>
        <v>#REF!</v>
      </c>
      <c r="I1946" s="670" t="e">
        <f>$I$1828</f>
        <v>#REF!</v>
      </c>
      <c r="J1946" s="670" t="e">
        <f t="shared" si="373"/>
        <v>#REF!</v>
      </c>
      <c r="K1946" s="670" t="e">
        <f>$K$1828</f>
        <v>#REF!</v>
      </c>
      <c r="L1946" s="670" t="e">
        <f>INT(E1946*K1946)</f>
        <v>#REF!</v>
      </c>
      <c r="M1946" s="670" t="e">
        <f t="shared" si="374"/>
        <v>#REF!</v>
      </c>
      <c r="N1946" s="670" t="e">
        <f t="shared" si="374"/>
        <v>#REF!</v>
      </c>
      <c r="O1946" s="671"/>
      <c r="P1946" s="672"/>
      <c r="Q1946" s="688">
        <f t="shared" si="371"/>
        <v>2600</v>
      </c>
      <c r="R1946" s="688">
        <f t="shared" si="371"/>
        <v>26</v>
      </c>
      <c r="S1946" s="688">
        <v>8</v>
      </c>
      <c r="T1946" s="690">
        <f t="shared" si="372"/>
        <v>0.30769999999999997</v>
      </c>
    </row>
    <row r="1947" spans="1:22" s="688" customFormat="1" ht="17.100000000000001" customHeight="1">
      <c r="A1947" s="1316" t="s">
        <v>1177</v>
      </c>
      <c r="B1947" s="1317"/>
      <c r="C1947" s="1316" t="s">
        <v>1178</v>
      </c>
      <c r="D1947" s="1317"/>
      <c r="E1947" s="683">
        <v>0.2</v>
      </c>
      <c r="F1947" s="676" t="s">
        <v>418</v>
      </c>
      <c r="G1947" s="670" t="e">
        <f>#REF!</f>
        <v>#REF!</v>
      </c>
      <c r="H1947" s="670" t="e">
        <f>INT(E1947*G1947)</f>
        <v>#REF!</v>
      </c>
      <c r="I1947" s="670" t="e">
        <f>#REF!</f>
        <v>#REF!</v>
      </c>
      <c r="J1947" s="670" t="e">
        <f t="shared" si="373"/>
        <v>#REF!</v>
      </c>
      <c r="K1947" s="670" t="e">
        <f>#REF!</f>
        <v>#REF!</v>
      </c>
      <c r="L1947" s="670" t="e">
        <f>INT(E1947*K1947)</f>
        <v>#REF!</v>
      </c>
      <c r="M1947" s="670" t="e">
        <f t="shared" si="374"/>
        <v>#REF!</v>
      </c>
      <c r="N1947" s="670" t="e">
        <f t="shared" si="374"/>
        <v>#REF!</v>
      </c>
      <c r="O1947" s="671"/>
      <c r="P1947" s="672"/>
      <c r="Q1947" s="688">
        <f t="shared" si="371"/>
        <v>2600</v>
      </c>
      <c r="R1947" s="688">
        <f t="shared" si="371"/>
        <v>26</v>
      </c>
      <c r="S1947" s="688">
        <v>8</v>
      </c>
      <c r="T1947" s="690">
        <f t="shared" si="372"/>
        <v>0.30769999999999997</v>
      </c>
    </row>
    <row r="1948" spans="1:22" s="688" customFormat="1" ht="17.100000000000001" customHeight="1">
      <c r="A1948" s="1316" t="s">
        <v>630</v>
      </c>
      <c r="B1948" s="1317"/>
      <c r="C1948" s="1316" t="s">
        <v>1395</v>
      </c>
      <c r="D1948" s="1317"/>
      <c r="E1948" s="683">
        <v>0.1</v>
      </c>
      <c r="F1948" s="676" t="s">
        <v>418</v>
      </c>
      <c r="G1948" s="670" t="e">
        <f>#REF!</f>
        <v>#REF!</v>
      </c>
      <c r="H1948" s="670" t="e">
        <f>INT(E1948*G1948)</f>
        <v>#REF!</v>
      </c>
      <c r="I1948" s="670" t="e">
        <f>#REF!</f>
        <v>#REF!</v>
      </c>
      <c r="J1948" s="670" t="e">
        <f t="shared" si="373"/>
        <v>#REF!</v>
      </c>
      <c r="K1948" s="670" t="e">
        <f>#REF!</f>
        <v>#REF!</v>
      </c>
      <c r="L1948" s="670" t="e">
        <f>INT(E1948*K1948)</f>
        <v>#REF!</v>
      </c>
      <c r="M1948" s="670" t="e">
        <f t="shared" si="374"/>
        <v>#REF!</v>
      </c>
      <c r="N1948" s="670" t="e">
        <f t="shared" si="374"/>
        <v>#REF!</v>
      </c>
      <c r="O1948" s="671"/>
      <c r="P1948" s="672"/>
      <c r="Q1948" s="688">
        <f t="shared" si="371"/>
        <v>2600</v>
      </c>
      <c r="R1948" s="688">
        <f t="shared" si="371"/>
        <v>26</v>
      </c>
      <c r="S1948" s="688">
        <v>8</v>
      </c>
      <c r="T1948" s="690">
        <f t="shared" si="372"/>
        <v>0.30769999999999997</v>
      </c>
    </row>
    <row r="1949" spans="1:22" s="688" customFormat="1" ht="17.100000000000001" customHeight="1">
      <c r="A1949" s="1318" t="s">
        <v>1320</v>
      </c>
      <c r="B1949" s="1319"/>
      <c r="C1949" s="1316"/>
      <c r="D1949" s="1317"/>
      <c r="E1949" s="686"/>
      <c r="F1949" s="676"/>
      <c r="G1949" s="670"/>
      <c r="H1949" s="670" t="e">
        <f>SUM(H1941:H1948)</f>
        <v>#REF!</v>
      </c>
      <c r="I1949" s="670"/>
      <c r="J1949" s="670" t="e">
        <f>SUM(J1941:J1948)</f>
        <v>#REF!</v>
      </c>
      <c r="K1949" s="670"/>
      <c r="L1949" s="670" t="e">
        <f>SUM(L1941:L1948)</f>
        <v>#REF!</v>
      </c>
      <c r="M1949" s="670"/>
      <c r="N1949" s="670" t="e">
        <f>SUM(N1941:N1948)</f>
        <v>#REF!</v>
      </c>
      <c r="O1949" s="671"/>
      <c r="P1949" s="672"/>
      <c r="Q1949" s="688">
        <f>Q1947</f>
        <v>2600</v>
      </c>
      <c r="R1949" s="688">
        <f>R1947</f>
        <v>26</v>
      </c>
      <c r="S1949" s="688">
        <v>8</v>
      </c>
      <c r="T1949" s="690">
        <f t="shared" si="372"/>
        <v>0.30769999999999997</v>
      </c>
    </row>
    <row r="1950" spans="1:22" s="665" customFormat="1" ht="17.100000000000001" customHeight="1">
      <c r="A1950" s="668">
        <f>A1940+1</f>
        <v>319</v>
      </c>
      <c r="B1950" s="1320" t="s">
        <v>2044</v>
      </c>
      <c r="C1950" s="1320"/>
      <c r="D1950" s="1320" t="s">
        <v>2045</v>
      </c>
      <c r="E1950" s="1320"/>
      <c r="F1950" s="669" t="s">
        <v>1458</v>
      </c>
      <c r="G1950" s="698"/>
      <c r="H1950" s="698"/>
      <c r="I1950" s="698"/>
      <c r="J1950" s="698"/>
      <c r="K1950" s="670"/>
      <c r="L1950" s="670"/>
      <c r="M1950" s="670"/>
      <c r="N1950" s="698"/>
      <c r="O1950" s="800" t="s">
        <v>1562</v>
      </c>
      <c r="P1950" s="672"/>
      <c r="Q1950" s="688"/>
      <c r="R1950" s="688"/>
      <c r="S1950" s="688"/>
      <c r="T1950" s="690"/>
    </row>
    <row r="1951" spans="1:22" s="665" customFormat="1" ht="17.100000000000001" customHeight="1">
      <c r="A1951" s="1316" t="s">
        <v>1676</v>
      </c>
      <c r="B1951" s="1317"/>
      <c r="C1951" s="1316" t="s">
        <v>1827</v>
      </c>
      <c r="D1951" s="1317"/>
      <c r="E1951" s="686"/>
      <c r="F1951" s="676" t="s">
        <v>915</v>
      </c>
      <c r="G1951" s="670"/>
      <c r="H1951" s="670"/>
      <c r="I1951" s="670"/>
      <c r="J1951" s="670"/>
      <c r="K1951" s="670"/>
      <c r="L1951" s="670"/>
      <c r="M1951" s="670"/>
      <c r="N1951" s="670"/>
      <c r="O1951" s="671"/>
      <c r="P1951" s="794" t="s">
        <v>2046</v>
      </c>
      <c r="Q1951" s="806" t="s">
        <v>1446</v>
      </c>
      <c r="R1951" s="688" t="s">
        <v>1447</v>
      </c>
      <c r="S1951" s="688" t="s">
        <v>1425</v>
      </c>
      <c r="T1951" s="688" t="s">
        <v>1426</v>
      </c>
    </row>
    <row r="1952" spans="1:22" s="665" customFormat="1" ht="17.100000000000001" customHeight="1">
      <c r="A1952" s="1316" t="s">
        <v>1065</v>
      </c>
      <c r="B1952" s="1317"/>
      <c r="C1952" s="1316"/>
      <c r="D1952" s="1317"/>
      <c r="E1952" s="675">
        <v>3.45</v>
      </c>
      <c r="F1952" s="676" t="s">
        <v>30</v>
      </c>
      <c r="G1952" s="670" t="e">
        <f>#REF!</f>
        <v>#REF!</v>
      </c>
      <c r="H1952" s="670" t="e">
        <f>INT(E1952*G1952)</f>
        <v>#REF!</v>
      </c>
      <c r="I1952" s="670"/>
      <c r="J1952" s="670"/>
      <c r="K1952" s="670"/>
      <c r="L1952" s="670"/>
      <c r="M1952" s="670" t="e">
        <f t="shared" ref="M1952:N1964" si="375">G1952+I1952+K1952</f>
        <v>#REF!</v>
      </c>
      <c r="N1952" s="670" t="e">
        <f t="shared" si="375"/>
        <v>#REF!</v>
      </c>
      <c r="O1952" s="671"/>
      <c r="P1952" s="807" t="s">
        <v>2038</v>
      </c>
      <c r="Q1952" s="688">
        <v>3400</v>
      </c>
      <c r="R1952" s="688">
        <f>(Q1952)/100</f>
        <v>34</v>
      </c>
      <c r="S1952" s="688">
        <v>0</v>
      </c>
      <c r="T1952" s="690"/>
      <c r="U1952" s="688"/>
      <c r="V1952" s="688"/>
    </row>
    <row r="1953" spans="1:22" s="688" customFormat="1" ht="17.100000000000001" customHeight="1">
      <c r="A1953" s="694" t="s">
        <v>1992</v>
      </c>
      <c r="B1953" s="669"/>
      <c r="C1953" s="694"/>
      <c r="D1953" s="669"/>
      <c r="E1953" s="675">
        <v>30</v>
      </c>
      <c r="F1953" s="676" t="s">
        <v>1111</v>
      </c>
      <c r="G1953" s="670" t="e">
        <f>#REF!</f>
        <v>#REF!</v>
      </c>
      <c r="H1953" s="670" t="e">
        <f>INT(E1953*G1953)</f>
        <v>#REF!</v>
      </c>
      <c r="I1953" s="670">
        <v>0</v>
      </c>
      <c r="J1953" s="670">
        <f>INT(E1953*I1953)</f>
        <v>0</v>
      </c>
      <c r="K1953" s="670">
        <v>0</v>
      </c>
      <c r="L1953" s="670">
        <f>INT(E1953*K1953)</f>
        <v>0</v>
      </c>
      <c r="M1953" s="670" t="e">
        <f t="shared" si="375"/>
        <v>#REF!</v>
      </c>
      <c r="N1953" s="670" t="e">
        <f t="shared" si="375"/>
        <v>#REF!</v>
      </c>
      <c r="O1953" s="671"/>
      <c r="P1953" s="672"/>
      <c r="Q1953" s="688">
        <f t="shared" ref="Q1953:R1964" si="376">Q1952</f>
        <v>3400</v>
      </c>
      <c r="R1953" s="688">
        <f t="shared" si="376"/>
        <v>34</v>
      </c>
      <c r="S1953" s="688">
        <v>0</v>
      </c>
      <c r="T1953" s="690">
        <f t="shared" ref="T1953:T1965" si="377">ROUND(S1953/R1953,4)</f>
        <v>0</v>
      </c>
    </row>
    <row r="1954" spans="1:22" s="688" customFormat="1" ht="17.100000000000001" customHeight="1">
      <c r="A1954" s="1316" t="s">
        <v>540</v>
      </c>
      <c r="B1954" s="1317"/>
      <c r="C1954" s="1316"/>
      <c r="D1954" s="1317"/>
      <c r="E1954" s="675">
        <f t="shared" ref="E1954:E1964" si="378">T1923</f>
        <v>0.08</v>
      </c>
      <c r="F1954" s="676" t="s">
        <v>366</v>
      </c>
      <c r="G1954" s="670"/>
      <c r="H1954" s="670"/>
      <c r="I1954" s="670">
        <f>[53]노임단가!$T$22</f>
        <v>273308</v>
      </c>
      <c r="J1954" s="670">
        <f t="shared" ref="J1954:J1962" si="379">INT(E1954*I1954)</f>
        <v>21864</v>
      </c>
      <c r="K1954" s="670"/>
      <c r="L1954" s="670"/>
      <c r="M1954" s="670">
        <f t="shared" si="375"/>
        <v>273308</v>
      </c>
      <c r="N1954" s="670">
        <f t="shared" si="375"/>
        <v>21864</v>
      </c>
      <c r="O1954" s="671"/>
      <c r="P1954" s="672"/>
      <c r="T1954" s="690"/>
    </row>
    <row r="1955" spans="1:22" s="688" customFormat="1" ht="17.100000000000001" customHeight="1">
      <c r="A1955" s="1316" t="s">
        <v>248</v>
      </c>
      <c r="B1955" s="1317"/>
      <c r="C1955" s="1316" t="s">
        <v>2047</v>
      </c>
      <c r="D1955" s="1317"/>
      <c r="E1955" s="675">
        <f t="shared" si="378"/>
        <v>0.04</v>
      </c>
      <c r="F1955" s="676" t="s">
        <v>366</v>
      </c>
      <c r="G1955" s="670"/>
      <c r="H1955" s="670"/>
      <c r="I1955" s="670">
        <f>[53]노임단가!$T$5</f>
        <v>172068</v>
      </c>
      <c r="J1955" s="670">
        <f t="shared" si="379"/>
        <v>6882</v>
      </c>
      <c r="K1955" s="670"/>
      <c r="L1955" s="670"/>
      <c r="M1955" s="670">
        <f t="shared" si="375"/>
        <v>172068</v>
      </c>
      <c r="N1955" s="670">
        <f t="shared" si="375"/>
        <v>6882</v>
      </c>
      <c r="O1955" s="671"/>
      <c r="P1955" s="672"/>
      <c r="Q1955" s="688">
        <f>Q1953</f>
        <v>3400</v>
      </c>
      <c r="R1955" s="688">
        <f>R1953</f>
        <v>34</v>
      </c>
      <c r="S1955" s="688">
        <v>4</v>
      </c>
      <c r="T1955" s="690">
        <f t="shared" si="377"/>
        <v>0.1176</v>
      </c>
    </row>
    <row r="1956" spans="1:22" s="688" customFormat="1" ht="17.100000000000001" customHeight="1">
      <c r="A1956" s="1316" t="s">
        <v>490</v>
      </c>
      <c r="B1956" s="1317"/>
      <c r="C1956" s="1316" t="s">
        <v>491</v>
      </c>
      <c r="D1956" s="1317"/>
      <c r="E1956" s="675">
        <f t="shared" si="378"/>
        <v>0.32</v>
      </c>
      <c r="F1956" s="676" t="s">
        <v>418</v>
      </c>
      <c r="G1956" s="670" t="e">
        <f>#REF!</f>
        <v>#REF!</v>
      </c>
      <c r="H1956" s="670" t="e">
        <f t="shared" ref="H1956:H1964" si="380">INT(E1956*G1956)</f>
        <v>#REF!</v>
      </c>
      <c r="I1956" s="670" t="e">
        <f>#REF!</f>
        <v>#REF!</v>
      </c>
      <c r="J1956" s="670" t="e">
        <f t="shared" si="379"/>
        <v>#REF!</v>
      </c>
      <c r="K1956" s="670" t="e">
        <f>#REF!</f>
        <v>#REF!</v>
      </c>
      <c r="L1956" s="670" t="e">
        <f t="shared" ref="L1956:L1964" si="381">INT(E1956*K1956)</f>
        <v>#REF!</v>
      </c>
      <c r="M1956" s="670" t="e">
        <f t="shared" si="375"/>
        <v>#REF!</v>
      </c>
      <c r="N1956" s="670" t="e">
        <f t="shared" si="375"/>
        <v>#REF!</v>
      </c>
      <c r="O1956" s="671"/>
      <c r="P1956" s="672"/>
      <c r="Q1956" s="688">
        <f t="shared" si="376"/>
        <v>3400</v>
      </c>
      <c r="R1956" s="688">
        <f t="shared" si="376"/>
        <v>34</v>
      </c>
      <c r="S1956" s="688">
        <v>2</v>
      </c>
      <c r="T1956" s="690">
        <f t="shared" si="377"/>
        <v>5.8799999999999998E-2</v>
      </c>
    </row>
    <row r="1957" spans="1:22" s="688" customFormat="1" ht="17.100000000000001" customHeight="1">
      <c r="A1957" s="1316" t="s">
        <v>2048</v>
      </c>
      <c r="B1957" s="1317"/>
      <c r="C1957" s="1316" t="s">
        <v>1146</v>
      </c>
      <c r="D1957" s="1317"/>
      <c r="E1957" s="675">
        <f>T1926</f>
        <v>0.16</v>
      </c>
      <c r="F1957" s="676" t="s">
        <v>418</v>
      </c>
      <c r="G1957" s="670" t="e">
        <f>#REF!+#REF!</f>
        <v>#REF!</v>
      </c>
      <c r="H1957" s="670" t="e">
        <f>INT(E1957*G1957)</f>
        <v>#REF!</v>
      </c>
      <c r="I1957" s="670" t="e">
        <f>#REF!+#REF!</f>
        <v>#REF!</v>
      </c>
      <c r="J1957" s="670" t="e">
        <f>INT(E1957*I1957)</f>
        <v>#REF!</v>
      </c>
      <c r="K1957" s="670" t="e">
        <f>#REF!+#REF!</f>
        <v>#REF!</v>
      </c>
      <c r="L1957" s="670" t="e">
        <f>INT(E1957*K1957)</f>
        <v>#REF!</v>
      </c>
      <c r="M1957" s="670" t="e">
        <f>G1957+I1957+K1957</f>
        <v>#REF!</v>
      </c>
      <c r="N1957" s="670" t="e">
        <f>H1957+J1957+L1957</f>
        <v>#REF!</v>
      </c>
      <c r="O1957" s="671"/>
      <c r="P1957" s="672"/>
      <c r="Q1957" s="688">
        <f t="shared" si="376"/>
        <v>3400</v>
      </c>
      <c r="R1957" s="688">
        <f t="shared" si="376"/>
        <v>34</v>
      </c>
      <c r="S1957" s="688">
        <v>16</v>
      </c>
      <c r="T1957" s="690">
        <f t="shared" si="377"/>
        <v>0.47060000000000002</v>
      </c>
    </row>
    <row r="1958" spans="1:22" s="688" customFormat="1" ht="17.100000000000001" customHeight="1">
      <c r="A1958" s="1367" t="s">
        <v>2027</v>
      </c>
      <c r="B1958" s="1327"/>
      <c r="C1958" s="1367" t="s">
        <v>2028</v>
      </c>
      <c r="D1958" s="1327"/>
      <c r="E1958" s="675">
        <f>T1927</f>
        <v>0.48</v>
      </c>
      <c r="F1958" s="749" t="s">
        <v>557</v>
      </c>
      <c r="G1958" s="670" t="e">
        <f>#REF!</f>
        <v>#REF!</v>
      </c>
      <c r="H1958" s="750" t="e">
        <f>INT(E1958*G1958)</f>
        <v>#REF!</v>
      </c>
      <c r="I1958" s="670" t="e">
        <f>#REF!</f>
        <v>#REF!</v>
      </c>
      <c r="J1958" s="750" t="e">
        <f>INT(E1958*I1958)</f>
        <v>#REF!</v>
      </c>
      <c r="K1958" s="670" t="e">
        <f>#REF!</f>
        <v>#REF!</v>
      </c>
      <c r="L1958" s="750" t="e">
        <f>INT(E1958*K1958)</f>
        <v>#REF!</v>
      </c>
      <c r="M1958" s="750" t="e">
        <f>G1958+I1958+K1958</f>
        <v>#REF!</v>
      </c>
      <c r="N1958" s="750" t="e">
        <f>H1958+J1958+L1958</f>
        <v>#REF!</v>
      </c>
      <c r="O1958" s="751"/>
      <c r="P1958" s="672"/>
      <c r="Q1958" s="688">
        <f t="shared" si="376"/>
        <v>3400</v>
      </c>
      <c r="R1958" s="688">
        <f t="shared" si="376"/>
        <v>34</v>
      </c>
      <c r="S1958" s="688">
        <v>8</v>
      </c>
      <c r="T1958" s="690">
        <f>ROUND(S1958/R1958,4)</f>
        <v>0.23530000000000001</v>
      </c>
    </row>
    <row r="1959" spans="1:22" s="688" customFormat="1" ht="17.100000000000001" customHeight="1">
      <c r="A1959" s="1316" t="s">
        <v>1209</v>
      </c>
      <c r="B1959" s="1317"/>
      <c r="C1959" s="1316" t="s">
        <v>2011</v>
      </c>
      <c r="D1959" s="1317"/>
      <c r="E1959" s="675">
        <f t="shared" si="378"/>
        <v>0.16</v>
      </c>
      <c r="F1959" s="676" t="s">
        <v>418</v>
      </c>
      <c r="G1959" s="670" t="e">
        <f>#REF!</f>
        <v>#REF!</v>
      </c>
      <c r="H1959" s="670" t="e">
        <f t="shared" si="380"/>
        <v>#REF!</v>
      </c>
      <c r="I1959" s="670" t="e">
        <f>#REF!</f>
        <v>#REF!</v>
      </c>
      <c r="J1959" s="670" t="e">
        <f t="shared" si="379"/>
        <v>#REF!</v>
      </c>
      <c r="K1959" s="670" t="e">
        <f>#REF!</f>
        <v>#REF!</v>
      </c>
      <c r="L1959" s="670" t="e">
        <f t="shared" si="381"/>
        <v>#REF!</v>
      </c>
      <c r="M1959" s="670" t="e">
        <f t="shared" si="375"/>
        <v>#REF!</v>
      </c>
      <c r="N1959" s="670" t="e">
        <f t="shared" si="375"/>
        <v>#REF!</v>
      </c>
      <c r="O1959" s="671"/>
      <c r="P1959" s="672"/>
      <c r="Q1959" s="688">
        <f t="shared" si="376"/>
        <v>3400</v>
      </c>
      <c r="R1959" s="688">
        <f t="shared" si="376"/>
        <v>34</v>
      </c>
      <c r="S1959" s="688">
        <v>16</v>
      </c>
      <c r="T1959" s="690">
        <f t="shared" si="377"/>
        <v>0.47060000000000002</v>
      </c>
    </row>
    <row r="1960" spans="1:22" s="688" customFormat="1" ht="17.100000000000001" customHeight="1">
      <c r="A1960" s="1316" t="s">
        <v>1172</v>
      </c>
      <c r="B1960" s="1317"/>
      <c r="C1960" s="1316" t="s">
        <v>1175</v>
      </c>
      <c r="D1960" s="1317"/>
      <c r="E1960" s="675">
        <f t="shared" si="378"/>
        <v>0.16</v>
      </c>
      <c r="F1960" s="676" t="s">
        <v>418</v>
      </c>
      <c r="G1960" s="670" t="e">
        <f>$G$1828</f>
        <v>#REF!</v>
      </c>
      <c r="H1960" s="670" t="e">
        <f t="shared" si="380"/>
        <v>#REF!</v>
      </c>
      <c r="I1960" s="670" t="e">
        <f>$I$1828</f>
        <v>#REF!</v>
      </c>
      <c r="J1960" s="670" t="e">
        <f t="shared" si="379"/>
        <v>#REF!</v>
      </c>
      <c r="K1960" s="670" t="e">
        <f>$K$1828</f>
        <v>#REF!</v>
      </c>
      <c r="L1960" s="670" t="e">
        <f t="shared" si="381"/>
        <v>#REF!</v>
      </c>
      <c r="M1960" s="670" t="e">
        <f t="shared" si="375"/>
        <v>#REF!</v>
      </c>
      <c r="N1960" s="670" t="e">
        <f t="shared" si="375"/>
        <v>#REF!</v>
      </c>
      <c r="O1960" s="671"/>
      <c r="P1960" s="672"/>
      <c r="Q1960" s="688">
        <f t="shared" si="376"/>
        <v>3400</v>
      </c>
      <c r="R1960" s="688">
        <f t="shared" si="376"/>
        <v>34</v>
      </c>
      <c r="S1960" s="688">
        <v>8</v>
      </c>
      <c r="T1960" s="690">
        <f t="shared" si="377"/>
        <v>0.23530000000000001</v>
      </c>
    </row>
    <row r="1961" spans="1:22" s="688" customFormat="1" ht="17.100000000000001" customHeight="1">
      <c r="A1961" s="1316" t="s">
        <v>1188</v>
      </c>
      <c r="B1961" s="1317"/>
      <c r="C1961" s="1316" t="s">
        <v>1190</v>
      </c>
      <c r="D1961" s="1317"/>
      <c r="E1961" s="675">
        <f t="shared" si="378"/>
        <v>0.16</v>
      </c>
      <c r="F1961" s="676" t="s">
        <v>418</v>
      </c>
      <c r="G1961" s="670" t="e">
        <f>#REF!</f>
        <v>#REF!</v>
      </c>
      <c r="H1961" s="670" t="e">
        <f t="shared" si="380"/>
        <v>#REF!</v>
      </c>
      <c r="I1961" s="670" t="e">
        <f>#REF!</f>
        <v>#REF!</v>
      </c>
      <c r="J1961" s="670" t="e">
        <f t="shared" si="379"/>
        <v>#REF!</v>
      </c>
      <c r="K1961" s="670" t="e">
        <f>#REF!</f>
        <v>#REF!</v>
      </c>
      <c r="L1961" s="670" t="e">
        <f t="shared" si="381"/>
        <v>#REF!</v>
      </c>
      <c r="M1961" s="670" t="e">
        <f t="shared" si="375"/>
        <v>#REF!</v>
      </c>
      <c r="N1961" s="670" t="e">
        <f t="shared" si="375"/>
        <v>#REF!</v>
      </c>
      <c r="O1961" s="671"/>
      <c r="P1961" s="672"/>
      <c r="Q1961" s="688">
        <f t="shared" si="376"/>
        <v>3400</v>
      </c>
      <c r="R1961" s="688">
        <f t="shared" si="376"/>
        <v>34</v>
      </c>
      <c r="S1961" s="688">
        <v>8</v>
      </c>
      <c r="T1961" s="690">
        <f t="shared" si="377"/>
        <v>0.23530000000000001</v>
      </c>
    </row>
    <row r="1962" spans="1:22" s="688" customFormat="1" ht="17.100000000000001" customHeight="1">
      <c r="A1962" s="1316" t="s">
        <v>1177</v>
      </c>
      <c r="B1962" s="1317"/>
      <c r="C1962" s="1316" t="s">
        <v>1178</v>
      </c>
      <c r="D1962" s="1317"/>
      <c r="E1962" s="675">
        <f t="shared" si="378"/>
        <v>0.16</v>
      </c>
      <c r="F1962" s="676" t="s">
        <v>418</v>
      </c>
      <c r="G1962" s="670" t="e">
        <f>#REF!</f>
        <v>#REF!</v>
      </c>
      <c r="H1962" s="670" t="e">
        <f t="shared" si="380"/>
        <v>#REF!</v>
      </c>
      <c r="I1962" s="670" t="e">
        <f>#REF!</f>
        <v>#REF!</v>
      </c>
      <c r="J1962" s="670" t="e">
        <f t="shared" si="379"/>
        <v>#REF!</v>
      </c>
      <c r="K1962" s="670" t="e">
        <f>#REF!</f>
        <v>#REF!</v>
      </c>
      <c r="L1962" s="670" t="e">
        <f t="shared" si="381"/>
        <v>#REF!</v>
      </c>
      <c r="M1962" s="670" t="e">
        <f t="shared" si="375"/>
        <v>#REF!</v>
      </c>
      <c r="N1962" s="670" t="e">
        <f t="shared" si="375"/>
        <v>#REF!</v>
      </c>
      <c r="O1962" s="671"/>
      <c r="P1962" s="672"/>
      <c r="Q1962" s="688">
        <f t="shared" si="376"/>
        <v>3400</v>
      </c>
      <c r="R1962" s="688">
        <f t="shared" si="376"/>
        <v>34</v>
      </c>
      <c r="S1962" s="688">
        <v>8</v>
      </c>
      <c r="T1962" s="690">
        <f t="shared" si="377"/>
        <v>0.23530000000000001</v>
      </c>
    </row>
    <row r="1963" spans="1:22" s="688" customFormat="1" ht="17.100000000000001" customHeight="1">
      <c r="A1963" s="1316" t="s">
        <v>1997</v>
      </c>
      <c r="B1963" s="1317"/>
      <c r="C1963" s="1316" t="s">
        <v>1998</v>
      </c>
      <c r="D1963" s="1317"/>
      <c r="E1963" s="675">
        <f t="shared" si="378"/>
        <v>0.16</v>
      </c>
      <c r="F1963" s="676" t="s">
        <v>418</v>
      </c>
      <c r="G1963" s="670" t="e">
        <f>#REF!</f>
        <v>#REF!</v>
      </c>
      <c r="H1963" s="670" t="e">
        <f>INT(E1963*G1963)</f>
        <v>#REF!</v>
      </c>
      <c r="I1963" s="670" t="e">
        <f>#REF!</f>
        <v>#REF!</v>
      </c>
      <c r="J1963" s="670" t="e">
        <f>INT(E1963*I1963)</f>
        <v>#REF!</v>
      </c>
      <c r="K1963" s="670" t="e">
        <f>#REF!</f>
        <v>#REF!</v>
      </c>
      <c r="L1963" s="670" t="e">
        <f>INT(E1963*K1963)</f>
        <v>#REF!</v>
      </c>
      <c r="M1963" s="670" t="e">
        <f t="shared" si="375"/>
        <v>#REF!</v>
      </c>
      <c r="N1963" s="670" t="e">
        <f t="shared" si="375"/>
        <v>#REF!</v>
      </c>
      <c r="O1963" s="671"/>
      <c r="P1963" s="672"/>
      <c r="Q1963" s="688">
        <f t="shared" si="376"/>
        <v>3400</v>
      </c>
      <c r="R1963" s="688">
        <f t="shared" si="376"/>
        <v>34</v>
      </c>
      <c r="S1963" s="688">
        <v>8</v>
      </c>
      <c r="T1963" s="690">
        <f t="shared" si="377"/>
        <v>0.23530000000000001</v>
      </c>
    </row>
    <row r="1964" spans="1:22" s="688" customFormat="1" ht="17.100000000000001" customHeight="1">
      <c r="A1964" s="1316" t="s">
        <v>630</v>
      </c>
      <c r="B1964" s="1317"/>
      <c r="C1964" s="1316" t="s">
        <v>1395</v>
      </c>
      <c r="D1964" s="1317"/>
      <c r="E1964" s="675">
        <f t="shared" si="378"/>
        <v>0.16</v>
      </c>
      <c r="F1964" s="676" t="s">
        <v>418</v>
      </c>
      <c r="G1964" s="670" t="e">
        <f>#REF!</f>
        <v>#REF!</v>
      </c>
      <c r="H1964" s="670" t="e">
        <f t="shared" si="380"/>
        <v>#REF!</v>
      </c>
      <c r="I1964" s="670" t="e">
        <f>#REF!</f>
        <v>#REF!</v>
      </c>
      <c r="J1964" s="670" t="e">
        <f>INT(E1964*I1964)</f>
        <v>#REF!</v>
      </c>
      <c r="K1964" s="670" t="e">
        <f>#REF!</f>
        <v>#REF!</v>
      </c>
      <c r="L1964" s="670" t="e">
        <f t="shared" si="381"/>
        <v>#REF!</v>
      </c>
      <c r="M1964" s="670" t="e">
        <f t="shared" si="375"/>
        <v>#REF!</v>
      </c>
      <c r="N1964" s="670" t="e">
        <f t="shared" si="375"/>
        <v>#REF!</v>
      </c>
      <c r="O1964" s="671"/>
      <c r="P1964" s="672"/>
      <c r="Q1964" s="688">
        <f t="shared" si="376"/>
        <v>3400</v>
      </c>
      <c r="R1964" s="688">
        <f t="shared" si="376"/>
        <v>34</v>
      </c>
      <c r="S1964" s="688">
        <v>8</v>
      </c>
      <c r="T1964" s="690">
        <f t="shared" si="377"/>
        <v>0.23530000000000001</v>
      </c>
    </row>
    <row r="1965" spans="1:22" s="688" customFormat="1" ht="17.100000000000001" customHeight="1">
      <c r="A1965" s="1318" t="s">
        <v>1320</v>
      </c>
      <c r="B1965" s="1319"/>
      <c r="C1965" s="1316"/>
      <c r="D1965" s="1317"/>
      <c r="E1965" s="686"/>
      <c r="F1965" s="676"/>
      <c r="G1965" s="670"/>
      <c r="H1965" s="670" t="e">
        <f>SUM(H1951:H1964)</f>
        <v>#REF!</v>
      </c>
      <c r="I1965" s="670"/>
      <c r="J1965" s="670" t="e">
        <f>SUM(J1951:J1964)</f>
        <v>#REF!</v>
      </c>
      <c r="K1965" s="670"/>
      <c r="L1965" s="670" t="e">
        <f>SUM(L1951:L1964)</f>
        <v>#REF!</v>
      </c>
      <c r="M1965" s="670"/>
      <c r="N1965" s="670" t="e">
        <f>SUM(N1951:N1964)</f>
        <v>#REF!</v>
      </c>
      <c r="O1965" s="671"/>
      <c r="P1965" s="672"/>
      <c r="Q1965" s="688">
        <f>Q1963</f>
        <v>3400</v>
      </c>
      <c r="R1965" s="688">
        <f>R1963</f>
        <v>34</v>
      </c>
      <c r="S1965" s="688">
        <v>8</v>
      </c>
      <c r="T1965" s="690">
        <f t="shared" si="377"/>
        <v>0.23530000000000001</v>
      </c>
    </row>
    <row r="1966" spans="1:22" s="665" customFormat="1" ht="17.100000000000001" customHeight="1">
      <c r="A1966" s="668">
        <f>A1950+1</f>
        <v>320</v>
      </c>
      <c r="B1966" s="1320" t="s">
        <v>2049</v>
      </c>
      <c r="C1966" s="1320"/>
      <c r="D1966" s="1320" t="s">
        <v>2050</v>
      </c>
      <c r="E1966" s="1320"/>
      <c r="F1966" s="669" t="s">
        <v>1458</v>
      </c>
      <c r="G1966" s="698"/>
      <c r="H1966" s="698"/>
      <c r="I1966" s="698"/>
      <c r="J1966" s="698"/>
      <c r="K1966" s="670"/>
      <c r="L1966" s="670"/>
      <c r="M1966" s="670"/>
      <c r="N1966" s="698"/>
      <c r="O1966" s="800" t="s">
        <v>1562</v>
      </c>
      <c r="P1966" s="672"/>
      <c r="Q1966" s="688"/>
      <c r="R1966" s="688"/>
      <c r="S1966" s="688"/>
      <c r="T1966" s="690"/>
    </row>
    <row r="1967" spans="1:22" s="665" customFormat="1" ht="17.100000000000001" customHeight="1">
      <c r="A1967" s="1316" t="s">
        <v>1676</v>
      </c>
      <c r="B1967" s="1317"/>
      <c r="C1967" s="1316" t="s">
        <v>1827</v>
      </c>
      <c r="D1967" s="1317"/>
      <c r="E1967" s="686"/>
      <c r="F1967" s="676" t="s">
        <v>915</v>
      </c>
      <c r="G1967" s="670"/>
      <c r="H1967" s="670"/>
      <c r="I1967" s="670"/>
      <c r="J1967" s="670"/>
      <c r="K1967" s="670"/>
      <c r="L1967" s="670"/>
      <c r="M1967" s="670"/>
      <c r="N1967" s="670"/>
      <c r="O1967" s="671"/>
      <c r="P1967" s="794" t="s">
        <v>2041</v>
      </c>
      <c r="Q1967" s="806" t="s">
        <v>1446</v>
      </c>
      <c r="R1967" s="688" t="s">
        <v>1447</v>
      </c>
      <c r="S1967" s="688" t="s">
        <v>1425</v>
      </c>
      <c r="T1967" s="688" t="s">
        <v>1426</v>
      </c>
    </row>
    <row r="1968" spans="1:22" s="665" customFormat="1" ht="17.100000000000001" customHeight="1">
      <c r="A1968" s="1316" t="s">
        <v>1065</v>
      </c>
      <c r="B1968" s="1317"/>
      <c r="C1968" s="1316"/>
      <c r="D1968" s="1317"/>
      <c r="E1968" s="675">
        <v>6.9</v>
      </c>
      <c r="F1968" s="676" t="s">
        <v>30</v>
      </c>
      <c r="G1968" s="670" t="e">
        <f>#REF!</f>
        <v>#REF!</v>
      </c>
      <c r="H1968" s="670" t="e">
        <f>INT(E1968*G1968)</f>
        <v>#REF!</v>
      </c>
      <c r="I1968" s="670"/>
      <c r="J1968" s="670"/>
      <c r="K1968" s="670"/>
      <c r="L1968" s="670"/>
      <c r="M1968" s="670" t="e">
        <f t="shared" ref="M1968:N1972" si="382">G1968+I1968+K1968</f>
        <v>#REF!</v>
      </c>
      <c r="N1968" s="670" t="e">
        <f t="shared" si="382"/>
        <v>#REF!</v>
      </c>
      <c r="O1968" s="671"/>
      <c r="P1968" s="807" t="s">
        <v>2042</v>
      </c>
      <c r="Q1968" s="688">
        <v>1800</v>
      </c>
      <c r="R1968" s="688">
        <f>(Q1968)/100</f>
        <v>18</v>
      </c>
      <c r="S1968" s="688">
        <v>0</v>
      </c>
      <c r="T1968" s="690"/>
      <c r="U1968" s="688"/>
      <c r="V1968" s="688"/>
    </row>
    <row r="1969" spans="1:22" s="688" customFormat="1" ht="17.100000000000001" customHeight="1">
      <c r="A1969" s="694" t="s">
        <v>1992</v>
      </c>
      <c r="B1969" s="669"/>
      <c r="C1969" s="694"/>
      <c r="D1969" s="669"/>
      <c r="E1969" s="675">
        <v>60</v>
      </c>
      <c r="F1969" s="676" t="s">
        <v>1111</v>
      </c>
      <c r="G1969" s="670" t="e">
        <f>#REF!</f>
        <v>#REF!</v>
      </c>
      <c r="H1969" s="670" t="e">
        <f>INT(E1969*G1969)</f>
        <v>#REF!</v>
      </c>
      <c r="I1969" s="670">
        <v>0</v>
      </c>
      <c r="J1969" s="670">
        <f>INT(E1969*I1969)</f>
        <v>0</v>
      </c>
      <c r="K1969" s="670">
        <v>0</v>
      </c>
      <c r="L1969" s="670">
        <f>INT(E1969*K1969)</f>
        <v>0</v>
      </c>
      <c r="M1969" s="670" t="e">
        <f t="shared" si="382"/>
        <v>#REF!</v>
      </c>
      <c r="N1969" s="670" t="e">
        <f t="shared" si="382"/>
        <v>#REF!</v>
      </c>
      <c r="O1969" s="671"/>
      <c r="P1969" s="672"/>
      <c r="Q1969" s="688">
        <f t="shared" ref="Q1969:R1980" si="383">Q1968</f>
        <v>1800</v>
      </c>
      <c r="R1969" s="688">
        <f t="shared" si="383"/>
        <v>18</v>
      </c>
      <c r="S1969" s="688">
        <v>0</v>
      </c>
      <c r="T1969" s="690">
        <f>ROUND(S1969/R1969,4)</f>
        <v>0</v>
      </c>
    </row>
    <row r="1970" spans="1:22" s="688" customFormat="1" ht="17.100000000000001" customHeight="1">
      <c r="A1970" s="1316" t="s">
        <v>540</v>
      </c>
      <c r="B1970" s="1317"/>
      <c r="C1970" s="1316"/>
      <c r="D1970" s="1317"/>
      <c r="E1970" s="683">
        <f t="shared" ref="E1970:E1980" si="384">T1939</f>
        <v>0.15379999999999999</v>
      </c>
      <c r="F1970" s="676" t="s">
        <v>366</v>
      </c>
      <c r="G1970" s="670"/>
      <c r="H1970" s="670"/>
      <c r="I1970" s="670">
        <f>[53]노임단가!$T$22</f>
        <v>273308</v>
      </c>
      <c r="J1970" s="670">
        <f t="shared" ref="J1970:J1980" si="385">INT(E1970*I1970)</f>
        <v>42034</v>
      </c>
      <c r="K1970" s="670"/>
      <c r="L1970" s="670"/>
      <c r="M1970" s="670">
        <f t="shared" si="382"/>
        <v>273308</v>
      </c>
      <c r="N1970" s="670">
        <f t="shared" si="382"/>
        <v>42034</v>
      </c>
      <c r="O1970" s="671"/>
      <c r="P1970" s="672"/>
      <c r="T1970" s="690"/>
    </row>
    <row r="1971" spans="1:22" s="688" customFormat="1" ht="17.100000000000001" customHeight="1">
      <c r="A1971" s="1316" t="s">
        <v>248</v>
      </c>
      <c r="B1971" s="1317"/>
      <c r="C1971" s="1316" t="s">
        <v>2047</v>
      </c>
      <c r="D1971" s="1317"/>
      <c r="E1971" s="683">
        <f t="shared" si="384"/>
        <v>7.6899999999999996E-2</v>
      </c>
      <c r="F1971" s="676" t="s">
        <v>366</v>
      </c>
      <c r="G1971" s="670"/>
      <c r="H1971" s="670"/>
      <c r="I1971" s="670">
        <f>[53]노임단가!$T$5</f>
        <v>172068</v>
      </c>
      <c r="J1971" s="670">
        <f t="shared" si="385"/>
        <v>13232</v>
      </c>
      <c r="K1971" s="670"/>
      <c r="L1971" s="670"/>
      <c r="M1971" s="670">
        <f t="shared" si="382"/>
        <v>172068</v>
      </c>
      <c r="N1971" s="670">
        <f t="shared" si="382"/>
        <v>13232</v>
      </c>
      <c r="O1971" s="671"/>
      <c r="P1971" s="672"/>
      <c r="Q1971" s="688">
        <f>Q1969</f>
        <v>1800</v>
      </c>
      <c r="R1971" s="688">
        <f>R1969</f>
        <v>18</v>
      </c>
      <c r="S1971" s="688">
        <v>4</v>
      </c>
      <c r="T1971" s="690">
        <f>ROUND(S1971/R1971,4)</f>
        <v>0.22220000000000001</v>
      </c>
    </row>
    <row r="1972" spans="1:22" s="688" customFormat="1" ht="17.100000000000001" customHeight="1">
      <c r="A1972" s="1316" t="s">
        <v>490</v>
      </c>
      <c r="B1972" s="1317"/>
      <c r="C1972" s="1316" t="s">
        <v>491</v>
      </c>
      <c r="D1972" s="1317"/>
      <c r="E1972" s="683">
        <f t="shared" si="384"/>
        <v>0.61539999999999995</v>
      </c>
      <c r="F1972" s="676" t="s">
        <v>418</v>
      </c>
      <c r="G1972" s="670" t="e">
        <f>#REF!</f>
        <v>#REF!</v>
      </c>
      <c r="H1972" s="670" t="e">
        <f t="shared" ref="H1972:H1980" si="386">INT(E1972*G1972)</f>
        <v>#REF!</v>
      </c>
      <c r="I1972" s="670" t="e">
        <f>#REF!</f>
        <v>#REF!</v>
      </c>
      <c r="J1972" s="670" t="e">
        <f t="shared" si="385"/>
        <v>#REF!</v>
      </c>
      <c r="K1972" s="670" t="e">
        <f>#REF!</f>
        <v>#REF!</v>
      </c>
      <c r="L1972" s="670" t="e">
        <f t="shared" ref="L1972:L1980" si="387">INT(E1972*K1972)</f>
        <v>#REF!</v>
      </c>
      <c r="M1972" s="670" t="e">
        <f t="shared" si="382"/>
        <v>#REF!</v>
      </c>
      <c r="N1972" s="670" t="e">
        <f t="shared" si="382"/>
        <v>#REF!</v>
      </c>
      <c r="O1972" s="671"/>
      <c r="P1972" s="672"/>
      <c r="Q1972" s="688">
        <f t="shared" si="383"/>
        <v>1800</v>
      </c>
      <c r="R1972" s="688">
        <f t="shared" si="383"/>
        <v>18</v>
      </c>
      <c r="S1972" s="688">
        <v>2</v>
      </c>
      <c r="T1972" s="690">
        <f>ROUND(S1972/R1972,4)</f>
        <v>0.1111</v>
      </c>
    </row>
    <row r="1973" spans="1:22" s="688" customFormat="1" ht="17.100000000000001" customHeight="1">
      <c r="A1973" s="1316" t="s">
        <v>2048</v>
      </c>
      <c r="B1973" s="1317"/>
      <c r="C1973" s="1316" t="s">
        <v>1146</v>
      </c>
      <c r="D1973" s="1317"/>
      <c r="E1973" s="683">
        <f>T1942</f>
        <v>0.30769999999999997</v>
      </c>
      <c r="F1973" s="676" t="s">
        <v>418</v>
      </c>
      <c r="G1973" s="670" t="e">
        <f>#REF!+#REF!</f>
        <v>#REF!</v>
      </c>
      <c r="H1973" s="670" t="e">
        <f>INT(E1973*G1973)</f>
        <v>#REF!</v>
      </c>
      <c r="I1973" s="670" t="e">
        <f>#REF!+#REF!</f>
        <v>#REF!</v>
      </c>
      <c r="J1973" s="670" t="e">
        <f>INT(E1973*I1973)</f>
        <v>#REF!</v>
      </c>
      <c r="K1973" s="670" t="e">
        <f>#REF!+#REF!</f>
        <v>#REF!</v>
      </c>
      <c r="L1973" s="670" t="e">
        <f>INT(E1973*K1973)</f>
        <v>#REF!</v>
      </c>
      <c r="M1973" s="670" t="e">
        <f>G1973+I1973+K1973</f>
        <v>#REF!</v>
      </c>
      <c r="N1973" s="670" t="e">
        <f>H1973+J1973+L1973</f>
        <v>#REF!</v>
      </c>
      <c r="O1973" s="671"/>
      <c r="P1973" s="672"/>
      <c r="Q1973" s="688">
        <f t="shared" si="383"/>
        <v>1800</v>
      </c>
      <c r="R1973" s="688">
        <f t="shared" si="383"/>
        <v>18</v>
      </c>
      <c r="S1973" s="688">
        <v>16</v>
      </c>
      <c r="T1973" s="690">
        <f>ROUND(S1973/R1973,4)</f>
        <v>0.88890000000000002</v>
      </c>
    </row>
    <row r="1974" spans="1:22" s="688" customFormat="1" ht="17.100000000000001" customHeight="1">
      <c r="A1974" s="1367" t="s">
        <v>2027</v>
      </c>
      <c r="B1974" s="1327"/>
      <c r="C1974" s="1367" t="s">
        <v>2028</v>
      </c>
      <c r="D1974" s="1327"/>
      <c r="E1974" s="683">
        <f>T1943</f>
        <v>0.92310000000000003</v>
      </c>
      <c r="F1974" s="749" t="s">
        <v>557</v>
      </c>
      <c r="G1974" s="670" t="e">
        <f>#REF!</f>
        <v>#REF!</v>
      </c>
      <c r="H1974" s="750" t="e">
        <f>INT(E1974*G1974)</f>
        <v>#REF!</v>
      </c>
      <c r="I1974" s="670" t="e">
        <f>#REF!</f>
        <v>#REF!</v>
      </c>
      <c r="J1974" s="750" t="e">
        <f>INT(E1974*I1974)</f>
        <v>#REF!</v>
      </c>
      <c r="K1974" s="670" t="e">
        <f>#REF!</f>
        <v>#REF!</v>
      </c>
      <c r="L1974" s="750" t="e">
        <f>INT(E1974*K1974)</f>
        <v>#REF!</v>
      </c>
      <c r="M1974" s="750" t="e">
        <f>G1974+I1974+K1974</f>
        <v>#REF!</v>
      </c>
      <c r="N1974" s="750" t="e">
        <f>H1974+J1974+L1974</f>
        <v>#REF!</v>
      </c>
      <c r="O1974" s="751"/>
      <c r="P1974" s="672"/>
      <c r="Q1974" s="688">
        <f t="shared" si="383"/>
        <v>1800</v>
      </c>
      <c r="R1974" s="688">
        <f t="shared" si="383"/>
        <v>18</v>
      </c>
      <c r="S1974" s="688">
        <v>8</v>
      </c>
      <c r="T1974" s="690">
        <f>ROUND(S1974/R1974,4)</f>
        <v>0.44440000000000002</v>
      </c>
    </row>
    <row r="1975" spans="1:22" s="688" customFormat="1" ht="17.100000000000001" customHeight="1">
      <c r="A1975" s="1316" t="s">
        <v>1209</v>
      </c>
      <c r="B1975" s="1317"/>
      <c r="C1975" s="1316" t="s">
        <v>2011</v>
      </c>
      <c r="D1975" s="1317"/>
      <c r="E1975" s="683">
        <f t="shared" si="384"/>
        <v>0.30769999999999997</v>
      </c>
      <c r="F1975" s="676" t="s">
        <v>418</v>
      </c>
      <c r="G1975" s="670" t="e">
        <f>#REF!</f>
        <v>#REF!</v>
      </c>
      <c r="H1975" s="670" t="e">
        <f t="shared" si="386"/>
        <v>#REF!</v>
      </c>
      <c r="I1975" s="670" t="e">
        <f>#REF!</f>
        <v>#REF!</v>
      </c>
      <c r="J1975" s="670" t="e">
        <f t="shared" si="385"/>
        <v>#REF!</v>
      </c>
      <c r="K1975" s="670" t="e">
        <f>#REF!</f>
        <v>#REF!</v>
      </c>
      <c r="L1975" s="670" t="e">
        <f t="shared" si="387"/>
        <v>#REF!</v>
      </c>
      <c r="M1975" s="670" t="e">
        <f t="shared" ref="M1975:N1980" si="388">G1975+I1975+K1975</f>
        <v>#REF!</v>
      </c>
      <c r="N1975" s="670" t="e">
        <f t="shared" si="388"/>
        <v>#REF!</v>
      </c>
      <c r="O1975" s="671"/>
      <c r="P1975" s="672"/>
      <c r="Q1975" s="688">
        <f t="shared" si="383"/>
        <v>1800</v>
      </c>
      <c r="R1975" s="688">
        <f t="shared" si="383"/>
        <v>18</v>
      </c>
      <c r="S1975" s="688">
        <v>16</v>
      </c>
      <c r="T1975" s="690">
        <f t="shared" ref="T1975:T1981" si="389">ROUND(S1975/R1975,4)</f>
        <v>0.88890000000000002</v>
      </c>
    </row>
    <row r="1976" spans="1:22" s="688" customFormat="1" ht="17.100000000000001" customHeight="1">
      <c r="A1976" s="1316" t="s">
        <v>1172</v>
      </c>
      <c r="B1976" s="1317"/>
      <c r="C1976" s="1316" t="s">
        <v>1175</v>
      </c>
      <c r="D1976" s="1317"/>
      <c r="E1976" s="683">
        <f t="shared" si="384"/>
        <v>0.30769999999999997</v>
      </c>
      <c r="F1976" s="676" t="s">
        <v>418</v>
      </c>
      <c r="G1976" s="670" t="e">
        <f>$G$1828</f>
        <v>#REF!</v>
      </c>
      <c r="H1976" s="670" t="e">
        <f t="shared" si="386"/>
        <v>#REF!</v>
      </c>
      <c r="I1976" s="670" t="e">
        <f>$I$1828</f>
        <v>#REF!</v>
      </c>
      <c r="J1976" s="670" t="e">
        <f t="shared" si="385"/>
        <v>#REF!</v>
      </c>
      <c r="K1976" s="670" t="e">
        <f>$K$1828</f>
        <v>#REF!</v>
      </c>
      <c r="L1976" s="670" t="e">
        <f t="shared" si="387"/>
        <v>#REF!</v>
      </c>
      <c r="M1976" s="670" t="e">
        <f t="shared" si="388"/>
        <v>#REF!</v>
      </c>
      <c r="N1976" s="670" t="e">
        <f t="shared" si="388"/>
        <v>#REF!</v>
      </c>
      <c r="O1976" s="671"/>
      <c r="P1976" s="672"/>
      <c r="Q1976" s="688">
        <f t="shared" si="383"/>
        <v>1800</v>
      </c>
      <c r="R1976" s="688">
        <f t="shared" si="383"/>
        <v>18</v>
      </c>
      <c r="S1976" s="688">
        <v>8</v>
      </c>
      <c r="T1976" s="690">
        <f t="shared" si="389"/>
        <v>0.44440000000000002</v>
      </c>
    </row>
    <row r="1977" spans="1:22" s="688" customFormat="1" ht="17.100000000000001" customHeight="1">
      <c r="A1977" s="1316" t="s">
        <v>1188</v>
      </c>
      <c r="B1977" s="1317"/>
      <c r="C1977" s="1316" t="s">
        <v>1190</v>
      </c>
      <c r="D1977" s="1317"/>
      <c r="E1977" s="683">
        <f t="shared" si="384"/>
        <v>0.30769999999999997</v>
      </c>
      <c r="F1977" s="676" t="s">
        <v>418</v>
      </c>
      <c r="G1977" s="670" t="e">
        <f>#REF!</f>
        <v>#REF!</v>
      </c>
      <c r="H1977" s="670" t="e">
        <f t="shared" si="386"/>
        <v>#REF!</v>
      </c>
      <c r="I1977" s="670" t="e">
        <f>#REF!</f>
        <v>#REF!</v>
      </c>
      <c r="J1977" s="670" t="e">
        <f t="shared" si="385"/>
        <v>#REF!</v>
      </c>
      <c r="K1977" s="670" t="e">
        <f>#REF!</f>
        <v>#REF!</v>
      </c>
      <c r="L1977" s="670" t="e">
        <f t="shared" si="387"/>
        <v>#REF!</v>
      </c>
      <c r="M1977" s="670" t="e">
        <f t="shared" si="388"/>
        <v>#REF!</v>
      </c>
      <c r="N1977" s="670" t="e">
        <f t="shared" si="388"/>
        <v>#REF!</v>
      </c>
      <c r="O1977" s="671"/>
      <c r="P1977" s="672"/>
      <c r="Q1977" s="688">
        <f t="shared" si="383"/>
        <v>1800</v>
      </c>
      <c r="R1977" s="688">
        <f t="shared" si="383"/>
        <v>18</v>
      </c>
      <c r="S1977" s="688">
        <v>8</v>
      </c>
      <c r="T1977" s="690">
        <f t="shared" si="389"/>
        <v>0.44440000000000002</v>
      </c>
    </row>
    <row r="1978" spans="1:22" s="688" customFormat="1" ht="17.100000000000001" customHeight="1">
      <c r="A1978" s="1316" t="s">
        <v>1177</v>
      </c>
      <c r="B1978" s="1317"/>
      <c r="C1978" s="1316" t="s">
        <v>1178</v>
      </c>
      <c r="D1978" s="1317"/>
      <c r="E1978" s="683">
        <f t="shared" si="384"/>
        <v>0.30769999999999997</v>
      </c>
      <c r="F1978" s="676" t="s">
        <v>418</v>
      </c>
      <c r="G1978" s="670" t="e">
        <f>#REF!</f>
        <v>#REF!</v>
      </c>
      <c r="H1978" s="670" t="e">
        <f t="shared" si="386"/>
        <v>#REF!</v>
      </c>
      <c r="I1978" s="670" t="e">
        <f>#REF!</f>
        <v>#REF!</v>
      </c>
      <c r="J1978" s="670" t="e">
        <f t="shared" si="385"/>
        <v>#REF!</v>
      </c>
      <c r="K1978" s="670" t="e">
        <f>#REF!</f>
        <v>#REF!</v>
      </c>
      <c r="L1978" s="670" t="e">
        <f t="shared" si="387"/>
        <v>#REF!</v>
      </c>
      <c r="M1978" s="670" t="e">
        <f t="shared" si="388"/>
        <v>#REF!</v>
      </c>
      <c r="N1978" s="670" t="e">
        <f t="shared" si="388"/>
        <v>#REF!</v>
      </c>
      <c r="O1978" s="671"/>
      <c r="P1978" s="672"/>
      <c r="Q1978" s="688">
        <f t="shared" si="383"/>
        <v>1800</v>
      </c>
      <c r="R1978" s="688">
        <f t="shared" si="383"/>
        <v>18</v>
      </c>
      <c r="S1978" s="688">
        <v>8</v>
      </c>
      <c r="T1978" s="690">
        <f t="shared" si="389"/>
        <v>0.44440000000000002</v>
      </c>
    </row>
    <row r="1979" spans="1:22" s="688" customFormat="1" ht="17.100000000000001" customHeight="1">
      <c r="A1979" s="1316" t="s">
        <v>1997</v>
      </c>
      <c r="B1979" s="1317"/>
      <c r="C1979" s="1316" t="s">
        <v>1998</v>
      </c>
      <c r="D1979" s="1317"/>
      <c r="E1979" s="683">
        <f t="shared" si="384"/>
        <v>0.30769999999999997</v>
      </c>
      <c r="F1979" s="676" t="s">
        <v>418</v>
      </c>
      <c r="G1979" s="670" t="e">
        <f>#REF!</f>
        <v>#REF!</v>
      </c>
      <c r="H1979" s="670" t="e">
        <f t="shared" si="386"/>
        <v>#REF!</v>
      </c>
      <c r="I1979" s="670" t="e">
        <f>#REF!</f>
        <v>#REF!</v>
      </c>
      <c r="J1979" s="670" t="e">
        <f t="shared" si="385"/>
        <v>#REF!</v>
      </c>
      <c r="K1979" s="670" t="e">
        <f>#REF!</f>
        <v>#REF!</v>
      </c>
      <c r="L1979" s="670" t="e">
        <f t="shared" si="387"/>
        <v>#REF!</v>
      </c>
      <c r="M1979" s="670" t="e">
        <f t="shared" si="388"/>
        <v>#REF!</v>
      </c>
      <c r="N1979" s="670" t="e">
        <f t="shared" si="388"/>
        <v>#REF!</v>
      </c>
      <c r="O1979" s="671"/>
      <c r="P1979" s="672"/>
      <c r="Q1979" s="688">
        <f t="shared" si="383"/>
        <v>1800</v>
      </c>
      <c r="R1979" s="688">
        <f t="shared" si="383"/>
        <v>18</v>
      </c>
      <c r="S1979" s="688">
        <v>8</v>
      </c>
      <c r="T1979" s="690">
        <f t="shared" si="389"/>
        <v>0.44440000000000002</v>
      </c>
    </row>
    <row r="1980" spans="1:22" s="688" customFormat="1" ht="17.100000000000001" customHeight="1">
      <c r="A1980" s="1316" t="s">
        <v>630</v>
      </c>
      <c r="B1980" s="1317"/>
      <c r="C1980" s="1316" t="s">
        <v>1395</v>
      </c>
      <c r="D1980" s="1317"/>
      <c r="E1980" s="683">
        <f t="shared" si="384"/>
        <v>0.30769999999999997</v>
      </c>
      <c r="F1980" s="676" t="s">
        <v>418</v>
      </c>
      <c r="G1980" s="670" t="e">
        <f>#REF!</f>
        <v>#REF!</v>
      </c>
      <c r="H1980" s="670" t="e">
        <f t="shared" si="386"/>
        <v>#REF!</v>
      </c>
      <c r="I1980" s="670" t="e">
        <f>#REF!</f>
        <v>#REF!</v>
      </c>
      <c r="J1980" s="670" t="e">
        <f t="shared" si="385"/>
        <v>#REF!</v>
      </c>
      <c r="K1980" s="670" t="e">
        <f>#REF!</f>
        <v>#REF!</v>
      </c>
      <c r="L1980" s="670" t="e">
        <f t="shared" si="387"/>
        <v>#REF!</v>
      </c>
      <c r="M1980" s="670" t="e">
        <f t="shared" si="388"/>
        <v>#REF!</v>
      </c>
      <c r="N1980" s="670" t="e">
        <f t="shared" si="388"/>
        <v>#REF!</v>
      </c>
      <c r="O1980" s="671"/>
      <c r="P1980" s="672"/>
      <c r="Q1980" s="688">
        <f t="shared" si="383"/>
        <v>1800</v>
      </c>
      <c r="R1980" s="688">
        <f t="shared" si="383"/>
        <v>18</v>
      </c>
      <c r="S1980" s="688">
        <v>8</v>
      </c>
      <c r="T1980" s="690">
        <f t="shared" si="389"/>
        <v>0.44440000000000002</v>
      </c>
    </row>
    <row r="1981" spans="1:22" s="688" customFormat="1" ht="17.100000000000001" customHeight="1">
      <c r="A1981" s="1318" t="s">
        <v>1320</v>
      </c>
      <c r="B1981" s="1319"/>
      <c r="C1981" s="1316"/>
      <c r="D1981" s="1317"/>
      <c r="E1981" s="686"/>
      <c r="F1981" s="676"/>
      <c r="G1981" s="670"/>
      <c r="H1981" s="670" t="e">
        <f>SUM(H1967:H1980)</f>
        <v>#REF!</v>
      </c>
      <c r="I1981" s="670"/>
      <c r="J1981" s="670" t="e">
        <f>SUM(J1967:J1980)</f>
        <v>#REF!</v>
      </c>
      <c r="K1981" s="670"/>
      <c r="L1981" s="670" t="e">
        <f>SUM(L1967:L1980)</f>
        <v>#REF!</v>
      </c>
      <c r="M1981" s="670"/>
      <c r="N1981" s="670" t="e">
        <f>SUM(N1967:N1980)</f>
        <v>#REF!</v>
      </c>
      <c r="O1981" s="671"/>
      <c r="P1981" s="672"/>
      <c r="Q1981" s="688">
        <f>Q1979</f>
        <v>1800</v>
      </c>
      <c r="R1981" s="688">
        <f>R1979</f>
        <v>18</v>
      </c>
      <c r="S1981" s="688">
        <v>8</v>
      </c>
      <c r="T1981" s="690">
        <f t="shared" si="389"/>
        <v>0.44440000000000002</v>
      </c>
    </row>
    <row r="1982" spans="1:22" s="665" customFormat="1" ht="17.100000000000001" customHeight="1">
      <c r="A1982" s="668">
        <f>A1966+1</f>
        <v>321</v>
      </c>
      <c r="B1982" s="1320" t="s">
        <v>2044</v>
      </c>
      <c r="C1982" s="1320"/>
      <c r="D1982" s="1320" t="s">
        <v>2051</v>
      </c>
      <c r="E1982" s="1320"/>
      <c r="F1982" s="669" t="s">
        <v>1458</v>
      </c>
      <c r="G1982" s="698"/>
      <c r="H1982" s="698"/>
      <c r="I1982" s="698"/>
      <c r="J1982" s="698"/>
      <c r="K1982" s="670"/>
      <c r="L1982" s="670"/>
      <c r="M1982" s="670"/>
      <c r="N1982" s="698"/>
      <c r="O1982" s="800" t="s">
        <v>1562</v>
      </c>
      <c r="P1982" s="672"/>
      <c r="Q1982" s="688"/>
      <c r="R1982" s="688"/>
      <c r="S1982" s="688"/>
      <c r="T1982" s="690"/>
    </row>
    <row r="1983" spans="1:22" s="665" customFormat="1" ht="17.100000000000001" customHeight="1">
      <c r="A1983" s="1316" t="s">
        <v>1676</v>
      </c>
      <c r="B1983" s="1317"/>
      <c r="C1983" s="1316" t="s">
        <v>1827</v>
      </c>
      <c r="D1983" s="1317"/>
      <c r="E1983" s="686"/>
      <c r="F1983" s="676" t="s">
        <v>915</v>
      </c>
      <c r="G1983" s="670"/>
      <c r="H1983" s="670"/>
      <c r="I1983" s="670"/>
      <c r="J1983" s="670"/>
      <c r="K1983" s="670"/>
      <c r="L1983" s="670"/>
      <c r="M1983" s="670"/>
      <c r="N1983" s="670"/>
      <c r="O1983" s="671"/>
      <c r="P1983" s="794" t="s">
        <v>2046</v>
      </c>
      <c r="Q1983" s="806" t="s">
        <v>1446</v>
      </c>
      <c r="R1983" s="688" t="s">
        <v>1447</v>
      </c>
      <c r="S1983" s="688" t="s">
        <v>1425</v>
      </c>
      <c r="T1983" s="688" t="s">
        <v>1426</v>
      </c>
    </row>
    <row r="1984" spans="1:22" s="665" customFormat="1" ht="17.100000000000001" customHeight="1">
      <c r="A1984" s="1316" t="s">
        <v>1065</v>
      </c>
      <c r="B1984" s="1317"/>
      <c r="C1984" s="1316"/>
      <c r="D1984" s="1317"/>
      <c r="E1984" s="675">
        <v>3.45</v>
      </c>
      <c r="F1984" s="676" t="s">
        <v>30</v>
      </c>
      <c r="G1984" s="670" t="e">
        <f>#REF!</f>
        <v>#REF!</v>
      </c>
      <c r="H1984" s="670" t="e">
        <f>INT(E1984*G1984)</f>
        <v>#REF!</v>
      </c>
      <c r="I1984" s="670"/>
      <c r="J1984" s="670"/>
      <c r="K1984" s="670"/>
      <c r="L1984" s="670"/>
      <c r="M1984" s="670" t="e">
        <f t="shared" ref="M1984:N1996" si="390">G1984+I1984+K1984</f>
        <v>#REF!</v>
      </c>
      <c r="N1984" s="670" t="e">
        <f t="shared" si="390"/>
        <v>#REF!</v>
      </c>
      <c r="O1984" s="671"/>
      <c r="P1984" s="672"/>
      <c r="Q1984" s="688">
        <v>1800</v>
      </c>
      <c r="R1984" s="688">
        <f>(Q1984)/100</f>
        <v>18</v>
      </c>
      <c r="S1984" s="688">
        <v>0</v>
      </c>
      <c r="T1984" s="690"/>
      <c r="U1984" s="688"/>
      <c r="V1984" s="688"/>
    </row>
    <row r="1985" spans="1:20" s="688" customFormat="1" ht="17.100000000000001" customHeight="1">
      <c r="A1985" s="694" t="s">
        <v>1992</v>
      </c>
      <c r="B1985" s="669"/>
      <c r="C1985" s="694"/>
      <c r="D1985" s="669"/>
      <c r="E1985" s="675">
        <v>30</v>
      </c>
      <c r="F1985" s="676" t="s">
        <v>1111</v>
      </c>
      <c r="G1985" s="670" t="e">
        <f>#REF!</f>
        <v>#REF!</v>
      </c>
      <c r="H1985" s="670" t="e">
        <f>INT(E1985*G1985)</f>
        <v>#REF!</v>
      </c>
      <c r="I1985" s="670">
        <v>0</v>
      </c>
      <c r="J1985" s="670">
        <f>INT(E1985*I1985)</f>
        <v>0</v>
      </c>
      <c r="K1985" s="670">
        <v>0</v>
      </c>
      <c r="L1985" s="670">
        <f>INT(E1985*K1985)</f>
        <v>0</v>
      </c>
      <c r="M1985" s="670" t="e">
        <f t="shared" si="390"/>
        <v>#REF!</v>
      </c>
      <c r="N1985" s="670" t="e">
        <f t="shared" si="390"/>
        <v>#REF!</v>
      </c>
      <c r="O1985" s="671"/>
      <c r="P1985" s="672"/>
      <c r="Q1985" s="688">
        <f t="shared" ref="Q1985:R1996" si="391">Q1984</f>
        <v>1800</v>
      </c>
      <c r="R1985" s="688">
        <f t="shared" si="391"/>
        <v>18</v>
      </c>
      <c r="S1985" s="688">
        <v>0</v>
      </c>
      <c r="T1985" s="690">
        <f t="shared" ref="T1985:T1997" si="392">ROUND(S1985/R1985,4)</f>
        <v>0</v>
      </c>
    </row>
    <row r="1986" spans="1:20" s="688" customFormat="1" ht="17.100000000000001" customHeight="1">
      <c r="A1986" s="1316" t="s">
        <v>540</v>
      </c>
      <c r="B1986" s="1317"/>
      <c r="C1986" s="1316"/>
      <c r="D1986" s="1317"/>
      <c r="E1986" s="683">
        <v>0.1176</v>
      </c>
      <c r="F1986" s="676" t="s">
        <v>366</v>
      </c>
      <c r="G1986" s="670"/>
      <c r="H1986" s="670"/>
      <c r="I1986" s="670">
        <f>[53]노임단가!$T$22</f>
        <v>273308</v>
      </c>
      <c r="J1986" s="670">
        <f t="shared" ref="J1986:J1994" si="393">INT(E1986*I1986)</f>
        <v>32141</v>
      </c>
      <c r="K1986" s="670"/>
      <c r="L1986" s="670"/>
      <c r="M1986" s="670">
        <f t="shared" si="390"/>
        <v>273308</v>
      </c>
      <c r="N1986" s="670">
        <f t="shared" si="390"/>
        <v>32141</v>
      </c>
      <c r="O1986" s="671"/>
      <c r="P1986" s="672"/>
      <c r="T1986" s="690"/>
    </row>
    <row r="1987" spans="1:20" s="688" customFormat="1" ht="17.100000000000001" customHeight="1">
      <c r="A1987" s="1316" t="s">
        <v>248</v>
      </c>
      <c r="B1987" s="1317"/>
      <c r="C1987" s="1316" t="s">
        <v>2047</v>
      </c>
      <c r="D1987" s="1317"/>
      <c r="E1987" s="683">
        <v>5.8799999999999998E-2</v>
      </c>
      <c r="F1987" s="676" t="s">
        <v>366</v>
      </c>
      <c r="G1987" s="670"/>
      <c r="H1987" s="670"/>
      <c r="I1987" s="670">
        <f>[53]노임단가!$T$5</f>
        <v>172068</v>
      </c>
      <c r="J1987" s="670">
        <f t="shared" si="393"/>
        <v>10117</v>
      </c>
      <c r="K1987" s="670"/>
      <c r="L1987" s="670"/>
      <c r="M1987" s="670">
        <f t="shared" si="390"/>
        <v>172068</v>
      </c>
      <c r="N1987" s="670">
        <f t="shared" si="390"/>
        <v>10117</v>
      </c>
      <c r="O1987" s="671"/>
      <c r="P1987" s="672"/>
      <c r="Q1987" s="688">
        <f>Q1985</f>
        <v>1800</v>
      </c>
      <c r="R1987" s="688">
        <f>R1985</f>
        <v>18</v>
      </c>
      <c r="S1987" s="688">
        <v>4</v>
      </c>
      <c r="T1987" s="690">
        <f t="shared" si="392"/>
        <v>0.22220000000000001</v>
      </c>
    </row>
    <row r="1988" spans="1:20" s="688" customFormat="1" ht="17.100000000000001" customHeight="1">
      <c r="A1988" s="1316" t="s">
        <v>490</v>
      </c>
      <c r="B1988" s="1317"/>
      <c r="C1988" s="1316" t="s">
        <v>491</v>
      </c>
      <c r="D1988" s="1317"/>
      <c r="E1988" s="683">
        <v>0.47060000000000002</v>
      </c>
      <c r="F1988" s="676" t="s">
        <v>418</v>
      </c>
      <c r="G1988" s="670" t="e">
        <f>#REF!</f>
        <v>#REF!</v>
      </c>
      <c r="H1988" s="670" t="e">
        <f t="shared" ref="H1988:H1994" si="394">INT(E1988*G1988)</f>
        <v>#REF!</v>
      </c>
      <c r="I1988" s="670" t="e">
        <f>#REF!</f>
        <v>#REF!</v>
      </c>
      <c r="J1988" s="670" t="e">
        <f t="shared" si="393"/>
        <v>#REF!</v>
      </c>
      <c r="K1988" s="670" t="e">
        <f>#REF!</f>
        <v>#REF!</v>
      </c>
      <c r="L1988" s="670" t="e">
        <f t="shared" ref="L1988:L1994" si="395">INT(E1988*K1988)</f>
        <v>#REF!</v>
      </c>
      <c r="M1988" s="670" t="e">
        <f t="shared" si="390"/>
        <v>#REF!</v>
      </c>
      <c r="N1988" s="670" t="e">
        <f t="shared" si="390"/>
        <v>#REF!</v>
      </c>
      <c r="O1988" s="671"/>
      <c r="P1988" s="672"/>
      <c r="Q1988" s="688">
        <f t="shared" si="391"/>
        <v>1800</v>
      </c>
      <c r="R1988" s="688">
        <f t="shared" si="391"/>
        <v>18</v>
      </c>
      <c r="S1988" s="688">
        <v>2</v>
      </c>
      <c r="T1988" s="690">
        <f t="shared" si="392"/>
        <v>0.1111</v>
      </c>
    </row>
    <row r="1989" spans="1:20" s="688" customFormat="1" ht="17.100000000000001" customHeight="1">
      <c r="A1989" s="1316" t="s">
        <v>2048</v>
      </c>
      <c r="B1989" s="1317"/>
      <c r="C1989" s="1316" t="s">
        <v>1146</v>
      </c>
      <c r="D1989" s="1317"/>
      <c r="E1989" s="683">
        <v>0.23530000000000001</v>
      </c>
      <c r="F1989" s="690" t="s">
        <v>418</v>
      </c>
      <c r="G1989" s="670" t="e">
        <f>#REF!+#REF!</f>
        <v>#REF!</v>
      </c>
      <c r="H1989" s="670" t="e">
        <f t="shared" si="394"/>
        <v>#REF!</v>
      </c>
      <c r="I1989" s="670" t="e">
        <f>#REF!+#REF!</f>
        <v>#REF!</v>
      </c>
      <c r="J1989" s="670" t="e">
        <f t="shared" si="393"/>
        <v>#REF!</v>
      </c>
      <c r="K1989" s="670" t="e">
        <f>#REF!+#REF!</f>
        <v>#REF!</v>
      </c>
      <c r="L1989" s="670" t="e">
        <f t="shared" si="395"/>
        <v>#REF!</v>
      </c>
      <c r="M1989" s="670" t="e">
        <f t="shared" si="390"/>
        <v>#REF!</v>
      </c>
      <c r="N1989" s="670" t="e">
        <f t="shared" si="390"/>
        <v>#REF!</v>
      </c>
      <c r="O1989" s="671"/>
      <c r="P1989" s="672"/>
      <c r="Q1989" s="688">
        <f t="shared" si="391"/>
        <v>1800</v>
      </c>
      <c r="R1989" s="688">
        <f t="shared" si="391"/>
        <v>18</v>
      </c>
      <c r="S1989" s="688">
        <v>8</v>
      </c>
      <c r="T1989" s="690">
        <f t="shared" si="392"/>
        <v>0.44440000000000002</v>
      </c>
    </row>
    <row r="1990" spans="1:20" s="688" customFormat="1" ht="17.100000000000001" customHeight="1">
      <c r="A1990" s="1367" t="s">
        <v>2027</v>
      </c>
      <c r="B1990" s="1327"/>
      <c r="C1990" s="1367" t="s">
        <v>2028</v>
      </c>
      <c r="D1990" s="1327"/>
      <c r="E1990" s="675">
        <v>0.47060000000000002</v>
      </c>
      <c r="F1990" s="749" t="s">
        <v>557</v>
      </c>
      <c r="G1990" s="670" t="e">
        <f>#REF!</f>
        <v>#REF!</v>
      </c>
      <c r="H1990" s="750" t="e">
        <f>INT(E1990*G1990)</f>
        <v>#REF!</v>
      </c>
      <c r="I1990" s="670" t="e">
        <f>#REF!</f>
        <v>#REF!</v>
      </c>
      <c r="J1990" s="750" t="e">
        <f t="shared" si="393"/>
        <v>#REF!</v>
      </c>
      <c r="K1990" s="670" t="e">
        <f>#REF!</f>
        <v>#REF!</v>
      </c>
      <c r="L1990" s="750" t="e">
        <f>INT(E1990*K1990)</f>
        <v>#REF!</v>
      </c>
      <c r="M1990" s="750" t="e">
        <f t="shared" si="390"/>
        <v>#REF!</v>
      </c>
      <c r="N1990" s="750" t="e">
        <f t="shared" si="390"/>
        <v>#REF!</v>
      </c>
      <c r="O1990" s="671"/>
      <c r="P1990" s="672"/>
      <c r="Q1990" s="688">
        <f t="shared" si="391"/>
        <v>1800</v>
      </c>
      <c r="R1990" s="688">
        <f t="shared" si="391"/>
        <v>18</v>
      </c>
      <c r="S1990" s="688">
        <v>8</v>
      </c>
      <c r="T1990" s="690">
        <f t="shared" si="392"/>
        <v>0.44440000000000002</v>
      </c>
    </row>
    <row r="1991" spans="1:20" s="688" customFormat="1" ht="17.100000000000001" customHeight="1">
      <c r="A1991" s="1316" t="s">
        <v>1209</v>
      </c>
      <c r="B1991" s="1317"/>
      <c r="C1991" s="1316" t="s">
        <v>2011</v>
      </c>
      <c r="D1991" s="1317"/>
      <c r="E1991" s="683">
        <v>0.23530000000000001</v>
      </c>
      <c r="F1991" s="676" t="s">
        <v>418</v>
      </c>
      <c r="G1991" s="670" t="e">
        <f>#REF!</f>
        <v>#REF!</v>
      </c>
      <c r="H1991" s="670" t="e">
        <f t="shared" si="394"/>
        <v>#REF!</v>
      </c>
      <c r="I1991" s="670" t="e">
        <f>#REF!</f>
        <v>#REF!</v>
      </c>
      <c r="J1991" s="670" t="e">
        <f t="shared" si="393"/>
        <v>#REF!</v>
      </c>
      <c r="K1991" s="670" t="e">
        <f>#REF!</f>
        <v>#REF!</v>
      </c>
      <c r="L1991" s="670" t="e">
        <f t="shared" si="395"/>
        <v>#REF!</v>
      </c>
      <c r="M1991" s="670" t="e">
        <f t="shared" si="390"/>
        <v>#REF!</v>
      </c>
      <c r="N1991" s="670" t="e">
        <f t="shared" si="390"/>
        <v>#REF!</v>
      </c>
      <c r="O1991" s="671"/>
      <c r="P1991" s="672"/>
      <c r="Q1991" s="688">
        <f t="shared" si="391"/>
        <v>1800</v>
      </c>
      <c r="R1991" s="688">
        <f t="shared" si="391"/>
        <v>18</v>
      </c>
      <c r="S1991" s="688">
        <v>8</v>
      </c>
      <c r="T1991" s="690">
        <f t="shared" si="392"/>
        <v>0.44440000000000002</v>
      </c>
    </row>
    <row r="1992" spans="1:20" s="688" customFormat="1" ht="17.100000000000001" customHeight="1">
      <c r="A1992" s="1316" t="s">
        <v>1172</v>
      </c>
      <c r="B1992" s="1317"/>
      <c r="C1992" s="1316" t="s">
        <v>1175</v>
      </c>
      <c r="D1992" s="1317"/>
      <c r="E1992" s="683">
        <v>0.23530000000000001</v>
      </c>
      <c r="F1992" s="676" t="s">
        <v>418</v>
      </c>
      <c r="G1992" s="670" t="e">
        <f>$G$1828</f>
        <v>#REF!</v>
      </c>
      <c r="H1992" s="670" t="e">
        <f t="shared" si="394"/>
        <v>#REF!</v>
      </c>
      <c r="I1992" s="670" t="e">
        <f>$I$1828</f>
        <v>#REF!</v>
      </c>
      <c r="J1992" s="670" t="e">
        <f t="shared" si="393"/>
        <v>#REF!</v>
      </c>
      <c r="K1992" s="670" t="e">
        <f>$K$1828</f>
        <v>#REF!</v>
      </c>
      <c r="L1992" s="670" t="e">
        <f t="shared" si="395"/>
        <v>#REF!</v>
      </c>
      <c r="M1992" s="670" t="e">
        <f t="shared" si="390"/>
        <v>#REF!</v>
      </c>
      <c r="N1992" s="670" t="e">
        <f t="shared" si="390"/>
        <v>#REF!</v>
      </c>
      <c r="O1992" s="671"/>
      <c r="P1992" s="672"/>
      <c r="Q1992" s="688">
        <f t="shared" si="391"/>
        <v>1800</v>
      </c>
      <c r="R1992" s="688">
        <f t="shared" si="391"/>
        <v>18</v>
      </c>
      <c r="S1992" s="688">
        <v>8</v>
      </c>
      <c r="T1992" s="690">
        <f t="shared" si="392"/>
        <v>0.44440000000000002</v>
      </c>
    </row>
    <row r="1993" spans="1:20" s="688" customFormat="1" ht="17.100000000000001" customHeight="1">
      <c r="A1993" s="1316" t="s">
        <v>1188</v>
      </c>
      <c r="B1993" s="1317"/>
      <c r="C1993" s="1316" t="s">
        <v>1190</v>
      </c>
      <c r="D1993" s="1317"/>
      <c r="E1993" s="683">
        <v>0.23530000000000001</v>
      </c>
      <c r="F1993" s="676" t="s">
        <v>418</v>
      </c>
      <c r="G1993" s="670" t="e">
        <f>#REF!</f>
        <v>#REF!</v>
      </c>
      <c r="H1993" s="670" t="e">
        <f t="shared" si="394"/>
        <v>#REF!</v>
      </c>
      <c r="I1993" s="670" t="e">
        <f>#REF!</f>
        <v>#REF!</v>
      </c>
      <c r="J1993" s="670" t="e">
        <f t="shared" si="393"/>
        <v>#REF!</v>
      </c>
      <c r="K1993" s="670" t="e">
        <f>#REF!</f>
        <v>#REF!</v>
      </c>
      <c r="L1993" s="670" t="e">
        <f t="shared" si="395"/>
        <v>#REF!</v>
      </c>
      <c r="M1993" s="670" t="e">
        <f t="shared" si="390"/>
        <v>#REF!</v>
      </c>
      <c r="N1993" s="670" t="e">
        <f t="shared" si="390"/>
        <v>#REF!</v>
      </c>
      <c r="O1993" s="671"/>
      <c r="P1993" s="672"/>
      <c r="Q1993" s="688">
        <f t="shared" si="391"/>
        <v>1800</v>
      </c>
      <c r="R1993" s="688">
        <f t="shared" si="391"/>
        <v>18</v>
      </c>
      <c r="S1993" s="688">
        <v>8</v>
      </c>
      <c r="T1993" s="690">
        <f t="shared" si="392"/>
        <v>0.44440000000000002</v>
      </c>
    </row>
    <row r="1994" spans="1:20" s="688" customFormat="1" ht="17.100000000000001" customHeight="1">
      <c r="A1994" s="1316" t="s">
        <v>1177</v>
      </c>
      <c r="B1994" s="1317"/>
      <c r="C1994" s="1316" t="s">
        <v>1178</v>
      </c>
      <c r="D1994" s="1317"/>
      <c r="E1994" s="683">
        <v>0.23530000000000001</v>
      </c>
      <c r="F1994" s="676" t="s">
        <v>418</v>
      </c>
      <c r="G1994" s="670" t="e">
        <f>#REF!</f>
        <v>#REF!</v>
      </c>
      <c r="H1994" s="670" t="e">
        <f t="shared" si="394"/>
        <v>#REF!</v>
      </c>
      <c r="I1994" s="670" t="e">
        <f>#REF!</f>
        <v>#REF!</v>
      </c>
      <c r="J1994" s="670" t="e">
        <f t="shared" si="393"/>
        <v>#REF!</v>
      </c>
      <c r="K1994" s="670" t="e">
        <f>#REF!</f>
        <v>#REF!</v>
      </c>
      <c r="L1994" s="670" t="e">
        <f t="shared" si="395"/>
        <v>#REF!</v>
      </c>
      <c r="M1994" s="670" t="e">
        <f t="shared" si="390"/>
        <v>#REF!</v>
      </c>
      <c r="N1994" s="670" t="e">
        <f t="shared" si="390"/>
        <v>#REF!</v>
      </c>
      <c r="O1994" s="671"/>
      <c r="P1994" s="672"/>
      <c r="Q1994" s="688">
        <f t="shared" si="391"/>
        <v>1800</v>
      </c>
      <c r="R1994" s="688">
        <f t="shared" si="391"/>
        <v>18</v>
      </c>
      <c r="S1994" s="688">
        <v>8</v>
      </c>
      <c r="T1994" s="690">
        <f t="shared" si="392"/>
        <v>0.44440000000000002</v>
      </c>
    </row>
    <row r="1995" spans="1:20" s="688" customFormat="1" ht="17.100000000000001" customHeight="1">
      <c r="A1995" s="1316" t="s">
        <v>1997</v>
      </c>
      <c r="B1995" s="1317"/>
      <c r="C1995" s="1316" t="s">
        <v>1998</v>
      </c>
      <c r="D1995" s="1317"/>
      <c r="E1995" s="686">
        <v>0.23530000000000001</v>
      </c>
      <c r="F1995" s="676" t="s">
        <v>418</v>
      </c>
      <c r="G1995" s="670" t="e">
        <f>#REF!</f>
        <v>#REF!</v>
      </c>
      <c r="H1995" s="670" t="e">
        <f>INT(E1995*G1995)</f>
        <v>#REF!</v>
      </c>
      <c r="I1995" s="670" t="e">
        <f>#REF!</f>
        <v>#REF!</v>
      </c>
      <c r="J1995" s="670" t="e">
        <f>INT(E1995*I1995)</f>
        <v>#REF!</v>
      </c>
      <c r="K1995" s="670" t="e">
        <f>#REF!</f>
        <v>#REF!</v>
      </c>
      <c r="L1995" s="670" t="e">
        <f>INT(E1995*K1995)</f>
        <v>#REF!</v>
      </c>
      <c r="M1995" s="670" t="e">
        <f t="shared" si="390"/>
        <v>#REF!</v>
      </c>
      <c r="N1995" s="670" t="e">
        <f t="shared" si="390"/>
        <v>#REF!</v>
      </c>
      <c r="O1995" s="671"/>
      <c r="P1995" s="672"/>
      <c r="Q1995" s="688">
        <f t="shared" si="391"/>
        <v>1800</v>
      </c>
      <c r="R1995" s="688">
        <f t="shared" si="391"/>
        <v>18</v>
      </c>
      <c r="S1995" s="688">
        <v>8</v>
      </c>
      <c r="T1995" s="690">
        <f t="shared" si="392"/>
        <v>0.44440000000000002</v>
      </c>
    </row>
    <row r="1996" spans="1:20" s="688" customFormat="1" ht="17.100000000000001" customHeight="1">
      <c r="A1996" s="1316" t="s">
        <v>630</v>
      </c>
      <c r="B1996" s="1317"/>
      <c r="C1996" s="1316" t="s">
        <v>1395</v>
      </c>
      <c r="D1996" s="1317"/>
      <c r="E1996" s="683">
        <v>0.23530000000000001</v>
      </c>
      <c r="F1996" s="676" t="s">
        <v>418</v>
      </c>
      <c r="G1996" s="670" t="e">
        <f>#REF!</f>
        <v>#REF!</v>
      </c>
      <c r="H1996" s="670" t="e">
        <f>INT(E1996*G1996)</f>
        <v>#REF!</v>
      </c>
      <c r="I1996" s="670" t="e">
        <f>#REF!</f>
        <v>#REF!</v>
      </c>
      <c r="J1996" s="670" t="e">
        <f>INT(E1996*I1996)</f>
        <v>#REF!</v>
      </c>
      <c r="K1996" s="670" t="e">
        <f>#REF!</f>
        <v>#REF!</v>
      </c>
      <c r="L1996" s="670" t="e">
        <f>INT(E1996*K1996)</f>
        <v>#REF!</v>
      </c>
      <c r="M1996" s="670" t="e">
        <f t="shared" si="390"/>
        <v>#REF!</v>
      </c>
      <c r="N1996" s="670" t="e">
        <f t="shared" si="390"/>
        <v>#REF!</v>
      </c>
      <c r="O1996" s="671"/>
      <c r="P1996" s="672"/>
      <c r="Q1996" s="688">
        <f t="shared" si="391"/>
        <v>1800</v>
      </c>
      <c r="R1996" s="688">
        <f t="shared" si="391"/>
        <v>18</v>
      </c>
      <c r="S1996" s="688">
        <v>8</v>
      </c>
      <c r="T1996" s="690">
        <f t="shared" si="392"/>
        <v>0.44440000000000002</v>
      </c>
    </row>
    <row r="1997" spans="1:20" s="688" customFormat="1" ht="17.100000000000001" customHeight="1">
      <c r="A1997" s="1318" t="s">
        <v>1320</v>
      </c>
      <c r="B1997" s="1319"/>
      <c r="C1997" s="1316"/>
      <c r="D1997" s="1317"/>
      <c r="E1997" s="686"/>
      <c r="F1997" s="676"/>
      <c r="G1997" s="670"/>
      <c r="H1997" s="670" t="e">
        <f>SUM(H1983:H1996)</f>
        <v>#REF!</v>
      </c>
      <c r="I1997" s="670"/>
      <c r="J1997" s="670" t="e">
        <f>SUM(J1983:J1996)</f>
        <v>#REF!</v>
      </c>
      <c r="K1997" s="670"/>
      <c r="L1997" s="670" t="e">
        <f>SUM(L1983:L1996)</f>
        <v>#REF!</v>
      </c>
      <c r="M1997" s="670"/>
      <c r="N1997" s="670" t="e">
        <f>SUM(N1983:N1996)</f>
        <v>#REF!</v>
      </c>
      <c r="O1997" s="671"/>
      <c r="P1997" s="672"/>
      <c r="Q1997" s="688">
        <f>Q1995</f>
        <v>1800</v>
      </c>
      <c r="R1997" s="688">
        <f>R1995</f>
        <v>18</v>
      </c>
      <c r="S1997" s="688">
        <v>8</v>
      </c>
      <c r="T1997" s="690">
        <f t="shared" si="392"/>
        <v>0.44440000000000002</v>
      </c>
    </row>
    <row r="1998" spans="1:20" s="665" customFormat="1" ht="17.100000000000001" customHeight="1">
      <c r="A1998" s="668">
        <f>A1982+1</f>
        <v>322</v>
      </c>
      <c r="B1998" s="1320" t="s">
        <v>2049</v>
      </c>
      <c r="C1998" s="1320"/>
      <c r="D1998" s="1320" t="s">
        <v>2052</v>
      </c>
      <c r="E1998" s="1320"/>
      <c r="F1998" s="669" t="s">
        <v>1458</v>
      </c>
      <c r="G1998" s="698"/>
      <c r="H1998" s="698"/>
      <c r="I1998" s="698"/>
      <c r="J1998" s="698"/>
      <c r="K1998" s="670"/>
      <c r="L1998" s="670"/>
      <c r="M1998" s="670"/>
      <c r="N1998" s="698"/>
      <c r="O1998" s="800" t="s">
        <v>1562</v>
      </c>
      <c r="P1998" s="672"/>
      <c r="Q1998" s="688"/>
      <c r="R1998" s="688"/>
      <c r="S1998" s="688"/>
      <c r="T1998" s="690"/>
    </row>
    <row r="1999" spans="1:20" s="688" customFormat="1" ht="17.100000000000001" customHeight="1">
      <c r="A1999" s="1316" t="s">
        <v>1676</v>
      </c>
      <c r="B1999" s="1317"/>
      <c r="C1999" s="1316" t="s">
        <v>1827</v>
      </c>
      <c r="D1999" s="1317"/>
      <c r="E1999" s="686"/>
      <c r="F1999" s="676" t="s">
        <v>915</v>
      </c>
      <c r="G1999" s="670"/>
      <c r="H1999" s="670"/>
      <c r="I1999" s="670"/>
      <c r="J1999" s="670"/>
      <c r="K1999" s="670"/>
      <c r="L1999" s="670"/>
      <c r="M1999" s="670"/>
      <c r="N1999" s="670"/>
      <c r="O1999" s="671"/>
      <c r="P1999" s="794" t="s">
        <v>2053</v>
      </c>
      <c r="Q1999" s="806" t="s">
        <v>1446</v>
      </c>
      <c r="R1999" s="688" t="s">
        <v>1876</v>
      </c>
      <c r="S1999" s="688" t="s">
        <v>1425</v>
      </c>
      <c r="T1999" s="688" t="s">
        <v>1426</v>
      </c>
    </row>
    <row r="2000" spans="1:20" s="688" customFormat="1" ht="17.100000000000001" customHeight="1">
      <c r="A2000" s="1316" t="s">
        <v>1065</v>
      </c>
      <c r="B2000" s="1317"/>
      <c r="C2000" s="1316"/>
      <c r="D2000" s="1317"/>
      <c r="E2000" s="675">
        <v>6.9</v>
      </c>
      <c r="F2000" s="676" t="s">
        <v>30</v>
      </c>
      <c r="G2000" s="670" t="e">
        <f>#REF!</f>
        <v>#REF!</v>
      </c>
      <c r="H2000" s="670" t="e">
        <f>INT(E2000*G2000)</f>
        <v>#REF!</v>
      </c>
      <c r="I2000" s="670"/>
      <c r="J2000" s="670"/>
      <c r="K2000" s="670"/>
      <c r="L2000" s="670"/>
      <c r="M2000" s="670" t="e">
        <f t="shared" ref="M2000:N2012" si="396">G2000+I2000+K2000</f>
        <v>#REF!</v>
      </c>
      <c r="N2000" s="670" t="e">
        <f t="shared" si="396"/>
        <v>#REF!</v>
      </c>
      <c r="O2000" s="671"/>
      <c r="P2000" s="672" t="s">
        <v>2054</v>
      </c>
      <c r="Q2000" s="688">
        <v>2000</v>
      </c>
      <c r="R2000" s="688">
        <f>(Q2000)/100</f>
        <v>20</v>
      </c>
      <c r="S2000" s="688">
        <v>0</v>
      </c>
      <c r="T2000" s="690"/>
    </row>
    <row r="2001" spans="1:20" s="688" customFormat="1" ht="17.100000000000001" customHeight="1">
      <c r="A2001" s="694" t="s">
        <v>1992</v>
      </c>
      <c r="B2001" s="669"/>
      <c r="C2001" s="694"/>
      <c r="D2001" s="669"/>
      <c r="E2001" s="675">
        <v>60</v>
      </c>
      <c r="F2001" s="676" t="s">
        <v>1111</v>
      </c>
      <c r="G2001" s="670" t="e">
        <f>#REF!</f>
        <v>#REF!</v>
      </c>
      <c r="H2001" s="670" t="e">
        <f>INT(E2001*G2001)</f>
        <v>#REF!</v>
      </c>
      <c r="I2001" s="670">
        <v>0</v>
      </c>
      <c r="J2001" s="670">
        <f>INT(E2001*I2001)</f>
        <v>0</v>
      </c>
      <c r="K2001" s="670">
        <v>0</v>
      </c>
      <c r="L2001" s="670">
        <f>INT(E2001*K2001)</f>
        <v>0</v>
      </c>
      <c r="M2001" s="670" t="e">
        <f t="shared" si="396"/>
        <v>#REF!</v>
      </c>
      <c r="N2001" s="670" t="e">
        <f t="shared" si="396"/>
        <v>#REF!</v>
      </c>
      <c r="O2001" s="671"/>
      <c r="P2001" s="672" t="s">
        <v>2054</v>
      </c>
      <c r="Q2001" s="688">
        <f>Q2000</f>
        <v>2000</v>
      </c>
      <c r="R2001" s="688">
        <f>R2000</f>
        <v>20</v>
      </c>
      <c r="S2001" s="688">
        <v>4</v>
      </c>
      <c r="T2001" s="690">
        <f t="shared" ref="T2001:T2016" si="397">ROUND(S2001/R2001,4)</f>
        <v>0.2</v>
      </c>
    </row>
    <row r="2002" spans="1:20" s="688" customFormat="1" ht="17.100000000000001" customHeight="1">
      <c r="A2002" s="1316" t="s">
        <v>540</v>
      </c>
      <c r="B2002" s="1317"/>
      <c r="C2002" s="1316"/>
      <c r="D2002" s="1317"/>
      <c r="E2002" s="683">
        <f t="shared" ref="E2002:E2012" si="398">T1971</f>
        <v>0.22220000000000001</v>
      </c>
      <c r="F2002" s="676" t="s">
        <v>366</v>
      </c>
      <c r="G2002" s="670"/>
      <c r="H2002" s="670"/>
      <c r="I2002" s="670">
        <f>[53]노임단가!$T$22</f>
        <v>273308</v>
      </c>
      <c r="J2002" s="670">
        <f t="shared" ref="J2002:J2010" si="399">INT(E2002*I2002)</f>
        <v>60729</v>
      </c>
      <c r="K2002" s="670"/>
      <c r="L2002" s="670"/>
      <c r="M2002" s="670">
        <f t="shared" si="396"/>
        <v>273308</v>
      </c>
      <c r="N2002" s="670">
        <f t="shared" si="396"/>
        <v>60729</v>
      </c>
      <c r="O2002" s="671"/>
      <c r="P2002" s="672" t="s">
        <v>2054</v>
      </c>
      <c r="Q2002" s="688">
        <f>Q2001</f>
        <v>2000</v>
      </c>
      <c r="R2002" s="688">
        <f>R2001</f>
        <v>20</v>
      </c>
      <c r="S2002" s="688">
        <v>1</v>
      </c>
      <c r="T2002" s="690">
        <f t="shared" si="397"/>
        <v>0.05</v>
      </c>
    </row>
    <row r="2003" spans="1:20" s="688" customFormat="1" ht="17.100000000000001" customHeight="1">
      <c r="A2003" s="1316" t="s">
        <v>248</v>
      </c>
      <c r="B2003" s="1317"/>
      <c r="C2003" s="1316" t="s">
        <v>2047</v>
      </c>
      <c r="D2003" s="1317"/>
      <c r="E2003" s="683">
        <f t="shared" si="398"/>
        <v>0.1111</v>
      </c>
      <c r="F2003" s="676" t="s">
        <v>366</v>
      </c>
      <c r="G2003" s="670"/>
      <c r="H2003" s="670"/>
      <c r="I2003" s="670">
        <f>[53]노임단가!$T$5</f>
        <v>172068</v>
      </c>
      <c r="J2003" s="670">
        <f t="shared" si="399"/>
        <v>19116</v>
      </c>
      <c r="K2003" s="670"/>
      <c r="L2003" s="670"/>
      <c r="M2003" s="670">
        <f t="shared" si="396"/>
        <v>172068</v>
      </c>
      <c r="N2003" s="670">
        <f t="shared" si="396"/>
        <v>19116</v>
      </c>
      <c r="O2003" s="671"/>
      <c r="P2003" s="672" t="s">
        <v>1459</v>
      </c>
      <c r="Q2003" s="688">
        <v>2900</v>
      </c>
      <c r="R2003" s="688">
        <v>29</v>
      </c>
      <c r="S2003" s="688">
        <v>2</v>
      </c>
      <c r="T2003" s="690">
        <f t="shared" si="397"/>
        <v>6.9000000000000006E-2</v>
      </c>
    </row>
    <row r="2004" spans="1:20" s="688" customFormat="1" ht="17.100000000000001" customHeight="1">
      <c r="A2004" s="1316" t="s">
        <v>490</v>
      </c>
      <c r="B2004" s="1317"/>
      <c r="C2004" s="1316" t="s">
        <v>491</v>
      </c>
      <c r="D2004" s="1317"/>
      <c r="E2004" s="683">
        <f t="shared" si="398"/>
        <v>0.88890000000000002</v>
      </c>
      <c r="F2004" s="676" t="s">
        <v>418</v>
      </c>
      <c r="G2004" s="670" t="e">
        <f>#REF!</f>
        <v>#REF!</v>
      </c>
      <c r="H2004" s="670" t="e">
        <f t="shared" ref="H2004:H2012" si="400">INT(E2004*G2004)</f>
        <v>#REF!</v>
      </c>
      <c r="I2004" s="670" t="e">
        <f>#REF!</f>
        <v>#REF!</v>
      </c>
      <c r="J2004" s="670" t="e">
        <f t="shared" si="399"/>
        <v>#REF!</v>
      </c>
      <c r="K2004" s="670" t="e">
        <f>#REF!</f>
        <v>#REF!</v>
      </c>
      <c r="L2004" s="670" t="e">
        <f t="shared" ref="L2004:L2012" si="401">INT(E2004*K2004)</f>
        <v>#REF!</v>
      </c>
      <c r="M2004" s="670" t="e">
        <f t="shared" si="396"/>
        <v>#REF!</v>
      </c>
      <c r="N2004" s="670" t="e">
        <f t="shared" si="396"/>
        <v>#REF!</v>
      </c>
      <c r="O2004" s="671"/>
      <c r="P2004" s="672" t="s">
        <v>1459</v>
      </c>
      <c r="Q2004" s="688">
        <v>2900</v>
      </c>
      <c r="R2004" s="688">
        <v>29</v>
      </c>
      <c r="S2004" s="688">
        <v>1</v>
      </c>
      <c r="T2004" s="690">
        <f t="shared" si="397"/>
        <v>3.4500000000000003E-2</v>
      </c>
    </row>
    <row r="2005" spans="1:20" s="688" customFormat="1" ht="17.100000000000001" customHeight="1">
      <c r="A2005" s="1316" t="s">
        <v>2048</v>
      </c>
      <c r="B2005" s="1317"/>
      <c r="C2005" s="1316" t="s">
        <v>1146</v>
      </c>
      <c r="D2005" s="1317"/>
      <c r="E2005" s="683">
        <f t="shared" si="398"/>
        <v>0.44440000000000002</v>
      </c>
      <c r="F2005" s="690" t="s">
        <v>418</v>
      </c>
      <c r="G2005" s="670" t="e">
        <f>#REF!+#REF!</f>
        <v>#REF!</v>
      </c>
      <c r="H2005" s="670" t="e">
        <f t="shared" si="400"/>
        <v>#REF!</v>
      </c>
      <c r="I2005" s="670" t="e">
        <f>#REF!+#REF!</f>
        <v>#REF!</v>
      </c>
      <c r="J2005" s="670" t="e">
        <f t="shared" si="399"/>
        <v>#REF!</v>
      </c>
      <c r="K2005" s="670" t="e">
        <f>#REF!+#REF!</f>
        <v>#REF!</v>
      </c>
      <c r="L2005" s="670" t="e">
        <f t="shared" si="401"/>
        <v>#REF!</v>
      </c>
      <c r="M2005" s="670" t="e">
        <f t="shared" si="396"/>
        <v>#REF!</v>
      </c>
      <c r="N2005" s="670" t="e">
        <f t="shared" si="396"/>
        <v>#REF!</v>
      </c>
      <c r="O2005" s="671"/>
      <c r="P2005" s="672" t="s">
        <v>1459</v>
      </c>
      <c r="Q2005" s="688">
        <v>2900</v>
      </c>
      <c r="R2005" s="688">
        <v>29</v>
      </c>
      <c r="S2005" s="688">
        <v>8</v>
      </c>
      <c r="T2005" s="690">
        <f t="shared" si="397"/>
        <v>0.27589999999999998</v>
      </c>
    </row>
    <row r="2006" spans="1:20" s="688" customFormat="1" ht="17.100000000000001" customHeight="1">
      <c r="A2006" s="1367" t="s">
        <v>2027</v>
      </c>
      <c r="B2006" s="1327"/>
      <c r="C2006" s="1367" t="s">
        <v>2028</v>
      </c>
      <c r="D2006" s="1327"/>
      <c r="E2006" s="683">
        <f t="shared" si="398"/>
        <v>0.88890000000000002</v>
      </c>
      <c r="F2006" s="749" t="s">
        <v>557</v>
      </c>
      <c r="G2006" s="670" t="e">
        <f>#REF!</f>
        <v>#REF!</v>
      </c>
      <c r="H2006" s="750" t="e">
        <f t="shared" si="400"/>
        <v>#REF!</v>
      </c>
      <c r="I2006" s="670" t="e">
        <f>#REF!</f>
        <v>#REF!</v>
      </c>
      <c r="J2006" s="750" t="e">
        <f t="shared" si="399"/>
        <v>#REF!</v>
      </c>
      <c r="K2006" s="670" t="e">
        <f>#REF!</f>
        <v>#REF!</v>
      </c>
      <c r="L2006" s="750" t="e">
        <f t="shared" si="401"/>
        <v>#REF!</v>
      </c>
      <c r="M2006" s="750" t="e">
        <f t="shared" si="396"/>
        <v>#REF!</v>
      </c>
      <c r="N2006" s="750" t="e">
        <f t="shared" si="396"/>
        <v>#REF!</v>
      </c>
      <c r="O2006" s="671"/>
      <c r="P2006" s="672" t="s">
        <v>1459</v>
      </c>
      <c r="Q2006" s="688">
        <v>2900</v>
      </c>
      <c r="R2006" s="688">
        <v>29</v>
      </c>
      <c r="S2006" s="688">
        <v>8</v>
      </c>
      <c r="T2006" s="690">
        <f t="shared" si="397"/>
        <v>0.27589999999999998</v>
      </c>
    </row>
    <row r="2007" spans="1:20" s="688" customFormat="1" ht="17.100000000000001" customHeight="1">
      <c r="A2007" s="1316" t="s">
        <v>1209</v>
      </c>
      <c r="B2007" s="1317"/>
      <c r="C2007" s="1316" t="s">
        <v>2011</v>
      </c>
      <c r="D2007" s="1317"/>
      <c r="E2007" s="683">
        <f t="shared" si="398"/>
        <v>0.44440000000000002</v>
      </c>
      <c r="F2007" s="676" t="s">
        <v>418</v>
      </c>
      <c r="G2007" s="670" t="e">
        <f>#REF!</f>
        <v>#REF!</v>
      </c>
      <c r="H2007" s="670" t="e">
        <f t="shared" si="400"/>
        <v>#REF!</v>
      </c>
      <c r="I2007" s="670" t="e">
        <f>#REF!</f>
        <v>#REF!</v>
      </c>
      <c r="J2007" s="670" t="e">
        <f t="shared" si="399"/>
        <v>#REF!</v>
      </c>
      <c r="K2007" s="670" t="e">
        <f>#REF!</f>
        <v>#REF!</v>
      </c>
      <c r="L2007" s="670" t="e">
        <f t="shared" si="401"/>
        <v>#REF!</v>
      </c>
      <c r="M2007" s="670" t="e">
        <f t="shared" si="396"/>
        <v>#REF!</v>
      </c>
      <c r="N2007" s="670" t="e">
        <f t="shared" si="396"/>
        <v>#REF!</v>
      </c>
      <c r="O2007" s="671"/>
      <c r="P2007" s="672" t="s">
        <v>2054</v>
      </c>
      <c r="Q2007" s="688">
        <f>Q2002</f>
        <v>2000</v>
      </c>
      <c r="R2007" s="688">
        <f>R2002</f>
        <v>20</v>
      </c>
      <c r="S2007" s="688">
        <v>8</v>
      </c>
      <c r="T2007" s="690">
        <f t="shared" si="397"/>
        <v>0.4</v>
      </c>
    </row>
    <row r="2008" spans="1:20" s="688" customFormat="1" ht="17.100000000000001" customHeight="1">
      <c r="A2008" s="1316" t="s">
        <v>1172</v>
      </c>
      <c r="B2008" s="1317"/>
      <c r="C2008" s="1316" t="s">
        <v>1175</v>
      </c>
      <c r="D2008" s="1317"/>
      <c r="E2008" s="683">
        <f t="shared" si="398"/>
        <v>0.44440000000000002</v>
      </c>
      <c r="F2008" s="676" t="s">
        <v>418</v>
      </c>
      <c r="G2008" s="670" t="e">
        <f>$G$1828</f>
        <v>#REF!</v>
      </c>
      <c r="H2008" s="670" t="e">
        <f t="shared" si="400"/>
        <v>#REF!</v>
      </c>
      <c r="I2008" s="670" t="e">
        <f>$I$1828</f>
        <v>#REF!</v>
      </c>
      <c r="J2008" s="670" t="e">
        <f t="shared" si="399"/>
        <v>#REF!</v>
      </c>
      <c r="K2008" s="670" t="e">
        <f>$K$1828</f>
        <v>#REF!</v>
      </c>
      <c r="L2008" s="670" t="e">
        <f t="shared" si="401"/>
        <v>#REF!</v>
      </c>
      <c r="M2008" s="670" t="e">
        <f t="shared" si="396"/>
        <v>#REF!</v>
      </c>
      <c r="N2008" s="670" t="e">
        <f t="shared" si="396"/>
        <v>#REF!</v>
      </c>
      <c r="O2008" s="671"/>
      <c r="P2008" s="672" t="s">
        <v>2054</v>
      </c>
      <c r="Q2008" s="688">
        <f t="shared" ref="Q2008:R2011" si="402">Q2007</f>
        <v>2000</v>
      </c>
      <c r="R2008" s="688">
        <f t="shared" si="402"/>
        <v>20</v>
      </c>
      <c r="S2008" s="688">
        <v>8</v>
      </c>
      <c r="T2008" s="690">
        <f t="shared" si="397"/>
        <v>0.4</v>
      </c>
    </row>
    <row r="2009" spans="1:20" s="688" customFormat="1" ht="16.5" customHeight="1">
      <c r="A2009" s="1316" t="s">
        <v>1188</v>
      </c>
      <c r="B2009" s="1317"/>
      <c r="C2009" s="1316" t="s">
        <v>1190</v>
      </c>
      <c r="D2009" s="1317"/>
      <c r="E2009" s="683">
        <f t="shared" si="398"/>
        <v>0.44440000000000002</v>
      </c>
      <c r="F2009" s="676" t="s">
        <v>418</v>
      </c>
      <c r="G2009" s="670" t="e">
        <f>#REF!</f>
        <v>#REF!</v>
      </c>
      <c r="H2009" s="670" t="e">
        <f t="shared" si="400"/>
        <v>#REF!</v>
      </c>
      <c r="I2009" s="670" t="e">
        <f>#REF!</f>
        <v>#REF!</v>
      </c>
      <c r="J2009" s="670" t="e">
        <f t="shared" si="399"/>
        <v>#REF!</v>
      </c>
      <c r="K2009" s="670" t="e">
        <f>#REF!</f>
        <v>#REF!</v>
      </c>
      <c r="L2009" s="670" t="e">
        <f t="shared" si="401"/>
        <v>#REF!</v>
      </c>
      <c r="M2009" s="670" t="e">
        <f t="shared" si="396"/>
        <v>#REF!</v>
      </c>
      <c r="N2009" s="670" t="e">
        <f t="shared" si="396"/>
        <v>#REF!</v>
      </c>
      <c r="O2009" s="671"/>
      <c r="P2009" s="672" t="s">
        <v>2054</v>
      </c>
      <c r="Q2009" s="688">
        <f t="shared" si="402"/>
        <v>2000</v>
      </c>
      <c r="R2009" s="688">
        <f t="shared" si="402"/>
        <v>20</v>
      </c>
      <c r="S2009" s="688">
        <v>8</v>
      </c>
      <c r="T2009" s="690">
        <f t="shared" si="397"/>
        <v>0.4</v>
      </c>
    </row>
    <row r="2010" spans="1:20" s="688" customFormat="1" ht="16.5" customHeight="1">
      <c r="A2010" s="1316" t="s">
        <v>1177</v>
      </c>
      <c r="B2010" s="1317"/>
      <c r="C2010" s="1316" t="s">
        <v>1178</v>
      </c>
      <c r="D2010" s="1317"/>
      <c r="E2010" s="683">
        <f t="shared" si="398"/>
        <v>0.44440000000000002</v>
      </c>
      <c r="F2010" s="676" t="s">
        <v>418</v>
      </c>
      <c r="G2010" s="670" t="e">
        <f>#REF!</f>
        <v>#REF!</v>
      </c>
      <c r="H2010" s="670" t="e">
        <f t="shared" si="400"/>
        <v>#REF!</v>
      </c>
      <c r="I2010" s="670" t="e">
        <f>#REF!</f>
        <v>#REF!</v>
      </c>
      <c r="J2010" s="670" t="e">
        <f t="shared" si="399"/>
        <v>#REF!</v>
      </c>
      <c r="K2010" s="670" t="e">
        <f>#REF!</f>
        <v>#REF!</v>
      </c>
      <c r="L2010" s="670" t="e">
        <f t="shared" si="401"/>
        <v>#REF!</v>
      </c>
      <c r="M2010" s="670" t="e">
        <f t="shared" si="396"/>
        <v>#REF!</v>
      </c>
      <c r="N2010" s="670" t="e">
        <f t="shared" si="396"/>
        <v>#REF!</v>
      </c>
      <c r="O2010" s="671"/>
      <c r="P2010" s="672" t="s">
        <v>2054</v>
      </c>
      <c r="Q2010" s="688">
        <f t="shared" si="402"/>
        <v>2000</v>
      </c>
      <c r="R2010" s="688">
        <f t="shared" si="402"/>
        <v>20</v>
      </c>
      <c r="S2010" s="688">
        <v>8</v>
      </c>
      <c r="T2010" s="690">
        <f t="shared" si="397"/>
        <v>0.4</v>
      </c>
    </row>
    <row r="2011" spans="1:20" s="688" customFormat="1" ht="16.5" customHeight="1">
      <c r="A2011" s="1316" t="s">
        <v>1997</v>
      </c>
      <c r="B2011" s="1317"/>
      <c r="C2011" s="1316" t="s">
        <v>1998</v>
      </c>
      <c r="D2011" s="1317"/>
      <c r="E2011" s="686">
        <f t="shared" si="398"/>
        <v>0.44440000000000002</v>
      </c>
      <c r="F2011" s="676" t="s">
        <v>418</v>
      </c>
      <c r="G2011" s="670" t="e">
        <f>#REF!</f>
        <v>#REF!</v>
      </c>
      <c r="H2011" s="670" t="e">
        <f t="shared" si="400"/>
        <v>#REF!</v>
      </c>
      <c r="I2011" s="670" t="e">
        <f>#REF!</f>
        <v>#REF!</v>
      </c>
      <c r="J2011" s="670" t="e">
        <f>INT(E2011*I2011)</f>
        <v>#REF!</v>
      </c>
      <c r="K2011" s="670" t="e">
        <f>#REF!</f>
        <v>#REF!</v>
      </c>
      <c r="L2011" s="670" t="e">
        <f t="shared" si="401"/>
        <v>#REF!</v>
      </c>
      <c r="M2011" s="670" t="e">
        <f t="shared" si="396"/>
        <v>#REF!</v>
      </c>
      <c r="N2011" s="670" t="e">
        <f t="shared" si="396"/>
        <v>#REF!</v>
      </c>
      <c r="O2011" s="671"/>
      <c r="P2011" s="672" t="s">
        <v>2054</v>
      </c>
      <c r="Q2011" s="688">
        <f t="shared" si="402"/>
        <v>2000</v>
      </c>
      <c r="R2011" s="688">
        <f t="shared" si="402"/>
        <v>20</v>
      </c>
      <c r="S2011" s="688">
        <v>8</v>
      </c>
      <c r="T2011" s="690">
        <f t="shared" si="397"/>
        <v>0.4</v>
      </c>
    </row>
    <row r="2012" spans="1:20" s="688" customFormat="1" ht="16.5" customHeight="1">
      <c r="A2012" s="1316" t="s">
        <v>630</v>
      </c>
      <c r="B2012" s="1317"/>
      <c r="C2012" s="1316" t="s">
        <v>1395</v>
      </c>
      <c r="D2012" s="1317"/>
      <c r="E2012" s="683">
        <f t="shared" si="398"/>
        <v>0.44440000000000002</v>
      </c>
      <c r="F2012" s="676" t="s">
        <v>418</v>
      </c>
      <c r="G2012" s="670" t="e">
        <f>#REF!</f>
        <v>#REF!</v>
      </c>
      <c r="H2012" s="670" t="e">
        <f t="shared" si="400"/>
        <v>#REF!</v>
      </c>
      <c r="I2012" s="670" t="e">
        <f>#REF!</f>
        <v>#REF!</v>
      </c>
      <c r="J2012" s="670" t="e">
        <f>INT(E2012*I2012)</f>
        <v>#REF!</v>
      </c>
      <c r="K2012" s="670" t="e">
        <f>#REF!</f>
        <v>#REF!</v>
      </c>
      <c r="L2012" s="670" t="e">
        <f t="shared" si="401"/>
        <v>#REF!</v>
      </c>
      <c r="M2012" s="670" t="e">
        <f t="shared" si="396"/>
        <v>#REF!</v>
      </c>
      <c r="N2012" s="670" t="e">
        <f t="shared" si="396"/>
        <v>#REF!</v>
      </c>
      <c r="O2012" s="671"/>
      <c r="P2012" s="672" t="s">
        <v>1459</v>
      </c>
      <c r="Q2012" s="688">
        <v>2900</v>
      </c>
      <c r="R2012" s="688">
        <v>29</v>
      </c>
      <c r="S2012" s="688">
        <v>16</v>
      </c>
      <c r="T2012" s="690">
        <f t="shared" si="397"/>
        <v>0.55169999999999997</v>
      </c>
    </row>
    <row r="2013" spans="1:20" s="688" customFormat="1" ht="17.100000000000001" customHeight="1">
      <c r="A2013" s="1318" t="s">
        <v>1320</v>
      </c>
      <c r="B2013" s="1319"/>
      <c r="C2013" s="1316"/>
      <c r="D2013" s="1317"/>
      <c r="E2013" s="686"/>
      <c r="F2013" s="676"/>
      <c r="G2013" s="670"/>
      <c r="H2013" s="670" t="e">
        <f>SUM(H1999:H2012)</f>
        <v>#REF!</v>
      </c>
      <c r="I2013" s="670"/>
      <c r="J2013" s="670" t="e">
        <f>SUM(J1999:J2012)</f>
        <v>#REF!</v>
      </c>
      <c r="K2013" s="670"/>
      <c r="L2013" s="670" t="e">
        <f>SUM(L1999:L2012)</f>
        <v>#REF!</v>
      </c>
      <c r="M2013" s="670"/>
      <c r="N2013" s="670" t="e">
        <f>SUM(N1999:N2012)</f>
        <v>#REF!</v>
      </c>
      <c r="O2013" s="671"/>
      <c r="P2013" s="672" t="s">
        <v>2054</v>
      </c>
      <c r="Q2013" s="688">
        <f>Q2011</f>
        <v>2000</v>
      </c>
      <c r="R2013" s="688">
        <f>R2011</f>
        <v>20</v>
      </c>
      <c r="S2013" s="688">
        <v>8</v>
      </c>
      <c r="T2013" s="690">
        <f t="shared" si="397"/>
        <v>0.4</v>
      </c>
    </row>
    <row r="2014" spans="1:20" s="688" customFormat="1" ht="17.100000000000001" customHeight="1">
      <c r="A2014" s="668">
        <f>A1998+1</f>
        <v>323</v>
      </c>
      <c r="B2014" s="1320" t="s">
        <v>2044</v>
      </c>
      <c r="C2014" s="1320"/>
      <c r="D2014" s="1320" t="s">
        <v>2055</v>
      </c>
      <c r="E2014" s="1320"/>
      <c r="F2014" s="669" t="s">
        <v>1458</v>
      </c>
      <c r="G2014" s="698"/>
      <c r="H2014" s="698"/>
      <c r="I2014" s="698"/>
      <c r="J2014" s="698"/>
      <c r="K2014" s="670"/>
      <c r="L2014" s="670"/>
      <c r="M2014" s="670"/>
      <c r="N2014" s="698"/>
      <c r="O2014" s="800" t="s">
        <v>1562</v>
      </c>
      <c r="P2014" s="672" t="s">
        <v>2054</v>
      </c>
      <c r="Q2014" s="688">
        <f>Q2009</f>
        <v>2000</v>
      </c>
      <c r="R2014" s="688">
        <f>R2009</f>
        <v>20</v>
      </c>
      <c r="S2014" s="688">
        <v>8</v>
      </c>
      <c r="T2014" s="690">
        <f t="shared" si="397"/>
        <v>0.4</v>
      </c>
    </row>
    <row r="2015" spans="1:20" s="688" customFormat="1" ht="17.100000000000001" customHeight="1">
      <c r="A2015" s="1316" t="s">
        <v>1676</v>
      </c>
      <c r="B2015" s="1317"/>
      <c r="C2015" s="1316" t="s">
        <v>1827</v>
      </c>
      <c r="D2015" s="1317"/>
      <c r="E2015" s="686"/>
      <c r="F2015" s="676" t="s">
        <v>915</v>
      </c>
      <c r="G2015" s="670"/>
      <c r="H2015" s="670"/>
      <c r="I2015" s="670"/>
      <c r="J2015" s="670"/>
      <c r="K2015" s="670"/>
      <c r="L2015" s="670"/>
      <c r="M2015" s="670"/>
      <c r="N2015" s="670"/>
      <c r="O2015" s="671"/>
      <c r="P2015" s="672" t="s">
        <v>1459</v>
      </c>
      <c r="Q2015" s="688">
        <v>2900</v>
      </c>
      <c r="R2015" s="688">
        <v>29</v>
      </c>
      <c r="S2015" s="688">
        <v>8</v>
      </c>
      <c r="T2015" s="690">
        <f t="shared" si="397"/>
        <v>0.27589999999999998</v>
      </c>
    </row>
    <row r="2016" spans="1:20" s="688" customFormat="1" ht="17.100000000000001" customHeight="1">
      <c r="A2016" s="1316" t="s">
        <v>1065</v>
      </c>
      <c r="B2016" s="1317"/>
      <c r="C2016" s="1316"/>
      <c r="D2016" s="1317"/>
      <c r="E2016" s="675">
        <v>3.45</v>
      </c>
      <c r="F2016" s="676" t="s">
        <v>30</v>
      </c>
      <c r="G2016" s="670" t="e">
        <f>#REF!</f>
        <v>#REF!</v>
      </c>
      <c r="H2016" s="670" t="e">
        <f>INT(E2016*G2016)</f>
        <v>#REF!</v>
      </c>
      <c r="I2016" s="670"/>
      <c r="J2016" s="670"/>
      <c r="K2016" s="670"/>
      <c r="L2016" s="670"/>
      <c r="M2016" s="670" t="e">
        <f t="shared" ref="M2016:N2028" si="403">G2016+I2016+K2016</f>
        <v>#REF!</v>
      </c>
      <c r="N2016" s="670" t="e">
        <f t="shared" si="403"/>
        <v>#REF!</v>
      </c>
      <c r="O2016" s="671"/>
      <c r="P2016" s="672" t="s">
        <v>2054</v>
      </c>
      <c r="Q2016" s="688">
        <f>Q2010</f>
        <v>2000</v>
      </c>
      <c r="R2016" s="688">
        <f>R2010</f>
        <v>20</v>
      </c>
      <c r="S2016" s="688">
        <v>8</v>
      </c>
      <c r="T2016" s="690">
        <f t="shared" si="397"/>
        <v>0.4</v>
      </c>
    </row>
    <row r="2017" spans="1:20" s="665" customFormat="1" ht="17.100000000000001" customHeight="1">
      <c r="A2017" s="694" t="s">
        <v>1992</v>
      </c>
      <c r="B2017" s="669"/>
      <c r="C2017" s="694"/>
      <c r="D2017" s="669"/>
      <c r="E2017" s="675">
        <v>60</v>
      </c>
      <c r="F2017" s="676" t="s">
        <v>1111</v>
      </c>
      <c r="G2017" s="670" t="e">
        <f>#REF!</f>
        <v>#REF!</v>
      </c>
      <c r="H2017" s="670" t="e">
        <f>INT(E2017*G2017)</f>
        <v>#REF!</v>
      </c>
      <c r="I2017" s="670">
        <v>0</v>
      </c>
      <c r="J2017" s="670">
        <f>INT(E2017*I2017)</f>
        <v>0</v>
      </c>
      <c r="K2017" s="670">
        <v>0</v>
      </c>
      <c r="L2017" s="670">
        <f>INT(E2017*K2017)</f>
        <v>0</v>
      </c>
      <c r="M2017" s="670" t="e">
        <f t="shared" si="403"/>
        <v>#REF!</v>
      </c>
      <c r="N2017" s="670" t="e">
        <f t="shared" si="403"/>
        <v>#REF!</v>
      </c>
      <c r="O2017" s="671"/>
      <c r="P2017" s="672"/>
      <c r="Q2017" s="688"/>
      <c r="R2017" s="688"/>
      <c r="S2017" s="688"/>
      <c r="T2017" s="690"/>
    </row>
    <row r="2018" spans="1:20" s="688" customFormat="1" ht="17.100000000000001" customHeight="1">
      <c r="A2018" s="1316" t="s">
        <v>540</v>
      </c>
      <c r="B2018" s="1317"/>
      <c r="C2018" s="1316"/>
      <c r="D2018" s="1317"/>
      <c r="E2018" s="683">
        <v>0.22220000000000001</v>
      </c>
      <c r="F2018" s="676" t="s">
        <v>366</v>
      </c>
      <c r="G2018" s="670"/>
      <c r="H2018" s="670"/>
      <c r="I2018" s="670">
        <f>[53]노임단가!$T$22</f>
        <v>273308</v>
      </c>
      <c r="J2018" s="670">
        <f t="shared" ref="J2018:J2026" si="404">INT(E2018*I2018)</f>
        <v>60729</v>
      </c>
      <c r="K2018" s="670"/>
      <c r="L2018" s="670"/>
      <c r="M2018" s="670">
        <f t="shared" si="403"/>
        <v>273308</v>
      </c>
      <c r="N2018" s="670">
        <f t="shared" si="403"/>
        <v>60729</v>
      </c>
      <c r="O2018" s="671"/>
      <c r="P2018" s="794" t="s">
        <v>2056</v>
      </c>
      <c r="Q2018" s="806" t="s">
        <v>1446</v>
      </c>
      <c r="R2018" s="688" t="s">
        <v>1876</v>
      </c>
      <c r="S2018" s="808" t="s">
        <v>1425</v>
      </c>
      <c r="T2018" s="688" t="s">
        <v>1426</v>
      </c>
    </row>
    <row r="2019" spans="1:20" s="665" customFormat="1" ht="17.100000000000001" customHeight="1">
      <c r="A2019" s="1316" t="s">
        <v>248</v>
      </c>
      <c r="B2019" s="1317"/>
      <c r="C2019" s="1316" t="s">
        <v>2047</v>
      </c>
      <c r="D2019" s="1317"/>
      <c r="E2019" s="683">
        <v>0.1111</v>
      </c>
      <c r="F2019" s="676" t="s">
        <v>366</v>
      </c>
      <c r="G2019" s="670"/>
      <c r="H2019" s="670"/>
      <c r="I2019" s="670">
        <f>[53]노임단가!$T$5</f>
        <v>172068</v>
      </c>
      <c r="J2019" s="670">
        <f t="shared" si="404"/>
        <v>19116</v>
      </c>
      <c r="K2019" s="670"/>
      <c r="L2019" s="670"/>
      <c r="M2019" s="670">
        <f t="shared" si="403"/>
        <v>172068</v>
      </c>
      <c r="N2019" s="670">
        <f t="shared" si="403"/>
        <v>19116</v>
      </c>
      <c r="O2019" s="671"/>
      <c r="P2019" s="672"/>
      <c r="Q2019" s="808">
        <v>1400</v>
      </c>
      <c r="R2019" s="808">
        <v>14</v>
      </c>
      <c r="T2019" s="809"/>
    </row>
    <row r="2020" spans="1:20" s="665" customFormat="1" ht="17.100000000000001" customHeight="1">
      <c r="A2020" s="1316" t="s">
        <v>490</v>
      </c>
      <c r="B2020" s="1317"/>
      <c r="C2020" s="1316" t="s">
        <v>491</v>
      </c>
      <c r="D2020" s="1317"/>
      <c r="E2020" s="683">
        <v>0.44440000000000002</v>
      </c>
      <c r="F2020" s="676" t="s">
        <v>418</v>
      </c>
      <c r="G2020" s="670" t="e">
        <f>#REF!</f>
        <v>#REF!</v>
      </c>
      <c r="H2020" s="670" t="e">
        <f t="shared" ref="H2020:H2026" si="405">INT(E2020*G2020)</f>
        <v>#REF!</v>
      </c>
      <c r="I2020" s="670" t="e">
        <f>#REF!</f>
        <v>#REF!</v>
      </c>
      <c r="J2020" s="670" t="e">
        <f t="shared" si="404"/>
        <v>#REF!</v>
      </c>
      <c r="K2020" s="670" t="e">
        <f>#REF!</f>
        <v>#REF!</v>
      </c>
      <c r="L2020" s="670" t="e">
        <f t="shared" ref="L2020:L2026" si="406">INT(E2020*K2020)</f>
        <v>#REF!</v>
      </c>
      <c r="M2020" s="670" t="e">
        <f t="shared" si="403"/>
        <v>#REF!</v>
      </c>
      <c r="N2020" s="670" t="e">
        <f t="shared" si="403"/>
        <v>#REF!</v>
      </c>
      <c r="O2020" s="671"/>
      <c r="P2020" s="672"/>
      <c r="Q2020" s="808">
        <f>Q2019</f>
        <v>1400</v>
      </c>
      <c r="R2020" s="808">
        <f>R2019</f>
        <v>14</v>
      </c>
      <c r="S2020" s="808">
        <v>4</v>
      </c>
      <c r="T2020" s="809">
        <f>ROUND(S2020/R2020,4)</f>
        <v>0.28570000000000001</v>
      </c>
    </row>
    <row r="2021" spans="1:20" s="665" customFormat="1" ht="17.100000000000001" customHeight="1">
      <c r="A2021" s="1316" t="s">
        <v>2048</v>
      </c>
      <c r="B2021" s="1317"/>
      <c r="C2021" s="1316" t="s">
        <v>1146</v>
      </c>
      <c r="D2021" s="1317"/>
      <c r="E2021" s="683">
        <v>0.44440000000000002</v>
      </c>
      <c r="F2021" s="676" t="s">
        <v>418</v>
      </c>
      <c r="G2021" s="670" t="e">
        <f>#REF!+#REF!</f>
        <v>#REF!</v>
      </c>
      <c r="H2021" s="670" t="e">
        <f t="shared" si="405"/>
        <v>#REF!</v>
      </c>
      <c r="I2021" s="670" t="e">
        <f>#REF!+#REF!</f>
        <v>#REF!</v>
      </c>
      <c r="J2021" s="670" t="e">
        <f t="shared" si="404"/>
        <v>#REF!</v>
      </c>
      <c r="K2021" s="670" t="e">
        <f>#REF!+#REF!</f>
        <v>#REF!</v>
      </c>
      <c r="L2021" s="670" t="e">
        <f t="shared" si="406"/>
        <v>#REF!</v>
      </c>
      <c r="M2021" s="670" t="e">
        <f t="shared" si="403"/>
        <v>#REF!</v>
      </c>
      <c r="N2021" s="670" t="e">
        <f t="shared" si="403"/>
        <v>#REF!</v>
      </c>
      <c r="O2021" s="671"/>
      <c r="P2021" s="672"/>
      <c r="Q2021" s="808">
        <f>Q2020</f>
        <v>1400</v>
      </c>
      <c r="R2021" s="808">
        <f t="shared" ref="R2021:R2030" si="407">R2020</f>
        <v>14</v>
      </c>
      <c r="S2021" s="808">
        <v>2</v>
      </c>
      <c r="T2021" s="809">
        <f t="shared" ref="T2021:T2030" si="408">ROUND(S2021/R2021,4)</f>
        <v>0.1429</v>
      </c>
    </row>
    <row r="2022" spans="1:20" s="665" customFormat="1" ht="17.100000000000001" customHeight="1">
      <c r="A2022" s="1316" t="s">
        <v>515</v>
      </c>
      <c r="B2022" s="1317"/>
      <c r="C2022" s="1316" t="s">
        <v>555</v>
      </c>
      <c r="D2022" s="1317"/>
      <c r="E2022" s="683">
        <v>0.44440000000000002</v>
      </c>
      <c r="F2022" s="676" t="s">
        <v>418</v>
      </c>
      <c r="G2022" s="670" t="e">
        <f>#REF!</f>
        <v>#REF!</v>
      </c>
      <c r="H2022" s="750" t="e">
        <f>INT(E2022*G2022)</f>
        <v>#REF!</v>
      </c>
      <c r="I2022" s="670" t="e">
        <f>#REF!</f>
        <v>#REF!</v>
      </c>
      <c r="J2022" s="750" t="e">
        <f t="shared" si="404"/>
        <v>#REF!</v>
      </c>
      <c r="K2022" s="670" t="e">
        <f>#REF!</f>
        <v>#REF!</v>
      </c>
      <c r="L2022" s="750" t="e">
        <f>INT(E2022*K2022)</f>
        <v>#REF!</v>
      </c>
      <c r="M2022" s="750" t="e">
        <f t="shared" si="403"/>
        <v>#REF!</v>
      </c>
      <c r="N2022" s="670" t="e">
        <f t="shared" si="403"/>
        <v>#REF!</v>
      </c>
      <c r="O2022" s="671"/>
      <c r="P2022" s="672"/>
      <c r="Q2022" s="808">
        <f>Q2021</f>
        <v>1400</v>
      </c>
      <c r="R2022" s="808">
        <f t="shared" si="407"/>
        <v>14</v>
      </c>
      <c r="S2022" s="808">
        <v>16</v>
      </c>
      <c r="T2022" s="809">
        <f t="shared" si="408"/>
        <v>1.1429</v>
      </c>
    </row>
    <row r="2023" spans="1:20" s="665" customFormat="1" ht="17.100000000000001" customHeight="1">
      <c r="A2023" s="1316" t="s">
        <v>1209</v>
      </c>
      <c r="B2023" s="1317"/>
      <c r="C2023" s="1316" t="s">
        <v>2011</v>
      </c>
      <c r="D2023" s="1317"/>
      <c r="E2023" s="683">
        <v>0.44440000000000002</v>
      </c>
      <c r="F2023" s="676" t="s">
        <v>418</v>
      </c>
      <c r="G2023" s="670" t="e">
        <f>#REF!</f>
        <v>#REF!</v>
      </c>
      <c r="H2023" s="670" t="e">
        <f t="shared" si="405"/>
        <v>#REF!</v>
      </c>
      <c r="I2023" s="670" t="e">
        <f>#REF!</f>
        <v>#REF!</v>
      </c>
      <c r="J2023" s="670" t="e">
        <f t="shared" si="404"/>
        <v>#REF!</v>
      </c>
      <c r="K2023" s="670" t="e">
        <f>#REF!</f>
        <v>#REF!</v>
      </c>
      <c r="L2023" s="670" t="e">
        <f t="shared" si="406"/>
        <v>#REF!</v>
      </c>
      <c r="M2023" s="670" t="e">
        <f t="shared" si="403"/>
        <v>#REF!</v>
      </c>
      <c r="N2023" s="670" t="e">
        <f t="shared" si="403"/>
        <v>#REF!</v>
      </c>
      <c r="O2023" s="671"/>
      <c r="P2023" s="672"/>
      <c r="Q2023" s="808">
        <f t="shared" ref="Q2023:Q2030" si="409">Q2022</f>
        <v>1400</v>
      </c>
      <c r="R2023" s="808">
        <f t="shared" si="407"/>
        <v>14</v>
      </c>
      <c r="S2023" s="808">
        <v>8</v>
      </c>
      <c r="T2023" s="809">
        <f t="shared" si="408"/>
        <v>0.57140000000000002</v>
      </c>
    </row>
    <row r="2024" spans="1:20" s="665" customFormat="1" ht="17.100000000000001" customHeight="1">
      <c r="A2024" s="1316" t="s">
        <v>1172</v>
      </c>
      <c r="B2024" s="1317"/>
      <c r="C2024" s="1316" t="s">
        <v>1175</v>
      </c>
      <c r="D2024" s="1317"/>
      <c r="E2024" s="683">
        <v>0.44440000000000002</v>
      </c>
      <c r="F2024" s="676" t="s">
        <v>418</v>
      </c>
      <c r="G2024" s="670" t="e">
        <f>$G$1828</f>
        <v>#REF!</v>
      </c>
      <c r="H2024" s="670" t="e">
        <f t="shared" si="405"/>
        <v>#REF!</v>
      </c>
      <c r="I2024" s="670" t="e">
        <f>$I$1828</f>
        <v>#REF!</v>
      </c>
      <c r="J2024" s="670" t="e">
        <f t="shared" si="404"/>
        <v>#REF!</v>
      </c>
      <c r="K2024" s="670" t="e">
        <f>$K$1828</f>
        <v>#REF!</v>
      </c>
      <c r="L2024" s="670" t="e">
        <f t="shared" si="406"/>
        <v>#REF!</v>
      </c>
      <c r="M2024" s="670" t="e">
        <f t="shared" si="403"/>
        <v>#REF!</v>
      </c>
      <c r="N2024" s="670" t="e">
        <f t="shared" si="403"/>
        <v>#REF!</v>
      </c>
      <c r="O2024" s="671"/>
      <c r="P2024" s="672"/>
      <c r="Q2024" s="808">
        <f t="shared" si="409"/>
        <v>1400</v>
      </c>
      <c r="R2024" s="808">
        <f t="shared" si="407"/>
        <v>14</v>
      </c>
      <c r="S2024" s="808">
        <v>24</v>
      </c>
      <c r="T2024" s="809">
        <f t="shared" si="408"/>
        <v>1.7142999999999999</v>
      </c>
    </row>
    <row r="2025" spans="1:20" s="665" customFormat="1" ht="17.100000000000001" customHeight="1">
      <c r="A2025" s="1316" t="s">
        <v>1188</v>
      </c>
      <c r="B2025" s="1317"/>
      <c r="C2025" s="1316" t="s">
        <v>1190</v>
      </c>
      <c r="D2025" s="1317"/>
      <c r="E2025" s="683">
        <v>0.44440000000000002</v>
      </c>
      <c r="F2025" s="676" t="s">
        <v>418</v>
      </c>
      <c r="G2025" s="670" t="e">
        <f>#REF!</f>
        <v>#REF!</v>
      </c>
      <c r="H2025" s="670" t="e">
        <f t="shared" si="405"/>
        <v>#REF!</v>
      </c>
      <c r="I2025" s="670" t="e">
        <f>#REF!</f>
        <v>#REF!</v>
      </c>
      <c r="J2025" s="670" t="e">
        <f t="shared" si="404"/>
        <v>#REF!</v>
      </c>
      <c r="K2025" s="670" t="e">
        <f>#REF!</f>
        <v>#REF!</v>
      </c>
      <c r="L2025" s="670" t="e">
        <f t="shared" si="406"/>
        <v>#REF!</v>
      </c>
      <c r="M2025" s="670" t="e">
        <f t="shared" si="403"/>
        <v>#REF!</v>
      </c>
      <c r="N2025" s="670" t="e">
        <f t="shared" si="403"/>
        <v>#REF!</v>
      </c>
      <c r="O2025" s="671"/>
      <c r="P2025" s="672"/>
      <c r="Q2025" s="808">
        <f t="shared" si="409"/>
        <v>1400</v>
      </c>
      <c r="R2025" s="808">
        <f t="shared" si="407"/>
        <v>14</v>
      </c>
      <c r="S2025" s="808">
        <v>8</v>
      </c>
      <c r="T2025" s="809">
        <f t="shared" si="408"/>
        <v>0.57140000000000002</v>
      </c>
    </row>
    <row r="2026" spans="1:20" s="665" customFormat="1" ht="17.100000000000001" customHeight="1">
      <c r="A2026" s="1316" t="s">
        <v>1177</v>
      </c>
      <c r="B2026" s="1317"/>
      <c r="C2026" s="1316" t="s">
        <v>1178</v>
      </c>
      <c r="D2026" s="1317"/>
      <c r="E2026" s="683">
        <v>0.44440000000000002</v>
      </c>
      <c r="F2026" s="676" t="s">
        <v>418</v>
      </c>
      <c r="G2026" s="670" t="e">
        <f>#REF!</f>
        <v>#REF!</v>
      </c>
      <c r="H2026" s="670" t="e">
        <f t="shared" si="405"/>
        <v>#REF!</v>
      </c>
      <c r="I2026" s="670" t="e">
        <f>#REF!</f>
        <v>#REF!</v>
      </c>
      <c r="J2026" s="670" t="e">
        <f t="shared" si="404"/>
        <v>#REF!</v>
      </c>
      <c r="K2026" s="670" t="e">
        <f>#REF!</f>
        <v>#REF!</v>
      </c>
      <c r="L2026" s="670" t="e">
        <f t="shared" si="406"/>
        <v>#REF!</v>
      </c>
      <c r="M2026" s="670" t="e">
        <f t="shared" si="403"/>
        <v>#REF!</v>
      </c>
      <c r="N2026" s="670" t="e">
        <f t="shared" si="403"/>
        <v>#REF!</v>
      </c>
      <c r="O2026" s="671"/>
      <c r="P2026" s="672"/>
      <c r="Q2026" s="808">
        <f t="shared" si="409"/>
        <v>1400</v>
      </c>
      <c r="R2026" s="808">
        <f t="shared" si="407"/>
        <v>14</v>
      </c>
      <c r="S2026" s="808">
        <v>8</v>
      </c>
      <c r="T2026" s="809">
        <f t="shared" si="408"/>
        <v>0.57140000000000002</v>
      </c>
    </row>
    <row r="2027" spans="1:20" s="665" customFormat="1" ht="17.100000000000001" customHeight="1">
      <c r="A2027" s="1316" t="s">
        <v>1997</v>
      </c>
      <c r="B2027" s="1317"/>
      <c r="C2027" s="1316" t="s">
        <v>1998</v>
      </c>
      <c r="D2027" s="1317"/>
      <c r="E2027" s="683">
        <v>0.44440000000000002</v>
      </c>
      <c r="F2027" s="676" t="s">
        <v>418</v>
      </c>
      <c r="G2027" s="670" t="e">
        <f>#REF!</f>
        <v>#REF!</v>
      </c>
      <c r="H2027" s="670" t="e">
        <f>INT(E2027*G2027)</f>
        <v>#REF!</v>
      </c>
      <c r="I2027" s="670" t="e">
        <f>#REF!</f>
        <v>#REF!</v>
      </c>
      <c r="J2027" s="670" t="e">
        <f>INT(E2027*I2027)</f>
        <v>#REF!</v>
      </c>
      <c r="K2027" s="670" t="e">
        <f>#REF!</f>
        <v>#REF!</v>
      </c>
      <c r="L2027" s="670" t="e">
        <f>INT(E2027*K2027)</f>
        <v>#REF!</v>
      </c>
      <c r="M2027" s="670" t="e">
        <f t="shared" si="403"/>
        <v>#REF!</v>
      </c>
      <c r="N2027" s="670" t="e">
        <f t="shared" si="403"/>
        <v>#REF!</v>
      </c>
      <c r="O2027" s="671"/>
      <c r="P2027" s="672"/>
      <c r="Q2027" s="808">
        <f t="shared" si="409"/>
        <v>1400</v>
      </c>
      <c r="R2027" s="808">
        <f t="shared" si="407"/>
        <v>14</v>
      </c>
      <c r="S2027" s="808">
        <v>8</v>
      </c>
      <c r="T2027" s="809">
        <f t="shared" si="408"/>
        <v>0.57140000000000002</v>
      </c>
    </row>
    <row r="2028" spans="1:20" s="665" customFormat="1" ht="17.100000000000001" customHeight="1">
      <c r="A2028" s="1316" t="s">
        <v>630</v>
      </c>
      <c r="B2028" s="1317"/>
      <c r="C2028" s="1316" t="s">
        <v>1395</v>
      </c>
      <c r="D2028" s="1317"/>
      <c r="E2028" s="683">
        <v>0.44440000000000002</v>
      </c>
      <c r="F2028" s="676" t="s">
        <v>418</v>
      </c>
      <c r="G2028" s="670" t="e">
        <f>#REF!</f>
        <v>#REF!</v>
      </c>
      <c r="H2028" s="670" t="e">
        <f>INT(E2028*G2028)</f>
        <v>#REF!</v>
      </c>
      <c r="I2028" s="670" t="e">
        <f>#REF!</f>
        <v>#REF!</v>
      </c>
      <c r="J2028" s="670" t="e">
        <f>INT(E2028*I2028)</f>
        <v>#REF!</v>
      </c>
      <c r="K2028" s="670" t="e">
        <f>#REF!</f>
        <v>#REF!</v>
      </c>
      <c r="L2028" s="670" t="e">
        <f>INT(E2028*K2028)</f>
        <v>#REF!</v>
      </c>
      <c r="M2028" s="670" t="e">
        <f t="shared" si="403"/>
        <v>#REF!</v>
      </c>
      <c r="N2028" s="670" t="e">
        <f t="shared" si="403"/>
        <v>#REF!</v>
      </c>
      <c r="O2028" s="671"/>
      <c r="P2028" s="672"/>
      <c r="Q2028" s="808">
        <f t="shared" si="409"/>
        <v>1400</v>
      </c>
      <c r="R2028" s="808">
        <f t="shared" si="407"/>
        <v>14</v>
      </c>
      <c r="S2028" s="808">
        <v>8</v>
      </c>
      <c r="T2028" s="809">
        <f t="shared" si="408"/>
        <v>0.57140000000000002</v>
      </c>
    </row>
    <row r="2029" spans="1:20" s="665" customFormat="1" ht="17.100000000000001" customHeight="1">
      <c r="A2029" s="1318" t="s">
        <v>1320</v>
      </c>
      <c r="B2029" s="1319"/>
      <c r="C2029" s="1316"/>
      <c r="D2029" s="1317"/>
      <c r="E2029" s="686"/>
      <c r="F2029" s="676"/>
      <c r="G2029" s="670"/>
      <c r="H2029" s="670" t="e">
        <f>SUM(H2015:H2028)</f>
        <v>#REF!</v>
      </c>
      <c r="I2029" s="670"/>
      <c r="J2029" s="670" t="e">
        <f>SUM(J2015:J2028)</f>
        <v>#REF!</v>
      </c>
      <c r="K2029" s="670"/>
      <c r="L2029" s="670" t="e">
        <f>SUM(L2015:L2028)</f>
        <v>#REF!</v>
      </c>
      <c r="M2029" s="670"/>
      <c r="N2029" s="670" t="e">
        <f>SUM(N2015:N2028)</f>
        <v>#REF!</v>
      </c>
      <c r="O2029" s="671"/>
      <c r="P2029" s="672"/>
      <c r="Q2029" s="808">
        <f t="shared" si="409"/>
        <v>1400</v>
      </c>
      <c r="R2029" s="808">
        <f t="shared" si="407"/>
        <v>14</v>
      </c>
      <c r="S2029" s="808">
        <v>8</v>
      </c>
      <c r="T2029" s="809">
        <f t="shared" si="408"/>
        <v>0.57140000000000002</v>
      </c>
    </row>
    <row r="2030" spans="1:20" s="665" customFormat="1" ht="17.100000000000001" customHeight="1">
      <c r="A2030" s="671">
        <f>A2014+1</f>
        <v>324</v>
      </c>
      <c r="B2030" s="1316" t="s">
        <v>2057</v>
      </c>
      <c r="C2030" s="1317"/>
      <c r="D2030" s="1316" t="s">
        <v>2058</v>
      </c>
      <c r="E2030" s="1317"/>
      <c r="F2030" s="676" t="s">
        <v>1458</v>
      </c>
      <c r="G2030" s="810"/>
      <c r="H2030" s="670"/>
      <c r="I2030" s="670"/>
      <c r="J2030" s="670"/>
      <c r="K2030" s="670"/>
      <c r="L2030" s="670"/>
      <c r="M2030" s="670"/>
      <c r="N2030" s="670"/>
      <c r="O2030" s="751" t="s">
        <v>1562</v>
      </c>
      <c r="P2030" s="672"/>
      <c r="Q2030" s="808">
        <f t="shared" si="409"/>
        <v>1400</v>
      </c>
      <c r="R2030" s="808">
        <f t="shared" si="407"/>
        <v>14</v>
      </c>
      <c r="S2030" s="808">
        <v>8</v>
      </c>
      <c r="T2030" s="809">
        <f t="shared" si="408"/>
        <v>0.57140000000000002</v>
      </c>
    </row>
    <row r="2031" spans="1:20" s="665" customFormat="1" ht="17.100000000000001" customHeight="1">
      <c r="A2031" s="1316" t="s">
        <v>1676</v>
      </c>
      <c r="B2031" s="1317"/>
      <c r="C2031" s="1316" t="s">
        <v>1827</v>
      </c>
      <c r="D2031" s="1317"/>
      <c r="E2031" s="686"/>
      <c r="F2031" s="676" t="s">
        <v>915</v>
      </c>
      <c r="G2031" s="670"/>
      <c r="H2031" s="670"/>
      <c r="I2031" s="670"/>
      <c r="J2031" s="670"/>
      <c r="K2031" s="670"/>
      <c r="L2031" s="670"/>
      <c r="M2031" s="670"/>
      <c r="N2031" s="670"/>
      <c r="O2031" s="671"/>
      <c r="P2031" s="672"/>
      <c r="Q2031" s="688"/>
      <c r="R2031" s="688"/>
      <c r="S2031" s="688"/>
      <c r="T2031" s="690"/>
    </row>
    <row r="2032" spans="1:20" s="665" customFormat="1" ht="17.100000000000001" customHeight="1">
      <c r="A2032" s="1316" t="s">
        <v>540</v>
      </c>
      <c r="B2032" s="1317"/>
      <c r="C2032" s="1316" t="s">
        <v>2059</v>
      </c>
      <c r="D2032" s="1317"/>
      <c r="E2032" s="683">
        <f t="shared" ref="E2032:E2047" si="410">T2001</f>
        <v>0.2</v>
      </c>
      <c r="F2032" s="676" t="s">
        <v>366</v>
      </c>
      <c r="G2032" s="670"/>
      <c r="H2032" s="670"/>
      <c r="I2032" s="670">
        <f>[53]노임단가!$T$22</f>
        <v>273308</v>
      </c>
      <c r="J2032" s="670">
        <f t="shared" ref="J2032:J2042" si="411">INT(E2032*I2032)</f>
        <v>54661</v>
      </c>
      <c r="K2032" s="670"/>
      <c r="L2032" s="670"/>
      <c r="M2032" s="670">
        <f t="shared" ref="M2032:N2047" si="412">G2032+I2032+K2032</f>
        <v>273308</v>
      </c>
      <c r="N2032" s="670">
        <f t="shared" si="412"/>
        <v>54661</v>
      </c>
      <c r="O2032" s="671"/>
      <c r="P2032" s="794" t="s">
        <v>2046</v>
      </c>
      <c r="Q2032" s="687" t="s">
        <v>1446</v>
      </c>
      <c r="R2032" s="688" t="s">
        <v>1447</v>
      </c>
      <c r="S2032" s="688" t="s">
        <v>1425</v>
      </c>
      <c r="T2032" s="688" t="s">
        <v>1426</v>
      </c>
    </row>
    <row r="2033" spans="1:20" s="688" customFormat="1" ht="17.100000000000001" customHeight="1">
      <c r="A2033" s="1316" t="s">
        <v>248</v>
      </c>
      <c r="B2033" s="1317"/>
      <c r="C2033" s="1316" t="s">
        <v>2059</v>
      </c>
      <c r="D2033" s="1317"/>
      <c r="E2033" s="683">
        <f t="shared" si="410"/>
        <v>0.05</v>
      </c>
      <c r="F2033" s="676" t="s">
        <v>366</v>
      </c>
      <c r="G2033" s="670"/>
      <c r="H2033" s="670"/>
      <c r="I2033" s="670">
        <f>[53]노임단가!$T$5</f>
        <v>172068</v>
      </c>
      <c r="J2033" s="670">
        <f t="shared" si="411"/>
        <v>8603</v>
      </c>
      <c r="K2033" s="670"/>
      <c r="L2033" s="670"/>
      <c r="M2033" s="670">
        <f t="shared" si="412"/>
        <v>172068</v>
      </c>
      <c r="N2033" s="670">
        <f t="shared" si="412"/>
        <v>8603</v>
      </c>
      <c r="O2033" s="671"/>
      <c r="P2033" s="672"/>
      <c r="Q2033" s="688">
        <v>400</v>
      </c>
      <c r="R2033" s="688">
        <f>(Q2033)/100</f>
        <v>4</v>
      </c>
      <c r="S2033" s="688">
        <v>0</v>
      </c>
      <c r="T2033" s="690"/>
    </row>
    <row r="2034" spans="1:20" s="688" customFormat="1" ht="17.100000000000001" customHeight="1">
      <c r="A2034" s="1316" t="s">
        <v>540</v>
      </c>
      <c r="B2034" s="1317"/>
      <c r="C2034" s="1359" t="s">
        <v>1459</v>
      </c>
      <c r="D2034" s="1360"/>
      <c r="E2034" s="683">
        <f t="shared" si="410"/>
        <v>6.9000000000000006E-2</v>
      </c>
      <c r="F2034" s="676" t="s">
        <v>366</v>
      </c>
      <c r="G2034" s="670"/>
      <c r="H2034" s="670"/>
      <c r="I2034" s="670">
        <f>[53]노임단가!$T$22</f>
        <v>273308</v>
      </c>
      <c r="J2034" s="670">
        <f t="shared" si="411"/>
        <v>18858</v>
      </c>
      <c r="K2034" s="670"/>
      <c r="L2034" s="670"/>
      <c r="M2034" s="670">
        <f t="shared" si="412"/>
        <v>273308</v>
      </c>
      <c r="N2034" s="670">
        <f t="shared" si="412"/>
        <v>18858</v>
      </c>
      <c r="O2034" s="671"/>
      <c r="P2034" s="672"/>
      <c r="Q2034" s="688">
        <f>Q2033</f>
        <v>400</v>
      </c>
      <c r="R2034" s="688">
        <f>R2033</f>
        <v>4</v>
      </c>
      <c r="S2034" s="688">
        <v>3</v>
      </c>
      <c r="T2034" s="690">
        <f t="shared" ref="T2034:T2041" si="413">ROUND(S2034/R2034,4)</f>
        <v>0.75</v>
      </c>
    </row>
    <row r="2035" spans="1:20" s="688" customFormat="1" ht="17.100000000000001" customHeight="1">
      <c r="A2035" s="1316" t="s">
        <v>248</v>
      </c>
      <c r="B2035" s="1317"/>
      <c r="C2035" s="1359" t="s">
        <v>1459</v>
      </c>
      <c r="D2035" s="1360"/>
      <c r="E2035" s="683">
        <f t="shared" si="410"/>
        <v>3.4500000000000003E-2</v>
      </c>
      <c r="F2035" s="676" t="s">
        <v>366</v>
      </c>
      <c r="G2035" s="670"/>
      <c r="H2035" s="670"/>
      <c r="I2035" s="670">
        <f>[53]노임단가!$T$5</f>
        <v>172068</v>
      </c>
      <c r="J2035" s="670">
        <f t="shared" si="411"/>
        <v>5936</v>
      </c>
      <c r="K2035" s="670"/>
      <c r="L2035" s="670"/>
      <c r="M2035" s="670">
        <f t="shared" si="412"/>
        <v>172068</v>
      </c>
      <c r="N2035" s="670">
        <f t="shared" si="412"/>
        <v>5936</v>
      </c>
      <c r="O2035" s="671"/>
      <c r="P2035" s="672"/>
      <c r="Q2035" s="688">
        <f>Q2034</f>
        <v>400</v>
      </c>
      <c r="R2035" s="688">
        <f>R2034</f>
        <v>4</v>
      </c>
      <c r="S2035" s="688">
        <v>1</v>
      </c>
      <c r="T2035" s="690">
        <f t="shared" si="413"/>
        <v>0.25</v>
      </c>
    </row>
    <row r="2036" spans="1:20" s="688" customFormat="1" ht="17.100000000000001" customHeight="1">
      <c r="A2036" s="1316" t="s">
        <v>490</v>
      </c>
      <c r="B2036" s="1317"/>
      <c r="C2036" s="1316" t="s">
        <v>491</v>
      </c>
      <c r="D2036" s="1317"/>
      <c r="E2036" s="683">
        <f t="shared" si="410"/>
        <v>0.27589999999999998</v>
      </c>
      <c r="F2036" s="676" t="s">
        <v>418</v>
      </c>
      <c r="G2036" s="670" t="e">
        <f>#REF!</f>
        <v>#REF!</v>
      </c>
      <c r="H2036" s="670" t="e">
        <f t="shared" ref="H2036:H2047" si="414">INT(E2036*G2036)</f>
        <v>#REF!</v>
      </c>
      <c r="I2036" s="670" t="e">
        <f>#REF!</f>
        <v>#REF!</v>
      </c>
      <c r="J2036" s="670" t="e">
        <f t="shared" si="411"/>
        <v>#REF!</v>
      </c>
      <c r="K2036" s="670" t="e">
        <f>#REF!</f>
        <v>#REF!</v>
      </c>
      <c r="L2036" s="670" t="e">
        <f t="shared" ref="L2036:L2047" si="415">INT(E2036*K2036)</f>
        <v>#REF!</v>
      </c>
      <c r="M2036" s="670" t="e">
        <f t="shared" si="412"/>
        <v>#REF!</v>
      </c>
      <c r="N2036" s="670" t="e">
        <f t="shared" si="412"/>
        <v>#REF!</v>
      </c>
      <c r="O2036" s="671"/>
      <c r="P2036" s="672"/>
      <c r="Q2036" s="688">
        <f t="shared" ref="Q2036:R2041" si="416">Q2035</f>
        <v>400</v>
      </c>
      <c r="R2036" s="688">
        <f t="shared" si="416"/>
        <v>4</v>
      </c>
      <c r="S2036" s="688">
        <v>8</v>
      </c>
      <c r="T2036" s="690">
        <f t="shared" si="413"/>
        <v>2</v>
      </c>
    </row>
    <row r="2037" spans="1:20" s="688" customFormat="1" ht="17.100000000000001" customHeight="1">
      <c r="A2037" s="1316" t="s">
        <v>2048</v>
      </c>
      <c r="B2037" s="1317"/>
      <c r="C2037" s="1316" t="s">
        <v>1146</v>
      </c>
      <c r="D2037" s="1317"/>
      <c r="E2037" s="683">
        <f t="shared" si="410"/>
        <v>0.27589999999999998</v>
      </c>
      <c r="F2037" s="676" t="s">
        <v>418</v>
      </c>
      <c r="G2037" s="670" t="e">
        <f>#REF!+#REF!</f>
        <v>#REF!</v>
      </c>
      <c r="H2037" s="670" t="e">
        <f t="shared" si="414"/>
        <v>#REF!</v>
      </c>
      <c r="I2037" s="670" t="e">
        <f>#REF!+#REF!</f>
        <v>#REF!</v>
      </c>
      <c r="J2037" s="670" t="e">
        <f t="shared" si="411"/>
        <v>#REF!</v>
      </c>
      <c r="K2037" s="670" t="e">
        <f>#REF!+#REF!</f>
        <v>#REF!</v>
      </c>
      <c r="L2037" s="670" t="e">
        <f t="shared" si="415"/>
        <v>#REF!</v>
      </c>
      <c r="M2037" s="670" t="e">
        <f t="shared" si="412"/>
        <v>#REF!</v>
      </c>
      <c r="N2037" s="670" t="e">
        <f t="shared" si="412"/>
        <v>#REF!</v>
      </c>
      <c r="O2037" s="671"/>
      <c r="P2037" s="672"/>
      <c r="Q2037" s="688">
        <f t="shared" si="416"/>
        <v>400</v>
      </c>
      <c r="R2037" s="688">
        <f t="shared" si="416"/>
        <v>4</v>
      </c>
      <c r="S2037" s="688">
        <v>8</v>
      </c>
      <c r="T2037" s="690">
        <f t="shared" si="413"/>
        <v>2</v>
      </c>
    </row>
    <row r="2038" spans="1:20" s="688" customFormat="1" ht="17.100000000000001" customHeight="1">
      <c r="A2038" s="1316" t="s">
        <v>1209</v>
      </c>
      <c r="B2038" s="1317"/>
      <c r="C2038" s="1316" t="s">
        <v>2011</v>
      </c>
      <c r="D2038" s="1317"/>
      <c r="E2038" s="683">
        <f t="shared" si="410"/>
        <v>0.4</v>
      </c>
      <c r="F2038" s="676" t="s">
        <v>418</v>
      </c>
      <c r="G2038" s="670" t="e">
        <f>#REF!</f>
        <v>#REF!</v>
      </c>
      <c r="H2038" s="670" t="e">
        <f t="shared" si="414"/>
        <v>#REF!</v>
      </c>
      <c r="I2038" s="670" t="e">
        <f>#REF!</f>
        <v>#REF!</v>
      </c>
      <c r="J2038" s="670" t="e">
        <f t="shared" si="411"/>
        <v>#REF!</v>
      </c>
      <c r="K2038" s="670" t="e">
        <f>#REF!</f>
        <v>#REF!</v>
      </c>
      <c r="L2038" s="670" t="e">
        <f t="shared" si="415"/>
        <v>#REF!</v>
      </c>
      <c r="M2038" s="670" t="e">
        <f t="shared" si="412"/>
        <v>#REF!</v>
      </c>
      <c r="N2038" s="670" t="e">
        <f t="shared" si="412"/>
        <v>#REF!</v>
      </c>
      <c r="O2038" s="671"/>
      <c r="P2038" s="672"/>
      <c r="Q2038" s="688">
        <f t="shared" si="416"/>
        <v>400</v>
      </c>
      <c r="R2038" s="688">
        <f t="shared" si="416"/>
        <v>4</v>
      </c>
      <c r="S2038" s="688">
        <v>8</v>
      </c>
      <c r="T2038" s="690">
        <f t="shared" si="413"/>
        <v>2</v>
      </c>
    </row>
    <row r="2039" spans="1:20" s="688" customFormat="1" ht="17.100000000000001" customHeight="1">
      <c r="A2039" s="1316" t="s">
        <v>1172</v>
      </c>
      <c r="B2039" s="1317"/>
      <c r="C2039" s="1316" t="s">
        <v>1175</v>
      </c>
      <c r="D2039" s="1317"/>
      <c r="E2039" s="683">
        <f t="shared" si="410"/>
        <v>0.4</v>
      </c>
      <c r="F2039" s="676" t="s">
        <v>418</v>
      </c>
      <c r="G2039" s="670" t="e">
        <f>#REF!</f>
        <v>#REF!</v>
      </c>
      <c r="H2039" s="670" t="e">
        <f t="shared" si="414"/>
        <v>#REF!</v>
      </c>
      <c r="I2039" s="670" t="e">
        <f>#REF!</f>
        <v>#REF!</v>
      </c>
      <c r="J2039" s="670" t="e">
        <f t="shared" si="411"/>
        <v>#REF!</v>
      </c>
      <c r="K2039" s="670" t="e">
        <f>#REF!</f>
        <v>#REF!</v>
      </c>
      <c r="L2039" s="670" t="e">
        <f t="shared" si="415"/>
        <v>#REF!</v>
      </c>
      <c r="M2039" s="670" t="e">
        <f t="shared" si="412"/>
        <v>#REF!</v>
      </c>
      <c r="N2039" s="670" t="e">
        <f t="shared" si="412"/>
        <v>#REF!</v>
      </c>
      <c r="O2039" s="671"/>
      <c r="P2039" s="672"/>
      <c r="Q2039" s="688">
        <f t="shared" si="416"/>
        <v>400</v>
      </c>
      <c r="R2039" s="688">
        <f t="shared" si="416"/>
        <v>4</v>
      </c>
      <c r="S2039" s="688">
        <v>8</v>
      </c>
      <c r="T2039" s="690">
        <f t="shared" si="413"/>
        <v>2</v>
      </c>
    </row>
    <row r="2040" spans="1:20" s="688" customFormat="1" ht="17.100000000000001" customHeight="1">
      <c r="A2040" s="1316" t="s">
        <v>1188</v>
      </c>
      <c r="B2040" s="1317"/>
      <c r="C2040" s="1316" t="s">
        <v>1190</v>
      </c>
      <c r="D2040" s="1317"/>
      <c r="E2040" s="683">
        <f t="shared" si="410"/>
        <v>0.4</v>
      </c>
      <c r="F2040" s="676" t="s">
        <v>418</v>
      </c>
      <c r="G2040" s="670" t="e">
        <f>#REF!</f>
        <v>#REF!</v>
      </c>
      <c r="H2040" s="670" t="e">
        <f t="shared" si="414"/>
        <v>#REF!</v>
      </c>
      <c r="I2040" s="670" t="e">
        <f>#REF!</f>
        <v>#REF!</v>
      </c>
      <c r="J2040" s="670" t="e">
        <f t="shared" si="411"/>
        <v>#REF!</v>
      </c>
      <c r="K2040" s="670" t="e">
        <f>#REF!</f>
        <v>#REF!</v>
      </c>
      <c r="L2040" s="670" t="e">
        <f t="shared" si="415"/>
        <v>#REF!</v>
      </c>
      <c r="M2040" s="670" t="e">
        <f t="shared" si="412"/>
        <v>#REF!</v>
      </c>
      <c r="N2040" s="670" t="e">
        <f t="shared" si="412"/>
        <v>#REF!</v>
      </c>
      <c r="O2040" s="671"/>
      <c r="P2040" s="672"/>
      <c r="Q2040" s="688">
        <f t="shared" si="416"/>
        <v>400</v>
      </c>
      <c r="R2040" s="688">
        <f t="shared" si="416"/>
        <v>4</v>
      </c>
      <c r="S2040" s="688">
        <v>8</v>
      </c>
      <c r="T2040" s="690">
        <f t="shared" si="413"/>
        <v>2</v>
      </c>
    </row>
    <row r="2041" spans="1:20" s="688" customFormat="1" ht="17.100000000000001" customHeight="1">
      <c r="A2041" s="1316" t="s">
        <v>1177</v>
      </c>
      <c r="B2041" s="1317"/>
      <c r="C2041" s="1316" t="s">
        <v>1178</v>
      </c>
      <c r="D2041" s="1317"/>
      <c r="E2041" s="683">
        <f t="shared" si="410"/>
        <v>0.4</v>
      </c>
      <c r="F2041" s="676" t="s">
        <v>418</v>
      </c>
      <c r="G2041" s="670" t="e">
        <f>#REF!</f>
        <v>#REF!</v>
      </c>
      <c r="H2041" s="670" t="e">
        <f t="shared" si="414"/>
        <v>#REF!</v>
      </c>
      <c r="I2041" s="670" t="e">
        <f>#REF!</f>
        <v>#REF!</v>
      </c>
      <c r="J2041" s="670" t="e">
        <f t="shared" si="411"/>
        <v>#REF!</v>
      </c>
      <c r="K2041" s="670" t="e">
        <f>#REF!</f>
        <v>#REF!</v>
      </c>
      <c r="L2041" s="670" t="e">
        <f t="shared" si="415"/>
        <v>#REF!</v>
      </c>
      <c r="M2041" s="670" t="e">
        <f t="shared" si="412"/>
        <v>#REF!</v>
      </c>
      <c r="N2041" s="670" t="e">
        <f t="shared" si="412"/>
        <v>#REF!</v>
      </c>
      <c r="O2041" s="671"/>
      <c r="P2041" s="672"/>
      <c r="Q2041" s="688">
        <f t="shared" si="416"/>
        <v>400</v>
      </c>
      <c r="R2041" s="688">
        <f t="shared" si="416"/>
        <v>4</v>
      </c>
      <c r="S2041" s="688">
        <v>8</v>
      </c>
      <c r="T2041" s="690">
        <f t="shared" si="413"/>
        <v>2</v>
      </c>
    </row>
    <row r="2042" spans="1:20" s="665" customFormat="1" ht="17.100000000000001" customHeight="1">
      <c r="A2042" s="1316" t="s">
        <v>515</v>
      </c>
      <c r="B2042" s="1317"/>
      <c r="C2042" s="1316" t="s">
        <v>555</v>
      </c>
      <c r="D2042" s="1317"/>
      <c r="E2042" s="683">
        <f>T2011</f>
        <v>0.4</v>
      </c>
      <c r="F2042" s="676" t="s">
        <v>418</v>
      </c>
      <c r="G2042" s="670" t="e">
        <f>#REF!</f>
        <v>#REF!</v>
      </c>
      <c r="H2042" s="670" t="e">
        <f>INT(E2042*G2042)</f>
        <v>#REF!</v>
      </c>
      <c r="I2042" s="670" t="e">
        <f>#REF!</f>
        <v>#REF!</v>
      </c>
      <c r="J2042" s="670" t="e">
        <f t="shared" si="411"/>
        <v>#REF!</v>
      </c>
      <c r="K2042" s="670" t="e">
        <f>#REF!</f>
        <v>#REF!</v>
      </c>
      <c r="L2042" s="670" t="e">
        <f>INT(E2042*K2042)</f>
        <v>#REF!</v>
      </c>
      <c r="M2042" s="670" t="e">
        <f>G2042+I2042+K2042</f>
        <v>#REF!</v>
      </c>
      <c r="N2042" s="670" t="e">
        <f>H2042+J2042+L2042</f>
        <v>#REF!</v>
      </c>
      <c r="O2042" s="671"/>
      <c r="P2042" s="672"/>
      <c r="Q2042" s="688"/>
      <c r="R2042" s="688"/>
      <c r="S2042" s="688"/>
      <c r="T2042" s="690"/>
    </row>
    <row r="2043" spans="1:20" s="665" customFormat="1" ht="17.100000000000001" customHeight="1">
      <c r="A2043" s="1316" t="s">
        <v>515</v>
      </c>
      <c r="B2043" s="1317"/>
      <c r="C2043" s="1316" t="s">
        <v>555</v>
      </c>
      <c r="D2043" s="1317"/>
      <c r="E2043" s="683">
        <f t="shared" si="410"/>
        <v>0.55169999999999997</v>
      </c>
      <c r="F2043" s="676" t="s">
        <v>418</v>
      </c>
      <c r="G2043" s="670" t="e">
        <f>#REF!</f>
        <v>#REF!</v>
      </c>
      <c r="H2043" s="670" t="e">
        <f>INT(E2043*G2043)</f>
        <v>#REF!</v>
      </c>
      <c r="I2043" s="670" t="e">
        <f>#REF!</f>
        <v>#REF!</v>
      </c>
      <c r="J2043" s="670" t="e">
        <f>INT(E2043*I2043)</f>
        <v>#REF!</v>
      </c>
      <c r="K2043" s="670" t="e">
        <f>#REF!</f>
        <v>#REF!</v>
      </c>
      <c r="L2043" s="670" t="e">
        <f>INT(E2043*K2043)</f>
        <v>#REF!</v>
      </c>
      <c r="M2043" s="670" t="e">
        <f>G2043+I2043+K2043</f>
        <v>#REF!</v>
      </c>
      <c r="N2043" s="670" t="e">
        <f>H2043+J2043+L2043</f>
        <v>#REF!</v>
      </c>
      <c r="O2043" s="671"/>
      <c r="P2043" s="794" t="s">
        <v>2046</v>
      </c>
      <c r="Q2043" s="687" t="s">
        <v>1446</v>
      </c>
      <c r="R2043" s="688" t="s">
        <v>1447</v>
      </c>
      <c r="S2043" s="688" t="s">
        <v>1425</v>
      </c>
      <c r="T2043" s="688" t="s">
        <v>1426</v>
      </c>
    </row>
    <row r="2044" spans="1:20" s="688" customFormat="1" ht="17.100000000000001" customHeight="1">
      <c r="A2044" s="1316" t="s">
        <v>465</v>
      </c>
      <c r="B2044" s="1317"/>
      <c r="C2044" s="1316" t="s">
        <v>466</v>
      </c>
      <c r="D2044" s="1317"/>
      <c r="E2044" s="683">
        <f t="shared" si="410"/>
        <v>0.4</v>
      </c>
      <c r="F2044" s="676" t="s">
        <v>418</v>
      </c>
      <c r="G2044" s="670" t="e">
        <f>#REF!</f>
        <v>#REF!</v>
      </c>
      <c r="H2044" s="670" t="e">
        <f t="shared" si="414"/>
        <v>#REF!</v>
      </c>
      <c r="I2044" s="670" t="e">
        <f>#REF!</f>
        <v>#REF!</v>
      </c>
      <c r="J2044" s="670" t="e">
        <f>INT(E2044*I2044)</f>
        <v>#REF!</v>
      </c>
      <c r="K2044" s="670" t="e">
        <f>#REF!</f>
        <v>#REF!</v>
      </c>
      <c r="L2044" s="670" t="e">
        <f t="shared" si="415"/>
        <v>#REF!</v>
      </c>
      <c r="M2044" s="670" t="e">
        <f t="shared" si="412"/>
        <v>#REF!</v>
      </c>
      <c r="N2044" s="670" t="e">
        <f t="shared" si="412"/>
        <v>#REF!</v>
      </c>
      <c r="O2044" s="671"/>
      <c r="P2044" s="672"/>
      <c r="Q2044" s="688">
        <f>400*1.26</f>
        <v>504</v>
      </c>
      <c r="R2044" s="688">
        <f>(Q2044)/100</f>
        <v>5.04</v>
      </c>
      <c r="S2044" s="688">
        <v>0</v>
      </c>
      <c r="T2044" s="690"/>
    </row>
    <row r="2045" spans="1:20" s="688" customFormat="1" ht="17.100000000000001" customHeight="1">
      <c r="A2045" s="1316" t="s">
        <v>630</v>
      </c>
      <c r="B2045" s="1317"/>
      <c r="C2045" s="1316" t="s">
        <v>1253</v>
      </c>
      <c r="D2045" s="1317"/>
      <c r="E2045" s="683">
        <f t="shared" si="410"/>
        <v>0.4</v>
      </c>
      <c r="F2045" s="676" t="s">
        <v>418</v>
      </c>
      <c r="G2045" s="670" t="e">
        <f>#REF!</f>
        <v>#REF!</v>
      </c>
      <c r="H2045" s="670" t="e">
        <f t="shared" si="414"/>
        <v>#REF!</v>
      </c>
      <c r="I2045" s="670" t="e">
        <f>#REF!</f>
        <v>#REF!</v>
      </c>
      <c r="J2045" s="670" t="e">
        <f>INT(E2045*I2045)</f>
        <v>#REF!</v>
      </c>
      <c r="K2045" s="670" t="e">
        <f>#REF!</f>
        <v>#REF!</v>
      </c>
      <c r="L2045" s="670" t="e">
        <f t="shared" si="415"/>
        <v>#REF!</v>
      </c>
      <c r="M2045" s="670" t="e">
        <f t="shared" si="412"/>
        <v>#REF!</v>
      </c>
      <c r="N2045" s="670" t="e">
        <f t="shared" si="412"/>
        <v>#REF!</v>
      </c>
      <c r="O2045" s="671"/>
      <c r="P2045" s="672"/>
      <c r="Q2045" s="688">
        <f>Q2044</f>
        <v>504</v>
      </c>
      <c r="R2045" s="688">
        <f>R2044</f>
        <v>5.04</v>
      </c>
      <c r="S2045" s="688">
        <v>3</v>
      </c>
      <c r="T2045" s="690">
        <f t="shared" ref="T2045:T2052" si="417">ROUND(S2045/R2045,4)</f>
        <v>0.59519999999999995</v>
      </c>
    </row>
    <row r="2046" spans="1:20" s="688" customFormat="1" ht="17.100000000000001" customHeight="1">
      <c r="A2046" s="1316" t="s">
        <v>630</v>
      </c>
      <c r="B2046" s="1317"/>
      <c r="C2046" s="1316" t="s">
        <v>1253</v>
      </c>
      <c r="D2046" s="1317"/>
      <c r="E2046" s="683">
        <f t="shared" si="410"/>
        <v>0.27589999999999998</v>
      </c>
      <c r="F2046" s="676" t="s">
        <v>418</v>
      </c>
      <c r="G2046" s="670" t="e">
        <f>#REF!</f>
        <v>#REF!</v>
      </c>
      <c r="H2046" s="670" t="e">
        <f t="shared" si="414"/>
        <v>#REF!</v>
      </c>
      <c r="I2046" s="670" t="e">
        <f>#REF!</f>
        <v>#REF!</v>
      </c>
      <c r="J2046" s="670" t="e">
        <f>INT(E2046*I2046)</f>
        <v>#REF!</v>
      </c>
      <c r="K2046" s="670" t="e">
        <f>#REF!</f>
        <v>#REF!</v>
      </c>
      <c r="L2046" s="670" t="e">
        <f t="shared" si="415"/>
        <v>#REF!</v>
      </c>
      <c r="M2046" s="670" t="e">
        <f t="shared" si="412"/>
        <v>#REF!</v>
      </c>
      <c r="N2046" s="670" t="e">
        <f t="shared" si="412"/>
        <v>#REF!</v>
      </c>
      <c r="O2046" s="671"/>
      <c r="P2046" s="672"/>
      <c r="Q2046" s="688">
        <f>Q2045</f>
        <v>504</v>
      </c>
      <c r="R2046" s="688">
        <f>R2045</f>
        <v>5.04</v>
      </c>
      <c r="S2046" s="688">
        <v>1</v>
      </c>
      <c r="T2046" s="690">
        <f t="shared" si="417"/>
        <v>0.19839999999999999</v>
      </c>
    </row>
    <row r="2047" spans="1:20" s="688" customFormat="1" ht="17.100000000000001" customHeight="1">
      <c r="A2047" s="1316" t="s">
        <v>1217</v>
      </c>
      <c r="B2047" s="1317"/>
      <c r="C2047" s="1316" t="s">
        <v>1218</v>
      </c>
      <c r="D2047" s="1317"/>
      <c r="E2047" s="683">
        <f t="shared" si="410"/>
        <v>0.4</v>
      </c>
      <c r="F2047" s="676" t="s">
        <v>418</v>
      </c>
      <c r="G2047" s="670" t="e">
        <f>#REF!</f>
        <v>#REF!</v>
      </c>
      <c r="H2047" s="670" t="e">
        <f t="shared" si="414"/>
        <v>#REF!</v>
      </c>
      <c r="I2047" s="670" t="e">
        <f>#REF!</f>
        <v>#REF!</v>
      </c>
      <c r="J2047" s="670" t="e">
        <f>INT(E2047*I2047)</f>
        <v>#REF!</v>
      </c>
      <c r="K2047" s="670" t="e">
        <f>#REF!</f>
        <v>#REF!</v>
      </c>
      <c r="L2047" s="670" t="e">
        <f t="shared" si="415"/>
        <v>#REF!</v>
      </c>
      <c r="M2047" s="670" t="e">
        <f t="shared" si="412"/>
        <v>#REF!</v>
      </c>
      <c r="N2047" s="670" t="e">
        <f t="shared" si="412"/>
        <v>#REF!</v>
      </c>
      <c r="O2047" s="671"/>
      <c r="P2047" s="672"/>
      <c r="Q2047" s="688">
        <f t="shared" ref="Q2047:R2052" si="418">Q2046</f>
        <v>504</v>
      </c>
      <c r="R2047" s="688">
        <f t="shared" si="418"/>
        <v>5.04</v>
      </c>
      <c r="S2047" s="688">
        <v>8</v>
      </c>
      <c r="T2047" s="690">
        <f t="shared" si="417"/>
        <v>1.5872999999999999</v>
      </c>
    </row>
    <row r="2048" spans="1:20" s="688" customFormat="1" ht="17.100000000000001" customHeight="1">
      <c r="A2048" s="1318" t="s">
        <v>1320</v>
      </c>
      <c r="B2048" s="1319"/>
      <c r="C2048" s="1316"/>
      <c r="D2048" s="1317"/>
      <c r="E2048" s="686"/>
      <c r="F2048" s="676"/>
      <c r="G2048" s="670"/>
      <c r="H2048" s="670" t="e">
        <f>SUM(H2031:H2047)</f>
        <v>#REF!</v>
      </c>
      <c r="I2048" s="670"/>
      <c r="J2048" s="670" t="e">
        <f>SUM(J2031:J2047)</f>
        <v>#REF!</v>
      </c>
      <c r="K2048" s="670"/>
      <c r="L2048" s="670" t="e">
        <f>SUM(L2031:L2047)</f>
        <v>#REF!</v>
      </c>
      <c r="M2048" s="670"/>
      <c r="N2048" s="670" t="e">
        <f>SUM(N2031:N2047)</f>
        <v>#REF!</v>
      </c>
      <c r="O2048" s="671"/>
      <c r="P2048" s="672"/>
      <c r="Q2048" s="688">
        <f t="shared" si="418"/>
        <v>504</v>
      </c>
      <c r="R2048" s="688">
        <f t="shared" si="418"/>
        <v>5.04</v>
      </c>
      <c r="S2048" s="688">
        <v>8</v>
      </c>
      <c r="T2048" s="690">
        <f t="shared" si="417"/>
        <v>1.5872999999999999</v>
      </c>
    </row>
    <row r="2049" spans="1:20" s="688" customFormat="1" ht="17.100000000000001" customHeight="1">
      <c r="A2049" s="671">
        <f>A2030+1</f>
        <v>325</v>
      </c>
      <c r="B2049" s="1316" t="s">
        <v>2060</v>
      </c>
      <c r="C2049" s="1317"/>
      <c r="D2049" s="1316" t="s">
        <v>2061</v>
      </c>
      <c r="E2049" s="1317"/>
      <c r="F2049" s="676" t="s">
        <v>1458</v>
      </c>
      <c r="G2049" s="810"/>
      <c r="H2049" s="670"/>
      <c r="I2049" s="670"/>
      <c r="J2049" s="670"/>
      <c r="K2049" s="670"/>
      <c r="L2049" s="670"/>
      <c r="M2049" s="670"/>
      <c r="N2049" s="670"/>
      <c r="O2049" s="751" t="s">
        <v>1562</v>
      </c>
      <c r="P2049" s="672"/>
      <c r="Q2049" s="688">
        <f t="shared" si="418"/>
        <v>504</v>
      </c>
      <c r="R2049" s="688">
        <f t="shared" si="418"/>
        <v>5.04</v>
      </c>
      <c r="S2049" s="688">
        <v>8</v>
      </c>
      <c r="T2049" s="690">
        <f t="shared" si="417"/>
        <v>1.5872999999999999</v>
      </c>
    </row>
    <row r="2050" spans="1:20" s="688" customFormat="1" ht="17.100000000000001" customHeight="1">
      <c r="A2050" s="1316" t="s">
        <v>1676</v>
      </c>
      <c r="B2050" s="1317"/>
      <c r="C2050" s="1316" t="s">
        <v>1827</v>
      </c>
      <c r="D2050" s="1317"/>
      <c r="E2050" s="686">
        <v>23.97</v>
      </c>
      <c r="F2050" s="676" t="s">
        <v>915</v>
      </c>
      <c r="G2050" s="670"/>
      <c r="H2050" s="670"/>
      <c r="I2050" s="670"/>
      <c r="J2050" s="670"/>
      <c r="K2050" s="670"/>
      <c r="L2050" s="670"/>
      <c r="M2050" s="670"/>
      <c r="N2050" s="670"/>
      <c r="O2050" s="671"/>
      <c r="P2050" s="672"/>
      <c r="Q2050" s="688">
        <f t="shared" si="418"/>
        <v>504</v>
      </c>
      <c r="R2050" s="688">
        <f t="shared" si="418"/>
        <v>5.04</v>
      </c>
      <c r="S2050" s="688">
        <v>8</v>
      </c>
      <c r="T2050" s="690">
        <f t="shared" si="417"/>
        <v>1.5872999999999999</v>
      </c>
    </row>
    <row r="2051" spans="1:20" s="688" customFormat="1" ht="17.100000000000001" customHeight="1">
      <c r="A2051" s="1316" t="s">
        <v>540</v>
      </c>
      <c r="B2051" s="1317"/>
      <c r="C2051" s="1316"/>
      <c r="D2051" s="1317"/>
      <c r="E2051" s="683">
        <f>T2020</f>
        <v>0.28570000000000001</v>
      </c>
      <c r="F2051" s="676" t="s">
        <v>366</v>
      </c>
      <c r="G2051" s="670"/>
      <c r="H2051" s="670"/>
      <c r="I2051" s="670">
        <f>[53]노임단가!$T$22</f>
        <v>273308</v>
      </c>
      <c r="J2051" s="670">
        <f t="shared" ref="J2051:J2061" si="419">INT(E2051*I2051)</f>
        <v>78084</v>
      </c>
      <c r="K2051" s="670"/>
      <c r="L2051" s="670"/>
      <c r="M2051" s="670">
        <f t="shared" ref="M2051:N2061" si="420">G2051+I2051+K2051</f>
        <v>273308</v>
      </c>
      <c r="N2051" s="670">
        <f t="shared" si="420"/>
        <v>78084</v>
      </c>
      <c r="O2051" s="671"/>
      <c r="P2051" s="672"/>
      <c r="Q2051" s="688">
        <f t="shared" si="418"/>
        <v>504</v>
      </c>
      <c r="R2051" s="688">
        <f t="shared" si="418"/>
        <v>5.04</v>
      </c>
      <c r="S2051" s="688">
        <v>8</v>
      </c>
      <c r="T2051" s="690">
        <f t="shared" si="417"/>
        <v>1.5872999999999999</v>
      </c>
    </row>
    <row r="2052" spans="1:20" s="688" customFormat="1" ht="17.100000000000001" customHeight="1">
      <c r="A2052" s="1316" t="s">
        <v>248</v>
      </c>
      <c r="B2052" s="1317"/>
      <c r="C2052" s="1316"/>
      <c r="D2052" s="1317"/>
      <c r="E2052" s="683">
        <f t="shared" ref="E2052:E2061" si="421">T2021</f>
        <v>0.1429</v>
      </c>
      <c r="F2052" s="676" t="s">
        <v>366</v>
      </c>
      <c r="G2052" s="670"/>
      <c r="H2052" s="670"/>
      <c r="I2052" s="670">
        <f>[53]노임단가!$T$5</f>
        <v>172068</v>
      </c>
      <c r="J2052" s="670">
        <f t="shared" si="419"/>
        <v>24588</v>
      </c>
      <c r="K2052" s="670"/>
      <c r="L2052" s="670"/>
      <c r="M2052" s="670">
        <f t="shared" si="420"/>
        <v>172068</v>
      </c>
      <c r="N2052" s="670">
        <f t="shared" si="420"/>
        <v>24588</v>
      </c>
      <c r="O2052" s="671"/>
      <c r="P2052" s="672"/>
      <c r="Q2052" s="688">
        <f t="shared" si="418"/>
        <v>504</v>
      </c>
      <c r="R2052" s="688">
        <f t="shared" si="418"/>
        <v>5.04</v>
      </c>
      <c r="S2052" s="688">
        <v>8</v>
      </c>
      <c r="T2052" s="690">
        <f t="shared" si="417"/>
        <v>1.5872999999999999</v>
      </c>
    </row>
    <row r="2053" spans="1:20" s="665" customFormat="1" ht="17.100000000000001" customHeight="1">
      <c r="A2053" s="1316" t="s">
        <v>490</v>
      </c>
      <c r="B2053" s="1317"/>
      <c r="C2053" s="1316" t="s">
        <v>491</v>
      </c>
      <c r="D2053" s="1317"/>
      <c r="E2053" s="683">
        <f t="shared" si="421"/>
        <v>1.1429</v>
      </c>
      <c r="F2053" s="676" t="s">
        <v>418</v>
      </c>
      <c r="G2053" s="670" t="e">
        <f>#REF!</f>
        <v>#REF!</v>
      </c>
      <c r="H2053" s="670" t="e">
        <f t="shared" ref="H2053:H2061" si="422">INT(E2053*G2053)</f>
        <v>#REF!</v>
      </c>
      <c r="I2053" s="670" t="e">
        <f>#REF!</f>
        <v>#REF!</v>
      </c>
      <c r="J2053" s="670" t="e">
        <f t="shared" si="419"/>
        <v>#REF!</v>
      </c>
      <c r="K2053" s="670" t="e">
        <f>#REF!</f>
        <v>#REF!</v>
      </c>
      <c r="L2053" s="670" t="e">
        <f t="shared" ref="L2053:L2061" si="423">INT(E2053*K2053)</f>
        <v>#REF!</v>
      </c>
      <c r="M2053" s="670" t="e">
        <f t="shared" si="420"/>
        <v>#REF!</v>
      </c>
      <c r="N2053" s="670" t="e">
        <f t="shared" si="420"/>
        <v>#REF!</v>
      </c>
      <c r="O2053" s="671"/>
      <c r="P2053" s="672"/>
      <c r="Q2053" s="688"/>
      <c r="R2053" s="688"/>
      <c r="S2053" s="688"/>
      <c r="T2053" s="690"/>
    </row>
    <row r="2054" spans="1:20" s="665" customFormat="1" ht="17.100000000000001" customHeight="1">
      <c r="A2054" s="1316" t="s">
        <v>2048</v>
      </c>
      <c r="B2054" s="1317"/>
      <c r="C2054" s="1316" t="s">
        <v>1146</v>
      </c>
      <c r="D2054" s="1317"/>
      <c r="E2054" s="683">
        <f t="shared" si="421"/>
        <v>0.57140000000000002</v>
      </c>
      <c r="F2054" s="676" t="s">
        <v>418</v>
      </c>
      <c r="G2054" s="670" t="e">
        <f>#REF!+#REF!</f>
        <v>#REF!</v>
      </c>
      <c r="H2054" s="670" t="e">
        <f t="shared" si="422"/>
        <v>#REF!</v>
      </c>
      <c r="I2054" s="670" t="e">
        <f>#REF!+#REF!</f>
        <v>#REF!</v>
      </c>
      <c r="J2054" s="670" t="e">
        <f t="shared" si="419"/>
        <v>#REF!</v>
      </c>
      <c r="K2054" s="670" t="e">
        <f>#REF!+#REF!</f>
        <v>#REF!</v>
      </c>
      <c r="L2054" s="670" t="e">
        <f t="shared" si="423"/>
        <v>#REF!</v>
      </c>
      <c r="M2054" s="670" t="e">
        <f t="shared" si="420"/>
        <v>#REF!</v>
      </c>
      <c r="N2054" s="670" t="e">
        <f t="shared" si="420"/>
        <v>#REF!</v>
      </c>
      <c r="O2054" s="671"/>
      <c r="P2054" s="794" t="s">
        <v>2046</v>
      </c>
      <c r="Q2054" s="687" t="s">
        <v>1446</v>
      </c>
      <c r="R2054" s="688" t="s">
        <v>1447</v>
      </c>
      <c r="S2054" s="688" t="s">
        <v>1425</v>
      </c>
      <c r="T2054" s="688" t="s">
        <v>1426</v>
      </c>
    </row>
    <row r="2055" spans="1:20" s="688" customFormat="1" ht="17.100000000000001" customHeight="1">
      <c r="A2055" s="1316" t="s">
        <v>515</v>
      </c>
      <c r="B2055" s="1317"/>
      <c r="C2055" s="1316" t="s">
        <v>555</v>
      </c>
      <c r="D2055" s="1317"/>
      <c r="E2055" s="683">
        <f t="shared" si="421"/>
        <v>1.7142999999999999</v>
      </c>
      <c r="F2055" s="676" t="s">
        <v>418</v>
      </c>
      <c r="G2055" s="670" t="e">
        <f>#REF!</f>
        <v>#REF!</v>
      </c>
      <c r="H2055" s="670" t="e">
        <f t="shared" si="422"/>
        <v>#REF!</v>
      </c>
      <c r="I2055" s="670" t="e">
        <f>#REF!</f>
        <v>#REF!</v>
      </c>
      <c r="J2055" s="670" t="e">
        <f t="shared" si="419"/>
        <v>#REF!</v>
      </c>
      <c r="K2055" s="670" t="e">
        <f>#REF!</f>
        <v>#REF!</v>
      </c>
      <c r="L2055" s="670" t="e">
        <f t="shared" si="423"/>
        <v>#REF!</v>
      </c>
      <c r="M2055" s="670" t="e">
        <f t="shared" si="420"/>
        <v>#REF!</v>
      </c>
      <c r="N2055" s="670" t="e">
        <f t="shared" si="420"/>
        <v>#REF!</v>
      </c>
      <c r="O2055" s="671"/>
      <c r="P2055" s="672"/>
      <c r="Q2055" s="688">
        <f>400*0.79</f>
        <v>316</v>
      </c>
      <c r="R2055" s="688">
        <f>(Q2055)/100</f>
        <v>3.16</v>
      </c>
      <c r="S2055" s="688">
        <v>0</v>
      </c>
      <c r="T2055" s="690"/>
    </row>
    <row r="2056" spans="1:20" s="688" customFormat="1" ht="17.100000000000001" customHeight="1">
      <c r="A2056" s="1316" t="s">
        <v>1209</v>
      </c>
      <c r="B2056" s="1317"/>
      <c r="C2056" s="1316" t="s">
        <v>2011</v>
      </c>
      <c r="D2056" s="1317"/>
      <c r="E2056" s="683">
        <f t="shared" si="421"/>
        <v>0.57140000000000002</v>
      </c>
      <c r="F2056" s="676" t="s">
        <v>418</v>
      </c>
      <c r="G2056" s="670" t="e">
        <f>#REF!</f>
        <v>#REF!</v>
      </c>
      <c r="H2056" s="670" t="e">
        <f t="shared" si="422"/>
        <v>#REF!</v>
      </c>
      <c r="I2056" s="670" t="e">
        <f>#REF!</f>
        <v>#REF!</v>
      </c>
      <c r="J2056" s="670" t="e">
        <f t="shared" si="419"/>
        <v>#REF!</v>
      </c>
      <c r="K2056" s="670" t="e">
        <f>#REF!</f>
        <v>#REF!</v>
      </c>
      <c r="L2056" s="670" t="e">
        <f t="shared" si="423"/>
        <v>#REF!</v>
      </c>
      <c r="M2056" s="670" t="e">
        <f t="shared" si="420"/>
        <v>#REF!</v>
      </c>
      <c r="N2056" s="670" t="e">
        <f t="shared" si="420"/>
        <v>#REF!</v>
      </c>
      <c r="O2056" s="671"/>
      <c r="P2056" s="672"/>
      <c r="Q2056" s="688">
        <f>Q2055</f>
        <v>316</v>
      </c>
      <c r="R2056" s="688">
        <f>R2055</f>
        <v>3.16</v>
      </c>
      <c r="S2056" s="688">
        <v>3</v>
      </c>
      <c r="T2056" s="690">
        <f t="shared" ref="T2056:T2063" si="424">ROUND(S2056/R2056,4)</f>
        <v>0.94940000000000002</v>
      </c>
    </row>
    <row r="2057" spans="1:20" s="688" customFormat="1" ht="17.100000000000001" customHeight="1">
      <c r="A2057" s="1316" t="s">
        <v>1172</v>
      </c>
      <c r="B2057" s="1317"/>
      <c r="C2057" s="1316" t="s">
        <v>1175</v>
      </c>
      <c r="D2057" s="1317"/>
      <c r="E2057" s="683">
        <f t="shared" si="421"/>
        <v>0.57140000000000002</v>
      </c>
      <c r="F2057" s="676" t="s">
        <v>418</v>
      </c>
      <c r="G2057" s="670" t="e">
        <f>#REF!</f>
        <v>#REF!</v>
      </c>
      <c r="H2057" s="670" t="e">
        <f t="shared" si="422"/>
        <v>#REF!</v>
      </c>
      <c r="I2057" s="670" t="e">
        <f>#REF!</f>
        <v>#REF!</v>
      </c>
      <c r="J2057" s="670" t="e">
        <f t="shared" si="419"/>
        <v>#REF!</v>
      </c>
      <c r="K2057" s="670" t="e">
        <f>#REF!</f>
        <v>#REF!</v>
      </c>
      <c r="L2057" s="670" t="e">
        <f t="shared" si="423"/>
        <v>#REF!</v>
      </c>
      <c r="M2057" s="670" t="e">
        <f t="shared" si="420"/>
        <v>#REF!</v>
      </c>
      <c r="N2057" s="670" t="e">
        <f t="shared" si="420"/>
        <v>#REF!</v>
      </c>
      <c r="O2057" s="671"/>
      <c r="P2057" s="672"/>
      <c r="Q2057" s="688">
        <f>Q2056</f>
        <v>316</v>
      </c>
      <c r="R2057" s="688">
        <f>R2056</f>
        <v>3.16</v>
      </c>
      <c r="S2057" s="688">
        <v>1</v>
      </c>
      <c r="T2057" s="690">
        <f t="shared" si="424"/>
        <v>0.3165</v>
      </c>
    </row>
    <row r="2058" spans="1:20" s="688" customFormat="1" ht="17.100000000000001" customHeight="1">
      <c r="A2058" s="1316" t="s">
        <v>1188</v>
      </c>
      <c r="B2058" s="1317"/>
      <c r="C2058" s="1316" t="s">
        <v>1190</v>
      </c>
      <c r="D2058" s="1317"/>
      <c r="E2058" s="683">
        <f t="shared" si="421"/>
        <v>0.57140000000000002</v>
      </c>
      <c r="F2058" s="676" t="s">
        <v>418</v>
      </c>
      <c r="G2058" s="670" t="e">
        <f>#REF!</f>
        <v>#REF!</v>
      </c>
      <c r="H2058" s="670" t="e">
        <f t="shared" si="422"/>
        <v>#REF!</v>
      </c>
      <c r="I2058" s="670" t="e">
        <f>#REF!</f>
        <v>#REF!</v>
      </c>
      <c r="J2058" s="670" t="e">
        <f t="shared" si="419"/>
        <v>#REF!</v>
      </c>
      <c r="K2058" s="670" t="e">
        <f>#REF!</f>
        <v>#REF!</v>
      </c>
      <c r="L2058" s="670" t="e">
        <f t="shared" si="423"/>
        <v>#REF!</v>
      </c>
      <c r="M2058" s="670" t="e">
        <f t="shared" si="420"/>
        <v>#REF!</v>
      </c>
      <c r="N2058" s="670" t="e">
        <f t="shared" si="420"/>
        <v>#REF!</v>
      </c>
      <c r="O2058" s="671"/>
      <c r="P2058" s="672"/>
      <c r="Q2058" s="688">
        <f t="shared" ref="Q2058:R2063" si="425">Q2057</f>
        <v>316</v>
      </c>
      <c r="R2058" s="688">
        <f t="shared" si="425"/>
        <v>3.16</v>
      </c>
      <c r="S2058" s="688">
        <v>8</v>
      </c>
      <c r="T2058" s="690">
        <f t="shared" si="424"/>
        <v>2.5316000000000001</v>
      </c>
    </row>
    <row r="2059" spans="1:20" s="688" customFormat="1" ht="17.100000000000001" customHeight="1">
      <c r="A2059" s="1316" t="s">
        <v>1177</v>
      </c>
      <c r="B2059" s="1317"/>
      <c r="C2059" s="1316" t="s">
        <v>1178</v>
      </c>
      <c r="D2059" s="1317"/>
      <c r="E2059" s="683">
        <f t="shared" si="421"/>
        <v>0.57140000000000002</v>
      </c>
      <c r="F2059" s="676" t="s">
        <v>418</v>
      </c>
      <c r="G2059" s="670" t="e">
        <f>#REF!</f>
        <v>#REF!</v>
      </c>
      <c r="H2059" s="670" t="e">
        <f t="shared" si="422"/>
        <v>#REF!</v>
      </c>
      <c r="I2059" s="670" t="e">
        <f>#REF!</f>
        <v>#REF!</v>
      </c>
      <c r="J2059" s="670" t="e">
        <f t="shared" si="419"/>
        <v>#REF!</v>
      </c>
      <c r="K2059" s="670" t="e">
        <f>#REF!</f>
        <v>#REF!</v>
      </c>
      <c r="L2059" s="670" t="e">
        <f t="shared" si="423"/>
        <v>#REF!</v>
      </c>
      <c r="M2059" s="670" t="e">
        <f t="shared" si="420"/>
        <v>#REF!</v>
      </c>
      <c r="N2059" s="670" t="e">
        <f t="shared" si="420"/>
        <v>#REF!</v>
      </c>
      <c r="O2059" s="671"/>
      <c r="P2059" s="672"/>
      <c r="Q2059" s="688">
        <f t="shared" si="425"/>
        <v>316</v>
      </c>
      <c r="R2059" s="688">
        <f t="shared" si="425"/>
        <v>3.16</v>
      </c>
      <c r="S2059" s="688">
        <v>8</v>
      </c>
      <c r="T2059" s="690">
        <f t="shared" si="424"/>
        <v>2.5316000000000001</v>
      </c>
    </row>
    <row r="2060" spans="1:20" s="688" customFormat="1" ht="17.100000000000001" customHeight="1">
      <c r="A2060" s="1316" t="s">
        <v>1997</v>
      </c>
      <c r="B2060" s="1317"/>
      <c r="C2060" s="1316" t="s">
        <v>1998</v>
      </c>
      <c r="D2060" s="1317"/>
      <c r="E2060" s="683">
        <f t="shared" si="421"/>
        <v>0.57140000000000002</v>
      </c>
      <c r="F2060" s="676" t="s">
        <v>418</v>
      </c>
      <c r="G2060" s="670" t="e">
        <f>#REF!</f>
        <v>#REF!</v>
      </c>
      <c r="H2060" s="670" t="e">
        <f t="shared" si="422"/>
        <v>#REF!</v>
      </c>
      <c r="I2060" s="670" t="e">
        <f>#REF!</f>
        <v>#REF!</v>
      </c>
      <c r="J2060" s="670" t="e">
        <f t="shared" si="419"/>
        <v>#REF!</v>
      </c>
      <c r="K2060" s="670" t="e">
        <f>#REF!</f>
        <v>#REF!</v>
      </c>
      <c r="L2060" s="670" t="e">
        <f t="shared" si="423"/>
        <v>#REF!</v>
      </c>
      <c r="M2060" s="670" t="e">
        <f t="shared" si="420"/>
        <v>#REF!</v>
      </c>
      <c r="N2060" s="670" t="e">
        <f t="shared" si="420"/>
        <v>#REF!</v>
      </c>
      <c r="O2060" s="671"/>
      <c r="P2060" s="672"/>
      <c r="Q2060" s="688">
        <f t="shared" si="425"/>
        <v>316</v>
      </c>
      <c r="R2060" s="688">
        <f t="shared" si="425"/>
        <v>3.16</v>
      </c>
      <c r="S2060" s="688">
        <v>8</v>
      </c>
      <c r="T2060" s="690">
        <f t="shared" si="424"/>
        <v>2.5316000000000001</v>
      </c>
    </row>
    <row r="2061" spans="1:20" s="688" customFormat="1" ht="17.100000000000001" customHeight="1">
      <c r="A2061" s="1316" t="s">
        <v>630</v>
      </c>
      <c r="B2061" s="1317"/>
      <c r="C2061" s="1316" t="s">
        <v>1253</v>
      </c>
      <c r="D2061" s="1317"/>
      <c r="E2061" s="683">
        <f t="shared" si="421"/>
        <v>0.57140000000000002</v>
      </c>
      <c r="F2061" s="676" t="s">
        <v>418</v>
      </c>
      <c r="G2061" s="670" t="e">
        <f>#REF!</f>
        <v>#REF!</v>
      </c>
      <c r="H2061" s="670" t="e">
        <f t="shared" si="422"/>
        <v>#REF!</v>
      </c>
      <c r="I2061" s="670" t="e">
        <f>#REF!</f>
        <v>#REF!</v>
      </c>
      <c r="J2061" s="670" t="e">
        <f t="shared" si="419"/>
        <v>#REF!</v>
      </c>
      <c r="K2061" s="670" t="e">
        <f>#REF!</f>
        <v>#REF!</v>
      </c>
      <c r="L2061" s="670" t="e">
        <f t="shared" si="423"/>
        <v>#REF!</v>
      </c>
      <c r="M2061" s="670" t="e">
        <f t="shared" si="420"/>
        <v>#REF!</v>
      </c>
      <c r="N2061" s="670" t="e">
        <f t="shared" si="420"/>
        <v>#REF!</v>
      </c>
      <c r="O2061" s="671"/>
      <c r="P2061" s="672"/>
      <c r="Q2061" s="688">
        <f t="shared" si="425"/>
        <v>316</v>
      </c>
      <c r="R2061" s="688">
        <f t="shared" si="425"/>
        <v>3.16</v>
      </c>
      <c r="S2061" s="688">
        <v>8</v>
      </c>
      <c r="T2061" s="690">
        <f t="shared" si="424"/>
        <v>2.5316000000000001</v>
      </c>
    </row>
    <row r="2062" spans="1:20" s="688" customFormat="1" ht="17.100000000000001" customHeight="1">
      <c r="A2062" s="1318" t="s">
        <v>1320</v>
      </c>
      <c r="B2062" s="1319"/>
      <c r="C2062" s="1316"/>
      <c r="D2062" s="1317"/>
      <c r="E2062" s="686"/>
      <c r="F2062" s="676"/>
      <c r="G2062" s="670"/>
      <c r="H2062" s="670" t="e">
        <f>SUM(H2051:H2061)</f>
        <v>#REF!</v>
      </c>
      <c r="I2062" s="670"/>
      <c r="J2062" s="670" t="e">
        <f>SUM(J2051:J2061)</f>
        <v>#REF!</v>
      </c>
      <c r="K2062" s="670"/>
      <c r="L2062" s="670" t="e">
        <f>SUM(L2051:L2061)</f>
        <v>#REF!</v>
      </c>
      <c r="M2062" s="670"/>
      <c r="N2062" s="670" t="e">
        <f>SUM(N2051:N2061)</f>
        <v>#REF!</v>
      </c>
      <c r="O2062" s="671"/>
      <c r="P2062" s="672"/>
      <c r="Q2062" s="688">
        <f t="shared" si="425"/>
        <v>316</v>
      </c>
      <c r="R2062" s="688">
        <f t="shared" si="425"/>
        <v>3.16</v>
      </c>
      <c r="S2062" s="688">
        <v>8</v>
      </c>
      <c r="T2062" s="690">
        <f t="shared" si="424"/>
        <v>2.5316000000000001</v>
      </c>
    </row>
    <row r="2063" spans="1:20" s="688" customFormat="1" ht="17.100000000000001" customHeight="1">
      <c r="A2063" s="671">
        <f>A2049+1</f>
        <v>326</v>
      </c>
      <c r="B2063" s="1355" t="s">
        <v>2062</v>
      </c>
      <c r="C2063" s="1355"/>
      <c r="D2063" s="1355" t="s">
        <v>2063</v>
      </c>
      <c r="E2063" s="1355"/>
      <c r="F2063" s="676" t="s">
        <v>1458</v>
      </c>
      <c r="G2063" s="670"/>
      <c r="H2063" s="670"/>
      <c r="I2063" s="670"/>
      <c r="J2063" s="670"/>
      <c r="K2063" s="670"/>
      <c r="L2063" s="670"/>
      <c r="M2063" s="670"/>
      <c r="N2063" s="670"/>
      <c r="O2063" s="751" t="s">
        <v>1562</v>
      </c>
      <c r="P2063" s="672"/>
      <c r="Q2063" s="688">
        <f t="shared" si="425"/>
        <v>316</v>
      </c>
      <c r="R2063" s="688">
        <f t="shared" si="425"/>
        <v>3.16</v>
      </c>
      <c r="S2063" s="688">
        <v>8</v>
      </c>
      <c r="T2063" s="690">
        <f t="shared" si="424"/>
        <v>2.5316000000000001</v>
      </c>
    </row>
    <row r="2064" spans="1:20" s="665" customFormat="1" ht="17.100000000000001" customHeight="1">
      <c r="A2064" s="1355" t="s">
        <v>1676</v>
      </c>
      <c r="B2064" s="1355"/>
      <c r="C2064" s="1355" t="s">
        <v>1827</v>
      </c>
      <c r="D2064" s="1355"/>
      <c r="E2064" s="686"/>
      <c r="F2064" s="676" t="s">
        <v>915</v>
      </c>
      <c r="G2064" s="670"/>
      <c r="H2064" s="670"/>
      <c r="I2064" s="670"/>
      <c r="J2064" s="670"/>
      <c r="K2064" s="670"/>
      <c r="L2064" s="670"/>
      <c r="M2064" s="670"/>
      <c r="N2064" s="670"/>
      <c r="O2064" s="671"/>
      <c r="P2064" s="672"/>
      <c r="Q2064" s="688"/>
      <c r="R2064" s="688"/>
      <c r="S2064" s="688"/>
      <c r="T2064" s="690"/>
    </row>
    <row r="2065" spans="1:20" s="665" customFormat="1" ht="17.100000000000001" customHeight="1">
      <c r="A2065" s="1355" t="s">
        <v>540</v>
      </c>
      <c r="B2065" s="1355"/>
      <c r="C2065" s="1355"/>
      <c r="D2065" s="1355"/>
      <c r="E2065" s="683">
        <v>0.75</v>
      </c>
      <c r="F2065" s="676" t="s">
        <v>366</v>
      </c>
      <c r="G2065" s="670"/>
      <c r="H2065" s="670"/>
      <c r="I2065" s="670">
        <f>[53]노임단가!$T$22</f>
        <v>273308</v>
      </c>
      <c r="J2065" s="670">
        <f t="shared" ref="J2065:J2072" si="426">INT(E2065*I2065)</f>
        <v>204981</v>
      </c>
      <c r="K2065" s="670"/>
      <c r="L2065" s="670"/>
      <c r="M2065" s="670">
        <f t="shared" ref="M2065:N2072" si="427">G2065+I2065+K2065</f>
        <v>273308</v>
      </c>
      <c r="N2065" s="670">
        <f t="shared" si="427"/>
        <v>204981</v>
      </c>
      <c r="O2065" s="671"/>
      <c r="P2065" s="794" t="s">
        <v>2046</v>
      </c>
      <c r="Q2065" s="687" t="s">
        <v>1446</v>
      </c>
      <c r="R2065" s="688" t="s">
        <v>1447</v>
      </c>
      <c r="S2065" s="688" t="s">
        <v>1425</v>
      </c>
      <c r="T2065" s="688" t="s">
        <v>1426</v>
      </c>
    </row>
    <row r="2066" spans="1:20" s="688" customFormat="1" ht="17.100000000000001" customHeight="1">
      <c r="A2066" s="1355" t="s">
        <v>248</v>
      </c>
      <c r="B2066" s="1355"/>
      <c r="C2066" s="1355"/>
      <c r="D2066" s="1355"/>
      <c r="E2066" s="683">
        <v>0.25</v>
      </c>
      <c r="F2066" s="676" t="s">
        <v>366</v>
      </c>
      <c r="G2066" s="670"/>
      <c r="H2066" s="670"/>
      <c r="I2066" s="670">
        <f>[53]노임단가!$T$5</f>
        <v>172068</v>
      </c>
      <c r="J2066" s="670">
        <f t="shared" si="426"/>
        <v>43017</v>
      </c>
      <c r="K2066" s="670"/>
      <c r="L2066" s="670"/>
      <c r="M2066" s="670">
        <f t="shared" si="427"/>
        <v>172068</v>
      </c>
      <c r="N2066" s="670">
        <f t="shared" si="427"/>
        <v>43017</v>
      </c>
      <c r="O2066" s="671"/>
      <c r="P2066" s="672"/>
      <c r="Q2066" s="688">
        <v>140</v>
      </c>
      <c r="R2066" s="688">
        <f>(Q2066)/100</f>
        <v>1.4</v>
      </c>
      <c r="S2066" s="688">
        <v>0</v>
      </c>
      <c r="T2066" s="690"/>
    </row>
    <row r="2067" spans="1:20" s="688" customFormat="1" ht="17.100000000000001" customHeight="1">
      <c r="A2067" s="1355" t="s">
        <v>2048</v>
      </c>
      <c r="B2067" s="1355"/>
      <c r="C2067" s="1355" t="s">
        <v>1146</v>
      </c>
      <c r="D2067" s="1355"/>
      <c r="E2067" s="683">
        <v>2</v>
      </c>
      <c r="F2067" s="676" t="s">
        <v>418</v>
      </c>
      <c r="G2067" s="670" t="e">
        <f>#REF!+#REF!</f>
        <v>#REF!</v>
      </c>
      <c r="H2067" s="670" t="e">
        <f t="shared" ref="H2067:H2072" si="428">INT(E2067*G2067)</f>
        <v>#REF!</v>
      </c>
      <c r="I2067" s="670" t="e">
        <f>#REF!+#REF!</f>
        <v>#REF!</v>
      </c>
      <c r="J2067" s="670" t="e">
        <f t="shared" si="426"/>
        <v>#REF!</v>
      </c>
      <c r="K2067" s="670" t="e">
        <f>#REF!+#REF!</f>
        <v>#REF!</v>
      </c>
      <c r="L2067" s="670" t="e">
        <f t="shared" ref="L2067:L2072" si="429">INT(E2067*K2067)</f>
        <v>#REF!</v>
      </c>
      <c r="M2067" s="670" t="e">
        <f t="shared" si="427"/>
        <v>#REF!</v>
      </c>
      <c r="N2067" s="670" t="e">
        <f t="shared" si="427"/>
        <v>#REF!</v>
      </c>
      <c r="O2067" s="671"/>
      <c r="P2067" s="672"/>
      <c r="Q2067" s="688">
        <f>Q2066</f>
        <v>140</v>
      </c>
      <c r="R2067" s="688">
        <f>R2066</f>
        <v>1.4</v>
      </c>
      <c r="S2067" s="688">
        <v>3</v>
      </c>
      <c r="T2067" s="690">
        <f t="shared" ref="T2067:T2074" si="430">ROUND(S2067/R2067,4)</f>
        <v>2.1429</v>
      </c>
    </row>
    <row r="2068" spans="1:20" s="688" customFormat="1" ht="17.100000000000001" customHeight="1">
      <c r="A2068" s="1355" t="s">
        <v>515</v>
      </c>
      <c r="B2068" s="1355"/>
      <c r="C2068" s="1355" t="s">
        <v>555</v>
      </c>
      <c r="D2068" s="1355"/>
      <c r="E2068" s="683">
        <v>2</v>
      </c>
      <c r="F2068" s="676" t="s">
        <v>418</v>
      </c>
      <c r="G2068" s="670" t="e">
        <f>#REF!</f>
        <v>#REF!</v>
      </c>
      <c r="H2068" s="750" t="e">
        <f>INT(E2068*G2068)</f>
        <v>#REF!</v>
      </c>
      <c r="I2068" s="670" t="e">
        <f>#REF!</f>
        <v>#REF!</v>
      </c>
      <c r="J2068" s="750" t="e">
        <f t="shared" si="426"/>
        <v>#REF!</v>
      </c>
      <c r="K2068" s="670" t="e">
        <f>#REF!</f>
        <v>#REF!</v>
      </c>
      <c r="L2068" s="750" t="e">
        <f>INT(E2068*K2068)</f>
        <v>#REF!</v>
      </c>
      <c r="M2068" s="750" t="e">
        <f t="shared" si="427"/>
        <v>#REF!</v>
      </c>
      <c r="N2068" s="670" t="e">
        <f t="shared" si="427"/>
        <v>#REF!</v>
      </c>
      <c r="O2068" s="671"/>
      <c r="P2068" s="672"/>
      <c r="Q2068" s="688">
        <f>Q2067</f>
        <v>140</v>
      </c>
      <c r="R2068" s="688">
        <f>R2067</f>
        <v>1.4</v>
      </c>
      <c r="S2068" s="688">
        <v>1</v>
      </c>
      <c r="T2068" s="690">
        <f t="shared" si="430"/>
        <v>0.71430000000000005</v>
      </c>
    </row>
    <row r="2069" spans="1:20" s="688" customFormat="1" ht="17.100000000000001" customHeight="1">
      <c r="A2069" s="1355" t="s">
        <v>1183</v>
      </c>
      <c r="B2069" s="1355"/>
      <c r="C2069" s="1355" t="s">
        <v>642</v>
      </c>
      <c r="D2069" s="1355"/>
      <c r="E2069" s="683">
        <v>2</v>
      </c>
      <c r="F2069" s="676" t="s">
        <v>418</v>
      </c>
      <c r="G2069" s="670" t="e">
        <f>#REF!</f>
        <v>#REF!</v>
      </c>
      <c r="H2069" s="670" t="e">
        <f t="shared" si="428"/>
        <v>#REF!</v>
      </c>
      <c r="I2069" s="670" t="e">
        <f>#REF!</f>
        <v>#REF!</v>
      </c>
      <c r="J2069" s="670" t="e">
        <f t="shared" si="426"/>
        <v>#REF!</v>
      </c>
      <c r="K2069" s="670" t="e">
        <f>#REF!</f>
        <v>#REF!</v>
      </c>
      <c r="L2069" s="670" t="e">
        <f t="shared" si="429"/>
        <v>#REF!</v>
      </c>
      <c r="M2069" s="670" t="e">
        <f t="shared" si="427"/>
        <v>#REF!</v>
      </c>
      <c r="N2069" s="670" t="e">
        <f t="shared" si="427"/>
        <v>#REF!</v>
      </c>
      <c r="O2069" s="671"/>
      <c r="P2069" s="672"/>
      <c r="Q2069" s="688">
        <f t="shared" ref="Q2069:R2074" si="431">Q2068</f>
        <v>140</v>
      </c>
      <c r="R2069" s="688">
        <f t="shared" si="431"/>
        <v>1.4</v>
      </c>
      <c r="S2069" s="688">
        <v>8</v>
      </c>
      <c r="T2069" s="690">
        <f t="shared" si="430"/>
        <v>5.7142999999999997</v>
      </c>
    </row>
    <row r="2070" spans="1:20" s="688" customFormat="1" ht="17.100000000000001" customHeight="1">
      <c r="A2070" s="1355" t="s">
        <v>1217</v>
      </c>
      <c r="B2070" s="1355"/>
      <c r="C2070" s="1355" t="s">
        <v>1218</v>
      </c>
      <c r="D2070" s="1355"/>
      <c r="E2070" s="683">
        <v>2</v>
      </c>
      <c r="F2070" s="676" t="s">
        <v>418</v>
      </c>
      <c r="G2070" s="670" t="e">
        <f>#REF!</f>
        <v>#REF!</v>
      </c>
      <c r="H2070" s="670" t="e">
        <f t="shared" si="428"/>
        <v>#REF!</v>
      </c>
      <c r="I2070" s="670" t="e">
        <f>#REF!</f>
        <v>#REF!</v>
      </c>
      <c r="J2070" s="670" t="e">
        <f t="shared" si="426"/>
        <v>#REF!</v>
      </c>
      <c r="K2070" s="670" t="e">
        <f>#REF!</f>
        <v>#REF!</v>
      </c>
      <c r="L2070" s="670" t="e">
        <f t="shared" si="429"/>
        <v>#REF!</v>
      </c>
      <c r="M2070" s="670" t="e">
        <f t="shared" si="427"/>
        <v>#REF!</v>
      </c>
      <c r="N2070" s="670" t="e">
        <f t="shared" si="427"/>
        <v>#REF!</v>
      </c>
      <c r="O2070" s="671"/>
      <c r="P2070" s="672"/>
      <c r="Q2070" s="688">
        <f t="shared" si="431"/>
        <v>140</v>
      </c>
      <c r="R2070" s="688">
        <f t="shared" si="431"/>
        <v>1.4</v>
      </c>
      <c r="S2070" s="688">
        <v>8</v>
      </c>
      <c r="T2070" s="690">
        <f t="shared" si="430"/>
        <v>5.7142999999999997</v>
      </c>
    </row>
    <row r="2071" spans="1:20" s="688" customFormat="1" ht="17.100000000000001" customHeight="1">
      <c r="A2071" s="1355" t="s">
        <v>1161</v>
      </c>
      <c r="B2071" s="1355"/>
      <c r="C2071" s="1355" t="s">
        <v>2064</v>
      </c>
      <c r="D2071" s="1355"/>
      <c r="E2071" s="683">
        <v>2</v>
      </c>
      <c r="F2071" s="676" t="s">
        <v>418</v>
      </c>
      <c r="G2071" s="670" t="e">
        <f>#REF!</f>
        <v>#REF!</v>
      </c>
      <c r="H2071" s="670" t="e">
        <f t="shared" si="428"/>
        <v>#REF!</v>
      </c>
      <c r="I2071" s="670" t="e">
        <f>#REF!</f>
        <v>#REF!</v>
      </c>
      <c r="J2071" s="670" t="e">
        <f t="shared" si="426"/>
        <v>#REF!</v>
      </c>
      <c r="K2071" s="670" t="e">
        <f>#REF!</f>
        <v>#REF!</v>
      </c>
      <c r="L2071" s="670" t="e">
        <f t="shared" si="429"/>
        <v>#REF!</v>
      </c>
      <c r="M2071" s="670" t="e">
        <f t="shared" si="427"/>
        <v>#REF!</v>
      </c>
      <c r="N2071" s="670" t="e">
        <f t="shared" si="427"/>
        <v>#REF!</v>
      </c>
      <c r="O2071" s="671"/>
      <c r="P2071" s="672"/>
      <c r="Q2071" s="688">
        <f t="shared" si="431"/>
        <v>140</v>
      </c>
      <c r="R2071" s="688">
        <f t="shared" si="431"/>
        <v>1.4</v>
      </c>
      <c r="S2071" s="688">
        <v>8</v>
      </c>
      <c r="T2071" s="690">
        <f t="shared" si="430"/>
        <v>5.7142999999999997</v>
      </c>
    </row>
    <row r="2072" spans="1:20" s="688" customFormat="1" ht="17.100000000000001" customHeight="1">
      <c r="A2072" s="1355" t="s">
        <v>1161</v>
      </c>
      <c r="B2072" s="1355"/>
      <c r="C2072" s="1355" t="s">
        <v>2065</v>
      </c>
      <c r="D2072" s="1355"/>
      <c r="E2072" s="683">
        <v>2</v>
      </c>
      <c r="F2072" s="676" t="s">
        <v>418</v>
      </c>
      <c r="G2072" s="670" t="e">
        <f>#REF!</f>
        <v>#REF!</v>
      </c>
      <c r="H2072" s="670" t="e">
        <f t="shared" si="428"/>
        <v>#REF!</v>
      </c>
      <c r="I2072" s="670" t="e">
        <f>#REF!</f>
        <v>#REF!</v>
      </c>
      <c r="J2072" s="670" t="e">
        <f t="shared" si="426"/>
        <v>#REF!</v>
      </c>
      <c r="K2072" s="670" t="e">
        <f>#REF!</f>
        <v>#REF!</v>
      </c>
      <c r="L2072" s="670" t="e">
        <f t="shared" si="429"/>
        <v>#REF!</v>
      </c>
      <c r="M2072" s="670" t="e">
        <f t="shared" si="427"/>
        <v>#REF!</v>
      </c>
      <c r="N2072" s="670" t="e">
        <f t="shared" si="427"/>
        <v>#REF!</v>
      </c>
      <c r="O2072" s="671"/>
      <c r="P2072" s="672"/>
      <c r="Q2072" s="688">
        <f t="shared" si="431"/>
        <v>140</v>
      </c>
      <c r="R2072" s="688">
        <f t="shared" si="431"/>
        <v>1.4</v>
      </c>
      <c r="S2072" s="688">
        <v>8</v>
      </c>
      <c r="T2072" s="690">
        <f t="shared" si="430"/>
        <v>5.7142999999999997</v>
      </c>
    </row>
    <row r="2073" spans="1:20" s="688" customFormat="1" ht="17.100000000000001" customHeight="1">
      <c r="A2073" s="1354" t="s">
        <v>1320</v>
      </c>
      <c r="B2073" s="1354"/>
      <c r="C2073" s="1355"/>
      <c r="D2073" s="1355"/>
      <c r="E2073" s="686"/>
      <c r="F2073" s="676"/>
      <c r="G2073" s="670"/>
      <c r="H2073" s="670" t="e">
        <f>SUM(H2064:H2072)</f>
        <v>#REF!</v>
      </c>
      <c r="I2073" s="670"/>
      <c r="J2073" s="670" t="e">
        <f>SUM(J2064:J2072)</f>
        <v>#REF!</v>
      </c>
      <c r="K2073" s="670"/>
      <c r="L2073" s="670" t="e">
        <f>SUM(L2064:L2072)</f>
        <v>#REF!</v>
      </c>
      <c r="M2073" s="670"/>
      <c r="N2073" s="670" t="e">
        <f>SUM(N2064:N2072)</f>
        <v>#REF!</v>
      </c>
      <c r="O2073" s="671"/>
      <c r="P2073" s="672"/>
      <c r="Q2073" s="688">
        <f t="shared" si="431"/>
        <v>140</v>
      </c>
      <c r="R2073" s="688">
        <f t="shared" si="431"/>
        <v>1.4</v>
      </c>
      <c r="S2073" s="688">
        <v>8</v>
      </c>
      <c r="T2073" s="690">
        <f t="shared" si="430"/>
        <v>5.7142999999999997</v>
      </c>
    </row>
    <row r="2074" spans="1:20" s="688" customFormat="1" ht="17.100000000000001" customHeight="1">
      <c r="A2074" s="671">
        <f>A2063+1</f>
        <v>327</v>
      </c>
      <c r="B2074" s="1355" t="s">
        <v>2062</v>
      </c>
      <c r="C2074" s="1355"/>
      <c r="D2074" s="1355" t="s">
        <v>2066</v>
      </c>
      <c r="E2074" s="1355"/>
      <c r="F2074" s="676" t="s">
        <v>1458</v>
      </c>
      <c r="G2074" s="670"/>
      <c r="H2074" s="670"/>
      <c r="I2074" s="670"/>
      <c r="J2074" s="670"/>
      <c r="K2074" s="670"/>
      <c r="L2074" s="670"/>
      <c r="M2074" s="670"/>
      <c r="N2074" s="670"/>
      <c r="O2074" s="751" t="s">
        <v>1562</v>
      </c>
      <c r="P2074" s="672"/>
      <c r="Q2074" s="688">
        <f t="shared" si="431"/>
        <v>140</v>
      </c>
      <c r="R2074" s="688">
        <f t="shared" si="431"/>
        <v>1.4</v>
      </c>
      <c r="S2074" s="688">
        <v>8</v>
      </c>
      <c r="T2074" s="690">
        <f t="shared" si="430"/>
        <v>5.7142999999999997</v>
      </c>
    </row>
    <row r="2075" spans="1:20" s="665" customFormat="1" ht="17.100000000000001" customHeight="1">
      <c r="A2075" s="1355" t="s">
        <v>1676</v>
      </c>
      <c r="B2075" s="1355"/>
      <c r="C2075" s="1355" t="s">
        <v>1827</v>
      </c>
      <c r="D2075" s="1355"/>
      <c r="E2075" s="686"/>
      <c r="F2075" s="676" t="s">
        <v>915</v>
      </c>
      <c r="G2075" s="670"/>
      <c r="H2075" s="670"/>
      <c r="I2075" s="670"/>
      <c r="J2075" s="670"/>
      <c r="K2075" s="670"/>
      <c r="L2075" s="670"/>
      <c r="M2075" s="670"/>
      <c r="N2075" s="670"/>
      <c r="O2075" s="671"/>
      <c r="P2075" s="672"/>
      <c r="Q2075" s="688"/>
      <c r="R2075" s="688"/>
      <c r="S2075" s="688"/>
      <c r="T2075" s="690"/>
    </row>
    <row r="2076" spans="1:20" s="665" customFormat="1" ht="17.100000000000001" customHeight="1">
      <c r="A2076" s="1355" t="s">
        <v>540</v>
      </c>
      <c r="B2076" s="1355"/>
      <c r="C2076" s="1355"/>
      <c r="D2076" s="1355"/>
      <c r="E2076" s="683">
        <v>0.59519999999999995</v>
      </c>
      <c r="F2076" s="676" t="s">
        <v>366</v>
      </c>
      <c r="G2076" s="670"/>
      <c r="H2076" s="670"/>
      <c r="I2076" s="670">
        <f>[53]노임단가!$T$22</f>
        <v>273308</v>
      </c>
      <c r="J2076" s="670">
        <f t="shared" ref="J2076:J2083" si="432">INT(E2076*I2076)</f>
        <v>162672</v>
      </c>
      <c r="K2076" s="670"/>
      <c r="L2076" s="670"/>
      <c r="M2076" s="670">
        <f>G2076+I2076+K2076</f>
        <v>273308</v>
      </c>
      <c r="N2076" s="670">
        <f>H2076+J2076+L2076</f>
        <v>162672</v>
      </c>
      <c r="O2076" s="671"/>
      <c r="P2076" s="794" t="s">
        <v>2046</v>
      </c>
      <c r="Q2076" s="687" t="s">
        <v>1446</v>
      </c>
      <c r="R2076" s="688" t="s">
        <v>1447</v>
      </c>
      <c r="S2076" s="688" t="s">
        <v>1425</v>
      </c>
      <c r="T2076" s="688" t="s">
        <v>1426</v>
      </c>
    </row>
    <row r="2077" spans="1:20" s="688" customFormat="1" ht="17.100000000000001" customHeight="1">
      <c r="A2077" s="1355" t="s">
        <v>248</v>
      </c>
      <c r="B2077" s="1355"/>
      <c r="C2077" s="1355"/>
      <c r="D2077" s="1355"/>
      <c r="E2077" s="683">
        <v>0.19839999999999999</v>
      </c>
      <c r="F2077" s="676" t="s">
        <v>366</v>
      </c>
      <c r="G2077" s="670"/>
      <c r="H2077" s="670"/>
      <c r="I2077" s="670">
        <f>[53]노임단가!$T$5</f>
        <v>172068</v>
      </c>
      <c r="J2077" s="670">
        <f t="shared" si="432"/>
        <v>34138</v>
      </c>
      <c r="K2077" s="670"/>
      <c r="L2077" s="670"/>
      <c r="M2077" s="670">
        <f>G2077+I2077+K2077</f>
        <v>172068</v>
      </c>
      <c r="N2077" s="670">
        <f>H2077+J2077+L2077</f>
        <v>34138</v>
      </c>
      <c r="O2077" s="671"/>
      <c r="P2077" s="672"/>
      <c r="Q2077" s="688">
        <f>140*1.26</f>
        <v>176.4</v>
      </c>
      <c r="R2077" s="688">
        <f>(Q2077)/100</f>
        <v>1.764</v>
      </c>
      <c r="S2077" s="688">
        <v>0</v>
      </c>
      <c r="T2077" s="690"/>
    </row>
    <row r="2078" spans="1:20" s="688" customFormat="1" ht="17.100000000000001" customHeight="1">
      <c r="A2078" s="1355" t="s">
        <v>2048</v>
      </c>
      <c r="B2078" s="1355"/>
      <c r="C2078" s="1355" t="s">
        <v>1146</v>
      </c>
      <c r="D2078" s="1355"/>
      <c r="E2078" s="683">
        <v>1.5872999999999999</v>
      </c>
      <c r="F2078" s="676" t="s">
        <v>418</v>
      </c>
      <c r="G2078" s="670" t="e">
        <f>#REF!+#REF!</f>
        <v>#REF!</v>
      </c>
      <c r="H2078" s="670" t="e">
        <f t="shared" ref="H2078:H2083" si="433">INT(E2078*G2078)</f>
        <v>#REF!</v>
      </c>
      <c r="I2078" s="670" t="e">
        <f>#REF!+#REF!</f>
        <v>#REF!</v>
      </c>
      <c r="J2078" s="670" t="e">
        <f t="shared" si="432"/>
        <v>#REF!</v>
      </c>
      <c r="K2078" s="670" t="e">
        <f>#REF!+#REF!</f>
        <v>#REF!</v>
      </c>
      <c r="L2078" s="670" t="e">
        <f t="shared" ref="L2078:L2083" si="434">INT(E2078*K2078)</f>
        <v>#REF!</v>
      </c>
      <c r="M2078" s="670" t="e">
        <f t="shared" ref="M2078:N2083" si="435">G2078+I2078+K2078</f>
        <v>#REF!</v>
      </c>
      <c r="N2078" s="670" t="e">
        <f t="shared" si="435"/>
        <v>#REF!</v>
      </c>
      <c r="O2078" s="671"/>
      <c r="P2078" s="672"/>
      <c r="Q2078" s="688">
        <f>Q2077</f>
        <v>176.4</v>
      </c>
      <c r="R2078" s="688">
        <f>R2077</f>
        <v>1.764</v>
      </c>
      <c r="S2078" s="688">
        <v>3</v>
      </c>
      <c r="T2078" s="690">
        <f t="shared" ref="T2078:T2085" si="436">ROUND(S2078/R2078,4)</f>
        <v>1.7007000000000001</v>
      </c>
    </row>
    <row r="2079" spans="1:20" s="688" customFormat="1" ht="17.100000000000001" customHeight="1">
      <c r="A2079" s="1355" t="s">
        <v>515</v>
      </c>
      <c r="B2079" s="1355"/>
      <c r="C2079" s="1355" t="s">
        <v>555</v>
      </c>
      <c r="D2079" s="1355"/>
      <c r="E2079" s="683">
        <v>1.5872999999999999</v>
      </c>
      <c r="F2079" s="676" t="s">
        <v>418</v>
      </c>
      <c r="G2079" s="670" t="e">
        <f>#REF!</f>
        <v>#REF!</v>
      </c>
      <c r="H2079" s="750" t="e">
        <f>INT(E2079*G2079)</f>
        <v>#REF!</v>
      </c>
      <c r="I2079" s="670" t="e">
        <f>#REF!</f>
        <v>#REF!</v>
      </c>
      <c r="J2079" s="750" t="e">
        <f t="shared" si="432"/>
        <v>#REF!</v>
      </c>
      <c r="K2079" s="670" t="e">
        <f>#REF!</f>
        <v>#REF!</v>
      </c>
      <c r="L2079" s="750" t="e">
        <f>INT(E2079*K2079)</f>
        <v>#REF!</v>
      </c>
      <c r="M2079" s="750" t="e">
        <f t="shared" si="435"/>
        <v>#REF!</v>
      </c>
      <c r="N2079" s="670" t="e">
        <f t="shared" si="435"/>
        <v>#REF!</v>
      </c>
      <c r="O2079" s="671"/>
      <c r="P2079" s="672"/>
      <c r="Q2079" s="688">
        <f>Q2078</f>
        <v>176.4</v>
      </c>
      <c r="R2079" s="688">
        <f>R2078</f>
        <v>1.764</v>
      </c>
      <c r="S2079" s="688">
        <v>1</v>
      </c>
      <c r="T2079" s="690">
        <f t="shared" si="436"/>
        <v>0.56689999999999996</v>
      </c>
    </row>
    <row r="2080" spans="1:20" s="688" customFormat="1" ht="17.100000000000001" customHeight="1">
      <c r="A2080" s="1355" t="s">
        <v>1183</v>
      </c>
      <c r="B2080" s="1355"/>
      <c r="C2080" s="1355" t="s">
        <v>642</v>
      </c>
      <c r="D2080" s="1355"/>
      <c r="E2080" s="683">
        <v>1.5872999999999999</v>
      </c>
      <c r="F2080" s="676" t="s">
        <v>418</v>
      </c>
      <c r="G2080" s="670" t="e">
        <f>#REF!</f>
        <v>#REF!</v>
      </c>
      <c r="H2080" s="670" t="e">
        <f t="shared" si="433"/>
        <v>#REF!</v>
      </c>
      <c r="I2080" s="670" t="e">
        <f>#REF!</f>
        <v>#REF!</v>
      </c>
      <c r="J2080" s="670" t="e">
        <f t="shared" si="432"/>
        <v>#REF!</v>
      </c>
      <c r="K2080" s="670" t="e">
        <f>#REF!</f>
        <v>#REF!</v>
      </c>
      <c r="L2080" s="670" t="e">
        <f t="shared" si="434"/>
        <v>#REF!</v>
      </c>
      <c r="M2080" s="670" t="e">
        <f t="shared" si="435"/>
        <v>#REF!</v>
      </c>
      <c r="N2080" s="670" t="e">
        <f t="shared" si="435"/>
        <v>#REF!</v>
      </c>
      <c r="O2080" s="671"/>
      <c r="P2080" s="672"/>
      <c r="Q2080" s="688">
        <f t="shared" ref="Q2080:R2085" si="437">Q2079</f>
        <v>176.4</v>
      </c>
      <c r="R2080" s="688">
        <f t="shared" si="437"/>
        <v>1.764</v>
      </c>
      <c r="S2080" s="688">
        <v>8</v>
      </c>
      <c r="T2080" s="690">
        <f t="shared" si="436"/>
        <v>4.5350999999999999</v>
      </c>
    </row>
    <row r="2081" spans="1:20" s="688" customFormat="1" ht="17.100000000000001" customHeight="1">
      <c r="A2081" s="1355" t="s">
        <v>1217</v>
      </c>
      <c r="B2081" s="1355"/>
      <c r="C2081" s="1355" t="s">
        <v>1218</v>
      </c>
      <c r="D2081" s="1355"/>
      <c r="E2081" s="683">
        <v>1.5872999999999999</v>
      </c>
      <c r="F2081" s="676" t="s">
        <v>418</v>
      </c>
      <c r="G2081" s="670" t="e">
        <f>#REF!</f>
        <v>#REF!</v>
      </c>
      <c r="H2081" s="670" t="e">
        <f t="shared" si="433"/>
        <v>#REF!</v>
      </c>
      <c r="I2081" s="670" t="e">
        <f>#REF!</f>
        <v>#REF!</v>
      </c>
      <c r="J2081" s="670" t="e">
        <f t="shared" si="432"/>
        <v>#REF!</v>
      </c>
      <c r="K2081" s="670" t="e">
        <f>#REF!</f>
        <v>#REF!</v>
      </c>
      <c r="L2081" s="670" t="e">
        <f t="shared" si="434"/>
        <v>#REF!</v>
      </c>
      <c r="M2081" s="670" t="e">
        <f t="shared" si="435"/>
        <v>#REF!</v>
      </c>
      <c r="N2081" s="670" t="e">
        <f t="shared" si="435"/>
        <v>#REF!</v>
      </c>
      <c r="O2081" s="671"/>
      <c r="P2081" s="672"/>
      <c r="Q2081" s="688">
        <f t="shared" si="437"/>
        <v>176.4</v>
      </c>
      <c r="R2081" s="688">
        <f t="shared" si="437"/>
        <v>1.764</v>
      </c>
      <c r="S2081" s="688">
        <v>8</v>
      </c>
      <c r="T2081" s="690">
        <f t="shared" si="436"/>
        <v>4.5350999999999999</v>
      </c>
    </row>
    <row r="2082" spans="1:20" s="688" customFormat="1" ht="17.100000000000001" customHeight="1">
      <c r="A2082" s="1355" t="s">
        <v>1161</v>
      </c>
      <c r="B2082" s="1355"/>
      <c r="C2082" s="1355" t="s">
        <v>2064</v>
      </c>
      <c r="D2082" s="1355"/>
      <c r="E2082" s="683">
        <v>1.5872999999999999</v>
      </c>
      <c r="F2082" s="676" t="s">
        <v>418</v>
      </c>
      <c r="G2082" s="670" t="e">
        <f>#REF!</f>
        <v>#REF!</v>
      </c>
      <c r="H2082" s="670" t="e">
        <f t="shared" si="433"/>
        <v>#REF!</v>
      </c>
      <c r="I2082" s="670" t="e">
        <f>#REF!</f>
        <v>#REF!</v>
      </c>
      <c r="J2082" s="670" t="e">
        <f t="shared" si="432"/>
        <v>#REF!</v>
      </c>
      <c r="K2082" s="670" t="e">
        <f>#REF!</f>
        <v>#REF!</v>
      </c>
      <c r="L2082" s="670" t="e">
        <f t="shared" si="434"/>
        <v>#REF!</v>
      </c>
      <c r="M2082" s="670" t="e">
        <f t="shared" si="435"/>
        <v>#REF!</v>
      </c>
      <c r="N2082" s="670" t="e">
        <f t="shared" si="435"/>
        <v>#REF!</v>
      </c>
      <c r="O2082" s="671"/>
      <c r="P2082" s="672"/>
      <c r="Q2082" s="688">
        <f t="shared" si="437"/>
        <v>176.4</v>
      </c>
      <c r="R2082" s="688">
        <f t="shared" si="437"/>
        <v>1.764</v>
      </c>
      <c r="S2082" s="688">
        <v>8</v>
      </c>
      <c r="T2082" s="690">
        <f t="shared" si="436"/>
        <v>4.5350999999999999</v>
      </c>
    </row>
    <row r="2083" spans="1:20" s="688" customFormat="1" ht="17.100000000000001" customHeight="1">
      <c r="A2083" s="1355" t="s">
        <v>1161</v>
      </c>
      <c r="B2083" s="1355"/>
      <c r="C2083" s="1355" t="s">
        <v>2065</v>
      </c>
      <c r="D2083" s="1355"/>
      <c r="E2083" s="683">
        <v>1.5872999999999999</v>
      </c>
      <c r="F2083" s="676" t="s">
        <v>418</v>
      </c>
      <c r="G2083" s="670" t="e">
        <f>#REF!</f>
        <v>#REF!</v>
      </c>
      <c r="H2083" s="670" t="e">
        <f t="shared" si="433"/>
        <v>#REF!</v>
      </c>
      <c r="I2083" s="670" t="e">
        <f>#REF!</f>
        <v>#REF!</v>
      </c>
      <c r="J2083" s="670" t="e">
        <f t="shared" si="432"/>
        <v>#REF!</v>
      </c>
      <c r="K2083" s="670" t="e">
        <f>#REF!</f>
        <v>#REF!</v>
      </c>
      <c r="L2083" s="670" t="e">
        <f t="shared" si="434"/>
        <v>#REF!</v>
      </c>
      <c r="M2083" s="670" t="e">
        <f t="shared" si="435"/>
        <v>#REF!</v>
      </c>
      <c r="N2083" s="670" t="e">
        <f t="shared" si="435"/>
        <v>#REF!</v>
      </c>
      <c r="O2083" s="671"/>
      <c r="P2083" s="672"/>
      <c r="Q2083" s="688">
        <f t="shared" si="437"/>
        <v>176.4</v>
      </c>
      <c r="R2083" s="688">
        <f t="shared" si="437"/>
        <v>1.764</v>
      </c>
      <c r="S2083" s="688">
        <v>8</v>
      </c>
      <c r="T2083" s="690">
        <f t="shared" si="436"/>
        <v>4.5350999999999999</v>
      </c>
    </row>
    <row r="2084" spans="1:20" s="688" customFormat="1" ht="17.100000000000001" customHeight="1">
      <c r="A2084" s="1354" t="s">
        <v>1320</v>
      </c>
      <c r="B2084" s="1354"/>
      <c r="C2084" s="1355"/>
      <c r="D2084" s="1355"/>
      <c r="E2084" s="686"/>
      <c r="F2084" s="676"/>
      <c r="G2084" s="670"/>
      <c r="H2084" s="670" t="e">
        <f>SUM(H2075:H2083)</f>
        <v>#REF!</v>
      </c>
      <c r="I2084" s="670"/>
      <c r="J2084" s="670" t="e">
        <f>SUM(J2075:J2083)</f>
        <v>#REF!</v>
      </c>
      <c r="K2084" s="670"/>
      <c r="L2084" s="670" t="e">
        <f>SUM(L2075:L2083)</f>
        <v>#REF!</v>
      </c>
      <c r="M2084" s="670"/>
      <c r="N2084" s="670" t="e">
        <f>SUM(N2075:N2083)</f>
        <v>#REF!</v>
      </c>
      <c r="O2084" s="671"/>
      <c r="P2084" s="672"/>
      <c r="Q2084" s="688">
        <f t="shared" si="437"/>
        <v>176.4</v>
      </c>
      <c r="R2084" s="688">
        <f t="shared" si="437"/>
        <v>1.764</v>
      </c>
      <c r="S2084" s="688">
        <v>8</v>
      </c>
      <c r="T2084" s="690">
        <f t="shared" si="436"/>
        <v>4.5350999999999999</v>
      </c>
    </row>
    <row r="2085" spans="1:20" s="688" customFormat="1" ht="17.100000000000001" customHeight="1">
      <c r="A2085" s="671">
        <f>A2074+1</f>
        <v>328</v>
      </c>
      <c r="B2085" s="1355" t="s">
        <v>2062</v>
      </c>
      <c r="C2085" s="1355"/>
      <c r="D2085" s="1355" t="s">
        <v>2067</v>
      </c>
      <c r="E2085" s="1355"/>
      <c r="F2085" s="676" t="s">
        <v>1458</v>
      </c>
      <c r="G2085" s="670"/>
      <c r="H2085" s="670"/>
      <c r="I2085" s="670"/>
      <c r="J2085" s="670"/>
      <c r="K2085" s="670"/>
      <c r="L2085" s="670"/>
      <c r="M2085" s="670"/>
      <c r="N2085" s="670"/>
      <c r="O2085" s="751" t="s">
        <v>1562</v>
      </c>
      <c r="P2085" s="672"/>
      <c r="Q2085" s="688">
        <f t="shared" si="437"/>
        <v>176.4</v>
      </c>
      <c r="R2085" s="688">
        <f t="shared" si="437"/>
        <v>1.764</v>
      </c>
      <c r="S2085" s="688">
        <v>8</v>
      </c>
      <c r="T2085" s="690">
        <f t="shared" si="436"/>
        <v>4.5350999999999999</v>
      </c>
    </row>
    <row r="2086" spans="1:20" s="665" customFormat="1" ht="17.100000000000001" customHeight="1">
      <c r="A2086" s="1355" t="s">
        <v>1676</v>
      </c>
      <c r="B2086" s="1355"/>
      <c r="C2086" s="1355" t="s">
        <v>1827</v>
      </c>
      <c r="D2086" s="1355"/>
      <c r="E2086" s="686"/>
      <c r="F2086" s="676" t="s">
        <v>915</v>
      </c>
      <c r="G2086" s="670"/>
      <c r="H2086" s="670"/>
      <c r="I2086" s="670"/>
      <c r="J2086" s="670"/>
      <c r="K2086" s="670"/>
      <c r="L2086" s="670"/>
      <c r="M2086" s="670"/>
      <c r="N2086" s="670"/>
      <c r="O2086" s="671"/>
      <c r="P2086" s="672"/>
      <c r="Q2086" s="688"/>
      <c r="R2086" s="688"/>
      <c r="S2086" s="688"/>
      <c r="T2086" s="690"/>
    </row>
    <row r="2087" spans="1:20" s="665" customFormat="1" ht="17.100000000000001" customHeight="1">
      <c r="A2087" s="1355" t="s">
        <v>540</v>
      </c>
      <c r="B2087" s="1355"/>
      <c r="C2087" s="1355"/>
      <c r="D2087" s="1355"/>
      <c r="E2087" s="683">
        <v>0.94940000000000002</v>
      </c>
      <c r="F2087" s="676" t="s">
        <v>366</v>
      </c>
      <c r="G2087" s="670"/>
      <c r="H2087" s="670"/>
      <c r="I2087" s="670">
        <f>[53]노임단가!$T$22</f>
        <v>273308</v>
      </c>
      <c r="J2087" s="670">
        <f t="shared" ref="J2087:J2094" si="438">INT(E2087*I2087)</f>
        <v>259478</v>
      </c>
      <c r="K2087" s="670"/>
      <c r="L2087" s="670"/>
      <c r="M2087" s="670">
        <f>G2087+I2087+K2087</f>
        <v>273308</v>
      </c>
      <c r="N2087" s="670">
        <f>H2087+J2087+L2087</f>
        <v>259478</v>
      </c>
      <c r="O2087" s="671"/>
      <c r="P2087" s="794" t="s">
        <v>2046</v>
      </c>
      <c r="Q2087" s="687" t="s">
        <v>1446</v>
      </c>
      <c r="R2087" s="688" t="s">
        <v>1447</v>
      </c>
      <c r="S2087" s="688" t="s">
        <v>1425</v>
      </c>
      <c r="T2087" s="688" t="s">
        <v>1426</v>
      </c>
    </row>
    <row r="2088" spans="1:20" s="688" customFormat="1" ht="17.100000000000001" customHeight="1">
      <c r="A2088" s="1355" t="s">
        <v>248</v>
      </c>
      <c r="B2088" s="1355"/>
      <c r="C2088" s="1355"/>
      <c r="D2088" s="1355"/>
      <c r="E2088" s="683">
        <v>0.3165</v>
      </c>
      <c r="F2088" s="676" t="s">
        <v>366</v>
      </c>
      <c r="G2088" s="670"/>
      <c r="H2088" s="670"/>
      <c r="I2088" s="670">
        <f>[53]노임단가!$T$5</f>
        <v>172068</v>
      </c>
      <c r="J2088" s="670">
        <f t="shared" si="438"/>
        <v>54459</v>
      </c>
      <c r="K2088" s="670"/>
      <c r="L2088" s="670"/>
      <c r="M2088" s="670">
        <f>G2088+I2088+K2088</f>
        <v>172068</v>
      </c>
      <c r="N2088" s="670">
        <f>H2088+J2088+L2088</f>
        <v>54459</v>
      </c>
      <c r="O2088" s="671"/>
      <c r="P2088" s="672"/>
      <c r="Q2088" s="688">
        <f>140*0.79</f>
        <v>110.60000000000001</v>
      </c>
      <c r="R2088" s="688">
        <f>(Q2088)/100</f>
        <v>1.1060000000000001</v>
      </c>
      <c r="S2088" s="688">
        <v>0</v>
      </c>
      <c r="T2088" s="690"/>
    </row>
    <row r="2089" spans="1:20" s="688" customFormat="1" ht="17.100000000000001" customHeight="1">
      <c r="A2089" s="1355" t="s">
        <v>2048</v>
      </c>
      <c r="B2089" s="1355"/>
      <c r="C2089" s="1355" t="s">
        <v>1146</v>
      </c>
      <c r="D2089" s="1355"/>
      <c r="E2089" s="683">
        <v>2.5316000000000001</v>
      </c>
      <c r="F2089" s="676" t="s">
        <v>418</v>
      </c>
      <c r="G2089" s="670" t="e">
        <f>#REF!+#REF!</f>
        <v>#REF!</v>
      </c>
      <c r="H2089" s="670" t="e">
        <f t="shared" ref="H2089:H2094" si="439">INT(E2089*G2089)</f>
        <v>#REF!</v>
      </c>
      <c r="I2089" s="670" t="e">
        <f>#REF!+#REF!</f>
        <v>#REF!</v>
      </c>
      <c r="J2089" s="670" t="e">
        <f t="shared" si="438"/>
        <v>#REF!</v>
      </c>
      <c r="K2089" s="670" t="e">
        <f>#REF!+#REF!</f>
        <v>#REF!</v>
      </c>
      <c r="L2089" s="670" t="e">
        <f t="shared" ref="L2089:L2094" si="440">INT(E2089*K2089)</f>
        <v>#REF!</v>
      </c>
      <c r="M2089" s="670" t="e">
        <f t="shared" ref="M2089:N2094" si="441">G2089+I2089+K2089</f>
        <v>#REF!</v>
      </c>
      <c r="N2089" s="670" t="e">
        <f t="shared" si="441"/>
        <v>#REF!</v>
      </c>
      <c r="O2089" s="671"/>
      <c r="P2089" s="672"/>
      <c r="Q2089" s="688">
        <f>Q2088</f>
        <v>110.60000000000001</v>
      </c>
      <c r="R2089" s="688">
        <f>R2088</f>
        <v>1.1060000000000001</v>
      </c>
      <c r="S2089" s="688">
        <v>3</v>
      </c>
      <c r="T2089" s="690">
        <f t="shared" ref="T2089:T2096" si="442">ROUND(S2089/R2089,4)</f>
        <v>2.7124999999999999</v>
      </c>
    </row>
    <row r="2090" spans="1:20" s="688" customFormat="1" ht="17.100000000000001" customHeight="1">
      <c r="A2090" s="1355" t="s">
        <v>515</v>
      </c>
      <c r="B2090" s="1355"/>
      <c r="C2090" s="1355" t="s">
        <v>555</v>
      </c>
      <c r="D2090" s="1355"/>
      <c r="E2090" s="683">
        <v>2.5316000000000001</v>
      </c>
      <c r="F2090" s="676" t="s">
        <v>418</v>
      </c>
      <c r="G2090" s="670" t="e">
        <f>#REF!</f>
        <v>#REF!</v>
      </c>
      <c r="H2090" s="750" t="e">
        <f>INT(E2090*G2090)</f>
        <v>#REF!</v>
      </c>
      <c r="I2090" s="670" t="e">
        <f>#REF!</f>
        <v>#REF!</v>
      </c>
      <c r="J2090" s="750" t="e">
        <f t="shared" si="438"/>
        <v>#REF!</v>
      </c>
      <c r="K2090" s="670" t="e">
        <f>#REF!</f>
        <v>#REF!</v>
      </c>
      <c r="L2090" s="750" t="e">
        <f>INT(E2090*K2090)</f>
        <v>#REF!</v>
      </c>
      <c r="M2090" s="750" t="e">
        <f t="shared" si="441"/>
        <v>#REF!</v>
      </c>
      <c r="N2090" s="670" t="e">
        <f t="shared" si="441"/>
        <v>#REF!</v>
      </c>
      <c r="O2090" s="671"/>
      <c r="P2090" s="672"/>
      <c r="Q2090" s="688">
        <f>Q2089</f>
        <v>110.60000000000001</v>
      </c>
      <c r="R2090" s="688">
        <f>R2089</f>
        <v>1.1060000000000001</v>
      </c>
      <c r="S2090" s="688">
        <v>1</v>
      </c>
      <c r="T2090" s="690">
        <f t="shared" si="442"/>
        <v>0.9042</v>
      </c>
    </row>
    <row r="2091" spans="1:20" s="688" customFormat="1" ht="17.100000000000001" customHeight="1">
      <c r="A2091" s="1355" t="s">
        <v>1183</v>
      </c>
      <c r="B2091" s="1355"/>
      <c r="C2091" s="1355" t="s">
        <v>642</v>
      </c>
      <c r="D2091" s="1355"/>
      <c r="E2091" s="683">
        <v>2.5316000000000001</v>
      </c>
      <c r="F2091" s="676" t="s">
        <v>418</v>
      </c>
      <c r="G2091" s="670" t="e">
        <f>#REF!</f>
        <v>#REF!</v>
      </c>
      <c r="H2091" s="670" t="e">
        <f t="shared" si="439"/>
        <v>#REF!</v>
      </c>
      <c r="I2091" s="670" t="e">
        <f>#REF!</f>
        <v>#REF!</v>
      </c>
      <c r="J2091" s="670" t="e">
        <f t="shared" si="438"/>
        <v>#REF!</v>
      </c>
      <c r="K2091" s="670" t="e">
        <f>#REF!</f>
        <v>#REF!</v>
      </c>
      <c r="L2091" s="670" t="e">
        <f t="shared" si="440"/>
        <v>#REF!</v>
      </c>
      <c r="M2091" s="670" t="e">
        <f t="shared" si="441"/>
        <v>#REF!</v>
      </c>
      <c r="N2091" s="670" t="e">
        <f t="shared" si="441"/>
        <v>#REF!</v>
      </c>
      <c r="O2091" s="671"/>
      <c r="P2091" s="672"/>
      <c r="Q2091" s="688">
        <f t="shared" ref="Q2091:R2096" si="443">Q2090</f>
        <v>110.60000000000001</v>
      </c>
      <c r="R2091" s="688">
        <f t="shared" si="443"/>
        <v>1.1060000000000001</v>
      </c>
      <c r="S2091" s="688">
        <v>8</v>
      </c>
      <c r="T2091" s="690">
        <f t="shared" si="442"/>
        <v>7.2332999999999998</v>
      </c>
    </row>
    <row r="2092" spans="1:20" s="688" customFormat="1" ht="17.100000000000001" customHeight="1">
      <c r="A2092" s="1355" t="s">
        <v>1217</v>
      </c>
      <c r="B2092" s="1355"/>
      <c r="C2092" s="1355" t="s">
        <v>1218</v>
      </c>
      <c r="D2092" s="1355"/>
      <c r="E2092" s="683">
        <v>2.5316000000000001</v>
      </c>
      <c r="F2092" s="676" t="s">
        <v>418</v>
      </c>
      <c r="G2092" s="670" t="e">
        <f>#REF!</f>
        <v>#REF!</v>
      </c>
      <c r="H2092" s="670" t="e">
        <f t="shared" si="439"/>
        <v>#REF!</v>
      </c>
      <c r="I2092" s="670" t="e">
        <f>#REF!</f>
        <v>#REF!</v>
      </c>
      <c r="J2092" s="670" t="e">
        <f t="shared" si="438"/>
        <v>#REF!</v>
      </c>
      <c r="K2092" s="670" t="e">
        <f>#REF!</f>
        <v>#REF!</v>
      </c>
      <c r="L2092" s="670" t="e">
        <f t="shared" si="440"/>
        <v>#REF!</v>
      </c>
      <c r="M2092" s="670" t="e">
        <f t="shared" si="441"/>
        <v>#REF!</v>
      </c>
      <c r="N2092" s="670" t="e">
        <f t="shared" si="441"/>
        <v>#REF!</v>
      </c>
      <c r="O2092" s="671"/>
      <c r="P2092" s="672"/>
      <c r="Q2092" s="688">
        <f t="shared" si="443"/>
        <v>110.60000000000001</v>
      </c>
      <c r="R2092" s="688">
        <f t="shared" si="443"/>
        <v>1.1060000000000001</v>
      </c>
      <c r="S2092" s="688">
        <v>8</v>
      </c>
      <c r="T2092" s="690">
        <f t="shared" si="442"/>
        <v>7.2332999999999998</v>
      </c>
    </row>
    <row r="2093" spans="1:20" s="688" customFormat="1" ht="17.100000000000001" customHeight="1">
      <c r="A2093" s="1355" t="s">
        <v>1161</v>
      </c>
      <c r="B2093" s="1355"/>
      <c r="C2093" s="1355" t="s">
        <v>2064</v>
      </c>
      <c r="D2093" s="1355"/>
      <c r="E2093" s="683">
        <v>2.5316000000000001</v>
      </c>
      <c r="F2093" s="676" t="s">
        <v>418</v>
      </c>
      <c r="G2093" s="670" t="e">
        <f>#REF!</f>
        <v>#REF!</v>
      </c>
      <c r="H2093" s="670" t="e">
        <f t="shared" si="439"/>
        <v>#REF!</v>
      </c>
      <c r="I2093" s="670" t="e">
        <f>#REF!</f>
        <v>#REF!</v>
      </c>
      <c r="J2093" s="670" t="e">
        <f t="shared" si="438"/>
        <v>#REF!</v>
      </c>
      <c r="K2093" s="670" t="e">
        <f>#REF!</f>
        <v>#REF!</v>
      </c>
      <c r="L2093" s="670" t="e">
        <f t="shared" si="440"/>
        <v>#REF!</v>
      </c>
      <c r="M2093" s="670" t="e">
        <f t="shared" si="441"/>
        <v>#REF!</v>
      </c>
      <c r="N2093" s="670" t="e">
        <f t="shared" si="441"/>
        <v>#REF!</v>
      </c>
      <c r="O2093" s="671"/>
      <c r="P2093" s="672"/>
      <c r="Q2093" s="688">
        <f t="shared" si="443"/>
        <v>110.60000000000001</v>
      </c>
      <c r="R2093" s="688">
        <f t="shared" si="443"/>
        <v>1.1060000000000001</v>
      </c>
      <c r="S2093" s="688">
        <v>8</v>
      </c>
      <c r="T2093" s="690">
        <f t="shared" si="442"/>
        <v>7.2332999999999998</v>
      </c>
    </row>
    <row r="2094" spans="1:20" s="688" customFormat="1" ht="17.100000000000001" customHeight="1">
      <c r="A2094" s="1355" t="s">
        <v>1161</v>
      </c>
      <c r="B2094" s="1355"/>
      <c r="C2094" s="1355" t="s">
        <v>2065</v>
      </c>
      <c r="D2094" s="1355"/>
      <c r="E2094" s="683">
        <v>2.5316000000000001</v>
      </c>
      <c r="F2094" s="676" t="s">
        <v>418</v>
      </c>
      <c r="G2094" s="670" t="e">
        <f>#REF!</f>
        <v>#REF!</v>
      </c>
      <c r="H2094" s="670" t="e">
        <f t="shared" si="439"/>
        <v>#REF!</v>
      </c>
      <c r="I2094" s="670" t="e">
        <f>#REF!</f>
        <v>#REF!</v>
      </c>
      <c r="J2094" s="670" t="e">
        <f t="shared" si="438"/>
        <v>#REF!</v>
      </c>
      <c r="K2094" s="670" t="e">
        <f>#REF!</f>
        <v>#REF!</v>
      </c>
      <c r="L2094" s="670" t="e">
        <f t="shared" si="440"/>
        <v>#REF!</v>
      </c>
      <c r="M2094" s="670" t="e">
        <f t="shared" si="441"/>
        <v>#REF!</v>
      </c>
      <c r="N2094" s="670" t="e">
        <f t="shared" si="441"/>
        <v>#REF!</v>
      </c>
      <c r="O2094" s="671"/>
      <c r="P2094" s="672"/>
      <c r="Q2094" s="688">
        <f t="shared" si="443"/>
        <v>110.60000000000001</v>
      </c>
      <c r="R2094" s="688">
        <f t="shared" si="443"/>
        <v>1.1060000000000001</v>
      </c>
      <c r="S2094" s="688">
        <v>8</v>
      </c>
      <c r="T2094" s="690">
        <f t="shared" si="442"/>
        <v>7.2332999999999998</v>
      </c>
    </row>
    <row r="2095" spans="1:20" s="688" customFormat="1" ht="17.100000000000001" customHeight="1">
      <c r="A2095" s="1354" t="s">
        <v>1320</v>
      </c>
      <c r="B2095" s="1354"/>
      <c r="C2095" s="1355"/>
      <c r="D2095" s="1355"/>
      <c r="E2095" s="686"/>
      <c r="F2095" s="676"/>
      <c r="G2095" s="670"/>
      <c r="H2095" s="670" t="e">
        <f>SUM(H2086:H2094)</f>
        <v>#REF!</v>
      </c>
      <c r="I2095" s="670"/>
      <c r="J2095" s="670" t="e">
        <f>SUM(J2086:J2094)</f>
        <v>#REF!</v>
      </c>
      <c r="K2095" s="670"/>
      <c r="L2095" s="670" t="e">
        <f>SUM(L2086:L2094)</f>
        <v>#REF!</v>
      </c>
      <c r="M2095" s="670"/>
      <c r="N2095" s="670" t="e">
        <f>SUM(N2086:N2094)</f>
        <v>#REF!</v>
      </c>
      <c r="O2095" s="671"/>
      <c r="P2095" s="672"/>
      <c r="Q2095" s="688">
        <f t="shared" si="443"/>
        <v>110.60000000000001</v>
      </c>
      <c r="R2095" s="688">
        <f t="shared" si="443"/>
        <v>1.1060000000000001</v>
      </c>
      <c r="S2095" s="688">
        <v>8</v>
      </c>
      <c r="T2095" s="690">
        <f t="shared" si="442"/>
        <v>7.2332999999999998</v>
      </c>
    </row>
    <row r="2096" spans="1:20" s="688" customFormat="1" ht="17.100000000000001" customHeight="1">
      <c r="A2096" s="671">
        <f>A2085+1</f>
        <v>329</v>
      </c>
      <c r="B2096" s="1355" t="s">
        <v>2062</v>
      </c>
      <c r="C2096" s="1355"/>
      <c r="D2096" s="1355" t="s">
        <v>2068</v>
      </c>
      <c r="E2096" s="1355"/>
      <c r="F2096" s="676" t="s">
        <v>1458</v>
      </c>
      <c r="G2096" s="670"/>
      <c r="H2096" s="670"/>
      <c r="I2096" s="670"/>
      <c r="J2096" s="670"/>
      <c r="K2096" s="670"/>
      <c r="L2096" s="670"/>
      <c r="M2096" s="670"/>
      <c r="N2096" s="670"/>
      <c r="O2096" s="751" t="s">
        <v>1562</v>
      </c>
      <c r="P2096" s="672"/>
      <c r="Q2096" s="688">
        <f t="shared" si="443"/>
        <v>110.60000000000001</v>
      </c>
      <c r="R2096" s="688">
        <f t="shared" si="443"/>
        <v>1.1060000000000001</v>
      </c>
      <c r="S2096" s="688">
        <v>8</v>
      </c>
      <c r="T2096" s="690">
        <f t="shared" si="442"/>
        <v>7.2332999999999998</v>
      </c>
    </row>
    <row r="2097" spans="1:20" s="665" customFormat="1" ht="17.100000000000001" customHeight="1">
      <c r="A2097" s="1355" t="s">
        <v>1676</v>
      </c>
      <c r="B2097" s="1355"/>
      <c r="C2097" s="1355" t="s">
        <v>1827</v>
      </c>
      <c r="D2097" s="1355"/>
      <c r="E2097" s="686"/>
      <c r="F2097" s="676" t="s">
        <v>915</v>
      </c>
      <c r="G2097" s="670"/>
      <c r="H2097" s="670"/>
      <c r="I2097" s="670"/>
      <c r="J2097" s="670"/>
      <c r="K2097" s="670"/>
      <c r="L2097" s="670"/>
      <c r="M2097" s="670"/>
      <c r="N2097" s="670"/>
      <c r="O2097" s="671"/>
      <c r="P2097" s="672"/>
      <c r="Q2097" s="688"/>
      <c r="R2097" s="688"/>
      <c r="S2097" s="688"/>
      <c r="T2097" s="690"/>
    </row>
    <row r="2098" spans="1:20" s="665" customFormat="1" ht="17.100000000000001" customHeight="1">
      <c r="A2098" s="1355" t="s">
        <v>540</v>
      </c>
      <c r="B2098" s="1355"/>
      <c r="C2098" s="1355"/>
      <c r="D2098" s="1355"/>
      <c r="E2098" s="683">
        <v>2.1429</v>
      </c>
      <c r="F2098" s="676" t="s">
        <v>366</v>
      </c>
      <c r="G2098" s="670"/>
      <c r="H2098" s="670"/>
      <c r="I2098" s="670">
        <f>[53]노임단가!$T$22</f>
        <v>273308</v>
      </c>
      <c r="J2098" s="670">
        <f t="shared" ref="J2098:J2105" si="444">INT(E2098*I2098)</f>
        <v>585671</v>
      </c>
      <c r="K2098" s="670"/>
      <c r="L2098" s="670"/>
      <c r="M2098" s="670">
        <f>G2098+I2098+K2098</f>
        <v>273308</v>
      </c>
      <c r="N2098" s="670">
        <f>H2098+J2098+L2098</f>
        <v>585671</v>
      </c>
      <c r="O2098" s="671"/>
      <c r="P2098" s="794" t="s">
        <v>2046</v>
      </c>
      <c r="Q2098" s="687" t="s">
        <v>1446</v>
      </c>
      <c r="R2098" s="688" t="s">
        <v>1447</v>
      </c>
      <c r="S2098" s="688" t="s">
        <v>1425</v>
      </c>
      <c r="T2098" s="688" t="s">
        <v>1426</v>
      </c>
    </row>
    <row r="2099" spans="1:20" s="688" customFormat="1" ht="17.100000000000001" customHeight="1">
      <c r="A2099" s="1355" t="s">
        <v>248</v>
      </c>
      <c r="B2099" s="1355"/>
      <c r="C2099" s="1355"/>
      <c r="D2099" s="1355"/>
      <c r="E2099" s="683">
        <v>0.71430000000000005</v>
      </c>
      <c r="F2099" s="676" t="s">
        <v>366</v>
      </c>
      <c r="G2099" s="670"/>
      <c r="H2099" s="670"/>
      <c r="I2099" s="670">
        <f>[53]노임단가!$T$5</f>
        <v>172068</v>
      </c>
      <c r="J2099" s="670">
        <f t="shared" si="444"/>
        <v>122908</v>
      </c>
      <c r="K2099" s="670"/>
      <c r="L2099" s="670"/>
      <c r="M2099" s="670">
        <f>G2099+I2099+K2099</f>
        <v>172068</v>
      </c>
      <c r="N2099" s="670">
        <f>H2099+J2099+L2099</f>
        <v>122908</v>
      </c>
      <c r="O2099" s="671"/>
      <c r="P2099" s="672"/>
      <c r="Q2099" s="688">
        <v>50</v>
      </c>
      <c r="R2099" s="688">
        <f>(Q2099)/100</f>
        <v>0.5</v>
      </c>
      <c r="S2099" s="688">
        <v>0</v>
      </c>
      <c r="T2099" s="690"/>
    </row>
    <row r="2100" spans="1:20" s="688" customFormat="1" ht="17.100000000000001" customHeight="1">
      <c r="A2100" s="1355" t="s">
        <v>2048</v>
      </c>
      <c r="B2100" s="1355"/>
      <c r="C2100" s="1355" t="s">
        <v>1146</v>
      </c>
      <c r="D2100" s="1355"/>
      <c r="E2100" s="683">
        <v>5.7142999999999997</v>
      </c>
      <c r="F2100" s="676" t="s">
        <v>418</v>
      </c>
      <c r="G2100" s="670" t="e">
        <f>#REF!+#REF!</f>
        <v>#REF!</v>
      </c>
      <c r="H2100" s="670" t="e">
        <f t="shared" ref="H2100:H2105" si="445">INT(E2100*G2100)</f>
        <v>#REF!</v>
      </c>
      <c r="I2100" s="670" t="e">
        <f>#REF!+#REF!</f>
        <v>#REF!</v>
      </c>
      <c r="J2100" s="670" t="e">
        <f t="shared" si="444"/>
        <v>#REF!</v>
      </c>
      <c r="K2100" s="670" t="e">
        <f>#REF!+#REF!</f>
        <v>#REF!</v>
      </c>
      <c r="L2100" s="670" t="e">
        <f t="shared" ref="L2100:L2105" si="446">INT(E2100*K2100)</f>
        <v>#REF!</v>
      </c>
      <c r="M2100" s="670" t="e">
        <f t="shared" ref="M2100:N2105" si="447">G2100+I2100+K2100</f>
        <v>#REF!</v>
      </c>
      <c r="N2100" s="670" t="e">
        <f t="shared" si="447"/>
        <v>#REF!</v>
      </c>
      <c r="O2100" s="671"/>
      <c r="P2100" s="672"/>
      <c r="Q2100" s="688">
        <f>Q2099</f>
        <v>50</v>
      </c>
      <c r="R2100" s="688">
        <f>R2099</f>
        <v>0.5</v>
      </c>
      <c r="S2100" s="688">
        <v>3</v>
      </c>
      <c r="T2100" s="690">
        <f t="shared" ref="T2100:T2107" si="448">ROUND(S2100/R2100,4)</f>
        <v>6</v>
      </c>
    </row>
    <row r="2101" spans="1:20" s="688" customFormat="1" ht="17.100000000000001" customHeight="1">
      <c r="A2101" s="1355" t="s">
        <v>515</v>
      </c>
      <c r="B2101" s="1355"/>
      <c r="C2101" s="1355" t="s">
        <v>555</v>
      </c>
      <c r="D2101" s="1355"/>
      <c r="E2101" s="683">
        <v>5.7142999999999997</v>
      </c>
      <c r="F2101" s="676" t="s">
        <v>418</v>
      </c>
      <c r="G2101" s="670" t="e">
        <f>#REF!</f>
        <v>#REF!</v>
      </c>
      <c r="H2101" s="750" t="e">
        <f>INT(E2101*G2101)</f>
        <v>#REF!</v>
      </c>
      <c r="I2101" s="670" t="e">
        <f>#REF!</f>
        <v>#REF!</v>
      </c>
      <c r="J2101" s="750" t="e">
        <f t="shared" si="444"/>
        <v>#REF!</v>
      </c>
      <c r="K2101" s="670" t="e">
        <f>#REF!</f>
        <v>#REF!</v>
      </c>
      <c r="L2101" s="750" t="e">
        <f>INT(E2101*K2101)</f>
        <v>#REF!</v>
      </c>
      <c r="M2101" s="750" t="e">
        <f t="shared" si="447"/>
        <v>#REF!</v>
      </c>
      <c r="N2101" s="670" t="e">
        <f t="shared" si="447"/>
        <v>#REF!</v>
      </c>
      <c r="O2101" s="671"/>
      <c r="P2101" s="672"/>
      <c r="Q2101" s="688">
        <f>Q2100</f>
        <v>50</v>
      </c>
      <c r="R2101" s="688">
        <f>R2100</f>
        <v>0.5</v>
      </c>
      <c r="S2101" s="688">
        <v>1</v>
      </c>
      <c r="T2101" s="690">
        <f t="shared" si="448"/>
        <v>2</v>
      </c>
    </row>
    <row r="2102" spans="1:20" s="688" customFormat="1" ht="17.100000000000001" customHeight="1">
      <c r="A2102" s="1355" t="s">
        <v>1183</v>
      </c>
      <c r="B2102" s="1355"/>
      <c r="C2102" s="1355" t="s">
        <v>642</v>
      </c>
      <c r="D2102" s="1355"/>
      <c r="E2102" s="683">
        <v>5.7142999999999997</v>
      </c>
      <c r="F2102" s="676" t="s">
        <v>418</v>
      </c>
      <c r="G2102" s="670" t="e">
        <f>#REF!</f>
        <v>#REF!</v>
      </c>
      <c r="H2102" s="670" t="e">
        <f t="shared" si="445"/>
        <v>#REF!</v>
      </c>
      <c r="I2102" s="670" t="e">
        <f>#REF!</f>
        <v>#REF!</v>
      </c>
      <c r="J2102" s="670" t="e">
        <f t="shared" si="444"/>
        <v>#REF!</v>
      </c>
      <c r="K2102" s="670" t="e">
        <f>#REF!</f>
        <v>#REF!</v>
      </c>
      <c r="L2102" s="670" t="e">
        <f t="shared" si="446"/>
        <v>#REF!</v>
      </c>
      <c r="M2102" s="670" t="e">
        <f t="shared" si="447"/>
        <v>#REF!</v>
      </c>
      <c r="N2102" s="670" t="e">
        <f t="shared" si="447"/>
        <v>#REF!</v>
      </c>
      <c r="O2102" s="671"/>
      <c r="P2102" s="672"/>
      <c r="Q2102" s="688">
        <f t="shared" ref="Q2102:R2107" si="449">Q2101</f>
        <v>50</v>
      </c>
      <c r="R2102" s="688">
        <f t="shared" si="449"/>
        <v>0.5</v>
      </c>
      <c r="S2102" s="688">
        <v>8</v>
      </c>
      <c r="T2102" s="690">
        <f t="shared" si="448"/>
        <v>16</v>
      </c>
    </row>
    <row r="2103" spans="1:20" s="688" customFormat="1" ht="17.100000000000001" customHeight="1">
      <c r="A2103" s="1355" t="s">
        <v>1217</v>
      </c>
      <c r="B2103" s="1355"/>
      <c r="C2103" s="1355" t="s">
        <v>1218</v>
      </c>
      <c r="D2103" s="1355"/>
      <c r="E2103" s="683">
        <v>5.7142999999999997</v>
      </c>
      <c r="F2103" s="676" t="s">
        <v>418</v>
      </c>
      <c r="G2103" s="670" t="e">
        <f>#REF!</f>
        <v>#REF!</v>
      </c>
      <c r="H2103" s="670" t="e">
        <f t="shared" si="445"/>
        <v>#REF!</v>
      </c>
      <c r="I2103" s="670" t="e">
        <f>#REF!</f>
        <v>#REF!</v>
      </c>
      <c r="J2103" s="670" t="e">
        <f t="shared" si="444"/>
        <v>#REF!</v>
      </c>
      <c r="K2103" s="670" t="e">
        <f>#REF!</f>
        <v>#REF!</v>
      </c>
      <c r="L2103" s="670" t="e">
        <f t="shared" si="446"/>
        <v>#REF!</v>
      </c>
      <c r="M2103" s="670" t="e">
        <f t="shared" si="447"/>
        <v>#REF!</v>
      </c>
      <c r="N2103" s="670" t="e">
        <f t="shared" si="447"/>
        <v>#REF!</v>
      </c>
      <c r="O2103" s="671"/>
      <c r="P2103" s="672"/>
      <c r="Q2103" s="688">
        <f t="shared" si="449"/>
        <v>50</v>
      </c>
      <c r="R2103" s="688">
        <f t="shared" si="449"/>
        <v>0.5</v>
      </c>
      <c r="S2103" s="688">
        <v>8</v>
      </c>
      <c r="T2103" s="690">
        <f t="shared" si="448"/>
        <v>16</v>
      </c>
    </row>
    <row r="2104" spans="1:20" s="688" customFormat="1" ht="17.100000000000001" customHeight="1">
      <c r="A2104" s="1355" t="s">
        <v>1161</v>
      </c>
      <c r="B2104" s="1355"/>
      <c r="C2104" s="1355" t="s">
        <v>2064</v>
      </c>
      <c r="D2104" s="1355"/>
      <c r="E2104" s="683">
        <v>5.7142999999999997</v>
      </c>
      <c r="F2104" s="676" t="s">
        <v>418</v>
      </c>
      <c r="G2104" s="670" t="e">
        <f>#REF!</f>
        <v>#REF!</v>
      </c>
      <c r="H2104" s="670" t="e">
        <f t="shared" si="445"/>
        <v>#REF!</v>
      </c>
      <c r="I2104" s="670" t="e">
        <f>#REF!</f>
        <v>#REF!</v>
      </c>
      <c r="J2104" s="670" t="e">
        <f t="shared" si="444"/>
        <v>#REF!</v>
      </c>
      <c r="K2104" s="670" t="e">
        <f>#REF!</f>
        <v>#REF!</v>
      </c>
      <c r="L2104" s="670" t="e">
        <f t="shared" si="446"/>
        <v>#REF!</v>
      </c>
      <c r="M2104" s="670" t="e">
        <f t="shared" si="447"/>
        <v>#REF!</v>
      </c>
      <c r="N2104" s="670" t="e">
        <f t="shared" si="447"/>
        <v>#REF!</v>
      </c>
      <c r="O2104" s="671"/>
      <c r="P2104" s="672"/>
      <c r="Q2104" s="688">
        <f t="shared" si="449"/>
        <v>50</v>
      </c>
      <c r="R2104" s="688">
        <f t="shared" si="449"/>
        <v>0.5</v>
      </c>
      <c r="S2104" s="688">
        <v>8</v>
      </c>
      <c r="T2104" s="690">
        <f t="shared" si="448"/>
        <v>16</v>
      </c>
    </row>
    <row r="2105" spans="1:20" s="688" customFormat="1" ht="17.100000000000001" customHeight="1">
      <c r="A2105" s="1355" t="s">
        <v>1161</v>
      </c>
      <c r="B2105" s="1355"/>
      <c r="C2105" s="1355" t="s">
        <v>2065</v>
      </c>
      <c r="D2105" s="1355"/>
      <c r="E2105" s="683">
        <v>5.7142999999999997</v>
      </c>
      <c r="F2105" s="676" t="s">
        <v>418</v>
      </c>
      <c r="G2105" s="670" t="e">
        <f>#REF!</f>
        <v>#REF!</v>
      </c>
      <c r="H2105" s="670" t="e">
        <f t="shared" si="445"/>
        <v>#REF!</v>
      </c>
      <c r="I2105" s="670" t="e">
        <f>#REF!</f>
        <v>#REF!</v>
      </c>
      <c r="J2105" s="670" t="e">
        <f t="shared" si="444"/>
        <v>#REF!</v>
      </c>
      <c r="K2105" s="670" t="e">
        <f>#REF!</f>
        <v>#REF!</v>
      </c>
      <c r="L2105" s="670" t="e">
        <f t="shared" si="446"/>
        <v>#REF!</v>
      </c>
      <c r="M2105" s="670" t="e">
        <f t="shared" si="447"/>
        <v>#REF!</v>
      </c>
      <c r="N2105" s="670" t="e">
        <f t="shared" si="447"/>
        <v>#REF!</v>
      </c>
      <c r="O2105" s="671"/>
      <c r="P2105" s="672"/>
      <c r="Q2105" s="688">
        <f t="shared" si="449"/>
        <v>50</v>
      </c>
      <c r="R2105" s="688">
        <f t="shared" si="449"/>
        <v>0.5</v>
      </c>
      <c r="S2105" s="688">
        <v>8</v>
      </c>
      <c r="T2105" s="690">
        <f t="shared" si="448"/>
        <v>16</v>
      </c>
    </row>
    <row r="2106" spans="1:20" s="688" customFormat="1" ht="17.100000000000001" customHeight="1">
      <c r="A2106" s="1354" t="s">
        <v>1320</v>
      </c>
      <c r="B2106" s="1354"/>
      <c r="C2106" s="1355"/>
      <c r="D2106" s="1355"/>
      <c r="E2106" s="686"/>
      <c r="F2106" s="676"/>
      <c r="G2106" s="670"/>
      <c r="H2106" s="670" t="e">
        <f>SUM(H2097:H2105)</f>
        <v>#REF!</v>
      </c>
      <c r="I2106" s="670"/>
      <c r="J2106" s="670" t="e">
        <f>SUM(J2097:J2105)</f>
        <v>#REF!</v>
      </c>
      <c r="K2106" s="670"/>
      <c r="L2106" s="670" t="e">
        <f>SUM(L2097:L2105)</f>
        <v>#REF!</v>
      </c>
      <c r="M2106" s="670"/>
      <c r="N2106" s="670" t="e">
        <f>SUM(N2097:N2105)</f>
        <v>#REF!</v>
      </c>
      <c r="O2106" s="671"/>
      <c r="P2106" s="672"/>
      <c r="Q2106" s="688">
        <f t="shared" si="449"/>
        <v>50</v>
      </c>
      <c r="R2106" s="688">
        <f t="shared" si="449"/>
        <v>0.5</v>
      </c>
      <c r="S2106" s="688">
        <v>8</v>
      </c>
      <c r="T2106" s="690">
        <f t="shared" si="448"/>
        <v>16</v>
      </c>
    </row>
    <row r="2107" spans="1:20" s="688" customFormat="1" ht="17.100000000000001" customHeight="1">
      <c r="A2107" s="671">
        <f>A2096+1</f>
        <v>330</v>
      </c>
      <c r="B2107" s="1355" t="s">
        <v>2062</v>
      </c>
      <c r="C2107" s="1355"/>
      <c r="D2107" s="1355" t="s">
        <v>2069</v>
      </c>
      <c r="E2107" s="1355"/>
      <c r="F2107" s="676" t="s">
        <v>1458</v>
      </c>
      <c r="G2107" s="670"/>
      <c r="H2107" s="670"/>
      <c r="I2107" s="670"/>
      <c r="J2107" s="670"/>
      <c r="K2107" s="670"/>
      <c r="L2107" s="670"/>
      <c r="M2107" s="670"/>
      <c r="N2107" s="670"/>
      <c r="O2107" s="751" t="s">
        <v>1562</v>
      </c>
      <c r="P2107" s="672"/>
      <c r="Q2107" s="688">
        <f t="shared" si="449"/>
        <v>50</v>
      </c>
      <c r="R2107" s="688">
        <f t="shared" si="449"/>
        <v>0.5</v>
      </c>
      <c r="S2107" s="688">
        <v>8</v>
      </c>
      <c r="T2107" s="690">
        <f t="shared" si="448"/>
        <v>16</v>
      </c>
    </row>
    <row r="2108" spans="1:20" s="665" customFormat="1" ht="17.100000000000001" customHeight="1">
      <c r="A2108" s="1355" t="s">
        <v>1676</v>
      </c>
      <c r="B2108" s="1355"/>
      <c r="C2108" s="1355" t="s">
        <v>1827</v>
      </c>
      <c r="D2108" s="1355"/>
      <c r="E2108" s="686"/>
      <c r="F2108" s="676" t="s">
        <v>915</v>
      </c>
      <c r="G2108" s="670"/>
      <c r="H2108" s="670"/>
      <c r="I2108" s="670"/>
      <c r="J2108" s="670"/>
      <c r="K2108" s="670"/>
      <c r="L2108" s="670"/>
      <c r="M2108" s="670"/>
      <c r="N2108" s="670"/>
      <c r="O2108" s="671"/>
      <c r="P2108" s="672"/>
      <c r="Q2108" s="688"/>
      <c r="R2108" s="688"/>
      <c r="S2108" s="688"/>
      <c r="T2108" s="690"/>
    </row>
    <row r="2109" spans="1:20" s="665" customFormat="1" ht="17.100000000000001" customHeight="1">
      <c r="A2109" s="1355" t="s">
        <v>540</v>
      </c>
      <c r="B2109" s="1355"/>
      <c r="C2109" s="1355"/>
      <c r="D2109" s="1355"/>
      <c r="E2109" s="683">
        <v>1.7007000000000001</v>
      </c>
      <c r="F2109" s="676" t="s">
        <v>366</v>
      </c>
      <c r="G2109" s="670"/>
      <c r="H2109" s="670"/>
      <c r="I2109" s="670">
        <f>[53]노임단가!$T$22</f>
        <v>273308</v>
      </c>
      <c r="J2109" s="670">
        <f t="shared" ref="J2109:J2116" si="450">INT(E2109*I2109)</f>
        <v>464814</v>
      </c>
      <c r="K2109" s="670"/>
      <c r="L2109" s="670"/>
      <c r="M2109" s="670">
        <f>G2109+I2109+K2109</f>
        <v>273308</v>
      </c>
      <c r="N2109" s="670">
        <f>H2109+J2109+L2109</f>
        <v>464814</v>
      </c>
      <c r="O2109" s="671"/>
      <c r="P2109" s="794" t="s">
        <v>2046</v>
      </c>
      <c r="Q2109" s="687" t="s">
        <v>1446</v>
      </c>
      <c r="R2109" s="688" t="s">
        <v>1447</v>
      </c>
      <c r="S2109" s="688" t="s">
        <v>1425</v>
      </c>
      <c r="T2109" s="688" t="s">
        <v>1426</v>
      </c>
    </row>
    <row r="2110" spans="1:20" s="688" customFormat="1" ht="17.100000000000001" customHeight="1">
      <c r="A2110" s="1355" t="s">
        <v>248</v>
      </c>
      <c r="B2110" s="1355"/>
      <c r="C2110" s="1355"/>
      <c r="D2110" s="1355"/>
      <c r="E2110" s="683">
        <v>0.56689999999999996</v>
      </c>
      <c r="F2110" s="676" t="s">
        <v>366</v>
      </c>
      <c r="G2110" s="670"/>
      <c r="H2110" s="670"/>
      <c r="I2110" s="670">
        <f>[53]노임단가!$T$5</f>
        <v>172068</v>
      </c>
      <c r="J2110" s="670">
        <f t="shared" si="450"/>
        <v>97545</v>
      </c>
      <c r="K2110" s="670"/>
      <c r="L2110" s="670"/>
      <c r="M2110" s="670">
        <f>G2110+I2110+K2110</f>
        <v>172068</v>
      </c>
      <c r="N2110" s="670">
        <f>H2110+J2110+L2110</f>
        <v>97545</v>
      </c>
      <c r="O2110" s="671"/>
      <c r="P2110" s="672"/>
      <c r="Q2110" s="811">
        <f>50*1.26</f>
        <v>63</v>
      </c>
      <c r="R2110" s="688">
        <f>(Q2110)/100</f>
        <v>0.63</v>
      </c>
      <c r="S2110" s="688">
        <v>0</v>
      </c>
      <c r="T2110" s="690"/>
    </row>
    <row r="2111" spans="1:20" s="688" customFormat="1" ht="17.100000000000001" customHeight="1">
      <c r="A2111" s="1355" t="s">
        <v>2048</v>
      </c>
      <c r="B2111" s="1355"/>
      <c r="C2111" s="1355" t="s">
        <v>1146</v>
      </c>
      <c r="D2111" s="1355"/>
      <c r="E2111" s="683">
        <v>4.5350999999999999</v>
      </c>
      <c r="F2111" s="676" t="s">
        <v>418</v>
      </c>
      <c r="G2111" s="670" t="e">
        <f>#REF!+#REF!</f>
        <v>#REF!</v>
      </c>
      <c r="H2111" s="670" t="e">
        <f t="shared" ref="H2111:H2116" si="451">INT(E2111*G2111)</f>
        <v>#REF!</v>
      </c>
      <c r="I2111" s="670" t="e">
        <f>#REF!+#REF!</f>
        <v>#REF!</v>
      </c>
      <c r="J2111" s="670" t="e">
        <f t="shared" si="450"/>
        <v>#REF!</v>
      </c>
      <c r="K2111" s="670" t="e">
        <f>#REF!+#REF!</f>
        <v>#REF!</v>
      </c>
      <c r="L2111" s="670" t="e">
        <f t="shared" ref="L2111:L2116" si="452">INT(E2111*K2111)</f>
        <v>#REF!</v>
      </c>
      <c r="M2111" s="670" t="e">
        <f t="shared" ref="M2111:N2116" si="453">G2111+I2111+K2111</f>
        <v>#REF!</v>
      </c>
      <c r="N2111" s="670" t="e">
        <f t="shared" si="453"/>
        <v>#REF!</v>
      </c>
      <c r="O2111" s="671"/>
      <c r="P2111" s="672"/>
      <c r="Q2111" s="688">
        <f>Q2110</f>
        <v>63</v>
      </c>
      <c r="R2111" s="688">
        <f>R2110</f>
        <v>0.63</v>
      </c>
      <c r="S2111" s="688">
        <v>3</v>
      </c>
      <c r="T2111" s="690">
        <f t="shared" ref="T2111:T2118" si="454">ROUND(S2111/R2111,4)</f>
        <v>4.7618999999999998</v>
      </c>
    </row>
    <row r="2112" spans="1:20" s="688" customFormat="1" ht="17.100000000000001" customHeight="1">
      <c r="A2112" s="1355" t="s">
        <v>515</v>
      </c>
      <c r="B2112" s="1355"/>
      <c r="C2112" s="1355" t="s">
        <v>555</v>
      </c>
      <c r="D2112" s="1355"/>
      <c r="E2112" s="683">
        <v>4.5350999999999999</v>
      </c>
      <c r="F2112" s="676" t="s">
        <v>418</v>
      </c>
      <c r="G2112" s="670" t="e">
        <f>#REF!</f>
        <v>#REF!</v>
      </c>
      <c r="H2112" s="750" t="e">
        <f>INT(E2112*G2112)</f>
        <v>#REF!</v>
      </c>
      <c r="I2112" s="670" t="e">
        <f>#REF!</f>
        <v>#REF!</v>
      </c>
      <c r="J2112" s="750" t="e">
        <f t="shared" si="450"/>
        <v>#REF!</v>
      </c>
      <c r="K2112" s="670" t="e">
        <f>#REF!</f>
        <v>#REF!</v>
      </c>
      <c r="L2112" s="750" t="e">
        <f>INT(E2112*K2112)</f>
        <v>#REF!</v>
      </c>
      <c r="M2112" s="750" t="e">
        <f t="shared" si="453"/>
        <v>#REF!</v>
      </c>
      <c r="N2112" s="670" t="e">
        <f t="shared" si="453"/>
        <v>#REF!</v>
      </c>
      <c r="O2112" s="671"/>
      <c r="P2112" s="672"/>
      <c r="Q2112" s="688">
        <f>Q2111</f>
        <v>63</v>
      </c>
      <c r="R2112" s="688">
        <f>R2111</f>
        <v>0.63</v>
      </c>
      <c r="S2112" s="688">
        <v>1</v>
      </c>
      <c r="T2112" s="690">
        <f t="shared" si="454"/>
        <v>1.5872999999999999</v>
      </c>
    </row>
    <row r="2113" spans="1:20" s="688" customFormat="1" ht="17.100000000000001" customHeight="1">
      <c r="A2113" s="1355" t="s">
        <v>1183</v>
      </c>
      <c r="B2113" s="1355"/>
      <c r="C2113" s="1355" t="s">
        <v>642</v>
      </c>
      <c r="D2113" s="1355"/>
      <c r="E2113" s="683">
        <v>4.5350999999999999</v>
      </c>
      <c r="F2113" s="676" t="s">
        <v>418</v>
      </c>
      <c r="G2113" s="670" t="e">
        <f>#REF!</f>
        <v>#REF!</v>
      </c>
      <c r="H2113" s="670" t="e">
        <f t="shared" si="451"/>
        <v>#REF!</v>
      </c>
      <c r="I2113" s="670" t="e">
        <f>#REF!</f>
        <v>#REF!</v>
      </c>
      <c r="J2113" s="670" t="e">
        <f t="shared" si="450"/>
        <v>#REF!</v>
      </c>
      <c r="K2113" s="670" t="e">
        <f>#REF!</f>
        <v>#REF!</v>
      </c>
      <c r="L2113" s="670" t="e">
        <f t="shared" si="452"/>
        <v>#REF!</v>
      </c>
      <c r="M2113" s="670" t="e">
        <f t="shared" si="453"/>
        <v>#REF!</v>
      </c>
      <c r="N2113" s="670" t="e">
        <f t="shared" si="453"/>
        <v>#REF!</v>
      </c>
      <c r="O2113" s="671"/>
      <c r="P2113" s="672"/>
      <c r="Q2113" s="688">
        <f t="shared" ref="Q2113:R2118" si="455">Q2112</f>
        <v>63</v>
      </c>
      <c r="R2113" s="688">
        <f t="shared" si="455"/>
        <v>0.63</v>
      </c>
      <c r="S2113" s="688">
        <v>8</v>
      </c>
      <c r="T2113" s="690">
        <f t="shared" si="454"/>
        <v>12.698399999999999</v>
      </c>
    </row>
    <row r="2114" spans="1:20" s="688" customFormat="1" ht="17.100000000000001" customHeight="1">
      <c r="A2114" s="1355" t="s">
        <v>1217</v>
      </c>
      <c r="B2114" s="1355"/>
      <c r="C2114" s="1355" t="s">
        <v>1218</v>
      </c>
      <c r="D2114" s="1355"/>
      <c r="E2114" s="683">
        <v>4.5350999999999999</v>
      </c>
      <c r="F2114" s="676" t="s">
        <v>418</v>
      </c>
      <c r="G2114" s="670" t="e">
        <f>#REF!</f>
        <v>#REF!</v>
      </c>
      <c r="H2114" s="670" t="e">
        <f t="shared" si="451"/>
        <v>#REF!</v>
      </c>
      <c r="I2114" s="670" t="e">
        <f>#REF!</f>
        <v>#REF!</v>
      </c>
      <c r="J2114" s="670" t="e">
        <f t="shared" si="450"/>
        <v>#REF!</v>
      </c>
      <c r="K2114" s="670" t="e">
        <f>#REF!</f>
        <v>#REF!</v>
      </c>
      <c r="L2114" s="670" t="e">
        <f t="shared" si="452"/>
        <v>#REF!</v>
      </c>
      <c r="M2114" s="670" t="e">
        <f t="shared" si="453"/>
        <v>#REF!</v>
      </c>
      <c r="N2114" s="670" t="e">
        <f t="shared" si="453"/>
        <v>#REF!</v>
      </c>
      <c r="O2114" s="671"/>
      <c r="P2114" s="672"/>
      <c r="Q2114" s="688">
        <f t="shared" si="455"/>
        <v>63</v>
      </c>
      <c r="R2114" s="688">
        <f t="shared" si="455"/>
        <v>0.63</v>
      </c>
      <c r="S2114" s="688">
        <v>8</v>
      </c>
      <c r="T2114" s="690">
        <f t="shared" si="454"/>
        <v>12.698399999999999</v>
      </c>
    </row>
    <row r="2115" spans="1:20" s="688" customFormat="1" ht="17.100000000000001" customHeight="1">
      <c r="A2115" s="1355" t="s">
        <v>1161</v>
      </c>
      <c r="B2115" s="1355"/>
      <c r="C2115" s="1355" t="s">
        <v>2064</v>
      </c>
      <c r="D2115" s="1355"/>
      <c r="E2115" s="683">
        <v>4.5350999999999999</v>
      </c>
      <c r="F2115" s="676" t="s">
        <v>418</v>
      </c>
      <c r="G2115" s="670" t="e">
        <f>#REF!</f>
        <v>#REF!</v>
      </c>
      <c r="H2115" s="670" t="e">
        <f t="shared" si="451"/>
        <v>#REF!</v>
      </c>
      <c r="I2115" s="670" t="e">
        <f>#REF!</f>
        <v>#REF!</v>
      </c>
      <c r="J2115" s="670" t="e">
        <f t="shared" si="450"/>
        <v>#REF!</v>
      </c>
      <c r="K2115" s="670" t="e">
        <f>#REF!</f>
        <v>#REF!</v>
      </c>
      <c r="L2115" s="670" t="e">
        <f t="shared" si="452"/>
        <v>#REF!</v>
      </c>
      <c r="M2115" s="670" t="e">
        <f t="shared" si="453"/>
        <v>#REF!</v>
      </c>
      <c r="N2115" s="670" t="e">
        <f t="shared" si="453"/>
        <v>#REF!</v>
      </c>
      <c r="O2115" s="671"/>
      <c r="P2115" s="672"/>
      <c r="Q2115" s="688">
        <f t="shared" si="455"/>
        <v>63</v>
      </c>
      <c r="R2115" s="688">
        <f t="shared" si="455"/>
        <v>0.63</v>
      </c>
      <c r="S2115" s="688">
        <v>8</v>
      </c>
      <c r="T2115" s="690">
        <f t="shared" si="454"/>
        <v>12.698399999999999</v>
      </c>
    </row>
    <row r="2116" spans="1:20" s="688" customFormat="1" ht="17.100000000000001" customHeight="1">
      <c r="A2116" s="1355" t="s">
        <v>1161</v>
      </c>
      <c r="B2116" s="1355"/>
      <c r="C2116" s="1355" t="s">
        <v>2065</v>
      </c>
      <c r="D2116" s="1355"/>
      <c r="E2116" s="683">
        <v>4.5350999999999999</v>
      </c>
      <c r="F2116" s="676" t="s">
        <v>418</v>
      </c>
      <c r="G2116" s="670" t="e">
        <f>#REF!</f>
        <v>#REF!</v>
      </c>
      <c r="H2116" s="670" t="e">
        <f t="shared" si="451"/>
        <v>#REF!</v>
      </c>
      <c r="I2116" s="670" t="e">
        <f>#REF!</f>
        <v>#REF!</v>
      </c>
      <c r="J2116" s="670" t="e">
        <f t="shared" si="450"/>
        <v>#REF!</v>
      </c>
      <c r="K2116" s="670" t="e">
        <f>#REF!</f>
        <v>#REF!</v>
      </c>
      <c r="L2116" s="670" t="e">
        <f t="shared" si="452"/>
        <v>#REF!</v>
      </c>
      <c r="M2116" s="670" t="e">
        <f t="shared" si="453"/>
        <v>#REF!</v>
      </c>
      <c r="N2116" s="670" t="e">
        <f t="shared" si="453"/>
        <v>#REF!</v>
      </c>
      <c r="O2116" s="671"/>
      <c r="P2116" s="672"/>
      <c r="Q2116" s="688">
        <f t="shared" si="455"/>
        <v>63</v>
      </c>
      <c r="R2116" s="688">
        <f t="shared" si="455"/>
        <v>0.63</v>
      </c>
      <c r="S2116" s="688">
        <v>8</v>
      </c>
      <c r="T2116" s="690">
        <f t="shared" si="454"/>
        <v>12.698399999999999</v>
      </c>
    </row>
    <row r="2117" spans="1:20" s="688" customFormat="1" ht="17.100000000000001" customHeight="1">
      <c r="A2117" s="1354" t="s">
        <v>1320</v>
      </c>
      <c r="B2117" s="1354"/>
      <c r="C2117" s="1355"/>
      <c r="D2117" s="1355"/>
      <c r="E2117" s="686"/>
      <c r="F2117" s="676"/>
      <c r="G2117" s="670"/>
      <c r="H2117" s="670" t="e">
        <f>SUM(H2108:H2116)</f>
        <v>#REF!</v>
      </c>
      <c r="I2117" s="670"/>
      <c r="J2117" s="670" t="e">
        <f>SUM(J2108:J2116)</f>
        <v>#REF!</v>
      </c>
      <c r="K2117" s="670"/>
      <c r="L2117" s="670" t="e">
        <f>SUM(L2108:L2116)</f>
        <v>#REF!</v>
      </c>
      <c r="M2117" s="670"/>
      <c r="N2117" s="670" t="e">
        <f>SUM(N2108:N2116)</f>
        <v>#REF!</v>
      </c>
      <c r="O2117" s="671"/>
      <c r="P2117" s="672"/>
      <c r="Q2117" s="688">
        <f t="shared" si="455"/>
        <v>63</v>
      </c>
      <c r="R2117" s="688">
        <f t="shared" si="455"/>
        <v>0.63</v>
      </c>
      <c r="S2117" s="688">
        <v>8</v>
      </c>
      <c r="T2117" s="690">
        <f t="shared" si="454"/>
        <v>12.698399999999999</v>
      </c>
    </row>
    <row r="2118" spans="1:20" s="688" customFormat="1" ht="17.100000000000001" customHeight="1">
      <c r="A2118" s="671">
        <f>A2107+1</f>
        <v>331</v>
      </c>
      <c r="B2118" s="1355" t="s">
        <v>2062</v>
      </c>
      <c r="C2118" s="1355"/>
      <c r="D2118" s="1355" t="s">
        <v>2070</v>
      </c>
      <c r="E2118" s="1355"/>
      <c r="F2118" s="676" t="s">
        <v>1458</v>
      </c>
      <c r="G2118" s="670"/>
      <c r="H2118" s="670"/>
      <c r="I2118" s="670"/>
      <c r="J2118" s="670"/>
      <c r="K2118" s="670"/>
      <c r="L2118" s="670"/>
      <c r="M2118" s="670"/>
      <c r="N2118" s="670"/>
      <c r="O2118" s="751" t="s">
        <v>1562</v>
      </c>
      <c r="P2118" s="672"/>
      <c r="Q2118" s="688">
        <f t="shared" si="455"/>
        <v>63</v>
      </c>
      <c r="R2118" s="688">
        <f t="shared" si="455"/>
        <v>0.63</v>
      </c>
      <c r="S2118" s="688">
        <v>8</v>
      </c>
      <c r="T2118" s="690">
        <f t="shared" si="454"/>
        <v>12.698399999999999</v>
      </c>
    </row>
    <row r="2119" spans="1:20" s="665" customFormat="1" ht="17.100000000000001" customHeight="1">
      <c r="A2119" s="1355" t="s">
        <v>1676</v>
      </c>
      <c r="B2119" s="1355"/>
      <c r="C2119" s="1355" t="s">
        <v>1827</v>
      </c>
      <c r="D2119" s="1355"/>
      <c r="E2119" s="686"/>
      <c r="F2119" s="676" t="s">
        <v>915</v>
      </c>
      <c r="G2119" s="670"/>
      <c r="H2119" s="670"/>
      <c r="I2119" s="670"/>
      <c r="J2119" s="670"/>
      <c r="K2119" s="670"/>
      <c r="L2119" s="670"/>
      <c r="M2119" s="670"/>
      <c r="N2119" s="670"/>
      <c r="O2119" s="671"/>
      <c r="P2119" s="672"/>
      <c r="Q2119" s="688"/>
      <c r="R2119" s="688"/>
      <c r="S2119" s="688"/>
      <c r="T2119" s="690"/>
    </row>
    <row r="2120" spans="1:20" s="665" customFormat="1" ht="17.100000000000001" customHeight="1">
      <c r="A2120" s="1355" t="s">
        <v>540</v>
      </c>
      <c r="B2120" s="1355"/>
      <c r="C2120" s="1355"/>
      <c r="D2120" s="1355"/>
      <c r="E2120" s="683">
        <v>2.7124999999999999</v>
      </c>
      <c r="F2120" s="676" t="s">
        <v>366</v>
      </c>
      <c r="G2120" s="670"/>
      <c r="H2120" s="670"/>
      <c r="I2120" s="670">
        <f>[53]노임단가!$T$22</f>
        <v>273308</v>
      </c>
      <c r="J2120" s="670">
        <f t="shared" ref="J2120:J2127" si="456">INT(E2120*I2120)</f>
        <v>741347</v>
      </c>
      <c r="K2120" s="670"/>
      <c r="L2120" s="670"/>
      <c r="M2120" s="670">
        <f>G2120+I2120+K2120</f>
        <v>273308</v>
      </c>
      <c r="N2120" s="670">
        <f>H2120+J2120+L2120</f>
        <v>741347</v>
      </c>
      <c r="O2120" s="671"/>
      <c r="P2120" s="794" t="s">
        <v>2046</v>
      </c>
      <c r="Q2120" s="687" t="s">
        <v>1446</v>
      </c>
      <c r="R2120" s="688" t="s">
        <v>1447</v>
      </c>
      <c r="S2120" s="688" t="s">
        <v>1425</v>
      </c>
      <c r="T2120" s="688" t="s">
        <v>1426</v>
      </c>
    </row>
    <row r="2121" spans="1:20" s="688" customFormat="1" ht="17.100000000000001" customHeight="1">
      <c r="A2121" s="1355" t="s">
        <v>248</v>
      </c>
      <c r="B2121" s="1355"/>
      <c r="C2121" s="1355"/>
      <c r="D2121" s="1355"/>
      <c r="E2121" s="683">
        <v>0.9042</v>
      </c>
      <c r="F2121" s="676" t="s">
        <v>366</v>
      </c>
      <c r="G2121" s="670"/>
      <c r="H2121" s="670"/>
      <c r="I2121" s="670">
        <f>[53]노임단가!$T$5</f>
        <v>172068</v>
      </c>
      <c r="J2121" s="670">
        <f t="shared" si="456"/>
        <v>155583</v>
      </c>
      <c r="K2121" s="670"/>
      <c r="L2121" s="670"/>
      <c r="M2121" s="670">
        <f>G2121+I2121+K2121</f>
        <v>172068</v>
      </c>
      <c r="N2121" s="670">
        <f>H2121+J2121+L2121</f>
        <v>155583</v>
      </c>
      <c r="O2121" s="671"/>
      <c r="P2121" s="672"/>
      <c r="Q2121" s="688">
        <f>50*0.79</f>
        <v>39.5</v>
      </c>
      <c r="R2121" s="688">
        <f>(Q2121)/100</f>
        <v>0.39500000000000002</v>
      </c>
      <c r="S2121" s="688">
        <v>0</v>
      </c>
      <c r="T2121" s="690"/>
    </row>
    <row r="2122" spans="1:20" s="688" customFormat="1" ht="17.100000000000001" customHeight="1">
      <c r="A2122" s="1355" t="s">
        <v>2048</v>
      </c>
      <c r="B2122" s="1355"/>
      <c r="C2122" s="1355" t="s">
        <v>1146</v>
      </c>
      <c r="D2122" s="1355"/>
      <c r="E2122" s="683">
        <v>7.2332999999999998</v>
      </c>
      <c r="F2122" s="676" t="s">
        <v>418</v>
      </c>
      <c r="G2122" s="670" t="e">
        <f>#REF!+#REF!</f>
        <v>#REF!</v>
      </c>
      <c r="H2122" s="670" t="e">
        <f t="shared" ref="H2122:H2127" si="457">INT(E2122*G2122)</f>
        <v>#REF!</v>
      </c>
      <c r="I2122" s="670" t="e">
        <f>#REF!+#REF!</f>
        <v>#REF!</v>
      </c>
      <c r="J2122" s="670" t="e">
        <f t="shared" si="456"/>
        <v>#REF!</v>
      </c>
      <c r="K2122" s="670" t="e">
        <f>#REF!+#REF!</f>
        <v>#REF!</v>
      </c>
      <c r="L2122" s="670" t="e">
        <f t="shared" ref="L2122:L2127" si="458">INT(E2122*K2122)</f>
        <v>#REF!</v>
      </c>
      <c r="M2122" s="670" t="e">
        <f t="shared" ref="M2122:N2127" si="459">G2122+I2122+K2122</f>
        <v>#REF!</v>
      </c>
      <c r="N2122" s="670" t="e">
        <f t="shared" si="459"/>
        <v>#REF!</v>
      </c>
      <c r="O2122" s="671"/>
      <c r="P2122" s="672"/>
      <c r="Q2122" s="688">
        <f>Q2121</f>
        <v>39.5</v>
      </c>
      <c r="R2122" s="688">
        <f>R2121</f>
        <v>0.39500000000000002</v>
      </c>
      <c r="S2122" s="688">
        <v>3</v>
      </c>
      <c r="T2122" s="690">
        <f t="shared" ref="T2122:T2129" si="460">ROUND(S2122/R2122,4)</f>
        <v>7.5949</v>
      </c>
    </row>
    <row r="2123" spans="1:20" s="688" customFormat="1" ht="17.100000000000001" customHeight="1">
      <c r="A2123" s="1355" t="s">
        <v>515</v>
      </c>
      <c r="B2123" s="1355"/>
      <c r="C2123" s="1355" t="s">
        <v>555</v>
      </c>
      <c r="D2123" s="1355"/>
      <c r="E2123" s="683">
        <v>7.2332999999999998</v>
      </c>
      <c r="F2123" s="676" t="s">
        <v>418</v>
      </c>
      <c r="G2123" s="670" t="e">
        <f>#REF!</f>
        <v>#REF!</v>
      </c>
      <c r="H2123" s="750" t="e">
        <f>INT(E2123*G2123)</f>
        <v>#REF!</v>
      </c>
      <c r="I2123" s="670" t="e">
        <f>#REF!</f>
        <v>#REF!</v>
      </c>
      <c r="J2123" s="750" t="e">
        <f t="shared" si="456"/>
        <v>#REF!</v>
      </c>
      <c r="K2123" s="670" t="e">
        <f>#REF!</f>
        <v>#REF!</v>
      </c>
      <c r="L2123" s="750" t="e">
        <f>INT(E2123*K2123)</f>
        <v>#REF!</v>
      </c>
      <c r="M2123" s="750" t="e">
        <f t="shared" si="459"/>
        <v>#REF!</v>
      </c>
      <c r="N2123" s="670" t="e">
        <f t="shared" si="459"/>
        <v>#REF!</v>
      </c>
      <c r="O2123" s="671"/>
      <c r="P2123" s="672"/>
      <c r="Q2123" s="688">
        <f>Q2122</f>
        <v>39.5</v>
      </c>
      <c r="R2123" s="688">
        <f>R2122</f>
        <v>0.39500000000000002</v>
      </c>
      <c r="S2123" s="688">
        <v>1</v>
      </c>
      <c r="T2123" s="690">
        <f t="shared" si="460"/>
        <v>2.5316000000000001</v>
      </c>
    </row>
    <row r="2124" spans="1:20" s="688" customFormat="1" ht="17.100000000000001" customHeight="1">
      <c r="A2124" s="1355" t="s">
        <v>1183</v>
      </c>
      <c r="B2124" s="1355"/>
      <c r="C2124" s="1355" t="s">
        <v>642</v>
      </c>
      <c r="D2124" s="1355"/>
      <c r="E2124" s="683">
        <v>7.2332999999999998</v>
      </c>
      <c r="F2124" s="676" t="s">
        <v>418</v>
      </c>
      <c r="G2124" s="670" t="e">
        <f>#REF!</f>
        <v>#REF!</v>
      </c>
      <c r="H2124" s="670" t="e">
        <f t="shared" si="457"/>
        <v>#REF!</v>
      </c>
      <c r="I2124" s="670" t="e">
        <f>#REF!</f>
        <v>#REF!</v>
      </c>
      <c r="J2124" s="670" t="e">
        <f t="shared" si="456"/>
        <v>#REF!</v>
      </c>
      <c r="K2124" s="670" t="e">
        <f>#REF!</f>
        <v>#REF!</v>
      </c>
      <c r="L2124" s="670" t="e">
        <f t="shared" si="458"/>
        <v>#REF!</v>
      </c>
      <c r="M2124" s="670" t="e">
        <f t="shared" si="459"/>
        <v>#REF!</v>
      </c>
      <c r="N2124" s="670" t="e">
        <f t="shared" si="459"/>
        <v>#REF!</v>
      </c>
      <c r="O2124" s="671"/>
      <c r="P2124" s="672"/>
      <c r="Q2124" s="688">
        <f t="shared" ref="Q2124:R2129" si="461">Q2123</f>
        <v>39.5</v>
      </c>
      <c r="R2124" s="688">
        <f t="shared" si="461"/>
        <v>0.39500000000000002</v>
      </c>
      <c r="S2124" s="688">
        <v>8</v>
      </c>
      <c r="T2124" s="690">
        <f t="shared" si="460"/>
        <v>20.2532</v>
      </c>
    </row>
    <row r="2125" spans="1:20" s="688" customFormat="1" ht="17.100000000000001" customHeight="1">
      <c r="A2125" s="1355" t="s">
        <v>1217</v>
      </c>
      <c r="B2125" s="1355"/>
      <c r="C2125" s="1355" t="s">
        <v>1218</v>
      </c>
      <c r="D2125" s="1355"/>
      <c r="E2125" s="683">
        <v>7.2332999999999998</v>
      </c>
      <c r="F2125" s="676" t="s">
        <v>418</v>
      </c>
      <c r="G2125" s="670" t="e">
        <f>#REF!</f>
        <v>#REF!</v>
      </c>
      <c r="H2125" s="670" t="e">
        <f t="shared" si="457"/>
        <v>#REF!</v>
      </c>
      <c r="I2125" s="670" t="e">
        <f>#REF!</f>
        <v>#REF!</v>
      </c>
      <c r="J2125" s="670" t="e">
        <f t="shared" si="456"/>
        <v>#REF!</v>
      </c>
      <c r="K2125" s="670" t="e">
        <f>#REF!</f>
        <v>#REF!</v>
      </c>
      <c r="L2125" s="670" t="e">
        <f t="shared" si="458"/>
        <v>#REF!</v>
      </c>
      <c r="M2125" s="670" t="e">
        <f t="shared" si="459"/>
        <v>#REF!</v>
      </c>
      <c r="N2125" s="670" t="e">
        <f t="shared" si="459"/>
        <v>#REF!</v>
      </c>
      <c r="O2125" s="671"/>
      <c r="P2125" s="672"/>
      <c r="Q2125" s="688">
        <f t="shared" si="461"/>
        <v>39.5</v>
      </c>
      <c r="R2125" s="688">
        <f t="shared" si="461"/>
        <v>0.39500000000000002</v>
      </c>
      <c r="S2125" s="688">
        <v>8</v>
      </c>
      <c r="T2125" s="690">
        <f t="shared" si="460"/>
        <v>20.2532</v>
      </c>
    </row>
    <row r="2126" spans="1:20" s="688" customFormat="1" ht="17.100000000000001" customHeight="1">
      <c r="A2126" s="1355" t="s">
        <v>1161</v>
      </c>
      <c r="B2126" s="1355"/>
      <c r="C2126" s="1355" t="s">
        <v>2064</v>
      </c>
      <c r="D2126" s="1355"/>
      <c r="E2126" s="683">
        <v>7.2332999999999998</v>
      </c>
      <c r="F2126" s="676" t="s">
        <v>418</v>
      </c>
      <c r="G2126" s="670" t="e">
        <f>#REF!</f>
        <v>#REF!</v>
      </c>
      <c r="H2126" s="670" t="e">
        <f t="shared" si="457"/>
        <v>#REF!</v>
      </c>
      <c r="I2126" s="670" t="e">
        <f>#REF!</f>
        <v>#REF!</v>
      </c>
      <c r="J2126" s="670" t="e">
        <f t="shared" si="456"/>
        <v>#REF!</v>
      </c>
      <c r="K2126" s="670" t="e">
        <f>#REF!</f>
        <v>#REF!</v>
      </c>
      <c r="L2126" s="670" t="e">
        <f t="shared" si="458"/>
        <v>#REF!</v>
      </c>
      <c r="M2126" s="670" t="e">
        <f t="shared" si="459"/>
        <v>#REF!</v>
      </c>
      <c r="N2126" s="670" t="e">
        <f t="shared" si="459"/>
        <v>#REF!</v>
      </c>
      <c r="O2126" s="671"/>
      <c r="P2126" s="672"/>
      <c r="Q2126" s="688">
        <f t="shared" si="461"/>
        <v>39.5</v>
      </c>
      <c r="R2126" s="688">
        <f t="shared" si="461"/>
        <v>0.39500000000000002</v>
      </c>
      <c r="S2126" s="688">
        <v>8</v>
      </c>
      <c r="T2126" s="690">
        <f t="shared" si="460"/>
        <v>20.2532</v>
      </c>
    </row>
    <row r="2127" spans="1:20" s="688" customFormat="1" ht="17.100000000000001" customHeight="1">
      <c r="A2127" s="1355" t="s">
        <v>1161</v>
      </c>
      <c r="B2127" s="1355"/>
      <c r="C2127" s="1355" t="s">
        <v>2065</v>
      </c>
      <c r="D2127" s="1355"/>
      <c r="E2127" s="683">
        <v>7.2332999999999998</v>
      </c>
      <c r="F2127" s="676" t="s">
        <v>418</v>
      </c>
      <c r="G2127" s="670" t="e">
        <f>#REF!</f>
        <v>#REF!</v>
      </c>
      <c r="H2127" s="670" t="e">
        <f t="shared" si="457"/>
        <v>#REF!</v>
      </c>
      <c r="I2127" s="670" t="e">
        <f>#REF!</f>
        <v>#REF!</v>
      </c>
      <c r="J2127" s="670" t="e">
        <f t="shared" si="456"/>
        <v>#REF!</v>
      </c>
      <c r="K2127" s="670" t="e">
        <f>#REF!</f>
        <v>#REF!</v>
      </c>
      <c r="L2127" s="670" t="e">
        <f t="shared" si="458"/>
        <v>#REF!</v>
      </c>
      <c r="M2127" s="670" t="e">
        <f t="shared" si="459"/>
        <v>#REF!</v>
      </c>
      <c r="N2127" s="670" t="e">
        <f t="shared" si="459"/>
        <v>#REF!</v>
      </c>
      <c r="O2127" s="671"/>
      <c r="P2127" s="672"/>
      <c r="Q2127" s="688">
        <f t="shared" si="461"/>
        <v>39.5</v>
      </c>
      <c r="R2127" s="688">
        <f t="shared" si="461"/>
        <v>0.39500000000000002</v>
      </c>
      <c r="S2127" s="688">
        <v>8</v>
      </c>
      <c r="T2127" s="690">
        <f t="shared" si="460"/>
        <v>20.2532</v>
      </c>
    </row>
    <row r="2128" spans="1:20" s="688" customFormat="1" ht="17.100000000000001" customHeight="1">
      <c r="A2128" s="1354" t="s">
        <v>1320</v>
      </c>
      <c r="B2128" s="1354"/>
      <c r="C2128" s="1355"/>
      <c r="D2128" s="1355"/>
      <c r="E2128" s="686"/>
      <c r="F2128" s="676"/>
      <c r="G2128" s="670"/>
      <c r="H2128" s="670" t="e">
        <f>SUM(H2119:H2127)</f>
        <v>#REF!</v>
      </c>
      <c r="I2128" s="670"/>
      <c r="J2128" s="670" t="e">
        <f>SUM(J2119:J2127)</f>
        <v>#REF!</v>
      </c>
      <c r="K2128" s="670"/>
      <c r="L2128" s="670" t="e">
        <f>SUM(L2119:L2127)</f>
        <v>#REF!</v>
      </c>
      <c r="M2128" s="670"/>
      <c r="N2128" s="670" t="e">
        <f>SUM(N2119:N2127)</f>
        <v>#REF!</v>
      </c>
      <c r="O2128" s="671"/>
      <c r="P2128" s="672"/>
      <c r="Q2128" s="688">
        <f t="shared" si="461"/>
        <v>39.5</v>
      </c>
      <c r="R2128" s="688">
        <f t="shared" si="461"/>
        <v>0.39500000000000002</v>
      </c>
      <c r="S2128" s="688">
        <v>8</v>
      </c>
      <c r="T2128" s="690">
        <f t="shared" si="460"/>
        <v>20.2532</v>
      </c>
    </row>
    <row r="2129" spans="1:22" s="688" customFormat="1" ht="17.100000000000001" customHeight="1">
      <c r="A2129" s="671">
        <f>A2118+1</f>
        <v>332</v>
      </c>
      <c r="B2129" s="1355" t="s">
        <v>2062</v>
      </c>
      <c r="C2129" s="1355"/>
      <c r="D2129" s="1355" t="s">
        <v>2071</v>
      </c>
      <c r="E2129" s="1355"/>
      <c r="F2129" s="676" t="s">
        <v>1458</v>
      </c>
      <c r="G2129" s="670"/>
      <c r="H2129" s="670"/>
      <c r="I2129" s="670"/>
      <c r="J2129" s="670"/>
      <c r="K2129" s="670"/>
      <c r="L2129" s="670"/>
      <c r="M2129" s="670"/>
      <c r="N2129" s="670"/>
      <c r="O2129" s="751" t="s">
        <v>1562</v>
      </c>
      <c r="P2129" s="672"/>
      <c r="Q2129" s="688">
        <f t="shared" si="461"/>
        <v>39.5</v>
      </c>
      <c r="R2129" s="688">
        <f t="shared" si="461"/>
        <v>0.39500000000000002</v>
      </c>
      <c r="S2129" s="688">
        <v>8</v>
      </c>
      <c r="T2129" s="690">
        <f t="shared" si="460"/>
        <v>20.2532</v>
      </c>
    </row>
    <row r="2130" spans="1:22" s="688" customFormat="1" ht="17.100000000000001" customHeight="1">
      <c r="A2130" s="1355" t="s">
        <v>1676</v>
      </c>
      <c r="B2130" s="1355"/>
      <c r="C2130" s="1355" t="s">
        <v>1827</v>
      </c>
      <c r="D2130" s="1355"/>
      <c r="E2130" s="686"/>
      <c r="F2130" s="676" t="s">
        <v>915</v>
      </c>
      <c r="G2130" s="670"/>
      <c r="H2130" s="670"/>
      <c r="I2130" s="670"/>
      <c r="J2130" s="670"/>
      <c r="K2130" s="670"/>
      <c r="L2130" s="670"/>
      <c r="M2130" s="670"/>
      <c r="N2130" s="670"/>
      <c r="O2130" s="671"/>
      <c r="P2130" s="672"/>
      <c r="T2130" s="690"/>
      <c r="U2130" s="688">
        <f>0.5*1.04*1.2307</f>
        <v>0.63996399999999998</v>
      </c>
    </row>
    <row r="2131" spans="1:22" s="688" customFormat="1" ht="17.100000000000001" customHeight="1">
      <c r="A2131" s="1355" t="s">
        <v>540</v>
      </c>
      <c r="B2131" s="1355"/>
      <c r="C2131" s="1355"/>
      <c r="D2131" s="1355"/>
      <c r="E2131" s="675">
        <v>6</v>
      </c>
      <c r="F2131" s="676" t="s">
        <v>366</v>
      </c>
      <c r="G2131" s="670"/>
      <c r="H2131" s="670"/>
      <c r="I2131" s="670">
        <f>[53]노임단가!$T$22</f>
        <v>273308</v>
      </c>
      <c r="J2131" s="670">
        <f t="shared" ref="J2131:J2138" si="462">INT(E2131*I2131)</f>
        <v>1639848</v>
      </c>
      <c r="K2131" s="670"/>
      <c r="L2131" s="670"/>
      <c r="M2131" s="670">
        <f>G2131+I2131+K2131</f>
        <v>273308</v>
      </c>
      <c r="N2131" s="670">
        <f>H2131+J2131+L2131</f>
        <v>1639848</v>
      </c>
      <c r="O2131" s="671"/>
      <c r="P2131" s="672"/>
      <c r="Q2131" s="687" t="s">
        <v>1446</v>
      </c>
      <c r="R2131" s="688" t="s">
        <v>1876</v>
      </c>
      <c r="S2131" s="688" t="s">
        <v>1425</v>
      </c>
      <c r="T2131" s="688" t="s">
        <v>1426</v>
      </c>
    </row>
    <row r="2132" spans="1:22" s="688" customFormat="1" ht="17.100000000000001" customHeight="1">
      <c r="A2132" s="1355" t="s">
        <v>248</v>
      </c>
      <c r="B2132" s="1355"/>
      <c r="C2132" s="1355"/>
      <c r="D2132" s="1355"/>
      <c r="E2132" s="675">
        <v>2</v>
      </c>
      <c r="F2132" s="676" t="s">
        <v>366</v>
      </c>
      <c r="G2132" s="670"/>
      <c r="H2132" s="670"/>
      <c r="I2132" s="670">
        <f>[53]노임단가!$T$5</f>
        <v>172068</v>
      </c>
      <c r="J2132" s="670">
        <f t="shared" si="462"/>
        <v>344136</v>
      </c>
      <c r="K2132" s="670"/>
      <c r="L2132" s="670"/>
      <c r="M2132" s="670">
        <f>G2132+I2132+K2132</f>
        <v>172068</v>
      </c>
      <c r="N2132" s="670">
        <f>H2132+J2132+L2132</f>
        <v>344136</v>
      </c>
      <c r="O2132" s="671"/>
      <c r="P2132" s="672"/>
      <c r="T2132" s="690" t="e">
        <f t="shared" ref="T2132:T2143" si="463">ROUND(S2132/R2132,4)</f>
        <v>#DIV/0!</v>
      </c>
      <c r="U2132" s="665"/>
      <c r="V2132" s="665"/>
    </row>
    <row r="2133" spans="1:22" s="665" customFormat="1" ht="17.100000000000001" customHeight="1">
      <c r="A2133" s="1355" t="s">
        <v>2048</v>
      </c>
      <c r="B2133" s="1355"/>
      <c r="C2133" s="1355" t="s">
        <v>1146</v>
      </c>
      <c r="D2133" s="1355"/>
      <c r="E2133" s="675">
        <v>16</v>
      </c>
      <c r="F2133" s="676" t="s">
        <v>418</v>
      </c>
      <c r="G2133" s="670" t="e">
        <f>#REF!+#REF!</f>
        <v>#REF!</v>
      </c>
      <c r="H2133" s="670" t="e">
        <f t="shared" ref="H2133:H2138" si="464">INT(E2133*G2133)</f>
        <v>#REF!</v>
      </c>
      <c r="I2133" s="670" t="e">
        <f>#REF!+#REF!</f>
        <v>#REF!</v>
      </c>
      <c r="J2133" s="670" t="e">
        <f t="shared" si="462"/>
        <v>#REF!</v>
      </c>
      <c r="K2133" s="670" t="e">
        <f>#REF!+#REF!</f>
        <v>#REF!</v>
      </c>
      <c r="L2133" s="670" t="e">
        <f t="shared" ref="L2133:L2138" si="465">INT(E2133*K2133)</f>
        <v>#REF!</v>
      </c>
      <c r="M2133" s="670" t="e">
        <f t="shared" ref="M2133:N2138" si="466">G2133+I2133+K2133</f>
        <v>#REF!</v>
      </c>
      <c r="N2133" s="670" t="e">
        <f t="shared" si="466"/>
        <v>#REF!</v>
      </c>
      <c r="O2133" s="671"/>
      <c r="P2133" s="672"/>
      <c r="Q2133" s="688"/>
      <c r="R2133" s="688"/>
      <c r="S2133" s="688"/>
      <c r="T2133" s="690" t="e">
        <f t="shared" si="463"/>
        <v>#DIV/0!</v>
      </c>
      <c r="U2133" s="688"/>
      <c r="V2133" s="688"/>
    </row>
    <row r="2134" spans="1:22" s="688" customFormat="1" ht="17.100000000000001" customHeight="1">
      <c r="A2134" s="1355" t="s">
        <v>515</v>
      </c>
      <c r="B2134" s="1355"/>
      <c r="C2134" s="1355" t="s">
        <v>555</v>
      </c>
      <c r="D2134" s="1355"/>
      <c r="E2134" s="675">
        <v>16</v>
      </c>
      <c r="F2134" s="676" t="s">
        <v>418</v>
      </c>
      <c r="G2134" s="670" t="e">
        <f>#REF!</f>
        <v>#REF!</v>
      </c>
      <c r="H2134" s="750" t="e">
        <f>INT(E2134*G2134)</f>
        <v>#REF!</v>
      </c>
      <c r="I2134" s="670" t="e">
        <f>#REF!</f>
        <v>#REF!</v>
      </c>
      <c r="J2134" s="750" t="e">
        <f t="shared" si="462"/>
        <v>#REF!</v>
      </c>
      <c r="K2134" s="670" t="e">
        <f>#REF!</f>
        <v>#REF!</v>
      </c>
      <c r="L2134" s="750" t="e">
        <f>INT(E2134*K2134)</f>
        <v>#REF!</v>
      </c>
      <c r="M2134" s="750" t="e">
        <f t="shared" si="466"/>
        <v>#REF!</v>
      </c>
      <c r="N2134" s="670" t="e">
        <f t="shared" si="466"/>
        <v>#REF!</v>
      </c>
      <c r="O2134" s="671"/>
      <c r="P2134" s="672"/>
      <c r="Q2134" s="688">
        <f>0.5*1.2307*1.04</f>
        <v>0.63996399999999998</v>
      </c>
      <c r="T2134" s="690" t="e">
        <f t="shared" si="463"/>
        <v>#DIV/0!</v>
      </c>
    </row>
    <row r="2135" spans="1:22" s="688" customFormat="1" ht="17.100000000000001" customHeight="1">
      <c r="A2135" s="1355" t="s">
        <v>1183</v>
      </c>
      <c r="B2135" s="1355"/>
      <c r="C2135" s="1355" t="s">
        <v>642</v>
      </c>
      <c r="D2135" s="1355"/>
      <c r="E2135" s="675">
        <v>16</v>
      </c>
      <c r="F2135" s="676" t="s">
        <v>418</v>
      </c>
      <c r="G2135" s="670" t="e">
        <f>#REF!</f>
        <v>#REF!</v>
      </c>
      <c r="H2135" s="670" t="e">
        <f t="shared" si="464"/>
        <v>#REF!</v>
      </c>
      <c r="I2135" s="670" t="e">
        <f>#REF!</f>
        <v>#REF!</v>
      </c>
      <c r="J2135" s="670" t="e">
        <f t="shared" si="462"/>
        <v>#REF!</v>
      </c>
      <c r="K2135" s="670" t="e">
        <f>#REF!</f>
        <v>#REF!</v>
      </c>
      <c r="L2135" s="670" t="e">
        <f t="shared" si="465"/>
        <v>#REF!</v>
      </c>
      <c r="M2135" s="670" t="e">
        <f t="shared" si="466"/>
        <v>#REF!</v>
      </c>
      <c r="N2135" s="670" t="e">
        <f t="shared" si="466"/>
        <v>#REF!</v>
      </c>
      <c r="O2135" s="671"/>
      <c r="P2135" s="672"/>
      <c r="Q2135" s="688">
        <v>50</v>
      </c>
      <c r="R2135" s="688">
        <f>Q2135</f>
        <v>50</v>
      </c>
      <c r="T2135" s="690">
        <f t="shared" si="463"/>
        <v>0</v>
      </c>
    </row>
    <row r="2136" spans="1:22" s="688" customFormat="1" ht="17.100000000000001" customHeight="1">
      <c r="A2136" s="1355" t="s">
        <v>1217</v>
      </c>
      <c r="B2136" s="1355"/>
      <c r="C2136" s="1355" t="s">
        <v>1218</v>
      </c>
      <c r="D2136" s="1355"/>
      <c r="E2136" s="675">
        <v>16</v>
      </c>
      <c r="F2136" s="676" t="s">
        <v>418</v>
      </c>
      <c r="G2136" s="670" t="e">
        <f>#REF!</f>
        <v>#REF!</v>
      </c>
      <c r="H2136" s="670" t="e">
        <f t="shared" si="464"/>
        <v>#REF!</v>
      </c>
      <c r="I2136" s="670" t="e">
        <f>#REF!</f>
        <v>#REF!</v>
      </c>
      <c r="J2136" s="670" t="e">
        <f t="shared" si="462"/>
        <v>#REF!</v>
      </c>
      <c r="K2136" s="670" t="e">
        <f>#REF!</f>
        <v>#REF!</v>
      </c>
      <c r="L2136" s="670" t="e">
        <f t="shared" si="465"/>
        <v>#REF!</v>
      </c>
      <c r="M2136" s="670" t="e">
        <f t="shared" si="466"/>
        <v>#REF!</v>
      </c>
      <c r="N2136" s="670" t="e">
        <f t="shared" si="466"/>
        <v>#REF!</v>
      </c>
      <c r="O2136" s="671"/>
      <c r="P2136" s="672"/>
      <c r="Q2136" s="688">
        <f t="shared" ref="Q2136:R2143" si="467">Q2135</f>
        <v>50</v>
      </c>
      <c r="R2136" s="688">
        <f t="shared" si="467"/>
        <v>50</v>
      </c>
      <c r="T2136" s="690">
        <f t="shared" si="463"/>
        <v>0</v>
      </c>
    </row>
    <row r="2137" spans="1:22" s="688" customFormat="1" ht="17.100000000000001" customHeight="1">
      <c r="A2137" s="1355" t="s">
        <v>1161</v>
      </c>
      <c r="B2137" s="1355"/>
      <c r="C2137" s="1355" t="s">
        <v>2064</v>
      </c>
      <c r="D2137" s="1355"/>
      <c r="E2137" s="675">
        <v>16</v>
      </c>
      <c r="F2137" s="676" t="s">
        <v>418</v>
      </c>
      <c r="G2137" s="670" t="e">
        <f>#REF!</f>
        <v>#REF!</v>
      </c>
      <c r="H2137" s="670" t="e">
        <f t="shared" si="464"/>
        <v>#REF!</v>
      </c>
      <c r="I2137" s="670" t="e">
        <f>#REF!</f>
        <v>#REF!</v>
      </c>
      <c r="J2137" s="670" t="e">
        <f t="shared" si="462"/>
        <v>#REF!</v>
      </c>
      <c r="K2137" s="670" t="e">
        <f>#REF!</f>
        <v>#REF!</v>
      </c>
      <c r="L2137" s="670" t="e">
        <f t="shared" si="465"/>
        <v>#REF!</v>
      </c>
      <c r="M2137" s="670" t="e">
        <f t="shared" si="466"/>
        <v>#REF!</v>
      </c>
      <c r="N2137" s="670" t="e">
        <f t="shared" si="466"/>
        <v>#REF!</v>
      </c>
      <c r="O2137" s="671"/>
      <c r="P2137" s="672"/>
      <c r="Q2137" s="688">
        <f t="shared" si="467"/>
        <v>50</v>
      </c>
      <c r="R2137" s="688">
        <f t="shared" si="467"/>
        <v>50</v>
      </c>
      <c r="S2137" s="688">
        <v>1</v>
      </c>
      <c r="T2137" s="690">
        <f t="shared" si="463"/>
        <v>0.02</v>
      </c>
    </row>
    <row r="2138" spans="1:22" s="688" customFormat="1" ht="17.100000000000001" customHeight="1">
      <c r="A2138" s="1355" t="s">
        <v>1161</v>
      </c>
      <c r="B2138" s="1355"/>
      <c r="C2138" s="1355" t="s">
        <v>2065</v>
      </c>
      <c r="D2138" s="1355"/>
      <c r="E2138" s="675">
        <v>16</v>
      </c>
      <c r="F2138" s="676" t="s">
        <v>418</v>
      </c>
      <c r="G2138" s="670" t="e">
        <f>#REF!</f>
        <v>#REF!</v>
      </c>
      <c r="H2138" s="670" t="e">
        <f t="shared" si="464"/>
        <v>#REF!</v>
      </c>
      <c r="I2138" s="670" t="e">
        <f>#REF!</f>
        <v>#REF!</v>
      </c>
      <c r="J2138" s="670" t="e">
        <f t="shared" si="462"/>
        <v>#REF!</v>
      </c>
      <c r="K2138" s="670" t="e">
        <f>#REF!</f>
        <v>#REF!</v>
      </c>
      <c r="L2138" s="670" t="e">
        <f t="shared" si="465"/>
        <v>#REF!</v>
      </c>
      <c r="M2138" s="670" t="e">
        <f t="shared" si="466"/>
        <v>#REF!</v>
      </c>
      <c r="N2138" s="670" t="e">
        <f t="shared" si="466"/>
        <v>#REF!</v>
      </c>
      <c r="O2138" s="671"/>
      <c r="P2138" s="672"/>
      <c r="Q2138" s="688">
        <f t="shared" si="467"/>
        <v>50</v>
      </c>
      <c r="R2138" s="688">
        <f t="shared" si="467"/>
        <v>50</v>
      </c>
      <c r="S2138" s="688">
        <v>3</v>
      </c>
      <c r="T2138" s="690">
        <f t="shared" si="463"/>
        <v>0.06</v>
      </c>
    </row>
    <row r="2139" spans="1:22" s="688" customFormat="1" ht="17.100000000000001" customHeight="1">
      <c r="A2139" s="1354" t="s">
        <v>1320</v>
      </c>
      <c r="B2139" s="1354"/>
      <c r="C2139" s="1355"/>
      <c r="D2139" s="1355"/>
      <c r="E2139" s="686"/>
      <c r="F2139" s="676"/>
      <c r="G2139" s="670"/>
      <c r="H2139" s="670" t="e">
        <f>SUM(H2130:H2138)</f>
        <v>#REF!</v>
      </c>
      <c r="I2139" s="670"/>
      <c r="J2139" s="670" t="e">
        <f>SUM(J2130:J2138)</f>
        <v>#REF!</v>
      </c>
      <c r="K2139" s="670"/>
      <c r="L2139" s="670" t="e">
        <f>SUM(L2130:L2138)</f>
        <v>#REF!</v>
      </c>
      <c r="M2139" s="670"/>
      <c r="N2139" s="670" t="e">
        <f>SUM(N2130:N2138)</f>
        <v>#REF!</v>
      </c>
      <c r="O2139" s="671"/>
      <c r="P2139" s="672"/>
      <c r="Q2139" s="688">
        <f t="shared" si="467"/>
        <v>50</v>
      </c>
      <c r="R2139" s="688">
        <f t="shared" si="467"/>
        <v>50</v>
      </c>
      <c r="S2139" s="688">
        <v>8</v>
      </c>
      <c r="T2139" s="690">
        <f t="shared" si="463"/>
        <v>0.16</v>
      </c>
    </row>
    <row r="2140" spans="1:22" s="688" customFormat="1" ht="17.100000000000001" customHeight="1">
      <c r="A2140" s="671">
        <f>A2129+1</f>
        <v>333</v>
      </c>
      <c r="B2140" s="1355" t="s">
        <v>2062</v>
      </c>
      <c r="C2140" s="1355"/>
      <c r="D2140" s="1355" t="s">
        <v>2072</v>
      </c>
      <c r="E2140" s="1355"/>
      <c r="F2140" s="676" t="s">
        <v>1458</v>
      </c>
      <c r="G2140" s="670"/>
      <c r="H2140" s="670"/>
      <c r="I2140" s="670"/>
      <c r="J2140" s="670"/>
      <c r="K2140" s="670"/>
      <c r="L2140" s="670"/>
      <c r="M2140" s="670"/>
      <c r="N2140" s="670"/>
      <c r="O2140" s="751" t="s">
        <v>1562</v>
      </c>
      <c r="P2140" s="672"/>
      <c r="Q2140" s="688">
        <f t="shared" si="467"/>
        <v>50</v>
      </c>
      <c r="R2140" s="688">
        <f t="shared" si="467"/>
        <v>50</v>
      </c>
      <c r="S2140" s="688">
        <v>8</v>
      </c>
      <c r="T2140" s="690">
        <f t="shared" si="463"/>
        <v>0.16</v>
      </c>
    </row>
    <row r="2141" spans="1:22" s="688" customFormat="1" ht="17.100000000000001" customHeight="1">
      <c r="A2141" s="1355" t="s">
        <v>1676</v>
      </c>
      <c r="B2141" s="1355"/>
      <c r="C2141" s="1355" t="s">
        <v>1827</v>
      </c>
      <c r="D2141" s="1355"/>
      <c r="E2141" s="686"/>
      <c r="F2141" s="676" t="s">
        <v>915</v>
      </c>
      <c r="G2141" s="670"/>
      <c r="H2141" s="670"/>
      <c r="I2141" s="670"/>
      <c r="J2141" s="670"/>
      <c r="K2141" s="670"/>
      <c r="L2141" s="670"/>
      <c r="M2141" s="670"/>
      <c r="N2141" s="670"/>
      <c r="O2141" s="671"/>
      <c r="P2141" s="672"/>
      <c r="Q2141" s="688">
        <f t="shared" si="467"/>
        <v>50</v>
      </c>
      <c r="R2141" s="688">
        <f t="shared" si="467"/>
        <v>50</v>
      </c>
      <c r="S2141" s="688">
        <v>8</v>
      </c>
      <c r="T2141" s="690">
        <f t="shared" si="463"/>
        <v>0.16</v>
      </c>
    </row>
    <row r="2142" spans="1:22" s="688" customFormat="1" ht="17.100000000000001" customHeight="1">
      <c r="A2142" s="1355" t="s">
        <v>540</v>
      </c>
      <c r="B2142" s="1355"/>
      <c r="C2142" s="1355"/>
      <c r="D2142" s="1355"/>
      <c r="E2142" s="683">
        <v>4.7618999999999998</v>
      </c>
      <c r="F2142" s="676" t="s">
        <v>366</v>
      </c>
      <c r="G2142" s="670"/>
      <c r="H2142" s="670"/>
      <c r="I2142" s="670">
        <f>[53]노임단가!$T$22</f>
        <v>273308</v>
      </c>
      <c r="J2142" s="670">
        <f t="shared" ref="J2142:J2149" si="468">INT(E2142*I2142)</f>
        <v>1301465</v>
      </c>
      <c r="K2142" s="670"/>
      <c r="L2142" s="670"/>
      <c r="M2142" s="670">
        <f>G2142+I2142+K2142</f>
        <v>273308</v>
      </c>
      <c r="N2142" s="670">
        <f>H2142+J2142+L2142</f>
        <v>1301465</v>
      </c>
      <c r="O2142" s="671"/>
      <c r="P2142" s="672"/>
      <c r="Q2142" s="688">
        <f t="shared" si="467"/>
        <v>50</v>
      </c>
      <c r="R2142" s="688">
        <f t="shared" si="467"/>
        <v>50</v>
      </c>
      <c r="S2142" s="688">
        <v>8</v>
      </c>
      <c r="T2142" s="690">
        <f t="shared" si="463"/>
        <v>0.16</v>
      </c>
      <c r="U2142" s="665"/>
      <c r="V2142" s="665"/>
    </row>
    <row r="2143" spans="1:22" s="665" customFormat="1" ht="17.100000000000001" customHeight="1">
      <c r="A2143" s="1355" t="s">
        <v>248</v>
      </c>
      <c r="B2143" s="1355"/>
      <c r="C2143" s="1355"/>
      <c r="D2143" s="1355"/>
      <c r="E2143" s="683">
        <v>1.5872999999999999</v>
      </c>
      <c r="F2143" s="676" t="s">
        <v>366</v>
      </c>
      <c r="G2143" s="670"/>
      <c r="H2143" s="670"/>
      <c r="I2143" s="670">
        <f>[53]노임단가!$T$5</f>
        <v>172068</v>
      </c>
      <c r="J2143" s="670">
        <f t="shared" si="468"/>
        <v>273123</v>
      </c>
      <c r="K2143" s="670"/>
      <c r="L2143" s="670"/>
      <c r="M2143" s="670">
        <f>G2143+I2143+K2143</f>
        <v>172068</v>
      </c>
      <c r="N2143" s="670">
        <f>H2143+J2143+L2143</f>
        <v>273123</v>
      </c>
      <c r="O2143" s="671"/>
      <c r="P2143" s="672"/>
      <c r="Q2143" s="688">
        <f t="shared" si="467"/>
        <v>50</v>
      </c>
      <c r="R2143" s="688">
        <f t="shared" si="467"/>
        <v>50</v>
      </c>
      <c r="S2143" s="688"/>
      <c r="T2143" s="690">
        <f t="shared" si="463"/>
        <v>0</v>
      </c>
    </row>
    <row r="2144" spans="1:22" s="665" customFormat="1" ht="17.100000000000001" customHeight="1">
      <c r="A2144" s="1316" t="s">
        <v>2048</v>
      </c>
      <c r="B2144" s="1317"/>
      <c r="C2144" s="1316" t="s">
        <v>1146</v>
      </c>
      <c r="D2144" s="1317"/>
      <c r="E2144" s="683">
        <v>12.698399999999999</v>
      </c>
      <c r="F2144" s="676" t="s">
        <v>418</v>
      </c>
      <c r="G2144" s="670" t="e">
        <f>#REF!+#REF!</f>
        <v>#REF!</v>
      </c>
      <c r="H2144" s="670" t="e">
        <f t="shared" ref="H2144:H2149" si="469">INT(E2144*G2144)</f>
        <v>#REF!</v>
      </c>
      <c r="I2144" s="670" t="e">
        <f>#REF!+#REF!</f>
        <v>#REF!</v>
      </c>
      <c r="J2144" s="670" t="e">
        <f t="shared" si="468"/>
        <v>#REF!</v>
      </c>
      <c r="K2144" s="670" t="e">
        <f>#REF!+#REF!</f>
        <v>#REF!</v>
      </c>
      <c r="L2144" s="670" t="e">
        <f t="shared" ref="L2144:L2149" si="470">INT(E2144*K2144)</f>
        <v>#REF!</v>
      </c>
      <c r="M2144" s="670" t="e">
        <f t="shared" ref="M2144:N2149" si="471">G2144+I2144+K2144</f>
        <v>#REF!</v>
      </c>
      <c r="N2144" s="670" t="e">
        <f t="shared" si="471"/>
        <v>#REF!</v>
      </c>
      <c r="O2144" s="671"/>
      <c r="P2144" s="672"/>
      <c r="Q2144" s="688"/>
      <c r="R2144" s="688"/>
      <c r="S2144" s="688"/>
      <c r="T2144" s="690"/>
    </row>
    <row r="2145" spans="1:22" s="665" customFormat="1" ht="17.100000000000001" customHeight="1">
      <c r="A2145" s="1316" t="s">
        <v>515</v>
      </c>
      <c r="B2145" s="1317"/>
      <c r="C2145" s="1316" t="s">
        <v>555</v>
      </c>
      <c r="D2145" s="1317"/>
      <c r="E2145" s="683">
        <v>12.698399999999999</v>
      </c>
      <c r="F2145" s="676" t="s">
        <v>418</v>
      </c>
      <c r="G2145" s="670" t="e">
        <f>#REF!</f>
        <v>#REF!</v>
      </c>
      <c r="H2145" s="750" t="e">
        <f>INT(E2145*G2145)</f>
        <v>#REF!</v>
      </c>
      <c r="I2145" s="670" t="e">
        <f>#REF!</f>
        <v>#REF!</v>
      </c>
      <c r="J2145" s="750" t="e">
        <f t="shared" si="468"/>
        <v>#REF!</v>
      </c>
      <c r="K2145" s="670" t="e">
        <f>#REF!</f>
        <v>#REF!</v>
      </c>
      <c r="L2145" s="750" t="e">
        <f>INT(E2145*K2145)</f>
        <v>#REF!</v>
      </c>
      <c r="M2145" s="750" t="e">
        <f t="shared" si="471"/>
        <v>#REF!</v>
      </c>
      <c r="N2145" s="670" t="e">
        <f t="shared" si="471"/>
        <v>#REF!</v>
      </c>
      <c r="O2145" s="671"/>
      <c r="P2145" s="672"/>
      <c r="Q2145" s="687" t="s">
        <v>1446</v>
      </c>
      <c r="R2145" s="688" t="s">
        <v>1876</v>
      </c>
      <c r="S2145" s="688" t="s">
        <v>1425</v>
      </c>
      <c r="T2145" s="688" t="s">
        <v>1426</v>
      </c>
      <c r="U2145" s="688"/>
      <c r="V2145" s="688"/>
    </row>
    <row r="2146" spans="1:22" s="688" customFormat="1" ht="17.100000000000001" customHeight="1">
      <c r="A2146" s="1316" t="s">
        <v>1183</v>
      </c>
      <c r="B2146" s="1317"/>
      <c r="C2146" s="1316" t="s">
        <v>642</v>
      </c>
      <c r="D2146" s="1317"/>
      <c r="E2146" s="683">
        <v>12.698399999999999</v>
      </c>
      <c r="F2146" s="676" t="s">
        <v>418</v>
      </c>
      <c r="G2146" s="670" t="e">
        <f>#REF!</f>
        <v>#REF!</v>
      </c>
      <c r="H2146" s="670" t="e">
        <f t="shared" si="469"/>
        <v>#REF!</v>
      </c>
      <c r="I2146" s="670" t="e">
        <f>#REF!</f>
        <v>#REF!</v>
      </c>
      <c r="J2146" s="670" t="e">
        <f t="shared" si="468"/>
        <v>#REF!</v>
      </c>
      <c r="K2146" s="670" t="e">
        <f>#REF!</f>
        <v>#REF!</v>
      </c>
      <c r="L2146" s="670" t="e">
        <f t="shared" si="470"/>
        <v>#REF!</v>
      </c>
      <c r="M2146" s="670" t="e">
        <f t="shared" si="471"/>
        <v>#REF!</v>
      </c>
      <c r="N2146" s="670" t="e">
        <f t="shared" si="471"/>
        <v>#REF!</v>
      </c>
      <c r="O2146" s="671"/>
      <c r="P2146" s="672"/>
      <c r="Q2146" s="688">
        <v>50</v>
      </c>
      <c r="R2146" s="688">
        <f>(Q2146)*0.7</f>
        <v>35</v>
      </c>
      <c r="T2146" s="690">
        <f t="shared" ref="T2146:T2157" si="472">ROUND(S2146/R2146,4)</f>
        <v>0</v>
      </c>
    </row>
    <row r="2147" spans="1:22" s="688" customFormat="1" ht="17.100000000000001" customHeight="1">
      <c r="A2147" s="1316" t="s">
        <v>1217</v>
      </c>
      <c r="B2147" s="1317"/>
      <c r="C2147" s="1316" t="s">
        <v>1218</v>
      </c>
      <c r="D2147" s="1317"/>
      <c r="E2147" s="683">
        <v>12.698399999999999</v>
      </c>
      <c r="F2147" s="676" t="s">
        <v>418</v>
      </c>
      <c r="G2147" s="670" t="e">
        <f>#REF!</f>
        <v>#REF!</v>
      </c>
      <c r="H2147" s="670" t="e">
        <f t="shared" si="469"/>
        <v>#REF!</v>
      </c>
      <c r="I2147" s="670" t="e">
        <f>#REF!</f>
        <v>#REF!</v>
      </c>
      <c r="J2147" s="670" t="e">
        <f t="shared" si="468"/>
        <v>#REF!</v>
      </c>
      <c r="K2147" s="670" t="e">
        <f>#REF!</f>
        <v>#REF!</v>
      </c>
      <c r="L2147" s="670" t="e">
        <f t="shared" si="470"/>
        <v>#REF!</v>
      </c>
      <c r="M2147" s="670" t="e">
        <f t="shared" si="471"/>
        <v>#REF!</v>
      </c>
      <c r="N2147" s="670" t="e">
        <f t="shared" si="471"/>
        <v>#REF!</v>
      </c>
      <c r="O2147" s="671"/>
      <c r="P2147" s="672"/>
      <c r="Q2147" s="688">
        <f t="shared" ref="Q2147:R2157" si="473">Q2146</f>
        <v>50</v>
      </c>
      <c r="R2147" s="688">
        <f t="shared" si="473"/>
        <v>35</v>
      </c>
      <c r="T2147" s="690">
        <f t="shared" si="472"/>
        <v>0</v>
      </c>
    </row>
    <row r="2148" spans="1:22" s="688" customFormat="1" ht="17.100000000000001" customHeight="1">
      <c r="A2148" s="1316" t="s">
        <v>1161</v>
      </c>
      <c r="B2148" s="1317"/>
      <c r="C2148" s="1316" t="s">
        <v>2064</v>
      </c>
      <c r="D2148" s="1317"/>
      <c r="E2148" s="683">
        <v>12.698399999999999</v>
      </c>
      <c r="F2148" s="676" t="s">
        <v>418</v>
      </c>
      <c r="G2148" s="670" t="e">
        <f>#REF!</f>
        <v>#REF!</v>
      </c>
      <c r="H2148" s="670" t="e">
        <f t="shared" si="469"/>
        <v>#REF!</v>
      </c>
      <c r="I2148" s="670" t="e">
        <f>#REF!</f>
        <v>#REF!</v>
      </c>
      <c r="J2148" s="670" t="e">
        <f t="shared" si="468"/>
        <v>#REF!</v>
      </c>
      <c r="K2148" s="670" t="e">
        <f>#REF!</f>
        <v>#REF!</v>
      </c>
      <c r="L2148" s="670" t="e">
        <f t="shared" si="470"/>
        <v>#REF!</v>
      </c>
      <c r="M2148" s="670" t="e">
        <f t="shared" si="471"/>
        <v>#REF!</v>
      </c>
      <c r="N2148" s="670" t="e">
        <f t="shared" si="471"/>
        <v>#REF!</v>
      </c>
      <c r="O2148" s="671"/>
      <c r="P2148" s="672"/>
      <c r="Q2148" s="688">
        <f t="shared" si="473"/>
        <v>50</v>
      </c>
      <c r="R2148" s="688">
        <f t="shared" si="473"/>
        <v>35</v>
      </c>
      <c r="T2148" s="690">
        <f t="shared" si="472"/>
        <v>0</v>
      </c>
    </row>
    <row r="2149" spans="1:22" s="688" customFormat="1" ht="17.100000000000001" customHeight="1">
      <c r="A2149" s="1316" t="s">
        <v>1161</v>
      </c>
      <c r="B2149" s="1317"/>
      <c r="C2149" s="1316" t="s">
        <v>2065</v>
      </c>
      <c r="D2149" s="1317"/>
      <c r="E2149" s="683">
        <v>12.698399999999999</v>
      </c>
      <c r="F2149" s="676" t="s">
        <v>418</v>
      </c>
      <c r="G2149" s="670" t="e">
        <f>#REF!</f>
        <v>#REF!</v>
      </c>
      <c r="H2149" s="670" t="e">
        <f t="shared" si="469"/>
        <v>#REF!</v>
      </c>
      <c r="I2149" s="670" t="e">
        <f>#REF!</f>
        <v>#REF!</v>
      </c>
      <c r="J2149" s="670" t="e">
        <f t="shared" si="468"/>
        <v>#REF!</v>
      </c>
      <c r="K2149" s="670" t="e">
        <f>#REF!</f>
        <v>#REF!</v>
      </c>
      <c r="L2149" s="670" t="e">
        <f t="shared" si="470"/>
        <v>#REF!</v>
      </c>
      <c r="M2149" s="670" t="e">
        <f t="shared" si="471"/>
        <v>#REF!</v>
      </c>
      <c r="N2149" s="670" t="e">
        <f t="shared" si="471"/>
        <v>#REF!</v>
      </c>
      <c r="O2149" s="671"/>
      <c r="P2149" s="672"/>
      <c r="Q2149" s="688">
        <f t="shared" si="473"/>
        <v>50</v>
      </c>
      <c r="R2149" s="688">
        <f t="shared" si="473"/>
        <v>35</v>
      </c>
      <c r="T2149" s="690">
        <f t="shared" si="472"/>
        <v>0</v>
      </c>
    </row>
    <row r="2150" spans="1:22" s="688" customFormat="1" ht="17.100000000000001" customHeight="1">
      <c r="A2150" s="1318" t="s">
        <v>1320</v>
      </c>
      <c r="B2150" s="1319"/>
      <c r="C2150" s="1316"/>
      <c r="D2150" s="1317"/>
      <c r="E2150" s="686"/>
      <c r="F2150" s="676"/>
      <c r="G2150" s="670"/>
      <c r="H2150" s="670" t="e">
        <f>SUM(H2141:H2149)</f>
        <v>#REF!</v>
      </c>
      <c r="I2150" s="670"/>
      <c r="J2150" s="670" t="e">
        <f>SUM(J2141:J2149)</f>
        <v>#REF!</v>
      </c>
      <c r="K2150" s="670"/>
      <c r="L2150" s="670" t="e">
        <f>SUM(L2141:L2149)</f>
        <v>#REF!</v>
      </c>
      <c r="M2150" s="670"/>
      <c r="N2150" s="670" t="e">
        <f>SUM(N2141:N2149)</f>
        <v>#REF!</v>
      </c>
      <c r="O2150" s="671"/>
      <c r="P2150" s="672"/>
      <c r="Q2150" s="688">
        <f t="shared" si="473"/>
        <v>50</v>
      </c>
      <c r="R2150" s="688">
        <f t="shared" si="473"/>
        <v>35</v>
      </c>
      <c r="T2150" s="690">
        <f t="shared" si="472"/>
        <v>0</v>
      </c>
    </row>
    <row r="2151" spans="1:22" s="688" customFormat="1" ht="17.100000000000001" customHeight="1">
      <c r="A2151" s="668">
        <f>A2140+1</f>
        <v>334</v>
      </c>
      <c r="B2151" s="1320" t="s">
        <v>2062</v>
      </c>
      <c r="C2151" s="1320"/>
      <c r="D2151" s="1320" t="s">
        <v>2073</v>
      </c>
      <c r="E2151" s="1320"/>
      <c r="F2151" s="669" t="s">
        <v>1458</v>
      </c>
      <c r="G2151" s="698"/>
      <c r="H2151" s="698"/>
      <c r="I2151" s="698"/>
      <c r="J2151" s="698"/>
      <c r="K2151" s="670"/>
      <c r="L2151" s="670"/>
      <c r="M2151" s="670"/>
      <c r="N2151" s="698"/>
      <c r="O2151" s="800" t="s">
        <v>1562</v>
      </c>
      <c r="P2151" s="672"/>
      <c r="Q2151" s="688">
        <f t="shared" si="473"/>
        <v>50</v>
      </c>
      <c r="R2151" s="688">
        <f t="shared" si="473"/>
        <v>35</v>
      </c>
      <c r="S2151" s="688">
        <v>1</v>
      </c>
      <c r="T2151" s="690">
        <f t="shared" si="472"/>
        <v>2.86E-2</v>
      </c>
    </row>
    <row r="2152" spans="1:22" s="688" customFormat="1" ht="17.100000000000001" customHeight="1">
      <c r="A2152" s="1316" t="s">
        <v>1676</v>
      </c>
      <c r="B2152" s="1317"/>
      <c r="C2152" s="1316" t="s">
        <v>1827</v>
      </c>
      <c r="D2152" s="1317"/>
      <c r="E2152" s="686"/>
      <c r="F2152" s="676" t="s">
        <v>915</v>
      </c>
      <c r="G2152" s="670"/>
      <c r="H2152" s="670"/>
      <c r="I2152" s="670"/>
      <c r="J2152" s="670"/>
      <c r="K2152" s="670"/>
      <c r="L2152" s="670"/>
      <c r="M2152" s="670"/>
      <c r="N2152" s="670"/>
      <c r="O2152" s="671"/>
      <c r="P2152" s="672"/>
      <c r="Q2152" s="688">
        <f t="shared" si="473"/>
        <v>50</v>
      </c>
      <c r="R2152" s="688">
        <f t="shared" si="473"/>
        <v>35</v>
      </c>
      <c r="S2152" s="688">
        <v>3</v>
      </c>
      <c r="T2152" s="690">
        <f t="shared" si="472"/>
        <v>8.5699999999999998E-2</v>
      </c>
    </row>
    <row r="2153" spans="1:22" s="688" customFormat="1" ht="17.100000000000001" customHeight="1">
      <c r="A2153" s="1316" t="s">
        <v>540</v>
      </c>
      <c r="B2153" s="1317"/>
      <c r="C2153" s="1316"/>
      <c r="D2153" s="1317"/>
      <c r="E2153" s="683">
        <v>7.5949</v>
      </c>
      <c r="F2153" s="676" t="s">
        <v>366</v>
      </c>
      <c r="G2153" s="670"/>
      <c r="H2153" s="670"/>
      <c r="I2153" s="670">
        <f>[53]노임단가!$T$22</f>
        <v>273308</v>
      </c>
      <c r="J2153" s="670">
        <f t="shared" ref="J2153:J2160" si="474">INT(E2153*I2153)</f>
        <v>2075746</v>
      </c>
      <c r="K2153" s="670"/>
      <c r="L2153" s="670"/>
      <c r="M2153" s="670">
        <f>G2153+I2153+K2153</f>
        <v>273308</v>
      </c>
      <c r="N2153" s="670">
        <f>H2153+J2153+L2153</f>
        <v>2075746</v>
      </c>
      <c r="O2153" s="671"/>
      <c r="P2153" s="672"/>
      <c r="Q2153" s="688">
        <f t="shared" si="473"/>
        <v>50</v>
      </c>
      <c r="R2153" s="688">
        <f t="shared" si="473"/>
        <v>35</v>
      </c>
      <c r="S2153" s="688">
        <v>8</v>
      </c>
      <c r="T2153" s="690">
        <f t="shared" si="472"/>
        <v>0.2286</v>
      </c>
    </row>
    <row r="2154" spans="1:22" s="688" customFormat="1" ht="17.100000000000001" customHeight="1">
      <c r="A2154" s="1316" t="s">
        <v>248</v>
      </c>
      <c r="B2154" s="1317"/>
      <c r="C2154" s="1316"/>
      <c r="D2154" s="1317"/>
      <c r="E2154" s="683">
        <v>2.5316000000000001</v>
      </c>
      <c r="F2154" s="676" t="s">
        <v>366</v>
      </c>
      <c r="G2154" s="670"/>
      <c r="H2154" s="670"/>
      <c r="I2154" s="670">
        <f>[53]노임단가!$T$5</f>
        <v>172068</v>
      </c>
      <c r="J2154" s="670">
        <f t="shared" si="474"/>
        <v>435607</v>
      </c>
      <c r="K2154" s="670"/>
      <c r="L2154" s="670"/>
      <c r="M2154" s="670">
        <f>G2154+I2154+K2154</f>
        <v>172068</v>
      </c>
      <c r="N2154" s="670">
        <f>H2154+J2154+L2154</f>
        <v>435607</v>
      </c>
      <c r="O2154" s="671"/>
      <c r="P2154" s="672"/>
      <c r="Q2154" s="688">
        <f t="shared" si="473"/>
        <v>50</v>
      </c>
      <c r="R2154" s="688">
        <f t="shared" si="473"/>
        <v>35</v>
      </c>
      <c r="S2154" s="688">
        <v>8</v>
      </c>
      <c r="T2154" s="690">
        <f t="shared" si="472"/>
        <v>0.2286</v>
      </c>
    </row>
    <row r="2155" spans="1:22" s="688" customFormat="1" ht="17.100000000000001" customHeight="1">
      <c r="A2155" s="1316" t="s">
        <v>2048</v>
      </c>
      <c r="B2155" s="1317"/>
      <c r="C2155" s="1316" t="s">
        <v>1146</v>
      </c>
      <c r="D2155" s="1317"/>
      <c r="E2155" s="683">
        <v>20.2532</v>
      </c>
      <c r="F2155" s="676" t="s">
        <v>418</v>
      </c>
      <c r="G2155" s="670" t="e">
        <f>#REF!+#REF!</f>
        <v>#REF!</v>
      </c>
      <c r="H2155" s="670" t="e">
        <f t="shared" ref="H2155:H2160" si="475">INT(E2155*G2155)</f>
        <v>#REF!</v>
      </c>
      <c r="I2155" s="670" t="e">
        <f>#REF!+#REF!</f>
        <v>#REF!</v>
      </c>
      <c r="J2155" s="670" t="e">
        <f t="shared" si="474"/>
        <v>#REF!</v>
      </c>
      <c r="K2155" s="670" t="e">
        <f>#REF!+#REF!</f>
        <v>#REF!</v>
      </c>
      <c r="L2155" s="670" t="e">
        <f t="shared" ref="L2155:L2160" si="476">INT(E2155*K2155)</f>
        <v>#REF!</v>
      </c>
      <c r="M2155" s="670" t="e">
        <f t="shared" ref="M2155:N2160" si="477">G2155+I2155+K2155</f>
        <v>#REF!</v>
      </c>
      <c r="N2155" s="670" t="e">
        <f t="shared" si="477"/>
        <v>#REF!</v>
      </c>
      <c r="O2155" s="671"/>
      <c r="P2155" s="672"/>
      <c r="Q2155" s="688">
        <f t="shared" si="473"/>
        <v>50</v>
      </c>
      <c r="R2155" s="688">
        <f t="shared" si="473"/>
        <v>35</v>
      </c>
      <c r="S2155" s="688">
        <v>8</v>
      </c>
      <c r="T2155" s="690">
        <f t="shared" si="472"/>
        <v>0.2286</v>
      </c>
    </row>
    <row r="2156" spans="1:22" s="688" customFormat="1" ht="17.100000000000001" customHeight="1">
      <c r="A2156" s="1316" t="s">
        <v>515</v>
      </c>
      <c r="B2156" s="1317"/>
      <c r="C2156" s="1316" t="s">
        <v>555</v>
      </c>
      <c r="D2156" s="1317"/>
      <c r="E2156" s="683">
        <v>20.2532</v>
      </c>
      <c r="F2156" s="676" t="s">
        <v>418</v>
      </c>
      <c r="G2156" s="670" t="e">
        <f>#REF!</f>
        <v>#REF!</v>
      </c>
      <c r="H2156" s="750" t="e">
        <f>INT(E2156*G2156)</f>
        <v>#REF!</v>
      </c>
      <c r="I2156" s="670" t="e">
        <f>#REF!</f>
        <v>#REF!</v>
      </c>
      <c r="J2156" s="750" t="e">
        <f t="shared" si="474"/>
        <v>#REF!</v>
      </c>
      <c r="K2156" s="670" t="e">
        <f>#REF!</f>
        <v>#REF!</v>
      </c>
      <c r="L2156" s="750" t="e">
        <f>INT(E2156*K2156)</f>
        <v>#REF!</v>
      </c>
      <c r="M2156" s="750" t="e">
        <f t="shared" si="477"/>
        <v>#REF!</v>
      </c>
      <c r="N2156" s="670" t="e">
        <f t="shared" si="477"/>
        <v>#REF!</v>
      </c>
      <c r="O2156" s="671"/>
      <c r="P2156" s="672"/>
      <c r="Q2156" s="688">
        <f t="shared" si="473"/>
        <v>50</v>
      </c>
      <c r="R2156" s="688">
        <f t="shared" si="473"/>
        <v>35</v>
      </c>
      <c r="S2156" s="688">
        <v>8</v>
      </c>
      <c r="T2156" s="690">
        <f t="shared" si="472"/>
        <v>0.2286</v>
      </c>
    </row>
    <row r="2157" spans="1:22" s="688" customFormat="1" ht="17.100000000000001" customHeight="1">
      <c r="A2157" s="1316" t="s">
        <v>1183</v>
      </c>
      <c r="B2157" s="1317"/>
      <c r="C2157" s="1316" t="s">
        <v>642</v>
      </c>
      <c r="D2157" s="1317"/>
      <c r="E2157" s="683">
        <v>20.2532</v>
      </c>
      <c r="F2157" s="676" t="s">
        <v>418</v>
      </c>
      <c r="G2157" s="670" t="e">
        <f>#REF!</f>
        <v>#REF!</v>
      </c>
      <c r="H2157" s="670" t="e">
        <f t="shared" si="475"/>
        <v>#REF!</v>
      </c>
      <c r="I2157" s="670" t="e">
        <f>#REF!</f>
        <v>#REF!</v>
      </c>
      <c r="J2157" s="670" t="e">
        <f t="shared" si="474"/>
        <v>#REF!</v>
      </c>
      <c r="K2157" s="670" t="e">
        <f>#REF!</f>
        <v>#REF!</v>
      </c>
      <c r="L2157" s="670" t="e">
        <f t="shared" si="476"/>
        <v>#REF!</v>
      </c>
      <c r="M2157" s="670" t="e">
        <f t="shared" si="477"/>
        <v>#REF!</v>
      </c>
      <c r="N2157" s="670" t="e">
        <f t="shared" si="477"/>
        <v>#REF!</v>
      </c>
      <c r="O2157" s="671"/>
      <c r="P2157" s="672"/>
      <c r="Q2157" s="688">
        <f t="shared" si="473"/>
        <v>50</v>
      </c>
      <c r="R2157" s="688">
        <f t="shared" si="473"/>
        <v>35</v>
      </c>
      <c r="T2157" s="690">
        <f t="shared" si="472"/>
        <v>0</v>
      </c>
    </row>
    <row r="2158" spans="1:22" s="665" customFormat="1" ht="17.100000000000001" customHeight="1">
      <c r="A2158" s="1316" t="s">
        <v>1217</v>
      </c>
      <c r="B2158" s="1317"/>
      <c r="C2158" s="1316" t="s">
        <v>1218</v>
      </c>
      <c r="D2158" s="1317"/>
      <c r="E2158" s="683">
        <v>20.2532</v>
      </c>
      <c r="F2158" s="676" t="s">
        <v>418</v>
      </c>
      <c r="G2158" s="670" t="e">
        <f>#REF!</f>
        <v>#REF!</v>
      </c>
      <c r="H2158" s="670" t="e">
        <f t="shared" si="475"/>
        <v>#REF!</v>
      </c>
      <c r="I2158" s="670" t="e">
        <f>#REF!</f>
        <v>#REF!</v>
      </c>
      <c r="J2158" s="670" t="e">
        <f t="shared" si="474"/>
        <v>#REF!</v>
      </c>
      <c r="K2158" s="670" t="e">
        <f>#REF!</f>
        <v>#REF!</v>
      </c>
      <c r="L2158" s="670" t="e">
        <f t="shared" si="476"/>
        <v>#REF!</v>
      </c>
      <c r="M2158" s="670" t="e">
        <f t="shared" si="477"/>
        <v>#REF!</v>
      </c>
      <c r="N2158" s="670" t="e">
        <f t="shared" si="477"/>
        <v>#REF!</v>
      </c>
      <c r="O2158" s="671"/>
      <c r="P2158" s="672"/>
      <c r="Q2158" s="688"/>
      <c r="R2158" s="688"/>
      <c r="S2158" s="688"/>
      <c r="T2158" s="688"/>
    </row>
    <row r="2159" spans="1:22" s="665" customFormat="1" ht="17.100000000000001" customHeight="1">
      <c r="A2159" s="1316" t="s">
        <v>1161</v>
      </c>
      <c r="B2159" s="1317"/>
      <c r="C2159" s="1316" t="s">
        <v>2064</v>
      </c>
      <c r="D2159" s="1317"/>
      <c r="E2159" s="683">
        <v>20.2532</v>
      </c>
      <c r="F2159" s="676" t="s">
        <v>418</v>
      </c>
      <c r="G2159" s="670" t="e">
        <f>#REF!</f>
        <v>#REF!</v>
      </c>
      <c r="H2159" s="670" t="e">
        <f t="shared" si="475"/>
        <v>#REF!</v>
      </c>
      <c r="I2159" s="670" t="e">
        <f>#REF!</f>
        <v>#REF!</v>
      </c>
      <c r="J2159" s="670" t="e">
        <f t="shared" si="474"/>
        <v>#REF!</v>
      </c>
      <c r="K2159" s="670" t="e">
        <f>#REF!</f>
        <v>#REF!</v>
      </c>
      <c r="L2159" s="670" t="e">
        <f t="shared" si="476"/>
        <v>#REF!</v>
      </c>
      <c r="M2159" s="670" t="e">
        <f t="shared" si="477"/>
        <v>#REF!</v>
      </c>
      <c r="N2159" s="670" t="e">
        <f t="shared" si="477"/>
        <v>#REF!</v>
      </c>
      <c r="O2159" s="671"/>
      <c r="P2159" s="672" t="s">
        <v>2074</v>
      </c>
      <c r="Q2159" s="687" t="s">
        <v>1446</v>
      </c>
      <c r="R2159" s="688" t="s">
        <v>1876</v>
      </c>
      <c r="S2159" s="688" t="s">
        <v>1425</v>
      </c>
      <c r="T2159" s="688" t="s">
        <v>1426</v>
      </c>
      <c r="U2159" s="688"/>
      <c r="V2159" s="688"/>
    </row>
    <row r="2160" spans="1:22" s="688" customFormat="1" ht="17.100000000000001" customHeight="1">
      <c r="A2160" s="1316" t="s">
        <v>1161</v>
      </c>
      <c r="B2160" s="1317"/>
      <c r="C2160" s="1316" t="s">
        <v>2065</v>
      </c>
      <c r="D2160" s="1317"/>
      <c r="E2160" s="683">
        <v>20.2532</v>
      </c>
      <c r="F2160" s="676" t="s">
        <v>418</v>
      </c>
      <c r="G2160" s="670" t="e">
        <f>#REF!</f>
        <v>#REF!</v>
      </c>
      <c r="H2160" s="670" t="e">
        <f t="shared" si="475"/>
        <v>#REF!</v>
      </c>
      <c r="I2160" s="670" t="e">
        <f>#REF!</f>
        <v>#REF!</v>
      </c>
      <c r="J2160" s="670" t="e">
        <f t="shared" si="474"/>
        <v>#REF!</v>
      </c>
      <c r="K2160" s="670" t="e">
        <f>#REF!</f>
        <v>#REF!</v>
      </c>
      <c r="L2160" s="670" t="e">
        <f t="shared" si="476"/>
        <v>#REF!</v>
      </c>
      <c r="M2160" s="670" t="e">
        <f t="shared" si="477"/>
        <v>#REF!</v>
      </c>
      <c r="N2160" s="670" t="e">
        <f t="shared" si="477"/>
        <v>#REF!</v>
      </c>
      <c r="O2160" s="671"/>
      <c r="P2160" s="672"/>
      <c r="Q2160" s="688">
        <v>110</v>
      </c>
      <c r="R2160" s="688">
        <f>Q2160</f>
        <v>110</v>
      </c>
      <c r="T2160" s="690">
        <f t="shared" ref="T2160:T2172" si="478">ROUND(S2160/R2160,4)</f>
        <v>0</v>
      </c>
    </row>
    <row r="2161" spans="1:22" s="688" customFormat="1" ht="17.100000000000001" customHeight="1">
      <c r="A2161" s="1318" t="s">
        <v>1320</v>
      </c>
      <c r="B2161" s="1319"/>
      <c r="C2161" s="1316"/>
      <c r="D2161" s="1317"/>
      <c r="E2161" s="686"/>
      <c r="F2161" s="676"/>
      <c r="G2161" s="670"/>
      <c r="H2161" s="670" t="e">
        <f>SUM(H2152:H2160)</f>
        <v>#REF!</v>
      </c>
      <c r="I2161" s="670"/>
      <c r="J2161" s="670" t="e">
        <f>SUM(J2152:J2160)</f>
        <v>#REF!</v>
      </c>
      <c r="K2161" s="670"/>
      <c r="L2161" s="670" t="e">
        <f>SUM(L2152:L2160)</f>
        <v>#REF!</v>
      </c>
      <c r="M2161" s="670"/>
      <c r="N2161" s="670" t="e">
        <f>SUM(N2152:N2160)</f>
        <v>#REF!</v>
      </c>
      <c r="O2161" s="671"/>
      <c r="P2161" s="672"/>
      <c r="Q2161" s="688">
        <f t="shared" ref="Q2161:R2172" si="479">Q2160</f>
        <v>110</v>
      </c>
      <c r="R2161" s="688">
        <f t="shared" si="479"/>
        <v>110</v>
      </c>
      <c r="T2161" s="690">
        <f t="shared" si="478"/>
        <v>0</v>
      </c>
    </row>
    <row r="2162" spans="1:22" s="688" customFormat="1" ht="17.100000000000001" customHeight="1">
      <c r="A2162" s="668">
        <f>A2151+1</f>
        <v>335</v>
      </c>
      <c r="B2162" s="1320" t="s">
        <v>2075</v>
      </c>
      <c r="C2162" s="1320"/>
      <c r="D2162" s="1320" t="s">
        <v>2076</v>
      </c>
      <c r="E2162" s="1320"/>
      <c r="F2162" s="669" t="s">
        <v>645</v>
      </c>
      <c r="G2162" s="698"/>
      <c r="H2162" s="698"/>
      <c r="I2162" s="698"/>
      <c r="J2162" s="698"/>
      <c r="K2162" s="670"/>
      <c r="L2162" s="670"/>
      <c r="M2162" s="670"/>
      <c r="N2162" s="698"/>
      <c r="O2162" s="699" t="s">
        <v>1562</v>
      </c>
      <c r="P2162" s="672"/>
      <c r="Q2162" s="688">
        <f t="shared" si="479"/>
        <v>110</v>
      </c>
      <c r="R2162" s="688">
        <f t="shared" si="479"/>
        <v>110</v>
      </c>
      <c r="T2162" s="690">
        <f t="shared" si="478"/>
        <v>0</v>
      </c>
    </row>
    <row r="2163" spans="1:22" s="688" customFormat="1" ht="17.100000000000001" customHeight="1">
      <c r="A2163" s="1316" t="s">
        <v>1676</v>
      </c>
      <c r="B2163" s="1317"/>
      <c r="C2163" s="1316" t="s">
        <v>2033</v>
      </c>
      <c r="D2163" s="1317"/>
      <c r="E2163" s="675"/>
      <c r="F2163" s="676" t="s">
        <v>915</v>
      </c>
      <c r="G2163" s="670"/>
      <c r="H2163" s="670"/>
      <c r="I2163" s="670"/>
      <c r="J2163" s="670"/>
      <c r="K2163" s="670"/>
      <c r="L2163" s="670"/>
      <c r="M2163" s="670"/>
      <c r="N2163" s="670"/>
      <c r="O2163" s="671"/>
      <c r="P2163" s="672"/>
      <c r="Q2163" s="688">
        <f t="shared" si="479"/>
        <v>110</v>
      </c>
      <c r="R2163" s="688">
        <f t="shared" si="479"/>
        <v>110</v>
      </c>
      <c r="T2163" s="690">
        <f t="shared" si="478"/>
        <v>0</v>
      </c>
    </row>
    <row r="2164" spans="1:22" s="688" customFormat="1" ht="17.100000000000001" customHeight="1">
      <c r="A2164" s="1316" t="s">
        <v>1676</v>
      </c>
      <c r="B2164" s="1317"/>
      <c r="C2164" s="1316" t="s">
        <v>1677</v>
      </c>
      <c r="D2164" s="1317"/>
      <c r="E2164" s="675"/>
      <c r="F2164" s="676" t="s">
        <v>915</v>
      </c>
      <c r="G2164" s="670"/>
      <c r="H2164" s="670"/>
      <c r="I2164" s="670"/>
      <c r="J2164" s="670"/>
      <c r="K2164" s="670"/>
      <c r="L2164" s="670"/>
      <c r="M2164" s="670"/>
      <c r="N2164" s="670"/>
      <c r="O2164" s="671"/>
      <c r="P2164" s="672"/>
      <c r="Q2164" s="688">
        <f t="shared" si="479"/>
        <v>110</v>
      </c>
      <c r="R2164" s="688">
        <f t="shared" si="479"/>
        <v>110</v>
      </c>
      <c r="T2164" s="690">
        <f t="shared" si="478"/>
        <v>0</v>
      </c>
    </row>
    <row r="2165" spans="1:22" s="688" customFormat="1" ht="17.100000000000001" customHeight="1">
      <c r="A2165" s="1316" t="s">
        <v>830</v>
      </c>
      <c r="B2165" s="1317"/>
      <c r="C2165" s="1316" t="s">
        <v>1982</v>
      </c>
      <c r="D2165" s="1317"/>
      <c r="E2165" s="683">
        <v>0.63990000000000002</v>
      </c>
      <c r="F2165" s="676" t="s">
        <v>850</v>
      </c>
      <c r="G2165" s="670" t="e">
        <f>#REF!</f>
        <v>#REF!</v>
      </c>
      <c r="H2165" s="670" t="e">
        <f>INT(E2165*G2165)</f>
        <v>#REF!</v>
      </c>
      <c r="I2165" s="670"/>
      <c r="J2165" s="686"/>
      <c r="K2165" s="670"/>
      <c r="L2165" s="670"/>
      <c r="M2165" s="670" t="e">
        <f t="shared" ref="M2165:N2174" si="480">G2165+I2165+K2165</f>
        <v>#REF!</v>
      </c>
      <c r="N2165" s="670" t="e">
        <f t="shared" si="480"/>
        <v>#REF!</v>
      </c>
      <c r="O2165" s="671"/>
      <c r="P2165" s="672"/>
      <c r="Q2165" s="688">
        <f t="shared" si="479"/>
        <v>110</v>
      </c>
      <c r="R2165" s="688">
        <f t="shared" si="479"/>
        <v>110</v>
      </c>
      <c r="S2165" s="688">
        <v>3</v>
      </c>
      <c r="T2165" s="690">
        <f t="shared" si="478"/>
        <v>2.7300000000000001E-2</v>
      </c>
    </row>
    <row r="2166" spans="1:22" s="688" customFormat="1" ht="17.100000000000001" customHeight="1">
      <c r="A2166" s="1316" t="s">
        <v>1992</v>
      </c>
      <c r="B2166" s="1317"/>
      <c r="C2166" s="1316" t="s">
        <v>2004</v>
      </c>
      <c r="D2166" s="1317"/>
      <c r="E2166" s="675">
        <v>0.75</v>
      </c>
      <c r="F2166" s="676" t="s">
        <v>801</v>
      </c>
      <c r="G2166" s="670" t="e">
        <f>#REF!</f>
        <v>#REF!</v>
      </c>
      <c r="H2166" s="670" t="e">
        <f>INT(E2166*G2166)</f>
        <v>#REF!</v>
      </c>
      <c r="I2166" s="670"/>
      <c r="J2166" s="670"/>
      <c r="K2166" s="670">
        <f>[53]운반공!$BI$584</f>
        <v>45</v>
      </c>
      <c r="L2166" s="670">
        <f>INT(E2166*K2166)</f>
        <v>33</v>
      </c>
      <c r="M2166" s="670" t="e">
        <f t="shared" si="480"/>
        <v>#REF!</v>
      </c>
      <c r="N2166" s="670" t="e">
        <f t="shared" si="480"/>
        <v>#REF!</v>
      </c>
      <c r="O2166" s="671"/>
      <c r="P2166" s="672"/>
      <c r="Q2166" s="688">
        <f t="shared" si="479"/>
        <v>110</v>
      </c>
      <c r="R2166" s="688">
        <f t="shared" si="479"/>
        <v>110</v>
      </c>
      <c r="S2166" s="688">
        <v>1</v>
      </c>
      <c r="T2166" s="690">
        <f t="shared" si="478"/>
        <v>9.1000000000000004E-3</v>
      </c>
    </row>
    <row r="2167" spans="1:22" s="688" customFormat="1" ht="17.100000000000001" customHeight="1">
      <c r="A2167" s="1316" t="s">
        <v>1992</v>
      </c>
      <c r="B2167" s="1317"/>
      <c r="C2167" s="1316" t="s">
        <v>2023</v>
      </c>
      <c r="D2167" s="1317"/>
      <c r="E2167" s="679">
        <v>0.3</v>
      </c>
      <c r="F2167" s="676" t="s">
        <v>801</v>
      </c>
      <c r="G2167" s="670" t="e">
        <f>#REF!</f>
        <v>#REF!</v>
      </c>
      <c r="H2167" s="670" t="e">
        <f>INT(E2167*G2167)</f>
        <v>#REF!</v>
      </c>
      <c r="I2167" s="670"/>
      <c r="J2167" s="670"/>
      <c r="K2167" s="670">
        <f>[53]운반공!$BI$584</f>
        <v>45</v>
      </c>
      <c r="L2167" s="670">
        <f>INT(E2167*K2167)</f>
        <v>13</v>
      </c>
      <c r="M2167" s="670" t="e">
        <f t="shared" si="480"/>
        <v>#REF!</v>
      </c>
      <c r="N2167" s="670" t="e">
        <f t="shared" si="480"/>
        <v>#REF!</v>
      </c>
      <c r="O2167" s="671"/>
      <c r="P2167" s="672"/>
      <c r="Q2167" s="688">
        <f t="shared" si="479"/>
        <v>110</v>
      </c>
      <c r="R2167" s="688">
        <f t="shared" si="479"/>
        <v>110</v>
      </c>
      <c r="S2167" s="688">
        <v>8</v>
      </c>
      <c r="T2167" s="690">
        <f>ROUND(S2167/R2167,4)</f>
        <v>7.2700000000000001E-2</v>
      </c>
    </row>
    <row r="2168" spans="1:22" s="688" customFormat="1" ht="17.100000000000001" customHeight="1">
      <c r="A2168" s="1316" t="s">
        <v>540</v>
      </c>
      <c r="B2168" s="1317"/>
      <c r="C2168" s="1316"/>
      <c r="D2168" s="1317"/>
      <c r="E2168" s="683">
        <v>0.02</v>
      </c>
      <c r="F2168" s="676" t="s">
        <v>366</v>
      </c>
      <c r="G2168" s="670"/>
      <c r="H2168" s="670"/>
      <c r="I2168" s="670">
        <f>[53]노임단가!$T$22</f>
        <v>273308</v>
      </c>
      <c r="J2168" s="670">
        <f t="shared" ref="J2168:J2173" si="481">INT(E2168*I2168)</f>
        <v>5466</v>
      </c>
      <c r="K2168" s="670"/>
      <c r="L2168" s="670"/>
      <c r="M2168" s="670">
        <f t="shared" si="480"/>
        <v>273308</v>
      </c>
      <c r="N2168" s="670">
        <f t="shared" si="480"/>
        <v>5466</v>
      </c>
      <c r="O2168" s="671"/>
      <c r="P2168" s="672"/>
      <c r="Q2168" s="688">
        <f>Q2167</f>
        <v>110</v>
      </c>
      <c r="R2168" s="688">
        <f t="shared" si="479"/>
        <v>110</v>
      </c>
      <c r="S2168" s="688">
        <v>8</v>
      </c>
      <c r="T2168" s="690">
        <f>ROUND(S2168/R2168,4)</f>
        <v>7.2700000000000001E-2</v>
      </c>
    </row>
    <row r="2169" spans="1:22" s="688" customFormat="1" ht="17.100000000000001" customHeight="1">
      <c r="A2169" s="1316" t="s">
        <v>248</v>
      </c>
      <c r="B2169" s="1317"/>
      <c r="C2169" s="1316"/>
      <c r="D2169" s="1317"/>
      <c r="E2169" s="683">
        <v>0.06</v>
      </c>
      <c r="F2169" s="676" t="s">
        <v>366</v>
      </c>
      <c r="G2169" s="670"/>
      <c r="H2169" s="670"/>
      <c r="I2169" s="670">
        <f>[53]노임단가!$T$5</f>
        <v>172068</v>
      </c>
      <c r="J2169" s="670">
        <f t="shared" si="481"/>
        <v>10324</v>
      </c>
      <c r="K2169" s="670"/>
      <c r="L2169" s="670"/>
      <c r="M2169" s="670">
        <f t="shared" si="480"/>
        <v>172068</v>
      </c>
      <c r="N2169" s="670">
        <f t="shared" si="480"/>
        <v>10324</v>
      </c>
      <c r="O2169" s="671"/>
      <c r="P2169" s="672"/>
      <c r="Q2169" s="688">
        <f>Q2168</f>
        <v>110</v>
      </c>
      <c r="R2169" s="688">
        <f t="shared" si="479"/>
        <v>110</v>
      </c>
      <c r="S2169" s="688">
        <v>8</v>
      </c>
      <c r="T2169" s="690">
        <f>ROUND(S2169/R2169,4)</f>
        <v>7.2700000000000001E-2</v>
      </c>
    </row>
    <row r="2170" spans="1:22" s="688" customFormat="1" ht="17.100000000000001" customHeight="1">
      <c r="A2170" s="1316" t="s">
        <v>465</v>
      </c>
      <c r="B2170" s="1317"/>
      <c r="C2170" s="1316" t="s">
        <v>466</v>
      </c>
      <c r="D2170" s="1317"/>
      <c r="E2170" s="683">
        <v>0.16</v>
      </c>
      <c r="F2170" s="676" t="s">
        <v>418</v>
      </c>
      <c r="G2170" s="670" t="e">
        <f>#REF!</f>
        <v>#REF!</v>
      </c>
      <c r="H2170" s="750" t="e">
        <f>INT(E2170*G2170)</f>
        <v>#REF!</v>
      </c>
      <c r="I2170" s="670" t="e">
        <f>#REF!</f>
        <v>#REF!</v>
      </c>
      <c r="J2170" s="750" t="e">
        <f t="shared" si="481"/>
        <v>#REF!</v>
      </c>
      <c r="K2170" s="670" t="e">
        <f>#REF!</f>
        <v>#REF!</v>
      </c>
      <c r="L2170" s="750" t="e">
        <f>INT(E2170*K2170)</f>
        <v>#REF!</v>
      </c>
      <c r="M2170" s="670" t="e">
        <f t="shared" si="480"/>
        <v>#REF!</v>
      </c>
      <c r="N2170" s="670" t="e">
        <f t="shared" si="480"/>
        <v>#REF!</v>
      </c>
      <c r="O2170" s="671"/>
      <c r="P2170" s="672"/>
      <c r="Q2170" s="688">
        <f>Q2169</f>
        <v>110</v>
      </c>
      <c r="R2170" s="688">
        <f t="shared" si="479"/>
        <v>110</v>
      </c>
      <c r="S2170" s="688">
        <v>8</v>
      </c>
      <c r="T2170" s="690">
        <f>ROUND(S2170/R2170,4)</f>
        <v>7.2700000000000001E-2</v>
      </c>
    </row>
    <row r="2171" spans="1:22" s="688" customFormat="1" ht="17.100000000000001" customHeight="1">
      <c r="A2171" s="1316" t="s">
        <v>554</v>
      </c>
      <c r="B2171" s="1317"/>
      <c r="C2171" s="1316" t="s">
        <v>1181</v>
      </c>
      <c r="D2171" s="1317"/>
      <c r="E2171" s="683">
        <v>0.16</v>
      </c>
      <c r="F2171" s="676" t="s">
        <v>418</v>
      </c>
      <c r="G2171" s="670" t="e">
        <f>$G$1661</f>
        <v>#REF!</v>
      </c>
      <c r="H2171" s="670" t="e">
        <f>INT(E2171*G2171)</f>
        <v>#REF!</v>
      </c>
      <c r="I2171" s="670" t="e">
        <f>$I$1661</f>
        <v>#REF!</v>
      </c>
      <c r="J2171" s="670" t="e">
        <f t="shared" si="481"/>
        <v>#REF!</v>
      </c>
      <c r="K2171" s="670" t="e">
        <f>$K$1661</f>
        <v>#REF!</v>
      </c>
      <c r="L2171" s="670" t="e">
        <f>INT(E2171*K2171)</f>
        <v>#REF!</v>
      </c>
      <c r="M2171" s="670" t="e">
        <f t="shared" si="480"/>
        <v>#REF!</v>
      </c>
      <c r="N2171" s="670" t="e">
        <f t="shared" si="480"/>
        <v>#REF!</v>
      </c>
      <c r="O2171" s="671"/>
      <c r="P2171" s="672"/>
      <c r="Q2171" s="688">
        <f>Q2170</f>
        <v>110</v>
      </c>
      <c r="R2171" s="688">
        <f t="shared" si="479"/>
        <v>110</v>
      </c>
      <c r="S2171" s="688">
        <v>8</v>
      </c>
      <c r="T2171" s="690">
        <f>ROUND(S2171/R2171,4)</f>
        <v>7.2700000000000001E-2</v>
      </c>
    </row>
    <row r="2172" spans="1:22" s="688" customFormat="1" ht="17.100000000000001" customHeight="1">
      <c r="A2172" s="1316" t="s">
        <v>409</v>
      </c>
      <c r="B2172" s="1317"/>
      <c r="C2172" s="1316" t="s">
        <v>394</v>
      </c>
      <c r="D2172" s="1317"/>
      <c r="E2172" s="683">
        <v>0.16</v>
      </c>
      <c r="F2172" s="676" t="s">
        <v>418</v>
      </c>
      <c r="G2172" s="670" t="e">
        <f>#REF!</f>
        <v>#REF!</v>
      </c>
      <c r="H2172" s="670" t="e">
        <f>INT(E2172*G2172)</f>
        <v>#REF!</v>
      </c>
      <c r="I2172" s="670" t="e">
        <f>#REF!</f>
        <v>#REF!</v>
      </c>
      <c r="J2172" s="670" t="e">
        <f>INT(E2172*I2172)</f>
        <v>#REF!</v>
      </c>
      <c r="K2172" s="670" t="e">
        <f>#REF!</f>
        <v>#REF!</v>
      </c>
      <c r="L2172" s="670" t="e">
        <f>INT(E2172*K2172)</f>
        <v>#REF!</v>
      </c>
      <c r="M2172" s="670" t="e">
        <f t="shared" si="480"/>
        <v>#REF!</v>
      </c>
      <c r="N2172" s="670" t="e">
        <f t="shared" si="480"/>
        <v>#REF!</v>
      </c>
      <c r="O2172" s="671"/>
      <c r="P2172" s="672"/>
      <c r="Q2172" s="688">
        <f>Q2171</f>
        <v>110</v>
      </c>
      <c r="R2172" s="688">
        <f t="shared" si="479"/>
        <v>110</v>
      </c>
      <c r="S2172" s="688">
        <v>8</v>
      </c>
      <c r="T2172" s="690">
        <f t="shared" si="478"/>
        <v>7.2700000000000001E-2</v>
      </c>
    </row>
    <row r="2173" spans="1:22" s="665" customFormat="1" ht="17.100000000000001" customHeight="1">
      <c r="A2173" s="1316" t="s">
        <v>1161</v>
      </c>
      <c r="B2173" s="1317"/>
      <c r="C2173" s="1316" t="s">
        <v>642</v>
      </c>
      <c r="D2173" s="1317"/>
      <c r="E2173" s="683">
        <v>0.16</v>
      </c>
      <c r="F2173" s="676" t="s">
        <v>418</v>
      </c>
      <c r="G2173" s="670" t="e">
        <f>#REF!</f>
        <v>#REF!</v>
      </c>
      <c r="H2173" s="670" t="e">
        <f>INT(E2173*G2173)</f>
        <v>#REF!</v>
      </c>
      <c r="I2173" s="670" t="e">
        <f>#REF!</f>
        <v>#REF!</v>
      </c>
      <c r="J2173" s="670" t="e">
        <f t="shared" si="481"/>
        <v>#REF!</v>
      </c>
      <c r="K2173" s="670" t="e">
        <f>#REF!</f>
        <v>#REF!</v>
      </c>
      <c r="L2173" s="670" t="e">
        <f>INT(E2173*K2173)</f>
        <v>#REF!</v>
      </c>
      <c r="M2173" s="670" t="e">
        <f t="shared" si="480"/>
        <v>#REF!</v>
      </c>
      <c r="N2173" s="670" t="e">
        <f t="shared" si="480"/>
        <v>#REF!</v>
      </c>
      <c r="O2173" s="671"/>
      <c r="P2173" s="672"/>
      <c r="Q2173" s="688"/>
      <c r="R2173" s="688"/>
      <c r="S2173" s="688"/>
      <c r="T2173" s="688"/>
    </row>
    <row r="2174" spans="1:22" s="665" customFormat="1" ht="17.100000000000001" customHeight="1">
      <c r="A2174" s="1316" t="s">
        <v>1485</v>
      </c>
      <c r="B2174" s="1317"/>
      <c r="C2174" s="1316" t="s">
        <v>1451</v>
      </c>
      <c r="D2174" s="1317"/>
      <c r="E2174" s="675">
        <v>0.03</v>
      </c>
      <c r="F2174" s="676" t="s">
        <v>672</v>
      </c>
      <c r="G2174" s="670">
        <f>$J$2168+$J$2169</f>
        <v>15790</v>
      </c>
      <c r="H2174" s="670">
        <f>INT(E2174*G2174)</f>
        <v>473</v>
      </c>
      <c r="I2174" s="670"/>
      <c r="J2174" s="670"/>
      <c r="K2174" s="791"/>
      <c r="L2174" s="791"/>
      <c r="M2174" s="670">
        <f>G2174+I2174+K2174</f>
        <v>15790</v>
      </c>
      <c r="N2174" s="670">
        <f t="shared" si="480"/>
        <v>473</v>
      </c>
      <c r="O2174" s="671"/>
      <c r="P2174" s="672" t="s">
        <v>2074</v>
      </c>
      <c r="Q2174" s="687" t="s">
        <v>1446</v>
      </c>
      <c r="R2174" s="688" t="s">
        <v>1876</v>
      </c>
      <c r="S2174" s="688" t="s">
        <v>1425</v>
      </c>
      <c r="T2174" s="688" t="s">
        <v>1426</v>
      </c>
      <c r="U2174" s="688"/>
      <c r="V2174" s="688"/>
    </row>
    <row r="2175" spans="1:22" s="688" customFormat="1" ht="17.100000000000001" customHeight="1">
      <c r="A2175" s="1318" t="s">
        <v>1320</v>
      </c>
      <c r="B2175" s="1319"/>
      <c r="C2175" s="1316"/>
      <c r="D2175" s="1317"/>
      <c r="E2175" s="686"/>
      <c r="F2175" s="676"/>
      <c r="G2175" s="670"/>
      <c r="H2175" s="670" t="e">
        <f>SUM(H2163:H2174)</f>
        <v>#REF!</v>
      </c>
      <c r="I2175" s="670"/>
      <c r="J2175" s="670" t="e">
        <f>SUM(J2163:J2174)</f>
        <v>#REF!</v>
      </c>
      <c r="K2175" s="670"/>
      <c r="L2175" s="670" t="e">
        <f>SUM(L2163:L2174)</f>
        <v>#REF!</v>
      </c>
      <c r="M2175" s="670"/>
      <c r="N2175" s="670" t="e">
        <f>SUM(N2163:N2174)</f>
        <v>#REF!</v>
      </c>
      <c r="O2175" s="671"/>
      <c r="P2175" s="672"/>
      <c r="Q2175" s="688">
        <f>110*1.18</f>
        <v>129.79999999999998</v>
      </c>
      <c r="R2175" s="688">
        <f>Q2175</f>
        <v>129.79999999999998</v>
      </c>
      <c r="T2175" s="690">
        <f t="shared" ref="T2175:T2187" si="482">ROUND(S2175/R2175,4)</f>
        <v>0</v>
      </c>
    </row>
    <row r="2176" spans="1:22" s="688" customFormat="1" ht="17.100000000000001" customHeight="1">
      <c r="A2176" s="668">
        <f>A2162+1</f>
        <v>336</v>
      </c>
      <c r="B2176" s="1320" t="s">
        <v>2075</v>
      </c>
      <c r="C2176" s="1320"/>
      <c r="D2176" s="1320" t="s">
        <v>2077</v>
      </c>
      <c r="E2176" s="1320"/>
      <c r="F2176" s="669" t="s">
        <v>645</v>
      </c>
      <c r="G2176" s="698"/>
      <c r="H2176" s="698"/>
      <c r="I2176" s="698"/>
      <c r="J2176" s="698"/>
      <c r="K2176" s="670"/>
      <c r="L2176" s="670"/>
      <c r="M2176" s="670"/>
      <c r="N2176" s="698"/>
      <c r="O2176" s="699" t="s">
        <v>1562</v>
      </c>
      <c r="P2176" s="672"/>
      <c r="Q2176" s="688">
        <f t="shared" ref="Q2176:R2187" si="483">Q2175</f>
        <v>129.79999999999998</v>
      </c>
      <c r="R2176" s="688">
        <f t="shared" si="483"/>
        <v>129.79999999999998</v>
      </c>
      <c r="T2176" s="690">
        <f t="shared" si="482"/>
        <v>0</v>
      </c>
    </row>
    <row r="2177" spans="1:22" s="688" customFormat="1" ht="17.100000000000001" customHeight="1">
      <c r="A2177" s="1316" t="s">
        <v>1676</v>
      </c>
      <c r="B2177" s="1317"/>
      <c r="C2177" s="1316" t="s">
        <v>2033</v>
      </c>
      <c r="D2177" s="1317"/>
      <c r="E2177" s="675"/>
      <c r="F2177" s="676" t="s">
        <v>915</v>
      </c>
      <c r="G2177" s="670"/>
      <c r="H2177" s="670"/>
      <c r="I2177" s="670"/>
      <c r="J2177" s="670"/>
      <c r="K2177" s="670"/>
      <c r="L2177" s="670"/>
      <c r="M2177" s="670"/>
      <c r="N2177" s="670"/>
      <c r="O2177" s="671"/>
      <c r="P2177" s="672"/>
      <c r="Q2177" s="688">
        <f t="shared" si="483"/>
        <v>129.79999999999998</v>
      </c>
      <c r="R2177" s="688">
        <f t="shared" si="483"/>
        <v>129.79999999999998</v>
      </c>
      <c r="T2177" s="690">
        <f t="shared" si="482"/>
        <v>0</v>
      </c>
    </row>
    <row r="2178" spans="1:22" s="688" customFormat="1" ht="17.100000000000001" customHeight="1">
      <c r="A2178" s="1316" t="s">
        <v>1676</v>
      </c>
      <c r="B2178" s="1317"/>
      <c r="C2178" s="1316" t="s">
        <v>1677</v>
      </c>
      <c r="D2178" s="1317"/>
      <c r="E2178" s="675"/>
      <c r="F2178" s="676" t="s">
        <v>915</v>
      </c>
      <c r="G2178" s="670"/>
      <c r="H2178" s="670"/>
      <c r="I2178" s="670"/>
      <c r="J2178" s="670"/>
      <c r="K2178" s="670"/>
      <c r="L2178" s="670"/>
      <c r="M2178" s="670"/>
      <c r="N2178" s="670"/>
      <c r="O2178" s="671"/>
      <c r="P2178" s="672"/>
      <c r="Q2178" s="688">
        <f t="shared" si="483"/>
        <v>129.79999999999998</v>
      </c>
      <c r="R2178" s="688">
        <f t="shared" si="483"/>
        <v>129.79999999999998</v>
      </c>
      <c r="T2178" s="690">
        <f t="shared" si="482"/>
        <v>0</v>
      </c>
    </row>
    <row r="2179" spans="1:22" s="688" customFormat="1" ht="17.100000000000001" customHeight="1">
      <c r="A2179" s="1316" t="s">
        <v>830</v>
      </c>
      <c r="B2179" s="1317"/>
      <c r="C2179" s="1316" t="s">
        <v>1982</v>
      </c>
      <c r="D2179" s="1317"/>
      <c r="E2179" s="683">
        <v>0.63990000000000002</v>
      </c>
      <c r="F2179" s="676" t="s">
        <v>850</v>
      </c>
      <c r="G2179" s="670" t="e">
        <f>#REF!</f>
        <v>#REF!</v>
      </c>
      <c r="H2179" s="670" t="e">
        <f>INT(E2179*G2179)</f>
        <v>#REF!</v>
      </c>
      <c r="I2179" s="670"/>
      <c r="J2179" s="670"/>
      <c r="K2179" s="670"/>
      <c r="L2179" s="670"/>
      <c r="M2179" s="670" t="e">
        <f t="shared" ref="M2179:N2188" si="484">G2179+I2179+K2179</f>
        <v>#REF!</v>
      </c>
      <c r="N2179" s="670" t="e">
        <f t="shared" si="484"/>
        <v>#REF!</v>
      </c>
      <c r="O2179" s="671"/>
      <c r="P2179" s="672"/>
      <c r="Q2179" s="688">
        <f t="shared" si="483"/>
        <v>129.79999999999998</v>
      </c>
      <c r="R2179" s="688">
        <f t="shared" si="483"/>
        <v>129.79999999999998</v>
      </c>
      <c r="T2179" s="690">
        <f t="shared" si="482"/>
        <v>0</v>
      </c>
    </row>
    <row r="2180" spans="1:22" s="688" customFormat="1" ht="17.100000000000001" customHeight="1">
      <c r="A2180" s="1316" t="s">
        <v>1992</v>
      </c>
      <c r="B2180" s="1317"/>
      <c r="C2180" s="1316" t="s">
        <v>2004</v>
      </c>
      <c r="D2180" s="1317"/>
      <c r="E2180" s="675">
        <v>0.75</v>
      </c>
      <c r="F2180" s="676" t="s">
        <v>801</v>
      </c>
      <c r="G2180" s="670" t="e">
        <f>#REF!</f>
        <v>#REF!</v>
      </c>
      <c r="H2180" s="670" t="e">
        <f>INT(E2180*G2180)</f>
        <v>#REF!</v>
      </c>
      <c r="I2180" s="670"/>
      <c r="J2180" s="670"/>
      <c r="K2180" s="670">
        <f>[53]운반공!$BI$584</f>
        <v>45</v>
      </c>
      <c r="L2180" s="670">
        <f>INT(E2180*K2180)</f>
        <v>33</v>
      </c>
      <c r="M2180" s="670" t="e">
        <f t="shared" si="484"/>
        <v>#REF!</v>
      </c>
      <c r="N2180" s="670" t="e">
        <f t="shared" si="484"/>
        <v>#REF!</v>
      </c>
      <c r="O2180" s="671"/>
      <c r="P2180" s="672"/>
      <c r="Q2180" s="688">
        <f t="shared" si="483"/>
        <v>129.79999999999998</v>
      </c>
      <c r="R2180" s="688">
        <f t="shared" si="483"/>
        <v>129.79999999999998</v>
      </c>
      <c r="S2180" s="688">
        <v>3</v>
      </c>
      <c r="T2180" s="690">
        <f t="shared" si="482"/>
        <v>2.3099999999999999E-2</v>
      </c>
    </row>
    <row r="2181" spans="1:22" s="688" customFormat="1" ht="17.100000000000001" customHeight="1">
      <c r="A2181" s="1316" t="s">
        <v>1992</v>
      </c>
      <c r="B2181" s="1317"/>
      <c r="C2181" s="1316" t="s">
        <v>2023</v>
      </c>
      <c r="D2181" s="1317"/>
      <c r="E2181" s="679">
        <v>0.3</v>
      </c>
      <c r="F2181" s="676" t="s">
        <v>801</v>
      </c>
      <c r="G2181" s="670" t="e">
        <f>#REF!</f>
        <v>#REF!</v>
      </c>
      <c r="H2181" s="670" t="e">
        <f>INT(E2181*G2181)</f>
        <v>#REF!</v>
      </c>
      <c r="I2181" s="670"/>
      <c r="J2181" s="670"/>
      <c r="K2181" s="670">
        <f>[53]운반공!$BI$584</f>
        <v>45</v>
      </c>
      <c r="L2181" s="670">
        <f>INT(E2181*K2181)</f>
        <v>13</v>
      </c>
      <c r="M2181" s="670" t="e">
        <f t="shared" si="484"/>
        <v>#REF!</v>
      </c>
      <c r="N2181" s="670" t="e">
        <f t="shared" si="484"/>
        <v>#REF!</v>
      </c>
      <c r="O2181" s="671"/>
      <c r="P2181" s="672"/>
      <c r="Q2181" s="688">
        <f t="shared" si="483"/>
        <v>129.79999999999998</v>
      </c>
      <c r="R2181" s="688">
        <f t="shared" si="483"/>
        <v>129.79999999999998</v>
      </c>
      <c r="S2181" s="688">
        <v>1</v>
      </c>
      <c r="T2181" s="690">
        <f t="shared" si="482"/>
        <v>7.7000000000000002E-3</v>
      </c>
    </row>
    <row r="2182" spans="1:22" s="688" customFormat="1" ht="17.100000000000001" customHeight="1">
      <c r="A2182" s="1316" t="s">
        <v>540</v>
      </c>
      <c r="B2182" s="1317"/>
      <c r="C2182" s="1316"/>
      <c r="D2182" s="1317"/>
      <c r="E2182" s="683">
        <v>2.86E-2</v>
      </c>
      <c r="F2182" s="676" t="s">
        <v>366</v>
      </c>
      <c r="G2182" s="670"/>
      <c r="H2182" s="670"/>
      <c r="I2182" s="670">
        <f>[53]노임단가!$T$22</f>
        <v>273308</v>
      </c>
      <c r="J2182" s="670">
        <f t="shared" ref="J2182:J2187" si="485">INT(E2182*I2182)</f>
        <v>7816</v>
      </c>
      <c r="K2182" s="670"/>
      <c r="L2182" s="670"/>
      <c r="M2182" s="670">
        <f t="shared" si="484"/>
        <v>273308</v>
      </c>
      <c r="N2182" s="670">
        <f t="shared" si="484"/>
        <v>7816</v>
      </c>
      <c r="O2182" s="671"/>
      <c r="P2182" s="672"/>
      <c r="Q2182" s="688">
        <f t="shared" si="483"/>
        <v>129.79999999999998</v>
      </c>
      <c r="R2182" s="688">
        <f t="shared" si="483"/>
        <v>129.79999999999998</v>
      </c>
      <c r="S2182" s="688">
        <v>8</v>
      </c>
      <c r="T2182" s="690">
        <f t="shared" si="482"/>
        <v>6.1600000000000002E-2</v>
      </c>
    </row>
    <row r="2183" spans="1:22" s="688" customFormat="1" ht="17.100000000000001" customHeight="1">
      <c r="A2183" s="1316" t="s">
        <v>248</v>
      </c>
      <c r="B2183" s="1317"/>
      <c r="C2183" s="1316"/>
      <c r="D2183" s="1317"/>
      <c r="E2183" s="683">
        <v>8.5699999999999998E-2</v>
      </c>
      <c r="F2183" s="676" t="s">
        <v>366</v>
      </c>
      <c r="G2183" s="670"/>
      <c r="H2183" s="670"/>
      <c r="I2183" s="670">
        <f>[53]노임단가!$T$5</f>
        <v>172068</v>
      </c>
      <c r="J2183" s="670">
        <f t="shared" si="485"/>
        <v>14746</v>
      </c>
      <c r="K2183" s="670"/>
      <c r="L2183" s="670"/>
      <c r="M2183" s="670">
        <f t="shared" si="484"/>
        <v>172068</v>
      </c>
      <c r="N2183" s="670">
        <f t="shared" si="484"/>
        <v>14746</v>
      </c>
      <c r="O2183" s="671"/>
      <c r="P2183" s="672"/>
      <c r="Q2183" s="688">
        <f t="shared" si="483"/>
        <v>129.79999999999998</v>
      </c>
      <c r="R2183" s="688">
        <f t="shared" si="483"/>
        <v>129.79999999999998</v>
      </c>
      <c r="S2183" s="688">
        <v>8</v>
      </c>
      <c r="T2183" s="690">
        <f t="shared" si="482"/>
        <v>6.1600000000000002E-2</v>
      </c>
    </row>
    <row r="2184" spans="1:22" s="688" customFormat="1" ht="17.100000000000001" customHeight="1">
      <c r="A2184" s="1316" t="s">
        <v>465</v>
      </c>
      <c r="B2184" s="1317"/>
      <c r="C2184" s="1316" t="s">
        <v>466</v>
      </c>
      <c r="D2184" s="1317"/>
      <c r="E2184" s="683">
        <v>0.2286</v>
      </c>
      <c r="F2184" s="676" t="s">
        <v>418</v>
      </c>
      <c r="G2184" s="670" t="e">
        <f>#REF!</f>
        <v>#REF!</v>
      </c>
      <c r="H2184" s="750" t="e">
        <f>INT(E2184*G2184)</f>
        <v>#REF!</v>
      </c>
      <c r="I2184" s="670" t="e">
        <f>#REF!</f>
        <v>#REF!</v>
      </c>
      <c r="J2184" s="750" t="e">
        <f t="shared" si="485"/>
        <v>#REF!</v>
      </c>
      <c r="K2184" s="670" t="e">
        <f>#REF!</f>
        <v>#REF!</v>
      </c>
      <c r="L2184" s="750" t="e">
        <f>INT(E2184*K2184)</f>
        <v>#REF!</v>
      </c>
      <c r="M2184" s="670" t="e">
        <f t="shared" si="484"/>
        <v>#REF!</v>
      </c>
      <c r="N2184" s="670" t="e">
        <f t="shared" si="484"/>
        <v>#REF!</v>
      </c>
      <c r="O2184" s="671"/>
      <c r="P2184" s="672"/>
      <c r="Q2184" s="688">
        <f t="shared" si="483"/>
        <v>129.79999999999998</v>
      </c>
      <c r="R2184" s="688">
        <f t="shared" si="483"/>
        <v>129.79999999999998</v>
      </c>
      <c r="S2184" s="688">
        <v>8</v>
      </c>
      <c r="T2184" s="690">
        <f t="shared" si="482"/>
        <v>6.1600000000000002E-2</v>
      </c>
    </row>
    <row r="2185" spans="1:22" s="688" customFormat="1" ht="17.100000000000001" customHeight="1">
      <c r="A2185" s="1316" t="s">
        <v>554</v>
      </c>
      <c r="B2185" s="1317"/>
      <c r="C2185" s="1316" t="s">
        <v>1181</v>
      </c>
      <c r="D2185" s="1317"/>
      <c r="E2185" s="683">
        <v>0.2286</v>
      </c>
      <c r="F2185" s="676" t="s">
        <v>418</v>
      </c>
      <c r="G2185" s="670" t="e">
        <f>$G$1661</f>
        <v>#REF!</v>
      </c>
      <c r="H2185" s="670" t="e">
        <f>INT(E2185*G2185)</f>
        <v>#REF!</v>
      </c>
      <c r="I2185" s="670" t="e">
        <f>$I$1661</f>
        <v>#REF!</v>
      </c>
      <c r="J2185" s="670" t="e">
        <f t="shared" si="485"/>
        <v>#REF!</v>
      </c>
      <c r="K2185" s="670" t="e">
        <f>$K$1661</f>
        <v>#REF!</v>
      </c>
      <c r="L2185" s="670" t="e">
        <f>INT(E2185*K2185)</f>
        <v>#REF!</v>
      </c>
      <c r="M2185" s="670" t="e">
        <f t="shared" si="484"/>
        <v>#REF!</v>
      </c>
      <c r="N2185" s="670" t="e">
        <f t="shared" si="484"/>
        <v>#REF!</v>
      </c>
      <c r="O2185" s="671"/>
      <c r="P2185" s="672"/>
      <c r="Q2185" s="688">
        <f t="shared" si="483"/>
        <v>129.79999999999998</v>
      </c>
      <c r="R2185" s="688">
        <f t="shared" si="483"/>
        <v>129.79999999999998</v>
      </c>
      <c r="S2185" s="688">
        <v>8</v>
      </c>
      <c r="T2185" s="690">
        <f t="shared" si="482"/>
        <v>6.1600000000000002E-2</v>
      </c>
    </row>
    <row r="2186" spans="1:22" s="688" customFormat="1" ht="17.100000000000001" customHeight="1">
      <c r="A2186" s="1316" t="s">
        <v>409</v>
      </c>
      <c r="B2186" s="1317"/>
      <c r="C2186" s="1316" t="s">
        <v>394</v>
      </c>
      <c r="D2186" s="1317"/>
      <c r="E2186" s="683">
        <v>0.2286</v>
      </c>
      <c r="F2186" s="676" t="s">
        <v>418</v>
      </c>
      <c r="G2186" s="670" t="e">
        <f>#REF!</f>
        <v>#REF!</v>
      </c>
      <c r="H2186" s="670" t="e">
        <f>INT(E2186*G2186)</f>
        <v>#REF!</v>
      </c>
      <c r="I2186" s="670" t="e">
        <f>#REF!</f>
        <v>#REF!</v>
      </c>
      <c r="J2186" s="670" t="e">
        <f t="shared" si="485"/>
        <v>#REF!</v>
      </c>
      <c r="K2186" s="670" t="e">
        <f>#REF!</f>
        <v>#REF!</v>
      </c>
      <c r="L2186" s="670" t="e">
        <f>INT(E2186*K2186)</f>
        <v>#REF!</v>
      </c>
      <c r="M2186" s="670" t="e">
        <f t="shared" si="484"/>
        <v>#REF!</v>
      </c>
      <c r="N2186" s="670" t="e">
        <f t="shared" si="484"/>
        <v>#REF!</v>
      </c>
      <c r="O2186" s="671"/>
      <c r="P2186" s="672"/>
      <c r="Q2186" s="688">
        <f t="shared" si="483"/>
        <v>129.79999999999998</v>
      </c>
      <c r="R2186" s="688">
        <f t="shared" si="483"/>
        <v>129.79999999999998</v>
      </c>
      <c r="S2186" s="688">
        <v>8</v>
      </c>
      <c r="T2186" s="690">
        <f t="shared" si="482"/>
        <v>6.1600000000000002E-2</v>
      </c>
    </row>
    <row r="2187" spans="1:22" s="688" customFormat="1" ht="17.100000000000001" customHeight="1">
      <c r="A2187" s="1316" t="s">
        <v>1161</v>
      </c>
      <c r="B2187" s="1317"/>
      <c r="C2187" s="1316" t="s">
        <v>642</v>
      </c>
      <c r="D2187" s="1317"/>
      <c r="E2187" s="683">
        <v>0.2286</v>
      </c>
      <c r="F2187" s="676" t="s">
        <v>418</v>
      </c>
      <c r="G2187" s="670" t="e">
        <f>#REF!</f>
        <v>#REF!</v>
      </c>
      <c r="H2187" s="670" t="e">
        <f>INT(E2187*G2187)</f>
        <v>#REF!</v>
      </c>
      <c r="I2187" s="670" t="e">
        <f>#REF!</f>
        <v>#REF!</v>
      </c>
      <c r="J2187" s="670" t="e">
        <f t="shared" si="485"/>
        <v>#REF!</v>
      </c>
      <c r="K2187" s="670" t="e">
        <f>#REF!</f>
        <v>#REF!</v>
      </c>
      <c r="L2187" s="670" t="e">
        <f>INT(E2187*K2187)</f>
        <v>#REF!</v>
      </c>
      <c r="M2187" s="670" t="e">
        <f t="shared" si="484"/>
        <v>#REF!</v>
      </c>
      <c r="N2187" s="670" t="e">
        <f t="shared" si="484"/>
        <v>#REF!</v>
      </c>
      <c r="O2187" s="671"/>
      <c r="P2187" s="672"/>
      <c r="Q2187" s="688">
        <f t="shared" si="483"/>
        <v>129.79999999999998</v>
      </c>
      <c r="R2187" s="688">
        <f t="shared" si="483"/>
        <v>129.79999999999998</v>
      </c>
      <c r="S2187" s="688">
        <v>8</v>
      </c>
      <c r="T2187" s="690">
        <f t="shared" si="482"/>
        <v>6.1600000000000002E-2</v>
      </c>
    </row>
    <row r="2188" spans="1:22" s="665" customFormat="1" ht="17.100000000000001" customHeight="1">
      <c r="A2188" s="1316" t="s">
        <v>1485</v>
      </c>
      <c r="B2188" s="1317"/>
      <c r="C2188" s="1316" t="s">
        <v>1451</v>
      </c>
      <c r="D2188" s="1317"/>
      <c r="E2188" s="675">
        <v>0.03</v>
      </c>
      <c r="F2188" s="676" t="s">
        <v>672</v>
      </c>
      <c r="G2188" s="670">
        <f>$J$2182+$J$2183</f>
        <v>22562</v>
      </c>
      <c r="H2188" s="670">
        <f>INT(E2188*G2188)</f>
        <v>676</v>
      </c>
      <c r="I2188" s="670"/>
      <c r="J2188" s="670"/>
      <c r="K2188" s="791"/>
      <c r="L2188" s="791"/>
      <c r="M2188" s="670">
        <f>G2188+I2188+K2188</f>
        <v>22562</v>
      </c>
      <c r="N2188" s="670">
        <f t="shared" si="484"/>
        <v>676</v>
      </c>
      <c r="O2188" s="671"/>
      <c r="P2188" s="672"/>
      <c r="Q2188" s="688"/>
      <c r="R2188" s="688"/>
      <c r="S2188" s="688"/>
      <c r="T2188" s="688"/>
    </row>
    <row r="2189" spans="1:22" s="665" customFormat="1" ht="17.100000000000001" customHeight="1">
      <c r="A2189" s="1318" t="s">
        <v>1320</v>
      </c>
      <c r="B2189" s="1319"/>
      <c r="C2189" s="1316"/>
      <c r="D2189" s="1317"/>
      <c r="E2189" s="686"/>
      <c r="F2189" s="676"/>
      <c r="G2189" s="670"/>
      <c r="H2189" s="670" t="e">
        <f>SUM(H2177:H2188)</f>
        <v>#REF!</v>
      </c>
      <c r="I2189" s="670"/>
      <c r="J2189" s="670" t="e">
        <f>SUM(J2177:J2188)</f>
        <v>#REF!</v>
      </c>
      <c r="K2189" s="670"/>
      <c r="L2189" s="670" t="e">
        <f>SUM(L2177:L2188)</f>
        <v>#REF!</v>
      </c>
      <c r="M2189" s="670"/>
      <c r="N2189" s="670" t="e">
        <f>SUM(N2177:N2188)</f>
        <v>#REF!</v>
      </c>
      <c r="O2189" s="671"/>
      <c r="P2189" s="672" t="s">
        <v>2074</v>
      </c>
      <c r="Q2189" s="687" t="s">
        <v>1446</v>
      </c>
      <c r="R2189" s="688" t="s">
        <v>1876</v>
      </c>
      <c r="S2189" s="688" t="s">
        <v>1425</v>
      </c>
      <c r="T2189" s="688" t="s">
        <v>1426</v>
      </c>
      <c r="U2189" s="688"/>
      <c r="V2189" s="688"/>
    </row>
    <row r="2190" spans="1:22" s="688" customFormat="1" ht="17.100000000000001" customHeight="1">
      <c r="A2190" s="668">
        <f>A2176+1</f>
        <v>337</v>
      </c>
      <c r="B2190" s="1320" t="s">
        <v>2078</v>
      </c>
      <c r="C2190" s="1320"/>
      <c r="D2190" s="1320" t="s">
        <v>2079</v>
      </c>
      <c r="E2190" s="1320"/>
      <c r="F2190" s="669" t="s">
        <v>645</v>
      </c>
      <c r="G2190" s="698"/>
      <c r="H2190" s="698"/>
      <c r="I2190" s="698"/>
      <c r="J2190" s="698"/>
      <c r="K2190" s="670"/>
      <c r="L2190" s="670"/>
      <c r="M2190" s="670"/>
      <c r="N2190" s="698"/>
      <c r="O2190" s="699" t="s">
        <v>1562</v>
      </c>
      <c r="P2190" s="672"/>
      <c r="Q2190" s="688">
        <f>110*0.85</f>
        <v>93.5</v>
      </c>
      <c r="R2190" s="688">
        <f>Q2190</f>
        <v>93.5</v>
      </c>
      <c r="T2190" s="690">
        <f t="shared" ref="T2190:T2202" si="486">ROUND(S2190/R2190,4)</f>
        <v>0</v>
      </c>
    </row>
    <row r="2191" spans="1:22" s="688" customFormat="1" ht="17.100000000000001" customHeight="1">
      <c r="A2191" s="1316" t="s">
        <v>1676</v>
      </c>
      <c r="B2191" s="1317"/>
      <c r="C2191" s="1316" t="s">
        <v>2033</v>
      </c>
      <c r="D2191" s="1317"/>
      <c r="E2191" s="675"/>
      <c r="F2191" s="676" t="s">
        <v>915</v>
      </c>
      <c r="G2191" s="670"/>
      <c r="H2191" s="670"/>
      <c r="I2191" s="670"/>
      <c r="J2191" s="670"/>
      <c r="K2191" s="670"/>
      <c r="L2191" s="670"/>
      <c r="M2191" s="670"/>
      <c r="N2191" s="670"/>
      <c r="O2191" s="671"/>
      <c r="P2191" s="672"/>
      <c r="Q2191" s="688">
        <f t="shared" ref="Q2191:R2202" si="487">Q2190</f>
        <v>93.5</v>
      </c>
      <c r="R2191" s="688">
        <f t="shared" si="487"/>
        <v>93.5</v>
      </c>
      <c r="T2191" s="690">
        <f t="shared" si="486"/>
        <v>0</v>
      </c>
    </row>
    <row r="2192" spans="1:22" s="688" customFormat="1" ht="17.100000000000001" customHeight="1">
      <c r="A2192" s="1316" t="s">
        <v>1676</v>
      </c>
      <c r="B2192" s="1317"/>
      <c r="C2192" s="1316" t="s">
        <v>1677</v>
      </c>
      <c r="D2192" s="1317"/>
      <c r="E2192" s="675"/>
      <c r="F2192" s="676" t="s">
        <v>915</v>
      </c>
      <c r="G2192" s="670"/>
      <c r="H2192" s="670"/>
      <c r="I2192" s="670"/>
      <c r="J2192" s="670"/>
      <c r="K2192" s="670"/>
      <c r="L2192" s="670"/>
      <c r="M2192" s="670"/>
      <c r="N2192" s="670"/>
      <c r="O2192" s="671"/>
      <c r="P2192" s="672"/>
      <c r="Q2192" s="688">
        <f t="shared" si="487"/>
        <v>93.5</v>
      </c>
      <c r="R2192" s="688">
        <f t="shared" si="487"/>
        <v>93.5</v>
      </c>
      <c r="T2192" s="690">
        <f t="shared" si="486"/>
        <v>0</v>
      </c>
    </row>
    <row r="2193" spans="1:22" s="688" customFormat="1" ht="17.100000000000001" customHeight="1">
      <c r="A2193" s="1316" t="s">
        <v>830</v>
      </c>
      <c r="B2193" s="1317"/>
      <c r="C2193" s="1316" t="s">
        <v>1982</v>
      </c>
      <c r="D2193" s="1317"/>
      <c r="E2193" s="683">
        <v>0.63990000000000002</v>
      </c>
      <c r="F2193" s="676" t="s">
        <v>850</v>
      </c>
      <c r="G2193" s="670" t="e">
        <f>#REF!</f>
        <v>#REF!</v>
      </c>
      <c r="H2193" s="670" t="e">
        <f>INT(E2193*G2193)</f>
        <v>#REF!</v>
      </c>
      <c r="I2193" s="670"/>
      <c r="J2193" s="670"/>
      <c r="K2193" s="670"/>
      <c r="L2193" s="670"/>
      <c r="M2193" s="670" t="e">
        <f t="shared" ref="M2193:N2203" si="488">G2193+I2193+K2193</f>
        <v>#REF!</v>
      </c>
      <c r="N2193" s="670" t="e">
        <f t="shared" si="488"/>
        <v>#REF!</v>
      </c>
      <c r="O2193" s="671"/>
      <c r="P2193" s="672"/>
      <c r="Q2193" s="688">
        <f t="shared" si="487"/>
        <v>93.5</v>
      </c>
      <c r="R2193" s="688">
        <f t="shared" si="487"/>
        <v>93.5</v>
      </c>
      <c r="T2193" s="690">
        <f t="shared" si="486"/>
        <v>0</v>
      </c>
    </row>
    <row r="2194" spans="1:22" s="688" customFormat="1" ht="17.100000000000001" customHeight="1">
      <c r="A2194" s="1316" t="s">
        <v>1992</v>
      </c>
      <c r="B2194" s="1317"/>
      <c r="C2194" s="1316" t="s">
        <v>2004</v>
      </c>
      <c r="D2194" s="1317"/>
      <c r="E2194" s="675">
        <v>0.75</v>
      </c>
      <c r="F2194" s="676" t="s">
        <v>801</v>
      </c>
      <c r="G2194" s="670" t="e">
        <f>#REF!</f>
        <v>#REF!</v>
      </c>
      <c r="H2194" s="670" t="e">
        <f>INT(E2194*G2194)</f>
        <v>#REF!</v>
      </c>
      <c r="I2194" s="670"/>
      <c r="J2194" s="670"/>
      <c r="K2194" s="670">
        <f>[53]운반공!$BI$584</f>
        <v>45</v>
      </c>
      <c r="L2194" s="670">
        <f>INT(E2194*K2194)</f>
        <v>33</v>
      </c>
      <c r="M2194" s="670" t="e">
        <f t="shared" si="488"/>
        <v>#REF!</v>
      </c>
      <c r="N2194" s="670" t="e">
        <f t="shared" si="488"/>
        <v>#REF!</v>
      </c>
      <c r="O2194" s="671"/>
      <c r="P2194" s="672"/>
      <c r="Q2194" s="688">
        <f t="shared" si="487"/>
        <v>93.5</v>
      </c>
      <c r="R2194" s="688">
        <f t="shared" si="487"/>
        <v>93.5</v>
      </c>
      <c r="T2194" s="690">
        <f t="shared" si="486"/>
        <v>0</v>
      </c>
    </row>
    <row r="2195" spans="1:22" s="688" customFormat="1" ht="17.100000000000001" customHeight="1">
      <c r="A2195" s="1316" t="s">
        <v>1992</v>
      </c>
      <c r="B2195" s="1317"/>
      <c r="C2195" s="1316" t="s">
        <v>2023</v>
      </c>
      <c r="D2195" s="1317"/>
      <c r="E2195" s="679">
        <v>0.3</v>
      </c>
      <c r="F2195" s="676" t="s">
        <v>801</v>
      </c>
      <c r="G2195" s="670" t="e">
        <f>#REF!</f>
        <v>#REF!</v>
      </c>
      <c r="H2195" s="670" t="e">
        <f>INT(E2195*G2195)</f>
        <v>#REF!</v>
      </c>
      <c r="I2195" s="670"/>
      <c r="J2195" s="670"/>
      <c r="K2195" s="670">
        <f>[53]운반공!$BI$584</f>
        <v>45</v>
      </c>
      <c r="L2195" s="670">
        <f>INT(E2195*K2195)</f>
        <v>13</v>
      </c>
      <c r="M2195" s="670" t="e">
        <f t="shared" si="488"/>
        <v>#REF!</v>
      </c>
      <c r="N2195" s="670" t="e">
        <f t="shared" si="488"/>
        <v>#REF!</v>
      </c>
      <c r="O2195" s="671"/>
      <c r="P2195" s="672"/>
      <c r="Q2195" s="688">
        <f t="shared" si="487"/>
        <v>93.5</v>
      </c>
      <c r="R2195" s="688">
        <f t="shared" si="487"/>
        <v>93.5</v>
      </c>
      <c r="S2195" s="688">
        <v>3</v>
      </c>
      <c r="T2195" s="690">
        <f t="shared" si="486"/>
        <v>3.2099999999999997E-2</v>
      </c>
    </row>
    <row r="2196" spans="1:22" s="688" customFormat="1" ht="17.100000000000001" customHeight="1">
      <c r="A2196" s="1316" t="s">
        <v>540</v>
      </c>
      <c r="B2196" s="1317"/>
      <c r="C2196" s="1316"/>
      <c r="D2196" s="1317"/>
      <c r="E2196" s="683">
        <v>2.7300000000000001E-2</v>
      </c>
      <c r="F2196" s="676" t="s">
        <v>366</v>
      </c>
      <c r="G2196" s="670"/>
      <c r="H2196" s="670"/>
      <c r="I2196" s="670">
        <f>[53]노임단가!$T$22</f>
        <v>273308</v>
      </c>
      <c r="J2196" s="670">
        <f t="shared" ref="J2196:J2203" si="489">INT(E2196*I2196)</f>
        <v>7461</v>
      </c>
      <c r="K2196" s="670"/>
      <c r="L2196" s="670"/>
      <c r="M2196" s="670">
        <f t="shared" si="488"/>
        <v>273308</v>
      </c>
      <c r="N2196" s="670">
        <f t="shared" si="488"/>
        <v>7461</v>
      </c>
      <c r="O2196" s="671"/>
      <c r="P2196" s="672"/>
      <c r="Q2196" s="688">
        <f t="shared" si="487"/>
        <v>93.5</v>
      </c>
      <c r="R2196" s="688">
        <f t="shared" si="487"/>
        <v>93.5</v>
      </c>
      <c r="S2196" s="688">
        <v>1</v>
      </c>
      <c r="T2196" s="690">
        <f t="shared" si="486"/>
        <v>1.0699999999999999E-2</v>
      </c>
    </row>
    <row r="2197" spans="1:22" s="688" customFormat="1" ht="17.100000000000001" customHeight="1">
      <c r="A2197" s="1316" t="s">
        <v>248</v>
      </c>
      <c r="B2197" s="1317"/>
      <c r="C2197" s="1316"/>
      <c r="D2197" s="1317"/>
      <c r="E2197" s="683">
        <v>9.1000000000000004E-3</v>
      </c>
      <c r="F2197" s="676" t="s">
        <v>366</v>
      </c>
      <c r="G2197" s="670"/>
      <c r="H2197" s="670"/>
      <c r="I2197" s="670">
        <f>[53]노임단가!$T$5</f>
        <v>172068</v>
      </c>
      <c r="J2197" s="670">
        <f t="shared" si="489"/>
        <v>1565</v>
      </c>
      <c r="K2197" s="670"/>
      <c r="L2197" s="670"/>
      <c r="M2197" s="670">
        <f t="shared" si="488"/>
        <v>172068</v>
      </c>
      <c r="N2197" s="670">
        <f t="shared" si="488"/>
        <v>1565</v>
      </c>
      <c r="O2197" s="671"/>
      <c r="P2197" s="672"/>
      <c r="Q2197" s="688">
        <f t="shared" si="487"/>
        <v>93.5</v>
      </c>
      <c r="R2197" s="688">
        <f t="shared" si="487"/>
        <v>93.5</v>
      </c>
      <c r="S2197" s="688">
        <v>8</v>
      </c>
      <c r="T2197" s="690">
        <f t="shared" si="486"/>
        <v>8.5599999999999996E-2</v>
      </c>
    </row>
    <row r="2198" spans="1:22" s="688" customFormat="1" ht="17.100000000000001" customHeight="1">
      <c r="A2198" s="1316" t="s">
        <v>409</v>
      </c>
      <c r="B2198" s="1317"/>
      <c r="C2198" s="1316" t="s">
        <v>394</v>
      </c>
      <c r="D2198" s="1317"/>
      <c r="E2198" s="683">
        <v>7.2700000000000001E-2</v>
      </c>
      <c r="F2198" s="676" t="s">
        <v>418</v>
      </c>
      <c r="G2198" s="670" t="e">
        <f>#REF!</f>
        <v>#REF!</v>
      </c>
      <c r="H2198" s="670" t="e">
        <f t="shared" ref="H2198:H2203" si="490">INT(E2198*G2198)</f>
        <v>#REF!</v>
      </c>
      <c r="I2198" s="670" t="e">
        <f>#REF!</f>
        <v>#REF!</v>
      </c>
      <c r="J2198" s="670" t="e">
        <f t="shared" si="489"/>
        <v>#REF!</v>
      </c>
      <c r="K2198" s="670" t="e">
        <f>#REF!</f>
        <v>#REF!</v>
      </c>
      <c r="L2198" s="670" t="e">
        <f t="shared" ref="L2198:L2203" si="491">INT(E2198*K2198)</f>
        <v>#REF!</v>
      </c>
      <c r="M2198" s="670" t="e">
        <f t="shared" si="488"/>
        <v>#REF!</v>
      </c>
      <c r="N2198" s="670" t="e">
        <f t="shared" si="488"/>
        <v>#REF!</v>
      </c>
      <c r="O2198" s="671"/>
      <c r="P2198" s="672"/>
      <c r="Q2198" s="688">
        <f t="shared" si="487"/>
        <v>93.5</v>
      </c>
      <c r="R2198" s="688">
        <f t="shared" si="487"/>
        <v>93.5</v>
      </c>
      <c r="S2198" s="688">
        <v>8</v>
      </c>
      <c r="T2198" s="690">
        <f t="shared" si="486"/>
        <v>8.5599999999999996E-2</v>
      </c>
    </row>
    <row r="2199" spans="1:22" s="688" customFormat="1" ht="17.100000000000001" customHeight="1">
      <c r="A2199" s="1316" t="s">
        <v>515</v>
      </c>
      <c r="B2199" s="1317"/>
      <c r="C2199" s="1316" t="s">
        <v>555</v>
      </c>
      <c r="D2199" s="1317"/>
      <c r="E2199" s="683">
        <v>7.2700000000000001E-2</v>
      </c>
      <c r="F2199" s="676" t="s">
        <v>418</v>
      </c>
      <c r="G2199" s="670" t="e">
        <f>#REF!</f>
        <v>#REF!</v>
      </c>
      <c r="H2199" s="750" t="e">
        <f>INT(E2199*G2199)</f>
        <v>#REF!</v>
      </c>
      <c r="I2199" s="670" t="e">
        <f>#REF!</f>
        <v>#REF!</v>
      </c>
      <c r="J2199" s="750" t="e">
        <f t="shared" si="489"/>
        <v>#REF!</v>
      </c>
      <c r="K2199" s="670" t="e">
        <f>#REF!</f>
        <v>#REF!</v>
      </c>
      <c r="L2199" s="750" t="e">
        <f>INT(E2199*K2199)</f>
        <v>#REF!</v>
      </c>
      <c r="M2199" s="750" t="e">
        <f t="shared" si="488"/>
        <v>#REF!</v>
      </c>
      <c r="N2199" s="670" t="e">
        <f t="shared" si="488"/>
        <v>#REF!</v>
      </c>
      <c r="O2199" s="671"/>
      <c r="P2199" s="672"/>
      <c r="Q2199" s="688">
        <f t="shared" si="487"/>
        <v>93.5</v>
      </c>
      <c r="R2199" s="688">
        <f t="shared" si="487"/>
        <v>93.5</v>
      </c>
      <c r="S2199" s="688">
        <v>8</v>
      </c>
      <c r="T2199" s="690">
        <f t="shared" si="486"/>
        <v>8.5599999999999996E-2</v>
      </c>
    </row>
    <row r="2200" spans="1:22" s="688" customFormat="1" ht="17.100000000000001" customHeight="1">
      <c r="A2200" s="1316" t="s">
        <v>1183</v>
      </c>
      <c r="B2200" s="1317"/>
      <c r="C2200" s="1316" t="s">
        <v>642</v>
      </c>
      <c r="D2200" s="1317"/>
      <c r="E2200" s="683">
        <v>7.2700000000000001E-2</v>
      </c>
      <c r="F2200" s="676" t="s">
        <v>418</v>
      </c>
      <c r="G2200" s="670" t="e">
        <f>#REF!</f>
        <v>#REF!</v>
      </c>
      <c r="H2200" s="670" t="e">
        <f t="shared" si="490"/>
        <v>#REF!</v>
      </c>
      <c r="I2200" s="670" t="e">
        <f>#REF!</f>
        <v>#REF!</v>
      </c>
      <c r="J2200" s="670" t="e">
        <f t="shared" si="489"/>
        <v>#REF!</v>
      </c>
      <c r="K2200" s="670" t="e">
        <f>#REF!</f>
        <v>#REF!</v>
      </c>
      <c r="L2200" s="670" t="e">
        <f t="shared" si="491"/>
        <v>#REF!</v>
      </c>
      <c r="M2200" s="670" t="e">
        <f t="shared" si="488"/>
        <v>#REF!</v>
      </c>
      <c r="N2200" s="670" t="e">
        <f t="shared" si="488"/>
        <v>#REF!</v>
      </c>
      <c r="O2200" s="671"/>
      <c r="P2200" s="672"/>
      <c r="Q2200" s="688">
        <f t="shared" si="487"/>
        <v>93.5</v>
      </c>
      <c r="R2200" s="688">
        <f t="shared" si="487"/>
        <v>93.5</v>
      </c>
      <c r="S2200" s="688">
        <v>8</v>
      </c>
      <c r="T2200" s="690">
        <f t="shared" si="486"/>
        <v>8.5599999999999996E-2</v>
      </c>
    </row>
    <row r="2201" spans="1:22" s="688" customFormat="1" ht="17.100000000000001" customHeight="1">
      <c r="A2201" s="1316" t="s">
        <v>1217</v>
      </c>
      <c r="B2201" s="1317"/>
      <c r="C2201" s="1316" t="s">
        <v>1218</v>
      </c>
      <c r="D2201" s="1317"/>
      <c r="E2201" s="683">
        <v>7.2700000000000001E-2</v>
      </c>
      <c r="F2201" s="676" t="s">
        <v>418</v>
      </c>
      <c r="G2201" s="670" t="e">
        <f>#REF!</f>
        <v>#REF!</v>
      </c>
      <c r="H2201" s="670" t="e">
        <f t="shared" si="490"/>
        <v>#REF!</v>
      </c>
      <c r="I2201" s="670" t="e">
        <f>#REF!</f>
        <v>#REF!</v>
      </c>
      <c r="J2201" s="670" t="e">
        <f t="shared" si="489"/>
        <v>#REF!</v>
      </c>
      <c r="K2201" s="670" t="e">
        <f>#REF!</f>
        <v>#REF!</v>
      </c>
      <c r="L2201" s="670" t="e">
        <f t="shared" si="491"/>
        <v>#REF!</v>
      </c>
      <c r="M2201" s="670" t="e">
        <f t="shared" si="488"/>
        <v>#REF!</v>
      </c>
      <c r="N2201" s="670" t="e">
        <f t="shared" si="488"/>
        <v>#REF!</v>
      </c>
      <c r="O2201" s="671"/>
      <c r="P2201" s="672"/>
      <c r="Q2201" s="688">
        <f t="shared" si="487"/>
        <v>93.5</v>
      </c>
      <c r="R2201" s="688">
        <f t="shared" si="487"/>
        <v>93.5</v>
      </c>
      <c r="S2201" s="688">
        <v>8</v>
      </c>
      <c r="T2201" s="690">
        <f t="shared" si="486"/>
        <v>8.5599999999999996E-2</v>
      </c>
    </row>
    <row r="2202" spans="1:22" s="688" customFormat="1" ht="17.100000000000001" customHeight="1">
      <c r="A2202" s="1316" t="s">
        <v>1161</v>
      </c>
      <c r="B2202" s="1317"/>
      <c r="C2202" s="1316" t="s">
        <v>2064</v>
      </c>
      <c r="D2202" s="1317"/>
      <c r="E2202" s="683">
        <v>7.2700000000000001E-2</v>
      </c>
      <c r="F2202" s="676" t="s">
        <v>418</v>
      </c>
      <c r="G2202" s="670" t="e">
        <f>#REF!</f>
        <v>#REF!</v>
      </c>
      <c r="H2202" s="670" t="e">
        <f t="shared" si="490"/>
        <v>#REF!</v>
      </c>
      <c r="I2202" s="670" t="e">
        <f>#REF!</f>
        <v>#REF!</v>
      </c>
      <c r="J2202" s="670" t="e">
        <f t="shared" si="489"/>
        <v>#REF!</v>
      </c>
      <c r="K2202" s="670" t="e">
        <f>#REF!</f>
        <v>#REF!</v>
      </c>
      <c r="L2202" s="670" t="e">
        <f t="shared" si="491"/>
        <v>#REF!</v>
      </c>
      <c r="M2202" s="670" t="e">
        <f t="shared" si="488"/>
        <v>#REF!</v>
      </c>
      <c r="N2202" s="670" t="e">
        <f t="shared" si="488"/>
        <v>#REF!</v>
      </c>
      <c r="O2202" s="671"/>
      <c r="P2202" s="672"/>
      <c r="Q2202" s="688">
        <f t="shared" si="487"/>
        <v>93.5</v>
      </c>
      <c r="R2202" s="688">
        <f t="shared" si="487"/>
        <v>93.5</v>
      </c>
      <c r="S2202" s="688">
        <v>8</v>
      </c>
      <c r="T2202" s="690">
        <f t="shared" si="486"/>
        <v>8.5599999999999996E-2</v>
      </c>
    </row>
    <row r="2203" spans="1:22" s="665" customFormat="1" ht="17.100000000000001" customHeight="1">
      <c r="A2203" s="1316" t="s">
        <v>1161</v>
      </c>
      <c r="B2203" s="1317"/>
      <c r="C2203" s="1316" t="s">
        <v>2065</v>
      </c>
      <c r="D2203" s="1317"/>
      <c r="E2203" s="683">
        <v>7.2700000000000001E-2</v>
      </c>
      <c r="F2203" s="676" t="s">
        <v>418</v>
      </c>
      <c r="G2203" s="670" t="e">
        <f>#REF!</f>
        <v>#REF!</v>
      </c>
      <c r="H2203" s="670" t="e">
        <f t="shared" si="490"/>
        <v>#REF!</v>
      </c>
      <c r="I2203" s="670" t="e">
        <f>#REF!</f>
        <v>#REF!</v>
      </c>
      <c r="J2203" s="670" t="e">
        <f t="shared" si="489"/>
        <v>#REF!</v>
      </c>
      <c r="K2203" s="670" t="e">
        <f>#REF!</f>
        <v>#REF!</v>
      </c>
      <c r="L2203" s="670" t="e">
        <f t="shared" si="491"/>
        <v>#REF!</v>
      </c>
      <c r="M2203" s="670" t="e">
        <f t="shared" si="488"/>
        <v>#REF!</v>
      </c>
      <c r="N2203" s="670" t="e">
        <f t="shared" si="488"/>
        <v>#REF!</v>
      </c>
      <c r="O2203" s="671"/>
      <c r="P2203" s="672"/>
      <c r="Q2203" s="688"/>
      <c r="R2203" s="688"/>
      <c r="S2203" s="688"/>
      <c r="T2203" s="688"/>
    </row>
    <row r="2204" spans="1:22" s="665" customFormat="1" ht="17.100000000000001" customHeight="1">
      <c r="A2204" s="1318" t="s">
        <v>1320</v>
      </c>
      <c r="B2204" s="1319"/>
      <c r="C2204" s="1316"/>
      <c r="D2204" s="1317"/>
      <c r="E2204" s="686"/>
      <c r="F2204" s="676"/>
      <c r="G2204" s="670"/>
      <c r="H2204" s="670" t="e">
        <f>SUM(H2191:H2203)</f>
        <v>#REF!</v>
      </c>
      <c r="I2204" s="670"/>
      <c r="J2204" s="670" t="e">
        <f>SUM(J2191:J2203)</f>
        <v>#REF!</v>
      </c>
      <c r="K2204" s="670"/>
      <c r="L2204" s="670" t="e">
        <f>SUM(L2191:L2203)</f>
        <v>#REF!</v>
      </c>
      <c r="M2204" s="670"/>
      <c r="N2204" s="670" t="e">
        <f>SUM(N2191:N2203)</f>
        <v>#REF!</v>
      </c>
      <c r="O2204" s="671"/>
      <c r="P2204" s="672" t="s">
        <v>2074</v>
      </c>
      <c r="Q2204" s="687" t="s">
        <v>1446</v>
      </c>
      <c r="R2204" s="688" t="s">
        <v>1876</v>
      </c>
      <c r="S2204" s="688" t="s">
        <v>1425</v>
      </c>
      <c r="T2204" s="688" t="s">
        <v>1426</v>
      </c>
      <c r="U2204" s="688"/>
      <c r="V2204" s="688"/>
    </row>
    <row r="2205" spans="1:22" s="688" customFormat="1" ht="17.100000000000001" customHeight="1">
      <c r="A2205" s="668">
        <f>A2190+1</f>
        <v>338</v>
      </c>
      <c r="B2205" s="1320" t="s">
        <v>2078</v>
      </c>
      <c r="C2205" s="1320"/>
      <c r="D2205" s="1320" t="s">
        <v>2080</v>
      </c>
      <c r="E2205" s="1320"/>
      <c r="F2205" s="669" t="s">
        <v>645</v>
      </c>
      <c r="G2205" s="698"/>
      <c r="H2205" s="698"/>
      <c r="I2205" s="698"/>
      <c r="J2205" s="698"/>
      <c r="K2205" s="670"/>
      <c r="L2205" s="670"/>
      <c r="M2205" s="670"/>
      <c r="N2205" s="698"/>
      <c r="O2205" s="699" t="s">
        <v>1562</v>
      </c>
      <c r="P2205" s="672"/>
      <c r="Q2205" s="688">
        <v>45</v>
      </c>
      <c r="R2205" s="688">
        <f>Q2205</f>
        <v>45</v>
      </c>
      <c r="T2205" s="690">
        <f t="shared" ref="T2205:T2217" si="492">ROUND(S2205/R2205,4)</f>
        <v>0</v>
      </c>
    </row>
    <row r="2206" spans="1:22" s="688" customFormat="1" ht="17.100000000000001" customHeight="1">
      <c r="A2206" s="1316" t="s">
        <v>1676</v>
      </c>
      <c r="B2206" s="1317"/>
      <c r="C2206" s="1316" t="s">
        <v>2033</v>
      </c>
      <c r="D2206" s="1317"/>
      <c r="E2206" s="675"/>
      <c r="F2206" s="676" t="s">
        <v>915</v>
      </c>
      <c r="G2206" s="670"/>
      <c r="H2206" s="670"/>
      <c r="I2206" s="670"/>
      <c r="J2206" s="670"/>
      <c r="K2206" s="670"/>
      <c r="L2206" s="670"/>
      <c r="M2206" s="670"/>
      <c r="N2206" s="670"/>
      <c r="O2206" s="671"/>
      <c r="P2206" s="672"/>
      <c r="Q2206" s="688">
        <f t="shared" ref="Q2206:R2217" si="493">Q2205</f>
        <v>45</v>
      </c>
      <c r="R2206" s="688">
        <f t="shared" si="493"/>
        <v>45</v>
      </c>
      <c r="T2206" s="690">
        <f t="shared" si="492"/>
        <v>0</v>
      </c>
    </row>
    <row r="2207" spans="1:22" s="688" customFormat="1" ht="17.100000000000001" customHeight="1">
      <c r="A2207" s="1316" t="s">
        <v>1676</v>
      </c>
      <c r="B2207" s="1317"/>
      <c r="C2207" s="1316" t="s">
        <v>1677</v>
      </c>
      <c r="D2207" s="1317"/>
      <c r="E2207" s="675"/>
      <c r="F2207" s="676" t="s">
        <v>915</v>
      </c>
      <c r="G2207" s="670"/>
      <c r="H2207" s="670"/>
      <c r="I2207" s="670"/>
      <c r="J2207" s="670"/>
      <c r="K2207" s="670"/>
      <c r="L2207" s="670"/>
      <c r="M2207" s="670"/>
      <c r="N2207" s="670"/>
      <c r="O2207" s="671"/>
      <c r="P2207" s="672"/>
      <c r="Q2207" s="688">
        <f t="shared" si="493"/>
        <v>45</v>
      </c>
      <c r="R2207" s="688">
        <f t="shared" si="493"/>
        <v>45</v>
      </c>
      <c r="T2207" s="690">
        <f t="shared" si="492"/>
        <v>0</v>
      </c>
    </row>
    <row r="2208" spans="1:22" s="688" customFormat="1" ht="17.100000000000001" customHeight="1">
      <c r="A2208" s="1316" t="s">
        <v>830</v>
      </c>
      <c r="B2208" s="1317"/>
      <c r="C2208" s="1316" t="s">
        <v>1982</v>
      </c>
      <c r="D2208" s="1317"/>
      <c r="E2208" s="683">
        <v>0.63990000000000002</v>
      </c>
      <c r="F2208" s="676" t="s">
        <v>850</v>
      </c>
      <c r="G2208" s="670" t="e">
        <f>#REF!</f>
        <v>#REF!</v>
      </c>
      <c r="H2208" s="670" t="e">
        <f>INT(E2208*G2208)</f>
        <v>#REF!</v>
      </c>
      <c r="I2208" s="670"/>
      <c r="J2208" s="670"/>
      <c r="K2208" s="670"/>
      <c r="L2208" s="670"/>
      <c r="M2208" s="670" t="e">
        <f t="shared" ref="M2208:N2218" si="494">G2208+I2208+K2208</f>
        <v>#REF!</v>
      </c>
      <c r="N2208" s="670" t="e">
        <f t="shared" si="494"/>
        <v>#REF!</v>
      </c>
      <c r="O2208" s="671"/>
      <c r="P2208" s="672"/>
      <c r="Q2208" s="688">
        <f t="shared" si="493"/>
        <v>45</v>
      </c>
      <c r="R2208" s="688">
        <f t="shared" si="493"/>
        <v>45</v>
      </c>
      <c r="T2208" s="690">
        <f t="shared" si="492"/>
        <v>0</v>
      </c>
    </row>
    <row r="2209" spans="1:22" s="688" customFormat="1" ht="17.100000000000001" customHeight="1">
      <c r="A2209" s="1316" t="s">
        <v>1992</v>
      </c>
      <c r="B2209" s="1317"/>
      <c r="C2209" s="1316" t="s">
        <v>2004</v>
      </c>
      <c r="D2209" s="1317"/>
      <c r="E2209" s="675">
        <v>0.75</v>
      </c>
      <c r="F2209" s="676" t="s">
        <v>801</v>
      </c>
      <c r="G2209" s="670" t="e">
        <f>#REF!</f>
        <v>#REF!</v>
      </c>
      <c r="H2209" s="670" t="e">
        <f>INT(E2209*G2209)</f>
        <v>#REF!</v>
      </c>
      <c r="I2209" s="670"/>
      <c r="J2209" s="670"/>
      <c r="K2209" s="670">
        <f>[53]운반공!$BI$584</f>
        <v>45</v>
      </c>
      <c r="L2209" s="670">
        <f>INT(E2209*K2209)</f>
        <v>33</v>
      </c>
      <c r="M2209" s="670" t="e">
        <f t="shared" si="494"/>
        <v>#REF!</v>
      </c>
      <c r="N2209" s="670" t="e">
        <f t="shared" si="494"/>
        <v>#REF!</v>
      </c>
      <c r="O2209" s="671"/>
      <c r="P2209" s="672"/>
      <c r="Q2209" s="688">
        <f t="shared" si="493"/>
        <v>45</v>
      </c>
      <c r="R2209" s="688">
        <f t="shared" si="493"/>
        <v>45</v>
      </c>
      <c r="T2209" s="690">
        <f t="shared" si="492"/>
        <v>0</v>
      </c>
    </row>
    <row r="2210" spans="1:22" s="688" customFormat="1" ht="17.100000000000001" customHeight="1">
      <c r="A2210" s="1316" t="s">
        <v>1992</v>
      </c>
      <c r="B2210" s="1317"/>
      <c r="C2210" s="1316" t="s">
        <v>2023</v>
      </c>
      <c r="D2210" s="1317"/>
      <c r="E2210" s="679">
        <v>0.3</v>
      </c>
      <c r="F2210" s="676" t="s">
        <v>801</v>
      </c>
      <c r="G2210" s="670" t="e">
        <f>#REF!</f>
        <v>#REF!</v>
      </c>
      <c r="H2210" s="670" t="e">
        <f>INT(E2210*G2210)</f>
        <v>#REF!</v>
      </c>
      <c r="I2210" s="670"/>
      <c r="J2210" s="670"/>
      <c r="K2210" s="670">
        <f>[53]운반공!$BI$584</f>
        <v>45</v>
      </c>
      <c r="L2210" s="670">
        <f>INT(E2210*K2210)</f>
        <v>13</v>
      </c>
      <c r="M2210" s="670" t="e">
        <f t="shared" si="494"/>
        <v>#REF!</v>
      </c>
      <c r="N2210" s="670" t="e">
        <f t="shared" si="494"/>
        <v>#REF!</v>
      </c>
      <c r="O2210" s="671"/>
      <c r="P2210" s="672"/>
      <c r="Q2210" s="688">
        <f t="shared" si="493"/>
        <v>45</v>
      </c>
      <c r="R2210" s="688">
        <f t="shared" si="493"/>
        <v>45</v>
      </c>
      <c r="S2210" s="688">
        <v>3</v>
      </c>
      <c r="T2210" s="690">
        <f t="shared" si="492"/>
        <v>6.6699999999999995E-2</v>
      </c>
    </row>
    <row r="2211" spans="1:22" s="688" customFormat="1" ht="17.100000000000001" customHeight="1">
      <c r="A2211" s="1316" t="s">
        <v>540</v>
      </c>
      <c r="B2211" s="1317"/>
      <c r="C2211" s="1316"/>
      <c r="D2211" s="1317"/>
      <c r="E2211" s="683">
        <v>2.3099999999999999E-2</v>
      </c>
      <c r="F2211" s="676" t="s">
        <v>366</v>
      </c>
      <c r="G2211" s="670"/>
      <c r="H2211" s="670"/>
      <c r="I2211" s="670">
        <f>[53]노임단가!$T$22</f>
        <v>273308</v>
      </c>
      <c r="J2211" s="670">
        <f t="shared" ref="J2211:J2218" si="495">INT(E2211*I2211)</f>
        <v>6313</v>
      </c>
      <c r="K2211" s="670"/>
      <c r="L2211" s="670"/>
      <c r="M2211" s="670">
        <f t="shared" si="494"/>
        <v>273308</v>
      </c>
      <c r="N2211" s="670">
        <f t="shared" si="494"/>
        <v>6313</v>
      </c>
      <c r="O2211" s="671"/>
      <c r="P2211" s="672"/>
      <c r="Q2211" s="688">
        <f t="shared" si="493"/>
        <v>45</v>
      </c>
      <c r="R2211" s="688">
        <f t="shared" si="493"/>
        <v>45</v>
      </c>
      <c r="S2211" s="688">
        <v>1</v>
      </c>
      <c r="T2211" s="690">
        <f t="shared" si="492"/>
        <v>2.2200000000000001E-2</v>
      </c>
    </row>
    <row r="2212" spans="1:22" s="688" customFormat="1" ht="17.100000000000001" customHeight="1">
      <c r="A2212" s="1316" t="s">
        <v>248</v>
      </c>
      <c r="B2212" s="1317"/>
      <c r="C2212" s="1316"/>
      <c r="D2212" s="1317"/>
      <c r="E2212" s="683">
        <v>7.7000000000000002E-3</v>
      </c>
      <c r="F2212" s="676" t="s">
        <v>366</v>
      </c>
      <c r="G2212" s="670"/>
      <c r="H2212" s="670"/>
      <c r="I2212" s="670">
        <f>[53]노임단가!$T$5</f>
        <v>172068</v>
      </c>
      <c r="J2212" s="670">
        <f t="shared" si="495"/>
        <v>1324</v>
      </c>
      <c r="K2212" s="670"/>
      <c r="L2212" s="670"/>
      <c r="M2212" s="670">
        <f t="shared" si="494"/>
        <v>172068</v>
      </c>
      <c r="N2212" s="670">
        <f t="shared" si="494"/>
        <v>1324</v>
      </c>
      <c r="O2212" s="671"/>
      <c r="P2212" s="672"/>
      <c r="Q2212" s="688">
        <f t="shared" si="493"/>
        <v>45</v>
      </c>
      <c r="R2212" s="688">
        <f t="shared" si="493"/>
        <v>45</v>
      </c>
      <c r="S2212" s="688">
        <v>8</v>
      </c>
      <c r="T2212" s="690">
        <f t="shared" si="492"/>
        <v>0.17780000000000001</v>
      </c>
    </row>
    <row r="2213" spans="1:22" s="688" customFormat="1" ht="17.100000000000001" customHeight="1">
      <c r="A2213" s="1316" t="s">
        <v>409</v>
      </c>
      <c r="B2213" s="1317"/>
      <c r="C2213" s="1316" t="s">
        <v>394</v>
      </c>
      <c r="D2213" s="1317"/>
      <c r="E2213" s="683">
        <v>6.1600000000000002E-2</v>
      </c>
      <c r="F2213" s="676" t="s">
        <v>418</v>
      </c>
      <c r="G2213" s="670" t="e">
        <f>#REF!</f>
        <v>#REF!</v>
      </c>
      <c r="H2213" s="670" t="e">
        <f t="shared" ref="H2213:H2218" si="496">INT(E2213*G2213)</f>
        <v>#REF!</v>
      </c>
      <c r="I2213" s="670" t="e">
        <f>#REF!</f>
        <v>#REF!</v>
      </c>
      <c r="J2213" s="670" t="e">
        <f t="shared" si="495"/>
        <v>#REF!</v>
      </c>
      <c r="K2213" s="670" t="e">
        <f>#REF!</f>
        <v>#REF!</v>
      </c>
      <c r="L2213" s="670" t="e">
        <f t="shared" ref="L2213:L2218" si="497">INT(E2213*K2213)</f>
        <v>#REF!</v>
      </c>
      <c r="M2213" s="670" t="e">
        <f t="shared" si="494"/>
        <v>#REF!</v>
      </c>
      <c r="N2213" s="670" t="e">
        <f t="shared" si="494"/>
        <v>#REF!</v>
      </c>
      <c r="O2213" s="671"/>
      <c r="P2213" s="672"/>
      <c r="Q2213" s="688">
        <f t="shared" si="493"/>
        <v>45</v>
      </c>
      <c r="R2213" s="688">
        <f t="shared" si="493"/>
        <v>45</v>
      </c>
      <c r="S2213" s="688">
        <v>8</v>
      </c>
      <c r="T2213" s="690">
        <f t="shared" si="492"/>
        <v>0.17780000000000001</v>
      </c>
    </row>
    <row r="2214" spans="1:22" s="688" customFormat="1" ht="17.100000000000001" customHeight="1">
      <c r="A2214" s="1316" t="s">
        <v>515</v>
      </c>
      <c r="B2214" s="1317"/>
      <c r="C2214" s="1316" t="s">
        <v>555</v>
      </c>
      <c r="D2214" s="1317"/>
      <c r="E2214" s="683">
        <v>6.1600000000000002E-2</v>
      </c>
      <c r="F2214" s="676" t="s">
        <v>418</v>
      </c>
      <c r="G2214" s="670" t="e">
        <f>#REF!</f>
        <v>#REF!</v>
      </c>
      <c r="H2214" s="750" t="e">
        <f>INT(E2214*G2214)</f>
        <v>#REF!</v>
      </c>
      <c r="I2214" s="670" t="e">
        <f>#REF!</f>
        <v>#REF!</v>
      </c>
      <c r="J2214" s="750" t="e">
        <f t="shared" si="495"/>
        <v>#REF!</v>
      </c>
      <c r="K2214" s="670" t="e">
        <f>#REF!</f>
        <v>#REF!</v>
      </c>
      <c r="L2214" s="750" t="e">
        <f>INT(E2214*K2214)</f>
        <v>#REF!</v>
      </c>
      <c r="M2214" s="750" t="e">
        <f t="shared" si="494"/>
        <v>#REF!</v>
      </c>
      <c r="N2214" s="670" t="e">
        <f t="shared" si="494"/>
        <v>#REF!</v>
      </c>
      <c r="O2214" s="671"/>
      <c r="P2214" s="672"/>
      <c r="Q2214" s="688">
        <f t="shared" si="493"/>
        <v>45</v>
      </c>
      <c r="R2214" s="688">
        <f t="shared" si="493"/>
        <v>45</v>
      </c>
      <c r="S2214" s="688">
        <v>8</v>
      </c>
      <c r="T2214" s="690">
        <f t="shared" si="492"/>
        <v>0.17780000000000001</v>
      </c>
    </row>
    <row r="2215" spans="1:22" s="688" customFormat="1" ht="17.100000000000001" customHeight="1">
      <c r="A2215" s="1316" t="s">
        <v>1183</v>
      </c>
      <c r="B2215" s="1317"/>
      <c r="C2215" s="1316" t="s">
        <v>642</v>
      </c>
      <c r="D2215" s="1317"/>
      <c r="E2215" s="683">
        <v>6.1600000000000002E-2</v>
      </c>
      <c r="F2215" s="676" t="s">
        <v>418</v>
      </c>
      <c r="G2215" s="670" t="e">
        <f>#REF!</f>
        <v>#REF!</v>
      </c>
      <c r="H2215" s="670" t="e">
        <f t="shared" si="496"/>
        <v>#REF!</v>
      </c>
      <c r="I2215" s="670" t="e">
        <f>#REF!</f>
        <v>#REF!</v>
      </c>
      <c r="J2215" s="670" t="e">
        <f t="shared" si="495"/>
        <v>#REF!</v>
      </c>
      <c r="K2215" s="670" t="e">
        <f>#REF!</f>
        <v>#REF!</v>
      </c>
      <c r="L2215" s="670" t="e">
        <f t="shared" si="497"/>
        <v>#REF!</v>
      </c>
      <c r="M2215" s="670" t="e">
        <f t="shared" si="494"/>
        <v>#REF!</v>
      </c>
      <c r="N2215" s="670" t="e">
        <f t="shared" si="494"/>
        <v>#REF!</v>
      </c>
      <c r="O2215" s="671"/>
      <c r="P2215" s="672"/>
      <c r="Q2215" s="688">
        <f t="shared" si="493"/>
        <v>45</v>
      </c>
      <c r="R2215" s="688">
        <f t="shared" si="493"/>
        <v>45</v>
      </c>
      <c r="S2215" s="688">
        <v>8</v>
      </c>
      <c r="T2215" s="690">
        <f t="shared" si="492"/>
        <v>0.17780000000000001</v>
      </c>
    </row>
    <row r="2216" spans="1:22" s="688" customFormat="1" ht="17.100000000000001" customHeight="1">
      <c r="A2216" s="1316" t="s">
        <v>1217</v>
      </c>
      <c r="B2216" s="1317"/>
      <c r="C2216" s="1316" t="s">
        <v>1218</v>
      </c>
      <c r="D2216" s="1317"/>
      <c r="E2216" s="683">
        <v>6.1600000000000002E-2</v>
      </c>
      <c r="F2216" s="676" t="s">
        <v>418</v>
      </c>
      <c r="G2216" s="670" t="e">
        <f>#REF!</f>
        <v>#REF!</v>
      </c>
      <c r="H2216" s="670" t="e">
        <f t="shared" si="496"/>
        <v>#REF!</v>
      </c>
      <c r="I2216" s="670" t="e">
        <f>#REF!</f>
        <v>#REF!</v>
      </c>
      <c r="J2216" s="670" t="e">
        <f t="shared" si="495"/>
        <v>#REF!</v>
      </c>
      <c r="K2216" s="670" t="e">
        <f>#REF!</f>
        <v>#REF!</v>
      </c>
      <c r="L2216" s="670" t="e">
        <f t="shared" si="497"/>
        <v>#REF!</v>
      </c>
      <c r="M2216" s="670" t="e">
        <f t="shared" si="494"/>
        <v>#REF!</v>
      </c>
      <c r="N2216" s="670" t="e">
        <f t="shared" si="494"/>
        <v>#REF!</v>
      </c>
      <c r="O2216" s="671"/>
      <c r="P2216" s="672"/>
      <c r="Q2216" s="688">
        <f t="shared" si="493"/>
        <v>45</v>
      </c>
      <c r="R2216" s="688">
        <f t="shared" si="493"/>
        <v>45</v>
      </c>
      <c r="S2216" s="688">
        <v>8</v>
      </c>
      <c r="T2216" s="690">
        <f t="shared" si="492"/>
        <v>0.17780000000000001</v>
      </c>
    </row>
    <row r="2217" spans="1:22" s="688" customFormat="1" ht="17.100000000000001" customHeight="1">
      <c r="A2217" s="1316" t="s">
        <v>1161</v>
      </c>
      <c r="B2217" s="1317"/>
      <c r="C2217" s="1316" t="s">
        <v>2064</v>
      </c>
      <c r="D2217" s="1317"/>
      <c r="E2217" s="683">
        <v>6.1600000000000002E-2</v>
      </c>
      <c r="F2217" s="676" t="s">
        <v>418</v>
      </c>
      <c r="G2217" s="670" t="e">
        <f>#REF!</f>
        <v>#REF!</v>
      </c>
      <c r="H2217" s="670" t="e">
        <f t="shared" si="496"/>
        <v>#REF!</v>
      </c>
      <c r="I2217" s="670" t="e">
        <f>#REF!</f>
        <v>#REF!</v>
      </c>
      <c r="J2217" s="670" t="e">
        <f t="shared" si="495"/>
        <v>#REF!</v>
      </c>
      <c r="K2217" s="670" t="e">
        <f>#REF!</f>
        <v>#REF!</v>
      </c>
      <c r="L2217" s="670" t="e">
        <f t="shared" si="497"/>
        <v>#REF!</v>
      </c>
      <c r="M2217" s="670" t="e">
        <f t="shared" si="494"/>
        <v>#REF!</v>
      </c>
      <c r="N2217" s="670" t="e">
        <f t="shared" si="494"/>
        <v>#REF!</v>
      </c>
      <c r="O2217" s="671"/>
      <c r="P2217" s="672"/>
      <c r="Q2217" s="688">
        <f t="shared" si="493"/>
        <v>45</v>
      </c>
      <c r="R2217" s="688">
        <f t="shared" si="493"/>
        <v>45</v>
      </c>
      <c r="S2217" s="688">
        <v>8</v>
      </c>
      <c r="T2217" s="690">
        <f t="shared" si="492"/>
        <v>0.17780000000000001</v>
      </c>
    </row>
    <row r="2218" spans="1:22" s="665" customFormat="1" ht="17.100000000000001" customHeight="1">
      <c r="A2218" s="1316" t="s">
        <v>1161</v>
      </c>
      <c r="B2218" s="1317"/>
      <c r="C2218" s="1316" t="s">
        <v>2065</v>
      </c>
      <c r="D2218" s="1317"/>
      <c r="E2218" s="683">
        <v>6.1600000000000002E-2</v>
      </c>
      <c r="F2218" s="676" t="s">
        <v>418</v>
      </c>
      <c r="G2218" s="670" t="e">
        <f>#REF!</f>
        <v>#REF!</v>
      </c>
      <c r="H2218" s="670" t="e">
        <f t="shared" si="496"/>
        <v>#REF!</v>
      </c>
      <c r="I2218" s="670" t="e">
        <f>#REF!</f>
        <v>#REF!</v>
      </c>
      <c r="J2218" s="670" t="e">
        <f t="shared" si="495"/>
        <v>#REF!</v>
      </c>
      <c r="K2218" s="670" t="e">
        <f>#REF!</f>
        <v>#REF!</v>
      </c>
      <c r="L2218" s="670" t="e">
        <f t="shared" si="497"/>
        <v>#REF!</v>
      </c>
      <c r="M2218" s="670" t="e">
        <f t="shared" si="494"/>
        <v>#REF!</v>
      </c>
      <c r="N2218" s="670" t="e">
        <f t="shared" si="494"/>
        <v>#REF!</v>
      </c>
      <c r="O2218" s="671"/>
      <c r="P2218" s="672"/>
      <c r="Q2218" s="688"/>
      <c r="R2218" s="688"/>
      <c r="S2218" s="688"/>
      <c r="T2218" s="688"/>
    </row>
    <row r="2219" spans="1:22" s="665" customFormat="1" ht="17.100000000000001" customHeight="1">
      <c r="A2219" s="1318" t="s">
        <v>1320</v>
      </c>
      <c r="B2219" s="1319"/>
      <c r="C2219" s="1316"/>
      <c r="D2219" s="1317"/>
      <c r="E2219" s="686"/>
      <c r="F2219" s="676"/>
      <c r="G2219" s="670"/>
      <c r="H2219" s="670" t="e">
        <f>SUM(H2206:H2218)</f>
        <v>#REF!</v>
      </c>
      <c r="I2219" s="670"/>
      <c r="J2219" s="670" t="e">
        <f>SUM(J2206:J2218)</f>
        <v>#REF!</v>
      </c>
      <c r="K2219" s="670"/>
      <c r="L2219" s="670" t="e">
        <f>SUM(L2206:L2218)</f>
        <v>#REF!</v>
      </c>
      <c r="M2219" s="670"/>
      <c r="N2219" s="670" t="e">
        <f>SUM(N2206:N2218)</f>
        <v>#REF!</v>
      </c>
      <c r="O2219" s="671"/>
      <c r="P2219" s="672" t="s">
        <v>2074</v>
      </c>
      <c r="Q2219" s="687" t="s">
        <v>1446</v>
      </c>
      <c r="R2219" s="688" t="s">
        <v>1876</v>
      </c>
      <c r="S2219" s="688" t="s">
        <v>1425</v>
      </c>
      <c r="T2219" s="688" t="s">
        <v>1426</v>
      </c>
      <c r="U2219" s="688"/>
      <c r="V2219" s="688"/>
    </row>
    <row r="2220" spans="1:22" s="688" customFormat="1" ht="17.100000000000001" customHeight="1">
      <c r="A2220" s="668">
        <f>A2205+1</f>
        <v>339</v>
      </c>
      <c r="B2220" s="1320" t="s">
        <v>2078</v>
      </c>
      <c r="C2220" s="1320"/>
      <c r="D2220" s="1320" t="s">
        <v>2081</v>
      </c>
      <c r="E2220" s="1320"/>
      <c r="F2220" s="669" t="s">
        <v>645</v>
      </c>
      <c r="G2220" s="698"/>
      <c r="H2220" s="698"/>
      <c r="I2220" s="698"/>
      <c r="J2220" s="698"/>
      <c r="K2220" s="670"/>
      <c r="L2220" s="670"/>
      <c r="M2220" s="670"/>
      <c r="N2220" s="698"/>
      <c r="O2220" s="699" t="s">
        <v>1562</v>
      </c>
      <c r="P2220" s="672"/>
      <c r="Q2220" s="688">
        <f>45*1.18</f>
        <v>53.099999999999994</v>
      </c>
      <c r="R2220" s="688">
        <f>Q2220</f>
        <v>53.099999999999994</v>
      </c>
      <c r="T2220" s="690">
        <f t="shared" ref="T2220:T2232" si="498">ROUND(S2220/R2220,4)</f>
        <v>0</v>
      </c>
    </row>
    <row r="2221" spans="1:22" s="688" customFormat="1" ht="17.100000000000001" customHeight="1">
      <c r="A2221" s="1316" t="s">
        <v>1676</v>
      </c>
      <c r="B2221" s="1317"/>
      <c r="C2221" s="1316" t="s">
        <v>2033</v>
      </c>
      <c r="D2221" s="1317"/>
      <c r="E2221" s="675"/>
      <c r="F2221" s="676" t="s">
        <v>915</v>
      </c>
      <c r="G2221" s="670"/>
      <c r="H2221" s="670"/>
      <c r="I2221" s="670"/>
      <c r="J2221" s="670"/>
      <c r="K2221" s="670"/>
      <c r="L2221" s="670"/>
      <c r="M2221" s="670"/>
      <c r="N2221" s="670"/>
      <c r="O2221" s="671"/>
      <c r="P2221" s="672"/>
      <c r="Q2221" s="688">
        <f t="shared" ref="Q2221:R2232" si="499">Q2220</f>
        <v>53.099999999999994</v>
      </c>
      <c r="R2221" s="688">
        <f t="shared" si="499"/>
        <v>53.099999999999994</v>
      </c>
      <c r="T2221" s="690">
        <f t="shared" si="498"/>
        <v>0</v>
      </c>
    </row>
    <row r="2222" spans="1:22" s="688" customFormat="1" ht="17.100000000000001" customHeight="1">
      <c r="A2222" s="1316" t="s">
        <v>1676</v>
      </c>
      <c r="B2222" s="1317"/>
      <c r="C2222" s="1316" t="s">
        <v>1677</v>
      </c>
      <c r="D2222" s="1317"/>
      <c r="E2222" s="675"/>
      <c r="F2222" s="676" t="s">
        <v>915</v>
      </c>
      <c r="G2222" s="670"/>
      <c r="H2222" s="670"/>
      <c r="I2222" s="670"/>
      <c r="J2222" s="670"/>
      <c r="K2222" s="670"/>
      <c r="L2222" s="670"/>
      <c r="M2222" s="670"/>
      <c r="N2222" s="670"/>
      <c r="O2222" s="671"/>
      <c r="P2222" s="672"/>
      <c r="Q2222" s="688">
        <f t="shared" si="499"/>
        <v>53.099999999999994</v>
      </c>
      <c r="R2222" s="688">
        <f t="shared" si="499"/>
        <v>53.099999999999994</v>
      </c>
      <c r="T2222" s="690">
        <f t="shared" si="498"/>
        <v>0</v>
      </c>
    </row>
    <row r="2223" spans="1:22" s="688" customFormat="1" ht="17.100000000000001" customHeight="1">
      <c r="A2223" s="1316" t="s">
        <v>830</v>
      </c>
      <c r="B2223" s="1317"/>
      <c r="C2223" s="1316" t="s">
        <v>1982</v>
      </c>
      <c r="D2223" s="1317"/>
      <c r="E2223" s="683">
        <v>0.63990000000000002</v>
      </c>
      <c r="F2223" s="676" t="s">
        <v>850</v>
      </c>
      <c r="G2223" s="670" t="e">
        <f>#REF!</f>
        <v>#REF!</v>
      </c>
      <c r="H2223" s="670" t="e">
        <f>INT(E2223*G2223)</f>
        <v>#REF!</v>
      </c>
      <c r="I2223" s="670"/>
      <c r="J2223" s="670"/>
      <c r="K2223" s="670"/>
      <c r="L2223" s="670"/>
      <c r="M2223" s="670" t="e">
        <f t="shared" ref="M2223:N2233" si="500">G2223+I2223+K2223</f>
        <v>#REF!</v>
      </c>
      <c r="N2223" s="670" t="e">
        <f t="shared" si="500"/>
        <v>#REF!</v>
      </c>
      <c r="O2223" s="671"/>
      <c r="P2223" s="672"/>
      <c r="Q2223" s="688">
        <f t="shared" si="499"/>
        <v>53.099999999999994</v>
      </c>
      <c r="R2223" s="688">
        <f t="shared" si="499"/>
        <v>53.099999999999994</v>
      </c>
      <c r="T2223" s="690">
        <f t="shared" si="498"/>
        <v>0</v>
      </c>
    </row>
    <row r="2224" spans="1:22" s="688" customFormat="1" ht="17.100000000000001" customHeight="1">
      <c r="A2224" s="1316" t="s">
        <v>1992</v>
      </c>
      <c r="B2224" s="1317"/>
      <c r="C2224" s="1316" t="s">
        <v>2004</v>
      </c>
      <c r="D2224" s="1317"/>
      <c r="E2224" s="675">
        <v>0.75</v>
      </c>
      <c r="F2224" s="676" t="s">
        <v>801</v>
      </c>
      <c r="G2224" s="670" t="e">
        <f>#REF!</f>
        <v>#REF!</v>
      </c>
      <c r="H2224" s="670" t="e">
        <f>INT(E2224*G2224)</f>
        <v>#REF!</v>
      </c>
      <c r="I2224" s="670"/>
      <c r="J2224" s="670"/>
      <c r="K2224" s="670">
        <f>[53]운반공!$BI$584</f>
        <v>45</v>
      </c>
      <c r="L2224" s="670">
        <f>INT(E2224*K2224)</f>
        <v>33</v>
      </c>
      <c r="M2224" s="670" t="e">
        <f t="shared" si="500"/>
        <v>#REF!</v>
      </c>
      <c r="N2224" s="670" t="e">
        <f t="shared" si="500"/>
        <v>#REF!</v>
      </c>
      <c r="O2224" s="671"/>
      <c r="P2224" s="672"/>
      <c r="Q2224" s="688">
        <f t="shared" si="499"/>
        <v>53.099999999999994</v>
      </c>
      <c r="R2224" s="688">
        <f t="shared" si="499"/>
        <v>53.099999999999994</v>
      </c>
      <c r="T2224" s="690">
        <f t="shared" si="498"/>
        <v>0</v>
      </c>
    </row>
    <row r="2225" spans="1:22" s="688" customFormat="1" ht="17.100000000000001" customHeight="1">
      <c r="A2225" s="1316" t="s">
        <v>1992</v>
      </c>
      <c r="B2225" s="1317"/>
      <c r="C2225" s="1316" t="s">
        <v>2023</v>
      </c>
      <c r="D2225" s="1317"/>
      <c r="E2225" s="679">
        <v>0.3</v>
      </c>
      <c r="F2225" s="676" t="s">
        <v>801</v>
      </c>
      <c r="G2225" s="670" t="e">
        <f>#REF!</f>
        <v>#REF!</v>
      </c>
      <c r="H2225" s="670" t="e">
        <f>INT(E2225*G2225)</f>
        <v>#REF!</v>
      </c>
      <c r="I2225" s="670"/>
      <c r="J2225" s="670"/>
      <c r="K2225" s="670">
        <f>[53]운반공!$BI$584</f>
        <v>45</v>
      </c>
      <c r="L2225" s="670">
        <f>INT(E2225*K2225)</f>
        <v>13</v>
      </c>
      <c r="M2225" s="670" t="e">
        <f t="shared" si="500"/>
        <v>#REF!</v>
      </c>
      <c r="N2225" s="670" t="e">
        <f t="shared" si="500"/>
        <v>#REF!</v>
      </c>
      <c r="O2225" s="671"/>
      <c r="P2225" s="672"/>
      <c r="Q2225" s="688">
        <f t="shared" si="499"/>
        <v>53.099999999999994</v>
      </c>
      <c r="R2225" s="688">
        <f t="shared" si="499"/>
        <v>53.099999999999994</v>
      </c>
      <c r="S2225" s="688">
        <v>3</v>
      </c>
      <c r="T2225" s="690">
        <f t="shared" si="498"/>
        <v>5.6500000000000002E-2</v>
      </c>
    </row>
    <row r="2226" spans="1:22" s="688" customFormat="1" ht="17.100000000000001" customHeight="1">
      <c r="A2226" s="1316" t="s">
        <v>540</v>
      </c>
      <c r="B2226" s="1317"/>
      <c r="C2226" s="1316"/>
      <c r="D2226" s="1317"/>
      <c r="E2226" s="683">
        <v>3.2099999999999997E-2</v>
      </c>
      <c r="F2226" s="676" t="s">
        <v>366</v>
      </c>
      <c r="G2226" s="670"/>
      <c r="H2226" s="670"/>
      <c r="I2226" s="670">
        <f>[53]노임단가!$T$22</f>
        <v>273308</v>
      </c>
      <c r="J2226" s="670">
        <f t="shared" ref="J2226:J2233" si="501">INT(E2226*I2226)</f>
        <v>8773</v>
      </c>
      <c r="K2226" s="670"/>
      <c r="L2226" s="670"/>
      <c r="M2226" s="670">
        <f t="shared" si="500"/>
        <v>273308</v>
      </c>
      <c r="N2226" s="670">
        <f t="shared" si="500"/>
        <v>8773</v>
      </c>
      <c r="O2226" s="671"/>
      <c r="P2226" s="672"/>
      <c r="Q2226" s="688">
        <f t="shared" si="499"/>
        <v>53.099999999999994</v>
      </c>
      <c r="R2226" s="688">
        <f t="shared" si="499"/>
        <v>53.099999999999994</v>
      </c>
      <c r="S2226" s="688">
        <v>1</v>
      </c>
      <c r="T2226" s="690">
        <f t="shared" si="498"/>
        <v>1.8800000000000001E-2</v>
      </c>
    </row>
    <row r="2227" spans="1:22" s="688" customFormat="1" ht="17.100000000000001" customHeight="1">
      <c r="A2227" s="1316" t="s">
        <v>248</v>
      </c>
      <c r="B2227" s="1317"/>
      <c r="C2227" s="1316"/>
      <c r="D2227" s="1317"/>
      <c r="E2227" s="683">
        <v>1.0699999999999999E-2</v>
      </c>
      <c r="F2227" s="676" t="s">
        <v>366</v>
      </c>
      <c r="G2227" s="670"/>
      <c r="H2227" s="670"/>
      <c r="I2227" s="670">
        <f>[53]노임단가!$T$5</f>
        <v>172068</v>
      </c>
      <c r="J2227" s="670">
        <f t="shared" si="501"/>
        <v>1841</v>
      </c>
      <c r="K2227" s="670"/>
      <c r="L2227" s="670"/>
      <c r="M2227" s="670">
        <f t="shared" si="500"/>
        <v>172068</v>
      </c>
      <c r="N2227" s="670">
        <f t="shared" si="500"/>
        <v>1841</v>
      </c>
      <c r="O2227" s="671"/>
      <c r="P2227" s="672"/>
      <c r="Q2227" s="688">
        <f t="shared" si="499"/>
        <v>53.099999999999994</v>
      </c>
      <c r="R2227" s="688">
        <f t="shared" si="499"/>
        <v>53.099999999999994</v>
      </c>
      <c r="S2227" s="688">
        <v>8</v>
      </c>
      <c r="T2227" s="690">
        <f t="shared" si="498"/>
        <v>0.1507</v>
      </c>
    </row>
    <row r="2228" spans="1:22" s="688" customFormat="1" ht="17.100000000000001" customHeight="1">
      <c r="A2228" s="1316" t="s">
        <v>409</v>
      </c>
      <c r="B2228" s="1317"/>
      <c r="C2228" s="1316" t="s">
        <v>394</v>
      </c>
      <c r="D2228" s="1317"/>
      <c r="E2228" s="683">
        <v>8.5599999999999996E-2</v>
      </c>
      <c r="F2228" s="676" t="s">
        <v>418</v>
      </c>
      <c r="G2228" s="670" t="e">
        <f>#REF!</f>
        <v>#REF!</v>
      </c>
      <c r="H2228" s="670" t="e">
        <f t="shared" ref="H2228:H2233" si="502">INT(E2228*G2228)</f>
        <v>#REF!</v>
      </c>
      <c r="I2228" s="670" t="e">
        <f>#REF!</f>
        <v>#REF!</v>
      </c>
      <c r="J2228" s="670" t="e">
        <f t="shared" si="501"/>
        <v>#REF!</v>
      </c>
      <c r="K2228" s="670" t="e">
        <f>#REF!</f>
        <v>#REF!</v>
      </c>
      <c r="L2228" s="670" t="e">
        <f t="shared" ref="L2228:L2233" si="503">INT(E2228*K2228)</f>
        <v>#REF!</v>
      </c>
      <c r="M2228" s="670" t="e">
        <f t="shared" si="500"/>
        <v>#REF!</v>
      </c>
      <c r="N2228" s="670" t="e">
        <f t="shared" si="500"/>
        <v>#REF!</v>
      </c>
      <c r="O2228" s="671"/>
      <c r="P2228" s="672"/>
      <c r="Q2228" s="688">
        <f t="shared" si="499"/>
        <v>53.099999999999994</v>
      </c>
      <c r="R2228" s="688">
        <f t="shared" si="499"/>
        <v>53.099999999999994</v>
      </c>
      <c r="S2228" s="688">
        <v>8</v>
      </c>
      <c r="T2228" s="690">
        <f t="shared" si="498"/>
        <v>0.1507</v>
      </c>
    </row>
    <row r="2229" spans="1:22" s="688" customFormat="1" ht="17.100000000000001" customHeight="1">
      <c r="A2229" s="1316" t="s">
        <v>515</v>
      </c>
      <c r="B2229" s="1317"/>
      <c r="C2229" s="1316" t="s">
        <v>555</v>
      </c>
      <c r="D2229" s="1317"/>
      <c r="E2229" s="683">
        <v>8.5599999999999996E-2</v>
      </c>
      <c r="F2229" s="676" t="s">
        <v>418</v>
      </c>
      <c r="G2229" s="670" t="e">
        <f>#REF!</f>
        <v>#REF!</v>
      </c>
      <c r="H2229" s="750" t="e">
        <f>INT(E2229*G2229)</f>
        <v>#REF!</v>
      </c>
      <c r="I2229" s="670" t="e">
        <f>#REF!</f>
        <v>#REF!</v>
      </c>
      <c r="J2229" s="750" t="e">
        <f t="shared" si="501"/>
        <v>#REF!</v>
      </c>
      <c r="K2229" s="670" t="e">
        <f>#REF!</f>
        <v>#REF!</v>
      </c>
      <c r="L2229" s="750" t="e">
        <f>INT(E2229*K2229)</f>
        <v>#REF!</v>
      </c>
      <c r="M2229" s="750" t="e">
        <f t="shared" si="500"/>
        <v>#REF!</v>
      </c>
      <c r="N2229" s="670" t="e">
        <f t="shared" si="500"/>
        <v>#REF!</v>
      </c>
      <c r="O2229" s="671"/>
      <c r="P2229" s="672"/>
      <c r="Q2229" s="688">
        <f t="shared" si="499"/>
        <v>53.099999999999994</v>
      </c>
      <c r="R2229" s="688">
        <f t="shared" si="499"/>
        <v>53.099999999999994</v>
      </c>
      <c r="S2229" s="688">
        <v>8</v>
      </c>
      <c r="T2229" s="690">
        <f t="shared" si="498"/>
        <v>0.1507</v>
      </c>
    </row>
    <row r="2230" spans="1:22" s="688" customFormat="1" ht="17.100000000000001" customHeight="1">
      <c r="A2230" s="1316" t="s">
        <v>1183</v>
      </c>
      <c r="B2230" s="1317"/>
      <c r="C2230" s="1316" t="s">
        <v>642</v>
      </c>
      <c r="D2230" s="1317"/>
      <c r="E2230" s="683">
        <v>8.5599999999999996E-2</v>
      </c>
      <c r="F2230" s="676" t="s">
        <v>418</v>
      </c>
      <c r="G2230" s="670" t="e">
        <f>#REF!</f>
        <v>#REF!</v>
      </c>
      <c r="H2230" s="670" t="e">
        <f t="shared" si="502"/>
        <v>#REF!</v>
      </c>
      <c r="I2230" s="670" t="e">
        <f>#REF!</f>
        <v>#REF!</v>
      </c>
      <c r="J2230" s="670" t="e">
        <f t="shared" si="501"/>
        <v>#REF!</v>
      </c>
      <c r="K2230" s="670" t="e">
        <f>#REF!</f>
        <v>#REF!</v>
      </c>
      <c r="L2230" s="670" t="e">
        <f t="shared" si="503"/>
        <v>#REF!</v>
      </c>
      <c r="M2230" s="670" t="e">
        <f t="shared" si="500"/>
        <v>#REF!</v>
      </c>
      <c r="N2230" s="670" t="e">
        <f t="shared" si="500"/>
        <v>#REF!</v>
      </c>
      <c r="O2230" s="671"/>
      <c r="P2230" s="672"/>
      <c r="Q2230" s="688">
        <f t="shared" si="499"/>
        <v>53.099999999999994</v>
      </c>
      <c r="R2230" s="688">
        <f t="shared" si="499"/>
        <v>53.099999999999994</v>
      </c>
      <c r="S2230" s="688">
        <v>8</v>
      </c>
      <c r="T2230" s="690">
        <f t="shared" si="498"/>
        <v>0.1507</v>
      </c>
    </row>
    <row r="2231" spans="1:22" s="688" customFormat="1" ht="17.100000000000001" customHeight="1">
      <c r="A2231" s="1316" t="s">
        <v>1217</v>
      </c>
      <c r="B2231" s="1317"/>
      <c r="C2231" s="1316" t="s">
        <v>1218</v>
      </c>
      <c r="D2231" s="1317"/>
      <c r="E2231" s="683">
        <v>8.5599999999999996E-2</v>
      </c>
      <c r="F2231" s="676" t="s">
        <v>418</v>
      </c>
      <c r="G2231" s="670" t="e">
        <f>#REF!</f>
        <v>#REF!</v>
      </c>
      <c r="H2231" s="670" t="e">
        <f t="shared" si="502"/>
        <v>#REF!</v>
      </c>
      <c r="I2231" s="670" t="e">
        <f>#REF!</f>
        <v>#REF!</v>
      </c>
      <c r="J2231" s="670" t="e">
        <f t="shared" si="501"/>
        <v>#REF!</v>
      </c>
      <c r="K2231" s="670" t="e">
        <f>#REF!</f>
        <v>#REF!</v>
      </c>
      <c r="L2231" s="670" t="e">
        <f t="shared" si="503"/>
        <v>#REF!</v>
      </c>
      <c r="M2231" s="670" t="e">
        <f t="shared" si="500"/>
        <v>#REF!</v>
      </c>
      <c r="N2231" s="670" t="e">
        <f t="shared" si="500"/>
        <v>#REF!</v>
      </c>
      <c r="O2231" s="671"/>
      <c r="P2231" s="672"/>
      <c r="Q2231" s="688">
        <f t="shared" si="499"/>
        <v>53.099999999999994</v>
      </c>
      <c r="R2231" s="688">
        <f t="shared" si="499"/>
        <v>53.099999999999994</v>
      </c>
      <c r="S2231" s="688">
        <v>8</v>
      </c>
      <c r="T2231" s="690">
        <f t="shared" si="498"/>
        <v>0.1507</v>
      </c>
    </row>
    <row r="2232" spans="1:22" s="688" customFormat="1" ht="17.100000000000001" customHeight="1">
      <c r="A2232" s="1316" t="s">
        <v>1161</v>
      </c>
      <c r="B2232" s="1317"/>
      <c r="C2232" s="1316" t="s">
        <v>2064</v>
      </c>
      <c r="D2232" s="1317"/>
      <c r="E2232" s="683">
        <v>8.5599999999999996E-2</v>
      </c>
      <c r="F2232" s="676" t="s">
        <v>418</v>
      </c>
      <c r="G2232" s="670" t="e">
        <f>#REF!</f>
        <v>#REF!</v>
      </c>
      <c r="H2232" s="670" t="e">
        <f t="shared" si="502"/>
        <v>#REF!</v>
      </c>
      <c r="I2232" s="670" t="e">
        <f>#REF!</f>
        <v>#REF!</v>
      </c>
      <c r="J2232" s="670" t="e">
        <f t="shared" si="501"/>
        <v>#REF!</v>
      </c>
      <c r="K2232" s="670" t="e">
        <f>#REF!</f>
        <v>#REF!</v>
      </c>
      <c r="L2232" s="670" t="e">
        <f t="shared" si="503"/>
        <v>#REF!</v>
      </c>
      <c r="M2232" s="670" t="e">
        <f t="shared" si="500"/>
        <v>#REF!</v>
      </c>
      <c r="N2232" s="670" t="e">
        <f t="shared" si="500"/>
        <v>#REF!</v>
      </c>
      <c r="O2232" s="671"/>
      <c r="P2232" s="672"/>
      <c r="Q2232" s="688">
        <f t="shared" si="499"/>
        <v>53.099999999999994</v>
      </c>
      <c r="R2232" s="688">
        <f t="shared" si="499"/>
        <v>53.099999999999994</v>
      </c>
      <c r="S2232" s="688">
        <v>8</v>
      </c>
      <c r="T2232" s="690">
        <f t="shared" si="498"/>
        <v>0.1507</v>
      </c>
    </row>
    <row r="2233" spans="1:22" s="665" customFormat="1" ht="17.100000000000001" customHeight="1">
      <c r="A2233" s="1316" t="s">
        <v>1161</v>
      </c>
      <c r="B2233" s="1317"/>
      <c r="C2233" s="1316" t="s">
        <v>2065</v>
      </c>
      <c r="D2233" s="1317"/>
      <c r="E2233" s="683">
        <v>8.5599999999999996E-2</v>
      </c>
      <c r="F2233" s="676" t="s">
        <v>418</v>
      </c>
      <c r="G2233" s="670" t="e">
        <f>#REF!</f>
        <v>#REF!</v>
      </c>
      <c r="H2233" s="670" t="e">
        <f t="shared" si="502"/>
        <v>#REF!</v>
      </c>
      <c r="I2233" s="670" t="e">
        <f>#REF!</f>
        <v>#REF!</v>
      </c>
      <c r="J2233" s="670" t="e">
        <f t="shared" si="501"/>
        <v>#REF!</v>
      </c>
      <c r="K2233" s="670" t="e">
        <f>#REF!</f>
        <v>#REF!</v>
      </c>
      <c r="L2233" s="670" t="e">
        <f t="shared" si="503"/>
        <v>#REF!</v>
      </c>
      <c r="M2233" s="670" t="e">
        <f t="shared" si="500"/>
        <v>#REF!</v>
      </c>
      <c r="N2233" s="670" t="e">
        <f t="shared" si="500"/>
        <v>#REF!</v>
      </c>
      <c r="O2233" s="671"/>
      <c r="P2233" s="672"/>
      <c r="Q2233" s="688"/>
      <c r="R2233" s="688"/>
      <c r="S2233" s="688"/>
      <c r="T2233" s="688"/>
    </row>
    <row r="2234" spans="1:22" s="665" customFormat="1" ht="17.100000000000001" customHeight="1">
      <c r="A2234" s="1318" t="s">
        <v>1320</v>
      </c>
      <c r="B2234" s="1319"/>
      <c r="C2234" s="1316"/>
      <c r="D2234" s="1317"/>
      <c r="E2234" s="686"/>
      <c r="F2234" s="676"/>
      <c r="G2234" s="670"/>
      <c r="H2234" s="670" t="e">
        <f>SUM(H2221:H2233)</f>
        <v>#REF!</v>
      </c>
      <c r="I2234" s="670"/>
      <c r="J2234" s="670" t="e">
        <f>SUM(J2221:J2233)</f>
        <v>#REF!</v>
      </c>
      <c r="K2234" s="670"/>
      <c r="L2234" s="670" t="e">
        <f>SUM(L2221:L2233)</f>
        <v>#REF!</v>
      </c>
      <c r="M2234" s="670"/>
      <c r="N2234" s="670" t="e">
        <f>SUM(N2221:N2233)</f>
        <v>#REF!</v>
      </c>
      <c r="O2234" s="671"/>
      <c r="P2234" s="672" t="s">
        <v>2074</v>
      </c>
      <c r="Q2234" s="687" t="s">
        <v>1446</v>
      </c>
      <c r="R2234" s="688" t="s">
        <v>1876</v>
      </c>
      <c r="S2234" s="688" t="s">
        <v>1425</v>
      </c>
      <c r="T2234" s="688" t="s">
        <v>1426</v>
      </c>
      <c r="U2234" s="688"/>
      <c r="V2234" s="688"/>
    </row>
    <row r="2235" spans="1:22" s="688" customFormat="1" ht="17.100000000000001" customHeight="1">
      <c r="A2235" s="668">
        <f>A2220+1</f>
        <v>340</v>
      </c>
      <c r="B2235" s="1320" t="s">
        <v>2078</v>
      </c>
      <c r="C2235" s="1320"/>
      <c r="D2235" s="1320" t="s">
        <v>2082</v>
      </c>
      <c r="E2235" s="1320"/>
      <c r="F2235" s="669" t="s">
        <v>645</v>
      </c>
      <c r="G2235" s="698"/>
      <c r="H2235" s="698"/>
      <c r="I2235" s="698"/>
      <c r="J2235" s="698"/>
      <c r="K2235" s="670"/>
      <c r="L2235" s="670"/>
      <c r="M2235" s="670"/>
      <c r="N2235" s="698"/>
      <c r="O2235" s="699" t="s">
        <v>1562</v>
      </c>
      <c r="P2235" s="672"/>
      <c r="Q2235" s="688">
        <f>45*0.85</f>
        <v>38.25</v>
      </c>
      <c r="R2235" s="688">
        <f>Q2235</f>
        <v>38.25</v>
      </c>
      <c r="T2235" s="690">
        <f t="shared" ref="T2235:T2247" si="504">ROUND(S2235/R2235,4)</f>
        <v>0</v>
      </c>
    </row>
    <row r="2236" spans="1:22" s="688" customFormat="1" ht="17.100000000000001" customHeight="1">
      <c r="A2236" s="1316" t="s">
        <v>1676</v>
      </c>
      <c r="B2236" s="1317"/>
      <c r="C2236" s="1316" t="s">
        <v>2033</v>
      </c>
      <c r="D2236" s="1317"/>
      <c r="E2236" s="675"/>
      <c r="F2236" s="676" t="s">
        <v>915</v>
      </c>
      <c r="G2236" s="670"/>
      <c r="H2236" s="670"/>
      <c r="I2236" s="670"/>
      <c r="J2236" s="670"/>
      <c r="K2236" s="670"/>
      <c r="L2236" s="670"/>
      <c r="M2236" s="670"/>
      <c r="N2236" s="670"/>
      <c r="O2236" s="671"/>
      <c r="P2236" s="672"/>
      <c r="Q2236" s="688">
        <f t="shared" ref="Q2236:R2247" si="505">Q2235</f>
        <v>38.25</v>
      </c>
      <c r="R2236" s="688">
        <f t="shared" si="505"/>
        <v>38.25</v>
      </c>
      <c r="T2236" s="690">
        <f t="shared" si="504"/>
        <v>0</v>
      </c>
    </row>
    <row r="2237" spans="1:22" s="688" customFormat="1" ht="17.100000000000001" customHeight="1">
      <c r="A2237" s="1316" t="s">
        <v>1676</v>
      </c>
      <c r="B2237" s="1317"/>
      <c r="C2237" s="1316" t="s">
        <v>1677</v>
      </c>
      <c r="D2237" s="1317"/>
      <c r="E2237" s="675"/>
      <c r="F2237" s="676" t="s">
        <v>915</v>
      </c>
      <c r="G2237" s="670"/>
      <c r="H2237" s="670"/>
      <c r="I2237" s="670"/>
      <c r="J2237" s="670"/>
      <c r="K2237" s="670"/>
      <c r="L2237" s="670"/>
      <c r="M2237" s="670"/>
      <c r="N2237" s="670"/>
      <c r="O2237" s="671"/>
      <c r="P2237" s="672"/>
      <c r="Q2237" s="688">
        <f t="shared" si="505"/>
        <v>38.25</v>
      </c>
      <c r="R2237" s="688">
        <f t="shared" si="505"/>
        <v>38.25</v>
      </c>
      <c r="T2237" s="690">
        <f t="shared" si="504"/>
        <v>0</v>
      </c>
    </row>
    <row r="2238" spans="1:22" s="688" customFormat="1" ht="17.100000000000001" customHeight="1">
      <c r="A2238" s="1316" t="s">
        <v>830</v>
      </c>
      <c r="B2238" s="1317"/>
      <c r="C2238" s="1316" t="s">
        <v>1982</v>
      </c>
      <c r="D2238" s="1317"/>
      <c r="E2238" s="683">
        <v>0.63990000000000002</v>
      </c>
      <c r="F2238" s="676" t="s">
        <v>850</v>
      </c>
      <c r="G2238" s="670" t="e">
        <f>#REF!</f>
        <v>#REF!</v>
      </c>
      <c r="H2238" s="670" t="e">
        <f>INT(E2238*G2238)</f>
        <v>#REF!</v>
      </c>
      <c r="I2238" s="670"/>
      <c r="J2238" s="670"/>
      <c r="K2238" s="670"/>
      <c r="L2238" s="670"/>
      <c r="M2238" s="670" t="e">
        <f t="shared" ref="M2238:N2248" si="506">G2238+I2238+K2238</f>
        <v>#REF!</v>
      </c>
      <c r="N2238" s="670" t="e">
        <f t="shared" si="506"/>
        <v>#REF!</v>
      </c>
      <c r="O2238" s="671"/>
      <c r="P2238" s="672"/>
      <c r="Q2238" s="688">
        <f t="shared" si="505"/>
        <v>38.25</v>
      </c>
      <c r="R2238" s="688">
        <f t="shared" si="505"/>
        <v>38.25</v>
      </c>
      <c r="T2238" s="690">
        <f t="shared" si="504"/>
        <v>0</v>
      </c>
    </row>
    <row r="2239" spans="1:22" s="688" customFormat="1" ht="17.100000000000001" customHeight="1">
      <c r="A2239" s="1316" t="s">
        <v>1992</v>
      </c>
      <c r="B2239" s="1317"/>
      <c r="C2239" s="1316" t="s">
        <v>2004</v>
      </c>
      <c r="D2239" s="1317"/>
      <c r="E2239" s="675">
        <v>0.75</v>
      </c>
      <c r="F2239" s="676" t="s">
        <v>801</v>
      </c>
      <c r="G2239" s="670" t="e">
        <f>#REF!</f>
        <v>#REF!</v>
      </c>
      <c r="H2239" s="670" t="e">
        <f>INT(E2239*G2239)</f>
        <v>#REF!</v>
      </c>
      <c r="I2239" s="670"/>
      <c r="J2239" s="670"/>
      <c r="K2239" s="670">
        <f>[53]운반공!$BI$584</f>
        <v>45</v>
      </c>
      <c r="L2239" s="670">
        <f>INT(E2239*K2239)</f>
        <v>33</v>
      </c>
      <c r="M2239" s="670" t="e">
        <f t="shared" si="506"/>
        <v>#REF!</v>
      </c>
      <c r="N2239" s="670" t="e">
        <f t="shared" si="506"/>
        <v>#REF!</v>
      </c>
      <c r="O2239" s="671"/>
      <c r="P2239" s="672"/>
      <c r="Q2239" s="688">
        <f t="shared" si="505"/>
        <v>38.25</v>
      </c>
      <c r="R2239" s="688">
        <f t="shared" si="505"/>
        <v>38.25</v>
      </c>
      <c r="T2239" s="690">
        <f t="shared" si="504"/>
        <v>0</v>
      </c>
    </row>
    <row r="2240" spans="1:22" s="688" customFormat="1" ht="17.100000000000001" customHeight="1">
      <c r="A2240" s="1316" t="s">
        <v>1992</v>
      </c>
      <c r="B2240" s="1317"/>
      <c r="C2240" s="1316" t="s">
        <v>2023</v>
      </c>
      <c r="D2240" s="1317"/>
      <c r="E2240" s="679">
        <v>0.3</v>
      </c>
      <c r="F2240" s="676" t="s">
        <v>801</v>
      </c>
      <c r="G2240" s="670" t="e">
        <f>#REF!</f>
        <v>#REF!</v>
      </c>
      <c r="H2240" s="670" t="e">
        <f>INT(E2240*G2240)</f>
        <v>#REF!</v>
      </c>
      <c r="I2240" s="670"/>
      <c r="J2240" s="670"/>
      <c r="K2240" s="670">
        <f>[53]운반공!$BI$584</f>
        <v>45</v>
      </c>
      <c r="L2240" s="670">
        <f>INT(E2240*K2240)</f>
        <v>13</v>
      </c>
      <c r="M2240" s="670" t="e">
        <f t="shared" si="506"/>
        <v>#REF!</v>
      </c>
      <c r="N2240" s="670" t="e">
        <f t="shared" si="506"/>
        <v>#REF!</v>
      </c>
      <c r="O2240" s="671"/>
      <c r="P2240" s="672"/>
      <c r="Q2240" s="688">
        <f t="shared" si="505"/>
        <v>38.25</v>
      </c>
      <c r="R2240" s="688">
        <f t="shared" si="505"/>
        <v>38.25</v>
      </c>
      <c r="S2240" s="688">
        <v>3</v>
      </c>
      <c r="T2240" s="690">
        <f t="shared" si="504"/>
        <v>7.8399999999999997E-2</v>
      </c>
    </row>
    <row r="2241" spans="1:22" s="688" customFormat="1" ht="17.100000000000001" customHeight="1">
      <c r="A2241" s="1316" t="s">
        <v>540</v>
      </c>
      <c r="B2241" s="1317"/>
      <c r="C2241" s="1316"/>
      <c r="D2241" s="1317"/>
      <c r="E2241" s="683">
        <v>6.6699999999999995E-2</v>
      </c>
      <c r="F2241" s="676" t="s">
        <v>366</v>
      </c>
      <c r="G2241" s="670"/>
      <c r="H2241" s="670"/>
      <c r="I2241" s="670">
        <f>[53]노임단가!$T$22</f>
        <v>273308</v>
      </c>
      <c r="J2241" s="670">
        <f t="shared" ref="J2241:J2248" si="507">INT(E2241*I2241)</f>
        <v>18229</v>
      </c>
      <c r="K2241" s="670"/>
      <c r="L2241" s="670"/>
      <c r="M2241" s="670">
        <f t="shared" si="506"/>
        <v>273308</v>
      </c>
      <c r="N2241" s="670">
        <f t="shared" si="506"/>
        <v>18229</v>
      </c>
      <c r="O2241" s="671"/>
      <c r="P2241" s="672"/>
      <c r="Q2241" s="688">
        <f t="shared" si="505"/>
        <v>38.25</v>
      </c>
      <c r="R2241" s="688">
        <f t="shared" si="505"/>
        <v>38.25</v>
      </c>
      <c r="S2241" s="688">
        <v>1</v>
      </c>
      <c r="T2241" s="690">
        <f t="shared" si="504"/>
        <v>2.6100000000000002E-2</v>
      </c>
    </row>
    <row r="2242" spans="1:22" s="688" customFormat="1" ht="17.100000000000001" customHeight="1">
      <c r="A2242" s="1316" t="s">
        <v>248</v>
      </c>
      <c r="B2242" s="1317"/>
      <c r="C2242" s="1316"/>
      <c r="D2242" s="1317"/>
      <c r="E2242" s="683">
        <v>2.2200000000000001E-2</v>
      </c>
      <c r="F2242" s="676" t="s">
        <v>366</v>
      </c>
      <c r="G2242" s="670"/>
      <c r="H2242" s="670"/>
      <c r="I2242" s="670">
        <f>[53]노임단가!$T$5</f>
        <v>172068</v>
      </c>
      <c r="J2242" s="670">
        <f t="shared" si="507"/>
        <v>3819</v>
      </c>
      <c r="K2242" s="670"/>
      <c r="L2242" s="670"/>
      <c r="M2242" s="670">
        <f t="shared" si="506"/>
        <v>172068</v>
      </c>
      <c r="N2242" s="670">
        <f t="shared" si="506"/>
        <v>3819</v>
      </c>
      <c r="O2242" s="671"/>
      <c r="P2242" s="672"/>
      <c r="Q2242" s="688">
        <f t="shared" si="505"/>
        <v>38.25</v>
      </c>
      <c r="R2242" s="688">
        <f t="shared" si="505"/>
        <v>38.25</v>
      </c>
      <c r="S2242" s="688">
        <v>8</v>
      </c>
      <c r="T2242" s="690">
        <f t="shared" si="504"/>
        <v>0.2092</v>
      </c>
    </row>
    <row r="2243" spans="1:22" s="688" customFormat="1" ht="17.100000000000001" customHeight="1">
      <c r="A2243" s="1316" t="s">
        <v>409</v>
      </c>
      <c r="B2243" s="1317"/>
      <c r="C2243" s="1316" t="s">
        <v>394</v>
      </c>
      <c r="D2243" s="1317"/>
      <c r="E2243" s="683">
        <v>0.17780000000000001</v>
      </c>
      <c r="F2243" s="676" t="s">
        <v>418</v>
      </c>
      <c r="G2243" s="670" t="e">
        <f>#REF!</f>
        <v>#REF!</v>
      </c>
      <c r="H2243" s="670" t="e">
        <f t="shared" ref="H2243:H2248" si="508">INT(E2243*G2243)</f>
        <v>#REF!</v>
      </c>
      <c r="I2243" s="670" t="e">
        <f>#REF!</f>
        <v>#REF!</v>
      </c>
      <c r="J2243" s="670" t="e">
        <f t="shared" si="507"/>
        <v>#REF!</v>
      </c>
      <c r="K2243" s="670" t="e">
        <f>#REF!</f>
        <v>#REF!</v>
      </c>
      <c r="L2243" s="670" t="e">
        <f t="shared" ref="L2243:L2248" si="509">INT(E2243*K2243)</f>
        <v>#REF!</v>
      </c>
      <c r="M2243" s="670" t="e">
        <f t="shared" si="506"/>
        <v>#REF!</v>
      </c>
      <c r="N2243" s="670" t="e">
        <f t="shared" si="506"/>
        <v>#REF!</v>
      </c>
      <c r="O2243" s="671"/>
      <c r="P2243" s="672"/>
      <c r="Q2243" s="688">
        <f t="shared" si="505"/>
        <v>38.25</v>
      </c>
      <c r="R2243" s="688">
        <f t="shared" si="505"/>
        <v>38.25</v>
      </c>
      <c r="S2243" s="688">
        <v>8</v>
      </c>
      <c r="T2243" s="690">
        <f t="shared" si="504"/>
        <v>0.2092</v>
      </c>
    </row>
    <row r="2244" spans="1:22" s="688" customFormat="1" ht="17.100000000000001" customHeight="1">
      <c r="A2244" s="1316" t="s">
        <v>515</v>
      </c>
      <c r="B2244" s="1317"/>
      <c r="C2244" s="1316" t="s">
        <v>555</v>
      </c>
      <c r="D2244" s="1317"/>
      <c r="E2244" s="683">
        <v>0.17780000000000001</v>
      </c>
      <c r="F2244" s="676" t="s">
        <v>418</v>
      </c>
      <c r="G2244" s="670" t="e">
        <f>#REF!</f>
        <v>#REF!</v>
      </c>
      <c r="H2244" s="750" t="e">
        <f>INT(E2244*G2244)</f>
        <v>#REF!</v>
      </c>
      <c r="I2244" s="670" t="e">
        <f>#REF!</f>
        <v>#REF!</v>
      </c>
      <c r="J2244" s="750" t="e">
        <f t="shared" si="507"/>
        <v>#REF!</v>
      </c>
      <c r="K2244" s="670" t="e">
        <f>#REF!</f>
        <v>#REF!</v>
      </c>
      <c r="L2244" s="750" t="e">
        <f>INT(E2244*K2244)</f>
        <v>#REF!</v>
      </c>
      <c r="M2244" s="750" t="e">
        <f t="shared" si="506"/>
        <v>#REF!</v>
      </c>
      <c r="N2244" s="670" t="e">
        <f t="shared" si="506"/>
        <v>#REF!</v>
      </c>
      <c r="O2244" s="671"/>
      <c r="P2244" s="672"/>
      <c r="Q2244" s="688">
        <f t="shared" si="505"/>
        <v>38.25</v>
      </c>
      <c r="R2244" s="688">
        <f t="shared" si="505"/>
        <v>38.25</v>
      </c>
      <c r="S2244" s="688">
        <v>8</v>
      </c>
      <c r="T2244" s="690">
        <f t="shared" si="504"/>
        <v>0.2092</v>
      </c>
    </row>
    <row r="2245" spans="1:22" s="688" customFormat="1" ht="17.100000000000001" customHeight="1">
      <c r="A2245" s="1316" t="s">
        <v>1183</v>
      </c>
      <c r="B2245" s="1317"/>
      <c r="C2245" s="1316" t="s">
        <v>642</v>
      </c>
      <c r="D2245" s="1317"/>
      <c r="E2245" s="683">
        <v>0.17780000000000001</v>
      </c>
      <c r="F2245" s="676" t="s">
        <v>418</v>
      </c>
      <c r="G2245" s="670" t="e">
        <f>#REF!</f>
        <v>#REF!</v>
      </c>
      <c r="H2245" s="670" t="e">
        <f t="shared" si="508"/>
        <v>#REF!</v>
      </c>
      <c r="I2245" s="670" t="e">
        <f>#REF!</f>
        <v>#REF!</v>
      </c>
      <c r="J2245" s="670" t="e">
        <f t="shared" si="507"/>
        <v>#REF!</v>
      </c>
      <c r="K2245" s="670" t="e">
        <f>#REF!</f>
        <v>#REF!</v>
      </c>
      <c r="L2245" s="670" t="e">
        <f t="shared" si="509"/>
        <v>#REF!</v>
      </c>
      <c r="M2245" s="670" t="e">
        <f t="shared" si="506"/>
        <v>#REF!</v>
      </c>
      <c r="N2245" s="670" t="e">
        <f t="shared" si="506"/>
        <v>#REF!</v>
      </c>
      <c r="O2245" s="671"/>
      <c r="P2245" s="672"/>
      <c r="Q2245" s="688">
        <f t="shared" si="505"/>
        <v>38.25</v>
      </c>
      <c r="R2245" s="688">
        <f t="shared" si="505"/>
        <v>38.25</v>
      </c>
      <c r="S2245" s="688">
        <v>8</v>
      </c>
      <c r="T2245" s="690">
        <f t="shared" si="504"/>
        <v>0.2092</v>
      </c>
    </row>
    <row r="2246" spans="1:22" s="688" customFormat="1" ht="17.100000000000001" customHeight="1">
      <c r="A2246" s="1316" t="s">
        <v>1217</v>
      </c>
      <c r="B2246" s="1317"/>
      <c r="C2246" s="1316" t="s">
        <v>1218</v>
      </c>
      <c r="D2246" s="1317"/>
      <c r="E2246" s="683">
        <v>0.17780000000000001</v>
      </c>
      <c r="F2246" s="676" t="s">
        <v>418</v>
      </c>
      <c r="G2246" s="670" t="e">
        <f>#REF!</f>
        <v>#REF!</v>
      </c>
      <c r="H2246" s="670" t="e">
        <f t="shared" si="508"/>
        <v>#REF!</v>
      </c>
      <c r="I2246" s="670" t="e">
        <f>#REF!</f>
        <v>#REF!</v>
      </c>
      <c r="J2246" s="670" t="e">
        <f t="shared" si="507"/>
        <v>#REF!</v>
      </c>
      <c r="K2246" s="670" t="e">
        <f>#REF!</f>
        <v>#REF!</v>
      </c>
      <c r="L2246" s="670" t="e">
        <f t="shared" si="509"/>
        <v>#REF!</v>
      </c>
      <c r="M2246" s="670" t="e">
        <f t="shared" si="506"/>
        <v>#REF!</v>
      </c>
      <c r="N2246" s="670" t="e">
        <f t="shared" si="506"/>
        <v>#REF!</v>
      </c>
      <c r="O2246" s="671"/>
      <c r="P2246" s="672"/>
      <c r="Q2246" s="688">
        <f t="shared" si="505"/>
        <v>38.25</v>
      </c>
      <c r="R2246" s="688">
        <f t="shared" si="505"/>
        <v>38.25</v>
      </c>
      <c r="S2246" s="688">
        <v>8</v>
      </c>
      <c r="T2246" s="690">
        <f t="shared" si="504"/>
        <v>0.2092</v>
      </c>
    </row>
    <row r="2247" spans="1:22" s="688" customFormat="1" ht="17.100000000000001" customHeight="1">
      <c r="A2247" s="1316" t="s">
        <v>1161</v>
      </c>
      <c r="B2247" s="1317"/>
      <c r="C2247" s="1316" t="s">
        <v>2064</v>
      </c>
      <c r="D2247" s="1317"/>
      <c r="E2247" s="683">
        <v>0.17780000000000001</v>
      </c>
      <c r="F2247" s="676" t="s">
        <v>418</v>
      </c>
      <c r="G2247" s="670" t="e">
        <f>#REF!</f>
        <v>#REF!</v>
      </c>
      <c r="H2247" s="670" t="e">
        <f t="shared" si="508"/>
        <v>#REF!</v>
      </c>
      <c r="I2247" s="670" t="e">
        <f>#REF!</f>
        <v>#REF!</v>
      </c>
      <c r="J2247" s="670" t="e">
        <f t="shared" si="507"/>
        <v>#REF!</v>
      </c>
      <c r="K2247" s="670" t="e">
        <f>#REF!</f>
        <v>#REF!</v>
      </c>
      <c r="L2247" s="670" t="e">
        <f t="shared" si="509"/>
        <v>#REF!</v>
      </c>
      <c r="M2247" s="670" t="e">
        <f t="shared" si="506"/>
        <v>#REF!</v>
      </c>
      <c r="N2247" s="670" t="e">
        <f t="shared" si="506"/>
        <v>#REF!</v>
      </c>
      <c r="O2247" s="671"/>
      <c r="P2247" s="672"/>
      <c r="Q2247" s="688">
        <f t="shared" si="505"/>
        <v>38.25</v>
      </c>
      <c r="R2247" s="688">
        <f t="shared" si="505"/>
        <v>38.25</v>
      </c>
      <c r="S2247" s="688">
        <v>8</v>
      </c>
      <c r="T2247" s="690">
        <f t="shared" si="504"/>
        <v>0.2092</v>
      </c>
    </row>
    <row r="2248" spans="1:22" s="665" customFormat="1" ht="17.100000000000001" customHeight="1">
      <c r="A2248" s="1316" t="s">
        <v>1161</v>
      </c>
      <c r="B2248" s="1317"/>
      <c r="C2248" s="1316" t="s">
        <v>2065</v>
      </c>
      <c r="D2248" s="1317"/>
      <c r="E2248" s="683">
        <v>0.17780000000000001</v>
      </c>
      <c r="F2248" s="676" t="s">
        <v>418</v>
      </c>
      <c r="G2248" s="670" t="e">
        <f>#REF!</f>
        <v>#REF!</v>
      </c>
      <c r="H2248" s="670" t="e">
        <f t="shared" si="508"/>
        <v>#REF!</v>
      </c>
      <c r="I2248" s="670" t="e">
        <f>#REF!</f>
        <v>#REF!</v>
      </c>
      <c r="J2248" s="670" t="e">
        <f t="shared" si="507"/>
        <v>#REF!</v>
      </c>
      <c r="K2248" s="670" t="e">
        <f>#REF!</f>
        <v>#REF!</v>
      </c>
      <c r="L2248" s="670" t="e">
        <f t="shared" si="509"/>
        <v>#REF!</v>
      </c>
      <c r="M2248" s="670" t="e">
        <f t="shared" si="506"/>
        <v>#REF!</v>
      </c>
      <c r="N2248" s="670" t="e">
        <f t="shared" si="506"/>
        <v>#REF!</v>
      </c>
      <c r="O2248" s="671"/>
      <c r="P2248" s="672"/>
      <c r="Q2248" s="688"/>
      <c r="R2248" s="688"/>
      <c r="S2248" s="688"/>
      <c r="T2248" s="688"/>
    </row>
    <row r="2249" spans="1:22" s="665" customFormat="1" ht="17.100000000000001" customHeight="1">
      <c r="A2249" s="1318" t="s">
        <v>1320</v>
      </c>
      <c r="B2249" s="1319"/>
      <c r="C2249" s="1316"/>
      <c r="D2249" s="1317"/>
      <c r="E2249" s="686"/>
      <c r="F2249" s="676"/>
      <c r="G2249" s="670"/>
      <c r="H2249" s="670" t="e">
        <f>SUM(H2236:H2248)</f>
        <v>#REF!</v>
      </c>
      <c r="I2249" s="670"/>
      <c r="J2249" s="670" t="e">
        <f>SUM(J2236:J2248)</f>
        <v>#REF!</v>
      </c>
      <c r="K2249" s="670"/>
      <c r="L2249" s="670" t="e">
        <f>SUM(L2236:L2248)</f>
        <v>#REF!</v>
      </c>
      <c r="M2249" s="670"/>
      <c r="N2249" s="670" t="e">
        <f>SUM(N2236:N2248)</f>
        <v>#REF!</v>
      </c>
      <c r="O2249" s="671"/>
      <c r="P2249" s="672" t="s">
        <v>2074</v>
      </c>
      <c r="Q2249" s="687" t="s">
        <v>1446</v>
      </c>
      <c r="R2249" s="688" t="s">
        <v>1876</v>
      </c>
      <c r="S2249" s="688" t="s">
        <v>1425</v>
      </c>
      <c r="T2249" s="688" t="s">
        <v>1426</v>
      </c>
      <c r="U2249" s="688"/>
      <c r="V2249" s="688"/>
    </row>
    <row r="2250" spans="1:22" s="688" customFormat="1" ht="17.100000000000001" customHeight="1">
      <c r="A2250" s="668">
        <f>A2235+1</f>
        <v>341</v>
      </c>
      <c r="B2250" s="1320" t="s">
        <v>2078</v>
      </c>
      <c r="C2250" s="1320"/>
      <c r="D2250" s="1320" t="s">
        <v>2083</v>
      </c>
      <c r="E2250" s="1320"/>
      <c r="F2250" s="669" t="s">
        <v>645</v>
      </c>
      <c r="G2250" s="698"/>
      <c r="H2250" s="698"/>
      <c r="I2250" s="698"/>
      <c r="J2250" s="698"/>
      <c r="K2250" s="670"/>
      <c r="L2250" s="670"/>
      <c r="M2250" s="670"/>
      <c r="N2250" s="698"/>
      <c r="O2250" s="699" t="s">
        <v>1562</v>
      </c>
      <c r="P2250" s="672"/>
      <c r="Q2250" s="688">
        <v>20</v>
      </c>
      <c r="R2250" s="688">
        <f>Q2250</f>
        <v>20</v>
      </c>
      <c r="T2250" s="690">
        <f t="shared" ref="T2250:T2262" si="510">ROUND(S2250/R2250,4)</f>
        <v>0</v>
      </c>
    </row>
    <row r="2251" spans="1:22" s="688" customFormat="1" ht="17.100000000000001" customHeight="1">
      <c r="A2251" s="1316" t="s">
        <v>1676</v>
      </c>
      <c r="B2251" s="1317"/>
      <c r="C2251" s="1316" t="s">
        <v>2033</v>
      </c>
      <c r="D2251" s="1317"/>
      <c r="E2251" s="675"/>
      <c r="F2251" s="676" t="s">
        <v>915</v>
      </c>
      <c r="G2251" s="670"/>
      <c r="H2251" s="670"/>
      <c r="I2251" s="670"/>
      <c r="J2251" s="670"/>
      <c r="K2251" s="670"/>
      <c r="L2251" s="670"/>
      <c r="M2251" s="670"/>
      <c r="N2251" s="670"/>
      <c r="O2251" s="671"/>
      <c r="P2251" s="672"/>
      <c r="Q2251" s="688">
        <f t="shared" ref="Q2251:R2257" si="511">Q2250</f>
        <v>20</v>
      </c>
      <c r="R2251" s="688">
        <f t="shared" si="511"/>
        <v>20</v>
      </c>
      <c r="T2251" s="690">
        <f t="shared" si="510"/>
        <v>0</v>
      </c>
    </row>
    <row r="2252" spans="1:22" s="688" customFormat="1" ht="17.100000000000001" customHeight="1">
      <c r="A2252" s="1316" t="s">
        <v>1676</v>
      </c>
      <c r="B2252" s="1317"/>
      <c r="C2252" s="1316" t="s">
        <v>1677</v>
      </c>
      <c r="D2252" s="1317"/>
      <c r="E2252" s="675"/>
      <c r="F2252" s="676" t="s">
        <v>915</v>
      </c>
      <c r="G2252" s="670"/>
      <c r="H2252" s="670"/>
      <c r="I2252" s="670"/>
      <c r="J2252" s="670"/>
      <c r="K2252" s="670"/>
      <c r="L2252" s="670"/>
      <c r="M2252" s="670"/>
      <c r="N2252" s="670"/>
      <c r="O2252" s="671"/>
      <c r="P2252" s="672"/>
      <c r="Q2252" s="688">
        <f t="shared" si="511"/>
        <v>20</v>
      </c>
      <c r="R2252" s="688">
        <f t="shared" si="511"/>
        <v>20</v>
      </c>
      <c r="T2252" s="690">
        <f t="shared" si="510"/>
        <v>0</v>
      </c>
    </row>
    <row r="2253" spans="1:22" s="688" customFormat="1" ht="17.100000000000001" customHeight="1">
      <c r="A2253" s="1316" t="s">
        <v>830</v>
      </c>
      <c r="B2253" s="1317"/>
      <c r="C2253" s="1316" t="s">
        <v>1982</v>
      </c>
      <c r="D2253" s="1317"/>
      <c r="E2253" s="683">
        <v>0.63990000000000002</v>
      </c>
      <c r="F2253" s="676" t="s">
        <v>850</v>
      </c>
      <c r="G2253" s="670" t="e">
        <f>#REF!</f>
        <v>#REF!</v>
      </c>
      <c r="H2253" s="670" t="e">
        <f>INT(E2253*G2253)</f>
        <v>#REF!</v>
      </c>
      <c r="I2253" s="670"/>
      <c r="J2253" s="670"/>
      <c r="K2253" s="670"/>
      <c r="L2253" s="670"/>
      <c r="M2253" s="670" t="e">
        <f t="shared" ref="M2253:N2263" si="512">G2253+I2253+K2253</f>
        <v>#REF!</v>
      </c>
      <c r="N2253" s="670" t="e">
        <f t="shared" si="512"/>
        <v>#REF!</v>
      </c>
      <c r="O2253" s="671"/>
      <c r="P2253" s="672"/>
      <c r="Q2253" s="688">
        <f t="shared" si="511"/>
        <v>20</v>
      </c>
      <c r="R2253" s="688">
        <f t="shared" si="511"/>
        <v>20</v>
      </c>
      <c r="T2253" s="690">
        <f t="shared" si="510"/>
        <v>0</v>
      </c>
    </row>
    <row r="2254" spans="1:22" s="688" customFormat="1" ht="17.100000000000001" customHeight="1">
      <c r="A2254" s="1316" t="s">
        <v>1992</v>
      </c>
      <c r="B2254" s="1317"/>
      <c r="C2254" s="1316" t="s">
        <v>2004</v>
      </c>
      <c r="D2254" s="1317"/>
      <c r="E2254" s="675">
        <v>0.75</v>
      </c>
      <c r="F2254" s="676" t="s">
        <v>801</v>
      </c>
      <c r="G2254" s="670" t="e">
        <f>#REF!</f>
        <v>#REF!</v>
      </c>
      <c r="H2254" s="670" t="e">
        <f>INT(E2254*G2254)</f>
        <v>#REF!</v>
      </c>
      <c r="I2254" s="670"/>
      <c r="J2254" s="670"/>
      <c r="K2254" s="670">
        <f>[53]운반공!$BI$584</f>
        <v>45</v>
      </c>
      <c r="L2254" s="670">
        <f>INT(E2254*K2254)</f>
        <v>33</v>
      </c>
      <c r="M2254" s="670" t="e">
        <f t="shared" si="512"/>
        <v>#REF!</v>
      </c>
      <c r="N2254" s="670" t="e">
        <f t="shared" si="512"/>
        <v>#REF!</v>
      </c>
      <c r="O2254" s="671"/>
      <c r="P2254" s="672"/>
      <c r="Q2254" s="688">
        <f t="shared" si="511"/>
        <v>20</v>
      </c>
      <c r="R2254" s="688">
        <f t="shared" si="511"/>
        <v>20</v>
      </c>
      <c r="T2254" s="690">
        <f t="shared" si="510"/>
        <v>0</v>
      </c>
    </row>
    <row r="2255" spans="1:22" s="688" customFormat="1" ht="17.100000000000001" customHeight="1">
      <c r="A2255" s="1316" t="s">
        <v>1992</v>
      </c>
      <c r="B2255" s="1317"/>
      <c r="C2255" s="1316" t="s">
        <v>2023</v>
      </c>
      <c r="D2255" s="1317"/>
      <c r="E2255" s="679">
        <v>0.3</v>
      </c>
      <c r="F2255" s="676" t="s">
        <v>801</v>
      </c>
      <c r="G2255" s="670" t="e">
        <f>#REF!</f>
        <v>#REF!</v>
      </c>
      <c r="H2255" s="670" t="e">
        <f>INT(E2255*G2255)</f>
        <v>#REF!</v>
      </c>
      <c r="I2255" s="670"/>
      <c r="J2255" s="670"/>
      <c r="K2255" s="670">
        <f>[53]운반공!$BI$584</f>
        <v>45</v>
      </c>
      <c r="L2255" s="670">
        <f>INT(E2255*K2255)</f>
        <v>13</v>
      </c>
      <c r="M2255" s="670" t="e">
        <f t="shared" si="512"/>
        <v>#REF!</v>
      </c>
      <c r="N2255" s="670" t="e">
        <f t="shared" si="512"/>
        <v>#REF!</v>
      </c>
      <c r="O2255" s="671"/>
      <c r="P2255" s="672"/>
      <c r="Q2255" s="688">
        <f t="shared" si="511"/>
        <v>20</v>
      </c>
      <c r="R2255" s="688">
        <f t="shared" si="511"/>
        <v>20</v>
      </c>
      <c r="S2255" s="688">
        <v>3</v>
      </c>
      <c r="T2255" s="690">
        <f t="shared" si="510"/>
        <v>0.15</v>
      </c>
    </row>
    <row r="2256" spans="1:22" s="688" customFormat="1" ht="17.100000000000001" customHeight="1">
      <c r="A2256" s="1316" t="s">
        <v>540</v>
      </c>
      <c r="B2256" s="1317"/>
      <c r="C2256" s="1316"/>
      <c r="D2256" s="1317"/>
      <c r="E2256" s="683">
        <v>5.6500000000000002E-2</v>
      </c>
      <c r="F2256" s="676" t="s">
        <v>366</v>
      </c>
      <c r="G2256" s="670"/>
      <c r="H2256" s="670"/>
      <c r="I2256" s="670">
        <f>[53]노임단가!$T$22</f>
        <v>273308</v>
      </c>
      <c r="J2256" s="670">
        <f t="shared" ref="J2256:J2263" si="513">INT(E2256*I2256)</f>
        <v>15441</v>
      </c>
      <c r="K2256" s="670"/>
      <c r="L2256" s="670"/>
      <c r="M2256" s="670">
        <f t="shared" si="512"/>
        <v>273308</v>
      </c>
      <c r="N2256" s="670">
        <f t="shared" si="512"/>
        <v>15441</v>
      </c>
      <c r="O2256" s="671"/>
      <c r="P2256" s="672"/>
      <c r="Q2256" s="688">
        <f t="shared" si="511"/>
        <v>20</v>
      </c>
      <c r="R2256" s="688">
        <f t="shared" si="511"/>
        <v>20</v>
      </c>
      <c r="S2256" s="688">
        <v>1</v>
      </c>
      <c r="T2256" s="690">
        <f t="shared" si="510"/>
        <v>0.05</v>
      </c>
    </row>
    <row r="2257" spans="1:22" s="688" customFormat="1" ht="17.100000000000001" customHeight="1">
      <c r="A2257" s="1316" t="s">
        <v>248</v>
      </c>
      <c r="B2257" s="1317"/>
      <c r="C2257" s="1316"/>
      <c r="D2257" s="1317"/>
      <c r="E2257" s="683">
        <v>1.8800000000000001E-2</v>
      </c>
      <c r="F2257" s="676" t="s">
        <v>366</v>
      </c>
      <c r="G2257" s="670"/>
      <c r="H2257" s="670"/>
      <c r="I2257" s="670">
        <f>[53]노임단가!$T$5</f>
        <v>172068</v>
      </c>
      <c r="J2257" s="670">
        <f t="shared" si="513"/>
        <v>3234</v>
      </c>
      <c r="K2257" s="670"/>
      <c r="L2257" s="670"/>
      <c r="M2257" s="670">
        <f t="shared" si="512"/>
        <v>172068</v>
      </c>
      <c r="N2257" s="670">
        <f t="shared" si="512"/>
        <v>3234</v>
      </c>
      <c r="O2257" s="671"/>
      <c r="P2257" s="672"/>
      <c r="Q2257" s="688">
        <f t="shared" si="511"/>
        <v>20</v>
      </c>
      <c r="R2257" s="688">
        <f t="shared" si="511"/>
        <v>20</v>
      </c>
      <c r="S2257" s="688">
        <v>8</v>
      </c>
      <c r="T2257" s="690">
        <f t="shared" si="510"/>
        <v>0.4</v>
      </c>
    </row>
    <row r="2258" spans="1:22" s="688" customFormat="1" ht="17.100000000000001" customHeight="1">
      <c r="A2258" s="1316" t="s">
        <v>409</v>
      </c>
      <c r="B2258" s="1317"/>
      <c r="C2258" s="1316" t="s">
        <v>394</v>
      </c>
      <c r="D2258" s="1317"/>
      <c r="E2258" s="683">
        <v>0.1507</v>
      </c>
      <c r="F2258" s="676" t="s">
        <v>418</v>
      </c>
      <c r="G2258" s="670" t="e">
        <f>#REF!</f>
        <v>#REF!</v>
      </c>
      <c r="H2258" s="670" t="e">
        <f t="shared" ref="H2258:H2263" si="514">INT(E2258*G2258)</f>
        <v>#REF!</v>
      </c>
      <c r="I2258" s="670" t="e">
        <f>#REF!</f>
        <v>#REF!</v>
      </c>
      <c r="J2258" s="670" t="e">
        <f t="shared" si="513"/>
        <v>#REF!</v>
      </c>
      <c r="K2258" s="670" t="e">
        <f>#REF!</f>
        <v>#REF!</v>
      </c>
      <c r="L2258" s="670" t="e">
        <f t="shared" ref="L2258:L2263" si="515">INT(E2258*K2258)</f>
        <v>#REF!</v>
      </c>
      <c r="M2258" s="670" t="e">
        <f t="shared" si="512"/>
        <v>#REF!</v>
      </c>
      <c r="N2258" s="670" t="e">
        <f t="shared" si="512"/>
        <v>#REF!</v>
      </c>
      <c r="O2258" s="671"/>
      <c r="P2258" s="672"/>
      <c r="Q2258" s="688">
        <f>Q2259</f>
        <v>20</v>
      </c>
      <c r="R2258" s="688">
        <f>R2259</f>
        <v>20</v>
      </c>
      <c r="S2258" s="688">
        <v>8</v>
      </c>
      <c r="T2258" s="690">
        <f t="shared" si="510"/>
        <v>0.4</v>
      </c>
    </row>
    <row r="2259" spans="1:22" s="688" customFormat="1" ht="17.100000000000001" customHeight="1">
      <c r="A2259" s="1316" t="s">
        <v>515</v>
      </c>
      <c r="B2259" s="1317"/>
      <c r="C2259" s="1316" t="s">
        <v>555</v>
      </c>
      <c r="D2259" s="1317"/>
      <c r="E2259" s="683">
        <v>0.1507</v>
      </c>
      <c r="F2259" s="676" t="s">
        <v>418</v>
      </c>
      <c r="G2259" s="670" t="e">
        <f>#REF!</f>
        <v>#REF!</v>
      </c>
      <c r="H2259" s="750" t="e">
        <f>INT(E2259*G2259)</f>
        <v>#REF!</v>
      </c>
      <c r="I2259" s="670" t="e">
        <f>#REF!</f>
        <v>#REF!</v>
      </c>
      <c r="J2259" s="750" t="e">
        <f t="shared" si="513"/>
        <v>#REF!</v>
      </c>
      <c r="K2259" s="670" t="e">
        <f>#REF!</f>
        <v>#REF!</v>
      </c>
      <c r="L2259" s="750" t="e">
        <f>INT(E2259*K2259)</f>
        <v>#REF!</v>
      </c>
      <c r="M2259" s="750" t="e">
        <f t="shared" si="512"/>
        <v>#REF!</v>
      </c>
      <c r="N2259" s="670" t="e">
        <f t="shared" si="512"/>
        <v>#REF!</v>
      </c>
      <c r="O2259" s="671"/>
      <c r="P2259" s="672"/>
      <c r="Q2259" s="688">
        <f t="shared" ref="Q2259:R2262" si="516">Q2257</f>
        <v>20</v>
      </c>
      <c r="R2259" s="688">
        <f t="shared" si="516"/>
        <v>20</v>
      </c>
      <c r="S2259" s="688">
        <v>8</v>
      </c>
      <c r="T2259" s="690">
        <f t="shared" si="510"/>
        <v>0.4</v>
      </c>
    </row>
    <row r="2260" spans="1:22" s="688" customFormat="1" ht="17.100000000000001" customHeight="1">
      <c r="A2260" s="1316" t="s">
        <v>1183</v>
      </c>
      <c r="B2260" s="1317"/>
      <c r="C2260" s="1316" t="s">
        <v>642</v>
      </c>
      <c r="D2260" s="1317"/>
      <c r="E2260" s="683">
        <v>0.1507</v>
      </c>
      <c r="F2260" s="676" t="s">
        <v>418</v>
      </c>
      <c r="G2260" s="670" t="e">
        <f>#REF!</f>
        <v>#REF!</v>
      </c>
      <c r="H2260" s="670" t="e">
        <f t="shared" si="514"/>
        <v>#REF!</v>
      </c>
      <c r="I2260" s="670" t="e">
        <f>#REF!</f>
        <v>#REF!</v>
      </c>
      <c r="J2260" s="670" t="e">
        <f t="shared" si="513"/>
        <v>#REF!</v>
      </c>
      <c r="K2260" s="670" t="e">
        <f>#REF!</f>
        <v>#REF!</v>
      </c>
      <c r="L2260" s="670" t="e">
        <f t="shared" si="515"/>
        <v>#REF!</v>
      </c>
      <c r="M2260" s="670" t="e">
        <f t="shared" si="512"/>
        <v>#REF!</v>
      </c>
      <c r="N2260" s="670" t="e">
        <f t="shared" si="512"/>
        <v>#REF!</v>
      </c>
      <c r="O2260" s="671"/>
      <c r="P2260" s="672"/>
      <c r="Q2260" s="688">
        <f t="shared" si="516"/>
        <v>20</v>
      </c>
      <c r="R2260" s="688">
        <f t="shared" si="516"/>
        <v>20</v>
      </c>
      <c r="S2260" s="688">
        <v>8</v>
      </c>
      <c r="T2260" s="690">
        <f t="shared" si="510"/>
        <v>0.4</v>
      </c>
    </row>
    <row r="2261" spans="1:22" s="688" customFormat="1" ht="17.100000000000001" customHeight="1">
      <c r="A2261" s="1316" t="s">
        <v>1217</v>
      </c>
      <c r="B2261" s="1317"/>
      <c r="C2261" s="1316" t="s">
        <v>1218</v>
      </c>
      <c r="D2261" s="1317"/>
      <c r="E2261" s="683">
        <v>0.1507</v>
      </c>
      <c r="F2261" s="676" t="s">
        <v>418</v>
      </c>
      <c r="G2261" s="670" t="e">
        <f>#REF!</f>
        <v>#REF!</v>
      </c>
      <c r="H2261" s="670" t="e">
        <f t="shared" si="514"/>
        <v>#REF!</v>
      </c>
      <c r="I2261" s="670" t="e">
        <f>#REF!</f>
        <v>#REF!</v>
      </c>
      <c r="J2261" s="670" t="e">
        <f t="shared" si="513"/>
        <v>#REF!</v>
      </c>
      <c r="K2261" s="670" t="e">
        <f>#REF!</f>
        <v>#REF!</v>
      </c>
      <c r="L2261" s="670" t="e">
        <f t="shared" si="515"/>
        <v>#REF!</v>
      </c>
      <c r="M2261" s="670" t="e">
        <f t="shared" si="512"/>
        <v>#REF!</v>
      </c>
      <c r="N2261" s="670" t="e">
        <f t="shared" si="512"/>
        <v>#REF!</v>
      </c>
      <c r="O2261" s="671"/>
      <c r="P2261" s="672"/>
      <c r="Q2261" s="688">
        <f t="shared" si="516"/>
        <v>20</v>
      </c>
      <c r="R2261" s="688">
        <f t="shared" si="516"/>
        <v>20</v>
      </c>
      <c r="S2261" s="688">
        <v>8</v>
      </c>
      <c r="T2261" s="690">
        <f t="shared" si="510"/>
        <v>0.4</v>
      </c>
    </row>
    <row r="2262" spans="1:22" s="688" customFormat="1" ht="17.100000000000001" customHeight="1">
      <c r="A2262" s="1316" t="s">
        <v>1161</v>
      </c>
      <c r="B2262" s="1317"/>
      <c r="C2262" s="1316" t="s">
        <v>2064</v>
      </c>
      <c r="D2262" s="1317"/>
      <c r="E2262" s="683">
        <v>0.1507</v>
      </c>
      <c r="F2262" s="676" t="s">
        <v>418</v>
      </c>
      <c r="G2262" s="670" t="e">
        <f>#REF!</f>
        <v>#REF!</v>
      </c>
      <c r="H2262" s="670" t="e">
        <f t="shared" si="514"/>
        <v>#REF!</v>
      </c>
      <c r="I2262" s="670" t="e">
        <f>#REF!</f>
        <v>#REF!</v>
      </c>
      <c r="J2262" s="670" t="e">
        <f t="shared" si="513"/>
        <v>#REF!</v>
      </c>
      <c r="K2262" s="670" t="e">
        <f>#REF!</f>
        <v>#REF!</v>
      </c>
      <c r="L2262" s="670" t="e">
        <f t="shared" si="515"/>
        <v>#REF!</v>
      </c>
      <c r="M2262" s="670" t="e">
        <f t="shared" si="512"/>
        <v>#REF!</v>
      </c>
      <c r="N2262" s="670" t="e">
        <f t="shared" si="512"/>
        <v>#REF!</v>
      </c>
      <c r="O2262" s="671"/>
      <c r="P2262" s="672"/>
      <c r="Q2262" s="688">
        <f t="shared" si="516"/>
        <v>20</v>
      </c>
      <c r="R2262" s="688">
        <f t="shared" si="516"/>
        <v>20</v>
      </c>
      <c r="S2262" s="688">
        <v>8</v>
      </c>
      <c r="T2262" s="690">
        <f t="shared" si="510"/>
        <v>0.4</v>
      </c>
    </row>
    <row r="2263" spans="1:22" s="665" customFormat="1" ht="17.100000000000001" customHeight="1">
      <c r="A2263" s="1316" t="s">
        <v>1161</v>
      </c>
      <c r="B2263" s="1317"/>
      <c r="C2263" s="1316" t="s">
        <v>2065</v>
      </c>
      <c r="D2263" s="1317"/>
      <c r="E2263" s="683">
        <v>0.1507</v>
      </c>
      <c r="F2263" s="676" t="s">
        <v>418</v>
      </c>
      <c r="G2263" s="670" t="e">
        <f>#REF!</f>
        <v>#REF!</v>
      </c>
      <c r="H2263" s="670" t="e">
        <f t="shared" si="514"/>
        <v>#REF!</v>
      </c>
      <c r="I2263" s="670" t="e">
        <f>#REF!</f>
        <v>#REF!</v>
      </c>
      <c r="J2263" s="670" t="e">
        <f t="shared" si="513"/>
        <v>#REF!</v>
      </c>
      <c r="K2263" s="670" t="e">
        <f>#REF!</f>
        <v>#REF!</v>
      </c>
      <c r="L2263" s="670" t="e">
        <f t="shared" si="515"/>
        <v>#REF!</v>
      </c>
      <c r="M2263" s="670" t="e">
        <f t="shared" si="512"/>
        <v>#REF!</v>
      </c>
      <c r="N2263" s="670" t="e">
        <f t="shared" si="512"/>
        <v>#REF!</v>
      </c>
      <c r="O2263" s="671"/>
      <c r="P2263" s="672"/>
      <c r="Q2263" s="688"/>
      <c r="R2263" s="688"/>
      <c r="S2263" s="688"/>
      <c r="T2263" s="688"/>
    </row>
    <row r="2264" spans="1:22" s="665" customFormat="1" ht="17.100000000000001" customHeight="1">
      <c r="A2264" s="1318" t="s">
        <v>1320</v>
      </c>
      <c r="B2264" s="1319"/>
      <c r="C2264" s="1316"/>
      <c r="D2264" s="1317"/>
      <c r="E2264" s="686"/>
      <c r="F2264" s="676"/>
      <c r="G2264" s="670"/>
      <c r="H2264" s="670" t="e">
        <f>SUM(H2251:H2263)</f>
        <v>#REF!</v>
      </c>
      <c r="I2264" s="670"/>
      <c r="J2264" s="670" t="e">
        <f>SUM(J2251:J2263)</f>
        <v>#REF!</v>
      </c>
      <c r="K2264" s="670"/>
      <c r="L2264" s="670" t="e">
        <f>SUM(L2251:L2263)</f>
        <v>#REF!</v>
      </c>
      <c r="M2264" s="670"/>
      <c r="N2264" s="670" t="e">
        <f>SUM(N2251:N2263)</f>
        <v>#REF!</v>
      </c>
      <c r="O2264" s="671"/>
      <c r="P2264" s="672" t="s">
        <v>2074</v>
      </c>
      <c r="Q2264" s="687" t="s">
        <v>1446</v>
      </c>
      <c r="R2264" s="688" t="s">
        <v>1876</v>
      </c>
      <c r="S2264" s="688" t="s">
        <v>1425</v>
      </c>
      <c r="T2264" s="688" t="s">
        <v>1426</v>
      </c>
      <c r="U2264" s="688"/>
      <c r="V2264" s="688"/>
    </row>
    <row r="2265" spans="1:22" s="688" customFormat="1" ht="17.100000000000001" customHeight="1">
      <c r="A2265" s="668">
        <f>A2250+1</f>
        <v>342</v>
      </c>
      <c r="B2265" s="1320" t="s">
        <v>2078</v>
      </c>
      <c r="C2265" s="1320"/>
      <c r="D2265" s="1320" t="s">
        <v>2084</v>
      </c>
      <c r="E2265" s="1320"/>
      <c r="F2265" s="669" t="s">
        <v>645</v>
      </c>
      <c r="G2265" s="698"/>
      <c r="H2265" s="698"/>
      <c r="I2265" s="698"/>
      <c r="J2265" s="698"/>
      <c r="K2265" s="670"/>
      <c r="L2265" s="670"/>
      <c r="M2265" s="670"/>
      <c r="N2265" s="698"/>
      <c r="O2265" s="699" t="s">
        <v>1562</v>
      </c>
      <c r="P2265" s="672"/>
      <c r="Q2265" s="688">
        <f>20*1.18</f>
        <v>23.599999999999998</v>
      </c>
      <c r="R2265" s="688">
        <f>Q2265</f>
        <v>23.599999999999998</v>
      </c>
      <c r="T2265" s="690">
        <f t="shared" ref="T2265:T2277" si="517">ROUND(S2265/R2265,4)</f>
        <v>0</v>
      </c>
    </row>
    <row r="2266" spans="1:22" s="688" customFormat="1" ht="17.100000000000001" customHeight="1">
      <c r="A2266" s="1316" t="s">
        <v>1676</v>
      </c>
      <c r="B2266" s="1317"/>
      <c r="C2266" s="1316" t="s">
        <v>2033</v>
      </c>
      <c r="D2266" s="1317"/>
      <c r="E2266" s="675"/>
      <c r="F2266" s="676" t="s">
        <v>915</v>
      </c>
      <c r="G2266" s="670"/>
      <c r="H2266" s="670"/>
      <c r="I2266" s="670"/>
      <c r="J2266" s="670"/>
      <c r="K2266" s="670"/>
      <c r="L2266" s="670"/>
      <c r="M2266" s="670"/>
      <c r="N2266" s="670"/>
      <c r="O2266" s="671"/>
      <c r="P2266" s="672"/>
      <c r="Q2266" s="688">
        <f t="shared" ref="Q2266:R2272" si="518">Q2265</f>
        <v>23.599999999999998</v>
      </c>
      <c r="R2266" s="688">
        <f t="shared" si="518"/>
        <v>23.599999999999998</v>
      </c>
      <c r="T2266" s="690">
        <f t="shared" si="517"/>
        <v>0</v>
      </c>
    </row>
    <row r="2267" spans="1:22" s="688" customFormat="1" ht="17.100000000000001" customHeight="1">
      <c r="A2267" s="1316" t="s">
        <v>1676</v>
      </c>
      <c r="B2267" s="1317"/>
      <c r="C2267" s="1316" t="s">
        <v>1677</v>
      </c>
      <c r="D2267" s="1317"/>
      <c r="E2267" s="675"/>
      <c r="F2267" s="676" t="s">
        <v>915</v>
      </c>
      <c r="G2267" s="670"/>
      <c r="H2267" s="670"/>
      <c r="I2267" s="670"/>
      <c r="J2267" s="670"/>
      <c r="K2267" s="670"/>
      <c r="L2267" s="670"/>
      <c r="M2267" s="670"/>
      <c r="N2267" s="670"/>
      <c r="O2267" s="671"/>
      <c r="P2267" s="672"/>
      <c r="Q2267" s="688">
        <f t="shared" si="518"/>
        <v>23.599999999999998</v>
      </c>
      <c r="R2267" s="688">
        <f t="shared" si="518"/>
        <v>23.599999999999998</v>
      </c>
      <c r="T2267" s="690">
        <f t="shared" si="517"/>
        <v>0</v>
      </c>
    </row>
    <row r="2268" spans="1:22" s="688" customFormat="1" ht="17.100000000000001" customHeight="1">
      <c r="A2268" s="1316" t="s">
        <v>830</v>
      </c>
      <c r="B2268" s="1317"/>
      <c r="C2268" s="1316" t="s">
        <v>1982</v>
      </c>
      <c r="D2268" s="1317"/>
      <c r="E2268" s="683">
        <v>0.63990000000000002</v>
      </c>
      <c r="F2268" s="676" t="s">
        <v>850</v>
      </c>
      <c r="G2268" s="670" t="e">
        <f>#REF!</f>
        <v>#REF!</v>
      </c>
      <c r="H2268" s="670" t="e">
        <f>INT(E2268*G2268)</f>
        <v>#REF!</v>
      </c>
      <c r="I2268" s="670"/>
      <c r="J2268" s="670"/>
      <c r="K2268" s="670"/>
      <c r="L2268" s="670"/>
      <c r="M2268" s="670" t="e">
        <f t="shared" ref="M2268:N2278" si="519">G2268+I2268+K2268</f>
        <v>#REF!</v>
      </c>
      <c r="N2268" s="670" t="e">
        <f t="shared" si="519"/>
        <v>#REF!</v>
      </c>
      <c r="O2268" s="671"/>
      <c r="P2268" s="672"/>
      <c r="Q2268" s="688">
        <f t="shared" si="518"/>
        <v>23.599999999999998</v>
      </c>
      <c r="R2268" s="688">
        <f t="shared" si="518"/>
        <v>23.599999999999998</v>
      </c>
      <c r="T2268" s="690">
        <f t="shared" si="517"/>
        <v>0</v>
      </c>
    </row>
    <row r="2269" spans="1:22" s="688" customFormat="1" ht="17.100000000000001" customHeight="1">
      <c r="A2269" s="1316" t="s">
        <v>1992</v>
      </c>
      <c r="B2269" s="1317"/>
      <c r="C2269" s="1316" t="s">
        <v>2004</v>
      </c>
      <c r="D2269" s="1317"/>
      <c r="E2269" s="675">
        <v>0.75</v>
      </c>
      <c r="F2269" s="676" t="s">
        <v>801</v>
      </c>
      <c r="G2269" s="670" t="e">
        <f>#REF!</f>
        <v>#REF!</v>
      </c>
      <c r="H2269" s="670" t="e">
        <f>INT(E2269*G2269)</f>
        <v>#REF!</v>
      </c>
      <c r="I2269" s="670"/>
      <c r="J2269" s="670"/>
      <c r="K2269" s="670">
        <f>[53]운반공!$BI$584</f>
        <v>45</v>
      </c>
      <c r="L2269" s="670">
        <f>INT(E2269*K2269)</f>
        <v>33</v>
      </c>
      <c r="M2269" s="670" t="e">
        <f t="shared" si="519"/>
        <v>#REF!</v>
      </c>
      <c r="N2269" s="670" t="e">
        <f t="shared" si="519"/>
        <v>#REF!</v>
      </c>
      <c r="O2269" s="671"/>
      <c r="P2269" s="672"/>
      <c r="Q2269" s="688">
        <f t="shared" si="518"/>
        <v>23.599999999999998</v>
      </c>
      <c r="R2269" s="688">
        <f t="shared" si="518"/>
        <v>23.599999999999998</v>
      </c>
      <c r="T2269" s="690">
        <f t="shared" si="517"/>
        <v>0</v>
      </c>
    </row>
    <row r="2270" spans="1:22" s="688" customFormat="1" ht="17.100000000000001" customHeight="1">
      <c r="A2270" s="1316" t="s">
        <v>1992</v>
      </c>
      <c r="B2270" s="1317"/>
      <c r="C2270" s="1316" t="s">
        <v>2023</v>
      </c>
      <c r="D2270" s="1317"/>
      <c r="E2270" s="679">
        <v>0.3</v>
      </c>
      <c r="F2270" s="676" t="s">
        <v>801</v>
      </c>
      <c r="G2270" s="670" t="e">
        <f>#REF!</f>
        <v>#REF!</v>
      </c>
      <c r="H2270" s="670" t="e">
        <f>INT(E2270*G2270)</f>
        <v>#REF!</v>
      </c>
      <c r="I2270" s="670"/>
      <c r="J2270" s="670"/>
      <c r="K2270" s="670">
        <f>[53]운반공!$BI$584</f>
        <v>45</v>
      </c>
      <c r="L2270" s="670">
        <f>INT(E2270*K2270)</f>
        <v>13</v>
      </c>
      <c r="M2270" s="670" t="e">
        <f t="shared" si="519"/>
        <v>#REF!</v>
      </c>
      <c r="N2270" s="670" t="e">
        <f t="shared" si="519"/>
        <v>#REF!</v>
      </c>
      <c r="O2270" s="671"/>
      <c r="P2270" s="672"/>
      <c r="Q2270" s="688">
        <f t="shared" si="518"/>
        <v>23.599999999999998</v>
      </c>
      <c r="R2270" s="688">
        <f t="shared" si="518"/>
        <v>23.599999999999998</v>
      </c>
      <c r="S2270" s="688">
        <v>3</v>
      </c>
      <c r="T2270" s="690">
        <f t="shared" si="517"/>
        <v>0.12709999999999999</v>
      </c>
    </row>
    <row r="2271" spans="1:22" s="688" customFormat="1" ht="17.100000000000001" customHeight="1">
      <c r="A2271" s="1316" t="s">
        <v>540</v>
      </c>
      <c r="B2271" s="1317"/>
      <c r="C2271" s="1316"/>
      <c r="D2271" s="1317"/>
      <c r="E2271" s="683">
        <v>7.8399999999999997E-2</v>
      </c>
      <c r="F2271" s="676" t="s">
        <v>366</v>
      </c>
      <c r="G2271" s="670"/>
      <c r="H2271" s="670"/>
      <c r="I2271" s="670">
        <f>[53]노임단가!$T$22</f>
        <v>273308</v>
      </c>
      <c r="J2271" s="670">
        <f t="shared" ref="J2271:J2278" si="520">INT(E2271*I2271)</f>
        <v>21427</v>
      </c>
      <c r="K2271" s="670"/>
      <c r="L2271" s="670"/>
      <c r="M2271" s="670">
        <f t="shared" si="519"/>
        <v>273308</v>
      </c>
      <c r="N2271" s="670">
        <f t="shared" si="519"/>
        <v>21427</v>
      </c>
      <c r="O2271" s="671"/>
      <c r="P2271" s="672"/>
      <c r="Q2271" s="688">
        <f t="shared" si="518"/>
        <v>23.599999999999998</v>
      </c>
      <c r="R2271" s="688">
        <f t="shared" si="518"/>
        <v>23.599999999999998</v>
      </c>
      <c r="S2271" s="688">
        <v>1</v>
      </c>
      <c r="T2271" s="690">
        <f t="shared" si="517"/>
        <v>4.24E-2</v>
      </c>
    </row>
    <row r="2272" spans="1:22" s="688" customFormat="1" ht="17.100000000000001" customHeight="1">
      <c r="A2272" s="1316" t="s">
        <v>248</v>
      </c>
      <c r="B2272" s="1317"/>
      <c r="C2272" s="1316"/>
      <c r="D2272" s="1317"/>
      <c r="E2272" s="683">
        <v>2.6100000000000002E-2</v>
      </c>
      <c r="F2272" s="676" t="s">
        <v>366</v>
      </c>
      <c r="G2272" s="670"/>
      <c r="H2272" s="670"/>
      <c r="I2272" s="670">
        <f>[53]노임단가!$T$5</f>
        <v>172068</v>
      </c>
      <c r="J2272" s="670">
        <f t="shared" si="520"/>
        <v>4490</v>
      </c>
      <c r="K2272" s="670"/>
      <c r="L2272" s="670"/>
      <c r="M2272" s="670">
        <f t="shared" si="519"/>
        <v>172068</v>
      </c>
      <c r="N2272" s="670">
        <f t="shared" si="519"/>
        <v>4490</v>
      </c>
      <c r="O2272" s="671"/>
      <c r="P2272" s="672"/>
      <c r="Q2272" s="688">
        <f t="shared" si="518"/>
        <v>23.599999999999998</v>
      </c>
      <c r="R2272" s="688">
        <f t="shared" si="518"/>
        <v>23.599999999999998</v>
      </c>
      <c r="S2272" s="688">
        <v>8</v>
      </c>
      <c r="T2272" s="690">
        <f t="shared" si="517"/>
        <v>0.33900000000000002</v>
      </c>
    </row>
    <row r="2273" spans="1:22" s="688" customFormat="1" ht="17.100000000000001" customHeight="1">
      <c r="A2273" s="1316" t="s">
        <v>409</v>
      </c>
      <c r="B2273" s="1317"/>
      <c r="C2273" s="1316" t="s">
        <v>394</v>
      </c>
      <c r="D2273" s="1317"/>
      <c r="E2273" s="683">
        <v>0.2092</v>
      </c>
      <c r="F2273" s="676" t="s">
        <v>418</v>
      </c>
      <c r="G2273" s="670" t="e">
        <f>#REF!</f>
        <v>#REF!</v>
      </c>
      <c r="H2273" s="670" t="e">
        <f t="shared" ref="H2273:H2278" si="521">INT(E2273*G2273)</f>
        <v>#REF!</v>
      </c>
      <c r="I2273" s="670" t="e">
        <f>#REF!</f>
        <v>#REF!</v>
      </c>
      <c r="J2273" s="670" t="e">
        <f t="shared" si="520"/>
        <v>#REF!</v>
      </c>
      <c r="K2273" s="670" t="e">
        <f>#REF!</f>
        <v>#REF!</v>
      </c>
      <c r="L2273" s="670" t="e">
        <f t="shared" ref="L2273:L2278" si="522">INT(E2273*K2273)</f>
        <v>#REF!</v>
      </c>
      <c r="M2273" s="670" t="e">
        <f t="shared" si="519"/>
        <v>#REF!</v>
      </c>
      <c r="N2273" s="670" t="e">
        <f t="shared" si="519"/>
        <v>#REF!</v>
      </c>
      <c r="O2273" s="671"/>
      <c r="P2273" s="672"/>
      <c r="Q2273" s="688">
        <f>Q2274</f>
        <v>23.599999999999998</v>
      </c>
      <c r="R2273" s="688">
        <f>R2274</f>
        <v>23.599999999999998</v>
      </c>
      <c r="S2273" s="688">
        <v>8</v>
      </c>
      <c r="T2273" s="690">
        <f t="shared" si="517"/>
        <v>0.33900000000000002</v>
      </c>
    </row>
    <row r="2274" spans="1:22" s="688" customFormat="1" ht="17.100000000000001" customHeight="1">
      <c r="A2274" s="1316" t="s">
        <v>515</v>
      </c>
      <c r="B2274" s="1317"/>
      <c r="C2274" s="1316" t="s">
        <v>555</v>
      </c>
      <c r="D2274" s="1317"/>
      <c r="E2274" s="683">
        <v>0.2092</v>
      </c>
      <c r="F2274" s="676" t="s">
        <v>418</v>
      </c>
      <c r="G2274" s="670" t="e">
        <f>#REF!</f>
        <v>#REF!</v>
      </c>
      <c r="H2274" s="750" t="e">
        <f>INT(E2274*G2274)</f>
        <v>#REF!</v>
      </c>
      <c r="I2274" s="670" t="e">
        <f>#REF!</f>
        <v>#REF!</v>
      </c>
      <c r="J2274" s="750" t="e">
        <f t="shared" si="520"/>
        <v>#REF!</v>
      </c>
      <c r="K2274" s="670" t="e">
        <f>#REF!</f>
        <v>#REF!</v>
      </c>
      <c r="L2274" s="750" t="e">
        <f>INT(E2274*K2274)</f>
        <v>#REF!</v>
      </c>
      <c r="M2274" s="750" t="e">
        <f t="shared" si="519"/>
        <v>#REF!</v>
      </c>
      <c r="N2274" s="670" t="e">
        <f t="shared" si="519"/>
        <v>#REF!</v>
      </c>
      <c r="O2274" s="671"/>
      <c r="P2274" s="672"/>
      <c r="Q2274" s="688">
        <f t="shared" ref="Q2274:R2277" si="523">Q2272</f>
        <v>23.599999999999998</v>
      </c>
      <c r="R2274" s="688">
        <f t="shared" si="523"/>
        <v>23.599999999999998</v>
      </c>
      <c r="S2274" s="688">
        <v>8</v>
      </c>
      <c r="T2274" s="690">
        <f t="shared" si="517"/>
        <v>0.33900000000000002</v>
      </c>
    </row>
    <row r="2275" spans="1:22" s="688" customFormat="1" ht="17.100000000000001" customHeight="1">
      <c r="A2275" s="1316" t="s">
        <v>1183</v>
      </c>
      <c r="B2275" s="1317"/>
      <c r="C2275" s="1316" t="s">
        <v>642</v>
      </c>
      <c r="D2275" s="1317"/>
      <c r="E2275" s="683">
        <v>0.2092</v>
      </c>
      <c r="F2275" s="676" t="s">
        <v>418</v>
      </c>
      <c r="G2275" s="670" t="e">
        <f>#REF!</f>
        <v>#REF!</v>
      </c>
      <c r="H2275" s="670" t="e">
        <f t="shared" si="521"/>
        <v>#REF!</v>
      </c>
      <c r="I2275" s="670" t="e">
        <f>#REF!</f>
        <v>#REF!</v>
      </c>
      <c r="J2275" s="670" t="e">
        <f t="shared" si="520"/>
        <v>#REF!</v>
      </c>
      <c r="K2275" s="670" t="e">
        <f>#REF!</f>
        <v>#REF!</v>
      </c>
      <c r="L2275" s="670" t="e">
        <f t="shared" si="522"/>
        <v>#REF!</v>
      </c>
      <c r="M2275" s="670" t="e">
        <f t="shared" si="519"/>
        <v>#REF!</v>
      </c>
      <c r="N2275" s="670" t="e">
        <f t="shared" si="519"/>
        <v>#REF!</v>
      </c>
      <c r="O2275" s="671"/>
      <c r="P2275" s="672"/>
      <c r="Q2275" s="688">
        <f t="shared" si="523"/>
        <v>23.599999999999998</v>
      </c>
      <c r="R2275" s="688">
        <f t="shared" si="523"/>
        <v>23.599999999999998</v>
      </c>
      <c r="S2275" s="688">
        <v>8</v>
      </c>
      <c r="T2275" s="690">
        <f t="shared" si="517"/>
        <v>0.33900000000000002</v>
      </c>
    </row>
    <row r="2276" spans="1:22" s="688" customFormat="1" ht="17.100000000000001" customHeight="1">
      <c r="A2276" s="1316" t="s">
        <v>1217</v>
      </c>
      <c r="B2276" s="1317"/>
      <c r="C2276" s="1316" t="s">
        <v>1218</v>
      </c>
      <c r="D2276" s="1317"/>
      <c r="E2276" s="683">
        <v>0.2092</v>
      </c>
      <c r="F2276" s="676" t="s">
        <v>418</v>
      </c>
      <c r="G2276" s="670" t="e">
        <f>#REF!</f>
        <v>#REF!</v>
      </c>
      <c r="H2276" s="670" t="e">
        <f t="shared" si="521"/>
        <v>#REF!</v>
      </c>
      <c r="I2276" s="670" t="e">
        <f>#REF!</f>
        <v>#REF!</v>
      </c>
      <c r="J2276" s="670" t="e">
        <f t="shared" si="520"/>
        <v>#REF!</v>
      </c>
      <c r="K2276" s="670" t="e">
        <f>#REF!</f>
        <v>#REF!</v>
      </c>
      <c r="L2276" s="670" t="e">
        <f t="shared" si="522"/>
        <v>#REF!</v>
      </c>
      <c r="M2276" s="670" t="e">
        <f t="shared" si="519"/>
        <v>#REF!</v>
      </c>
      <c r="N2276" s="670" t="e">
        <f t="shared" si="519"/>
        <v>#REF!</v>
      </c>
      <c r="O2276" s="671"/>
      <c r="P2276" s="672"/>
      <c r="Q2276" s="688">
        <f t="shared" si="523"/>
        <v>23.599999999999998</v>
      </c>
      <c r="R2276" s="688">
        <f t="shared" si="523"/>
        <v>23.599999999999998</v>
      </c>
      <c r="S2276" s="688">
        <v>8</v>
      </c>
      <c r="T2276" s="690">
        <f t="shared" si="517"/>
        <v>0.33900000000000002</v>
      </c>
    </row>
    <row r="2277" spans="1:22" s="688" customFormat="1" ht="17.100000000000001" customHeight="1">
      <c r="A2277" s="1316" t="s">
        <v>1161</v>
      </c>
      <c r="B2277" s="1317"/>
      <c r="C2277" s="1316" t="s">
        <v>2064</v>
      </c>
      <c r="D2277" s="1317"/>
      <c r="E2277" s="683">
        <v>0.2092</v>
      </c>
      <c r="F2277" s="676" t="s">
        <v>418</v>
      </c>
      <c r="G2277" s="670" t="e">
        <f>#REF!</f>
        <v>#REF!</v>
      </c>
      <c r="H2277" s="670" t="e">
        <f t="shared" si="521"/>
        <v>#REF!</v>
      </c>
      <c r="I2277" s="670" t="e">
        <f>#REF!</f>
        <v>#REF!</v>
      </c>
      <c r="J2277" s="670" t="e">
        <f t="shared" si="520"/>
        <v>#REF!</v>
      </c>
      <c r="K2277" s="670" t="e">
        <f>#REF!</f>
        <v>#REF!</v>
      </c>
      <c r="L2277" s="670" t="e">
        <f t="shared" si="522"/>
        <v>#REF!</v>
      </c>
      <c r="M2277" s="670" t="e">
        <f t="shared" si="519"/>
        <v>#REF!</v>
      </c>
      <c r="N2277" s="670" t="e">
        <f t="shared" si="519"/>
        <v>#REF!</v>
      </c>
      <c r="O2277" s="671"/>
      <c r="P2277" s="672"/>
      <c r="Q2277" s="688">
        <f t="shared" si="523"/>
        <v>23.599999999999998</v>
      </c>
      <c r="R2277" s="688">
        <f t="shared" si="523"/>
        <v>23.599999999999998</v>
      </c>
      <c r="S2277" s="688">
        <v>8</v>
      </c>
      <c r="T2277" s="690">
        <f t="shared" si="517"/>
        <v>0.33900000000000002</v>
      </c>
    </row>
    <row r="2278" spans="1:22" s="665" customFormat="1" ht="17.100000000000001" customHeight="1">
      <c r="A2278" s="1316" t="s">
        <v>1161</v>
      </c>
      <c r="B2278" s="1317"/>
      <c r="C2278" s="1316" t="s">
        <v>2065</v>
      </c>
      <c r="D2278" s="1317"/>
      <c r="E2278" s="683">
        <v>0.2092</v>
      </c>
      <c r="F2278" s="676" t="s">
        <v>418</v>
      </c>
      <c r="G2278" s="670" t="e">
        <f>#REF!</f>
        <v>#REF!</v>
      </c>
      <c r="H2278" s="670" t="e">
        <f t="shared" si="521"/>
        <v>#REF!</v>
      </c>
      <c r="I2278" s="670" t="e">
        <f>#REF!</f>
        <v>#REF!</v>
      </c>
      <c r="J2278" s="670" t="e">
        <f t="shared" si="520"/>
        <v>#REF!</v>
      </c>
      <c r="K2278" s="670" t="e">
        <f>#REF!</f>
        <v>#REF!</v>
      </c>
      <c r="L2278" s="670" t="e">
        <f t="shared" si="522"/>
        <v>#REF!</v>
      </c>
      <c r="M2278" s="670" t="e">
        <f t="shared" si="519"/>
        <v>#REF!</v>
      </c>
      <c r="N2278" s="670" t="e">
        <f t="shared" si="519"/>
        <v>#REF!</v>
      </c>
      <c r="O2278" s="671"/>
      <c r="P2278" s="672"/>
      <c r="Q2278" s="688"/>
      <c r="R2278" s="688"/>
      <c r="S2278" s="688"/>
      <c r="T2278" s="688"/>
    </row>
    <row r="2279" spans="1:22" s="665" customFormat="1" ht="17.100000000000001" customHeight="1">
      <c r="A2279" s="1318" t="s">
        <v>1320</v>
      </c>
      <c r="B2279" s="1319"/>
      <c r="C2279" s="1316"/>
      <c r="D2279" s="1317"/>
      <c r="E2279" s="686"/>
      <c r="F2279" s="676"/>
      <c r="G2279" s="670"/>
      <c r="H2279" s="670" t="e">
        <f>SUM(H2266:H2278)</f>
        <v>#REF!</v>
      </c>
      <c r="I2279" s="670"/>
      <c r="J2279" s="670" t="e">
        <f>SUM(J2266:J2278)</f>
        <v>#REF!</v>
      </c>
      <c r="K2279" s="670"/>
      <c r="L2279" s="670" t="e">
        <f>SUM(L2266:L2278)</f>
        <v>#REF!</v>
      </c>
      <c r="M2279" s="670"/>
      <c r="N2279" s="670" t="e">
        <f>SUM(N2266:N2278)</f>
        <v>#REF!</v>
      </c>
      <c r="O2279" s="671"/>
      <c r="P2279" s="672" t="s">
        <v>2074</v>
      </c>
      <c r="Q2279" s="687" t="s">
        <v>1446</v>
      </c>
      <c r="R2279" s="688" t="s">
        <v>1876</v>
      </c>
      <c r="S2279" s="688" t="s">
        <v>1425</v>
      </c>
      <c r="T2279" s="688" t="s">
        <v>1426</v>
      </c>
      <c r="U2279" s="688"/>
      <c r="V2279" s="688"/>
    </row>
    <row r="2280" spans="1:22" s="688" customFormat="1" ht="17.100000000000001" customHeight="1">
      <c r="A2280" s="668">
        <f>A2265+1</f>
        <v>343</v>
      </c>
      <c r="B2280" s="1320" t="s">
        <v>2078</v>
      </c>
      <c r="C2280" s="1320"/>
      <c r="D2280" s="1320" t="s">
        <v>2085</v>
      </c>
      <c r="E2280" s="1320"/>
      <c r="F2280" s="669" t="s">
        <v>645</v>
      </c>
      <c r="G2280" s="698"/>
      <c r="H2280" s="698"/>
      <c r="I2280" s="698"/>
      <c r="J2280" s="698"/>
      <c r="K2280" s="670"/>
      <c r="L2280" s="670"/>
      <c r="M2280" s="670"/>
      <c r="N2280" s="698"/>
      <c r="O2280" s="699" t="s">
        <v>1562</v>
      </c>
      <c r="P2280" s="672"/>
      <c r="Q2280" s="688">
        <f>20*0.85</f>
        <v>17</v>
      </c>
      <c r="R2280" s="688">
        <f>Q2280</f>
        <v>17</v>
      </c>
      <c r="T2280" s="690">
        <f t="shared" ref="T2280:T2292" si="524">ROUND(S2280/R2280,4)</f>
        <v>0</v>
      </c>
    </row>
    <row r="2281" spans="1:22" s="688" customFormat="1" ht="17.100000000000001" customHeight="1">
      <c r="A2281" s="1316" t="s">
        <v>1676</v>
      </c>
      <c r="B2281" s="1317"/>
      <c r="C2281" s="1316" t="s">
        <v>2033</v>
      </c>
      <c r="D2281" s="1317"/>
      <c r="E2281" s="675"/>
      <c r="F2281" s="676" t="s">
        <v>915</v>
      </c>
      <c r="G2281" s="670"/>
      <c r="H2281" s="670"/>
      <c r="I2281" s="670"/>
      <c r="J2281" s="670"/>
      <c r="K2281" s="670"/>
      <c r="L2281" s="670"/>
      <c r="M2281" s="670"/>
      <c r="N2281" s="670"/>
      <c r="O2281" s="671"/>
      <c r="P2281" s="672"/>
      <c r="Q2281" s="688">
        <f t="shared" ref="Q2281:R2287" si="525">Q2280</f>
        <v>17</v>
      </c>
      <c r="R2281" s="688">
        <f t="shared" si="525"/>
        <v>17</v>
      </c>
      <c r="T2281" s="690">
        <f t="shared" si="524"/>
        <v>0</v>
      </c>
    </row>
    <row r="2282" spans="1:22" s="688" customFormat="1" ht="17.100000000000001" customHeight="1">
      <c r="A2282" s="1316" t="s">
        <v>1676</v>
      </c>
      <c r="B2282" s="1317"/>
      <c r="C2282" s="1316" t="s">
        <v>1677</v>
      </c>
      <c r="D2282" s="1317"/>
      <c r="E2282" s="675"/>
      <c r="F2282" s="676" t="s">
        <v>915</v>
      </c>
      <c r="G2282" s="670"/>
      <c r="H2282" s="670"/>
      <c r="I2282" s="670"/>
      <c r="J2282" s="670"/>
      <c r="K2282" s="670"/>
      <c r="L2282" s="670"/>
      <c r="M2282" s="670"/>
      <c r="N2282" s="670"/>
      <c r="O2282" s="671"/>
      <c r="P2282" s="672"/>
      <c r="Q2282" s="688">
        <f t="shared" si="525"/>
        <v>17</v>
      </c>
      <c r="R2282" s="688">
        <f t="shared" si="525"/>
        <v>17</v>
      </c>
      <c r="T2282" s="690">
        <f t="shared" si="524"/>
        <v>0</v>
      </c>
    </row>
    <row r="2283" spans="1:22" s="688" customFormat="1" ht="17.100000000000001" customHeight="1">
      <c r="A2283" s="1316" t="s">
        <v>830</v>
      </c>
      <c r="B2283" s="1317"/>
      <c r="C2283" s="1316" t="s">
        <v>1982</v>
      </c>
      <c r="D2283" s="1317"/>
      <c r="E2283" s="683">
        <v>0.63990000000000002</v>
      </c>
      <c r="F2283" s="676" t="s">
        <v>850</v>
      </c>
      <c r="G2283" s="670" t="e">
        <f>#REF!</f>
        <v>#REF!</v>
      </c>
      <c r="H2283" s="670" t="e">
        <f>INT(E2283*G2283)</f>
        <v>#REF!</v>
      </c>
      <c r="I2283" s="670"/>
      <c r="J2283" s="670"/>
      <c r="K2283" s="670"/>
      <c r="L2283" s="670"/>
      <c r="M2283" s="670" t="e">
        <f t="shared" ref="M2283:N2293" si="526">G2283+I2283+K2283</f>
        <v>#REF!</v>
      </c>
      <c r="N2283" s="670" t="e">
        <f t="shared" si="526"/>
        <v>#REF!</v>
      </c>
      <c r="O2283" s="671"/>
      <c r="P2283" s="672"/>
      <c r="Q2283" s="688">
        <f t="shared" si="525"/>
        <v>17</v>
      </c>
      <c r="R2283" s="688">
        <f t="shared" si="525"/>
        <v>17</v>
      </c>
      <c r="T2283" s="690">
        <f t="shared" si="524"/>
        <v>0</v>
      </c>
    </row>
    <row r="2284" spans="1:22" s="688" customFormat="1" ht="17.100000000000001" customHeight="1">
      <c r="A2284" s="1316" t="s">
        <v>1992</v>
      </c>
      <c r="B2284" s="1317"/>
      <c r="C2284" s="1316" t="s">
        <v>2004</v>
      </c>
      <c r="D2284" s="1317"/>
      <c r="E2284" s="675">
        <v>0.75</v>
      </c>
      <c r="F2284" s="676" t="s">
        <v>801</v>
      </c>
      <c r="G2284" s="670" t="e">
        <f>#REF!</f>
        <v>#REF!</v>
      </c>
      <c r="H2284" s="670" t="e">
        <f>INT(E2284*G2284)</f>
        <v>#REF!</v>
      </c>
      <c r="I2284" s="670"/>
      <c r="J2284" s="670"/>
      <c r="K2284" s="670">
        <f>[53]운반공!$BI$584</f>
        <v>45</v>
      </c>
      <c r="L2284" s="670">
        <f>INT(E2284*K2284)</f>
        <v>33</v>
      </c>
      <c r="M2284" s="670" t="e">
        <f t="shared" si="526"/>
        <v>#REF!</v>
      </c>
      <c r="N2284" s="670" t="e">
        <f t="shared" si="526"/>
        <v>#REF!</v>
      </c>
      <c r="O2284" s="671"/>
      <c r="P2284" s="672"/>
      <c r="Q2284" s="688">
        <f t="shared" si="525"/>
        <v>17</v>
      </c>
      <c r="R2284" s="688">
        <f t="shared" si="525"/>
        <v>17</v>
      </c>
      <c r="T2284" s="690">
        <f t="shared" si="524"/>
        <v>0</v>
      </c>
    </row>
    <row r="2285" spans="1:22" s="688" customFormat="1" ht="17.100000000000001" customHeight="1">
      <c r="A2285" s="1316" t="s">
        <v>1992</v>
      </c>
      <c r="B2285" s="1317"/>
      <c r="C2285" s="1316" t="s">
        <v>2023</v>
      </c>
      <c r="D2285" s="1317"/>
      <c r="E2285" s="679">
        <v>0.3</v>
      </c>
      <c r="F2285" s="676" t="s">
        <v>801</v>
      </c>
      <c r="G2285" s="670" t="e">
        <f>#REF!</f>
        <v>#REF!</v>
      </c>
      <c r="H2285" s="670" t="e">
        <f>INT(E2285*G2285)</f>
        <v>#REF!</v>
      </c>
      <c r="I2285" s="670"/>
      <c r="J2285" s="670"/>
      <c r="K2285" s="670">
        <f>[53]운반공!$BI$584</f>
        <v>45</v>
      </c>
      <c r="L2285" s="670">
        <f>INT(E2285*K2285)</f>
        <v>13</v>
      </c>
      <c r="M2285" s="670" t="e">
        <f t="shared" si="526"/>
        <v>#REF!</v>
      </c>
      <c r="N2285" s="670" t="e">
        <f t="shared" si="526"/>
        <v>#REF!</v>
      </c>
      <c r="O2285" s="671"/>
      <c r="P2285" s="672"/>
      <c r="Q2285" s="688">
        <f t="shared" si="525"/>
        <v>17</v>
      </c>
      <c r="R2285" s="688">
        <f t="shared" si="525"/>
        <v>17</v>
      </c>
      <c r="S2285" s="688">
        <v>3</v>
      </c>
      <c r="T2285" s="690">
        <f t="shared" si="524"/>
        <v>0.17649999999999999</v>
      </c>
    </row>
    <row r="2286" spans="1:22" s="688" customFormat="1" ht="17.100000000000001" customHeight="1">
      <c r="A2286" s="1316" t="s">
        <v>540</v>
      </c>
      <c r="B2286" s="1317"/>
      <c r="C2286" s="1316"/>
      <c r="D2286" s="1317"/>
      <c r="E2286" s="683">
        <v>0.15</v>
      </c>
      <c r="F2286" s="676" t="s">
        <v>366</v>
      </c>
      <c r="G2286" s="670"/>
      <c r="H2286" s="670"/>
      <c r="I2286" s="670">
        <f>[53]노임단가!$T$22</f>
        <v>273308</v>
      </c>
      <c r="J2286" s="670">
        <f t="shared" ref="J2286:J2293" si="527">INT(E2286*I2286)</f>
        <v>40996</v>
      </c>
      <c r="K2286" s="670"/>
      <c r="L2286" s="670"/>
      <c r="M2286" s="670">
        <f t="shared" si="526"/>
        <v>273308</v>
      </c>
      <c r="N2286" s="670">
        <f t="shared" si="526"/>
        <v>40996</v>
      </c>
      <c r="O2286" s="671"/>
      <c r="P2286" s="672"/>
      <c r="Q2286" s="688">
        <f t="shared" si="525"/>
        <v>17</v>
      </c>
      <c r="R2286" s="688">
        <f t="shared" si="525"/>
        <v>17</v>
      </c>
      <c r="S2286" s="688">
        <v>1</v>
      </c>
      <c r="T2286" s="690">
        <f t="shared" si="524"/>
        <v>5.8799999999999998E-2</v>
      </c>
    </row>
    <row r="2287" spans="1:22" s="688" customFormat="1" ht="17.100000000000001" customHeight="1">
      <c r="A2287" s="1316" t="s">
        <v>248</v>
      </c>
      <c r="B2287" s="1317"/>
      <c r="C2287" s="1316"/>
      <c r="D2287" s="1317"/>
      <c r="E2287" s="683">
        <v>0.05</v>
      </c>
      <c r="F2287" s="676" t="s">
        <v>366</v>
      </c>
      <c r="G2287" s="670"/>
      <c r="H2287" s="670"/>
      <c r="I2287" s="670">
        <f>[53]노임단가!$T$5</f>
        <v>172068</v>
      </c>
      <c r="J2287" s="670">
        <f t="shared" si="527"/>
        <v>8603</v>
      </c>
      <c r="K2287" s="670"/>
      <c r="L2287" s="670"/>
      <c r="M2287" s="670">
        <f t="shared" si="526"/>
        <v>172068</v>
      </c>
      <c r="N2287" s="670">
        <f t="shared" si="526"/>
        <v>8603</v>
      </c>
      <c r="O2287" s="671"/>
      <c r="P2287" s="672"/>
      <c r="Q2287" s="688">
        <f t="shared" si="525"/>
        <v>17</v>
      </c>
      <c r="R2287" s="688">
        <f t="shared" si="525"/>
        <v>17</v>
      </c>
      <c r="S2287" s="688">
        <v>8</v>
      </c>
      <c r="T2287" s="690">
        <f t="shared" si="524"/>
        <v>0.47060000000000002</v>
      </c>
    </row>
    <row r="2288" spans="1:22" s="688" customFormat="1" ht="17.100000000000001" customHeight="1">
      <c r="A2288" s="1316" t="s">
        <v>409</v>
      </c>
      <c r="B2288" s="1317"/>
      <c r="C2288" s="1316" t="s">
        <v>394</v>
      </c>
      <c r="D2288" s="1317"/>
      <c r="E2288" s="683">
        <v>0.4</v>
      </c>
      <c r="F2288" s="676" t="s">
        <v>418</v>
      </c>
      <c r="G2288" s="670" t="e">
        <f>#REF!</f>
        <v>#REF!</v>
      </c>
      <c r="H2288" s="670" t="e">
        <f t="shared" ref="H2288:H2293" si="528">INT(E2288*G2288)</f>
        <v>#REF!</v>
      </c>
      <c r="I2288" s="670" t="e">
        <f>#REF!</f>
        <v>#REF!</v>
      </c>
      <c r="J2288" s="670" t="e">
        <f t="shared" si="527"/>
        <v>#REF!</v>
      </c>
      <c r="K2288" s="670" t="e">
        <f>#REF!</f>
        <v>#REF!</v>
      </c>
      <c r="L2288" s="670" t="e">
        <f t="shared" ref="L2288:L2293" si="529">INT(E2288*K2288)</f>
        <v>#REF!</v>
      </c>
      <c r="M2288" s="670" t="e">
        <f t="shared" si="526"/>
        <v>#REF!</v>
      </c>
      <c r="N2288" s="670" t="e">
        <f t="shared" si="526"/>
        <v>#REF!</v>
      </c>
      <c r="O2288" s="671"/>
      <c r="P2288" s="672"/>
      <c r="Q2288" s="688">
        <f>Q2289</f>
        <v>17</v>
      </c>
      <c r="R2288" s="688">
        <f>R2289</f>
        <v>17</v>
      </c>
      <c r="S2288" s="688">
        <v>8</v>
      </c>
      <c r="T2288" s="690">
        <f t="shared" si="524"/>
        <v>0.47060000000000002</v>
      </c>
    </row>
    <row r="2289" spans="1:22" s="688" customFormat="1" ht="17.100000000000001" customHeight="1">
      <c r="A2289" s="1316" t="s">
        <v>554</v>
      </c>
      <c r="B2289" s="1317"/>
      <c r="C2289" s="1316" t="s">
        <v>1181</v>
      </c>
      <c r="D2289" s="1317"/>
      <c r="E2289" s="683">
        <v>0.4</v>
      </c>
      <c r="F2289" s="676" t="s">
        <v>418</v>
      </c>
      <c r="G2289" s="670" t="e">
        <f>$G$1661</f>
        <v>#REF!</v>
      </c>
      <c r="H2289" s="670" t="e">
        <f t="shared" si="528"/>
        <v>#REF!</v>
      </c>
      <c r="I2289" s="670" t="e">
        <f>$I$1661</f>
        <v>#REF!</v>
      </c>
      <c r="J2289" s="670" t="e">
        <f t="shared" si="527"/>
        <v>#REF!</v>
      </c>
      <c r="K2289" s="670" t="e">
        <f>$K$1661</f>
        <v>#REF!</v>
      </c>
      <c r="L2289" s="670" t="e">
        <f t="shared" si="529"/>
        <v>#REF!</v>
      </c>
      <c r="M2289" s="670" t="e">
        <f t="shared" si="526"/>
        <v>#REF!</v>
      </c>
      <c r="N2289" s="670" t="e">
        <f t="shared" si="526"/>
        <v>#REF!</v>
      </c>
      <c r="O2289" s="671"/>
      <c r="P2289" s="672"/>
      <c r="Q2289" s="688">
        <f t="shared" ref="Q2289:R2292" si="530">Q2287</f>
        <v>17</v>
      </c>
      <c r="R2289" s="688">
        <f t="shared" si="530"/>
        <v>17</v>
      </c>
      <c r="S2289" s="688">
        <v>8</v>
      </c>
      <c r="T2289" s="690">
        <f t="shared" si="524"/>
        <v>0.47060000000000002</v>
      </c>
    </row>
    <row r="2290" spans="1:22" s="688" customFormat="1" ht="17.100000000000001" customHeight="1">
      <c r="A2290" s="1316" t="s">
        <v>465</v>
      </c>
      <c r="B2290" s="1317"/>
      <c r="C2290" s="1316" t="s">
        <v>466</v>
      </c>
      <c r="D2290" s="1317"/>
      <c r="E2290" s="683">
        <v>0.4</v>
      </c>
      <c r="F2290" s="676" t="s">
        <v>418</v>
      </c>
      <c r="G2290" s="670" t="e">
        <f>#REF!</f>
        <v>#REF!</v>
      </c>
      <c r="H2290" s="750" t="e">
        <f>INT(E2290*G2290)</f>
        <v>#REF!</v>
      </c>
      <c r="I2290" s="670" t="e">
        <f>#REF!</f>
        <v>#REF!</v>
      </c>
      <c r="J2290" s="750" t="e">
        <f t="shared" si="527"/>
        <v>#REF!</v>
      </c>
      <c r="K2290" s="670" t="e">
        <f>#REF!</f>
        <v>#REF!</v>
      </c>
      <c r="L2290" s="750" t="e">
        <f>INT(E2290*K2290)</f>
        <v>#REF!</v>
      </c>
      <c r="M2290" s="670" t="e">
        <f t="shared" si="526"/>
        <v>#REF!</v>
      </c>
      <c r="N2290" s="670" t="e">
        <f t="shared" si="526"/>
        <v>#REF!</v>
      </c>
      <c r="O2290" s="671"/>
      <c r="P2290" s="672"/>
      <c r="Q2290" s="688">
        <f t="shared" si="530"/>
        <v>17</v>
      </c>
      <c r="R2290" s="688">
        <f t="shared" si="530"/>
        <v>17</v>
      </c>
      <c r="S2290" s="688">
        <v>8</v>
      </c>
      <c r="T2290" s="690">
        <f t="shared" si="524"/>
        <v>0.47060000000000002</v>
      </c>
    </row>
    <row r="2291" spans="1:22" s="688" customFormat="1" ht="17.100000000000001" customHeight="1">
      <c r="A2291" s="1316" t="s">
        <v>1217</v>
      </c>
      <c r="B2291" s="1317"/>
      <c r="C2291" s="1316" t="s">
        <v>1218</v>
      </c>
      <c r="D2291" s="1317"/>
      <c r="E2291" s="683">
        <v>0.4</v>
      </c>
      <c r="F2291" s="676" t="s">
        <v>418</v>
      </c>
      <c r="G2291" s="670" t="e">
        <f>#REF!</f>
        <v>#REF!</v>
      </c>
      <c r="H2291" s="670" t="e">
        <f t="shared" si="528"/>
        <v>#REF!</v>
      </c>
      <c r="I2291" s="670" t="e">
        <f>#REF!</f>
        <v>#REF!</v>
      </c>
      <c r="J2291" s="670" t="e">
        <f t="shared" si="527"/>
        <v>#REF!</v>
      </c>
      <c r="K2291" s="670" t="e">
        <f>#REF!</f>
        <v>#REF!</v>
      </c>
      <c r="L2291" s="670" t="e">
        <f t="shared" si="529"/>
        <v>#REF!</v>
      </c>
      <c r="M2291" s="670" t="e">
        <f t="shared" si="526"/>
        <v>#REF!</v>
      </c>
      <c r="N2291" s="670" t="e">
        <f t="shared" si="526"/>
        <v>#REF!</v>
      </c>
      <c r="O2291" s="671"/>
      <c r="P2291" s="672"/>
      <c r="Q2291" s="688">
        <f t="shared" si="530"/>
        <v>17</v>
      </c>
      <c r="R2291" s="688">
        <f t="shared" si="530"/>
        <v>17</v>
      </c>
      <c r="S2291" s="688">
        <v>8</v>
      </c>
      <c r="T2291" s="690">
        <f t="shared" si="524"/>
        <v>0.47060000000000002</v>
      </c>
    </row>
    <row r="2292" spans="1:22" s="688" customFormat="1" ht="17.100000000000001" customHeight="1">
      <c r="A2292" s="1316" t="s">
        <v>1161</v>
      </c>
      <c r="B2292" s="1317"/>
      <c r="C2292" s="1316" t="s">
        <v>2064</v>
      </c>
      <c r="D2292" s="1317"/>
      <c r="E2292" s="683">
        <v>0.4</v>
      </c>
      <c r="F2292" s="676" t="s">
        <v>418</v>
      </c>
      <c r="G2292" s="670" t="e">
        <f>#REF!</f>
        <v>#REF!</v>
      </c>
      <c r="H2292" s="670" t="e">
        <f t="shared" si="528"/>
        <v>#REF!</v>
      </c>
      <c r="I2292" s="670" t="e">
        <f>#REF!</f>
        <v>#REF!</v>
      </c>
      <c r="J2292" s="670" t="e">
        <f t="shared" si="527"/>
        <v>#REF!</v>
      </c>
      <c r="K2292" s="670" t="e">
        <f>#REF!</f>
        <v>#REF!</v>
      </c>
      <c r="L2292" s="670" t="e">
        <f t="shared" si="529"/>
        <v>#REF!</v>
      </c>
      <c r="M2292" s="670" t="e">
        <f t="shared" si="526"/>
        <v>#REF!</v>
      </c>
      <c r="N2292" s="670" t="e">
        <f t="shared" si="526"/>
        <v>#REF!</v>
      </c>
      <c r="O2292" s="671"/>
      <c r="P2292" s="672"/>
      <c r="Q2292" s="688">
        <f t="shared" si="530"/>
        <v>17</v>
      </c>
      <c r="R2292" s="688">
        <f t="shared" si="530"/>
        <v>17</v>
      </c>
      <c r="S2292" s="688">
        <v>8</v>
      </c>
      <c r="T2292" s="690">
        <f t="shared" si="524"/>
        <v>0.47060000000000002</v>
      </c>
    </row>
    <row r="2293" spans="1:22" s="688" customFormat="1" ht="17.100000000000001" customHeight="1">
      <c r="A2293" s="1316" t="s">
        <v>1161</v>
      </c>
      <c r="B2293" s="1317"/>
      <c r="C2293" s="1316" t="s">
        <v>2065</v>
      </c>
      <c r="D2293" s="1317"/>
      <c r="E2293" s="683">
        <v>0.4</v>
      </c>
      <c r="F2293" s="676" t="s">
        <v>418</v>
      </c>
      <c r="G2293" s="670" t="e">
        <f>#REF!</f>
        <v>#REF!</v>
      </c>
      <c r="H2293" s="670" t="e">
        <f t="shared" si="528"/>
        <v>#REF!</v>
      </c>
      <c r="I2293" s="670" t="e">
        <f>#REF!</f>
        <v>#REF!</v>
      </c>
      <c r="J2293" s="670" t="e">
        <f t="shared" si="527"/>
        <v>#REF!</v>
      </c>
      <c r="K2293" s="670" t="e">
        <f>#REF!</f>
        <v>#REF!</v>
      </c>
      <c r="L2293" s="670" t="e">
        <f t="shared" si="529"/>
        <v>#REF!</v>
      </c>
      <c r="M2293" s="670" t="e">
        <f t="shared" si="526"/>
        <v>#REF!</v>
      </c>
      <c r="N2293" s="670" t="e">
        <f t="shared" si="526"/>
        <v>#REF!</v>
      </c>
      <c r="O2293" s="671"/>
      <c r="P2293" s="672"/>
    </row>
    <row r="2294" spans="1:22" s="688" customFormat="1" ht="17.100000000000001" customHeight="1">
      <c r="A2294" s="1318" t="s">
        <v>1320</v>
      </c>
      <c r="B2294" s="1319"/>
      <c r="C2294" s="1316"/>
      <c r="D2294" s="1317"/>
      <c r="E2294" s="686"/>
      <c r="F2294" s="676"/>
      <c r="G2294" s="670"/>
      <c r="H2294" s="670" t="e">
        <f>SUM(H2281:H2293)</f>
        <v>#REF!</v>
      </c>
      <c r="I2294" s="670"/>
      <c r="J2294" s="670" t="e">
        <f>SUM(J2281:J2293)</f>
        <v>#REF!</v>
      </c>
      <c r="K2294" s="670"/>
      <c r="L2294" s="670" t="e">
        <f>SUM(L2281:L2293)</f>
        <v>#REF!</v>
      </c>
      <c r="M2294" s="670"/>
      <c r="N2294" s="670" t="e">
        <f>SUM(N2281:N2293)</f>
        <v>#REF!</v>
      </c>
      <c r="O2294" s="671"/>
      <c r="P2294" s="672"/>
      <c r="Q2294" s="687" t="s">
        <v>1446</v>
      </c>
      <c r="R2294" s="688" t="s">
        <v>1876</v>
      </c>
      <c r="S2294" s="688" t="s">
        <v>1425</v>
      </c>
      <c r="T2294" s="688" t="s">
        <v>1426</v>
      </c>
    </row>
    <row r="2295" spans="1:22" s="688" customFormat="1" ht="17.100000000000001" customHeight="1">
      <c r="A2295" s="668">
        <f>A2280+1</f>
        <v>344</v>
      </c>
      <c r="B2295" s="1320" t="s">
        <v>2078</v>
      </c>
      <c r="C2295" s="1320"/>
      <c r="D2295" s="1320" t="s">
        <v>2086</v>
      </c>
      <c r="E2295" s="1320"/>
      <c r="F2295" s="669" t="s">
        <v>645</v>
      </c>
      <c r="G2295" s="698"/>
      <c r="H2295" s="698"/>
      <c r="I2295" s="698"/>
      <c r="J2295" s="698"/>
      <c r="K2295" s="670"/>
      <c r="L2295" s="670"/>
      <c r="M2295" s="670"/>
      <c r="N2295" s="698"/>
      <c r="O2295" s="699" t="s">
        <v>1562</v>
      </c>
      <c r="P2295" s="672"/>
      <c r="Q2295" s="688">
        <v>30</v>
      </c>
      <c r="R2295" s="688">
        <f>(Q2295)</f>
        <v>30</v>
      </c>
      <c r="T2295" s="690">
        <f t="shared" ref="T2295:T2307" si="531">ROUND(S2295/R2295,4)</f>
        <v>0</v>
      </c>
    </row>
    <row r="2296" spans="1:22" s="688" customFormat="1" ht="17.100000000000001" customHeight="1">
      <c r="A2296" s="1316" t="s">
        <v>1676</v>
      </c>
      <c r="B2296" s="1317"/>
      <c r="C2296" s="1316" t="s">
        <v>2033</v>
      </c>
      <c r="D2296" s="1317"/>
      <c r="E2296" s="675"/>
      <c r="F2296" s="676" t="s">
        <v>915</v>
      </c>
      <c r="G2296" s="670"/>
      <c r="H2296" s="670"/>
      <c r="I2296" s="670"/>
      <c r="J2296" s="670"/>
      <c r="K2296" s="670"/>
      <c r="L2296" s="670"/>
      <c r="M2296" s="670"/>
      <c r="N2296" s="670"/>
      <c r="O2296" s="671"/>
      <c r="P2296" s="672"/>
      <c r="Q2296" s="688">
        <f t="shared" ref="Q2296:R2307" si="532">Q2295</f>
        <v>30</v>
      </c>
      <c r="R2296" s="688">
        <f t="shared" si="532"/>
        <v>30</v>
      </c>
      <c r="T2296" s="690">
        <f t="shared" si="531"/>
        <v>0</v>
      </c>
      <c r="U2296" s="665"/>
      <c r="V2296" s="665"/>
    </row>
    <row r="2297" spans="1:22" s="665" customFormat="1" ht="17.100000000000001" customHeight="1">
      <c r="A2297" s="1316" t="s">
        <v>1676</v>
      </c>
      <c r="B2297" s="1317"/>
      <c r="C2297" s="1316" t="s">
        <v>1677</v>
      </c>
      <c r="D2297" s="1317"/>
      <c r="E2297" s="675"/>
      <c r="F2297" s="676" t="s">
        <v>915</v>
      </c>
      <c r="G2297" s="670"/>
      <c r="H2297" s="670"/>
      <c r="I2297" s="670"/>
      <c r="J2297" s="670"/>
      <c r="K2297" s="670"/>
      <c r="L2297" s="670"/>
      <c r="M2297" s="670"/>
      <c r="N2297" s="670"/>
      <c r="O2297" s="671"/>
      <c r="P2297" s="672"/>
      <c r="Q2297" s="688">
        <f t="shared" si="532"/>
        <v>30</v>
      </c>
      <c r="R2297" s="688">
        <f t="shared" si="532"/>
        <v>30</v>
      </c>
      <c r="S2297" s="688"/>
      <c r="T2297" s="690">
        <f t="shared" si="531"/>
        <v>0</v>
      </c>
    </row>
    <row r="2298" spans="1:22" s="665" customFormat="1" ht="17.100000000000001" customHeight="1">
      <c r="A2298" s="1316" t="s">
        <v>830</v>
      </c>
      <c r="B2298" s="1317"/>
      <c r="C2298" s="1316" t="s">
        <v>1982</v>
      </c>
      <c r="D2298" s="1317"/>
      <c r="E2298" s="683">
        <v>0.63990000000000002</v>
      </c>
      <c r="F2298" s="676" t="s">
        <v>850</v>
      </c>
      <c r="G2298" s="670" t="e">
        <f>#REF!</f>
        <v>#REF!</v>
      </c>
      <c r="H2298" s="670" t="e">
        <f>INT(E2298*G2298)</f>
        <v>#REF!</v>
      </c>
      <c r="I2298" s="670"/>
      <c r="J2298" s="670"/>
      <c r="K2298" s="670"/>
      <c r="L2298" s="670"/>
      <c r="M2298" s="670" t="e">
        <f t="shared" ref="M2298:N2308" si="533">G2298+I2298+K2298</f>
        <v>#REF!</v>
      </c>
      <c r="N2298" s="670" t="e">
        <f t="shared" si="533"/>
        <v>#REF!</v>
      </c>
      <c r="O2298" s="671"/>
      <c r="P2298" s="672"/>
      <c r="Q2298" s="688">
        <f t="shared" si="532"/>
        <v>30</v>
      </c>
      <c r="R2298" s="688">
        <f t="shared" si="532"/>
        <v>30</v>
      </c>
      <c r="S2298" s="688"/>
      <c r="T2298" s="690">
        <f t="shared" si="531"/>
        <v>0</v>
      </c>
    </row>
    <row r="2299" spans="1:22" s="665" customFormat="1" ht="17.100000000000001" customHeight="1">
      <c r="A2299" s="1316" t="s">
        <v>1992</v>
      </c>
      <c r="B2299" s="1317"/>
      <c r="C2299" s="1316" t="s">
        <v>2004</v>
      </c>
      <c r="D2299" s="1317"/>
      <c r="E2299" s="675">
        <v>0.75</v>
      </c>
      <c r="F2299" s="676" t="s">
        <v>801</v>
      </c>
      <c r="G2299" s="670" t="e">
        <f>#REF!</f>
        <v>#REF!</v>
      </c>
      <c r="H2299" s="670" t="e">
        <f>INT(E2299*G2299)</f>
        <v>#REF!</v>
      </c>
      <c r="I2299" s="670"/>
      <c r="J2299" s="670"/>
      <c r="K2299" s="670">
        <f>[53]운반공!$BI$584</f>
        <v>45</v>
      </c>
      <c r="L2299" s="670">
        <f>INT(E2299*K2299)</f>
        <v>33</v>
      </c>
      <c r="M2299" s="670" t="e">
        <f t="shared" si="533"/>
        <v>#REF!</v>
      </c>
      <c r="N2299" s="670" t="e">
        <f t="shared" si="533"/>
        <v>#REF!</v>
      </c>
      <c r="O2299" s="671"/>
      <c r="P2299" s="672"/>
      <c r="Q2299" s="688">
        <f t="shared" si="532"/>
        <v>30</v>
      </c>
      <c r="R2299" s="688">
        <f t="shared" si="532"/>
        <v>30</v>
      </c>
      <c r="S2299" s="688"/>
      <c r="T2299" s="690">
        <f t="shared" si="531"/>
        <v>0</v>
      </c>
      <c r="U2299" s="688"/>
      <c r="V2299" s="688"/>
    </row>
    <row r="2300" spans="1:22" s="688" customFormat="1" ht="17.100000000000001" customHeight="1">
      <c r="A2300" s="1316" t="s">
        <v>1992</v>
      </c>
      <c r="B2300" s="1317"/>
      <c r="C2300" s="1316" t="s">
        <v>2023</v>
      </c>
      <c r="D2300" s="1317"/>
      <c r="E2300" s="679">
        <v>0.3</v>
      </c>
      <c r="F2300" s="676" t="s">
        <v>801</v>
      </c>
      <c r="G2300" s="670" t="e">
        <f>#REF!</f>
        <v>#REF!</v>
      </c>
      <c r="H2300" s="670" t="e">
        <f>INT(E2300*G2300)</f>
        <v>#REF!</v>
      </c>
      <c r="I2300" s="670"/>
      <c r="J2300" s="670"/>
      <c r="K2300" s="670">
        <f>[53]운반공!$BI$584</f>
        <v>45</v>
      </c>
      <c r="L2300" s="670">
        <f>INT(E2300*K2300)</f>
        <v>13</v>
      </c>
      <c r="M2300" s="670" t="e">
        <f t="shared" si="533"/>
        <v>#REF!</v>
      </c>
      <c r="N2300" s="670" t="e">
        <f t="shared" si="533"/>
        <v>#REF!</v>
      </c>
      <c r="O2300" s="671"/>
      <c r="P2300" s="672"/>
      <c r="Q2300" s="688">
        <f t="shared" si="532"/>
        <v>30</v>
      </c>
      <c r="R2300" s="688">
        <f t="shared" si="532"/>
        <v>30</v>
      </c>
      <c r="S2300" s="688">
        <v>2</v>
      </c>
      <c r="T2300" s="690">
        <f t="shared" si="531"/>
        <v>6.6699999999999995E-2</v>
      </c>
    </row>
    <row r="2301" spans="1:22" s="688" customFormat="1" ht="17.100000000000001" customHeight="1">
      <c r="A2301" s="1316" t="s">
        <v>540</v>
      </c>
      <c r="B2301" s="1317"/>
      <c r="C2301" s="1316"/>
      <c r="D2301" s="1317"/>
      <c r="E2301" s="683">
        <v>0.12709999999999999</v>
      </c>
      <c r="F2301" s="676" t="s">
        <v>366</v>
      </c>
      <c r="G2301" s="670"/>
      <c r="H2301" s="670"/>
      <c r="I2301" s="670">
        <f>[53]노임단가!$T$22</f>
        <v>273308</v>
      </c>
      <c r="J2301" s="670">
        <f t="shared" ref="J2301:J2308" si="534">INT(E2301*I2301)</f>
        <v>34737</v>
      </c>
      <c r="K2301" s="670"/>
      <c r="L2301" s="670"/>
      <c r="M2301" s="670">
        <f t="shared" si="533"/>
        <v>273308</v>
      </c>
      <c r="N2301" s="670">
        <f t="shared" si="533"/>
        <v>34737</v>
      </c>
      <c r="O2301" s="671"/>
      <c r="P2301" s="672"/>
      <c r="Q2301" s="688">
        <f t="shared" si="532"/>
        <v>30</v>
      </c>
      <c r="R2301" s="688">
        <f t="shared" si="532"/>
        <v>30</v>
      </c>
      <c r="S2301" s="688">
        <v>1</v>
      </c>
      <c r="T2301" s="690">
        <f t="shared" si="531"/>
        <v>3.3300000000000003E-2</v>
      </c>
    </row>
    <row r="2302" spans="1:22" s="688" customFormat="1" ht="17.100000000000001" customHeight="1">
      <c r="A2302" s="1316" t="s">
        <v>248</v>
      </c>
      <c r="B2302" s="1317"/>
      <c r="C2302" s="1316"/>
      <c r="D2302" s="1317"/>
      <c r="E2302" s="683">
        <v>4.24E-2</v>
      </c>
      <c r="F2302" s="676" t="s">
        <v>366</v>
      </c>
      <c r="G2302" s="670"/>
      <c r="H2302" s="670"/>
      <c r="I2302" s="670">
        <f>[53]노임단가!$T$5</f>
        <v>172068</v>
      </c>
      <c r="J2302" s="670">
        <f t="shared" si="534"/>
        <v>7295</v>
      </c>
      <c r="K2302" s="670"/>
      <c r="L2302" s="670"/>
      <c r="M2302" s="670">
        <f t="shared" si="533"/>
        <v>172068</v>
      </c>
      <c r="N2302" s="670">
        <f t="shared" si="533"/>
        <v>7295</v>
      </c>
      <c r="O2302" s="671"/>
      <c r="P2302" s="672"/>
      <c r="Q2302" s="688">
        <f t="shared" si="532"/>
        <v>30</v>
      </c>
      <c r="R2302" s="688">
        <f t="shared" si="532"/>
        <v>30</v>
      </c>
      <c r="S2302" s="688">
        <v>3</v>
      </c>
      <c r="T2302" s="690">
        <f t="shared" si="531"/>
        <v>0.1</v>
      </c>
    </row>
    <row r="2303" spans="1:22" s="688" customFormat="1" ht="17.100000000000001" customHeight="1">
      <c r="A2303" s="1316" t="s">
        <v>409</v>
      </c>
      <c r="B2303" s="1317"/>
      <c r="C2303" s="1316" t="s">
        <v>394</v>
      </c>
      <c r="D2303" s="1317"/>
      <c r="E2303" s="683">
        <v>0.33900000000000002</v>
      </c>
      <c r="F2303" s="676" t="s">
        <v>418</v>
      </c>
      <c r="G2303" s="670" t="e">
        <f>#REF!</f>
        <v>#REF!</v>
      </c>
      <c r="H2303" s="670" t="e">
        <f t="shared" ref="H2303:H2308" si="535">INT(E2303*G2303)</f>
        <v>#REF!</v>
      </c>
      <c r="I2303" s="670" t="e">
        <f>#REF!</f>
        <v>#REF!</v>
      </c>
      <c r="J2303" s="670" t="e">
        <f t="shared" si="534"/>
        <v>#REF!</v>
      </c>
      <c r="K2303" s="670" t="e">
        <f>#REF!</f>
        <v>#REF!</v>
      </c>
      <c r="L2303" s="670" t="e">
        <f t="shared" ref="L2303:L2308" si="536">INT(E2303*K2303)</f>
        <v>#REF!</v>
      </c>
      <c r="M2303" s="670" t="e">
        <f t="shared" si="533"/>
        <v>#REF!</v>
      </c>
      <c r="N2303" s="670" t="e">
        <f t="shared" si="533"/>
        <v>#REF!</v>
      </c>
      <c r="O2303" s="671"/>
      <c r="P2303" s="672"/>
      <c r="Q2303" s="688">
        <f t="shared" si="532"/>
        <v>30</v>
      </c>
      <c r="R2303" s="688">
        <f t="shared" si="532"/>
        <v>30</v>
      </c>
      <c r="S2303" s="688">
        <v>8</v>
      </c>
      <c r="T2303" s="690">
        <f t="shared" si="531"/>
        <v>0.26669999999999999</v>
      </c>
    </row>
    <row r="2304" spans="1:22" s="688" customFormat="1" ht="17.100000000000001" customHeight="1">
      <c r="A2304" s="1316" t="s">
        <v>554</v>
      </c>
      <c r="B2304" s="1317"/>
      <c r="C2304" s="1316" t="s">
        <v>1181</v>
      </c>
      <c r="D2304" s="1317"/>
      <c r="E2304" s="683">
        <v>0.33900000000000002</v>
      </c>
      <c r="F2304" s="676" t="s">
        <v>418</v>
      </c>
      <c r="G2304" s="670" t="e">
        <f>$G$1661</f>
        <v>#REF!</v>
      </c>
      <c r="H2304" s="670" t="e">
        <f t="shared" si="535"/>
        <v>#REF!</v>
      </c>
      <c r="I2304" s="670" t="e">
        <f>$I$1661</f>
        <v>#REF!</v>
      </c>
      <c r="J2304" s="670" t="e">
        <f t="shared" si="534"/>
        <v>#REF!</v>
      </c>
      <c r="K2304" s="670" t="e">
        <f>$K$1661</f>
        <v>#REF!</v>
      </c>
      <c r="L2304" s="670" t="e">
        <f t="shared" si="536"/>
        <v>#REF!</v>
      </c>
      <c r="M2304" s="670" t="e">
        <f t="shared" si="533"/>
        <v>#REF!</v>
      </c>
      <c r="N2304" s="670" t="e">
        <f t="shared" si="533"/>
        <v>#REF!</v>
      </c>
      <c r="O2304" s="671"/>
      <c r="P2304" s="672"/>
      <c r="Q2304" s="688">
        <f t="shared" si="532"/>
        <v>30</v>
      </c>
      <c r="R2304" s="688">
        <f t="shared" si="532"/>
        <v>30</v>
      </c>
      <c r="S2304" s="688">
        <v>8</v>
      </c>
      <c r="T2304" s="690">
        <f t="shared" si="531"/>
        <v>0.26669999999999999</v>
      </c>
    </row>
    <row r="2305" spans="1:22" s="688" customFormat="1" ht="17.100000000000001" customHeight="1">
      <c r="A2305" s="1316" t="s">
        <v>465</v>
      </c>
      <c r="B2305" s="1317"/>
      <c r="C2305" s="1316" t="s">
        <v>466</v>
      </c>
      <c r="D2305" s="1317"/>
      <c r="E2305" s="683">
        <v>0.33900000000000002</v>
      </c>
      <c r="F2305" s="676" t="s">
        <v>418</v>
      </c>
      <c r="G2305" s="670" t="e">
        <f>#REF!</f>
        <v>#REF!</v>
      </c>
      <c r="H2305" s="750" t="e">
        <f>INT(E2305*G2305)</f>
        <v>#REF!</v>
      </c>
      <c r="I2305" s="670" t="e">
        <f>#REF!</f>
        <v>#REF!</v>
      </c>
      <c r="J2305" s="750" t="e">
        <f t="shared" si="534"/>
        <v>#REF!</v>
      </c>
      <c r="K2305" s="670" t="e">
        <f>#REF!</f>
        <v>#REF!</v>
      </c>
      <c r="L2305" s="750" t="e">
        <f>INT(E2305*K2305)</f>
        <v>#REF!</v>
      </c>
      <c r="M2305" s="670" t="e">
        <f t="shared" si="533"/>
        <v>#REF!</v>
      </c>
      <c r="N2305" s="670" t="e">
        <f t="shared" si="533"/>
        <v>#REF!</v>
      </c>
      <c r="O2305" s="671"/>
      <c r="P2305" s="672"/>
      <c r="Q2305" s="688">
        <f t="shared" si="532"/>
        <v>30</v>
      </c>
      <c r="R2305" s="688">
        <f t="shared" si="532"/>
        <v>30</v>
      </c>
      <c r="S2305" s="688">
        <v>8</v>
      </c>
      <c r="T2305" s="690">
        <f t="shared" si="531"/>
        <v>0.26669999999999999</v>
      </c>
      <c r="U2305" s="665"/>
      <c r="V2305" s="665"/>
    </row>
    <row r="2306" spans="1:22" s="665" customFormat="1" ht="17.100000000000001" customHeight="1">
      <c r="A2306" s="1316" t="s">
        <v>1217</v>
      </c>
      <c r="B2306" s="1317"/>
      <c r="C2306" s="1316" t="s">
        <v>1218</v>
      </c>
      <c r="D2306" s="1317"/>
      <c r="E2306" s="683">
        <v>0.33900000000000002</v>
      </c>
      <c r="F2306" s="676" t="s">
        <v>418</v>
      </c>
      <c r="G2306" s="670" t="e">
        <f>#REF!</f>
        <v>#REF!</v>
      </c>
      <c r="H2306" s="670" t="e">
        <f t="shared" si="535"/>
        <v>#REF!</v>
      </c>
      <c r="I2306" s="670" t="e">
        <f>#REF!</f>
        <v>#REF!</v>
      </c>
      <c r="J2306" s="670" t="e">
        <f t="shared" si="534"/>
        <v>#REF!</v>
      </c>
      <c r="K2306" s="670" t="e">
        <f>#REF!</f>
        <v>#REF!</v>
      </c>
      <c r="L2306" s="670" t="e">
        <f t="shared" si="536"/>
        <v>#REF!</v>
      </c>
      <c r="M2306" s="670" t="e">
        <f t="shared" si="533"/>
        <v>#REF!</v>
      </c>
      <c r="N2306" s="670" t="e">
        <f t="shared" si="533"/>
        <v>#REF!</v>
      </c>
      <c r="O2306" s="671"/>
      <c r="P2306" s="672"/>
      <c r="Q2306" s="688">
        <f t="shared" si="532"/>
        <v>30</v>
      </c>
      <c r="R2306" s="688">
        <f t="shared" si="532"/>
        <v>30</v>
      </c>
      <c r="S2306" s="688">
        <v>8</v>
      </c>
      <c r="T2306" s="690">
        <f t="shared" si="531"/>
        <v>0.26669999999999999</v>
      </c>
      <c r="U2306" s="688"/>
      <c r="V2306" s="688"/>
    </row>
    <row r="2307" spans="1:22" s="688" customFormat="1" ht="17.100000000000001" customHeight="1">
      <c r="A2307" s="1316" t="s">
        <v>1161</v>
      </c>
      <c r="B2307" s="1317"/>
      <c r="C2307" s="1316" t="s">
        <v>2064</v>
      </c>
      <c r="D2307" s="1317"/>
      <c r="E2307" s="683">
        <v>0.33900000000000002</v>
      </c>
      <c r="F2307" s="676" t="s">
        <v>418</v>
      </c>
      <c r="G2307" s="670" t="e">
        <f>#REF!</f>
        <v>#REF!</v>
      </c>
      <c r="H2307" s="670" t="e">
        <f t="shared" si="535"/>
        <v>#REF!</v>
      </c>
      <c r="I2307" s="670" t="e">
        <f>#REF!</f>
        <v>#REF!</v>
      </c>
      <c r="J2307" s="670" t="e">
        <f t="shared" si="534"/>
        <v>#REF!</v>
      </c>
      <c r="K2307" s="670" t="e">
        <f>#REF!</f>
        <v>#REF!</v>
      </c>
      <c r="L2307" s="670" t="e">
        <f t="shared" si="536"/>
        <v>#REF!</v>
      </c>
      <c r="M2307" s="670" t="e">
        <f t="shared" si="533"/>
        <v>#REF!</v>
      </c>
      <c r="N2307" s="670" t="e">
        <f t="shared" si="533"/>
        <v>#REF!</v>
      </c>
      <c r="O2307" s="671"/>
      <c r="P2307" s="672"/>
      <c r="Q2307" s="688">
        <f t="shared" si="532"/>
        <v>30</v>
      </c>
      <c r="R2307" s="688">
        <f t="shared" si="532"/>
        <v>30</v>
      </c>
      <c r="S2307" s="688">
        <v>8</v>
      </c>
      <c r="T2307" s="690">
        <f t="shared" si="531"/>
        <v>0.26669999999999999</v>
      </c>
    </row>
    <row r="2308" spans="1:22" s="688" customFormat="1" ht="17.100000000000001" customHeight="1">
      <c r="A2308" s="1316" t="s">
        <v>1161</v>
      </c>
      <c r="B2308" s="1317"/>
      <c r="C2308" s="1316" t="s">
        <v>2065</v>
      </c>
      <c r="D2308" s="1317"/>
      <c r="E2308" s="683">
        <v>0.33900000000000002</v>
      </c>
      <c r="F2308" s="676" t="s">
        <v>418</v>
      </c>
      <c r="G2308" s="670" t="e">
        <f>#REF!</f>
        <v>#REF!</v>
      </c>
      <c r="H2308" s="670" t="e">
        <f t="shared" si="535"/>
        <v>#REF!</v>
      </c>
      <c r="I2308" s="670" t="e">
        <f>#REF!</f>
        <v>#REF!</v>
      </c>
      <c r="J2308" s="670" t="e">
        <f t="shared" si="534"/>
        <v>#REF!</v>
      </c>
      <c r="K2308" s="670" t="e">
        <f>#REF!</f>
        <v>#REF!</v>
      </c>
      <c r="L2308" s="670" t="e">
        <f t="shared" si="536"/>
        <v>#REF!</v>
      </c>
      <c r="M2308" s="670" t="e">
        <f t="shared" si="533"/>
        <v>#REF!</v>
      </c>
      <c r="N2308" s="670" t="e">
        <f t="shared" si="533"/>
        <v>#REF!</v>
      </c>
      <c r="O2308" s="671"/>
      <c r="P2308" s="672"/>
    </row>
    <row r="2309" spans="1:22" s="665" customFormat="1" ht="17.100000000000001" customHeight="1">
      <c r="A2309" s="1318" t="s">
        <v>1320</v>
      </c>
      <c r="B2309" s="1319"/>
      <c r="C2309" s="1316"/>
      <c r="D2309" s="1317"/>
      <c r="E2309" s="686"/>
      <c r="F2309" s="676"/>
      <c r="G2309" s="670"/>
      <c r="H2309" s="670" t="e">
        <f>SUM(H2296:H2308)</f>
        <v>#REF!</v>
      </c>
      <c r="I2309" s="670"/>
      <c r="J2309" s="670" t="e">
        <f>SUM(J2296:J2308)</f>
        <v>#REF!</v>
      </c>
      <c r="K2309" s="670"/>
      <c r="L2309" s="670" t="e">
        <f>SUM(L2296:L2308)</f>
        <v>#REF!</v>
      </c>
      <c r="M2309" s="670"/>
      <c r="N2309" s="670" t="e">
        <f>SUM(N2296:N2308)</f>
        <v>#REF!</v>
      </c>
      <c r="O2309" s="671"/>
      <c r="P2309" s="672"/>
      <c r="Q2309" s="688"/>
      <c r="R2309" s="688"/>
      <c r="S2309" s="688"/>
      <c r="T2309" s="688"/>
    </row>
    <row r="2310" spans="1:22" s="665" customFormat="1" ht="17.100000000000001" customHeight="1">
      <c r="A2310" s="668">
        <f>A2295+1</f>
        <v>345</v>
      </c>
      <c r="B2310" s="1320" t="s">
        <v>2078</v>
      </c>
      <c r="C2310" s="1320"/>
      <c r="D2310" s="1320" t="s">
        <v>2087</v>
      </c>
      <c r="E2310" s="1320"/>
      <c r="F2310" s="669" t="s">
        <v>645</v>
      </c>
      <c r="G2310" s="698"/>
      <c r="H2310" s="698"/>
      <c r="I2310" s="698"/>
      <c r="J2310" s="698"/>
      <c r="K2310" s="670"/>
      <c r="L2310" s="670"/>
      <c r="M2310" s="670"/>
      <c r="N2310" s="698"/>
      <c r="O2310" s="699" t="s">
        <v>1562</v>
      </c>
      <c r="P2310" s="672" t="s">
        <v>2074</v>
      </c>
      <c r="Q2310" s="687" t="s">
        <v>1446</v>
      </c>
      <c r="R2310" s="688" t="s">
        <v>1876</v>
      </c>
      <c r="S2310" s="688" t="s">
        <v>1425</v>
      </c>
      <c r="T2310" s="688" t="s">
        <v>1426</v>
      </c>
      <c r="U2310" s="688"/>
      <c r="V2310" s="688"/>
    </row>
    <row r="2311" spans="1:22" s="688" customFormat="1" ht="17.100000000000001" customHeight="1">
      <c r="A2311" s="1316" t="s">
        <v>1676</v>
      </c>
      <c r="B2311" s="1317"/>
      <c r="C2311" s="1316" t="s">
        <v>2033</v>
      </c>
      <c r="D2311" s="1317"/>
      <c r="E2311" s="675"/>
      <c r="F2311" s="676" t="s">
        <v>915</v>
      </c>
      <c r="G2311" s="670"/>
      <c r="H2311" s="670"/>
      <c r="I2311" s="670"/>
      <c r="J2311" s="670"/>
      <c r="K2311" s="670"/>
      <c r="L2311" s="670"/>
      <c r="M2311" s="670"/>
      <c r="N2311" s="670"/>
      <c r="O2311" s="671"/>
      <c r="P2311" s="672"/>
      <c r="Q2311" s="688">
        <v>85</v>
      </c>
      <c r="R2311" s="688">
        <f>Q2311</f>
        <v>85</v>
      </c>
      <c r="T2311" s="690">
        <f t="shared" ref="T2311:T2322" si="537">ROUND(S2311/R2311,4)</f>
        <v>0</v>
      </c>
    </row>
    <row r="2312" spans="1:22" s="688" customFormat="1" ht="17.100000000000001" customHeight="1">
      <c r="A2312" s="1316" t="s">
        <v>1676</v>
      </c>
      <c r="B2312" s="1317"/>
      <c r="C2312" s="1316" t="s">
        <v>1677</v>
      </c>
      <c r="D2312" s="1317"/>
      <c r="E2312" s="675"/>
      <c r="F2312" s="676" t="s">
        <v>915</v>
      </c>
      <c r="G2312" s="670"/>
      <c r="H2312" s="670"/>
      <c r="I2312" s="670"/>
      <c r="J2312" s="670"/>
      <c r="K2312" s="670"/>
      <c r="L2312" s="670"/>
      <c r="M2312" s="670"/>
      <c r="N2312" s="670"/>
      <c r="O2312" s="671"/>
      <c r="P2312" s="672"/>
      <c r="Q2312" s="688">
        <f t="shared" ref="Q2312:R2324" si="538">Q2311</f>
        <v>85</v>
      </c>
      <c r="R2312" s="688">
        <f t="shared" si="538"/>
        <v>85</v>
      </c>
      <c r="T2312" s="690">
        <f t="shared" si="537"/>
        <v>0</v>
      </c>
    </row>
    <row r="2313" spans="1:22" s="688" customFormat="1" ht="17.100000000000001" customHeight="1">
      <c r="A2313" s="1316" t="s">
        <v>830</v>
      </c>
      <c r="B2313" s="1317"/>
      <c r="C2313" s="1316" t="s">
        <v>1982</v>
      </c>
      <c r="D2313" s="1317"/>
      <c r="E2313" s="683">
        <v>0.63990000000000002</v>
      </c>
      <c r="F2313" s="676" t="s">
        <v>850</v>
      </c>
      <c r="G2313" s="670" t="e">
        <f>#REF!</f>
        <v>#REF!</v>
      </c>
      <c r="H2313" s="670" t="e">
        <f>INT(E2313*G2313)</f>
        <v>#REF!</v>
      </c>
      <c r="I2313" s="670"/>
      <c r="J2313" s="670"/>
      <c r="K2313" s="670"/>
      <c r="L2313" s="670"/>
      <c r="M2313" s="670" t="e">
        <f t="shared" ref="M2313:N2323" si="539">G2313+I2313+K2313</f>
        <v>#REF!</v>
      </c>
      <c r="N2313" s="670" t="e">
        <f t="shared" si="539"/>
        <v>#REF!</v>
      </c>
      <c r="O2313" s="671"/>
      <c r="P2313" s="672"/>
      <c r="Q2313" s="688">
        <f t="shared" si="538"/>
        <v>85</v>
      </c>
      <c r="R2313" s="688">
        <f t="shared" si="538"/>
        <v>85</v>
      </c>
      <c r="T2313" s="690">
        <f t="shared" si="537"/>
        <v>0</v>
      </c>
    </row>
    <row r="2314" spans="1:22" s="688" customFormat="1" ht="17.100000000000001" customHeight="1">
      <c r="A2314" s="1316" t="s">
        <v>1992</v>
      </c>
      <c r="B2314" s="1317"/>
      <c r="C2314" s="1316" t="s">
        <v>2004</v>
      </c>
      <c r="D2314" s="1317"/>
      <c r="E2314" s="675">
        <v>0.75</v>
      </c>
      <c r="F2314" s="676" t="s">
        <v>801</v>
      </c>
      <c r="G2314" s="670" t="e">
        <f>#REF!</f>
        <v>#REF!</v>
      </c>
      <c r="H2314" s="670" t="e">
        <f>INT(E2314*G2314)</f>
        <v>#REF!</v>
      </c>
      <c r="I2314" s="670"/>
      <c r="J2314" s="670"/>
      <c r="K2314" s="670">
        <f>[53]운반공!$BI$584</f>
        <v>45</v>
      </c>
      <c r="L2314" s="670">
        <f>INT(E2314*K2314)</f>
        <v>33</v>
      </c>
      <c r="M2314" s="670" t="e">
        <f t="shared" si="539"/>
        <v>#REF!</v>
      </c>
      <c r="N2314" s="670" t="e">
        <f t="shared" si="539"/>
        <v>#REF!</v>
      </c>
      <c r="O2314" s="671"/>
      <c r="P2314" s="672"/>
      <c r="Q2314" s="688">
        <f t="shared" si="538"/>
        <v>85</v>
      </c>
      <c r="R2314" s="688">
        <f t="shared" si="538"/>
        <v>85</v>
      </c>
      <c r="T2314" s="690">
        <f t="shared" si="537"/>
        <v>0</v>
      </c>
    </row>
    <row r="2315" spans="1:22" s="688" customFormat="1" ht="17.100000000000001" customHeight="1">
      <c r="A2315" s="1316" t="s">
        <v>1992</v>
      </c>
      <c r="B2315" s="1317"/>
      <c r="C2315" s="1316" t="s">
        <v>2023</v>
      </c>
      <c r="D2315" s="1317"/>
      <c r="E2315" s="679">
        <v>0.3</v>
      </c>
      <c r="F2315" s="676" t="s">
        <v>801</v>
      </c>
      <c r="G2315" s="670" t="e">
        <f>#REF!</f>
        <v>#REF!</v>
      </c>
      <c r="H2315" s="670" t="e">
        <f>INT(E2315*G2315)</f>
        <v>#REF!</v>
      </c>
      <c r="I2315" s="670"/>
      <c r="J2315" s="670"/>
      <c r="K2315" s="670">
        <f>[53]운반공!$BI$584</f>
        <v>45</v>
      </c>
      <c r="L2315" s="670">
        <f>INT(E2315*K2315)</f>
        <v>13</v>
      </c>
      <c r="M2315" s="670" t="e">
        <f t="shared" si="539"/>
        <v>#REF!</v>
      </c>
      <c r="N2315" s="670" t="e">
        <f t="shared" si="539"/>
        <v>#REF!</v>
      </c>
      <c r="O2315" s="671"/>
      <c r="P2315" s="672"/>
      <c r="Q2315" s="688">
        <f t="shared" si="538"/>
        <v>85</v>
      </c>
      <c r="R2315" s="688">
        <f t="shared" si="538"/>
        <v>85</v>
      </c>
      <c r="T2315" s="690">
        <f t="shared" si="537"/>
        <v>0</v>
      </c>
    </row>
    <row r="2316" spans="1:22" s="688" customFormat="1" ht="17.100000000000001" customHeight="1">
      <c r="A2316" s="1316" t="s">
        <v>540</v>
      </c>
      <c r="B2316" s="1317"/>
      <c r="C2316" s="1316"/>
      <c r="D2316" s="1317"/>
      <c r="E2316" s="683">
        <v>0.17649999999999999</v>
      </c>
      <c r="F2316" s="676" t="s">
        <v>366</v>
      </c>
      <c r="G2316" s="670"/>
      <c r="H2316" s="670"/>
      <c r="I2316" s="670">
        <f>[53]노임단가!$T$22</f>
        <v>273308</v>
      </c>
      <c r="J2316" s="670">
        <f t="shared" ref="J2316:J2323" si="540">INT(E2316*I2316)</f>
        <v>48238</v>
      </c>
      <c r="K2316" s="670"/>
      <c r="L2316" s="670"/>
      <c r="M2316" s="670">
        <f t="shared" si="539"/>
        <v>273308</v>
      </c>
      <c r="N2316" s="670">
        <f t="shared" si="539"/>
        <v>48238</v>
      </c>
      <c r="O2316" s="671"/>
      <c r="P2316" s="672"/>
      <c r="Q2316" s="688">
        <f t="shared" si="538"/>
        <v>85</v>
      </c>
      <c r="R2316" s="688">
        <f t="shared" si="538"/>
        <v>85</v>
      </c>
      <c r="S2316" s="688">
        <v>4</v>
      </c>
      <c r="T2316" s="690">
        <f t="shared" si="537"/>
        <v>4.7100000000000003E-2</v>
      </c>
    </row>
    <row r="2317" spans="1:22" s="688" customFormat="1" ht="17.100000000000001" customHeight="1">
      <c r="A2317" s="1316" t="s">
        <v>248</v>
      </c>
      <c r="B2317" s="1317"/>
      <c r="C2317" s="1316"/>
      <c r="D2317" s="1317"/>
      <c r="E2317" s="683">
        <v>5.8799999999999998E-2</v>
      </c>
      <c r="F2317" s="676" t="s">
        <v>366</v>
      </c>
      <c r="G2317" s="670"/>
      <c r="H2317" s="670"/>
      <c r="I2317" s="670">
        <f>[53]노임단가!$T$5</f>
        <v>172068</v>
      </c>
      <c r="J2317" s="670">
        <f t="shared" si="540"/>
        <v>10117</v>
      </c>
      <c r="K2317" s="670"/>
      <c r="L2317" s="670"/>
      <c r="M2317" s="670">
        <f t="shared" si="539"/>
        <v>172068</v>
      </c>
      <c r="N2317" s="670">
        <f t="shared" si="539"/>
        <v>10117</v>
      </c>
      <c r="O2317" s="671"/>
      <c r="P2317" s="672"/>
      <c r="Q2317" s="688">
        <f t="shared" si="538"/>
        <v>85</v>
      </c>
      <c r="R2317" s="688">
        <f t="shared" si="538"/>
        <v>85</v>
      </c>
      <c r="S2317" s="688">
        <v>2</v>
      </c>
      <c r="T2317" s="690">
        <f t="shared" si="537"/>
        <v>2.35E-2</v>
      </c>
    </row>
    <row r="2318" spans="1:22" s="688" customFormat="1" ht="17.100000000000001" customHeight="1">
      <c r="A2318" s="1316" t="s">
        <v>409</v>
      </c>
      <c r="B2318" s="1317"/>
      <c r="C2318" s="1316" t="s">
        <v>394</v>
      </c>
      <c r="D2318" s="1317"/>
      <c r="E2318" s="683">
        <v>0.47060000000000002</v>
      </c>
      <c r="F2318" s="676" t="s">
        <v>418</v>
      </c>
      <c r="G2318" s="670" t="e">
        <f>#REF!</f>
        <v>#REF!</v>
      </c>
      <c r="H2318" s="670" t="e">
        <f t="shared" ref="H2318:H2323" si="541">INT(E2318*G2318)</f>
        <v>#REF!</v>
      </c>
      <c r="I2318" s="670" t="e">
        <f>#REF!</f>
        <v>#REF!</v>
      </c>
      <c r="J2318" s="670" t="e">
        <f t="shared" si="540"/>
        <v>#REF!</v>
      </c>
      <c r="K2318" s="670" t="e">
        <f>#REF!</f>
        <v>#REF!</v>
      </c>
      <c r="L2318" s="670" t="e">
        <f t="shared" ref="L2318:L2323" si="542">INT(E2318*K2318)</f>
        <v>#REF!</v>
      </c>
      <c r="M2318" s="670" t="e">
        <f t="shared" si="539"/>
        <v>#REF!</v>
      </c>
      <c r="N2318" s="670" t="e">
        <f t="shared" si="539"/>
        <v>#REF!</v>
      </c>
      <c r="O2318" s="671"/>
      <c r="P2318" s="672"/>
      <c r="Q2318" s="688">
        <f t="shared" si="538"/>
        <v>85</v>
      </c>
      <c r="R2318" s="688">
        <f t="shared" si="538"/>
        <v>85</v>
      </c>
      <c r="S2318" s="688">
        <v>8</v>
      </c>
      <c r="T2318" s="690">
        <f t="shared" si="537"/>
        <v>9.4100000000000003E-2</v>
      </c>
    </row>
    <row r="2319" spans="1:22" s="665" customFormat="1" ht="17.100000000000001" customHeight="1">
      <c r="A2319" s="1316" t="s">
        <v>554</v>
      </c>
      <c r="B2319" s="1317"/>
      <c r="C2319" s="1316" t="s">
        <v>1181</v>
      </c>
      <c r="D2319" s="1317"/>
      <c r="E2319" s="683">
        <v>0.47060000000000002</v>
      </c>
      <c r="F2319" s="676" t="s">
        <v>418</v>
      </c>
      <c r="G2319" s="670" t="e">
        <f>$G$1661</f>
        <v>#REF!</v>
      </c>
      <c r="H2319" s="670" t="e">
        <f t="shared" si="541"/>
        <v>#REF!</v>
      </c>
      <c r="I2319" s="670" t="e">
        <f>$I$1661</f>
        <v>#REF!</v>
      </c>
      <c r="J2319" s="670" t="e">
        <f t="shared" si="540"/>
        <v>#REF!</v>
      </c>
      <c r="K2319" s="670" t="e">
        <f>$K$1661</f>
        <v>#REF!</v>
      </c>
      <c r="L2319" s="670" t="e">
        <f t="shared" si="542"/>
        <v>#REF!</v>
      </c>
      <c r="M2319" s="670" t="e">
        <f t="shared" si="539"/>
        <v>#REF!</v>
      </c>
      <c r="N2319" s="670" t="e">
        <f t="shared" si="539"/>
        <v>#REF!</v>
      </c>
      <c r="O2319" s="671"/>
      <c r="P2319" s="672"/>
      <c r="Q2319" s="688">
        <f t="shared" si="538"/>
        <v>85</v>
      </c>
      <c r="R2319" s="688">
        <f t="shared" si="538"/>
        <v>85</v>
      </c>
      <c r="S2319" s="688">
        <v>8</v>
      </c>
      <c r="T2319" s="690">
        <f t="shared" si="537"/>
        <v>9.4100000000000003E-2</v>
      </c>
      <c r="U2319" s="688"/>
      <c r="V2319" s="688"/>
    </row>
    <row r="2320" spans="1:22" s="688" customFormat="1" ht="17.100000000000001" customHeight="1">
      <c r="A2320" s="1316" t="s">
        <v>465</v>
      </c>
      <c r="B2320" s="1317"/>
      <c r="C2320" s="1316" t="s">
        <v>466</v>
      </c>
      <c r="D2320" s="1317"/>
      <c r="E2320" s="683">
        <v>0.47060000000000002</v>
      </c>
      <c r="F2320" s="676" t="s">
        <v>418</v>
      </c>
      <c r="G2320" s="670" t="e">
        <f>#REF!</f>
        <v>#REF!</v>
      </c>
      <c r="H2320" s="750" t="e">
        <f>INT(E2320*G2320)</f>
        <v>#REF!</v>
      </c>
      <c r="I2320" s="670" t="e">
        <f>#REF!</f>
        <v>#REF!</v>
      </c>
      <c r="J2320" s="750" t="e">
        <f t="shared" si="540"/>
        <v>#REF!</v>
      </c>
      <c r="K2320" s="670" t="e">
        <f>#REF!</f>
        <v>#REF!</v>
      </c>
      <c r="L2320" s="750" t="e">
        <f>INT(E2320*K2320)</f>
        <v>#REF!</v>
      </c>
      <c r="M2320" s="670" t="e">
        <f t="shared" si="539"/>
        <v>#REF!</v>
      </c>
      <c r="N2320" s="670" t="e">
        <f t="shared" si="539"/>
        <v>#REF!</v>
      </c>
      <c r="O2320" s="671"/>
      <c r="P2320" s="672"/>
      <c r="Q2320" s="688">
        <f t="shared" si="538"/>
        <v>85</v>
      </c>
      <c r="R2320" s="688">
        <f t="shared" si="538"/>
        <v>85</v>
      </c>
      <c r="S2320" s="688">
        <v>8</v>
      </c>
      <c r="T2320" s="690">
        <f t="shared" si="537"/>
        <v>9.4100000000000003E-2</v>
      </c>
    </row>
    <row r="2321" spans="1:22" s="688" customFormat="1" ht="17.100000000000001" customHeight="1">
      <c r="A2321" s="1316" t="s">
        <v>1217</v>
      </c>
      <c r="B2321" s="1317"/>
      <c r="C2321" s="1316" t="s">
        <v>1218</v>
      </c>
      <c r="D2321" s="1317"/>
      <c r="E2321" s="683">
        <v>0.47060000000000002</v>
      </c>
      <c r="F2321" s="676" t="s">
        <v>418</v>
      </c>
      <c r="G2321" s="670" t="e">
        <f>#REF!</f>
        <v>#REF!</v>
      </c>
      <c r="H2321" s="670" t="e">
        <f t="shared" si="541"/>
        <v>#REF!</v>
      </c>
      <c r="I2321" s="670" t="e">
        <f>#REF!</f>
        <v>#REF!</v>
      </c>
      <c r="J2321" s="670" t="e">
        <f t="shared" si="540"/>
        <v>#REF!</v>
      </c>
      <c r="K2321" s="670" t="e">
        <f>#REF!</f>
        <v>#REF!</v>
      </c>
      <c r="L2321" s="670" t="e">
        <f t="shared" si="542"/>
        <v>#REF!</v>
      </c>
      <c r="M2321" s="670" t="e">
        <f t="shared" si="539"/>
        <v>#REF!</v>
      </c>
      <c r="N2321" s="670" t="e">
        <f t="shared" si="539"/>
        <v>#REF!</v>
      </c>
      <c r="O2321" s="671"/>
      <c r="P2321" s="672"/>
      <c r="Q2321" s="688">
        <f t="shared" si="538"/>
        <v>85</v>
      </c>
      <c r="R2321" s="688">
        <f t="shared" si="538"/>
        <v>85</v>
      </c>
      <c r="S2321" s="688">
        <v>8</v>
      </c>
      <c r="T2321" s="690">
        <f t="shared" si="537"/>
        <v>9.4100000000000003E-2</v>
      </c>
    </row>
    <row r="2322" spans="1:22" s="688" customFormat="1" ht="17.100000000000001" customHeight="1">
      <c r="A2322" s="1316" t="s">
        <v>1161</v>
      </c>
      <c r="B2322" s="1317"/>
      <c r="C2322" s="1316" t="s">
        <v>2064</v>
      </c>
      <c r="D2322" s="1317"/>
      <c r="E2322" s="683">
        <v>0.47060000000000002</v>
      </c>
      <c r="F2322" s="676" t="s">
        <v>418</v>
      </c>
      <c r="G2322" s="670" t="e">
        <f>#REF!</f>
        <v>#REF!</v>
      </c>
      <c r="H2322" s="670" t="e">
        <f t="shared" si="541"/>
        <v>#REF!</v>
      </c>
      <c r="I2322" s="670" t="e">
        <f>#REF!</f>
        <v>#REF!</v>
      </c>
      <c r="J2322" s="670" t="e">
        <f t="shared" si="540"/>
        <v>#REF!</v>
      </c>
      <c r="K2322" s="670" t="e">
        <f>#REF!</f>
        <v>#REF!</v>
      </c>
      <c r="L2322" s="670" t="e">
        <f t="shared" si="542"/>
        <v>#REF!</v>
      </c>
      <c r="M2322" s="670" t="e">
        <f t="shared" si="539"/>
        <v>#REF!</v>
      </c>
      <c r="N2322" s="670" t="e">
        <f t="shared" si="539"/>
        <v>#REF!</v>
      </c>
      <c r="O2322" s="671"/>
      <c r="P2322" s="672"/>
      <c r="Q2322" s="688">
        <f t="shared" si="538"/>
        <v>85</v>
      </c>
      <c r="R2322" s="688">
        <f t="shared" si="538"/>
        <v>85</v>
      </c>
      <c r="S2322" s="688">
        <v>8</v>
      </c>
      <c r="T2322" s="690">
        <f t="shared" si="537"/>
        <v>9.4100000000000003E-2</v>
      </c>
    </row>
    <row r="2323" spans="1:22" s="688" customFormat="1" ht="17.100000000000001" customHeight="1">
      <c r="A2323" s="1316" t="s">
        <v>1161</v>
      </c>
      <c r="B2323" s="1317"/>
      <c r="C2323" s="1316" t="s">
        <v>2065</v>
      </c>
      <c r="D2323" s="1317"/>
      <c r="E2323" s="683">
        <v>0.47060000000000002</v>
      </c>
      <c r="F2323" s="676" t="s">
        <v>418</v>
      </c>
      <c r="G2323" s="670" t="e">
        <f>#REF!</f>
        <v>#REF!</v>
      </c>
      <c r="H2323" s="670" t="e">
        <f t="shared" si="541"/>
        <v>#REF!</v>
      </c>
      <c r="I2323" s="670" t="e">
        <f>#REF!</f>
        <v>#REF!</v>
      </c>
      <c r="J2323" s="670" t="e">
        <f t="shared" si="540"/>
        <v>#REF!</v>
      </c>
      <c r="K2323" s="670" t="e">
        <f>#REF!</f>
        <v>#REF!</v>
      </c>
      <c r="L2323" s="670" t="e">
        <f t="shared" si="542"/>
        <v>#REF!</v>
      </c>
      <c r="M2323" s="670" t="e">
        <f t="shared" si="539"/>
        <v>#REF!</v>
      </c>
      <c r="N2323" s="670" t="e">
        <f t="shared" si="539"/>
        <v>#REF!</v>
      </c>
      <c r="O2323" s="671"/>
      <c r="P2323" s="672"/>
      <c r="Q2323" s="688">
        <f t="shared" si="538"/>
        <v>85</v>
      </c>
      <c r="R2323" s="688">
        <f t="shared" si="538"/>
        <v>85</v>
      </c>
      <c r="S2323" s="688">
        <v>8</v>
      </c>
      <c r="T2323" s="690">
        <f>ROUND(S2323/R2323,4)</f>
        <v>9.4100000000000003E-2</v>
      </c>
    </row>
    <row r="2324" spans="1:22" s="688" customFormat="1" ht="17.100000000000001" customHeight="1">
      <c r="A2324" s="1318" t="s">
        <v>1320</v>
      </c>
      <c r="B2324" s="1319"/>
      <c r="C2324" s="1316"/>
      <c r="D2324" s="1317"/>
      <c r="E2324" s="686"/>
      <c r="F2324" s="676"/>
      <c r="G2324" s="670"/>
      <c r="H2324" s="670" t="e">
        <f>SUM(H2311:H2323)</f>
        <v>#REF!</v>
      </c>
      <c r="I2324" s="670"/>
      <c r="J2324" s="670" t="e">
        <f>SUM(J2311:J2323)</f>
        <v>#REF!</v>
      </c>
      <c r="K2324" s="670"/>
      <c r="L2324" s="670" t="e">
        <f>SUM(L2311:L2323)</f>
        <v>#REF!</v>
      </c>
      <c r="M2324" s="670"/>
      <c r="N2324" s="670" t="e">
        <f>SUM(N2311:N2323)</f>
        <v>#REF!</v>
      </c>
      <c r="O2324" s="671"/>
      <c r="P2324" s="672"/>
      <c r="Q2324" s="688">
        <f t="shared" si="538"/>
        <v>85</v>
      </c>
      <c r="R2324" s="688">
        <f t="shared" si="538"/>
        <v>85</v>
      </c>
      <c r="S2324" s="688">
        <v>8</v>
      </c>
      <c r="T2324" s="690">
        <f>ROUND(S2324/R2324,4)</f>
        <v>9.4100000000000003E-2</v>
      </c>
    </row>
    <row r="2325" spans="1:22" s="665" customFormat="1" ht="17.100000000000001" customHeight="1">
      <c r="A2325" s="668">
        <f>A2310+1</f>
        <v>346</v>
      </c>
      <c r="B2325" s="1320" t="s">
        <v>2088</v>
      </c>
      <c r="C2325" s="1320"/>
      <c r="D2325" s="1320" t="s">
        <v>2089</v>
      </c>
      <c r="E2325" s="1320"/>
      <c r="F2325" s="669" t="s">
        <v>645</v>
      </c>
      <c r="G2325" s="698"/>
      <c r="H2325" s="698"/>
      <c r="I2325" s="698"/>
      <c r="J2325" s="698"/>
      <c r="K2325" s="670"/>
      <c r="L2325" s="670"/>
      <c r="M2325" s="670"/>
      <c r="N2325" s="698"/>
      <c r="O2325" s="699" t="s">
        <v>1562</v>
      </c>
      <c r="P2325" s="672"/>
      <c r="Q2325" s="688"/>
      <c r="R2325" s="688"/>
      <c r="S2325" s="688"/>
      <c r="T2325" s="688"/>
    </row>
    <row r="2326" spans="1:22" s="665" customFormat="1" ht="17.100000000000001" customHeight="1">
      <c r="A2326" s="1316" t="s">
        <v>1676</v>
      </c>
      <c r="B2326" s="1317"/>
      <c r="C2326" s="1316" t="s">
        <v>2090</v>
      </c>
      <c r="D2326" s="1317"/>
      <c r="E2326" s="675"/>
      <c r="F2326" s="676" t="s">
        <v>915</v>
      </c>
      <c r="G2326" s="670"/>
      <c r="H2326" s="670"/>
      <c r="I2326" s="670"/>
      <c r="J2326" s="670"/>
      <c r="K2326" s="670"/>
      <c r="L2326" s="670"/>
      <c r="M2326" s="670"/>
      <c r="N2326" s="670"/>
      <c r="O2326" s="671"/>
      <c r="P2326" s="672" t="s">
        <v>2074</v>
      </c>
      <c r="Q2326" s="687" t="s">
        <v>1446</v>
      </c>
      <c r="R2326" s="688" t="s">
        <v>1876</v>
      </c>
      <c r="S2326" s="688" t="s">
        <v>1425</v>
      </c>
      <c r="T2326" s="688" t="s">
        <v>1426</v>
      </c>
      <c r="U2326" s="688"/>
      <c r="V2326" s="688"/>
    </row>
    <row r="2327" spans="1:22" s="688" customFormat="1" ht="17.100000000000001" customHeight="1">
      <c r="A2327" s="1316" t="s">
        <v>1676</v>
      </c>
      <c r="B2327" s="1317"/>
      <c r="C2327" s="1316" t="s">
        <v>1677</v>
      </c>
      <c r="D2327" s="1317"/>
      <c r="E2327" s="675"/>
      <c r="F2327" s="676" t="s">
        <v>915</v>
      </c>
      <c r="G2327" s="670"/>
      <c r="H2327" s="670"/>
      <c r="I2327" s="670"/>
      <c r="J2327" s="670"/>
      <c r="K2327" s="670"/>
      <c r="L2327" s="670"/>
      <c r="M2327" s="670"/>
      <c r="N2327" s="670"/>
      <c r="O2327" s="671"/>
      <c r="P2327" s="672"/>
      <c r="Q2327" s="688">
        <f>85*1.13</f>
        <v>96.05</v>
      </c>
      <c r="R2327" s="688">
        <f>Q2327</f>
        <v>96.05</v>
      </c>
      <c r="T2327" s="690">
        <f t="shared" ref="T2327:T2340" si="543">ROUND(S2327/R2327,4)</f>
        <v>0</v>
      </c>
    </row>
    <row r="2328" spans="1:22" s="688" customFormat="1" ht="17.100000000000001" customHeight="1">
      <c r="A2328" s="1316" t="s">
        <v>830</v>
      </c>
      <c r="B2328" s="1317"/>
      <c r="C2328" s="1316" t="s">
        <v>1982</v>
      </c>
      <c r="D2328" s="1317"/>
      <c r="E2328" s="683">
        <v>0.63990000000000002</v>
      </c>
      <c r="F2328" s="676" t="s">
        <v>850</v>
      </c>
      <c r="G2328" s="670" t="e">
        <f>#REF!</f>
        <v>#REF!</v>
      </c>
      <c r="H2328" s="670" t="e">
        <f>INT(E2328*G2328)</f>
        <v>#REF!</v>
      </c>
      <c r="I2328" s="670"/>
      <c r="J2328" s="670"/>
      <c r="K2328" s="670"/>
      <c r="L2328" s="670"/>
      <c r="M2328" s="670" t="e">
        <f t="shared" ref="M2328:N2339" si="544">G2328+I2328+K2328</f>
        <v>#REF!</v>
      </c>
      <c r="N2328" s="670" t="e">
        <f>H2328+J2328+L2328</f>
        <v>#REF!</v>
      </c>
      <c r="O2328" s="671"/>
      <c r="P2328" s="672"/>
      <c r="Q2328" s="688">
        <f t="shared" ref="Q2328:R2340" si="545">Q2327</f>
        <v>96.05</v>
      </c>
      <c r="R2328" s="688">
        <f t="shared" si="545"/>
        <v>96.05</v>
      </c>
      <c r="T2328" s="690">
        <f t="shared" si="543"/>
        <v>0</v>
      </c>
    </row>
    <row r="2329" spans="1:22" s="688" customFormat="1" ht="17.100000000000001" customHeight="1">
      <c r="A2329" s="1316" t="s">
        <v>1992</v>
      </c>
      <c r="B2329" s="1317"/>
      <c r="C2329" s="1316" t="s">
        <v>2004</v>
      </c>
      <c r="D2329" s="1317"/>
      <c r="E2329" s="675">
        <v>0.75</v>
      </c>
      <c r="F2329" s="676" t="s">
        <v>801</v>
      </c>
      <c r="G2329" s="670" t="e">
        <f>#REF!</f>
        <v>#REF!</v>
      </c>
      <c r="H2329" s="670" t="e">
        <f>INT(E2329*G2329)</f>
        <v>#REF!</v>
      </c>
      <c r="I2329" s="670"/>
      <c r="J2329" s="670"/>
      <c r="K2329" s="670">
        <f>[53]운반공!$BI$584</f>
        <v>45</v>
      </c>
      <c r="L2329" s="670">
        <f>INT(E2329*K2329)</f>
        <v>33</v>
      </c>
      <c r="M2329" s="670" t="e">
        <f t="shared" si="544"/>
        <v>#REF!</v>
      </c>
      <c r="N2329" s="670" t="e">
        <f>H2329+J2329+L2329</f>
        <v>#REF!</v>
      </c>
      <c r="O2329" s="671"/>
      <c r="P2329" s="672"/>
      <c r="Q2329" s="688">
        <f t="shared" si="545"/>
        <v>96.05</v>
      </c>
      <c r="R2329" s="688">
        <f t="shared" si="545"/>
        <v>96.05</v>
      </c>
      <c r="T2329" s="690">
        <f t="shared" si="543"/>
        <v>0</v>
      </c>
    </row>
    <row r="2330" spans="1:22" s="688" customFormat="1" ht="17.100000000000001" customHeight="1">
      <c r="A2330" s="1316" t="s">
        <v>1992</v>
      </c>
      <c r="B2330" s="1317"/>
      <c r="C2330" s="1316" t="s">
        <v>2023</v>
      </c>
      <c r="D2330" s="1317"/>
      <c r="E2330" s="679">
        <v>0.3</v>
      </c>
      <c r="F2330" s="676" t="s">
        <v>801</v>
      </c>
      <c r="G2330" s="670" t="e">
        <f>#REF!</f>
        <v>#REF!</v>
      </c>
      <c r="H2330" s="670" t="e">
        <f>INT(E2330*G2330)</f>
        <v>#REF!</v>
      </c>
      <c r="I2330" s="670"/>
      <c r="J2330" s="670"/>
      <c r="K2330" s="670">
        <f>[53]운반공!$BI$584</f>
        <v>45</v>
      </c>
      <c r="L2330" s="670">
        <f>INT(E2330*K2330)</f>
        <v>13</v>
      </c>
      <c r="M2330" s="670" t="e">
        <f t="shared" si="544"/>
        <v>#REF!</v>
      </c>
      <c r="N2330" s="670" t="e">
        <f>H2330+J2330+L2330</f>
        <v>#REF!</v>
      </c>
      <c r="O2330" s="671"/>
      <c r="P2330" s="672"/>
      <c r="Q2330" s="688">
        <f t="shared" si="545"/>
        <v>96.05</v>
      </c>
      <c r="R2330" s="688">
        <f t="shared" si="545"/>
        <v>96.05</v>
      </c>
      <c r="T2330" s="690">
        <f t="shared" si="543"/>
        <v>0</v>
      </c>
    </row>
    <row r="2331" spans="1:22" s="688" customFormat="1" ht="17.100000000000001" customHeight="1">
      <c r="A2331" s="1316" t="s">
        <v>540</v>
      </c>
      <c r="B2331" s="1317"/>
      <c r="C2331" s="1316"/>
      <c r="D2331" s="1317"/>
      <c r="E2331" s="683">
        <v>6.6699999999999995E-2</v>
      </c>
      <c r="F2331" s="676" t="s">
        <v>366</v>
      </c>
      <c r="G2331" s="670"/>
      <c r="H2331" s="670"/>
      <c r="I2331" s="670">
        <f>[53]노임단가!$T$22</f>
        <v>273308</v>
      </c>
      <c r="J2331" s="670">
        <f t="shared" ref="J2331:J2338" si="546">INT(E2331*I2331)</f>
        <v>18229</v>
      </c>
      <c r="K2331" s="670"/>
      <c r="L2331" s="670"/>
      <c r="M2331" s="670">
        <f t="shared" si="544"/>
        <v>273308</v>
      </c>
      <c r="N2331" s="670">
        <f t="shared" si="544"/>
        <v>18229</v>
      </c>
      <c r="O2331" s="671"/>
      <c r="P2331" s="672"/>
      <c r="Q2331" s="688">
        <f t="shared" si="545"/>
        <v>96.05</v>
      </c>
      <c r="R2331" s="688">
        <f t="shared" si="545"/>
        <v>96.05</v>
      </c>
      <c r="T2331" s="690">
        <f t="shared" si="543"/>
        <v>0</v>
      </c>
    </row>
    <row r="2332" spans="1:22" s="688" customFormat="1" ht="17.100000000000001" customHeight="1">
      <c r="A2332" s="1316" t="s">
        <v>628</v>
      </c>
      <c r="B2332" s="1317"/>
      <c r="C2332" s="1316"/>
      <c r="D2332" s="1317"/>
      <c r="E2332" s="683">
        <v>3.3300000000000003E-2</v>
      </c>
      <c r="F2332" s="676" t="s">
        <v>366</v>
      </c>
      <c r="G2332" s="670"/>
      <c r="H2332" s="670"/>
      <c r="I2332" s="670">
        <f>[53]노임단가!$T$6</f>
        <v>226122</v>
      </c>
      <c r="J2332" s="670">
        <f t="shared" si="546"/>
        <v>7529</v>
      </c>
      <c r="K2332" s="670"/>
      <c r="L2332" s="670"/>
      <c r="M2332" s="670">
        <f t="shared" si="544"/>
        <v>226122</v>
      </c>
      <c r="N2332" s="670">
        <f>H2332+J2332+L2332</f>
        <v>7529</v>
      </c>
      <c r="O2332" s="671"/>
      <c r="P2332" s="672"/>
      <c r="Q2332" s="688">
        <f t="shared" si="545"/>
        <v>96.05</v>
      </c>
      <c r="R2332" s="688">
        <f t="shared" si="545"/>
        <v>96.05</v>
      </c>
      <c r="S2332" s="688">
        <v>4</v>
      </c>
      <c r="T2332" s="690">
        <f t="shared" si="543"/>
        <v>4.1599999999999998E-2</v>
      </c>
    </row>
    <row r="2333" spans="1:22" s="688" customFormat="1" ht="17.100000000000001" customHeight="1">
      <c r="A2333" s="1316" t="s">
        <v>248</v>
      </c>
      <c r="B2333" s="1317"/>
      <c r="C2333" s="1316"/>
      <c r="D2333" s="1317"/>
      <c r="E2333" s="683">
        <v>0.1</v>
      </c>
      <c r="F2333" s="676" t="s">
        <v>366</v>
      </c>
      <c r="G2333" s="670"/>
      <c r="H2333" s="670"/>
      <c r="I2333" s="670">
        <f>[53]노임단가!$T$5</f>
        <v>172068</v>
      </c>
      <c r="J2333" s="670">
        <f t="shared" si="546"/>
        <v>17206</v>
      </c>
      <c r="K2333" s="670"/>
      <c r="L2333" s="670"/>
      <c r="M2333" s="670">
        <f t="shared" si="544"/>
        <v>172068</v>
      </c>
      <c r="N2333" s="670">
        <f t="shared" si="544"/>
        <v>17206</v>
      </c>
      <c r="O2333" s="671"/>
      <c r="P2333" s="672"/>
      <c r="Q2333" s="688">
        <f t="shared" si="545"/>
        <v>96.05</v>
      </c>
      <c r="R2333" s="688">
        <f t="shared" si="545"/>
        <v>96.05</v>
      </c>
      <c r="S2333" s="688">
        <v>2</v>
      </c>
      <c r="T2333" s="690">
        <f t="shared" si="543"/>
        <v>2.0799999999999999E-2</v>
      </c>
    </row>
    <row r="2334" spans="1:22" s="688" customFormat="1" ht="17.100000000000001" customHeight="1">
      <c r="A2334" s="1316" t="s">
        <v>465</v>
      </c>
      <c r="B2334" s="1317"/>
      <c r="C2334" s="1316" t="s">
        <v>466</v>
      </c>
      <c r="D2334" s="1317"/>
      <c r="E2334" s="683">
        <v>0.26669999999999999</v>
      </c>
      <c r="F2334" s="676" t="s">
        <v>418</v>
      </c>
      <c r="G2334" s="670" t="e">
        <f>#REF!</f>
        <v>#REF!</v>
      </c>
      <c r="H2334" s="750" t="e">
        <f t="shared" ref="H2334:H2339" si="547">INT(E2334*G2334)</f>
        <v>#REF!</v>
      </c>
      <c r="I2334" s="670" t="e">
        <f>#REF!</f>
        <v>#REF!</v>
      </c>
      <c r="J2334" s="750" t="e">
        <f t="shared" si="546"/>
        <v>#REF!</v>
      </c>
      <c r="K2334" s="670" t="e">
        <f>#REF!</f>
        <v>#REF!</v>
      </c>
      <c r="L2334" s="750" t="e">
        <f>INT(E2334*K2334)</f>
        <v>#REF!</v>
      </c>
      <c r="M2334" s="670" t="e">
        <f t="shared" si="544"/>
        <v>#REF!</v>
      </c>
      <c r="N2334" s="670" t="e">
        <f t="shared" si="544"/>
        <v>#REF!</v>
      </c>
      <c r="O2334" s="671"/>
      <c r="P2334" s="672"/>
      <c r="Q2334" s="688">
        <f t="shared" si="545"/>
        <v>96.05</v>
      </c>
      <c r="R2334" s="688">
        <f t="shared" si="545"/>
        <v>96.05</v>
      </c>
      <c r="S2334" s="688">
        <v>8</v>
      </c>
      <c r="T2334" s="690">
        <f t="shared" si="543"/>
        <v>8.3299999999999999E-2</v>
      </c>
    </row>
    <row r="2335" spans="1:22" s="665" customFormat="1" ht="17.100000000000001" customHeight="1">
      <c r="A2335" s="1316" t="s">
        <v>1183</v>
      </c>
      <c r="B2335" s="1317"/>
      <c r="C2335" s="1316" t="s">
        <v>642</v>
      </c>
      <c r="D2335" s="1317"/>
      <c r="E2335" s="683">
        <v>0.26669999999999999</v>
      </c>
      <c r="F2335" s="676" t="s">
        <v>418</v>
      </c>
      <c r="G2335" s="670" t="e">
        <f>#REF!</f>
        <v>#REF!</v>
      </c>
      <c r="H2335" s="670" t="e">
        <f t="shared" si="547"/>
        <v>#REF!</v>
      </c>
      <c r="I2335" s="670" t="e">
        <f>#REF!</f>
        <v>#REF!</v>
      </c>
      <c r="J2335" s="670" t="e">
        <f t="shared" si="546"/>
        <v>#REF!</v>
      </c>
      <c r="K2335" s="670" t="e">
        <f>#REF!</f>
        <v>#REF!</v>
      </c>
      <c r="L2335" s="670" t="e">
        <f>INT(E2335*K2335)</f>
        <v>#REF!</v>
      </c>
      <c r="M2335" s="670" t="e">
        <f t="shared" si="544"/>
        <v>#REF!</v>
      </c>
      <c r="N2335" s="670" t="e">
        <f t="shared" si="544"/>
        <v>#REF!</v>
      </c>
      <c r="O2335" s="671"/>
      <c r="P2335" s="672"/>
      <c r="Q2335" s="688">
        <f t="shared" si="545"/>
        <v>96.05</v>
      </c>
      <c r="R2335" s="688">
        <f t="shared" si="545"/>
        <v>96.05</v>
      </c>
      <c r="S2335" s="688">
        <v>8</v>
      </c>
      <c r="T2335" s="690">
        <f t="shared" si="543"/>
        <v>8.3299999999999999E-2</v>
      </c>
      <c r="U2335" s="688"/>
      <c r="V2335" s="688"/>
    </row>
    <row r="2336" spans="1:22" s="688" customFormat="1" ht="17.100000000000001" customHeight="1">
      <c r="A2336" s="1316" t="s">
        <v>1455</v>
      </c>
      <c r="B2336" s="1317"/>
      <c r="C2336" s="1316" t="s">
        <v>394</v>
      </c>
      <c r="D2336" s="1317"/>
      <c r="E2336" s="683">
        <v>0.26669999999999999</v>
      </c>
      <c r="F2336" s="676" t="s">
        <v>418</v>
      </c>
      <c r="G2336" s="670" t="e">
        <f>#REF!</f>
        <v>#REF!</v>
      </c>
      <c r="H2336" s="670" t="e">
        <f t="shared" si="547"/>
        <v>#REF!</v>
      </c>
      <c r="I2336" s="670" t="e">
        <f>#REF!</f>
        <v>#REF!</v>
      </c>
      <c r="J2336" s="670" t="e">
        <f t="shared" si="546"/>
        <v>#REF!</v>
      </c>
      <c r="K2336" s="670" t="e">
        <f>#REF!+#REF!</f>
        <v>#REF!</v>
      </c>
      <c r="L2336" s="670" t="e">
        <f>INT(E2336*K2336)</f>
        <v>#REF!</v>
      </c>
      <c r="M2336" s="670" t="e">
        <f t="shared" si="544"/>
        <v>#REF!</v>
      </c>
      <c r="N2336" s="670" t="e">
        <f t="shared" si="544"/>
        <v>#REF!</v>
      </c>
      <c r="O2336" s="671"/>
      <c r="P2336" s="672"/>
      <c r="Q2336" s="688">
        <f t="shared" si="545"/>
        <v>96.05</v>
      </c>
      <c r="R2336" s="688">
        <f t="shared" si="545"/>
        <v>96.05</v>
      </c>
      <c r="S2336" s="688">
        <v>8</v>
      </c>
      <c r="T2336" s="690">
        <f t="shared" si="543"/>
        <v>8.3299999999999999E-2</v>
      </c>
    </row>
    <row r="2337" spans="1:22" s="688" customFormat="1" ht="17.100000000000001" customHeight="1">
      <c r="A2337" s="1316" t="s">
        <v>1161</v>
      </c>
      <c r="B2337" s="1317"/>
      <c r="C2337" s="1316" t="s">
        <v>642</v>
      </c>
      <c r="D2337" s="1317"/>
      <c r="E2337" s="683">
        <v>0.26669999999999999</v>
      </c>
      <c r="F2337" s="676" t="s">
        <v>418</v>
      </c>
      <c r="G2337" s="670" t="e">
        <f>#REF!</f>
        <v>#REF!</v>
      </c>
      <c r="H2337" s="670" t="e">
        <f t="shared" si="547"/>
        <v>#REF!</v>
      </c>
      <c r="I2337" s="670" t="e">
        <f>#REF!</f>
        <v>#REF!</v>
      </c>
      <c r="J2337" s="670" t="e">
        <f t="shared" si="546"/>
        <v>#REF!</v>
      </c>
      <c r="K2337" s="670" t="e">
        <f>#REF!</f>
        <v>#REF!</v>
      </c>
      <c r="L2337" s="670" t="e">
        <f>INT(E2337*K2337)</f>
        <v>#REF!</v>
      </c>
      <c r="M2337" s="670" t="e">
        <f t="shared" si="544"/>
        <v>#REF!</v>
      </c>
      <c r="N2337" s="670" t="e">
        <f t="shared" si="544"/>
        <v>#REF!</v>
      </c>
      <c r="O2337" s="671"/>
      <c r="P2337" s="672"/>
      <c r="Q2337" s="688">
        <f t="shared" si="545"/>
        <v>96.05</v>
      </c>
      <c r="R2337" s="688">
        <f t="shared" si="545"/>
        <v>96.05</v>
      </c>
      <c r="S2337" s="688">
        <v>8</v>
      </c>
      <c r="T2337" s="690">
        <f t="shared" si="543"/>
        <v>8.3299999999999999E-2</v>
      </c>
    </row>
    <row r="2338" spans="1:22" s="688" customFormat="1" ht="17.100000000000001" customHeight="1">
      <c r="A2338" s="1316" t="s">
        <v>1443</v>
      </c>
      <c r="B2338" s="1317"/>
      <c r="C2338" s="1316" t="s">
        <v>1223</v>
      </c>
      <c r="D2338" s="1317"/>
      <c r="E2338" s="683">
        <v>0.26669999999999999</v>
      </c>
      <c r="F2338" s="676" t="s">
        <v>418</v>
      </c>
      <c r="G2338" s="670" t="e">
        <f>$G$192</f>
        <v>#REF!</v>
      </c>
      <c r="H2338" s="670" t="e">
        <f t="shared" si="547"/>
        <v>#REF!</v>
      </c>
      <c r="I2338" s="670" t="e">
        <f>$I$192</f>
        <v>#REF!</v>
      </c>
      <c r="J2338" s="670" t="e">
        <f t="shared" si="546"/>
        <v>#REF!</v>
      </c>
      <c r="K2338" s="670" t="e">
        <f>$K$192</f>
        <v>#REF!</v>
      </c>
      <c r="L2338" s="670" t="e">
        <f>INT(E2338*K2338)</f>
        <v>#REF!</v>
      </c>
      <c r="M2338" s="670" t="e">
        <f t="shared" si="544"/>
        <v>#REF!</v>
      </c>
      <c r="N2338" s="670" t="e">
        <f t="shared" si="544"/>
        <v>#REF!</v>
      </c>
      <c r="O2338" s="671"/>
      <c r="P2338" s="672"/>
      <c r="Q2338" s="688">
        <f t="shared" si="545"/>
        <v>96.05</v>
      </c>
      <c r="R2338" s="688">
        <f t="shared" si="545"/>
        <v>96.05</v>
      </c>
      <c r="S2338" s="688">
        <v>8</v>
      </c>
      <c r="T2338" s="690">
        <f t="shared" si="543"/>
        <v>8.3299999999999999E-2</v>
      </c>
    </row>
    <row r="2339" spans="1:22" s="688" customFormat="1" ht="17.100000000000001" customHeight="1">
      <c r="A2339" s="1316" t="s">
        <v>1485</v>
      </c>
      <c r="B2339" s="1317"/>
      <c r="C2339" s="1316" t="s">
        <v>1451</v>
      </c>
      <c r="D2339" s="1317"/>
      <c r="E2339" s="675">
        <v>0.03</v>
      </c>
      <c r="F2339" s="676" t="s">
        <v>672</v>
      </c>
      <c r="G2339" s="670">
        <f>$J$2331+$J$2332+$J$2333</f>
        <v>42964</v>
      </c>
      <c r="H2339" s="670">
        <f t="shared" si="547"/>
        <v>1288</v>
      </c>
      <c r="I2339" s="670"/>
      <c r="J2339" s="670"/>
      <c r="K2339" s="791"/>
      <c r="L2339" s="791"/>
      <c r="M2339" s="670">
        <f>G2339+I2339+K2339</f>
        <v>42964</v>
      </c>
      <c r="N2339" s="670">
        <f t="shared" si="544"/>
        <v>1288</v>
      </c>
      <c r="O2339" s="671"/>
      <c r="P2339" s="672"/>
      <c r="Q2339" s="688">
        <f t="shared" si="545"/>
        <v>96.05</v>
      </c>
      <c r="R2339" s="688">
        <f t="shared" si="545"/>
        <v>96.05</v>
      </c>
      <c r="S2339" s="688">
        <v>8</v>
      </c>
      <c r="T2339" s="690">
        <f t="shared" si="543"/>
        <v>8.3299999999999999E-2</v>
      </c>
    </row>
    <row r="2340" spans="1:22" s="688" customFormat="1" ht="17.100000000000001" customHeight="1">
      <c r="A2340" s="1318" t="s">
        <v>1320</v>
      </c>
      <c r="B2340" s="1319"/>
      <c r="C2340" s="1316"/>
      <c r="D2340" s="1317"/>
      <c r="E2340" s="686"/>
      <c r="F2340" s="676"/>
      <c r="G2340" s="670"/>
      <c r="H2340" s="670" t="e">
        <f>SUM(H2326:H2339)</f>
        <v>#REF!</v>
      </c>
      <c r="I2340" s="670"/>
      <c r="J2340" s="670" t="e">
        <f>SUM(J2326:J2339)</f>
        <v>#REF!</v>
      </c>
      <c r="K2340" s="670"/>
      <c r="L2340" s="670" t="e">
        <f>SUM(L2326:L2339)</f>
        <v>#REF!</v>
      </c>
      <c r="M2340" s="670"/>
      <c r="N2340" s="670" t="e">
        <f>SUM(N2326:N2339)</f>
        <v>#REF!</v>
      </c>
      <c r="O2340" s="671"/>
      <c r="P2340" s="672"/>
      <c r="Q2340" s="688">
        <f t="shared" si="545"/>
        <v>96.05</v>
      </c>
      <c r="R2340" s="688">
        <f t="shared" si="545"/>
        <v>96.05</v>
      </c>
      <c r="S2340" s="688">
        <v>8</v>
      </c>
      <c r="T2340" s="690">
        <f t="shared" si="543"/>
        <v>8.3299999999999999E-2</v>
      </c>
    </row>
    <row r="2341" spans="1:22" s="665" customFormat="1" ht="17.100000000000001" customHeight="1">
      <c r="A2341" s="668">
        <f>A2325+1</f>
        <v>347</v>
      </c>
      <c r="B2341" s="1320" t="s">
        <v>2091</v>
      </c>
      <c r="C2341" s="1320"/>
      <c r="D2341" s="1320" t="s">
        <v>2092</v>
      </c>
      <c r="E2341" s="1320"/>
      <c r="F2341" s="669" t="s">
        <v>645</v>
      </c>
      <c r="G2341" s="698"/>
      <c r="H2341" s="698"/>
      <c r="I2341" s="698"/>
      <c r="J2341" s="698"/>
      <c r="K2341" s="670"/>
      <c r="L2341" s="670"/>
      <c r="M2341" s="670"/>
      <c r="N2341" s="698"/>
      <c r="O2341" s="699" t="s">
        <v>1562</v>
      </c>
      <c r="P2341" s="672"/>
      <c r="Q2341" s="688"/>
      <c r="R2341" s="688"/>
      <c r="S2341" s="688"/>
      <c r="T2341" s="688"/>
    </row>
    <row r="2342" spans="1:22" s="665" customFormat="1" ht="17.100000000000001" customHeight="1">
      <c r="A2342" s="1316" t="s">
        <v>1676</v>
      </c>
      <c r="B2342" s="1317"/>
      <c r="C2342" s="1316" t="s">
        <v>2033</v>
      </c>
      <c r="D2342" s="1317"/>
      <c r="E2342" s="675"/>
      <c r="F2342" s="676" t="s">
        <v>915</v>
      </c>
      <c r="G2342" s="670"/>
      <c r="H2342" s="670"/>
      <c r="I2342" s="670"/>
      <c r="J2342" s="670"/>
      <c r="K2342" s="670"/>
      <c r="L2342" s="670"/>
      <c r="M2342" s="670"/>
      <c r="N2342" s="670"/>
      <c r="O2342" s="671"/>
      <c r="P2342" s="672" t="s">
        <v>2074</v>
      </c>
      <c r="Q2342" s="687" t="s">
        <v>1446</v>
      </c>
      <c r="R2342" s="688" t="s">
        <v>1876</v>
      </c>
      <c r="S2342" s="688" t="s">
        <v>1425</v>
      </c>
      <c r="T2342" s="688" t="s">
        <v>1426</v>
      </c>
      <c r="U2342" s="688"/>
      <c r="V2342" s="688"/>
    </row>
    <row r="2343" spans="1:22" s="688" customFormat="1" ht="17.100000000000001" customHeight="1">
      <c r="A2343" s="1316" t="s">
        <v>1676</v>
      </c>
      <c r="B2343" s="1317"/>
      <c r="C2343" s="1316" t="s">
        <v>1677</v>
      </c>
      <c r="D2343" s="1317"/>
      <c r="E2343" s="675"/>
      <c r="F2343" s="676" t="s">
        <v>915</v>
      </c>
      <c r="G2343" s="670"/>
      <c r="H2343" s="670"/>
      <c r="I2343" s="670"/>
      <c r="J2343" s="670"/>
      <c r="K2343" s="670"/>
      <c r="L2343" s="670"/>
      <c r="M2343" s="670"/>
      <c r="N2343" s="670"/>
      <c r="O2343" s="671"/>
      <c r="P2343" s="672"/>
      <c r="Q2343" s="688">
        <f>85*0.89</f>
        <v>75.650000000000006</v>
      </c>
      <c r="R2343" s="688">
        <f>Q2343</f>
        <v>75.650000000000006</v>
      </c>
      <c r="T2343" s="690">
        <f t="shared" ref="T2343:T2356" si="548">ROUND(S2343/R2343,4)</f>
        <v>0</v>
      </c>
    </row>
    <row r="2344" spans="1:22" s="688" customFormat="1" ht="17.100000000000001" customHeight="1">
      <c r="A2344" s="1316" t="s">
        <v>830</v>
      </c>
      <c r="B2344" s="1317"/>
      <c r="C2344" s="1316" t="s">
        <v>1982</v>
      </c>
      <c r="D2344" s="1317"/>
      <c r="E2344" s="683">
        <v>0.63990000000000002</v>
      </c>
      <c r="F2344" s="676" t="s">
        <v>850</v>
      </c>
      <c r="G2344" s="670" t="e">
        <f>#REF!</f>
        <v>#REF!</v>
      </c>
      <c r="H2344" s="670" t="e">
        <f>INT(E2344*G2344)</f>
        <v>#REF!</v>
      </c>
      <c r="I2344" s="670"/>
      <c r="J2344" s="670"/>
      <c r="K2344" s="670"/>
      <c r="L2344" s="670"/>
      <c r="M2344" s="670" t="e">
        <f t="shared" ref="M2344:N2353" si="549">G2344+I2344+K2344</f>
        <v>#REF!</v>
      </c>
      <c r="N2344" s="670" t="e">
        <f t="shared" si="549"/>
        <v>#REF!</v>
      </c>
      <c r="O2344" s="671"/>
      <c r="P2344" s="672"/>
      <c r="Q2344" s="688">
        <f t="shared" ref="Q2344:R2356" si="550">Q2343</f>
        <v>75.650000000000006</v>
      </c>
      <c r="R2344" s="688">
        <f t="shared" si="550"/>
        <v>75.650000000000006</v>
      </c>
      <c r="T2344" s="690">
        <f t="shared" si="548"/>
        <v>0</v>
      </c>
    </row>
    <row r="2345" spans="1:22" s="688" customFormat="1" ht="17.100000000000001" customHeight="1">
      <c r="A2345" s="1316" t="s">
        <v>1992</v>
      </c>
      <c r="B2345" s="1317"/>
      <c r="C2345" s="1316" t="s">
        <v>2004</v>
      </c>
      <c r="D2345" s="1317"/>
      <c r="E2345" s="675">
        <v>0.75</v>
      </c>
      <c r="F2345" s="676" t="s">
        <v>801</v>
      </c>
      <c r="G2345" s="670" t="e">
        <f>#REF!</f>
        <v>#REF!</v>
      </c>
      <c r="H2345" s="670" t="e">
        <f>INT(E2345*G2345)</f>
        <v>#REF!</v>
      </c>
      <c r="I2345" s="670"/>
      <c r="J2345" s="670"/>
      <c r="K2345" s="670">
        <f>[53]운반공!$BI$584</f>
        <v>45</v>
      </c>
      <c r="L2345" s="670">
        <f>INT(E2345*K2345)</f>
        <v>33</v>
      </c>
      <c r="M2345" s="670" t="e">
        <f t="shared" si="549"/>
        <v>#REF!</v>
      </c>
      <c r="N2345" s="670" t="e">
        <f t="shared" si="549"/>
        <v>#REF!</v>
      </c>
      <c r="O2345" s="671"/>
      <c r="P2345" s="672"/>
      <c r="Q2345" s="688">
        <f t="shared" si="550"/>
        <v>75.650000000000006</v>
      </c>
      <c r="R2345" s="688">
        <f t="shared" si="550"/>
        <v>75.650000000000006</v>
      </c>
      <c r="T2345" s="690">
        <f t="shared" si="548"/>
        <v>0</v>
      </c>
    </row>
    <row r="2346" spans="1:22" s="688" customFormat="1" ht="17.100000000000001" customHeight="1">
      <c r="A2346" s="1316" t="s">
        <v>1992</v>
      </c>
      <c r="B2346" s="1317"/>
      <c r="C2346" s="1316" t="s">
        <v>2023</v>
      </c>
      <c r="D2346" s="1317"/>
      <c r="E2346" s="679">
        <v>0.3</v>
      </c>
      <c r="F2346" s="676" t="s">
        <v>801</v>
      </c>
      <c r="G2346" s="670" t="e">
        <f>#REF!</f>
        <v>#REF!</v>
      </c>
      <c r="H2346" s="670" t="e">
        <f>INT(E2346*G2346)</f>
        <v>#REF!</v>
      </c>
      <c r="I2346" s="670"/>
      <c r="J2346" s="670"/>
      <c r="K2346" s="670">
        <f>[53]운반공!$BI$584</f>
        <v>45</v>
      </c>
      <c r="L2346" s="670">
        <f>INT(E2346*K2346)</f>
        <v>13</v>
      </c>
      <c r="M2346" s="670" t="e">
        <f t="shared" si="549"/>
        <v>#REF!</v>
      </c>
      <c r="N2346" s="670" t="e">
        <f t="shared" si="549"/>
        <v>#REF!</v>
      </c>
      <c r="O2346" s="671"/>
      <c r="P2346" s="672"/>
      <c r="Q2346" s="688">
        <f t="shared" si="550"/>
        <v>75.650000000000006</v>
      </c>
      <c r="R2346" s="688">
        <f t="shared" si="550"/>
        <v>75.650000000000006</v>
      </c>
      <c r="T2346" s="690">
        <f t="shared" si="548"/>
        <v>0</v>
      </c>
    </row>
    <row r="2347" spans="1:22" s="688" customFormat="1" ht="17.100000000000001" customHeight="1">
      <c r="A2347" s="1316" t="s">
        <v>540</v>
      </c>
      <c r="B2347" s="1317"/>
      <c r="C2347" s="1316"/>
      <c r="D2347" s="1317"/>
      <c r="E2347" s="683">
        <v>4.7100000000000003E-2</v>
      </c>
      <c r="F2347" s="676" t="s">
        <v>366</v>
      </c>
      <c r="G2347" s="670"/>
      <c r="H2347" s="670"/>
      <c r="I2347" s="670">
        <f>[53]노임단가!$T$22</f>
        <v>273308</v>
      </c>
      <c r="J2347" s="670">
        <f t="shared" ref="J2347:J2355" si="551">INT(E2347*I2347)</f>
        <v>12872</v>
      </c>
      <c r="K2347" s="670"/>
      <c r="L2347" s="670"/>
      <c r="M2347" s="670">
        <f t="shared" si="549"/>
        <v>273308</v>
      </c>
      <c r="N2347" s="670">
        <f t="shared" si="549"/>
        <v>12872</v>
      </c>
      <c r="O2347" s="671"/>
      <c r="P2347" s="672"/>
      <c r="Q2347" s="688">
        <f t="shared" si="550"/>
        <v>75.650000000000006</v>
      </c>
      <c r="R2347" s="688">
        <f t="shared" si="550"/>
        <v>75.650000000000006</v>
      </c>
      <c r="T2347" s="690">
        <f t="shared" si="548"/>
        <v>0</v>
      </c>
    </row>
    <row r="2348" spans="1:22" s="688" customFormat="1" ht="17.100000000000001" customHeight="1">
      <c r="A2348" s="1316" t="s">
        <v>248</v>
      </c>
      <c r="B2348" s="1317"/>
      <c r="C2348" s="1316"/>
      <c r="D2348" s="1317"/>
      <c r="E2348" s="683">
        <v>2.35E-2</v>
      </c>
      <c r="F2348" s="676" t="s">
        <v>366</v>
      </c>
      <c r="G2348" s="670"/>
      <c r="H2348" s="670"/>
      <c r="I2348" s="670">
        <f>[53]노임단가!$T$5</f>
        <v>172068</v>
      </c>
      <c r="J2348" s="670">
        <f t="shared" si="551"/>
        <v>4043</v>
      </c>
      <c r="K2348" s="670"/>
      <c r="L2348" s="670"/>
      <c r="M2348" s="670">
        <f t="shared" si="549"/>
        <v>172068</v>
      </c>
      <c r="N2348" s="670">
        <f t="shared" si="549"/>
        <v>4043</v>
      </c>
      <c r="O2348" s="671"/>
      <c r="P2348" s="672"/>
      <c r="Q2348" s="688">
        <f t="shared" si="550"/>
        <v>75.650000000000006</v>
      </c>
      <c r="R2348" s="688">
        <f t="shared" si="550"/>
        <v>75.650000000000006</v>
      </c>
      <c r="S2348" s="688">
        <v>4</v>
      </c>
      <c r="T2348" s="690">
        <f t="shared" si="548"/>
        <v>5.2900000000000003E-2</v>
      </c>
    </row>
    <row r="2349" spans="1:22" s="688" customFormat="1" ht="17.100000000000001" customHeight="1">
      <c r="A2349" s="1316" t="s">
        <v>1455</v>
      </c>
      <c r="B2349" s="1317"/>
      <c r="C2349" s="1316" t="s">
        <v>394</v>
      </c>
      <c r="D2349" s="1317"/>
      <c r="E2349" s="683">
        <v>9.4100000000000003E-2</v>
      </c>
      <c r="F2349" s="676" t="s">
        <v>418</v>
      </c>
      <c r="G2349" s="670" t="e">
        <f>#REF!</f>
        <v>#REF!</v>
      </c>
      <c r="H2349" s="670" t="e">
        <f t="shared" ref="H2349:H2355" si="552">INT(E2349*G2349)</f>
        <v>#REF!</v>
      </c>
      <c r="I2349" s="670" t="e">
        <f>#REF!</f>
        <v>#REF!</v>
      </c>
      <c r="J2349" s="670" t="e">
        <f t="shared" si="551"/>
        <v>#REF!</v>
      </c>
      <c r="K2349" s="670" t="e">
        <f>#REF!+#REF!</f>
        <v>#REF!</v>
      </c>
      <c r="L2349" s="670" t="e">
        <f t="shared" ref="L2349:L2355" si="553">INT(E2349*K2349)</f>
        <v>#REF!</v>
      </c>
      <c r="M2349" s="670" t="e">
        <f t="shared" si="549"/>
        <v>#REF!</v>
      </c>
      <c r="N2349" s="670" t="e">
        <f t="shared" si="549"/>
        <v>#REF!</v>
      </c>
      <c r="O2349" s="671"/>
      <c r="P2349" s="672"/>
      <c r="Q2349" s="688">
        <f t="shared" si="550"/>
        <v>75.650000000000006</v>
      </c>
      <c r="R2349" s="688">
        <f t="shared" si="550"/>
        <v>75.650000000000006</v>
      </c>
      <c r="S2349" s="688">
        <v>2</v>
      </c>
      <c r="T2349" s="690">
        <f t="shared" si="548"/>
        <v>2.64E-2</v>
      </c>
    </row>
    <row r="2350" spans="1:22" s="688" customFormat="1" ht="17.100000000000001" customHeight="1">
      <c r="A2350" s="1316" t="s">
        <v>515</v>
      </c>
      <c r="B2350" s="1317"/>
      <c r="C2350" s="1316" t="s">
        <v>555</v>
      </c>
      <c r="D2350" s="1317"/>
      <c r="E2350" s="683">
        <v>9.4100000000000003E-2</v>
      </c>
      <c r="F2350" s="676" t="s">
        <v>418</v>
      </c>
      <c r="G2350" s="670" t="e">
        <f>#REF!</f>
        <v>#REF!</v>
      </c>
      <c r="H2350" s="750" t="e">
        <f>INT(E2350*G2350)</f>
        <v>#REF!</v>
      </c>
      <c r="I2350" s="670" t="e">
        <f>#REF!</f>
        <v>#REF!</v>
      </c>
      <c r="J2350" s="750" t="e">
        <f t="shared" si="551"/>
        <v>#REF!</v>
      </c>
      <c r="K2350" s="670" t="e">
        <f>#REF!</f>
        <v>#REF!</v>
      </c>
      <c r="L2350" s="750" t="e">
        <f>INT(E2350*K2350)</f>
        <v>#REF!</v>
      </c>
      <c r="M2350" s="750" t="e">
        <f t="shared" si="549"/>
        <v>#REF!</v>
      </c>
      <c r="N2350" s="670" t="e">
        <f t="shared" si="549"/>
        <v>#REF!</v>
      </c>
      <c r="O2350" s="671"/>
      <c r="P2350" s="672"/>
      <c r="Q2350" s="688">
        <f t="shared" si="550"/>
        <v>75.650000000000006</v>
      </c>
      <c r="R2350" s="688">
        <f t="shared" si="550"/>
        <v>75.650000000000006</v>
      </c>
      <c r="S2350" s="688">
        <v>8</v>
      </c>
      <c r="T2350" s="690">
        <f t="shared" si="548"/>
        <v>0.10580000000000001</v>
      </c>
    </row>
    <row r="2351" spans="1:22" s="665" customFormat="1" ht="17.100000000000001" customHeight="1">
      <c r="A2351" s="1316" t="s">
        <v>1443</v>
      </c>
      <c r="B2351" s="1317"/>
      <c r="C2351" s="1316" t="s">
        <v>1223</v>
      </c>
      <c r="D2351" s="1317"/>
      <c r="E2351" s="683">
        <v>9.4100000000000003E-2</v>
      </c>
      <c r="F2351" s="676" t="s">
        <v>418</v>
      </c>
      <c r="G2351" s="670" t="e">
        <f>$G$192</f>
        <v>#REF!</v>
      </c>
      <c r="H2351" s="670" t="e">
        <f t="shared" si="552"/>
        <v>#REF!</v>
      </c>
      <c r="I2351" s="670" t="e">
        <f>$I$192</f>
        <v>#REF!</v>
      </c>
      <c r="J2351" s="670" t="e">
        <f t="shared" si="551"/>
        <v>#REF!</v>
      </c>
      <c r="K2351" s="670" t="e">
        <f>$K$192</f>
        <v>#REF!</v>
      </c>
      <c r="L2351" s="670" t="e">
        <f t="shared" si="553"/>
        <v>#REF!</v>
      </c>
      <c r="M2351" s="670" t="e">
        <f t="shared" si="549"/>
        <v>#REF!</v>
      </c>
      <c r="N2351" s="670" t="e">
        <f t="shared" si="549"/>
        <v>#REF!</v>
      </c>
      <c r="O2351" s="671"/>
      <c r="P2351" s="672"/>
      <c r="Q2351" s="688">
        <f t="shared" si="550"/>
        <v>75.650000000000006</v>
      </c>
      <c r="R2351" s="688">
        <f t="shared" si="550"/>
        <v>75.650000000000006</v>
      </c>
      <c r="S2351" s="688">
        <v>8</v>
      </c>
      <c r="T2351" s="690">
        <f t="shared" si="548"/>
        <v>0.10580000000000001</v>
      </c>
      <c r="U2351" s="688"/>
      <c r="V2351" s="688"/>
    </row>
    <row r="2352" spans="1:22" s="688" customFormat="1" ht="17.100000000000001" customHeight="1">
      <c r="A2352" s="1316" t="s">
        <v>1183</v>
      </c>
      <c r="B2352" s="1317"/>
      <c r="C2352" s="1316" t="s">
        <v>642</v>
      </c>
      <c r="D2352" s="1317"/>
      <c r="E2352" s="683">
        <v>9.4100000000000003E-2</v>
      </c>
      <c r="F2352" s="676" t="s">
        <v>418</v>
      </c>
      <c r="G2352" s="670" t="e">
        <f>#REF!</f>
        <v>#REF!</v>
      </c>
      <c r="H2352" s="670" t="e">
        <f t="shared" si="552"/>
        <v>#REF!</v>
      </c>
      <c r="I2352" s="670" t="e">
        <f>#REF!</f>
        <v>#REF!</v>
      </c>
      <c r="J2352" s="670" t="e">
        <f t="shared" si="551"/>
        <v>#REF!</v>
      </c>
      <c r="K2352" s="670" t="e">
        <f>#REF!</f>
        <v>#REF!</v>
      </c>
      <c r="L2352" s="670" t="e">
        <f t="shared" si="553"/>
        <v>#REF!</v>
      </c>
      <c r="M2352" s="670" t="e">
        <f t="shared" si="549"/>
        <v>#REF!</v>
      </c>
      <c r="N2352" s="670" t="e">
        <f t="shared" si="549"/>
        <v>#REF!</v>
      </c>
      <c r="O2352" s="671"/>
      <c r="P2352" s="672"/>
      <c r="Q2352" s="688">
        <f t="shared" si="550"/>
        <v>75.650000000000006</v>
      </c>
      <c r="R2352" s="688">
        <f t="shared" si="550"/>
        <v>75.650000000000006</v>
      </c>
      <c r="S2352" s="688">
        <v>8</v>
      </c>
      <c r="T2352" s="690">
        <f t="shared" si="548"/>
        <v>0.10580000000000001</v>
      </c>
    </row>
    <row r="2353" spans="1:22" s="688" customFormat="1" ht="17.100000000000001" customHeight="1">
      <c r="A2353" s="1316" t="s">
        <v>1217</v>
      </c>
      <c r="B2353" s="1317"/>
      <c r="C2353" s="1316" t="s">
        <v>1218</v>
      </c>
      <c r="D2353" s="1317"/>
      <c r="E2353" s="683">
        <v>9.4100000000000003E-2</v>
      </c>
      <c r="F2353" s="676" t="s">
        <v>418</v>
      </c>
      <c r="G2353" s="670" t="e">
        <f>#REF!</f>
        <v>#REF!</v>
      </c>
      <c r="H2353" s="670" t="e">
        <f t="shared" si="552"/>
        <v>#REF!</v>
      </c>
      <c r="I2353" s="670" t="e">
        <f>#REF!</f>
        <v>#REF!</v>
      </c>
      <c r="J2353" s="670" t="e">
        <f t="shared" si="551"/>
        <v>#REF!</v>
      </c>
      <c r="K2353" s="670" t="e">
        <f>#REF!</f>
        <v>#REF!</v>
      </c>
      <c r="L2353" s="670" t="e">
        <f t="shared" si="553"/>
        <v>#REF!</v>
      </c>
      <c r="M2353" s="670" t="e">
        <f t="shared" si="549"/>
        <v>#REF!</v>
      </c>
      <c r="N2353" s="670" t="e">
        <f t="shared" si="549"/>
        <v>#REF!</v>
      </c>
      <c r="O2353" s="671"/>
      <c r="P2353" s="672"/>
      <c r="Q2353" s="688">
        <f t="shared" si="550"/>
        <v>75.650000000000006</v>
      </c>
      <c r="R2353" s="688">
        <f t="shared" si="550"/>
        <v>75.650000000000006</v>
      </c>
      <c r="S2353" s="688">
        <v>8</v>
      </c>
      <c r="T2353" s="690">
        <f t="shared" si="548"/>
        <v>0.10580000000000001</v>
      </c>
    </row>
    <row r="2354" spans="1:22" s="688" customFormat="1" ht="17.100000000000001" customHeight="1">
      <c r="A2354" s="1316" t="s">
        <v>1161</v>
      </c>
      <c r="B2354" s="1317"/>
      <c r="C2354" s="1316" t="s">
        <v>2064</v>
      </c>
      <c r="D2354" s="1317"/>
      <c r="E2354" s="683">
        <v>9.4100000000000003E-2</v>
      </c>
      <c r="F2354" s="676" t="s">
        <v>418</v>
      </c>
      <c r="G2354" s="670" t="e">
        <f>#REF!</f>
        <v>#REF!</v>
      </c>
      <c r="H2354" s="670" t="e">
        <f t="shared" si="552"/>
        <v>#REF!</v>
      </c>
      <c r="I2354" s="670" t="e">
        <f>#REF!</f>
        <v>#REF!</v>
      </c>
      <c r="J2354" s="670" t="e">
        <f t="shared" si="551"/>
        <v>#REF!</v>
      </c>
      <c r="K2354" s="670" t="e">
        <f>#REF!</f>
        <v>#REF!</v>
      </c>
      <c r="L2354" s="670" t="e">
        <f t="shared" si="553"/>
        <v>#REF!</v>
      </c>
      <c r="M2354" s="670" t="e">
        <f>G2354+I2354+K2354</f>
        <v>#REF!</v>
      </c>
      <c r="N2354" s="670" t="e">
        <f>H2354+J2354+L2354</f>
        <v>#REF!</v>
      </c>
      <c r="O2354" s="671"/>
      <c r="P2354" s="672"/>
      <c r="Q2354" s="688">
        <f t="shared" si="550"/>
        <v>75.650000000000006</v>
      </c>
      <c r="R2354" s="688">
        <f t="shared" si="550"/>
        <v>75.650000000000006</v>
      </c>
      <c r="S2354" s="688">
        <v>8</v>
      </c>
      <c r="T2354" s="690">
        <f t="shared" si="548"/>
        <v>0.10580000000000001</v>
      </c>
    </row>
    <row r="2355" spans="1:22" s="688" customFormat="1" ht="17.100000000000001" customHeight="1">
      <c r="A2355" s="1316" t="s">
        <v>1161</v>
      </c>
      <c r="B2355" s="1317"/>
      <c r="C2355" s="1316" t="s">
        <v>2065</v>
      </c>
      <c r="D2355" s="1317"/>
      <c r="E2355" s="683">
        <v>9.4100000000000003E-2</v>
      </c>
      <c r="F2355" s="676" t="s">
        <v>418</v>
      </c>
      <c r="G2355" s="670" t="e">
        <f>#REF!</f>
        <v>#REF!</v>
      </c>
      <c r="H2355" s="670" t="e">
        <f t="shared" si="552"/>
        <v>#REF!</v>
      </c>
      <c r="I2355" s="670" t="e">
        <f>#REF!</f>
        <v>#REF!</v>
      </c>
      <c r="J2355" s="670" t="e">
        <f t="shared" si="551"/>
        <v>#REF!</v>
      </c>
      <c r="K2355" s="670" t="e">
        <f>#REF!</f>
        <v>#REF!</v>
      </c>
      <c r="L2355" s="670" t="e">
        <f t="shared" si="553"/>
        <v>#REF!</v>
      </c>
      <c r="M2355" s="670" t="e">
        <f>G2355+I2355+K2355</f>
        <v>#REF!</v>
      </c>
      <c r="N2355" s="670" t="e">
        <f>H2355+J2355+L2355</f>
        <v>#REF!</v>
      </c>
      <c r="O2355" s="671"/>
      <c r="P2355" s="672"/>
      <c r="Q2355" s="688">
        <f t="shared" si="550"/>
        <v>75.650000000000006</v>
      </c>
      <c r="R2355" s="688">
        <f t="shared" si="550"/>
        <v>75.650000000000006</v>
      </c>
      <c r="S2355" s="688">
        <v>8</v>
      </c>
      <c r="T2355" s="690">
        <f t="shared" si="548"/>
        <v>0.10580000000000001</v>
      </c>
    </row>
    <row r="2356" spans="1:22" s="688" customFormat="1" ht="17.100000000000001" customHeight="1">
      <c r="A2356" s="1318" t="s">
        <v>1320</v>
      </c>
      <c r="B2356" s="1319"/>
      <c r="C2356" s="1316"/>
      <c r="D2356" s="1317"/>
      <c r="E2356" s="686"/>
      <c r="F2356" s="676"/>
      <c r="G2356" s="670"/>
      <c r="H2356" s="670" t="e">
        <f>SUM(H2342:H2355)</f>
        <v>#REF!</v>
      </c>
      <c r="I2356" s="670"/>
      <c r="J2356" s="670" t="e">
        <f>SUM(J2342:J2355)</f>
        <v>#REF!</v>
      </c>
      <c r="K2356" s="670"/>
      <c r="L2356" s="670" t="e">
        <f>SUM(L2342:L2355)</f>
        <v>#REF!</v>
      </c>
      <c r="M2356" s="670"/>
      <c r="N2356" s="670" t="e">
        <f>SUM(N2342:N2355)</f>
        <v>#REF!</v>
      </c>
      <c r="O2356" s="671"/>
      <c r="P2356" s="672"/>
      <c r="Q2356" s="688">
        <f t="shared" si="550"/>
        <v>75.650000000000006</v>
      </c>
      <c r="R2356" s="688">
        <f t="shared" si="550"/>
        <v>75.650000000000006</v>
      </c>
      <c r="S2356" s="688">
        <v>8</v>
      </c>
      <c r="T2356" s="690">
        <f t="shared" si="548"/>
        <v>0.10580000000000001</v>
      </c>
    </row>
    <row r="2357" spans="1:22" s="665" customFormat="1" ht="17.100000000000001" customHeight="1">
      <c r="A2357" s="668">
        <f>A2341+1</f>
        <v>348</v>
      </c>
      <c r="B2357" s="1320" t="s">
        <v>2091</v>
      </c>
      <c r="C2357" s="1320"/>
      <c r="D2357" s="1320" t="s">
        <v>2093</v>
      </c>
      <c r="E2357" s="1320"/>
      <c r="F2357" s="669" t="s">
        <v>645</v>
      </c>
      <c r="G2357" s="698"/>
      <c r="H2357" s="698"/>
      <c r="I2357" s="698"/>
      <c r="J2357" s="698"/>
      <c r="K2357" s="670"/>
      <c r="L2357" s="670"/>
      <c r="M2357" s="670"/>
      <c r="N2357" s="698"/>
      <c r="O2357" s="699" t="s">
        <v>1562</v>
      </c>
      <c r="P2357" s="672"/>
      <c r="Q2357" s="688"/>
      <c r="R2357" s="688"/>
      <c r="S2357" s="688"/>
      <c r="T2357" s="688"/>
    </row>
    <row r="2358" spans="1:22" s="665" customFormat="1" ht="17.100000000000001" customHeight="1">
      <c r="A2358" s="1316" t="s">
        <v>1676</v>
      </c>
      <c r="B2358" s="1317"/>
      <c r="C2358" s="1316" t="s">
        <v>2033</v>
      </c>
      <c r="D2358" s="1317"/>
      <c r="E2358" s="675"/>
      <c r="F2358" s="676" t="s">
        <v>915</v>
      </c>
      <c r="G2358" s="670"/>
      <c r="H2358" s="670"/>
      <c r="I2358" s="670"/>
      <c r="J2358" s="670"/>
      <c r="K2358" s="670"/>
      <c r="L2358" s="670"/>
      <c r="M2358" s="670"/>
      <c r="N2358" s="670"/>
      <c r="O2358" s="671"/>
      <c r="P2358" s="672" t="s">
        <v>2074</v>
      </c>
      <c r="Q2358" s="687" t="s">
        <v>1446</v>
      </c>
      <c r="R2358" s="688" t="s">
        <v>1876</v>
      </c>
      <c r="S2358" s="688" t="s">
        <v>1425</v>
      </c>
      <c r="T2358" s="688" t="s">
        <v>1426</v>
      </c>
      <c r="U2358" s="688"/>
      <c r="V2358" s="688"/>
    </row>
    <row r="2359" spans="1:22" s="688" customFormat="1" ht="17.100000000000001" customHeight="1">
      <c r="A2359" s="1316" t="s">
        <v>1676</v>
      </c>
      <c r="B2359" s="1317"/>
      <c r="C2359" s="1316" t="s">
        <v>1677</v>
      </c>
      <c r="D2359" s="1317"/>
      <c r="E2359" s="675"/>
      <c r="F2359" s="676" t="s">
        <v>915</v>
      </c>
      <c r="G2359" s="670"/>
      <c r="H2359" s="670"/>
      <c r="I2359" s="670"/>
      <c r="J2359" s="670"/>
      <c r="K2359" s="670"/>
      <c r="L2359" s="670"/>
      <c r="M2359" s="670"/>
      <c r="N2359" s="670"/>
      <c r="O2359" s="671"/>
      <c r="P2359" s="672"/>
      <c r="Q2359" s="688">
        <v>35</v>
      </c>
      <c r="R2359" s="688">
        <f>Q2359</f>
        <v>35</v>
      </c>
      <c r="T2359" s="690">
        <f t="shared" ref="T2359:T2369" si="554">ROUND(S2359/R2359,4)</f>
        <v>0</v>
      </c>
    </row>
    <row r="2360" spans="1:22" s="688" customFormat="1" ht="17.100000000000001" customHeight="1">
      <c r="A2360" s="1316" t="s">
        <v>830</v>
      </c>
      <c r="B2360" s="1317"/>
      <c r="C2360" s="1316" t="s">
        <v>1982</v>
      </c>
      <c r="D2360" s="1317"/>
      <c r="E2360" s="683">
        <v>0.63990000000000002</v>
      </c>
      <c r="F2360" s="676" t="s">
        <v>850</v>
      </c>
      <c r="G2360" s="670" t="e">
        <f>#REF!</f>
        <v>#REF!</v>
      </c>
      <c r="H2360" s="670" t="e">
        <f>INT(E2360*G2360)</f>
        <v>#REF!</v>
      </c>
      <c r="I2360" s="670"/>
      <c r="J2360" s="670"/>
      <c r="K2360" s="670"/>
      <c r="L2360" s="670"/>
      <c r="M2360" s="670" t="e">
        <f t="shared" ref="M2360:N2371" si="555">G2360+I2360+K2360</f>
        <v>#REF!</v>
      </c>
      <c r="N2360" s="670" t="e">
        <f t="shared" si="555"/>
        <v>#REF!</v>
      </c>
      <c r="O2360" s="671"/>
      <c r="P2360" s="672"/>
      <c r="Q2360" s="688">
        <f t="shared" ref="Q2360:R2372" si="556">Q2359</f>
        <v>35</v>
      </c>
      <c r="R2360" s="688">
        <f t="shared" si="556"/>
        <v>35</v>
      </c>
      <c r="T2360" s="690">
        <f t="shared" si="554"/>
        <v>0</v>
      </c>
    </row>
    <row r="2361" spans="1:22" s="688" customFormat="1" ht="17.100000000000001" customHeight="1">
      <c r="A2361" s="1316" t="s">
        <v>1992</v>
      </c>
      <c r="B2361" s="1317"/>
      <c r="C2361" s="1316" t="s">
        <v>2004</v>
      </c>
      <c r="D2361" s="1317"/>
      <c r="E2361" s="675">
        <v>0.75</v>
      </c>
      <c r="F2361" s="676" t="s">
        <v>801</v>
      </c>
      <c r="G2361" s="670" t="e">
        <f>#REF!</f>
        <v>#REF!</v>
      </c>
      <c r="H2361" s="670" t="e">
        <f>INT(E2361*G2361)</f>
        <v>#REF!</v>
      </c>
      <c r="I2361" s="670"/>
      <c r="J2361" s="670"/>
      <c r="K2361" s="670">
        <f>[53]운반공!$BI$584</f>
        <v>45</v>
      </c>
      <c r="L2361" s="670">
        <f>INT(E2361*K2361)</f>
        <v>33</v>
      </c>
      <c r="M2361" s="670" t="e">
        <f t="shared" si="555"/>
        <v>#REF!</v>
      </c>
      <c r="N2361" s="670" t="e">
        <f t="shared" si="555"/>
        <v>#REF!</v>
      </c>
      <c r="O2361" s="671"/>
      <c r="P2361" s="672"/>
      <c r="Q2361" s="688">
        <f t="shared" si="556"/>
        <v>35</v>
      </c>
      <c r="R2361" s="688">
        <f t="shared" si="556"/>
        <v>35</v>
      </c>
      <c r="T2361" s="690">
        <f t="shared" si="554"/>
        <v>0</v>
      </c>
    </row>
    <row r="2362" spans="1:22" s="688" customFormat="1" ht="17.100000000000001" customHeight="1">
      <c r="A2362" s="1316" t="s">
        <v>1992</v>
      </c>
      <c r="B2362" s="1317"/>
      <c r="C2362" s="1316" t="s">
        <v>2023</v>
      </c>
      <c r="D2362" s="1317"/>
      <c r="E2362" s="679">
        <v>0.3</v>
      </c>
      <c r="F2362" s="676" t="s">
        <v>801</v>
      </c>
      <c r="G2362" s="670" t="e">
        <f>#REF!</f>
        <v>#REF!</v>
      </c>
      <c r="H2362" s="670" t="e">
        <f>INT(E2362*G2362)</f>
        <v>#REF!</v>
      </c>
      <c r="I2362" s="670"/>
      <c r="J2362" s="670"/>
      <c r="K2362" s="670">
        <f>[53]운반공!$BI$584</f>
        <v>45</v>
      </c>
      <c r="L2362" s="670">
        <f>INT(E2362*K2362)</f>
        <v>13</v>
      </c>
      <c r="M2362" s="670" t="e">
        <f t="shared" si="555"/>
        <v>#REF!</v>
      </c>
      <c r="N2362" s="670" t="e">
        <f t="shared" si="555"/>
        <v>#REF!</v>
      </c>
      <c r="O2362" s="671"/>
      <c r="P2362" s="672"/>
      <c r="Q2362" s="688">
        <f t="shared" si="556"/>
        <v>35</v>
      </c>
      <c r="R2362" s="688">
        <f t="shared" si="556"/>
        <v>35</v>
      </c>
      <c r="T2362" s="690">
        <f t="shared" si="554"/>
        <v>0</v>
      </c>
    </row>
    <row r="2363" spans="1:22" s="688" customFormat="1" ht="17.100000000000001" customHeight="1">
      <c r="A2363" s="1316" t="s">
        <v>540</v>
      </c>
      <c r="B2363" s="1317"/>
      <c r="C2363" s="1316"/>
      <c r="D2363" s="1317"/>
      <c r="E2363" s="683">
        <v>4.1599999999999998E-2</v>
      </c>
      <c r="F2363" s="676" t="s">
        <v>366</v>
      </c>
      <c r="G2363" s="670"/>
      <c r="H2363" s="670"/>
      <c r="I2363" s="670">
        <f>[53]노임단가!$T$22</f>
        <v>273308</v>
      </c>
      <c r="J2363" s="670">
        <f t="shared" ref="J2363:J2371" si="557">INT(E2363*I2363)</f>
        <v>11369</v>
      </c>
      <c r="K2363" s="670"/>
      <c r="L2363" s="670"/>
      <c r="M2363" s="670">
        <f t="shared" si="555"/>
        <v>273308</v>
      </c>
      <c r="N2363" s="670">
        <f t="shared" si="555"/>
        <v>11369</v>
      </c>
      <c r="O2363" s="671"/>
      <c r="P2363" s="672"/>
      <c r="Q2363" s="688">
        <f t="shared" si="556"/>
        <v>35</v>
      </c>
      <c r="R2363" s="688">
        <f t="shared" si="556"/>
        <v>35</v>
      </c>
      <c r="T2363" s="690">
        <f t="shared" si="554"/>
        <v>0</v>
      </c>
    </row>
    <row r="2364" spans="1:22" s="688" customFormat="1" ht="17.100000000000001" customHeight="1">
      <c r="A2364" s="1316" t="s">
        <v>248</v>
      </c>
      <c r="B2364" s="1317"/>
      <c r="C2364" s="1316"/>
      <c r="D2364" s="1317"/>
      <c r="E2364" s="683">
        <v>2.0799999999999999E-2</v>
      </c>
      <c r="F2364" s="676" t="s">
        <v>366</v>
      </c>
      <c r="G2364" s="670"/>
      <c r="H2364" s="670"/>
      <c r="I2364" s="670">
        <f>[53]노임단가!$T$5</f>
        <v>172068</v>
      </c>
      <c r="J2364" s="670">
        <f t="shared" si="557"/>
        <v>3579</v>
      </c>
      <c r="K2364" s="670"/>
      <c r="L2364" s="670"/>
      <c r="M2364" s="670">
        <f t="shared" si="555"/>
        <v>172068</v>
      </c>
      <c r="N2364" s="670">
        <f t="shared" si="555"/>
        <v>3579</v>
      </c>
      <c r="O2364" s="671"/>
      <c r="P2364" s="672"/>
      <c r="Q2364" s="688">
        <f t="shared" si="556"/>
        <v>35</v>
      </c>
      <c r="R2364" s="688">
        <f t="shared" si="556"/>
        <v>35</v>
      </c>
      <c r="S2364" s="688">
        <v>4</v>
      </c>
      <c r="T2364" s="690">
        <f t="shared" si="554"/>
        <v>0.1143</v>
      </c>
    </row>
    <row r="2365" spans="1:22" s="688" customFormat="1" ht="17.100000000000001" customHeight="1">
      <c r="A2365" s="1316" t="s">
        <v>1455</v>
      </c>
      <c r="B2365" s="1317"/>
      <c r="C2365" s="1316" t="s">
        <v>394</v>
      </c>
      <c r="D2365" s="1317"/>
      <c r="E2365" s="683">
        <v>8.3299999999999999E-2</v>
      </c>
      <c r="F2365" s="676" t="s">
        <v>418</v>
      </c>
      <c r="G2365" s="670" t="e">
        <f>#REF!</f>
        <v>#REF!</v>
      </c>
      <c r="H2365" s="670" t="e">
        <f t="shared" ref="H2365:H2371" si="558">INT(E2365*G2365)</f>
        <v>#REF!</v>
      </c>
      <c r="I2365" s="670" t="e">
        <f>#REF!</f>
        <v>#REF!</v>
      </c>
      <c r="J2365" s="670" t="e">
        <f t="shared" si="557"/>
        <v>#REF!</v>
      </c>
      <c r="K2365" s="670" t="e">
        <f>#REF!+#REF!</f>
        <v>#REF!</v>
      </c>
      <c r="L2365" s="670" t="e">
        <f t="shared" ref="L2365:L2371" si="559">INT(E2365*K2365)</f>
        <v>#REF!</v>
      </c>
      <c r="M2365" s="670" t="e">
        <f t="shared" si="555"/>
        <v>#REF!</v>
      </c>
      <c r="N2365" s="670" t="e">
        <f t="shared" si="555"/>
        <v>#REF!</v>
      </c>
      <c r="O2365" s="671"/>
      <c r="P2365" s="672"/>
      <c r="Q2365" s="688">
        <f t="shared" si="556"/>
        <v>35</v>
      </c>
      <c r="R2365" s="688">
        <f t="shared" si="556"/>
        <v>35</v>
      </c>
      <c r="S2365" s="688">
        <v>2</v>
      </c>
      <c r="T2365" s="690">
        <f t="shared" si="554"/>
        <v>5.7099999999999998E-2</v>
      </c>
    </row>
    <row r="2366" spans="1:22" s="688" customFormat="1" ht="17.100000000000001" customHeight="1">
      <c r="A2366" s="1316" t="s">
        <v>515</v>
      </c>
      <c r="B2366" s="1317"/>
      <c r="C2366" s="1316" t="s">
        <v>555</v>
      </c>
      <c r="D2366" s="1317"/>
      <c r="E2366" s="683">
        <v>8.3299999999999999E-2</v>
      </c>
      <c r="F2366" s="676" t="s">
        <v>418</v>
      </c>
      <c r="G2366" s="670" t="e">
        <f>#REF!</f>
        <v>#REF!</v>
      </c>
      <c r="H2366" s="750" t="e">
        <f>INT(E2366*G2366)</f>
        <v>#REF!</v>
      </c>
      <c r="I2366" s="670" t="e">
        <f>#REF!</f>
        <v>#REF!</v>
      </c>
      <c r="J2366" s="750" t="e">
        <f t="shared" si="557"/>
        <v>#REF!</v>
      </c>
      <c r="K2366" s="670" t="e">
        <f>#REF!</f>
        <v>#REF!</v>
      </c>
      <c r="L2366" s="750" t="e">
        <f>INT(E2366*K2366)</f>
        <v>#REF!</v>
      </c>
      <c r="M2366" s="750" t="e">
        <f t="shared" si="555"/>
        <v>#REF!</v>
      </c>
      <c r="N2366" s="670" t="e">
        <f t="shared" si="555"/>
        <v>#REF!</v>
      </c>
      <c r="O2366" s="671"/>
      <c r="P2366" s="672"/>
      <c r="Q2366" s="688">
        <f t="shared" si="556"/>
        <v>35</v>
      </c>
      <c r="R2366" s="688">
        <f t="shared" si="556"/>
        <v>35</v>
      </c>
      <c r="S2366" s="688">
        <v>8</v>
      </c>
      <c r="T2366" s="690">
        <f t="shared" si="554"/>
        <v>0.2286</v>
      </c>
    </row>
    <row r="2367" spans="1:22" s="665" customFormat="1" ht="17.100000000000001" customHeight="1">
      <c r="A2367" s="1316" t="s">
        <v>1443</v>
      </c>
      <c r="B2367" s="1317"/>
      <c r="C2367" s="1316" t="s">
        <v>1223</v>
      </c>
      <c r="D2367" s="1317"/>
      <c r="E2367" s="683">
        <v>8.3299999999999999E-2</v>
      </c>
      <c r="F2367" s="676" t="s">
        <v>418</v>
      </c>
      <c r="G2367" s="670" t="e">
        <f>$G$192</f>
        <v>#REF!</v>
      </c>
      <c r="H2367" s="670" t="e">
        <f t="shared" si="558"/>
        <v>#REF!</v>
      </c>
      <c r="I2367" s="670" t="e">
        <f>$I$192</f>
        <v>#REF!</v>
      </c>
      <c r="J2367" s="670" t="e">
        <f t="shared" si="557"/>
        <v>#REF!</v>
      </c>
      <c r="K2367" s="670" t="e">
        <f>$K$192</f>
        <v>#REF!</v>
      </c>
      <c r="L2367" s="670" t="e">
        <f t="shared" si="559"/>
        <v>#REF!</v>
      </c>
      <c r="M2367" s="670" t="e">
        <f t="shared" si="555"/>
        <v>#REF!</v>
      </c>
      <c r="N2367" s="670" t="e">
        <f t="shared" si="555"/>
        <v>#REF!</v>
      </c>
      <c r="O2367" s="671"/>
      <c r="P2367" s="672"/>
      <c r="Q2367" s="688">
        <f t="shared" si="556"/>
        <v>35</v>
      </c>
      <c r="R2367" s="688">
        <f t="shared" si="556"/>
        <v>35</v>
      </c>
      <c r="S2367" s="688">
        <v>8</v>
      </c>
      <c r="T2367" s="690">
        <f t="shared" si="554"/>
        <v>0.2286</v>
      </c>
      <c r="U2367" s="688"/>
      <c r="V2367" s="688"/>
    </row>
    <row r="2368" spans="1:22" s="688" customFormat="1" ht="17.100000000000001" customHeight="1">
      <c r="A2368" s="1316" t="s">
        <v>1183</v>
      </c>
      <c r="B2368" s="1317"/>
      <c r="C2368" s="1316" t="s">
        <v>642</v>
      </c>
      <c r="D2368" s="1317"/>
      <c r="E2368" s="683">
        <v>8.3299999999999999E-2</v>
      </c>
      <c r="F2368" s="676" t="s">
        <v>418</v>
      </c>
      <c r="G2368" s="670" t="e">
        <f>#REF!</f>
        <v>#REF!</v>
      </c>
      <c r="H2368" s="670" t="e">
        <f t="shared" si="558"/>
        <v>#REF!</v>
      </c>
      <c r="I2368" s="670" t="e">
        <f>#REF!</f>
        <v>#REF!</v>
      </c>
      <c r="J2368" s="670" t="e">
        <f t="shared" si="557"/>
        <v>#REF!</v>
      </c>
      <c r="K2368" s="670" t="e">
        <f>#REF!</f>
        <v>#REF!</v>
      </c>
      <c r="L2368" s="670" t="e">
        <f t="shared" si="559"/>
        <v>#REF!</v>
      </c>
      <c r="M2368" s="670" t="e">
        <f t="shared" si="555"/>
        <v>#REF!</v>
      </c>
      <c r="N2368" s="670" t="e">
        <f t="shared" si="555"/>
        <v>#REF!</v>
      </c>
      <c r="O2368" s="671"/>
      <c r="P2368" s="672"/>
      <c r="Q2368" s="688">
        <f t="shared" si="556"/>
        <v>35</v>
      </c>
      <c r="R2368" s="688">
        <f t="shared" si="556"/>
        <v>35</v>
      </c>
      <c r="S2368" s="688">
        <v>8</v>
      </c>
      <c r="T2368" s="690">
        <f t="shared" si="554"/>
        <v>0.2286</v>
      </c>
    </row>
    <row r="2369" spans="1:22" s="688" customFormat="1" ht="17.100000000000001" customHeight="1">
      <c r="A2369" s="1316" t="s">
        <v>1217</v>
      </c>
      <c r="B2369" s="1317"/>
      <c r="C2369" s="1316" t="s">
        <v>1218</v>
      </c>
      <c r="D2369" s="1317"/>
      <c r="E2369" s="683">
        <v>8.3299999999999999E-2</v>
      </c>
      <c r="F2369" s="676" t="s">
        <v>418</v>
      </c>
      <c r="G2369" s="670" t="e">
        <f>#REF!</f>
        <v>#REF!</v>
      </c>
      <c r="H2369" s="670" t="e">
        <f t="shared" si="558"/>
        <v>#REF!</v>
      </c>
      <c r="I2369" s="670" t="e">
        <f>#REF!</f>
        <v>#REF!</v>
      </c>
      <c r="J2369" s="670" t="e">
        <f t="shared" si="557"/>
        <v>#REF!</v>
      </c>
      <c r="K2369" s="670" t="e">
        <f>#REF!</f>
        <v>#REF!</v>
      </c>
      <c r="L2369" s="670" t="e">
        <f t="shared" si="559"/>
        <v>#REF!</v>
      </c>
      <c r="M2369" s="670" t="e">
        <f t="shared" si="555"/>
        <v>#REF!</v>
      </c>
      <c r="N2369" s="670" t="e">
        <f t="shared" si="555"/>
        <v>#REF!</v>
      </c>
      <c r="O2369" s="671"/>
      <c r="P2369" s="672"/>
      <c r="Q2369" s="688">
        <f t="shared" si="556"/>
        <v>35</v>
      </c>
      <c r="R2369" s="688">
        <f t="shared" si="556"/>
        <v>35</v>
      </c>
      <c r="S2369" s="688">
        <v>8</v>
      </c>
      <c r="T2369" s="690">
        <f t="shared" si="554"/>
        <v>0.2286</v>
      </c>
    </row>
    <row r="2370" spans="1:22" s="688" customFormat="1" ht="17.100000000000001" customHeight="1">
      <c r="A2370" s="1316" t="s">
        <v>1161</v>
      </c>
      <c r="B2370" s="1317"/>
      <c r="C2370" s="1316" t="s">
        <v>2064</v>
      </c>
      <c r="D2370" s="1317"/>
      <c r="E2370" s="683">
        <v>8.3299999999999999E-2</v>
      </c>
      <c r="F2370" s="676" t="s">
        <v>418</v>
      </c>
      <c r="G2370" s="670" t="e">
        <f>#REF!</f>
        <v>#REF!</v>
      </c>
      <c r="H2370" s="670" t="e">
        <f t="shared" si="558"/>
        <v>#REF!</v>
      </c>
      <c r="I2370" s="670" t="e">
        <f>#REF!</f>
        <v>#REF!</v>
      </c>
      <c r="J2370" s="670" t="e">
        <f t="shared" si="557"/>
        <v>#REF!</v>
      </c>
      <c r="K2370" s="670" t="e">
        <f>#REF!</f>
        <v>#REF!</v>
      </c>
      <c r="L2370" s="670" t="e">
        <f t="shared" si="559"/>
        <v>#REF!</v>
      </c>
      <c r="M2370" s="670" t="e">
        <f t="shared" si="555"/>
        <v>#REF!</v>
      </c>
      <c r="N2370" s="670" t="e">
        <f t="shared" si="555"/>
        <v>#REF!</v>
      </c>
      <c r="O2370" s="671"/>
      <c r="P2370" s="672"/>
      <c r="Q2370" s="688">
        <f t="shared" si="556"/>
        <v>35</v>
      </c>
      <c r="R2370" s="688">
        <f t="shared" si="556"/>
        <v>35</v>
      </c>
      <c r="S2370" s="688">
        <v>8</v>
      </c>
      <c r="T2370" s="690">
        <f>ROUND(S2370/R2370,4)</f>
        <v>0.2286</v>
      </c>
    </row>
    <row r="2371" spans="1:22" s="688" customFormat="1" ht="17.100000000000001" customHeight="1">
      <c r="A2371" s="1316" t="s">
        <v>1161</v>
      </c>
      <c r="B2371" s="1317"/>
      <c r="C2371" s="1316" t="s">
        <v>2065</v>
      </c>
      <c r="D2371" s="1317"/>
      <c r="E2371" s="683">
        <v>8.3299999999999999E-2</v>
      </c>
      <c r="F2371" s="676" t="s">
        <v>418</v>
      </c>
      <c r="G2371" s="670" t="e">
        <f>#REF!</f>
        <v>#REF!</v>
      </c>
      <c r="H2371" s="670" t="e">
        <f t="shared" si="558"/>
        <v>#REF!</v>
      </c>
      <c r="I2371" s="670" t="e">
        <f>#REF!</f>
        <v>#REF!</v>
      </c>
      <c r="J2371" s="670" t="e">
        <f t="shared" si="557"/>
        <v>#REF!</v>
      </c>
      <c r="K2371" s="670" t="e">
        <f>#REF!</f>
        <v>#REF!</v>
      </c>
      <c r="L2371" s="670" t="e">
        <f t="shared" si="559"/>
        <v>#REF!</v>
      </c>
      <c r="M2371" s="670" t="e">
        <f t="shared" si="555"/>
        <v>#REF!</v>
      </c>
      <c r="N2371" s="670" t="e">
        <f t="shared" si="555"/>
        <v>#REF!</v>
      </c>
      <c r="O2371" s="671"/>
      <c r="P2371" s="672"/>
      <c r="Q2371" s="688">
        <f t="shared" si="556"/>
        <v>35</v>
      </c>
      <c r="R2371" s="688">
        <f t="shared" si="556"/>
        <v>35</v>
      </c>
      <c r="S2371" s="688">
        <v>8</v>
      </c>
      <c r="T2371" s="690">
        <f>ROUND(S2371/R2371,4)</f>
        <v>0.2286</v>
      </c>
    </row>
    <row r="2372" spans="1:22" s="688" customFormat="1" ht="17.100000000000001" customHeight="1">
      <c r="A2372" s="1318" t="s">
        <v>1320</v>
      </c>
      <c r="B2372" s="1319"/>
      <c r="C2372" s="1316"/>
      <c r="D2372" s="1317"/>
      <c r="E2372" s="686"/>
      <c r="F2372" s="676"/>
      <c r="G2372" s="670"/>
      <c r="H2372" s="670" t="e">
        <f>SUM(H2358:H2371)</f>
        <v>#REF!</v>
      </c>
      <c r="I2372" s="670"/>
      <c r="J2372" s="670" t="e">
        <f>SUM(J2358:J2371)</f>
        <v>#REF!</v>
      </c>
      <c r="K2372" s="670"/>
      <c r="L2372" s="670" t="e">
        <f>SUM(L2358:L2371)</f>
        <v>#REF!</v>
      </c>
      <c r="M2372" s="670"/>
      <c r="N2372" s="670" t="e">
        <f>SUM(N2358:N2371)</f>
        <v>#REF!</v>
      </c>
      <c r="O2372" s="671"/>
      <c r="P2372" s="672"/>
      <c r="Q2372" s="688">
        <f t="shared" si="556"/>
        <v>35</v>
      </c>
      <c r="R2372" s="688">
        <f t="shared" si="556"/>
        <v>35</v>
      </c>
      <c r="S2372" s="688">
        <v>8</v>
      </c>
      <c r="T2372" s="690">
        <f>ROUND(S2372/R2372,4)</f>
        <v>0.2286</v>
      </c>
    </row>
    <row r="2373" spans="1:22" s="665" customFormat="1" ht="17.100000000000001" customHeight="1">
      <c r="A2373" s="668">
        <f>A2357+1</f>
        <v>349</v>
      </c>
      <c r="B2373" s="1320" t="s">
        <v>2091</v>
      </c>
      <c r="C2373" s="1320"/>
      <c r="D2373" s="1320" t="s">
        <v>2094</v>
      </c>
      <c r="E2373" s="1320"/>
      <c r="F2373" s="669" t="s">
        <v>645</v>
      </c>
      <c r="G2373" s="698"/>
      <c r="H2373" s="698"/>
      <c r="I2373" s="698"/>
      <c r="J2373" s="698"/>
      <c r="K2373" s="670"/>
      <c r="L2373" s="670"/>
      <c r="M2373" s="670"/>
      <c r="N2373" s="698"/>
      <c r="O2373" s="699" t="s">
        <v>1562</v>
      </c>
      <c r="P2373" s="672"/>
      <c r="Q2373" s="688"/>
      <c r="R2373" s="688"/>
      <c r="S2373" s="688"/>
      <c r="T2373" s="688"/>
    </row>
    <row r="2374" spans="1:22" s="665" customFormat="1" ht="17.100000000000001" customHeight="1">
      <c r="A2374" s="1316" t="s">
        <v>1676</v>
      </c>
      <c r="B2374" s="1317"/>
      <c r="C2374" s="1316" t="s">
        <v>2033</v>
      </c>
      <c r="D2374" s="1317"/>
      <c r="E2374" s="675"/>
      <c r="F2374" s="676" t="s">
        <v>915</v>
      </c>
      <c r="G2374" s="670"/>
      <c r="H2374" s="670"/>
      <c r="I2374" s="670"/>
      <c r="J2374" s="670"/>
      <c r="K2374" s="670"/>
      <c r="L2374" s="670"/>
      <c r="M2374" s="670"/>
      <c r="N2374" s="670"/>
      <c r="O2374" s="671"/>
      <c r="P2374" s="672" t="s">
        <v>2074</v>
      </c>
      <c r="Q2374" s="687" t="s">
        <v>1446</v>
      </c>
      <c r="R2374" s="688" t="s">
        <v>1876</v>
      </c>
      <c r="S2374" s="688" t="s">
        <v>1425</v>
      </c>
      <c r="T2374" s="688" t="s">
        <v>1426</v>
      </c>
      <c r="U2374" s="688"/>
      <c r="V2374" s="688"/>
    </row>
    <row r="2375" spans="1:22" s="688" customFormat="1" ht="17.100000000000001" customHeight="1">
      <c r="A2375" s="1316" t="s">
        <v>1676</v>
      </c>
      <c r="B2375" s="1317"/>
      <c r="C2375" s="1316" t="s">
        <v>1677</v>
      </c>
      <c r="D2375" s="1317"/>
      <c r="E2375" s="675"/>
      <c r="F2375" s="676" t="s">
        <v>915</v>
      </c>
      <c r="G2375" s="670"/>
      <c r="H2375" s="670"/>
      <c r="I2375" s="670"/>
      <c r="J2375" s="670"/>
      <c r="K2375" s="670"/>
      <c r="L2375" s="670"/>
      <c r="M2375" s="670"/>
      <c r="N2375" s="670"/>
      <c r="O2375" s="671"/>
      <c r="P2375" s="672"/>
      <c r="Q2375" s="688">
        <f>35*1.13</f>
        <v>39.549999999999997</v>
      </c>
      <c r="R2375" s="688">
        <f>Q2375</f>
        <v>39.549999999999997</v>
      </c>
      <c r="T2375" s="690">
        <f t="shared" ref="T2375:T2388" si="560">ROUND(S2375/R2375,4)</f>
        <v>0</v>
      </c>
    </row>
    <row r="2376" spans="1:22" s="688" customFormat="1" ht="17.100000000000001" customHeight="1">
      <c r="A2376" s="1316" t="s">
        <v>830</v>
      </c>
      <c r="B2376" s="1317"/>
      <c r="C2376" s="1316" t="s">
        <v>1982</v>
      </c>
      <c r="D2376" s="1317"/>
      <c r="E2376" s="683">
        <v>0.63990000000000002</v>
      </c>
      <c r="F2376" s="676" t="s">
        <v>850</v>
      </c>
      <c r="G2376" s="670" t="e">
        <f>#REF!</f>
        <v>#REF!</v>
      </c>
      <c r="H2376" s="670" t="e">
        <f>INT(E2376*G2376)</f>
        <v>#REF!</v>
      </c>
      <c r="I2376" s="670"/>
      <c r="J2376" s="670"/>
      <c r="K2376" s="670"/>
      <c r="L2376" s="670"/>
      <c r="M2376" s="670" t="e">
        <f t="shared" ref="M2376:N2387" si="561">G2376+I2376+K2376</f>
        <v>#REF!</v>
      </c>
      <c r="N2376" s="670" t="e">
        <f t="shared" si="561"/>
        <v>#REF!</v>
      </c>
      <c r="O2376" s="671"/>
      <c r="P2376" s="672"/>
      <c r="Q2376" s="688">
        <f t="shared" ref="Q2376:R2388" si="562">Q2375</f>
        <v>39.549999999999997</v>
      </c>
      <c r="R2376" s="688">
        <f t="shared" si="562"/>
        <v>39.549999999999997</v>
      </c>
      <c r="T2376" s="690">
        <f t="shared" si="560"/>
        <v>0</v>
      </c>
    </row>
    <row r="2377" spans="1:22" s="688" customFormat="1" ht="17.100000000000001" customHeight="1">
      <c r="A2377" s="1316" t="s">
        <v>1992</v>
      </c>
      <c r="B2377" s="1317"/>
      <c r="C2377" s="1316" t="s">
        <v>2004</v>
      </c>
      <c r="D2377" s="1317"/>
      <c r="E2377" s="675">
        <v>0.75</v>
      </c>
      <c r="F2377" s="676" t="s">
        <v>801</v>
      </c>
      <c r="G2377" s="670" t="e">
        <f>#REF!</f>
        <v>#REF!</v>
      </c>
      <c r="H2377" s="670" t="e">
        <f>INT(E2377*G2377)</f>
        <v>#REF!</v>
      </c>
      <c r="I2377" s="670"/>
      <c r="J2377" s="670"/>
      <c r="K2377" s="670">
        <f>[53]운반공!$BI$584</f>
        <v>45</v>
      </c>
      <c r="L2377" s="670">
        <f>INT(E2377*K2377)</f>
        <v>33</v>
      </c>
      <c r="M2377" s="670" t="e">
        <f t="shared" si="561"/>
        <v>#REF!</v>
      </c>
      <c r="N2377" s="670" t="e">
        <f t="shared" si="561"/>
        <v>#REF!</v>
      </c>
      <c r="O2377" s="671"/>
      <c r="P2377" s="672"/>
      <c r="Q2377" s="688">
        <f t="shared" si="562"/>
        <v>39.549999999999997</v>
      </c>
      <c r="R2377" s="688">
        <f t="shared" si="562"/>
        <v>39.549999999999997</v>
      </c>
      <c r="T2377" s="690">
        <f t="shared" si="560"/>
        <v>0</v>
      </c>
    </row>
    <row r="2378" spans="1:22" s="688" customFormat="1" ht="17.100000000000001" customHeight="1">
      <c r="A2378" s="1316" t="s">
        <v>1992</v>
      </c>
      <c r="B2378" s="1317"/>
      <c r="C2378" s="1316" t="s">
        <v>2023</v>
      </c>
      <c r="D2378" s="1317"/>
      <c r="E2378" s="679">
        <v>0.3</v>
      </c>
      <c r="F2378" s="676" t="s">
        <v>801</v>
      </c>
      <c r="G2378" s="670" t="e">
        <f>#REF!</f>
        <v>#REF!</v>
      </c>
      <c r="H2378" s="670" t="e">
        <f>INT(E2378*G2378)</f>
        <v>#REF!</v>
      </c>
      <c r="I2378" s="670"/>
      <c r="J2378" s="670"/>
      <c r="K2378" s="670">
        <f>[53]운반공!$BI$584</f>
        <v>45</v>
      </c>
      <c r="L2378" s="670">
        <f>INT(E2378*K2378)</f>
        <v>13</v>
      </c>
      <c r="M2378" s="670" t="e">
        <f t="shared" si="561"/>
        <v>#REF!</v>
      </c>
      <c r="N2378" s="670" t="e">
        <f t="shared" si="561"/>
        <v>#REF!</v>
      </c>
      <c r="O2378" s="671"/>
      <c r="P2378" s="672"/>
      <c r="Q2378" s="688">
        <f t="shared" si="562"/>
        <v>39.549999999999997</v>
      </c>
      <c r="R2378" s="688">
        <f t="shared" si="562"/>
        <v>39.549999999999997</v>
      </c>
      <c r="T2378" s="690">
        <f t="shared" si="560"/>
        <v>0</v>
      </c>
    </row>
    <row r="2379" spans="1:22" s="688" customFormat="1" ht="17.100000000000001" customHeight="1">
      <c r="A2379" s="1316" t="s">
        <v>540</v>
      </c>
      <c r="B2379" s="1317"/>
      <c r="C2379" s="1316"/>
      <c r="D2379" s="1317"/>
      <c r="E2379" s="683">
        <v>5.2900000000000003E-2</v>
      </c>
      <c r="F2379" s="676" t="s">
        <v>366</v>
      </c>
      <c r="G2379" s="670"/>
      <c r="H2379" s="670"/>
      <c r="I2379" s="670">
        <f>[53]노임단가!$T$22</f>
        <v>273308</v>
      </c>
      <c r="J2379" s="670">
        <f t="shared" ref="J2379:J2387" si="563">INT(E2379*I2379)</f>
        <v>14457</v>
      </c>
      <c r="K2379" s="670"/>
      <c r="L2379" s="670"/>
      <c r="M2379" s="670">
        <f t="shared" si="561"/>
        <v>273308</v>
      </c>
      <c r="N2379" s="670">
        <f t="shared" si="561"/>
        <v>14457</v>
      </c>
      <c r="O2379" s="671"/>
      <c r="P2379" s="672"/>
      <c r="Q2379" s="688">
        <f t="shared" si="562"/>
        <v>39.549999999999997</v>
      </c>
      <c r="R2379" s="688">
        <f t="shared" si="562"/>
        <v>39.549999999999997</v>
      </c>
      <c r="T2379" s="690">
        <f t="shared" si="560"/>
        <v>0</v>
      </c>
    </row>
    <row r="2380" spans="1:22" s="688" customFormat="1" ht="17.100000000000001" customHeight="1">
      <c r="A2380" s="1316" t="s">
        <v>248</v>
      </c>
      <c r="B2380" s="1317"/>
      <c r="C2380" s="1316"/>
      <c r="D2380" s="1317"/>
      <c r="E2380" s="683">
        <v>2.64E-2</v>
      </c>
      <c r="F2380" s="676" t="s">
        <v>366</v>
      </c>
      <c r="G2380" s="670"/>
      <c r="H2380" s="670"/>
      <c r="I2380" s="670">
        <f>[53]노임단가!$T$5</f>
        <v>172068</v>
      </c>
      <c r="J2380" s="670">
        <f t="shared" si="563"/>
        <v>4542</v>
      </c>
      <c r="K2380" s="670"/>
      <c r="L2380" s="670"/>
      <c r="M2380" s="670">
        <f t="shared" si="561"/>
        <v>172068</v>
      </c>
      <c r="N2380" s="670">
        <f t="shared" si="561"/>
        <v>4542</v>
      </c>
      <c r="O2380" s="671"/>
      <c r="P2380" s="672"/>
      <c r="Q2380" s="688">
        <f t="shared" si="562"/>
        <v>39.549999999999997</v>
      </c>
      <c r="R2380" s="688">
        <f t="shared" si="562"/>
        <v>39.549999999999997</v>
      </c>
      <c r="S2380" s="688">
        <v>4</v>
      </c>
      <c r="T2380" s="690">
        <f t="shared" si="560"/>
        <v>0.1011</v>
      </c>
    </row>
    <row r="2381" spans="1:22" s="688" customFormat="1" ht="17.100000000000001" customHeight="1">
      <c r="A2381" s="1316" t="s">
        <v>1455</v>
      </c>
      <c r="B2381" s="1317"/>
      <c r="C2381" s="1316" t="s">
        <v>394</v>
      </c>
      <c r="D2381" s="1317"/>
      <c r="E2381" s="683">
        <v>0.10580000000000001</v>
      </c>
      <c r="F2381" s="676" t="s">
        <v>418</v>
      </c>
      <c r="G2381" s="670" t="e">
        <f>#REF!</f>
        <v>#REF!</v>
      </c>
      <c r="H2381" s="670" t="e">
        <f t="shared" ref="H2381:H2387" si="564">INT(E2381*G2381)</f>
        <v>#REF!</v>
      </c>
      <c r="I2381" s="670" t="e">
        <f>#REF!</f>
        <v>#REF!</v>
      </c>
      <c r="J2381" s="670" t="e">
        <f t="shared" si="563"/>
        <v>#REF!</v>
      </c>
      <c r="K2381" s="670" t="e">
        <f>#REF!+#REF!</f>
        <v>#REF!</v>
      </c>
      <c r="L2381" s="670" t="e">
        <f t="shared" ref="L2381:L2387" si="565">INT(E2381*K2381)</f>
        <v>#REF!</v>
      </c>
      <c r="M2381" s="670" t="e">
        <f t="shared" si="561"/>
        <v>#REF!</v>
      </c>
      <c r="N2381" s="670" t="e">
        <f t="shared" si="561"/>
        <v>#REF!</v>
      </c>
      <c r="O2381" s="671"/>
      <c r="P2381" s="672"/>
      <c r="Q2381" s="688">
        <f t="shared" si="562"/>
        <v>39.549999999999997</v>
      </c>
      <c r="R2381" s="688">
        <f t="shared" si="562"/>
        <v>39.549999999999997</v>
      </c>
      <c r="S2381" s="688">
        <v>2</v>
      </c>
      <c r="T2381" s="690">
        <f t="shared" si="560"/>
        <v>5.0599999999999999E-2</v>
      </c>
    </row>
    <row r="2382" spans="1:22" s="688" customFormat="1" ht="17.100000000000001" customHeight="1">
      <c r="A2382" s="1316" t="s">
        <v>515</v>
      </c>
      <c r="B2382" s="1317"/>
      <c r="C2382" s="1316" t="s">
        <v>555</v>
      </c>
      <c r="D2382" s="1317"/>
      <c r="E2382" s="683">
        <v>0.10580000000000001</v>
      </c>
      <c r="F2382" s="676" t="s">
        <v>418</v>
      </c>
      <c r="G2382" s="670" t="e">
        <f>#REF!</f>
        <v>#REF!</v>
      </c>
      <c r="H2382" s="750" t="e">
        <f>INT(E2382*G2382)</f>
        <v>#REF!</v>
      </c>
      <c r="I2382" s="670" t="e">
        <f>#REF!</f>
        <v>#REF!</v>
      </c>
      <c r="J2382" s="750" t="e">
        <f t="shared" si="563"/>
        <v>#REF!</v>
      </c>
      <c r="K2382" s="670" t="e">
        <f>#REF!</f>
        <v>#REF!</v>
      </c>
      <c r="L2382" s="750" t="e">
        <f>INT(E2382*K2382)</f>
        <v>#REF!</v>
      </c>
      <c r="M2382" s="750" t="e">
        <f t="shared" si="561"/>
        <v>#REF!</v>
      </c>
      <c r="N2382" s="670" t="e">
        <f t="shared" si="561"/>
        <v>#REF!</v>
      </c>
      <c r="O2382" s="671"/>
      <c r="P2382" s="672"/>
      <c r="Q2382" s="688">
        <f t="shared" si="562"/>
        <v>39.549999999999997</v>
      </c>
      <c r="R2382" s="688">
        <f t="shared" si="562"/>
        <v>39.549999999999997</v>
      </c>
      <c r="S2382" s="688">
        <v>8</v>
      </c>
      <c r="T2382" s="690">
        <f t="shared" si="560"/>
        <v>0.20230000000000001</v>
      </c>
    </row>
    <row r="2383" spans="1:22" s="665" customFormat="1" ht="17.100000000000001" customHeight="1">
      <c r="A2383" s="1316" t="s">
        <v>1443</v>
      </c>
      <c r="B2383" s="1317"/>
      <c r="C2383" s="1316" t="s">
        <v>1223</v>
      </c>
      <c r="D2383" s="1317"/>
      <c r="E2383" s="683">
        <v>0.10580000000000001</v>
      </c>
      <c r="F2383" s="676" t="s">
        <v>418</v>
      </c>
      <c r="G2383" s="670" t="e">
        <f>$G$192</f>
        <v>#REF!</v>
      </c>
      <c r="H2383" s="670" t="e">
        <f t="shared" si="564"/>
        <v>#REF!</v>
      </c>
      <c r="I2383" s="670" t="e">
        <f>$I$192</f>
        <v>#REF!</v>
      </c>
      <c r="J2383" s="670" t="e">
        <f t="shared" si="563"/>
        <v>#REF!</v>
      </c>
      <c r="K2383" s="670" t="e">
        <f>$K$192</f>
        <v>#REF!</v>
      </c>
      <c r="L2383" s="670" t="e">
        <f t="shared" si="565"/>
        <v>#REF!</v>
      </c>
      <c r="M2383" s="670" t="e">
        <f t="shared" si="561"/>
        <v>#REF!</v>
      </c>
      <c r="N2383" s="670" t="e">
        <f t="shared" si="561"/>
        <v>#REF!</v>
      </c>
      <c r="O2383" s="671"/>
      <c r="P2383" s="672"/>
      <c r="Q2383" s="688">
        <f t="shared" si="562"/>
        <v>39.549999999999997</v>
      </c>
      <c r="R2383" s="688">
        <f t="shared" si="562"/>
        <v>39.549999999999997</v>
      </c>
      <c r="S2383" s="688">
        <v>8</v>
      </c>
      <c r="T2383" s="690">
        <f t="shared" si="560"/>
        <v>0.20230000000000001</v>
      </c>
      <c r="U2383" s="688"/>
      <c r="V2383" s="688"/>
    </row>
    <row r="2384" spans="1:22" s="688" customFormat="1" ht="17.100000000000001" customHeight="1">
      <c r="A2384" s="1316" t="s">
        <v>1183</v>
      </c>
      <c r="B2384" s="1317"/>
      <c r="C2384" s="1316" t="s">
        <v>642</v>
      </c>
      <c r="D2384" s="1317"/>
      <c r="E2384" s="683">
        <v>0.10580000000000001</v>
      </c>
      <c r="F2384" s="676" t="s">
        <v>418</v>
      </c>
      <c r="G2384" s="670" t="e">
        <f>#REF!</f>
        <v>#REF!</v>
      </c>
      <c r="H2384" s="670" t="e">
        <f t="shared" si="564"/>
        <v>#REF!</v>
      </c>
      <c r="I2384" s="670" t="e">
        <f>#REF!</f>
        <v>#REF!</v>
      </c>
      <c r="J2384" s="670" t="e">
        <f t="shared" si="563"/>
        <v>#REF!</v>
      </c>
      <c r="K2384" s="670" t="e">
        <f>#REF!</f>
        <v>#REF!</v>
      </c>
      <c r="L2384" s="670" t="e">
        <f t="shared" si="565"/>
        <v>#REF!</v>
      </c>
      <c r="M2384" s="670" t="e">
        <f t="shared" si="561"/>
        <v>#REF!</v>
      </c>
      <c r="N2384" s="670" t="e">
        <f t="shared" si="561"/>
        <v>#REF!</v>
      </c>
      <c r="O2384" s="671"/>
      <c r="P2384" s="672"/>
      <c r="Q2384" s="688">
        <f t="shared" si="562"/>
        <v>39.549999999999997</v>
      </c>
      <c r="R2384" s="688">
        <f t="shared" si="562"/>
        <v>39.549999999999997</v>
      </c>
      <c r="S2384" s="688">
        <v>8</v>
      </c>
      <c r="T2384" s="690">
        <f t="shared" si="560"/>
        <v>0.20230000000000001</v>
      </c>
    </row>
    <row r="2385" spans="1:22" s="688" customFormat="1" ht="17.100000000000001" customHeight="1">
      <c r="A2385" s="1316" t="s">
        <v>1217</v>
      </c>
      <c r="B2385" s="1317"/>
      <c r="C2385" s="1316" t="s">
        <v>1218</v>
      </c>
      <c r="D2385" s="1317"/>
      <c r="E2385" s="683">
        <v>0.10580000000000001</v>
      </c>
      <c r="F2385" s="676" t="s">
        <v>418</v>
      </c>
      <c r="G2385" s="670" t="e">
        <f>#REF!</f>
        <v>#REF!</v>
      </c>
      <c r="H2385" s="670" t="e">
        <f t="shared" si="564"/>
        <v>#REF!</v>
      </c>
      <c r="I2385" s="670" t="e">
        <f>#REF!</f>
        <v>#REF!</v>
      </c>
      <c r="J2385" s="670" t="e">
        <f t="shared" si="563"/>
        <v>#REF!</v>
      </c>
      <c r="K2385" s="670" t="e">
        <f>#REF!</f>
        <v>#REF!</v>
      </c>
      <c r="L2385" s="670" t="e">
        <f t="shared" si="565"/>
        <v>#REF!</v>
      </c>
      <c r="M2385" s="670" t="e">
        <f t="shared" si="561"/>
        <v>#REF!</v>
      </c>
      <c r="N2385" s="670" t="e">
        <f t="shared" si="561"/>
        <v>#REF!</v>
      </c>
      <c r="O2385" s="671"/>
      <c r="P2385" s="672"/>
      <c r="Q2385" s="688">
        <f t="shared" si="562"/>
        <v>39.549999999999997</v>
      </c>
      <c r="R2385" s="688">
        <f t="shared" si="562"/>
        <v>39.549999999999997</v>
      </c>
      <c r="S2385" s="688">
        <v>8</v>
      </c>
      <c r="T2385" s="690">
        <f t="shared" si="560"/>
        <v>0.20230000000000001</v>
      </c>
    </row>
    <row r="2386" spans="1:22" s="688" customFormat="1" ht="17.100000000000001" customHeight="1">
      <c r="A2386" s="1316" t="s">
        <v>1161</v>
      </c>
      <c r="B2386" s="1317"/>
      <c r="C2386" s="1316" t="s">
        <v>2064</v>
      </c>
      <c r="D2386" s="1317"/>
      <c r="E2386" s="683">
        <v>0.10580000000000001</v>
      </c>
      <c r="F2386" s="676" t="s">
        <v>418</v>
      </c>
      <c r="G2386" s="670" t="e">
        <f>#REF!</f>
        <v>#REF!</v>
      </c>
      <c r="H2386" s="670" t="e">
        <f t="shared" si="564"/>
        <v>#REF!</v>
      </c>
      <c r="I2386" s="670" t="e">
        <f>#REF!</f>
        <v>#REF!</v>
      </c>
      <c r="J2386" s="670" t="e">
        <f t="shared" si="563"/>
        <v>#REF!</v>
      </c>
      <c r="K2386" s="670" t="e">
        <f>#REF!</f>
        <v>#REF!</v>
      </c>
      <c r="L2386" s="670" t="e">
        <f t="shared" si="565"/>
        <v>#REF!</v>
      </c>
      <c r="M2386" s="670" t="e">
        <f t="shared" si="561"/>
        <v>#REF!</v>
      </c>
      <c r="N2386" s="670" t="e">
        <f t="shared" si="561"/>
        <v>#REF!</v>
      </c>
      <c r="O2386" s="671"/>
      <c r="P2386" s="672"/>
      <c r="Q2386" s="688">
        <f t="shared" si="562"/>
        <v>39.549999999999997</v>
      </c>
      <c r="R2386" s="688">
        <f t="shared" si="562"/>
        <v>39.549999999999997</v>
      </c>
      <c r="S2386" s="688">
        <v>8</v>
      </c>
      <c r="T2386" s="690">
        <f t="shared" si="560"/>
        <v>0.20230000000000001</v>
      </c>
    </row>
    <row r="2387" spans="1:22" s="688" customFormat="1" ht="17.100000000000001" customHeight="1">
      <c r="A2387" s="1316" t="s">
        <v>1161</v>
      </c>
      <c r="B2387" s="1317"/>
      <c r="C2387" s="1316" t="s">
        <v>2065</v>
      </c>
      <c r="D2387" s="1317"/>
      <c r="E2387" s="683">
        <v>0.10580000000000001</v>
      </c>
      <c r="F2387" s="676" t="s">
        <v>418</v>
      </c>
      <c r="G2387" s="670" t="e">
        <f>#REF!</f>
        <v>#REF!</v>
      </c>
      <c r="H2387" s="670" t="e">
        <f t="shared" si="564"/>
        <v>#REF!</v>
      </c>
      <c r="I2387" s="670" t="e">
        <f>#REF!</f>
        <v>#REF!</v>
      </c>
      <c r="J2387" s="670" t="e">
        <f t="shared" si="563"/>
        <v>#REF!</v>
      </c>
      <c r="K2387" s="670" t="e">
        <f>#REF!</f>
        <v>#REF!</v>
      </c>
      <c r="L2387" s="670" t="e">
        <f t="shared" si="565"/>
        <v>#REF!</v>
      </c>
      <c r="M2387" s="670" t="e">
        <f t="shared" si="561"/>
        <v>#REF!</v>
      </c>
      <c r="N2387" s="670" t="e">
        <f t="shared" si="561"/>
        <v>#REF!</v>
      </c>
      <c r="O2387" s="671"/>
      <c r="P2387" s="672"/>
      <c r="Q2387" s="688">
        <f t="shared" si="562"/>
        <v>39.549999999999997</v>
      </c>
      <c r="R2387" s="688">
        <f t="shared" si="562"/>
        <v>39.549999999999997</v>
      </c>
      <c r="S2387" s="688">
        <v>8</v>
      </c>
      <c r="T2387" s="690">
        <f t="shared" si="560"/>
        <v>0.20230000000000001</v>
      </c>
    </row>
    <row r="2388" spans="1:22" s="688" customFormat="1" ht="17.100000000000001" customHeight="1">
      <c r="A2388" s="1318" t="s">
        <v>1320</v>
      </c>
      <c r="B2388" s="1319"/>
      <c r="C2388" s="1316"/>
      <c r="D2388" s="1317"/>
      <c r="E2388" s="686"/>
      <c r="F2388" s="676"/>
      <c r="G2388" s="670"/>
      <c r="H2388" s="670" t="e">
        <f>SUM(H2374:H2387)</f>
        <v>#REF!</v>
      </c>
      <c r="I2388" s="670"/>
      <c r="J2388" s="670" t="e">
        <f>SUM(J2374:J2387)</f>
        <v>#REF!</v>
      </c>
      <c r="K2388" s="670"/>
      <c r="L2388" s="670" t="e">
        <f>SUM(L2374:L2387)</f>
        <v>#REF!</v>
      </c>
      <c r="M2388" s="670"/>
      <c r="N2388" s="670" t="e">
        <f>SUM(N2374:N2387)</f>
        <v>#REF!</v>
      </c>
      <c r="O2388" s="671"/>
      <c r="P2388" s="672"/>
      <c r="Q2388" s="688">
        <f t="shared" si="562"/>
        <v>39.549999999999997</v>
      </c>
      <c r="R2388" s="688">
        <f t="shared" si="562"/>
        <v>39.549999999999997</v>
      </c>
      <c r="S2388" s="688">
        <v>8</v>
      </c>
      <c r="T2388" s="690">
        <f t="shared" si="560"/>
        <v>0.20230000000000001</v>
      </c>
    </row>
    <row r="2389" spans="1:22" s="665" customFormat="1" ht="17.100000000000001" customHeight="1">
      <c r="A2389" s="668">
        <f>A2373+1</f>
        <v>350</v>
      </c>
      <c r="B2389" s="1320" t="s">
        <v>2091</v>
      </c>
      <c r="C2389" s="1320"/>
      <c r="D2389" s="1320" t="s">
        <v>2095</v>
      </c>
      <c r="E2389" s="1320"/>
      <c r="F2389" s="669" t="s">
        <v>645</v>
      </c>
      <c r="G2389" s="698"/>
      <c r="H2389" s="698"/>
      <c r="I2389" s="698"/>
      <c r="J2389" s="698"/>
      <c r="K2389" s="670"/>
      <c r="L2389" s="670"/>
      <c r="M2389" s="670"/>
      <c r="N2389" s="698"/>
      <c r="O2389" s="699" t="s">
        <v>1562</v>
      </c>
      <c r="P2389" s="672"/>
      <c r="Q2389" s="688"/>
      <c r="R2389" s="688"/>
      <c r="S2389" s="688"/>
      <c r="T2389" s="688"/>
    </row>
    <row r="2390" spans="1:22" s="665" customFormat="1" ht="17.100000000000001" customHeight="1">
      <c r="A2390" s="1316" t="s">
        <v>1676</v>
      </c>
      <c r="B2390" s="1317"/>
      <c r="C2390" s="1316" t="s">
        <v>2033</v>
      </c>
      <c r="D2390" s="1317"/>
      <c r="E2390" s="675"/>
      <c r="F2390" s="676" t="s">
        <v>915</v>
      </c>
      <c r="G2390" s="670"/>
      <c r="H2390" s="670"/>
      <c r="I2390" s="670"/>
      <c r="J2390" s="670"/>
      <c r="K2390" s="670"/>
      <c r="L2390" s="670"/>
      <c r="M2390" s="670"/>
      <c r="N2390" s="670"/>
      <c r="O2390" s="671"/>
      <c r="P2390" s="672" t="s">
        <v>2074</v>
      </c>
      <c r="Q2390" s="687" t="s">
        <v>1446</v>
      </c>
      <c r="R2390" s="688" t="s">
        <v>1876</v>
      </c>
      <c r="S2390" s="688" t="s">
        <v>1425</v>
      </c>
      <c r="T2390" s="688" t="s">
        <v>1426</v>
      </c>
      <c r="U2390" s="688"/>
      <c r="V2390" s="688"/>
    </row>
    <row r="2391" spans="1:22" s="688" customFormat="1" ht="17.100000000000001" customHeight="1">
      <c r="A2391" s="1316" t="s">
        <v>1676</v>
      </c>
      <c r="B2391" s="1317"/>
      <c r="C2391" s="1316" t="s">
        <v>1677</v>
      </c>
      <c r="D2391" s="1317"/>
      <c r="E2391" s="675"/>
      <c r="F2391" s="676" t="s">
        <v>915</v>
      </c>
      <c r="G2391" s="670"/>
      <c r="H2391" s="670"/>
      <c r="I2391" s="670"/>
      <c r="J2391" s="670"/>
      <c r="K2391" s="670"/>
      <c r="L2391" s="670"/>
      <c r="M2391" s="670"/>
      <c r="N2391" s="670"/>
      <c r="O2391" s="671"/>
      <c r="P2391" s="672"/>
      <c r="Q2391" s="688">
        <f>35*0.89</f>
        <v>31.150000000000002</v>
      </c>
      <c r="R2391" s="688">
        <f>Q2391</f>
        <v>31.150000000000002</v>
      </c>
      <c r="T2391" s="690">
        <f t="shared" ref="T2391:T2404" si="566">ROUND(S2391/R2391,4)</f>
        <v>0</v>
      </c>
    </row>
    <row r="2392" spans="1:22" s="688" customFormat="1" ht="17.100000000000001" customHeight="1">
      <c r="A2392" s="1316" t="s">
        <v>830</v>
      </c>
      <c r="B2392" s="1317"/>
      <c r="C2392" s="1316" t="s">
        <v>1982</v>
      </c>
      <c r="D2392" s="1317"/>
      <c r="E2392" s="683">
        <v>0.63990000000000002</v>
      </c>
      <c r="F2392" s="676" t="s">
        <v>850</v>
      </c>
      <c r="G2392" s="670" t="e">
        <f>#REF!</f>
        <v>#REF!</v>
      </c>
      <c r="H2392" s="670" t="e">
        <f>INT(E2392*G2392)</f>
        <v>#REF!</v>
      </c>
      <c r="I2392" s="670"/>
      <c r="J2392" s="670"/>
      <c r="K2392" s="670"/>
      <c r="L2392" s="670"/>
      <c r="M2392" s="670" t="e">
        <f t="shared" ref="M2392:N2403" si="567">G2392+I2392+K2392</f>
        <v>#REF!</v>
      </c>
      <c r="N2392" s="670" t="e">
        <f t="shared" si="567"/>
        <v>#REF!</v>
      </c>
      <c r="O2392" s="671"/>
      <c r="P2392" s="672"/>
      <c r="Q2392" s="688">
        <f t="shared" ref="Q2392:R2404" si="568">Q2391</f>
        <v>31.150000000000002</v>
      </c>
      <c r="R2392" s="688">
        <f t="shared" si="568"/>
        <v>31.150000000000002</v>
      </c>
      <c r="T2392" s="690">
        <f t="shared" si="566"/>
        <v>0</v>
      </c>
    </row>
    <row r="2393" spans="1:22" s="688" customFormat="1" ht="17.100000000000001" customHeight="1">
      <c r="A2393" s="1316" t="s">
        <v>1992</v>
      </c>
      <c r="B2393" s="1317"/>
      <c r="C2393" s="1316" t="s">
        <v>2004</v>
      </c>
      <c r="D2393" s="1317"/>
      <c r="E2393" s="675">
        <v>0.75</v>
      </c>
      <c r="F2393" s="676" t="s">
        <v>801</v>
      </c>
      <c r="G2393" s="670" t="e">
        <f>#REF!</f>
        <v>#REF!</v>
      </c>
      <c r="H2393" s="670" t="e">
        <f>INT(E2393*G2393)</f>
        <v>#REF!</v>
      </c>
      <c r="I2393" s="670"/>
      <c r="J2393" s="670"/>
      <c r="K2393" s="670">
        <f>[53]운반공!$BI$584</f>
        <v>45</v>
      </c>
      <c r="L2393" s="670">
        <f>INT(E2393*K2393)</f>
        <v>33</v>
      </c>
      <c r="M2393" s="670" t="e">
        <f t="shared" si="567"/>
        <v>#REF!</v>
      </c>
      <c r="N2393" s="670" t="e">
        <f t="shared" si="567"/>
        <v>#REF!</v>
      </c>
      <c r="O2393" s="671"/>
      <c r="P2393" s="672"/>
      <c r="Q2393" s="688">
        <f t="shared" si="568"/>
        <v>31.150000000000002</v>
      </c>
      <c r="R2393" s="688">
        <f t="shared" si="568"/>
        <v>31.150000000000002</v>
      </c>
      <c r="T2393" s="690">
        <f t="shared" si="566"/>
        <v>0</v>
      </c>
    </row>
    <row r="2394" spans="1:22" s="688" customFormat="1" ht="17.100000000000001" customHeight="1">
      <c r="A2394" s="1316" t="s">
        <v>1992</v>
      </c>
      <c r="B2394" s="1317"/>
      <c r="C2394" s="1316" t="s">
        <v>2023</v>
      </c>
      <c r="D2394" s="1317"/>
      <c r="E2394" s="679">
        <v>0.3</v>
      </c>
      <c r="F2394" s="676" t="s">
        <v>801</v>
      </c>
      <c r="G2394" s="670" t="e">
        <f>#REF!</f>
        <v>#REF!</v>
      </c>
      <c r="H2394" s="670" t="e">
        <f>INT(E2394*G2394)</f>
        <v>#REF!</v>
      </c>
      <c r="I2394" s="670"/>
      <c r="J2394" s="670"/>
      <c r="K2394" s="670">
        <f>[53]운반공!$BI$584</f>
        <v>45</v>
      </c>
      <c r="L2394" s="670">
        <f>INT(E2394*K2394)</f>
        <v>13</v>
      </c>
      <c r="M2394" s="670" t="e">
        <f t="shared" si="567"/>
        <v>#REF!</v>
      </c>
      <c r="N2394" s="670" t="e">
        <f t="shared" si="567"/>
        <v>#REF!</v>
      </c>
      <c r="O2394" s="671"/>
      <c r="P2394" s="672"/>
      <c r="Q2394" s="688">
        <f t="shared" si="568"/>
        <v>31.150000000000002</v>
      </c>
      <c r="R2394" s="688">
        <f t="shared" si="568"/>
        <v>31.150000000000002</v>
      </c>
      <c r="T2394" s="690">
        <f t="shared" si="566"/>
        <v>0</v>
      </c>
    </row>
    <row r="2395" spans="1:22" s="688" customFormat="1" ht="17.100000000000001" customHeight="1">
      <c r="A2395" s="1316" t="s">
        <v>540</v>
      </c>
      <c r="B2395" s="1317"/>
      <c r="C2395" s="1316"/>
      <c r="D2395" s="1317"/>
      <c r="E2395" s="683">
        <v>0.1143</v>
      </c>
      <c r="F2395" s="676" t="s">
        <v>366</v>
      </c>
      <c r="G2395" s="670"/>
      <c r="H2395" s="670"/>
      <c r="I2395" s="670">
        <f>[53]노임단가!$T$22</f>
        <v>273308</v>
      </c>
      <c r="J2395" s="670">
        <f t="shared" ref="J2395:J2403" si="569">INT(E2395*I2395)</f>
        <v>31239</v>
      </c>
      <c r="K2395" s="670"/>
      <c r="L2395" s="670"/>
      <c r="M2395" s="670">
        <f t="shared" si="567"/>
        <v>273308</v>
      </c>
      <c r="N2395" s="670">
        <f t="shared" si="567"/>
        <v>31239</v>
      </c>
      <c r="O2395" s="671"/>
      <c r="P2395" s="672"/>
      <c r="Q2395" s="688">
        <f t="shared" si="568"/>
        <v>31.150000000000002</v>
      </c>
      <c r="R2395" s="688">
        <f t="shared" si="568"/>
        <v>31.150000000000002</v>
      </c>
      <c r="T2395" s="690">
        <f t="shared" si="566"/>
        <v>0</v>
      </c>
    </row>
    <row r="2396" spans="1:22" s="688" customFormat="1" ht="17.100000000000001" customHeight="1">
      <c r="A2396" s="1316" t="s">
        <v>248</v>
      </c>
      <c r="B2396" s="1317"/>
      <c r="C2396" s="1316"/>
      <c r="D2396" s="1317"/>
      <c r="E2396" s="683">
        <v>5.7099999999999998E-2</v>
      </c>
      <c r="F2396" s="676" t="s">
        <v>366</v>
      </c>
      <c r="G2396" s="670"/>
      <c r="H2396" s="670"/>
      <c r="I2396" s="670">
        <f>[53]노임단가!$T$5</f>
        <v>172068</v>
      </c>
      <c r="J2396" s="670">
        <f t="shared" si="569"/>
        <v>9825</v>
      </c>
      <c r="K2396" s="670"/>
      <c r="L2396" s="670"/>
      <c r="M2396" s="670">
        <f t="shared" si="567"/>
        <v>172068</v>
      </c>
      <c r="N2396" s="670">
        <f t="shared" si="567"/>
        <v>9825</v>
      </c>
      <c r="O2396" s="671"/>
      <c r="P2396" s="672"/>
      <c r="Q2396" s="688">
        <f t="shared" si="568"/>
        <v>31.150000000000002</v>
      </c>
      <c r="R2396" s="688">
        <f t="shared" si="568"/>
        <v>31.150000000000002</v>
      </c>
      <c r="S2396" s="688">
        <v>4</v>
      </c>
      <c r="T2396" s="690">
        <f t="shared" si="566"/>
        <v>0.12839999999999999</v>
      </c>
    </row>
    <row r="2397" spans="1:22" s="688" customFormat="1" ht="17.100000000000001" customHeight="1">
      <c r="A2397" s="1316" t="s">
        <v>1455</v>
      </c>
      <c r="B2397" s="1317"/>
      <c r="C2397" s="1316" t="s">
        <v>394</v>
      </c>
      <c r="D2397" s="1317"/>
      <c r="E2397" s="683">
        <v>0.2286</v>
      </c>
      <c r="F2397" s="676" t="s">
        <v>418</v>
      </c>
      <c r="G2397" s="670" t="e">
        <f>#REF!</f>
        <v>#REF!</v>
      </c>
      <c r="H2397" s="670" t="e">
        <f t="shared" ref="H2397:H2403" si="570">INT(E2397*G2397)</f>
        <v>#REF!</v>
      </c>
      <c r="I2397" s="670" t="e">
        <f>#REF!</f>
        <v>#REF!</v>
      </c>
      <c r="J2397" s="670" t="e">
        <f t="shared" si="569"/>
        <v>#REF!</v>
      </c>
      <c r="K2397" s="670" t="e">
        <f>#REF!+#REF!</f>
        <v>#REF!</v>
      </c>
      <c r="L2397" s="670" t="e">
        <f t="shared" ref="L2397:L2403" si="571">INT(E2397*K2397)</f>
        <v>#REF!</v>
      </c>
      <c r="M2397" s="670" t="e">
        <f t="shared" si="567"/>
        <v>#REF!</v>
      </c>
      <c r="N2397" s="670" t="e">
        <f t="shared" si="567"/>
        <v>#REF!</v>
      </c>
      <c r="O2397" s="671"/>
      <c r="P2397" s="672"/>
      <c r="Q2397" s="688">
        <f t="shared" si="568"/>
        <v>31.150000000000002</v>
      </c>
      <c r="R2397" s="688">
        <f t="shared" si="568"/>
        <v>31.150000000000002</v>
      </c>
      <c r="S2397" s="688">
        <v>2</v>
      </c>
      <c r="T2397" s="690">
        <f t="shared" si="566"/>
        <v>6.4199999999999993E-2</v>
      </c>
    </row>
    <row r="2398" spans="1:22" s="688" customFormat="1" ht="17.100000000000001" customHeight="1">
      <c r="A2398" s="1316" t="s">
        <v>515</v>
      </c>
      <c r="B2398" s="1317"/>
      <c r="C2398" s="1316" t="s">
        <v>555</v>
      </c>
      <c r="D2398" s="1317"/>
      <c r="E2398" s="683">
        <v>0.2286</v>
      </c>
      <c r="F2398" s="676" t="s">
        <v>418</v>
      </c>
      <c r="G2398" s="670" t="e">
        <f>#REF!</f>
        <v>#REF!</v>
      </c>
      <c r="H2398" s="750" t="e">
        <f>INT(E2398*G2398)</f>
        <v>#REF!</v>
      </c>
      <c r="I2398" s="670" t="e">
        <f>#REF!</f>
        <v>#REF!</v>
      </c>
      <c r="J2398" s="750" t="e">
        <f t="shared" si="569"/>
        <v>#REF!</v>
      </c>
      <c r="K2398" s="670" t="e">
        <f>#REF!</f>
        <v>#REF!</v>
      </c>
      <c r="L2398" s="750" t="e">
        <f>INT(E2398*K2398)</f>
        <v>#REF!</v>
      </c>
      <c r="M2398" s="750" t="e">
        <f t="shared" si="567"/>
        <v>#REF!</v>
      </c>
      <c r="N2398" s="670" t="e">
        <f t="shared" si="567"/>
        <v>#REF!</v>
      </c>
      <c r="O2398" s="671"/>
      <c r="P2398" s="672"/>
      <c r="Q2398" s="688">
        <f t="shared" si="568"/>
        <v>31.150000000000002</v>
      </c>
      <c r="R2398" s="688">
        <f t="shared" si="568"/>
        <v>31.150000000000002</v>
      </c>
      <c r="S2398" s="688">
        <v>8</v>
      </c>
      <c r="T2398" s="690">
        <f t="shared" si="566"/>
        <v>0.25679999999999997</v>
      </c>
    </row>
    <row r="2399" spans="1:22" s="665" customFormat="1" ht="17.100000000000001" customHeight="1">
      <c r="A2399" s="1316" t="s">
        <v>1443</v>
      </c>
      <c r="B2399" s="1317"/>
      <c r="C2399" s="1316" t="s">
        <v>1223</v>
      </c>
      <c r="D2399" s="1317"/>
      <c r="E2399" s="683">
        <v>0.2286</v>
      </c>
      <c r="F2399" s="676" t="s">
        <v>418</v>
      </c>
      <c r="G2399" s="670" t="e">
        <f>$G$192</f>
        <v>#REF!</v>
      </c>
      <c r="H2399" s="670" t="e">
        <f t="shared" si="570"/>
        <v>#REF!</v>
      </c>
      <c r="I2399" s="670" t="e">
        <f>$I$192</f>
        <v>#REF!</v>
      </c>
      <c r="J2399" s="670" t="e">
        <f t="shared" si="569"/>
        <v>#REF!</v>
      </c>
      <c r="K2399" s="670" t="e">
        <f>$K$192</f>
        <v>#REF!</v>
      </c>
      <c r="L2399" s="670" t="e">
        <f t="shared" si="571"/>
        <v>#REF!</v>
      </c>
      <c r="M2399" s="670" t="e">
        <f t="shared" si="567"/>
        <v>#REF!</v>
      </c>
      <c r="N2399" s="670" t="e">
        <f t="shared" si="567"/>
        <v>#REF!</v>
      </c>
      <c r="O2399" s="671"/>
      <c r="P2399" s="672"/>
      <c r="Q2399" s="688">
        <f t="shared" si="568"/>
        <v>31.150000000000002</v>
      </c>
      <c r="R2399" s="688">
        <f t="shared" si="568"/>
        <v>31.150000000000002</v>
      </c>
      <c r="S2399" s="688">
        <v>8</v>
      </c>
      <c r="T2399" s="690">
        <f t="shared" si="566"/>
        <v>0.25679999999999997</v>
      </c>
      <c r="U2399" s="688"/>
      <c r="V2399" s="688"/>
    </row>
    <row r="2400" spans="1:22" s="688" customFormat="1" ht="17.100000000000001" customHeight="1">
      <c r="A2400" s="1316" t="s">
        <v>1183</v>
      </c>
      <c r="B2400" s="1317"/>
      <c r="C2400" s="1316" t="s">
        <v>642</v>
      </c>
      <c r="D2400" s="1317"/>
      <c r="E2400" s="683">
        <v>0.2286</v>
      </c>
      <c r="F2400" s="676" t="s">
        <v>418</v>
      </c>
      <c r="G2400" s="670" t="e">
        <f>#REF!</f>
        <v>#REF!</v>
      </c>
      <c r="H2400" s="670" t="e">
        <f t="shared" si="570"/>
        <v>#REF!</v>
      </c>
      <c r="I2400" s="670" t="e">
        <f>#REF!</f>
        <v>#REF!</v>
      </c>
      <c r="J2400" s="670" t="e">
        <f t="shared" si="569"/>
        <v>#REF!</v>
      </c>
      <c r="K2400" s="670" t="e">
        <f>#REF!</f>
        <v>#REF!</v>
      </c>
      <c r="L2400" s="670" t="e">
        <f t="shared" si="571"/>
        <v>#REF!</v>
      </c>
      <c r="M2400" s="670" t="e">
        <f t="shared" si="567"/>
        <v>#REF!</v>
      </c>
      <c r="N2400" s="670" t="e">
        <f t="shared" si="567"/>
        <v>#REF!</v>
      </c>
      <c r="O2400" s="671"/>
      <c r="P2400" s="672"/>
      <c r="Q2400" s="688">
        <f t="shared" si="568"/>
        <v>31.150000000000002</v>
      </c>
      <c r="R2400" s="688">
        <f t="shared" si="568"/>
        <v>31.150000000000002</v>
      </c>
      <c r="S2400" s="688">
        <v>8</v>
      </c>
      <c r="T2400" s="690">
        <f t="shared" si="566"/>
        <v>0.25679999999999997</v>
      </c>
    </row>
    <row r="2401" spans="1:22" s="688" customFormat="1" ht="17.100000000000001" customHeight="1">
      <c r="A2401" s="1316" t="s">
        <v>1217</v>
      </c>
      <c r="B2401" s="1317"/>
      <c r="C2401" s="1316" t="s">
        <v>1218</v>
      </c>
      <c r="D2401" s="1317"/>
      <c r="E2401" s="683">
        <v>0.2286</v>
      </c>
      <c r="F2401" s="676" t="s">
        <v>418</v>
      </c>
      <c r="G2401" s="670" t="e">
        <f>#REF!</f>
        <v>#REF!</v>
      </c>
      <c r="H2401" s="670" t="e">
        <f t="shared" si="570"/>
        <v>#REF!</v>
      </c>
      <c r="I2401" s="670" t="e">
        <f>#REF!</f>
        <v>#REF!</v>
      </c>
      <c r="J2401" s="670" t="e">
        <f t="shared" si="569"/>
        <v>#REF!</v>
      </c>
      <c r="K2401" s="670" t="e">
        <f>#REF!</f>
        <v>#REF!</v>
      </c>
      <c r="L2401" s="670" t="e">
        <f t="shared" si="571"/>
        <v>#REF!</v>
      </c>
      <c r="M2401" s="670" t="e">
        <f t="shared" si="567"/>
        <v>#REF!</v>
      </c>
      <c r="N2401" s="670" t="e">
        <f t="shared" si="567"/>
        <v>#REF!</v>
      </c>
      <c r="O2401" s="671"/>
      <c r="P2401" s="672"/>
      <c r="Q2401" s="688">
        <f t="shared" si="568"/>
        <v>31.150000000000002</v>
      </c>
      <c r="R2401" s="688">
        <f t="shared" si="568"/>
        <v>31.150000000000002</v>
      </c>
      <c r="S2401" s="688">
        <v>8</v>
      </c>
      <c r="T2401" s="690">
        <f t="shared" si="566"/>
        <v>0.25679999999999997</v>
      </c>
    </row>
    <row r="2402" spans="1:22" s="688" customFormat="1" ht="17.100000000000001" customHeight="1">
      <c r="A2402" s="1316" t="s">
        <v>1161</v>
      </c>
      <c r="B2402" s="1317"/>
      <c r="C2402" s="1316" t="s">
        <v>2064</v>
      </c>
      <c r="D2402" s="1317"/>
      <c r="E2402" s="683">
        <v>0.2286</v>
      </c>
      <c r="F2402" s="676" t="s">
        <v>418</v>
      </c>
      <c r="G2402" s="670" t="e">
        <f>#REF!</f>
        <v>#REF!</v>
      </c>
      <c r="H2402" s="670" t="e">
        <f t="shared" si="570"/>
        <v>#REF!</v>
      </c>
      <c r="I2402" s="670" t="e">
        <f>#REF!</f>
        <v>#REF!</v>
      </c>
      <c r="J2402" s="670" t="e">
        <f t="shared" si="569"/>
        <v>#REF!</v>
      </c>
      <c r="K2402" s="670" t="e">
        <f>#REF!</f>
        <v>#REF!</v>
      </c>
      <c r="L2402" s="670" t="e">
        <f t="shared" si="571"/>
        <v>#REF!</v>
      </c>
      <c r="M2402" s="670" t="e">
        <f t="shared" si="567"/>
        <v>#REF!</v>
      </c>
      <c r="N2402" s="670" t="e">
        <f t="shared" si="567"/>
        <v>#REF!</v>
      </c>
      <c r="O2402" s="671"/>
      <c r="P2402" s="672"/>
      <c r="Q2402" s="688">
        <f t="shared" si="568"/>
        <v>31.150000000000002</v>
      </c>
      <c r="R2402" s="688">
        <f t="shared" si="568"/>
        <v>31.150000000000002</v>
      </c>
      <c r="S2402" s="688">
        <v>8</v>
      </c>
      <c r="T2402" s="690">
        <f t="shared" si="566"/>
        <v>0.25679999999999997</v>
      </c>
    </row>
    <row r="2403" spans="1:22" s="688" customFormat="1" ht="17.100000000000001" customHeight="1">
      <c r="A2403" s="1316" t="s">
        <v>1161</v>
      </c>
      <c r="B2403" s="1317"/>
      <c r="C2403" s="1316" t="s">
        <v>2065</v>
      </c>
      <c r="D2403" s="1317"/>
      <c r="E2403" s="683">
        <v>0.2286</v>
      </c>
      <c r="F2403" s="676" t="s">
        <v>418</v>
      </c>
      <c r="G2403" s="670" t="e">
        <f>#REF!</f>
        <v>#REF!</v>
      </c>
      <c r="H2403" s="670" t="e">
        <f t="shared" si="570"/>
        <v>#REF!</v>
      </c>
      <c r="I2403" s="670" t="e">
        <f>#REF!</f>
        <v>#REF!</v>
      </c>
      <c r="J2403" s="670" t="e">
        <f t="shared" si="569"/>
        <v>#REF!</v>
      </c>
      <c r="K2403" s="670" t="e">
        <f>#REF!</f>
        <v>#REF!</v>
      </c>
      <c r="L2403" s="670" t="e">
        <f t="shared" si="571"/>
        <v>#REF!</v>
      </c>
      <c r="M2403" s="670" t="e">
        <f t="shared" si="567"/>
        <v>#REF!</v>
      </c>
      <c r="N2403" s="670" t="e">
        <f t="shared" si="567"/>
        <v>#REF!</v>
      </c>
      <c r="O2403" s="671"/>
      <c r="P2403" s="672"/>
      <c r="Q2403" s="688">
        <f t="shared" si="568"/>
        <v>31.150000000000002</v>
      </c>
      <c r="R2403" s="688">
        <f t="shared" si="568"/>
        <v>31.150000000000002</v>
      </c>
      <c r="S2403" s="688">
        <v>8</v>
      </c>
      <c r="T2403" s="690">
        <f t="shared" si="566"/>
        <v>0.25679999999999997</v>
      </c>
    </row>
    <row r="2404" spans="1:22" s="688" customFormat="1" ht="17.100000000000001" customHeight="1">
      <c r="A2404" s="1318" t="s">
        <v>1320</v>
      </c>
      <c r="B2404" s="1319"/>
      <c r="C2404" s="1316"/>
      <c r="D2404" s="1317"/>
      <c r="E2404" s="686"/>
      <c r="F2404" s="676"/>
      <c r="G2404" s="670"/>
      <c r="H2404" s="670" t="e">
        <f>SUM(H2390:H2403)</f>
        <v>#REF!</v>
      </c>
      <c r="I2404" s="670"/>
      <c r="J2404" s="670" t="e">
        <f>SUM(J2390:J2403)</f>
        <v>#REF!</v>
      </c>
      <c r="K2404" s="670"/>
      <c r="L2404" s="670" t="e">
        <f>SUM(L2390:L2403)</f>
        <v>#REF!</v>
      </c>
      <c r="M2404" s="670"/>
      <c r="N2404" s="670" t="e">
        <f>SUM(N2390:N2403)</f>
        <v>#REF!</v>
      </c>
      <c r="O2404" s="671"/>
      <c r="P2404" s="672"/>
      <c r="Q2404" s="688">
        <f t="shared" si="568"/>
        <v>31.150000000000002</v>
      </c>
      <c r="R2404" s="688">
        <f t="shared" si="568"/>
        <v>31.150000000000002</v>
      </c>
      <c r="S2404" s="688">
        <v>8</v>
      </c>
      <c r="T2404" s="690">
        <f t="shared" si="566"/>
        <v>0.25679999999999997</v>
      </c>
    </row>
    <row r="2405" spans="1:22" s="665" customFormat="1" ht="17.100000000000001" customHeight="1">
      <c r="A2405" s="668">
        <f>A2389+1</f>
        <v>351</v>
      </c>
      <c r="B2405" s="1320" t="s">
        <v>2091</v>
      </c>
      <c r="C2405" s="1320"/>
      <c r="D2405" s="1320" t="s">
        <v>2096</v>
      </c>
      <c r="E2405" s="1320"/>
      <c r="F2405" s="669" t="s">
        <v>645</v>
      </c>
      <c r="G2405" s="698"/>
      <c r="H2405" s="698"/>
      <c r="I2405" s="698"/>
      <c r="J2405" s="698"/>
      <c r="K2405" s="670"/>
      <c r="L2405" s="670"/>
      <c r="M2405" s="670"/>
      <c r="N2405" s="698"/>
      <c r="O2405" s="699" t="s">
        <v>1562</v>
      </c>
      <c r="P2405" s="672"/>
      <c r="Q2405" s="688"/>
      <c r="R2405" s="688"/>
      <c r="S2405" s="688"/>
      <c r="T2405" s="688"/>
    </row>
    <row r="2406" spans="1:22" s="665" customFormat="1" ht="17.100000000000001" customHeight="1">
      <c r="A2406" s="1316" t="s">
        <v>1676</v>
      </c>
      <c r="B2406" s="1317"/>
      <c r="C2406" s="1316" t="s">
        <v>2033</v>
      </c>
      <c r="D2406" s="1317"/>
      <c r="E2406" s="675"/>
      <c r="F2406" s="676" t="s">
        <v>915</v>
      </c>
      <c r="G2406" s="670"/>
      <c r="H2406" s="670"/>
      <c r="I2406" s="670"/>
      <c r="J2406" s="670"/>
      <c r="K2406" s="670"/>
      <c r="L2406" s="670"/>
      <c r="M2406" s="670"/>
      <c r="N2406" s="670"/>
      <c r="O2406" s="671"/>
      <c r="P2406" s="672" t="s">
        <v>2074</v>
      </c>
      <c r="Q2406" s="687" t="s">
        <v>1446</v>
      </c>
      <c r="R2406" s="688" t="s">
        <v>1876</v>
      </c>
      <c r="S2406" s="688" t="s">
        <v>1425</v>
      </c>
      <c r="T2406" s="688" t="s">
        <v>1426</v>
      </c>
      <c r="U2406" s="688"/>
      <c r="V2406" s="688"/>
    </row>
    <row r="2407" spans="1:22" s="688" customFormat="1" ht="17.100000000000001" customHeight="1">
      <c r="A2407" s="1316" t="s">
        <v>1676</v>
      </c>
      <c r="B2407" s="1317"/>
      <c r="C2407" s="1316" t="s">
        <v>1677</v>
      </c>
      <c r="D2407" s="1317"/>
      <c r="E2407" s="675"/>
      <c r="F2407" s="676" t="s">
        <v>915</v>
      </c>
      <c r="G2407" s="670"/>
      <c r="H2407" s="670"/>
      <c r="I2407" s="670"/>
      <c r="J2407" s="670"/>
      <c r="K2407" s="670"/>
      <c r="L2407" s="670"/>
      <c r="M2407" s="670"/>
      <c r="N2407" s="670"/>
      <c r="O2407" s="671"/>
      <c r="P2407" s="672"/>
      <c r="Q2407" s="688">
        <v>15</v>
      </c>
      <c r="R2407" s="688">
        <f>Q2407</f>
        <v>15</v>
      </c>
      <c r="T2407" s="690">
        <f t="shared" ref="T2407:T2416" si="572">ROUND(S2407/R2407,4)</f>
        <v>0</v>
      </c>
    </row>
    <row r="2408" spans="1:22" s="688" customFormat="1" ht="17.100000000000001" customHeight="1">
      <c r="A2408" s="1316" t="s">
        <v>830</v>
      </c>
      <c r="B2408" s="1317"/>
      <c r="C2408" s="1316" t="s">
        <v>1982</v>
      </c>
      <c r="D2408" s="1317"/>
      <c r="E2408" s="683">
        <v>0.63990000000000002</v>
      </c>
      <c r="F2408" s="676" t="s">
        <v>850</v>
      </c>
      <c r="G2408" s="670" t="e">
        <f>#REF!</f>
        <v>#REF!</v>
      </c>
      <c r="H2408" s="670" t="e">
        <f>INT(E2408*G2408)</f>
        <v>#REF!</v>
      </c>
      <c r="I2408" s="670"/>
      <c r="J2408" s="670"/>
      <c r="K2408" s="670"/>
      <c r="L2408" s="670"/>
      <c r="M2408" s="670" t="e">
        <f t="shared" ref="M2408:N2419" si="573">G2408+I2408+K2408</f>
        <v>#REF!</v>
      </c>
      <c r="N2408" s="670" t="e">
        <f t="shared" si="573"/>
        <v>#REF!</v>
      </c>
      <c r="O2408" s="671"/>
      <c r="P2408" s="672"/>
      <c r="Q2408" s="688">
        <f t="shared" ref="Q2408:R2421" si="574">Q2407</f>
        <v>15</v>
      </c>
      <c r="R2408" s="688">
        <f t="shared" si="574"/>
        <v>15</v>
      </c>
      <c r="T2408" s="690">
        <f t="shared" si="572"/>
        <v>0</v>
      </c>
    </row>
    <row r="2409" spans="1:22" s="688" customFormat="1" ht="17.100000000000001" customHeight="1">
      <c r="A2409" s="1316" t="s">
        <v>1992</v>
      </c>
      <c r="B2409" s="1317"/>
      <c r="C2409" s="1316" t="s">
        <v>2004</v>
      </c>
      <c r="D2409" s="1317"/>
      <c r="E2409" s="675">
        <v>0.75</v>
      </c>
      <c r="F2409" s="676" t="s">
        <v>801</v>
      </c>
      <c r="G2409" s="670" t="e">
        <f>#REF!</f>
        <v>#REF!</v>
      </c>
      <c r="H2409" s="670" t="e">
        <f>INT(E2409*G2409)</f>
        <v>#REF!</v>
      </c>
      <c r="I2409" s="670"/>
      <c r="J2409" s="670"/>
      <c r="K2409" s="670">
        <f>[53]운반공!$BI$584</f>
        <v>45</v>
      </c>
      <c r="L2409" s="670">
        <f>INT(E2409*K2409)</f>
        <v>33</v>
      </c>
      <c r="M2409" s="670" t="e">
        <f t="shared" si="573"/>
        <v>#REF!</v>
      </c>
      <c r="N2409" s="670" t="e">
        <f t="shared" si="573"/>
        <v>#REF!</v>
      </c>
      <c r="O2409" s="671"/>
      <c r="P2409" s="672"/>
      <c r="Q2409" s="688">
        <f t="shared" si="574"/>
        <v>15</v>
      </c>
      <c r="R2409" s="688">
        <f t="shared" si="574"/>
        <v>15</v>
      </c>
      <c r="T2409" s="690">
        <f t="shared" si="572"/>
        <v>0</v>
      </c>
    </row>
    <row r="2410" spans="1:22" s="688" customFormat="1" ht="17.100000000000001" customHeight="1">
      <c r="A2410" s="1316" t="s">
        <v>1992</v>
      </c>
      <c r="B2410" s="1317"/>
      <c r="C2410" s="1316" t="s">
        <v>2023</v>
      </c>
      <c r="D2410" s="1317"/>
      <c r="E2410" s="679">
        <v>0.3</v>
      </c>
      <c r="F2410" s="676" t="s">
        <v>801</v>
      </c>
      <c r="G2410" s="670" t="e">
        <f>#REF!</f>
        <v>#REF!</v>
      </c>
      <c r="H2410" s="670" t="e">
        <f>INT(E2410*G2410)</f>
        <v>#REF!</v>
      </c>
      <c r="I2410" s="670"/>
      <c r="J2410" s="670"/>
      <c r="K2410" s="670">
        <f>[53]운반공!$BI$584</f>
        <v>45</v>
      </c>
      <c r="L2410" s="670">
        <f>INT(E2410*K2410)</f>
        <v>13</v>
      </c>
      <c r="M2410" s="670" t="e">
        <f t="shared" si="573"/>
        <v>#REF!</v>
      </c>
      <c r="N2410" s="670" t="e">
        <f t="shared" si="573"/>
        <v>#REF!</v>
      </c>
      <c r="O2410" s="671"/>
      <c r="P2410" s="672"/>
      <c r="Q2410" s="688">
        <f t="shared" si="574"/>
        <v>15</v>
      </c>
      <c r="R2410" s="688">
        <f t="shared" si="574"/>
        <v>15</v>
      </c>
      <c r="T2410" s="690">
        <f t="shared" si="572"/>
        <v>0</v>
      </c>
    </row>
    <row r="2411" spans="1:22" s="688" customFormat="1" ht="17.100000000000001" customHeight="1">
      <c r="A2411" s="1316" t="s">
        <v>540</v>
      </c>
      <c r="B2411" s="1317"/>
      <c r="C2411" s="1316"/>
      <c r="D2411" s="1317"/>
      <c r="E2411" s="683">
        <v>0.1011</v>
      </c>
      <c r="F2411" s="676" t="s">
        <v>366</v>
      </c>
      <c r="G2411" s="670"/>
      <c r="H2411" s="670"/>
      <c r="I2411" s="670">
        <f>[53]노임단가!$T$22</f>
        <v>273308</v>
      </c>
      <c r="J2411" s="670">
        <f t="shared" ref="J2411:J2419" si="575">INT(E2411*I2411)</f>
        <v>27631</v>
      </c>
      <c r="K2411" s="670"/>
      <c r="L2411" s="670"/>
      <c r="M2411" s="670">
        <f t="shared" si="573"/>
        <v>273308</v>
      </c>
      <c r="N2411" s="670">
        <f t="shared" si="573"/>
        <v>27631</v>
      </c>
      <c r="O2411" s="671"/>
      <c r="P2411" s="672"/>
      <c r="Q2411" s="688">
        <f t="shared" si="574"/>
        <v>15</v>
      </c>
      <c r="R2411" s="688">
        <f t="shared" si="574"/>
        <v>15</v>
      </c>
      <c r="T2411" s="690">
        <f t="shared" si="572"/>
        <v>0</v>
      </c>
    </row>
    <row r="2412" spans="1:22" s="688" customFormat="1" ht="17.100000000000001" customHeight="1">
      <c r="A2412" s="1316" t="s">
        <v>248</v>
      </c>
      <c r="B2412" s="1317"/>
      <c r="C2412" s="1316"/>
      <c r="D2412" s="1317"/>
      <c r="E2412" s="683">
        <v>5.0599999999999999E-2</v>
      </c>
      <c r="F2412" s="676" t="s">
        <v>366</v>
      </c>
      <c r="G2412" s="670"/>
      <c r="H2412" s="670"/>
      <c r="I2412" s="670">
        <f>[53]노임단가!$T$5</f>
        <v>172068</v>
      </c>
      <c r="J2412" s="670">
        <f t="shared" si="575"/>
        <v>8706</v>
      </c>
      <c r="K2412" s="670"/>
      <c r="L2412" s="670"/>
      <c r="M2412" s="670">
        <f t="shared" si="573"/>
        <v>172068</v>
      </c>
      <c r="N2412" s="670">
        <f t="shared" si="573"/>
        <v>8706</v>
      </c>
      <c r="O2412" s="671"/>
      <c r="P2412" s="672"/>
      <c r="Q2412" s="688">
        <f t="shared" si="574"/>
        <v>15</v>
      </c>
      <c r="R2412" s="688">
        <f t="shared" si="574"/>
        <v>15</v>
      </c>
      <c r="S2412" s="688">
        <v>4</v>
      </c>
      <c r="T2412" s="690">
        <f t="shared" si="572"/>
        <v>0.26669999999999999</v>
      </c>
    </row>
    <row r="2413" spans="1:22" s="688" customFormat="1" ht="17.100000000000001" customHeight="1">
      <c r="A2413" s="1316" t="s">
        <v>1455</v>
      </c>
      <c r="B2413" s="1317"/>
      <c r="C2413" s="1316" t="s">
        <v>394</v>
      </c>
      <c r="D2413" s="1317"/>
      <c r="E2413" s="683">
        <v>0.20230000000000001</v>
      </c>
      <c r="F2413" s="676" t="s">
        <v>418</v>
      </c>
      <c r="G2413" s="670" t="e">
        <f>#REF!</f>
        <v>#REF!</v>
      </c>
      <c r="H2413" s="670" t="e">
        <f t="shared" ref="H2413:H2419" si="576">INT(E2413*G2413)</f>
        <v>#REF!</v>
      </c>
      <c r="I2413" s="670" t="e">
        <f>#REF!</f>
        <v>#REF!</v>
      </c>
      <c r="J2413" s="670" t="e">
        <f t="shared" si="575"/>
        <v>#REF!</v>
      </c>
      <c r="K2413" s="670" t="e">
        <f>#REF!+#REF!</f>
        <v>#REF!</v>
      </c>
      <c r="L2413" s="670" t="e">
        <f t="shared" ref="L2413:L2419" si="577">INT(E2413*K2413)</f>
        <v>#REF!</v>
      </c>
      <c r="M2413" s="670" t="e">
        <f t="shared" si="573"/>
        <v>#REF!</v>
      </c>
      <c r="N2413" s="670" t="e">
        <f t="shared" si="573"/>
        <v>#REF!</v>
      </c>
      <c r="O2413" s="671"/>
      <c r="P2413" s="672"/>
      <c r="Q2413" s="688">
        <f t="shared" si="574"/>
        <v>15</v>
      </c>
      <c r="R2413" s="688">
        <f t="shared" si="574"/>
        <v>15</v>
      </c>
      <c r="S2413" s="688">
        <v>2</v>
      </c>
      <c r="T2413" s="690">
        <f t="shared" si="572"/>
        <v>0.1333</v>
      </c>
    </row>
    <row r="2414" spans="1:22" s="688" customFormat="1" ht="17.100000000000001" customHeight="1">
      <c r="A2414" s="1316" t="s">
        <v>515</v>
      </c>
      <c r="B2414" s="1317"/>
      <c r="C2414" s="1316" t="s">
        <v>555</v>
      </c>
      <c r="D2414" s="1317"/>
      <c r="E2414" s="683">
        <v>0.20230000000000001</v>
      </c>
      <c r="F2414" s="676" t="s">
        <v>418</v>
      </c>
      <c r="G2414" s="670" t="e">
        <f>#REF!</f>
        <v>#REF!</v>
      </c>
      <c r="H2414" s="750" t="e">
        <f>INT(E2414*G2414)</f>
        <v>#REF!</v>
      </c>
      <c r="I2414" s="670" t="e">
        <f>#REF!</f>
        <v>#REF!</v>
      </c>
      <c r="J2414" s="750" t="e">
        <f t="shared" si="575"/>
        <v>#REF!</v>
      </c>
      <c r="K2414" s="670" t="e">
        <f>#REF!</f>
        <v>#REF!</v>
      </c>
      <c r="L2414" s="750" t="e">
        <f>INT(E2414*K2414)</f>
        <v>#REF!</v>
      </c>
      <c r="M2414" s="750" t="e">
        <f t="shared" si="573"/>
        <v>#REF!</v>
      </c>
      <c r="N2414" s="670" t="e">
        <f t="shared" si="573"/>
        <v>#REF!</v>
      </c>
      <c r="O2414" s="671"/>
      <c r="P2414" s="672"/>
      <c r="Q2414" s="688">
        <f t="shared" si="574"/>
        <v>15</v>
      </c>
      <c r="R2414" s="688">
        <f t="shared" si="574"/>
        <v>15</v>
      </c>
      <c r="S2414" s="688">
        <v>8</v>
      </c>
      <c r="T2414" s="690">
        <f t="shared" si="572"/>
        <v>0.5333</v>
      </c>
    </row>
    <row r="2415" spans="1:22" s="665" customFormat="1" ht="17.100000000000001" customHeight="1">
      <c r="A2415" s="1316" t="s">
        <v>1443</v>
      </c>
      <c r="B2415" s="1317"/>
      <c r="C2415" s="1316" t="s">
        <v>1223</v>
      </c>
      <c r="D2415" s="1317"/>
      <c r="E2415" s="683">
        <v>0.20230000000000001</v>
      </c>
      <c r="F2415" s="676" t="s">
        <v>418</v>
      </c>
      <c r="G2415" s="670" t="e">
        <f>$G$192</f>
        <v>#REF!</v>
      </c>
      <c r="H2415" s="670" t="e">
        <f t="shared" si="576"/>
        <v>#REF!</v>
      </c>
      <c r="I2415" s="670" t="e">
        <f>$I$192</f>
        <v>#REF!</v>
      </c>
      <c r="J2415" s="670" t="e">
        <f t="shared" si="575"/>
        <v>#REF!</v>
      </c>
      <c r="K2415" s="670" t="e">
        <f>$K$192</f>
        <v>#REF!</v>
      </c>
      <c r="L2415" s="670" t="e">
        <f t="shared" si="577"/>
        <v>#REF!</v>
      </c>
      <c r="M2415" s="670" t="e">
        <f t="shared" si="573"/>
        <v>#REF!</v>
      </c>
      <c r="N2415" s="670" t="e">
        <f t="shared" si="573"/>
        <v>#REF!</v>
      </c>
      <c r="O2415" s="671"/>
      <c r="P2415" s="672"/>
      <c r="Q2415" s="688">
        <f t="shared" si="574"/>
        <v>15</v>
      </c>
      <c r="R2415" s="688">
        <f t="shared" si="574"/>
        <v>15</v>
      </c>
      <c r="S2415" s="688">
        <v>8</v>
      </c>
      <c r="T2415" s="690">
        <f t="shared" si="572"/>
        <v>0.5333</v>
      </c>
      <c r="U2415" s="688"/>
      <c r="V2415" s="688"/>
    </row>
    <row r="2416" spans="1:22" s="688" customFormat="1" ht="17.100000000000001" customHeight="1">
      <c r="A2416" s="1316" t="s">
        <v>1183</v>
      </c>
      <c r="B2416" s="1317"/>
      <c r="C2416" s="1316" t="s">
        <v>642</v>
      </c>
      <c r="D2416" s="1317"/>
      <c r="E2416" s="683">
        <v>0.20230000000000001</v>
      </c>
      <c r="F2416" s="676" t="s">
        <v>418</v>
      </c>
      <c r="G2416" s="670" t="e">
        <f>#REF!</f>
        <v>#REF!</v>
      </c>
      <c r="H2416" s="670" t="e">
        <f t="shared" si="576"/>
        <v>#REF!</v>
      </c>
      <c r="I2416" s="670" t="e">
        <f>#REF!</f>
        <v>#REF!</v>
      </c>
      <c r="J2416" s="670" t="e">
        <f t="shared" si="575"/>
        <v>#REF!</v>
      </c>
      <c r="K2416" s="670" t="e">
        <f>#REF!</f>
        <v>#REF!</v>
      </c>
      <c r="L2416" s="670" t="e">
        <f t="shared" si="577"/>
        <v>#REF!</v>
      </c>
      <c r="M2416" s="670" t="e">
        <f t="shared" si="573"/>
        <v>#REF!</v>
      </c>
      <c r="N2416" s="670" t="e">
        <f t="shared" si="573"/>
        <v>#REF!</v>
      </c>
      <c r="O2416" s="671"/>
      <c r="P2416" s="672"/>
      <c r="Q2416" s="688">
        <f t="shared" si="574"/>
        <v>15</v>
      </c>
      <c r="R2416" s="688">
        <f t="shared" si="574"/>
        <v>15</v>
      </c>
      <c r="S2416" s="688">
        <v>8</v>
      </c>
      <c r="T2416" s="690">
        <f t="shared" si="572"/>
        <v>0.5333</v>
      </c>
    </row>
    <row r="2417" spans="1:22" s="688" customFormat="1" ht="17.100000000000001" customHeight="1">
      <c r="A2417" s="1316" t="s">
        <v>1217</v>
      </c>
      <c r="B2417" s="1317"/>
      <c r="C2417" s="1316" t="s">
        <v>1218</v>
      </c>
      <c r="D2417" s="1317"/>
      <c r="E2417" s="683">
        <v>0.20230000000000001</v>
      </c>
      <c r="F2417" s="676" t="s">
        <v>418</v>
      </c>
      <c r="G2417" s="670" t="e">
        <f>#REF!</f>
        <v>#REF!</v>
      </c>
      <c r="H2417" s="670" t="e">
        <f t="shared" si="576"/>
        <v>#REF!</v>
      </c>
      <c r="I2417" s="670" t="e">
        <f>#REF!</f>
        <v>#REF!</v>
      </c>
      <c r="J2417" s="670" t="e">
        <f t="shared" si="575"/>
        <v>#REF!</v>
      </c>
      <c r="K2417" s="670" t="e">
        <f>#REF!</f>
        <v>#REF!</v>
      </c>
      <c r="L2417" s="670" t="e">
        <f t="shared" si="577"/>
        <v>#REF!</v>
      </c>
      <c r="M2417" s="670" t="e">
        <f t="shared" si="573"/>
        <v>#REF!</v>
      </c>
      <c r="N2417" s="670" t="e">
        <f t="shared" si="573"/>
        <v>#REF!</v>
      </c>
      <c r="O2417" s="671"/>
      <c r="P2417" s="672"/>
      <c r="Q2417" s="688">
        <f t="shared" si="574"/>
        <v>15</v>
      </c>
      <c r="R2417" s="688">
        <f t="shared" si="574"/>
        <v>15</v>
      </c>
      <c r="S2417" s="688">
        <v>8</v>
      </c>
      <c r="T2417" s="690">
        <f>ROUND(S2417/R2417,4)</f>
        <v>0.5333</v>
      </c>
    </row>
    <row r="2418" spans="1:22" s="688" customFormat="1" ht="17.100000000000001" customHeight="1">
      <c r="A2418" s="1316" t="s">
        <v>1161</v>
      </c>
      <c r="B2418" s="1317"/>
      <c r="C2418" s="1316" t="s">
        <v>2064</v>
      </c>
      <c r="D2418" s="1317"/>
      <c r="E2418" s="683">
        <v>0.20230000000000001</v>
      </c>
      <c r="F2418" s="676" t="s">
        <v>418</v>
      </c>
      <c r="G2418" s="670" t="e">
        <f>#REF!</f>
        <v>#REF!</v>
      </c>
      <c r="H2418" s="670" t="e">
        <f t="shared" si="576"/>
        <v>#REF!</v>
      </c>
      <c r="I2418" s="670" t="e">
        <f>#REF!</f>
        <v>#REF!</v>
      </c>
      <c r="J2418" s="670" t="e">
        <f t="shared" si="575"/>
        <v>#REF!</v>
      </c>
      <c r="K2418" s="670" t="e">
        <f>#REF!</f>
        <v>#REF!</v>
      </c>
      <c r="L2418" s="670" t="e">
        <f t="shared" si="577"/>
        <v>#REF!</v>
      </c>
      <c r="M2418" s="670" t="e">
        <f t="shared" si="573"/>
        <v>#REF!</v>
      </c>
      <c r="N2418" s="670" t="e">
        <f t="shared" si="573"/>
        <v>#REF!</v>
      </c>
      <c r="O2418" s="671"/>
      <c r="P2418" s="672"/>
      <c r="Q2418" s="688">
        <f t="shared" si="574"/>
        <v>15</v>
      </c>
      <c r="R2418" s="688">
        <f t="shared" si="574"/>
        <v>15</v>
      </c>
      <c r="S2418" s="688">
        <v>8</v>
      </c>
      <c r="T2418" s="690">
        <f>ROUND(S2418/R2418,4)</f>
        <v>0.5333</v>
      </c>
    </row>
    <row r="2419" spans="1:22" s="688" customFormat="1" ht="17.100000000000001" customHeight="1">
      <c r="A2419" s="1316" t="s">
        <v>1161</v>
      </c>
      <c r="B2419" s="1317"/>
      <c r="C2419" s="1316" t="s">
        <v>2065</v>
      </c>
      <c r="D2419" s="1317"/>
      <c r="E2419" s="683">
        <v>0.20230000000000001</v>
      </c>
      <c r="F2419" s="676" t="s">
        <v>418</v>
      </c>
      <c r="G2419" s="670" t="e">
        <f>#REF!</f>
        <v>#REF!</v>
      </c>
      <c r="H2419" s="670" t="e">
        <f t="shared" si="576"/>
        <v>#REF!</v>
      </c>
      <c r="I2419" s="670" t="e">
        <f>#REF!</f>
        <v>#REF!</v>
      </c>
      <c r="J2419" s="670" t="e">
        <f t="shared" si="575"/>
        <v>#REF!</v>
      </c>
      <c r="K2419" s="670" t="e">
        <f>#REF!</f>
        <v>#REF!</v>
      </c>
      <c r="L2419" s="670" t="e">
        <f t="shared" si="577"/>
        <v>#REF!</v>
      </c>
      <c r="M2419" s="670" t="e">
        <f t="shared" si="573"/>
        <v>#REF!</v>
      </c>
      <c r="N2419" s="670" t="e">
        <f t="shared" si="573"/>
        <v>#REF!</v>
      </c>
      <c r="O2419" s="671"/>
      <c r="P2419" s="672"/>
      <c r="Q2419" s="688">
        <f t="shared" si="574"/>
        <v>15</v>
      </c>
      <c r="R2419" s="688">
        <f t="shared" si="574"/>
        <v>15</v>
      </c>
      <c r="S2419" s="688">
        <v>8</v>
      </c>
      <c r="T2419" s="690">
        <f>ROUND(S2419/R2419,4)</f>
        <v>0.5333</v>
      </c>
    </row>
    <row r="2420" spans="1:22" s="688" customFormat="1" ht="17.100000000000001" customHeight="1">
      <c r="A2420" s="1318" t="s">
        <v>1320</v>
      </c>
      <c r="B2420" s="1319"/>
      <c r="C2420" s="1316"/>
      <c r="D2420" s="1317"/>
      <c r="E2420" s="686"/>
      <c r="F2420" s="676"/>
      <c r="G2420" s="670"/>
      <c r="H2420" s="670" t="e">
        <f>SUM(H2406:H2419)</f>
        <v>#REF!</v>
      </c>
      <c r="I2420" s="670"/>
      <c r="J2420" s="670" t="e">
        <f>SUM(J2406:J2419)</f>
        <v>#REF!</v>
      </c>
      <c r="K2420" s="670"/>
      <c r="L2420" s="670" t="e">
        <f>SUM(L2406:L2419)</f>
        <v>#REF!</v>
      </c>
      <c r="M2420" s="670"/>
      <c r="N2420" s="670" t="e">
        <f>SUM(N2406:N2419)</f>
        <v>#REF!</v>
      </c>
      <c r="O2420" s="671"/>
      <c r="P2420" s="672"/>
      <c r="Q2420" s="688">
        <f t="shared" si="574"/>
        <v>15</v>
      </c>
      <c r="R2420" s="688">
        <f t="shared" si="574"/>
        <v>15</v>
      </c>
      <c r="S2420" s="688">
        <v>8</v>
      </c>
      <c r="T2420" s="690">
        <f>ROUND(S2420/R2420,4)</f>
        <v>0.5333</v>
      </c>
    </row>
    <row r="2421" spans="1:22" s="688" customFormat="1" ht="17.100000000000001" customHeight="1">
      <c r="A2421" s="668">
        <f>A2405+1</f>
        <v>352</v>
      </c>
      <c r="B2421" s="1320" t="s">
        <v>2091</v>
      </c>
      <c r="C2421" s="1320"/>
      <c r="D2421" s="1320" t="s">
        <v>2097</v>
      </c>
      <c r="E2421" s="1320"/>
      <c r="F2421" s="669" t="s">
        <v>645</v>
      </c>
      <c r="G2421" s="698"/>
      <c r="H2421" s="698"/>
      <c r="I2421" s="698"/>
      <c r="J2421" s="698"/>
      <c r="K2421" s="670"/>
      <c r="L2421" s="670"/>
      <c r="M2421" s="670"/>
      <c r="N2421" s="698"/>
      <c r="O2421" s="699" t="s">
        <v>1562</v>
      </c>
      <c r="P2421" s="672"/>
      <c r="Q2421" s="688">
        <f t="shared" si="574"/>
        <v>15</v>
      </c>
      <c r="R2421" s="688">
        <f t="shared" si="574"/>
        <v>15</v>
      </c>
      <c r="S2421" s="688">
        <v>8</v>
      </c>
      <c r="T2421" s="690">
        <f>ROUND(S2421/R2421,4)</f>
        <v>0.5333</v>
      </c>
    </row>
    <row r="2422" spans="1:22" s="665" customFormat="1" ht="17.100000000000001" customHeight="1">
      <c r="A2422" s="1316" t="s">
        <v>1676</v>
      </c>
      <c r="B2422" s="1317"/>
      <c r="C2422" s="1316" t="s">
        <v>2033</v>
      </c>
      <c r="D2422" s="1317"/>
      <c r="E2422" s="675"/>
      <c r="F2422" s="676" t="s">
        <v>915</v>
      </c>
      <c r="G2422" s="670"/>
      <c r="H2422" s="670"/>
      <c r="I2422" s="670"/>
      <c r="J2422" s="670"/>
      <c r="K2422" s="670"/>
      <c r="L2422" s="670"/>
      <c r="M2422" s="670"/>
      <c r="N2422" s="670"/>
      <c r="O2422" s="671"/>
      <c r="P2422" s="672"/>
      <c r="Q2422" s="688"/>
      <c r="R2422" s="688"/>
      <c r="S2422" s="688"/>
      <c r="T2422" s="688"/>
    </row>
    <row r="2423" spans="1:22" s="665" customFormat="1" ht="17.100000000000001" customHeight="1">
      <c r="A2423" s="1316" t="s">
        <v>1676</v>
      </c>
      <c r="B2423" s="1317"/>
      <c r="C2423" s="1316" t="s">
        <v>1677</v>
      </c>
      <c r="D2423" s="1317"/>
      <c r="E2423" s="675"/>
      <c r="F2423" s="676" t="s">
        <v>915</v>
      </c>
      <c r="G2423" s="670"/>
      <c r="H2423" s="670"/>
      <c r="I2423" s="670"/>
      <c r="J2423" s="670"/>
      <c r="K2423" s="670"/>
      <c r="L2423" s="670"/>
      <c r="M2423" s="670"/>
      <c r="N2423" s="670"/>
      <c r="O2423" s="671"/>
      <c r="P2423" s="672" t="s">
        <v>2074</v>
      </c>
      <c r="Q2423" s="687" t="s">
        <v>1446</v>
      </c>
      <c r="R2423" s="688" t="s">
        <v>1876</v>
      </c>
      <c r="S2423" s="688" t="s">
        <v>1425</v>
      </c>
      <c r="T2423" s="688" t="s">
        <v>1426</v>
      </c>
      <c r="U2423" s="688"/>
      <c r="V2423" s="688"/>
    </row>
    <row r="2424" spans="1:22" s="688" customFormat="1" ht="17.100000000000001" customHeight="1">
      <c r="A2424" s="1316" t="s">
        <v>830</v>
      </c>
      <c r="B2424" s="1317"/>
      <c r="C2424" s="1316" t="s">
        <v>1982</v>
      </c>
      <c r="D2424" s="1317"/>
      <c r="E2424" s="683">
        <v>0.63990000000000002</v>
      </c>
      <c r="F2424" s="676" t="s">
        <v>850</v>
      </c>
      <c r="G2424" s="670" t="e">
        <f>#REF!</f>
        <v>#REF!</v>
      </c>
      <c r="H2424" s="670" t="e">
        <f>INT(E2424*G2424)</f>
        <v>#REF!</v>
      </c>
      <c r="I2424" s="670"/>
      <c r="J2424" s="670"/>
      <c r="K2424" s="670"/>
      <c r="L2424" s="670"/>
      <c r="M2424" s="670" t="e">
        <f t="shared" ref="M2424:N2435" si="578">G2424+I2424+K2424</f>
        <v>#REF!</v>
      </c>
      <c r="N2424" s="670" t="e">
        <f t="shared" si="578"/>
        <v>#REF!</v>
      </c>
      <c r="O2424" s="671"/>
      <c r="P2424" s="672"/>
      <c r="Q2424" s="688">
        <f>15*1.13</f>
        <v>16.95</v>
      </c>
      <c r="R2424" s="688">
        <f>Q2424</f>
        <v>16.95</v>
      </c>
      <c r="T2424" s="690">
        <f t="shared" ref="T2424:T2433" si="579">ROUND(S2424/R2424,4)</f>
        <v>0</v>
      </c>
    </row>
    <row r="2425" spans="1:22" s="688" customFormat="1" ht="17.100000000000001" customHeight="1">
      <c r="A2425" s="1316" t="s">
        <v>1992</v>
      </c>
      <c r="B2425" s="1317"/>
      <c r="C2425" s="1316" t="s">
        <v>2004</v>
      </c>
      <c r="D2425" s="1317"/>
      <c r="E2425" s="675">
        <v>0.75</v>
      </c>
      <c r="F2425" s="676" t="s">
        <v>801</v>
      </c>
      <c r="G2425" s="670" t="e">
        <f>#REF!</f>
        <v>#REF!</v>
      </c>
      <c r="H2425" s="670" t="e">
        <f>INT(E2425*G2425)</f>
        <v>#REF!</v>
      </c>
      <c r="I2425" s="670"/>
      <c r="J2425" s="670"/>
      <c r="K2425" s="670">
        <f>[53]운반공!$BI$584</f>
        <v>45</v>
      </c>
      <c r="L2425" s="670">
        <f>INT(E2425*K2425)</f>
        <v>33</v>
      </c>
      <c r="M2425" s="670" t="e">
        <f t="shared" si="578"/>
        <v>#REF!</v>
      </c>
      <c r="N2425" s="670" t="e">
        <f t="shared" si="578"/>
        <v>#REF!</v>
      </c>
      <c r="O2425" s="671"/>
      <c r="P2425" s="672"/>
      <c r="Q2425" s="688">
        <f t="shared" ref="Q2425:R2438" si="580">Q2424</f>
        <v>16.95</v>
      </c>
      <c r="R2425" s="688">
        <f t="shared" si="580"/>
        <v>16.95</v>
      </c>
      <c r="T2425" s="690">
        <f t="shared" si="579"/>
        <v>0</v>
      </c>
    </row>
    <row r="2426" spans="1:22" s="688" customFormat="1" ht="17.100000000000001" customHeight="1">
      <c r="A2426" s="1316" t="s">
        <v>1992</v>
      </c>
      <c r="B2426" s="1317"/>
      <c r="C2426" s="1316" t="s">
        <v>2023</v>
      </c>
      <c r="D2426" s="1317"/>
      <c r="E2426" s="679">
        <v>0.3</v>
      </c>
      <c r="F2426" s="676" t="s">
        <v>801</v>
      </c>
      <c r="G2426" s="670" t="e">
        <f>#REF!</f>
        <v>#REF!</v>
      </c>
      <c r="H2426" s="670" t="e">
        <f>INT(E2426*G2426)</f>
        <v>#REF!</v>
      </c>
      <c r="I2426" s="670"/>
      <c r="J2426" s="670"/>
      <c r="K2426" s="670">
        <f>[53]운반공!$BI$584</f>
        <v>45</v>
      </c>
      <c r="L2426" s="670">
        <f>INT(E2426*K2426)</f>
        <v>13</v>
      </c>
      <c r="M2426" s="670" t="e">
        <f t="shared" si="578"/>
        <v>#REF!</v>
      </c>
      <c r="N2426" s="670" t="e">
        <f t="shared" si="578"/>
        <v>#REF!</v>
      </c>
      <c r="O2426" s="671"/>
      <c r="P2426" s="672"/>
      <c r="Q2426" s="688">
        <f t="shared" si="580"/>
        <v>16.95</v>
      </c>
      <c r="R2426" s="688">
        <f t="shared" si="580"/>
        <v>16.95</v>
      </c>
      <c r="T2426" s="690">
        <f t="shared" si="579"/>
        <v>0</v>
      </c>
    </row>
    <row r="2427" spans="1:22" s="688" customFormat="1" ht="17.100000000000001" customHeight="1">
      <c r="A2427" s="1316" t="s">
        <v>540</v>
      </c>
      <c r="B2427" s="1317"/>
      <c r="C2427" s="1316"/>
      <c r="D2427" s="1317"/>
      <c r="E2427" s="683">
        <v>0.12839999999999999</v>
      </c>
      <c r="F2427" s="676" t="s">
        <v>366</v>
      </c>
      <c r="G2427" s="670"/>
      <c r="H2427" s="670"/>
      <c r="I2427" s="670">
        <f>[53]노임단가!$T$22</f>
        <v>273308</v>
      </c>
      <c r="J2427" s="670">
        <f t="shared" ref="J2427:J2435" si="581">INT(E2427*I2427)</f>
        <v>35092</v>
      </c>
      <c r="K2427" s="670"/>
      <c r="L2427" s="670"/>
      <c r="M2427" s="670">
        <f t="shared" si="578"/>
        <v>273308</v>
      </c>
      <c r="N2427" s="670">
        <f t="shared" si="578"/>
        <v>35092</v>
      </c>
      <c r="O2427" s="671"/>
      <c r="P2427" s="672"/>
      <c r="Q2427" s="688">
        <f t="shared" si="580"/>
        <v>16.95</v>
      </c>
      <c r="R2427" s="688">
        <f t="shared" si="580"/>
        <v>16.95</v>
      </c>
      <c r="T2427" s="690">
        <f t="shared" si="579"/>
        <v>0</v>
      </c>
    </row>
    <row r="2428" spans="1:22" s="688" customFormat="1" ht="17.100000000000001" customHeight="1">
      <c r="A2428" s="1316" t="s">
        <v>248</v>
      </c>
      <c r="B2428" s="1317"/>
      <c r="C2428" s="1316"/>
      <c r="D2428" s="1317"/>
      <c r="E2428" s="683">
        <v>6.4199999999999993E-2</v>
      </c>
      <c r="F2428" s="676" t="s">
        <v>366</v>
      </c>
      <c r="G2428" s="670"/>
      <c r="H2428" s="670"/>
      <c r="I2428" s="670">
        <f>[53]노임단가!$T$5</f>
        <v>172068</v>
      </c>
      <c r="J2428" s="670">
        <f t="shared" si="581"/>
        <v>11046</v>
      </c>
      <c r="K2428" s="670"/>
      <c r="L2428" s="670"/>
      <c r="M2428" s="670">
        <f t="shared" si="578"/>
        <v>172068</v>
      </c>
      <c r="N2428" s="670">
        <f t="shared" si="578"/>
        <v>11046</v>
      </c>
      <c r="O2428" s="671"/>
      <c r="P2428" s="672"/>
      <c r="Q2428" s="688">
        <f t="shared" si="580"/>
        <v>16.95</v>
      </c>
      <c r="R2428" s="688">
        <f t="shared" si="580"/>
        <v>16.95</v>
      </c>
      <c r="T2428" s="690">
        <f t="shared" si="579"/>
        <v>0</v>
      </c>
    </row>
    <row r="2429" spans="1:22" s="688" customFormat="1" ht="17.100000000000001" customHeight="1">
      <c r="A2429" s="1316" t="s">
        <v>1455</v>
      </c>
      <c r="B2429" s="1317"/>
      <c r="C2429" s="1316" t="s">
        <v>394</v>
      </c>
      <c r="D2429" s="1317"/>
      <c r="E2429" s="683">
        <v>0.25679999999999997</v>
      </c>
      <c r="F2429" s="676" t="s">
        <v>418</v>
      </c>
      <c r="G2429" s="670" t="e">
        <f>#REF!</f>
        <v>#REF!</v>
      </c>
      <c r="H2429" s="670" t="e">
        <f t="shared" ref="H2429:H2435" si="582">INT(E2429*G2429)</f>
        <v>#REF!</v>
      </c>
      <c r="I2429" s="670" t="e">
        <f>#REF!</f>
        <v>#REF!</v>
      </c>
      <c r="J2429" s="670" t="e">
        <f t="shared" si="581"/>
        <v>#REF!</v>
      </c>
      <c r="K2429" s="670" t="e">
        <f>#REF!+#REF!</f>
        <v>#REF!</v>
      </c>
      <c r="L2429" s="670" t="e">
        <f t="shared" ref="L2429:L2435" si="583">INT(E2429*K2429)</f>
        <v>#REF!</v>
      </c>
      <c r="M2429" s="670" t="e">
        <f t="shared" si="578"/>
        <v>#REF!</v>
      </c>
      <c r="N2429" s="670" t="e">
        <f t="shared" si="578"/>
        <v>#REF!</v>
      </c>
      <c r="O2429" s="671"/>
      <c r="P2429" s="672"/>
      <c r="Q2429" s="688">
        <f t="shared" si="580"/>
        <v>16.95</v>
      </c>
      <c r="R2429" s="688">
        <f t="shared" si="580"/>
        <v>16.95</v>
      </c>
      <c r="S2429" s="688">
        <v>4</v>
      </c>
      <c r="T2429" s="690">
        <f t="shared" si="579"/>
        <v>0.23599999999999999</v>
      </c>
    </row>
    <row r="2430" spans="1:22" s="688" customFormat="1" ht="17.100000000000001" customHeight="1">
      <c r="A2430" s="1316" t="s">
        <v>515</v>
      </c>
      <c r="B2430" s="1317"/>
      <c r="C2430" s="1316" t="s">
        <v>555</v>
      </c>
      <c r="D2430" s="1317"/>
      <c r="E2430" s="683">
        <v>0.25679999999999997</v>
      </c>
      <c r="F2430" s="676" t="s">
        <v>418</v>
      </c>
      <c r="G2430" s="670" t="e">
        <f>#REF!</f>
        <v>#REF!</v>
      </c>
      <c r="H2430" s="750" t="e">
        <f>INT(E2430*G2430)</f>
        <v>#REF!</v>
      </c>
      <c r="I2430" s="670" t="e">
        <f>#REF!</f>
        <v>#REF!</v>
      </c>
      <c r="J2430" s="750" t="e">
        <f t="shared" si="581"/>
        <v>#REF!</v>
      </c>
      <c r="K2430" s="670" t="e">
        <f>#REF!</f>
        <v>#REF!</v>
      </c>
      <c r="L2430" s="750" t="e">
        <f>INT(E2430*K2430)</f>
        <v>#REF!</v>
      </c>
      <c r="M2430" s="750" t="e">
        <f t="shared" si="578"/>
        <v>#REF!</v>
      </c>
      <c r="N2430" s="670" t="e">
        <f t="shared" si="578"/>
        <v>#REF!</v>
      </c>
      <c r="O2430" s="671"/>
      <c r="P2430" s="672"/>
      <c r="Q2430" s="688">
        <f t="shared" si="580"/>
        <v>16.95</v>
      </c>
      <c r="R2430" s="688">
        <f t="shared" si="580"/>
        <v>16.95</v>
      </c>
      <c r="S2430" s="688">
        <v>2</v>
      </c>
      <c r="T2430" s="690">
        <f t="shared" si="579"/>
        <v>0.11799999999999999</v>
      </c>
    </row>
    <row r="2431" spans="1:22" s="688" customFormat="1" ht="17.100000000000001" customHeight="1">
      <c r="A2431" s="1316" t="s">
        <v>1443</v>
      </c>
      <c r="B2431" s="1317"/>
      <c r="C2431" s="1316" t="s">
        <v>1223</v>
      </c>
      <c r="D2431" s="1317"/>
      <c r="E2431" s="683">
        <v>0.25679999999999997</v>
      </c>
      <c r="F2431" s="676" t="s">
        <v>418</v>
      </c>
      <c r="G2431" s="670" t="e">
        <f>$G$192</f>
        <v>#REF!</v>
      </c>
      <c r="H2431" s="670" t="e">
        <f t="shared" si="582"/>
        <v>#REF!</v>
      </c>
      <c r="I2431" s="670" t="e">
        <f>$I$192</f>
        <v>#REF!</v>
      </c>
      <c r="J2431" s="670" t="e">
        <f t="shared" si="581"/>
        <v>#REF!</v>
      </c>
      <c r="K2431" s="670" t="e">
        <f>$K$192</f>
        <v>#REF!</v>
      </c>
      <c r="L2431" s="670" t="e">
        <f t="shared" si="583"/>
        <v>#REF!</v>
      </c>
      <c r="M2431" s="670" t="e">
        <f t="shared" si="578"/>
        <v>#REF!</v>
      </c>
      <c r="N2431" s="670" t="e">
        <f t="shared" si="578"/>
        <v>#REF!</v>
      </c>
      <c r="O2431" s="671"/>
      <c r="P2431" s="672"/>
      <c r="Q2431" s="688">
        <f t="shared" si="580"/>
        <v>16.95</v>
      </c>
      <c r="R2431" s="688">
        <f t="shared" si="580"/>
        <v>16.95</v>
      </c>
      <c r="S2431" s="688">
        <v>8</v>
      </c>
      <c r="T2431" s="690">
        <f t="shared" si="579"/>
        <v>0.47199999999999998</v>
      </c>
    </row>
    <row r="2432" spans="1:22" s="665" customFormat="1" ht="17.100000000000001" customHeight="1">
      <c r="A2432" s="1316" t="s">
        <v>1183</v>
      </c>
      <c r="B2432" s="1317"/>
      <c r="C2432" s="1316" t="s">
        <v>642</v>
      </c>
      <c r="D2432" s="1317"/>
      <c r="E2432" s="683">
        <v>0.25679999999999997</v>
      </c>
      <c r="F2432" s="676" t="s">
        <v>418</v>
      </c>
      <c r="G2432" s="670" t="e">
        <f>#REF!</f>
        <v>#REF!</v>
      </c>
      <c r="H2432" s="670" t="e">
        <f t="shared" si="582"/>
        <v>#REF!</v>
      </c>
      <c r="I2432" s="670" t="e">
        <f>#REF!</f>
        <v>#REF!</v>
      </c>
      <c r="J2432" s="670" t="e">
        <f t="shared" si="581"/>
        <v>#REF!</v>
      </c>
      <c r="K2432" s="670" t="e">
        <f>#REF!</f>
        <v>#REF!</v>
      </c>
      <c r="L2432" s="670" t="e">
        <f t="shared" si="583"/>
        <v>#REF!</v>
      </c>
      <c r="M2432" s="670" t="e">
        <f t="shared" si="578"/>
        <v>#REF!</v>
      </c>
      <c r="N2432" s="670" t="e">
        <f t="shared" si="578"/>
        <v>#REF!</v>
      </c>
      <c r="O2432" s="671"/>
      <c r="P2432" s="672"/>
      <c r="Q2432" s="688">
        <f t="shared" si="580"/>
        <v>16.95</v>
      </c>
      <c r="R2432" s="688">
        <f t="shared" si="580"/>
        <v>16.95</v>
      </c>
      <c r="S2432" s="688">
        <v>8</v>
      </c>
      <c r="T2432" s="690">
        <f t="shared" si="579"/>
        <v>0.47199999999999998</v>
      </c>
      <c r="U2432" s="688"/>
      <c r="V2432" s="688"/>
    </row>
    <row r="2433" spans="1:22" s="688" customFormat="1" ht="17.100000000000001" customHeight="1">
      <c r="A2433" s="1316" t="s">
        <v>1217</v>
      </c>
      <c r="B2433" s="1317"/>
      <c r="C2433" s="1316" t="s">
        <v>1218</v>
      </c>
      <c r="D2433" s="1317"/>
      <c r="E2433" s="683">
        <v>0.25679999999999997</v>
      </c>
      <c r="F2433" s="676" t="s">
        <v>418</v>
      </c>
      <c r="G2433" s="670" t="e">
        <f>#REF!</f>
        <v>#REF!</v>
      </c>
      <c r="H2433" s="670" t="e">
        <f t="shared" si="582"/>
        <v>#REF!</v>
      </c>
      <c r="I2433" s="670" t="e">
        <f>#REF!</f>
        <v>#REF!</v>
      </c>
      <c r="J2433" s="670" t="e">
        <f t="shared" si="581"/>
        <v>#REF!</v>
      </c>
      <c r="K2433" s="670" t="e">
        <f>#REF!</f>
        <v>#REF!</v>
      </c>
      <c r="L2433" s="670" t="e">
        <f t="shared" si="583"/>
        <v>#REF!</v>
      </c>
      <c r="M2433" s="670" t="e">
        <f t="shared" si="578"/>
        <v>#REF!</v>
      </c>
      <c r="N2433" s="670" t="e">
        <f t="shared" si="578"/>
        <v>#REF!</v>
      </c>
      <c r="O2433" s="671"/>
      <c r="P2433" s="672"/>
      <c r="Q2433" s="688">
        <f t="shared" si="580"/>
        <v>16.95</v>
      </c>
      <c r="R2433" s="688">
        <f t="shared" si="580"/>
        <v>16.95</v>
      </c>
      <c r="S2433" s="688">
        <v>8</v>
      </c>
      <c r="T2433" s="690">
        <f t="shared" si="579"/>
        <v>0.47199999999999998</v>
      </c>
    </row>
    <row r="2434" spans="1:22" s="688" customFormat="1" ht="17.100000000000001" customHeight="1">
      <c r="A2434" s="1316" t="s">
        <v>1161</v>
      </c>
      <c r="B2434" s="1317"/>
      <c r="C2434" s="1316" t="s">
        <v>2064</v>
      </c>
      <c r="D2434" s="1317"/>
      <c r="E2434" s="683">
        <v>0.25679999999999997</v>
      </c>
      <c r="F2434" s="676" t="s">
        <v>418</v>
      </c>
      <c r="G2434" s="670" t="e">
        <f>#REF!</f>
        <v>#REF!</v>
      </c>
      <c r="H2434" s="670" t="e">
        <f t="shared" si="582"/>
        <v>#REF!</v>
      </c>
      <c r="I2434" s="670" t="e">
        <f>#REF!</f>
        <v>#REF!</v>
      </c>
      <c r="J2434" s="670" t="e">
        <f t="shared" si="581"/>
        <v>#REF!</v>
      </c>
      <c r="K2434" s="670" t="e">
        <f>#REF!</f>
        <v>#REF!</v>
      </c>
      <c r="L2434" s="670" t="e">
        <f t="shared" si="583"/>
        <v>#REF!</v>
      </c>
      <c r="M2434" s="670" t="e">
        <f t="shared" si="578"/>
        <v>#REF!</v>
      </c>
      <c r="N2434" s="670" t="e">
        <f t="shared" si="578"/>
        <v>#REF!</v>
      </c>
      <c r="O2434" s="671"/>
      <c r="P2434" s="672"/>
      <c r="Q2434" s="688">
        <f t="shared" si="580"/>
        <v>16.95</v>
      </c>
      <c r="R2434" s="688">
        <f t="shared" si="580"/>
        <v>16.95</v>
      </c>
      <c r="S2434" s="688">
        <v>8</v>
      </c>
      <c r="T2434" s="690">
        <f>ROUND(S2434/R2434,4)</f>
        <v>0.47199999999999998</v>
      </c>
    </row>
    <row r="2435" spans="1:22" s="688" customFormat="1" ht="17.100000000000001" customHeight="1">
      <c r="A2435" s="1316" t="s">
        <v>1161</v>
      </c>
      <c r="B2435" s="1317"/>
      <c r="C2435" s="1316" t="s">
        <v>2065</v>
      </c>
      <c r="D2435" s="1317"/>
      <c r="E2435" s="683">
        <v>0.25679999999999997</v>
      </c>
      <c r="F2435" s="676" t="s">
        <v>418</v>
      </c>
      <c r="G2435" s="670" t="e">
        <f>#REF!</f>
        <v>#REF!</v>
      </c>
      <c r="H2435" s="670" t="e">
        <f t="shared" si="582"/>
        <v>#REF!</v>
      </c>
      <c r="I2435" s="670" t="e">
        <f>#REF!</f>
        <v>#REF!</v>
      </c>
      <c r="J2435" s="670" t="e">
        <f t="shared" si="581"/>
        <v>#REF!</v>
      </c>
      <c r="K2435" s="670" t="e">
        <f>#REF!</f>
        <v>#REF!</v>
      </c>
      <c r="L2435" s="670" t="e">
        <f t="shared" si="583"/>
        <v>#REF!</v>
      </c>
      <c r="M2435" s="670" t="e">
        <f t="shared" si="578"/>
        <v>#REF!</v>
      </c>
      <c r="N2435" s="670" t="e">
        <f t="shared" si="578"/>
        <v>#REF!</v>
      </c>
      <c r="O2435" s="671"/>
      <c r="P2435" s="672"/>
      <c r="Q2435" s="688">
        <f t="shared" si="580"/>
        <v>16.95</v>
      </c>
      <c r="R2435" s="688">
        <f t="shared" si="580"/>
        <v>16.95</v>
      </c>
      <c r="S2435" s="688">
        <v>8</v>
      </c>
      <c r="T2435" s="690">
        <f>ROUND(S2435/R2435,4)</f>
        <v>0.47199999999999998</v>
      </c>
    </row>
    <row r="2436" spans="1:22" s="688" customFormat="1" ht="17.100000000000001" customHeight="1">
      <c r="A2436" s="1318" t="s">
        <v>1320</v>
      </c>
      <c r="B2436" s="1319"/>
      <c r="C2436" s="1316"/>
      <c r="D2436" s="1317"/>
      <c r="E2436" s="686"/>
      <c r="F2436" s="676"/>
      <c r="G2436" s="670"/>
      <c r="H2436" s="670" t="e">
        <f>SUM(H2422:H2435)</f>
        <v>#REF!</v>
      </c>
      <c r="I2436" s="670"/>
      <c r="J2436" s="670" t="e">
        <f>SUM(J2422:J2435)</f>
        <v>#REF!</v>
      </c>
      <c r="K2436" s="670"/>
      <c r="L2436" s="670" t="e">
        <f>SUM(L2422:L2435)</f>
        <v>#REF!</v>
      </c>
      <c r="M2436" s="670"/>
      <c r="N2436" s="670" t="e">
        <f>SUM(N2422:N2435)</f>
        <v>#REF!</v>
      </c>
      <c r="O2436" s="671"/>
      <c r="P2436" s="672"/>
      <c r="Q2436" s="688">
        <f t="shared" si="580"/>
        <v>16.95</v>
      </c>
      <c r="R2436" s="688">
        <f t="shared" si="580"/>
        <v>16.95</v>
      </c>
      <c r="S2436" s="688">
        <v>8</v>
      </c>
      <c r="T2436" s="690">
        <f>ROUND(S2436/R2436,4)</f>
        <v>0.47199999999999998</v>
      </c>
    </row>
    <row r="2437" spans="1:22" s="688" customFormat="1" ht="17.100000000000001" customHeight="1">
      <c r="A2437" s="668">
        <f>A2421+1</f>
        <v>353</v>
      </c>
      <c r="B2437" s="1320" t="s">
        <v>2091</v>
      </c>
      <c r="C2437" s="1320"/>
      <c r="D2437" s="1320" t="s">
        <v>2098</v>
      </c>
      <c r="E2437" s="1320"/>
      <c r="F2437" s="669" t="s">
        <v>645</v>
      </c>
      <c r="G2437" s="698"/>
      <c r="H2437" s="698"/>
      <c r="I2437" s="698"/>
      <c r="J2437" s="698"/>
      <c r="K2437" s="670"/>
      <c r="L2437" s="670"/>
      <c r="M2437" s="670"/>
      <c r="N2437" s="698"/>
      <c r="O2437" s="699" t="s">
        <v>1562</v>
      </c>
      <c r="P2437" s="672"/>
      <c r="Q2437" s="688">
        <f t="shared" si="580"/>
        <v>16.95</v>
      </c>
      <c r="R2437" s="688">
        <f t="shared" si="580"/>
        <v>16.95</v>
      </c>
      <c r="S2437" s="688">
        <v>8</v>
      </c>
      <c r="T2437" s="690">
        <f>ROUND(S2437/R2437,4)</f>
        <v>0.47199999999999998</v>
      </c>
    </row>
    <row r="2438" spans="1:22" s="688" customFormat="1" ht="17.100000000000001" customHeight="1">
      <c r="A2438" s="1316" t="s">
        <v>1676</v>
      </c>
      <c r="B2438" s="1317"/>
      <c r="C2438" s="1316" t="s">
        <v>2033</v>
      </c>
      <c r="D2438" s="1317"/>
      <c r="E2438" s="675"/>
      <c r="F2438" s="676" t="s">
        <v>915</v>
      </c>
      <c r="G2438" s="670"/>
      <c r="H2438" s="670"/>
      <c r="I2438" s="670"/>
      <c r="J2438" s="670"/>
      <c r="K2438" s="670"/>
      <c r="L2438" s="670"/>
      <c r="M2438" s="670"/>
      <c r="N2438" s="670"/>
      <c r="O2438" s="671"/>
      <c r="P2438" s="672"/>
      <c r="Q2438" s="688">
        <f t="shared" si="580"/>
        <v>16.95</v>
      </c>
      <c r="R2438" s="688">
        <f t="shared" si="580"/>
        <v>16.95</v>
      </c>
      <c r="S2438" s="688">
        <v>8</v>
      </c>
      <c r="T2438" s="690">
        <f>ROUND(S2438/R2438,4)</f>
        <v>0.47199999999999998</v>
      </c>
    </row>
    <row r="2439" spans="1:22" s="665" customFormat="1" ht="17.100000000000001" customHeight="1">
      <c r="A2439" s="1316" t="s">
        <v>1676</v>
      </c>
      <c r="B2439" s="1317"/>
      <c r="C2439" s="1316" t="s">
        <v>1677</v>
      </c>
      <c r="D2439" s="1317"/>
      <c r="E2439" s="675"/>
      <c r="F2439" s="676" t="s">
        <v>915</v>
      </c>
      <c r="G2439" s="670"/>
      <c r="H2439" s="670"/>
      <c r="I2439" s="670"/>
      <c r="J2439" s="670"/>
      <c r="K2439" s="670"/>
      <c r="L2439" s="670"/>
      <c r="M2439" s="670"/>
      <c r="N2439" s="670"/>
      <c r="O2439" s="671"/>
      <c r="P2439" s="672"/>
      <c r="Q2439" s="688"/>
      <c r="R2439" s="688"/>
      <c r="S2439" s="688"/>
      <c r="T2439" s="688"/>
    </row>
    <row r="2440" spans="1:22" s="665" customFormat="1" ht="17.100000000000001" customHeight="1">
      <c r="A2440" s="1316" t="s">
        <v>830</v>
      </c>
      <c r="B2440" s="1317"/>
      <c r="C2440" s="1316" t="s">
        <v>1982</v>
      </c>
      <c r="D2440" s="1317"/>
      <c r="E2440" s="683">
        <v>0.63990000000000002</v>
      </c>
      <c r="F2440" s="676" t="s">
        <v>850</v>
      </c>
      <c r="G2440" s="670" t="e">
        <f>#REF!</f>
        <v>#REF!</v>
      </c>
      <c r="H2440" s="670" t="e">
        <f>INT(E2440*G2440)</f>
        <v>#REF!</v>
      </c>
      <c r="I2440" s="670"/>
      <c r="J2440" s="670"/>
      <c r="K2440" s="670"/>
      <c r="L2440" s="670"/>
      <c r="M2440" s="670" t="e">
        <f t="shared" ref="M2440:N2452" si="584">G2440+I2440+K2440</f>
        <v>#REF!</v>
      </c>
      <c r="N2440" s="670" t="e">
        <f t="shared" si="584"/>
        <v>#REF!</v>
      </c>
      <c r="O2440" s="671"/>
      <c r="P2440" s="672" t="s">
        <v>2074</v>
      </c>
      <c r="Q2440" s="687" t="s">
        <v>1446</v>
      </c>
      <c r="R2440" s="688" t="s">
        <v>1876</v>
      </c>
      <c r="S2440" s="688" t="s">
        <v>1425</v>
      </c>
      <c r="T2440" s="688" t="s">
        <v>1426</v>
      </c>
      <c r="U2440" s="688"/>
      <c r="V2440" s="688"/>
    </row>
    <row r="2441" spans="1:22" s="688" customFormat="1" ht="17.100000000000001" customHeight="1">
      <c r="A2441" s="1316" t="s">
        <v>1992</v>
      </c>
      <c r="B2441" s="1317"/>
      <c r="C2441" s="1316" t="s">
        <v>2004</v>
      </c>
      <c r="D2441" s="1317"/>
      <c r="E2441" s="675">
        <v>0.75</v>
      </c>
      <c r="F2441" s="676" t="s">
        <v>801</v>
      </c>
      <c r="G2441" s="670" t="e">
        <f>#REF!</f>
        <v>#REF!</v>
      </c>
      <c r="H2441" s="670" t="e">
        <f>INT(E2441*G2441)</f>
        <v>#REF!</v>
      </c>
      <c r="I2441" s="670"/>
      <c r="J2441" s="670"/>
      <c r="K2441" s="670">
        <f>[53]운반공!$BI$584</f>
        <v>45</v>
      </c>
      <c r="L2441" s="670">
        <f>INT(E2441*K2441)</f>
        <v>33</v>
      </c>
      <c r="M2441" s="670" t="e">
        <f t="shared" si="584"/>
        <v>#REF!</v>
      </c>
      <c r="N2441" s="670" t="e">
        <f t="shared" si="584"/>
        <v>#REF!</v>
      </c>
      <c r="O2441" s="671"/>
      <c r="P2441" s="672"/>
      <c r="Q2441" s="688">
        <f>15*0.89</f>
        <v>13.35</v>
      </c>
      <c r="R2441" s="688">
        <f>Q2441</f>
        <v>13.35</v>
      </c>
      <c r="T2441" s="690">
        <f t="shared" ref="T2441:T2450" si="585">ROUND(S2441/R2441,4)</f>
        <v>0</v>
      </c>
    </row>
    <row r="2442" spans="1:22" s="688" customFormat="1" ht="17.100000000000001" customHeight="1">
      <c r="A2442" s="1316" t="s">
        <v>1992</v>
      </c>
      <c r="B2442" s="1317"/>
      <c r="C2442" s="1316" t="s">
        <v>2023</v>
      </c>
      <c r="D2442" s="1317"/>
      <c r="E2442" s="679">
        <v>0.3</v>
      </c>
      <c r="F2442" s="676" t="s">
        <v>801</v>
      </c>
      <c r="G2442" s="670" t="e">
        <f>#REF!</f>
        <v>#REF!</v>
      </c>
      <c r="H2442" s="670" t="e">
        <f>INT(E2442*G2442)</f>
        <v>#REF!</v>
      </c>
      <c r="I2442" s="670"/>
      <c r="J2442" s="670"/>
      <c r="K2442" s="670">
        <f>[53]운반공!$BI$584</f>
        <v>45</v>
      </c>
      <c r="L2442" s="670">
        <f>INT(E2442*K2442)</f>
        <v>13</v>
      </c>
      <c r="M2442" s="670" t="e">
        <f t="shared" si="584"/>
        <v>#REF!</v>
      </c>
      <c r="N2442" s="670" t="e">
        <f t="shared" si="584"/>
        <v>#REF!</v>
      </c>
      <c r="O2442" s="671"/>
      <c r="P2442" s="672"/>
      <c r="Q2442" s="688">
        <f t="shared" ref="Q2442:R2455" si="586">Q2441</f>
        <v>13.35</v>
      </c>
      <c r="R2442" s="688">
        <f t="shared" si="586"/>
        <v>13.35</v>
      </c>
      <c r="T2442" s="690">
        <f t="shared" si="585"/>
        <v>0</v>
      </c>
    </row>
    <row r="2443" spans="1:22" s="688" customFormat="1" ht="17.100000000000001" customHeight="1">
      <c r="A2443" s="1316" t="s">
        <v>540</v>
      </c>
      <c r="B2443" s="1317"/>
      <c r="C2443" s="1316"/>
      <c r="D2443" s="1317"/>
      <c r="E2443" s="683">
        <v>0.26669999999999999</v>
      </c>
      <c r="F2443" s="676" t="s">
        <v>366</v>
      </c>
      <c r="G2443" s="670"/>
      <c r="H2443" s="670"/>
      <c r="I2443" s="670">
        <f>[53]노임단가!$T$22</f>
        <v>273308</v>
      </c>
      <c r="J2443" s="670">
        <f t="shared" ref="J2443:J2452" si="587">INT(E2443*I2443)</f>
        <v>72891</v>
      </c>
      <c r="K2443" s="670"/>
      <c r="L2443" s="670"/>
      <c r="M2443" s="670">
        <f t="shared" si="584"/>
        <v>273308</v>
      </c>
      <c r="N2443" s="670">
        <f t="shared" si="584"/>
        <v>72891</v>
      </c>
      <c r="O2443" s="671"/>
      <c r="P2443" s="672"/>
      <c r="Q2443" s="688">
        <f t="shared" si="586"/>
        <v>13.35</v>
      </c>
      <c r="R2443" s="688">
        <f t="shared" si="586"/>
        <v>13.35</v>
      </c>
      <c r="T2443" s="690">
        <f t="shared" si="585"/>
        <v>0</v>
      </c>
    </row>
    <row r="2444" spans="1:22" s="688" customFormat="1" ht="17.100000000000001" customHeight="1">
      <c r="A2444" s="1316" t="s">
        <v>248</v>
      </c>
      <c r="B2444" s="1317"/>
      <c r="C2444" s="1316"/>
      <c r="D2444" s="1317"/>
      <c r="E2444" s="683">
        <v>0.1333</v>
      </c>
      <c r="F2444" s="676" t="s">
        <v>366</v>
      </c>
      <c r="G2444" s="670"/>
      <c r="H2444" s="670"/>
      <c r="I2444" s="670">
        <f>[53]노임단가!$T$5</f>
        <v>172068</v>
      </c>
      <c r="J2444" s="670">
        <f t="shared" si="587"/>
        <v>22936</v>
      </c>
      <c r="K2444" s="670"/>
      <c r="L2444" s="670"/>
      <c r="M2444" s="670">
        <f t="shared" si="584"/>
        <v>172068</v>
      </c>
      <c r="N2444" s="670">
        <f t="shared" si="584"/>
        <v>22936</v>
      </c>
      <c r="O2444" s="671"/>
      <c r="P2444" s="672"/>
      <c r="Q2444" s="688">
        <f t="shared" si="586"/>
        <v>13.35</v>
      </c>
      <c r="R2444" s="688">
        <f t="shared" si="586"/>
        <v>13.35</v>
      </c>
      <c r="T2444" s="690">
        <f t="shared" si="585"/>
        <v>0</v>
      </c>
    </row>
    <row r="2445" spans="1:22" s="688" customFormat="1" ht="17.100000000000001" customHeight="1">
      <c r="A2445" s="1316" t="s">
        <v>1455</v>
      </c>
      <c r="B2445" s="1317"/>
      <c r="C2445" s="1316" t="s">
        <v>394</v>
      </c>
      <c r="D2445" s="1317"/>
      <c r="E2445" s="683">
        <v>0.5333</v>
      </c>
      <c r="F2445" s="676" t="s">
        <v>418</v>
      </c>
      <c r="G2445" s="670" t="e">
        <f>#REF!</f>
        <v>#REF!</v>
      </c>
      <c r="H2445" s="670" t="e">
        <f t="shared" ref="H2445:H2452" si="588">INT(E2445*G2445)</f>
        <v>#REF!</v>
      </c>
      <c r="I2445" s="670" t="e">
        <f>#REF!</f>
        <v>#REF!</v>
      </c>
      <c r="J2445" s="670" t="e">
        <f t="shared" si="587"/>
        <v>#REF!</v>
      </c>
      <c r="K2445" s="670" t="e">
        <f>#REF!+#REF!</f>
        <v>#REF!</v>
      </c>
      <c r="L2445" s="670" t="e">
        <f t="shared" ref="L2445:L2452" si="589">INT(E2445*K2445)</f>
        <v>#REF!</v>
      </c>
      <c r="M2445" s="670" t="e">
        <f t="shared" si="584"/>
        <v>#REF!</v>
      </c>
      <c r="N2445" s="670" t="e">
        <f t="shared" si="584"/>
        <v>#REF!</v>
      </c>
      <c r="O2445" s="671"/>
      <c r="P2445" s="672"/>
      <c r="Q2445" s="688">
        <f t="shared" si="586"/>
        <v>13.35</v>
      </c>
      <c r="R2445" s="688">
        <f t="shared" si="586"/>
        <v>13.35</v>
      </c>
      <c r="T2445" s="690">
        <f t="shared" si="585"/>
        <v>0</v>
      </c>
    </row>
    <row r="2446" spans="1:22" s="688" customFormat="1" ht="17.100000000000001" customHeight="1">
      <c r="A2446" s="1316" t="s">
        <v>515</v>
      </c>
      <c r="B2446" s="1317"/>
      <c r="C2446" s="1316" t="s">
        <v>555</v>
      </c>
      <c r="D2446" s="1317"/>
      <c r="E2446" s="683">
        <v>0.5333</v>
      </c>
      <c r="F2446" s="676" t="s">
        <v>418</v>
      </c>
      <c r="G2446" s="670" t="e">
        <f>#REF!</f>
        <v>#REF!</v>
      </c>
      <c r="H2446" s="750" t="e">
        <f>INT(E2446*G2446)</f>
        <v>#REF!</v>
      </c>
      <c r="I2446" s="670" t="e">
        <f>#REF!</f>
        <v>#REF!</v>
      </c>
      <c r="J2446" s="750" t="e">
        <f t="shared" si="587"/>
        <v>#REF!</v>
      </c>
      <c r="K2446" s="670" t="e">
        <f>#REF!</f>
        <v>#REF!</v>
      </c>
      <c r="L2446" s="750" t="e">
        <f>INT(E2446*K2446)</f>
        <v>#REF!</v>
      </c>
      <c r="M2446" s="750" t="e">
        <f t="shared" si="584"/>
        <v>#REF!</v>
      </c>
      <c r="N2446" s="670" t="e">
        <f t="shared" si="584"/>
        <v>#REF!</v>
      </c>
      <c r="O2446" s="671"/>
      <c r="P2446" s="672"/>
      <c r="Q2446" s="688">
        <f t="shared" si="586"/>
        <v>13.35</v>
      </c>
      <c r="R2446" s="688">
        <f t="shared" si="586"/>
        <v>13.35</v>
      </c>
      <c r="S2446" s="688">
        <v>4</v>
      </c>
      <c r="T2446" s="690">
        <f t="shared" si="585"/>
        <v>0.29959999999999998</v>
      </c>
    </row>
    <row r="2447" spans="1:22" s="688" customFormat="1" ht="17.100000000000001" customHeight="1">
      <c r="A2447" s="1316" t="s">
        <v>1443</v>
      </c>
      <c r="B2447" s="1317"/>
      <c r="C2447" s="1316" t="s">
        <v>1223</v>
      </c>
      <c r="D2447" s="1317"/>
      <c r="E2447" s="683">
        <v>0.5333</v>
      </c>
      <c r="F2447" s="676" t="s">
        <v>418</v>
      </c>
      <c r="G2447" s="670" t="e">
        <f>$G$192</f>
        <v>#REF!</v>
      </c>
      <c r="H2447" s="670" t="e">
        <f t="shared" si="588"/>
        <v>#REF!</v>
      </c>
      <c r="I2447" s="670" t="e">
        <f>$I$192</f>
        <v>#REF!</v>
      </c>
      <c r="J2447" s="670" t="e">
        <f t="shared" si="587"/>
        <v>#REF!</v>
      </c>
      <c r="K2447" s="670" t="e">
        <f>$K$192</f>
        <v>#REF!</v>
      </c>
      <c r="L2447" s="670" t="e">
        <f t="shared" si="589"/>
        <v>#REF!</v>
      </c>
      <c r="M2447" s="670" t="e">
        <f t="shared" si="584"/>
        <v>#REF!</v>
      </c>
      <c r="N2447" s="670" t="e">
        <f t="shared" si="584"/>
        <v>#REF!</v>
      </c>
      <c r="O2447" s="671"/>
      <c r="P2447" s="672"/>
      <c r="Q2447" s="688">
        <f t="shared" si="586"/>
        <v>13.35</v>
      </c>
      <c r="R2447" s="688">
        <f t="shared" si="586"/>
        <v>13.35</v>
      </c>
      <c r="S2447" s="688">
        <v>2</v>
      </c>
      <c r="T2447" s="690">
        <f t="shared" si="585"/>
        <v>0.14979999999999999</v>
      </c>
    </row>
    <row r="2448" spans="1:22" s="688" customFormat="1" ht="17.100000000000001" customHeight="1">
      <c r="A2448" s="1316" t="s">
        <v>554</v>
      </c>
      <c r="B2448" s="1317"/>
      <c r="C2448" s="1316" t="s">
        <v>1181</v>
      </c>
      <c r="D2448" s="1317"/>
      <c r="E2448" s="683">
        <v>0.5333</v>
      </c>
      <c r="F2448" s="676" t="s">
        <v>418</v>
      </c>
      <c r="G2448" s="670" t="e">
        <f>$G$1661</f>
        <v>#REF!</v>
      </c>
      <c r="H2448" s="670" t="e">
        <f t="shared" si="588"/>
        <v>#REF!</v>
      </c>
      <c r="I2448" s="670" t="e">
        <f>$I$1661</f>
        <v>#REF!</v>
      </c>
      <c r="J2448" s="670" t="e">
        <f t="shared" si="587"/>
        <v>#REF!</v>
      </c>
      <c r="K2448" s="670" t="e">
        <f>$K$1661</f>
        <v>#REF!</v>
      </c>
      <c r="L2448" s="670" t="e">
        <f t="shared" si="589"/>
        <v>#REF!</v>
      </c>
      <c r="M2448" s="670" t="e">
        <f t="shared" si="584"/>
        <v>#REF!</v>
      </c>
      <c r="N2448" s="670" t="e">
        <f t="shared" si="584"/>
        <v>#REF!</v>
      </c>
      <c r="O2448" s="671"/>
      <c r="P2448" s="672"/>
      <c r="Q2448" s="688">
        <f t="shared" si="586"/>
        <v>13.35</v>
      </c>
      <c r="R2448" s="688">
        <f t="shared" si="586"/>
        <v>13.35</v>
      </c>
      <c r="S2448" s="688">
        <v>8</v>
      </c>
      <c r="T2448" s="690">
        <f t="shared" si="585"/>
        <v>0.59930000000000005</v>
      </c>
    </row>
    <row r="2449" spans="1:22" s="665" customFormat="1" ht="17.100000000000001" customHeight="1">
      <c r="A2449" s="1316" t="s">
        <v>465</v>
      </c>
      <c r="B2449" s="1317"/>
      <c r="C2449" s="1316" t="s">
        <v>466</v>
      </c>
      <c r="D2449" s="1317"/>
      <c r="E2449" s="683">
        <v>0.5333</v>
      </c>
      <c r="F2449" s="676" t="s">
        <v>418</v>
      </c>
      <c r="G2449" s="670" t="e">
        <f>#REF!</f>
        <v>#REF!</v>
      </c>
      <c r="H2449" s="750" t="e">
        <f>INT(E2449*G2449)</f>
        <v>#REF!</v>
      </c>
      <c r="I2449" s="670" t="e">
        <f>#REF!</f>
        <v>#REF!</v>
      </c>
      <c r="J2449" s="750" t="e">
        <f t="shared" si="587"/>
        <v>#REF!</v>
      </c>
      <c r="K2449" s="670" t="e">
        <f>#REF!</f>
        <v>#REF!</v>
      </c>
      <c r="L2449" s="750" t="e">
        <f>INT(E2449*K2449)</f>
        <v>#REF!</v>
      </c>
      <c r="M2449" s="670" t="e">
        <f t="shared" si="584"/>
        <v>#REF!</v>
      </c>
      <c r="N2449" s="670" t="e">
        <f t="shared" si="584"/>
        <v>#REF!</v>
      </c>
      <c r="O2449" s="671"/>
      <c r="P2449" s="672"/>
      <c r="Q2449" s="688">
        <f t="shared" si="586"/>
        <v>13.35</v>
      </c>
      <c r="R2449" s="688">
        <f t="shared" si="586"/>
        <v>13.35</v>
      </c>
      <c r="S2449" s="688">
        <v>8</v>
      </c>
      <c r="T2449" s="690">
        <f t="shared" si="585"/>
        <v>0.59930000000000005</v>
      </c>
      <c r="U2449" s="688"/>
      <c r="V2449" s="688"/>
    </row>
    <row r="2450" spans="1:22" s="688" customFormat="1" ht="17.100000000000001" customHeight="1">
      <c r="A2450" s="1316" t="s">
        <v>1217</v>
      </c>
      <c r="B2450" s="1317"/>
      <c r="C2450" s="1316" t="s">
        <v>1218</v>
      </c>
      <c r="D2450" s="1317"/>
      <c r="E2450" s="683">
        <v>0.5333</v>
      </c>
      <c r="F2450" s="676" t="s">
        <v>418</v>
      </c>
      <c r="G2450" s="670" t="e">
        <f>#REF!</f>
        <v>#REF!</v>
      </c>
      <c r="H2450" s="670" t="e">
        <f t="shared" si="588"/>
        <v>#REF!</v>
      </c>
      <c r="I2450" s="670" t="e">
        <f>#REF!</f>
        <v>#REF!</v>
      </c>
      <c r="J2450" s="670" t="e">
        <f t="shared" si="587"/>
        <v>#REF!</v>
      </c>
      <c r="K2450" s="670" t="e">
        <f>#REF!</f>
        <v>#REF!</v>
      </c>
      <c r="L2450" s="670" t="e">
        <f t="shared" si="589"/>
        <v>#REF!</v>
      </c>
      <c r="M2450" s="670" t="e">
        <f t="shared" si="584"/>
        <v>#REF!</v>
      </c>
      <c r="N2450" s="670" t="e">
        <f t="shared" si="584"/>
        <v>#REF!</v>
      </c>
      <c r="O2450" s="671"/>
      <c r="P2450" s="672"/>
      <c r="Q2450" s="688">
        <f t="shared" si="586"/>
        <v>13.35</v>
      </c>
      <c r="R2450" s="688">
        <f t="shared" si="586"/>
        <v>13.35</v>
      </c>
      <c r="S2450" s="688">
        <v>8</v>
      </c>
      <c r="T2450" s="690">
        <f t="shared" si="585"/>
        <v>0.59930000000000005</v>
      </c>
    </row>
    <row r="2451" spans="1:22" s="688" customFormat="1" ht="17.100000000000001" customHeight="1">
      <c r="A2451" s="1316" t="s">
        <v>1161</v>
      </c>
      <c r="B2451" s="1317"/>
      <c r="C2451" s="1316" t="s">
        <v>2064</v>
      </c>
      <c r="D2451" s="1317"/>
      <c r="E2451" s="683">
        <v>0.5333</v>
      </c>
      <c r="F2451" s="676" t="s">
        <v>418</v>
      </c>
      <c r="G2451" s="670" t="e">
        <f>#REF!</f>
        <v>#REF!</v>
      </c>
      <c r="H2451" s="670" t="e">
        <f t="shared" si="588"/>
        <v>#REF!</v>
      </c>
      <c r="I2451" s="670" t="e">
        <f>#REF!</f>
        <v>#REF!</v>
      </c>
      <c r="J2451" s="670" t="e">
        <f t="shared" si="587"/>
        <v>#REF!</v>
      </c>
      <c r="K2451" s="670" t="e">
        <f>#REF!</f>
        <v>#REF!</v>
      </c>
      <c r="L2451" s="670" t="e">
        <f t="shared" si="589"/>
        <v>#REF!</v>
      </c>
      <c r="M2451" s="670" t="e">
        <f t="shared" si="584"/>
        <v>#REF!</v>
      </c>
      <c r="N2451" s="670" t="e">
        <f t="shared" si="584"/>
        <v>#REF!</v>
      </c>
      <c r="O2451" s="671"/>
      <c r="P2451" s="672"/>
      <c r="Q2451" s="688">
        <f t="shared" si="586"/>
        <v>13.35</v>
      </c>
      <c r="R2451" s="688">
        <f t="shared" si="586"/>
        <v>13.35</v>
      </c>
      <c r="S2451" s="688">
        <v>8</v>
      </c>
      <c r="T2451" s="690">
        <f>ROUND(S2451/R2451,4)</f>
        <v>0.59930000000000005</v>
      </c>
    </row>
    <row r="2452" spans="1:22" s="688" customFormat="1" ht="17.100000000000001" customHeight="1">
      <c r="A2452" s="1316" t="s">
        <v>1161</v>
      </c>
      <c r="B2452" s="1317"/>
      <c r="C2452" s="1316" t="s">
        <v>2065</v>
      </c>
      <c r="D2452" s="1317"/>
      <c r="E2452" s="683">
        <v>0.5333</v>
      </c>
      <c r="F2452" s="676" t="s">
        <v>418</v>
      </c>
      <c r="G2452" s="670" t="e">
        <f>#REF!</f>
        <v>#REF!</v>
      </c>
      <c r="H2452" s="670" t="e">
        <f t="shared" si="588"/>
        <v>#REF!</v>
      </c>
      <c r="I2452" s="670" t="e">
        <f>#REF!</f>
        <v>#REF!</v>
      </c>
      <c r="J2452" s="670" t="e">
        <f t="shared" si="587"/>
        <v>#REF!</v>
      </c>
      <c r="K2452" s="670" t="e">
        <f>#REF!</f>
        <v>#REF!</v>
      </c>
      <c r="L2452" s="670" t="e">
        <f t="shared" si="589"/>
        <v>#REF!</v>
      </c>
      <c r="M2452" s="670" t="e">
        <f t="shared" si="584"/>
        <v>#REF!</v>
      </c>
      <c r="N2452" s="670" t="e">
        <f t="shared" si="584"/>
        <v>#REF!</v>
      </c>
      <c r="O2452" s="671"/>
      <c r="P2452" s="672"/>
      <c r="Q2452" s="688">
        <f t="shared" si="586"/>
        <v>13.35</v>
      </c>
      <c r="R2452" s="688">
        <f t="shared" si="586"/>
        <v>13.35</v>
      </c>
      <c r="S2452" s="688">
        <v>8</v>
      </c>
      <c r="T2452" s="690">
        <f>ROUND(S2452/R2452,4)</f>
        <v>0.59930000000000005</v>
      </c>
    </row>
    <row r="2453" spans="1:22" s="688" customFormat="1" ht="17.100000000000001" customHeight="1">
      <c r="A2453" s="1318" t="s">
        <v>1320</v>
      </c>
      <c r="B2453" s="1319"/>
      <c r="C2453" s="1316"/>
      <c r="D2453" s="1317"/>
      <c r="E2453" s="686"/>
      <c r="F2453" s="676"/>
      <c r="G2453" s="670"/>
      <c r="H2453" s="670" t="e">
        <f>SUM(H2438:H2452)</f>
        <v>#REF!</v>
      </c>
      <c r="I2453" s="670"/>
      <c r="J2453" s="670" t="e">
        <f>SUM(J2438:J2452)</f>
        <v>#REF!</v>
      </c>
      <c r="K2453" s="670"/>
      <c r="L2453" s="670" t="e">
        <f>SUM(L2438:L2452)</f>
        <v>#REF!</v>
      </c>
      <c r="M2453" s="670"/>
      <c r="N2453" s="670" t="e">
        <f>SUM(N2438:N2452)</f>
        <v>#REF!</v>
      </c>
      <c r="O2453" s="671"/>
      <c r="P2453" s="672"/>
      <c r="Q2453" s="688">
        <f t="shared" si="586"/>
        <v>13.35</v>
      </c>
      <c r="R2453" s="688">
        <f t="shared" si="586"/>
        <v>13.35</v>
      </c>
      <c r="S2453" s="688">
        <v>8</v>
      </c>
      <c r="T2453" s="690">
        <f>ROUND(S2453/R2453,4)</f>
        <v>0.59930000000000005</v>
      </c>
    </row>
    <row r="2454" spans="1:22" s="688" customFormat="1" ht="17.100000000000001" customHeight="1">
      <c r="A2454" s="668">
        <f>A2437+1</f>
        <v>354</v>
      </c>
      <c r="B2454" s="1320" t="s">
        <v>2091</v>
      </c>
      <c r="C2454" s="1320"/>
      <c r="D2454" s="1320" t="s">
        <v>2099</v>
      </c>
      <c r="E2454" s="1320"/>
      <c r="F2454" s="669" t="s">
        <v>645</v>
      </c>
      <c r="G2454" s="698"/>
      <c r="H2454" s="698"/>
      <c r="I2454" s="698"/>
      <c r="J2454" s="698"/>
      <c r="K2454" s="670"/>
      <c r="L2454" s="670"/>
      <c r="M2454" s="670"/>
      <c r="N2454" s="698"/>
      <c r="O2454" s="699" t="s">
        <v>1562</v>
      </c>
      <c r="P2454" s="672"/>
      <c r="Q2454" s="688">
        <f t="shared" si="586"/>
        <v>13.35</v>
      </c>
      <c r="R2454" s="688">
        <f t="shared" si="586"/>
        <v>13.35</v>
      </c>
      <c r="S2454" s="688">
        <v>8</v>
      </c>
      <c r="T2454" s="690">
        <f>ROUND(S2454/R2454,4)</f>
        <v>0.59930000000000005</v>
      </c>
    </row>
    <row r="2455" spans="1:22" s="688" customFormat="1" ht="17.100000000000001" customHeight="1">
      <c r="A2455" s="1316" t="s">
        <v>1676</v>
      </c>
      <c r="B2455" s="1317"/>
      <c r="C2455" s="1316" t="s">
        <v>2033</v>
      </c>
      <c r="D2455" s="1317"/>
      <c r="E2455" s="675"/>
      <c r="F2455" s="676" t="s">
        <v>915</v>
      </c>
      <c r="G2455" s="670"/>
      <c r="H2455" s="670"/>
      <c r="I2455" s="670"/>
      <c r="J2455" s="670"/>
      <c r="K2455" s="670"/>
      <c r="L2455" s="670"/>
      <c r="M2455" s="670"/>
      <c r="N2455" s="670"/>
      <c r="O2455" s="671"/>
      <c r="P2455" s="672"/>
      <c r="Q2455" s="688">
        <f t="shared" si="586"/>
        <v>13.35</v>
      </c>
      <c r="R2455" s="688">
        <f t="shared" si="586"/>
        <v>13.35</v>
      </c>
      <c r="S2455" s="688">
        <v>8</v>
      </c>
      <c r="T2455" s="690">
        <f>ROUND(S2455/R2455,4)</f>
        <v>0.59930000000000005</v>
      </c>
    </row>
    <row r="2456" spans="1:22" s="688" customFormat="1" ht="17.100000000000001" customHeight="1">
      <c r="A2456" s="1316" t="s">
        <v>1676</v>
      </c>
      <c r="B2456" s="1317"/>
      <c r="C2456" s="1316" t="s">
        <v>1677</v>
      </c>
      <c r="D2456" s="1317"/>
      <c r="E2456" s="675"/>
      <c r="F2456" s="676" t="s">
        <v>915</v>
      </c>
      <c r="G2456" s="670"/>
      <c r="H2456" s="670"/>
      <c r="I2456" s="670"/>
      <c r="J2456" s="670"/>
      <c r="K2456" s="670"/>
      <c r="L2456" s="670"/>
      <c r="M2456" s="670"/>
      <c r="N2456" s="670"/>
      <c r="O2456" s="671"/>
      <c r="P2456" s="672"/>
    </row>
    <row r="2457" spans="1:22" s="688" customFormat="1" ht="17.100000000000001" customHeight="1">
      <c r="A2457" s="1316" t="s">
        <v>830</v>
      </c>
      <c r="B2457" s="1317"/>
      <c r="C2457" s="1316" t="s">
        <v>1982</v>
      </c>
      <c r="D2457" s="1317"/>
      <c r="E2457" s="683">
        <v>0.63990000000000002</v>
      </c>
      <c r="F2457" s="676" t="s">
        <v>850</v>
      </c>
      <c r="G2457" s="670" t="e">
        <f>#REF!</f>
        <v>#REF!</v>
      </c>
      <c r="H2457" s="670" t="e">
        <f>INT(E2457*G2457)</f>
        <v>#REF!</v>
      </c>
      <c r="I2457" s="670"/>
      <c r="J2457" s="670"/>
      <c r="K2457" s="670"/>
      <c r="L2457" s="670"/>
      <c r="M2457" s="670" t="e">
        <f t="shared" ref="M2457:N2469" si="590">G2457+I2457+K2457</f>
        <v>#REF!</v>
      </c>
      <c r="N2457" s="670" t="e">
        <f t="shared" si="590"/>
        <v>#REF!</v>
      </c>
      <c r="O2457" s="671"/>
      <c r="P2457" s="672" t="s">
        <v>2100</v>
      </c>
      <c r="Q2457" s="687" t="s">
        <v>1551</v>
      </c>
      <c r="R2457" s="688" t="s">
        <v>1447</v>
      </c>
      <c r="S2457" s="688" t="s">
        <v>1425</v>
      </c>
      <c r="T2457" s="688" t="s">
        <v>1426</v>
      </c>
    </row>
    <row r="2458" spans="1:22" s="688" customFormat="1" ht="17.100000000000001" customHeight="1">
      <c r="A2458" s="1316" t="s">
        <v>1992</v>
      </c>
      <c r="B2458" s="1317"/>
      <c r="C2458" s="1316" t="s">
        <v>2004</v>
      </c>
      <c r="D2458" s="1317"/>
      <c r="E2458" s="675">
        <v>0.75</v>
      </c>
      <c r="F2458" s="676" t="s">
        <v>801</v>
      </c>
      <c r="G2458" s="670" t="e">
        <f>#REF!</f>
        <v>#REF!</v>
      </c>
      <c r="H2458" s="670" t="e">
        <f>INT(E2458*G2458)</f>
        <v>#REF!</v>
      </c>
      <c r="I2458" s="670"/>
      <c r="J2458" s="670"/>
      <c r="K2458" s="670">
        <f>[53]운반공!$BI$584</f>
        <v>45</v>
      </c>
      <c r="L2458" s="670">
        <f>INT(E2458*K2458)</f>
        <v>33</v>
      </c>
      <c r="M2458" s="670" t="e">
        <f t="shared" si="590"/>
        <v>#REF!</v>
      </c>
      <c r="N2458" s="670" t="e">
        <f t="shared" si="590"/>
        <v>#REF!</v>
      </c>
      <c r="O2458" s="671"/>
      <c r="P2458" s="807" t="s">
        <v>2101</v>
      </c>
      <c r="Q2458" s="687"/>
    </row>
    <row r="2459" spans="1:22" s="688" customFormat="1" ht="17.100000000000001" customHeight="1">
      <c r="A2459" s="1316" t="s">
        <v>1992</v>
      </c>
      <c r="B2459" s="1317"/>
      <c r="C2459" s="1316" t="s">
        <v>2023</v>
      </c>
      <c r="D2459" s="1317"/>
      <c r="E2459" s="679">
        <v>0.3</v>
      </c>
      <c r="F2459" s="676" t="s">
        <v>801</v>
      </c>
      <c r="G2459" s="670" t="e">
        <f>#REF!</f>
        <v>#REF!</v>
      </c>
      <c r="H2459" s="670" t="e">
        <f>INT(E2459*G2459)</f>
        <v>#REF!</v>
      </c>
      <c r="I2459" s="670"/>
      <c r="J2459" s="670"/>
      <c r="K2459" s="670">
        <f>[53]운반공!$BI$584</f>
        <v>45</v>
      </c>
      <c r="L2459" s="670">
        <f>INT(E2459*K2459)</f>
        <v>13</v>
      </c>
      <c r="M2459" s="670" t="e">
        <f t="shared" si="590"/>
        <v>#REF!</v>
      </c>
      <c r="N2459" s="670" t="e">
        <f t="shared" si="590"/>
        <v>#REF!</v>
      </c>
      <c r="O2459" s="671"/>
      <c r="P2459" s="672"/>
      <c r="Q2459" s="687"/>
    </row>
    <row r="2460" spans="1:22" s="688" customFormat="1" ht="17.100000000000001" customHeight="1">
      <c r="A2460" s="1316" t="s">
        <v>540</v>
      </c>
      <c r="B2460" s="1317"/>
      <c r="C2460" s="1316"/>
      <c r="D2460" s="1317"/>
      <c r="E2460" s="683">
        <v>0.23599999999999999</v>
      </c>
      <c r="F2460" s="676" t="s">
        <v>366</v>
      </c>
      <c r="G2460" s="670"/>
      <c r="H2460" s="670"/>
      <c r="I2460" s="670">
        <f>[53]노임단가!$T$22</f>
        <v>273308</v>
      </c>
      <c r="J2460" s="670">
        <f t="shared" ref="J2460:J2469" si="591">INT(E2460*I2460)</f>
        <v>64500</v>
      </c>
      <c r="K2460" s="670"/>
      <c r="L2460" s="670"/>
      <c r="M2460" s="670">
        <f t="shared" si="590"/>
        <v>273308</v>
      </c>
      <c r="N2460" s="670">
        <f t="shared" si="590"/>
        <v>64500</v>
      </c>
      <c r="O2460" s="671"/>
      <c r="P2460" s="672"/>
      <c r="Q2460" s="688">
        <v>100</v>
      </c>
      <c r="R2460" s="688">
        <f>(Q2460)/(0.2*100)</f>
        <v>5</v>
      </c>
      <c r="S2460" s="688">
        <v>0</v>
      </c>
      <c r="T2460" s="690"/>
    </row>
    <row r="2461" spans="1:22" s="688" customFormat="1" ht="17.100000000000001" customHeight="1">
      <c r="A2461" s="1316" t="s">
        <v>248</v>
      </c>
      <c r="B2461" s="1317"/>
      <c r="C2461" s="1316"/>
      <c r="D2461" s="1317"/>
      <c r="E2461" s="683">
        <v>0.11799999999999999</v>
      </c>
      <c r="F2461" s="676" t="s">
        <v>366</v>
      </c>
      <c r="G2461" s="670"/>
      <c r="H2461" s="670"/>
      <c r="I2461" s="670">
        <f>[53]노임단가!$T$5</f>
        <v>172068</v>
      </c>
      <c r="J2461" s="670">
        <f t="shared" si="591"/>
        <v>20304</v>
      </c>
      <c r="K2461" s="670"/>
      <c r="L2461" s="670"/>
      <c r="M2461" s="670">
        <f t="shared" si="590"/>
        <v>172068</v>
      </c>
      <c r="N2461" s="670">
        <f t="shared" si="590"/>
        <v>20304</v>
      </c>
      <c r="O2461" s="671"/>
      <c r="P2461" s="672"/>
      <c r="Q2461" s="688">
        <f>Q2460</f>
        <v>100</v>
      </c>
      <c r="R2461" s="688">
        <f>R2460</f>
        <v>5</v>
      </c>
      <c r="S2461" s="688">
        <v>4</v>
      </c>
      <c r="T2461" s="690">
        <f>ROUND(S2461/R2461,4)</f>
        <v>0.8</v>
      </c>
    </row>
    <row r="2462" spans="1:22" s="688" customFormat="1" ht="17.100000000000001" customHeight="1">
      <c r="A2462" s="1316" t="s">
        <v>1455</v>
      </c>
      <c r="B2462" s="1317"/>
      <c r="C2462" s="1316" t="s">
        <v>394</v>
      </c>
      <c r="D2462" s="1317"/>
      <c r="E2462" s="683">
        <v>0.47199999999999998</v>
      </c>
      <c r="F2462" s="676" t="s">
        <v>418</v>
      </c>
      <c r="G2462" s="670" t="e">
        <f>#REF!</f>
        <v>#REF!</v>
      </c>
      <c r="H2462" s="670" t="e">
        <f t="shared" ref="H2462:H2469" si="592">INT(E2462*G2462)</f>
        <v>#REF!</v>
      </c>
      <c r="I2462" s="670" t="e">
        <f>#REF!</f>
        <v>#REF!</v>
      </c>
      <c r="J2462" s="670" t="e">
        <f t="shared" si="591"/>
        <v>#REF!</v>
      </c>
      <c r="K2462" s="670" t="e">
        <f>#REF!+#REF!</f>
        <v>#REF!</v>
      </c>
      <c r="L2462" s="670" t="e">
        <f t="shared" ref="L2462:L2469" si="593">INT(E2462*K2462)</f>
        <v>#REF!</v>
      </c>
      <c r="M2462" s="670" t="e">
        <f t="shared" si="590"/>
        <v>#REF!</v>
      </c>
      <c r="N2462" s="670" t="e">
        <f t="shared" si="590"/>
        <v>#REF!</v>
      </c>
      <c r="O2462" s="671"/>
      <c r="P2462" s="672"/>
      <c r="Q2462" s="688">
        <f>Q2461</f>
        <v>100</v>
      </c>
      <c r="R2462" s="688">
        <f>R2461</f>
        <v>5</v>
      </c>
      <c r="S2462" s="688">
        <v>2</v>
      </c>
      <c r="T2462" s="690">
        <f>ROUND(S2462/R2462,4)</f>
        <v>0.4</v>
      </c>
    </row>
    <row r="2463" spans="1:22" s="688" customFormat="1" ht="17.100000000000001" customHeight="1">
      <c r="A2463" s="1316" t="s">
        <v>515</v>
      </c>
      <c r="B2463" s="1317"/>
      <c r="C2463" s="1316" t="s">
        <v>555</v>
      </c>
      <c r="D2463" s="1317"/>
      <c r="E2463" s="683">
        <v>0.47199999999999998</v>
      </c>
      <c r="F2463" s="676" t="s">
        <v>418</v>
      </c>
      <c r="G2463" s="670" t="e">
        <f>#REF!</f>
        <v>#REF!</v>
      </c>
      <c r="H2463" s="750" t="e">
        <f>INT(E2463*G2463)</f>
        <v>#REF!</v>
      </c>
      <c r="I2463" s="670" t="e">
        <f>#REF!</f>
        <v>#REF!</v>
      </c>
      <c r="J2463" s="750" t="e">
        <f t="shared" si="591"/>
        <v>#REF!</v>
      </c>
      <c r="K2463" s="670" t="e">
        <f>#REF!</f>
        <v>#REF!</v>
      </c>
      <c r="L2463" s="750" t="e">
        <f>INT(E2463*K2463)</f>
        <v>#REF!</v>
      </c>
      <c r="M2463" s="750" t="e">
        <f t="shared" si="590"/>
        <v>#REF!</v>
      </c>
      <c r="N2463" s="670" t="e">
        <f t="shared" si="590"/>
        <v>#REF!</v>
      </c>
      <c r="O2463" s="671"/>
      <c r="P2463" s="672"/>
    </row>
    <row r="2464" spans="1:22" s="688" customFormat="1" ht="17.100000000000001" customHeight="1">
      <c r="A2464" s="1316" t="s">
        <v>1443</v>
      </c>
      <c r="B2464" s="1317"/>
      <c r="C2464" s="1316" t="s">
        <v>1223</v>
      </c>
      <c r="D2464" s="1317"/>
      <c r="E2464" s="683">
        <v>0.47199999999999998</v>
      </c>
      <c r="F2464" s="676" t="s">
        <v>418</v>
      </c>
      <c r="G2464" s="670" t="e">
        <f>$G$192</f>
        <v>#REF!</v>
      </c>
      <c r="H2464" s="670" t="e">
        <f t="shared" si="592"/>
        <v>#REF!</v>
      </c>
      <c r="I2464" s="670" t="e">
        <f>$I$192</f>
        <v>#REF!</v>
      </c>
      <c r="J2464" s="670" t="e">
        <f t="shared" si="591"/>
        <v>#REF!</v>
      </c>
      <c r="K2464" s="670" t="e">
        <f>$K$192</f>
        <v>#REF!</v>
      </c>
      <c r="L2464" s="670" t="e">
        <f t="shared" si="593"/>
        <v>#REF!</v>
      </c>
      <c r="M2464" s="670" t="e">
        <f t="shared" si="590"/>
        <v>#REF!</v>
      </c>
      <c r="N2464" s="670" t="e">
        <f t="shared" si="590"/>
        <v>#REF!</v>
      </c>
      <c r="O2464" s="671"/>
      <c r="P2464" s="672"/>
      <c r="Q2464" s="687" t="s">
        <v>1551</v>
      </c>
      <c r="R2464" s="688" t="s">
        <v>1447</v>
      </c>
      <c r="S2464" s="688" t="s">
        <v>1425</v>
      </c>
      <c r="T2464" s="688" t="s">
        <v>1426</v>
      </c>
    </row>
    <row r="2465" spans="1:20" s="688" customFormat="1" ht="17.100000000000001" customHeight="1">
      <c r="A2465" s="1316" t="s">
        <v>554</v>
      </c>
      <c r="B2465" s="1317"/>
      <c r="C2465" s="1316" t="s">
        <v>1181</v>
      </c>
      <c r="D2465" s="1317"/>
      <c r="E2465" s="683">
        <v>0.47199999999999998</v>
      </c>
      <c r="F2465" s="676" t="s">
        <v>418</v>
      </c>
      <c r="G2465" s="670" t="e">
        <f>$G$1661</f>
        <v>#REF!</v>
      </c>
      <c r="H2465" s="670" t="e">
        <f t="shared" si="592"/>
        <v>#REF!</v>
      </c>
      <c r="I2465" s="670" t="e">
        <f>$I$1661</f>
        <v>#REF!</v>
      </c>
      <c r="J2465" s="670" t="e">
        <f t="shared" si="591"/>
        <v>#REF!</v>
      </c>
      <c r="K2465" s="670" t="e">
        <f>$K$1661</f>
        <v>#REF!</v>
      </c>
      <c r="L2465" s="670" t="e">
        <f t="shared" si="593"/>
        <v>#REF!</v>
      </c>
      <c r="M2465" s="670" t="e">
        <f t="shared" si="590"/>
        <v>#REF!</v>
      </c>
      <c r="N2465" s="670" t="e">
        <f t="shared" si="590"/>
        <v>#REF!</v>
      </c>
      <c r="O2465" s="671"/>
      <c r="P2465" s="672"/>
      <c r="Q2465" s="687"/>
    </row>
    <row r="2466" spans="1:20" s="688" customFormat="1" ht="17.100000000000001" customHeight="1">
      <c r="A2466" s="1316" t="s">
        <v>465</v>
      </c>
      <c r="B2466" s="1317"/>
      <c r="C2466" s="1316" t="s">
        <v>466</v>
      </c>
      <c r="D2466" s="1317"/>
      <c r="E2466" s="683">
        <v>0.47199999999999998</v>
      </c>
      <c r="F2466" s="676" t="s">
        <v>418</v>
      </c>
      <c r="G2466" s="670" t="e">
        <f>#REF!</f>
        <v>#REF!</v>
      </c>
      <c r="H2466" s="750" t="e">
        <f>INT(E2466*G2466)</f>
        <v>#REF!</v>
      </c>
      <c r="I2466" s="670" t="e">
        <f>#REF!</f>
        <v>#REF!</v>
      </c>
      <c r="J2466" s="750" t="e">
        <f t="shared" si="591"/>
        <v>#REF!</v>
      </c>
      <c r="K2466" s="670" t="e">
        <f>#REF!</f>
        <v>#REF!</v>
      </c>
      <c r="L2466" s="750" t="e">
        <f>INT(E2466*K2466)</f>
        <v>#REF!</v>
      </c>
      <c r="M2466" s="670" t="e">
        <f t="shared" si="590"/>
        <v>#REF!</v>
      </c>
      <c r="N2466" s="670" t="e">
        <f t="shared" si="590"/>
        <v>#REF!</v>
      </c>
      <c r="O2466" s="671"/>
      <c r="P2466" s="672"/>
      <c r="Q2466" s="687"/>
    </row>
    <row r="2467" spans="1:20" s="688" customFormat="1" ht="17.100000000000001" customHeight="1">
      <c r="A2467" s="1316" t="s">
        <v>1217</v>
      </c>
      <c r="B2467" s="1317"/>
      <c r="C2467" s="1316" t="s">
        <v>1218</v>
      </c>
      <c r="D2467" s="1317"/>
      <c r="E2467" s="683">
        <v>0.47199999999999998</v>
      </c>
      <c r="F2467" s="676" t="s">
        <v>418</v>
      </c>
      <c r="G2467" s="670" t="e">
        <f>#REF!</f>
        <v>#REF!</v>
      </c>
      <c r="H2467" s="670" t="e">
        <f t="shared" si="592"/>
        <v>#REF!</v>
      </c>
      <c r="I2467" s="670" t="e">
        <f>#REF!</f>
        <v>#REF!</v>
      </c>
      <c r="J2467" s="670" t="e">
        <f t="shared" si="591"/>
        <v>#REF!</v>
      </c>
      <c r="K2467" s="670" t="e">
        <f>#REF!</f>
        <v>#REF!</v>
      </c>
      <c r="L2467" s="670" t="e">
        <f t="shared" si="593"/>
        <v>#REF!</v>
      </c>
      <c r="M2467" s="670" t="e">
        <f t="shared" si="590"/>
        <v>#REF!</v>
      </c>
      <c r="N2467" s="670" t="e">
        <f t="shared" si="590"/>
        <v>#REF!</v>
      </c>
      <c r="O2467" s="671"/>
      <c r="P2467" s="672"/>
      <c r="Q2467" s="688">
        <v>150</v>
      </c>
      <c r="R2467" s="688">
        <f>(Q2467)/(0.3*100)</f>
        <v>5</v>
      </c>
      <c r="S2467" s="688">
        <v>0</v>
      </c>
      <c r="T2467" s="690"/>
    </row>
    <row r="2468" spans="1:20" s="688" customFormat="1" ht="17.100000000000001" customHeight="1">
      <c r="A2468" s="1316" t="s">
        <v>1161</v>
      </c>
      <c r="B2468" s="1317"/>
      <c r="C2468" s="1316" t="s">
        <v>2064</v>
      </c>
      <c r="D2468" s="1317"/>
      <c r="E2468" s="683">
        <v>0.47199999999999998</v>
      </c>
      <c r="F2468" s="676" t="s">
        <v>418</v>
      </c>
      <c r="G2468" s="670" t="e">
        <f>#REF!</f>
        <v>#REF!</v>
      </c>
      <c r="H2468" s="670" t="e">
        <f t="shared" si="592"/>
        <v>#REF!</v>
      </c>
      <c r="I2468" s="670" t="e">
        <f>#REF!</f>
        <v>#REF!</v>
      </c>
      <c r="J2468" s="670" t="e">
        <f t="shared" si="591"/>
        <v>#REF!</v>
      </c>
      <c r="K2468" s="670" t="e">
        <f>#REF!</f>
        <v>#REF!</v>
      </c>
      <c r="L2468" s="670" t="e">
        <f t="shared" si="593"/>
        <v>#REF!</v>
      </c>
      <c r="M2468" s="670" t="e">
        <f t="shared" si="590"/>
        <v>#REF!</v>
      </c>
      <c r="N2468" s="670" t="e">
        <f t="shared" si="590"/>
        <v>#REF!</v>
      </c>
      <c r="O2468" s="671"/>
      <c r="P2468" s="672"/>
      <c r="Q2468" s="688">
        <f>Q2467</f>
        <v>150</v>
      </c>
      <c r="R2468" s="688">
        <f>R2467</f>
        <v>5</v>
      </c>
      <c r="S2468" s="688">
        <v>4</v>
      </c>
      <c r="T2468" s="690">
        <f>ROUND(S2468/R2468,4)</f>
        <v>0.8</v>
      </c>
    </row>
    <row r="2469" spans="1:20" s="688" customFormat="1" ht="17.100000000000001" customHeight="1">
      <c r="A2469" s="1316" t="s">
        <v>1161</v>
      </c>
      <c r="B2469" s="1317"/>
      <c r="C2469" s="1316" t="s">
        <v>2065</v>
      </c>
      <c r="D2469" s="1317"/>
      <c r="E2469" s="683">
        <v>0.47199999999999998</v>
      </c>
      <c r="F2469" s="676" t="s">
        <v>418</v>
      </c>
      <c r="G2469" s="670" t="e">
        <f>#REF!</f>
        <v>#REF!</v>
      </c>
      <c r="H2469" s="670" t="e">
        <f t="shared" si="592"/>
        <v>#REF!</v>
      </c>
      <c r="I2469" s="670" t="e">
        <f>#REF!</f>
        <v>#REF!</v>
      </c>
      <c r="J2469" s="670" t="e">
        <f t="shared" si="591"/>
        <v>#REF!</v>
      </c>
      <c r="K2469" s="670" t="e">
        <f>#REF!</f>
        <v>#REF!</v>
      </c>
      <c r="L2469" s="670" t="e">
        <f t="shared" si="593"/>
        <v>#REF!</v>
      </c>
      <c r="M2469" s="670" t="e">
        <f t="shared" si="590"/>
        <v>#REF!</v>
      </c>
      <c r="N2469" s="670" t="e">
        <f t="shared" si="590"/>
        <v>#REF!</v>
      </c>
      <c r="O2469" s="671"/>
      <c r="P2469" s="672"/>
      <c r="Q2469" s="688">
        <f>Q2468</f>
        <v>150</v>
      </c>
      <c r="R2469" s="688">
        <f>R2468</f>
        <v>5</v>
      </c>
      <c r="S2469" s="688">
        <v>2</v>
      </c>
      <c r="T2469" s="690">
        <f>ROUND(S2469/R2469,4)</f>
        <v>0.4</v>
      </c>
    </row>
    <row r="2470" spans="1:20" s="688" customFormat="1" ht="17.100000000000001" customHeight="1">
      <c r="A2470" s="1318" t="s">
        <v>1320</v>
      </c>
      <c r="B2470" s="1319"/>
      <c r="C2470" s="1316"/>
      <c r="D2470" s="1317"/>
      <c r="E2470" s="686"/>
      <c r="F2470" s="676"/>
      <c r="G2470" s="670"/>
      <c r="H2470" s="670" t="e">
        <f>SUM(H2455:H2469)</f>
        <v>#REF!</v>
      </c>
      <c r="I2470" s="670"/>
      <c r="J2470" s="670" t="e">
        <f>SUM(J2455:J2469)</f>
        <v>#REF!</v>
      </c>
      <c r="K2470" s="670"/>
      <c r="L2470" s="670" t="e">
        <f>SUM(L2455:L2469)</f>
        <v>#REF!</v>
      </c>
      <c r="M2470" s="670"/>
      <c r="N2470" s="670" t="e">
        <f>SUM(N2455:N2469)</f>
        <v>#REF!</v>
      </c>
      <c r="O2470" s="671"/>
      <c r="P2470" s="672"/>
    </row>
    <row r="2471" spans="1:20" s="688" customFormat="1" ht="17.100000000000001" customHeight="1">
      <c r="A2471" s="668">
        <f>A2454+1</f>
        <v>355</v>
      </c>
      <c r="B2471" s="1320" t="s">
        <v>2091</v>
      </c>
      <c r="C2471" s="1320"/>
      <c r="D2471" s="1320" t="s">
        <v>2102</v>
      </c>
      <c r="E2471" s="1320"/>
      <c r="F2471" s="669" t="s">
        <v>645</v>
      </c>
      <c r="G2471" s="698"/>
      <c r="H2471" s="698"/>
      <c r="I2471" s="698"/>
      <c r="J2471" s="698"/>
      <c r="K2471" s="670"/>
      <c r="L2471" s="670"/>
      <c r="M2471" s="670"/>
      <c r="N2471" s="698"/>
      <c r="O2471" s="699" t="s">
        <v>1562</v>
      </c>
      <c r="P2471" s="672"/>
      <c r="Q2471" s="687" t="s">
        <v>1551</v>
      </c>
      <c r="R2471" s="688" t="s">
        <v>1447</v>
      </c>
      <c r="S2471" s="688" t="s">
        <v>1425</v>
      </c>
      <c r="T2471" s="688" t="s">
        <v>1426</v>
      </c>
    </row>
    <row r="2472" spans="1:20" s="688" customFormat="1" ht="17.100000000000001" customHeight="1">
      <c r="A2472" s="1316" t="s">
        <v>1676</v>
      </c>
      <c r="B2472" s="1317"/>
      <c r="C2472" s="1316" t="s">
        <v>2033</v>
      </c>
      <c r="D2472" s="1317"/>
      <c r="E2472" s="675"/>
      <c r="F2472" s="676" t="s">
        <v>915</v>
      </c>
      <c r="G2472" s="670"/>
      <c r="H2472" s="670"/>
      <c r="I2472" s="670"/>
      <c r="J2472" s="670"/>
      <c r="K2472" s="670"/>
      <c r="L2472" s="670"/>
      <c r="M2472" s="670"/>
      <c r="N2472" s="670"/>
      <c r="O2472" s="671"/>
      <c r="P2472" s="672"/>
      <c r="Q2472" s="687"/>
    </row>
    <row r="2473" spans="1:20" s="688" customFormat="1" ht="17.100000000000001" customHeight="1">
      <c r="A2473" s="1316" t="s">
        <v>1676</v>
      </c>
      <c r="B2473" s="1317"/>
      <c r="C2473" s="1316" t="s">
        <v>1677</v>
      </c>
      <c r="D2473" s="1317"/>
      <c r="E2473" s="675"/>
      <c r="F2473" s="676" t="s">
        <v>915</v>
      </c>
      <c r="G2473" s="670"/>
      <c r="H2473" s="670"/>
      <c r="I2473" s="670"/>
      <c r="J2473" s="670"/>
      <c r="K2473" s="670"/>
      <c r="L2473" s="670"/>
      <c r="M2473" s="670"/>
      <c r="N2473" s="670"/>
      <c r="O2473" s="671"/>
      <c r="P2473" s="672"/>
      <c r="Q2473" s="687"/>
    </row>
    <row r="2474" spans="1:20" s="688" customFormat="1" ht="17.100000000000001" customHeight="1">
      <c r="A2474" s="1316" t="s">
        <v>830</v>
      </c>
      <c r="B2474" s="1317"/>
      <c r="C2474" s="1316" t="s">
        <v>1982</v>
      </c>
      <c r="D2474" s="1317"/>
      <c r="E2474" s="683">
        <v>0.63990000000000002</v>
      </c>
      <c r="F2474" s="676" t="s">
        <v>850</v>
      </c>
      <c r="G2474" s="670" t="e">
        <f>#REF!</f>
        <v>#REF!</v>
      </c>
      <c r="H2474" s="670" t="e">
        <f>INT(E2474*G2474)</f>
        <v>#REF!</v>
      </c>
      <c r="I2474" s="670"/>
      <c r="J2474" s="670"/>
      <c r="K2474" s="670"/>
      <c r="L2474" s="670"/>
      <c r="M2474" s="670" t="e">
        <f t="shared" ref="M2474:N2486" si="594">G2474+I2474+K2474</f>
        <v>#REF!</v>
      </c>
      <c r="N2474" s="670" t="e">
        <f t="shared" si="594"/>
        <v>#REF!</v>
      </c>
      <c r="O2474" s="671"/>
      <c r="P2474" s="672"/>
      <c r="Q2474" s="688">
        <v>200</v>
      </c>
      <c r="R2474" s="688">
        <f>(Q2474)/(0.4*100)</f>
        <v>5</v>
      </c>
      <c r="S2474" s="688">
        <v>0</v>
      </c>
      <c r="T2474" s="690"/>
    </row>
    <row r="2475" spans="1:20" s="688" customFormat="1" ht="17.100000000000001" customHeight="1">
      <c r="A2475" s="1316" t="s">
        <v>1992</v>
      </c>
      <c r="B2475" s="1317"/>
      <c r="C2475" s="1316" t="s">
        <v>2004</v>
      </c>
      <c r="D2475" s="1317"/>
      <c r="E2475" s="675">
        <v>0.75</v>
      </c>
      <c r="F2475" s="676" t="s">
        <v>801</v>
      </c>
      <c r="G2475" s="670" t="e">
        <f>#REF!</f>
        <v>#REF!</v>
      </c>
      <c r="H2475" s="670" t="e">
        <f>INT(E2475*G2475)</f>
        <v>#REF!</v>
      </c>
      <c r="I2475" s="670"/>
      <c r="J2475" s="670"/>
      <c r="K2475" s="670">
        <f>[53]운반공!$BI$584</f>
        <v>45</v>
      </c>
      <c r="L2475" s="670">
        <f>INT(E2475*K2475)</f>
        <v>33</v>
      </c>
      <c r="M2475" s="670" t="e">
        <f t="shared" si="594"/>
        <v>#REF!</v>
      </c>
      <c r="N2475" s="670" t="e">
        <f t="shared" si="594"/>
        <v>#REF!</v>
      </c>
      <c r="O2475" s="671"/>
      <c r="P2475" s="672"/>
      <c r="Q2475" s="688">
        <f>Q2474</f>
        <v>200</v>
      </c>
      <c r="R2475" s="688">
        <f>R2474</f>
        <v>5</v>
      </c>
      <c r="S2475" s="688">
        <v>4</v>
      </c>
      <c r="T2475" s="690">
        <f>ROUND(S2475/R2475,4)</f>
        <v>0.8</v>
      </c>
    </row>
    <row r="2476" spans="1:20" s="688" customFormat="1" ht="17.100000000000001" customHeight="1">
      <c r="A2476" s="1316" t="s">
        <v>1992</v>
      </c>
      <c r="B2476" s="1317"/>
      <c r="C2476" s="1316" t="s">
        <v>2023</v>
      </c>
      <c r="D2476" s="1317"/>
      <c r="E2476" s="679">
        <v>0.3</v>
      </c>
      <c r="F2476" s="676" t="s">
        <v>801</v>
      </c>
      <c r="G2476" s="670" t="e">
        <f>#REF!</f>
        <v>#REF!</v>
      </c>
      <c r="H2476" s="670" t="e">
        <f>INT(E2476*G2476)</f>
        <v>#REF!</v>
      </c>
      <c r="I2476" s="670"/>
      <c r="J2476" s="670"/>
      <c r="K2476" s="670">
        <f>[53]운반공!$BI$584</f>
        <v>45</v>
      </c>
      <c r="L2476" s="670">
        <f>INT(E2476*K2476)</f>
        <v>13</v>
      </c>
      <c r="M2476" s="670" t="e">
        <f t="shared" si="594"/>
        <v>#REF!</v>
      </c>
      <c r="N2476" s="670" t="e">
        <f t="shared" si="594"/>
        <v>#REF!</v>
      </c>
      <c r="O2476" s="671"/>
      <c r="P2476" s="672"/>
      <c r="Q2476" s="688">
        <f>Q2475</f>
        <v>200</v>
      </c>
      <c r="R2476" s="688">
        <f>R2475</f>
        <v>5</v>
      </c>
      <c r="S2476" s="688">
        <v>2</v>
      </c>
      <c r="T2476" s="690">
        <f>ROUND(S2476/R2476,4)</f>
        <v>0.4</v>
      </c>
    </row>
    <row r="2477" spans="1:20" s="688" customFormat="1" ht="17.100000000000001" customHeight="1">
      <c r="A2477" s="1316" t="s">
        <v>540</v>
      </c>
      <c r="B2477" s="1317"/>
      <c r="C2477" s="1316"/>
      <c r="D2477" s="1317"/>
      <c r="E2477" s="683">
        <v>0.29959999999999998</v>
      </c>
      <c r="F2477" s="676" t="s">
        <v>366</v>
      </c>
      <c r="G2477" s="670"/>
      <c r="H2477" s="670"/>
      <c r="I2477" s="670">
        <f>[53]노임단가!$T$22</f>
        <v>273308</v>
      </c>
      <c r="J2477" s="670">
        <f t="shared" ref="J2477:J2486" si="595">INT(E2477*I2477)</f>
        <v>81883</v>
      </c>
      <c r="K2477" s="670"/>
      <c r="L2477" s="670"/>
      <c r="M2477" s="670">
        <f t="shared" si="594"/>
        <v>273308</v>
      </c>
      <c r="N2477" s="670">
        <f t="shared" si="594"/>
        <v>81883</v>
      </c>
      <c r="O2477" s="671"/>
      <c r="P2477" s="672"/>
    </row>
    <row r="2478" spans="1:20" s="688" customFormat="1" ht="17.100000000000001" customHeight="1">
      <c r="A2478" s="1316" t="s">
        <v>248</v>
      </c>
      <c r="B2478" s="1317"/>
      <c r="C2478" s="1316"/>
      <c r="D2478" s="1317"/>
      <c r="E2478" s="683">
        <v>0.14979999999999999</v>
      </c>
      <c r="F2478" s="676" t="s">
        <v>366</v>
      </c>
      <c r="G2478" s="670"/>
      <c r="H2478" s="670"/>
      <c r="I2478" s="670">
        <f>[53]노임단가!$T$5</f>
        <v>172068</v>
      </c>
      <c r="J2478" s="670">
        <f t="shared" si="595"/>
        <v>25775</v>
      </c>
      <c r="K2478" s="670"/>
      <c r="L2478" s="670"/>
      <c r="M2478" s="670">
        <f t="shared" si="594"/>
        <v>172068</v>
      </c>
      <c r="N2478" s="670">
        <f t="shared" si="594"/>
        <v>25775</v>
      </c>
      <c r="O2478" s="671"/>
      <c r="P2478" s="672" t="s">
        <v>2103</v>
      </c>
      <c r="Q2478" s="687"/>
    </row>
    <row r="2479" spans="1:20" s="688" customFormat="1" ht="17.100000000000001" customHeight="1">
      <c r="A2479" s="1316" t="s">
        <v>1455</v>
      </c>
      <c r="B2479" s="1317"/>
      <c r="C2479" s="1316" t="s">
        <v>394</v>
      </c>
      <c r="D2479" s="1317"/>
      <c r="E2479" s="683">
        <v>0.59930000000000005</v>
      </c>
      <c r="F2479" s="676" t="s">
        <v>418</v>
      </c>
      <c r="G2479" s="670" t="e">
        <f>#REF!</f>
        <v>#REF!</v>
      </c>
      <c r="H2479" s="670" t="e">
        <f t="shared" ref="H2479:H2486" si="596">INT(E2479*G2479)</f>
        <v>#REF!</v>
      </c>
      <c r="I2479" s="670" t="e">
        <f>#REF!</f>
        <v>#REF!</v>
      </c>
      <c r="J2479" s="670" t="e">
        <f t="shared" si="595"/>
        <v>#REF!</v>
      </c>
      <c r="K2479" s="670" t="e">
        <f>#REF!+#REF!</f>
        <v>#REF!</v>
      </c>
      <c r="L2479" s="670" t="e">
        <f t="shared" ref="L2479:L2486" si="597">INT(E2479*K2479)</f>
        <v>#REF!</v>
      </c>
      <c r="M2479" s="670" t="e">
        <f t="shared" si="594"/>
        <v>#REF!</v>
      </c>
      <c r="N2479" s="670" t="e">
        <f t="shared" si="594"/>
        <v>#REF!</v>
      </c>
      <c r="O2479" s="671"/>
      <c r="P2479" s="688" t="s">
        <v>2104</v>
      </c>
      <c r="T2479" s="690"/>
    </row>
    <row r="2480" spans="1:20" s="688" customFormat="1" ht="17.100000000000001" customHeight="1">
      <c r="A2480" s="1316" t="s">
        <v>515</v>
      </c>
      <c r="B2480" s="1317"/>
      <c r="C2480" s="1316" t="s">
        <v>555</v>
      </c>
      <c r="D2480" s="1317"/>
      <c r="E2480" s="683">
        <v>0.59930000000000005</v>
      </c>
      <c r="F2480" s="676" t="s">
        <v>418</v>
      </c>
      <c r="G2480" s="670" t="e">
        <f>#REF!</f>
        <v>#REF!</v>
      </c>
      <c r="H2480" s="750" t="e">
        <f>INT(E2480*G2480)</f>
        <v>#REF!</v>
      </c>
      <c r="I2480" s="670" t="e">
        <f>#REF!</f>
        <v>#REF!</v>
      </c>
      <c r="J2480" s="750" t="e">
        <f t="shared" si="595"/>
        <v>#REF!</v>
      </c>
      <c r="K2480" s="670" t="e">
        <f>#REF!</f>
        <v>#REF!</v>
      </c>
      <c r="L2480" s="750" t="e">
        <f>INT(E2480*K2480)</f>
        <v>#REF!</v>
      </c>
      <c r="M2480" s="750" t="e">
        <f t="shared" si="594"/>
        <v>#REF!</v>
      </c>
      <c r="N2480" s="670" t="e">
        <f t="shared" si="594"/>
        <v>#REF!</v>
      </c>
      <c r="O2480" s="671"/>
      <c r="P2480" s="672"/>
    </row>
    <row r="2481" spans="1:20" s="688" customFormat="1" ht="17.100000000000001" customHeight="1">
      <c r="A2481" s="1316" t="s">
        <v>1443</v>
      </c>
      <c r="B2481" s="1317"/>
      <c r="C2481" s="1316" t="s">
        <v>1223</v>
      </c>
      <c r="D2481" s="1317"/>
      <c r="E2481" s="683">
        <v>0.59930000000000005</v>
      </c>
      <c r="F2481" s="676" t="s">
        <v>418</v>
      </c>
      <c r="G2481" s="670" t="e">
        <f>$G$192</f>
        <v>#REF!</v>
      </c>
      <c r="H2481" s="670" t="e">
        <f t="shared" si="596"/>
        <v>#REF!</v>
      </c>
      <c r="I2481" s="670" t="e">
        <f>$I$192</f>
        <v>#REF!</v>
      </c>
      <c r="J2481" s="670" t="e">
        <f t="shared" si="595"/>
        <v>#REF!</v>
      </c>
      <c r="K2481" s="670" t="e">
        <f>$K$192</f>
        <v>#REF!</v>
      </c>
      <c r="L2481" s="670" t="e">
        <f t="shared" si="597"/>
        <v>#REF!</v>
      </c>
      <c r="M2481" s="670" t="e">
        <f t="shared" si="594"/>
        <v>#REF!</v>
      </c>
      <c r="N2481" s="670" t="e">
        <f t="shared" si="594"/>
        <v>#REF!</v>
      </c>
      <c r="O2481" s="671"/>
      <c r="P2481" s="672" t="s">
        <v>2103</v>
      </c>
      <c r="Q2481" s="687"/>
    </row>
    <row r="2482" spans="1:20" s="688" customFormat="1" ht="17.100000000000001" customHeight="1">
      <c r="A2482" s="1316" t="s">
        <v>554</v>
      </c>
      <c r="B2482" s="1317"/>
      <c r="C2482" s="1316" t="s">
        <v>1181</v>
      </c>
      <c r="D2482" s="1317"/>
      <c r="E2482" s="683">
        <v>0.59930000000000005</v>
      </c>
      <c r="F2482" s="676" t="s">
        <v>418</v>
      </c>
      <c r="G2482" s="670" t="e">
        <f>$G$1661</f>
        <v>#REF!</v>
      </c>
      <c r="H2482" s="670" t="e">
        <f t="shared" si="596"/>
        <v>#REF!</v>
      </c>
      <c r="I2482" s="670" t="e">
        <f>$I$1661</f>
        <v>#REF!</v>
      </c>
      <c r="J2482" s="670" t="e">
        <f t="shared" si="595"/>
        <v>#REF!</v>
      </c>
      <c r="K2482" s="670" t="e">
        <f>$K$1661</f>
        <v>#REF!</v>
      </c>
      <c r="L2482" s="670" t="e">
        <f t="shared" si="597"/>
        <v>#REF!</v>
      </c>
      <c r="M2482" s="670" t="e">
        <f t="shared" si="594"/>
        <v>#REF!</v>
      </c>
      <c r="N2482" s="670" t="e">
        <f t="shared" si="594"/>
        <v>#REF!</v>
      </c>
      <c r="O2482" s="671"/>
      <c r="P2482" s="688" t="s">
        <v>2104</v>
      </c>
      <c r="T2482" s="690"/>
    </row>
    <row r="2483" spans="1:20" s="688" customFormat="1" ht="17.100000000000001" customHeight="1">
      <c r="A2483" s="1316" t="s">
        <v>465</v>
      </c>
      <c r="B2483" s="1317"/>
      <c r="C2483" s="1316" t="s">
        <v>466</v>
      </c>
      <c r="D2483" s="1317"/>
      <c r="E2483" s="683">
        <v>0.59930000000000005</v>
      </c>
      <c r="F2483" s="676" t="s">
        <v>418</v>
      </c>
      <c r="G2483" s="670" t="e">
        <f>#REF!</f>
        <v>#REF!</v>
      </c>
      <c r="H2483" s="750" t="e">
        <f>INT(E2483*G2483)</f>
        <v>#REF!</v>
      </c>
      <c r="I2483" s="670" t="e">
        <f>#REF!</f>
        <v>#REF!</v>
      </c>
      <c r="J2483" s="750" t="e">
        <f t="shared" si="595"/>
        <v>#REF!</v>
      </c>
      <c r="K2483" s="670" t="e">
        <f>#REF!</f>
        <v>#REF!</v>
      </c>
      <c r="L2483" s="750" t="e">
        <f>INT(E2483*K2483)</f>
        <v>#REF!</v>
      </c>
      <c r="M2483" s="670" t="e">
        <f t="shared" si="594"/>
        <v>#REF!</v>
      </c>
      <c r="N2483" s="670" t="e">
        <f t="shared" si="594"/>
        <v>#REF!</v>
      </c>
      <c r="O2483" s="671"/>
      <c r="P2483" s="672"/>
    </row>
    <row r="2484" spans="1:20" s="688" customFormat="1" ht="17.100000000000001" customHeight="1">
      <c r="A2484" s="1316" t="s">
        <v>1217</v>
      </c>
      <c r="B2484" s="1317"/>
      <c r="C2484" s="1316" t="s">
        <v>1218</v>
      </c>
      <c r="D2484" s="1317"/>
      <c r="E2484" s="683">
        <v>0.59930000000000005</v>
      </c>
      <c r="F2484" s="676" t="s">
        <v>418</v>
      </c>
      <c r="G2484" s="670" t="e">
        <f>#REF!</f>
        <v>#REF!</v>
      </c>
      <c r="H2484" s="670" t="e">
        <f t="shared" si="596"/>
        <v>#REF!</v>
      </c>
      <c r="I2484" s="670" t="e">
        <f>#REF!</f>
        <v>#REF!</v>
      </c>
      <c r="J2484" s="670" t="e">
        <f t="shared" si="595"/>
        <v>#REF!</v>
      </c>
      <c r="K2484" s="670" t="e">
        <f>#REF!</f>
        <v>#REF!</v>
      </c>
      <c r="L2484" s="670" t="e">
        <f t="shared" si="597"/>
        <v>#REF!</v>
      </c>
      <c r="M2484" s="670" t="e">
        <f t="shared" si="594"/>
        <v>#REF!</v>
      </c>
      <c r="N2484" s="670" t="e">
        <f t="shared" si="594"/>
        <v>#REF!</v>
      </c>
      <c r="O2484" s="671"/>
      <c r="P2484" s="672" t="s">
        <v>2103</v>
      </c>
      <c r="Q2484" s="687"/>
    </row>
    <row r="2485" spans="1:20" s="688" customFormat="1" ht="17.100000000000001" customHeight="1">
      <c r="A2485" s="1316" t="s">
        <v>1161</v>
      </c>
      <c r="B2485" s="1317"/>
      <c r="C2485" s="1316" t="s">
        <v>2064</v>
      </c>
      <c r="D2485" s="1317"/>
      <c r="E2485" s="683">
        <v>0.59930000000000005</v>
      </c>
      <c r="F2485" s="676" t="s">
        <v>418</v>
      </c>
      <c r="G2485" s="670" t="e">
        <f>#REF!</f>
        <v>#REF!</v>
      </c>
      <c r="H2485" s="670" t="e">
        <f t="shared" si="596"/>
        <v>#REF!</v>
      </c>
      <c r="I2485" s="670" t="e">
        <f>#REF!</f>
        <v>#REF!</v>
      </c>
      <c r="J2485" s="670" t="e">
        <f t="shared" si="595"/>
        <v>#REF!</v>
      </c>
      <c r="K2485" s="670" t="e">
        <f>#REF!</f>
        <v>#REF!</v>
      </c>
      <c r="L2485" s="670" t="e">
        <f t="shared" si="597"/>
        <v>#REF!</v>
      </c>
      <c r="M2485" s="670" t="e">
        <f t="shared" si="594"/>
        <v>#REF!</v>
      </c>
      <c r="N2485" s="670" t="e">
        <f t="shared" si="594"/>
        <v>#REF!</v>
      </c>
      <c r="O2485" s="671"/>
      <c r="P2485" s="688" t="s">
        <v>2104</v>
      </c>
      <c r="T2485" s="690"/>
    </row>
    <row r="2486" spans="1:20" s="688" customFormat="1" ht="17.100000000000001" customHeight="1">
      <c r="A2486" s="1316" t="s">
        <v>1161</v>
      </c>
      <c r="B2486" s="1317"/>
      <c r="C2486" s="1316" t="s">
        <v>2065</v>
      </c>
      <c r="D2486" s="1317"/>
      <c r="E2486" s="683">
        <v>0.59930000000000005</v>
      </c>
      <c r="F2486" s="676" t="s">
        <v>418</v>
      </c>
      <c r="G2486" s="670" t="e">
        <f>#REF!</f>
        <v>#REF!</v>
      </c>
      <c r="H2486" s="670" t="e">
        <f t="shared" si="596"/>
        <v>#REF!</v>
      </c>
      <c r="I2486" s="670" t="e">
        <f>#REF!</f>
        <v>#REF!</v>
      </c>
      <c r="J2486" s="670" t="e">
        <f t="shared" si="595"/>
        <v>#REF!</v>
      </c>
      <c r="K2486" s="670" t="e">
        <f>#REF!</f>
        <v>#REF!</v>
      </c>
      <c r="L2486" s="670" t="e">
        <f t="shared" si="597"/>
        <v>#REF!</v>
      </c>
      <c r="M2486" s="670" t="e">
        <f t="shared" si="594"/>
        <v>#REF!</v>
      </c>
      <c r="N2486" s="670" t="e">
        <f t="shared" si="594"/>
        <v>#REF!</v>
      </c>
      <c r="O2486" s="671"/>
      <c r="P2486" s="672"/>
    </row>
    <row r="2487" spans="1:20" s="688" customFormat="1" ht="17.100000000000001" customHeight="1">
      <c r="A2487" s="1318" t="s">
        <v>1320</v>
      </c>
      <c r="B2487" s="1319"/>
      <c r="C2487" s="1316"/>
      <c r="D2487" s="1317"/>
      <c r="E2487" s="686"/>
      <c r="F2487" s="676"/>
      <c r="G2487" s="670"/>
      <c r="H2487" s="670" t="e">
        <f>SUM(H2472:H2486)</f>
        <v>#REF!</v>
      </c>
      <c r="I2487" s="670"/>
      <c r="J2487" s="670" t="e">
        <f>SUM(J2472:J2486)</f>
        <v>#REF!</v>
      </c>
      <c r="K2487" s="670"/>
      <c r="L2487" s="670" t="e">
        <f>SUM(L2472:L2486)</f>
        <v>#REF!</v>
      </c>
      <c r="M2487" s="670"/>
      <c r="N2487" s="670" t="e">
        <f>SUM(N2472:N2486)</f>
        <v>#REF!</v>
      </c>
      <c r="O2487" s="671"/>
      <c r="P2487" s="672" t="s">
        <v>2103</v>
      </c>
      <c r="Q2487" s="687"/>
    </row>
    <row r="2488" spans="1:20" s="688" customFormat="1" ht="17.100000000000001" customHeight="1">
      <c r="A2488" s="668">
        <f>A2471+1</f>
        <v>356</v>
      </c>
      <c r="B2488" s="1320" t="s">
        <v>470</v>
      </c>
      <c r="C2488" s="1320"/>
      <c r="D2488" s="1320" t="s">
        <v>2105</v>
      </c>
      <c r="E2488" s="1320"/>
      <c r="F2488" s="669" t="s">
        <v>1458</v>
      </c>
      <c r="G2488" s="698"/>
      <c r="H2488" s="698"/>
      <c r="I2488" s="698"/>
      <c r="J2488" s="698"/>
      <c r="K2488" s="670"/>
      <c r="L2488" s="670"/>
      <c r="M2488" s="670"/>
      <c r="N2488" s="698"/>
      <c r="O2488" s="699" t="s">
        <v>1562</v>
      </c>
      <c r="P2488" s="688" t="s">
        <v>2104</v>
      </c>
      <c r="T2488" s="690"/>
    </row>
    <row r="2489" spans="1:20" s="688" customFormat="1" ht="17.100000000000001" customHeight="1">
      <c r="A2489" s="1355" t="s">
        <v>1563</v>
      </c>
      <c r="B2489" s="1355"/>
      <c r="C2489" s="1316" t="s">
        <v>2106</v>
      </c>
      <c r="D2489" s="1320"/>
      <c r="E2489" s="679">
        <v>20.399999999999999</v>
      </c>
      <c r="F2489" s="676" t="s">
        <v>850</v>
      </c>
      <c r="G2489" s="698"/>
      <c r="H2489" s="698"/>
      <c r="I2489" s="698"/>
      <c r="J2489" s="698"/>
      <c r="K2489" s="670"/>
      <c r="L2489" s="670"/>
      <c r="M2489" s="670"/>
      <c r="N2489" s="698"/>
      <c r="O2489" s="699"/>
      <c r="P2489" s="672"/>
    </row>
    <row r="2490" spans="1:20" s="688" customFormat="1" ht="17.100000000000001" customHeight="1">
      <c r="A2490" s="1355" t="s">
        <v>821</v>
      </c>
      <c r="B2490" s="1355"/>
      <c r="C2490" s="1316" t="s">
        <v>2107</v>
      </c>
      <c r="D2490" s="1320"/>
      <c r="E2490" s="677">
        <v>3</v>
      </c>
      <c r="F2490" s="676" t="s">
        <v>850</v>
      </c>
      <c r="G2490" s="698" t="e">
        <f>#REF!</f>
        <v>#REF!</v>
      </c>
      <c r="H2490" s="670" t="e">
        <f>INT(E2490*G2490)</f>
        <v>#REF!</v>
      </c>
      <c r="I2490" s="698"/>
      <c r="J2490" s="698"/>
      <c r="K2490" s="670"/>
      <c r="L2490" s="670"/>
      <c r="M2490" s="670" t="e">
        <f t="shared" ref="M2490:N2493" si="598">G2490+I2490+K2490</f>
        <v>#REF!</v>
      </c>
      <c r="N2490" s="670" t="e">
        <f t="shared" si="598"/>
        <v>#REF!</v>
      </c>
      <c r="O2490" s="699"/>
      <c r="P2490" s="672" t="s">
        <v>2103</v>
      </c>
      <c r="Q2490" s="687"/>
    </row>
    <row r="2491" spans="1:20" s="688" customFormat="1" ht="17.100000000000001" customHeight="1">
      <c r="A2491" s="1316" t="s">
        <v>540</v>
      </c>
      <c r="B2491" s="1317"/>
      <c r="C2491" s="1316"/>
      <c r="D2491" s="1317"/>
      <c r="E2491" s="679">
        <v>0.8</v>
      </c>
      <c r="F2491" s="676" t="s">
        <v>366</v>
      </c>
      <c r="G2491" s="670"/>
      <c r="H2491" s="670"/>
      <c r="I2491" s="670">
        <f>[53]노임단가!$T$22</f>
        <v>273308</v>
      </c>
      <c r="J2491" s="670">
        <f>INT(E2491*I2491)</f>
        <v>218646</v>
      </c>
      <c r="K2491" s="670"/>
      <c r="L2491" s="670"/>
      <c r="M2491" s="670">
        <f t="shared" si="598"/>
        <v>273308</v>
      </c>
      <c r="N2491" s="670">
        <f t="shared" si="598"/>
        <v>218646</v>
      </c>
      <c r="O2491" s="671"/>
      <c r="P2491" s="688" t="s">
        <v>2104</v>
      </c>
      <c r="T2491" s="690"/>
    </row>
    <row r="2492" spans="1:20" s="688" customFormat="1" ht="17.100000000000001" customHeight="1">
      <c r="A2492" s="1316" t="s">
        <v>248</v>
      </c>
      <c r="B2492" s="1317"/>
      <c r="C2492" s="1316"/>
      <c r="D2492" s="1317"/>
      <c r="E2492" s="679">
        <v>0.4</v>
      </c>
      <c r="F2492" s="676" t="s">
        <v>366</v>
      </c>
      <c r="G2492" s="670"/>
      <c r="H2492" s="670"/>
      <c r="I2492" s="670">
        <f>[53]노임단가!$T$5</f>
        <v>172068</v>
      </c>
      <c r="J2492" s="670">
        <f>INT(E2492*I2492)</f>
        <v>68827</v>
      </c>
      <c r="K2492" s="670"/>
      <c r="L2492" s="670"/>
      <c r="M2492" s="670">
        <f t="shared" si="598"/>
        <v>172068</v>
      </c>
      <c r="N2492" s="670">
        <f t="shared" si="598"/>
        <v>68827</v>
      </c>
      <c r="O2492" s="671"/>
      <c r="P2492" s="672"/>
    </row>
    <row r="2493" spans="1:20" s="688" customFormat="1" ht="17.100000000000001" customHeight="1">
      <c r="A2493" s="1316" t="s">
        <v>2108</v>
      </c>
      <c r="B2493" s="1317"/>
      <c r="C2493" s="1316" t="s">
        <v>1451</v>
      </c>
      <c r="D2493" s="1317"/>
      <c r="E2493" s="675">
        <v>0.03</v>
      </c>
      <c r="F2493" s="676" t="s">
        <v>672</v>
      </c>
      <c r="G2493" s="670"/>
      <c r="H2493" s="670">
        <f>INT(E2493*G2493)</f>
        <v>0</v>
      </c>
      <c r="I2493" s="670"/>
      <c r="J2493" s="670"/>
      <c r="K2493" s="670">
        <f>J2491+J2492</f>
        <v>287473</v>
      </c>
      <c r="L2493" s="670">
        <f>INT(E2493*K2493)</f>
        <v>8624</v>
      </c>
      <c r="M2493" s="670">
        <f t="shared" si="598"/>
        <v>287473</v>
      </c>
      <c r="N2493" s="670">
        <f t="shared" si="598"/>
        <v>8624</v>
      </c>
      <c r="O2493" s="671"/>
      <c r="P2493" s="672" t="s">
        <v>2103</v>
      </c>
      <c r="Q2493" s="687"/>
    </row>
    <row r="2494" spans="1:20" s="688" customFormat="1" ht="17.100000000000001" customHeight="1">
      <c r="A2494" s="1318" t="s">
        <v>1320</v>
      </c>
      <c r="B2494" s="1319"/>
      <c r="C2494" s="1316"/>
      <c r="D2494" s="1317"/>
      <c r="E2494" s="686"/>
      <c r="F2494" s="676"/>
      <c r="G2494" s="670"/>
      <c r="H2494" s="670" t="e">
        <f>SUM(H2490:H2493)</f>
        <v>#REF!</v>
      </c>
      <c r="I2494" s="670"/>
      <c r="J2494" s="670">
        <f>SUM(J2491:J2493)</f>
        <v>287473</v>
      </c>
      <c r="K2494" s="670"/>
      <c r="L2494" s="670">
        <f>SUM(L2491:L2493)</f>
        <v>8624</v>
      </c>
      <c r="M2494" s="670"/>
      <c r="N2494" s="670" t="e">
        <f>SUM(N2490:N2493)</f>
        <v>#REF!</v>
      </c>
      <c r="O2494" s="671"/>
      <c r="P2494" s="688" t="s">
        <v>2104</v>
      </c>
      <c r="T2494" s="690"/>
    </row>
    <row r="2495" spans="1:20" s="688" customFormat="1" ht="17.100000000000001" customHeight="1">
      <c r="A2495" s="668">
        <f>A2488+1</f>
        <v>357</v>
      </c>
      <c r="B2495" s="1320" t="s">
        <v>470</v>
      </c>
      <c r="C2495" s="1320"/>
      <c r="D2495" s="1320" t="s">
        <v>2109</v>
      </c>
      <c r="E2495" s="1320"/>
      <c r="F2495" s="669" t="s">
        <v>1458</v>
      </c>
      <c r="G2495" s="698"/>
      <c r="H2495" s="698"/>
      <c r="I2495" s="698"/>
      <c r="J2495" s="698"/>
      <c r="K2495" s="670"/>
      <c r="L2495" s="670"/>
      <c r="M2495" s="670"/>
      <c r="N2495" s="698"/>
      <c r="O2495" s="699"/>
      <c r="P2495" s="672"/>
    </row>
    <row r="2496" spans="1:20" s="688" customFormat="1" ht="17.100000000000001" customHeight="1">
      <c r="A2496" s="1355" t="s">
        <v>1563</v>
      </c>
      <c r="B2496" s="1355"/>
      <c r="C2496" s="1316" t="s">
        <v>2106</v>
      </c>
      <c r="D2496" s="1320"/>
      <c r="E2496" s="679">
        <v>30.6</v>
      </c>
      <c r="F2496" s="676" t="s">
        <v>850</v>
      </c>
      <c r="G2496" s="698"/>
      <c r="H2496" s="698"/>
      <c r="I2496" s="698"/>
      <c r="J2496" s="698"/>
      <c r="K2496" s="670"/>
      <c r="L2496" s="670"/>
      <c r="M2496" s="670"/>
      <c r="N2496" s="698"/>
      <c r="O2496" s="699"/>
      <c r="P2496" s="672" t="s">
        <v>2103</v>
      </c>
      <c r="Q2496" s="687"/>
    </row>
    <row r="2497" spans="1:22" s="688" customFormat="1" ht="17.100000000000001" customHeight="1">
      <c r="A2497" s="1355" t="s">
        <v>821</v>
      </c>
      <c r="B2497" s="1355"/>
      <c r="C2497" s="1316" t="s">
        <v>2107</v>
      </c>
      <c r="D2497" s="1320"/>
      <c r="E2497" s="677">
        <v>3</v>
      </c>
      <c r="F2497" s="676" t="s">
        <v>850</v>
      </c>
      <c r="G2497" s="698" t="e">
        <f>#REF!</f>
        <v>#REF!</v>
      </c>
      <c r="H2497" s="670" t="e">
        <f>INT(E2497*G2497)</f>
        <v>#REF!</v>
      </c>
      <c r="I2497" s="698"/>
      <c r="J2497" s="698"/>
      <c r="K2497" s="670"/>
      <c r="L2497" s="670"/>
      <c r="M2497" s="670" t="e">
        <f t="shared" ref="M2497:N2500" si="599">G2497+I2497+K2497</f>
        <v>#REF!</v>
      </c>
      <c r="N2497" s="670" t="e">
        <f t="shared" si="599"/>
        <v>#REF!</v>
      </c>
      <c r="O2497" s="699"/>
      <c r="P2497" s="688" t="s">
        <v>2104</v>
      </c>
      <c r="T2497" s="690"/>
    </row>
    <row r="2498" spans="1:22" s="688" customFormat="1" ht="17.100000000000001" customHeight="1">
      <c r="A2498" s="1316" t="s">
        <v>540</v>
      </c>
      <c r="B2498" s="1317"/>
      <c r="C2498" s="1316"/>
      <c r="D2498" s="1317"/>
      <c r="E2498" s="679">
        <v>0.8</v>
      </c>
      <c r="F2498" s="676" t="s">
        <v>366</v>
      </c>
      <c r="G2498" s="670"/>
      <c r="H2498" s="670"/>
      <c r="I2498" s="670">
        <f>[53]노임단가!$T$22</f>
        <v>273308</v>
      </c>
      <c r="J2498" s="670">
        <f>INT(E2498*I2498)</f>
        <v>218646</v>
      </c>
      <c r="K2498" s="670"/>
      <c r="L2498" s="670"/>
      <c r="M2498" s="670">
        <f t="shared" si="599"/>
        <v>273308</v>
      </c>
      <c r="N2498" s="670">
        <f t="shared" si="599"/>
        <v>218646</v>
      </c>
      <c r="O2498" s="671"/>
      <c r="P2498" s="672"/>
    </row>
    <row r="2499" spans="1:22" s="688" customFormat="1" ht="17.100000000000001" customHeight="1">
      <c r="A2499" s="1316" t="s">
        <v>248</v>
      </c>
      <c r="B2499" s="1317"/>
      <c r="C2499" s="1316"/>
      <c r="D2499" s="1317"/>
      <c r="E2499" s="679">
        <v>0.4</v>
      </c>
      <c r="F2499" s="676" t="s">
        <v>366</v>
      </c>
      <c r="G2499" s="670"/>
      <c r="H2499" s="670"/>
      <c r="I2499" s="670">
        <f>[53]노임단가!$T$5</f>
        <v>172068</v>
      </c>
      <c r="J2499" s="670">
        <f>INT(E2499*I2499)</f>
        <v>68827</v>
      </c>
      <c r="K2499" s="670"/>
      <c r="L2499" s="670"/>
      <c r="M2499" s="670">
        <f t="shared" si="599"/>
        <v>172068</v>
      </c>
      <c r="N2499" s="670">
        <f t="shared" si="599"/>
        <v>68827</v>
      </c>
      <c r="O2499" s="671"/>
      <c r="P2499" s="672" t="s">
        <v>2103</v>
      </c>
      <c r="Q2499" s="687"/>
    </row>
    <row r="2500" spans="1:22" s="688" customFormat="1" ht="17.100000000000001" customHeight="1">
      <c r="A2500" s="1316" t="s">
        <v>2108</v>
      </c>
      <c r="B2500" s="1317"/>
      <c r="C2500" s="1316" t="s">
        <v>1451</v>
      </c>
      <c r="D2500" s="1317"/>
      <c r="E2500" s="675">
        <v>0.03</v>
      </c>
      <c r="F2500" s="676" t="s">
        <v>672</v>
      </c>
      <c r="G2500" s="670"/>
      <c r="H2500" s="670">
        <f>INT(E2500*G2500)</f>
        <v>0</v>
      </c>
      <c r="I2500" s="670"/>
      <c r="J2500" s="670"/>
      <c r="K2500" s="670">
        <f>J2498+J2499</f>
        <v>287473</v>
      </c>
      <c r="L2500" s="670">
        <f>INT(E2500*K2500)</f>
        <v>8624</v>
      </c>
      <c r="M2500" s="670">
        <f t="shared" si="599"/>
        <v>287473</v>
      </c>
      <c r="N2500" s="670">
        <f t="shared" si="599"/>
        <v>8624</v>
      </c>
      <c r="O2500" s="671"/>
      <c r="P2500" s="688" t="s">
        <v>2104</v>
      </c>
      <c r="T2500" s="690"/>
    </row>
    <row r="2501" spans="1:22" s="688" customFormat="1" ht="17.100000000000001" customHeight="1">
      <c r="A2501" s="1318" t="s">
        <v>1320</v>
      </c>
      <c r="B2501" s="1319"/>
      <c r="C2501" s="1316"/>
      <c r="D2501" s="1317"/>
      <c r="E2501" s="686"/>
      <c r="F2501" s="676"/>
      <c r="G2501" s="670"/>
      <c r="H2501" s="670" t="e">
        <f>SUM(H2497:H2500)</f>
        <v>#REF!</v>
      </c>
      <c r="I2501" s="670"/>
      <c r="J2501" s="670">
        <f>SUM(J2498:J2500)</f>
        <v>287473</v>
      </c>
      <c r="K2501" s="670"/>
      <c r="L2501" s="670">
        <f>SUM(L2498:L2500)</f>
        <v>8624</v>
      </c>
      <c r="M2501" s="670"/>
      <c r="N2501" s="670" t="e">
        <f>SUM(N2497:N2500)</f>
        <v>#REF!</v>
      </c>
      <c r="O2501" s="671"/>
      <c r="P2501" s="672"/>
    </row>
    <row r="2502" spans="1:22" s="688" customFormat="1" ht="17.100000000000001" customHeight="1">
      <c r="A2502" s="668">
        <f>A2495+1</f>
        <v>358</v>
      </c>
      <c r="B2502" s="1320" t="s">
        <v>470</v>
      </c>
      <c r="C2502" s="1320"/>
      <c r="D2502" s="1320" t="s">
        <v>2110</v>
      </c>
      <c r="E2502" s="1320"/>
      <c r="F2502" s="669" t="s">
        <v>1458</v>
      </c>
      <c r="G2502" s="698"/>
      <c r="H2502" s="698"/>
      <c r="I2502" s="698"/>
      <c r="J2502" s="698"/>
      <c r="K2502" s="670"/>
      <c r="L2502" s="670"/>
      <c r="M2502" s="670"/>
      <c r="N2502" s="698"/>
      <c r="O2502" s="699"/>
      <c r="P2502" s="672" t="s">
        <v>2103</v>
      </c>
      <c r="Q2502" s="687"/>
    </row>
    <row r="2503" spans="1:22" s="688" customFormat="1" ht="17.100000000000001" customHeight="1">
      <c r="A2503" s="1355" t="s">
        <v>1563</v>
      </c>
      <c r="B2503" s="1355"/>
      <c r="C2503" s="1316" t="s">
        <v>2106</v>
      </c>
      <c r="D2503" s="1320"/>
      <c r="E2503" s="679">
        <v>40.799999999999997</v>
      </c>
      <c r="F2503" s="676" t="s">
        <v>850</v>
      </c>
      <c r="G2503" s="698"/>
      <c r="H2503" s="698"/>
      <c r="I2503" s="698"/>
      <c r="J2503" s="698"/>
      <c r="K2503" s="670"/>
      <c r="L2503" s="670"/>
      <c r="M2503" s="670"/>
      <c r="N2503" s="698"/>
      <c r="O2503" s="699"/>
      <c r="P2503" s="688" t="s">
        <v>2104</v>
      </c>
      <c r="T2503" s="690"/>
    </row>
    <row r="2504" spans="1:22" s="688" customFormat="1" ht="17.100000000000001" customHeight="1">
      <c r="A2504" s="1355" t="s">
        <v>821</v>
      </c>
      <c r="B2504" s="1355"/>
      <c r="C2504" s="1316" t="s">
        <v>2107</v>
      </c>
      <c r="D2504" s="1320"/>
      <c r="E2504" s="677">
        <v>3</v>
      </c>
      <c r="F2504" s="676" t="s">
        <v>850</v>
      </c>
      <c r="G2504" s="698" t="e">
        <f>#REF!</f>
        <v>#REF!</v>
      </c>
      <c r="H2504" s="670" t="e">
        <f>INT(E2504*G2504)</f>
        <v>#REF!</v>
      </c>
      <c r="I2504" s="698"/>
      <c r="J2504" s="698"/>
      <c r="K2504" s="670"/>
      <c r="L2504" s="670"/>
      <c r="M2504" s="670" t="e">
        <f t="shared" ref="M2504:N2507" si="600">G2504+I2504+K2504</f>
        <v>#REF!</v>
      </c>
      <c r="N2504" s="670" t="e">
        <f t="shared" si="600"/>
        <v>#REF!</v>
      </c>
      <c r="O2504" s="699"/>
      <c r="P2504" s="672"/>
    </row>
    <row r="2505" spans="1:22" s="688" customFormat="1" ht="17.100000000000001" customHeight="1">
      <c r="A2505" s="1316" t="s">
        <v>540</v>
      </c>
      <c r="B2505" s="1317"/>
      <c r="C2505" s="1316"/>
      <c r="D2505" s="1317"/>
      <c r="E2505" s="679">
        <v>0.8</v>
      </c>
      <c r="F2505" s="676" t="s">
        <v>366</v>
      </c>
      <c r="G2505" s="670"/>
      <c r="H2505" s="670"/>
      <c r="I2505" s="670">
        <f>[53]노임단가!$T$22</f>
        <v>273308</v>
      </c>
      <c r="J2505" s="670">
        <f>INT(E2505*I2505)</f>
        <v>218646</v>
      </c>
      <c r="K2505" s="670"/>
      <c r="L2505" s="670"/>
      <c r="M2505" s="670">
        <f t="shared" si="600"/>
        <v>273308</v>
      </c>
      <c r="N2505" s="670">
        <f t="shared" si="600"/>
        <v>218646</v>
      </c>
      <c r="O2505" s="671"/>
      <c r="P2505" s="672" t="s">
        <v>2103</v>
      </c>
      <c r="Q2505" s="687"/>
    </row>
    <row r="2506" spans="1:22" s="688" customFormat="1" ht="17.100000000000001" customHeight="1">
      <c r="A2506" s="1316" t="s">
        <v>248</v>
      </c>
      <c r="B2506" s="1317"/>
      <c r="C2506" s="1316"/>
      <c r="D2506" s="1317"/>
      <c r="E2506" s="679">
        <v>0.4</v>
      </c>
      <c r="F2506" s="676" t="s">
        <v>366</v>
      </c>
      <c r="G2506" s="670"/>
      <c r="H2506" s="670"/>
      <c r="I2506" s="670">
        <f>[53]노임단가!$T$5</f>
        <v>172068</v>
      </c>
      <c r="J2506" s="670">
        <f>INT(E2506*I2506)</f>
        <v>68827</v>
      </c>
      <c r="K2506" s="670"/>
      <c r="L2506" s="670"/>
      <c r="M2506" s="670">
        <f t="shared" si="600"/>
        <v>172068</v>
      </c>
      <c r="N2506" s="670">
        <f t="shared" si="600"/>
        <v>68827</v>
      </c>
      <c r="O2506" s="671"/>
      <c r="P2506" s="688" t="s">
        <v>2104</v>
      </c>
      <c r="T2506" s="690"/>
    </row>
    <row r="2507" spans="1:22" s="688" customFormat="1" ht="17.100000000000001" customHeight="1">
      <c r="A2507" s="1316" t="s">
        <v>2108</v>
      </c>
      <c r="B2507" s="1317"/>
      <c r="C2507" s="1316" t="s">
        <v>1451</v>
      </c>
      <c r="D2507" s="1317"/>
      <c r="E2507" s="675">
        <v>0.03</v>
      </c>
      <c r="F2507" s="676" t="s">
        <v>672</v>
      </c>
      <c r="G2507" s="670"/>
      <c r="H2507" s="670">
        <f>INT(E2507*G2507)</f>
        <v>0</v>
      </c>
      <c r="I2507" s="670"/>
      <c r="J2507" s="670"/>
      <c r="K2507" s="670">
        <f>J2505+J2506</f>
        <v>287473</v>
      </c>
      <c r="L2507" s="670">
        <f>INT(E2507*K2507)</f>
        <v>8624</v>
      </c>
      <c r="M2507" s="670">
        <f t="shared" si="600"/>
        <v>287473</v>
      </c>
      <c r="N2507" s="670">
        <f t="shared" si="600"/>
        <v>8624</v>
      </c>
      <c r="O2507" s="671"/>
      <c r="P2507" s="672"/>
    </row>
    <row r="2508" spans="1:22" s="688" customFormat="1" ht="17.100000000000001" customHeight="1">
      <c r="A2508" s="1318" t="s">
        <v>1320</v>
      </c>
      <c r="B2508" s="1319"/>
      <c r="C2508" s="1316"/>
      <c r="D2508" s="1317"/>
      <c r="E2508" s="686"/>
      <c r="F2508" s="676"/>
      <c r="G2508" s="670"/>
      <c r="H2508" s="670" t="e">
        <f>SUM(H2504:H2507)</f>
        <v>#REF!</v>
      </c>
      <c r="I2508" s="670"/>
      <c r="J2508" s="670">
        <f>SUM(J2505:J2507)</f>
        <v>287473</v>
      </c>
      <c r="K2508" s="670"/>
      <c r="L2508" s="670">
        <f>SUM(L2505:L2507)</f>
        <v>8624</v>
      </c>
      <c r="M2508" s="670"/>
      <c r="N2508" s="670" t="e">
        <f>SUM(N2504:N2507)</f>
        <v>#REF!</v>
      </c>
      <c r="O2508" s="671"/>
      <c r="P2508" s="672" t="s">
        <v>2103</v>
      </c>
      <c r="Q2508" s="687"/>
    </row>
    <row r="2509" spans="1:22" s="688" customFormat="1" ht="17.100000000000001" customHeight="1">
      <c r="A2509" s="668">
        <f>A2502+1</f>
        <v>359</v>
      </c>
      <c r="B2509" s="1320" t="s">
        <v>470</v>
      </c>
      <c r="C2509" s="1320"/>
      <c r="D2509" s="1320" t="s">
        <v>2111</v>
      </c>
      <c r="E2509" s="1320"/>
      <c r="F2509" s="669" t="s">
        <v>1458</v>
      </c>
      <c r="G2509" s="698"/>
      <c r="H2509" s="698"/>
      <c r="I2509" s="698"/>
      <c r="J2509" s="698"/>
      <c r="K2509" s="670"/>
      <c r="L2509" s="670"/>
      <c r="M2509" s="670"/>
      <c r="N2509" s="698"/>
      <c r="O2509" s="699"/>
      <c r="P2509" s="688" t="s">
        <v>2104</v>
      </c>
      <c r="T2509" s="690"/>
    </row>
    <row r="2510" spans="1:22" s="688" customFormat="1" ht="17.100000000000001" customHeight="1">
      <c r="A2510" s="1316" t="s">
        <v>2112</v>
      </c>
      <c r="B2510" s="1317"/>
      <c r="C2510" s="1316" t="s">
        <v>1403</v>
      </c>
      <c r="D2510" s="1317"/>
      <c r="E2510" s="677">
        <v>10</v>
      </c>
      <c r="F2510" s="676" t="s">
        <v>850</v>
      </c>
      <c r="G2510" s="670" t="e">
        <f>$H$504</f>
        <v>#REF!</v>
      </c>
      <c r="H2510" s="670" t="e">
        <f>INT(E2510*G2510)</f>
        <v>#REF!</v>
      </c>
      <c r="I2510" s="670">
        <f>$J$504</f>
        <v>373604</v>
      </c>
      <c r="J2510" s="670">
        <f>INT(E2510*I2510)</f>
        <v>3736040</v>
      </c>
      <c r="K2510" s="670">
        <f>$L$504</f>
        <v>7436</v>
      </c>
      <c r="L2510" s="670">
        <f>INT(E2510*K2510)</f>
        <v>74360</v>
      </c>
      <c r="M2510" s="670" t="e">
        <f>G2510+I2510+K2510</f>
        <v>#REF!</v>
      </c>
      <c r="N2510" s="670" t="e">
        <f>H2510+J2510+L2510</f>
        <v>#REF!</v>
      </c>
      <c r="O2510" s="671"/>
      <c r="P2510" s="672"/>
    </row>
    <row r="2511" spans="1:22" s="688" customFormat="1" ht="17.100000000000001" customHeight="1">
      <c r="A2511" s="1318" t="s">
        <v>1320</v>
      </c>
      <c r="B2511" s="1319"/>
      <c r="C2511" s="1316"/>
      <c r="D2511" s="1317"/>
      <c r="E2511" s="686"/>
      <c r="F2511" s="676"/>
      <c r="G2511" s="670"/>
      <c r="H2511" s="670" t="e">
        <f>SUM(H2510:H2510)</f>
        <v>#REF!</v>
      </c>
      <c r="I2511" s="670"/>
      <c r="J2511" s="670">
        <f>SUM(J2510:J2510)</f>
        <v>3736040</v>
      </c>
      <c r="K2511" s="670"/>
      <c r="L2511" s="670">
        <f>SUM(L2510:L2510)</f>
        <v>74360</v>
      </c>
      <c r="M2511" s="670"/>
      <c r="N2511" s="670" t="e">
        <f>SUM(N2510:N2510)</f>
        <v>#REF!</v>
      </c>
      <c r="O2511" s="671"/>
      <c r="P2511" s="672"/>
      <c r="Q2511" s="687"/>
      <c r="R2511" s="687"/>
    </row>
    <row r="2512" spans="1:22" s="688" customFormat="1" ht="17.100000000000001" customHeight="1">
      <c r="A2512" s="668">
        <f>A2509+1</f>
        <v>360</v>
      </c>
      <c r="B2512" s="1320" t="str">
        <f>[53]내역서!B362</f>
        <v>콘크리트 포장</v>
      </c>
      <c r="C2512" s="1320"/>
      <c r="D2512" s="1320" t="s">
        <v>2113</v>
      </c>
      <c r="E2512" s="1320"/>
      <c r="F2512" s="669" t="s">
        <v>1458</v>
      </c>
      <c r="G2512" s="698"/>
      <c r="H2512" s="698"/>
      <c r="I2512" s="698"/>
      <c r="J2512" s="698"/>
      <c r="K2512" s="670"/>
      <c r="L2512" s="670"/>
      <c r="M2512" s="670"/>
      <c r="N2512" s="698"/>
      <c r="O2512" s="699"/>
      <c r="P2512" s="672" t="s">
        <v>2103</v>
      </c>
      <c r="U2512" s="690"/>
      <c r="V2512" s="690"/>
    </row>
    <row r="2513" spans="1:22" s="688" customFormat="1" ht="17.100000000000001" customHeight="1">
      <c r="A2513" s="1316" t="s">
        <v>2112</v>
      </c>
      <c r="B2513" s="1317"/>
      <c r="C2513" s="1316" t="s">
        <v>1403</v>
      </c>
      <c r="D2513" s="1317"/>
      <c r="E2513" s="677">
        <v>15</v>
      </c>
      <c r="F2513" s="676" t="s">
        <v>850</v>
      </c>
      <c r="G2513" s="670" t="e">
        <f>$H$504</f>
        <v>#REF!</v>
      </c>
      <c r="H2513" s="670" t="e">
        <f>INT(E2513*G2513)</f>
        <v>#REF!</v>
      </c>
      <c r="I2513" s="670">
        <f>$J$504</f>
        <v>373604</v>
      </c>
      <c r="J2513" s="670">
        <f>INT(E2513*I2513)</f>
        <v>5604060</v>
      </c>
      <c r="K2513" s="670">
        <f>$L$504</f>
        <v>7436</v>
      </c>
      <c r="L2513" s="670">
        <f>INT(E2513*K2513)</f>
        <v>111540</v>
      </c>
      <c r="M2513" s="670" t="e">
        <f>G2513+I2513+K2513</f>
        <v>#REF!</v>
      </c>
      <c r="N2513" s="670" t="e">
        <f>H2513+J2513+L2513</f>
        <v>#REF!</v>
      </c>
      <c r="O2513" s="671"/>
      <c r="P2513" s="688" t="s">
        <v>2104</v>
      </c>
      <c r="U2513" s="690"/>
      <c r="V2513" s="690"/>
    </row>
    <row r="2514" spans="1:22" s="688" customFormat="1" ht="17.100000000000001" customHeight="1">
      <c r="A2514" s="1318" t="s">
        <v>1320</v>
      </c>
      <c r="B2514" s="1319"/>
      <c r="C2514" s="1316"/>
      <c r="D2514" s="1317"/>
      <c r="E2514" s="686"/>
      <c r="F2514" s="676"/>
      <c r="G2514" s="670"/>
      <c r="H2514" s="670" t="e">
        <f>SUM(H2513:H2513)</f>
        <v>#REF!</v>
      </c>
      <c r="I2514" s="670"/>
      <c r="J2514" s="670">
        <f>SUM(J2513:J2513)</f>
        <v>5604060</v>
      </c>
      <c r="K2514" s="670"/>
      <c r="L2514" s="670">
        <f>SUM(L2513:L2513)</f>
        <v>111540</v>
      </c>
      <c r="M2514" s="670"/>
      <c r="N2514" s="670" t="e">
        <f>SUM(N2513:N2513)</f>
        <v>#REF!</v>
      </c>
      <c r="O2514" s="671"/>
      <c r="P2514" s="672" t="s">
        <v>1422</v>
      </c>
      <c r="Q2514" s="687" t="s">
        <v>1423</v>
      </c>
      <c r="R2514" s="688" t="s">
        <v>1424</v>
      </c>
      <c r="S2514" s="688" t="s">
        <v>1425</v>
      </c>
      <c r="T2514" s="688" t="s">
        <v>1426</v>
      </c>
    </row>
    <row r="2515" spans="1:22" s="688" customFormat="1" ht="17.100000000000001" customHeight="1">
      <c r="A2515" s="668">
        <f>A2512+1</f>
        <v>361</v>
      </c>
      <c r="B2515" s="1320" t="s">
        <v>470</v>
      </c>
      <c r="C2515" s="1320"/>
      <c r="D2515" s="1320" t="s">
        <v>2114</v>
      </c>
      <c r="E2515" s="1320"/>
      <c r="F2515" s="669" t="s">
        <v>1458</v>
      </c>
      <c r="G2515" s="698"/>
      <c r="H2515" s="698"/>
      <c r="I2515" s="698"/>
      <c r="J2515" s="698"/>
      <c r="K2515" s="670"/>
      <c r="L2515" s="670"/>
      <c r="M2515" s="670"/>
      <c r="N2515" s="698"/>
      <c r="O2515" s="699"/>
      <c r="P2515" s="672" t="s">
        <v>2115</v>
      </c>
      <c r="Q2515" s="688">
        <v>900</v>
      </c>
      <c r="R2515" s="688">
        <f>(Q2515)</f>
        <v>900</v>
      </c>
      <c r="S2515" s="688">
        <v>0</v>
      </c>
      <c r="T2515" s="690">
        <f>ROUND(S2515/R2515,4)</f>
        <v>0</v>
      </c>
    </row>
    <row r="2516" spans="1:22" s="688" customFormat="1" ht="17.100000000000001" customHeight="1">
      <c r="A2516" s="1316" t="s">
        <v>2112</v>
      </c>
      <c r="B2516" s="1317"/>
      <c r="C2516" s="1316" t="s">
        <v>1403</v>
      </c>
      <c r="D2516" s="1317"/>
      <c r="E2516" s="677">
        <v>20</v>
      </c>
      <c r="F2516" s="676" t="s">
        <v>850</v>
      </c>
      <c r="G2516" s="670" t="e">
        <f>$H$504</f>
        <v>#REF!</v>
      </c>
      <c r="H2516" s="670" t="e">
        <f>INT(E2516*G2516)</f>
        <v>#REF!</v>
      </c>
      <c r="I2516" s="670">
        <f>$J$504</f>
        <v>373604</v>
      </c>
      <c r="J2516" s="670">
        <f>INT(E2516*I2516)</f>
        <v>7472080</v>
      </c>
      <c r="K2516" s="670">
        <f>$L$504</f>
        <v>7436</v>
      </c>
      <c r="L2516" s="670">
        <f>INT(E2516*K2516)</f>
        <v>148720</v>
      </c>
      <c r="M2516" s="670" t="e">
        <f>G2516+I2516+K2516</f>
        <v>#REF!</v>
      </c>
      <c r="N2516" s="670" t="e">
        <f>H2516+J2516+L2516</f>
        <v>#REF!</v>
      </c>
      <c r="O2516" s="671"/>
      <c r="P2516" s="672"/>
      <c r="Q2516" s="688">
        <f t="shared" ref="Q2516:R2518" si="601">Q2515</f>
        <v>900</v>
      </c>
      <c r="R2516" s="688">
        <f t="shared" si="601"/>
        <v>900</v>
      </c>
      <c r="S2516" s="688">
        <v>0</v>
      </c>
      <c r="T2516" s="690">
        <f>ROUND(S2516/R2516,4)</f>
        <v>0</v>
      </c>
    </row>
    <row r="2517" spans="1:22" s="688" customFormat="1" ht="17.100000000000001" customHeight="1">
      <c r="A2517" s="1318" t="s">
        <v>1320</v>
      </c>
      <c r="B2517" s="1319"/>
      <c r="C2517" s="1316"/>
      <c r="D2517" s="1317"/>
      <c r="E2517" s="686"/>
      <c r="F2517" s="676"/>
      <c r="G2517" s="670"/>
      <c r="H2517" s="670" t="e">
        <f>SUM(H2516:H2516)</f>
        <v>#REF!</v>
      </c>
      <c r="I2517" s="670"/>
      <c r="J2517" s="670">
        <f>SUM(J2516:J2516)</f>
        <v>7472080</v>
      </c>
      <c r="K2517" s="670"/>
      <c r="L2517" s="670">
        <f>SUM(L2516:L2516)</f>
        <v>148720</v>
      </c>
      <c r="M2517" s="670"/>
      <c r="N2517" s="670" t="e">
        <f>SUM(N2516:N2516)</f>
        <v>#REF!</v>
      </c>
      <c r="O2517" s="671"/>
      <c r="P2517" s="672"/>
      <c r="Q2517" s="688">
        <f t="shared" si="601"/>
        <v>900</v>
      </c>
      <c r="R2517" s="688">
        <f t="shared" si="601"/>
        <v>900</v>
      </c>
      <c r="S2517" s="688">
        <v>3</v>
      </c>
      <c r="T2517" s="690">
        <f>ROUND(S2517/R2517,4)</f>
        <v>3.3E-3</v>
      </c>
    </row>
    <row r="2518" spans="1:22" s="688" customFormat="1" ht="16.5" customHeight="1">
      <c r="A2518" s="668">
        <f>A2515+1</f>
        <v>362</v>
      </c>
      <c r="B2518" s="1320" t="s">
        <v>470</v>
      </c>
      <c r="C2518" s="1320"/>
      <c r="D2518" s="1320" t="s">
        <v>2116</v>
      </c>
      <c r="E2518" s="1320"/>
      <c r="F2518" s="669" t="s">
        <v>1458</v>
      </c>
      <c r="G2518" s="698"/>
      <c r="H2518" s="698"/>
      <c r="I2518" s="698"/>
      <c r="J2518" s="698"/>
      <c r="K2518" s="670"/>
      <c r="L2518" s="670"/>
      <c r="M2518" s="670"/>
      <c r="N2518" s="698"/>
      <c r="O2518" s="699"/>
      <c r="P2518" s="672"/>
      <c r="Q2518" s="688">
        <f t="shared" si="601"/>
        <v>900</v>
      </c>
      <c r="R2518" s="688">
        <f t="shared" si="601"/>
        <v>900</v>
      </c>
      <c r="S2518" s="688">
        <v>2</v>
      </c>
      <c r="T2518" s="690">
        <f>ROUND(S2518/R2518,4)</f>
        <v>2.2000000000000001E-3</v>
      </c>
    </row>
    <row r="2519" spans="1:22" s="688" customFormat="1" ht="17.100000000000001" customHeight="1">
      <c r="A2519" s="1316" t="s">
        <v>2112</v>
      </c>
      <c r="B2519" s="1317"/>
      <c r="C2519" s="1316" t="s">
        <v>1403</v>
      </c>
      <c r="D2519" s="1317"/>
      <c r="E2519" s="677">
        <v>30</v>
      </c>
      <c r="F2519" s="676" t="s">
        <v>850</v>
      </c>
      <c r="G2519" s="670" t="e">
        <f>$H$504</f>
        <v>#REF!</v>
      </c>
      <c r="H2519" s="670" t="e">
        <f>INT(E2519*G2519)</f>
        <v>#REF!</v>
      </c>
      <c r="I2519" s="670">
        <f>$J$504</f>
        <v>373604</v>
      </c>
      <c r="J2519" s="670">
        <f>INT(E2519*I2519)</f>
        <v>11208120</v>
      </c>
      <c r="K2519" s="670">
        <f>$L$504</f>
        <v>7436</v>
      </c>
      <c r="L2519" s="670">
        <f>INT(E2519*K2519)</f>
        <v>223080</v>
      </c>
      <c r="M2519" s="670" t="e">
        <f>G2519+I2519+K2519</f>
        <v>#REF!</v>
      </c>
      <c r="N2519" s="670" t="e">
        <f>H2519+J2519+L2519</f>
        <v>#REF!</v>
      </c>
      <c r="O2519" s="671"/>
      <c r="P2519" s="672"/>
      <c r="T2519" s="690"/>
    </row>
    <row r="2520" spans="1:22" s="688" customFormat="1" ht="17.100000000000001" customHeight="1">
      <c r="A2520" s="1318" t="s">
        <v>1320</v>
      </c>
      <c r="B2520" s="1319"/>
      <c r="C2520" s="1316"/>
      <c r="D2520" s="1317"/>
      <c r="E2520" s="686"/>
      <c r="F2520" s="676"/>
      <c r="G2520" s="670"/>
      <c r="H2520" s="670" t="e">
        <f>SUM(H2519:H2519)</f>
        <v>#REF!</v>
      </c>
      <c r="I2520" s="670"/>
      <c r="J2520" s="670">
        <f>SUM(J2519:J2519)</f>
        <v>11208120</v>
      </c>
      <c r="K2520" s="670"/>
      <c r="L2520" s="670">
        <f>SUM(L2519:L2519)</f>
        <v>223080</v>
      </c>
      <c r="M2520" s="670"/>
      <c r="N2520" s="670" t="e">
        <f>SUM(N2519:N2519)</f>
        <v>#REF!</v>
      </c>
      <c r="O2520" s="671"/>
      <c r="P2520" s="672"/>
    </row>
    <row r="2521" spans="1:22" s="688" customFormat="1" ht="17.100000000000001" customHeight="1">
      <c r="A2521" s="668">
        <f>A2518+1</f>
        <v>363</v>
      </c>
      <c r="B2521" s="1320" t="s">
        <v>470</v>
      </c>
      <c r="C2521" s="1320"/>
      <c r="D2521" s="1320" t="s">
        <v>2117</v>
      </c>
      <c r="E2521" s="1320"/>
      <c r="F2521" s="669" t="s">
        <v>1458</v>
      </c>
      <c r="G2521" s="698"/>
      <c r="H2521" s="698"/>
      <c r="I2521" s="698"/>
      <c r="J2521" s="698"/>
      <c r="K2521" s="670"/>
      <c r="L2521" s="670"/>
      <c r="M2521" s="670"/>
      <c r="N2521" s="698"/>
      <c r="O2521" s="699"/>
      <c r="P2521" s="672"/>
      <c r="T2521" s="690"/>
    </row>
    <row r="2522" spans="1:22" s="688" customFormat="1" ht="17.100000000000001" customHeight="1">
      <c r="A2522" s="1316" t="s">
        <v>2118</v>
      </c>
      <c r="B2522" s="1317"/>
      <c r="C2522" s="1316" t="s">
        <v>1403</v>
      </c>
      <c r="D2522" s="1317"/>
      <c r="E2522" s="677">
        <v>10</v>
      </c>
      <c r="F2522" s="676" t="s">
        <v>850</v>
      </c>
      <c r="G2522" s="670" t="e">
        <f>$H$528</f>
        <v>#REF!</v>
      </c>
      <c r="H2522" s="670" t="e">
        <f>INT(E2522*G2522)</f>
        <v>#REF!</v>
      </c>
      <c r="I2522" s="670">
        <f>$J$528</f>
        <v>373604</v>
      </c>
      <c r="J2522" s="670">
        <f>INT(E2522*I2522)</f>
        <v>3736040</v>
      </c>
      <c r="K2522" s="670">
        <f>$L$528</f>
        <v>6798</v>
      </c>
      <c r="L2522" s="670">
        <f>INT(E2522*K2522)</f>
        <v>67980</v>
      </c>
      <c r="M2522" s="670" t="e">
        <f>G2522+I2522+K2522</f>
        <v>#REF!</v>
      </c>
      <c r="N2522" s="670" t="e">
        <f>H2522+J2522+L2522</f>
        <v>#REF!</v>
      </c>
      <c r="O2522" s="671"/>
      <c r="P2522" s="672"/>
      <c r="T2522" s="690"/>
    </row>
    <row r="2523" spans="1:22" s="688" customFormat="1" ht="17.100000000000001" customHeight="1">
      <c r="A2523" s="1318" t="s">
        <v>1320</v>
      </c>
      <c r="B2523" s="1319"/>
      <c r="C2523" s="1316"/>
      <c r="D2523" s="1317"/>
      <c r="E2523" s="686"/>
      <c r="F2523" s="676"/>
      <c r="G2523" s="670"/>
      <c r="H2523" s="670" t="e">
        <f>SUM(H2522:H2522)</f>
        <v>#REF!</v>
      </c>
      <c r="I2523" s="670"/>
      <c r="J2523" s="670">
        <f>SUM(J2522:J2522)</f>
        <v>3736040</v>
      </c>
      <c r="K2523" s="670"/>
      <c r="L2523" s="670">
        <f>SUM(L2522:L2522)</f>
        <v>67980</v>
      </c>
      <c r="M2523" s="670"/>
      <c r="N2523" s="670" t="e">
        <f>SUM(N2522:N2522)</f>
        <v>#REF!</v>
      </c>
      <c r="O2523" s="671"/>
      <c r="P2523" s="672"/>
    </row>
    <row r="2524" spans="1:22" s="688" customFormat="1" ht="17.100000000000001" customHeight="1">
      <c r="A2524" s="668">
        <f>A2521+1</f>
        <v>364</v>
      </c>
      <c r="B2524" s="1320" t="s">
        <v>470</v>
      </c>
      <c r="C2524" s="1320"/>
      <c r="D2524" s="1320" t="s">
        <v>2119</v>
      </c>
      <c r="E2524" s="1320"/>
      <c r="F2524" s="669" t="s">
        <v>1458</v>
      </c>
      <c r="G2524" s="698"/>
      <c r="H2524" s="698"/>
      <c r="I2524" s="698"/>
      <c r="J2524" s="698"/>
      <c r="K2524" s="670"/>
      <c r="L2524" s="670"/>
      <c r="M2524" s="670"/>
      <c r="N2524" s="698"/>
      <c r="O2524" s="699"/>
      <c r="P2524" s="672"/>
      <c r="T2524" s="690"/>
    </row>
    <row r="2525" spans="1:22" s="688" customFormat="1" ht="16.5" customHeight="1">
      <c r="A2525" s="1316" t="s">
        <v>2118</v>
      </c>
      <c r="B2525" s="1317"/>
      <c r="C2525" s="1316" t="s">
        <v>1403</v>
      </c>
      <c r="D2525" s="1317"/>
      <c r="E2525" s="677">
        <v>15</v>
      </c>
      <c r="F2525" s="676" t="s">
        <v>850</v>
      </c>
      <c r="G2525" s="670" t="e">
        <f>$H$528</f>
        <v>#REF!</v>
      </c>
      <c r="H2525" s="670" t="e">
        <f>INT(E2525*G2525)</f>
        <v>#REF!</v>
      </c>
      <c r="I2525" s="670">
        <f>$J$528</f>
        <v>373604</v>
      </c>
      <c r="J2525" s="670">
        <f>INT(E2525*I2525)</f>
        <v>5604060</v>
      </c>
      <c r="K2525" s="670">
        <f>$L$528</f>
        <v>6798</v>
      </c>
      <c r="L2525" s="670">
        <f>INT(E2525*K2525)</f>
        <v>101970</v>
      </c>
      <c r="M2525" s="670" t="e">
        <f>G2525+I2525+K2525</f>
        <v>#REF!</v>
      </c>
      <c r="N2525" s="670" t="e">
        <f>H2525+J2525+L2525</f>
        <v>#REF!</v>
      </c>
      <c r="O2525" s="671"/>
      <c r="P2525" s="672"/>
      <c r="T2525" s="690"/>
    </row>
    <row r="2526" spans="1:22" s="688" customFormat="1" ht="17.100000000000001" customHeight="1">
      <c r="A2526" s="1318" t="s">
        <v>1320</v>
      </c>
      <c r="B2526" s="1319"/>
      <c r="C2526" s="1316"/>
      <c r="D2526" s="1317"/>
      <c r="E2526" s="686"/>
      <c r="F2526" s="676"/>
      <c r="G2526" s="670"/>
      <c r="H2526" s="670" t="e">
        <f>SUM(H2525:H2525)</f>
        <v>#REF!</v>
      </c>
      <c r="I2526" s="670"/>
      <c r="J2526" s="670">
        <f>SUM(J2525:J2525)</f>
        <v>5604060</v>
      </c>
      <c r="K2526" s="670"/>
      <c r="L2526" s="670">
        <f>SUM(L2525:L2525)</f>
        <v>101970</v>
      </c>
      <c r="M2526" s="670"/>
      <c r="N2526" s="670" t="e">
        <f>SUM(N2525:N2525)</f>
        <v>#REF!</v>
      </c>
      <c r="O2526" s="671"/>
      <c r="P2526" s="672"/>
      <c r="T2526" s="690"/>
    </row>
    <row r="2527" spans="1:22" s="688" customFormat="1" ht="17.100000000000001" customHeight="1">
      <c r="A2527" s="668">
        <f>A2524+1</f>
        <v>365</v>
      </c>
      <c r="B2527" s="1320" t="s">
        <v>470</v>
      </c>
      <c r="C2527" s="1320"/>
      <c r="D2527" s="1320" t="s">
        <v>2120</v>
      </c>
      <c r="E2527" s="1320"/>
      <c r="F2527" s="669" t="s">
        <v>1458</v>
      </c>
      <c r="G2527" s="698"/>
      <c r="H2527" s="698"/>
      <c r="I2527" s="698"/>
      <c r="J2527" s="698"/>
      <c r="K2527" s="670"/>
      <c r="L2527" s="670"/>
      <c r="M2527" s="670"/>
      <c r="N2527" s="698"/>
      <c r="O2527" s="699"/>
      <c r="P2527" s="672"/>
      <c r="T2527" s="690"/>
    </row>
    <row r="2528" spans="1:22" s="688" customFormat="1" ht="17.100000000000001" customHeight="1">
      <c r="A2528" s="1316" t="s">
        <v>2118</v>
      </c>
      <c r="B2528" s="1317"/>
      <c r="C2528" s="1316" t="s">
        <v>1403</v>
      </c>
      <c r="D2528" s="1317"/>
      <c r="E2528" s="677">
        <v>20</v>
      </c>
      <c r="F2528" s="676" t="s">
        <v>850</v>
      </c>
      <c r="G2528" s="670" t="e">
        <f>$H$528</f>
        <v>#REF!</v>
      </c>
      <c r="H2528" s="670" t="e">
        <f>INT(E2528*G2528)</f>
        <v>#REF!</v>
      </c>
      <c r="I2528" s="670">
        <f>$J$528</f>
        <v>373604</v>
      </c>
      <c r="J2528" s="670">
        <f>INT(E2528*I2528)</f>
        <v>7472080</v>
      </c>
      <c r="K2528" s="670">
        <f>$L$528</f>
        <v>6798</v>
      </c>
      <c r="L2528" s="670">
        <f>INT(E2528*K2528)</f>
        <v>135960</v>
      </c>
      <c r="M2528" s="670" t="e">
        <f>G2528+I2528+K2528</f>
        <v>#REF!</v>
      </c>
      <c r="N2528" s="670" t="e">
        <f>H2528+J2528+L2528</f>
        <v>#REF!</v>
      </c>
      <c r="O2528" s="671"/>
      <c r="P2528" s="672"/>
    </row>
    <row r="2529" spans="1:20" s="688" customFormat="1" ht="17.100000000000001" customHeight="1">
      <c r="A2529" s="1318" t="s">
        <v>1320</v>
      </c>
      <c r="B2529" s="1319"/>
      <c r="C2529" s="1316"/>
      <c r="D2529" s="1317"/>
      <c r="E2529" s="686"/>
      <c r="F2529" s="676"/>
      <c r="G2529" s="670"/>
      <c r="H2529" s="670" t="e">
        <f>SUM(H2528:H2528)</f>
        <v>#REF!</v>
      </c>
      <c r="I2529" s="670"/>
      <c r="J2529" s="670">
        <f>SUM(J2528:J2528)</f>
        <v>7472080</v>
      </c>
      <c r="K2529" s="670"/>
      <c r="L2529" s="670">
        <f>SUM(L2528:L2528)</f>
        <v>135960</v>
      </c>
      <c r="M2529" s="670"/>
      <c r="N2529" s="670" t="e">
        <f>SUM(N2528:N2528)</f>
        <v>#REF!</v>
      </c>
      <c r="O2529" s="671"/>
      <c r="P2529" s="672"/>
      <c r="T2529" s="690"/>
    </row>
    <row r="2530" spans="1:20" s="688" customFormat="1" ht="17.100000000000001" customHeight="1">
      <c r="A2530" s="668">
        <f>A2527+1</f>
        <v>366</v>
      </c>
      <c r="B2530" s="1320" t="s">
        <v>470</v>
      </c>
      <c r="C2530" s="1320"/>
      <c r="D2530" s="1320" t="s">
        <v>2121</v>
      </c>
      <c r="E2530" s="1320"/>
      <c r="F2530" s="669" t="s">
        <v>1458</v>
      </c>
      <c r="G2530" s="698"/>
      <c r="H2530" s="698"/>
      <c r="I2530" s="698"/>
      <c r="J2530" s="698"/>
      <c r="K2530" s="670"/>
      <c r="L2530" s="670"/>
      <c r="M2530" s="670"/>
      <c r="N2530" s="698"/>
      <c r="O2530" s="699"/>
      <c r="P2530" s="672"/>
      <c r="T2530" s="690"/>
    </row>
    <row r="2531" spans="1:20" s="688" customFormat="1" ht="17.100000000000001" customHeight="1">
      <c r="A2531" s="1316" t="s">
        <v>2118</v>
      </c>
      <c r="B2531" s="1317"/>
      <c r="C2531" s="1316" t="s">
        <v>1403</v>
      </c>
      <c r="D2531" s="1317"/>
      <c r="E2531" s="677">
        <v>30</v>
      </c>
      <c r="F2531" s="676" t="s">
        <v>850</v>
      </c>
      <c r="G2531" s="670" t="e">
        <f>$H$528</f>
        <v>#REF!</v>
      </c>
      <c r="H2531" s="670" t="e">
        <f>INT(E2531*G2531)</f>
        <v>#REF!</v>
      </c>
      <c r="I2531" s="670">
        <f>$J$528</f>
        <v>373604</v>
      </c>
      <c r="J2531" s="670">
        <f>INT(E2531*I2531)</f>
        <v>11208120</v>
      </c>
      <c r="K2531" s="670">
        <f>$L$528</f>
        <v>6798</v>
      </c>
      <c r="L2531" s="670">
        <f>INT(E2531*K2531)</f>
        <v>203940</v>
      </c>
      <c r="M2531" s="670" t="e">
        <f>G2531+I2531+K2531</f>
        <v>#REF!</v>
      </c>
      <c r="N2531" s="670" t="e">
        <f>H2531+J2531+L2531</f>
        <v>#REF!</v>
      </c>
      <c r="O2531" s="671"/>
      <c r="P2531" s="672"/>
      <c r="T2531" s="690"/>
    </row>
    <row r="2532" spans="1:20" s="688" customFormat="1" ht="17.100000000000001" customHeight="1">
      <c r="A2532" s="1318" t="s">
        <v>1320</v>
      </c>
      <c r="B2532" s="1319"/>
      <c r="C2532" s="1316"/>
      <c r="D2532" s="1317"/>
      <c r="E2532" s="686"/>
      <c r="F2532" s="676"/>
      <c r="G2532" s="670"/>
      <c r="H2532" s="670" t="e">
        <f>SUM(H2531:H2531)</f>
        <v>#REF!</v>
      </c>
      <c r="I2532" s="670"/>
      <c r="J2532" s="670">
        <f>SUM(J2531:J2531)</f>
        <v>11208120</v>
      </c>
      <c r="K2532" s="670"/>
      <c r="L2532" s="670">
        <f>SUM(L2531:L2531)</f>
        <v>203940</v>
      </c>
      <c r="M2532" s="670"/>
      <c r="N2532" s="670" t="e">
        <f>SUM(N2531:N2531)</f>
        <v>#REF!</v>
      </c>
      <c r="O2532" s="671"/>
      <c r="P2532" s="672"/>
    </row>
    <row r="2533" spans="1:20" s="688" customFormat="1" ht="17.100000000000001" customHeight="1">
      <c r="A2533" s="668">
        <f>A2530+1</f>
        <v>367</v>
      </c>
      <c r="B2533" s="1320" t="s">
        <v>470</v>
      </c>
      <c r="C2533" s="1320"/>
      <c r="D2533" s="1320" t="s">
        <v>2122</v>
      </c>
      <c r="E2533" s="1320"/>
      <c r="F2533" s="669" t="s">
        <v>1458</v>
      </c>
      <c r="G2533" s="698"/>
      <c r="H2533" s="698"/>
      <c r="I2533" s="698"/>
      <c r="J2533" s="698"/>
      <c r="K2533" s="670"/>
      <c r="L2533" s="670"/>
      <c r="M2533" s="670"/>
      <c r="N2533" s="698"/>
      <c r="O2533" s="699"/>
      <c r="P2533" s="672"/>
      <c r="T2533" s="690"/>
    </row>
    <row r="2534" spans="1:20" s="688" customFormat="1" ht="17.100000000000001" customHeight="1">
      <c r="A2534" s="1316" t="s">
        <v>2123</v>
      </c>
      <c r="B2534" s="1317"/>
      <c r="C2534" s="1316" t="s">
        <v>1403</v>
      </c>
      <c r="D2534" s="1317"/>
      <c r="E2534" s="677">
        <v>10</v>
      </c>
      <c r="F2534" s="676" t="s">
        <v>850</v>
      </c>
      <c r="G2534" s="670" t="e">
        <f>$H$552</f>
        <v>#REF!</v>
      </c>
      <c r="H2534" s="670" t="e">
        <f>INT(E2534*G2534)</f>
        <v>#REF!</v>
      </c>
      <c r="I2534" s="670">
        <f>$J$552</f>
        <v>373604</v>
      </c>
      <c r="J2534" s="670">
        <f>INT(E2534*I2534)</f>
        <v>3736040</v>
      </c>
      <c r="K2534" s="670">
        <f>$L$552</f>
        <v>5742</v>
      </c>
      <c r="L2534" s="670">
        <f>INT(E2534*K2534)</f>
        <v>57420</v>
      </c>
      <c r="M2534" s="670" t="e">
        <f>G2534+I2534+K2534</f>
        <v>#REF!</v>
      </c>
      <c r="N2534" s="670" t="e">
        <f>H2534+J2534+L2534</f>
        <v>#REF!</v>
      </c>
      <c r="O2534" s="671"/>
      <c r="P2534" s="672" t="s">
        <v>1549</v>
      </c>
      <c r="Q2534" s="806" t="s">
        <v>1446</v>
      </c>
      <c r="R2534" s="688" t="s">
        <v>1876</v>
      </c>
      <c r="S2534" s="688" t="s">
        <v>1425</v>
      </c>
      <c r="T2534" s="688" t="s">
        <v>1426</v>
      </c>
    </row>
    <row r="2535" spans="1:20" s="688" customFormat="1" ht="17.100000000000001" customHeight="1">
      <c r="A2535" s="1318" t="s">
        <v>1320</v>
      </c>
      <c r="B2535" s="1319"/>
      <c r="C2535" s="1316"/>
      <c r="D2535" s="1317"/>
      <c r="E2535" s="686"/>
      <c r="F2535" s="676"/>
      <c r="G2535" s="670"/>
      <c r="H2535" s="670" t="e">
        <f>SUM(H2534:H2534)</f>
        <v>#REF!</v>
      </c>
      <c r="I2535" s="670"/>
      <c r="J2535" s="670">
        <f>SUM(J2534:J2534)</f>
        <v>3736040</v>
      </c>
      <c r="K2535" s="670"/>
      <c r="L2535" s="670">
        <f>SUM(L2534:L2534)</f>
        <v>57420</v>
      </c>
      <c r="M2535" s="670"/>
      <c r="N2535" s="670" t="e">
        <f>SUM(N2534:N2534)</f>
        <v>#REF!</v>
      </c>
      <c r="O2535" s="671"/>
      <c r="P2535" s="672" t="s">
        <v>2124</v>
      </c>
      <c r="Q2535" s="688">
        <v>260</v>
      </c>
      <c r="R2535" s="688">
        <f>(Q2535)</f>
        <v>260</v>
      </c>
      <c r="S2535" s="688">
        <v>2</v>
      </c>
      <c r="T2535" s="690">
        <f>ROUND(S2535/R2535,4)</f>
        <v>7.7000000000000002E-3</v>
      </c>
    </row>
    <row r="2536" spans="1:20" s="688" customFormat="1" ht="17.100000000000001" customHeight="1">
      <c r="A2536" s="668">
        <f>A2533+1</f>
        <v>368</v>
      </c>
      <c r="B2536" s="1320" t="s">
        <v>470</v>
      </c>
      <c r="C2536" s="1320"/>
      <c r="D2536" s="1320" t="s">
        <v>2125</v>
      </c>
      <c r="E2536" s="1320"/>
      <c r="F2536" s="669" t="s">
        <v>1458</v>
      </c>
      <c r="G2536" s="698"/>
      <c r="H2536" s="698"/>
      <c r="I2536" s="698"/>
      <c r="J2536" s="698"/>
      <c r="K2536" s="670"/>
      <c r="L2536" s="670"/>
      <c r="M2536" s="670"/>
      <c r="N2536" s="698"/>
      <c r="O2536" s="699"/>
      <c r="P2536" s="672"/>
      <c r="Q2536" s="688">
        <f>Q2535</f>
        <v>260</v>
      </c>
      <c r="R2536" s="688">
        <f>R2535</f>
        <v>260</v>
      </c>
      <c r="S2536" s="688">
        <v>1</v>
      </c>
      <c r="T2536" s="690">
        <f>ROUND(S2536/R2536,4)</f>
        <v>3.8E-3</v>
      </c>
    </row>
    <row r="2537" spans="1:20" s="688" customFormat="1" ht="17.100000000000001" customHeight="1">
      <c r="A2537" s="1316" t="s">
        <v>2123</v>
      </c>
      <c r="B2537" s="1317"/>
      <c r="C2537" s="1316" t="s">
        <v>1403</v>
      </c>
      <c r="D2537" s="1317"/>
      <c r="E2537" s="677">
        <v>15</v>
      </c>
      <c r="F2537" s="676" t="s">
        <v>850</v>
      </c>
      <c r="G2537" s="670" t="e">
        <f>$H$552</f>
        <v>#REF!</v>
      </c>
      <c r="H2537" s="670" t="e">
        <f>INT(E2537*G2537)</f>
        <v>#REF!</v>
      </c>
      <c r="I2537" s="670">
        <f>$J$552</f>
        <v>373604</v>
      </c>
      <c r="J2537" s="670">
        <f>INT(E2537*I2537)</f>
        <v>5604060</v>
      </c>
      <c r="K2537" s="670">
        <f>$L$552</f>
        <v>5742</v>
      </c>
      <c r="L2537" s="670">
        <f>INT(E2537*K2537)</f>
        <v>86130</v>
      </c>
      <c r="M2537" s="670" t="e">
        <f>G2537+I2537+K2537</f>
        <v>#REF!</v>
      </c>
      <c r="N2537" s="670" t="e">
        <f>H2537+J2537+L2537</f>
        <v>#REF!</v>
      </c>
      <c r="O2537" s="671"/>
      <c r="P2537" s="672"/>
      <c r="Q2537" s="688">
        <f>Q2536</f>
        <v>260</v>
      </c>
      <c r="R2537" s="688">
        <f>R2536</f>
        <v>260</v>
      </c>
      <c r="S2537" s="688">
        <v>8</v>
      </c>
      <c r="T2537" s="690">
        <f>ROUND(S2537/R2537,4)</f>
        <v>3.0800000000000001E-2</v>
      </c>
    </row>
    <row r="2538" spans="1:20" s="688" customFormat="1" ht="17.100000000000001" customHeight="1">
      <c r="A2538" s="1318" t="s">
        <v>1320</v>
      </c>
      <c r="B2538" s="1319"/>
      <c r="C2538" s="1316"/>
      <c r="D2538" s="1317"/>
      <c r="E2538" s="686"/>
      <c r="F2538" s="676"/>
      <c r="G2538" s="670"/>
      <c r="H2538" s="670" t="e">
        <f>SUM(H2537:H2537)</f>
        <v>#REF!</v>
      </c>
      <c r="I2538" s="670"/>
      <c r="J2538" s="670">
        <f>SUM(J2537:J2537)</f>
        <v>5604060</v>
      </c>
      <c r="K2538" s="670"/>
      <c r="L2538" s="670">
        <f>SUM(L2537:L2537)</f>
        <v>86130</v>
      </c>
      <c r="M2538" s="670"/>
      <c r="N2538" s="670" t="e">
        <f>SUM(N2537:N2537)</f>
        <v>#REF!</v>
      </c>
      <c r="O2538" s="671"/>
      <c r="P2538" s="672"/>
    </row>
    <row r="2539" spans="1:20" s="688" customFormat="1" ht="17.100000000000001" customHeight="1">
      <c r="A2539" s="668">
        <f>A2536+1</f>
        <v>369</v>
      </c>
      <c r="B2539" s="1320" t="s">
        <v>470</v>
      </c>
      <c r="C2539" s="1320"/>
      <c r="D2539" s="1320" t="s">
        <v>2126</v>
      </c>
      <c r="E2539" s="1320"/>
      <c r="F2539" s="669" t="s">
        <v>1458</v>
      </c>
      <c r="G2539" s="698"/>
      <c r="H2539" s="698"/>
      <c r="I2539" s="698"/>
      <c r="J2539" s="698"/>
      <c r="K2539" s="670"/>
      <c r="L2539" s="670"/>
      <c r="M2539" s="670"/>
      <c r="N2539" s="698"/>
      <c r="O2539" s="699"/>
      <c r="P2539" s="672" t="s">
        <v>1549</v>
      </c>
      <c r="Q2539" s="806" t="s">
        <v>1446</v>
      </c>
      <c r="R2539" s="688" t="s">
        <v>1876</v>
      </c>
      <c r="S2539" s="688" t="s">
        <v>1425</v>
      </c>
      <c r="T2539" s="688" t="s">
        <v>1426</v>
      </c>
    </row>
    <row r="2540" spans="1:20" s="688" customFormat="1" ht="17.100000000000001" customHeight="1">
      <c r="A2540" s="1316" t="s">
        <v>2123</v>
      </c>
      <c r="B2540" s="1317"/>
      <c r="C2540" s="1316" t="s">
        <v>1403</v>
      </c>
      <c r="D2540" s="1317"/>
      <c r="E2540" s="677">
        <v>20</v>
      </c>
      <c r="F2540" s="676" t="s">
        <v>850</v>
      </c>
      <c r="G2540" s="670" t="e">
        <f>$H$552</f>
        <v>#REF!</v>
      </c>
      <c r="H2540" s="670" t="e">
        <f>INT(E2540*G2540)</f>
        <v>#REF!</v>
      </c>
      <c r="I2540" s="670">
        <f>$J$552</f>
        <v>373604</v>
      </c>
      <c r="J2540" s="670">
        <f>INT(E2540*I2540)</f>
        <v>7472080</v>
      </c>
      <c r="K2540" s="670">
        <f>$L$552</f>
        <v>5742</v>
      </c>
      <c r="L2540" s="670">
        <f>INT(E2540*K2540)</f>
        <v>114840</v>
      </c>
      <c r="M2540" s="670" t="e">
        <f>G2540+I2540+K2540</f>
        <v>#REF!</v>
      </c>
      <c r="N2540" s="670" t="e">
        <f>H2540+J2540+L2540</f>
        <v>#REF!</v>
      </c>
      <c r="O2540" s="671"/>
      <c r="P2540" s="672" t="s">
        <v>2127</v>
      </c>
      <c r="Q2540" s="688">
        <v>460</v>
      </c>
      <c r="R2540" s="688">
        <f>(Q2540)</f>
        <v>460</v>
      </c>
      <c r="S2540" s="688">
        <v>1</v>
      </c>
      <c r="T2540" s="690">
        <f>ROUND(S2540/R2540,4)</f>
        <v>2.2000000000000001E-3</v>
      </c>
    </row>
    <row r="2541" spans="1:20" s="688" customFormat="1" ht="17.100000000000001" customHeight="1">
      <c r="A2541" s="1318" t="s">
        <v>1320</v>
      </c>
      <c r="B2541" s="1319"/>
      <c r="C2541" s="1316"/>
      <c r="D2541" s="1317"/>
      <c r="E2541" s="686"/>
      <c r="F2541" s="676"/>
      <c r="G2541" s="670"/>
      <c r="H2541" s="670" t="e">
        <f>SUM(H2540:H2540)</f>
        <v>#REF!</v>
      </c>
      <c r="I2541" s="670"/>
      <c r="J2541" s="670">
        <f>SUM(J2540:J2540)</f>
        <v>7472080</v>
      </c>
      <c r="K2541" s="670"/>
      <c r="L2541" s="670">
        <f>SUM(L2540:L2540)</f>
        <v>114840</v>
      </c>
      <c r="M2541" s="670"/>
      <c r="N2541" s="670" t="e">
        <f>SUM(N2540:N2540)</f>
        <v>#REF!</v>
      </c>
      <c r="O2541" s="671"/>
      <c r="P2541" s="672"/>
      <c r="Q2541" s="688">
        <f>Q2540</f>
        <v>460</v>
      </c>
      <c r="R2541" s="688">
        <f>R2540</f>
        <v>460</v>
      </c>
      <c r="S2541" s="688">
        <v>1</v>
      </c>
      <c r="T2541" s="690">
        <f>ROUND(S2541/R2541,4)</f>
        <v>2.2000000000000001E-3</v>
      </c>
    </row>
    <row r="2542" spans="1:20" s="688" customFormat="1" ht="17.100000000000001" customHeight="1">
      <c r="A2542" s="668">
        <f>A2539+1</f>
        <v>370</v>
      </c>
      <c r="B2542" s="1320" t="s">
        <v>470</v>
      </c>
      <c r="C2542" s="1320"/>
      <c r="D2542" s="1320" t="s">
        <v>2128</v>
      </c>
      <c r="E2542" s="1320"/>
      <c r="F2542" s="669" t="s">
        <v>1458</v>
      </c>
      <c r="G2542" s="698"/>
      <c r="H2542" s="698"/>
      <c r="I2542" s="698"/>
      <c r="J2542" s="698"/>
      <c r="K2542" s="670"/>
      <c r="L2542" s="670"/>
      <c r="M2542" s="670"/>
      <c r="N2542" s="698"/>
      <c r="O2542" s="699"/>
      <c r="P2542" s="672"/>
      <c r="Q2542" s="688">
        <f>Q2541</f>
        <v>460</v>
      </c>
      <c r="R2542" s="688">
        <f>R2541</f>
        <v>460</v>
      </c>
      <c r="S2542" s="688">
        <v>8</v>
      </c>
      <c r="T2542" s="690">
        <f>ROUND(S2542/R2542,4)</f>
        <v>1.7399999999999999E-2</v>
      </c>
    </row>
    <row r="2543" spans="1:20" s="688" customFormat="1" ht="17.100000000000001" customHeight="1">
      <c r="A2543" s="1316" t="s">
        <v>2123</v>
      </c>
      <c r="B2543" s="1317"/>
      <c r="C2543" s="1316" t="s">
        <v>1403</v>
      </c>
      <c r="D2543" s="1317"/>
      <c r="E2543" s="677">
        <v>30</v>
      </c>
      <c r="F2543" s="676" t="s">
        <v>850</v>
      </c>
      <c r="G2543" s="670" t="e">
        <f>$H$552</f>
        <v>#REF!</v>
      </c>
      <c r="H2543" s="670" t="e">
        <f>INT(E2543*G2543)</f>
        <v>#REF!</v>
      </c>
      <c r="I2543" s="670">
        <f>$J$552</f>
        <v>373604</v>
      </c>
      <c r="J2543" s="670">
        <f>INT(E2543*I2543)</f>
        <v>11208120</v>
      </c>
      <c r="K2543" s="670">
        <f>$L$552</f>
        <v>5742</v>
      </c>
      <c r="L2543" s="670">
        <f>INT(E2543*K2543)</f>
        <v>172260</v>
      </c>
      <c r="M2543" s="670" t="e">
        <f>G2543+I2543+K2543</f>
        <v>#REF!</v>
      </c>
      <c r="N2543" s="670" t="e">
        <f>H2543+J2543+L2543</f>
        <v>#REF!</v>
      </c>
      <c r="O2543" s="671"/>
      <c r="P2543" s="672"/>
      <c r="Q2543" s="688">
        <f>Q2541</f>
        <v>460</v>
      </c>
      <c r="R2543" s="688">
        <f>R2541</f>
        <v>460</v>
      </c>
      <c r="S2543" s="688">
        <v>8</v>
      </c>
      <c r="T2543" s="690">
        <f>ROUND(S2543/R2543,4)</f>
        <v>1.7399999999999999E-2</v>
      </c>
    </row>
    <row r="2544" spans="1:20" s="688" customFormat="1" ht="17.100000000000001" customHeight="1">
      <c r="A2544" s="1318" t="s">
        <v>1320</v>
      </c>
      <c r="B2544" s="1319"/>
      <c r="C2544" s="1316"/>
      <c r="D2544" s="1317"/>
      <c r="E2544" s="686"/>
      <c r="F2544" s="676"/>
      <c r="G2544" s="670"/>
      <c r="H2544" s="670" t="e">
        <f>SUM(H2543:H2543)</f>
        <v>#REF!</v>
      </c>
      <c r="I2544" s="670"/>
      <c r="J2544" s="670">
        <f>SUM(J2543:J2543)</f>
        <v>11208120</v>
      </c>
      <c r="K2544" s="670"/>
      <c r="L2544" s="670">
        <f>SUM(L2543:L2543)</f>
        <v>172260</v>
      </c>
      <c r="M2544" s="670"/>
      <c r="N2544" s="670" t="e">
        <f>SUM(N2543:N2543)</f>
        <v>#REF!</v>
      </c>
      <c r="O2544" s="671"/>
      <c r="P2544" s="672"/>
    </row>
    <row r="2545" spans="1:22" s="688" customFormat="1" ht="17.100000000000001" customHeight="1">
      <c r="A2545" s="668">
        <f>A2542+1</f>
        <v>371</v>
      </c>
      <c r="B2545" s="1320" t="s">
        <v>1932</v>
      </c>
      <c r="C2545" s="1320"/>
      <c r="D2545" s="1320" t="s">
        <v>2129</v>
      </c>
      <c r="E2545" s="1320"/>
      <c r="F2545" s="669" t="s">
        <v>272</v>
      </c>
      <c r="G2545" s="670"/>
      <c r="H2545" s="670"/>
      <c r="I2545" s="670"/>
      <c r="J2545" s="670"/>
      <c r="K2545" s="670"/>
      <c r="L2545" s="670"/>
      <c r="M2545" s="670"/>
      <c r="N2545" s="670"/>
      <c r="O2545" s="671"/>
      <c r="P2545" s="672" t="s">
        <v>1422</v>
      </c>
      <c r="Q2545" s="806" t="s">
        <v>1446</v>
      </c>
      <c r="R2545" s="688" t="s">
        <v>1447</v>
      </c>
      <c r="S2545" s="688" t="s">
        <v>1425</v>
      </c>
      <c r="T2545" s="688" t="s">
        <v>1426</v>
      </c>
    </row>
    <row r="2546" spans="1:22" s="688" customFormat="1" ht="16.5" customHeight="1">
      <c r="A2546" s="1316" t="s">
        <v>916</v>
      </c>
      <c r="B2546" s="1317"/>
      <c r="C2546" s="1316"/>
      <c r="D2546" s="1317"/>
      <c r="E2546" s="677">
        <v>1</v>
      </c>
      <c r="F2546" s="676" t="s">
        <v>272</v>
      </c>
      <c r="G2546" s="670" t="e">
        <f>#REF!</f>
        <v>#REF!</v>
      </c>
      <c r="H2546" s="670" t="e">
        <f>INT(E2546*G2546)</f>
        <v>#REF!</v>
      </c>
      <c r="I2546" s="670"/>
      <c r="J2546" s="670"/>
      <c r="K2546" s="670"/>
      <c r="L2546" s="670"/>
      <c r="M2546" s="670" t="e">
        <f t="shared" ref="M2546:N2549" si="602">G2546+I2546+K2546</f>
        <v>#REF!</v>
      </c>
      <c r="N2546" s="670" t="e">
        <f t="shared" si="602"/>
        <v>#REF!</v>
      </c>
      <c r="O2546" s="671"/>
      <c r="P2546" s="672" t="s">
        <v>2130</v>
      </c>
      <c r="Q2546" s="688">
        <v>300</v>
      </c>
      <c r="R2546" s="688">
        <f>(Q2546)/100</f>
        <v>3</v>
      </c>
      <c r="T2546" s="690">
        <f>ROUND(S2546/R2546,4)</f>
        <v>0</v>
      </c>
      <c r="U2546" s="690"/>
      <c r="V2546" s="690"/>
    </row>
    <row r="2547" spans="1:22" s="688" customFormat="1" ht="17.100000000000001" customHeight="1">
      <c r="A2547" s="1316" t="s">
        <v>917</v>
      </c>
      <c r="B2547" s="1317"/>
      <c r="C2547" s="1316"/>
      <c r="D2547" s="1317"/>
      <c r="E2547" s="677">
        <v>1</v>
      </c>
      <c r="F2547" s="676" t="s">
        <v>272</v>
      </c>
      <c r="G2547" s="670" t="e">
        <f>#REF!</f>
        <v>#REF!</v>
      </c>
      <c r="H2547" s="670" t="e">
        <f>INT(E2547*G2547)</f>
        <v>#REF!</v>
      </c>
      <c r="I2547" s="670"/>
      <c r="J2547" s="670"/>
      <c r="K2547" s="670"/>
      <c r="L2547" s="670"/>
      <c r="M2547" s="670" t="e">
        <f t="shared" si="602"/>
        <v>#REF!</v>
      </c>
      <c r="N2547" s="670" t="e">
        <f t="shared" si="602"/>
        <v>#REF!</v>
      </c>
      <c r="O2547" s="671"/>
      <c r="P2547" s="672" t="s">
        <v>2131</v>
      </c>
      <c r="Q2547" s="688">
        <f>Q2546</f>
        <v>300</v>
      </c>
      <c r="R2547" s="688">
        <f>R2546</f>
        <v>3</v>
      </c>
      <c r="T2547" s="690">
        <f>ROUND(S2547/R2547,4)</f>
        <v>0</v>
      </c>
      <c r="U2547" s="690"/>
      <c r="V2547" s="690"/>
    </row>
    <row r="2548" spans="1:22" s="688" customFormat="1" ht="17.100000000000001" customHeight="1">
      <c r="A2548" s="1316" t="s">
        <v>628</v>
      </c>
      <c r="B2548" s="1317"/>
      <c r="C2548" s="1316"/>
      <c r="D2548" s="1317"/>
      <c r="E2548" s="683">
        <v>3.3E-3</v>
      </c>
      <c r="F2548" s="676" t="s">
        <v>366</v>
      </c>
      <c r="G2548" s="670"/>
      <c r="H2548" s="670"/>
      <c r="I2548" s="670">
        <f>[53]노임단가!$T$6</f>
        <v>226122</v>
      </c>
      <c r="J2548" s="670">
        <f>INT(E2548*I2548)</f>
        <v>746</v>
      </c>
      <c r="K2548" s="670"/>
      <c r="L2548" s="670"/>
      <c r="M2548" s="670">
        <f t="shared" si="602"/>
        <v>226122</v>
      </c>
      <c r="N2548" s="670">
        <f t="shared" si="602"/>
        <v>746</v>
      </c>
      <c r="O2548" s="671"/>
      <c r="P2548" s="672" t="s">
        <v>2132</v>
      </c>
      <c r="Q2548" s="688">
        <f t="shared" ref="Q2548:R2553" si="603">Q2547</f>
        <v>300</v>
      </c>
      <c r="R2548" s="688">
        <f t="shared" si="603"/>
        <v>3</v>
      </c>
      <c r="T2548" s="690">
        <f t="shared" ref="T2548:T2554" si="604">ROUND(S2548/R2548,4)</f>
        <v>0</v>
      </c>
      <c r="U2548" s="690"/>
      <c r="V2548" s="690"/>
    </row>
    <row r="2549" spans="1:22" s="688" customFormat="1" ht="17.100000000000001" customHeight="1">
      <c r="A2549" s="1316" t="s">
        <v>248</v>
      </c>
      <c r="B2549" s="1317"/>
      <c r="C2549" s="1316"/>
      <c r="D2549" s="1317"/>
      <c r="E2549" s="683">
        <v>2.2000000000000001E-3</v>
      </c>
      <c r="F2549" s="676" t="s">
        <v>366</v>
      </c>
      <c r="G2549" s="670"/>
      <c r="H2549" s="670"/>
      <c r="I2549" s="670">
        <f>[53]노임단가!$T$5</f>
        <v>172068</v>
      </c>
      <c r="J2549" s="670">
        <f>INT(E2549*I2549)</f>
        <v>378</v>
      </c>
      <c r="K2549" s="670"/>
      <c r="L2549" s="670"/>
      <c r="M2549" s="670">
        <f t="shared" si="602"/>
        <v>172068</v>
      </c>
      <c r="N2549" s="670">
        <f t="shared" si="602"/>
        <v>378</v>
      </c>
      <c r="O2549" s="671"/>
      <c r="P2549" s="812"/>
      <c r="Q2549" s="688">
        <f t="shared" si="603"/>
        <v>300</v>
      </c>
      <c r="R2549" s="688">
        <f t="shared" si="603"/>
        <v>3</v>
      </c>
      <c r="T2549" s="690">
        <f t="shared" si="604"/>
        <v>0</v>
      </c>
      <c r="U2549" s="690"/>
      <c r="V2549" s="690"/>
    </row>
    <row r="2550" spans="1:22" s="688" customFormat="1" ht="17.100000000000001" customHeight="1">
      <c r="A2550" s="1318" t="s">
        <v>1320</v>
      </c>
      <c r="B2550" s="1319"/>
      <c r="C2550" s="1371"/>
      <c r="D2550" s="1372"/>
      <c r="E2550" s="677"/>
      <c r="F2550" s="676"/>
      <c r="G2550" s="670"/>
      <c r="H2550" s="670" t="e">
        <f>SUM(H2546:H2549)</f>
        <v>#REF!</v>
      </c>
      <c r="I2550" s="670"/>
      <c r="J2550" s="670">
        <f>SUM(J2546:J2549)</f>
        <v>1124</v>
      </c>
      <c r="K2550" s="670"/>
      <c r="L2550" s="670"/>
      <c r="M2550" s="670"/>
      <c r="N2550" s="670" t="e">
        <f>SUM(N2546:N2549)</f>
        <v>#REF!</v>
      </c>
      <c r="O2550" s="671"/>
      <c r="P2550" s="672"/>
      <c r="Q2550" s="688">
        <f t="shared" si="603"/>
        <v>300</v>
      </c>
      <c r="R2550" s="688">
        <f t="shared" si="603"/>
        <v>3</v>
      </c>
      <c r="S2550" s="688">
        <v>3</v>
      </c>
      <c r="T2550" s="690">
        <f t="shared" si="604"/>
        <v>1</v>
      </c>
      <c r="U2550" s="690"/>
      <c r="V2550" s="690"/>
    </row>
    <row r="2551" spans="1:22" s="688" customFormat="1" ht="17.100000000000001" customHeight="1">
      <c r="A2551" s="668">
        <f>A2545+1</f>
        <v>372</v>
      </c>
      <c r="B2551" s="1320" t="s">
        <v>2133</v>
      </c>
      <c r="C2551" s="1320"/>
      <c r="D2551" s="1320" t="s">
        <v>2134</v>
      </c>
      <c r="E2551" s="1320"/>
      <c r="F2551" s="669" t="s">
        <v>645</v>
      </c>
      <c r="G2551" s="698"/>
      <c r="H2551" s="698"/>
      <c r="I2551" s="698"/>
      <c r="J2551" s="698"/>
      <c r="K2551" s="670"/>
      <c r="L2551" s="670"/>
      <c r="M2551" s="670"/>
      <c r="N2551" s="698"/>
      <c r="O2551" s="699"/>
      <c r="P2551" s="672"/>
      <c r="Q2551" s="688">
        <f t="shared" si="603"/>
        <v>300</v>
      </c>
      <c r="R2551" s="688">
        <f t="shared" si="603"/>
        <v>3</v>
      </c>
      <c r="S2551" s="688">
        <v>2</v>
      </c>
      <c r="T2551" s="690">
        <f t="shared" si="604"/>
        <v>0.66669999999999996</v>
      </c>
      <c r="U2551" s="690"/>
      <c r="V2551" s="690"/>
    </row>
    <row r="2552" spans="1:22" s="688" customFormat="1" ht="17.100000000000001" customHeight="1">
      <c r="A2552" s="1316" t="s">
        <v>2135</v>
      </c>
      <c r="B2552" s="1317"/>
      <c r="C2552" s="1316"/>
      <c r="D2552" s="1317"/>
      <c r="E2552" s="677">
        <v>1</v>
      </c>
      <c r="F2552" s="676" t="s">
        <v>645</v>
      </c>
      <c r="G2552" s="670"/>
      <c r="H2552" s="670"/>
      <c r="I2552" s="670">
        <f>[53]운반공!$BO$628*2</f>
        <v>1036</v>
      </c>
      <c r="J2552" s="670">
        <f>INT(E2552*I2552)</f>
        <v>1036</v>
      </c>
      <c r="K2552" s="670"/>
      <c r="L2552" s="670"/>
      <c r="M2552" s="670">
        <f>G2552+I2552+K2552</f>
        <v>1036</v>
      </c>
      <c r="N2552" s="670">
        <f>H2552+J2552+L2552</f>
        <v>1036</v>
      </c>
      <c r="O2552" s="671"/>
      <c r="P2552" s="672"/>
      <c r="Q2552" s="688">
        <f t="shared" si="603"/>
        <v>300</v>
      </c>
      <c r="R2552" s="688">
        <f t="shared" si="603"/>
        <v>3</v>
      </c>
      <c r="S2552" s="688">
        <v>2</v>
      </c>
      <c r="T2552" s="690">
        <f t="shared" si="604"/>
        <v>0.66669999999999996</v>
      </c>
      <c r="U2552" s="690"/>
      <c r="V2552" s="690"/>
    </row>
    <row r="2553" spans="1:22" s="688" customFormat="1" ht="17.100000000000001" customHeight="1">
      <c r="A2553" s="1316" t="s">
        <v>2136</v>
      </c>
      <c r="B2553" s="1317"/>
      <c r="C2553" s="1316" t="s">
        <v>1154</v>
      </c>
      <c r="D2553" s="1317"/>
      <c r="E2553" s="677">
        <v>1</v>
      </c>
      <c r="F2553" s="676" t="s">
        <v>645</v>
      </c>
      <c r="G2553" s="670"/>
      <c r="H2553" s="670"/>
      <c r="I2553" s="670"/>
      <c r="J2553" s="670"/>
      <c r="K2553" s="670">
        <f>[53]운반공!$BF$628</f>
        <v>1201</v>
      </c>
      <c r="L2553" s="670">
        <f>INT(E2553*K2553)</f>
        <v>1201</v>
      </c>
      <c r="M2553" s="670">
        <f>G2553+I2553+K2553</f>
        <v>1201</v>
      </c>
      <c r="N2553" s="670">
        <f>H2553+J2553+L2553</f>
        <v>1201</v>
      </c>
      <c r="O2553" s="671"/>
      <c r="P2553" s="672"/>
      <c r="Q2553" s="688">
        <f t="shared" si="603"/>
        <v>300</v>
      </c>
      <c r="R2553" s="688">
        <f t="shared" si="603"/>
        <v>3</v>
      </c>
      <c r="S2553" s="688">
        <v>8</v>
      </c>
      <c r="T2553" s="690">
        <f t="shared" si="604"/>
        <v>2.6667000000000001</v>
      </c>
      <c r="U2553" s="690"/>
      <c r="V2553" s="690"/>
    </row>
    <row r="2554" spans="1:22" s="688" customFormat="1" ht="17.100000000000001" customHeight="1">
      <c r="A2554" s="1318" t="s">
        <v>1320</v>
      </c>
      <c r="B2554" s="1319"/>
      <c r="C2554" s="1316" t="s">
        <v>1406</v>
      </c>
      <c r="D2554" s="1317"/>
      <c r="E2554" s="686"/>
      <c r="F2554" s="676"/>
      <c r="G2554" s="670"/>
      <c r="H2554" s="670"/>
      <c r="I2554" s="670"/>
      <c r="J2554" s="670"/>
      <c r="K2554" s="670"/>
      <c r="L2554" s="670">
        <f>L2553+J2552</f>
        <v>2237</v>
      </c>
      <c r="M2554" s="670"/>
      <c r="N2554" s="670">
        <f>SUM(N2552:N2553)</f>
        <v>2237</v>
      </c>
      <c r="O2554" s="671"/>
      <c r="P2554" s="672"/>
      <c r="Q2554" s="688">
        <f>Q2553</f>
        <v>300</v>
      </c>
      <c r="R2554" s="688">
        <f>R2553</f>
        <v>3</v>
      </c>
      <c r="S2554" s="688">
        <v>8</v>
      </c>
      <c r="T2554" s="690">
        <f t="shared" si="604"/>
        <v>2.6667000000000001</v>
      </c>
      <c r="U2554" s="690"/>
      <c r="V2554" s="690"/>
    </row>
    <row r="2555" spans="1:22" s="688" customFormat="1" ht="17.100000000000001" customHeight="1">
      <c r="A2555" s="668">
        <f>A2551+1</f>
        <v>373</v>
      </c>
      <c r="B2555" s="1320" t="s">
        <v>2137</v>
      </c>
      <c r="C2555" s="1320"/>
      <c r="D2555" s="1320" t="s">
        <v>2138</v>
      </c>
      <c r="E2555" s="1320"/>
      <c r="F2555" s="669" t="s">
        <v>645</v>
      </c>
      <c r="G2555" s="698"/>
      <c r="H2555" s="698"/>
      <c r="I2555" s="698"/>
      <c r="J2555" s="698"/>
      <c r="K2555" s="670"/>
      <c r="L2555" s="670"/>
      <c r="M2555" s="670"/>
      <c r="N2555" s="698"/>
      <c r="O2555" s="699"/>
      <c r="P2555" s="672"/>
      <c r="T2555" s="690"/>
      <c r="U2555" s="690"/>
      <c r="V2555" s="690"/>
    </row>
    <row r="2556" spans="1:22" s="688" customFormat="1" ht="17.100000000000001" customHeight="1">
      <c r="A2556" s="1316" t="s">
        <v>2135</v>
      </c>
      <c r="B2556" s="1317"/>
      <c r="C2556" s="1316"/>
      <c r="D2556" s="1317"/>
      <c r="E2556" s="677">
        <v>1</v>
      </c>
      <c r="F2556" s="676" t="s">
        <v>645</v>
      </c>
      <c r="G2556" s="670"/>
      <c r="H2556" s="670"/>
      <c r="I2556" s="670">
        <f>[53]운반공!$BO$635*2*25</f>
        <v>1100</v>
      </c>
      <c r="J2556" s="670">
        <f>INT(E2556*I2556)</f>
        <v>1100</v>
      </c>
      <c r="K2556" s="670"/>
      <c r="L2556" s="670"/>
      <c r="M2556" s="670">
        <f>G2556+I2556+K2556</f>
        <v>1100</v>
      </c>
      <c r="N2556" s="670">
        <f>H2556+J2556+L2556</f>
        <v>1100</v>
      </c>
      <c r="O2556" s="671"/>
      <c r="P2556" s="672"/>
    </row>
    <row r="2557" spans="1:22" s="688" customFormat="1" ht="17.100000000000001" customHeight="1">
      <c r="A2557" s="1316" t="s">
        <v>2136</v>
      </c>
      <c r="B2557" s="1317"/>
      <c r="C2557" s="1316" t="s">
        <v>1154</v>
      </c>
      <c r="D2557" s="1317"/>
      <c r="E2557" s="677">
        <v>1</v>
      </c>
      <c r="F2557" s="676" t="s">
        <v>645</v>
      </c>
      <c r="G2557" s="670"/>
      <c r="H2557" s="670"/>
      <c r="I2557" s="670"/>
      <c r="J2557" s="670"/>
      <c r="K2557" s="670">
        <f>[53]운반공!$BF$635*25</f>
        <v>1275</v>
      </c>
      <c r="L2557" s="670">
        <f>INT(E2557*K2557)</f>
        <v>1275</v>
      </c>
      <c r="M2557" s="670">
        <f>G2557+I2557+K2557</f>
        <v>1275</v>
      </c>
      <c r="N2557" s="670">
        <f>H2557+J2557+L2557</f>
        <v>1275</v>
      </c>
      <c r="O2557" s="671"/>
      <c r="P2557" s="672" t="s">
        <v>2139</v>
      </c>
      <c r="Q2557" s="687" t="s">
        <v>1446</v>
      </c>
      <c r="R2557" s="688" t="s">
        <v>1447</v>
      </c>
      <c r="S2557" s="688" t="s">
        <v>1425</v>
      </c>
      <c r="T2557" s="688" t="s">
        <v>1426</v>
      </c>
    </row>
    <row r="2558" spans="1:22" s="688" customFormat="1" ht="16.5" customHeight="1">
      <c r="A2558" s="1318" t="s">
        <v>1320</v>
      </c>
      <c r="B2558" s="1319"/>
      <c r="C2558" s="1316" t="s">
        <v>1406</v>
      </c>
      <c r="D2558" s="1317"/>
      <c r="E2558" s="686"/>
      <c r="F2558" s="676"/>
      <c r="G2558" s="670"/>
      <c r="H2558" s="670"/>
      <c r="I2558" s="670"/>
      <c r="J2558" s="670"/>
      <c r="K2558" s="670"/>
      <c r="L2558" s="670">
        <f>L2557+J2556</f>
        <v>2375</v>
      </c>
      <c r="M2558" s="670"/>
      <c r="N2558" s="670">
        <f>SUM(N2556:N2557)</f>
        <v>2375</v>
      </c>
      <c r="O2558" s="671"/>
      <c r="P2558" s="672" t="s">
        <v>2130</v>
      </c>
      <c r="Q2558" s="688">
        <v>190</v>
      </c>
      <c r="R2558" s="688">
        <f>(Q2558)/100</f>
        <v>1.9</v>
      </c>
      <c r="T2558" s="690">
        <f>ROUND(S2558/R2558,4)</f>
        <v>0</v>
      </c>
      <c r="U2558" s="690"/>
      <c r="V2558" s="690"/>
    </row>
    <row r="2559" spans="1:22" s="688" customFormat="1" ht="17.100000000000001" customHeight="1">
      <c r="A2559" s="668">
        <f>A2555+1</f>
        <v>374</v>
      </c>
      <c r="B2559" s="1320" t="s">
        <v>2140</v>
      </c>
      <c r="C2559" s="1320"/>
      <c r="D2559" s="1320" t="s">
        <v>2141</v>
      </c>
      <c r="E2559" s="1320"/>
      <c r="F2559" s="669" t="s">
        <v>850</v>
      </c>
      <c r="G2559" s="698"/>
      <c r="H2559" s="698"/>
      <c r="I2559" s="698"/>
      <c r="J2559" s="698"/>
      <c r="K2559" s="670"/>
      <c r="L2559" s="670"/>
      <c r="M2559" s="670"/>
      <c r="N2559" s="698"/>
      <c r="O2559" s="699"/>
      <c r="P2559" s="672" t="s">
        <v>2131</v>
      </c>
      <c r="Q2559" s="688">
        <f>Q2558</f>
        <v>190</v>
      </c>
      <c r="R2559" s="688">
        <f>R2558</f>
        <v>1.9</v>
      </c>
      <c r="T2559" s="690">
        <f>ROUND(S2559/R2559,4)</f>
        <v>0</v>
      </c>
      <c r="U2559" s="690"/>
      <c r="V2559" s="690"/>
    </row>
    <row r="2560" spans="1:22" s="688" customFormat="1" ht="17.100000000000001" customHeight="1">
      <c r="A2560" s="1316" t="s">
        <v>2136</v>
      </c>
      <c r="B2560" s="1317"/>
      <c r="C2560" s="1316" t="s">
        <v>1154</v>
      </c>
      <c r="D2560" s="1317"/>
      <c r="E2560" s="677">
        <v>1</v>
      </c>
      <c r="F2560" s="676" t="s">
        <v>850</v>
      </c>
      <c r="G2560" s="670">
        <f>[53]운반공!$BI$133</f>
        <v>1262</v>
      </c>
      <c r="H2560" s="670">
        <f>INT(E2560*G2560)</f>
        <v>1262</v>
      </c>
      <c r="I2560" s="670">
        <f>[53]운반공!$BQ$133</f>
        <v>6619</v>
      </c>
      <c r="J2560" s="670">
        <f>INT(E2560*I2560)</f>
        <v>6619</v>
      </c>
      <c r="K2560" s="670">
        <f>[53]운반공!$BY$133</f>
        <v>1012</v>
      </c>
      <c r="L2560" s="670">
        <f>INT(E2560*K2560)</f>
        <v>1012</v>
      </c>
      <c r="M2560" s="670">
        <f>G2560+I2560+K2560</f>
        <v>8893</v>
      </c>
      <c r="N2560" s="670">
        <f>H2560+J2560+L2560</f>
        <v>8893</v>
      </c>
      <c r="O2560" s="671"/>
      <c r="P2560" s="672" t="s">
        <v>2132</v>
      </c>
      <c r="Q2560" s="688">
        <f t="shared" ref="Q2560:R2566" si="605">Q2559</f>
        <v>190</v>
      </c>
      <c r="R2560" s="688">
        <f t="shared" si="605"/>
        <v>1.9</v>
      </c>
      <c r="T2560" s="690">
        <f t="shared" ref="T2560:T2567" si="606">ROUND(S2560/R2560,4)</f>
        <v>0</v>
      </c>
      <c r="U2560" s="690"/>
      <c r="V2560" s="690"/>
    </row>
    <row r="2561" spans="1:22" s="688" customFormat="1" ht="17.100000000000001" customHeight="1">
      <c r="A2561" s="1318" t="s">
        <v>1320</v>
      </c>
      <c r="B2561" s="1319"/>
      <c r="C2561" s="1316" t="s">
        <v>1406</v>
      </c>
      <c r="D2561" s="1317"/>
      <c r="E2561" s="686"/>
      <c r="F2561" s="676"/>
      <c r="G2561" s="670"/>
      <c r="H2561" s="670"/>
      <c r="I2561" s="670"/>
      <c r="J2561" s="670"/>
      <c r="K2561" s="670"/>
      <c r="L2561" s="670">
        <f>H2560+J2560+L2560</f>
        <v>8893</v>
      </c>
      <c r="M2561" s="670"/>
      <c r="N2561" s="670">
        <f>SUM(N2559:N2560)</f>
        <v>8893</v>
      </c>
      <c r="O2561" s="671"/>
      <c r="P2561" s="812"/>
      <c r="Q2561" s="688">
        <f t="shared" si="605"/>
        <v>190</v>
      </c>
      <c r="R2561" s="688">
        <f t="shared" si="605"/>
        <v>1.9</v>
      </c>
      <c r="T2561" s="690">
        <f t="shared" si="606"/>
        <v>0</v>
      </c>
      <c r="U2561" s="690"/>
      <c r="V2561" s="690"/>
    </row>
    <row r="2562" spans="1:22" s="688" customFormat="1" ht="17.100000000000001" customHeight="1">
      <c r="A2562" s="668">
        <f>A2559+1</f>
        <v>375</v>
      </c>
      <c r="B2562" s="1320" t="s">
        <v>2142</v>
      </c>
      <c r="C2562" s="1320"/>
      <c r="D2562" s="1320"/>
      <c r="E2562" s="1320"/>
      <c r="F2562" s="669" t="s">
        <v>1458</v>
      </c>
      <c r="G2562" s="698"/>
      <c r="H2562" s="698"/>
      <c r="I2562" s="698"/>
      <c r="J2562" s="698"/>
      <c r="K2562" s="670"/>
      <c r="L2562" s="670"/>
      <c r="M2562" s="670"/>
      <c r="N2562" s="698"/>
      <c r="O2562" s="699"/>
      <c r="P2562" s="672"/>
      <c r="Q2562" s="688">
        <f t="shared" si="605"/>
        <v>190</v>
      </c>
      <c r="R2562" s="688">
        <f t="shared" si="605"/>
        <v>1.9</v>
      </c>
      <c r="S2562" s="688">
        <v>2</v>
      </c>
      <c r="T2562" s="690">
        <f t="shared" si="606"/>
        <v>1.0526</v>
      </c>
      <c r="U2562" s="690"/>
      <c r="V2562" s="690"/>
    </row>
    <row r="2563" spans="1:22" s="688" customFormat="1" ht="17.100000000000001" customHeight="1">
      <c r="A2563" s="1316" t="s">
        <v>465</v>
      </c>
      <c r="B2563" s="1317"/>
      <c r="C2563" s="1316" t="s">
        <v>466</v>
      </c>
      <c r="D2563" s="1317"/>
      <c r="E2563" s="679">
        <v>3.2</v>
      </c>
      <c r="F2563" s="676" t="s">
        <v>418</v>
      </c>
      <c r="G2563" s="670" t="e">
        <f>#REF!</f>
        <v>#REF!</v>
      </c>
      <c r="H2563" s="750" t="e">
        <f>INT(E2563*G2563)</f>
        <v>#REF!</v>
      </c>
      <c r="I2563" s="670" t="e">
        <f>#REF!</f>
        <v>#REF!</v>
      </c>
      <c r="J2563" s="750" t="e">
        <f>INT(E2563*I2563)</f>
        <v>#REF!</v>
      </c>
      <c r="K2563" s="670" t="e">
        <f>#REF!</f>
        <v>#REF!</v>
      </c>
      <c r="L2563" s="750" t="e">
        <f>INT(E2563*K2563)</f>
        <v>#REF!</v>
      </c>
      <c r="M2563" s="670" t="e">
        <f>G2563+I2563+K2563</f>
        <v>#REF!</v>
      </c>
      <c r="N2563" s="670" t="e">
        <f>H2563+J2563+L2563</f>
        <v>#REF!</v>
      </c>
      <c r="O2563" s="671"/>
      <c r="P2563" s="672"/>
      <c r="Q2563" s="688">
        <f t="shared" si="605"/>
        <v>190</v>
      </c>
      <c r="R2563" s="688">
        <f t="shared" si="605"/>
        <v>1.9</v>
      </c>
      <c r="S2563" s="688">
        <v>2</v>
      </c>
      <c r="T2563" s="690">
        <f t="shared" si="606"/>
        <v>1.0526</v>
      </c>
      <c r="U2563" s="690"/>
      <c r="V2563" s="690"/>
    </row>
    <row r="2564" spans="1:22" s="688" customFormat="1" ht="17.100000000000001" customHeight="1">
      <c r="A2564" s="1318" t="s">
        <v>1320</v>
      </c>
      <c r="B2564" s="1319"/>
      <c r="C2564" s="1316"/>
      <c r="D2564" s="1317"/>
      <c r="E2564" s="686"/>
      <c r="F2564" s="676"/>
      <c r="G2564" s="670"/>
      <c r="H2564" s="670" t="e">
        <f>SUM(H2563:H2563)</f>
        <v>#REF!</v>
      </c>
      <c r="I2564" s="670"/>
      <c r="J2564" s="670" t="e">
        <f>SUM(J2563:J2563)</f>
        <v>#REF!</v>
      </c>
      <c r="K2564" s="670"/>
      <c r="L2564" s="670" t="e">
        <f>SUM(L2563:L2563)</f>
        <v>#REF!</v>
      </c>
      <c r="M2564" s="670"/>
      <c r="N2564" s="670" t="e">
        <f>SUM(N2563:N2563)</f>
        <v>#REF!</v>
      </c>
      <c r="O2564" s="671"/>
      <c r="P2564" s="672"/>
      <c r="Q2564" s="688">
        <f t="shared" si="605"/>
        <v>190</v>
      </c>
      <c r="R2564" s="688">
        <f t="shared" si="605"/>
        <v>1.9</v>
      </c>
      <c r="S2564" s="688">
        <v>1</v>
      </c>
      <c r="T2564" s="690">
        <f t="shared" si="606"/>
        <v>0.52629999999999999</v>
      </c>
      <c r="U2564" s="690"/>
      <c r="V2564" s="690"/>
    </row>
    <row r="2565" spans="1:22" s="688" customFormat="1" ht="17.100000000000001" customHeight="1">
      <c r="A2565" s="668">
        <f>A2562+1</f>
        <v>376</v>
      </c>
      <c r="B2565" s="1320" t="s">
        <v>2143</v>
      </c>
      <c r="C2565" s="1320"/>
      <c r="D2565" s="1320" t="s">
        <v>2144</v>
      </c>
      <c r="E2565" s="1320"/>
      <c r="F2565" s="669" t="s">
        <v>645</v>
      </c>
      <c r="G2565" s="698"/>
      <c r="H2565" s="698"/>
      <c r="I2565" s="698"/>
      <c r="J2565" s="698"/>
      <c r="K2565" s="670"/>
      <c r="L2565" s="670"/>
      <c r="M2565" s="670"/>
      <c r="N2565" s="698"/>
      <c r="O2565" s="699"/>
      <c r="P2565" s="672"/>
      <c r="Q2565" s="688">
        <f t="shared" si="605"/>
        <v>190</v>
      </c>
      <c r="R2565" s="688">
        <f t="shared" si="605"/>
        <v>1.9</v>
      </c>
      <c r="S2565" s="688">
        <v>8</v>
      </c>
      <c r="T2565" s="690">
        <f t="shared" si="606"/>
        <v>4.2104999999999997</v>
      </c>
      <c r="U2565" s="690"/>
      <c r="V2565" s="690"/>
    </row>
    <row r="2566" spans="1:22" s="688" customFormat="1" ht="17.100000000000001" customHeight="1">
      <c r="A2566" s="1316" t="s">
        <v>540</v>
      </c>
      <c r="B2566" s="1317"/>
      <c r="C2566" s="1316"/>
      <c r="D2566" s="1317"/>
      <c r="E2566" s="683">
        <f>T2535</f>
        <v>7.7000000000000002E-3</v>
      </c>
      <c r="F2566" s="676" t="s">
        <v>366</v>
      </c>
      <c r="G2566" s="670"/>
      <c r="H2566" s="670"/>
      <c r="I2566" s="670">
        <f>[53]노임단가!$T$22</f>
        <v>273308</v>
      </c>
      <c r="J2566" s="670">
        <f>INT(E2566*I2566)</f>
        <v>2104</v>
      </c>
      <c r="K2566" s="670"/>
      <c r="L2566" s="670"/>
      <c r="M2566" s="670">
        <f t="shared" ref="M2566:N2568" si="607">G2566+I2566+K2566</f>
        <v>273308</v>
      </c>
      <c r="N2566" s="670">
        <f t="shared" si="607"/>
        <v>2104</v>
      </c>
      <c r="O2566" s="671"/>
      <c r="P2566" s="672"/>
      <c r="Q2566" s="688">
        <f t="shared" si="605"/>
        <v>190</v>
      </c>
      <c r="R2566" s="688">
        <f t="shared" si="605"/>
        <v>1.9</v>
      </c>
      <c r="S2566" s="688">
        <v>8</v>
      </c>
      <c r="T2566" s="690">
        <f t="shared" si="606"/>
        <v>4.2104999999999997</v>
      </c>
      <c r="U2566" s="690"/>
      <c r="V2566" s="690"/>
    </row>
    <row r="2567" spans="1:22" s="688" customFormat="1" ht="17.100000000000001" customHeight="1">
      <c r="A2567" s="1316" t="s">
        <v>248</v>
      </c>
      <c r="B2567" s="1317"/>
      <c r="C2567" s="1316"/>
      <c r="D2567" s="1317"/>
      <c r="E2567" s="683">
        <f>T2536</f>
        <v>3.8E-3</v>
      </c>
      <c r="F2567" s="676" t="s">
        <v>366</v>
      </c>
      <c r="G2567" s="670"/>
      <c r="H2567" s="670"/>
      <c r="I2567" s="670">
        <f>[53]노임단가!$T$5</f>
        <v>172068</v>
      </c>
      <c r="J2567" s="670">
        <f>INT(E2567*I2567)</f>
        <v>653</v>
      </c>
      <c r="K2567" s="670"/>
      <c r="L2567" s="670"/>
      <c r="M2567" s="670">
        <f t="shared" si="607"/>
        <v>172068</v>
      </c>
      <c r="N2567" s="670">
        <f t="shared" si="607"/>
        <v>653</v>
      </c>
      <c r="O2567" s="671"/>
      <c r="P2567" s="672"/>
      <c r="Q2567" s="688">
        <f>Q2566</f>
        <v>190</v>
      </c>
      <c r="R2567" s="688">
        <f>R2566</f>
        <v>1.9</v>
      </c>
      <c r="T2567" s="690">
        <f t="shared" si="606"/>
        <v>0</v>
      </c>
      <c r="U2567" s="690"/>
      <c r="V2567" s="690"/>
    </row>
    <row r="2568" spans="1:22" s="688" customFormat="1" ht="17.100000000000001" customHeight="1">
      <c r="A2568" s="1316" t="s">
        <v>641</v>
      </c>
      <c r="B2568" s="1317"/>
      <c r="C2568" s="1316" t="s">
        <v>642</v>
      </c>
      <c r="D2568" s="1317"/>
      <c r="E2568" s="683">
        <f>T2537</f>
        <v>3.0800000000000001E-2</v>
      </c>
      <c r="F2568" s="676" t="s">
        <v>418</v>
      </c>
      <c r="G2568" s="670" t="e">
        <f>#REF!</f>
        <v>#REF!</v>
      </c>
      <c r="H2568" s="670" t="e">
        <f>INT(E2568*G2568)</f>
        <v>#REF!</v>
      </c>
      <c r="I2568" s="670" t="e">
        <f>#REF!</f>
        <v>#REF!</v>
      </c>
      <c r="J2568" s="670" t="e">
        <f>INT(E2568*I2568)</f>
        <v>#REF!</v>
      </c>
      <c r="K2568" s="670" t="e">
        <f>#REF!</f>
        <v>#REF!</v>
      </c>
      <c r="L2568" s="670" t="e">
        <f>INT(E2568*K2568)</f>
        <v>#REF!</v>
      </c>
      <c r="M2568" s="670" t="e">
        <f t="shared" si="607"/>
        <v>#REF!</v>
      </c>
      <c r="N2568" s="670" t="e">
        <f t="shared" si="607"/>
        <v>#REF!</v>
      </c>
      <c r="O2568" s="671"/>
      <c r="P2568" s="672"/>
    </row>
    <row r="2569" spans="1:22" s="688" customFormat="1" ht="17.100000000000001" customHeight="1">
      <c r="A2569" s="1318" t="s">
        <v>1320</v>
      </c>
      <c r="B2569" s="1319"/>
      <c r="C2569" s="1316"/>
      <c r="D2569" s="1317"/>
      <c r="E2569" s="686"/>
      <c r="F2569" s="676"/>
      <c r="G2569" s="670"/>
      <c r="H2569" s="670" t="e">
        <f>SUM(H2566:H2568)</f>
        <v>#REF!</v>
      </c>
      <c r="I2569" s="670"/>
      <c r="J2569" s="670" t="e">
        <f>SUM(J2566:J2568)</f>
        <v>#REF!</v>
      </c>
      <c r="K2569" s="670"/>
      <c r="L2569" s="670" t="e">
        <f>SUM(L2566:L2568)</f>
        <v>#REF!</v>
      </c>
      <c r="M2569" s="670"/>
      <c r="N2569" s="670" t="e">
        <f>SUM(N2566:N2568)</f>
        <v>#REF!</v>
      </c>
      <c r="O2569" s="671"/>
      <c r="P2569" s="672" t="s">
        <v>1422</v>
      </c>
      <c r="Q2569" s="687" t="s">
        <v>1446</v>
      </c>
      <c r="R2569" s="688" t="s">
        <v>1447</v>
      </c>
      <c r="S2569" s="688" t="s">
        <v>1425</v>
      </c>
      <c r="T2569" s="688" t="s">
        <v>1426</v>
      </c>
    </row>
    <row r="2570" spans="1:22" s="688" customFormat="1" ht="16.5" customHeight="1">
      <c r="A2570" s="668">
        <f>A2565+1</f>
        <v>377</v>
      </c>
      <c r="B2570" s="1320" t="s">
        <v>2145</v>
      </c>
      <c r="C2570" s="1320"/>
      <c r="D2570" s="1320" t="s">
        <v>2146</v>
      </c>
      <c r="E2570" s="1320"/>
      <c r="F2570" s="669" t="s">
        <v>645</v>
      </c>
      <c r="G2570" s="698"/>
      <c r="H2570" s="698"/>
      <c r="I2570" s="698"/>
      <c r="J2570" s="698"/>
      <c r="K2570" s="670"/>
      <c r="L2570" s="670"/>
      <c r="M2570" s="670"/>
      <c r="N2570" s="698"/>
      <c r="O2570" s="699"/>
      <c r="P2570" s="672" t="s">
        <v>2130</v>
      </c>
      <c r="Q2570" s="688">
        <v>300</v>
      </c>
      <c r="R2570" s="688">
        <f>(Q2570)/100</f>
        <v>3</v>
      </c>
      <c r="T2570" s="690">
        <f>ROUND(S2570/R2570,4)</f>
        <v>0</v>
      </c>
      <c r="U2570" s="690"/>
      <c r="V2570" s="690"/>
    </row>
    <row r="2571" spans="1:22" s="688" customFormat="1" ht="17.100000000000001" customHeight="1">
      <c r="A2571" s="1316" t="s">
        <v>540</v>
      </c>
      <c r="B2571" s="1317"/>
      <c r="C2571" s="1316"/>
      <c r="D2571" s="1317"/>
      <c r="E2571" s="683">
        <f>T2540</f>
        <v>2.2000000000000001E-3</v>
      </c>
      <c r="F2571" s="676" t="s">
        <v>366</v>
      </c>
      <c r="G2571" s="670"/>
      <c r="H2571" s="670"/>
      <c r="I2571" s="670">
        <f>[53]노임단가!$T$22</f>
        <v>273308</v>
      </c>
      <c r="J2571" s="670">
        <f>INT(E2571*I2571)</f>
        <v>601</v>
      </c>
      <c r="K2571" s="670"/>
      <c r="L2571" s="670"/>
      <c r="M2571" s="670">
        <f t="shared" ref="M2571:N2574" si="608">G2571+I2571+K2571</f>
        <v>273308</v>
      </c>
      <c r="N2571" s="670">
        <f t="shared" si="608"/>
        <v>601</v>
      </c>
      <c r="O2571" s="671"/>
      <c r="P2571" s="813"/>
      <c r="Q2571" s="688">
        <f>Q2570</f>
        <v>300</v>
      </c>
      <c r="R2571" s="688">
        <f>R2570</f>
        <v>3</v>
      </c>
      <c r="T2571" s="690">
        <f>ROUND(S2571/R2571,4)</f>
        <v>0</v>
      </c>
      <c r="U2571" s="690"/>
      <c r="V2571" s="690"/>
    </row>
    <row r="2572" spans="1:22" s="688" customFormat="1" ht="17.100000000000001" customHeight="1">
      <c r="A2572" s="1316" t="s">
        <v>248</v>
      </c>
      <c r="B2572" s="1317"/>
      <c r="C2572" s="1316"/>
      <c r="D2572" s="1317"/>
      <c r="E2572" s="683">
        <f>T2541</f>
        <v>2.2000000000000001E-3</v>
      </c>
      <c r="F2572" s="676" t="s">
        <v>366</v>
      </c>
      <c r="G2572" s="670"/>
      <c r="H2572" s="670"/>
      <c r="I2572" s="670">
        <f>[53]노임단가!$T$5</f>
        <v>172068</v>
      </c>
      <c r="J2572" s="670">
        <f>INT(E2572*I2572)</f>
        <v>378</v>
      </c>
      <c r="K2572" s="670"/>
      <c r="L2572" s="670"/>
      <c r="M2572" s="670">
        <f t="shared" si="608"/>
        <v>172068</v>
      </c>
      <c r="N2572" s="670">
        <f t="shared" si="608"/>
        <v>378</v>
      </c>
      <c r="O2572" s="671"/>
      <c r="P2572" s="672"/>
      <c r="Q2572" s="688">
        <f t="shared" ref="Q2572:R2578" si="609">Q2571</f>
        <v>300</v>
      </c>
      <c r="R2572" s="688">
        <f t="shared" si="609"/>
        <v>3</v>
      </c>
      <c r="T2572" s="690">
        <f t="shared" ref="T2572:T2578" si="610">ROUND(S2572/R2572,4)</f>
        <v>0</v>
      </c>
      <c r="U2572" s="690"/>
      <c r="V2572" s="690"/>
    </row>
    <row r="2573" spans="1:22" s="688" customFormat="1" ht="17.100000000000001" customHeight="1">
      <c r="A2573" s="1316" t="s">
        <v>409</v>
      </c>
      <c r="B2573" s="1317"/>
      <c r="C2573" s="1316" t="s">
        <v>2147</v>
      </c>
      <c r="D2573" s="1317"/>
      <c r="E2573" s="683">
        <f>T2542</f>
        <v>1.7399999999999999E-2</v>
      </c>
      <c r="F2573" s="676" t="s">
        <v>418</v>
      </c>
      <c r="G2573" s="670" t="e">
        <f>#REF!</f>
        <v>#REF!</v>
      </c>
      <c r="H2573" s="670" t="e">
        <f>INT(E2573*G2573)</f>
        <v>#REF!</v>
      </c>
      <c r="I2573" s="670" t="e">
        <f>#REF!</f>
        <v>#REF!</v>
      </c>
      <c r="J2573" s="670" t="e">
        <f>INT(E2573*I2573)</f>
        <v>#REF!</v>
      </c>
      <c r="K2573" s="670" t="e">
        <f>#REF!</f>
        <v>#REF!</v>
      </c>
      <c r="L2573" s="670" t="e">
        <f>INT(E2573*K2573)</f>
        <v>#REF!</v>
      </c>
      <c r="M2573" s="670" t="e">
        <f t="shared" si="608"/>
        <v>#REF!</v>
      </c>
      <c r="N2573" s="670" t="e">
        <f t="shared" si="608"/>
        <v>#REF!</v>
      </c>
      <c r="O2573" s="671"/>
      <c r="P2573" s="812"/>
      <c r="Q2573" s="688">
        <f t="shared" si="609"/>
        <v>300</v>
      </c>
      <c r="R2573" s="688">
        <f t="shared" si="609"/>
        <v>3</v>
      </c>
      <c r="T2573" s="690">
        <f t="shared" si="610"/>
        <v>0</v>
      </c>
      <c r="U2573" s="690"/>
      <c r="V2573" s="690"/>
    </row>
    <row r="2574" spans="1:22" s="688" customFormat="1" ht="17.100000000000001" customHeight="1">
      <c r="A2574" s="1316" t="s">
        <v>641</v>
      </c>
      <c r="B2574" s="1317"/>
      <c r="C2574" s="1316" t="s">
        <v>642</v>
      </c>
      <c r="D2574" s="1317"/>
      <c r="E2574" s="683">
        <f>T2543</f>
        <v>1.7399999999999999E-2</v>
      </c>
      <c r="F2574" s="676" t="s">
        <v>418</v>
      </c>
      <c r="G2574" s="670" t="e">
        <f>#REF!</f>
        <v>#REF!</v>
      </c>
      <c r="H2574" s="670" t="e">
        <f>INT(E2574*G2574)</f>
        <v>#REF!</v>
      </c>
      <c r="I2574" s="670" t="e">
        <f>#REF!</f>
        <v>#REF!</v>
      </c>
      <c r="J2574" s="670" t="e">
        <f>INT(E2574*I2574)</f>
        <v>#REF!</v>
      </c>
      <c r="K2574" s="670" t="e">
        <f>#REF!</f>
        <v>#REF!</v>
      </c>
      <c r="L2574" s="670" t="e">
        <f>INT(E2574*K2574)</f>
        <v>#REF!</v>
      </c>
      <c r="M2574" s="670" t="e">
        <f t="shared" si="608"/>
        <v>#REF!</v>
      </c>
      <c r="N2574" s="670" t="e">
        <f t="shared" si="608"/>
        <v>#REF!</v>
      </c>
      <c r="O2574" s="671"/>
      <c r="P2574" s="672"/>
      <c r="Q2574" s="688">
        <f t="shared" si="609"/>
        <v>300</v>
      </c>
      <c r="R2574" s="688">
        <f t="shared" si="609"/>
        <v>3</v>
      </c>
      <c r="S2574" s="688">
        <v>3</v>
      </c>
      <c r="T2574" s="690">
        <f t="shared" si="610"/>
        <v>1</v>
      </c>
      <c r="U2574" s="690"/>
      <c r="V2574" s="690"/>
    </row>
    <row r="2575" spans="1:22" s="688" customFormat="1" ht="17.100000000000001" customHeight="1">
      <c r="A2575" s="1318" t="s">
        <v>1320</v>
      </c>
      <c r="B2575" s="1319"/>
      <c r="C2575" s="1316"/>
      <c r="D2575" s="1317"/>
      <c r="E2575" s="686"/>
      <c r="F2575" s="676"/>
      <c r="G2575" s="670"/>
      <c r="H2575" s="670" t="e">
        <f>SUM(H2571:H2574)</f>
        <v>#REF!</v>
      </c>
      <c r="I2575" s="670"/>
      <c r="J2575" s="670" t="e">
        <f>SUM(J2571:J2574)</f>
        <v>#REF!</v>
      </c>
      <c r="K2575" s="670"/>
      <c r="L2575" s="670" t="e">
        <f>SUM(L2571:L2574)</f>
        <v>#REF!</v>
      </c>
      <c r="M2575" s="670"/>
      <c r="N2575" s="670" t="e">
        <f>SUM(N2571:N2574)</f>
        <v>#REF!</v>
      </c>
      <c r="O2575" s="671"/>
      <c r="P2575" s="672"/>
      <c r="Q2575" s="688">
        <f t="shared" si="609"/>
        <v>300</v>
      </c>
      <c r="R2575" s="688">
        <f t="shared" si="609"/>
        <v>3</v>
      </c>
      <c r="S2575" s="688">
        <v>2</v>
      </c>
      <c r="T2575" s="690">
        <f t="shared" si="610"/>
        <v>0.66669999999999996</v>
      </c>
      <c r="U2575" s="690"/>
      <c r="V2575" s="690"/>
    </row>
    <row r="2576" spans="1:22" s="688" customFormat="1" ht="17.100000000000001" customHeight="1">
      <c r="A2576" s="668">
        <f>A2570+1</f>
        <v>378</v>
      </c>
      <c r="B2576" s="1320" t="s">
        <v>2148</v>
      </c>
      <c r="C2576" s="1320"/>
      <c r="D2576" s="1320" t="s">
        <v>2149</v>
      </c>
      <c r="E2576" s="1320"/>
      <c r="F2576" s="669" t="s">
        <v>1458</v>
      </c>
      <c r="G2576" s="698"/>
      <c r="H2576" s="698"/>
      <c r="I2576" s="698"/>
      <c r="J2576" s="698"/>
      <c r="K2576" s="670"/>
      <c r="L2576" s="670"/>
      <c r="M2576" s="670"/>
      <c r="N2576" s="698"/>
      <c r="O2576" s="699" t="s">
        <v>1562</v>
      </c>
      <c r="P2576" s="672"/>
      <c r="Q2576" s="688">
        <f t="shared" si="609"/>
        <v>300</v>
      </c>
      <c r="R2576" s="688">
        <f t="shared" si="609"/>
        <v>3</v>
      </c>
      <c r="S2576" s="688">
        <v>2</v>
      </c>
      <c r="T2576" s="690">
        <f t="shared" si="610"/>
        <v>0.66669999999999996</v>
      </c>
      <c r="U2576" s="690"/>
      <c r="V2576" s="690"/>
    </row>
    <row r="2577" spans="1:22" s="688" customFormat="1" ht="17.100000000000001" customHeight="1">
      <c r="A2577" s="1316" t="s">
        <v>2150</v>
      </c>
      <c r="B2577" s="1317"/>
      <c r="C2577" s="1316" t="s">
        <v>2151</v>
      </c>
      <c r="D2577" s="1317"/>
      <c r="E2577" s="677">
        <v>104</v>
      </c>
      <c r="F2577" s="676" t="s">
        <v>645</v>
      </c>
      <c r="G2577" s="670"/>
      <c r="H2577" s="670"/>
      <c r="I2577" s="670"/>
      <c r="J2577" s="670"/>
      <c r="K2577" s="670"/>
      <c r="L2577" s="670"/>
      <c r="M2577" s="670"/>
      <c r="N2577" s="670"/>
      <c r="O2577" s="671"/>
      <c r="P2577" s="672"/>
      <c r="Q2577" s="688">
        <f t="shared" si="609"/>
        <v>300</v>
      </c>
      <c r="R2577" s="688">
        <f t="shared" si="609"/>
        <v>3</v>
      </c>
      <c r="S2577" s="688">
        <v>8</v>
      </c>
      <c r="T2577" s="690">
        <f t="shared" si="610"/>
        <v>2.6667000000000001</v>
      </c>
      <c r="U2577" s="690"/>
      <c r="V2577" s="690"/>
    </row>
    <row r="2578" spans="1:22" s="688" customFormat="1" ht="17.100000000000001" customHeight="1">
      <c r="A2578" s="1369" t="s">
        <v>2133</v>
      </c>
      <c r="B2578" s="1365"/>
      <c r="C2578" s="1369" t="s">
        <v>1761</v>
      </c>
      <c r="D2578" s="1365"/>
      <c r="E2578" s="814">
        <v>104</v>
      </c>
      <c r="F2578" s="815" t="s">
        <v>645</v>
      </c>
      <c r="G2578" s="816"/>
      <c r="H2578" s="816"/>
      <c r="I2578" s="816"/>
      <c r="J2578" s="816"/>
      <c r="K2578" s="816">
        <f>[53]운반공!$BO$628</f>
        <v>518</v>
      </c>
      <c r="L2578" s="816">
        <f>INT(E2578*K2578)</f>
        <v>53872</v>
      </c>
      <c r="M2578" s="816">
        <f t="shared" ref="M2578:N2586" si="611">G2578+I2578+K2578</f>
        <v>518</v>
      </c>
      <c r="N2578" s="816">
        <f t="shared" si="611"/>
        <v>53872</v>
      </c>
      <c r="O2578" s="817"/>
      <c r="P2578" s="672"/>
      <c r="Q2578" s="688">
        <f t="shared" si="609"/>
        <v>300</v>
      </c>
      <c r="R2578" s="688">
        <f t="shared" si="609"/>
        <v>3</v>
      </c>
      <c r="S2578" s="688">
        <v>8</v>
      </c>
      <c r="T2578" s="690">
        <f t="shared" si="610"/>
        <v>2.6667000000000001</v>
      </c>
      <c r="U2578" s="690"/>
      <c r="V2578" s="690"/>
    </row>
    <row r="2579" spans="1:22" s="688" customFormat="1" ht="17.100000000000001" customHeight="1">
      <c r="A2579" s="1316" t="s">
        <v>2152</v>
      </c>
      <c r="B2579" s="1317"/>
      <c r="C2579" s="1316" t="s">
        <v>2153</v>
      </c>
      <c r="D2579" s="1317"/>
      <c r="E2579" s="675">
        <v>0.21</v>
      </c>
      <c r="F2579" s="676" t="s">
        <v>850</v>
      </c>
      <c r="G2579" s="670" t="e">
        <f>#REF!</f>
        <v>#REF!</v>
      </c>
      <c r="H2579" s="670" t="e">
        <f>INT(E2579*G2579)</f>
        <v>#REF!</v>
      </c>
      <c r="I2579" s="670"/>
      <c r="J2579" s="670"/>
      <c r="K2579" s="670"/>
      <c r="L2579" s="670"/>
      <c r="M2579" s="670" t="e">
        <f t="shared" si="611"/>
        <v>#REF!</v>
      </c>
      <c r="N2579" s="670" t="e">
        <f t="shared" si="611"/>
        <v>#REF!</v>
      </c>
      <c r="O2579" s="671"/>
      <c r="P2579" s="672"/>
      <c r="T2579" s="690"/>
      <c r="U2579" s="690"/>
      <c r="V2579" s="690"/>
    </row>
    <row r="2580" spans="1:22" s="688" customFormat="1" ht="17.100000000000001" customHeight="1">
      <c r="A2580" s="1316" t="s">
        <v>821</v>
      </c>
      <c r="B2580" s="1317"/>
      <c r="C2580" s="1316" t="s">
        <v>2154</v>
      </c>
      <c r="D2580" s="1317"/>
      <c r="E2580" s="679">
        <v>3.3</v>
      </c>
      <c r="F2580" s="676" t="s">
        <v>850</v>
      </c>
      <c r="G2580" s="670" t="e">
        <f>#REF!</f>
        <v>#REF!</v>
      </c>
      <c r="H2580" s="670" t="e">
        <f>INT(E2580*G2580)</f>
        <v>#REF!</v>
      </c>
      <c r="I2580" s="670"/>
      <c r="J2580" s="670"/>
      <c r="K2580" s="670"/>
      <c r="L2580" s="670"/>
      <c r="M2580" s="670" t="e">
        <f t="shared" si="611"/>
        <v>#REF!</v>
      </c>
      <c r="N2580" s="670" t="e">
        <f t="shared" si="611"/>
        <v>#REF!</v>
      </c>
      <c r="O2580" s="818"/>
      <c r="P2580" s="672"/>
    </row>
    <row r="2581" spans="1:22" s="688" customFormat="1" ht="17.100000000000001" customHeight="1">
      <c r="A2581" s="1316" t="s">
        <v>540</v>
      </c>
      <c r="B2581" s="1317"/>
      <c r="C2581" s="1316"/>
      <c r="D2581" s="1317"/>
      <c r="E2581" s="683">
        <f>T2550</f>
        <v>1</v>
      </c>
      <c r="F2581" s="676" t="s">
        <v>366</v>
      </c>
      <c r="G2581" s="670"/>
      <c r="H2581" s="670"/>
      <c r="I2581" s="670">
        <f>[53]노임단가!$T$22</f>
        <v>273308</v>
      </c>
      <c r="J2581" s="670">
        <f>INT(E2581*I2581)</f>
        <v>273308</v>
      </c>
      <c r="K2581" s="670"/>
      <c r="L2581" s="670"/>
      <c r="M2581" s="670">
        <f t="shared" si="611"/>
        <v>273308</v>
      </c>
      <c r="N2581" s="670">
        <f t="shared" si="611"/>
        <v>273308</v>
      </c>
      <c r="O2581" s="671"/>
      <c r="P2581" s="672" t="s">
        <v>2139</v>
      </c>
      <c r="Q2581" s="687" t="s">
        <v>1446</v>
      </c>
      <c r="R2581" s="688" t="s">
        <v>1447</v>
      </c>
      <c r="S2581" s="688" t="s">
        <v>1425</v>
      </c>
      <c r="T2581" s="688" t="s">
        <v>1426</v>
      </c>
    </row>
    <row r="2582" spans="1:22" s="688" customFormat="1" ht="16.5" customHeight="1">
      <c r="A2582" s="1316" t="s">
        <v>628</v>
      </c>
      <c r="B2582" s="1317"/>
      <c r="C2582" s="1316"/>
      <c r="D2582" s="1317"/>
      <c r="E2582" s="683">
        <f>T2551</f>
        <v>0.66669999999999996</v>
      </c>
      <c r="F2582" s="676" t="s">
        <v>366</v>
      </c>
      <c r="G2582" s="670"/>
      <c r="H2582" s="670"/>
      <c r="I2582" s="670">
        <f>[53]노임단가!$T$6</f>
        <v>226122</v>
      </c>
      <c r="J2582" s="670">
        <f>INT(E2582*I2582)</f>
        <v>150755</v>
      </c>
      <c r="K2582" s="670"/>
      <c r="L2582" s="670"/>
      <c r="M2582" s="670">
        <f t="shared" si="611"/>
        <v>226122</v>
      </c>
      <c r="N2582" s="670">
        <f t="shared" si="611"/>
        <v>150755</v>
      </c>
      <c r="O2582" s="671"/>
      <c r="P2582" s="672" t="s">
        <v>2155</v>
      </c>
      <c r="Q2582" s="688">
        <v>190</v>
      </c>
      <c r="R2582" s="688">
        <f>(Q2582)/100</f>
        <v>1.9</v>
      </c>
      <c r="T2582" s="690">
        <f>ROUND(S2582/R2582,4)</f>
        <v>0</v>
      </c>
      <c r="U2582" s="690"/>
      <c r="V2582" s="690"/>
    </row>
    <row r="2583" spans="1:22" s="688" customFormat="1" ht="17.100000000000001" customHeight="1">
      <c r="A2583" s="1316" t="s">
        <v>248</v>
      </c>
      <c r="B2583" s="1317"/>
      <c r="C2583" s="1316"/>
      <c r="D2583" s="1317"/>
      <c r="E2583" s="683">
        <f>T2552</f>
        <v>0.66669999999999996</v>
      </c>
      <c r="F2583" s="676" t="s">
        <v>366</v>
      </c>
      <c r="G2583" s="670"/>
      <c r="H2583" s="670"/>
      <c r="I2583" s="670">
        <f>[53]노임단가!$T$5</f>
        <v>172068</v>
      </c>
      <c r="J2583" s="670">
        <f>INT(E2583*I2583)</f>
        <v>114717</v>
      </c>
      <c r="K2583" s="670"/>
      <c r="L2583" s="670"/>
      <c r="M2583" s="670">
        <f t="shared" si="611"/>
        <v>172068</v>
      </c>
      <c r="N2583" s="670">
        <f t="shared" si="611"/>
        <v>114717</v>
      </c>
      <c r="O2583" s="671"/>
      <c r="P2583" s="813"/>
      <c r="Q2583" s="688">
        <f>Q2582</f>
        <v>190</v>
      </c>
      <c r="R2583" s="688">
        <f>R2582</f>
        <v>1.9</v>
      </c>
      <c r="T2583" s="690">
        <f>ROUND(S2583/R2583,4)</f>
        <v>0</v>
      </c>
      <c r="U2583" s="690"/>
      <c r="V2583" s="690"/>
    </row>
    <row r="2584" spans="1:22" s="688" customFormat="1" ht="17.100000000000001" customHeight="1">
      <c r="A2584" s="1316" t="s">
        <v>409</v>
      </c>
      <c r="B2584" s="1317"/>
      <c r="C2584" s="1316" t="s">
        <v>1572</v>
      </c>
      <c r="D2584" s="1317"/>
      <c r="E2584" s="683">
        <f>T2553</f>
        <v>2.6667000000000001</v>
      </c>
      <c r="F2584" s="676" t="s">
        <v>418</v>
      </c>
      <c r="G2584" s="670" t="e">
        <f>#REF!</f>
        <v>#REF!</v>
      </c>
      <c r="H2584" s="670" t="e">
        <f>INT(E2584*G2584)</f>
        <v>#REF!</v>
      </c>
      <c r="I2584" s="670" t="e">
        <f>#REF!</f>
        <v>#REF!</v>
      </c>
      <c r="J2584" s="670" t="e">
        <f>INT(E2584*I2584)</f>
        <v>#REF!</v>
      </c>
      <c r="K2584" s="670" t="e">
        <f>#REF!</f>
        <v>#REF!</v>
      </c>
      <c r="L2584" s="670" t="e">
        <f>INT(E2584*K2584)</f>
        <v>#REF!</v>
      </c>
      <c r="M2584" s="670" t="e">
        <f t="shared" si="611"/>
        <v>#REF!</v>
      </c>
      <c r="N2584" s="670" t="e">
        <f t="shared" si="611"/>
        <v>#REF!</v>
      </c>
      <c r="O2584" s="671"/>
      <c r="P2584" s="672"/>
      <c r="Q2584" s="688">
        <f t="shared" ref="Q2584:R2590" si="612">Q2583</f>
        <v>190</v>
      </c>
      <c r="R2584" s="688">
        <f t="shared" si="612"/>
        <v>1.9</v>
      </c>
      <c r="T2584" s="690">
        <f t="shared" ref="T2584:T2590" si="613">ROUND(S2584/R2584,4)</f>
        <v>0</v>
      </c>
      <c r="U2584" s="690"/>
      <c r="V2584" s="690"/>
    </row>
    <row r="2585" spans="1:22" s="688" customFormat="1" ht="17.100000000000001" customHeight="1">
      <c r="A2585" s="1316" t="s">
        <v>465</v>
      </c>
      <c r="B2585" s="1317"/>
      <c r="C2585" s="1316" t="s">
        <v>466</v>
      </c>
      <c r="D2585" s="1317"/>
      <c r="E2585" s="683">
        <f>T2554</f>
        <v>2.6667000000000001</v>
      </c>
      <c r="F2585" s="676" t="s">
        <v>418</v>
      </c>
      <c r="G2585" s="670" t="e">
        <f>#REF!</f>
        <v>#REF!</v>
      </c>
      <c r="H2585" s="750" t="e">
        <f>INT(E2585*G2585)</f>
        <v>#REF!</v>
      </c>
      <c r="I2585" s="670" t="e">
        <f>#REF!</f>
        <v>#REF!</v>
      </c>
      <c r="J2585" s="750" t="e">
        <f>INT(E2585*I2585)</f>
        <v>#REF!</v>
      </c>
      <c r="K2585" s="670" t="e">
        <f>#REF!</f>
        <v>#REF!</v>
      </c>
      <c r="L2585" s="750" t="e">
        <f>INT(E2585*K2585)</f>
        <v>#REF!</v>
      </c>
      <c r="M2585" s="670" t="e">
        <f t="shared" si="611"/>
        <v>#REF!</v>
      </c>
      <c r="N2585" s="670" t="e">
        <f t="shared" si="611"/>
        <v>#REF!</v>
      </c>
      <c r="O2585" s="671"/>
      <c r="P2585" s="812"/>
      <c r="Q2585" s="688">
        <f t="shared" si="612"/>
        <v>190</v>
      </c>
      <c r="R2585" s="688">
        <f t="shared" si="612"/>
        <v>1.9</v>
      </c>
      <c r="T2585" s="690">
        <f t="shared" si="613"/>
        <v>0</v>
      </c>
      <c r="U2585" s="690"/>
      <c r="V2585" s="690"/>
    </row>
    <row r="2586" spans="1:22" s="688" customFormat="1" ht="17.100000000000001" customHeight="1">
      <c r="A2586" s="1316" t="s">
        <v>2108</v>
      </c>
      <c r="B2586" s="1317"/>
      <c r="C2586" s="1316" t="s">
        <v>1469</v>
      </c>
      <c r="D2586" s="1317"/>
      <c r="E2586" s="675">
        <v>0.05</v>
      </c>
      <c r="F2586" s="676" t="s">
        <v>672</v>
      </c>
      <c r="G2586" s="670"/>
      <c r="H2586" s="670">
        <f>INT(E2586*G2586)</f>
        <v>0</v>
      </c>
      <c r="I2586" s="670"/>
      <c r="J2586" s="670"/>
      <c r="K2586" s="670">
        <f>J2581+J2582+J2583</f>
        <v>538780</v>
      </c>
      <c r="L2586" s="670">
        <f>INT(E2586*K2586)</f>
        <v>26939</v>
      </c>
      <c r="M2586" s="670">
        <f t="shared" si="611"/>
        <v>538780</v>
      </c>
      <c r="N2586" s="670">
        <f t="shared" si="611"/>
        <v>26939</v>
      </c>
      <c r="O2586" s="671"/>
      <c r="P2586" s="672"/>
      <c r="Q2586" s="688">
        <f t="shared" si="612"/>
        <v>190</v>
      </c>
      <c r="R2586" s="688">
        <f t="shared" si="612"/>
        <v>1.9</v>
      </c>
      <c r="S2586" s="688">
        <v>2</v>
      </c>
      <c r="T2586" s="690">
        <f t="shared" si="613"/>
        <v>1.0526</v>
      </c>
      <c r="U2586" s="690"/>
      <c r="V2586" s="690"/>
    </row>
    <row r="2587" spans="1:22" s="688" customFormat="1" ht="17.100000000000001" customHeight="1">
      <c r="A2587" s="1318" t="s">
        <v>1320</v>
      </c>
      <c r="B2587" s="1319"/>
      <c r="C2587" s="1316"/>
      <c r="D2587" s="1317"/>
      <c r="E2587" s="686"/>
      <c r="F2587" s="676"/>
      <c r="G2587" s="670"/>
      <c r="H2587" s="670" t="e">
        <f>SUM(H2577:H2586)</f>
        <v>#REF!</v>
      </c>
      <c r="I2587" s="670"/>
      <c r="J2587" s="670" t="e">
        <f>SUM(J2577:J2586)</f>
        <v>#REF!</v>
      </c>
      <c r="K2587" s="670"/>
      <c r="L2587" s="670" t="e">
        <f>SUM(L2577:L2586)</f>
        <v>#REF!</v>
      </c>
      <c r="M2587" s="670"/>
      <c r="N2587" s="670" t="e">
        <f>SUM(N2577:N2586)</f>
        <v>#REF!</v>
      </c>
      <c r="O2587" s="671"/>
      <c r="P2587" s="672"/>
      <c r="Q2587" s="688">
        <f t="shared" si="612"/>
        <v>190</v>
      </c>
      <c r="R2587" s="688">
        <f t="shared" si="612"/>
        <v>1.9</v>
      </c>
      <c r="S2587" s="688">
        <v>2</v>
      </c>
      <c r="T2587" s="690">
        <f t="shared" si="613"/>
        <v>1.0526</v>
      </c>
      <c r="U2587" s="690"/>
      <c r="V2587" s="690"/>
    </row>
    <row r="2588" spans="1:22" s="688" customFormat="1" ht="17.100000000000001" customHeight="1">
      <c r="A2588" s="668">
        <f>A2576+1</f>
        <v>379</v>
      </c>
      <c r="B2588" s="1320" t="s">
        <v>2148</v>
      </c>
      <c r="C2588" s="1320"/>
      <c r="D2588" s="1320" t="s">
        <v>2156</v>
      </c>
      <c r="E2588" s="1320"/>
      <c r="F2588" s="669" t="s">
        <v>1458</v>
      </c>
      <c r="G2588" s="698"/>
      <c r="H2588" s="698"/>
      <c r="I2588" s="698"/>
      <c r="J2588" s="698"/>
      <c r="K2588" s="670"/>
      <c r="L2588" s="670"/>
      <c r="M2588" s="670"/>
      <c r="N2588" s="698"/>
      <c r="O2588" s="699" t="s">
        <v>1562</v>
      </c>
      <c r="P2588" s="672"/>
      <c r="Q2588" s="688">
        <f t="shared" si="612"/>
        <v>190</v>
      </c>
      <c r="R2588" s="688">
        <f t="shared" si="612"/>
        <v>1.9</v>
      </c>
      <c r="S2588" s="688">
        <v>1</v>
      </c>
      <c r="T2588" s="690">
        <f t="shared" si="613"/>
        <v>0.52629999999999999</v>
      </c>
      <c r="U2588" s="690"/>
      <c r="V2588" s="690"/>
    </row>
    <row r="2589" spans="1:22" s="688" customFormat="1" ht="17.100000000000001" customHeight="1">
      <c r="A2589" s="1316" t="s">
        <v>2150</v>
      </c>
      <c r="B2589" s="1317"/>
      <c r="C2589" s="1316" t="s">
        <v>2151</v>
      </c>
      <c r="D2589" s="1317"/>
      <c r="E2589" s="677">
        <v>104</v>
      </c>
      <c r="F2589" s="676" t="s">
        <v>645</v>
      </c>
      <c r="G2589" s="670"/>
      <c r="H2589" s="670"/>
      <c r="I2589" s="670"/>
      <c r="J2589" s="670"/>
      <c r="K2589" s="670"/>
      <c r="L2589" s="670"/>
      <c r="M2589" s="670"/>
      <c r="N2589" s="670"/>
      <c r="O2589" s="671"/>
      <c r="P2589" s="672"/>
      <c r="Q2589" s="688">
        <f t="shared" si="612"/>
        <v>190</v>
      </c>
      <c r="R2589" s="688">
        <f t="shared" si="612"/>
        <v>1.9</v>
      </c>
      <c r="S2589" s="688">
        <v>8</v>
      </c>
      <c r="T2589" s="690">
        <f t="shared" si="613"/>
        <v>4.2104999999999997</v>
      </c>
      <c r="U2589" s="690"/>
      <c r="V2589" s="690"/>
    </row>
    <row r="2590" spans="1:22" s="688" customFormat="1" ht="17.100000000000001" customHeight="1">
      <c r="A2590" s="1369" t="s">
        <v>2133</v>
      </c>
      <c r="B2590" s="1365"/>
      <c r="C2590" s="1369" t="s">
        <v>1761</v>
      </c>
      <c r="D2590" s="1365"/>
      <c r="E2590" s="814">
        <v>104</v>
      </c>
      <c r="F2590" s="815" t="s">
        <v>645</v>
      </c>
      <c r="G2590" s="816"/>
      <c r="H2590" s="816"/>
      <c r="I2590" s="816"/>
      <c r="J2590" s="816"/>
      <c r="K2590" s="816">
        <f>[53]운반공!$BO$628</f>
        <v>518</v>
      </c>
      <c r="L2590" s="816">
        <f>INT(E2590*K2590)</f>
        <v>53872</v>
      </c>
      <c r="M2590" s="816">
        <f t="shared" ref="M2590:N2598" si="614">G2590+I2590+K2590</f>
        <v>518</v>
      </c>
      <c r="N2590" s="816">
        <f t="shared" si="614"/>
        <v>53872</v>
      </c>
      <c r="O2590" s="817"/>
      <c r="P2590" s="672"/>
      <c r="Q2590" s="688">
        <f t="shared" si="612"/>
        <v>190</v>
      </c>
      <c r="R2590" s="688">
        <f t="shared" si="612"/>
        <v>1.9</v>
      </c>
      <c r="S2590" s="688">
        <v>8</v>
      </c>
      <c r="T2590" s="690">
        <f t="shared" si="613"/>
        <v>4.2104999999999997</v>
      </c>
      <c r="U2590" s="690"/>
      <c r="V2590" s="690"/>
    </row>
    <row r="2591" spans="1:22" s="688" customFormat="1" ht="17.100000000000001" customHeight="1">
      <c r="A2591" s="1316" t="s">
        <v>2152</v>
      </c>
      <c r="B2591" s="1317"/>
      <c r="C2591" s="1316" t="s">
        <v>2153</v>
      </c>
      <c r="D2591" s="1317"/>
      <c r="E2591" s="675">
        <v>0.21</v>
      </c>
      <c r="F2591" s="676" t="s">
        <v>850</v>
      </c>
      <c r="G2591" s="670" t="e">
        <f>#REF!</f>
        <v>#REF!</v>
      </c>
      <c r="H2591" s="670" t="e">
        <f>INT(E2591*G2591)</f>
        <v>#REF!</v>
      </c>
      <c r="I2591" s="670"/>
      <c r="J2591" s="670"/>
      <c r="K2591" s="670"/>
      <c r="L2591" s="670"/>
      <c r="M2591" s="670" t="e">
        <f t="shared" si="614"/>
        <v>#REF!</v>
      </c>
      <c r="N2591" s="670" t="e">
        <f t="shared" si="614"/>
        <v>#REF!</v>
      </c>
      <c r="O2591" s="671"/>
      <c r="P2591" s="672"/>
      <c r="T2591" s="690"/>
      <c r="U2591" s="690"/>
      <c r="V2591" s="690"/>
    </row>
    <row r="2592" spans="1:22" s="688" customFormat="1" ht="17.100000000000001" customHeight="1">
      <c r="A2592" s="1316" t="s">
        <v>821</v>
      </c>
      <c r="B2592" s="1317"/>
      <c r="C2592" s="1316" t="s">
        <v>2154</v>
      </c>
      <c r="D2592" s="1317"/>
      <c r="E2592" s="679">
        <v>3.3</v>
      </c>
      <c r="F2592" s="676" t="s">
        <v>850</v>
      </c>
      <c r="G2592" s="670" t="e">
        <f>#REF!</f>
        <v>#REF!</v>
      </c>
      <c r="H2592" s="670" t="e">
        <f>INT(E2592*G2592)</f>
        <v>#REF!</v>
      </c>
      <c r="I2592" s="670"/>
      <c r="J2592" s="670"/>
      <c r="K2592" s="670"/>
      <c r="L2592" s="670"/>
      <c r="M2592" s="670" t="e">
        <f t="shared" si="614"/>
        <v>#REF!</v>
      </c>
      <c r="N2592" s="670" t="e">
        <f t="shared" si="614"/>
        <v>#REF!</v>
      </c>
      <c r="O2592" s="818"/>
      <c r="P2592" s="672"/>
    </row>
    <row r="2593" spans="1:22" s="688" customFormat="1" ht="17.100000000000001" customHeight="1">
      <c r="A2593" s="1316" t="s">
        <v>540</v>
      </c>
      <c r="B2593" s="1317"/>
      <c r="C2593" s="1316"/>
      <c r="D2593" s="1317"/>
      <c r="E2593" s="683">
        <f>T2562</f>
        <v>1.0526</v>
      </c>
      <c r="F2593" s="676" t="s">
        <v>366</v>
      </c>
      <c r="G2593" s="670"/>
      <c r="H2593" s="670"/>
      <c r="I2593" s="670">
        <f>[53]노임단가!$T$22</f>
        <v>273308</v>
      </c>
      <c r="J2593" s="670">
        <f>INT(E2593*I2593)</f>
        <v>287684</v>
      </c>
      <c r="K2593" s="670"/>
      <c r="L2593" s="670"/>
      <c r="M2593" s="670">
        <f t="shared" si="614"/>
        <v>273308</v>
      </c>
      <c r="N2593" s="670">
        <f t="shared" si="614"/>
        <v>287684</v>
      </c>
      <c r="O2593" s="671"/>
      <c r="P2593" s="672" t="s">
        <v>1422</v>
      </c>
      <c r="Q2593" s="687" t="s">
        <v>1446</v>
      </c>
      <c r="R2593" s="688" t="s">
        <v>1447</v>
      </c>
      <c r="S2593" s="688" t="s">
        <v>1425</v>
      </c>
      <c r="T2593" s="688" t="s">
        <v>1426</v>
      </c>
    </row>
    <row r="2594" spans="1:22" s="688" customFormat="1" ht="16.5" customHeight="1">
      <c r="A2594" s="1316" t="s">
        <v>628</v>
      </c>
      <c r="B2594" s="1317"/>
      <c r="C2594" s="1316"/>
      <c r="D2594" s="1317"/>
      <c r="E2594" s="683">
        <f>T2563</f>
        <v>1.0526</v>
      </c>
      <c r="F2594" s="676" t="s">
        <v>366</v>
      </c>
      <c r="G2594" s="670"/>
      <c r="H2594" s="670"/>
      <c r="I2594" s="670">
        <f>[53]노임단가!$T$6</f>
        <v>226122</v>
      </c>
      <c r="J2594" s="670">
        <f>INT(E2594*I2594)</f>
        <v>238016</v>
      </c>
      <c r="K2594" s="670"/>
      <c r="L2594" s="670"/>
      <c r="M2594" s="670">
        <f t="shared" si="614"/>
        <v>226122</v>
      </c>
      <c r="N2594" s="670">
        <f t="shared" si="614"/>
        <v>238016</v>
      </c>
      <c r="O2594" s="671"/>
      <c r="P2594" s="672" t="s">
        <v>2130</v>
      </c>
      <c r="Q2594" s="688">
        <v>300</v>
      </c>
      <c r="R2594" s="688">
        <f>(Q2594)/100</f>
        <v>3</v>
      </c>
      <c r="T2594" s="690">
        <f>ROUND(S2594/R2594,4)</f>
        <v>0</v>
      </c>
      <c r="U2594" s="690"/>
      <c r="V2594" s="690"/>
    </row>
    <row r="2595" spans="1:22" s="688" customFormat="1" ht="17.100000000000001" customHeight="1">
      <c r="A2595" s="1316" t="s">
        <v>248</v>
      </c>
      <c r="B2595" s="1317"/>
      <c r="C2595" s="1316"/>
      <c r="D2595" s="1317"/>
      <c r="E2595" s="683">
        <f>T2564</f>
        <v>0.52629999999999999</v>
      </c>
      <c r="F2595" s="676" t="s">
        <v>366</v>
      </c>
      <c r="G2595" s="670"/>
      <c r="H2595" s="670"/>
      <c r="I2595" s="670">
        <f>[53]노임단가!$T$5</f>
        <v>172068</v>
      </c>
      <c r="J2595" s="670">
        <f>INT(E2595*I2595)</f>
        <v>90559</v>
      </c>
      <c r="K2595" s="670"/>
      <c r="L2595" s="670"/>
      <c r="M2595" s="670">
        <f t="shared" si="614"/>
        <v>172068</v>
      </c>
      <c r="N2595" s="670">
        <f t="shared" si="614"/>
        <v>90559</v>
      </c>
      <c r="O2595" s="671"/>
      <c r="P2595" s="813"/>
      <c r="Q2595" s="688">
        <f>Q2594</f>
        <v>300</v>
      </c>
      <c r="R2595" s="688">
        <f>R2594</f>
        <v>3</v>
      </c>
      <c r="T2595" s="690">
        <f>ROUND(S2595/R2595,4)</f>
        <v>0</v>
      </c>
      <c r="U2595" s="690"/>
      <c r="V2595" s="690"/>
    </row>
    <row r="2596" spans="1:22" s="688" customFormat="1" ht="17.100000000000001" customHeight="1">
      <c r="A2596" s="1316" t="s">
        <v>409</v>
      </c>
      <c r="B2596" s="1317"/>
      <c r="C2596" s="1316" t="s">
        <v>1380</v>
      </c>
      <c r="D2596" s="1317"/>
      <c r="E2596" s="683">
        <f>T2565</f>
        <v>4.2104999999999997</v>
      </c>
      <c r="F2596" s="676" t="s">
        <v>418</v>
      </c>
      <c r="G2596" s="670" t="e">
        <f>#REF!</f>
        <v>#REF!</v>
      </c>
      <c r="H2596" s="670" t="e">
        <f>INT(E2596*G2596)</f>
        <v>#REF!</v>
      </c>
      <c r="I2596" s="670" t="e">
        <f>#REF!</f>
        <v>#REF!</v>
      </c>
      <c r="J2596" s="670" t="e">
        <f>INT(E2596*I2596)</f>
        <v>#REF!</v>
      </c>
      <c r="K2596" s="670" t="e">
        <f>#REF!</f>
        <v>#REF!</v>
      </c>
      <c r="L2596" s="670" t="e">
        <f>INT(E2596*K2596)</f>
        <v>#REF!</v>
      </c>
      <c r="M2596" s="670" t="e">
        <f t="shared" si="614"/>
        <v>#REF!</v>
      </c>
      <c r="N2596" s="670" t="e">
        <f t="shared" si="614"/>
        <v>#REF!</v>
      </c>
      <c r="O2596" s="671"/>
      <c r="P2596" s="672"/>
      <c r="Q2596" s="688">
        <f>Q2595</f>
        <v>300</v>
      </c>
      <c r="R2596" s="688">
        <f>R2595</f>
        <v>3</v>
      </c>
      <c r="T2596" s="690">
        <f t="shared" ref="T2596:T2603" si="615">ROUND(S2596/R2596,4)</f>
        <v>0</v>
      </c>
      <c r="U2596" s="690"/>
      <c r="V2596" s="690"/>
    </row>
    <row r="2597" spans="1:22" s="688" customFormat="1" ht="17.100000000000001" customHeight="1">
      <c r="A2597" s="1316" t="s">
        <v>465</v>
      </c>
      <c r="B2597" s="1317"/>
      <c r="C2597" s="1316" t="s">
        <v>466</v>
      </c>
      <c r="D2597" s="1317"/>
      <c r="E2597" s="683">
        <f>T2566</f>
        <v>4.2104999999999997</v>
      </c>
      <c r="F2597" s="676" t="s">
        <v>418</v>
      </c>
      <c r="G2597" s="670" t="e">
        <f>#REF!</f>
        <v>#REF!</v>
      </c>
      <c r="H2597" s="750" t="e">
        <f>INT(E2597*G2597)</f>
        <v>#REF!</v>
      </c>
      <c r="I2597" s="670" t="e">
        <f>#REF!</f>
        <v>#REF!</v>
      </c>
      <c r="J2597" s="750" t="e">
        <f>INT(E2597*I2597)</f>
        <v>#REF!</v>
      </c>
      <c r="K2597" s="670" t="e">
        <f>#REF!</f>
        <v>#REF!</v>
      </c>
      <c r="L2597" s="750" t="e">
        <f>INT(E2597*K2597)</f>
        <v>#REF!</v>
      </c>
      <c r="M2597" s="670" t="e">
        <f t="shared" si="614"/>
        <v>#REF!</v>
      </c>
      <c r="N2597" s="670" t="e">
        <f t="shared" si="614"/>
        <v>#REF!</v>
      </c>
      <c r="O2597" s="671"/>
      <c r="P2597" s="672"/>
      <c r="Q2597" s="688">
        <f>Q2595</f>
        <v>300</v>
      </c>
      <c r="R2597" s="688">
        <f>R2595</f>
        <v>3</v>
      </c>
      <c r="T2597" s="690">
        <f t="shared" si="615"/>
        <v>0</v>
      </c>
      <c r="U2597" s="690"/>
      <c r="V2597" s="690"/>
    </row>
    <row r="2598" spans="1:22" s="688" customFormat="1" ht="17.100000000000001" customHeight="1">
      <c r="A2598" s="1316" t="s">
        <v>2108</v>
      </c>
      <c r="B2598" s="1317"/>
      <c r="C2598" s="1316" t="s">
        <v>1469</v>
      </c>
      <c r="D2598" s="1317"/>
      <c r="E2598" s="675">
        <v>0.05</v>
      </c>
      <c r="F2598" s="676" t="s">
        <v>672</v>
      </c>
      <c r="G2598" s="670"/>
      <c r="H2598" s="670">
        <f>INT(E2598*G2598)</f>
        <v>0</v>
      </c>
      <c r="I2598" s="670"/>
      <c r="J2598" s="670"/>
      <c r="K2598" s="670">
        <f>J2593+J2594+J2595</f>
        <v>616259</v>
      </c>
      <c r="L2598" s="670">
        <f>INT(E2598*K2598)</f>
        <v>30812</v>
      </c>
      <c r="M2598" s="670">
        <f t="shared" si="614"/>
        <v>616259</v>
      </c>
      <c r="N2598" s="670">
        <f t="shared" si="614"/>
        <v>30812</v>
      </c>
      <c r="O2598" s="671"/>
      <c r="P2598" s="812"/>
      <c r="Q2598" s="688">
        <f>Q2596</f>
        <v>300</v>
      </c>
      <c r="R2598" s="688">
        <f>R2596</f>
        <v>3</v>
      </c>
      <c r="T2598" s="690">
        <f t="shared" si="615"/>
        <v>0</v>
      </c>
      <c r="U2598" s="690"/>
      <c r="V2598" s="690"/>
    </row>
    <row r="2599" spans="1:22" s="688" customFormat="1" ht="17.100000000000001" customHeight="1">
      <c r="A2599" s="1318" t="s">
        <v>1320</v>
      </c>
      <c r="B2599" s="1319"/>
      <c r="C2599" s="1316"/>
      <c r="D2599" s="1317"/>
      <c r="E2599" s="686"/>
      <c r="F2599" s="676"/>
      <c r="G2599" s="670"/>
      <c r="H2599" s="670" t="e">
        <f>SUM(H2589:H2598)</f>
        <v>#REF!</v>
      </c>
      <c r="I2599" s="670"/>
      <c r="J2599" s="670" t="e">
        <f>SUM(J2589:J2598)</f>
        <v>#REF!</v>
      </c>
      <c r="K2599" s="670"/>
      <c r="L2599" s="670" t="e">
        <f>SUM(L2589:L2598)</f>
        <v>#REF!</v>
      </c>
      <c r="M2599" s="670"/>
      <c r="N2599" s="670" t="e">
        <f>SUM(N2589:N2598)</f>
        <v>#REF!</v>
      </c>
      <c r="O2599" s="671"/>
      <c r="P2599" s="672"/>
      <c r="Q2599" s="688">
        <f t="shared" ref="Q2599:R2603" si="616">Q2598</f>
        <v>300</v>
      </c>
      <c r="R2599" s="688">
        <f t="shared" si="616"/>
        <v>3</v>
      </c>
      <c r="S2599" s="688">
        <v>3</v>
      </c>
      <c r="T2599" s="690">
        <f t="shared" si="615"/>
        <v>1</v>
      </c>
      <c r="U2599" s="690"/>
      <c r="V2599" s="690"/>
    </row>
    <row r="2600" spans="1:22" s="688" customFormat="1" ht="17.100000000000001" customHeight="1">
      <c r="A2600" s="668">
        <f>A2588+1</f>
        <v>380</v>
      </c>
      <c r="B2600" s="1320" t="s">
        <v>2148</v>
      </c>
      <c r="C2600" s="1320"/>
      <c r="D2600" s="1320" t="s">
        <v>2157</v>
      </c>
      <c r="E2600" s="1320"/>
      <c r="F2600" s="669" t="s">
        <v>1458</v>
      </c>
      <c r="G2600" s="698"/>
      <c r="H2600" s="698"/>
      <c r="I2600" s="698"/>
      <c r="J2600" s="698"/>
      <c r="K2600" s="670"/>
      <c r="L2600" s="670"/>
      <c r="M2600" s="670"/>
      <c r="N2600" s="698"/>
      <c r="O2600" s="699" t="s">
        <v>1562</v>
      </c>
      <c r="P2600" s="672"/>
      <c r="Q2600" s="688">
        <f t="shared" si="616"/>
        <v>300</v>
      </c>
      <c r="R2600" s="688">
        <f t="shared" si="616"/>
        <v>3</v>
      </c>
      <c r="S2600" s="688">
        <v>2</v>
      </c>
      <c r="T2600" s="690">
        <f t="shared" si="615"/>
        <v>0.66669999999999996</v>
      </c>
      <c r="U2600" s="690"/>
      <c r="V2600" s="690"/>
    </row>
    <row r="2601" spans="1:22" s="688" customFormat="1" ht="17.100000000000001" customHeight="1">
      <c r="A2601" s="1316" t="s">
        <v>2158</v>
      </c>
      <c r="B2601" s="1317"/>
      <c r="C2601" s="1316" t="s">
        <v>2159</v>
      </c>
      <c r="D2601" s="1317"/>
      <c r="E2601" s="677">
        <v>2600</v>
      </c>
      <c r="F2601" s="676" t="s">
        <v>30</v>
      </c>
      <c r="G2601" s="670"/>
      <c r="H2601" s="670"/>
      <c r="I2601" s="670"/>
      <c r="J2601" s="670"/>
      <c r="K2601" s="670"/>
      <c r="L2601" s="670"/>
      <c r="M2601" s="670"/>
      <c r="N2601" s="670"/>
      <c r="O2601" s="671"/>
      <c r="P2601" s="672"/>
      <c r="Q2601" s="688">
        <f t="shared" si="616"/>
        <v>300</v>
      </c>
      <c r="R2601" s="688">
        <f t="shared" si="616"/>
        <v>3</v>
      </c>
      <c r="S2601" s="688">
        <v>2</v>
      </c>
      <c r="T2601" s="690">
        <f t="shared" si="615"/>
        <v>0.66669999999999996</v>
      </c>
      <c r="U2601" s="690"/>
      <c r="V2601" s="690"/>
    </row>
    <row r="2602" spans="1:22" s="688" customFormat="1" ht="17.100000000000001" customHeight="1">
      <c r="A2602" s="1369" t="s">
        <v>2160</v>
      </c>
      <c r="B2602" s="1365"/>
      <c r="C2602" s="1369" t="s">
        <v>1761</v>
      </c>
      <c r="D2602" s="1365"/>
      <c r="E2602" s="677">
        <v>2600</v>
      </c>
      <c r="F2602" s="676" t="s">
        <v>30</v>
      </c>
      <c r="G2602" s="816"/>
      <c r="H2602" s="816"/>
      <c r="I2602" s="816"/>
      <c r="J2602" s="816"/>
      <c r="K2602" s="816">
        <f>[53]운반공!$BO$635</f>
        <v>22</v>
      </c>
      <c r="L2602" s="816">
        <f>INT(E2602*K2602)</f>
        <v>57200</v>
      </c>
      <c r="M2602" s="816">
        <f t="shared" ref="M2602:N2610" si="617">G2602+I2602+K2602</f>
        <v>22</v>
      </c>
      <c r="N2602" s="816">
        <f t="shared" si="617"/>
        <v>57200</v>
      </c>
      <c r="O2602" s="817"/>
      <c r="P2602" s="672"/>
      <c r="Q2602" s="688">
        <f t="shared" si="616"/>
        <v>300</v>
      </c>
      <c r="R2602" s="688">
        <f t="shared" si="616"/>
        <v>3</v>
      </c>
      <c r="S2602" s="688">
        <v>8</v>
      </c>
      <c r="T2602" s="690">
        <f t="shared" si="615"/>
        <v>2.6667000000000001</v>
      </c>
      <c r="U2602" s="690"/>
      <c r="V2602" s="690"/>
    </row>
    <row r="2603" spans="1:22" s="688" customFormat="1" ht="17.100000000000001" customHeight="1">
      <c r="A2603" s="1316" t="s">
        <v>2161</v>
      </c>
      <c r="B2603" s="1317"/>
      <c r="C2603" s="1316" t="s">
        <v>2153</v>
      </c>
      <c r="D2603" s="1317"/>
      <c r="E2603" s="675">
        <v>0.16</v>
      </c>
      <c r="F2603" s="676" t="s">
        <v>850</v>
      </c>
      <c r="G2603" s="670" t="e">
        <f>#REF!</f>
        <v>#REF!</v>
      </c>
      <c r="H2603" s="670" t="e">
        <f>INT(E2603*G2603)</f>
        <v>#REF!</v>
      </c>
      <c r="I2603" s="670"/>
      <c r="J2603" s="670"/>
      <c r="K2603" s="670"/>
      <c r="L2603" s="670"/>
      <c r="M2603" s="670" t="e">
        <f t="shared" si="617"/>
        <v>#REF!</v>
      </c>
      <c r="N2603" s="670" t="e">
        <f t="shared" si="617"/>
        <v>#REF!</v>
      </c>
      <c r="O2603" s="671"/>
      <c r="P2603" s="672"/>
      <c r="Q2603" s="688">
        <f t="shared" si="616"/>
        <v>300</v>
      </c>
      <c r="R2603" s="688">
        <f t="shared" si="616"/>
        <v>3</v>
      </c>
      <c r="S2603" s="688">
        <v>8</v>
      </c>
      <c r="T2603" s="690">
        <f t="shared" si="615"/>
        <v>2.6667000000000001</v>
      </c>
      <c r="U2603" s="690"/>
      <c r="V2603" s="690"/>
    </row>
    <row r="2604" spans="1:22" s="688" customFormat="1" ht="17.100000000000001" customHeight="1">
      <c r="A2604" s="1316" t="s">
        <v>821</v>
      </c>
      <c r="B2604" s="1317"/>
      <c r="C2604" s="1316" t="s">
        <v>2154</v>
      </c>
      <c r="D2604" s="1317"/>
      <c r="E2604" s="679">
        <v>3.3</v>
      </c>
      <c r="F2604" s="676" t="s">
        <v>850</v>
      </c>
      <c r="G2604" s="670" t="e">
        <f>#REF!</f>
        <v>#REF!</v>
      </c>
      <c r="H2604" s="670" t="e">
        <f>INT(E2604*G2604)</f>
        <v>#REF!</v>
      </c>
      <c r="I2604" s="670"/>
      <c r="J2604" s="670"/>
      <c r="K2604" s="670"/>
      <c r="L2604" s="670"/>
      <c r="M2604" s="670" t="e">
        <f t="shared" si="617"/>
        <v>#REF!</v>
      </c>
      <c r="N2604" s="670" t="e">
        <f t="shared" si="617"/>
        <v>#REF!</v>
      </c>
      <c r="O2604" s="818"/>
      <c r="P2604" s="672"/>
      <c r="T2604" s="690"/>
      <c r="U2604" s="690"/>
      <c r="V2604" s="690"/>
    </row>
    <row r="2605" spans="1:22" s="688" customFormat="1" ht="17.100000000000001" customHeight="1">
      <c r="A2605" s="1316" t="s">
        <v>540</v>
      </c>
      <c r="B2605" s="1317"/>
      <c r="C2605" s="1316"/>
      <c r="D2605" s="1317"/>
      <c r="E2605" s="683">
        <f>T2574</f>
        <v>1</v>
      </c>
      <c r="F2605" s="676" t="s">
        <v>366</v>
      </c>
      <c r="G2605" s="670"/>
      <c r="H2605" s="670"/>
      <c r="I2605" s="670">
        <f>[53]노임단가!$T$22</f>
        <v>273308</v>
      </c>
      <c r="J2605" s="670">
        <f>INT(E2605*I2605)</f>
        <v>273308</v>
      </c>
      <c r="K2605" s="670"/>
      <c r="L2605" s="670"/>
      <c r="M2605" s="670">
        <f t="shared" si="617"/>
        <v>273308</v>
      </c>
      <c r="N2605" s="670">
        <f t="shared" si="617"/>
        <v>273308</v>
      </c>
      <c r="O2605" s="671"/>
      <c r="P2605" s="672"/>
    </row>
    <row r="2606" spans="1:22" s="688" customFormat="1" ht="17.100000000000001" customHeight="1">
      <c r="A2606" s="1316" t="s">
        <v>628</v>
      </c>
      <c r="B2606" s="1317"/>
      <c r="C2606" s="1316"/>
      <c r="D2606" s="1317"/>
      <c r="E2606" s="683">
        <f>T2575</f>
        <v>0.66669999999999996</v>
      </c>
      <c r="F2606" s="676" t="s">
        <v>366</v>
      </c>
      <c r="G2606" s="670"/>
      <c r="H2606" s="670"/>
      <c r="I2606" s="670">
        <f>[53]노임단가!$T$6</f>
        <v>226122</v>
      </c>
      <c r="J2606" s="670">
        <f>INT(E2606*I2606)</f>
        <v>150755</v>
      </c>
      <c r="K2606" s="670"/>
      <c r="L2606" s="670"/>
      <c r="M2606" s="670">
        <f t="shared" si="617"/>
        <v>226122</v>
      </c>
      <c r="N2606" s="670">
        <f t="shared" si="617"/>
        <v>150755</v>
      </c>
      <c r="O2606" s="671"/>
      <c r="P2606" s="672" t="s">
        <v>2139</v>
      </c>
      <c r="Q2606" s="806" t="s">
        <v>1446</v>
      </c>
      <c r="R2606" s="688" t="s">
        <v>1447</v>
      </c>
      <c r="S2606" s="688" t="s">
        <v>1425</v>
      </c>
      <c r="T2606" s="688" t="s">
        <v>1426</v>
      </c>
    </row>
    <row r="2607" spans="1:22" s="688" customFormat="1" ht="16.5" customHeight="1">
      <c r="A2607" s="1316" t="s">
        <v>248</v>
      </c>
      <c r="B2607" s="1317"/>
      <c r="C2607" s="1316"/>
      <c r="D2607" s="1317"/>
      <c r="E2607" s="683">
        <f>T2576</f>
        <v>0.66669999999999996</v>
      </c>
      <c r="F2607" s="676" t="s">
        <v>366</v>
      </c>
      <c r="G2607" s="670"/>
      <c r="H2607" s="670"/>
      <c r="I2607" s="670">
        <f>[53]노임단가!$T$5</f>
        <v>172068</v>
      </c>
      <c r="J2607" s="670">
        <f>INT(E2607*I2607)</f>
        <v>114717</v>
      </c>
      <c r="K2607" s="670"/>
      <c r="L2607" s="670"/>
      <c r="M2607" s="670">
        <f t="shared" si="617"/>
        <v>172068</v>
      </c>
      <c r="N2607" s="670">
        <f t="shared" si="617"/>
        <v>114717</v>
      </c>
      <c r="O2607" s="671"/>
      <c r="P2607" s="672" t="s">
        <v>2162</v>
      </c>
      <c r="Q2607" s="688">
        <v>190</v>
      </c>
      <c r="R2607" s="688">
        <f>(Q2607)/100</f>
        <v>1.9</v>
      </c>
      <c r="T2607" s="690">
        <f>ROUND(S2607/R2607,4)</f>
        <v>0</v>
      </c>
      <c r="U2607" s="690"/>
      <c r="V2607" s="690"/>
    </row>
    <row r="2608" spans="1:22" s="688" customFormat="1" ht="17.100000000000001" customHeight="1">
      <c r="A2608" s="1316" t="s">
        <v>409</v>
      </c>
      <c r="B2608" s="1317"/>
      <c r="C2608" s="1316" t="s">
        <v>1572</v>
      </c>
      <c r="D2608" s="1317"/>
      <c r="E2608" s="683">
        <f>T2577</f>
        <v>2.6667000000000001</v>
      </c>
      <c r="F2608" s="676" t="s">
        <v>418</v>
      </c>
      <c r="G2608" s="670" t="e">
        <f>#REF!</f>
        <v>#REF!</v>
      </c>
      <c r="H2608" s="670" t="e">
        <f>INT(E2608*G2608)</f>
        <v>#REF!</v>
      </c>
      <c r="I2608" s="670" t="e">
        <f>#REF!</f>
        <v>#REF!</v>
      </c>
      <c r="J2608" s="670" t="e">
        <f>INT(E2608*I2608)</f>
        <v>#REF!</v>
      </c>
      <c r="K2608" s="670" t="e">
        <f>#REF!</f>
        <v>#REF!</v>
      </c>
      <c r="L2608" s="670" t="e">
        <f>INT(E2608*K2608)</f>
        <v>#REF!</v>
      </c>
      <c r="M2608" s="670" t="e">
        <f t="shared" si="617"/>
        <v>#REF!</v>
      </c>
      <c r="N2608" s="670" t="e">
        <f t="shared" si="617"/>
        <v>#REF!</v>
      </c>
      <c r="O2608" s="671"/>
      <c r="P2608" s="813"/>
      <c r="Q2608" s="688">
        <f>Q2607</f>
        <v>190</v>
      </c>
      <c r="R2608" s="688">
        <f>R2607</f>
        <v>1.9</v>
      </c>
      <c r="T2608" s="690">
        <f>ROUND(S2608/R2608,4)</f>
        <v>0</v>
      </c>
      <c r="U2608" s="690"/>
      <c r="V2608" s="690"/>
    </row>
    <row r="2609" spans="1:22" s="688" customFormat="1" ht="17.100000000000001" customHeight="1">
      <c r="A2609" s="1316" t="s">
        <v>465</v>
      </c>
      <c r="B2609" s="1317"/>
      <c r="C2609" s="1316" t="s">
        <v>466</v>
      </c>
      <c r="D2609" s="1317"/>
      <c r="E2609" s="683">
        <f>T2578</f>
        <v>2.6667000000000001</v>
      </c>
      <c r="F2609" s="676" t="s">
        <v>418</v>
      </c>
      <c r="G2609" s="670" t="e">
        <f>#REF!</f>
        <v>#REF!</v>
      </c>
      <c r="H2609" s="750" t="e">
        <f>INT(E2609*G2609)</f>
        <v>#REF!</v>
      </c>
      <c r="I2609" s="670" t="e">
        <f>#REF!</f>
        <v>#REF!</v>
      </c>
      <c r="J2609" s="750" t="e">
        <f>INT(E2609*I2609)</f>
        <v>#REF!</v>
      </c>
      <c r="K2609" s="670" t="e">
        <f>#REF!</f>
        <v>#REF!</v>
      </c>
      <c r="L2609" s="750" t="e">
        <f>INT(E2609*K2609)</f>
        <v>#REF!</v>
      </c>
      <c r="M2609" s="670" t="e">
        <f t="shared" si="617"/>
        <v>#REF!</v>
      </c>
      <c r="N2609" s="670" t="e">
        <f t="shared" si="617"/>
        <v>#REF!</v>
      </c>
      <c r="O2609" s="671"/>
      <c r="P2609" s="672"/>
      <c r="Q2609" s="688">
        <f>Q2608</f>
        <v>190</v>
      </c>
      <c r="R2609" s="688">
        <f>R2608</f>
        <v>1.9</v>
      </c>
      <c r="T2609" s="690">
        <f t="shared" ref="T2609:T2616" si="618">ROUND(S2609/R2609,4)</f>
        <v>0</v>
      </c>
      <c r="U2609" s="690"/>
      <c r="V2609" s="690"/>
    </row>
    <row r="2610" spans="1:22" s="688" customFormat="1" ht="17.100000000000001" customHeight="1">
      <c r="A2610" s="1316" t="s">
        <v>2108</v>
      </c>
      <c r="B2610" s="1317"/>
      <c r="C2610" s="1316" t="s">
        <v>1469</v>
      </c>
      <c r="D2610" s="1317"/>
      <c r="E2610" s="675">
        <v>0.05</v>
      </c>
      <c r="F2610" s="676" t="s">
        <v>672</v>
      </c>
      <c r="G2610" s="670"/>
      <c r="H2610" s="670">
        <f>INT(E2610*G2610)</f>
        <v>0</v>
      </c>
      <c r="I2610" s="670"/>
      <c r="J2610" s="670"/>
      <c r="K2610" s="670">
        <f>J2605+J2606+J2607</f>
        <v>538780</v>
      </c>
      <c r="L2610" s="670">
        <f>INT(E2610*K2610)</f>
        <v>26939</v>
      </c>
      <c r="M2610" s="670">
        <f t="shared" si="617"/>
        <v>538780</v>
      </c>
      <c r="N2610" s="670">
        <f t="shared" si="617"/>
        <v>26939</v>
      </c>
      <c r="O2610" s="671"/>
      <c r="P2610" s="672"/>
      <c r="Q2610" s="688">
        <f>Q2608</f>
        <v>190</v>
      </c>
      <c r="R2610" s="688">
        <f>R2608</f>
        <v>1.9</v>
      </c>
      <c r="T2610" s="690">
        <f t="shared" si="618"/>
        <v>0</v>
      </c>
      <c r="U2610" s="690"/>
      <c r="V2610" s="690"/>
    </row>
    <row r="2611" spans="1:22" s="688" customFormat="1" ht="17.100000000000001" customHeight="1">
      <c r="A2611" s="1318" t="s">
        <v>1320</v>
      </c>
      <c r="B2611" s="1319"/>
      <c r="C2611" s="1316"/>
      <c r="D2611" s="1317"/>
      <c r="E2611" s="686"/>
      <c r="F2611" s="676"/>
      <c r="G2611" s="670"/>
      <c r="H2611" s="670" t="e">
        <f>SUM(H2601:H2610)</f>
        <v>#REF!</v>
      </c>
      <c r="I2611" s="670"/>
      <c r="J2611" s="670" t="e">
        <f>SUM(J2601:J2610)</f>
        <v>#REF!</v>
      </c>
      <c r="K2611" s="670"/>
      <c r="L2611" s="670" t="e">
        <f>SUM(L2601:L2610)</f>
        <v>#REF!</v>
      </c>
      <c r="M2611" s="670"/>
      <c r="N2611" s="670" t="e">
        <f>SUM(N2601:N2610)</f>
        <v>#REF!</v>
      </c>
      <c r="O2611" s="671"/>
      <c r="P2611" s="812"/>
      <c r="Q2611" s="688">
        <f>Q2609</f>
        <v>190</v>
      </c>
      <c r="R2611" s="688">
        <f>R2609</f>
        <v>1.9</v>
      </c>
      <c r="T2611" s="690">
        <f t="shared" si="618"/>
        <v>0</v>
      </c>
      <c r="U2611" s="690"/>
      <c r="V2611" s="690"/>
    </row>
    <row r="2612" spans="1:22" s="688" customFormat="1" ht="17.100000000000001" customHeight="1">
      <c r="A2612" s="668">
        <f>A2600+1</f>
        <v>381</v>
      </c>
      <c r="B2612" s="1320" t="s">
        <v>2148</v>
      </c>
      <c r="C2612" s="1320"/>
      <c r="D2612" s="1320" t="s">
        <v>2163</v>
      </c>
      <c r="E2612" s="1320"/>
      <c r="F2612" s="669" t="s">
        <v>1458</v>
      </c>
      <c r="G2612" s="698"/>
      <c r="H2612" s="698"/>
      <c r="I2612" s="698"/>
      <c r="J2612" s="698"/>
      <c r="K2612" s="670"/>
      <c r="L2612" s="670"/>
      <c r="M2612" s="670"/>
      <c r="N2612" s="698"/>
      <c r="O2612" s="699" t="s">
        <v>1562</v>
      </c>
      <c r="P2612" s="672"/>
      <c r="Q2612" s="688">
        <f t="shared" ref="Q2612:R2616" si="619">Q2611</f>
        <v>190</v>
      </c>
      <c r="R2612" s="688">
        <f t="shared" si="619"/>
        <v>1.9</v>
      </c>
      <c r="S2612" s="688">
        <v>2</v>
      </c>
      <c r="T2612" s="690">
        <f t="shared" si="618"/>
        <v>1.0526</v>
      </c>
      <c r="U2612" s="690"/>
      <c r="V2612" s="690"/>
    </row>
    <row r="2613" spans="1:22" s="688" customFormat="1" ht="17.100000000000001" customHeight="1">
      <c r="A2613" s="1316" t="s">
        <v>2158</v>
      </c>
      <c r="B2613" s="1317"/>
      <c r="C2613" s="1316" t="s">
        <v>2159</v>
      </c>
      <c r="D2613" s="1317"/>
      <c r="E2613" s="677">
        <v>2600</v>
      </c>
      <c r="F2613" s="676" t="s">
        <v>30</v>
      </c>
      <c r="G2613" s="670"/>
      <c r="H2613" s="670"/>
      <c r="I2613" s="670"/>
      <c r="J2613" s="670"/>
      <c r="K2613" s="670"/>
      <c r="L2613" s="670"/>
      <c r="M2613" s="670"/>
      <c r="N2613" s="670"/>
      <c r="O2613" s="671"/>
      <c r="P2613" s="672"/>
      <c r="Q2613" s="688">
        <f t="shared" si="619"/>
        <v>190</v>
      </c>
      <c r="R2613" s="688">
        <f t="shared" si="619"/>
        <v>1.9</v>
      </c>
      <c r="S2613" s="688">
        <v>2</v>
      </c>
      <c r="T2613" s="690">
        <f t="shared" si="618"/>
        <v>1.0526</v>
      </c>
      <c r="U2613" s="690"/>
      <c r="V2613" s="690"/>
    </row>
    <row r="2614" spans="1:22" s="688" customFormat="1" ht="17.100000000000001" customHeight="1">
      <c r="A2614" s="1369" t="s">
        <v>2160</v>
      </c>
      <c r="B2614" s="1365"/>
      <c r="C2614" s="1369" t="s">
        <v>1761</v>
      </c>
      <c r="D2614" s="1365"/>
      <c r="E2614" s="677">
        <v>2600</v>
      </c>
      <c r="F2614" s="676" t="s">
        <v>30</v>
      </c>
      <c r="G2614" s="816"/>
      <c r="H2614" s="816"/>
      <c r="I2614" s="816"/>
      <c r="J2614" s="816"/>
      <c r="K2614" s="816">
        <f>[53]운반공!$BO$635</f>
        <v>22</v>
      </c>
      <c r="L2614" s="816">
        <f>INT(E2614*K2614)</f>
        <v>57200</v>
      </c>
      <c r="M2614" s="816">
        <f t="shared" ref="M2614:N2622" si="620">G2614+I2614+K2614</f>
        <v>22</v>
      </c>
      <c r="N2614" s="816">
        <f t="shared" si="620"/>
        <v>57200</v>
      </c>
      <c r="O2614" s="817"/>
      <c r="P2614" s="672"/>
      <c r="Q2614" s="688">
        <f t="shared" si="619"/>
        <v>190</v>
      </c>
      <c r="R2614" s="688">
        <f t="shared" si="619"/>
        <v>1.9</v>
      </c>
      <c r="S2614" s="688">
        <v>1</v>
      </c>
      <c r="T2614" s="690">
        <f t="shared" si="618"/>
        <v>0.52629999999999999</v>
      </c>
      <c r="U2614" s="690"/>
      <c r="V2614" s="690"/>
    </row>
    <row r="2615" spans="1:22" s="688" customFormat="1" ht="17.100000000000001" customHeight="1">
      <c r="A2615" s="1316" t="s">
        <v>2161</v>
      </c>
      <c r="B2615" s="1317"/>
      <c r="C2615" s="1316" t="s">
        <v>2153</v>
      </c>
      <c r="D2615" s="1317"/>
      <c r="E2615" s="675">
        <v>0.16</v>
      </c>
      <c r="F2615" s="676" t="s">
        <v>850</v>
      </c>
      <c r="G2615" s="670" t="e">
        <f>#REF!</f>
        <v>#REF!</v>
      </c>
      <c r="H2615" s="670" t="e">
        <f>INT(E2615*G2615)</f>
        <v>#REF!</v>
      </c>
      <c r="I2615" s="670"/>
      <c r="J2615" s="670"/>
      <c r="K2615" s="670"/>
      <c r="L2615" s="670"/>
      <c r="M2615" s="670" t="e">
        <f t="shared" si="620"/>
        <v>#REF!</v>
      </c>
      <c r="N2615" s="670" t="e">
        <f t="shared" si="620"/>
        <v>#REF!</v>
      </c>
      <c r="O2615" s="671"/>
      <c r="P2615" s="672"/>
      <c r="Q2615" s="688">
        <f t="shared" si="619"/>
        <v>190</v>
      </c>
      <c r="R2615" s="688">
        <f t="shared" si="619"/>
        <v>1.9</v>
      </c>
      <c r="S2615" s="688">
        <v>8</v>
      </c>
      <c r="T2615" s="690">
        <f t="shared" si="618"/>
        <v>4.2104999999999997</v>
      </c>
      <c r="U2615" s="690"/>
      <c r="V2615" s="690"/>
    </row>
    <row r="2616" spans="1:22" s="688" customFormat="1" ht="17.100000000000001" customHeight="1">
      <c r="A2616" s="1316" t="s">
        <v>821</v>
      </c>
      <c r="B2616" s="1317"/>
      <c r="C2616" s="1316" t="s">
        <v>2154</v>
      </c>
      <c r="D2616" s="1317"/>
      <c r="E2616" s="679">
        <v>3.3</v>
      </c>
      <c r="F2616" s="676" t="s">
        <v>850</v>
      </c>
      <c r="G2616" s="670" t="e">
        <f>#REF!</f>
        <v>#REF!</v>
      </c>
      <c r="H2616" s="670" t="e">
        <f>INT(E2616*G2616)</f>
        <v>#REF!</v>
      </c>
      <c r="I2616" s="670"/>
      <c r="J2616" s="670"/>
      <c r="K2616" s="670"/>
      <c r="L2616" s="670"/>
      <c r="M2616" s="670" t="e">
        <f t="shared" si="620"/>
        <v>#REF!</v>
      </c>
      <c r="N2616" s="670" t="e">
        <f t="shared" si="620"/>
        <v>#REF!</v>
      </c>
      <c r="O2616" s="818"/>
      <c r="P2616" s="672"/>
      <c r="Q2616" s="688">
        <f t="shared" si="619"/>
        <v>190</v>
      </c>
      <c r="R2616" s="688">
        <f t="shared" si="619"/>
        <v>1.9</v>
      </c>
      <c r="S2616" s="688">
        <v>8</v>
      </c>
      <c r="T2616" s="690">
        <f t="shared" si="618"/>
        <v>4.2104999999999997</v>
      </c>
      <c r="U2616" s="690"/>
      <c r="V2616" s="690"/>
    </row>
    <row r="2617" spans="1:22" s="688" customFormat="1" ht="17.100000000000001" customHeight="1">
      <c r="A2617" s="1316" t="s">
        <v>540</v>
      </c>
      <c r="B2617" s="1317"/>
      <c r="C2617" s="1316"/>
      <c r="D2617" s="1317"/>
      <c r="E2617" s="683">
        <f>T2586</f>
        <v>1.0526</v>
      </c>
      <c r="F2617" s="676" t="s">
        <v>366</v>
      </c>
      <c r="G2617" s="670"/>
      <c r="H2617" s="670"/>
      <c r="I2617" s="670">
        <f>[53]노임단가!$T$22</f>
        <v>273308</v>
      </c>
      <c r="J2617" s="670">
        <f>INT(E2617*I2617)</f>
        <v>287684</v>
      </c>
      <c r="K2617" s="670"/>
      <c r="L2617" s="670"/>
      <c r="M2617" s="670">
        <f t="shared" si="620"/>
        <v>273308</v>
      </c>
      <c r="N2617" s="670">
        <f t="shared" si="620"/>
        <v>287684</v>
      </c>
      <c r="O2617" s="671"/>
      <c r="P2617" s="672"/>
      <c r="T2617" s="690"/>
      <c r="U2617" s="690"/>
      <c r="V2617" s="690"/>
    </row>
    <row r="2618" spans="1:22" s="688" customFormat="1" ht="17.100000000000001" customHeight="1">
      <c r="A2618" s="1316" t="s">
        <v>628</v>
      </c>
      <c r="B2618" s="1317"/>
      <c r="C2618" s="1316"/>
      <c r="D2618" s="1317"/>
      <c r="E2618" s="683">
        <f>T2587</f>
        <v>1.0526</v>
      </c>
      <c r="F2618" s="676" t="s">
        <v>366</v>
      </c>
      <c r="G2618" s="670"/>
      <c r="H2618" s="670"/>
      <c r="I2618" s="670">
        <f>[53]노임단가!$T$6</f>
        <v>226122</v>
      </c>
      <c r="J2618" s="670">
        <f>INT(E2618*I2618)</f>
        <v>238016</v>
      </c>
      <c r="K2618" s="670"/>
      <c r="L2618" s="670"/>
      <c r="M2618" s="670">
        <f t="shared" si="620"/>
        <v>226122</v>
      </c>
      <c r="N2618" s="670">
        <f t="shared" si="620"/>
        <v>238016</v>
      </c>
      <c r="O2618" s="671"/>
      <c r="P2618" s="672"/>
    </row>
    <row r="2619" spans="1:22" s="688" customFormat="1" ht="17.100000000000001" customHeight="1">
      <c r="A2619" s="1316" t="s">
        <v>248</v>
      </c>
      <c r="B2619" s="1317"/>
      <c r="C2619" s="1316"/>
      <c r="D2619" s="1317"/>
      <c r="E2619" s="683">
        <f>T2588</f>
        <v>0.52629999999999999</v>
      </c>
      <c r="F2619" s="676" t="s">
        <v>366</v>
      </c>
      <c r="G2619" s="670"/>
      <c r="H2619" s="670"/>
      <c r="I2619" s="670">
        <f>[53]노임단가!$T$5</f>
        <v>172068</v>
      </c>
      <c r="J2619" s="670">
        <f>INT(E2619*I2619)</f>
        <v>90559</v>
      </c>
      <c r="K2619" s="670"/>
      <c r="L2619" s="670"/>
      <c r="M2619" s="670">
        <f t="shared" si="620"/>
        <v>172068</v>
      </c>
      <c r="N2619" s="670">
        <f t="shared" si="620"/>
        <v>90559</v>
      </c>
      <c r="O2619" s="671"/>
      <c r="P2619" s="672" t="s">
        <v>2139</v>
      </c>
      <c r="Q2619" s="806" t="s">
        <v>1446</v>
      </c>
      <c r="R2619" s="688" t="s">
        <v>1447</v>
      </c>
      <c r="S2619" s="688" t="s">
        <v>1425</v>
      </c>
      <c r="T2619" s="688" t="s">
        <v>1426</v>
      </c>
    </row>
    <row r="2620" spans="1:22" s="688" customFormat="1" ht="16.5" customHeight="1">
      <c r="A2620" s="1316" t="s">
        <v>409</v>
      </c>
      <c r="B2620" s="1317"/>
      <c r="C2620" s="1316" t="s">
        <v>1380</v>
      </c>
      <c r="D2620" s="1317"/>
      <c r="E2620" s="683">
        <f>T2589</f>
        <v>4.2104999999999997</v>
      </c>
      <c r="F2620" s="676" t="s">
        <v>418</v>
      </c>
      <c r="G2620" s="670" t="e">
        <f>#REF!</f>
        <v>#REF!</v>
      </c>
      <c r="H2620" s="670" t="e">
        <f>INT(E2620*G2620)</f>
        <v>#REF!</v>
      </c>
      <c r="I2620" s="670" t="e">
        <f>#REF!</f>
        <v>#REF!</v>
      </c>
      <c r="J2620" s="670" t="e">
        <f>INT(E2620*I2620)</f>
        <v>#REF!</v>
      </c>
      <c r="K2620" s="670" t="e">
        <f>#REF!</f>
        <v>#REF!</v>
      </c>
      <c r="L2620" s="670" t="e">
        <f>INT(E2620*K2620)</f>
        <v>#REF!</v>
      </c>
      <c r="M2620" s="670" t="e">
        <f t="shared" si="620"/>
        <v>#REF!</v>
      </c>
      <c r="N2620" s="670" t="e">
        <f t="shared" si="620"/>
        <v>#REF!</v>
      </c>
      <c r="O2620" s="671"/>
      <c r="P2620" s="672" t="s">
        <v>2155</v>
      </c>
      <c r="Q2620" s="688">
        <v>190</v>
      </c>
      <c r="R2620" s="688">
        <f>(Q2620)/100</f>
        <v>1.9</v>
      </c>
      <c r="T2620" s="690">
        <f>ROUND(S2620/R2620,4)</f>
        <v>0</v>
      </c>
      <c r="U2620" s="690"/>
      <c r="V2620" s="690"/>
    </row>
    <row r="2621" spans="1:22" s="688" customFormat="1" ht="17.100000000000001" customHeight="1">
      <c r="A2621" s="1316" t="s">
        <v>465</v>
      </c>
      <c r="B2621" s="1317"/>
      <c r="C2621" s="1316" t="s">
        <v>466</v>
      </c>
      <c r="D2621" s="1317"/>
      <c r="E2621" s="683">
        <f>T2590</f>
        <v>4.2104999999999997</v>
      </c>
      <c r="F2621" s="676" t="s">
        <v>418</v>
      </c>
      <c r="G2621" s="670" t="e">
        <f>#REF!</f>
        <v>#REF!</v>
      </c>
      <c r="H2621" s="750" t="e">
        <f>INT(E2621*G2621)</f>
        <v>#REF!</v>
      </c>
      <c r="I2621" s="670" t="e">
        <f>#REF!</f>
        <v>#REF!</v>
      </c>
      <c r="J2621" s="750" t="e">
        <f>INT(E2621*I2621)</f>
        <v>#REF!</v>
      </c>
      <c r="K2621" s="670" t="e">
        <f>#REF!</f>
        <v>#REF!</v>
      </c>
      <c r="L2621" s="750" t="e">
        <f>INT(E2621*K2621)</f>
        <v>#REF!</v>
      </c>
      <c r="M2621" s="670" t="e">
        <f t="shared" si="620"/>
        <v>#REF!</v>
      </c>
      <c r="N2621" s="670" t="e">
        <f t="shared" si="620"/>
        <v>#REF!</v>
      </c>
      <c r="O2621" s="671"/>
      <c r="P2621" s="813"/>
      <c r="Q2621" s="688">
        <f>Q2620</f>
        <v>190</v>
      </c>
      <c r="R2621" s="688">
        <f>R2620</f>
        <v>1.9</v>
      </c>
      <c r="T2621" s="690">
        <f>ROUND(S2621/R2621,4)</f>
        <v>0</v>
      </c>
      <c r="U2621" s="690"/>
      <c r="V2621" s="690"/>
    </row>
    <row r="2622" spans="1:22" s="688" customFormat="1" ht="17.100000000000001" customHeight="1">
      <c r="A2622" s="1316" t="s">
        <v>2108</v>
      </c>
      <c r="B2622" s="1317"/>
      <c r="C2622" s="1316" t="s">
        <v>1469</v>
      </c>
      <c r="D2622" s="1317"/>
      <c r="E2622" s="675">
        <v>0.05</v>
      </c>
      <c r="F2622" s="676" t="s">
        <v>672</v>
      </c>
      <c r="G2622" s="670"/>
      <c r="H2622" s="670">
        <f>INT(E2622*G2622)</f>
        <v>0</v>
      </c>
      <c r="I2622" s="670"/>
      <c r="J2622" s="670"/>
      <c r="K2622" s="670">
        <f>J2617+J2618+J2619</f>
        <v>616259</v>
      </c>
      <c r="L2622" s="670">
        <f>INT(E2622*K2622)</f>
        <v>30812</v>
      </c>
      <c r="M2622" s="670">
        <f t="shared" si="620"/>
        <v>616259</v>
      </c>
      <c r="N2622" s="670">
        <f t="shared" si="620"/>
        <v>30812</v>
      </c>
      <c r="O2622" s="671"/>
      <c r="P2622" s="672"/>
      <c r="Q2622" s="688">
        <f t="shared" ref="Q2622:R2627" si="621">Q2621</f>
        <v>190</v>
      </c>
      <c r="R2622" s="688">
        <f t="shared" si="621"/>
        <v>1.9</v>
      </c>
      <c r="T2622" s="690">
        <f t="shared" ref="T2622:T2627" si="622">ROUND(S2622/R2622,4)</f>
        <v>0</v>
      </c>
      <c r="U2622" s="690"/>
      <c r="V2622" s="690"/>
    </row>
    <row r="2623" spans="1:22" s="688" customFormat="1" ht="17.100000000000001" customHeight="1">
      <c r="A2623" s="1318" t="s">
        <v>1320</v>
      </c>
      <c r="B2623" s="1319"/>
      <c r="C2623" s="1316"/>
      <c r="D2623" s="1317"/>
      <c r="E2623" s="686"/>
      <c r="F2623" s="676"/>
      <c r="G2623" s="670"/>
      <c r="H2623" s="670" t="e">
        <f>SUM(H2613:H2622)</f>
        <v>#REF!</v>
      </c>
      <c r="I2623" s="670"/>
      <c r="J2623" s="670" t="e">
        <f>SUM(J2613:J2622)</f>
        <v>#REF!</v>
      </c>
      <c r="K2623" s="670"/>
      <c r="L2623" s="670" t="e">
        <f>SUM(L2613:L2622)</f>
        <v>#REF!</v>
      </c>
      <c r="M2623" s="670"/>
      <c r="N2623" s="670" t="e">
        <f>SUM(N2613:N2622)</f>
        <v>#REF!</v>
      </c>
      <c r="O2623" s="671"/>
      <c r="P2623" s="672"/>
      <c r="Q2623" s="688">
        <f t="shared" si="621"/>
        <v>190</v>
      </c>
      <c r="R2623" s="688">
        <f t="shared" si="621"/>
        <v>1.9</v>
      </c>
      <c r="S2623" s="688">
        <v>3</v>
      </c>
      <c r="T2623" s="690">
        <f t="shared" si="622"/>
        <v>1.5789</v>
      </c>
      <c r="U2623" s="690"/>
      <c r="V2623" s="690"/>
    </row>
    <row r="2624" spans="1:22" s="688" customFormat="1" ht="17.100000000000001" customHeight="1">
      <c r="A2624" s="668">
        <f>A2612+1</f>
        <v>382</v>
      </c>
      <c r="B2624" s="1320" t="s">
        <v>2148</v>
      </c>
      <c r="C2624" s="1320"/>
      <c r="D2624" s="1320" t="s">
        <v>2164</v>
      </c>
      <c r="E2624" s="1320"/>
      <c r="F2624" s="669" t="s">
        <v>1458</v>
      </c>
      <c r="G2624" s="698"/>
      <c r="H2624" s="698"/>
      <c r="I2624" s="698"/>
      <c r="J2624" s="698"/>
      <c r="K2624" s="670"/>
      <c r="L2624" s="670"/>
      <c r="M2624" s="670"/>
      <c r="N2624" s="698"/>
      <c r="O2624" s="699" t="s">
        <v>1562</v>
      </c>
      <c r="P2624" s="672"/>
      <c r="Q2624" s="688">
        <f t="shared" si="621"/>
        <v>190</v>
      </c>
      <c r="R2624" s="688">
        <f t="shared" si="621"/>
        <v>1.9</v>
      </c>
      <c r="S2624" s="688">
        <v>2</v>
      </c>
      <c r="T2624" s="690">
        <f t="shared" si="622"/>
        <v>1.0526</v>
      </c>
      <c r="U2624" s="690"/>
      <c r="V2624" s="690"/>
    </row>
    <row r="2625" spans="1:22" s="688" customFormat="1" ht="17.100000000000001" customHeight="1">
      <c r="A2625" s="1316" t="s">
        <v>2158</v>
      </c>
      <c r="B2625" s="1317"/>
      <c r="C2625" s="1316" t="s">
        <v>2159</v>
      </c>
      <c r="D2625" s="1317"/>
      <c r="E2625" s="677">
        <v>2600</v>
      </c>
      <c r="F2625" s="676" t="s">
        <v>30</v>
      </c>
      <c r="G2625" s="670"/>
      <c r="H2625" s="670"/>
      <c r="I2625" s="670"/>
      <c r="J2625" s="670"/>
      <c r="K2625" s="670"/>
      <c r="L2625" s="670"/>
      <c r="M2625" s="670"/>
      <c r="N2625" s="670"/>
      <c r="O2625" s="671"/>
      <c r="P2625" s="672"/>
      <c r="Q2625" s="688">
        <f t="shared" si="621"/>
        <v>190</v>
      </c>
      <c r="R2625" s="688">
        <f t="shared" si="621"/>
        <v>1.9</v>
      </c>
      <c r="S2625" s="688">
        <v>2</v>
      </c>
      <c r="T2625" s="690">
        <f t="shared" si="622"/>
        <v>1.0526</v>
      </c>
      <c r="U2625" s="690"/>
      <c r="V2625" s="690"/>
    </row>
    <row r="2626" spans="1:22" s="688" customFormat="1" ht="17.100000000000001" customHeight="1">
      <c r="A2626" s="1369" t="s">
        <v>2160</v>
      </c>
      <c r="B2626" s="1365"/>
      <c r="C2626" s="1369" t="s">
        <v>1761</v>
      </c>
      <c r="D2626" s="1365"/>
      <c r="E2626" s="677">
        <v>2600</v>
      </c>
      <c r="F2626" s="676" t="s">
        <v>30</v>
      </c>
      <c r="G2626" s="816"/>
      <c r="H2626" s="816"/>
      <c r="I2626" s="816"/>
      <c r="J2626" s="816"/>
      <c r="K2626" s="816">
        <f>[53]운반공!$BO$635</f>
        <v>22</v>
      </c>
      <c r="L2626" s="816">
        <f>INT(E2626*K2626)</f>
        <v>57200</v>
      </c>
      <c r="M2626" s="816">
        <f>G2626+I2626+K2626</f>
        <v>22</v>
      </c>
      <c r="N2626" s="816">
        <f>H2626+J2626+L2626</f>
        <v>57200</v>
      </c>
      <c r="O2626" s="817"/>
      <c r="P2626" s="672"/>
      <c r="Q2626" s="688">
        <f t="shared" si="621"/>
        <v>190</v>
      </c>
      <c r="R2626" s="688">
        <f t="shared" si="621"/>
        <v>1.9</v>
      </c>
      <c r="S2626" s="688">
        <v>8</v>
      </c>
      <c r="T2626" s="690">
        <f t="shared" si="622"/>
        <v>4.2104999999999997</v>
      </c>
      <c r="U2626" s="690"/>
      <c r="V2626" s="690"/>
    </row>
    <row r="2627" spans="1:22" s="688" customFormat="1" ht="17.100000000000001" customHeight="1">
      <c r="A2627" s="1316" t="s">
        <v>2165</v>
      </c>
      <c r="B2627" s="1317"/>
      <c r="C2627" s="1316" t="s">
        <v>2153</v>
      </c>
      <c r="D2627" s="1317"/>
      <c r="E2627" s="675">
        <v>0.16</v>
      </c>
      <c r="F2627" s="676" t="s">
        <v>850</v>
      </c>
      <c r="G2627" s="670" t="e">
        <f>#REF!</f>
        <v>#REF!</v>
      </c>
      <c r="H2627" s="670" t="e">
        <f>INT(E2627*G2627)</f>
        <v>#REF!</v>
      </c>
      <c r="I2627" s="670"/>
      <c r="J2627" s="670"/>
      <c r="K2627" s="670"/>
      <c r="L2627" s="670"/>
      <c r="M2627" s="670" t="e">
        <f t="shared" ref="M2627:N2635" si="623">G2627+I2627+K2627</f>
        <v>#REF!</v>
      </c>
      <c r="N2627" s="670" t="e">
        <f t="shared" si="623"/>
        <v>#REF!</v>
      </c>
      <c r="O2627" s="671"/>
      <c r="P2627" s="672"/>
      <c r="Q2627" s="688">
        <f t="shared" si="621"/>
        <v>190</v>
      </c>
      <c r="R2627" s="688">
        <f t="shared" si="621"/>
        <v>1.9</v>
      </c>
      <c r="S2627" s="688">
        <v>8</v>
      </c>
      <c r="T2627" s="690">
        <f t="shared" si="622"/>
        <v>4.2104999999999997</v>
      </c>
      <c r="U2627" s="690"/>
      <c r="V2627" s="690"/>
    </row>
    <row r="2628" spans="1:22" s="688" customFormat="1" ht="17.100000000000001" customHeight="1">
      <c r="A2628" s="1316" t="s">
        <v>2166</v>
      </c>
      <c r="B2628" s="1317"/>
      <c r="C2628" s="1316"/>
      <c r="D2628" s="1317"/>
      <c r="E2628" s="679">
        <v>100</v>
      </c>
      <c r="F2628" s="676" t="s">
        <v>645</v>
      </c>
      <c r="G2628" s="670" t="e">
        <f>$H$2960</f>
        <v>#REF!</v>
      </c>
      <c r="H2628" s="670" t="e">
        <f>INT(E2628*G2628)</f>
        <v>#REF!</v>
      </c>
      <c r="I2628" s="670">
        <f>$J$2960</f>
        <v>576</v>
      </c>
      <c r="J2628" s="670">
        <f>INT(E2628*I2628)</f>
        <v>57600</v>
      </c>
      <c r="K2628" s="670">
        <f>$L$2960</f>
        <v>0</v>
      </c>
      <c r="L2628" s="816">
        <f>INT(E2628*K2628)</f>
        <v>0</v>
      </c>
      <c r="M2628" s="670" t="e">
        <f t="shared" si="623"/>
        <v>#REF!</v>
      </c>
      <c r="N2628" s="670" t="e">
        <f t="shared" si="623"/>
        <v>#REF!</v>
      </c>
      <c r="O2628" s="671">
        <f>$A$2956</f>
        <v>408</v>
      </c>
      <c r="P2628" s="672"/>
      <c r="T2628" s="690"/>
      <c r="U2628" s="690"/>
      <c r="V2628" s="690"/>
    </row>
    <row r="2629" spans="1:22" s="688" customFormat="1" ht="17.100000000000001" customHeight="1">
      <c r="A2629" s="1316" t="s">
        <v>821</v>
      </c>
      <c r="B2629" s="1317"/>
      <c r="C2629" s="1316" t="s">
        <v>2154</v>
      </c>
      <c r="D2629" s="1317"/>
      <c r="E2629" s="679">
        <v>3.3</v>
      </c>
      <c r="F2629" s="676" t="s">
        <v>850</v>
      </c>
      <c r="G2629" s="670" t="e">
        <f>#REF!</f>
        <v>#REF!</v>
      </c>
      <c r="H2629" s="670" t="e">
        <f>INT(E2629*G2629)</f>
        <v>#REF!</v>
      </c>
      <c r="I2629" s="670"/>
      <c r="J2629" s="670"/>
      <c r="K2629" s="670"/>
      <c r="L2629" s="670"/>
      <c r="M2629" s="670" t="e">
        <f t="shared" si="623"/>
        <v>#REF!</v>
      </c>
      <c r="N2629" s="670" t="e">
        <f t="shared" si="623"/>
        <v>#REF!</v>
      </c>
      <c r="O2629" s="818"/>
      <c r="P2629" s="672"/>
    </row>
    <row r="2630" spans="1:22" s="688" customFormat="1" ht="17.100000000000001" customHeight="1">
      <c r="A2630" s="1316" t="s">
        <v>540</v>
      </c>
      <c r="B2630" s="1317"/>
      <c r="C2630" s="1316"/>
      <c r="D2630" s="1317"/>
      <c r="E2630" s="683">
        <f>T2599</f>
        <v>1</v>
      </c>
      <c r="F2630" s="676" t="s">
        <v>366</v>
      </c>
      <c r="G2630" s="670"/>
      <c r="H2630" s="670"/>
      <c r="I2630" s="670">
        <f>[53]노임단가!$T$22</f>
        <v>273308</v>
      </c>
      <c r="J2630" s="670">
        <f>INT(E2630*I2630)</f>
        <v>273308</v>
      </c>
      <c r="K2630" s="670"/>
      <c r="L2630" s="670"/>
      <c r="M2630" s="670">
        <f t="shared" si="623"/>
        <v>273308</v>
      </c>
      <c r="N2630" s="670">
        <f t="shared" si="623"/>
        <v>273308</v>
      </c>
      <c r="O2630" s="671"/>
      <c r="P2630" s="672" t="s">
        <v>2139</v>
      </c>
      <c r="Q2630" s="806" t="s">
        <v>1446</v>
      </c>
      <c r="R2630" s="688" t="s">
        <v>1447</v>
      </c>
      <c r="S2630" s="688" t="s">
        <v>1425</v>
      </c>
      <c r="T2630" s="688" t="s">
        <v>1426</v>
      </c>
    </row>
    <row r="2631" spans="1:22" s="688" customFormat="1" ht="17.100000000000001" customHeight="1">
      <c r="A2631" s="1316" t="s">
        <v>628</v>
      </c>
      <c r="B2631" s="1317"/>
      <c r="C2631" s="1316"/>
      <c r="D2631" s="1317"/>
      <c r="E2631" s="683">
        <f>T2600</f>
        <v>0.66669999999999996</v>
      </c>
      <c r="F2631" s="676" t="s">
        <v>366</v>
      </c>
      <c r="G2631" s="670"/>
      <c r="H2631" s="670"/>
      <c r="I2631" s="670">
        <f>[53]노임단가!$T$6</f>
        <v>226122</v>
      </c>
      <c r="J2631" s="670">
        <f>INT(E2631*I2631)</f>
        <v>150755</v>
      </c>
      <c r="K2631" s="670"/>
      <c r="L2631" s="670"/>
      <c r="M2631" s="670">
        <f t="shared" si="623"/>
        <v>226122</v>
      </c>
      <c r="N2631" s="670">
        <f t="shared" si="623"/>
        <v>150755</v>
      </c>
      <c r="O2631" s="671"/>
      <c r="P2631" s="672" t="s">
        <v>2155</v>
      </c>
      <c r="Q2631" s="688">
        <v>120</v>
      </c>
      <c r="R2631" s="688">
        <f>(Q2631)/100</f>
        <v>1.2</v>
      </c>
      <c r="T2631" s="690">
        <f>ROUND(S2631/R2631,4)</f>
        <v>0</v>
      </c>
    </row>
    <row r="2632" spans="1:22" s="688" customFormat="1" ht="17.100000000000001" customHeight="1">
      <c r="A2632" s="1316" t="s">
        <v>248</v>
      </c>
      <c r="B2632" s="1317"/>
      <c r="C2632" s="1316"/>
      <c r="D2632" s="1317"/>
      <c r="E2632" s="683">
        <f>T2601</f>
        <v>0.66669999999999996</v>
      </c>
      <c r="F2632" s="676" t="s">
        <v>366</v>
      </c>
      <c r="G2632" s="670"/>
      <c r="H2632" s="670"/>
      <c r="I2632" s="670">
        <f>[53]노임단가!$T$5</f>
        <v>172068</v>
      </c>
      <c r="J2632" s="670">
        <f>INT(E2632*I2632)</f>
        <v>114717</v>
      </c>
      <c r="K2632" s="670"/>
      <c r="L2632" s="670"/>
      <c r="M2632" s="670">
        <f t="shared" si="623"/>
        <v>172068</v>
      </c>
      <c r="N2632" s="670">
        <f t="shared" si="623"/>
        <v>114717</v>
      </c>
      <c r="O2632" s="671"/>
      <c r="P2632" s="672"/>
      <c r="Q2632" s="688">
        <f>Q2631</f>
        <v>120</v>
      </c>
      <c r="R2632" s="688">
        <f>R2631</f>
        <v>1.2</v>
      </c>
      <c r="T2632" s="690">
        <f>ROUND(S2632/R2632,4)</f>
        <v>0</v>
      </c>
    </row>
    <row r="2633" spans="1:22" s="688" customFormat="1" ht="17.100000000000001" customHeight="1">
      <c r="A2633" s="1316" t="s">
        <v>409</v>
      </c>
      <c r="B2633" s="1317"/>
      <c r="C2633" s="1316" t="s">
        <v>1572</v>
      </c>
      <c r="D2633" s="1317"/>
      <c r="E2633" s="683">
        <f>T2602</f>
        <v>2.6667000000000001</v>
      </c>
      <c r="F2633" s="676" t="s">
        <v>418</v>
      </c>
      <c r="G2633" s="670" t="e">
        <f>#REF!</f>
        <v>#REF!</v>
      </c>
      <c r="H2633" s="670" t="e">
        <f>INT(E2633*G2633)</f>
        <v>#REF!</v>
      </c>
      <c r="I2633" s="670" t="e">
        <f>#REF!</f>
        <v>#REF!</v>
      </c>
      <c r="J2633" s="670" t="e">
        <f>INT(E2633*I2633)</f>
        <v>#REF!</v>
      </c>
      <c r="K2633" s="670" t="e">
        <f>#REF!</f>
        <v>#REF!</v>
      </c>
      <c r="L2633" s="670" t="e">
        <f>INT(E2633*K2633)</f>
        <v>#REF!</v>
      </c>
      <c r="M2633" s="670" t="e">
        <f t="shared" si="623"/>
        <v>#REF!</v>
      </c>
      <c r="N2633" s="670" t="e">
        <f t="shared" si="623"/>
        <v>#REF!</v>
      </c>
      <c r="O2633" s="671"/>
      <c r="P2633" s="672"/>
      <c r="Q2633" s="688">
        <f t="shared" ref="Q2633:R2638" si="624">Q2632</f>
        <v>120</v>
      </c>
      <c r="R2633" s="688">
        <f t="shared" si="624"/>
        <v>1.2</v>
      </c>
      <c r="T2633" s="690">
        <f t="shared" ref="T2633:T2638" si="625">ROUND(S2633/R2633,4)</f>
        <v>0</v>
      </c>
    </row>
    <row r="2634" spans="1:22" s="688" customFormat="1" ht="17.100000000000001" customHeight="1">
      <c r="A2634" s="1316" t="s">
        <v>465</v>
      </c>
      <c r="B2634" s="1317"/>
      <c r="C2634" s="1316" t="s">
        <v>466</v>
      </c>
      <c r="D2634" s="1317"/>
      <c r="E2634" s="683">
        <f>T2603</f>
        <v>2.6667000000000001</v>
      </c>
      <c r="F2634" s="676" t="s">
        <v>418</v>
      </c>
      <c r="G2634" s="670" t="e">
        <f>#REF!</f>
        <v>#REF!</v>
      </c>
      <c r="H2634" s="750" t="e">
        <f>INT(E2634*G2634)</f>
        <v>#REF!</v>
      </c>
      <c r="I2634" s="670" t="e">
        <f>#REF!</f>
        <v>#REF!</v>
      </c>
      <c r="J2634" s="750" t="e">
        <f>INT(E2634*I2634)</f>
        <v>#REF!</v>
      </c>
      <c r="K2634" s="670" t="e">
        <f>#REF!</f>
        <v>#REF!</v>
      </c>
      <c r="L2634" s="750" t="e">
        <f>INT(E2634*K2634)</f>
        <v>#REF!</v>
      </c>
      <c r="M2634" s="670" t="e">
        <f t="shared" si="623"/>
        <v>#REF!</v>
      </c>
      <c r="N2634" s="670" t="e">
        <f t="shared" si="623"/>
        <v>#REF!</v>
      </c>
      <c r="O2634" s="671"/>
      <c r="P2634" s="672"/>
      <c r="Q2634" s="688">
        <f t="shared" si="624"/>
        <v>120</v>
      </c>
      <c r="R2634" s="688">
        <f t="shared" si="624"/>
        <v>1.2</v>
      </c>
      <c r="S2634" s="688">
        <v>2</v>
      </c>
      <c r="T2634" s="690">
        <f t="shared" si="625"/>
        <v>1.6667000000000001</v>
      </c>
      <c r="U2634" s="690"/>
      <c r="V2634" s="690"/>
    </row>
    <row r="2635" spans="1:22" s="688" customFormat="1" ht="17.100000000000001" customHeight="1">
      <c r="A2635" s="1316" t="s">
        <v>2108</v>
      </c>
      <c r="B2635" s="1317"/>
      <c r="C2635" s="1316" t="s">
        <v>1469</v>
      </c>
      <c r="D2635" s="1317"/>
      <c r="E2635" s="675">
        <v>0.05</v>
      </c>
      <c r="F2635" s="676" t="s">
        <v>672</v>
      </c>
      <c r="G2635" s="670"/>
      <c r="H2635" s="670">
        <f>INT(E2635*G2635)</f>
        <v>0</v>
      </c>
      <c r="I2635" s="670"/>
      <c r="J2635" s="670"/>
      <c r="K2635" s="670">
        <f>J2630+J2631+J2632</f>
        <v>538780</v>
      </c>
      <c r="L2635" s="670">
        <f>INT(E2635*K2635)</f>
        <v>26939</v>
      </c>
      <c r="M2635" s="670">
        <f t="shared" si="623"/>
        <v>538780</v>
      </c>
      <c r="N2635" s="670">
        <f t="shared" si="623"/>
        <v>26939</v>
      </c>
      <c r="O2635" s="671"/>
      <c r="P2635" s="672"/>
      <c r="Q2635" s="688">
        <f t="shared" si="624"/>
        <v>120</v>
      </c>
      <c r="R2635" s="688">
        <f t="shared" si="624"/>
        <v>1.2</v>
      </c>
      <c r="S2635" s="688">
        <v>2</v>
      </c>
      <c r="T2635" s="690">
        <f t="shared" si="625"/>
        <v>1.6667000000000001</v>
      </c>
      <c r="U2635" s="690"/>
      <c r="V2635" s="690"/>
    </row>
    <row r="2636" spans="1:22" s="688" customFormat="1" ht="17.100000000000001" customHeight="1">
      <c r="A2636" s="1318" t="s">
        <v>1320</v>
      </c>
      <c r="B2636" s="1319"/>
      <c r="C2636" s="1316"/>
      <c r="D2636" s="1317"/>
      <c r="E2636" s="686"/>
      <c r="F2636" s="676"/>
      <c r="G2636" s="670"/>
      <c r="H2636" s="670" t="e">
        <f>SUM(H2625:H2635)</f>
        <v>#REF!</v>
      </c>
      <c r="I2636" s="670"/>
      <c r="J2636" s="670" t="e">
        <f>SUM(J2625:J2635)</f>
        <v>#REF!</v>
      </c>
      <c r="K2636" s="670"/>
      <c r="L2636" s="670" t="e">
        <f>SUM(L2625:L2635)</f>
        <v>#REF!</v>
      </c>
      <c r="M2636" s="670"/>
      <c r="N2636" s="670" t="e">
        <f>SUM(N2625:N2635)</f>
        <v>#REF!</v>
      </c>
      <c r="O2636" s="671"/>
      <c r="P2636" s="672"/>
      <c r="Q2636" s="688">
        <f t="shared" si="624"/>
        <v>120</v>
      </c>
      <c r="R2636" s="688">
        <f t="shared" si="624"/>
        <v>1.2</v>
      </c>
      <c r="S2636" s="688">
        <v>1</v>
      </c>
      <c r="T2636" s="690">
        <f t="shared" si="625"/>
        <v>0.83330000000000004</v>
      </c>
      <c r="U2636" s="690"/>
      <c r="V2636" s="690"/>
    </row>
    <row r="2637" spans="1:22" s="688" customFormat="1" ht="17.100000000000001" customHeight="1">
      <c r="A2637" s="668">
        <f>A2624+1</f>
        <v>383</v>
      </c>
      <c r="B2637" s="1320" t="s">
        <v>2148</v>
      </c>
      <c r="C2637" s="1320"/>
      <c r="D2637" s="1320" t="s">
        <v>2167</v>
      </c>
      <c r="E2637" s="1320"/>
      <c r="F2637" s="669" t="s">
        <v>1458</v>
      </c>
      <c r="G2637" s="698"/>
      <c r="H2637" s="698"/>
      <c r="I2637" s="698"/>
      <c r="J2637" s="698"/>
      <c r="K2637" s="670"/>
      <c r="L2637" s="670"/>
      <c r="M2637" s="670"/>
      <c r="N2637" s="698"/>
      <c r="O2637" s="699" t="s">
        <v>1562</v>
      </c>
      <c r="P2637" s="672"/>
      <c r="Q2637" s="688">
        <f t="shared" si="624"/>
        <v>120</v>
      </c>
      <c r="R2637" s="688">
        <f t="shared" si="624"/>
        <v>1.2</v>
      </c>
      <c r="S2637" s="688">
        <v>8</v>
      </c>
      <c r="T2637" s="690">
        <f t="shared" si="625"/>
        <v>6.6666999999999996</v>
      </c>
      <c r="U2637" s="690"/>
      <c r="V2637" s="690"/>
    </row>
    <row r="2638" spans="1:22" s="688" customFormat="1" ht="17.100000000000001" customHeight="1">
      <c r="A2638" s="1316" t="s">
        <v>2158</v>
      </c>
      <c r="B2638" s="1317"/>
      <c r="C2638" s="1316" t="s">
        <v>2159</v>
      </c>
      <c r="D2638" s="1317"/>
      <c r="E2638" s="677">
        <v>2600</v>
      </c>
      <c r="F2638" s="676" t="s">
        <v>30</v>
      </c>
      <c r="G2638" s="670"/>
      <c r="H2638" s="670"/>
      <c r="I2638" s="670"/>
      <c r="J2638" s="670"/>
      <c r="K2638" s="670"/>
      <c r="L2638" s="670"/>
      <c r="M2638" s="670"/>
      <c r="N2638" s="670"/>
      <c r="O2638" s="671"/>
      <c r="P2638" s="672"/>
      <c r="Q2638" s="688">
        <f t="shared" si="624"/>
        <v>120</v>
      </c>
      <c r="R2638" s="688">
        <f t="shared" si="624"/>
        <v>1.2</v>
      </c>
      <c r="S2638" s="688">
        <v>8</v>
      </c>
      <c r="T2638" s="690">
        <f t="shared" si="625"/>
        <v>6.6666999999999996</v>
      </c>
      <c r="U2638" s="690"/>
      <c r="V2638" s="690"/>
    </row>
    <row r="2639" spans="1:22" s="688" customFormat="1" ht="17.100000000000001" customHeight="1">
      <c r="A2639" s="1369" t="s">
        <v>2160</v>
      </c>
      <c r="B2639" s="1365"/>
      <c r="C2639" s="1369" t="s">
        <v>1761</v>
      </c>
      <c r="D2639" s="1365"/>
      <c r="E2639" s="677">
        <v>2600</v>
      </c>
      <c r="F2639" s="676" t="s">
        <v>30</v>
      </c>
      <c r="G2639" s="816"/>
      <c r="H2639" s="816"/>
      <c r="I2639" s="816"/>
      <c r="J2639" s="816"/>
      <c r="K2639" s="816">
        <f>[53]운반공!$BO$635</f>
        <v>22</v>
      </c>
      <c r="L2639" s="816">
        <f>INT(E2639*K2639)</f>
        <v>57200</v>
      </c>
      <c r="M2639" s="816">
        <f>G2639+I2639+K2639</f>
        <v>22</v>
      </c>
      <c r="N2639" s="816">
        <f>H2639+J2639+L2639</f>
        <v>57200</v>
      </c>
      <c r="O2639" s="817"/>
      <c r="P2639" s="672"/>
      <c r="T2639" s="690"/>
      <c r="U2639" s="690"/>
      <c r="V2639" s="690"/>
    </row>
    <row r="2640" spans="1:22" s="688" customFormat="1" ht="17.100000000000001" customHeight="1">
      <c r="A2640" s="1316" t="s">
        <v>2165</v>
      </c>
      <c r="B2640" s="1317"/>
      <c r="C2640" s="1316" t="s">
        <v>2153</v>
      </c>
      <c r="D2640" s="1317"/>
      <c r="E2640" s="675">
        <v>0.16</v>
      </c>
      <c r="F2640" s="676" t="s">
        <v>850</v>
      </c>
      <c r="G2640" s="670" t="e">
        <f>#REF!</f>
        <v>#REF!</v>
      </c>
      <c r="H2640" s="670" t="e">
        <f>INT(E2640*G2640)</f>
        <v>#REF!</v>
      </c>
      <c r="I2640" s="670"/>
      <c r="J2640" s="670"/>
      <c r="K2640" s="670"/>
      <c r="L2640" s="670"/>
      <c r="M2640" s="670" t="e">
        <f t="shared" ref="M2640:N2648" si="626">G2640+I2640+K2640</f>
        <v>#REF!</v>
      </c>
      <c r="N2640" s="670" t="e">
        <f t="shared" si="626"/>
        <v>#REF!</v>
      </c>
      <c r="O2640" s="671"/>
      <c r="P2640" s="672"/>
    </row>
    <row r="2641" spans="1:22" s="688" customFormat="1" ht="17.100000000000001" customHeight="1">
      <c r="A2641" s="1316" t="s">
        <v>2166</v>
      </c>
      <c r="B2641" s="1317"/>
      <c r="C2641" s="1316"/>
      <c r="D2641" s="1317"/>
      <c r="E2641" s="679">
        <v>100</v>
      </c>
      <c r="F2641" s="676" t="s">
        <v>645</v>
      </c>
      <c r="G2641" s="670" t="e">
        <f>$H$2960</f>
        <v>#REF!</v>
      </c>
      <c r="H2641" s="670" t="e">
        <f>INT(E2641*G2641)</f>
        <v>#REF!</v>
      </c>
      <c r="I2641" s="670">
        <f>$J$2960</f>
        <v>576</v>
      </c>
      <c r="J2641" s="670">
        <f>INT(E2641*I2641)</f>
        <v>57600</v>
      </c>
      <c r="K2641" s="670">
        <f>$L$2960</f>
        <v>0</v>
      </c>
      <c r="L2641" s="816">
        <f>INT(E2641*K2641)</f>
        <v>0</v>
      </c>
      <c r="M2641" s="670" t="e">
        <f t="shared" si="626"/>
        <v>#REF!</v>
      </c>
      <c r="N2641" s="670" t="e">
        <f t="shared" si="626"/>
        <v>#REF!</v>
      </c>
      <c r="O2641" s="671">
        <f>$A$2956</f>
        <v>408</v>
      </c>
      <c r="P2641" s="672" t="s">
        <v>1422</v>
      </c>
      <c r="Q2641" s="806" t="s">
        <v>1446</v>
      </c>
      <c r="R2641" s="688" t="s">
        <v>1447</v>
      </c>
      <c r="S2641" s="688" t="s">
        <v>1425</v>
      </c>
      <c r="T2641" s="688" t="s">
        <v>1426</v>
      </c>
    </row>
    <row r="2642" spans="1:22" s="688" customFormat="1" ht="16.5" customHeight="1">
      <c r="A2642" s="1316" t="s">
        <v>821</v>
      </c>
      <c r="B2642" s="1317"/>
      <c r="C2642" s="1316" t="s">
        <v>2154</v>
      </c>
      <c r="D2642" s="1317"/>
      <c r="E2642" s="679">
        <v>3.3</v>
      </c>
      <c r="F2642" s="676" t="s">
        <v>850</v>
      </c>
      <c r="G2642" s="670" t="e">
        <f>#REF!</f>
        <v>#REF!</v>
      </c>
      <c r="H2642" s="670" t="e">
        <f>INT(E2642*G2642)</f>
        <v>#REF!</v>
      </c>
      <c r="I2642" s="670"/>
      <c r="J2642" s="670"/>
      <c r="K2642" s="670"/>
      <c r="L2642" s="670"/>
      <c r="M2642" s="670" t="e">
        <f t="shared" si="626"/>
        <v>#REF!</v>
      </c>
      <c r="N2642" s="670" t="e">
        <f t="shared" si="626"/>
        <v>#REF!</v>
      </c>
      <c r="O2642" s="818"/>
      <c r="P2642" s="672" t="s">
        <v>2130</v>
      </c>
      <c r="Q2642" s="688">
        <v>300</v>
      </c>
      <c r="R2642" s="688">
        <f>(Q2642)/100</f>
        <v>3</v>
      </c>
      <c r="T2642" s="690">
        <f>ROUND(S2642/R2642,4)</f>
        <v>0</v>
      </c>
      <c r="U2642" s="690"/>
      <c r="V2642" s="690"/>
    </row>
    <row r="2643" spans="1:22" s="688" customFormat="1" ht="17.100000000000001" customHeight="1">
      <c r="A2643" s="1316" t="s">
        <v>540</v>
      </c>
      <c r="B2643" s="1317"/>
      <c r="C2643" s="1316"/>
      <c r="D2643" s="1317"/>
      <c r="E2643" s="683">
        <f>T2612</f>
        <v>1.0526</v>
      </c>
      <c r="F2643" s="676" t="s">
        <v>366</v>
      </c>
      <c r="G2643" s="670"/>
      <c r="H2643" s="670"/>
      <c r="I2643" s="670">
        <f>[53]노임단가!$T$22</f>
        <v>273308</v>
      </c>
      <c r="J2643" s="670">
        <f>INT(E2643*I2643)</f>
        <v>287684</v>
      </c>
      <c r="K2643" s="670"/>
      <c r="L2643" s="670"/>
      <c r="M2643" s="670">
        <f t="shared" si="626"/>
        <v>273308</v>
      </c>
      <c r="N2643" s="670">
        <f t="shared" si="626"/>
        <v>287684</v>
      </c>
      <c r="O2643" s="671"/>
      <c r="P2643" s="813"/>
      <c r="Q2643" s="688">
        <f>Q2642</f>
        <v>300</v>
      </c>
      <c r="R2643" s="688">
        <f>R2642</f>
        <v>3</v>
      </c>
      <c r="T2643" s="690">
        <f>ROUND(S2643/R2643,4)</f>
        <v>0</v>
      </c>
      <c r="U2643" s="690"/>
      <c r="V2643" s="690"/>
    </row>
    <row r="2644" spans="1:22" s="688" customFormat="1" ht="17.100000000000001" customHeight="1">
      <c r="A2644" s="1316" t="s">
        <v>628</v>
      </c>
      <c r="B2644" s="1317"/>
      <c r="C2644" s="1316"/>
      <c r="D2644" s="1317"/>
      <c r="E2644" s="683">
        <f>T2613</f>
        <v>1.0526</v>
      </c>
      <c r="F2644" s="676" t="s">
        <v>366</v>
      </c>
      <c r="G2644" s="670"/>
      <c r="H2644" s="670"/>
      <c r="I2644" s="670">
        <f>[53]노임단가!$T$6</f>
        <v>226122</v>
      </c>
      <c r="J2644" s="670">
        <f>INT(E2644*I2644)</f>
        <v>238016</v>
      </c>
      <c r="K2644" s="670"/>
      <c r="L2644" s="670"/>
      <c r="M2644" s="670">
        <f t="shared" si="626"/>
        <v>226122</v>
      </c>
      <c r="N2644" s="670">
        <f t="shared" si="626"/>
        <v>238016</v>
      </c>
      <c r="O2644" s="671"/>
      <c r="P2644" s="672"/>
      <c r="Q2644" s="688">
        <f t="shared" ref="Q2644:R2650" si="627">Q2643</f>
        <v>300</v>
      </c>
      <c r="R2644" s="688">
        <f t="shared" si="627"/>
        <v>3</v>
      </c>
      <c r="T2644" s="690">
        <f t="shared" ref="T2644:T2650" si="628">ROUND(S2644/R2644,4)</f>
        <v>0</v>
      </c>
      <c r="U2644" s="690"/>
      <c r="V2644" s="690"/>
    </row>
    <row r="2645" spans="1:22" s="688" customFormat="1" ht="17.100000000000001" customHeight="1">
      <c r="A2645" s="1316" t="s">
        <v>248</v>
      </c>
      <c r="B2645" s="1317"/>
      <c r="C2645" s="1316"/>
      <c r="D2645" s="1317"/>
      <c r="E2645" s="683">
        <f>T2614</f>
        <v>0.52629999999999999</v>
      </c>
      <c r="F2645" s="676" t="s">
        <v>366</v>
      </c>
      <c r="G2645" s="670"/>
      <c r="H2645" s="670"/>
      <c r="I2645" s="670">
        <f>[53]노임단가!$T$5</f>
        <v>172068</v>
      </c>
      <c r="J2645" s="670">
        <f>INT(E2645*I2645)</f>
        <v>90559</v>
      </c>
      <c r="K2645" s="670"/>
      <c r="L2645" s="670"/>
      <c r="M2645" s="670">
        <f t="shared" si="626"/>
        <v>172068</v>
      </c>
      <c r="N2645" s="670">
        <f t="shared" si="626"/>
        <v>90559</v>
      </c>
      <c r="O2645" s="671"/>
      <c r="P2645" s="672"/>
      <c r="Q2645" s="688">
        <f t="shared" si="627"/>
        <v>300</v>
      </c>
      <c r="R2645" s="688">
        <f t="shared" si="627"/>
        <v>3</v>
      </c>
      <c r="T2645" s="690">
        <f t="shared" si="628"/>
        <v>0</v>
      </c>
      <c r="U2645" s="690"/>
      <c r="V2645" s="690"/>
    </row>
    <row r="2646" spans="1:22" s="688" customFormat="1" ht="17.100000000000001" customHeight="1">
      <c r="A2646" s="1316" t="s">
        <v>409</v>
      </c>
      <c r="B2646" s="1317"/>
      <c r="C2646" s="1316" t="s">
        <v>1380</v>
      </c>
      <c r="D2646" s="1317"/>
      <c r="E2646" s="683">
        <f>T2615</f>
        <v>4.2104999999999997</v>
      </c>
      <c r="F2646" s="676" t="s">
        <v>418</v>
      </c>
      <c r="G2646" s="670" t="e">
        <f>#REF!</f>
        <v>#REF!</v>
      </c>
      <c r="H2646" s="670" t="e">
        <f>INT(E2646*G2646)</f>
        <v>#REF!</v>
      </c>
      <c r="I2646" s="670" t="e">
        <f>#REF!</f>
        <v>#REF!</v>
      </c>
      <c r="J2646" s="670" t="e">
        <f>INT(E2646*I2646)</f>
        <v>#REF!</v>
      </c>
      <c r="K2646" s="670" t="e">
        <f>#REF!</f>
        <v>#REF!</v>
      </c>
      <c r="L2646" s="670" t="e">
        <f>INT(E2646*K2646)</f>
        <v>#REF!</v>
      </c>
      <c r="M2646" s="670" t="e">
        <f t="shared" si="626"/>
        <v>#REF!</v>
      </c>
      <c r="N2646" s="670" t="e">
        <f t="shared" si="626"/>
        <v>#REF!</v>
      </c>
      <c r="O2646" s="671"/>
      <c r="P2646" s="672"/>
      <c r="Q2646" s="688">
        <f t="shared" si="627"/>
        <v>300</v>
      </c>
      <c r="R2646" s="688">
        <f t="shared" si="627"/>
        <v>3</v>
      </c>
      <c r="S2646" s="688">
        <v>3</v>
      </c>
      <c r="T2646" s="690">
        <f t="shared" si="628"/>
        <v>1</v>
      </c>
      <c r="U2646" s="690"/>
      <c r="V2646" s="690"/>
    </row>
    <row r="2647" spans="1:22" s="688" customFormat="1" ht="17.100000000000001" customHeight="1">
      <c r="A2647" s="1316" t="s">
        <v>465</v>
      </c>
      <c r="B2647" s="1317"/>
      <c r="C2647" s="1316" t="s">
        <v>466</v>
      </c>
      <c r="D2647" s="1317"/>
      <c r="E2647" s="683">
        <f>T2616</f>
        <v>4.2104999999999997</v>
      </c>
      <c r="F2647" s="676" t="s">
        <v>418</v>
      </c>
      <c r="G2647" s="670" t="e">
        <f>#REF!</f>
        <v>#REF!</v>
      </c>
      <c r="H2647" s="750" t="e">
        <f>INT(E2647*G2647)</f>
        <v>#REF!</v>
      </c>
      <c r="I2647" s="670" t="e">
        <f>#REF!</f>
        <v>#REF!</v>
      </c>
      <c r="J2647" s="750" t="e">
        <f>INT(E2647*I2647)</f>
        <v>#REF!</v>
      </c>
      <c r="K2647" s="670" t="e">
        <f>#REF!</f>
        <v>#REF!</v>
      </c>
      <c r="L2647" s="750" t="e">
        <f>INT(E2647*K2647)</f>
        <v>#REF!</v>
      </c>
      <c r="M2647" s="670" t="e">
        <f t="shared" si="626"/>
        <v>#REF!</v>
      </c>
      <c r="N2647" s="670" t="e">
        <f t="shared" si="626"/>
        <v>#REF!</v>
      </c>
      <c r="O2647" s="671"/>
      <c r="P2647" s="672"/>
      <c r="Q2647" s="688">
        <f t="shared" si="627"/>
        <v>300</v>
      </c>
      <c r="R2647" s="688">
        <f t="shared" si="627"/>
        <v>3</v>
      </c>
      <c r="S2647" s="688">
        <v>2</v>
      </c>
      <c r="T2647" s="690">
        <f t="shared" si="628"/>
        <v>0.66669999999999996</v>
      </c>
      <c r="U2647" s="690"/>
      <c r="V2647" s="690"/>
    </row>
    <row r="2648" spans="1:22" s="688" customFormat="1" ht="17.100000000000001" customHeight="1">
      <c r="A2648" s="1316" t="s">
        <v>2108</v>
      </c>
      <c r="B2648" s="1317"/>
      <c r="C2648" s="1316" t="s">
        <v>1469</v>
      </c>
      <c r="D2648" s="1317"/>
      <c r="E2648" s="675">
        <v>0.05</v>
      </c>
      <c r="F2648" s="676" t="s">
        <v>672</v>
      </c>
      <c r="G2648" s="670"/>
      <c r="H2648" s="670">
        <f>INT(E2648*G2648)</f>
        <v>0</v>
      </c>
      <c r="I2648" s="670"/>
      <c r="J2648" s="670"/>
      <c r="K2648" s="670">
        <f>J2643+J2644+J2645</f>
        <v>616259</v>
      </c>
      <c r="L2648" s="670">
        <f>INT(E2648*K2648)</f>
        <v>30812</v>
      </c>
      <c r="M2648" s="670">
        <f t="shared" si="626"/>
        <v>616259</v>
      </c>
      <c r="N2648" s="670">
        <f t="shared" si="626"/>
        <v>30812</v>
      </c>
      <c r="O2648" s="671"/>
      <c r="P2648" s="672"/>
      <c r="Q2648" s="688">
        <f t="shared" si="627"/>
        <v>300</v>
      </c>
      <c r="R2648" s="688">
        <f t="shared" si="627"/>
        <v>3</v>
      </c>
      <c r="S2648" s="688">
        <v>2</v>
      </c>
      <c r="T2648" s="690">
        <f t="shared" si="628"/>
        <v>0.66669999999999996</v>
      </c>
      <c r="U2648" s="690"/>
      <c r="V2648" s="690"/>
    </row>
    <row r="2649" spans="1:22" s="688" customFormat="1" ht="17.100000000000001" customHeight="1">
      <c r="A2649" s="1318" t="s">
        <v>1320</v>
      </c>
      <c r="B2649" s="1319"/>
      <c r="C2649" s="1316"/>
      <c r="D2649" s="1317"/>
      <c r="E2649" s="686"/>
      <c r="F2649" s="676"/>
      <c r="G2649" s="670"/>
      <c r="H2649" s="670" t="e">
        <f>SUM(H2638:H2648)</f>
        <v>#REF!</v>
      </c>
      <c r="I2649" s="670"/>
      <c r="J2649" s="670" t="e">
        <f>SUM(J2638:J2648)</f>
        <v>#REF!</v>
      </c>
      <c r="K2649" s="670"/>
      <c r="L2649" s="670" t="e">
        <f>SUM(L2638:L2648)</f>
        <v>#REF!</v>
      </c>
      <c r="M2649" s="670"/>
      <c r="N2649" s="670" t="e">
        <f>SUM(N2638:N2648)</f>
        <v>#REF!</v>
      </c>
      <c r="O2649" s="671"/>
      <c r="P2649" s="672"/>
      <c r="Q2649" s="688">
        <f t="shared" si="627"/>
        <v>300</v>
      </c>
      <c r="R2649" s="688">
        <f t="shared" si="627"/>
        <v>3</v>
      </c>
      <c r="S2649" s="688">
        <v>8</v>
      </c>
      <c r="T2649" s="690">
        <f t="shared" si="628"/>
        <v>2.6667000000000001</v>
      </c>
      <c r="U2649" s="690"/>
      <c r="V2649" s="690"/>
    </row>
    <row r="2650" spans="1:22" s="688" customFormat="1" ht="17.100000000000001" customHeight="1">
      <c r="A2650" s="668">
        <f>A2637+1</f>
        <v>384</v>
      </c>
      <c r="B2650" s="1320" t="s">
        <v>2168</v>
      </c>
      <c r="C2650" s="1320"/>
      <c r="D2650" s="1320" t="s">
        <v>2169</v>
      </c>
      <c r="E2650" s="1320"/>
      <c r="F2650" s="669" t="s">
        <v>1458</v>
      </c>
      <c r="G2650" s="698"/>
      <c r="H2650" s="698"/>
      <c r="I2650" s="698"/>
      <c r="J2650" s="698"/>
      <c r="K2650" s="670"/>
      <c r="L2650" s="670"/>
      <c r="M2650" s="670"/>
      <c r="N2650" s="698"/>
      <c r="O2650" s="699" t="s">
        <v>1562</v>
      </c>
      <c r="P2650" s="672"/>
      <c r="Q2650" s="688">
        <f t="shared" si="627"/>
        <v>300</v>
      </c>
      <c r="R2650" s="688">
        <f t="shared" si="627"/>
        <v>3</v>
      </c>
      <c r="S2650" s="688">
        <v>8</v>
      </c>
      <c r="T2650" s="690">
        <f t="shared" si="628"/>
        <v>2.6667000000000001</v>
      </c>
      <c r="U2650" s="690"/>
      <c r="V2650" s="690"/>
    </row>
    <row r="2651" spans="1:22" s="688" customFormat="1" ht="17.100000000000001" customHeight="1">
      <c r="A2651" s="1316" t="s">
        <v>2170</v>
      </c>
      <c r="B2651" s="1317"/>
      <c r="C2651" s="1316" t="s">
        <v>2171</v>
      </c>
      <c r="D2651" s="1317"/>
      <c r="E2651" s="677">
        <v>416</v>
      </c>
      <c r="F2651" s="676" t="s">
        <v>30</v>
      </c>
      <c r="G2651" s="670"/>
      <c r="H2651" s="670"/>
      <c r="I2651" s="670"/>
      <c r="J2651" s="670"/>
      <c r="K2651" s="670"/>
      <c r="L2651" s="670"/>
      <c r="M2651" s="670"/>
      <c r="N2651" s="670"/>
      <c r="O2651" s="671"/>
      <c r="P2651" s="672"/>
      <c r="T2651" s="690"/>
      <c r="U2651" s="690"/>
      <c r="V2651" s="690"/>
    </row>
    <row r="2652" spans="1:22" s="688" customFormat="1" ht="17.100000000000001" customHeight="1">
      <c r="A2652" s="1316" t="s">
        <v>2170</v>
      </c>
      <c r="B2652" s="1317"/>
      <c r="C2652" s="1316" t="s">
        <v>1761</v>
      </c>
      <c r="D2652" s="1317"/>
      <c r="E2652" s="819">
        <v>416</v>
      </c>
      <c r="F2652" s="676" t="s">
        <v>30</v>
      </c>
      <c r="G2652" s="670"/>
      <c r="H2652" s="670"/>
      <c r="I2652" s="670"/>
      <c r="J2652" s="670"/>
      <c r="K2652" s="670">
        <f>[53]운반공!$BO$633</f>
        <v>97</v>
      </c>
      <c r="L2652" s="670">
        <f>INT(E2652*K2652)</f>
        <v>40352</v>
      </c>
      <c r="M2652" s="670">
        <f t="shared" ref="M2652:N2659" si="629">G2652+I2652+K2652</f>
        <v>97</v>
      </c>
      <c r="N2652" s="670">
        <f t="shared" si="629"/>
        <v>40352</v>
      </c>
      <c r="O2652" s="671"/>
      <c r="P2652" s="672"/>
    </row>
    <row r="2653" spans="1:22" s="688" customFormat="1" ht="17.100000000000001" customHeight="1">
      <c r="A2653" s="1316" t="s">
        <v>1524</v>
      </c>
      <c r="B2653" s="1317"/>
      <c r="C2653" s="1370" t="s">
        <v>1529</v>
      </c>
      <c r="D2653" s="1317"/>
      <c r="E2653" s="677">
        <v>3</v>
      </c>
      <c r="F2653" s="676" t="s">
        <v>850</v>
      </c>
      <c r="G2653" s="670" t="e">
        <f>$H$484</f>
        <v>#REF!</v>
      </c>
      <c r="H2653" s="670" t="e">
        <f>INT(E2653*G2653)</f>
        <v>#REF!</v>
      </c>
      <c r="I2653" s="670">
        <f>$J$484</f>
        <v>73989</v>
      </c>
      <c r="J2653" s="670">
        <f t="shared" ref="J2653:J2658" si="630">INT(E2653*I2653)</f>
        <v>221967</v>
      </c>
      <c r="K2653" s="670">
        <f>$L$484</f>
        <v>11220</v>
      </c>
      <c r="L2653" s="670">
        <f>INT(E2653*K2653)</f>
        <v>33660</v>
      </c>
      <c r="M2653" s="670" t="e">
        <f t="shared" si="629"/>
        <v>#REF!</v>
      </c>
      <c r="N2653" s="670" t="e">
        <f t="shared" si="629"/>
        <v>#REF!</v>
      </c>
      <c r="O2653" s="671">
        <f>$A$479</f>
        <v>130</v>
      </c>
      <c r="P2653" s="672" t="s">
        <v>1549</v>
      </c>
      <c r="Q2653" s="806" t="s">
        <v>1446</v>
      </c>
      <c r="R2653" s="688" t="s">
        <v>1447</v>
      </c>
      <c r="S2653" s="688" t="s">
        <v>1425</v>
      </c>
      <c r="T2653" s="688" t="s">
        <v>1426</v>
      </c>
    </row>
    <row r="2654" spans="1:22" s="688" customFormat="1" ht="17.100000000000001" customHeight="1">
      <c r="A2654" s="1316" t="s">
        <v>540</v>
      </c>
      <c r="B2654" s="1317"/>
      <c r="C2654" s="1316"/>
      <c r="D2654" s="1317"/>
      <c r="E2654" s="683">
        <f>T2623</f>
        <v>1.5789</v>
      </c>
      <c r="F2654" s="676" t="s">
        <v>366</v>
      </c>
      <c r="G2654" s="670"/>
      <c r="H2654" s="670"/>
      <c r="I2654" s="670">
        <f>[53]노임단가!$T$22</f>
        <v>273308</v>
      </c>
      <c r="J2654" s="670">
        <f t="shared" si="630"/>
        <v>431526</v>
      </c>
      <c r="K2654" s="670"/>
      <c r="L2654" s="670"/>
      <c r="M2654" s="670">
        <f t="shared" si="629"/>
        <v>273308</v>
      </c>
      <c r="N2654" s="670">
        <f t="shared" si="629"/>
        <v>431526</v>
      </c>
      <c r="O2654" s="671"/>
      <c r="P2654" s="672" t="s">
        <v>2130</v>
      </c>
      <c r="Q2654" s="688">
        <v>190</v>
      </c>
      <c r="R2654" s="688">
        <f>(Q2654)/100</f>
        <v>1.9</v>
      </c>
      <c r="T2654" s="690">
        <f>ROUND(S2654/R2654,4)</f>
        <v>0</v>
      </c>
    </row>
    <row r="2655" spans="1:22" s="688" customFormat="1" ht="17.100000000000001" customHeight="1">
      <c r="A2655" s="1316" t="s">
        <v>628</v>
      </c>
      <c r="B2655" s="1317"/>
      <c r="C2655" s="1316"/>
      <c r="D2655" s="1317"/>
      <c r="E2655" s="683">
        <f>T2624</f>
        <v>1.0526</v>
      </c>
      <c r="F2655" s="676" t="s">
        <v>366</v>
      </c>
      <c r="G2655" s="670"/>
      <c r="H2655" s="670"/>
      <c r="I2655" s="670">
        <f>[53]노임단가!$T$6</f>
        <v>226122</v>
      </c>
      <c r="J2655" s="670">
        <f t="shared" si="630"/>
        <v>238016</v>
      </c>
      <c r="K2655" s="670"/>
      <c r="L2655" s="670"/>
      <c r="M2655" s="670">
        <f t="shared" si="629"/>
        <v>226122</v>
      </c>
      <c r="N2655" s="670">
        <f t="shared" si="629"/>
        <v>238016</v>
      </c>
      <c r="O2655" s="671"/>
      <c r="P2655" s="672"/>
      <c r="Q2655" s="688">
        <f>Q2654</f>
        <v>190</v>
      </c>
      <c r="R2655" s="688">
        <f>R2654</f>
        <v>1.9</v>
      </c>
      <c r="T2655" s="690">
        <f t="shared" ref="T2655:T2662" si="631">ROUND(S2655/R2655,4)</f>
        <v>0</v>
      </c>
    </row>
    <row r="2656" spans="1:22" s="688" customFormat="1" ht="17.100000000000001" customHeight="1">
      <c r="A2656" s="1316" t="s">
        <v>248</v>
      </c>
      <c r="B2656" s="1317"/>
      <c r="C2656" s="1316"/>
      <c r="D2656" s="1317"/>
      <c r="E2656" s="683">
        <f>T2625</f>
        <v>1.0526</v>
      </c>
      <c r="F2656" s="676" t="s">
        <v>366</v>
      </c>
      <c r="G2656" s="670"/>
      <c r="H2656" s="670"/>
      <c r="I2656" s="670">
        <f>[53]노임단가!$T$5</f>
        <v>172068</v>
      </c>
      <c r="J2656" s="670">
        <f t="shared" si="630"/>
        <v>181118</v>
      </c>
      <c r="K2656" s="670"/>
      <c r="L2656" s="670"/>
      <c r="M2656" s="670">
        <f t="shared" si="629"/>
        <v>172068</v>
      </c>
      <c r="N2656" s="670">
        <f t="shared" si="629"/>
        <v>181118</v>
      </c>
      <c r="O2656" s="671"/>
      <c r="P2656" s="672"/>
      <c r="Q2656" s="688">
        <f t="shared" ref="Q2656:R2662" si="632">Q2655</f>
        <v>190</v>
      </c>
      <c r="R2656" s="688">
        <f t="shared" si="632"/>
        <v>1.9</v>
      </c>
      <c r="T2656" s="690">
        <f t="shared" si="631"/>
        <v>0</v>
      </c>
    </row>
    <row r="2657" spans="1:22" s="688" customFormat="1" ht="17.100000000000001" customHeight="1">
      <c r="A2657" s="1316" t="s">
        <v>409</v>
      </c>
      <c r="B2657" s="1317"/>
      <c r="C2657" s="1316" t="s">
        <v>1572</v>
      </c>
      <c r="D2657" s="1317"/>
      <c r="E2657" s="683">
        <f>T2626</f>
        <v>4.2104999999999997</v>
      </c>
      <c r="F2657" s="676" t="s">
        <v>418</v>
      </c>
      <c r="G2657" s="670" t="e">
        <f>#REF!</f>
        <v>#REF!</v>
      </c>
      <c r="H2657" s="670" t="e">
        <f>INT(E2657*G2657)</f>
        <v>#REF!</v>
      </c>
      <c r="I2657" s="670" t="e">
        <f>#REF!</f>
        <v>#REF!</v>
      </c>
      <c r="J2657" s="670" t="e">
        <f t="shared" si="630"/>
        <v>#REF!</v>
      </c>
      <c r="K2657" s="670" t="e">
        <f>#REF!</f>
        <v>#REF!</v>
      </c>
      <c r="L2657" s="670" t="e">
        <f>INT(E2657*K2657)</f>
        <v>#REF!</v>
      </c>
      <c r="M2657" s="670" t="e">
        <f t="shared" si="629"/>
        <v>#REF!</v>
      </c>
      <c r="N2657" s="670" t="e">
        <f t="shared" si="629"/>
        <v>#REF!</v>
      </c>
      <c r="O2657" s="671"/>
      <c r="P2657" s="672"/>
      <c r="Q2657" s="688">
        <f t="shared" si="632"/>
        <v>190</v>
      </c>
      <c r="R2657" s="688">
        <f t="shared" si="632"/>
        <v>1.9</v>
      </c>
      <c r="T2657" s="690">
        <f t="shared" si="631"/>
        <v>0</v>
      </c>
    </row>
    <row r="2658" spans="1:22" s="688" customFormat="1" ht="17.100000000000001" customHeight="1">
      <c r="A2658" s="1316" t="s">
        <v>465</v>
      </c>
      <c r="B2658" s="1317"/>
      <c r="C2658" s="1316" t="s">
        <v>466</v>
      </c>
      <c r="D2658" s="1317"/>
      <c r="E2658" s="683">
        <f>T2627</f>
        <v>4.2104999999999997</v>
      </c>
      <c r="F2658" s="676" t="s">
        <v>418</v>
      </c>
      <c r="G2658" s="670" t="e">
        <f>#REF!</f>
        <v>#REF!</v>
      </c>
      <c r="H2658" s="750" t="e">
        <f>INT(E2658*G2658)</f>
        <v>#REF!</v>
      </c>
      <c r="I2658" s="670" t="e">
        <f>#REF!</f>
        <v>#REF!</v>
      </c>
      <c r="J2658" s="750" t="e">
        <f t="shared" si="630"/>
        <v>#REF!</v>
      </c>
      <c r="K2658" s="670" t="e">
        <f>#REF!</f>
        <v>#REF!</v>
      </c>
      <c r="L2658" s="750" t="e">
        <f>INT(E2658*K2658)</f>
        <v>#REF!</v>
      </c>
      <c r="M2658" s="670" t="e">
        <f t="shared" si="629"/>
        <v>#REF!</v>
      </c>
      <c r="N2658" s="670" t="e">
        <f t="shared" si="629"/>
        <v>#REF!</v>
      </c>
      <c r="O2658" s="671"/>
      <c r="P2658" s="672"/>
      <c r="Q2658" s="688">
        <f t="shared" si="632"/>
        <v>190</v>
      </c>
      <c r="R2658" s="688">
        <f t="shared" si="632"/>
        <v>1.9</v>
      </c>
      <c r="S2658" s="688">
        <v>2</v>
      </c>
      <c r="T2658" s="690">
        <f t="shared" si="631"/>
        <v>1.0526</v>
      </c>
      <c r="U2658" s="690"/>
      <c r="V2658" s="690"/>
    </row>
    <row r="2659" spans="1:22" s="688" customFormat="1" ht="17.100000000000001" customHeight="1">
      <c r="A2659" s="1316" t="s">
        <v>2108</v>
      </c>
      <c r="B2659" s="1317"/>
      <c r="C2659" s="1316" t="s">
        <v>1469</v>
      </c>
      <c r="D2659" s="1317"/>
      <c r="E2659" s="675">
        <v>0.05</v>
      </c>
      <c r="F2659" s="676" t="s">
        <v>672</v>
      </c>
      <c r="G2659" s="670"/>
      <c r="H2659" s="670">
        <f>INT(E2659*G2659)</f>
        <v>0</v>
      </c>
      <c r="I2659" s="670"/>
      <c r="J2659" s="670"/>
      <c r="K2659" s="670">
        <f>J2654+J2655+J2656</f>
        <v>850660</v>
      </c>
      <c r="L2659" s="670">
        <f>INT(E2659*K2659)</f>
        <v>42533</v>
      </c>
      <c r="M2659" s="670">
        <f t="shared" si="629"/>
        <v>850660</v>
      </c>
      <c r="N2659" s="670">
        <f t="shared" si="629"/>
        <v>42533</v>
      </c>
      <c r="O2659" s="671"/>
      <c r="P2659" s="672"/>
      <c r="Q2659" s="688">
        <f t="shared" si="632"/>
        <v>190</v>
      </c>
      <c r="R2659" s="688">
        <f t="shared" si="632"/>
        <v>1.9</v>
      </c>
      <c r="S2659" s="688">
        <v>2</v>
      </c>
      <c r="T2659" s="690">
        <f t="shared" si="631"/>
        <v>1.0526</v>
      </c>
      <c r="U2659" s="690"/>
      <c r="V2659" s="690"/>
    </row>
    <row r="2660" spans="1:22" s="688" customFormat="1" ht="17.100000000000001" customHeight="1">
      <c r="A2660" s="1318" t="s">
        <v>1320</v>
      </c>
      <c r="B2660" s="1319"/>
      <c r="C2660" s="1316"/>
      <c r="D2660" s="1317"/>
      <c r="E2660" s="686"/>
      <c r="F2660" s="676"/>
      <c r="G2660" s="670"/>
      <c r="H2660" s="670" t="e">
        <f>SUM(H2651:H2659)</f>
        <v>#REF!</v>
      </c>
      <c r="I2660" s="670"/>
      <c r="J2660" s="670" t="e">
        <f>SUM(J2651:J2659)</f>
        <v>#REF!</v>
      </c>
      <c r="K2660" s="670"/>
      <c r="L2660" s="670" t="e">
        <f>SUM(L2651:L2659)</f>
        <v>#REF!</v>
      </c>
      <c r="M2660" s="670"/>
      <c r="N2660" s="670" t="e">
        <f>SUM(N2651:N2659)</f>
        <v>#REF!</v>
      </c>
      <c r="O2660" s="671"/>
      <c r="P2660" s="672"/>
      <c r="Q2660" s="688">
        <f t="shared" si="632"/>
        <v>190</v>
      </c>
      <c r="R2660" s="688">
        <f t="shared" si="632"/>
        <v>1.9</v>
      </c>
      <c r="S2660" s="688">
        <v>1</v>
      </c>
      <c r="T2660" s="690">
        <f t="shared" si="631"/>
        <v>0.52629999999999999</v>
      </c>
      <c r="U2660" s="690"/>
      <c r="V2660" s="690"/>
    </row>
    <row r="2661" spans="1:22" s="688" customFormat="1" ht="17.100000000000001" customHeight="1">
      <c r="A2661" s="668">
        <f>A2650+1</f>
        <v>385</v>
      </c>
      <c r="B2661" s="1320" t="s">
        <v>2168</v>
      </c>
      <c r="C2661" s="1320"/>
      <c r="D2661" s="1320" t="s">
        <v>2172</v>
      </c>
      <c r="E2661" s="1320"/>
      <c r="F2661" s="669" t="s">
        <v>1458</v>
      </c>
      <c r="G2661" s="698"/>
      <c r="H2661" s="698"/>
      <c r="I2661" s="698"/>
      <c r="J2661" s="698"/>
      <c r="K2661" s="670"/>
      <c r="L2661" s="670"/>
      <c r="M2661" s="670"/>
      <c r="N2661" s="698"/>
      <c r="O2661" s="699" t="s">
        <v>1562</v>
      </c>
      <c r="P2661" s="672"/>
      <c r="Q2661" s="688">
        <f t="shared" si="632"/>
        <v>190</v>
      </c>
      <c r="R2661" s="688">
        <f t="shared" si="632"/>
        <v>1.9</v>
      </c>
      <c r="S2661" s="688">
        <v>8</v>
      </c>
      <c r="T2661" s="690">
        <f t="shared" si="631"/>
        <v>4.2104999999999997</v>
      </c>
      <c r="U2661" s="690"/>
      <c r="V2661" s="690"/>
    </row>
    <row r="2662" spans="1:22" s="688" customFormat="1" ht="17.100000000000001" customHeight="1">
      <c r="A2662" s="1316" t="s">
        <v>2170</v>
      </c>
      <c r="B2662" s="1317"/>
      <c r="C2662" s="1316" t="s">
        <v>2171</v>
      </c>
      <c r="D2662" s="1317"/>
      <c r="E2662" s="677">
        <v>416</v>
      </c>
      <c r="F2662" s="676" t="s">
        <v>30</v>
      </c>
      <c r="G2662" s="670"/>
      <c r="H2662" s="670"/>
      <c r="I2662" s="670"/>
      <c r="J2662" s="670"/>
      <c r="K2662" s="670"/>
      <c r="L2662" s="670"/>
      <c r="M2662" s="670"/>
      <c r="N2662" s="670"/>
      <c r="O2662" s="671"/>
      <c r="P2662" s="672"/>
      <c r="Q2662" s="688">
        <f t="shared" si="632"/>
        <v>190</v>
      </c>
      <c r="R2662" s="688">
        <f t="shared" si="632"/>
        <v>1.9</v>
      </c>
      <c r="S2662" s="688">
        <v>8</v>
      </c>
      <c r="T2662" s="690">
        <f t="shared" si="631"/>
        <v>4.2104999999999997</v>
      </c>
      <c r="U2662" s="690"/>
      <c r="V2662" s="690"/>
    </row>
    <row r="2663" spans="1:22" s="688" customFormat="1" ht="17.100000000000001" customHeight="1">
      <c r="A2663" s="1316" t="s">
        <v>2170</v>
      </c>
      <c r="B2663" s="1317"/>
      <c r="C2663" s="1316" t="s">
        <v>1761</v>
      </c>
      <c r="D2663" s="1317"/>
      <c r="E2663" s="819">
        <v>416</v>
      </c>
      <c r="F2663" s="676" t="s">
        <v>30</v>
      </c>
      <c r="G2663" s="670"/>
      <c r="H2663" s="670"/>
      <c r="I2663" s="670"/>
      <c r="J2663" s="670"/>
      <c r="K2663" s="670">
        <f>[53]운반공!$BO$633</f>
        <v>97</v>
      </c>
      <c r="L2663" s="670">
        <f>INT(E2663*K2663)</f>
        <v>40352</v>
      </c>
      <c r="M2663" s="670">
        <f t="shared" ref="M2663:N2670" si="633">G2663+I2663+K2663</f>
        <v>97</v>
      </c>
      <c r="N2663" s="670">
        <f t="shared" si="633"/>
        <v>40352</v>
      </c>
      <c r="O2663" s="671"/>
      <c r="P2663" s="672"/>
      <c r="T2663" s="690"/>
      <c r="U2663" s="690"/>
      <c r="V2663" s="690"/>
    </row>
    <row r="2664" spans="1:22" s="688" customFormat="1" ht="17.100000000000001" customHeight="1">
      <c r="A2664" s="1316" t="s">
        <v>1524</v>
      </c>
      <c r="B2664" s="1317"/>
      <c r="C2664" s="1370" t="s">
        <v>1529</v>
      </c>
      <c r="D2664" s="1317"/>
      <c r="E2664" s="677">
        <v>3</v>
      </c>
      <c r="F2664" s="676" t="s">
        <v>850</v>
      </c>
      <c r="G2664" s="670" t="e">
        <f>$H$484</f>
        <v>#REF!</v>
      </c>
      <c r="H2664" s="670" t="e">
        <f>INT(E2664*G2664)</f>
        <v>#REF!</v>
      </c>
      <c r="I2664" s="670">
        <f>$J$484</f>
        <v>73989</v>
      </c>
      <c r="J2664" s="670">
        <f t="shared" ref="J2664:J2669" si="634">INT(E2664*I2664)</f>
        <v>221967</v>
      </c>
      <c r="K2664" s="670">
        <f>$L$484</f>
        <v>11220</v>
      </c>
      <c r="L2664" s="670">
        <f>INT(E2664*K2664)</f>
        <v>33660</v>
      </c>
      <c r="M2664" s="670" t="e">
        <f t="shared" si="633"/>
        <v>#REF!</v>
      </c>
      <c r="N2664" s="670" t="e">
        <f t="shared" si="633"/>
        <v>#REF!</v>
      </c>
      <c r="O2664" s="671">
        <f>$A$479</f>
        <v>130</v>
      </c>
      <c r="P2664" s="672"/>
    </row>
    <row r="2665" spans="1:22" s="688" customFormat="1" ht="17.100000000000001" customHeight="1">
      <c r="A2665" s="1316" t="s">
        <v>540</v>
      </c>
      <c r="B2665" s="1317"/>
      <c r="C2665" s="1316"/>
      <c r="D2665" s="1317"/>
      <c r="E2665" s="683">
        <f>T2634</f>
        <v>1.6667000000000001</v>
      </c>
      <c r="F2665" s="676" t="s">
        <v>366</v>
      </c>
      <c r="G2665" s="670"/>
      <c r="H2665" s="670"/>
      <c r="I2665" s="670">
        <f>[53]노임단가!$T$22</f>
        <v>273308</v>
      </c>
      <c r="J2665" s="670">
        <f t="shared" si="634"/>
        <v>455522</v>
      </c>
      <c r="K2665" s="670"/>
      <c r="L2665" s="670"/>
      <c r="M2665" s="670">
        <f t="shared" si="633"/>
        <v>273308</v>
      </c>
      <c r="N2665" s="670">
        <f t="shared" si="633"/>
        <v>455522</v>
      </c>
      <c r="O2665" s="671"/>
      <c r="P2665" s="672" t="s">
        <v>2173</v>
      </c>
      <c r="Q2665" s="806" t="s">
        <v>1446</v>
      </c>
      <c r="R2665" s="688" t="s">
        <v>1447</v>
      </c>
      <c r="S2665" s="688" t="s">
        <v>1425</v>
      </c>
      <c r="T2665" s="688" t="s">
        <v>1426</v>
      </c>
    </row>
    <row r="2666" spans="1:22" s="688" customFormat="1" ht="16.5" customHeight="1">
      <c r="A2666" s="1316" t="s">
        <v>628</v>
      </c>
      <c r="B2666" s="1317"/>
      <c r="C2666" s="1316"/>
      <c r="D2666" s="1317"/>
      <c r="E2666" s="683">
        <f>T2635</f>
        <v>1.6667000000000001</v>
      </c>
      <c r="F2666" s="676" t="s">
        <v>366</v>
      </c>
      <c r="G2666" s="670"/>
      <c r="H2666" s="670"/>
      <c r="I2666" s="670">
        <f>[53]노임단가!$T$6</f>
        <v>226122</v>
      </c>
      <c r="J2666" s="670">
        <f t="shared" si="634"/>
        <v>376877</v>
      </c>
      <c r="K2666" s="670"/>
      <c r="L2666" s="670"/>
      <c r="M2666" s="670">
        <f t="shared" si="633"/>
        <v>226122</v>
      </c>
      <c r="N2666" s="670">
        <f t="shared" si="633"/>
        <v>376877</v>
      </c>
      <c r="O2666" s="671"/>
      <c r="P2666" s="672" t="s">
        <v>2174</v>
      </c>
      <c r="Q2666" s="688">
        <v>260</v>
      </c>
      <c r="R2666" s="688">
        <f>(Q2666)/100</f>
        <v>2.6</v>
      </c>
      <c r="T2666" s="690">
        <f>ROUND(S2666/R2666,4)</f>
        <v>0</v>
      </c>
      <c r="U2666" s="690"/>
      <c r="V2666" s="690"/>
    </row>
    <row r="2667" spans="1:22" s="688" customFormat="1" ht="17.100000000000001" customHeight="1">
      <c r="A2667" s="1316" t="s">
        <v>248</v>
      </c>
      <c r="B2667" s="1317"/>
      <c r="C2667" s="1316"/>
      <c r="D2667" s="1317"/>
      <c r="E2667" s="683">
        <f>T2636</f>
        <v>0.83330000000000004</v>
      </c>
      <c r="F2667" s="676" t="s">
        <v>366</v>
      </c>
      <c r="G2667" s="670"/>
      <c r="H2667" s="670"/>
      <c r="I2667" s="670">
        <f>[53]노임단가!$T$5</f>
        <v>172068</v>
      </c>
      <c r="J2667" s="670">
        <f t="shared" si="634"/>
        <v>143384</v>
      </c>
      <c r="K2667" s="670"/>
      <c r="L2667" s="670"/>
      <c r="M2667" s="670">
        <f t="shared" si="633"/>
        <v>172068</v>
      </c>
      <c r="N2667" s="670">
        <f t="shared" si="633"/>
        <v>143384</v>
      </c>
      <c r="O2667" s="671"/>
      <c r="P2667" s="813"/>
      <c r="Q2667" s="688">
        <f>Q2666</f>
        <v>260</v>
      </c>
      <c r="R2667" s="688">
        <f>R2666</f>
        <v>2.6</v>
      </c>
      <c r="T2667" s="690">
        <f>ROUND(S2667/R2667,4)</f>
        <v>0</v>
      </c>
      <c r="U2667" s="690"/>
      <c r="V2667" s="690"/>
    </row>
    <row r="2668" spans="1:22" s="688" customFormat="1" ht="17.100000000000001" customHeight="1">
      <c r="A2668" s="1316" t="s">
        <v>409</v>
      </c>
      <c r="B2668" s="1317"/>
      <c r="C2668" s="1316" t="s">
        <v>1380</v>
      </c>
      <c r="D2668" s="1317"/>
      <c r="E2668" s="683">
        <f>T2637</f>
        <v>6.6666999999999996</v>
      </c>
      <c r="F2668" s="676" t="s">
        <v>418</v>
      </c>
      <c r="G2668" s="670" t="e">
        <f>#REF!</f>
        <v>#REF!</v>
      </c>
      <c r="H2668" s="670" t="e">
        <f>INT(E2668*G2668)</f>
        <v>#REF!</v>
      </c>
      <c r="I2668" s="670" t="e">
        <f>#REF!</f>
        <v>#REF!</v>
      </c>
      <c r="J2668" s="670" t="e">
        <f t="shared" si="634"/>
        <v>#REF!</v>
      </c>
      <c r="K2668" s="670" t="e">
        <f>#REF!</f>
        <v>#REF!</v>
      </c>
      <c r="L2668" s="670" t="e">
        <f>INT(E2668*K2668)</f>
        <v>#REF!</v>
      </c>
      <c r="M2668" s="670" t="e">
        <f t="shared" si="633"/>
        <v>#REF!</v>
      </c>
      <c r="N2668" s="670" t="e">
        <f t="shared" si="633"/>
        <v>#REF!</v>
      </c>
      <c r="O2668" s="671"/>
      <c r="P2668" s="672"/>
      <c r="Q2668" s="688">
        <f t="shared" ref="Q2668:R2676" si="635">Q2667</f>
        <v>260</v>
      </c>
      <c r="R2668" s="688">
        <f t="shared" si="635"/>
        <v>2.6</v>
      </c>
      <c r="T2668" s="690">
        <f t="shared" ref="T2668:T2676" si="636">ROUND(S2668/R2668,4)</f>
        <v>0</v>
      </c>
      <c r="U2668" s="690"/>
      <c r="V2668" s="690"/>
    </row>
    <row r="2669" spans="1:22" s="688" customFormat="1" ht="17.100000000000001" customHeight="1">
      <c r="A2669" s="1316" t="s">
        <v>465</v>
      </c>
      <c r="B2669" s="1317"/>
      <c r="C2669" s="1316" t="s">
        <v>466</v>
      </c>
      <c r="D2669" s="1317"/>
      <c r="E2669" s="683">
        <f>T2638</f>
        <v>6.6666999999999996</v>
      </c>
      <c r="F2669" s="676" t="s">
        <v>418</v>
      </c>
      <c r="G2669" s="670" t="e">
        <f>#REF!</f>
        <v>#REF!</v>
      </c>
      <c r="H2669" s="750" t="e">
        <f>INT(E2669*G2669)</f>
        <v>#REF!</v>
      </c>
      <c r="I2669" s="670" t="e">
        <f>#REF!</f>
        <v>#REF!</v>
      </c>
      <c r="J2669" s="750" t="e">
        <f t="shared" si="634"/>
        <v>#REF!</v>
      </c>
      <c r="K2669" s="670" t="e">
        <f>#REF!</f>
        <v>#REF!</v>
      </c>
      <c r="L2669" s="750" t="e">
        <f>INT(E2669*K2669)</f>
        <v>#REF!</v>
      </c>
      <c r="M2669" s="670" t="e">
        <f t="shared" si="633"/>
        <v>#REF!</v>
      </c>
      <c r="N2669" s="670" t="e">
        <f t="shared" si="633"/>
        <v>#REF!</v>
      </c>
      <c r="O2669" s="671"/>
      <c r="P2669" s="812"/>
      <c r="Q2669" s="688">
        <f t="shared" si="635"/>
        <v>260</v>
      </c>
      <c r="R2669" s="688">
        <f t="shared" si="635"/>
        <v>2.6</v>
      </c>
      <c r="T2669" s="690">
        <f t="shared" si="636"/>
        <v>0</v>
      </c>
      <c r="U2669" s="690"/>
      <c r="V2669" s="690"/>
    </row>
    <row r="2670" spans="1:22" s="688" customFormat="1" ht="17.100000000000001" customHeight="1">
      <c r="A2670" s="1316" t="s">
        <v>2108</v>
      </c>
      <c r="B2670" s="1317"/>
      <c r="C2670" s="1316" t="s">
        <v>1469</v>
      </c>
      <c r="D2670" s="1317"/>
      <c r="E2670" s="675">
        <v>0.05</v>
      </c>
      <c r="F2670" s="676" t="s">
        <v>672</v>
      </c>
      <c r="G2670" s="670"/>
      <c r="H2670" s="670">
        <f>INT(E2670*G2670)</f>
        <v>0</v>
      </c>
      <c r="I2670" s="670"/>
      <c r="J2670" s="670"/>
      <c r="K2670" s="670">
        <f>J2665+J2666+J2667</f>
        <v>975783</v>
      </c>
      <c r="L2670" s="670">
        <f>INT(E2670*K2670)</f>
        <v>48789</v>
      </c>
      <c r="M2670" s="670">
        <f t="shared" si="633"/>
        <v>975783</v>
      </c>
      <c r="N2670" s="670">
        <f t="shared" si="633"/>
        <v>48789</v>
      </c>
      <c r="O2670" s="671"/>
      <c r="P2670" s="672"/>
      <c r="Q2670" s="688">
        <f t="shared" si="635"/>
        <v>260</v>
      </c>
      <c r="R2670" s="688">
        <f t="shared" si="635"/>
        <v>2.6</v>
      </c>
      <c r="S2670" s="688">
        <v>3</v>
      </c>
      <c r="T2670" s="690">
        <f t="shared" si="636"/>
        <v>1.1537999999999999</v>
      </c>
      <c r="U2670" s="690"/>
      <c r="V2670" s="690"/>
    </row>
    <row r="2671" spans="1:22" s="688" customFormat="1" ht="17.100000000000001" customHeight="1">
      <c r="A2671" s="1318" t="s">
        <v>1320</v>
      </c>
      <c r="B2671" s="1319"/>
      <c r="C2671" s="1316"/>
      <c r="D2671" s="1317"/>
      <c r="E2671" s="686"/>
      <c r="F2671" s="676"/>
      <c r="G2671" s="670"/>
      <c r="H2671" s="670" t="e">
        <f>SUM(H2662:H2670)</f>
        <v>#REF!</v>
      </c>
      <c r="I2671" s="670"/>
      <c r="J2671" s="670" t="e">
        <f>SUM(J2662:J2670)</f>
        <v>#REF!</v>
      </c>
      <c r="K2671" s="670"/>
      <c r="L2671" s="670" t="e">
        <f>SUM(L2662:L2670)</f>
        <v>#REF!</v>
      </c>
      <c r="M2671" s="670"/>
      <c r="N2671" s="670" t="e">
        <f>SUM(N2662:N2670)</f>
        <v>#REF!</v>
      </c>
      <c r="O2671" s="671"/>
      <c r="P2671" s="672"/>
      <c r="Q2671" s="688">
        <f t="shared" si="635"/>
        <v>260</v>
      </c>
      <c r="R2671" s="688">
        <f t="shared" si="635"/>
        <v>2.6</v>
      </c>
      <c r="S2671" s="688">
        <v>2</v>
      </c>
      <c r="T2671" s="690">
        <f t="shared" si="636"/>
        <v>0.76919999999999999</v>
      </c>
      <c r="U2671" s="690"/>
      <c r="V2671" s="690"/>
    </row>
    <row r="2672" spans="1:22" s="688" customFormat="1" ht="17.100000000000001" customHeight="1">
      <c r="A2672" s="668">
        <f>A2661+1</f>
        <v>386</v>
      </c>
      <c r="B2672" s="1320" t="s">
        <v>2148</v>
      </c>
      <c r="C2672" s="1320"/>
      <c r="D2672" s="1320" t="s">
        <v>2175</v>
      </c>
      <c r="E2672" s="1320"/>
      <c r="F2672" s="669" t="s">
        <v>1458</v>
      </c>
      <c r="G2672" s="698"/>
      <c r="H2672" s="698"/>
      <c r="I2672" s="698"/>
      <c r="J2672" s="698"/>
      <c r="K2672" s="670"/>
      <c r="L2672" s="670"/>
      <c r="M2672" s="670"/>
      <c r="N2672" s="698"/>
      <c r="O2672" s="699" t="s">
        <v>1562</v>
      </c>
      <c r="P2672" s="672"/>
      <c r="Q2672" s="688">
        <f t="shared" si="635"/>
        <v>260</v>
      </c>
      <c r="R2672" s="688">
        <f t="shared" si="635"/>
        <v>2.6</v>
      </c>
      <c r="S2672" s="688">
        <v>2</v>
      </c>
      <c r="T2672" s="690">
        <f t="shared" si="636"/>
        <v>0.76919999999999999</v>
      </c>
      <c r="U2672" s="690"/>
      <c r="V2672" s="690"/>
    </row>
    <row r="2673" spans="1:22" s="688" customFormat="1" ht="17.100000000000001" customHeight="1">
      <c r="A2673" s="1316" t="s">
        <v>2176</v>
      </c>
      <c r="B2673" s="1317"/>
      <c r="C2673" s="1316" t="s">
        <v>2177</v>
      </c>
      <c r="D2673" s="1317"/>
      <c r="E2673" s="677">
        <v>1155</v>
      </c>
      <c r="F2673" s="676" t="s">
        <v>30</v>
      </c>
      <c r="G2673" s="670"/>
      <c r="H2673" s="670"/>
      <c r="I2673" s="670"/>
      <c r="J2673" s="670"/>
      <c r="K2673" s="670"/>
      <c r="L2673" s="670"/>
      <c r="M2673" s="670"/>
      <c r="N2673" s="670"/>
      <c r="O2673" s="671"/>
      <c r="P2673" s="672"/>
      <c r="Q2673" s="688">
        <f t="shared" si="635"/>
        <v>260</v>
      </c>
      <c r="R2673" s="688">
        <f t="shared" si="635"/>
        <v>2.6</v>
      </c>
      <c r="S2673" s="688">
        <v>8</v>
      </c>
      <c r="T2673" s="690">
        <f t="shared" si="636"/>
        <v>3.0769000000000002</v>
      </c>
      <c r="U2673" s="690"/>
      <c r="V2673" s="690"/>
    </row>
    <row r="2674" spans="1:22" s="688" customFormat="1" ht="17.100000000000001" customHeight="1">
      <c r="A2674" s="1316" t="s">
        <v>2176</v>
      </c>
      <c r="B2674" s="1317"/>
      <c r="C2674" s="1316" t="s">
        <v>1761</v>
      </c>
      <c r="D2674" s="1317"/>
      <c r="E2674" s="677">
        <v>1155</v>
      </c>
      <c r="F2674" s="676" t="s">
        <v>30</v>
      </c>
      <c r="G2674" s="670"/>
      <c r="H2674" s="670"/>
      <c r="I2674" s="670"/>
      <c r="J2674" s="670"/>
      <c r="K2674" s="670">
        <f>[53]운반공!$BO$634</f>
        <v>45</v>
      </c>
      <c r="L2674" s="670">
        <f>INT(E2674*K2674)</f>
        <v>51975</v>
      </c>
      <c r="M2674" s="670">
        <f t="shared" ref="M2674:N2682" si="637">G2674+I2674+K2674</f>
        <v>45</v>
      </c>
      <c r="N2674" s="670">
        <f t="shared" si="637"/>
        <v>51975</v>
      </c>
      <c r="O2674" s="671"/>
      <c r="P2674" s="672"/>
      <c r="Q2674" s="688">
        <f t="shared" si="635"/>
        <v>260</v>
      </c>
      <c r="R2674" s="688">
        <f t="shared" si="635"/>
        <v>2.6</v>
      </c>
      <c r="S2674" s="688">
        <v>8</v>
      </c>
      <c r="T2674" s="690">
        <f t="shared" si="636"/>
        <v>3.0769000000000002</v>
      </c>
      <c r="U2674" s="690"/>
      <c r="V2674" s="690"/>
    </row>
    <row r="2675" spans="1:22" s="688" customFormat="1" ht="17.100000000000001" customHeight="1">
      <c r="A2675" s="1316" t="s">
        <v>2152</v>
      </c>
      <c r="B2675" s="1317"/>
      <c r="C2675" s="1316" t="s">
        <v>2178</v>
      </c>
      <c r="D2675" s="1317"/>
      <c r="E2675" s="820">
        <v>0.2</v>
      </c>
      <c r="F2675" s="676" t="s">
        <v>850</v>
      </c>
      <c r="G2675" s="670" t="e">
        <f>#REF!</f>
        <v>#REF!</v>
      </c>
      <c r="H2675" s="670" t="e">
        <f>INT(E2675*G2675)</f>
        <v>#REF!</v>
      </c>
      <c r="I2675" s="670"/>
      <c r="J2675" s="670"/>
      <c r="K2675" s="670"/>
      <c r="L2675" s="670"/>
      <c r="M2675" s="670" t="e">
        <f t="shared" si="637"/>
        <v>#REF!</v>
      </c>
      <c r="N2675" s="670" t="e">
        <f t="shared" si="637"/>
        <v>#REF!</v>
      </c>
      <c r="O2675" s="671"/>
      <c r="P2675" s="672"/>
      <c r="Q2675" s="688">
        <f t="shared" si="635"/>
        <v>260</v>
      </c>
      <c r="R2675" s="688">
        <f t="shared" si="635"/>
        <v>2.6</v>
      </c>
      <c r="S2675" s="688">
        <v>8</v>
      </c>
      <c r="T2675" s="690">
        <f t="shared" si="636"/>
        <v>3.0769000000000002</v>
      </c>
      <c r="U2675" s="690"/>
      <c r="V2675" s="690"/>
    </row>
    <row r="2676" spans="1:22" s="688" customFormat="1" ht="17.100000000000001" customHeight="1">
      <c r="A2676" s="1316" t="s">
        <v>821</v>
      </c>
      <c r="B2676" s="1317"/>
      <c r="C2676" s="1316" t="s">
        <v>2154</v>
      </c>
      <c r="D2676" s="1317"/>
      <c r="E2676" s="820">
        <v>3.3</v>
      </c>
      <c r="F2676" s="676" t="s">
        <v>850</v>
      </c>
      <c r="G2676" s="670" t="e">
        <f>#REF!</f>
        <v>#REF!</v>
      </c>
      <c r="H2676" s="670" t="e">
        <f>INT(E2676*G2676)</f>
        <v>#REF!</v>
      </c>
      <c r="I2676" s="670"/>
      <c r="J2676" s="670"/>
      <c r="K2676" s="670"/>
      <c r="L2676" s="670"/>
      <c r="M2676" s="670" t="e">
        <f t="shared" si="637"/>
        <v>#REF!</v>
      </c>
      <c r="N2676" s="670" t="e">
        <f t="shared" si="637"/>
        <v>#REF!</v>
      </c>
      <c r="O2676" s="671"/>
      <c r="P2676" s="672"/>
      <c r="Q2676" s="688">
        <f t="shared" si="635"/>
        <v>260</v>
      </c>
      <c r="R2676" s="688">
        <f t="shared" si="635"/>
        <v>2.6</v>
      </c>
      <c r="T2676" s="690">
        <f t="shared" si="636"/>
        <v>0</v>
      </c>
      <c r="U2676" s="690"/>
      <c r="V2676" s="690"/>
    </row>
    <row r="2677" spans="1:22" s="688" customFormat="1" ht="17.100000000000001" customHeight="1">
      <c r="A2677" s="1316" t="s">
        <v>540</v>
      </c>
      <c r="B2677" s="1317"/>
      <c r="C2677" s="1316"/>
      <c r="D2677" s="1317"/>
      <c r="E2677" s="683">
        <f>T2646</f>
        <v>1</v>
      </c>
      <c r="F2677" s="676" t="s">
        <v>366</v>
      </c>
      <c r="G2677" s="670"/>
      <c r="H2677" s="670"/>
      <c r="I2677" s="670">
        <f>[53]노임단가!$T$22</f>
        <v>273308</v>
      </c>
      <c r="J2677" s="670">
        <f>INT(E2677*I2677)</f>
        <v>273308</v>
      </c>
      <c r="K2677" s="670"/>
      <c r="L2677" s="670"/>
      <c r="M2677" s="670">
        <f t="shared" si="637"/>
        <v>273308</v>
      </c>
      <c r="N2677" s="670">
        <f t="shared" si="637"/>
        <v>273308</v>
      </c>
      <c r="O2677" s="671"/>
      <c r="P2677" s="672"/>
    </row>
    <row r="2678" spans="1:22" s="688" customFormat="1" ht="17.100000000000001" customHeight="1">
      <c r="A2678" s="1316" t="s">
        <v>628</v>
      </c>
      <c r="B2678" s="1317"/>
      <c r="C2678" s="1316"/>
      <c r="D2678" s="1317"/>
      <c r="E2678" s="683">
        <f>T2647</f>
        <v>0.66669999999999996</v>
      </c>
      <c r="F2678" s="676" t="s">
        <v>366</v>
      </c>
      <c r="G2678" s="670"/>
      <c r="H2678" s="670"/>
      <c r="I2678" s="670">
        <f>[53]노임단가!$T$6</f>
        <v>226122</v>
      </c>
      <c r="J2678" s="670">
        <f>INT(E2678*I2678)</f>
        <v>150755</v>
      </c>
      <c r="K2678" s="670"/>
      <c r="L2678" s="670"/>
      <c r="M2678" s="670">
        <f t="shared" si="637"/>
        <v>226122</v>
      </c>
      <c r="N2678" s="670">
        <f t="shared" si="637"/>
        <v>150755</v>
      </c>
      <c r="O2678" s="671"/>
      <c r="P2678" s="672" t="s">
        <v>1549</v>
      </c>
      <c r="Q2678" s="806" t="s">
        <v>1446</v>
      </c>
      <c r="R2678" s="688" t="s">
        <v>1447</v>
      </c>
      <c r="S2678" s="688" t="s">
        <v>1425</v>
      </c>
      <c r="T2678" s="688" t="s">
        <v>1426</v>
      </c>
    </row>
    <row r="2679" spans="1:22" s="688" customFormat="1" ht="16.5" customHeight="1">
      <c r="A2679" s="1316" t="s">
        <v>248</v>
      </c>
      <c r="B2679" s="1317"/>
      <c r="C2679" s="1316"/>
      <c r="D2679" s="1317"/>
      <c r="E2679" s="683">
        <f>T2648</f>
        <v>0.66669999999999996</v>
      </c>
      <c r="F2679" s="676" t="s">
        <v>366</v>
      </c>
      <c r="G2679" s="670"/>
      <c r="H2679" s="670"/>
      <c r="I2679" s="670">
        <f>[53]노임단가!$T$5</f>
        <v>172068</v>
      </c>
      <c r="J2679" s="670">
        <f>INT(E2679*I2679)</f>
        <v>114717</v>
      </c>
      <c r="K2679" s="670"/>
      <c r="L2679" s="670"/>
      <c r="M2679" s="670">
        <f t="shared" si="637"/>
        <v>172068</v>
      </c>
      <c r="N2679" s="670">
        <f t="shared" si="637"/>
        <v>114717</v>
      </c>
      <c r="O2679" s="671"/>
      <c r="P2679" s="672" t="s">
        <v>2174</v>
      </c>
      <c r="Q2679" s="688">
        <v>180</v>
      </c>
      <c r="R2679" s="688">
        <f>(Q2679)/100</f>
        <v>1.8</v>
      </c>
      <c r="T2679" s="690">
        <f>ROUND(S2679/R2679,4)</f>
        <v>0</v>
      </c>
      <c r="U2679" s="690"/>
      <c r="V2679" s="690"/>
    </row>
    <row r="2680" spans="1:22" s="688" customFormat="1" ht="17.100000000000001" customHeight="1">
      <c r="A2680" s="1316" t="s">
        <v>409</v>
      </c>
      <c r="B2680" s="1317"/>
      <c r="C2680" s="1316" t="s">
        <v>1572</v>
      </c>
      <c r="D2680" s="1317"/>
      <c r="E2680" s="683">
        <f>T2649</f>
        <v>2.6667000000000001</v>
      </c>
      <c r="F2680" s="676" t="s">
        <v>418</v>
      </c>
      <c r="G2680" s="670" t="e">
        <f>#REF!</f>
        <v>#REF!</v>
      </c>
      <c r="H2680" s="670" t="e">
        <f>INT(E2680*G2680)</f>
        <v>#REF!</v>
      </c>
      <c r="I2680" s="670" t="e">
        <f>#REF!</f>
        <v>#REF!</v>
      </c>
      <c r="J2680" s="670" t="e">
        <f>INT(E2680*I2680)</f>
        <v>#REF!</v>
      </c>
      <c r="K2680" s="670" t="e">
        <f>#REF!</f>
        <v>#REF!</v>
      </c>
      <c r="L2680" s="670" t="e">
        <f>INT(E2680*K2680)</f>
        <v>#REF!</v>
      </c>
      <c r="M2680" s="670" t="e">
        <f t="shared" si="637"/>
        <v>#REF!</v>
      </c>
      <c r="N2680" s="670" t="e">
        <f t="shared" si="637"/>
        <v>#REF!</v>
      </c>
      <c r="O2680" s="671"/>
      <c r="P2680" s="813"/>
      <c r="Q2680" s="688">
        <f>Q2679</f>
        <v>180</v>
      </c>
      <c r="R2680" s="688">
        <f>R2679</f>
        <v>1.8</v>
      </c>
      <c r="T2680" s="690">
        <f>ROUND(S2680/R2680,4)</f>
        <v>0</v>
      </c>
      <c r="U2680" s="690"/>
      <c r="V2680" s="690"/>
    </row>
    <row r="2681" spans="1:22" s="688" customFormat="1" ht="17.100000000000001" customHeight="1">
      <c r="A2681" s="1316" t="s">
        <v>465</v>
      </c>
      <c r="B2681" s="1317"/>
      <c r="C2681" s="1316" t="s">
        <v>466</v>
      </c>
      <c r="D2681" s="1317"/>
      <c r="E2681" s="683">
        <f>T2650</f>
        <v>2.6667000000000001</v>
      </c>
      <c r="F2681" s="676" t="s">
        <v>418</v>
      </c>
      <c r="G2681" s="670" t="e">
        <f>#REF!</f>
        <v>#REF!</v>
      </c>
      <c r="H2681" s="750" t="e">
        <f>INT(E2681*G2681)</f>
        <v>#REF!</v>
      </c>
      <c r="I2681" s="670" t="e">
        <f>#REF!</f>
        <v>#REF!</v>
      </c>
      <c r="J2681" s="750" t="e">
        <f>INT(E2681*I2681)</f>
        <v>#REF!</v>
      </c>
      <c r="K2681" s="670" t="e">
        <f>#REF!</f>
        <v>#REF!</v>
      </c>
      <c r="L2681" s="750" t="e">
        <f>INT(E2681*K2681)</f>
        <v>#REF!</v>
      </c>
      <c r="M2681" s="670" t="e">
        <f t="shared" si="637"/>
        <v>#REF!</v>
      </c>
      <c r="N2681" s="670" t="e">
        <f t="shared" si="637"/>
        <v>#REF!</v>
      </c>
      <c r="O2681" s="671"/>
      <c r="P2681" s="672"/>
      <c r="Q2681" s="688">
        <f t="shared" ref="Q2681:R2688" si="638">Q2680</f>
        <v>180</v>
      </c>
      <c r="R2681" s="688">
        <f t="shared" si="638"/>
        <v>1.8</v>
      </c>
      <c r="T2681" s="690">
        <f t="shared" ref="T2681:T2688" si="639">ROUND(S2681/R2681,4)</f>
        <v>0</v>
      </c>
      <c r="U2681" s="690"/>
      <c r="V2681" s="690"/>
    </row>
    <row r="2682" spans="1:22" s="688" customFormat="1" ht="17.100000000000001" customHeight="1">
      <c r="A2682" s="1316" t="s">
        <v>2108</v>
      </c>
      <c r="B2682" s="1317"/>
      <c r="C2682" s="1316" t="s">
        <v>1469</v>
      </c>
      <c r="D2682" s="1317"/>
      <c r="E2682" s="675">
        <v>0.05</v>
      </c>
      <c r="F2682" s="676" t="s">
        <v>672</v>
      </c>
      <c r="G2682" s="670"/>
      <c r="H2682" s="670">
        <f>INT(E2682*G2682)</f>
        <v>0</v>
      </c>
      <c r="I2682" s="670"/>
      <c r="J2682" s="670"/>
      <c r="K2682" s="670">
        <f>J2677+J2678+J2679</f>
        <v>538780</v>
      </c>
      <c r="L2682" s="670">
        <f>INT(E2682*K2682)</f>
        <v>26939</v>
      </c>
      <c r="M2682" s="670">
        <f t="shared" si="637"/>
        <v>538780</v>
      </c>
      <c r="N2682" s="670">
        <f t="shared" si="637"/>
        <v>26939</v>
      </c>
      <c r="O2682" s="671"/>
      <c r="P2682" s="812"/>
      <c r="Q2682" s="688">
        <f t="shared" si="638"/>
        <v>180</v>
      </c>
      <c r="R2682" s="688">
        <f t="shared" si="638"/>
        <v>1.8</v>
      </c>
      <c r="T2682" s="690">
        <f t="shared" si="639"/>
        <v>0</v>
      </c>
      <c r="U2682" s="690"/>
      <c r="V2682" s="690"/>
    </row>
    <row r="2683" spans="1:22" s="688" customFormat="1" ht="17.100000000000001" customHeight="1">
      <c r="A2683" s="1318" t="s">
        <v>1320</v>
      </c>
      <c r="B2683" s="1319"/>
      <c r="C2683" s="1316"/>
      <c r="D2683" s="1317"/>
      <c r="E2683" s="686"/>
      <c r="F2683" s="676"/>
      <c r="G2683" s="670"/>
      <c r="H2683" s="670" t="e">
        <f>SUM(H2673:H2682)</f>
        <v>#REF!</v>
      </c>
      <c r="I2683" s="670"/>
      <c r="J2683" s="670" t="e">
        <f>SUM(J2673:J2682)</f>
        <v>#REF!</v>
      </c>
      <c r="K2683" s="670"/>
      <c r="L2683" s="670" t="e">
        <f>SUM(L2673:L2682)</f>
        <v>#REF!</v>
      </c>
      <c r="M2683" s="670"/>
      <c r="N2683" s="670" t="e">
        <f>SUM(N2673:N2682)</f>
        <v>#REF!</v>
      </c>
      <c r="O2683" s="671"/>
      <c r="P2683" s="672"/>
      <c r="Q2683" s="688">
        <f t="shared" si="638"/>
        <v>180</v>
      </c>
      <c r="R2683" s="688">
        <f t="shared" si="638"/>
        <v>1.8</v>
      </c>
      <c r="S2683" s="688">
        <v>2</v>
      </c>
      <c r="T2683" s="690">
        <f t="shared" si="639"/>
        <v>1.1111</v>
      </c>
      <c r="U2683" s="690"/>
      <c r="V2683" s="690"/>
    </row>
    <row r="2684" spans="1:22" s="688" customFormat="1" ht="17.100000000000001" customHeight="1">
      <c r="A2684" s="668">
        <f>A2672+1</f>
        <v>387</v>
      </c>
      <c r="B2684" s="1320" t="s">
        <v>2148</v>
      </c>
      <c r="C2684" s="1320"/>
      <c r="D2684" s="1320" t="s">
        <v>2179</v>
      </c>
      <c r="E2684" s="1320"/>
      <c r="F2684" s="669" t="s">
        <v>1458</v>
      </c>
      <c r="G2684" s="698"/>
      <c r="H2684" s="698"/>
      <c r="I2684" s="698"/>
      <c r="J2684" s="698"/>
      <c r="K2684" s="670"/>
      <c r="L2684" s="670"/>
      <c r="M2684" s="670"/>
      <c r="N2684" s="698"/>
      <c r="O2684" s="699" t="s">
        <v>1562</v>
      </c>
      <c r="P2684" s="672"/>
      <c r="Q2684" s="688">
        <f t="shared" si="638"/>
        <v>180</v>
      </c>
      <c r="R2684" s="688">
        <f t="shared" si="638"/>
        <v>1.8</v>
      </c>
      <c r="S2684" s="688">
        <v>2</v>
      </c>
      <c r="T2684" s="690">
        <f t="shared" si="639"/>
        <v>1.1111</v>
      </c>
      <c r="U2684" s="690"/>
      <c r="V2684" s="690"/>
    </row>
    <row r="2685" spans="1:22" s="688" customFormat="1" ht="17.100000000000001" customHeight="1">
      <c r="A2685" s="1316" t="s">
        <v>2176</v>
      </c>
      <c r="B2685" s="1317"/>
      <c r="C2685" s="1316" t="s">
        <v>2177</v>
      </c>
      <c r="D2685" s="1317"/>
      <c r="E2685" s="677">
        <v>1155</v>
      </c>
      <c r="F2685" s="676" t="s">
        <v>30</v>
      </c>
      <c r="G2685" s="670"/>
      <c r="H2685" s="670"/>
      <c r="I2685" s="670"/>
      <c r="J2685" s="670"/>
      <c r="K2685" s="670"/>
      <c r="L2685" s="670"/>
      <c r="M2685" s="670"/>
      <c r="N2685" s="670"/>
      <c r="O2685" s="671"/>
      <c r="P2685" s="672"/>
      <c r="Q2685" s="688">
        <f t="shared" si="638"/>
        <v>180</v>
      </c>
      <c r="R2685" s="688">
        <f t="shared" si="638"/>
        <v>1.8</v>
      </c>
      <c r="S2685" s="688">
        <v>1</v>
      </c>
      <c r="T2685" s="690">
        <f t="shared" si="639"/>
        <v>0.55559999999999998</v>
      </c>
      <c r="U2685" s="690"/>
      <c r="V2685" s="690"/>
    </row>
    <row r="2686" spans="1:22" s="688" customFormat="1" ht="17.100000000000001" customHeight="1">
      <c r="A2686" s="1316" t="s">
        <v>2176</v>
      </c>
      <c r="B2686" s="1317"/>
      <c r="C2686" s="1316" t="s">
        <v>1761</v>
      </c>
      <c r="D2686" s="1317"/>
      <c r="E2686" s="677">
        <v>1155</v>
      </c>
      <c r="F2686" s="676" t="s">
        <v>30</v>
      </c>
      <c r="G2686" s="670"/>
      <c r="H2686" s="670"/>
      <c r="I2686" s="670"/>
      <c r="J2686" s="670"/>
      <c r="K2686" s="670">
        <f>[53]운반공!$BO$634</f>
        <v>45</v>
      </c>
      <c r="L2686" s="670">
        <f>INT(E2686*K2686)</f>
        <v>51975</v>
      </c>
      <c r="M2686" s="670">
        <f t="shared" ref="M2686:N2694" si="640">G2686+I2686+K2686</f>
        <v>45</v>
      </c>
      <c r="N2686" s="670">
        <f t="shared" si="640"/>
        <v>51975</v>
      </c>
      <c r="O2686" s="671"/>
      <c r="P2686" s="672"/>
      <c r="Q2686" s="688">
        <f t="shared" si="638"/>
        <v>180</v>
      </c>
      <c r="R2686" s="688">
        <f t="shared" si="638"/>
        <v>1.8</v>
      </c>
      <c r="S2686" s="688">
        <v>8</v>
      </c>
      <c r="T2686" s="690">
        <f t="shared" si="639"/>
        <v>4.4443999999999999</v>
      </c>
      <c r="U2686" s="690"/>
      <c r="V2686" s="690"/>
    </row>
    <row r="2687" spans="1:22" s="688" customFormat="1" ht="17.100000000000001" customHeight="1">
      <c r="A2687" s="1316" t="s">
        <v>2152</v>
      </c>
      <c r="B2687" s="1317"/>
      <c r="C2687" s="1316" t="s">
        <v>2178</v>
      </c>
      <c r="D2687" s="1317"/>
      <c r="E2687" s="820">
        <v>0.2</v>
      </c>
      <c r="F2687" s="676" t="s">
        <v>850</v>
      </c>
      <c r="G2687" s="670" t="e">
        <f>#REF!</f>
        <v>#REF!</v>
      </c>
      <c r="H2687" s="670" t="e">
        <f>INT(E2687*G2687)</f>
        <v>#REF!</v>
      </c>
      <c r="I2687" s="670"/>
      <c r="J2687" s="670"/>
      <c r="K2687" s="670"/>
      <c r="L2687" s="670"/>
      <c r="M2687" s="670" t="e">
        <f t="shared" si="640"/>
        <v>#REF!</v>
      </c>
      <c r="N2687" s="670" t="e">
        <f t="shared" si="640"/>
        <v>#REF!</v>
      </c>
      <c r="O2687" s="671"/>
      <c r="P2687" s="672"/>
      <c r="Q2687" s="688">
        <f t="shared" si="638"/>
        <v>180</v>
      </c>
      <c r="R2687" s="688">
        <f t="shared" si="638"/>
        <v>1.8</v>
      </c>
      <c r="S2687" s="688">
        <v>8</v>
      </c>
      <c r="T2687" s="690">
        <f t="shared" si="639"/>
        <v>4.4443999999999999</v>
      </c>
      <c r="U2687" s="690"/>
      <c r="V2687" s="690"/>
    </row>
    <row r="2688" spans="1:22" s="688" customFormat="1" ht="17.100000000000001" customHeight="1">
      <c r="A2688" s="1316" t="s">
        <v>821</v>
      </c>
      <c r="B2688" s="1317"/>
      <c r="C2688" s="1316" t="s">
        <v>2154</v>
      </c>
      <c r="D2688" s="1317"/>
      <c r="E2688" s="820">
        <v>3.3</v>
      </c>
      <c r="F2688" s="676" t="s">
        <v>850</v>
      </c>
      <c r="G2688" s="670" t="e">
        <f>#REF!</f>
        <v>#REF!</v>
      </c>
      <c r="H2688" s="670" t="e">
        <f>INT(E2688*G2688)</f>
        <v>#REF!</v>
      </c>
      <c r="I2688" s="670"/>
      <c r="J2688" s="670"/>
      <c r="K2688" s="670"/>
      <c r="L2688" s="670"/>
      <c r="M2688" s="670" t="e">
        <f t="shared" si="640"/>
        <v>#REF!</v>
      </c>
      <c r="N2688" s="670" t="e">
        <f t="shared" si="640"/>
        <v>#REF!</v>
      </c>
      <c r="O2688" s="671"/>
      <c r="P2688" s="672"/>
      <c r="Q2688" s="688">
        <f t="shared" si="638"/>
        <v>180</v>
      </c>
      <c r="R2688" s="688">
        <f t="shared" si="638"/>
        <v>1.8</v>
      </c>
      <c r="S2688" s="688">
        <v>8</v>
      </c>
      <c r="T2688" s="690">
        <f t="shared" si="639"/>
        <v>4.4443999999999999</v>
      </c>
      <c r="U2688" s="690"/>
      <c r="V2688" s="690"/>
    </row>
    <row r="2689" spans="1:22" s="688" customFormat="1" ht="17.100000000000001" customHeight="1">
      <c r="A2689" s="1316" t="s">
        <v>540</v>
      </c>
      <c r="B2689" s="1317"/>
      <c r="C2689" s="1316"/>
      <c r="D2689" s="1317"/>
      <c r="E2689" s="683">
        <f>T2658</f>
        <v>1.0526</v>
      </c>
      <c r="F2689" s="676" t="s">
        <v>366</v>
      </c>
      <c r="G2689" s="670"/>
      <c r="H2689" s="670"/>
      <c r="I2689" s="670">
        <f>[53]노임단가!$T$22</f>
        <v>273308</v>
      </c>
      <c r="J2689" s="670">
        <f>INT(E2689*I2689)</f>
        <v>287684</v>
      </c>
      <c r="K2689" s="670"/>
      <c r="L2689" s="670"/>
      <c r="M2689" s="670">
        <f t="shared" si="640"/>
        <v>273308</v>
      </c>
      <c r="N2689" s="670">
        <f t="shared" si="640"/>
        <v>287684</v>
      </c>
      <c r="O2689" s="671"/>
      <c r="P2689" s="672"/>
      <c r="T2689" s="690"/>
      <c r="U2689" s="690"/>
      <c r="V2689" s="690"/>
    </row>
    <row r="2690" spans="1:22" s="688" customFormat="1" ht="17.100000000000001" customHeight="1">
      <c r="A2690" s="1316" t="s">
        <v>628</v>
      </c>
      <c r="B2690" s="1317"/>
      <c r="C2690" s="1316"/>
      <c r="D2690" s="1317"/>
      <c r="E2690" s="683">
        <f>T2659</f>
        <v>1.0526</v>
      </c>
      <c r="F2690" s="676" t="s">
        <v>366</v>
      </c>
      <c r="G2690" s="670"/>
      <c r="H2690" s="670"/>
      <c r="I2690" s="670">
        <f>[53]노임단가!$T$6</f>
        <v>226122</v>
      </c>
      <c r="J2690" s="670">
        <f>INT(E2690*I2690)</f>
        <v>238016</v>
      </c>
      <c r="K2690" s="670"/>
      <c r="L2690" s="670"/>
      <c r="M2690" s="670">
        <f t="shared" si="640"/>
        <v>226122</v>
      </c>
      <c r="N2690" s="670">
        <f t="shared" si="640"/>
        <v>238016</v>
      </c>
      <c r="O2690" s="671"/>
      <c r="P2690" s="672"/>
    </row>
    <row r="2691" spans="1:22" s="688" customFormat="1" ht="17.100000000000001" customHeight="1">
      <c r="A2691" s="1316" t="s">
        <v>248</v>
      </c>
      <c r="B2691" s="1317"/>
      <c r="C2691" s="1316"/>
      <c r="D2691" s="1317"/>
      <c r="E2691" s="683">
        <f>T2660</f>
        <v>0.52629999999999999</v>
      </c>
      <c r="F2691" s="676" t="s">
        <v>366</v>
      </c>
      <c r="G2691" s="670"/>
      <c r="H2691" s="670"/>
      <c r="I2691" s="670">
        <f>[53]노임단가!$T$5</f>
        <v>172068</v>
      </c>
      <c r="J2691" s="670">
        <f>INT(E2691*I2691)</f>
        <v>90559</v>
      </c>
      <c r="K2691" s="670"/>
      <c r="L2691" s="670"/>
      <c r="M2691" s="670">
        <f t="shared" si="640"/>
        <v>172068</v>
      </c>
      <c r="N2691" s="670">
        <f t="shared" si="640"/>
        <v>90559</v>
      </c>
      <c r="O2691" s="671"/>
      <c r="P2691" s="672" t="s">
        <v>2173</v>
      </c>
      <c r="Q2691" s="806" t="s">
        <v>1446</v>
      </c>
      <c r="R2691" s="688" t="s">
        <v>1447</v>
      </c>
      <c r="S2691" s="688" t="s">
        <v>1425</v>
      </c>
      <c r="T2691" s="688" t="s">
        <v>1426</v>
      </c>
    </row>
    <row r="2692" spans="1:22" s="688" customFormat="1" ht="16.5" customHeight="1">
      <c r="A2692" s="1316" t="s">
        <v>409</v>
      </c>
      <c r="B2692" s="1317"/>
      <c r="C2692" s="1316" t="s">
        <v>1380</v>
      </c>
      <c r="D2692" s="1317"/>
      <c r="E2692" s="683">
        <f>T2661</f>
        <v>4.2104999999999997</v>
      </c>
      <c r="F2692" s="676" t="s">
        <v>418</v>
      </c>
      <c r="G2692" s="670" t="e">
        <f>#REF!</f>
        <v>#REF!</v>
      </c>
      <c r="H2692" s="670" t="e">
        <f>INT(E2692*G2692)</f>
        <v>#REF!</v>
      </c>
      <c r="I2692" s="670" t="e">
        <f>#REF!</f>
        <v>#REF!</v>
      </c>
      <c r="J2692" s="670" t="e">
        <f>INT(E2692*I2692)</f>
        <v>#REF!</v>
      </c>
      <c r="K2692" s="670" t="e">
        <f>#REF!</f>
        <v>#REF!</v>
      </c>
      <c r="L2692" s="670" t="e">
        <f>INT(E2692*K2692)</f>
        <v>#REF!</v>
      </c>
      <c r="M2692" s="670" t="e">
        <f t="shared" si="640"/>
        <v>#REF!</v>
      </c>
      <c r="N2692" s="670" t="e">
        <f t="shared" si="640"/>
        <v>#REF!</v>
      </c>
      <c r="O2692" s="671"/>
      <c r="P2692" s="672" t="s">
        <v>2174</v>
      </c>
      <c r="Q2692" s="688">
        <v>260</v>
      </c>
      <c r="R2692" s="688">
        <f>(Q2692)/100</f>
        <v>2.6</v>
      </c>
      <c r="T2692" s="690">
        <f>ROUND(S2692/R2692,4)</f>
        <v>0</v>
      </c>
      <c r="U2692" s="690"/>
      <c r="V2692" s="690"/>
    </row>
    <row r="2693" spans="1:22" s="688" customFormat="1" ht="17.100000000000001" customHeight="1">
      <c r="A2693" s="1316" t="s">
        <v>465</v>
      </c>
      <c r="B2693" s="1317"/>
      <c r="C2693" s="1316" t="s">
        <v>466</v>
      </c>
      <c r="D2693" s="1317"/>
      <c r="E2693" s="683">
        <f>T2662</f>
        <v>4.2104999999999997</v>
      </c>
      <c r="F2693" s="676" t="s">
        <v>418</v>
      </c>
      <c r="G2693" s="670" t="e">
        <f>#REF!</f>
        <v>#REF!</v>
      </c>
      <c r="H2693" s="750" t="e">
        <f>INT(E2693*G2693)</f>
        <v>#REF!</v>
      </c>
      <c r="I2693" s="670" t="e">
        <f>#REF!</f>
        <v>#REF!</v>
      </c>
      <c r="J2693" s="750" t="e">
        <f>INT(E2693*I2693)</f>
        <v>#REF!</v>
      </c>
      <c r="K2693" s="670" t="e">
        <f>#REF!</f>
        <v>#REF!</v>
      </c>
      <c r="L2693" s="750" t="e">
        <f>INT(E2693*K2693)</f>
        <v>#REF!</v>
      </c>
      <c r="M2693" s="670" t="e">
        <f t="shared" si="640"/>
        <v>#REF!</v>
      </c>
      <c r="N2693" s="670" t="e">
        <f t="shared" si="640"/>
        <v>#REF!</v>
      </c>
      <c r="O2693" s="671"/>
      <c r="P2693" s="813"/>
      <c r="Q2693" s="688">
        <f>Q2692</f>
        <v>260</v>
      </c>
      <c r="R2693" s="688">
        <f>R2692</f>
        <v>2.6</v>
      </c>
      <c r="T2693" s="690">
        <f>ROUND(S2693/R2693,4)</f>
        <v>0</v>
      </c>
      <c r="U2693" s="690"/>
      <c r="V2693" s="690"/>
    </row>
    <row r="2694" spans="1:22" s="688" customFormat="1" ht="17.100000000000001" customHeight="1">
      <c r="A2694" s="1316" t="s">
        <v>2108</v>
      </c>
      <c r="B2694" s="1317"/>
      <c r="C2694" s="1316" t="s">
        <v>1469</v>
      </c>
      <c r="D2694" s="1317"/>
      <c r="E2694" s="675">
        <v>0.05</v>
      </c>
      <c r="F2694" s="676" t="s">
        <v>672</v>
      </c>
      <c r="G2694" s="670"/>
      <c r="H2694" s="670">
        <f>INT(E2694*G2694)</f>
        <v>0</v>
      </c>
      <c r="I2694" s="670"/>
      <c r="J2694" s="670"/>
      <c r="K2694" s="670">
        <f>J2689+J2690+J2691</f>
        <v>616259</v>
      </c>
      <c r="L2694" s="670">
        <f>INT(E2694*K2694)</f>
        <v>30812</v>
      </c>
      <c r="M2694" s="670">
        <f t="shared" si="640"/>
        <v>616259</v>
      </c>
      <c r="N2694" s="670">
        <f t="shared" si="640"/>
        <v>30812</v>
      </c>
      <c r="O2694" s="671"/>
      <c r="P2694" s="672"/>
      <c r="Q2694" s="688">
        <f t="shared" ref="Q2694:R2702" si="641">Q2693</f>
        <v>260</v>
      </c>
      <c r="R2694" s="688">
        <f t="shared" si="641"/>
        <v>2.6</v>
      </c>
      <c r="T2694" s="690">
        <f t="shared" ref="T2694:T2702" si="642">ROUND(S2694/R2694,4)</f>
        <v>0</v>
      </c>
      <c r="U2694" s="690"/>
      <c r="V2694" s="690"/>
    </row>
    <row r="2695" spans="1:22" s="688" customFormat="1" ht="17.100000000000001" customHeight="1">
      <c r="A2695" s="1318" t="s">
        <v>1320</v>
      </c>
      <c r="B2695" s="1319"/>
      <c r="C2695" s="1316"/>
      <c r="D2695" s="1317"/>
      <c r="E2695" s="686"/>
      <c r="F2695" s="676"/>
      <c r="G2695" s="670"/>
      <c r="H2695" s="670" t="e">
        <f>SUM(H2685:H2694)</f>
        <v>#REF!</v>
      </c>
      <c r="I2695" s="670"/>
      <c r="J2695" s="670" t="e">
        <f>SUM(J2685:J2694)</f>
        <v>#REF!</v>
      </c>
      <c r="K2695" s="670"/>
      <c r="L2695" s="670" t="e">
        <f>SUM(L2685:L2694)</f>
        <v>#REF!</v>
      </c>
      <c r="M2695" s="670"/>
      <c r="N2695" s="670" t="e">
        <f>SUM(N2685:N2694)</f>
        <v>#REF!</v>
      </c>
      <c r="O2695" s="671"/>
      <c r="P2695" s="812"/>
      <c r="Q2695" s="688">
        <f t="shared" si="641"/>
        <v>260</v>
      </c>
      <c r="R2695" s="688">
        <f t="shared" si="641"/>
        <v>2.6</v>
      </c>
      <c r="T2695" s="690">
        <f t="shared" si="642"/>
        <v>0</v>
      </c>
      <c r="U2695" s="690"/>
      <c r="V2695" s="690"/>
    </row>
    <row r="2696" spans="1:22" s="688" customFormat="1" ht="17.100000000000001" customHeight="1">
      <c r="A2696" s="668">
        <f>A2684+1</f>
        <v>388</v>
      </c>
      <c r="B2696" s="1320" t="s">
        <v>2180</v>
      </c>
      <c r="C2696" s="1320"/>
      <c r="D2696" s="1320" t="s">
        <v>2149</v>
      </c>
      <c r="E2696" s="1320"/>
      <c r="F2696" s="669" t="s">
        <v>1458</v>
      </c>
      <c r="G2696" s="698"/>
      <c r="H2696" s="698"/>
      <c r="I2696" s="698"/>
      <c r="J2696" s="698"/>
      <c r="K2696" s="670"/>
      <c r="L2696" s="670"/>
      <c r="M2696" s="670"/>
      <c r="N2696" s="698"/>
      <c r="O2696" s="699" t="s">
        <v>1562</v>
      </c>
      <c r="P2696" s="672"/>
      <c r="Q2696" s="688">
        <f t="shared" si="641"/>
        <v>260</v>
      </c>
      <c r="R2696" s="688">
        <f t="shared" si="641"/>
        <v>2.6</v>
      </c>
      <c r="S2696" s="688">
        <v>3</v>
      </c>
      <c r="T2696" s="690">
        <f t="shared" si="642"/>
        <v>1.1537999999999999</v>
      </c>
      <c r="U2696" s="690"/>
      <c r="V2696" s="690"/>
    </row>
    <row r="2697" spans="1:22" s="688" customFormat="1" ht="17.100000000000001" customHeight="1">
      <c r="A2697" s="1316" t="s">
        <v>2150</v>
      </c>
      <c r="B2697" s="1317"/>
      <c r="C2697" s="1316" t="s">
        <v>2151</v>
      </c>
      <c r="D2697" s="1317"/>
      <c r="E2697" s="677">
        <v>104</v>
      </c>
      <c r="F2697" s="676" t="s">
        <v>645</v>
      </c>
      <c r="G2697" s="670"/>
      <c r="H2697" s="670"/>
      <c r="I2697" s="670"/>
      <c r="J2697" s="670"/>
      <c r="K2697" s="670"/>
      <c r="L2697" s="670"/>
      <c r="M2697" s="670"/>
      <c r="N2697" s="670"/>
      <c r="O2697" s="671"/>
      <c r="P2697" s="672"/>
      <c r="Q2697" s="688">
        <f t="shared" si="641"/>
        <v>260</v>
      </c>
      <c r="R2697" s="688">
        <f t="shared" si="641"/>
        <v>2.6</v>
      </c>
      <c r="S2697" s="688">
        <v>2</v>
      </c>
      <c r="T2697" s="690">
        <f t="shared" si="642"/>
        <v>0.76919999999999999</v>
      </c>
      <c r="U2697" s="690"/>
      <c r="V2697" s="690"/>
    </row>
    <row r="2698" spans="1:22" s="688" customFormat="1" ht="17.100000000000001" customHeight="1">
      <c r="A2698" s="1369" t="s">
        <v>2133</v>
      </c>
      <c r="B2698" s="1365"/>
      <c r="C2698" s="1369" t="s">
        <v>1761</v>
      </c>
      <c r="D2698" s="1365"/>
      <c r="E2698" s="814">
        <v>104</v>
      </c>
      <c r="F2698" s="815" t="s">
        <v>645</v>
      </c>
      <c r="G2698" s="816"/>
      <c r="H2698" s="816"/>
      <c r="I2698" s="816"/>
      <c r="J2698" s="816"/>
      <c r="K2698" s="816">
        <f>[53]운반공!$BO$628</f>
        <v>518</v>
      </c>
      <c r="L2698" s="816">
        <f>INT(E2698*K2698)</f>
        <v>53872</v>
      </c>
      <c r="M2698" s="816">
        <f t="shared" ref="M2698:N2706" si="643">G2698+I2698+K2698</f>
        <v>518</v>
      </c>
      <c r="N2698" s="816">
        <f t="shared" si="643"/>
        <v>53872</v>
      </c>
      <c r="O2698" s="817"/>
      <c r="P2698" s="672"/>
      <c r="Q2698" s="688">
        <f t="shared" si="641"/>
        <v>260</v>
      </c>
      <c r="R2698" s="688">
        <f t="shared" si="641"/>
        <v>2.6</v>
      </c>
      <c r="S2698" s="688">
        <v>2</v>
      </c>
      <c r="T2698" s="690">
        <f t="shared" si="642"/>
        <v>0.76919999999999999</v>
      </c>
      <c r="U2698" s="690"/>
      <c r="V2698" s="690"/>
    </row>
    <row r="2699" spans="1:22" s="688" customFormat="1" ht="17.100000000000001" customHeight="1">
      <c r="A2699" s="1316" t="s">
        <v>2152</v>
      </c>
      <c r="B2699" s="1317"/>
      <c r="C2699" s="1316" t="s">
        <v>2153</v>
      </c>
      <c r="D2699" s="1317"/>
      <c r="E2699" s="675">
        <v>0.21</v>
      </c>
      <c r="F2699" s="676" t="s">
        <v>850</v>
      </c>
      <c r="G2699" s="670" t="e">
        <f>#REF!</f>
        <v>#REF!</v>
      </c>
      <c r="H2699" s="670" t="e">
        <f>INT(E2699*G2699)</f>
        <v>#REF!</v>
      </c>
      <c r="I2699" s="670"/>
      <c r="J2699" s="670"/>
      <c r="K2699" s="670"/>
      <c r="L2699" s="670"/>
      <c r="M2699" s="670" t="e">
        <f t="shared" si="643"/>
        <v>#REF!</v>
      </c>
      <c r="N2699" s="670" t="e">
        <f t="shared" si="643"/>
        <v>#REF!</v>
      </c>
      <c r="O2699" s="671"/>
      <c r="P2699" s="672"/>
      <c r="Q2699" s="688">
        <f t="shared" si="641"/>
        <v>260</v>
      </c>
      <c r="R2699" s="688">
        <f t="shared" si="641"/>
        <v>2.6</v>
      </c>
      <c r="S2699" s="688">
        <v>8</v>
      </c>
      <c r="T2699" s="690">
        <f t="shared" si="642"/>
        <v>3.0769000000000002</v>
      </c>
      <c r="U2699" s="690"/>
      <c r="V2699" s="690"/>
    </row>
    <row r="2700" spans="1:22" s="688" customFormat="1" ht="17.100000000000001" customHeight="1">
      <c r="A2700" s="1316" t="s">
        <v>821</v>
      </c>
      <c r="B2700" s="1317"/>
      <c r="C2700" s="1316" t="s">
        <v>2154</v>
      </c>
      <c r="D2700" s="1317"/>
      <c r="E2700" s="679">
        <v>3.3</v>
      </c>
      <c r="F2700" s="676" t="s">
        <v>850</v>
      </c>
      <c r="G2700" s="670" t="e">
        <f>#REF!</f>
        <v>#REF!</v>
      </c>
      <c r="H2700" s="670" t="e">
        <f>INT(E2700*G2700)</f>
        <v>#REF!</v>
      </c>
      <c r="I2700" s="670"/>
      <c r="J2700" s="670"/>
      <c r="K2700" s="670"/>
      <c r="L2700" s="670"/>
      <c r="M2700" s="670" t="e">
        <f t="shared" si="643"/>
        <v>#REF!</v>
      </c>
      <c r="N2700" s="670" t="e">
        <f t="shared" si="643"/>
        <v>#REF!</v>
      </c>
      <c r="O2700" s="818"/>
      <c r="P2700" s="672"/>
      <c r="Q2700" s="688">
        <f t="shared" si="641"/>
        <v>260</v>
      </c>
      <c r="R2700" s="688">
        <f t="shared" si="641"/>
        <v>2.6</v>
      </c>
      <c r="S2700" s="688">
        <v>8</v>
      </c>
      <c r="T2700" s="690">
        <f t="shared" si="642"/>
        <v>3.0769000000000002</v>
      </c>
      <c r="U2700" s="690"/>
      <c r="V2700" s="690"/>
    </row>
    <row r="2701" spans="1:22" s="688" customFormat="1" ht="17.100000000000001" customHeight="1">
      <c r="A2701" s="1316" t="s">
        <v>540</v>
      </c>
      <c r="B2701" s="1317"/>
      <c r="C2701" s="1316"/>
      <c r="D2701" s="1317"/>
      <c r="E2701" s="683">
        <v>1.1537999999999999</v>
      </c>
      <c r="F2701" s="676" t="s">
        <v>366</v>
      </c>
      <c r="G2701" s="670"/>
      <c r="H2701" s="670"/>
      <c r="I2701" s="670">
        <f>[53]노임단가!$T$22</f>
        <v>273308</v>
      </c>
      <c r="J2701" s="670">
        <f t="shared" ref="J2701:J2706" si="644">INT(E2701*I2701)</f>
        <v>315342</v>
      </c>
      <c r="K2701" s="670"/>
      <c r="L2701" s="670"/>
      <c r="M2701" s="670">
        <f t="shared" si="643"/>
        <v>273308</v>
      </c>
      <c r="N2701" s="670">
        <f t="shared" si="643"/>
        <v>315342</v>
      </c>
      <c r="O2701" s="671"/>
      <c r="P2701" s="672"/>
      <c r="Q2701" s="688">
        <f t="shared" si="641"/>
        <v>260</v>
      </c>
      <c r="R2701" s="688">
        <f t="shared" si="641"/>
        <v>2.6</v>
      </c>
      <c r="S2701" s="688">
        <v>8</v>
      </c>
      <c r="T2701" s="690">
        <f t="shared" si="642"/>
        <v>3.0769000000000002</v>
      </c>
      <c r="U2701" s="690"/>
      <c r="V2701" s="690"/>
    </row>
    <row r="2702" spans="1:22" s="688" customFormat="1" ht="17.100000000000001" customHeight="1">
      <c r="A2702" s="1316" t="s">
        <v>628</v>
      </c>
      <c r="B2702" s="1317"/>
      <c r="C2702" s="1316"/>
      <c r="D2702" s="1317"/>
      <c r="E2702" s="683">
        <v>0.76919999999999999</v>
      </c>
      <c r="F2702" s="676" t="s">
        <v>366</v>
      </c>
      <c r="G2702" s="670"/>
      <c r="H2702" s="670"/>
      <c r="I2702" s="670">
        <f>[53]노임단가!$T$6</f>
        <v>226122</v>
      </c>
      <c r="J2702" s="670">
        <f t="shared" si="644"/>
        <v>173933</v>
      </c>
      <c r="K2702" s="670"/>
      <c r="L2702" s="670"/>
      <c r="M2702" s="670">
        <f t="shared" si="643"/>
        <v>226122</v>
      </c>
      <c r="N2702" s="670">
        <f t="shared" si="643"/>
        <v>173933</v>
      </c>
      <c r="O2702" s="671"/>
      <c r="P2702" s="672"/>
      <c r="Q2702" s="688">
        <f t="shared" si="641"/>
        <v>260</v>
      </c>
      <c r="R2702" s="688">
        <f t="shared" si="641"/>
        <v>2.6</v>
      </c>
      <c r="T2702" s="690">
        <f t="shared" si="642"/>
        <v>0</v>
      </c>
      <c r="U2702" s="690"/>
      <c r="V2702" s="690"/>
    </row>
    <row r="2703" spans="1:22" s="688" customFormat="1" ht="17.100000000000001" customHeight="1">
      <c r="A2703" s="1316" t="s">
        <v>248</v>
      </c>
      <c r="B2703" s="1317"/>
      <c r="C2703" s="1316"/>
      <c r="D2703" s="1317"/>
      <c r="E2703" s="683">
        <v>0.76919999999999999</v>
      </c>
      <c r="F2703" s="676" t="s">
        <v>366</v>
      </c>
      <c r="G2703" s="670"/>
      <c r="H2703" s="670"/>
      <c r="I2703" s="670">
        <f>[53]노임단가!$T$5</f>
        <v>172068</v>
      </c>
      <c r="J2703" s="670">
        <f t="shared" si="644"/>
        <v>132354</v>
      </c>
      <c r="K2703" s="670"/>
      <c r="L2703" s="670"/>
      <c r="M2703" s="670">
        <f t="shared" si="643"/>
        <v>172068</v>
      </c>
      <c r="N2703" s="670">
        <f t="shared" si="643"/>
        <v>132354</v>
      </c>
      <c r="O2703" s="671"/>
      <c r="P2703" s="672"/>
    </row>
    <row r="2704" spans="1:22" s="688" customFormat="1" ht="17.100000000000001" customHeight="1">
      <c r="A2704" s="1316" t="s">
        <v>409</v>
      </c>
      <c r="B2704" s="1317"/>
      <c r="C2704" s="1316" t="s">
        <v>1380</v>
      </c>
      <c r="D2704" s="1317"/>
      <c r="E2704" s="683">
        <v>3.0769000000000002</v>
      </c>
      <c r="F2704" s="676" t="s">
        <v>418</v>
      </c>
      <c r="G2704" s="670" t="e">
        <f>#REF!</f>
        <v>#REF!</v>
      </c>
      <c r="H2704" s="670" t="e">
        <f>INT(E2704*G2704)</f>
        <v>#REF!</v>
      </c>
      <c r="I2704" s="670" t="e">
        <f>#REF!</f>
        <v>#REF!</v>
      </c>
      <c r="J2704" s="670" t="e">
        <f t="shared" si="644"/>
        <v>#REF!</v>
      </c>
      <c r="K2704" s="670" t="e">
        <f>#REF!</f>
        <v>#REF!</v>
      </c>
      <c r="L2704" s="670" t="e">
        <f>INT(E2704*K2704)</f>
        <v>#REF!</v>
      </c>
      <c r="M2704" s="670" t="e">
        <f t="shared" si="643"/>
        <v>#REF!</v>
      </c>
      <c r="N2704" s="670" t="e">
        <f t="shared" si="643"/>
        <v>#REF!</v>
      </c>
      <c r="O2704" s="671"/>
      <c r="P2704" s="672" t="s">
        <v>1549</v>
      </c>
      <c r="Q2704" s="806" t="s">
        <v>1446</v>
      </c>
      <c r="R2704" s="688" t="s">
        <v>1447</v>
      </c>
      <c r="S2704" s="688" t="s">
        <v>1425</v>
      </c>
      <c r="T2704" s="688" t="s">
        <v>1426</v>
      </c>
    </row>
    <row r="2705" spans="1:22" s="688" customFormat="1" ht="16.5" customHeight="1">
      <c r="A2705" s="1316" t="s">
        <v>465</v>
      </c>
      <c r="B2705" s="1317"/>
      <c r="C2705" s="1316" t="s">
        <v>466</v>
      </c>
      <c r="D2705" s="1317"/>
      <c r="E2705" s="683">
        <v>3.0769000000000002</v>
      </c>
      <c r="F2705" s="676" t="s">
        <v>418</v>
      </c>
      <c r="G2705" s="670" t="e">
        <f>#REF!</f>
        <v>#REF!</v>
      </c>
      <c r="H2705" s="750" t="e">
        <f>INT(E2705*G2705)</f>
        <v>#REF!</v>
      </c>
      <c r="I2705" s="670" t="e">
        <f>#REF!</f>
        <v>#REF!</v>
      </c>
      <c r="J2705" s="750" t="e">
        <f t="shared" si="644"/>
        <v>#REF!</v>
      </c>
      <c r="K2705" s="670" t="e">
        <f>#REF!</f>
        <v>#REF!</v>
      </c>
      <c r="L2705" s="750" t="e">
        <f>INT(E2705*K2705)</f>
        <v>#REF!</v>
      </c>
      <c r="M2705" s="670" t="e">
        <f t="shared" si="643"/>
        <v>#REF!</v>
      </c>
      <c r="N2705" s="670" t="e">
        <f t="shared" si="643"/>
        <v>#REF!</v>
      </c>
      <c r="O2705" s="671"/>
      <c r="P2705" s="672" t="s">
        <v>2174</v>
      </c>
      <c r="Q2705" s="688">
        <v>180</v>
      </c>
      <c r="R2705" s="688">
        <f>(Q2705)/100</f>
        <v>1.8</v>
      </c>
      <c r="T2705" s="690">
        <f>ROUND(S2705/R2705,4)</f>
        <v>0</v>
      </c>
      <c r="U2705" s="690"/>
      <c r="V2705" s="690"/>
    </row>
    <row r="2706" spans="1:22" s="688" customFormat="1" ht="17.100000000000001" customHeight="1">
      <c r="A2706" s="1316" t="s">
        <v>641</v>
      </c>
      <c r="B2706" s="1317"/>
      <c r="C2706" s="1316" t="s">
        <v>642</v>
      </c>
      <c r="D2706" s="1317"/>
      <c r="E2706" s="683">
        <v>3.0769000000000002</v>
      </c>
      <c r="F2706" s="676" t="s">
        <v>418</v>
      </c>
      <c r="G2706" s="670" t="e">
        <f>#REF!</f>
        <v>#REF!</v>
      </c>
      <c r="H2706" s="670" t="e">
        <f>INT(E2706*G2706)</f>
        <v>#REF!</v>
      </c>
      <c r="I2706" s="670" t="e">
        <f>#REF!</f>
        <v>#REF!</v>
      </c>
      <c r="J2706" s="670" t="e">
        <f t="shared" si="644"/>
        <v>#REF!</v>
      </c>
      <c r="K2706" s="670" t="e">
        <f>#REF!</f>
        <v>#REF!</v>
      </c>
      <c r="L2706" s="670" t="e">
        <f>INT(E2706*K2706)</f>
        <v>#REF!</v>
      </c>
      <c r="M2706" s="670" t="e">
        <f t="shared" si="643"/>
        <v>#REF!</v>
      </c>
      <c r="N2706" s="670" t="e">
        <f t="shared" si="643"/>
        <v>#REF!</v>
      </c>
      <c r="O2706" s="671"/>
      <c r="P2706" s="813"/>
      <c r="Q2706" s="688">
        <f>Q2705</f>
        <v>180</v>
      </c>
      <c r="R2706" s="688">
        <f>R2705</f>
        <v>1.8</v>
      </c>
      <c r="T2706" s="690">
        <f>ROUND(S2706/R2706,4)</f>
        <v>0</v>
      </c>
      <c r="U2706" s="690"/>
      <c r="V2706" s="690"/>
    </row>
    <row r="2707" spans="1:22" s="688" customFormat="1" ht="17.100000000000001" customHeight="1">
      <c r="A2707" s="1316" t="s">
        <v>2108</v>
      </c>
      <c r="B2707" s="1317"/>
      <c r="C2707" s="1316" t="s">
        <v>1469</v>
      </c>
      <c r="D2707" s="1317"/>
      <c r="E2707" s="675">
        <v>0.05</v>
      </c>
      <c r="F2707" s="676" t="s">
        <v>672</v>
      </c>
      <c r="G2707" s="670"/>
      <c r="H2707" s="670">
        <f>INT(E2707*G2707)</f>
        <v>0</v>
      </c>
      <c r="I2707" s="670"/>
      <c r="J2707" s="670"/>
      <c r="K2707" s="670">
        <f>SUM(J2701:J2703)</f>
        <v>621629</v>
      </c>
      <c r="L2707" s="670">
        <f>INT(E2707*K2707)</f>
        <v>31081</v>
      </c>
      <c r="M2707" s="670">
        <f>G2707+I2707+K2707</f>
        <v>621629</v>
      </c>
      <c r="N2707" s="670">
        <f>H2707+J2707+L2707</f>
        <v>31081</v>
      </c>
      <c r="O2707" s="671"/>
      <c r="P2707" s="672"/>
      <c r="Q2707" s="688">
        <f t="shared" ref="Q2707:R2715" si="645">Q2706</f>
        <v>180</v>
      </c>
      <c r="R2707" s="688">
        <f t="shared" si="645"/>
        <v>1.8</v>
      </c>
      <c r="T2707" s="690">
        <f t="shared" ref="T2707:T2715" si="646">ROUND(S2707/R2707,4)</f>
        <v>0</v>
      </c>
      <c r="U2707" s="690"/>
      <c r="V2707" s="690"/>
    </row>
    <row r="2708" spans="1:22" s="688" customFormat="1" ht="17.100000000000001" customHeight="1">
      <c r="A2708" s="1318" t="s">
        <v>1320</v>
      </c>
      <c r="B2708" s="1319"/>
      <c r="C2708" s="1316"/>
      <c r="D2708" s="1317"/>
      <c r="E2708" s="686"/>
      <c r="F2708" s="676"/>
      <c r="G2708" s="670"/>
      <c r="H2708" s="670" t="e">
        <f>SUM(H2697:H2707)</f>
        <v>#REF!</v>
      </c>
      <c r="I2708" s="670"/>
      <c r="J2708" s="670" t="e">
        <f>SUM(J2697:J2707)</f>
        <v>#REF!</v>
      </c>
      <c r="K2708" s="670"/>
      <c r="L2708" s="670" t="e">
        <f>SUM(L2697:L2707)</f>
        <v>#REF!</v>
      </c>
      <c r="M2708" s="670"/>
      <c r="N2708" s="670" t="e">
        <f>SUM(N2697:N2707)</f>
        <v>#REF!</v>
      </c>
      <c r="O2708" s="671"/>
      <c r="P2708" s="812"/>
      <c r="Q2708" s="688">
        <f t="shared" si="645"/>
        <v>180</v>
      </c>
      <c r="R2708" s="688">
        <f t="shared" si="645"/>
        <v>1.8</v>
      </c>
      <c r="T2708" s="690">
        <f t="shared" si="646"/>
        <v>0</v>
      </c>
      <c r="U2708" s="690"/>
      <c r="V2708" s="690"/>
    </row>
    <row r="2709" spans="1:22" s="688" customFormat="1" ht="17.100000000000001" customHeight="1">
      <c r="A2709" s="668">
        <f>A2696+1</f>
        <v>389</v>
      </c>
      <c r="B2709" s="1320" t="s">
        <v>2180</v>
      </c>
      <c r="C2709" s="1320"/>
      <c r="D2709" s="1320" t="s">
        <v>2156</v>
      </c>
      <c r="E2709" s="1320"/>
      <c r="F2709" s="669" t="s">
        <v>1458</v>
      </c>
      <c r="G2709" s="698"/>
      <c r="H2709" s="698"/>
      <c r="I2709" s="698"/>
      <c r="J2709" s="698"/>
      <c r="K2709" s="670"/>
      <c r="L2709" s="670"/>
      <c r="M2709" s="670"/>
      <c r="N2709" s="698"/>
      <c r="O2709" s="699" t="s">
        <v>1562</v>
      </c>
      <c r="P2709" s="672"/>
      <c r="Q2709" s="688">
        <f t="shared" si="645"/>
        <v>180</v>
      </c>
      <c r="R2709" s="688">
        <f t="shared" si="645"/>
        <v>1.8</v>
      </c>
      <c r="S2709" s="688">
        <v>2</v>
      </c>
      <c r="T2709" s="690">
        <f t="shared" si="646"/>
        <v>1.1111</v>
      </c>
      <c r="U2709" s="690"/>
      <c r="V2709" s="690"/>
    </row>
    <row r="2710" spans="1:22" s="688" customFormat="1" ht="17.100000000000001" customHeight="1">
      <c r="A2710" s="1316" t="s">
        <v>2150</v>
      </c>
      <c r="B2710" s="1317"/>
      <c r="C2710" s="1316" t="s">
        <v>2151</v>
      </c>
      <c r="D2710" s="1317"/>
      <c r="E2710" s="677">
        <v>104</v>
      </c>
      <c r="F2710" s="676" t="s">
        <v>645</v>
      </c>
      <c r="G2710" s="670"/>
      <c r="H2710" s="670"/>
      <c r="I2710" s="670"/>
      <c r="J2710" s="670"/>
      <c r="K2710" s="670"/>
      <c r="L2710" s="670"/>
      <c r="M2710" s="670"/>
      <c r="N2710" s="670"/>
      <c r="O2710" s="671"/>
      <c r="P2710" s="672"/>
      <c r="Q2710" s="688">
        <f t="shared" si="645"/>
        <v>180</v>
      </c>
      <c r="R2710" s="688">
        <f t="shared" si="645"/>
        <v>1.8</v>
      </c>
      <c r="S2710" s="688">
        <v>2</v>
      </c>
      <c r="T2710" s="690">
        <f t="shared" si="646"/>
        <v>1.1111</v>
      </c>
      <c r="U2710" s="690"/>
      <c r="V2710" s="690"/>
    </row>
    <row r="2711" spans="1:22" s="688" customFormat="1" ht="17.100000000000001" customHeight="1">
      <c r="A2711" s="1369" t="s">
        <v>2133</v>
      </c>
      <c r="B2711" s="1365"/>
      <c r="C2711" s="1369" t="s">
        <v>1761</v>
      </c>
      <c r="D2711" s="1365"/>
      <c r="E2711" s="814">
        <v>104</v>
      </c>
      <c r="F2711" s="815" t="s">
        <v>645</v>
      </c>
      <c r="G2711" s="816"/>
      <c r="H2711" s="816"/>
      <c r="I2711" s="816"/>
      <c r="J2711" s="816"/>
      <c r="K2711" s="816">
        <f>[53]운반공!$BO$628</f>
        <v>518</v>
      </c>
      <c r="L2711" s="816">
        <f>INT(E2711*K2711)</f>
        <v>53872</v>
      </c>
      <c r="M2711" s="816">
        <f t="shared" ref="M2711:N2719" si="647">G2711+I2711+K2711</f>
        <v>518</v>
      </c>
      <c r="N2711" s="816">
        <f t="shared" si="647"/>
        <v>53872</v>
      </c>
      <c r="O2711" s="817"/>
      <c r="P2711" s="672"/>
      <c r="Q2711" s="688">
        <f t="shared" si="645"/>
        <v>180</v>
      </c>
      <c r="R2711" s="688">
        <f t="shared" si="645"/>
        <v>1.8</v>
      </c>
      <c r="S2711" s="688">
        <v>1</v>
      </c>
      <c r="T2711" s="690">
        <f t="shared" si="646"/>
        <v>0.55559999999999998</v>
      </c>
      <c r="U2711" s="690"/>
      <c r="V2711" s="690"/>
    </row>
    <row r="2712" spans="1:22" s="688" customFormat="1" ht="17.100000000000001" customHeight="1">
      <c r="A2712" s="1316" t="s">
        <v>2152</v>
      </c>
      <c r="B2712" s="1317"/>
      <c r="C2712" s="1316" t="s">
        <v>2153</v>
      </c>
      <c r="D2712" s="1317"/>
      <c r="E2712" s="675">
        <v>0.21</v>
      </c>
      <c r="F2712" s="676" t="s">
        <v>850</v>
      </c>
      <c r="G2712" s="670" t="e">
        <f>#REF!</f>
        <v>#REF!</v>
      </c>
      <c r="H2712" s="670" t="e">
        <f>INT(E2712*G2712)</f>
        <v>#REF!</v>
      </c>
      <c r="I2712" s="670"/>
      <c r="J2712" s="670"/>
      <c r="K2712" s="670"/>
      <c r="L2712" s="670"/>
      <c r="M2712" s="670" t="e">
        <f t="shared" si="647"/>
        <v>#REF!</v>
      </c>
      <c r="N2712" s="670" t="e">
        <f t="shared" si="647"/>
        <v>#REF!</v>
      </c>
      <c r="O2712" s="671"/>
      <c r="P2712" s="672"/>
      <c r="Q2712" s="688">
        <f t="shared" si="645"/>
        <v>180</v>
      </c>
      <c r="R2712" s="688">
        <f t="shared" si="645"/>
        <v>1.8</v>
      </c>
      <c r="S2712" s="688">
        <v>8</v>
      </c>
      <c r="T2712" s="690">
        <f t="shared" si="646"/>
        <v>4.4443999999999999</v>
      </c>
      <c r="U2712" s="690"/>
      <c r="V2712" s="690"/>
    </row>
    <row r="2713" spans="1:22" s="688" customFormat="1" ht="17.100000000000001" customHeight="1">
      <c r="A2713" s="1316" t="s">
        <v>821</v>
      </c>
      <c r="B2713" s="1317"/>
      <c r="C2713" s="1316" t="s">
        <v>2154</v>
      </c>
      <c r="D2713" s="1317"/>
      <c r="E2713" s="679">
        <v>3.3</v>
      </c>
      <c r="F2713" s="676" t="s">
        <v>850</v>
      </c>
      <c r="G2713" s="670" t="e">
        <f>#REF!</f>
        <v>#REF!</v>
      </c>
      <c r="H2713" s="670" t="e">
        <f>INT(E2713*G2713)</f>
        <v>#REF!</v>
      </c>
      <c r="I2713" s="670"/>
      <c r="J2713" s="670"/>
      <c r="K2713" s="670"/>
      <c r="L2713" s="670"/>
      <c r="M2713" s="670" t="e">
        <f t="shared" si="647"/>
        <v>#REF!</v>
      </c>
      <c r="N2713" s="670" t="e">
        <f t="shared" si="647"/>
        <v>#REF!</v>
      </c>
      <c r="O2713" s="818"/>
      <c r="P2713" s="672"/>
      <c r="Q2713" s="688">
        <f t="shared" si="645"/>
        <v>180</v>
      </c>
      <c r="R2713" s="688">
        <f t="shared" si="645"/>
        <v>1.8</v>
      </c>
      <c r="S2713" s="688">
        <v>8</v>
      </c>
      <c r="T2713" s="690">
        <f t="shared" si="646"/>
        <v>4.4443999999999999</v>
      </c>
      <c r="U2713" s="690"/>
      <c r="V2713" s="690"/>
    </row>
    <row r="2714" spans="1:22" s="688" customFormat="1" ht="17.100000000000001" customHeight="1">
      <c r="A2714" s="1316" t="s">
        <v>540</v>
      </c>
      <c r="B2714" s="1317"/>
      <c r="C2714" s="1316"/>
      <c r="D2714" s="1317"/>
      <c r="E2714" s="683">
        <f t="shared" ref="E2714:E2719" si="648">T2683</f>
        <v>1.1111</v>
      </c>
      <c r="F2714" s="676" t="s">
        <v>366</v>
      </c>
      <c r="G2714" s="670"/>
      <c r="H2714" s="670"/>
      <c r="I2714" s="670">
        <f>[53]노임단가!$T$22</f>
        <v>273308</v>
      </c>
      <c r="J2714" s="670">
        <f t="shared" ref="J2714:J2719" si="649">INT(E2714*I2714)</f>
        <v>303672</v>
      </c>
      <c r="K2714" s="670"/>
      <c r="L2714" s="670"/>
      <c r="M2714" s="670">
        <f t="shared" si="647"/>
        <v>273308</v>
      </c>
      <c r="N2714" s="670">
        <f t="shared" si="647"/>
        <v>303672</v>
      </c>
      <c r="O2714" s="671"/>
      <c r="P2714" s="672"/>
      <c r="Q2714" s="688">
        <f t="shared" si="645"/>
        <v>180</v>
      </c>
      <c r="R2714" s="688">
        <f t="shared" si="645"/>
        <v>1.8</v>
      </c>
      <c r="S2714" s="688">
        <v>8</v>
      </c>
      <c r="T2714" s="690">
        <f t="shared" si="646"/>
        <v>4.4443999999999999</v>
      </c>
      <c r="U2714" s="690"/>
      <c r="V2714" s="690"/>
    </row>
    <row r="2715" spans="1:22" s="688" customFormat="1" ht="17.100000000000001" customHeight="1">
      <c r="A2715" s="1316" t="s">
        <v>628</v>
      </c>
      <c r="B2715" s="1317"/>
      <c r="C2715" s="1316"/>
      <c r="D2715" s="1317"/>
      <c r="E2715" s="683">
        <f t="shared" si="648"/>
        <v>1.1111</v>
      </c>
      <c r="F2715" s="676" t="s">
        <v>366</v>
      </c>
      <c r="G2715" s="670"/>
      <c r="H2715" s="670"/>
      <c r="I2715" s="670">
        <f>[53]노임단가!$T$6</f>
        <v>226122</v>
      </c>
      <c r="J2715" s="670">
        <f t="shared" si="649"/>
        <v>251244</v>
      </c>
      <c r="K2715" s="670"/>
      <c r="L2715" s="670"/>
      <c r="M2715" s="670">
        <f t="shared" si="647"/>
        <v>226122</v>
      </c>
      <c r="N2715" s="670">
        <f t="shared" si="647"/>
        <v>251244</v>
      </c>
      <c r="O2715" s="671"/>
      <c r="P2715" s="672"/>
      <c r="Q2715" s="688">
        <f t="shared" si="645"/>
        <v>180</v>
      </c>
      <c r="R2715" s="688">
        <f t="shared" si="645"/>
        <v>1.8</v>
      </c>
      <c r="T2715" s="690">
        <f t="shared" si="646"/>
        <v>0</v>
      </c>
      <c r="U2715" s="690"/>
      <c r="V2715" s="690"/>
    </row>
    <row r="2716" spans="1:22" s="688" customFormat="1" ht="17.100000000000001" customHeight="1">
      <c r="A2716" s="1316" t="s">
        <v>248</v>
      </c>
      <c r="B2716" s="1317"/>
      <c r="C2716" s="1316"/>
      <c r="D2716" s="1317"/>
      <c r="E2716" s="683">
        <f t="shared" si="648"/>
        <v>0.55559999999999998</v>
      </c>
      <c r="F2716" s="676" t="s">
        <v>366</v>
      </c>
      <c r="G2716" s="670"/>
      <c r="H2716" s="670"/>
      <c r="I2716" s="670">
        <f>[53]노임단가!$T$5</f>
        <v>172068</v>
      </c>
      <c r="J2716" s="670">
        <f t="shared" si="649"/>
        <v>95600</v>
      </c>
      <c r="K2716" s="670"/>
      <c r="L2716" s="670"/>
      <c r="M2716" s="670">
        <f t="shared" si="647"/>
        <v>172068</v>
      </c>
      <c r="N2716" s="670">
        <f t="shared" si="647"/>
        <v>95600</v>
      </c>
      <c r="O2716" s="671"/>
      <c r="P2716" s="672"/>
    </row>
    <row r="2717" spans="1:22" s="688" customFormat="1" ht="17.100000000000001" customHeight="1">
      <c r="A2717" s="1316" t="s">
        <v>409</v>
      </c>
      <c r="B2717" s="1317"/>
      <c r="C2717" s="1316" t="s">
        <v>2147</v>
      </c>
      <c r="D2717" s="1317"/>
      <c r="E2717" s="683">
        <f t="shared" si="648"/>
        <v>4.4443999999999999</v>
      </c>
      <c r="F2717" s="676" t="s">
        <v>418</v>
      </c>
      <c r="G2717" s="670" t="e">
        <f>#REF!</f>
        <v>#REF!</v>
      </c>
      <c r="H2717" s="670" t="e">
        <f>INT(E2717*G2717)</f>
        <v>#REF!</v>
      </c>
      <c r="I2717" s="670" t="e">
        <f>#REF!</f>
        <v>#REF!</v>
      </c>
      <c r="J2717" s="670" t="e">
        <f t="shared" si="649"/>
        <v>#REF!</v>
      </c>
      <c r="K2717" s="670" t="e">
        <f>#REF!</f>
        <v>#REF!</v>
      </c>
      <c r="L2717" s="670" t="e">
        <f>INT(E2717*K2717)</f>
        <v>#REF!</v>
      </c>
      <c r="M2717" s="670" t="e">
        <f t="shared" si="647"/>
        <v>#REF!</v>
      </c>
      <c r="N2717" s="670" t="e">
        <f t="shared" si="647"/>
        <v>#REF!</v>
      </c>
      <c r="O2717" s="671"/>
      <c r="P2717" s="672" t="s">
        <v>1422</v>
      </c>
      <c r="Q2717" s="806" t="s">
        <v>1446</v>
      </c>
      <c r="R2717" s="688" t="s">
        <v>1447</v>
      </c>
      <c r="S2717" s="688" t="s">
        <v>1425</v>
      </c>
      <c r="T2717" s="688" t="s">
        <v>1426</v>
      </c>
    </row>
    <row r="2718" spans="1:22" s="688" customFormat="1" ht="16.5" customHeight="1">
      <c r="A2718" s="1316" t="s">
        <v>465</v>
      </c>
      <c r="B2718" s="1317"/>
      <c r="C2718" s="1316" t="s">
        <v>466</v>
      </c>
      <c r="D2718" s="1317"/>
      <c r="E2718" s="683">
        <f t="shared" si="648"/>
        <v>4.4443999999999999</v>
      </c>
      <c r="F2718" s="676" t="s">
        <v>418</v>
      </c>
      <c r="G2718" s="670" t="e">
        <f>#REF!</f>
        <v>#REF!</v>
      </c>
      <c r="H2718" s="750" t="e">
        <f>INT(E2718*G2718)</f>
        <v>#REF!</v>
      </c>
      <c r="I2718" s="670" t="e">
        <f>#REF!</f>
        <v>#REF!</v>
      </c>
      <c r="J2718" s="750" t="e">
        <f t="shared" si="649"/>
        <v>#REF!</v>
      </c>
      <c r="K2718" s="670" t="e">
        <f>#REF!</f>
        <v>#REF!</v>
      </c>
      <c r="L2718" s="750" t="e">
        <f>INT(E2718*K2718)</f>
        <v>#REF!</v>
      </c>
      <c r="M2718" s="670" t="e">
        <f t="shared" si="647"/>
        <v>#REF!</v>
      </c>
      <c r="N2718" s="670" t="e">
        <f t="shared" si="647"/>
        <v>#REF!</v>
      </c>
      <c r="O2718" s="671"/>
      <c r="P2718" s="672" t="s">
        <v>2174</v>
      </c>
      <c r="Q2718" s="688">
        <v>260</v>
      </c>
      <c r="R2718" s="688">
        <f>(Q2718)/100</f>
        <v>2.6</v>
      </c>
      <c r="T2718" s="690">
        <f>ROUND(S2718/R2718,4)</f>
        <v>0</v>
      </c>
      <c r="U2718" s="690"/>
      <c r="V2718" s="690"/>
    </row>
    <row r="2719" spans="1:22" s="688" customFormat="1" ht="17.100000000000001" customHeight="1">
      <c r="A2719" s="1316" t="s">
        <v>641</v>
      </c>
      <c r="B2719" s="1317"/>
      <c r="C2719" s="1316" t="s">
        <v>642</v>
      </c>
      <c r="D2719" s="1317"/>
      <c r="E2719" s="683">
        <f t="shared" si="648"/>
        <v>4.4443999999999999</v>
      </c>
      <c r="F2719" s="676" t="s">
        <v>418</v>
      </c>
      <c r="G2719" s="670" t="e">
        <f>#REF!</f>
        <v>#REF!</v>
      </c>
      <c r="H2719" s="670" t="e">
        <f>INT(E2719*G2719)</f>
        <v>#REF!</v>
      </c>
      <c r="I2719" s="670" t="e">
        <f>#REF!</f>
        <v>#REF!</v>
      </c>
      <c r="J2719" s="670" t="e">
        <f t="shared" si="649"/>
        <v>#REF!</v>
      </c>
      <c r="K2719" s="670" t="e">
        <f>#REF!</f>
        <v>#REF!</v>
      </c>
      <c r="L2719" s="670" t="e">
        <f>INT(E2719*K2719)</f>
        <v>#REF!</v>
      </c>
      <c r="M2719" s="670" t="e">
        <f t="shared" si="647"/>
        <v>#REF!</v>
      </c>
      <c r="N2719" s="670" t="e">
        <f t="shared" si="647"/>
        <v>#REF!</v>
      </c>
      <c r="O2719" s="671"/>
      <c r="P2719" s="813"/>
      <c r="Q2719" s="688">
        <f>Q2718</f>
        <v>260</v>
      </c>
      <c r="R2719" s="688">
        <f>R2718</f>
        <v>2.6</v>
      </c>
      <c r="T2719" s="690">
        <f>ROUND(S2719/R2719,4)</f>
        <v>0</v>
      </c>
      <c r="U2719" s="690"/>
      <c r="V2719" s="690"/>
    </row>
    <row r="2720" spans="1:22" s="688" customFormat="1" ht="17.100000000000001" customHeight="1">
      <c r="A2720" s="1316" t="s">
        <v>2108</v>
      </c>
      <c r="B2720" s="1317"/>
      <c r="C2720" s="1316" t="s">
        <v>1469</v>
      </c>
      <c r="D2720" s="1317"/>
      <c r="E2720" s="675">
        <v>0.05</v>
      </c>
      <c r="F2720" s="676" t="s">
        <v>672</v>
      </c>
      <c r="G2720" s="670"/>
      <c r="H2720" s="670">
        <f>INT(E2720*G2720)</f>
        <v>0</v>
      </c>
      <c r="I2720" s="670"/>
      <c r="J2720" s="670"/>
      <c r="K2720" s="670">
        <f>SUM(J2714:J2716)</f>
        <v>650516</v>
      </c>
      <c r="L2720" s="670">
        <f>INT(E2720*K2720)</f>
        <v>32525</v>
      </c>
      <c r="M2720" s="670">
        <f>G2720+I2720+K2720</f>
        <v>650516</v>
      </c>
      <c r="N2720" s="670">
        <f>H2720+J2720+L2720</f>
        <v>32525</v>
      </c>
      <c r="O2720" s="671"/>
      <c r="P2720" s="672"/>
      <c r="Q2720" s="688">
        <f t="shared" ref="Q2720:R2729" si="650">Q2719</f>
        <v>260</v>
      </c>
      <c r="R2720" s="688">
        <f t="shared" si="650"/>
        <v>2.6</v>
      </c>
      <c r="T2720" s="690">
        <f t="shared" ref="T2720:T2729" si="651">ROUND(S2720/R2720,4)</f>
        <v>0</v>
      </c>
      <c r="U2720" s="690"/>
      <c r="V2720" s="690"/>
    </row>
    <row r="2721" spans="1:22" s="688" customFormat="1" ht="17.100000000000001" customHeight="1">
      <c r="A2721" s="1318" t="s">
        <v>1320</v>
      </c>
      <c r="B2721" s="1319"/>
      <c r="C2721" s="1316"/>
      <c r="D2721" s="1317"/>
      <c r="E2721" s="686"/>
      <c r="F2721" s="676"/>
      <c r="G2721" s="670"/>
      <c r="H2721" s="670" t="e">
        <f>SUM(H2710:H2720)</f>
        <v>#REF!</v>
      </c>
      <c r="I2721" s="670"/>
      <c r="J2721" s="670" t="e">
        <f>SUM(J2710:J2720)</f>
        <v>#REF!</v>
      </c>
      <c r="K2721" s="670"/>
      <c r="L2721" s="670" t="e">
        <f>SUM(L2710:L2720)</f>
        <v>#REF!</v>
      </c>
      <c r="M2721" s="670"/>
      <c r="N2721" s="670" t="e">
        <f>SUM(N2710:N2720)</f>
        <v>#REF!</v>
      </c>
      <c r="O2721" s="671"/>
      <c r="P2721" s="672"/>
      <c r="Q2721" s="688">
        <f>Q2719</f>
        <v>260</v>
      </c>
      <c r="R2721" s="688">
        <f>R2719</f>
        <v>2.6</v>
      </c>
      <c r="T2721" s="690">
        <f>ROUND(S2721/R2721,4)</f>
        <v>0</v>
      </c>
      <c r="U2721" s="690"/>
      <c r="V2721" s="690"/>
    </row>
    <row r="2722" spans="1:22" s="688" customFormat="1" ht="17.100000000000001" customHeight="1">
      <c r="A2722" s="668">
        <f>A2709+1</f>
        <v>390</v>
      </c>
      <c r="B2722" s="1320" t="s">
        <v>2180</v>
      </c>
      <c r="C2722" s="1320"/>
      <c r="D2722" s="1320" t="s">
        <v>2157</v>
      </c>
      <c r="E2722" s="1320"/>
      <c r="F2722" s="669" t="s">
        <v>1458</v>
      </c>
      <c r="G2722" s="698"/>
      <c r="H2722" s="698"/>
      <c r="I2722" s="698"/>
      <c r="J2722" s="698"/>
      <c r="K2722" s="670"/>
      <c r="L2722" s="670"/>
      <c r="M2722" s="670"/>
      <c r="N2722" s="698"/>
      <c r="O2722" s="699" t="s">
        <v>1562</v>
      </c>
      <c r="P2722" s="812"/>
      <c r="Q2722" s="688">
        <f>Q2720</f>
        <v>260</v>
      </c>
      <c r="R2722" s="688">
        <f>R2720</f>
        <v>2.6</v>
      </c>
      <c r="T2722" s="690">
        <f t="shared" si="651"/>
        <v>0</v>
      </c>
      <c r="U2722" s="690"/>
      <c r="V2722" s="690"/>
    </row>
    <row r="2723" spans="1:22" s="688" customFormat="1" ht="17.100000000000001" customHeight="1">
      <c r="A2723" s="1316" t="s">
        <v>2158</v>
      </c>
      <c r="B2723" s="1317"/>
      <c r="C2723" s="1316" t="s">
        <v>2159</v>
      </c>
      <c r="D2723" s="1317"/>
      <c r="E2723" s="677">
        <v>2600</v>
      </c>
      <c r="F2723" s="676" t="s">
        <v>30</v>
      </c>
      <c r="G2723" s="670"/>
      <c r="H2723" s="670"/>
      <c r="I2723" s="670"/>
      <c r="J2723" s="670"/>
      <c r="K2723" s="670"/>
      <c r="L2723" s="670"/>
      <c r="M2723" s="670"/>
      <c r="N2723" s="670"/>
      <c r="O2723" s="671"/>
      <c r="P2723" s="672"/>
      <c r="Q2723" s="688">
        <f t="shared" si="650"/>
        <v>260</v>
      </c>
      <c r="R2723" s="688">
        <f t="shared" si="650"/>
        <v>2.6</v>
      </c>
      <c r="S2723" s="688">
        <v>3</v>
      </c>
      <c r="T2723" s="690">
        <f t="shared" si="651"/>
        <v>1.1537999999999999</v>
      </c>
      <c r="U2723" s="690"/>
      <c r="V2723" s="690"/>
    </row>
    <row r="2724" spans="1:22" s="688" customFormat="1" ht="17.100000000000001" customHeight="1">
      <c r="A2724" s="1369" t="s">
        <v>2160</v>
      </c>
      <c r="B2724" s="1365"/>
      <c r="C2724" s="1369" t="s">
        <v>1761</v>
      </c>
      <c r="D2724" s="1365"/>
      <c r="E2724" s="677">
        <v>2600</v>
      </c>
      <c r="F2724" s="676" t="s">
        <v>30</v>
      </c>
      <c r="G2724" s="816"/>
      <c r="H2724" s="816"/>
      <c r="I2724" s="816"/>
      <c r="J2724" s="816"/>
      <c r="K2724" s="816">
        <f>[53]운반공!$BO$635</f>
        <v>22</v>
      </c>
      <c r="L2724" s="816">
        <f>INT(E2724*K2724)</f>
        <v>57200</v>
      </c>
      <c r="M2724" s="816">
        <f t="shared" ref="M2724:N2732" si="652">G2724+I2724+K2724</f>
        <v>22</v>
      </c>
      <c r="N2724" s="816">
        <f t="shared" si="652"/>
        <v>57200</v>
      </c>
      <c r="O2724" s="817"/>
      <c r="P2724" s="672"/>
      <c r="Q2724" s="688">
        <f t="shared" si="650"/>
        <v>260</v>
      </c>
      <c r="R2724" s="688">
        <f t="shared" si="650"/>
        <v>2.6</v>
      </c>
      <c r="S2724" s="688">
        <v>2</v>
      </c>
      <c r="T2724" s="690">
        <f t="shared" si="651"/>
        <v>0.76919999999999999</v>
      </c>
      <c r="U2724" s="690"/>
      <c r="V2724" s="690"/>
    </row>
    <row r="2725" spans="1:22" s="688" customFormat="1" ht="17.100000000000001" customHeight="1">
      <c r="A2725" s="1316" t="s">
        <v>2161</v>
      </c>
      <c r="B2725" s="1317"/>
      <c r="C2725" s="1316" t="s">
        <v>2153</v>
      </c>
      <c r="D2725" s="1317"/>
      <c r="E2725" s="675">
        <v>0.16</v>
      </c>
      <c r="F2725" s="676" t="s">
        <v>850</v>
      </c>
      <c r="G2725" s="670" t="e">
        <f>#REF!</f>
        <v>#REF!</v>
      </c>
      <c r="H2725" s="670" t="e">
        <f>INT(E2725*G2725)</f>
        <v>#REF!</v>
      </c>
      <c r="I2725" s="670"/>
      <c r="J2725" s="670"/>
      <c r="K2725" s="670"/>
      <c r="L2725" s="670"/>
      <c r="M2725" s="670" t="e">
        <f t="shared" si="652"/>
        <v>#REF!</v>
      </c>
      <c r="N2725" s="670" t="e">
        <f t="shared" si="652"/>
        <v>#REF!</v>
      </c>
      <c r="O2725" s="671"/>
      <c r="P2725" s="672"/>
      <c r="Q2725" s="688">
        <f t="shared" si="650"/>
        <v>260</v>
      </c>
      <c r="R2725" s="688">
        <f t="shared" si="650"/>
        <v>2.6</v>
      </c>
      <c r="S2725" s="688">
        <v>2</v>
      </c>
      <c r="T2725" s="690">
        <f t="shared" si="651"/>
        <v>0.76919999999999999</v>
      </c>
      <c r="U2725" s="690"/>
      <c r="V2725" s="690"/>
    </row>
    <row r="2726" spans="1:22" s="688" customFormat="1" ht="17.100000000000001" customHeight="1">
      <c r="A2726" s="1316" t="s">
        <v>821</v>
      </c>
      <c r="B2726" s="1317"/>
      <c r="C2726" s="1316" t="s">
        <v>2154</v>
      </c>
      <c r="D2726" s="1317"/>
      <c r="E2726" s="679">
        <v>3.3</v>
      </c>
      <c r="F2726" s="676" t="s">
        <v>850</v>
      </c>
      <c r="G2726" s="670" t="e">
        <f>#REF!</f>
        <v>#REF!</v>
      </c>
      <c r="H2726" s="670" t="e">
        <f>INT(E2726*G2726)</f>
        <v>#REF!</v>
      </c>
      <c r="I2726" s="670"/>
      <c r="J2726" s="670"/>
      <c r="K2726" s="670"/>
      <c r="L2726" s="670"/>
      <c r="M2726" s="670" t="e">
        <f t="shared" si="652"/>
        <v>#REF!</v>
      </c>
      <c r="N2726" s="670" t="e">
        <f t="shared" si="652"/>
        <v>#REF!</v>
      </c>
      <c r="O2726" s="818"/>
      <c r="P2726" s="672"/>
      <c r="Q2726" s="688">
        <f t="shared" si="650"/>
        <v>260</v>
      </c>
      <c r="R2726" s="688">
        <f t="shared" si="650"/>
        <v>2.6</v>
      </c>
      <c r="S2726" s="688">
        <v>8</v>
      </c>
      <c r="T2726" s="690">
        <f t="shared" si="651"/>
        <v>3.0769000000000002</v>
      </c>
      <c r="U2726" s="690"/>
      <c r="V2726" s="690"/>
    </row>
    <row r="2727" spans="1:22" s="688" customFormat="1" ht="17.100000000000001" customHeight="1">
      <c r="A2727" s="1316" t="s">
        <v>540</v>
      </c>
      <c r="B2727" s="1317"/>
      <c r="C2727" s="1316"/>
      <c r="D2727" s="1317"/>
      <c r="E2727" s="683">
        <v>1.1537999999999999</v>
      </c>
      <c r="F2727" s="676" t="s">
        <v>366</v>
      </c>
      <c r="G2727" s="670"/>
      <c r="H2727" s="670"/>
      <c r="I2727" s="670">
        <f>[53]노임단가!$T$22</f>
        <v>273308</v>
      </c>
      <c r="J2727" s="670">
        <f t="shared" ref="J2727:J2732" si="653">INT(E2727*I2727)</f>
        <v>315342</v>
      </c>
      <c r="K2727" s="670"/>
      <c r="L2727" s="670"/>
      <c r="M2727" s="670">
        <f t="shared" si="652"/>
        <v>273308</v>
      </c>
      <c r="N2727" s="670">
        <f t="shared" si="652"/>
        <v>315342</v>
      </c>
      <c r="O2727" s="671"/>
      <c r="P2727" s="672"/>
      <c r="Q2727" s="688">
        <f t="shared" si="650"/>
        <v>260</v>
      </c>
      <c r="R2727" s="688">
        <f t="shared" si="650"/>
        <v>2.6</v>
      </c>
      <c r="S2727" s="688">
        <v>8</v>
      </c>
      <c r="T2727" s="690">
        <f t="shared" si="651"/>
        <v>3.0769000000000002</v>
      </c>
      <c r="U2727" s="690"/>
      <c r="V2727" s="690"/>
    </row>
    <row r="2728" spans="1:22" s="688" customFormat="1" ht="17.100000000000001" customHeight="1">
      <c r="A2728" s="1316" t="s">
        <v>628</v>
      </c>
      <c r="B2728" s="1317"/>
      <c r="C2728" s="1316"/>
      <c r="D2728" s="1317"/>
      <c r="E2728" s="683">
        <v>0.76919999999999999</v>
      </c>
      <c r="F2728" s="676" t="s">
        <v>366</v>
      </c>
      <c r="G2728" s="670"/>
      <c r="H2728" s="670"/>
      <c r="I2728" s="670">
        <f>[53]노임단가!$T$6</f>
        <v>226122</v>
      </c>
      <c r="J2728" s="670">
        <f t="shared" si="653"/>
        <v>173933</v>
      </c>
      <c r="K2728" s="670"/>
      <c r="L2728" s="670"/>
      <c r="M2728" s="670">
        <f t="shared" si="652"/>
        <v>226122</v>
      </c>
      <c r="N2728" s="670">
        <f t="shared" si="652"/>
        <v>173933</v>
      </c>
      <c r="O2728" s="671"/>
      <c r="P2728" s="672"/>
      <c r="Q2728" s="688">
        <f t="shared" si="650"/>
        <v>260</v>
      </c>
      <c r="R2728" s="688">
        <f t="shared" si="650"/>
        <v>2.6</v>
      </c>
      <c r="S2728" s="688">
        <v>8</v>
      </c>
      <c r="T2728" s="690">
        <f t="shared" si="651"/>
        <v>3.0769000000000002</v>
      </c>
      <c r="U2728" s="690"/>
      <c r="V2728" s="690"/>
    </row>
    <row r="2729" spans="1:22" s="688" customFormat="1" ht="17.100000000000001" customHeight="1">
      <c r="A2729" s="1316" t="s">
        <v>248</v>
      </c>
      <c r="B2729" s="1317"/>
      <c r="C2729" s="1316"/>
      <c r="D2729" s="1317"/>
      <c r="E2729" s="683">
        <v>0.76919999999999999</v>
      </c>
      <c r="F2729" s="676" t="s">
        <v>366</v>
      </c>
      <c r="G2729" s="670"/>
      <c r="H2729" s="670"/>
      <c r="I2729" s="670">
        <f>[53]노임단가!$T$5</f>
        <v>172068</v>
      </c>
      <c r="J2729" s="670">
        <f t="shared" si="653"/>
        <v>132354</v>
      </c>
      <c r="K2729" s="670"/>
      <c r="L2729" s="670"/>
      <c r="M2729" s="670">
        <f t="shared" si="652"/>
        <v>172068</v>
      </c>
      <c r="N2729" s="670">
        <f t="shared" si="652"/>
        <v>132354</v>
      </c>
      <c r="O2729" s="671"/>
      <c r="P2729" s="672"/>
      <c r="Q2729" s="688">
        <f t="shared" si="650"/>
        <v>260</v>
      </c>
      <c r="R2729" s="688">
        <f t="shared" si="650"/>
        <v>2.6</v>
      </c>
      <c r="T2729" s="690">
        <f t="shared" si="651"/>
        <v>0</v>
      </c>
      <c r="U2729" s="690"/>
      <c r="V2729" s="690"/>
    </row>
    <row r="2730" spans="1:22" s="688" customFormat="1" ht="17.100000000000001" customHeight="1">
      <c r="A2730" s="1316" t="s">
        <v>409</v>
      </c>
      <c r="B2730" s="1317"/>
      <c r="C2730" s="1316" t="s">
        <v>1380</v>
      </c>
      <c r="D2730" s="1317"/>
      <c r="E2730" s="683">
        <v>3.0769000000000002</v>
      </c>
      <c r="F2730" s="676" t="s">
        <v>418</v>
      </c>
      <c r="G2730" s="670" t="e">
        <f>#REF!</f>
        <v>#REF!</v>
      </c>
      <c r="H2730" s="670" t="e">
        <f>INT(E2730*G2730)</f>
        <v>#REF!</v>
      </c>
      <c r="I2730" s="670" t="e">
        <f>#REF!</f>
        <v>#REF!</v>
      </c>
      <c r="J2730" s="670" t="e">
        <f t="shared" si="653"/>
        <v>#REF!</v>
      </c>
      <c r="K2730" s="670" t="e">
        <f>#REF!</f>
        <v>#REF!</v>
      </c>
      <c r="L2730" s="670" t="e">
        <f>INT(E2730*K2730)</f>
        <v>#REF!</v>
      </c>
      <c r="M2730" s="670" t="e">
        <f t="shared" si="652"/>
        <v>#REF!</v>
      </c>
      <c r="N2730" s="670" t="e">
        <f t="shared" si="652"/>
        <v>#REF!</v>
      </c>
      <c r="O2730" s="671"/>
      <c r="P2730" s="672"/>
    </row>
    <row r="2731" spans="1:22" s="688" customFormat="1" ht="17.100000000000001" customHeight="1">
      <c r="A2731" s="1316" t="s">
        <v>465</v>
      </c>
      <c r="B2731" s="1317"/>
      <c r="C2731" s="1316" t="s">
        <v>466</v>
      </c>
      <c r="D2731" s="1317"/>
      <c r="E2731" s="683">
        <v>3.0769000000000002</v>
      </c>
      <c r="F2731" s="676" t="s">
        <v>418</v>
      </c>
      <c r="G2731" s="670" t="e">
        <f>#REF!</f>
        <v>#REF!</v>
      </c>
      <c r="H2731" s="750" t="e">
        <f>INT(E2731*G2731)</f>
        <v>#REF!</v>
      </c>
      <c r="I2731" s="670" t="e">
        <f>#REF!</f>
        <v>#REF!</v>
      </c>
      <c r="J2731" s="750" t="e">
        <f t="shared" si="653"/>
        <v>#REF!</v>
      </c>
      <c r="K2731" s="670" t="e">
        <f>#REF!</f>
        <v>#REF!</v>
      </c>
      <c r="L2731" s="750" t="e">
        <f>INT(E2731*K2731)</f>
        <v>#REF!</v>
      </c>
      <c r="M2731" s="670" t="e">
        <f t="shared" si="652"/>
        <v>#REF!</v>
      </c>
      <c r="N2731" s="670" t="e">
        <f t="shared" si="652"/>
        <v>#REF!</v>
      </c>
      <c r="O2731" s="671"/>
      <c r="P2731" s="672" t="s">
        <v>1549</v>
      </c>
      <c r="Q2731" s="806" t="s">
        <v>1446</v>
      </c>
      <c r="R2731" s="688" t="s">
        <v>1447</v>
      </c>
      <c r="S2731" s="688" t="s">
        <v>1425</v>
      </c>
      <c r="T2731" s="688" t="s">
        <v>1426</v>
      </c>
    </row>
    <row r="2732" spans="1:22" s="688" customFormat="1" ht="16.5" customHeight="1">
      <c r="A2732" s="1316" t="s">
        <v>641</v>
      </c>
      <c r="B2732" s="1317"/>
      <c r="C2732" s="1316" t="s">
        <v>642</v>
      </c>
      <c r="D2732" s="1317"/>
      <c r="E2732" s="683">
        <v>3.0769000000000002</v>
      </c>
      <c r="F2732" s="676" t="s">
        <v>418</v>
      </c>
      <c r="G2732" s="670" t="e">
        <f>#REF!</f>
        <v>#REF!</v>
      </c>
      <c r="H2732" s="670" t="e">
        <f>INT(E2732*G2732)</f>
        <v>#REF!</v>
      </c>
      <c r="I2732" s="670" t="e">
        <f>#REF!</f>
        <v>#REF!</v>
      </c>
      <c r="J2732" s="670" t="e">
        <f t="shared" si="653"/>
        <v>#REF!</v>
      </c>
      <c r="K2732" s="670" t="e">
        <f>#REF!</f>
        <v>#REF!</v>
      </c>
      <c r="L2732" s="670" t="e">
        <f>INT(E2732*K2732)</f>
        <v>#REF!</v>
      </c>
      <c r="M2732" s="670" t="e">
        <f t="shared" si="652"/>
        <v>#REF!</v>
      </c>
      <c r="N2732" s="670" t="e">
        <f t="shared" si="652"/>
        <v>#REF!</v>
      </c>
      <c r="O2732" s="671"/>
      <c r="P2732" s="672" t="s">
        <v>2174</v>
      </c>
      <c r="Q2732" s="688">
        <v>180</v>
      </c>
      <c r="R2732" s="688">
        <f>(Q2732)/100</f>
        <v>1.8</v>
      </c>
      <c r="T2732" s="690">
        <f>ROUND(S2732/R2732,4)</f>
        <v>0</v>
      </c>
      <c r="U2732" s="690"/>
      <c r="V2732" s="690"/>
    </row>
    <row r="2733" spans="1:22" s="688" customFormat="1" ht="17.100000000000001" customHeight="1">
      <c r="A2733" s="1316" t="s">
        <v>2108</v>
      </c>
      <c r="B2733" s="1317"/>
      <c r="C2733" s="1316" t="s">
        <v>1469</v>
      </c>
      <c r="D2733" s="1317"/>
      <c r="E2733" s="675">
        <v>0.05</v>
      </c>
      <c r="F2733" s="676" t="s">
        <v>672</v>
      </c>
      <c r="G2733" s="670"/>
      <c r="H2733" s="670">
        <f>INT(E2733*G2733)</f>
        <v>0</v>
      </c>
      <c r="I2733" s="670"/>
      <c r="J2733" s="670"/>
      <c r="K2733" s="670">
        <f>SUM(J2727:J2729)</f>
        <v>621629</v>
      </c>
      <c r="L2733" s="670">
        <f>INT(E2733*K2733)</f>
        <v>31081</v>
      </c>
      <c r="M2733" s="670">
        <f>G2733+I2733+K2733</f>
        <v>621629</v>
      </c>
      <c r="N2733" s="670">
        <f>H2733+J2733+L2733</f>
        <v>31081</v>
      </c>
      <c r="O2733" s="671"/>
      <c r="P2733" s="813"/>
      <c r="Q2733" s="688">
        <f>Q2732</f>
        <v>180</v>
      </c>
      <c r="R2733" s="688">
        <f>R2732</f>
        <v>1.8</v>
      </c>
      <c r="T2733" s="690">
        <f>ROUND(S2733/R2733,4)</f>
        <v>0</v>
      </c>
      <c r="U2733" s="690"/>
      <c r="V2733" s="690"/>
    </row>
    <row r="2734" spans="1:22" s="688" customFormat="1" ht="17.100000000000001" customHeight="1">
      <c r="A2734" s="1318" t="s">
        <v>1320</v>
      </c>
      <c r="B2734" s="1319"/>
      <c r="C2734" s="1316"/>
      <c r="D2734" s="1317"/>
      <c r="E2734" s="686"/>
      <c r="F2734" s="676"/>
      <c r="G2734" s="670"/>
      <c r="H2734" s="670" t="e">
        <f>SUM(H2723:H2733)</f>
        <v>#REF!</v>
      </c>
      <c r="I2734" s="670"/>
      <c r="J2734" s="670" t="e">
        <f>SUM(J2723:J2733)</f>
        <v>#REF!</v>
      </c>
      <c r="K2734" s="670"/>
      <c r="L2734" s="670" t="e">
        <f>SUM(L2723:L2733)</f>
        <v>#REF!</v>
      </c>
      <c r="M2734" s="670"/>
      <c r="N2734" s="670" t="e">
        <f>SUM(N2723:N2733)</f>
        <v>#REF!</v>
      </c>
      <c r="O2734" s="671"/>
      <c r="P2734" s="672"/>
      <c r="Q2734" s="688">
        <f t="shared" ref="Q2734:R2742" si="654">Q2733</f>
        <v>180</v>
      </c>
      <c r="R2734" s="688">
        <f t="shared" si="654"/>
        <v>1.8</v>
      </c>
      <c r="T2734" s="690">
        <f t="shared" ref="T2734:T2742" si="655">ROUND(S2734/R2734,4)</f>
        <v>0</v>
      </c>
      <c r="U2734" s="690"/>
      <c r="V2734" s="690"/>
    </row>
    <row r="2735" spans="1:22" s="688" customFormat="1" ht="17.100000000000001" customHeight="1">
      <c r="A2735" s="668">
        <f>A2722+1</f>
        <v>391</v>
      </c>
      <c r="B2735" s="1320" t="s">
        <v>2180</v>
      </c>
      <c r="C2735" s="1320"/>
      <c r="D2735" s="1320" t="s">
        <v>2163</v>
      </c>
      <c r="E2735" s="1320"/>
      <c r="F2735" s="669" t="s">
        <v>1458</v>
      </c>
      <c r="G2735" s="698"/>
      <c r="H2735" s="698"/>
      <c r="I2735" s="698"/>
      <c r="J2735" s="698"/>
      <c r="K2735" s="670"/>
      <c r="L2735" s="670"/>
      <c r="M2735" s="670"/>
      <c r="N2735" s="698"/>
      <c r="O2735" s="699" t="s">
        <v>1562</v>
      </c>
      <c r="P2735" s="672"/>
      <c r="Q2735" s="688">
        <f>Q2733</f>
        <v>180</v>
      </c>
      <c r="R2735" s="688">
        <f>R2733</f>
        <v>1.8</v>
      </c>
      <c r="T2735" s="690">
        <f>ROUND(S2735/R2735,4)</f>
        <v>0</v>
      </c>
      <c r="U2735" s="690"/>
      <c r="V2735" s="690"/>
    </row>
    <row r="2736" spans="1:22" s="688" customFormat="1" ht="17.100000000000001" customHeight="1">
      <c r="A2736" s="1316" t="s">
        <v>2158</v>
      </c>
      <c r="B2736" s="1317"/>
      <c r="C2736" s="1316" t="s">
        <v>2159</v>
      </c>
      <c r="D2736" s="1317"/>
      <c r="E2736" s="677">
        <v>2600</v>
      </c>
      <c r="F2736" s="676" t="s">
        <v>30</v>
      </c>
      <c r="G2736" s="670"/>
      <c r="H2736" s="670"/>
      <c r="I2736" s="670"/>
      <c r="J2736" s="670"/>
      <c r="K2736" s="670"/>
      <c r="L2736" s="670"/>
      <c r="M2736" s="670"/>
      <c r="N2736" s="670"/>
      <c r="O2736" s="671"/>
      <c r="P2736" s="812"/>
      <c r="Q2736" s="688">
        <f>Q2734</f>
        <v>180</v>
      </c>
      <c r="R2736" s="688">
        <f>R2734</f>
        <v>1.8</v>
      </c>
      <c r="T2736" s="690">
        <f t="shared" si="655"/>
        <v>0</v>
      </c>
      <c r="U2736" s="690"/>
      <c r="V2736" s="690"/>
    </row>
    <row r="2737" spans="1:22" s="688" customFormat="1" ht="17.100000000000001" customHeight="1">
      <c r="A2737" s="1369" t="s">
        <v>2160</v>
      </c>
      <c r="B2737" s="1365"/>
      <c r="C2737" s="1369" t="s">
        <v>1761</v>
      </c>
      <c r="D2737" s="1365"/>
      <c r="E2737" s="677">
        <v>2600</v>
      </c>
      <c r="F2737" s="676" t="s">
        <v>30</v>
      </c>
      <c r="G2737" s="816"/>
      <c r="H2737" s="816"/>
      <c r="I2737" s="816"/>
      <c r="J2737" s="816"/>
      <c r="K2737" s="816">
        <f>[53]운반공!$BO$635</f>
        <v>22</v>
      </c>
      <c r="L2737" s="816">
        <f>INT(E2737*K2737)</f>
        <v>57200</v>
      </c>
      <c r="M2737" s="816">
        <f t="shared" ref="M2737:N2745" si="656">G2737+I2737+K2737</f>
        <v>22</v>
      </c>
      <c r="N2737" s="816">
        <f t="shared" si="656"/>
        <v>57200</v>
      </c>
      <c r="O2737" s="817"/>
      <c r="P2737" s="672"/>
      <c r="Q2737" s="688">
        <f t="shared" si="654"/>
        <v>180</v>
      </c>
      <c r="R2737" s="688">
        <f t="shared" si="654"/>
        <v>1.8</v>
      </c>
      <c r="S2737" s="688">
        <v>2</v>
      </c>
      <c r="T2737" s="690">
        <f t="shared" si="655"/>
        <v>1.1111</v>
      </c>
      <c r="U2737" s="690"/>
      <c r="V2737" s="690"/>
    </row>
    <row r="2738" spans="1:22" s="688" customFormat="1" ht="17.100000000000001" customHeight="1">
      <c r="A2738" s="1316" t="s">
        <v>2161</v>
      </c>
      <c r="B2738" s="1317"/>
      <c r="C2738" s="1316" t="s">
        <v>2153</v>
      </c>
      <c r="D2738" s="1317"/>
      <c r="E2738" s="675">
        <v>0.16</v>
      </c>
      <c r="F2738" s="676" t="s">
        <v>850</v>
      </c>
      <c r="G2738" s="670" t="e">
        <f>#REF!</f>
        <v>#REF!</v>
      </c>
      <c r="H2738" s="670" t="e">
        <f>INT(E2738*G2738)</f>
        <v>#REF!</v>
      </c>
      <c r="I2738" s="670"/>
      <c r="J2738" s="670"/>
      <c r="K2738" s="670"/>
      <c r="L2738" s="670"/>
      <c r="M2738" s="670" t="e">
        <f t="shared" si="656"/>
        <v>#REF!</v>
      </c>
      <c r="N2738" s="670" t="e">
        <f t="shared" si="656"/>
        <v>#REF!</v>
      </c>
      <c r="O2738" s="671"/>
      <c r="P2738" s="672"/>
      <c r="Q2738" s="688">
        <f t="shared" si="654"/>
        <v>180</v>
      </c>
      <c r="R2738" s="688">
        <f t="shared" si="654"/>
        <v>1.8</v>
      </c>
      <c r="S2738" s="688">
        <v>2</v>
      </c>
      <c r="T2738" s="690">
        <f t="shared" si="655"/>
        <v>1.1111</v>
      </c>
      <c r="U2738" s="690"/>
      <c r="V2738" s="690"/>
    </row>
    <row r="2739" spans="1:22" s="688" customFormat="1" ht="17.100000000000001" customHeight="1">
      <c r="A2739" s="1316" t="s">
        <v>821</v>
      </c>
      <c r="B2739" s="1317"/>
      <c r="C2739" s="1316" t="s">
        <v>2154</v>
      </c>
      <c r="D2739" s="1317"/>
      <c r="E2739" s="679">
        <v>3.3</v>
      </c>
      <c r="F2739" s="676" t="s">
        <v>850</v>
      </c>
      <c r="G2739" s="670" t="e">
        <f>#REF!</f>
        <v>#REF!</v>
      </c>
      <c r="H2739" s="670" t="e">
        <f>INT(E2739*G2739)</f>
        <v>#REF!</v>
      </c>
      <c r="I2739" s="670"/>
      <c r="J2739" s="670"/>
      <c r="K2739" s="670"/>
      <c r="L2739" s="670"/>
      <c r="M2739" s="670" t="e">
        <f t="shared" si="656"/>
        <v>#REF!</v>
      </c>
      <c r="N2739" s="670" t="e">
        <f t="shared" si="656"/>
        <v>#REF!</v>
      </c>
      <c r="O2739" s="818"/>
      <c r="P2739" s="672"/>
      <c r="Q2739" s="688">
        <f t="shared" si="654"/>
        <v>180</v>
      </c>
      <c r="R2739" s="688">
        <f t="shared" si="654"/>
        <v>1.8</v>
      </c>
      <c r="S2739" s="688">
        <v>1</v>
      </c>
      <c r="T2739" s="690">
        <f t="shared" si="655"/>
        <v>0.55559999999999998</v>
      </c>
      <c r="U2739" s="690"/>
      <c r="V2739" s="690"/>
    </row>
    <row r="2740" spans="1:22" s="688" customFormat="1" ht="17.100000000000001" customHeight="1">
      <c r="A2740" s="1316" t="s">
        <v>540</v>
      </c>
      <c r="B2740" s="1317"/>
      <c r="C2740" s="1316"/>
      <c r="D2740" s="1317"/>
      <c r="E2740" s="683">
        <f t="shared" ref="E2740:E2745" si="657">T2709</f>
        <v>1.1111</v>
      </c>
      <c r="F2740" s="676" t="s">
        <v>366</v>
      </c>
      <c r="G2740" s="670"/>
      <c r="H2740" s="670"/>
      <c r="I2740" s="670">
        <f>[53]노임단가!$T$22</f>
        <v>273308</v>
      </c>
      <c r="J2740" s="670">
        <f t="shared" ref="J2740:J2745" si="658">INT(E2740*I2740)</f>
        <v>303672</v>
      </c>
      <c r="K2740" s="670"/>
      <c r="L2740" s="670"/>
      <c r="M2740" s="670">
        <f t="shared" si="656"/>
        <v>273308</v>
      </c>
      <c r="N2740" s="670">
        <f t="shared" si="656"/>
        <v>303672</v>
      </c>
      <c r="O2740" s="671"/>
      <c r="P2740" s="672"/>
      <c r="Q2740" s="688">
        <f t="shared" si="654"/>
        <v>180</v>
      </c>
      <c r="R2740" s="688">
        <f t="shared" si="654"/>
        <v>1.8</v>
      </c>
      <c r="S2740" s="688">
        <v>8</v>
      </c>
      <c r="T2740" s="690">
        <f t="shared" si="655"/>
        <v>4.4443999999999999</v>
      </c>
      <c r="U2740" s="690"/>
      <c r="V2740" s="690"/>
    </row>
    <row r="2741" spans="1:22" s="688" customFormat="1" ht="17.100000000000001" customHeight="1">
      <c r="A2741" s="1316" t="s">
        <v>628</v>
      </c>
      <c r="B2741" s="1317"/>
      <c r="C2741" s="1316"/>
      <c r="D2741" s="1317"/>
      <c r="E2741" s="683">
        <f t="shared" si="657"/>
        <v>1.1111</v>
      </c>
      <c r="F2741" s="676" t="s">
        <v>366</v>
      </c>
      <c r="G2741" s="670"/>
      <c r="H2741" s="670"/>
      <c r="I2741" s="670">
        <f>[53]노임단가!$T$6</f>
        <v>226122</v>
      </c>
      <c r="J2741" s="670">
        <f t="shared" si="658"/>
        <v>251244</v>
      </c>
      <c r="K2741" s="670"/>
      <c r="L2741" s="670"/>
      <c r="M2741" s="670">
        <f t="shared" si="656"/>
        <v>226122</v>
      </c>
      <c r="N2741" s="670">
        <f t="shared" si="656"/>
        <v>251244</v>
      </c>
      <c r="O2741" s="671"/>
      <c r="P2741" s="672"/>
      <c r="Q2741" s="688">
        <f t="shared" si="654"/>
        <v>180</v>
      </c>
      <c r="R2741" s="688">
        <f t="shared" si="654"/>
        <v>1.8</v>
      </c>
      <c r="S2741" s="688">
        <v>8</v>
      </c>
      <c r="T2741" s="690">
        <f t="shared" si="655"/>
        <v>4.4443999999999999</v>
      </c>
      <c r="U2741" s="690"/>
      <c r="V2741" s="690"/>
    </row>
    <row r="2742" spans="1:22" s="688" customFormat="1" ht="17.100000000000001" customHeight="1">
      <c r="A2742" s="1316" t="s">
        <v>248</v>
      </c>
      <c r="B2742" s="1317"/>
      <c r="C2742" s="1316"/>
      <c r="D2742" s="1317"/>
      <c r="E2742" s="683">
        <f t="shared" si="657"/>
        <v>0.55559999999999998</v>
      </c>
      <c r="F2742" s="676" t="s">
        <v>366</v>
      </c>
      <c r="G2742" s="670"/>
      <c r="H2742" s="670"/>
      <c r="I2742" s="670">
        <f>[53]노임단가!$T$5</f>
        <v>172068</v>
      </c>
      <c r="J2742" s="670">
        <f t="shared" si="658"/>
        <v>95600</v>
      </c>
      <c r="K2742" s="670"/>
      <c r="L2742" s="670"/>
      <c r="M2742" s="670">
        <f t="shared" si="656"/>
        <v>172068</v>
      </c>
      <c r="N2742" s="670">
        <f t="shared" si="656"/>
        <v>95600</v>
      </c>
      <c r="O2742" s="671"/>
      <c r="P2742" s="672"/>
      <c r="Q2742" s="688">
        <f t="shared" si="654"/>
        <v>180</v>
      </c>
      <c r="R2742" s="688">
        <f t="shared" si="654"/>
        <v>1.8</v>
      </c>
      <c r="S2742" s="688">
        <v>8</v>
      </c>
      <c r="T2742" s="690">
        <f t="shared" si="655"/>
        <v>4.4443999999999999</v>
      </c>
      <c r="U2742" s="690"/>
      <c r="V2742" s="690"/>
    </row>
    <row r="2743" spans="1:22" s="688" customFormat="1" ht="17.100000000000001" customHeight="1">
      <c r="A2743" s="1316" t="s">
        <v>409</v>
      </c>
      <c r="B2743" s="1317"/>
      <c r="C2743" s="1316" t="s">
        <v>2147</v>
      </c>
      <c r="D2743" s="1317"/>
      <c r="E2743" s="683">
        <f t="shared" si="657"/>
        <v>4.4443999999999999</v>
      </c>
      <c r="F2743" s="676" t="s">
        <v>418</v>
      </c>
      <c r="G2743" s="670" t="e">
        <f>#REF!</f>
        <v>#REF!</v>
      </c>
      <c r="H2743" s="670" t="e">
        <f>INT(E2743*G2743)</f>
        <v>#REF!</v>
      </c>
      <c r="I2743" s="670" t="e">
        <f>#REF!</f>
        <v>#REF!</v>
      </c>
      <c r="J2743" s="670" t="e">
        <f t="shared" si="658"/>
        <v>#REF!</v>
      </c>
      <c r="K2743" s="670" t="e">
        <f>#REF!</f>
        <v>#REF!</v>
      </c>
      <c r="L2743" s="670" t="e">
        <f>INT(E2743*K2743)</f>
        <v>#REF!</v>
      </c>
      <c r="M2743" s="670" t="e">
        <f t="shared" si="656"/>
        <v>#REF!</v>
      </c>
      <c r="N2743" s="670" t="e">
        <f t="shared" si="656"/>
        <v>#REF!</v>
      </c>
      <c r="O2743" s="671"/>
      <c r="P2743" s="672"/>
      <c r="T2743" s="690"/>
      <c r="U2743" s="690"/>
      <c r="V2743" s="690"/>
    </row>
    <row r="2744" spans="1:22" s="688" customFormat="1" ht="17.100000000000001" customHeight="1">
      <c r="A2744" s="1316" t="s">
        <v>465</v>
      </c>
      <c r="B2744" s="1317"/>
      <c r="C2744" s="1316" t="s">
        <v>466</v>
      </c>
      <c r="D2744" s="1317"/>
      <c r="E2744" s="683">
        <f t="shared" si="657"/>
        <v>4.4443999999999999</v>
      </c>
      <c r="F2744" s="676" t="s">
        <v>418</v>
      </c>
      <c r="G2744" s="670" t="e">
        <f>#REF!</f>
        <v>#REF!</v>
      </c>
      <c r="H2744" s="750" t="e">
        <f>INT(E2744*G2744)</f>
        <v>#REF!</v>
      </c>
      <c r="I2744" s="670" t="e">
        <f>#REF!</f>
        <v>#REF!</v>
      </c>
      <c r="J2744" s="750" t="e">
        <f t="shared" si="658"/>
        <v>#REF!</v>
      </c>
      <c r="K2744" s="670" t="e">
        <f>#REF!</f>
        <v>#REF!</v>
      </c>
      <c r="L2744" s="750" t="e">
        <f>INT(E2744*K2744)</f>
        <v>#REF!</v>
      </c>
      <c r="M2744" s="670" t="e">
        <f t="shared" si="656"/>
        <v>#REF!</v>
      </c>
      <c r="N2744" s="670" t="e">
        <f t="shared" si="656"/>
        <v>#REF!</v>
      </c>
      <c r="O2744" s="671"/>
      <c r="P2744" s="672"/>
    </row>
    <row r="2745" spans="1:22" s="688" customFormat="1" ht="17.100000000000001" customHeight="1">
      <c r="A2745" s="1316" t="s">
        <v>641</v>
      </c>
      <c r="B2745" s="1317"/>
      <c r="C2745" s="1316" t="s">
        <v>642</v>
      </c>
      <c r="D2745" s="1317"/>
      <c r="E2745" s="683">
        <f t="shared" si="657"/>
        <v>4.4443999999999999</v>
      </c>
      <c r="F2745" s="676" t="s">
        <v>418</v>
      </c>
      <c r="G2745" s="670" t="e">
        <f>#REF!</f>
        <v>#REF!</v>
      </c>
      <c r="H2745" s="670" t="e">
        <f>INT(E2745*G2745)</f>
        <v>#REF!</v>
      </c>
      <c r="I2745" s="670" t="e">
        <f>#REF!</f>
        <v>#REF!</v>
      </c>
      <c r="J2745" s="670" t="e">
        <f t="shared" si="658"/>
        <v>#REF!</v>
      </c>
      <c r="K2745" s="670" t="e">
        <f>#REF!</f>
        <v>#REF!</v>
      </c>
      <c r="L2745" s="670" t="e">
        <f>INT(E2745*K2745)</f>
        <v>#REF!</v>
      </c>
      <c r="M2745" s="670" t="e">
        <f t="shared" si="656"/>
        <v>#REF!</v>
      </c>
      <c r="N2745" s="670" t="e">
        <f t="shared" si="656"/>
        <v>#REF!</v>
      </c>
      <c r="O2745" s="671"/>
      <c r="P2745" s="672" t="s">
        <v>2139</v>
      </c>
      <c r="Q2745" s="806" t="s">
        <v>1446</v>
      </c>
      <c r="R2745" s="688" t="s">
        <v>1447</v>
      </c>
      <c r="S2745" s="688" t="s">
        <v>1425</v>
      </c>
      <c r="T2745" s="688" t="s">
        <v>1426</v>
      </c>
    </row>
    <row r="2746" spans="1:22" s="688" customFormat="1" ht="16.5" customHeight="1">
      <c r="A2746" s="1316" t="s">
        <v>2108</v>
      </c>
      <c r="B2746" s="1317"/>
      <c r="C2746" s="1316" t="s">
        <v>1469</v>
      </c>
      <c r="D2746" s="1317"/>
      <c r="E2746" s="675">
        <v>0.05</v>
      </c>
      <c r="F2746" s="676" t="s">
        <v>672</v>
      </c>
      <c r="G2746" s="670"/>
      <c r="H2746" s="670">
        <f>INT(E2746*G2746)</f>
        <v>0</v>
      </c>
      <c r="I2746" s="670"/>
      <c r="J2746" s="670"/>
      <c r="K2746" s="670">
        <f>SUM(J2740:J2742)</f>
        <v>650516</v>
      </c>
      <c r="L2746" s="670">
        <f>INT(E2746*K2746)</f>
        <v>32525</v>
      </c>
      <c r="M2746" s="670">
        <f>G2746+I2746+K2746</f>
        <v>650516</v>
      </c>
      <c r="N2746" s="670">
        <f>H2746+J2746+L2746</f>
        <v>32525</v>
      </c>
      <c r="O2746" s="671"/>
      <c r="P2746" s="672" t="s">
        <v>2181</v>
      </c>
      <c r="Q2746" s="688">
        <v>160</v>
      </c>
      <c r="R2746" s="688">
        <f>(Q2746)/100</f>
        <v>1.6</v>
      </c>
      <c r="T2746" s="690">
        <f>ROUND(S2746/R2746,4)</f>
        <v>0</v>
      </c>
      <c r="U2746" s="690"/>
      <c r="V2746" s="690"/>
    </row>
    <row r="2747" spans="1:22" s="688" customFormat="1" ht="17.100000000000001" customHeight="1">
      <c r="A2747" s="1318" t="s">
        <v>1320</v>
      </c>
      <c r="B2747" s="1319"/>
      <c r="C2747" s="1316"/>
      <c r="D2747" s="1317"/>
      <c r="E2747" s="686"/>
      <c r="F2747" s="676"/>
      <c r="G2747" s="670"/>
      <c r="H2747" s="670" t="e">
        <f>SUM(H2736:H2746)</f>
        <v>#REF!</v>
      </c>
      <c r="I2747" s="670"/>
      <c r="J2747" s="670" t="e">
        <f>SUM(J2736:J2746)</f>
        <v>#REF!</v>
      </c>
      <c r="K2747" s="670"/>
      <c r="L2747" s="670" t="e">
        <f>SUM(L2736:L2746)</f>
        <v>#REF!</v>
      </c>
      <c r="M2747" s="670"/>
      <c r="N2747" s="670" t="e">
        <f>SUM(N2736:N2746)</f>
        <v>#REF!</v>
      </c>
      <c r="O2747" s="671"/>
      <c r="P2747" s="813"/>
      <c r="Q2747" s="688">
        <f>Q2746</f>
        <v>160</v>
      </c>
      <c r="R2747" s="688">
        <f>R2746</f>
        <v>1.6</v>
      </c>
      <c r="T2747" s="690">
        <f>ROUND(S2747/R2747,4)</f>
        <v>0</v>
      </c>
      <c r="U2747" s="690"/>
      <c r="V2747" s="690"/>
    </row>
    <row r="2748" spans="1:22" s="688" customFormat="1" ht="17.100000000000001" customHeight="1">
      <c r="A2748" s="668">
        <f>A2735+1</f>
        <v>392</v>
      </c>
      <c r="B2748" s="1320" t="s">
        <v>2180</v>
      </c>
      <c r="C2748" s="1320"/>
      <c r="D2748" s="1320" t="s">
        <v>2164</v>
      </c>
      <c r="E2748" s="1320"/>
      <c r="F2748" s="669" t="s">
        <v>1458</v>
      </c>
      <c r="G2748" s="698"/>
      <c r="H2748" s="698"/>
      <c r="I2748" s="698"/>
      <c r="J2748" s="698"/>
      <c r="K2748" s="670"/>
      <c r="L2748" s="670"/>
      <c r="M2748" s="670"/>
      <c r="N2748" s="698"/>
      <c r="O2748" s="699" t="s">
        <v>1562</v>
      </c>
      <c r="P2748" s="672"/>
      <c r="Q2748" s="688">
        <f>Q2747</f>
        <v>160</v>
      </c>
      <c r="R2748" s="688">
        <f>R2747</f>
        <v>1.6</v>
      </c>
      <c r="T2748" s="690">
        <f t="shared" ref="T2748:T2754" si="659">ROUND(S2748/R2748,4)</f>
        <v>0</v>
      </c>
      <c r="U2748" s="690"/>
      <c r="V2748" s="690"/>
    </row>
    <row r="2749" spans="1:22" s="688" customFormat="1" ht="17.100000000000001" customHeight="1">
      <c r="A2749" s="1316" t="s">
        <v>2158</v>
      </c>
      <c r="B2749" s="1317"/>
      <c r="C2749" s="1316" t="s">
        <v>2159</v>
      </c>
      <c r="D2749" s="1317"/>
      <c r="E2749" s="677">
        <v>2600</v>
      </c>
      <c r="F2749" s="676" t="s">
        <v>30</v>
      </c>
      <c r="G2749" s="670"/>
      <c r="H2749" s="670"/>
      <c r="I2749" s="670"/>
      <c r="J2749" s="670"/>
      <c r="K2749" s="670"/>
      <c r="L2749" s="670"/>
      <c r="M2749" s="670"/>
      <c r="N2749" s="670"/>
      <c r="O2749" s="671"/>
      <c r="P2749" s="672"/>
      <c r="Q2749" s="688">
        <f t="shared" ref="Q2749:R2754" si="660">Q2748</f>
        <v>160</v>
      </c>
      <c r="R2749" s="688">
        <f t="shared" si="660"/>
        <v>1.6</v>
      </c>
      <c r="S2749" s="688">
        <v>3</v>
      </c>
      <c r="T2749" s="690">
        <f t="shared" si="659"/>
        <v>1.875</v>
      </c>
      <c r="U2749" s="690"/>
      <c r="V2749" s="690"/>
    </row>
    <row r="2750" spans="1:22" s="688" customFormat="1" ht="17.100000000000001" customHeight="1">
      <c r="A2750" s="1369" t="s">
        <v>2160</v>
      </c>
      <c r="B2750" s="1365"/>
      <c r="C2750" s="1369" t="s">
        <v>1761</v>
      </c>
      <c r="D2750" s="1365"/>
      <c r="E2750" s="677">
        <v>2600</v>
      </c>
      <c r="F2750" s="676" t="s">
        <v>30</v>
      </c>
      <c r="G2750" s="816"/>
      <c r="H2750" s="816"/>
      <c r="I2750" s="816"/>
      <c r="J2750" s="816"/>
      <c r="K2750" s="816">
        <f>[53]운반공!$BO$635</f>
        <v>22</v>
      </c>
      <c r="L2750" s="816">
        <f>INT(E2750*K2750)</f>
        <v>57200</v>
      </c>
      <c r="M2750" s="816">
        <f t="shared" ref="M2750:N2759" si="661">G2750+I2750+K2750</f>
        <v>22</v>
      </c>
      <c r="N2750" s="816">
        <f t="shared" si="661"/>
        <v>57200</v>
      </c>
      <c r="O2750" s="817"/>
      <c r="P2750" s="672"/>
      <c r="Q2750" s="688">
        <f t="shared" si="660"/>
        <v>160</v>
      </c>
      <c r="R2750" s="688">
        <f t="shared" si="660"/>
        <v>1.6</v>
      </c>
      <c r="S2750" s="688">
        <v>2</v>
      </c>
      <c r="T2750" s="690">
        <f t="shared" si="659"/>
        <v>1.25</v>
      </c>
      <c r="U2750" s="690"/>
      <c r="V2750" s="690"/>
    </row>
    <row r="2751" spans="1:22" s="688" customFormat="1" ht="17.100000000000001" customHeight="1">
      <c r="A2751" s="1316" t="s">
        <v>2165</v>
      </c>
      <c r="B2751" s="1317"/>
      <c r="C2751" s="1316" t="s">
        <v>2153</v>
      </c>
      <c r="D2751" s="1317"/>
      <c r="E2751" s="675">
        <v>0.16</v>
      </c>
      <c r="F2751" s="676" t="s">
        <v>850</v>
      </c>
      <c r="G2751" s="670" t="e">
        <f>#REF!</f>
        <v>#REF!</v>
      </c>
      <c r="H2751" s="670" t="e">
        <f>INT(E2751*G2751)</f>
        <v>#REF!</v>
      </c>
      <c r="I2751" s="670"/>
      <c r="J2751" s="670"/>
      <c r="K2751" s="670"/>
      <c r="L2751" s="670"/>
      <c r="M2751" s="670" t="e">
        <f t="shared" si="661"/>
        <v>#REF!</v>
      </c>
      <c r="N2751" s="670" t="e">
        <f t="shared" si="661"/>
        <v>#REF!</v>
      </c>
      <c r="O2751" s="671"/>
      <c r="P2751" s="672"/>
      <c r="Q2751" s="688">
        <f t="shared" si="660"/>
        <v>160</v>
      </c>
      <c r="R2751" s="688">
        <f t="shared" si="660"/>
        <v>1.6</v>
      </c>
      <c r="S2751" s="688">
        <v>2</v>
      </c>
      <c r="T2751" s="690">
        <f t="shared" si="659"/>
        <v>1.25</v>
      </c>
      <c r="U2751" s="690"/>
      <c r="V2751" s="690"/>
    </row>
    <row r="2752" spans="1:22" s="688" customFormat="1" ht="17.100000000000001" customHeight="1">
      <c r="A2752" s="1316" t="s">
        <v>2166</v>
      </c>
      <c r="B2752" s="1317"/>
      <c r="C2752" s="1316"/>
      <c r="D2752" s="1317"/>
      <c r="E2752" s="679">
        <v>100</v>
      </c>
      <c r="F2752" s="676" t="s">
        <v>645</v>
      </c>
      <c r="G2752" s="670" t="e">
        <f>$H$2960</f>
        <v>#REF!</v>
      </c>
      <c r="H2752" s="670" t="e">
        <f>INT(E2752*G2752)</f>
        <v>#REF!</v>
      </c>
      <c r="I2752" s="670">
        <f>$J$2960</f>
        <v>576</v>
      </c>
      <c r="J2752" s="670">
        <f>INT(E2752*I2752)</f>
        <v>57600</v>
      </c>
      <c r="K2752" s="670">
        <f>$L$2960</f>
        <v>0</v>
      </c>
      <c r="L2752" s="816">
        <f>INT(E2752*K2752)</f>
        <v>0</v>
      </c>
      <c r="M2752" s="670" t="e">
        <f t="shared" si="661"/>
        <v>#REF!</v>
      </c>
      <c r="N2752" s="670" t="e">
        <f t="shared" si="661"/>
        <v>#REF!</v>
      </c>
      <c r="O2752" s="671">
        <f>$A$2956</f>
        <v>408</v>
      </c>
      <c r="P2752" s="672"/>
      <c r="Q2752" s="688">
        <f t="shared" si="660"/>
        <v>160</v>
      </c>
      <c r="R2752" s="688">
        <f t="shared" si="660"/>
        <v>1.6</v>
      </c>
      <c r="S2752" s="688">
        <v>8</v>
      </c>
      <c r="T2752" s="690">
        <f t="shared" si="659"/>
        <v>5</v>
      </c>
      <c r="U2752" s="690"/>
      <c r="V2752" s="690"/>
    </row>
    <row r="2753" spans="1:22" s="688" customFormat="1" ht="17.100000000000001" customHeight="1">
      <c r="A2753" s="1316" t="s">
        <v>821</v>
      </c>
      <c r="B2753" s="1317"/>
      <c r="C2753" s="1316" t="s">
        <v>2154</v>
      </c>
      <c r="D2753" s="1317"/>
      <c r="E2753" s="679">
        <v>3.3</v>
      </c>
      <c r="F2753" s="676" t="s">
        <v>850</v>
      </c>
      <c r="G2753" s="670" t="e">
        <f>#REF!</f>
        <v>#REF!</v>
      </c>
      <c r="H2753" s="670" t="e">
        <f>INT(E2753*G2753)</f>
        <v>#REF!</v>
      </c>
      <c r="I2753" s="670"/>
      <c r="J2753" s="670"/>
      <c r="K2753" s="670"/>
      <c r="L2753" s="670"/>
      <c r="M2753" s="670" t="e">
        <f t="shared" si="661"/>
        <v>#REF!</v>
      </c>
      <c r="N2753" s="670" t="e">
        <f t="shared" si="661"/>
        <v>#REF!</v>
      </c>
      <c r="O2753" s="818"/>
      <c r="P2753" s="672"/>
      <c r="Q2753" s="688">
        <f t="shared" si="660"/>
        <v>160</v>
      </c>
      <c r="R2753" s="688">
        <f t="shared" si="660"/>
        <v>1.6</v>
      </c>
      <c r="S2753" s="688">
        <v>8</v>
      </c>
      <c r="T2753" s="690">
        <f t="shared" si="659"/>
        <v>5</v>
      </c>
      <c r="U2753" s="690"/>
      <c r="V2753" s="690"/>
    </row>
    <row r="2754" spans="1:22" s="688" customFormat="1" ht="17.100000000000001" customHeight="1">
      <c r="A2754" s="1316" t="s">
        <v>540</v>
      </c>
      <c r="B2754" s="1317"/>
      <c r="C2754" s="1316"/>
      <c r="D2754" s="1317"/>
      <c r="E2754" s="683">
        <v>1.1537999999999999</v>
      </c>
      <c r="F2754" s="676" t="s">
        <v>366</v>
      </c>
      <c r="G2754" s="670"/>
      <c r="H2754" s="670"/>
      <c r="I2754" s="670">
        <f>[53]노임단가!$T$22</f>
        <v>273308</v>
      </c>
      <c r="J2754" s="670">
        <f t="shared" ref="J2754:J2759" si="662">INT(E2754*I2754)</f>
        <v>315342</v>
      </c>
      <c r="K2754" s="670"/>
      <c r="L2754" s="670"/>
      <c r="M2754" s="670">
        <f t="shared" si="661"/>
        <v>273308</v>
      </c>
      <c r="N2754" s="670">
        <f t="shared" si="661"/>
        <v>315342</v>
      </c>
      <c r="O2754" s="671"/>
      <c r="P2754" s="672"/>
      <c r="Q2754" s="688">
        <f t="shared" si="660"/>
        <v>160</v>
      </c>
      <c r="R2754" s="688">
        <f t="shared" si="660"/>
        <v>1.6</v>
      </c>
      <c r="S2754" s="688">
        <v>8</v>
      </c>
      <c r="T2754" s="690">
        <f t="shared" si="659"/>
        <v>5</v>
      </c>
      <c r="U2754" s="690"/>
      <c r="V2754" s="690"/>
    </row>
    <row r="2755" spans="1:22" s="688" customFormat="1" ht="17.100000000000001" customHeight="1">
      <c r="A2755" s="1316" t="s">
        <v>628</v>
      </c>
      <c r="B2755" s="1317"/>
      <c r="C2755" s="1316"/>
      <c r="D2755" s="1317"/>
      <c r="E2755" s="683">
        <v>0.76919999999999999</v>
      </c>
      <c r="F2755" s="676" t="s">
        <v>366</v>
      </c>
      <c r="G2755" s="670"/>
      <c r="H2755" s="670"/>
      <c r="I2755" s="670">
        <f>[53]노임단가!$T$6</f>
        <v>226122</v>
      </c>
      <c r="J2755" s="670">
        <f t="shared" si="662"/>
        <v>173933</v>
      </c>
      <c r="K2755" s="670"/>
      <c r="L2755" s="670"/>
      <c r="M2755" s="670">
        <f t="shared" si="661"/>
        <v>226122</v>
      </c>
      <c r="N2755" s="670">
        <f t="shared" si="661"/>
        <v>173933</v>
      </c>
      <c r="O2755" s="671"/>
      <c r="P2755" s="672"/>
      <c r="T2755" s="690"/>
      <c r="U2755" s="690"/>
      <c r="V2755" s="690"/>
    </row>
    <row r="2756" spans="1:22" s="688" customFormat="1" ht="17.100000000000001" customHeight="1">
      <c r="A2756" s="1316" t="s">
        <v>248</v>
      </c>
      <c r="B2756" s="1317"/>
      <c r="C2756" s="1316"/>
      <c r="D2756" s="1317"/>
      <c r="E2756" s="683">
        <v>0.76919999999999999</v>
      </c>
      <c r="F2756" s="676" t="s">
        <v>366</v>
      </c>
      <c r="G2756" s="670"/>
      <c r="H2756" s="670"/>
      <c r="I2756" s="670">
        <f>[53]노임단가!$T$5</f>
        <v>172068</v>
      </c>
      <c r="J2756" s="670">
        <f t="shared" si="662"/>
        <v>132354</v>
      </c>
      <c r="K2756" s="670"/>
      <c r="L2756" s="670"/>
      <c r="M2756" s="670">
        <f t="shared" si="661"/>
        <v>172068</v>
      </c>
      <c r="N2756" s="670">
        <f t="shared" si="661"/>
        <v>132354</v>
      </c>
      <c r="O2756" s="671"/>
      <c r="P2756" s="672"/>
    </row>
    <row r="2757" spans="1:22" s="688" customFormat="1" ht="17.100000000000001" customHeight="1">
      <c r="A2757" s="1316" t="s">
        <v>409</v>
      </c>
      <c r="B2757" s="1317"/>
      <c r="C2757" s="1316" t="s">
        <v>1380</v>
      </c>
      <c r="D2757" s="1317"/>
      <c r="E2757" s="683">
        <v>3.0769000000000002</v>
      </c>
      <c r="F2757" s="676" t="s">
        <v>418</v>
      </c>
      <c r="G2757" s="670" t="e">
        <f>#REF!</f>
        <v>#REF!</v>
      </c>
      <c r="H2757" s="670" t="e">
        <f>INT(E2757*G2757)</f>
        <v>#REF!</v>
      </c>
      <c r="I2757" s="670" t="e">
        <f>#REF!</f>
        <v>#REF!</v>
      </c>
      <c r="J2757" s="670" t="e">
        <f t="shared" si="662"/>
        <v>#REF!</v>
      </c>
      <c r="K2757" s="670" t="e">
        <f>#REF!</f>
        <v>#REF!</v>
      </c>
      <c r="L2757" s="670" t="e">
        <f>INT(E2757*K2757)</f>
        <v>#REF!</v>
      </c>
      <c r="M2757" s="670" t="e">
        <f t="shared" si="661"/>
        <v>#REF!</v>
      </c>
      <c r="N2757" s="670" t="e">
        <f t="shared" si="661"/>
        <v>#REF!</v>
      </c>
      <c r="O2757" s="671"/>
      <c r="P2757" s="672" t="s">
        <v>2139</v>
      </c>
      <c r="Q2757" s="806" t="s">
        <v>1446</v>
      </c>
      <c r="R2757" s="688" t="s">
        <v>1447</v>
      </c>
      <c r="S2757" s="688" t="s">
        <v>1425</v>
      </c>
      <c r="T2757" s="688" t="s">
        <v>1426</v>
      </c>
    </row>
    <row r="2758" spans="1:22" s="688" customFormat="1" ht="17.100000000000001" customHeight="1">
      <c r="A2758" s="1316" t="s">
        <v>465</v>
      </c>
      <c r="B2758" s="1317"/>
      <c r="C2758" s="1316" t="s">
        <v>466</v>
      </c>
      <c r="D2758" s="1317"/>
      <c r="E2758" s="683">
        <v>3.0769000000000002</v>
      </c>
      <c r="F2758" s="676" t="s">
        <v>418</v>
      </c>
      <c r="G2758" s="670" t="e">
        <f>#REF!</f>
        <v>#REF!</v>
      </c>
      <c r="H2758" s="750" t="e">
        <f>INT(E2758*G2758)</f>
        <v>#REF!</v>
      </c>
      <c r="I2758" s="670" t="e">
        <f>#REF!</f>
        <v>#REF!</v>
      </c>
      <c r="J2758" s="750" t="e">
        <f t="shared" si="662"/>
        <v>#REF!</v>
      </c>
      <c r="K2758" s="670" t="e">
        <f>#REF!</f>
        <v>#REF!</v>
      </c>
      <c r="L2758" s="750" t="e">
        <f>INT(E2758*K2758)</f>
        <v>#REF!</v>
      </c>
      <c r="M2758" s="670" t="e">
        <f t="shared" si="661"/>
        <v>#REF!</v>
      </c>
      <c r="N2758" s="670" t="e">
        <f t="shared" si="661"/>
        <v>#REF!</v>
      </c>
      <c r="O2758" s="671"/>
      <c r="P2758" s="672" t="s">
        <v>2181</v>
      </c>
      <c r="Q2758" s="688">
        <v>100</v>
      </c>
      <c r="R2758" s="688">
        <f>(Q2758)/100</f>
        <v>1</v>
      </c>
      <c r="T2758" s="690">
        <f>ROUND(S2758/R2758,4)</f>
        <v>0</v>
      </c>
    </row>
    <row r="2759" spans="1:22" s="688" customFormat="1" ht="17.100000000000001" customHeight="1">
      <c r="A2759" s="1316" t="s">
        <v>641</v>
      </c>
      <c r="B2759" s="1317"/>
      <c r="C2759" s="1316" t="s">
        <v>642</v>
      </c>
      <c r="D2759" s="1317"/>
      <c r="E2759" s="683">
        <v>3.0769000000000002</v>
      </c>
      <c r="F2759" s="676" t="s">
        <v>418</v>
      </c>
      <c r="G2759" s="670" t="e">
        <f>#REF!</f>
        <v>#REF!</v>
      </c>
      <c r="H2759" s="670" t="e">
        <f>INT(E2759*G2759)</f>
        <v>#REF!</v>
      </c>
      <c r="I2759" s="670" t="e">
        <f>#REF!</f>
        <v>#REF!</v>
      </c>
      <c r="J2759" s="670" t="e">
        <f t="shared" si="662"/>
        <v>#REF!</v>
      </c>
      <c r="K2759" s="670" t="e">
        <f>#REF!</f>
        <v>#REF!</v>
      </c>
      <c r="L2759" s="670" t="e">
        <f>INT(E2759*K2759)</f>
        <v>#REF!</v>
      </c>
      <c r="M2759" s="670" t="e">
        <f t="shared" si="661"/>
        <v>#REF!</v>
      </c>
      <c r="N2759" s="670" t="e">
        <f t="shared" si="661"/>
        <v>#REF!</v>
      </c>
      <c r="O2759" s="671"/>
      <c r="P2759" s="672"/>
      <c r="Q2759" s="688">
        <f>Q2758</f>
        <v>100</v>
      </c>
      <c r="R2759" s="688">
        <f>R2758</f>
        <v>1</v>
      </c>
      <c r="T2759" s="690">
        <f>ROUND(S2759/R2759,4)</f>
        <v>0</v>
      </c>
    </row>
    <row r="2760" spans="1:22" s="688" customFormat="1" ht="17.100000000000001" customHeight="1">
      <c r="A2760" s="1316" t="s">
        <v>2108</v>
      </c>
      <c r="B2760" s="1317"/>
      <c r="C2760" s="1316" t="s">
        <v>1469</v>
      </c>
      <c r="D2760" s="1317"/>
      <c r="E2760" s="675">
        <v>0.05</v>
      </c>
      <c r="F2760" s="676" t="s">
        <v>672</v>
      </c>
      <c r="G2760" s="670"/>
      <c r="H2760" s="670">
        <f>INT(E2760*G2760)</f>
        <v>0</v>
      </c>
      <c r="I2760" s="670"/>
      <c r="J2760" s="670"/>
      <c r="K2760" s="670">
        <f>SUM(J2754:J2756)</f>
        <v>621629</v>
      </c>
      <c r="L2760" s="670">
        <f>INT(E2760*K2760)</f>
        <v>31081</v>
      </c>
      <c r="M2760" s="670">
        <f>G2760+I2760+K2760</f>
        <v>621629</v>
      </c>
      <c r="N2760" s="670">
        <f>H2760+J2760+L2760</f>
        <v>31081</v>
      </c>
      <c r="O2760" s="671"/>
      <c r="P2760" s="672"/>
      <c r="Q2760" s="688">
        <f t="shared" ref="Q2760:R2766" si="663">Q2759</f>
        <v>100</v>
      </c>
      <c r="R2760" s="688">
        <f t="shared" si="663"/>
        <v>1</v>
      </c>
      <c r="T2760" s="690">
        <f t="shared" ref="T2760:T2766" si="664">ROUND(S2760/R2760,4)</f>
        <v>0</v>
      </c>
    </row>
    <row r="2761" spans="1:22" s="688" customFormat="1" ht="17.100000000000001" customHeight="1">
      <c r="A2761" s="1318" t="s">
        <v>1320</v>
      </c>
      <c r="B2761" s="1319"/>
      <c r="C2761" s="1316"/>
      <c r="D2761" s="1317"/>
      <c r="E2761" s="686"/>
      <c r="F2761" s="676"/>
      <c r="G2761" s="670"/>
      <c r="H2761" s="670" t="e">
        <f>SUM(H2749:H2760)</f>
        <v>#REF!</v>
      </c>
      <c r="I2761" s="670"/>
      <c r="J2761" s="670" t="e">
        <f>SUM(J2749:J2760)</f>
        <v>#REF!</v>
      </c>
      <c r="K2761" s="670"/>
      <c r="L2761" s="670" t="e">
        <f>SUM(L2749:L2760)</f>
        <v>#REF!</v>
      </c>
      <c r="M2761" s="670"/>
      <c r="N2761" s="670" t="e">
        <f>SUM(N2749:N2760)</f>
        <v>#REF!</v>
      </c>
      <c r="O2761" s="671"/>
      <c r="P2761" s="672"/>
      <c r="Q2761" s="688">
        <f t="shared" si="663"/>
        <v>100</v>
      </c>
      <c r="R2761" s="688">
        <f t="shared" si="663"/>
        <v>1</v>
      </c>
      <c r="S2761" s="688">
        <v>2</v>
      </c>
      <c r="T2761" s="690">
        <f t="shared" si="664"/>
        <v>2</v>
      </c>
      <c r="U2761" s="690"/>
      <c r="V2761" s="690"/>
    </row>
    <row r="2762" spans="1:22" s="688" customFormat="1" ht="17.100000000000001" customHeight="1">
      <c r="A2762" s="668">
        <f>A2748+1</f>
        <v>393</v>
      </c>
      <c r="B2762" s="1320" t="s">
        <v>2180</v>
      </c>
      <c r="C2762" s="1320"/>
      <c r="D2762" s="1320" t="s">
        <v>2167</v>
      </c>
      <c r="E2762" s="1320"/>
      <c r="F2762" s="669" t="s">
        <v>1458</v>
      </c>
      <c r="G2762" s="698"/>
      <c r="H2762" s="698"/>
      <c r="I2762" s="698"/>
      <c r="J2762" s="698"/>
      <c r="K2762" s="670"/>
      <c r="L2762" s="670"/>
      <c r="M2762" s="670"/>
      <c r="N2762" s="698"/>
      <c r="O2762" s="699" t="s">
        <v>1562</v>
      </c>
      <c r="P2762" s="672"/>
      <c r="Q2762" s="688">
        <f t="shared" si="663"/>
        <v>100</v>
      </c>
      <c r="R2762" s="688">
        <f t="shared" si="663"/>
        <v>1</v>
      </c>
      <c r="S2762" s="688">
        <v>2</v>
      </c>
      <c r="T2762" s="690">
        <f t="shared" si="664"/>
        <v>2</v>
      </c>
      <c r="U2762" s="690"/>
      <c r="V2762" s="690"/>
    </row>
    <row r="2763" spans="1:22" s="688" customFormat="1" ht="17.100000000000001" customHeight="1">
      <c r="A2763" s="1316" t="s">
        <v>2158</v>
      </c>
      <c r="B2763" s="1317"/>
      <c r="C2763" s="1316" t="s">
        <v>2159</v>
      </c>
      <c r="D2763" s="1317"/>
      <c r="E2763" s="677">
        <v>2600</v>
      </c>
      <c r="F2763" s="676" t="s">
        <v>30</v>
      </c>
      <c r="G2763" s="670"/>
      <c r="H2763" s="670"/>
      <c r="I2763" s="670"/>
      <c r="J2763" s="670"/>
      <c r="K2763" s="670"/>
      <c r="L2763" s="670"/>
      <c r="M2763" s="670"/>
      <c r="N2763" s="670"/>
      <c r="O2763" s="671"/>
      <c r="P2763" s="672"/>
      <c r="Q2763" s="688">
        <f t="shared" si="663"/>
        <v>100</v>
      </c>
      <c r="R2763" s="688">
        <f t="shared" si="663"/>
        <v>1</v>
      </c>
      <c r="S2763" s="688">
        <v>1</v>
      </c>
      <c r="T2763" s="690">
        <f t="shared" si="664"/>
        <v>1</v>
      </c>
      <c r="U2763" s="690"/>
      <c r="V2763" s="690"/>
    </row>
    <row r="2764" spans="1:22" s="688" customFormat="1" ht="17.100000000000001" customHeight="1">
      <c r="A2764" s="1369" t="s">
        <v>2160</v>
      </c>
      <c r="B2764" s="1365"/>
      <c r="C2764" s="1369" t="s">
        <v>1761</v>
      </c>
      <c r="D2764" s="1365"/>
      <c r="E2764" s="677">
        <v>2600</v>
      </c>
      <c r="F2764" s="676" t="s">
        <v>30</v>
      </c>
      <c r="G2764" s="816"/>
      <c r="H2764" s="816"/>
      <c r="I2764" s="816"/>
      <c r="J2764" s="816"/>
      <c r="K2764" s="816">
        <f>[53]운반공!$BO$635</f>
        <v>22</v>
      </c>
      <c r="L2764" s="816">
        <f>INT(E2764*K2764)</f>
        <v>57200</v>
      </c>
      <c r="M2764" s="816">
        <f t="shared" ref="M2764:N2773" si="665">G2764+I2764+K2764</f>
        <v>22</v>
      </c>
      <c r="N2764" s="816">
        <f t="shared" si="665"/>
        <v>57200</v>
      </c>
      <c r="O2764" s="817"/>
      <c r="P2764" s="672"/>
      <c r="Q2764" s="688">
        <f t="shared" si="663"/>
        <v>100</v>
      </c>
      <c r="R2764" s="688">
        <f t="shared" si="663"/>
        <v>1</v>
      </c>
      <c r="S2764" s="688">
        <v>8</v>
      </c>
      <c r="T2764" s="690">
        <f t="shared" si="664"/>
        <v>8</v>
      </c>
      <c r="U2764" s="690"/>
      <c r="V2764" s="690"/>
    </row>
    <row r="2765" spans="1:22" s="688" customFormat="1" ht="17.100000000000001" customHeight="1">
      <c r="A2765" s="1316" t="s">
        <v>2165</v>
      </c>
      <c r="B2765" s="1317"/>
      <c r="C2765" s="1316" t="s">
        <v>2153</v>
      </c>
      <c r="D2765" s="1317"/>
      <c r="E2765" s="675">
        <v>0.16</v>
      </c>
      <c r="F2765" s="676" t="s">
        <v>850</v>
      </c>
      <c r="G2765" s="670" t="e">
        <f>#REF!</f>
        <v>#REF!</v>
      </c>
      <c r="H2765" s="670" t="e">
        <f>INT(E2765*G2765)</f>
        <v>#REF!</v>
      </c>
      <c r="I2765" s="670"/>
      <c r="J2765" s="670"/>
      <c r="K2765" s="670"/>
      <c r="L2765" s="670"/>
      <c r="M2765" s="670" t="e">
        <f t="shared" si="665"/>
        <v>#REF!</v>
      </c>
      <c r="N2765" s="670" t="e">
        <f t="shared" si="665"/>
        <v>#REF!</v>
      </c>
      <c r="O2765" s="671"/>
      <c r="P2765" s="672"/>
      <c r="Q2765" s="688">
        <f t="shared" si="663"/>
        <v>100</v>
      </c>
      <c r="R2765" s="688">
        <f t="shared" si="663"/>
        <v>1</v>
      </c>
      <c r="S2765" s="688">
        <v>8</v>
      </c>
      <c r="T2765" s="690">
        <f t="shared" si="664"/>
        <v>8</v>
      </c>
      <c r="U2765" s="690"/>
      <c r="V2765" s="690"/>
    </row>
    <row r="2766" spans="1:22" s="688" customFormat="1" ht="17.100000000000001" customHeight="1">
      <c r="A2766" s="1316" t="s">
        <v>2166</v>
      </c>
      <c r="B2766" s="1317"/>
      <c r="C2766" s="1316"/>
      <c r="D2766" s="1317"/>
      <c r="E2766" s="679">
        <v>100</v>
      </c>
      <c r="F2766" s="676" t="s">
        <v>645</v>
      </c>
      <c r="G2766" s="670" t="e">
        <f>$H$2960</f>
        <v>#REF!</v>
      </c>
      <c r="H2766" s="670" t="e">
        <f>INT(E2766*G2766)</f>
        <v>#REF!</v>
      </c>
      <c r="I2766" s="670">
        <f>$J$2960</f>
        <v>576</v>
      </c>
      <c r="J2766" s="670">
        <f>INT(E2766*I2766)</f>
        <v>57600</v>
      </c>
      <c r="K2766" s="670">
        <f>$L$2960</f>
        <v>0</v>
      </c>
      <c r="L2766" s="816">
        <f>INT(E2766*K2766)</f>
        <v>0</v>
      </c>
      <c r="M2766" s="670" t="e">
        <f t="shared" si="665"/>
        <v>#REF!</v>
      </c>
      <c r="N2766" s="670" t="e">
        <f t="shared" si="665"/>
        <v>#REF!</v>
      </c>
      <c r="O2766" s="671">
        <f>$A$2956</f>
        <v>408</v>
      </c>
      <c r="P2766" s="672"/>
      <c r="Q2766" s="688">
        <f t="shared" si="663"/>
        <v>100</v>
      </c>
      <c r="R2766" s="688">
        <f t="shared" si="663"/>
        <v>1</v>
      </c>
      <c r="S2766" s="688">
        <v>8</v>
      </c>
      <c r="T2766" s="690">
        <f t="shared" si="664"/>
        <v>8</v>
      </c>
      <c r="U2766" s="690"/>
      <c r="V2766" s="690"/>
    </row>
    <row r="2767" spans="1:22" s="688" customFormat="1" ht="17.100000000000001" customHeight="1">
      <c r="A2767" s="1316" t="s">
        <v>821</v>
      </c>
      <c r="B2767" s="1317"/>
      <c r="C2767" s="1316" t="s">
        <v>2154</v>
      </c>
      <c r="D2767" s="1317"/>
      <c r="E2767" s="679">
        <v>3.3</v>
      </c>
      <c r="F2767" s="676" t="s">
        <v>850</v>
      </c>
      <c r="G2767" s="670" t="e">
        <f>#REF!</f>
        <v>#REF!</v>
      </c>
      <c r="H2767" s="670" t="e">
        <f>INT(E2767*G2767)</f>
        <v>#REF!</v>
      </c>
      <c r="I2767" s="670"/>
      <c r="J2767" s="670"/>
      <c r="K2767" s="670"/>
      <c r="L2767" s="670"/>
      <c r="M2767" s="670" t="e">
        <f t="shared" si="665"/>
        <v>#REF!</v>
      </c>
      <c r="N2767" s="670" t="e">
        <f t="shared" si="665"/>
        <v>#REF!</v>
      </c>
      <c r="O2767" s="818"/>
      <c r="P2767" s="672"/>
      <c r="T2767" s="690"/>
      <c r="U2767" s="690"/>
      <c r="V2767" s="690"/>
    </row>
    <row r="2768" spans="1:22" s="688" customFormat="1" ht="17.100000000000001" customHeight="1">
      <c r="A2768" s="1316" t="s">
        <v>540</v>
      </c>
      <c r="B2768" s="1317"/>
      <c r="C2768" s="1316"/>
      <c r="D2768" s="1317"/>
      <c r="E2768" s="683">
        <f t="shared" ref="E2768:E2773" si="666">T2737</f>
        <v>1.1111</v>
      </c>
      <c r="F2768" s="676" t="s">
        <v>366</v>
      </c>
      <c r="G2768" s="670"/>
      <c r="H2768" s="670"/>
      <c r="I2768" s="670">
        <f>[53]노임단가!$T$22</f>
        <v>273308</v>
      </c>
      <c r="J2768" s="670">
        <f t="shared" ref="J2768:J2773" si="667">INT(E2768*I2768)</f>
        <v>303672</v>
      </c>
      <c r="K2768" s="670"/>
      <c r="L2768" s="670"/>
      <c r="M2768" s="670">
        <f t="shared" si="665"/>
        <v>273308</v>
      </c>
      <c r="N2768" s="670">
        <f t="shared" si="665"/>
        <v>303672</v>
      </c>
      <c r="O2768" s="671"/>
      <c r="P2768" s="672"/>
    </row>
    <row r="2769" spans="1:22" s="688" customFormat="1" ht="17.100000000000001" customHeight="1">
      <c r="A2769" s="1316" t="s">
        <v>628</v>
      </c>
      <c r="B2769" s="1317"/>
      <c r="C2769" s="1316"/>
      <c r="D2769" s="1317"/>
      <c r="E2769" s="683">
        <f t="shared" si="666"/>
        <v>1.1111</v>
      </c>
      <c r="F2769" s="676" t="s">
        <v>366</v>
      </c>
      <c r="G2769" s="670"/>
      <c r="H2769" s="670"/>
      <c r="I2769" s="670">
        <f>[53]노임단가!$T$6</f>
        <v>226122</v>
      </c>
      <c r="J2769" s="670">
        <f t="shared" si="667"/>
        <v>251244</v>
      </c>
      <c r="K2769" s="670"/>
      <c r="L2769" s="670"/>
      <c r="M2769" s="670">
        <f t="shared" si="665"/>
        <v>226122</v>
      </c>
      <c r="N2769" s="670">
        <f t="shared" si="665"/>
        <v>251244</v>
      </c>
      <c r="O2769" s="671"/>
      <c r="P2769" s="672" t="s">
        <v>2173</v>
      </c>
      <c r="Q2769" s="806" t="s">
        <v>1446</v>
      </c>
      <c r="R2769" s="688" t="s">
        <v>1447</v>
      </c>
      <c r="S2769" s="688" t="s">
        <v>1425</v>
      </c>
      <c r="T2769" s="688" t="s">
        <v>1426</v>
      </c>
    </row>
    <row r="2770" spans="1:22" s="688" customFormat="1" ht="16.5" customHeight="1">
      <c r="A2770" s="1316" t="s">
        <v>248</v>
      </c>
      <c r="B2770" s="1317"/>
      <c r="C2770" s="1316"/>
      <c r="D2770" s="1317"/>
      <c r="E2770" s="683">
        <f t="shared" si="666"/>
        <v>0.55559999999999998</v>
      </c>
      <c r="F2770" s="676" t="s">
        <v>366</v>
      </c>
      <c r="G2770" s="670"/>
      <c r="H2770" s="670"/>
      <c r="I2770" s="670">
        <f>[53]노임단가!$T$5</f>
        <v>172068</v>
      </c>
      <c r="J2770" s="670">
        <f t="shared" si="667"/>
        <v>95600</v>
      </c>
      <c r="K2770" s="670"/>
      <c r="L2770" s="670"/>
      <c r="M2770" s="670">
        <f t="shared" si="665"/>
        <v>172068</v>
      </c>
      <c r="N2770" s="670">
        <f t="shared" si="665"/>
        <v>95600</v>
      </c>
      <c r="O2770" s="671"/>
      <c r="P2770" s="672" t="s">
        <v>2124</v>
      </c>
      <c r="Q2770" s="688">
        <v>260</v>
      </c>
      <c r="R2770" s="688">
        <f>(Q2770)/100</f>
        <v>2.6</v>
      </c>
      <c r="T2770" s="690">
        <f>ROUND(S2770/R2770,4)</f>
        <v>0</v>
      </c>
      <c r="U2770" s="690"/>
      <c r="V2770" s="690"/>
    </row>
    <row r="2771" spans="1:22" s="688" customFormat="1" ht="17.100000000000001" customHeight="1">
      <c r="A2771" s="1316" t="s">
        <v>409</v>
      </c>
      <c r="B2771" s="1317"/>
      <c r="C2771" s="1316" t="s">
        <v>2147</v>
      </c>
      <c r="D2771" s="1317"/>
      <c r="E2771" s="683">
        <f t="shared" si="666"/>
        <v>4.4443999999999999</v>
      </c>
      <c r="F2771" s="676" t="s">
        <v>418</v>
      </c>
      <c r="G2771" s="670" t="e">
        <f>#REF!</f>
        <v>#REF!</v>
      </c>
      <c r="H2771" s="670" t="e">
        <f>INT(E2771*G2771)</f>
        <v>#REF!</v>
      </c>
      <c r="I2771" s="670" t="e">
        <f>#REF!</f>
        <v>#REF!</v>
      </c>
      <c r="J2771" s="670" t="e">
        <f t="shared" si="667"/>
        <v>#REF!</v>
      </c>
      <c r="K2771" s="670" t="e">
        <f>#REF!</f>
        <v>#REF!</v>
      </c>
      <c r="L2771" s="670" t="e">
        <f>INT(E2771*K2771)</f>
        <v>#REF!</v>
      </c>
      <c r="M2771" s="670" t="e">
        <f t="shared" si="665"/>
        <v>#REF!</v>
      </c>
      <c r="N2771" s="670" t="e">
        <f t="shared" si="665"/>
        <v>#REF!</v>
      </c>
      <c r="O2771" s="671"/>
      <c r="P2771" s="813"/>
      <c r="Q2771" s="688">
        <f>Q2770</f>
        <v>260</v>
      </c>
      <c r="R2771" s="688">
        <f>R2770</f>
        <v>2.6</v>
      </c>
      <c r="T2771" s="690">
        <f>ROUND(S2771/R2771,4)</f>
        <v>0</v>
      </c>
      <c r="U2771" s="690"/>
      <c r="V2771" s="690"/>
    </row>
    <row r="2772" spans="1:22" s="688" customFormat="1" ht="17.100000000000001" customHeight="1">
      <c r="A2772" s="1316" t="s">
        <v>465</v>
      </c>
      <c r="B2772" s="1317"/>
      <c r="C2772" s="1316" t="s">
        <v>466</v>
      </c>
      <c r="D2772" s="1317"/>
      <c r="E2772" s="683">
        <f t="shared" si="666"/>
        <v>4.4443999999999999</v>
      </c>
      <c r="F2772" s="676" t="s">
        <v>418</v>
      </c>
      <c r="G2772" s="670" t="e">
        <f>#REF!</f>
        <v>#REF!</v>
      </c>
      <c r="H2772" s="750" t="e">
        <f>INT(E2772*G2772)</f>
        <v>#REF!</v>
      </c>
      <c r="I2772" s="670" t="e">
        <f>#REF!</f>
        <v>#REF!</v>
      </c>
      <c r="J2772" s="750" t="e">
        <f t="shared" si="667"/>
        <v>#REF!</v>
      </c>
      <c r="K2772" s="670" t="e">
        <f>#REF!</f>
        <v>#REF!</v>
      </c>
      <c r="L2772" s="750" t="e">
        <f>INT(E2772*K2772)</f>
        <v>#REF!</v>
      </c>
      <c r="M2772" s="670" t="e">
        <f t="shared" si="665"/>
        <v>#REF!</v>
      </c>
      <c r="N2772" s="670" t="e">
        <f t="shared" si="665"/>
        <v>#REF!</v>
      </c>
      <c r="O2772" s="671"/>
      <c r="P2772" s="672"/>
      <c r="Q2772" s="688">
        <f>Q2771</f>
        <v>260</v>
      </c>
      <c r="R2772" s="688">
        <f>R2771</f>
        <v>2.6</v>
      </c>
      <c r="T2772" s="690">
        <f t="shared" ref="T2772:T2780" si="668">ROUND(S2772/R2772,4)</f>
        <v>0</v>
      </c>
      <c r="U2772" s="690"/>
      <c r="V2772" s="690"/>
    </row>
    <row r="2773" spans="1:22" s="688" customFormat="1" ht="17.100000000000001" customHeight="1">
      <c r="A2773" s="1316" t="s">
        <v>641</v>
      </c>
      <c r="B2773" s="1317"/>
      <c r="C2773" s="1316" t="s">
        <v>642</v>
      </c>
      <c r="D2773" s="1317"/>
      <c r="E2773" s="683">
        <f t="shared" si="666"/>
        <v>4.4443999999999999</v>
      </c>
      <c r="F2773" s="676" t="s">
        <v>418</v>
      </c>
      <c r="G2773" s="670" t="e">
        <f>#REF!</f>
        <v>#REF!</v>
      </c>
      <c r="H2773" s="670" t="e">
        <f>INT(E2773*G2773)</f>
        <v>#REF!</v>
      </c>
      <c r="I2773" s="670" t="e">
        <f>#REF!</f>
        <v>#REF!</v>
      </c>
      <c r="J2773" s="670" t="e">
        <f t="shared" si="667"/>
        <v>#REF!</v>
      </c>
      <c r="K2773" s="670" t="e">
        <f>#REF!</f>
        <v>#REF!</v>
      </c>
      <c r="L2773" s="670" t="e">
        <f>INT(E2773*K2773)</f>
        <v>#REF!</v>
      </c>
      <c r="M2773" s="670" t="e">
        <f t="shared" si="665"/>
        <v>#REF!</v>
      </c>
      <c r="N2773" s="670" t="e">
        <f t="shared" si="665"/>
        <v>#REF!</v>
      </c>
      <c r="O2773" s="671"/>
      <c r="P2773" s="672"/>
      <c r="Q2773" s="688">
        <f t="shared" ref="Q2773:R2780" si="669">Q2772</f>
        <v>260</v>
      </c>
      <c r="R2773" s="688">
        <f t="shared" si="669"/>
        <v>2.6</v>
      </c>
      <c r="T2773" s="690">
        <f>ROUND(S2773/R2773,4)</f>
        <v>0</v>
      </c>
      <c r="U2773" s="690"/>
      <c r="V2773" s="690"/>
    </row>
    <row r="2774" spans="1:22" s="688" customFormat="1" ht="17.100000000000001" customHeight="1">
      <c r="A2774" s="1316" t="s">
        <v>2108</v>
      </c>
      <c r="B2774" s="1317"/>
      <c r="C2774" s="1316" t="s">
        <v>1469</v>
      </c>
      <c r="D2774" s="1317"/>
      <c r="E2774" s="675">
        <v>0.05</v>
      </c>
      <c r="F2774" s="676" t="s">
        <v>672</v>
      </c>
      <c r="G2774" s="670"/>
      <c r="H2774" s="670">
        <f>INT(E2774*G2774)</f>
        <v>0</v>
      </c>
      <c r="I2774" s="670"/>
      <c r="J2774" s="670"/>
      <c r="K2774" s="670">
        <f>SUM(J2768:J2770)</f>
        <v>650516</v>
      </c>
      <c r="L2774" s="670">
        <f>INT(E2774*K2774)</f>
        <v>32525</v>
      </c>
      <c r="M2774" s="670">
        <f>G2774+I2774+K2774</f>
        <v>650516</v>
      </c>
      <c r="N2774" s="670">
        <f>H2774+J2774+L2774</f>
        <v>32525</v>
      </c>
      <c r="O2774" s="671"/>
      <c r="P2774" s="672"/>
      <c r="Q2774" s="688">
        <f t="shared" si="669"/>
        <v>260</v>
      </c>
      <c r="R2774" s="688">
        <f t="shared" si="669"/>
        <v>2.6</v>
      </c>
      <c r="S2774" s="688">
        <v>3</v>
      </c>
      <c r="T2774" s="690">
        <f t="shared" si="668"/>
        <v>1.1537999999999999</v>
      </c>
      <c r="U2774" s="690"/>
      <c r="V2774" s="690"/>
    </row>
    <row r="2775" spans="1:22" s="688" customFormat="1" ht="17.100000000000001" customHeight="1">
      <c r="A2775" s="1318" t="s">
        <v>1320</v>
      </c>
      <c r="B2775" s="1319"/>
      <c r="C2775" s="1316"/>
      <c r="D2775" s="1317"/>
      <c r="E2775" s="686"/>
      <c r="F2775" s="676"/>
      <c r="G2775" s="670"/>
      <c r="H2775" s="670" t="e">
        <f>SUM(H2763:H2774)</f>
        <v>#REF!</v>
      </c>
      <c r="I2775" s="670"/>
      <c r="J2775" s="670" t="e">
        <f>SUM(J2763:J2774)</f>
        <v>#REF!</v>
      </c>
      <c r="K2775" s="670"/>
      <c r="L2775" s="670" t="e">
        <f>SUM(L2763:L2774)</f>
        <v>#REF!</v>
      </c>
      <c r="M2775" s="670"/>
      <c r="N2775" s="670" t="e">
        <f>SUM(N2763:N2774)</f>
        <v>#REF!</v>
      </c>
      <c r="O2775" s="671"/>
      <c r="P2775" s="672"/>
      <c r="Q2775" s="688">
        <f t="shared" si="669"/>
        <v>260</v>
      </c>
      <c r="R2775" s="688">
        <f t="shared" si="669"/>
        <v>2.6</v>
      </c>
      <c r="S2775" s="688">
        <v>2</v>
      </c>
      <c r="T2775" s="690">
        <f t="shared" si="668"/>
        <v>0.76919999999999999</v>
      </c>
      <c r="U2775" s="690"/>
      <c r="V2775" s="690"/>
    </row>
    <row r="2776" spans="1:22" s="688" customFormat="1" ht="17.100000000000001" customHeight="1">
      <c r="A2776" s="668">
        <f>A2762+1</f>
        <v>394</v>
      </c>
      <c r="B2776" s="1320" t="s">
        <v>2182</v>
      </c>
      <c r="C2776" s="1320"/>
      <c r="D2776" s="1320" t="s">
        <v>2169</v>
      </c>
      <c r="E2776" s="1320"/>
      <c r="F2776" s="669" t="s">
        <v>1458</v>
      </c>
      <c r="G2776" s="698"/>
      <c r="H2776" s="698"/>
      <c r="I2776" s="698"/>
      <c r="J2776" s="698"/>
      <c r="K2776" s="670"/>
      <c r="L2776" s="670"/>
      <c r="M2776" s="670"/>
      <c r="N2776" s="698"/>
      <c r="O2776" s="699" t="s">
        <v>1562</v>
      </c>
      <c r="P2776" s="672"/>
      <c r="Q2776" s="688">
        <f t="shared" si="669"/>
        <v>260</v>
      </c>
      <c r="R2776" s="688">
        <f t="shared" si="669"/>
        <v>2.6</v>
      </c>
      <c r="S2776" s="688">
        <v>2</v>
      </c>
      <c r="T2776" s="690">
        <f t="shared" si="668"/>
        <v>0.76919999999999999</v>
      </c>
      <c r="U2776" s="690"/>
      <c r="V2776" s="690"/>
    </row>
    <row r="2777" spans="1:22" s="688" customFormat="1" ht="17.100000000000001" customHeight="1">
      <c r="A2777" s="1316" t="s">
        <v>2170</v>
      </c>
      <c r="B2777" s="1317"/>
      <c r="C2777" s="1316" t="s">
        <v>2171</v>
      </c>
      <c r="D2777" s="1317"/>
      <c r="E2777" s="677">
        <v>416</v>
      </c>
      <c r="F2777" s="676" t="s">
        <v>30</v>
      </c>
      <c r="G2777" s="670"/>
      <c r="H2777" s="670"/>
      <c r="I2777" s="670"/>
      <c r="J2777" s="670"/>
      <c r="K2777" s="670"/>
      <c r="L2777" s="670"/>
      <c r="M2777" s="670"/>
      <c r="N2777" s="670"/>
      <c r="O2777" s="671"/>
      <c r="P2777" s="672"/>
      <c r="Q2777" s="688">
        <f t="shared" si="669"/>
        <v>260</v>
      </c>
      <c r="R2777" s="688">
        <f t="shared" si="669"/>
        <v>2.6</v>
      </c>
      <c r="S2777" s="688">
        <v>8</v>
      </c>
      <c r="T2777" s="690">
        <f t="shared" si="668"/>
        <v>3.0769000000000002</v>
      </c>
      <c r="U2777" s="690"/>
      <c r="V2777" s="690"/>
    </row>
    <row r="2778" spans="1:22" s="688" customFormat="1" ht="17.100000000000001" customHeight="1">
      <c r="A2778" s="1316" t="s">
        <v>2170</v>
      </c>
      <c r="B2778" s="1317"/>
      <c r="C2778" s="1316" t="s">
        <v>1761</v>
      </c>
      <c r="D2778" s="1317"/>
      <c r="E2778" s="819">
        <v>416</v>
      </c>
      <c r="F2778" s="676" t="s">
        <v>30</v>
      </c>
      <c r="G2778" s="670"/>
      <c r="H2778" s="670"/>
      <c r="I2778" s="670"/>
      <c r="J2778" s="670"/>
      <c r="K2778" s="670">
        <f>[53]운반공!$BO$633</f>
        <v>97</v>
      </c>
      <c r="L2778" s="670">
        <f>INT(E2778*K2778)</f>
        <v>40352</v>
      </c>
      <c r="M2778" s="670">
        <f t="shared" ref="M2778:N2785" si="670">G2778+I2778+K2778</f>
        <v>97</v>
      </c>
      <c r="N2778" s="670">
        <f t="shared" si="670"/>
        <v>40352</v>
      </c>
      <c r="O2778" s="671"/>
      <c r="P2778" s="672"/>
      <c r="Q2778" s="688">
        <f t="shared" si="669"/>
        <v>260</v>
      </c>
      <c r="R2778" s="688">
        <f t="shared" si="669"/>
        <v>2.6</v>
      </c>
      <c r="S2778" s="688">
        <v>8</v>
      </c>
      <c r="T2778" s="690">
        <f t="shared" si="668"/>
        <v>3.0769000000000002</v>
      </c>
      <c r="U2778" s="690"/>
      <c r="V2778" s="690"/>
    </row>
    <row r="2779" spans="1:22" s="688" customFormat="1" ht="17.100000000000001" customHeight="1">
      <c r="A2779" s="1316" t="s">
        <v>1524</v>
      </c>
      <c r="B2779" s="1317"/>
      <c r="C2779" s="1370" t="s">
        <v>1529</v>
      </c>
      <c r="D2779" s="1317"/>
      <c r="E2779" s="677">
        <v>3</v>
      </c>
      <c r="F2779" s="676" t="s">
        <v>850</v>
      </c>
      <c r="G2779" s="670" t="e">
        <f>$H$484</f>
        <v>#REF!</v>
      </c>
      <c r="H2779" s="670" t="e">
        <f>INT(E2779*G2779)</f>
        <v>#REF!</v>
      </c>
      <c r="I2779" s="670">
        <f>$J$484</f>
        <v>73989</v>
      </c>
      <c r="J2779" s="670">
        <f t="shared" ref="J2779:J2785" si="671">INT(E2779*I2779)</f>
        <v>221967</v>
      </c>
      <c r="K2779" s="670">
        <f>$L$484</f>
        <v>11220</v>
      </c>
      <c r="L2779" s="670">
        <f>INT(E2779*K2779)</f>
        <v>33660</v>
      </c>
      <c r="M2779" s="670" t="e">
        <f t="shared" si="670"/>
        <v>#REF!</v>
      </c>
      <c r="N2779" s="670" t="e">
        <f t="shared" si="670"/>
        <v>#REF!</v>
      </c>
      <c r="O2779" s="671">
        <f>$A$479</f>
        <v>130</v>
      </c>
      <c r="P2779" s="672"/>
      <c r="Q2779" s="688">
        <f t="shared" si="669"/>
        <v>260</v>
      </c>
      <c r="R2779" s="688">
        <f t="shared" si="669"/>
        <v>2.6</v>
      </c>
      <c r="S2779" s="688">
        <v>8</v>
      </c>
      <c r="T2779" s="690">
        <f t="shared" si="668"/>
        <v>3.0769000000000002</v>
      </c>
      <c r="U2779" s="690"/>
      <c r="V2779" s="690"/>
    </row>
    <row r="2780" spans="1:22" s="688" customFormat="1" ht="17.100000000000001" customHeight="1">
      <c r="A2780" s="1316" t="s">
        <v>540</v>
      </c>
      <c r="B2780" s="1317"/>
      <c r="C2780" s="1316"/>
      <c r="D2780" s="1317"/>
      <c r="E2780" s="683">
        <f t="shared" ref="E2780:E2785" si="672">T2749</f>
        <v>1.875</v>
      </c>
      <c r="F2780" s="676" t="s">
        <v>366</v>
      </c>
      <c r="G2780" s="670"/>
      <c r="H2780" s="670"/>
      <c r="I2780" s="670">
        <f>[53]노임단가!$T$22</f>
        <v>273308</v>
      </c>
      <c r="J2780" s="670">
        <f t="shared" si="671"/>
        <v>512452</v>
      </c>
      <c r="K2780" s="670"/>
      <c r="L2780" s="670"/>
      <c r="M2780" s="670">
        <f t="shared" si="670"/>
        <v>273308</v>
      </c>
      <c r="N2780" s="670">
        <f t="shared" si="670"/>
        <v>512452</v>
      </c>
      <c r="O2780" s="671"/>
      <c r="P2780" s="672"/>
      <c r="Q2780" s="688">
        <f t="shared" si="669"/>
        <v>260</v>
      </c>
      <c r="R2780" s="688">
        <f t="shared" si="669"/>
        <v>2.6</v>
      </c>
      <c r="T2780" s="690">
        <f t="shared" si="668"/>
        <v>0</v>
      </c>
      <c r="U2780" s="690"/>
      <c r="V2780" s="690"/>
    </row>
    <row r="2781" spans="1:22" s="688" customFormat="1" ht="17.100000000000001" customHeight="1">
      <c r="A2781" s="1316" t="s">
        <v>628</v>
      </c>
      <c r="B2781" s="1317"/>
      <c r="C2781" s="1316"/>
      <c r="D2781" s="1317"/>
      <c r="E2781" s="683">
        <f t="shared" si="672"/>
        <v>1.25</v>
      </c>
      <c r="F2781" s="676" t="s">
        <v>366</v>
      </c>
      <c r="G2781" s="670"/>
      <c r="H2781" s="670"/>
      <c r="I2781" s="670">
        <f>[53]노임단가!$T$6</f>
        <v>226122</v>
      </c>
      <c r="J2781" s="670">
        <f t="shared" si="671"/>
        <v>282652</v>
      </c>
      <c r="K2781" s="670"/>
      <c r="L2781" s="670"/>
      <c r="M2781" s="670">
        <f t="shared" si="670"/>
        <v>226122</v>
      </c>
      <c r="N2781" s="670">
        <f t="shared" si="670"/>
        <v>282652</v>
      </c>
      <c r="O2781" s="671"/>
      <c r="P2781" s="672"/>
    </row>
    <row r="2782" spans="1:22" s="688" customFormat="1" ht="17.100000000000001" customHeight="1">
      <c r="A2782" s="1316" t="s">
        <v>248</v>
      </c>
      <c r="B2782" s="1317"/>
      <c r="C2782" s="1316"/>
      <c r="D2782" s="1317"/>
      <c r="E2782" s="683">
        <f t="shared" si="672"/>
        <v>1.25</v>
      </c>
      <c r="F2782" s="676" t="s">
        <v>366</v>
      </c>
      <c r="G2782" s="670"/>
      <c r="H2782" s="670"/>
      <c r="I2782" s="670">
        <f>[53]노임단가!$T$5</f>
        <v>172068</v>
      </c>
      <c r="J2782" s="670">
        <f t="shared" si="671"/>
        <v>215085</v>
      </c>
      <c r="K2782" s="670"/>
      <c r="L2782" s="670"/>
      <c r="M2782" s="670">
        <f t="shared" si="670"/>
        <v>172068</v>
      </c>
      <c r="N2782" s="670">
        <f t="shared" si="670"/>
        <v>215085</v>
      </c>
      <c r="O2782" s="671"/>
      <c r="P2782" s="672" t="s">
        <v>1549</v>
      </c>
      <c r="Q2782" s="806" t="s">
        <v>1446</v>
      </c>
      <c r="R2782" s="688" t="s">
        <v>1447</v>
      </c>
      <c r="S2782" s="688" t="s">
        <v>1425</v>
      </c>
      <c r="T2782" s="688" t="s">
        <v>1426</v>
      </c>
    </row>
    <row r="2783" spans="1:22" s="688" customFormat="1" ht="17.100000000000001" customHeight="1">
      <c r="A2783" s="1316" t="s">
        <v>409</v>
      </c>
      <c r="B2783" s="1317"/>
      <c r="C2783" s="1316" t="s">
        <v>1380</v>
      </c>
      <c r="D2783" s="1317"/>
      <c r="E2783" s="683">
        <f t="shared" si="672"/>
        <v>5</v>
      </c>
      <c r="F2783" s="676" t="s">
        <v>418</v>
      </c>
      <c r="G2783" s="670" t="e">
        <f>#REF!</f>
        <v>#REF!</v>
      </c>
      <c r="H2783" s="670" t="e">
        <f>INT(E2783*G2783)</f>
        <v>#REF!</v>
      </c>
      <c r="I2783" s="670" t="e">
        <f>#REF!</f>
        <v>#REF!</v>
      </c>
      <c r="J2783" s="670" t="e">
        <f t="shared" si="671"/>
        <v>#REF!</v>
      </c>
      <c r="K2783" s="670" t="e">
        <f>#REF!</f>
        <v>#REF!</v>
      </c>
      <c r="L2783" s="670" t="e">
        <f>INT(E2783*K2783)</f>
        <v>#REF!</v>
      </c>
      <c r="M2783" s="670" t="e">
        <f t="shared" si="670"/>
        <v>#REF!</v>
      </c>
      <c r="N2783" s="670" t="e">
        <f t="shared" si="670"/>
        <v>#REF!</v>
      </c>
      <c r="O2783" s="671"/>
      <c r="P2783" s="672" t="s">
        <v>2174</v>
      </c>
      <c r="Q2783" s="688">
        <v>180</v>
      </c>
      <c r="R2783" s="688">
        <f>(Q2783)/100</f>
        <v>1.8</v>
      </c>
      <c r="T2783" s="690">
        <f>ROUND(S2783/R2783,4)</f>
        <v>0</v>
      </c>
    </row>
    <row r="2784" spans="1:22" s="688" customFormat="1" ht="17.100000000000001" customHeight="1">
      <c r="A2784" s="1316" t="s">
        <v>465</v>
      </c>
      <c r="B2784" s="1317"/>
      <c r="C2784" s="1316" t="s">
        <v>466</v>
      </c>
      <c r="D2784" s="1317"/>
      <c r="E2784" s="683">
        <f t="shared" si="672"/>
        <v>5</v>
      </c>
      <c r="F2784" s="676" t="s">
        <v>418</v>
      </c>
      <c r="G2784" s="670" t="e">
        <f>#REF!</f>
        <v>#REF!</v>
      </c>
      <c r="H2784" s="750" t="e">
        <f>INT(E2784*G2784)</f>
        <v>#REF!</v>
      </c>
      <c r="I2784" s="670" t="e">
        <f>#REF!</f>
        <v>#REF!</v>
      </c>
      <c r="J2784" s="750" t="e">
        <f t="shared" si="671"/>
        <v>#REF!</v>
      </c>
      <c r="K2784" s="670" t="e">
        <f>#REF!</f>
        <v>#REF!</v>
      </c>
      <c r="L2784" s="750" t="e">
        <f>INT(E2784*K2784)</f>
        <v>#REF!</v>
      </c>
      <c r="M2784" s="670" t="e">
        <f t="shared" si="670"/>
        <v>#REF!</v>
      </c>
      <c r="N2784" s="670" t="e">
        <f t="shared" si="670"/>
        <v>#REF!</v>
      </c>
      <c r="O2784" s="671"/>
      <c r="P2784" s="672"/>
      <c r="Q2784" s="688">
        <f>Q2783</f>
        <v>180</v>
      </c>
      <c r="R2784" s="688">
        <f>R2783</f>
        <v>1.8</v>
      </c>
      <c r="T2784" s="690">
        <f t="shared" ref="T2784:T2793" si="673">ROUND(S2784/R2784,4)</f>
        <v>0</v>
      </c>
    </row>
    <row r="2785" spans="1:22" s="688" customFormat="1" ht="17.100000000000001" customHeight="1">
      <c r="A2785" s="1316" t="s">
        <v>641</v>
      </c>
      <c r="B2785" s="1317"/>
      <c r="C2785" s="1316" t="s">
        <v>642</v>
      </c>
      <c r="D2785" s="1317"/>
      <c r="E2785" s="683">
        <f t="shared" si="672"/>
        <v>5</v>
      </c>
      <c r="F2785" s="676" t="s">
        <v>418</v>
      </c>
      <c r="G2785" s="670" t="e">
        <f>#REF!</f>
        <v>#REF!</v>
      </c>
      <c r="H2785" s="670" t="e">
        <f>INT(E2785*G2785)</f>
        <v>#REF!</v>
      </c>
      <c r="I2785" s="670" t="e">
        <f>#REF!</f>
        <v>#REF!</v>
      </c>
      <c r="J2785" s="670" t="e">
        <f t="shared" si="671"/>
        <v>#REF!</v>
      </c>
      <c r="K2785" s="670" t="e">
        <f>#REF!</f>
        <v>#REF!</v>
      </c>
      <c r="L2785" s="670" t="e">
        <f>INT(E2785*K2785)</f>
        <v>#REF!</v>
      </c>
      <c r="M2785" s="670" t="e">
        <f t="shared" si="670"/>
        <v>#REF!</v>
      </c>
      <c r="N2785" s="670" t="e">
        <f t="shared" si="670"/>
        <v>#REF!</v>
      </c>
      <c r="O2785" s="671"/>
      <c r="P2785" s="672"/>
      <c r="Q2785" s="688">
        <f t="shared" ref="Q2785:R2792" si="674">Q2784</f>
        <v>180</v>
      </c>
      <c r="R2785" s="688">
        <f t="shared" si="674"/>
        <v>1.8</v>
      </c>
      <c r="T2785" s="690">
        <f t="shared" si="673"/>
        <v>0</v>
      </c>
    </row>
    <row r="2786" spans="1:22" s="688" customFormat="1" ht="17.100000000000001" customHeight="1">
      <c r="A2786" s="1316" t="s">
        <v>2108</v>
      </c>
      <c r="B2786" s="1317"/>
      <c r="C2786" s="1316" t="s">
        <v>1469</v>
      </c>
      <c r="D2786" s="1317"/>
      <c r="E2786" s="675">
        <v>0.05</v>
      </c>
      <c r="F2786" s="676" t="s">
        <v>672</v>
      </c>
      <c r="G2786" s="670"/>
      <c r="H2786" s="670">
        <f>INT(E2786*G2786)</f>
        <v>0</v>
      </c>
      <c r="I2786" s="670"/>
      <c r="J2786" s="670"/>
      <c r="K2786" s="670">
        <f>SUM(J2780:J2782)</f>
        <v>1010189</v>
      </c>
      <c r="L2786" s="670">
        <f>INT(E2786*K2786)</f>
        <v>50509</v>
      </c>
      <c r="M2786" s="670">
        <f>G2786+I2786+K2786</f>
        <v>1010189</v>
      </c>
      <c r="N2786" s="670">
        <f>H2786+J2786+L2786</f>
        <v>50509</v>
      </c>
      <c r="O2786" s="671"/>
      <c r="P2786" s="672"/>
      <c r="Q2786" s="688">
        <f t="shared" si="674"/>
        <v>180</v>
      </c>
      <c r="R2786" s="688">
        <f t="shared" si="674"/>
        <v>1.8</v>
      </c>
      <c r="T2786" s="690">
        <f t="shared" si="673"/>
        <v>0</v>
      </c>
    </row>
    <row r="2787" spans="1:22" s="688" customFormat="1" ht="17.100000000000001" customHeight="1">
      <c r="A2787" s="1318" t="s">
        <v>1320</v>
      </c>
      <c r="B2787" s="1319"/>
      <c r="C2787" s="1316"/>
      <c r="D2787" s="1317"/>
      <c r="E2787" s="686"/>
      <c r="F2787" s="676"/>
      <c r="G2787" s="670"/>
      <c r="H2787" s="670" t="e">
        <f>SUM(H2777:H2786)</f>
        <v>#REF!</v>
      </c>
      <c r="I2787" s="670"/>
      <c r="J2787" s="670" t="e">
        <f>SUM(J2777:J2786)</f>
        <v>#REF!</v>
      </c>
      <c r="K2787" s="670"/>
      <c r="L2787" s="670" t="e">
        <f>SUM(L2777:L2786)</f>
        <v>#REF!</v>
      </c>
      <c r="M2787" s="670"/>
      <c r="N2787" s="670" t="e">
        <f>SUM(N2777:N2786)</f>
        <v>#REF!</v>
      </c>
      <c r="O2787" s="671"/>
      <c r="P2787" s="672"/>
      <c r="Q2787" s="688">
        <f t="shared" si="674"/>
        <v>180</v>
      </c>
      <c r="R2787" s="688">
        <f t="shared" si="674"/>
        <v>1.8</v>
      </c>
      <c r="S2787" s="688">
        <v>2</v>
      </c>
      <c r="T2787" s="690">
        <f t="shared" si="673"/>
        <v>1.1111</v>
      </c>
      <c r="U2787" s="690"/>
      <c r="V2787" s="690"/>
    </row>
    <row r="2788" spans="1:22" s="688" customFormat="1" ht="17.100000000000001" customHeight="1">
      <c r="A2788" s="668">
        <f>A2776+1</f>
        <v>395</v>
      </c>
      <c r="B2788" s="1320" t="s">
        <v>2182</v>
      </c>
      <c r="C2788" s="1320"/>
      <c r="D2788" s="1320" t="s">
        <v>2172</v>
      </c>
      <c r="E2788" s="1320"/>
      <c r="F2788" s="669" t="s">
        <v>1458</v>
      </c>
      <c r="G2788" s="698"/>
      <c r="H2788" s="698"/>
      <c r="I2788" s="698"/>
      <c r="J2788" s="698"/>
      <c r="K2788" s="670"/>
      <c r="L2788" s="670"/>
      <c r="M2788" s="670"/>
      <c r="N2788" s="698"/>
      <c r="O2788" s="699" t="s">
        <v>1562</v>
      </c>
      <c r="P2788" s="672"/>
      <c r="Q2788" s="688">
        <f t="shared" si="674"/>
        <v>180</v>
      </c>
      <c r="R2788" s="688">
        <f t="shared" si="674"/>
        <v>1.8</v>
      </c>
      <c r="S2788" s="688">
        <v>2</v>
      </c>
      <c r="T2788" s="690">
        <f t="shared" si="673"/>
        <v>1.1111</v>
      </c>
      <c r="U2788" s="690"/>
      <c r="V2788" s="690"/>
    </row>
    <row r="2789" spans="1:22" s="688" customFormat="1" ht="17.100000000000001" customHeight="1">
      <c r="A2789" s="1316" t="s">
        <v>2170</v>
      </c>
      <c r="B2789" s="1317"/>
      <c r="C2789" s="1316" t="s">
        <v>2171</v>
      </c>
      <c r="D2789" s="1317"/>
      <c r="E2789" s="677">
        <v>416</v>
      </c>
      <c r="F2789" s="676" t="s">
        <v>30</v>
      </c>
      <c r="G2789" s="670"/>
      <c r="H2789" s="670"/>
      <c r="I2789" s="670"/>
      <c r="J2789" s="670"/>
      <c r="K2789" s="670"/>
      <c r="L2789" s="670"/>
      <c r="M2789" s="670"/>
      <c r="N2789" s="670"/>
      <c r="O2789" s="671"/>
      <c r="P2789" s="672"/>
      <c r="Q2789" s="688">
        <f t="shared" si="674"/>
        <v>180</v>
      </c>
      <c r="R2789" s="688">
        <f t="shared" si="674"/>
        <v>1.8</v>
      </c>
      <c r="S2789" s="688">
        <v>1</v>
      </c>
      <c r="T2789" s="690">
        <f t="shared" si="673"/>
        <v>0.55559999999999998</v>
      </c>
      <c r="U2789" s="690"/>
      <c r="V2789" s="690"/>
    </row>
    <row r="2790" spans="1:22" s="688" customFormat="1" ht="17.100000000000001" customHeight="1">
      <c r="A2790" s="1316" t="s">
        <v>2170</v>
      </c>
      <c r="B2790" s="1317"/>
      <c r="C2790" s="1316" t="s">
        <v>1761</v>
      </c>
      <c r="D2790" s="1317"/>
      <c r="E2790" s="819">
        <v>416</v>
      </c>
      <c r="F2790" s="676" t="s">
        <v>30</v>
      </c>
      <c r="G2790" s="670"/>
      <c r="H2790" s="670"/>
      <c r="I2790" s="670"/>
      <c r="J2790" s="670"/>
      <c r="K2790" s="670">
        <f>[53]운반공!$BO$633</f>
        <v>97</v>
      </c>
      <c r="L2790" s="670">
        <f>INT(E2790*K2790)</f>
        <v>40352</v>
      </c>
      <c r="M2790" s="670">
        <f t="shared" ref="M2790:N2797" si="675">G2790+I2790+K2790</f>
        <v>97</v>
      </c>
      <c r="N2790" s="670">
        <f t="shared" si="675"/>
        <v>40352</v>
      </c>
      <c r="O2790" s="671"/>
      <c r="P2790" s="672"/>
      <c r="Q2790" s="688">
        <f t="shared" si="674"/>
        <v>180</v>
      </c>
      <c r="R2790" s="688">
        <f t="shared" si="674"/>
        <v>1.8</v>
      </c>
      <c r="S2790" s="688">
        <v>8</v>
      </c>
      <c r="T2790" s="690">
        <f t="shared" si="673"/>
        <v>4.4443999999999999</v>
      </c>
      <c r="U2790" s="690"/>
      <c r="V2790" s="690"/>
    </row>
    <row r="2791" spans="1:22" s="688" customFormat="1" ht="17.100000000000001" customHeight="1">
      <c r="A2791" s="1316" t="s">
        <v>1524</v>
      </c>
      <c r="B2791" s="1317"/>
      <c r="C2791" s="1370" t="s">
        <v>1529</v>
      </c>
      <c r="D2791" s="1317"/>
      <c r="E2791" s="677">
        <v>3</v>
      </c>
      <c r="F2791" s="676" t="s">
        <v>850</v>
      </c>
      <c r="G2791" s="670" t="e">
        <f>$H$484</f>
        <v>#REF!</v>
      </c>
      <c r="H2791" s="670" t="e">
        <f>INT(E2791*G2791)</f>
        <v>#REF!</v>
      </c>
      <c r="I2791" s="670">
        <f>$J$484</f>
        <v>73989</v>
      </c>
      <c r="J2791" s="670">
        <f t="shared" ref="J2791:J2797" si="676">INT(E2791*I2791)</f>
        <v>221967</v>
      </c>
      <c r="K2791" s="670">
        <f>$L$484</f>
        <v>11220</v>
      </c>
      <c r="L2791" s="670">
        <f>INT(E2791*K2791)</f>
        <v>33660</v>
      </c>
      <c r="M2791" s="670" t="e">
        <f t="shared" si="675"/>
        <v>#REF!</v>
      </c>
      <c r="N2791" s="670" t="e">
        <f t="shared" si="675"/>
        <v>#REF!</v>
      </c>
      <c r="O2791" s="671">
        <f>$A$479</f>
        <v>130</v>
      </c>
      <c r="P2791" s="672"/>
      <c r="Q2791" s="688">
        <f t="shared" si="674"/>
        <v>180</v>
      </c>
      <c r="R2791" s="688">
        <f t="shared" si="674"/>
        <v>1.8</v>
      </c>
      <c r="S2791" s="688">
        <v>8</v>
      </c>
      <c r="T2791" s="690">
        <f t="shared" si="673"/>
        <v>4.4443999999999999</v>
      </c>
      <c r="U2791" s="690"/>
      <c r="V2791" s="690"/>
    </row>
    <row r="2792" spans="1:22" s="688" customFormat="1" ht="17.100000000000001" customHeight="1">
      <c r="A2792" s="1316" t="s">
        <v>540</v>
      </c>
      <c r="B2792" s="1317"/>
      <c r="C2792" s="1316"/>
      <c r="D2792" s="1317"/>
      <c r="E2792" s="683">
        <f t="shared" ref="E2792:E2797" si="677">T2761</f>
        <v>2</v>
      </c>
      <c r="F2792" s="676" t="s">
        <v>366</v>
      </c>
      <c r="G2792" s="670"/>
      <c r="H2792" s="670"/>
      <c r="I2792" s="670">
        <f>[53]노임단가!$T$22</f>
        <v>273308</v>
      </c>
      <c r="J2792" s="670">
        <f t="shared" si="676"/>
        <v>546616</v>
      </c>
      <c r="K2792" s="670"/>
      <c r="L2792" s="670"/>
      <c r="M2792" s="670">
        <f t="shared" si="675"/>
        <v>273308</v>
      </c>
      <c r="N2792" s="670">
        <f t="shared" si="675"/>
        <v>546616</v>
      </c>
      <c r="O2792" s="671"/>
      <c r="P2792" s="672"/>
      <c r="Q2792" s="688">
        <f t="shared" si="674"/>
        <v>180</v>
      </c>
      <c r="R2792" s="688">
        <f t="shared" si="674"/>
        <v>1.8</v>
      </c>
      <c r="S2792" s="688">
        <v>8</v>
      </c>
      <c r="T2792" s="690">
        <f t="shared" si="673"/>
        <v>4.4443999999999999</v>
      </c>
      <c r="U2792" s="690"/>
      <c r="V2792" s="690"/>
    </row>
    <row r="2793" spans="1:22" s="688" customFormat="1" ht="17.100000000000001" customHeight="1">
      <c r="A2793" s="1316" t="s">
        <v>628</v>
      </c>
      <c r="B2793" s="1317"/>
      <c r="C2793" s="1316"/>
      <c r="D2793" s="1317"/>
      <c r="E2793" s="683">
        <f t="shared" si="677"/>
        <v>2</v>
      </c>
      <c r="F2793" s="676" t="s">
        <v>366</v>
      </c>
      <c r="G2793" s="670"/>
      <c r="H2793" s="670"/>
      <c r="I2793" s="670">
        <f>[53]노임단가!$T$6</f>
        <v>226122</v>
      </c>
      <c r="J2793" s="670">
        <f t="shared" si="676"/>
        <v>452244</v>
      </c>
      <c r="K2793" s="670"/>
      <c r="L2793" s="670"/>
      <c r="M2793" s="670">
        <f t="shared" si="675"/>
        <v>226122</v>
      </c>
      <c r="N2793" s="670">
        <f t="shared" si="675"/>
        <v>452244</v>
      </c>
      <c r="O2793" s="671"/>
      <c r="P2793" s="672"/>
      <c r="Q2793" s="688">
        <f>Q2792</f>
        <v>180</v>
      </c>
      <c r="R2793" s="688">
        <f>R2792</f>
        <v>1.8</v>
      </c>
      <c r="T2793" s="690">
        <f t="shared" si="673"/>
        <v>0</v>
      </c>
      <c r="U2793" s="690"/>
      <c r="V2793" s="690"/>
    </row>
    <row r="2794" spans="1:22" s="688" customFormat="1" ht="17.100000000000001" customHeight="1">
      <c r="A2794" s="1316" t="s">
        <v>248</v>
      </c>
      <c r="B2794" s="1317"/>
      <c r="C2794" s="1316"/>
      <c r="D2794" s="1317"/>
      <c r="E2794" s="683">
        <f t="shared" si="677"/>
        <v>1</v>
      </c>
      <c r="F2794" s="676" t="s">
        <v>366</v>
      </c>
      <c r="G2794" s="670"/>
      <c r="H2794" s="670"/>
      <c r="I2794" s="670">
        <f>[53]노임단가!$T$5</f>
        <v>172068</v>
      </c>
      <c r="J2794" s="670">
        <f t="shared" si="676"/>
        <v>172068</v>
      </c>
      <c r="K2794" s="670"/>
      <c r="L2794" s="670"/>
      <c r="M2794" s="670">
        <f t="shared" si="675"/>
        <v>172068</v>
      </c>
      <c r="N2794" s="670">
        <f t="shared" si="675"/>
        <v>172068</v>
      </c>
      <c r="O2794" s="671"/>
      <c r="P2794" s="672"/>
    </row>
    <row r="2795" spans="1:22" s="688" customFormat="1" ht="17.100000000000001" customHeight="1">
      <c r="A2795" s="1316" t="s">
        <v>409</v>
      </c>
      <c r="B2795" s="1317"/>
      <c r="C2795" s="1316" t="s">
        <v>2147</v>
      </c>
      <c r="D2795" s="1317"/>
      <c r="E2795" s="683">
        <f t="shared" si="677"/>
        <v>8</v>
      </c>
      <c r="F2795" s="676" t="s">
        <v>418</v>
      </c>
      <c r="G2795" s="670" t="e">
        <f>#REF!</f>
        <v>#REF!</v>
      </c>
      <c r="H2795" s="670" t="e">
        <f>INT(E2795*G2795)</f>
        <v>#REF!</v>
      </c>
      <c r="I2795" s="670" t="e">
        <f>#REF!</f>
        <v>#REF!</v>
      </c>
      <c r="J2795" s="670" t="e">
        <f t="shared" si="676"/>
        <v>#REF!</v>
      </c>
      <c r="K2795" s="670" t="e">
        <f>#REF!</f>
        <v>#REF!</v>
      </c>
      <c r="L2795" s="670" t="e">
        <f>INT(E2795*K2795)</f>
        <v>#REF!</v>
      </c>
      <c r="M2795" s="670" t="e">
        <f t="shared" si="675"/>
        <v>#REF!</v>
      </c>
      <c r="N2795" s="670" t="e">
        <f t="shared" si="675"/>
        <v>#REF!</v>
      </c>
      <c r="O2795" s="671"/>
      <c r="P2795" s="672" t="s">
        <v>1549</v>
      </c>
      <c r="Q2795" s="687" t="s">
        <v>1446</v>
      </c>
      <c r="R2795" s="688" t="s">
        <v>1876</v>
      </c>
      <c r="S2795" s="688" t="s">
        <v>1425</v>
      </c>
      <c r="T2795" s="688" t="s">
        <v>1426</v>
      </c>
    </row>
    <row r="2796" spans="1:22" s="688" customFormat="1" ht="16.5" customHeight="1">
      <c r="A2796" s="1316" t="s">
        <v>465</v>
      </c>
      <c r="B2796" s="1317"/>
      <c r="C2796" s="1316" t="s">
        <v>466</v>
      </c>
      <c r="D2796" s="1317"/>
      <c r="E2796" s="683">
        <f t="shared" si="677"/>
        <v>8</v>
      </c>
      <c r="F2796" s="676" t="s">
        <v>418</v>
      </c>
      <c r="G2796" s="670" t="e">
        <f>#REF!</f>
        <v>#REF!</v>
      </c>
      <c r="H2796" s="750" t="e">
        <f>INT(E2796*G2796)</f>
        <v>#REF!</v>
      </c>
      <c r="I2796" s="670" t="e">
        <f>#REF!</f>
        <v>#REF!</v>
      </c>
      <c r="J2796" s="750" t="e">
        <f t="shared" si="676"/>
        <v>#REF!</v>
      </c>
      <c r="K2796" s="670" t="e">
        <f>#REF!</f>
        <v>#REF!</v>
      </c>
      <c r="L2796" s="750" t="e">
        <f>INT(E2796*K2796)</f>
        <v>#REF!</v>
      </c>
      <c r="M2796" s="670" t="e">
        <f t="shared" si="675"/>
        <v>#REF!</v>
      </c>
      <c r="N2796" s="670" t="e">
        <f t="shared" si="675"/>
        <v>#REF!</v>
      </c>
      <c r="O2796" s="671"/>
      <c r="P2796" s="672" t="s">
        <v>2183</v>
      </c>
      <c r="Q2796" s="688">
        <f>110*0.65</f>
        <v>71.5</v>
      </c>
      <c r="R2796" s="688">
        <f>(Q2796)</f>
        <v>71.5</v>
      </c>
      <c r="T2796" s="690">
        <f>ROUND(S2796/R2796,4)</f>
        <v>0</v>
      </c>
      <c r="U2796" s="690"/>
      <c r="V2796" s="690"/>
    </row>
    <row r="2797" spans="1:22" s="688" customFormat="1" ht="17.100000000000001" customHeight="1">
      <c r="A2797" s="1316" t="s">
        <v>641</v>
      </c>
      <c r="B2797" s="1317"/>
      <c r="C2797" s="1316" t="s">
        <v>642</v>
      </c>
      <c r="D2797" s="1317"/>
      <c r="E2797" s="683">
        <f t="shared" si="677"/>
        <v>8</v>
      </c>
      <c r="F2797" s="676" t="s">
        <v>418</v>
      </c>
      <c r="G2797" s="670" t="e">
        <f>#REF!</f>
        <v>#REF!</v>
      </c>
      <c r="H2797" s="670" t="e">
        <f>INT(E2797*G2797)</f>
        <v>#REF!</v>
      </c>
      <c r="I2797" s="670" t="e">
        <f>#REF!</f>
        <v>#REF!</v>
      </c>
      <c r="J2797" s="670" t="e">
        <f t="shared" si="676"/>
        <v>#REF!</v>
      </c>
      <c r="K2797" s="670" t="e">
        <f>#REF!</f>
        <v>#REF!</v>
      </c>
      <c r="L2797" s="670" t="e">
        <f>INT(E2797*K2797)</f>
        <v>#REF!</v>
      </c>
      <c r="M2797" s="670" t="e">
        <f t="shared" si="675"/>
        <v>#REF!</v>
      </c>
      <c r="N2797" s="670" t="e">
        <f t="shared" si="675"/>
        <v>#REF!</v>
      </c>
      <c r="O2797" s="671"/>
      <c r="P2797" s="813"/>
      <c r="Q2797" s="688">
        <f>Q2796</f>
        <v>71.5</v>
      </c>
      <c r="R2797" s="688">
        <f>R2796</f>
        <v>71.5</v>
      </c>
      <c r="T2797" s="690">
        <f>ROUND(S2797/R2797,4)</f>
        <v>0</v>
      </c>
      <c r="U2797" s="690"/>
      <c r="V2797" s="690"/>
    </row>
    <row r="2798" spans="1:22" s="688" customFormat="1" ht="17.100000000000001" customHeight="1">
      <c r="A2798" s="1316" t="s">
        <v>2108</v>
      </c>
      <c r="B2798" s="1317"/>
      <c r="C2798" s="1316" t="s">
        <v>1469</v>
      </c>
      <c r="D2798" s="1317"/>
      <c r="E2798" s="675">
        <v>0.05</v>
      </c>
      <c r="F2798" s="676" t="s">
        <v>672</v>
      </c>
      <c r="G2798" s="670"/>
      <c r="H2798" s="670">
        <f>INT(E2798*G2798)</f>
        <v>0</v>
      </c>
      <c r="I2798" s="670"/>
      <c r="J2798" s="670"/>
      <c r="K2798" s="670">
        <f>SUM(J2792:J2794)</f>
        <v>1170928</v>
      </c>
      <c r="L2798" s="670">
        <f>INT(E2798*K2798)</f>
        <v>58546</v>
      </c>
      <c r="M2798" s="670">
        <f>G2798+I2798+K2798</f>
        <v>1170928</v>
      </c>
      <c r="N2798" s="670">
        <f>H2798+J2798+L2798</f>
        <v>58546</v>
      </c>
      <c r="O2798" s="671"/>
      <c r="P2798" s="672"/>
      <c r="Q2798" s="688">
        <f t="shared" ref="Q2798:R2806" si="678">Q2797</f>
        <v>71.5</v>
      </c>
      <c r="R2798" s="688">
        <f t="shared" si="678"/>
        <v>71.5</v>
      </c>
      <c r="T2798" s="690">
        <f t="shared" ref="T2798:T2806" si="679">ROUND(S2798/R2798,4)</f>
        <v>0</v>
      </c>
      <c r="U2798" s="690"/>
      <c r="V2798" s="690"/>
    </row>
    <row r="2799" spans="1:22" s="688" customFormat="1" ht="17.100000000000001" customHeight="1">
      <c r="A2799" s="1318" t="s">
        <v>1320</v>
      </c>
      <c r="B2799" s="1319"/>
      <c r="C2799" s="1316"/>
      <c r="D2799" s="1317"/>
      <c r="E2799" s="686"/>
      <c r="F2799" s="676"/>
      <c r="G2799" s="670"/>
      <c r="H2799" s="670" t="e">
        <f>SUM(H2789:H2798)</f>
        <v>#REF!</v>
      </c>
      <c r="I2799" s="670"/>
      <c r="J2799" s="670" t="e">
        <f>SUM(J2789:J2798)</f>
        <v>#REF!</v>
      </c>
      <c r="K2799" s="670"/>
      <c r="L2799" s="670" t="e">
        <f>SUM(L2789:L2798)</f>
        <v>#REF!</v>
      </c>
      <c r="M2799" s="670"/>
      <c r="N2799" s="670" t="e">
        <f>SUM(N2789:N2798)</f>
        <v>#REF!</v>
      </c>
      <c r="O2799" s="671"/>
      <c r="P2799" s="812"/>
      <c r="Q2799" s="688">
        <f t="shared" si="678"/>
        <v>71.5</v>
      </c>
      <c r="R2799" s="688">
        <f t="shared" si="678"/>
        <v>71.5</v>
      </c>
      <c r="T2799" s="690">
        <f t="shared" si="679"/>
        <v>0</v>
      </c>
      <c r="U2799" s="690"/>
      <c r="V2799" s="690"/>
    </row>
    <row r="2800" spans="1:22" s="688" customFormat="1" ht="17.100000000000001" customHeight="1">
      <c r="A2800" s="668">
        <f>A2788+1</f>
        <v>396</v>
      </c>
      <c r="B2800" s="1320" t="s">
        <v>2180</v>
      </c>
      <c r="C2800" s="1320"/>
      <c r="D2800" s="1320" t="s">
        <v>2184</v>
      </c>
      <c r="E2800" s="1320"/>
      <c r="F2800" s="669" t="s">
        <v>1458</v>
      </c>
      <c r="G2800" s="698"/>
      <c r="H2800" s="698"/>
      <c r="I2800" s="698"/>
      <c r="J2800" s="698"/>
      <c r="K2800" s="670"/>
      <c r="L2800" s="670"/>
      <c r="M2800" s="670"/>
      <c r="N2800" s="698"/>
      <c r="O2800" s="699" t="s">
        <v>1562</v>
      </c>
      <c r="P2800" s="672"/>
      <c r="Q2800" s="688">
        <f t="shared" si="678"/>
        <v>71.5</v>
      </c>
      <c r="R2800" s="688">
        <f t="shared" si="678"/>
        <v>71.5</v>
      </c>
      <c r="S2800" s="688">
        <v>2</v>
      </c>
      <c r="T2800" s="690">
        <f t="shared" si="679"/>
        <v>2.8000000000000001E-2</v>
      </c>
      <c r="U2800" s="690"/>
      <c r="V2800" s="690"/>
    </row>
    <row r="2801" spans="1:22" s="688" customFormat="1" ht="17.100000000000001" customHeight="1">
      <c r="A2801" s="1316" t="s">
        <v>2176</v>
      </c>
      <c r="B2801" s="1317"/>
      <c r="C2801" s="1316" t="s">
        <v>2177</v>
      </c>
      <c r="D2801" s="1317"/>
      <c r="E2801" s="677">
        <v>1155</v>
      </c>
      <c r="F2801" s="676" t="s">
        <v>30</v>
      </c>
      <c r="G2801" s="670"/>
      <c r="H2801" s="670"/>
      <c r="I2801" s="670"/>
      <c r="J2801" s="670"/>
      <c r="K2801" s="670"/>
      <c r="L2801" s="670"/>
      <c r="M2801" s="670"/>
      <c r="N2801" s="670"/>
      <c r="O2801" s="671"/>
      <c r="P2801" s="672"/>
      <c r="Q2801" s="688">
        <f t="shared" si="678"/>
        <v>71.5</v>
      </c>
      <c r="R2801" s="688">
        <f t="shared" si="678"/>
        <v>71.5</v>
      </c>
      <c r="S2801" s="688">
        <v>1</v>
      </c>
      <c r="T2801" s="690">
        <f t="shared" si="679"/>
        <v>1.4E-2</v>
      </c>
      <c r="U2801" s="690"/>
      <c r="V2801" s="690"/>
    </row>
    <row r="2802" spans="1:22" s="688" customFormat="1" ht="17.100000000000001" customHeight="1">
      <c r="A2802" s="1316" t="s">
        <v>2176</v>
      </c>
      <c r="B2802" s="1317"/>
      <c r="C2802" s="1316" t="s">
        <v>1761</v>
      </c>
      <c r="D2802" s="1317"/>
      <c r="E2802" s="677">
        <v>1155</v>
      </c>
      <c r="F2802" s="676" t="s">
        <v>30</v>
      </c>
      <c r="G2802" s="670"/>
      <c r="H2802" s="670"/>
      <c r="I2802" s="670"/>
      <c r="J2802" s="670"/>
      <c r="K2802" s="670">
        <f>[53]운반공!$BO$634</f>
        <v>45</v>
      </c>
      <c r="L2802" s="670">
        <f>INT(E2802*K2802)</f>
        <v>51975</v>
      </c>
      <c r="M2802" s="670">
        <f t="shared" ref="M2802:N2810" si="680">G2802+I2802+K2802</f>
        <v>45</v>
      </c>
      <c r="N2802" s="670">
        <f t="shared" si="680"/>
        <v>51975</v>
      </c>
      <c r="O2802" s="671"/>
      <c r="P2802" s="672"/>
      <c r="Q2802" s="688">
        <f t="shared" si="678"/>
        <v>71.5</v>
      </c>
      <c r="R2802" s="688">
        <f t="shared" si="678"/>
        <v>71.5</v>
      </c>
      <c r="S2802" s="688">
        <v>1</v>
      </c>
      <c r="T2802" s="690">
        <f t="shared" si="679"/>
        <v>1.4E-2</v>
      </c>
      <c r="U2802" s="690"/>
      <c r="V2802" s="690"/>
    </row>
    <row r="2803" spans="1:22" s="688" customFormat="1" ht="17.100000000000001" customHeight="1">
      <c r="A2803" s="1316" t="s">
        <v>2152</v>
      </c>
      <c r="B2803" s="1317"/>
      <c r="C2803" s="1316" t="s">
        <v>2178</v>
      </c>
      <c r="D2803" s="1317"/>
      <c r="E2803" s="820">
        <v>0.2</v>
      </c>
      <c r="F2803" s="676" t="s">
        <v>850</v>
      </c>
      <c r="G2803" s="670" t="e">
        <f>#REF!</f>
        <v>#REF!</v>
      </c>
      <c r="H2803" s="670" t="e">
        <f>INT(E2803*G2803)</f>
        <v>#REF!</v>
      </c>
      <c r="I2803" s="670"/>
      <c r="J2803" s="670"/>
      <c r="K2803" s="670"/>
      <c r="L2803" s="670"/>
      <c r="M2803" s="670" t="e">
        <f t="shared" si="680"/>
        <v>#REF!</v>
      </c>
      <c r="N2803" s="670" t="e">
        <f t="shared" si="680"/>
        <v>#REF!</v>
      </c>
      <c r="O2803" s="671"/>
      <c r="P2803" s="672"/>
      <c r="Q2803" s="688">
        <f t="shared" si="678"/>
        <v>71.5</v>
      </c>
      <c r="R2803" s="688">
        <f t="shared" si="678"/>
        <v>71.5</v>
      </c>
      <c r="S2803" s="688">
        <v>8</v>
      </c>
      <c r="T2803" s="690">
        <f t="shared" si="679"/>
        <v>0.1119</v>
      </c>
      <c r="U2803" s="690"/>
      <c r="V2803" s="690"/>
    </row>
    <row r="2804" spans="1:22" s="688" customFormat="1" ht="17.100000000000001" customHeight="1">
      <c r="A2804" s="1316" t="s">
        <v>821</v>
      </c>
      <c r="B2804" s="1317"/>
      <c r="C2804" s="1316" t="s">
        <v>2154</v>
      </c>
      <c r="D2804" s="1317"/>
      <c r="E2804" s="820">
        <v>3.3</v>
      </c>
      <c r="F2804" s="676" t="s">
        <v>850</v>
      </c>
      <c r="G2804" s="670" t="e">
        <f>#REF!</f>
        <v>#REF!</v>
      </c>
      <c r="H2804" s="670" t="e">
        <f>INT(E2804*G2804)</f>
        <v>#REF!</v>
      </c>
      <c r="I2804" s="670"/>
      <c r="J2804" s="670"/>
      <c r="K2804" s="670"/>
      <c r="L2804" s="670"/>
      <c r="M2804" s="670" t="e">
        <f t="shared" si="680"/>
        <v>#REF!</v>
      </c>
      <c r="N2804" s="670" t="e">
        <f t="shared" si="680"/>
        <v>#REF!</v>
      </c>
      <c r="O2804" s="671"/>
      <c r="P2804" s="672"/>
      <c r="Q2804" s="688">
        <f t="shared" si="678"/>
        <v>71.5</v>
      </c>
      <c r="R2804" s="688">
        <f t="shared" si="678"/>
        <v>71.5</v>
      </c>
      <c r="S2804" s="688">
        <v>8</v>
      </c>
      <c r="T2804" s="690">
        <f t="shared" si="679"/>
        <v>0.1119</v>
      </c>
      <c r="U2804" s="690"/>
      <c r="V2804" s="690"/>
    </row>
    <row r="2805" spans="1:22" s="688" customFormat="1" ht="17.100000000000001" customHeight="1">
      <c r="A2805" s="1316" t="s">
        <v>540</v>
      </c>
      <c r="B2805" s="1317"/>
      <c r="C2805" s="1316"/>
      <c r="D2805" s="1317"/>
      <c r="E2805" s="683">
        <f>3/(260*0.9)*100</f>
        <v>1.2820512820512819</v>
      </c>
      <c r="F2805" s="676" t="s">
        <v>366</v>
      </c>
      <c r="G2805" s="670"/>
      <c r="H2805" s="670"/>
      <c r="I2805" s="670">
        <f>[53]노임단가!$T$22</f>
        <v>273308</v>
      </c>
      <c r="J2805" s="670">
        <f t="shared" ref="J2805:J2810" si="681">INT(E2805*I2805)</f>
        <v>350394</v>
      </c>
      <c r="K2805" s="670"/>
      <c r="L2805" s="670"/>
      <c r="M2805" s="670">
        <f t="shared" si="680"/>
        <v>273308</v>
      </c>
      <c r="N2805" s="670">
        <f t="shared" si="680"/>
        <v>350394</v>
      </c>
      <c r="O2805" s="671"/>
      <c r="P2805" s="672"/>
      <c r="Q2805" s="688">
        <f t="shared" si="678"/>
        <v>71.5</v>
      </c>
      <c r="R2805" s="688">
        <f t="shared" si="678"/>
        <v>71.5</v>
      </c>
      <c r="S2805" s="688">
        <v>8</v>
      </c>
      <c r="T2805" s="690">
        <f t="shared" si="679"/>
        <v>0.1119</v>
      </c>
      <c r="U2805" s="690"/>
      <c r="V2805" s="690"/>
    </row>
    <row r="2806" spans="1:22" s="688" customFormat="1" ht="17.100000000000001" customHeight="1">
      <c r="A2806" s="1316" t="s">
        <v>628</v>
      </c>
      <c r="B2806" s="1317"/>
      <c r="C2806" s="1316"/>
      <c r="D2806" s="1317"/>
      <c r="E2806" s="683">
        <f>2/(260*0.9)*100</f>
        <v>0.85470085470085477</v>
      </c>
      <c r="F2806" s="676" t="s">
        <v>366</v>
      </c>
      <c r="G2806" s="670"/>
      <c r="H2806" s="670"/>
      <c r="I2806" s="670">
        <f>[53]노임단가!$T$6</f>
        <v>226122</v>
      </c>
      <c r="J2806" s="670">
        <f t="shared" si="681"/>
        <v>193266</v>
      </c>
      <c r="K2806" s="670"/>
      <c r="L2806" s="670"/>
      <c r="M2806" s="670">
        <f t="shared" si="680"/>
        <v>226122</v>
      </c>
      <c r="N2806" s="670">
        <f t="shared" si="680"/>
        <v>193266</v>
      </c>
      <c r="O2806" s="671"/>
      <c r="P2806" s="672"/>
      <c r="Q2806" s="688">
        <f t="shared" si="678"/>
        <v>71.5</v>
      </c>
      <c r="R2806" s="688">
        <f t="shared" si="678"/>
        <v>71.5</v>
      </c>
      <c r="T2806" s="690">
        <f t="shared" si="679"/>
        <v>0</v>
      </c>
      <c r="U2806" s="690"/>
      <c r="V2806" s="690"/>
    </row>
    <row r="2807" spans="1:22" s="688" customFormat="1" ht="17.100000000000001" customHeight="1">
      <c r="A2807" s="1316" t="s">
        <v>248</v>
      </c>
      <c r="B2807" s="1317"/>
      <c r="C2807" s="1316"/>
      <c r="D2807" s="1317"/>
      <c r="E2807" s="683">
        <f>2/(260*0.9)*100</f>
        <v>0.85470085470085477</v>
      </c>
      <c r="F2807" s="676" t="s">
        <v>366</v>
      </c>
      <c r="G2807" s="670"/>
      <c r="H2807" s="670"/>
      <c r="I2807" s="670">
        <f>[53]노임단가!$T$5</f>
        <v>172068</v>
      </c>
      <c r="J2807" s="670">
        <f t="shared" si="681"/>
        <v>147066</v>
      </c>
      <c r="K2807" s="670"/>
      <c r="L2807" s="670"/>
      <c r="M2807" s="670">
        <f t="shared" si="680"/>
        <v>172068</v>
      </c>
      <c r="N2807" s="670">
        <f t="shared" si="680"/>
        <v>147066</v>
      </c>
      <c r="O2807" s="671"/>
      <c r="P2807" s="672"/>
    </row>
    <row r="2808" spans="1:22" s="688" customFormat="1" ht="17.100000000000001" customHeight="1">
      <c r="A2808" s="1316" t="s">
        <v>409</v>
      </c>
      <c r="B2808" s="1317"/>
      <c r="C2808" s="1316" t="s">
        <v>1380</v>
      </c>
      <c r="D2808" s="1317"/>
      <c r="E2808" s="683">
        <f>8/(260*0.9)*100</f>
        <v>3.4188034188034191</v>
      </c>
      <c r="F2808" s="676" t="s">
        <v>418</v>
      </c>
      <c r="G2808" s="670" t="e">
        <f>#REF!</f>
        <v>#REF!</v>
      </c>
      <c r="H2808" s="670" t="e">
        <f>INT(E2808*G2808)</f>
        <v>#REF!</v>
      </c>
      <c r="I2808" s="670" t="e">
        <f>#REF!</f>
        <v>#REF!</v>
      </c>
      <c r="J2808" s="670" t="e">
        <f t="shared" si="681"/>
        <v>#REF!</v>
      </c>
      <c r="K2808" s="670" t="e">
        <f>#REF!</f>
        <v>#REF!</v>
      </c>
      <c r="L2808" s="670" t="e">
        <f>INT(E2808*K2808)</f>
        <v>#REF!</v>
      </c>
      <c r="M2808" s="670" t="e">
        <f t="shared" si="680"/>
        <v>#REF!</v>
      </c>
      <c r="N2808" s="670" t="e">
        <f t="shared" si="680"/>
        <v>#REF!</v>
      </c>
      <c r="O2808" s="671"/>
      <c r="P2808" s="672" t="s">
        <v>1549</v>
      </c>
      <c r="Q2808" s="687" t="s">
        <v>1446</v>
      </c>
      <c r="R2808" s="688" t="s">
        <v>1876</v>
      </c>
      <c r="S2808" s="688" t="s">
        <v>1425</v>
      </c>
      <c r="T2808" s="688" t="s">
        <v>1426</v>
      </c>
    </row>
    <row r="2809" spans="1:22" s="688" customFormat="1" ht="16.5" customHeight="1">
      <c r="A2809" s="1316" t="s">
        <v>465</v>
      </c>
      <c r="B2809" s="1317"/>
      <c r="C2809" s="1316" t="s">
        <v>466</v>
      </c>
      <c r="D2809" s="1317"/>
      <c r="E2809" s="683">
        <f>8/(260*0.9)*100</f>
        <v>3.4188034188034191</v>
      </c>
      <c r="F2809" s="676" t="s">
        <v>418</v>
      </c>
      <c r="G2809" s="670" t="e">
        <f>#REF!</f>
        <v>#REF!</v>
      </c>
      <c r="H2809" s="750" t="e">
        <f>INT(E2809*G2809)</f>
        <v>#REF!</v>
      </c>
      <c r="I2809" s="670" t="e">
        <f>#REF!</f>
        <v>#REF!</v>
      </c>
      <c r="J2809" s="750" t="e">
        <f t="shared" si="681"/>
        <v>#REF!</v>
      </c>
      <c r="K2809" s="670" t="e">
        <f>#REF!</f>
        <v>#REF!</v>
      </c>
      <c r="L2809" s="750" t="e">
        <f>INT(E2809*K2809)</f>
        <v>#REF!</v>
      </c>
      <c r="M2809" s="670" t="e">
        <f t="shared" si="680"/>
        <v>#REF!</v>
      </c>
      <c r="N2809" s="670" t="e">
        <f t="shared" si="680"/>
        <v>#REF!</v>
      </c>
      <c r="O2809" s="671"/>
      <c r="P2809" s="672" t="s">
        <v>2183</v>
      </c>
      <c r="Q2809" s="688">
        <f>110*0.85</f>
        <v>93.5</v>
      </c>
      <c r="R2809" s="688">
        <f>(Q2809)</f>
        <v>93.5</v>
      </c>
      <c r="T2809" s="690">
        <f>ROUND(S2809/R2809,4)</f>
        <v>0</v>
      </c>
      <c r="U2809" s="690"/>
      <c r="V2809" s="690"/>
    </row>
    <row r="2810" spans="1:22" s="688" customFormat="1" ht="17.100000000000001" customHeight="1">
      <c r="A2810" s="1316" t="s">
        <v>641</v>
      </c>
      <c r="B2810" s="1317"/>
      <c r="C2810" s="1316" t="s">
        <v>642</v>
      </c>
      <c r="D2810" s="1317"/>
      <c r="E2810" s="683">
        <f>8/(260*0.9)*100</f>
        <v>3.4188034188034191</v>
      </c>
      <c r="F2810" s="676" t="s">
        <v>418</v>
      </c>
      <c r="G2810" s="670" t="e">
        <f>#REF!</f>
        <v>#REF!</v>
      </c>
      <c r="H2810" s="670" t="e">
        <f>INT(E2810*G2810)</f>
        <v>#REF!</v>
      </c>
      <c r="I2810" s="670" t="e">
        <f>#REF!</f>
        <v>#REF!</v>
      </c>
      <c r="J2810" s="670" t="e">
        <f t="shared" si="681"/>
        <v>#REF!</v>
      </c>
      <c r="K2810" s="670" t="e">
        <f>#REF!</f>
        <v>#REF!</v>
      </c>
      <c r="L2810" s="670" t="e">
        <f>INT(E2810*K2810)</f>
        <v>#REF!</v>
      </c>
      <c r="M2810" s="670" t="e">
        <f t="shared" si="680"/>
        <v>#REF!</v>
      </c>
      <c r="N2810" s="670" t="e">
        <f t="shared" si="680"/>
        <v>#REF!</v>
      </c>
      <c r="O2810" s="671"/>
      <c r="P2810" s="813"/>
      <c r="Q2810" s="688">
        <f>Q2809</f>
        <v>93.5</v>
      </c>
      <c r="R2810" s="688">
        <f>R2809</f>
        <v>93.5</v>
      </c>
      <c r="T2810" s="690">
        <f>ROUND(S2810/R2810,4)</f>
        <v>0</v>
      </c>
      <c r="U2810" s="690"/>
      <c r="V2810" s="690"/>
    </row>
    <row r="2811" spans="1:22" s="688" customFormat="1" ht="17.100000000000001" customHeight="1">
      <c r="A2811" s="1316" t="s">
        <v>2108</v>
      </c>
      <c r="B2811" s="1317"/>
      <c r="C2811" s="1316" t="s">
        <v>1469</v>
      </c>
      <c r="D2811" s="1317"/>
      <c r="E2811" s="675">
        <v>0.05</v>
      </c>
      <c r="F2811" s="676" t="s">
        <v>672</v>
      </c>
      <c r="G2811" s="670"/>
      <c r="H2811" s="670">
        <f>INT(E2811*G2811)</f>
        <v>0</v>
      </c>
      <c r="I2811" s="670"/>
      <c r="J2811" s="670"/>
      <c r="K2811" s="670">
        <f>SUM(J2805:J2807)</f>
        <v>690726</v>
      </c>
      <c r="L2811" s="670">
        <f>INT(E2811*K2811)</f>
        <v>34536</v>
      </c>
      <c r="M2811" s="670">
        <f>G2811+I2811+K2811</f>
        <v>690726</v>
      </c>
      <c r="N2811" s="670">
        <f>H2811+J2811+L2811</f>
        <v>34536</v>
      </c>
      <c r="O2811" s="671"/>
      <c r="P2811" s="672"/>
      <c r="Q2811" s="688">
        <f t="shared" ref="Q2811:R2819" si="682">Q2810</f>
        <v>93.5</v>
      </c>
      <c r="R2811" s="688">
        <f t="shared" si="682"/>
        <v>93.5</v>
      </c>
      <c r="T2811" s="690">
        <f t="shared" ref="T2811:T2819" si="683">ROUND(S2811/R2811,4)</f>
        <v>0</v>
      </c>
      <c r="U2811" s="690"/>
      <c r="V2811" s="690"/>
    </row>
    <row r="2812" spans="1:22" s="688" customFormat="1" ht="17.100000000000001" customHeight="1">
      <c r="A2812" s="1318" t="s">
        <v>1320</v>
      </c>
      <c r="B2812" s="1319"/>
      <c r="C2812" s="1316"/>
      <c r="D2812" s="1317"/>
      <c r="E2812" s="686"/>
      <c r="F2812" s="676"/>
      <c r="G2812" s="670"/>
      <c r="H2812" s="670" t="e">
        <f>SUM(H2801:H2811)</f>
        <v>#REF!</v>
      </c>
      <c r="I2812" s="670"/>
      <c r="J2812" s="670" t="e">
        <f>SUM(J2801:J2811)</f>
        <v>#REF!</v>
      </c>
      <c r="K2812" s="670"/>
      <c r="L2812" s="670" t="e">
        <f>SUM(L2801:L2811)</f>
        <v>#REF!</v>
      </c>
      <c r="M2812" s="670"/>
      <c r="N2812" s="670" t="e">
        <f>SUM(N2801:N2811)</f>
        <v>#REF!</v>
      </c>
      <c r="O2812" s="671"/>
      <c r="P2812" s="812"/>
      <c r="Q2812" s="688">
        <f t="shared" si="682"/>
        <v>93.5</v>
      </c>
      <c r="R2812" s="688">
        <f t="shared" si="682"/>
        <v>93.5</v>
      </c>
      <c r="T2812" s="690">
        <f t="shared" si="683"/>
        <v>0</v>
      </c>
      <c r="U2812" s="690"/>
      <c r="V2812" s="690"/>
    </row>
    <row r="2813" spans="1:22" s="688" customFormat="1" ht="17.100000000000001" customHeight="1">
      <c r="A2813" s="668">
        <f>A2800+1</f>
        <v>397</v>
      </c>
      <c r="B2813" s="1320" t="s">
        <v>2180</v>
      </c>
      <c r="C2813" s="1320"/>
      <c r="D2813" s="1320" t="s">
        <v>2185</v>
      </c>
      <c r="E2813" s="1320"/>
      <c r="F2813" s="669" t="s">
        <v>1458</v>
      </c>
      <c r="G2813" s="698"/>
      <c r="H2813" s="698"/>
      <c r="I2813" s="698"/>
      <c r="J2813" s="698"/>
      <c r="K2813" s="670"/>
      <c r="L2813" s="670"/>
      <c r="M2813" s="670"/>
      <c r="N2813" s="698"/>
      <c r="O2813" s="699" t="s">
        <v>1562</v>
      </c>
      <c r="P2813" s="672"/>
      <c r="Q2813" s="688">
        <f t="shared" si="682"/>
        <v>93.5</v>
      </c>
      <c r="R2813" s="688">
        <f t="shared" si="682"/>
        <v>93.5</v>
      </c>
      <c r="S2813" s="688">
        <v>2</v>
      </c>
      <c r="T2813" s="690">
        <f t="shared" si="683"/>
        <v>2.1399999999999999E-2</v>
      </c>
      <c r="U2813" s="690"/>
      <c r="V2813" s="690"/>
    </row>
    <row r="2814" spans="1:22" s="688" customFormat="1" ht="17.100000000000001" customHeight="1">
      <c r="A2814" s="1316" t="s">
        <v>2176</v>
      </c>
      <c r="B2814" s="1317"/>
      <c r="C2814" s="1316" t="s">
        <v>2177</v>
      </c>
      <c r="D2814" s="1317"/>
      <c r="E2814" s="677">
        <v>1155</v>
      </c>
      <c r="F2814" s="676" t="s">
        <v>30</v>
      </c>
      <c r="G2814" s="670"/>
      <c r="H2814" s="670"/>
      <c r="I2814" s="670"/>
      <c r="J2814" s="670"/>
      <c r="K2814" s="670"/>
      <c r="L2814" s="670"/>
      <c r="M2814" s="670"/>
      <c r="N2814" s="670"/>
      <c r="O2814" s="671"/>
      <c r="P2814" s="672"/>
      <c r="Q2814" s="688">
        <f t="shared" si="682"/>
        <v>93.5</v>
      </c>
      <c r="R2814" s="688">
        <f t="shared" si="682"/>
        <v>93.5</v>
      </c>
      <c r="S2814" s="688">
        <v>1</v>
      </c>
      <c r="T2814" s="690">
        <f t="shared" si="683"/>
        <v>1.0699999999999999E-2</v>
      </c>
      <c r="U2814" s="690"/>
      <c r="V2814" s="690"/>
    </row>
    <row r="2815" spans="1:22" s="688" customFormat="1" ht="17.100000000000001" customHeight="1">
      <c r="A2815" s="1316" t="s">
        <v>2176</v>
      </c>
      <c r="B2815" s="1317"/>
      <c r="C2815" s="1316" t="s">
        <v>1761</v>
      </c>
      <c r="D2815" s="1317"/>
      <c r="E2815" s="677">
        <v>1155</v>
      </c>
      <c r="F2815" s="676" t="s">
        <v>30</v>
      </c>
      <c r="G2815" s="670"/>
      <c r="H2815" s="670"/>
      <c r="I2815" s="670"/>
      <c r="J2815" s="670"/>
      <c r="K2815" s="670">
        <f>[53]운반공!$BO$634</f>
        <v>45</v>
      </c>
      <c r="L2815" s="670">
        <f>INT(E2815*K2815)</f>
        <v>51975</v>
      </c>
      <c r="M2815" s="670">
        <f t="shared" ref="M2815:N2823" si="684">G2815+I2815+K2815</f>
        <v>45</v>
      </c>
      <c r="N2815" s="670">
        <f t="shared" si="684"/>
        <v>51975</v>
      </c>
      <c r="O2815" s="671"/>
      <c r="P2815" s="672"/>
      <c r="Q2815" s="688">
        <f t="shared" si="682"/>
        <v>93.5</v>
      </c>
      <c r="R2815" s="688">
        <f t="shared" si="682"/>
        <v>93.5</v>
      </c>
      <c r="S2815" s="688">
        <v>1</v>
      </c>
      <c r="T2815" s="690">
        <f t="shared" si="683"/>
        <v>1.0699999999999999E-2</v>
      </c>
      <c r="U2815" s="690"/>
      <c r="V2815" s="690"/>
    </row>
    <row r="2816" spans="1:22" s="688" customFormat="1" ht="17.100000000000001" customHeight="1">
      <c r="A2816" s="1316" t="s">
        <v>2152</v>
      </c>
      <c r="B2816" s="1317"/>
      <c r="C2816" s="1316" t="s">
        <v>2178</v>
      </c>
      <c r="D2816" s="1317"/>
      <c r="E2816" s="820">
        <v>0.2</v>
      </c>
      <c r="F2816" s="676" t="s">
        <v>850</v>
      </c>
      <c r="G2816" s="670" t="e">
        <f>#REF!</f>
        <v>#REF!</v>
      </c>
      <c r="H2816" s="670" t="e">
        <f>INT(E2816*G2816)</f>
        <v>#REF!</v>
      </c>
      <c r="I2816" s="670"/>
      <c r="J2816" s="670"/>
      <c r="K2816" s="670"/>
      <c r="L2816" s="670"/>
      <c r="M2816" s="670" t="e">
        <f t="shared" si="684"/>
        <v>#REF!</v>
      </c>
      <c r="N2816" s="670" t="e">
        <f t="shared" si="684"/>
        <v>#REF!</v>
      </c>
      <c r="O2816" s="671"/>
      <c r="P2816" s="672"/>
      <c r="Q2816" s="688">
        <f t="shared" si="682"/>
        <v>93.5</v>
      </c>
      <c r="R2816" s="688">
        <f t="shared" si="682"/>
        <v>93.5</v>
      </c>
      <c r="S2816" s="688">
        <v>8</v>
      </c>
      <c r="T2816" s="690">
        <f t="shared" si="683"/>
        <v>8.5599999999999996E-2</v>
      </c>
      <c r="U2816" s="690"/>
      <c r="V2816" s="690"/>
    </row>
    <row r="2817" spans="1:22" s="688" customFormat="1" ht="17.100000000000001" customHeight="1">
      <c r="A2817" s="1316" t="s">
        <v>821</v>
      </c>
      <c r="B2817" s="1317"/>
      <c r="C2817" s="1316" t="s">
        <v>2154</v>
      </c>
      <c r="D2817" s="1317"/>
      <c r="E2817" s="820">
        <v>3.3</v>
      </c>
      <c r="F2817" s="676" t="s">
        <v>850</v>
      </c>
      <c r="G2817" s="670" t="e">
        <f>#REF!</f>
        <v>#REF!</v>
      </c>
      <c r="H2817" s="670" t="e">
        <f>INT(E2817*G2817)</f>
        <v>#REF!</v>
      </c>
      <c r="I2817" s="670"/>
      <c r="J2817" s="670"/>
      <c r="K2817" s="670"/>
      <c r="L2817" s="670"/>
      <c r="M2817" s="670" t="e">
        <f t="shared" si="684"/>
        <v>#REF!</v>
      </c>
      <c r="N2817" s="670" t="e">
        <f t="shared" si="684"/>
        <v>#REF!</v>
      </c>
      <c r="O2817" s="671"/>
      <c r="P2817" s="672"/>
      <c r="Q2817" s="688">
        <f t="shared" si="682"/>
        <v>93.5</v>
      </c>
      <c r="R2817" s="688">
        <f t="shared" si="682"/>
        <v>93.5</v>
      </c>
      <c r="S2817" s="688">
        <v>8</v>
      </c>
      <c r="T2817" s="690">
        <f t="shared" si="683"/>
        <v>8.5599999999999996E-2</v>
      </c>
      <c r="U2817" s="690"/>
      <c r="V2817" s="690"/>
    </row>
    <row r="2818" spans="1:22" s="688" customFormat="1" ht="17.100000000000001" customHeight="1">
      <c r="A2818" s="1316" t="s">
        <v>540</v>
      </c>
      <c r="B2818" s="1317"/>
      <c r="C2818" s="1316"/>
      <c r="D2818" s="1317"/>
      <c r="E2818" s="683">
        <f>2/(180*0.9)*100</f>
        <v>1.2345679012345678</v>
      </c>
      <c r="F2818" s="676" t="s">
        <v>366</v>
      </c>
      <c r="G2818" s="670"/>
      <c r="H2818" s="670"/>
      <c r="I2818" s="670">
        <f>[53]노임단가!$T$22</f>
        <v>273308</v>
      </c>
      <c r="J2818" s="670">
        <f t="shared" ref="J2818:J2823" si="685">INT(E2818*I2818)</f>
        <v>337417</v>
      </c>
      <c r="K2818" s="670"/>
      <c r="L2818" s="670"/>
      <c r="M2818" s="670">
        <f t="shared" si="684"/>
        <v>273308</v>
      </c>
      <c r="N2818" s="670">
        <f t="shared" si="684"/>
        <v>337417</v>
      </c>
      <c r="O2818" s="671"/>
      <c r="P2818" s="672"/>
      <c r="Q2818" s="688">
        <f t="shared" si="682"/>
        <v>93.5</v>
      </c>
      <c r="R2818" s="688">
        <f t="shared" si="682"/>
        <v>93.5</v>
      </c>
      <c r="S2818" s="688">
        <v>8</v>
      </c>
      <c r="T2818" s="690">
        <f t="shared" si="683"/>
        <v>8.5599999999999996E-2</v>
      </c>
      <c r="U2818" s="690"/>
      <c r="V2818" s="690"/>
    </row>
    <row r="2819" spans="1:22" s="688" customFormat="1" ht="17.100000000000001" customHeight="1">
      <c r="A2819" s="1316" t="s">
        <v>628</v>
      </c>
      <c r="B2819" s="1317"/>
      <c r="C2819" s="1316"/>
      <c r="D2819" s="1317"/>
      <c r="E2819" s="683">
        <f>2/(180*0.9)*100</f>
        <v>1.2345679012345678</v>
      </c>
      <c r="F2819" s="676" t="s">
        <v>366</v>
      </c>
      <c r="G2819" s="670"/>
      <c r="H2819" s="670"/>
      <c r="I2819" s="670">
        <f>[53]노임단가!$T$6</f>
        <v>226122</v>
      </c>
      <c r="J2819" s="670">
        <f t="shared" si="685"/>
        <v>279162</v>
      </c>
      <c r="K2819" s="670"/>
      <c r="L2819" s="670"/>
      <c r="M2819" s="670">
        <f t="shared" si="684"/>
        <v>226122</v>
      </c>
      <c r="N2819" s="670">
        <f t="shared" si="684"/>
        <v>279162</v>
      </c>
      <c r="O2819" s="671"/>
      <c r="P2819" s="672"/>
      <c r="Q2819" s="688">
        <f t="shared" si="682"/>
        <v>93.5</v>
      </c>
      <c r="R2819" s="688">
        <f t="shared" si="682"/>
        <v>93.5</v>
      </c>
      <c r="T2819" s="690">
        <f t="shared" si="683"/>
        <v>0</v>
      </c>
      <c r="U2819" s="690"/>
      <c r="V2819" s="690"/>
    </row>
    <row r="2820" spans="1:22" s="688" customFormat="1" ht="17.100000000000001" customHeight="1">
      <c r="A2820" s="1316" t="s">
        <v>248</v>
      </c>
      <c r="B2820" s="1317"/>
      <c r="C2820" s="1316"/>
      <c r="D2820" s="1317"/>
      <c r="E2820" s="683">
        <f>1/(180*0.9)*100</f>
        <v>0.61728395061728392</v>
      </c>
      <c r="F2820" s="676" t="s">
        <v>366</v>
      </c>
      <c r="G2820" s="670"/>
      <c r="H2820" s="670"/>
      <c r="I2820" s="670">
        <f>[53]노임단가!$T$5</f>
        <v>172068</v>
      </c>
      <c r="J2820" s="670">
        <f t="shared" si="685"/>
        <v>106214</v>
      </c>
      <c r="K2820" s="670"/>
      <c r="L2820" s="670"/>
      <c r="M2820" s="670">
        <f t="shared" si="684"/>
        <v>172068</v>
      </c>
      <c r="N2820" s="670">
        <f t="shared" si="684"/>
        <v>106214</v>
      </c>
      <c r="O2820" s="671"/>
      <c r="P2820" s="672"/>
    </row>
    <row r="2821" spans="1:22" s="688" customFormat="1" ht="17.100000000000001" customHeight="1">
      <c r="A2821" s="1316" t="s">
        <v>409</v>
      </c>
      <c r="B2821" s="1317"/>
      <c r="C2821" s="1316" t="s">
        <v>2147</v>
      </c>
      <c r="D2821" s="1317"/>
      <c r="E2821" s="683">
        <f>8/(180*0.9)*100</f>
        <v>4.9382716049382713</v>
      </c>
      <c r="F2821" s="676" t="s">
        <v>418</v>
      </c>
      <c r="G2821" s="670" t="e">
        <f>#REF!</f>
        <v>#REF!</v>
      </c>
      <c r="H2821" s="670" t="e">
        <f>INT(E2821*G2821)</f>
        <v>#REF!</v>
      </c>
      <c r="I2821" s="670" t="e">
        <f>#REF!</f>
        <v>#REF!</v>
      </c>
      <c r="J2821" s="670" t="e">
        <f t="shared" si="685"/>
        <v>#REF!</v>
      </c>
      <c r="K2821" s="670" t="e">
        <f>#REF!</f>
        <v>#REF!</v>
      </c>
      <c r="L2821" s="670" t="e">
        <f>INT(E2821*K2821)</f>
        <v>#REF!</v>
      </c>
      <c r="M2821" s="670" t="e">
        <f t="shared" si="684"/>
        <v>#REF!</v>
      </c>
      <c r="N2821" s="670" t="e">
        <f t="shared" si="684"/>
        <v>#REF!</v>
      </c>
      <c r="O2821" s="671"/>
      <c r="P2821" s="672" t="s">
        <v>1549</v>
      </c>
      <c r="Q2821" s="687" t="s">
        <v>1446</v>
      </c>
      <c r="R2821" s="688" t="s">
        <v>1876</v>
      </c>
      <c r="S2821" s="688" t="s">
        <v>1425</v>
      </c>
      <c r="T2821" s="688" t="s">
        <v>1426</v>
      </c>
    </row>
    <row r="2822" spans="1:22" s="688" customFormat="1" ht="16.5" customHeight="1">
      <c r="A2822" s="1316" t="s">
        <v>465</v>
      </c>
      <c r="B2822" s="1317"/>
      <c r="C2822" s="1316" t="s">
        <v>466</v>
      </c>
      <c r="D2822" s="1317"/>
      <c r="E2822" s="683">
        <f>8/(180*0.9)*100</f>
        <v>4.9382716049382713</v>
      </c>
      <c r="F2822" s="676" t="s">
        <v>418</v>
      </c>
      <c r="G2822" s="670" t="e">
        <f>#REF!</f>
        <v>#REF!</v>
      </c>
      <c r="H2822" s="750" t="e">
        <f>INT(E2822*G2822)</f>
        <v>#REF!</v>
      </c>
      <c r="I2822" s="670" t="e">
        <f>#REF!</f>
        <v>#REF!</v>
      </c>
      <c r="J2822" s="750" t="e">
        <f t="shared" si="685"/>
        <v>#REF!</v>
      </c>
      <c r="K2822" s="670" t="e">
        <f>#REF!</f>
        <v>#REF!</v>
      </c>
      <c r="L2822" s="750" t="e">
        <f>INT(E2822*K2822)</f>
        <v>#REF!</v>
      </c>
      <c r="M2822" s="670" t="e">
        <f t="shared" si="684"/>
        <v>#REF!</v>
      </c>
      <c r="N2822" s="670" t="e">
        <f t="shared" si="684"/>
        <v>#REF!</v>
      </c>
      <c r="O2822" s="671"/>
      <c r="P2822" s="672" t="s">
        <v>2183</v>
      </c>
      <c r="Q2822" s="688">
        <f>110*0.95</f>
        <v>104.5</v>
      </c>
      <c r="R2822" s="688">
        <f>(Q2822)</f>
        <v>104.5</v>
      </c>
      <c r="T2822" s="690">
        <f>ROUND(S2822/R2822,4)</f>
        <v>0</v>
      </c>
      <c r="U2822" s="690"/>
      <c r="V2822" s="690"/>
    </row>
    <row r="2823" spans="1:22" s="688" customFormat="1" ht="17.100000000000001" customHeight="1">
      <c r="A2823" s="1316" t="s">
        <v>641</v>
      </c>
      <c r="B2823" s="1317"/>
      <c r="C2823" s="1316" t="s">
        <v>642</v>
      </c>
      <c r="D2823" s="1317"/>
      <c r="E2823" s="683">
        <f>8/(180*0.9)*100</f>
        <v>4.9382716049382713</v>
      </c>
      <c r="F2823" s="676" t="s">
        <v>418</v>
      </c>
      <c r="G2823" s="670" t="e">
        <f>#REF!</f>
        <v>#REF!</v>
      </c>
      <c r="H2823" s="670" t="e">
        <f>INT(E2823*G2823)</f>
        <v>#REF!</v>
      </c>
      <c r="I2823" s="670" t="e">
        <f>#REF!</f>
        <v>#REF!</v>
      </c>
      <c r="J2823" s="670" t="e">
        <f t="shared" si="685"/>
        <v>#REF!</v>
      </c>
      <c r="K2823" s="670" t="e">
        <f>#REF!</f>
        <v>#REF!</v>
      </c>
      <c r="L2823" s="670" t="e">
        <f>INT(E2823*K2823)</f>
        <v>#REF!</v>
      </c>
      <c r="M2823" s="670" t="e">
        <f t="shared" si="684"/>
        <v>#REF!</v>
      </c>
      <c r="N2823" s="670" t="e">
        <f t="shared" si="684"/>
        <v>#REF!</v>
      </c>
      <c r="O2823" s="671"/>
      <c r="P2823" s="813"/>
      <c r="Q2823" s="688">
        <f>Q2822</f>
        <v>104.5</v>
      </c>
      <c r="R2823" s="688">
        <f>R2822</f>
        <v>104.5</v>
      </c>
      <c r="T2823" s="690">
        <f>ROUND(S2823/R2823,4)</f>
        <v>0</v>
      </c>
      <c r="U2823" s="690"/>
      <c r="V2823" s="690"/>
    </row>
    <row r="2824" spans="1:22" s="688" customFormat="1" ht="17.100000000000001" customHeight="1">
      <c r="A2824" s="1316" t="s">
        <v>2108</v>
      </c>
      <c r="B2824" s="1317"/>
      <c r="C2824" s="1316" t="s">
        <v>1469</v>
      </c>
      <c r="D2824" s="1317"/>
      <c r="E2824" s="675">
        <v>0.05</v>
      </c>
      <c r="F2824" s="676" t="s">
        <v>672</v>
      </c>
      <c r="G2824" s="670"/>
      <c r="H2824" s="670">
        <f>INT(E2824*G2824)</f>
        <v>0</v>
      </c>
      <c r="I2824" s="670"/>
      <c r="J2824" s="670"/>
      <c r="K2824" s="670">
        <f>SUM(J2818:J2820)</f>
        <v>722793</v>
      </c>
      <c r="L2824" s="670">
        <f>INT(E2824*K2824)</f>
        <v>36139</v>
      </c>
      <c r="M2824" s="670">
        <f>G2824+I2824+K2824</f>
        <v>722793</v>
      </c>
      <c r="N2824" s="670">
        <f>H2824+J2824+L2824</f>
        <v>36139</v>
      </c>
      <c r="O2824" s="671"/>
      <c r="P2824" s="672"/>
      <c r="Q2824" s="688">
        <f t="shared" ref="Q2824:R2832" si="686">Q2823</f>
        <v>104.5</v>
      </c>
      <c r="R2824" s="688">
        <f t="shared" si="686"/>
        <v>104.5</v>
      </c>
      <c r="T2824" s="690">
        <f t="shared" ref="T2824:T2832" si="687">ROUND(S2824/R2824,4)</f>
        <v>0</v>
      </c>
      <c r="U2824" s="690"/>
      <c r="V2824" s="690"/>
    </row>
    <row r="2825" spans="1:22" s="688" customFormat="1" ht="17.100000000000001" customHeight="1">
      <c r="A2825" s="1318" t="s">
        <v>1320</v>
      </c>
      <c r="B2825" s="1319"/>
      <c r="C2825" s="1316"/>
      <c r="D2825" s="1317"/>
      <c r="E2825" s="686"/>
      <c r="F2825" s="676"/>
      <c r="G2825" s="670"/>
      <c r="H2825" s="670" t="e">
        <f>SUM(H2814:H2824)</f>
        <v>#REF!</v>
      </c>
      <c r="I2825" s="670"/>
      <c r="J2825" s="670" t="e">
        <f>SUM(J2814:J2824)</f>
        <v>#REF!</v>
      </c>
      <c r="K2825" s="670"/>
      <c r="L2825" s="670" t="e">
        <f>SUM(L2814:L2824)</f>
        <v>#REF!</v>
      </c>
      <c r="M2825" s="670"/>
      <c r="N2825" s="670" t="e">
        <f>SUM(N2814:N2824)</f>
        <v>#REF!</v>
      </c>
      <c r="O2825" s="671"/>
      <c r="P2825" s="812"/>
      <c r="Q2825" s="688">
        <f t="shared" si="686"/>
        <v>104.5</v>
      </c>
      <c r="R2825" s="688">
        <f t="shared" si="686"/>
        <v>104.5</v>
      </c>
      <c r="T2825" s="690">
        <f t="shared" si="687"/>
        <v>0</v>
      </c>
      <c r="U2825" s="690"/>
      <c r="V2825" s="690"/>
    </row>
    <row r="2826" spans="1:22" s="688" customFormat="1" ht="17.100000000000001" customHeight="1">
      <c r="A2826" s="668">
        <f>A2813+1</f>
        <v>398</v>
      </c>
      <c r="B2826" s="1320" t="s">
        <v>2186</v>
      </c>
      <c r="C2826" s="1320"/>
      <c r="D2826" s="1320" t="s">
        <v>2187</v>
      </c>
      <c r="E2826" s="1320"/>
      <c r="F2826" s="669" t="s">
        <v>645</v>
      </c>
      <c r="G2826" s="698"/>
      <c r="H2826" s="698"/>
      <c r="I2826" s="698"/>
      <c r="J2826" s="698"/>
      <c r="K2826" s="670"/>
      <c r="L2826" s="670"/>
      <c r="M2826" s="670"/>
      <c r="N2826" s="698"/>
      <c r="O2826" s="699" t="s">
        <v>1562</v>
      </c>
      <c r="P2826" s="672"/>
      <c r="Q2826" s="688">
        <f t="shared" si="686"/>
        <v>104.5</v>
      </c>
      <c r="R2826" s="688">
        <f t="shared" si="686"/>
        <v>104.5</v>
      </c>
      <c r="S2826" s="688">
        <v>2</v>
      </c>
      <c r="T2826" s="690">
        <f t="shared" si="687"/>
        <v>1.9099999999999999E-2</v>
      </c>
      <c r="U2826" s="690"/>
      <c r="V2826" s="690"/>
    </row>
    <row r="2827" spans="1:22" s="688" customFormat="1" ht="17.100000000000001" customHeight="1">
      <c r="A2827" s="1316" t="s">
        <v>2150</v>
      </c>
      <c r="B2827" s="1317"/>
      <c r="C2827" s="1316" t="s">
        <v>2151</v>
      </c>
      <c r="D2827" s="1317"/>
      <c r="E2827" s="675">
        <v>1.04</v>
      </c>
      <c r="F2827" s="676" t="s">
        <v>645</v>
      </c>
      <c r="G2827" s="670"/>
      <c r="H2827" s="670"/>
      <c r="I2827" s="670"/>
      <c r="J2827" s="670"/>
      <c r="K2827" s="670"/>
      <c r="L2827" s="670"/>
      <c r="M2827" s="670"/>
      <c r="N2827" s="670"/>
      <c r="O2827" s="671"/>
      <c r="P2827" s="672"/>
      <c r="Q2827" s="688">
        <f t="shared" si="686"/>
        <v>104.5</v>
      </c>
      <c r="R2827" s="688">
        <f t="shared" si="686"/>
        <v>104.5</v>
      </c>
      <c r="S2827" s="688">
        <v>1</v>
      </c>
      <c r="T2827" s="690">
        <f t="shared" si="687"/>
        <v>9.5999999999999992E-3</v>
      </c>
      <c r="U2827" s="690"/>
      <c r="V2827" s="690"/>
    </row>
    <row r="2828" spans="1:22" s="688" customFormat="1" ht="17.100000000000001" customHeight="1">
      <c r="A2828" s="1369" t="s">
        <v>2133</v>
      </c>
      <c r="B2828" s="1365"/>
      <c r="C2828" s="1369" t="s">
        <v>1761</v>
      </c>
      <c r="D2828" s="1365"/>
      <c r="E2828" s="821">
        <v>1.04</v>
      </c>
      <c r="F2828" s="815" t="s">
        <v>645</v>
      </c>
      <c r="G2828" s="816"/>
      <c r="H2828" s="816"/>
      <c r="I2828" s="816"/>
      <c r="J2828" s="816"/>
      <c r="K2828" s="816">
        <f>[53]운반공!$BO$628</f>
        <v>518</v>
      </c>
      <c r="L2828" s="816">
        <f>INT(E2828*K2828)</f>
        <v>538</v>
      </c>
      <c r="M2828" s="816">
        <f t="shared" ref="M2828:N2836" si="688">G2828+I2828+K2828</f>
        <v>518</v>
      </c>
      <c r="N2828" s="816">
        <f t="shared" si="688"/>
        <v>538</v>
      </c>
      <c r="O2828" s="817"/>
      <c r="P2828" s="672"/>
      <c r="Q2828" s="688">
        <f t="shared" si="686"/>
        <v>104.5</v>
      </c>
      <c r="R2828" s="688">
        <f t="shared" si="686"/>
        <v>104.5</v>
      </c>
      <c r="S2828" s="688">
        <v>1</v>
      </c>
      <c r="T2828" s="690">
        <f t="shared" si="687"/>
        <v>9.5999999999999992E-3</v>
      </c>
      <c r="U2828" s="690"/>
      <c r="V2828" s="690"/>
    </row>
    <row r="2829" spans="1:22" s="688" customFormat="1" ht="17.100000000000001" customHeight="1">
      <c r="A2829" s="1316" t="s">
        <v>2152</v>
      </c>
      <c r="B2829" s="1317"/>
      <c r="C2829" s="1316" t="s">
        <v>2153</v>
      </c>
      <c r="D2829" s="1317"/>
      <c r="E2829" s="683">
        <v>2.0999999999999999E-3</v>
      </c>
      <c r="F2829" s="676" t="s">
        <v>850</v>
      </c>
      <c r="G2829" s="670" t="e">
        <f>#REF!</f>
        <v>#REF!</v>
      </c>
      <c r="H2829" s="670" t="e">
        <f>INT(E2829*G2829)</f>
        <v>#REF!</v>
      </c>
      <c r="I2829" s="670"/>
      <c r="J2829" s="670"/>
      <c r="K2829" s="670"/>
      <c r="L2829" s="670"/>
      <c r="M2829" s="670" t="e">
        <f t="shared" si="688"/>
        <v>#REF!</v>
      </c>
      <c r="N2829" s="670" t="e">
        <f t="shared" si="688"/>
        <v>#REF!</v>
      </c>
      <c r="O2829" s="671"/>
      <c r="P2829" s="672"/>
      <c r="Q2829" s="688">
        <f t="shared" si="686"/>
        <v>104.5</v>
      </c>
      <c r="R2829" s="688">
        <f t="shared" si="686"/>
        <v>104.5</v>
      </c>
      <c r="S2829" s="688">
        <v>8</v>
      </c>
      <c r="T2829" s="690">
        <f t="shared" si="687"/>
        <v>7.6600000000000001E-2</v>
      </c>
      <c r="U2829" s="690"/>
      <c r="V2829" s="690"/>
    </row>
    <row r="2830" spans="1:22" s="688" customFormat="1" ht="17.100000000000001" customHeight="1">
      <c r="A2830" s="1316" t="s">
        <v>821</v>
      </c>
      <c r="B2830" s="1317"/>
      <c r="C2830" s="1316" t="s">
        <v>2154</v>
      </c>
      <c r="D2830" s="1317"/>
      <c r="E2830" s="701">
        <v>3.3000000000000002E-2</v>
      </c>
      <c r="F2830" s="676" t="s">
        <v>850</v>
      </c>
      <c r="G2830" s="670" t="e">
        <f>#REF!</f>
        <v>#REF!</v>
      </c>
      <c r="H2830" s="670" t="e">
        <f>INT(E2830*G2830)</f>
        <v>#REF!</v>
      </c>
      <c r="I2830" s="670"/>
      <c r="J2830" s="670"/>
      <c r="K2830" s="670"/>
      <c r="L2830" s="670"/>
      <c r="M2830" s="670" t="e">
        <f t="shared" si="688"/>
        <v>#REF!</v>
      </c>
      <c r="N2830" s="670" t="e">
        <f t="shared" si="688"/>
        <v>#REF!</v>
      </c>
      <c r="O2830" s="671"/>
      <c r="P2830" s="672"/>
      <c r="Q2830" s="688">
        <f t="shared" si="686"/>
        <v>104.5</v>
      </c>
      <c r="R2830" s="688">
        <f t="shared" si="686"/>
        <v>104.5</v>
      </c>
      <c r="S2830" s="688">
        <v>8</v>
      </c>
      <c r="T2830" s="690">
        <f t="shared" si="687"/>
        <v>7.6600000000000001E-2</v>
      </c>
      <c r="U2830" s="690"/>
      <c r="V2830" s="690"/>
    </row>
    <row r="2831" spans="1:22" s="688" customFormat="1" ht="17.100000000000001" customHeight="1">
      <c r="A2831" s="1316" t="s">
        <v>540</v>
      </c>
      <c r="B2831" s="1317"/>
      <c r="C2831" s="1316"/>
      <c r="D2831" s="1317"/>
      <c r="E2831" s="683">
        <f t="shared" ref="E2831:E2836" si="689">T2800</f>
        <v>2.8000000000000001E-2</v>
      </c>
      <c r="F2831" s="676" t="s">
        <v>366</v>
      </c>
      <c r="G2831" s="670"/>
      <c r="H2831" s="670"/>
      <c r="I2831" s="670">
        <f>[53]노임단가!$T$22</f>
        <v>273308</v>
      </c>
      <c r="J2831" s="670">
        <f t="shared" ref="J2831:J2836" si="690">INT(E2831*I2831)</f>
        <v>7652</v>
      </c>
      <c r="K2831" s="670"/>
      <c r="L2831" s="670"/>
      <c r="M2831" s="670">
        <f t="shared" si="688"/>
        <v>273308</v>
      </c>
      <c r="N2831" s="670">
        <f t="shared" si="688"/>
        <v>7652</v>
      </c>
      <c r="O2831" s="671"/>
      <c r="P2831" s="672"/>
      <c r="Q2831" s="688">
        <f t="shared" si="686"/>
        <v>104.5</v>
      </c>
      <c r="R2831" s="688">
        <f t="shared" si="686"/>
        <v>104.5</v>
      </c>
      <c r="S2831" s="688">
        <v>8</v>
      </c>
      <c r="T2831" s="690">
        <f t="shared" si="687"/>
        <v>7.6600000000000001E-2</v>
      </c>
      <c r="U2831" s="690"/>
      <c r="V2831" s="690"/>
    </row>
    <row r="2832" spans="1:22" s="688" customFormat="1" ht="17.100000000000001" customHeight="1">
      <c r="A2832" s="1316" t="s">
        <v>628</v>
      </c>
      <c r="B2832" s="1317"/>
      <c r="C2832" s="1316"/>
      <c r="D2832" s="1317"/>
      <c r="E2832" s="683">
        <f t="shared" si="689"/>
        <v>1.4E-2</v>
      </c>
      <c r="F2832" s="676" t="s">
        <v>366</v>
      </c>
      <c r="G2832" s="670"/>
      <c r="H2832" s="670"/>
      <c r="I2832" s="670">
        <f>[53]노임단가!$T$6</f>
        <v>226122</v>
      </c>
      <c r="J2832" s="670">
        <f t="shared" si="690"/>
        <v>3165</v>
      </c>
      <c r="K2832" s="670"/>
      <c r="L2832" s="670"/>
      <c r="M2832" s="670">
        <f t="shared" si="688"/>
        <v>226122</v>
      </c>
      <c r="N2832" s="670">
        <f t="shared" si="688"/>
        <v>3165</v>
      </c>
      <c r="O2832" s="671"/>
      <c r="P2832" s="672"/>
      <c r="Q2832" s="688">
        <f t="shared" si="686"/>
        <v>104.5</v>
      </c>
      <c r="R2832" s="688">
        <f t="shared" si="686"/>
        <v>104.5</v>
      </c>
      <c r="T2832" s="690">
        <f t="shared" si="687"/>
        <v>0</v>
      </c>
      <c r="U2832" s="690"/>
      <c r="V2832" s="690"/>
    </row>
    <row r="2833" spans="1:22" s="688" customFormat="1" ht="17.100000000000001" customHeight="1">
      <c r="A2833" s="1316" t="s">
        <v>248</v>
      </c>
      <c r="B2833" s="1317"/>
      <c r="C2833" s="1316"/>
      <c r="D2833" s="1317"/>
      <c r="E2833" s="683">
        <f t="shared" si="689"/>
        <v>1.4E-2</v>
      </c>
      <c r="F2833" s="676" t="s">
        <v>366</v>
      </c>
      <c r="G2833" s="670"/>
      <c r="H2833" s="670"/>
      <c r="I2833" s="670">
        <f>[53]노임단가!$T$5</f>
        <v>172068</v>
      </c>
      <c r="J2833" s="670">
        <f t="shared" si="690"/>
        <v>2408</v>
      </c>
      <c r="K2833" s="670"/>
      <c r="L2833" s="670"/>
      <c r="M2833" s="670">
        <f t="shared" si="688"/>
        <v>172068</v>
      </c>
      <c r="N2833" s="670">
        <f t="shared" si="688"/>
        <v>2408</v>
      </c>
      <c r="O2833" s="671"/>
      <c r="P2833" s="672"/>
    </row>
    <row r="2834" spans="1:22" s="688" customFormat="1" ht="17.100000000000001" customHeight="1">
      <c r="A2834" s="1316" t="s">
        <v>409</v>
      </c>
      <c r="B2834" s="1317"/>
      <c r="C2834" s="1316" t="s">
        <v>1380</v>
      </c>
      <c r="D2834" s="1317"/>
      <c r="E2834" s="683">
        <f t="shared" si="689"/>
        <v>0.1119</v>
      </c>
      <c r="F2834" s="676" t="s">
        <v>418</v>
      </c>
      <c r="G2834" s="670" t="e">
        <f>#REF!</f>
        <v>#REF!</v>
      </c>
      <c r="H2834" s="670" t="e">
        <f>INT(E2834*G2834)</f>
        <v>#REF!</v>
      </c>
      <c r="I2834" s="670" t="e">
        <f>#REF!</f>
        <v>#REF!</v>
      </c>
      <c r="J2834" s="670" t="e">
        <f t="shared" si="690"/>
        <v>#REF!</v>
      </c>
      <c r="K2834" s="670" t="e">
        <f>#REF!</f>
        <v>#REF!</v>
      </c>
      <c r="L2834" s="670" t="e">
        <f>INT(E2834*K2834)</f>
        <v>#REF!</v>
      </c>
      <c r="M2834" s="670" t="e">
        <f t="shared" si="688"/>
        <v>#REF!</v>
      </c>
      <c r="N2834" s="670" t="e">
        <f t="shared" si="688"/>
        <v>#REF!</v>
      </c>
      <c r="O2834" s="671"/>
      <c r="P2834" s="672" t="s">
        <v>1549</v>
      </c>
      <c r="Q2834" s="687" t="s">
        <v>1446</v>
      </c>
      <c r="R2834" s="688" t="s">
        <v>1876</v>
      </c>
      <c r="S2834" s="688" t="s">
        <v>1425</v>
      </c>
      <c r="T2834" s="688" t="s">
        <v>1426</v>
      </c>
    </row>
    <row r="2835" spans="1:22" s="688" customFormat="1" ht="16.5" customHeight="1">
      <c r="A2835" s="1316" t="s">
        <v>465</v>
      </c>
      <c r="B2835" s="1317"/>
      <c r="C2835" s="1316" t="s">
        <v>466</v>
      </c>
      <c r="D2835" s="1317"/>
      <c r="E2835" s="683">
        <f t="shared" si="689"/>
        <v>0.1119</v>
      </c>
      <c r="F2835" s="676" t="s">
        <v>418</v>
      </c>
      <c r="G2835" s="670" t="e">
        <f>#REF!</f>
        <v>#REF!</v>
      </c>
      <c r="H2835" s="750" t="e">
        <f>INT(E2835*G2835)</f>
        <v>#REF!</v>
      </c>
      <c r="I2835" s="670" t="e">
        <f>#REF!</f>
        <v>#REF!</v>
      </c>
      <c r="J2835" s="750" t="e">
        <f t="shared" si="690"/>
        <v>#REF!</v>
      </c>
      <c r="K2835" s="670" t="e">
        <f>#REF!</f>
        <v>#REF!</v>
      </c>
      <c r="L2835" s="750" t="e">
        <f>INT(E2835*K2835)</f>
        <v>#REF!</v>
      </c>
      <c r="M2835" s="670" t="e">
        <f t="shared" si="688"/>
        <v>#REF!</v>
      </c>
      <c r="N2835" s="670" t="e">
        <f t="shared" si="688"/>
        <v>#REF!</v>
      </c>
      <c r="O2835" s="671"/>
      <c r="P2835" s="672" t="s">
        <v>2183</v>
      </c>
      <c r="Q2835" s="688">
        <f>110</f>
        <v>110</v>
      </c>
      <c r="R2835" s="688">
        <f>(Q2835)</f>
        <v>110</v>
      </c>
      <c r="T2835" s="690">
        <f>ROUND(S2835/R2835,4)</f>
        <v>0</v>
      </c>
      <c r="U2835" s="690"/>
      <c r="V2835" s="690"/>
    </row>
    <row r="2836" spans="1:22" s="688" customFormat="1" ht="17.100000000000001" customHeight="1">
      <c r="A2836" s="1316" t="s">
        <v>641</v>
      </c>
      <c r="B2836" s="1317"/>
      <c r="C2836" s="1316" t="s">
        <v>642</v>
      </c>
      <c r="D2836" s="1317"/>
      <c r="E2836" s="683">
        <f t="shared" si="689"/>
        <v>0.1119</v>
      </c>
      <c r="F2836" s="676" t="s">
        <v>418</v>
      </c>
      <c r="G2836" s="670" t="e">
        <f>#REF!</f>
        <v>#REF!</v>
      </c>
      <c r="H2836" s="670" t="e">
        <f>INT(E2836*G2836)</f>
        <v>#REF!</v>
      </c>
      <c r="I2836" s="670" t="e">
        <f>#REF!</f>
        <v>#REF!</v>
      </c>
      <c r="J2836" s="670" t="e">
        <f t="shared" si="690"/>
        <v>#REF!</v>
      </c>
      <c r="K2836" s="670" t="e">
        <f>#REF!</f>
        <v>#REF!</v>
      </c>
      <c r="L2836" s="670" t="e">
        <f>INT(E2836*K2836)</f>
        <v>#REF!</v>
      </c>
      <c r="M2836" s="670" t="e">
        <f t="shared" si="688"/>
        <v>#REF!</v>
      </c>
      <c r="N2836" s="670" t="e">
        <f t="shared" si="688"/>
        <v>#REF!</v>
      </c>
      <c r="O2836" s="671"/>
      <c r="P2836" s="813"/>
      <c r="Q2836" s="688">
        <f>Q2835</f>
        <v>110</v>
      </c>
      <c r="R2836" s="688">
        <f>R2835</f>
        <v>110</v>
      </c>
      <c r="T2836" s="690">
        <f>ROUND(S2836/R2836,4)</f>
        <v>0</v>
      </c>
      <c r="U2836" s="690"/>
      <c r="V2836" s="690"/>
    </row>
    <row r="2837" spans="1:22" s="688" customFormat="1" ht="17.100000000000001" customHeight="1">
      <c r="A2837" s="1316" t="s">
        <v>2108</v>
      </c>
      <c r="B2837" s="1317"/>
      <c r="C2837" s="1316" t="s">
        <v>1764</v>
      </c>
      <c r="D2837" s="1317"/>
      <c r="E2837" s="675">
        <v>0.02</v>
      </c>
      <c r="F2837" s="676" t="s">
        <v>672</v>
      </c>
      <c r="G2837" s="670"/>
      <c r="H2837" s="670">
        <f>INT(E2837*G2837)</f>
        <v>0</v>
      </c>
      <c r="I2837" s="670"/>
      <c r="J2837" s="670"/>
      <c r="K2837" s="670">
        <f>SUM(J2831:J2833)</f>
        <v>13225</v>
      </c>
      <c r="L2837" s="670">
        <f>INT(E2837*K2837)</f>
        <v>264</v>
      </c>
      <c r="M2837" s="670">
        <f>G2837+I2837+K2837</f>
        <v>13225</v>
      </c>
      <c r="N2837" s="670">
        <f>H2837+J2837+L2837</f>
        <v>264</v>
      </c>
      <c r="O2837" s="671"/>
      <c r="P2837" s="672"/>
      <c r="Q2837" s="688">
        <f t="shared" ref="Q2837:R2845" si="691">Q2836</f>
        <v>110</v>
      </c>
      <c r="R2837" s="688">
        <f t="shared" si="691"/>
        <v>110</v>
      </c>
      <c r="T2837" s="690">
        <f t="shared" ref="T2837:T2845" si="692">ROUND(S2837/R2837,4)</f>
        <v>0</v>
      </c>
      <c r="U2837" s="690"/>
      <c r="V2837" s="690"/>
    </row>
    <row r="2838" spans="1:22" s="688" customFormat="1" ht="17.100000000000001" customHeight="1">
      <c r="A2838" s="1318" t="s">
        <v>1320</v>
      </c>
      <c r="B2838" s="1319"/>
      <c r="C2838" s="1316"/>
      <c r="D2838" s="1317"/>
      <c r="E2838" s="686"/>
      <c r="F2838" s="676"/>
      <c r="G2838" s="670"/>
      <c r="H2838" s="670" t="e">
        <f>SUM(H2827:H2837)</f>
        <v>#REF!</v>
      </c>
      <c r="I2838" s="670"/>
      <c r="J2838" s="670" t="e">
        <f>SUM(J2827:J2837)</f>
        <v>#REF!</v>
      </c>
      <c r="K2838" s="670"/>
      <c r="L2838" s="670" t="e">
        <f>SUM(L2827:L2837)</f>
        <v>#REF!</v>
      </c>
      <c r="M2838" s="670"/>
      <c r="N2838" s="670" t="e">
        <f>SUM(N2827:N2837)</f>
        <v>#REF!</v>
      </c>
      <c r="O2838" s="671"/>
      <c r="P2838" s="812"/>
      <c r="Q2838" s="688">
        <f t="shared" si="691"/>
        <v>110</v>
      </c>
      <c r="R2838" s="688">
        <f t="shared" si="691"/>
        <v>110</v>
      </c>
      <c r="T2838" s="690">
        <f t="shared" si="692"/>
        <v>0</v>
      </c>
      <c r="U2838" s="690"/>
      <c r="V2838" s="690"/>
    </row>
    <row r="2839" spans="1:22" s="688" customFormat="1" ht="17.100000000000001" customHeight="1">
      <c r="A2839" s="668">
        <f>A2826+1</f>
        <v>399</v>
      </c>
      <c r="B2839" s="1320" t="s">
        <v>2186</v>
      </c>
      <c r="C2839" s="1320"/>
      <c r="D2839" s="1320" t="s">
        <v>2188</v>
      </c>
      <c r="E2839" s="1320"/>
      <c r="F2839" s="669" t="s">
        <v>645</v>
      </c>
      <c r="G2839" s="698"/>
      <c r="H2839" s="698"/>
      <c r="I2839" s="698"/>
      <c r="J2839" s="698"/>
      <c r="K2839" s="670"/>
      <c r="L2839" s="670"/>
      <c r="M2839" s="670"/>
      <c r="N2839" s="698"/>
      <c r="O2839" s="699" t="s">
        <v>1562</v>
      </c>
      <c r="P2839" s="672"/>
      <c r="Q2839" s="688">
        <f t="shared" si="691"/>
        <v>110</v>
      </c>
      <c r="R2839" s="688">
        <f t="shared" si="691"/>
        <v>110</v>
      </c>
      <c r="S2839" s="688">
        <v>2</v>
      </c>
      <c r="T2839" s="690">
        <f t="shared" si="692"/>
        <v>1.8200000000000001E-2</v>
      </c>
      <c r="U2839" s="690"/>
      <c r="V2839" s="690"/>
    </row>
    <row r="2840" spans="1:22" s="688" customFormat="1" ht="17.100000000000001" customHeight="1">
      <c r="A2840" s="1316" t="s">
        <v>2150</v>
      </c>
      <c r="B2840" s="1317"/>
      <c r="C2840" s="1316" t="s">
        <v>2151</v>
      </c>
      <c r="D2840" s="1317"/>
      <c r="E2840" s="675">
        <v>1.04</v>
      </c>
      <c r="F2840" s="676" t="s">
        <v>645</v>
      </c>
      <c r="G2840" s="670"/>
      <c r="H2840" s="670"/>
      <c r="I2840" s="670"/>
      <c r="J2840" s="670"/>
      <c r="K2840" s="670"/>
      <c r="L2840" s="670"/>
      <c r="M2840" s="670"/>
      <c r="N2840" s="670"/>
      <c r="O2840" s="671"/>
      <c r="P2840" s="672"/>
      <c r="Q2840" s="688">
        <f t="shared" si="691"/>
        <v>110</v>
      </c>
      <c r="R2840" s="688">
        <f t="shared" si="691"/>
        <v>110</v>
      </c>
      <c r="S2840" s="688">
        <v>1</v>
      </c>
      <c r="T2840" s="690">
        <f t="shared" si="692"/>
        <v>9.1000000000000004E-3</v>
      </c>
      <c r="U2840" s="690"/>
      <c r="V2840" s="690"/>
    </row>
    <row r="2841" spans="1:22" s="688" customFormat="1" ht="17.100000000000001" customHeight="1">
      <c r="A2841" s="1369" t="s">
        <v>2133</v>
      </c>
      <c r="B2841" s="1365"/>
      <c r="C2841" s="1369" t="s">
        <v>1761</v>
      </c>
      <c r="D2841" s="1365"/>
      <c r="E2841" s="821">
        <v>1.04</v>
      </c>
      <c r="F2841" s="815" t="s">
        <v>645</v>
      </c>
      <c r="G2841" s="816"/>
      <c r="H2841" s="816"/>
      <c r="I2841" s="816"/>
      <c r="J2841" s="816"/>
      <c r="K2841" s="816">
        <f>[53]운반공!$BO$628</f>
        <v>518</v>
      </c>
      <c r="L2841" s="816">
        <f>INT(E2841*K2841)</f>
        <v>538</v>
      </c>
      <c r="M2841" s="816">
        <f t="shared" ref="M2841:N2849" si="693">G2841+I2841+K2841</f>
        <v>518</v>
      </c>
      <c r="N2841" s="816">
        <f t="shared" si="693"/>
        <v>538</v>
      </c>
      <c r="O2841" s="817"/>
      <c r="P2841" s="672"/>
      <c r="Q2841" s="688">
        <f t="shared" si="691"/>
        <v>110</v>
      </c>
      <c r="R2841" s="688">
        <f t="shared" si="691"/>
        <v>110</v>
      </c>
      <c r="S2841" s="688">
        <v>1</v>
      </c>
      <c r="T2841" s="690">
        <f t="shared" si="692"/>
        <v>9.1000000000000004E-3</v>
      </c>
      <c r="U2841" s="690"/>
      <c r="V2841" s="690"/>
    </row>
    <row r="2842" spans="1:22" s="688" customFormat="1" ht="17.100000000000001" customHeight="1">
      <c r="A2842" s="1316" t="s">
        <v>2152</v>
      </c>
      <c r="B2842" s="1317"/>
      <c r="C2842" s="1316" t="s">
        <v>2153</v>
      </c>
      <c r="D2842" s="1317"/>
      <c r="E2842" s="683">
        <v>2.0999999999999999E-3</v>
      </c>
      <c r="F2842" s="676" t="s">
        <v>850</v>
      </c>
      <c r="G2842" s="670" t="e">
        <f>#REF!</f>
        <v>#REF!</v>
      </c>
      <c r="H2842" s="670" t="e">
        <f>INT(E2842*G2842)</f>
        <v>#REF!</v>
      </c>
      <c r="I2842" s="670"/>
      <c r="J2842" s="670"/>
      <c r="K2842" s="670"/>
      <c r="L2842" s="670"/>
      <c r="M2842" s="670" t="e">
        <f t="shared" si="693"/>
        <v>#REF!</v>
      </c>
      <c r="N2842" s="670" t="e">
        <f t="shared" si="693"/>
        <v>#REF!</v>
      </c>
      <c r="O2842" s="671"/>
      <c r="P2842" s="672"/>
      <c r="Q2842" s="688">
        <f t="shared" si="691"/>
        <v>110</v>
      </c>
      <c r="R2842" s="688">
        <f t="shared" si="691"/>
        <v>110</v>
      </c>
      <c r="S2842" s="688">
        <v>8</v>
      </c>
      <c r="T2842" s="690">
        <f t="shared" si="692"/>
        <v>7.2700000000000001E-2</v>
      </c>
      <c r="U2842" s="690"/>
      <c r="V2842" s="690"/>
    </row>
    <row r="2843" spans="1:22" s="688" customFormat="1" ht="17.100000000000001" customHeight="1">
      <c r="A2843" s="1316" t="s">
        <v>821</v>
      </c>
      <c r="B2843" s="1317"/>
      <c r="C2843" s="1316" t="s">
        <v>2154</v>
      </c>
      <c r="D2843" s="1317"/>
      <c r="E2843" s="701">
        <v>3.3000000000000002E-2</v>
      </c>
      <c r="F2843" s="676" t="s">
        <v>850</v>
      </c>
      <c r="G2843" s="670" t="e">
        <f>#REF!</f>
        <v>#REF!</v>
      </c>
      <c r="H2843" s="670" t="e">
        <f>INT(E2843*G2843)</f>
        <v>#REF!</v>
      </c>
      <c r="I2843" s="670"/>
      <c r="J2843" s="670"/>
      <c r="K2843" s="670"/>
      <c r="L2843" s="670"/>
      <c r="M2843" s="670" t="e">
        <f t="shared" si="693"/>
        <v>#REF!</v>
      </c>
      <c r="N2843" s="670" t="e">
        <f t="shared" si="693"/>
        <v>#REF!</v>
      </c>
      <c r="O2843" s="671"/>
      <c r="P2843" s="672"/>
      <c r="Q2843" s="688">
        <f t="shared" si="691"/>
        <v>110</v>
      </c>
      <c r="R2843" s="688">
        <f t="shared" si="691"/>
        <v>110</v>
      </c>
      <c r="S2843" s="688">
        <v>8</v>
      </c>
      <c r="T2843" s="690">
        <f t="shared" si="692"/>
        <v>7.2700000000000001E-2</v>
      </c>
      <c r="U2843" s="690"/>
      <c r="V2843" s="690"/>
    </row>
    <row r="2844" spans="1:22" s="688" customFormat="1" ht="17.100000000000001" customHeight="1">
      <c r="A2844" s="1316" t="s">
        <v>540</v>
      </c>
      <c r="B2844" s="1317"/>
      <c r="C2844" s="1316"/>
      <c r="D2844" s="1317"/>
      <c r="E2844" s="683">
        <f t="shared" ref="E2844:E2849" si="694">T2813</f>
        <v>2.1399999999999999E-2</v>
      </c>
      <c r="F2844" s="676" t="s">
        <v>366</v>
      </c>
      <c r="G2844" s="670"/>
      <c r="H2844" s="670"/>
      <c r="I2844" s="670">
        <f>[53]노임단가!$T$22</f>
        <v>273308</v>
      </c>
      <c r="J2844" s="670">
        <f t="shared" ref="J2844:J2849" si="695">INT(E2844*I2844)</f>
        <v>5848</v>
      </c>
      <c r="K2844" s="670"/>
      <c r="L2844" s="670"/>
      <c r="M2844" s="670">
        <f t="shared" si="693"/>
        <v>273308</v>
      </c>
      <c r="N2844" s="670">
        <f t="shared" si="693"/>
        <v>5848</v>
      </c>
      <c r="O2844" s="671"/>
      <c r="P2844" s="672"/>
      <c r="Q2844" s="688">
        <f t="shared" si="691"/>
        <v>110</v>
      </c>
      <c r="R2844" s="688">
        <f t="shared" si="691"/>
        <v>110</v>
      </c>
      <c r="S2844" s="688">
        <v>8</v>
      </c>
      <c r="T2844" s="690">
        <f t="shared" si="692"/>
        <v>7.2700000000000001E-2</v>
      </c>
      <c r="U2844" s="690"/>
      <c r="V2844" s="690"/>
    </row>
    <row r="2845" spans="1:22" s="688" customFormat="1" ht="17.100000000000001" customHeight="1">
      <c r="A2845" s="1316" t="s">
        <v>628</v>
      </c>
      <c r="B2845" s="1317"/>
      <c r="C2845" s="1316"/>
      <c r="D2845" s="1317"/>
      <c r="E2845" s="683">
        <f t="shared" si="694"/>
        <v>1.0699999999999999E-2</v>
      </c>
      <c r="F2845" s="676" t="s">
        <v>366</v>
      </c>
      <c r="G2845" s="670"/>
      <c r="H2845" s="670"/>
      <c r="I2845" s="670">
        <f>[53]노임단가!$T$6</f>
        <v>226122</v>
      </c>
      <c r="J2845" s="670">
        <f t="shared" si="695"/>
        <v>2419</v>
      </c>
      <c r="K2845" s="670"/>
      <c r="L2845" s="670"/>
      <c r="M2845" s="670">
        <f t="shared" si="693"/>
        <v>226122</v>
      </c>
      <c r="N2845" s="670">
        <f t="shared" si="693"/>
        <v>2419</v>
      </c>
      <c r="O2845" s="671"/>
      <c r="P2845" s="672"/>
      <c r="Q2845" s="688">
        <f t="shared" si="691"/>
        <v>110</v>
      </c>
      <c r="R2845" s="688">
        <f t="shared" si="691"/>
        <v>110</v>
      </c>
      <c r="T2845" s="690">
        <f t="shared" si="692"/>
        <v>0</v>
      </c>
      <c r="U2845" s="690"/>
      <c r="V2845" s="690"/>
    </row>
    <row r="2846" spans="1:22" s="688" customFormat="1" ht="17.100000000000001" customHeight="1">
      <c r="A2846" s="1316" t="s">
        <v>248</v>
      </c>
      <c r="B2846" s="1317"/>
      <c r="C2846" s="1316"/>
      <c r="D2846" s="1317"/>
      <c r="E2846" s="683">
        <f t="shared" si="694"/>
        <v>1.0699999999999999E-2</v>
      </c>
      <c r="F2846" s="676" t="s">
        <v>366</v>
      </c>
      <c r="G2846" s="670"/>
      <c r="H2846" s="670"/>
      <c r="I2846" s="670">
        <f>[53]노임단가!$T$5</f>
        <v>172068</v>
      </c>
      <c r="J2846" s="670">
        <f t="shared" si="695"/>
        <v>1841</v>
      </c>
      <c r="K2846" s="670"/>
      <c r="L2846" s="670"/>
      <c r="M2846" s="670">
        <f t="shared" si="693"/>
        <v>172068</v>
      </c>
      <c r="N2846" s="670">
        <f t="shared" si="693"/>
        <v>1841</v>
      </c>
      <c r="O2846" s="671"/>
      <c r="P2846" s="672"/>
    </row>
    <row r="2847" spans="1:22" s="688" customFormat="1" ht="17.100000000000001" customHeight="1">
      <c r="A2847" s="1316" t="s">
        <v>409</v>
      </c>
      <c r="B2847" s="1317"/>
      <c r="C2847" s="1316" t="s">
        <v>1380</v>
      </c>
      <c r="D2847" s="1317"/>
      <c r="E2847" s="683">
        <f t="shared" si="694"/>
        <v>8.5599999999999996E-2</v>
      </c>
      <c r="F2847" s="676" t="s">
        <v>418</v>
      </c>
      <c r="G2847" s="670" t="e">
        <f>#REF!</f>
        <v>#REF!</v>
      </c>
      <c r="H2847" s="670" t="e">
        <f>INT(E2847*G2847)</f>
        <v>#REF!</v>
      </c>
      <c r="I2847" s="670" t="e">
        <f>#REF!</f>
        <v>#REF!</v>
      </c>
      <c r="J2847" s="670" t="e">
        <f t="shared" si="695"/>
        <v>#REF!</v>
      </c>
      <c r="K2847" s="670" t="e">
        <f>#REF!</f>
        <v>#REF!</v>
      </c>
      <c r="L2847" s="670" t="e">
        <f>INT(E2847*K2847)</f>
        <v>#REF!</v>
      </c>
      <c r="M2847" s="670" t="e">
        <f t="shared" si="693"/>
        <v>#REF!</v>
      </c>
      <c r="N2847" s="670" t="e">
        <f t="shared" si="693"/>
        <v>#REF!</v>
      </c>
      <c r="O2847" s="671"/>
      <c r="P2847" s="672" t="s">
        <v>1549</v>
      </c>
      <c r="Q2847" s="687" t="s">
        <v>1446</v>
      </c>
      <c r="R2847" s="688" t="s">
        <v>1876</v>
      </c>
      <c r="S2847" s="688" t="s">
        <v>1425</v>
      </c>
      <c r="T2847" s="688" t="s">
        <v>1426</v>
      </c>
    </row>
    <row r="2848" spans="1:22" s="688" customFormat="1" ht="16.5" customHeight="1">
      <c r="A2848" s="1316" t="s">
        <v>465</v>
      </c>
      <c r="B2848" s="1317"/>
      <c r="C2848" s="1316" t="s">
        <v>466</v>
      </c>
      <c r="D2848" s="1317"/>
      <c r="E2848" s="683">
        <f t="shared" si="694"/>
        <v>8.5599999999999996E-2</v>
      </c>
      <c r="F2848" s="676" t="s">
        <v>418</v>
      </c>
      <c r="G2848" s="670" t="e">
        <f>#REF!</f>
        <v>#REF!</v>
      </c>
      <c r="H2848" s="750" t="e">
        <f>INT(E2848*G2848)</f>
        <v>#REF!</v>
      </c>
      <c r="I2848" s="670" t="e">
        <f>#REF!</f>
        <v>#REF!</v>
      </c>
      <c r="J2848" s="750" t="e">
        <f t="shared" si="695"/>
        <v>#REF!</v>
      </c>
      <c r="K2848" s="670" t="e">
        <f>#REF!</f>
        <v>#REF!</v>
      </c>
      <c r="L2848" s="750" t="e">
        <f>INT(E2848*K2848)</f>
        <v>#REF!</v>
      </c>
      <c r="M2848" s="670" t="e">
        <f t="shared" si="693"/>
        <v>#REF!</v>
      </c>
      <c r="N2848" s="670" t="e">
        <f t="shared" si="693"/>
        <v>#REF!</v>
      </c>
      <c r="O2848" s="671"/>
      <c r="P2848" s="672" t="s">
        <v>2183</v>
      </c>
      <c r="Q2848" s="688">
        <f>110*1.05</f>
        <v>115.5</v>
      </c>
      <c r="R2848" s="688">
        <f>(Q2848)</f>
        <v>115.5</v>
      </c>
      <c r="T2848" s="690">
        <f>ROUND(S2848/R2848,4)</f>
        <v>0</v>
      </c>
      <c r="U2848" s="690"/>
      <c r="V2848" s="690"/>
    </row>
    <row r="2849" spans="1:22" s="688" customFormat="1" ht="17.100000000000001" customHeight="1">
      <c r="A2849" s="1316" t="s">
        <v>641</v>
      </c>
      <c r="B2849" s="1317"/>
      <c r="C2849" s="1316" t="s">
        <v>642</v>
      </c>
      <c r="D2849" s="1317"/>
      <c r="E2849" s="683">
        <f t="shared" si="694"/>
        <v>8.5599999999999996E-2</v>
      </c>
      <c r="F2849" s="676" t="s">
        <v>418</v>
      </c>
      <c r="G2849" s="670" t="e">
        <f>#REF!</f>
        <v>#REF!</v>
      </c>
      <c r="H2849" s="670" t="e">
        <f>INT(E2849*G2849)</f>
        <v>#REF!</v>
      </c>
      <c r="I2849" s="670" t="e">
        <f>#REF!</f>
        <v>#REF!</v>
      </c>
      <c r="J2849" s="670" t="e">
        <f t="shared" si="695"/>
        <v>#REF!</v>
      </c>
      <c r="K2849" s="670" t="e">
        <f>#REF!</f>
        <v>#REF!</v>
      </c>
      <c r="L2849" s="670" t="e">
        <f>INT(E2849*K2849)</f>
        <v>#REF!</v>
      </c>
      <c r="M2849" s="670" t="e">
        <f t="shared" si="693"/>
        <v>#REF!</v>
      </c>
      <c r="N2849" s="670" t="e">
        <f t="shared" si="693"/>
        <v>#REF!</v>
      </c>
      <c r="O2849" s="671"/>
      <c r="P2849" s="813"/>
      <c r="Q2849" s="688">
        <f>Q2848</f>
        <v>115.5</v>
      </c>
      <c r="R2849" s="688">
        <f>R2848</f>
        <v>115.5</v>
      </c>
      <c r="T2849" s="690">
        <f>ROUND(S2849/R2849,4)</f>
        <v>0</v>
      </c>
      <c r="U2849" s="690"/>
      <c r="V2849" s="690"/>
    </row>
    <row r="2850" spans="1:22" s="688" customFormat="1" ht="17.100000000000001" customHeight="1">
      <c r="A2850" s="1316" t="s">
        <v>2108</v>
      </c>
      <c r="B2850" s="1317"/>
      <c r="C2850" s="1316" t="s">
        <v>1764</v>
      </c>
      <c r="D2850" s="1317"/>
      <c r="E2850" s="675">
        <v>0.02</v>
      </c>
      <c r="F2850" s="676" t="s">
        <v>672</v>
      </c>
      <c r="G2850" s="670"/>
      <c r="H2850" s="670">
        <f>INT(E2850*G2850)</f>
        <v>0</v>
      </c>
      <c r="I2850" s="670"/>
      <c r="J2850" s="670"/>
      <c r="K2850" s="670">
        <f>SUM(J2844:J2846)</f>
        <v>10108</v>
      </c>
      <c r="L2850" s="670">
        <f>INT(E2850*K2850)</f>
        <v>202</v>
      </c>
      <c r="M2850" s="670">
        <f>G2850+I2850+K2850</f>
        <v>10108</v>
      </c>
      <c r="N2850" s="670">
        <f>H2850+J2850+L2850</f>
        <v>202</v>
      </c>
      <c r="O2850" s="671"/>
      <c r="P2850" s="672"/>
      <c r="Q2850" s="688">
        <f t="shared" ref="Q2850:R2858" si="696">Q2849</f>
        <v>115.5</v>
      </c>
      <c r="R2850" s="688">
        <f t="shared" si="696"/>
        <v>115.5</v>
      </c>
      <c r="T2850" s="690">
        <f t="shared" ref="T2850:T2858" si="697">ROUND(S2850/R2850,4)</f>
        <v>0</v>
      </c>
      <c r="U2850" s="690"/>
      <c r="V2850" s="690"/>
    </row>
    <row r="2851" spans="1:22" s="688" customFormat="1" ht="17.100000000000001" customHeight="1">
      <c r="A2851" s="1318" t="s">
        <v>1320</v>
      </c>
      <c r="B2851" s="1319"/>
      <c r="C2851" s="1316"/>
      <c r="D2851" s="1317"/>
      <c r="E2851" s="686"/>
      <c r="F2851" s="676"/>
      <c r="G2851" s="670"/>
      <c r="H2851" s="670" t="e">
        <f>SUM(H2840:H2850)</f>
        <v>#REF!</v>
      </c>
      <c r="I2851" s="670"/>
      <c r="J2851" s="670" t="e">
        <f>SUM(J2840:J2850)</f>
        <v>#REF!</v>
      </c>
      <c r="K2851" s="670"/>
      <c r="L2851" s="670" t="e">
        <f>SUM(L2840:L2850)</f>
        <v>#REF!</v>
      </c>
      <c r="M2851" s="670"/>
      <c r="N2851" s="670" t="e">
        <f>SUM(N2840:N2850)</f>
        <v>#REF!</v>
      </c>
      <c r="O2851" s="671"/>
      <c r="P2851" s="812"/>
      <c r="Q2851" s="688">
        <f t="shared" si="696"/>
        <v>115.5</v>
      </c>
      <c r="R2851" s="688">
        <f t="shared" si="696"/>
        <v>115.5</v>
      </c>
      <c r="T2851" s="690">
        <f t="shared" si="697"/>
        <v>0</v>
      </c>
      <c r="U2851" s="690"/>
      <c r="V2851" s="690"/>
    </row>
    <row r="2852" spans="1:22" s="688" customFormat="1" ht="17.100000000000001" customHeight="1">
      <c r="A2852" s="668">
        <f>A2839+1</f>
        <v>400</v>
      </c>
      <c r="B2852" s="1320" t="s">
        <v>2186</v>
      </c>
      <c r="C2852" s="1320"/>
      <c r="D2852" s="1320" t="s">
        <v>2189</v>
      </c>
      <c r="E2852" s="1320"/>
      <c r="F2852" s="669" t="s">
        <v>645</v>
      </c>
      <c r="G2852" s="698"/>
      <c r="H2852" s="698"/>
      <c r="I2852" s="698"/>
      <c r="J2852" s="698"/>
      <c r="K2852" s="670"/>
      <c r="L2852" s="670"/>
      <c r="M2852" s="670"/>
      <c r="N2852" s="698"/>
      <c r="O2852" s="699" t="s">
        <v>1562</v>
      </c>
      <c r="P2852" s="672"/>
      <c r="Q2852" s="688">
        <f t="shared" si="696"/>
        <v>115.5</v>
      </c>
      <c r="R2852" s="688">
        <f t="shared" si="696"/>
        <v>115.5</v>
      </c>
      <c r="S2852" s="688">
        <v>2</v>
      </c>
      <c r="T2852" s="690">
        <f t="shared" si="697"/>
        <v>1.7299999999999999E-2</v>
      </c>
      <c r="U2852" s="690"/>
      <c r="V2852" s="690"/>
    </row>
    <row r="2853" spans="1:22" s="688" customFormat="1" ht="17.100000000000001" customHeight="1">
      <c r="A2853" s="1316" t="s">
        <v>2150</v>
      </c>
      <c r="B2853" s="1317"/>
      <c r="C2853" s="1316" t="s">
        <v>2151</v>
      </c>
      <c r="D2853" s="1317"/>
      <c r="E2853" s="675">
        <v>1.04</v>
      </c>
      <c r="F2853" s="676" t="s">
        <v>645</v>
      </c>
      <c r="G2853" s="670"/>
      <c r="H2853" s="670"/>
      <c r="I2853" s="670"/>
      <c r="J2853" s="670"/>
      <c r="K2853" s="670"/>
      <c r="L2853" s="670"/>
      <c r="M2853" s="670"/>
      <c r="N2853" s="670"/>
      <c r="O2853" s="671"/>
      <c r="P2853" s="672"/>
      <c r="Q2853" s="688">
        <f t="shared" si="696"/>
        <v>115.5</v>
      </c>
      <c r="R2853" s="688">
        <f t="shared" si="696"/>
        <v>115.5</v>
      </c>
      <c r="S2853" s="688">
        <v>1</v>
      </c>
      <c r="T2853" s="690">
        <f t="shared" si="697"/>
        <v>8.6999999999999994E-3</v>
      </c>
      <c r="U2853" s="690"/>
      <c r="V2853" s="690"/>
    </row>
    <row r="2854" spans="1:22" s="688" customFormat="1" ht="17.100000000000001" customHeight="1">
      <c r="A2854" s="1369" t="s">
        <v>2133</v>
      </c>
      <c r="B2854" s="1365"/>
      <c r="C2854" s="1369" t="s">
        <v>1761</v>
      </c>
      <c r="D2854" s="1365"/>
      <c r="E2854" s="821">
        <v>1.04</v>
      </c>
      <c r="F2854" s="815" t="s">
        <v>645</v>
      </c>
      <c r="G2854" s="816"/>
      <c r="H2854" s="816"/>
      <c r="I2854" s="816"/>
      <c r="J2854" s="816"/>
      <c r="K2854" s="816">
        <f>[53]운반공!$BO$628</f>
        <v>518</v>
      </c>
      <c r="L2854" s="816">
        <f>INT(E2854*K2854)</f>
        <v>538</v>
      </c>
      <c r="M2854" s="816">
        <f t="shared" ref="M2854:N2862" si="698">G2854+I2854+K2854</f>
        <v>518</v>
      </c>
      <c r="N2854" s="816">
        <f t="shared" si="698"/>
        <v>538</v>
      </c>
      <c r="O2854" s="817"/>
      <c r="P2854" s="672"/>
      <c r="Q2854" s="688">
        <f t="shared" si="696"/>
        <v>115.5</v>
      </c>
      <c r="R2854" s="688">
        <f t="shared" si="696"/>
        <v>115.5</v>
      </c>
      <c r="S2854" s="688">
        <v>1</v>
      </c>
      <c r="T2854" s="690">
        <f t="shared" si="697"/>
        <v>8.6999999999999994E-3</v>
      </c>
      <c r="U2854" s="690"/>
      <c r="V2854" s="690"/>
    </row>
    <row r="2855" spans="1:22" s="688" customFormat="1" ht="17.100000000000001" customHeight="1">
      <c r="A2855" s="1316" t="s">
        <v>2152</v>
      </c>
      <c r="B2855" s="1317"/>
      <c r="C2855" s="1316" t="s">
        <v>2153</v>
      </c>
      <c r="D2855" s="1317"/>
      <c r="E2855" s="683">
        <v>2.0999999999999999E-3</v>
      </c>
      <c r="F2855" s="676" t="s">
        <v>850</v>
      </c>
      <c r="G2855" s="670" t="e">
        <f>#REF!</f>
        <v>#REF!</v>
      </c>
      <c r="H2855" s="670" t="e">
        <f>INT(E2855*G2855)</f>
        <v>#REF!</v>
      </c>
      <c r="I2855" s="670"/>
      <c r="J2855" s="670"/>
      <c r="K2855" s="670"/>
      <c r="L2855" s="670"/>
      <c r="M2855" s="670" t="e">
        <f t="shared" si="698"/>
        <v>#REF!</v>
      </c>
      <c r="N2855" s="670" t="e">
        <f t="shared" si="698"/>
        <v>#REF!</v>
      </c>
      <c r="O2855" s="671"/>
      <c r="P2855" s="672"/>
      <c r="Q2855" s="688">
        <f t="shared" si="696"/>
        <v>115.5</v>
      </c>
      <c r="R2855" s="688">
        <f t="shared" si="696"/>
        <v>115.5</v>
      </c>
      <c r="S2855" s="688">
        <v>8</v>
      </c>
      <c r="T2855" s="690">
        <f t="shared" si="697"/>
        <v>6.93E-2</v>
      </c>
      <c r="U2855" s="690"/>
      <c r="V2855" s="690"/>
    </row>
    <row r="2856" spans="1:22" s="688" customFormat="1" ht="17.100000000000001" customHeight="1">
      <c r="A2856" s="1316" t="s">
        <v>821</v>
      </c>
      <c r="B2856" s="1317"/>
      <c r="C2856" s="1316" t="s">
        <v>2154</v>
      </c>
      <c r="D2856" s="1317"/>
      <c r="E2856" s="701">
        <v>3.3000000000000002E-2</v>
      </c>
      <c r="F2856" s="676" t="s">
        <v>850</v>
      </c>
      <c r="G2856" s="670" t="e">
        <f>#REF!</f>
        <v>#REF!</v>
      </c>
      <c r="H2856" s="670" t="e">
        <f>INT(E2856*G2856)</f>
        <v>#REF!</v>
      </c>
      <c r="I2856" s="670"/>
      <c r="J2856" s="670"/>
      <c r="K2856" s="670"/>
      <c r="L2856" s="670"/>
      <c r="M2856" s="670" t="e">
        <f t="shared" si="698"/>
        <v>#REF!</v>
      </c>
      <c r="N2856" s="670" t="e">
        <f t="shared" si="698"/>
        <v>#REF!</v>
      </c>
      <c r="O2856" s="671"/>
      <c r="P2856" s="672"/>
      <c r="Q2856" s="688">
        <f t="shared" si="696"/>
        <v>115.5</v>
      </c>
      <c r="R2856" s="688">
        <f t="shared" si="696"/>
        <v>115.5</v>
      </c>
      <c r="S2856" s="688">
        <v>8</v>
      </c>
      <c r="T2856" s="690">
        <f t="shared" si="697"/>
        <v>6.93E-2</v>
      </c>
      <c r="U2856" s="690"/>
      <c r="V2856" s="690"/>
    </row>
    <row r="2857" spans="1:22" s="688" customFormat="1" ht="17.100000000000001" customHeight="1">
      <c r="A2857" s="1316" t="s">
        <v>540</v>
      </c>
      <c r="B2857" s="1317"/>
      <c r="C2857" s="1316"/>
      <c r="D2857" s="1317"/>
      <c r="E2857" s="683">
        <f t="shared" ref="E2857:E2862" si="699">T2826</f>
        <v>1.9099999999999999E-2</v>
      </c>
      <c r="F2857" s="676" t="s">
        <v>366</v>
      </c>
      <c r="G2857" s="670"/>
      <c r="H2857" s="670"/>
      <c r="I2857" s="670">
        <f>[53]노임단가!$T$22</f>
        <v>273308</v>
      </c>
      <c r="J2857" s="670">
        <f t="shared" ref="J2857:J2862" si="700">INT(E2857*I2857)</f>
        <v>5220</v>
      </c>
      <c r="K2857" s="670"/>
      <c r="L2857" s="670"/>
      <c r="M2857" s="670">
        <f t="shared" si="698"/>
        <v>273308</v>
      </c>
      <c r="N2857" s="670">
        <f t="shared" si="698"/>
        <v>5220</v>
      </c>
      <c r="O2857" s="671"/>
      <c r="P2857" s="672"/>
      <c r="Q2857" s="688">
        <f t="shared" si="696"/>
        <v>115.5</v>
      </c>
      <c r="R2857" s="688">
        <f t="shared" si="696"/>
        <v>115.5</v>
      </c>
      <c r="S2857" s="688">
        <v>8</v>
      </c>
      <c r="T2857" s="690">
        <f t="shared" si="697"/>
        <v>6.93E-2</v>
      </c>
      <c r="U2857" s="690"/>
      <c r="V2857" s="690"/>
    </row>
    <row r="2858" spans="1:22" s="688" customFormat="1" ht="17.100000000000001" customHeight="1">
      <c r="A2858" s="1316" t="s">
        <v>628</v>
      </c>
      <c r="B2858" s="1317"/>
      <c r="C2858" s="1316"/>
      <c r="D2858" s="1317"/>
      <c r="E2858" s="683">
        <f t="shared" si="699"/>
        <v>9.5999999999999992E-3</v>
      </c>
      <c r="F2858" s="676" t="s">
        <v>366</v>
      </c>
      <c r="G2858" s="670"/>
      <c r="H2858" s="670"/>
      <c r="I2858" s="670">
        <f>[53]노임단가!$T$6</f>
        <v>226122</v>
      </c>
      <c r="J2858" s="670">
        <f t="shared" si="700"/>
        <v>2170</v>
      </c>
      <c r="K2858" s="670"/>
      <c r="L2858" s="670"/>
      <c r="M2858" s="670">
        <f t="shared" si="698"/>
        <v>226122</v>
      </c>
      <c r="N2858" s="670">
        <f t="shared" si="698"/>
        <v>2170</v>
      </c>
      <c r="O2858" s="671"/>
      <c r="P2858" s="672"/>
      <c r="Q2858" s="688">
        <f t="shared" si="696"/>
        <v>115.5</v>
      </c>
      <c r="R2858" s="688">
        <f t="shared" si="696"/>
        <v>115.5</v>
      </c>
      <c r="T2858" s="690">
        <f t="shared" si="697"/>
        <v>0</v>
      </c>
      <c r="U2858" s="690"/>
      <c r="V2858" s="690"/>
    </row>
    <row r="2859" spans="1:22" s="688" customFormat="1" ht="17.100000000000001" customHeight="1">
      <c r="A2859" s="1316" t="s">
        <v>248</v>
      </c>
      <c r="B2859" s="1317"/>
      <c r="C2859" s="1316"/>
      <c r="D2859" s="1317"/>
      <c r="E2859" s="683">
        <f t="shared" si="699"/>
        <v>9.5999999999999992E-3</v>
      </c>
      <c r="F2859" s="676" t="s">
        <v>366</v>
      </c>
      <c r="G2859" s="670"/>
      <c r="H2859" s="670"/>
      <c r="I2859" s="670">
        <f>[53]노임단가!$T$5</f>
        <v>172068</v>
      </c>
      <c r="J2859" s="670">
        <f t="shared" si="700"/>
        <v>1651</v>
      </c>
      <c r="K2859" s="670"/>
      <c r="L2859" s="670"/>
      <c r="M2859" s="670">
        <f t="shared" si="698"/>
        <v>172068</v>
      </c>
      <c r="N2859" s="670">
        <f t="shared" si="698"/>
        <v>1651</v>
      </c>
      <c r="O2859" s="671"/>
      <c r="P2859" s="672"/>
    </row>
    <row r="2860" spans="1:22" s="688" customFormat="1" ht="17.100000000000001" customHeight="1">
      <c r="A2860" s="1316" t="s">
        <v>409</v>
      </c>
      <c r="B2860" s="1317"/>
      <c r="C2860" s="1316" t="s">
        <v>1380</v>
      </c>
      <c r="D2860" s="1317"/>
      <c r="E2860" s="683">
        <f t="shared" si="699"/>
        <v>7.6600000000000001E-2</v>
      </c>
      <c r="F2860" s="676" t="s">
        <v>418</v>
      </c>
      <c r="G2860" s="670" t="e">
        <f>#REF!</f>
        <v>#REF!</v>
      </c>
      <c r="H2860" s="670" t="e">
        <f>INT(E2860*G2860)</f>
        <v>#REF!</v>
      </c>
      <c r="I2860" s="670" t="e">
        <f>#REF!</f>
        <v>#REF!</v>
      </c>
      <c r="J2860" s="670" t="e">
        <f t="shared" si="700"/>
        <v>#REF!</v>
      </c>
      <c r="K2860" s="670" t="e">
        <f>#REF!</f>
        <v>#REF!</v>
      </c>
      <c r="L2860" s="670" t="e">
        <f>INT(E2860*K2860)</f>
        <v>#REF!</v>
      </c>
      <c r="M2860" s="670" t="e">
        <f t="shared" si="698"/>
        <v>#REF!</v>
      </c>
      <c r="N2860" s="670" t="e">
        <f t="shared" si="698"/>
        <v>#REF!</v>
      </c>
      <c r="O2860" s="671"/>
      <c r="P2860" s="672" t="s">
        <v>1549</v>
      </c>
      <c r="Q2860" s="687" t="s">
        <v>1446</v>
      </c>
      <c r="R2860" s="688" t="s">
        <v>1876</v>
      </c>
      <c r="S2860" s="688" t="s">
        <v>1425</v>
      </c>
      <c r="T2860" s="688" t="s">
        <v>1426</v>
      </c>
    </row>
    <row r="2861" spans="1:22" s="688" customFormat="1" ht="16.5" customHeight="1">
      <c r="A2861" s="1316" t="s">
        <v>465</v>
      </c>
      <c r="B2861" s="1317"/>
      <c r="C2861" s="1316" t="s">
        <v>466</v>
      </c>
      <c r="D2861" s="1317"/>
      <c r="E2861" s="683">
        <f t="shared" si="699"/>
        <v>7.6600000000000001E-2</v>
      </c>
      <c r="F2861" s="676" t="s">
        <v>418</v>
      </c>
      <c r="G2861" s="670" t="e">
        <f>#REF!</f>
        <v>#REF!</v>
      </c>
      <c r="H2861" s="750" t="e">
        <f>INT(E2861*G2861)</f>
        <v>#REF!</v>
      </c>
      <c r="I2861" s="670" t="e">
        <f>#REF!</f>
        <v>#REF!</v>
      </c>
      <c r="J2861" s="750" t="e">
        <f t="shared" si="700"/>
        <v>#REF!</v>
      </c>
      <c r="K2861" s="670" t="e">
        <f>#REF!</f>
        <v>#REF!</v>
      </c>
      <c r="L2861" s="750" t="e">
        <f>INT(E2861*K2861)</f>
        <v>#REF!</v>
      </c>
      <c r="M2861" s="670" t="e">
        <f t="shared" si="698"/>
        <v>#REF!</v>
      </c>
      <c r="N2861" s="670" t="e">
        <f t="shared" si="698"/>
        <v>#REF!</v>
      </c>
      <c r="O2861" s="671"/>
      <c r="P2861" s="672" t="s">
        <v>2183</v>
      </c>
      <c r="Q2861" s="688">
        <f>110*0.65</f>
        <v>71.5</v>
      </c>
      <c r="R2861" s="688">
        <f>(Q2861)</f>
        <v>71.5</v>
      </c>
      <c r="T2861" s="690">
        <f>ROUND(S2861/R2861,4)</f>
        <v>0</v>
      </c>
      <c r="U2861" s="690"/>
      <c r="V2861" s="690"/>
    </row>
    <row r="2862" spans="1:22" s="688" customFormat="1" ht="17.100000000000001" customHeight="1">
      <c r="A2862" s="1316" t="s">
        <v>641</v>
      </c>
      <c r="B2862" s="1317"/>
      <c r="C2862" s="1316" t="s">
        <v>642</v>
      </c>
      <c r="D2862" s="1317"/>
      <c r="E2862" s="683">
        <f t="shared" si="699"/>
        <v>7.6600000000000001E-2</v>
      </c>
      <c r="F2862" s="676" t="s">
        <v>418</v>
      </c>
      <c r="G2862" s="670" t="e">
        <f>#REF!</f>
        <v>#REF!</v>
      </c>
      <c r="H2862" s="670" t="e">
        <f>INT(E2862*G2862)</f>
        <v>#REF!</v>
      </c>
      <c r="I2862" s="670" t="e">
        <f>#REF!</f>
        <v>#REF!</v>
      </c>
      <c r="J2862" s="670" t="e">
        <f t="shared" si="700"/>
        <v>#REF!</v>
      </c>
      <c r="K2862" s="670" t="e">
        <f>#REF!</f>
        <v>#REF!</v>
      </c>
      <c r="L2862" s="670" t="e">
        <f>INT(E2862*K2862)</f>
        <v>#REF!</v>
      </c>
      <c r="M2862" s="670" t="e">
        <f t="shared" si="698"/>
        <v>#REF!</v>
      </c>
      <c r="N2862" s="670" t="e">
        <f t="shared" si="698"/>
        <v>#REF!</v>
      </c>
      <c r="O2862" s="671"/>
      <c r="P2862" s="813"/>
      <c r="Q2862" s="688">
        <f>Q2861</f>
        <v>71.5</v>
      </c>
      <c r="R2862" s="688">
        <f>R2861</f>
        <v>71.5</v>
      </c>
      <c r="T2862" s="690">
        <f>ROUND(S2862/R2862,4)</f>
        <v>0</v>
      </c>
      <c r="U2862" s="690"/>
      <c r="V2862" s="690"/>
    </row>
    <row r="2863" spans="1:22" s="688" customFormat="1" ht="17.100000000000001" customHeight="1">
      <c r="A2863" s="1316" t="s">
        <v>2108</v>
      </c>
      <c r="B2863" s="1317"/>
      <c r="C2863" s="1316" t="s">
        <v>1764</v>
      </c>
      <c r="D2863" s="1317"/>
      <c r="E2863" s="675">
        <v>0.02</v>
      </c>
      <c r="F2863" s="676" t="s">
        <v>672</v>
      </c>
      <c r="G2863" s="670"/>
      <c r="H2863" s="670">
        <f>INT(E2863*G2863)</f>
        <v>0</v>
      </c>
      <c r="I2863" s="670"/>
      <c r="J2863" s="670"/>
      <c r="K2863" s="670">
        <f>SUM(J2857:J2859)</f>
        <v>9041</v>
      </c>
      <c r="L2863" s="670">
        <f>INT(E2863*K2863)</f>
        <v>180</v>
      </c>
      <c r="M2863" s="670">
        <f>G2863+I2863+K2863</f>
        <v>9041</v>
      </c>
      <c r="N2863" s="670">
        <f>H2863+J2863+L2863</f>
        <v>180</v>
      </c>
      <c r="O2863" s="671"/>
      <c r="P2863" s="672"/>
      <c r="Q2863" s="688">
        <f t="shared" ref="Q2863:R2871" si="701">Q2862</f>
        <v>71.5</v>
      </c>
      <c r="R2863" s="688">
        <f t="shared" si="701"/>
        <v>71.5</v>
      </c>
      <c r="T2863" s="690">
        <f t="shared" ref="T2863:T2871" si="702">ROUND(S2863/R2863,4)</f>
        <v>0</v>
      </c>
      <c r="U2863" s="690"/>
      <c r="V2863" s="690"/>
    </row>
    <row r="2864" spans="1:22" s="688" customFormat="1" ht="17.100000000000001" customHeight="1">
      <c r="A2864" s="1318" t="s">
        <v>1320</v>
      </c>
      <c r="B2864" s="1319"/>
      <c r="C2864" s="1316"/>
      <c r="D2864" s="1317"/>
      <c r="E2864" s="686"/>
      <c r="F2864" s="676"/>
      <c r="G2864" s="670"/>
      <c r="H2864" s="670" t="e">
        <f>SUM(H2853:H2863)</f>
        <v>#REF!</v>
      </c>
      <c r="I2864" s="670"/>
      <c r="J2864" s="670" t="e">
        <f>SUM(J2853:J2863)</f>
        <v>#REF!</v>
      </c>
      <c r="K2864" s="670"/>
      <c r="L2864" s="670" t="e">
        <f>SUM(L2853:L2863)</f>
        <v>#REF!</v>
      </c>
      <c r="M2864" s="670"/>
      <c r="N2864" s="670" t="e">
        <f>SUM(N2853:N2863)</f>
        <v>#REF!</v>
      </c>
      <c r="O2864" s="671"/>
      <c r="P2864" s="812"/>
      <c r="Q2864" s="688">
        <f t="shared" si="701"/>
        <v>71.5</v>
      </c>
      <c r="R2864" s="688">
        <f t="shared" si="701"/>
        <v>71.5</v>
      </c>
      <c r="T2864" s="690">
        <f t="shared" si="702"/>
        <v>0</v>
      </c>
      <c r="U2864" s="690"/>
      <c r="V2864" s="690"/>
    </row>
    <row r="2865" spans="1:22" s="688" customFormat="1" ht="17.100000000000001" customHeight="1">
      <c r="A2865" s="668">
        <f>A2852+1</f>
        <v>401</v>
      </c>
      <c r="B2865" s="1320" t="s">
        <v>2186</v>
      </c>
      <c r="C2865" s="1320"/>
      <c r="D2865" s="1320" t="s">
        <v>2190</v>
      </c>
      <c r="E2865" s="1320"/>
      <c r="F2865" s="669" t="s">
        <v>645</v>
      </c>
      <c r="G2865" s="698"/>
      <c r="H2865" s="698"/>
      <c r="I2865" s="698"/>
      <c r="J2865" s="698"/>
      <c r="K2865" s="670"/>
      <c r="L2865" s="670"/>
      <c r="M2865" s="670"/>
      <c r="N2865" s="698"/>
      <c r="O2865" s="699" t="s">
        <v>1562</v>
      </c>
      <c r="P2865" s="672"/>
      <c r="Q2865" s="688">
        <f t="shared" si="701"/>
        <v>71.5</v>
      </c>
      <c r="R2865" s="688">
        <f t="shared" si="701"/>
        <v>71.5</v>
      </c>
      <c r="S2865" s="688">
        <v>2</v>
      </c>
      <c r="T2865" s="690">
        <f t="shared" si="702"/>
        <v>2.8000000000000001E-2</v>
      </c>
      <c r="U2865" s="690"/>
      <c r="V2865" s="690"/>
    </row>
    <row r="2866" spans="1:22" s="688" customFormat="1" ht="17.100000000000001" customHeight="1">
      <c r="A2866" s="1316" t="s">
        <v>2150</v>
      </c>
      <c r="B2866" s="1317"/>
      <c r="C2866" s="1316" t="s">
        <v>2151</v>
      </c>
      <c r="D2866" s="1317"/>
      <c r="E2866" s="675">
        <v>1.04</v>
      </c>
      <c r="F2866" s="676" t="s">
        <v>645</v>
      </c>
      <c r="G2866" s="670"/>
      <c r="H2866" s="670"/>
      <c r="I2866" s="670"/>
      <c r="J2866" s="670"/>
      <c r="K2866" s="670"/>
      <c r="L2866" s="670"/>
      <c r="M2866" s="670"/>
      <c r="N2866" s="670"/>
      <c r="O2866" s="671"/>
      <c r="P2866" s="672"/>
      <c r="Q2866" s="688">
        <f t="shared" si="701"/>
        <v>71.5</v>
      </c>
      <c r="R2866" s="688">
        <f t="shared" si="701"/>
        <v>71.5</v>
      </c>
      <c r="S2866" s="688">
        <v>1</v>
      </c>
      <c r="T2866" s="690">
        <f t="shared" si="702"/>
        <v>1.4E-2</v>
      </c>
      <c r="U2866" s="690"/>
      <c r="V2866" s="690"/>
    </row>
    <row r="2867" spans="1:22" s="688" customFormat="1" ht="17.100000000000001" customHeight="1">
      <c r="A2867" s="1369" t="s">
        <v>2133</v>
      </c>
      <c r="B2867" s="1365"/>
      <c r="C2867" s="1369" t="s">
        <v>1761</v>
      </c>
      <c r="D2867" s="1365"/>
      <c r="E2867" s="821">
        <v>1.04</v>
      </c>
      <c r="F2867" s="815" t="s">
        <v>645</v>
      </c>
      <c r="G2867" s="816"/>
      <c r="H2867" s="816"/>
      <c r="I2867" s="816"/>
      <c r="J2867" s="816"/>
      <c r="K2867" s="816">
        <f>[53]운반공!$BO$628</f>
        <v>518</v>
      </c>
      <c r="L2867" s="816">
        <f>INT(E2867*K2867)</f>
        <v>538</v>
      </c>
      <c r="M2867" s="816">
        <f t="shared" ref="M2867:N2875" si="703">G2867+I2867+K2867</f>
        <v>518</v>
      </c>
      <c r="N2867" s="816">
        <f t="shared" si="703"/>
        <v>538</v>
      </c>
      <c r="O2867" s="817"/>
      <c r="P2867" s="672"/>
      <c r="Q2867" s="688">
        <f t="shared" si="701"/>
        <v>71.5</v>
      </c>
      <c r="R2867" s="688">
        <f t="shared" si="701"/>
        <v>71.5</v>
      </c>
      <c r="S2867" s="688">
        <v>1</v>
      </c>
      <c r="T2867" s="690">
        <f t="shared" si="702"/>
        <v>1.4E-2</v>
      </c>
      <c r="U2867" s="690"/>
      <c r="V2867" s="690"/>
    </row>
    <row r="2868" spans="1:22" s="688" customFormat="1" ht="17.100000000000001" customHeight="1">
      <c r="A2868" s="1316" t="s">
        <v>2152</v>
      </c>
      <c r="B2868" s="1317"/>
      <c r="C2868" s="1316" t="s">
        <v>2153</v>
      </c>
      <c r="D2868" s="1317"/>
      <c r="E2868" s="683">
        <v>2.0999999999999999E-3</v>
      </c>
      <c r="F2868" s="676" t="s">
        <v>850</v>
      </c>
      <c r="G2868" s="670" t="e">
        <f>#REF!</f>
        <v>#REF!</v>
      </c>
      <c r="H2868" s="670" t="e">
        <f>INT(E2868*G2868)</f>
        <v>#REF!</v>
      </c>
      <c r="I2868" s="670"/>
      <c r="J2868" s="670"/>
      <c r="K2868" s="670"/>
      <c r="L2868" s="670"/>
      <c r="M2868" s="670" t="e">
        <f t="shared" si="703"/>
        <v>#REF!</v>
      </c>
      <c r="N2868" s="670" t="e">
        <f t="shared" si="703"/>
        <v>#REF!</v>
      </c>
      <c r="O2868" s="671"/>
      <c r="P2868" s="672"/>
      <c r="Q2868" s="688">
        <f t="shared" si="701"/>
        <v>71.5</v>
      </c>
      <c r="R2868" s="688">
        <f t="shared" si="701"/>
        <v>71.5</v>
      </c>
      <c r="S2868" s="688">
        <v>8</v>
      </c>
      <c r="T2868" s="690">
        <f t="shared" si="702"/>
        <v>0.1119</v>
      </c>
      <c r="U2868" s="690"/>
      <c r="V2868" s="690"/>
    </row>
    <row r="2869" spans="1:22" s="688" customFormat="1" ht="17.100000000000001" customHeight="1">
      <c r="A2869" s="1316" t="s">
        <v>821</v>
      </c>
      <c r="B2869" s="1317"/>
      <c r="C2869" s="1316" t="s">
        <v>2154</v>
      </c>
      <c r="D2869" s="1317"/>
      <c r="E2869" s="701">
        <v>3.3000000000000002E-2</v>
      </c>
      <c r="F2869" s="676" t="s">
        <v>850</v>
      </c>
      <c r="G2869" s="670" t="e">
        <f>#REF!</f>
        <v>#REF!</v>
      </c>
      <c r="H2869" s="670" t="e">
        <f>INT(E2869*G2869)</f>
        <v>#REF!</v>
      </c>
      <c r="I2869" s="670"/>
      <c r="J2869" s="670"/>
      <c r="K2869" s="670"/>
      <c r="L2869" s="670"/>
      <c r="M2869" s="670" t="e">
        <f t="shared" si="703"/>
        <v>#REF!</v>
      </c>
      <c r="N2869" s="670" t="e">
        <f t="shared" si="703"/>
        <v>#REF!</v>
      </c>
      <c r="O2869" s="671"/>
      <c r="P2869" s="672"/>
      <c r="Q2869" s="688">
        <f t="shared" si="701"/>
        <v>71.5</v>
      </c>
      <c r="R2869" s="688">
        <f t="shared" si="701"/>
        <v>71.5</v>
      </c>
      <c r="S2869" s="688">
        <v>8</v>
      </c>
      <c r="T2869" s="690">
        <f t="shared" si="702"/>
        <v>0.1119</v>
      </c>
      <c r="U2869" s="690"/>
      <c r="V2869" s="690"/>
    </row>
    <row r="2870" spans="1:22" s="688" customFormat="1" ht="17.100000000000001" customHeight="1">
      <c r="A2870" s="1316" t="s">
        <v>540</v>
      </c>
      <c r="B2870" s="1317"/>
      <c r="C2870" s="1316"/>
      <c r="D2870" s="1317"/>
      <c r="E2870" s="683">
        <f t="shared" ref="E2870:E2875" si="704">T2839</f>
        <v>1.8200000000000001E-2</v>
      </c>
      <c r="F2870" s="676" t="s">
        <v>366</v>
      </c>
      <c r="G2870" s="670"/>
      <c r="H2870" s="670"/>
      <c r="I2870" s="670">
        <f>[53]노임단가!$T$22</f>
        <v>273308</v>
      </c>
      <c r="J2870" s="670">
        <f t="shared" ref="J2870:J2875" si="705">INT(E2870*I2870)</f>
        <v>4974</v>
      </c>
      <c r="K2870" s="670"/>
      <c r="L2870" s="670"/>
      <c r="M2870" s="670">
        <f t="shared" si="703"/>
        <v>273308</v>
      </c>
      <c r="N2870" s="670">
        <f t="shared" si="703"/>
        <v>4974</v>
      </c>
      <c r="O2870" s="671"/>
      <c r="P2870" s="672"/>
      <c r="Q2870" s="688">
        <f t="shared" si="701"/>
        <v>71.5</v>
      </c>
      <c r="R2870" s="688">
        <f t="shared" si="701"/>
        <v>71.5</v>
      </c>
      <c r="S2870" s="688">
        <v>8</v>
      </c>
      <c r="T2870" s="690">
        <f t="shared" si="702"/>
        <v>0.1119</v>
      </c>
      <c r="U2870" s="690"/>
      <c r="V2870" s="690"/>
    </row>
    <row r="2871" spans="1:22" s="688" customFormat="1" ht="17.100000000000001" customHeight="1">
      <c r="A2871" s="1316" t="s">
        <v>628</v>
      </c>
      <c r="B2871" s="1317"/>
      <c r="C2871" s="1316"/>
      <c r="D2871" s="1317"/>
      <c r="E2871" s="683">
        <f t="shared" si="704"/>
        <v>9.1000000000000004E-3</v>
      </c>
      <c r="F2871" s="676" t="s">
        <v>366</v>
      </c>
      <c r="G2871" s="670"/>
      <c r="H2871" s="670"/>
      <c r="I2871" s="670">
        <f>[53]노임단가!$T$6</f>
        <v>226122</v>
      </c>
      <c r="J2871" s="670">
        <f t="shared" si="705"/>
        <v>2057</v>
      </c>
      <c r="K2871" s="670"/>
      <c r="L2871" s="670"/>
      <c r="M2871" s="670">
        <f t="shared" si="703"/>
        <v>226122</v>
      </c>
      <c r="N2871" s="670">
        <f t="shared" si="703"/>
        <v>2057</v>
      </c>
      <c r="O2871" s="671"/>
      <c r="P2871" s="672"/>
      <c r="Q2871" s="688">
        <f t="shared" si="701"/>
        <v>71.5</v>
      </c>
      <c r="R2871" s="688">
        <f t="shared" si="701"/>
        <v>71.5</v>
      </c>
      <c r="T2871" s="690">
        <f t="shared" si="702"/>
        <v>0</v>
      </c>
      <c r="U2871" s="690"/>
      <c r="V2871" s="690"/>
    </row>
    <row r="2872" spans="1:22" s="688" customFormat="1" ht="17.100000000000001" customHeight="1">
      <c r="A2872" s="1316" t="s">
        <v>248</v>
      </c>
      <c r="B2872" s="1317"/>
      <c r="C2872" s="1316"/>
      <c r="D2872" s="1317"/>
      <c r="E2872" s="683">
        <f t="shared" si="704"/>
        <v>9.1000000000000004E-3</v>
      </c>
      <c r="F2872" s="676" t="s">
        <v>366</v>
      </c>
      <c r="G2872" s="670"/>
      <c r="H2872" s="670"/>
      <c r="I2872" s="670">
        <f>[53]노임단가!$T$5</f>
        <v>172068</v>
      </c>
      <c r="J2872" s="670">
        <f t="shared" si="705"/>
        <v>1565</v>
      </c>
      <c r="K2872" s="670"/>
      <c r="L2872" s="670"/>
      <c r="M2872" s="670">
        <f t="shared" si="703"/>
        <v>172068</v>
      </c>
      <c r="N2872" s="670">
        <f t="shared" si="703"/>
        <v>1565</v>
      </c>
      <c r="O2872" s="671"/>
      <c r="P2872" s="672"/>
    </row>
    <row r="2873" spans="1:22" s="688" customFormat="1" ht="17.100000000000001" customHeight="1">
      <c r="A2873" s="1316" t="s">
        <v>409</v>
      </c>
      <c r="B2873" s="1317"/>
      <c r="C2873" s="1316" t="s">
        <v>1380</v>
      </c>
      <c r="D2873" s="1317"/>
      <c r="E2873" s="683">
        <f t="shared" si="704"/>
        <v>7.2700000000000001E-2</v>
      </c>
      <c r="F2873" s="676" t="s">
        <v>418</v>
      </c>
      <c r="G2873" s="670" t="e">
        <f>#REF!</f>
        <v>#REF!</v>
      </c>
      <c r="H2873" s="670" t="e">
        <f>INT(E2873*G2873)</f>
        <v>#REF!</v>
      </c>
      <c r="I2873" s="670" t="e">
        <f>#REF!</f>
        <v>#REF!</v>
      </c>
      <c r="J2873" s="670" t="e">
        <f t="shared" si="705"/>
        <v>#REF!</v>
      </c>
      <c r="K2873" s="670" t="e">
        <f>#REF!</f>
        <v>#REF!</v>
      </c>
      <c r="L2873" s="670" t="e">
        <f>INT(E2873*K2873)</f>
        <v>#REF!</v>
      </c>
      <c r="M2873" s="670" t="e">
        <f t="shared" si="703"/>
        <v>#REF!</v>
      </c>
      <c r="N2873" s="670" t="e">
        <f t="shared" si="703"/>
        <v>#REF!</v>
      </c>
      <c r="O2873" s="671"/>
      <c r="P2873" s="672" t="s">
        <v>1549</v>
      </c>
      <c r="Q2873" s="687" t="s">
        <v>1446</v>
      </c>
      <c r="R2873" s="688" t="s">
        <v>1876</v>
      </c>
      <c r="S2873" s="688" t="s">
        <v>1425</v>
      </c>
      <c r="T2873" s="688" t="s">
        <v>1426</v>
      </c>
    </row>
    <row r="2874" spans="1:22" s="688" customFormat="1" ht="16.5" customHeight="1">
      <c r="A2874" s="1316" t="s">
        <v>465</v>
      </c>
      <c r="B2874" s="1317"/>
      <c r="C2874" s="1316" t="s">
        <v>466</v>
      </c>
      <c r="D2874" s="1317"/>
      <c r="E2874" s="683">
        <f t="shared" si="704"/>
        <v>7.2700000000000001E-2</v>
      </c>
      <c r="F2874" s="676" t="s">
        <v>418</v>
      </c>
      <c r="G2874" s="670" t="e">
        <f>#REF!</f>
        <v>#REF!</v>
      </c>
      <c r="H2874" s="750" t="e">
        <f>INT(E2874*G2874)</f>
        <v>#REF!</v>
      </c>
      <c r="I2874" s="670" t="e">
        <f>#REF!</f>
        <v>#REF!</v>
      </c>
      <c r="J2874" s="750" t="e">
        <f t="shared" si="705"/>
        <v>#REF!</v>
      </c>
      <c r="K2874" s="670" t="e">
        <f>#REF!</f>
        <v>#REF!</v>
      </c>
      <c r="L2874" s="750" t="e">
        <f>INT(E2874*K2874)</f>
        <v>#REF!</v>
      </c>
      <c r="M2874" s="670" t="e">
        <f t="shared" si="703"/>
        <v>#REF!</v>
      </c>
      <c r="N2874" s="670" t="e">
        <f t="shared" si="703"/>
        <v>#REF!</v>
      </c>
      <c r="O2874" s="671"/>
      <c r="P2874" s="672" t="s">
        <v>2183</v>
      </c>
      <c r="Q2874" s="688">
        <f>110*0.85</f>
        <v>93.5</v>
      </c>
      <c r="R2874" s="688">
        <f>(Q2874)</f>
        <v>93.5</v>
      </c>
      <c r="T2874" s="690">
        <f>ROUND(S2874/R2874,4)</f>
        <v>0</v>
      </c>
      <c r="U2874" s="690"/>
      <c r="V2874" s="690"/>
    </row>
    <row r="2875" spans="1:22" s="688" customFormat="1" ht="17.100000000000001" customHeight="1">
      <c r="A2875" s="1316" t="s">
        <v>641</v>
      </c>
      <c r="B2875" s="1317"/>
      <c r="C2875" s="1316" t="s">
        <v>642</v>
      </c>
      <c r="D2875" s="1317"/>
      <c r="E2875" s="683">
        <f t="shared" si="704"/>
        <v>7.2700000000000001E-2</v>
      </c>
      <c r="F2875" s="676" t="s">
        <v>418</v>
      </c>
      <c r="G2875" s="670" t="e">
        <f>#REF!</f>
        <v>#REF!</v>
      </c>
      <c r="H2875" s="670" t="e">
        <f>INT(E2875*G2875)</f>
        <v>#REF!</v>
      </c>
      <c r="I2875" s="670" t="e">
        <f>#REF!</f>
        <v>#REF!</v>
      </c>
      <c r="J2875" s="670" t="e">
        <f t="shared" si="705"/>
        <v>#REF!</v>
      </c>
      <c r="K2875" s="670" t="e">
        <f>#REF!</f>
        <v>#REF!</v>
      </c>
      <c r="L2875" s="670" t="e">
        <f>INT(E2875*K2875)</f>
        <v>#REF!</v>
      </c>
      <c r="M2875" s="670" t="e">
        <f t="shared" si="703"/>
        <v>#REF!</v>
      </c>
      <c r="N2875" s="670" t="e">
        <f t="shared" si="703"/>
        <v>#REF!</v>
      </c>
      <c r="O2875" s="671"/>
      <c r="P2875" s="813"/>
      <c r="Q2875" s="688">
        <f>Q2874</f>
        <v>93.5</v>
      </c>
      <c r="R2875" s="688">
        <f>R2874</f>
        <v>93.5</v>
      </c>
      <c r="T2875" s="690">
        <f>ROUND(S2875/R2875,4)</f>
        <v>0</v>
      </c>
      <c r="U2875" s="690"/>
      <c r="V2875" s="690"/>
    </row>
    <row r="2876" spans="1:22" s="688" customFormat="1" ht="17.100000000000001" customHeight="1">
      <c r="A2876" s="1316" t="s">
        <v>2108</v>
      </c>
      <c r="B2876" s="1317"/>
      <c r="C2876" s="1316" t="s">
        <v>1764</v>
      </c>
      <c r="D2876" s="1317"/>
      <c r="E2876" s="675">
        <v>0.02</v>
      </c>
      <c r="F2876" s="676" t="s">
        <v>672</v>
      </c>
      <c r="G2876" s="670"/>
      <c r="H2876" s="670">
        <f>INT(E2876*G2876)</f>
        <v>0</v>
      </c>
      <c r="I2876" s="670"/>
      <c r="J2876" s="670"/>
      <c r="K2876" s="670">
        <f>SUM(J2870:J2872)</f>
        <v>8596</v>
      </c>
      <c r="L2876" s="670">
        <f>INT(E2876*K2876)</f>
        <v>171</v>
      </c>
      <c r="M2876" s="670">
        <f>G2876+I2876+K2876</f>
        <v>8596</v>
      </c>
      <c r="N2876" s="670">
        <f>H2876+J2876+L2876</f>
        <v>171</v>
      </c>
      <c r="O2876" s="671"/>
      <c r="P2876" s="672"/>
      <c r="Q2876" s="688">
        <f t="shared" ref="Q2876:R2884" si="706">Q2875</f>
        <v>93.5</v>
      </c>
      <c r="R2876" s="688">
        <f t="shared" si="706"/>
        <v>93.5</v>
      </c>
      <c r="T2876" s="690">
        <f t="shared" ref="T2876:T2884" si="707">ROUND(S2876/R2876,4)</f>
        <v>0</v>
      </c>
      <c r="U2876" s="690"/>
      <c r="V2876" s="690"/>
    </row>
    <row r="2877" spans="1:22" s="688" customFormat="1" ht="17.100000000000001" customHeight="1">
      <c r="A2877" s="1318" t="s">
        <v>1320</v>
      </c>
      <c r="B2877" s="1319"/>
      <c r="C2877" s="1316"/>
      <c r="D2877" s="1317"/>
      <c r="E2877" s="686"/>
      <c r="F2877" s="676"/>
      <c r="G2877" s="670"/>
      <c r="H2877" s="670" t="e">
        <f>SUM(H2866:H2876)</f>
        <v>#REF!</v>
      </c>
      <c r="I2877" s="670"/>
      <c r="J2877" s="670" t="e">
        <f>SUM(J2866:J2876)</f>
        <v>#REF!</v>
      </c>
      <c r="K2877" s="670"/>
      <c r="L2877" s="670" t="e">
        <f>SUM(L2866:L2876)</f>
        <v>#REF!</v>
      </c>
      <c r="M2877" s="670"/>
      <c r="N2877" s="670" t="e">
        <f>SUM(N2866:N2876)</f>
        <v>#REF!</v>
      </c>
      <c r="O2877" s="671"/>
      <c r="P2877" s="812"/>
      <c r="Q2877" s="688">
        <f t="shared" si="706"/>
        <v>93.5</v>
      </c>
      <c r="R2877" s="688">
        <f t="shared" si="706"/>
        <v>93.5</v>
      </c>
      <c r="T2877" s="690">
        <f t="shared" si="707"/>
        <v>0</v>
      </c>
      <c r="U2877" s="690"/>
      <c r="V2877" s="690"/>
    </row>
    <row r="2878" spans="1:22" s="688" customFormat="1" ht="17.100000000000001" customHeight="1">
      <c r="A2878" s="668">
        <f>A2865+1</f>
        <v>402</v>
      </c>
      <c r="B2878" s="1320" t="s">
        <v>2186</v>
      </c>
      <c r="C2878" s="1320"/>
      <c r="D2878" s="1320" t="s">
        <v>2191</v>
      </c>
      <c r="E2878" s="1320"/>
      <c r="F2878" s="669" t="s">
        <v>645</v>
      </c>
      <c r="G2878" s="698"/>
      <c r="H2878" s="698"/>
      <c r="I2878" s="698"/>
      <c r="J2878" s="698"/>
      <c r="K2878" s="670"/>
      <c r="L2878" s="670"/>
      <c r="M2878" s="670"/>
      <c r="N2878" s="698"/>
      <c r="O2878" s="699" t="s">
        <v>1562</v>
      </c>
      <c r="P2878" s="672"/>
      <c r="Q2878" s="688">
        <f t="shared" si="706"/>
        <v>93.5</v>
      </c>
      <c r="R2878" s="688">
        <f t="shared" si="706"/>
        <v>93.5</v>
      </c>
      <c r="S2878" s="688">
        <v>2</v>
      </c>
      <c r="T2878" s="690">
        <f t="shared" si="707"/>
        <v>2.1399999999999999E-2</v>
      </c>
      <c r="U2878" s="690"/>
      <c r="V2878" s="690"/>
    </row>
    <row r="2879" spans="1:22" s="688" customFormat="1" ht="17.100000000000001" customHeight="1">
      <c r="A2879" s="1316" t="s">
        <v>2150</v>
      </c>
      <c r="B2879" s="1317"/>
      <c r="C2879" s="1316" t="s">
        <v>2151</v>
      </c>
      <c r="D2879" s="1317"/>
      <c r="E2879" s="675">
        <v>1.04</v>
      </c>
      <c r="F2879" s="676" t="s">
        <v>645</v>
      </c>
      <c r="G2879" s="670"/>
      <c r="H2879" s="670"/>
      <c r="I2879" s="670"/>
      <c r="J2879" s="670"/>
      <c r="K2879" s="670"/>
      <c r="L2879" s="670"/>
      <c r="M2879" s="670"/>
      <c r="N2879" s="670"/>
      <c r="O2879" s="671"/>
      <c r="P2879" s="672"/>
      <c r="Q2879" s="688">
        <f t="shared" si="706"/>
        <v>93.5</v>
      </c>
      <c r="R2879" s="688">
        <f t="shared" si="706"/>
        <v>93.5</v>
      </c>
      <c r="S2879" s="688">
        <v>1</v>
      </c>
      <c r="T2879" s="690">
        <f t="shared" si="707"/>
        <v>1.0699999999999999E-2</v>
      </c>
      <c r="U2879" s="690"/>
      <c r="V2879" s="690"/>
    </row>
    <row r="2880" spans="1:22" s="688" customFormat="1" ht="17.100000000000001" customHeight="1">
      <c r="A2880" s="1369" t="s">
        <v>2133</v>
      </c>
      <c r="B2880" s="1365"/>
      <c r="C2880" s="1369" t="s">
        <v>1761</v>
      </c>
      <c r="D2880" s="1365"/>
      <c r="E2880" s="821">
        <v>1.04</v>
      </c>
      <c r="F2880" s="815" t="s">
        <v>645</v>
      </c>
      <c r="G2880" s="816"/>
      <c r="H2880" s="816"/>
      <c r="I2880" s="816"/>
      <c r="J2880" s="816"/>
      <c r="K2880" s="816">
        <f>[53]운반공!$BO$628</f>
        <v>518</v>
      </c>
      <c r="L2880" s="816">
        <f>INT(E2880*K2880)</f>
        <v>538</v>
      </c>
      <c r="M2880" s="816">
        <f t="shared" ref="M2880:N2888" si="708">G2880+I2880+K2880</f>
        <v>518</v>
      </c>
      <c r="N2880" s="816">
        <f t="shared" si="708"/>
        <v>538</v>
      </c>
      <c r="O2880" s="817"/>
      <c r="P2880" s="672"/>
      <c r="Q2880" s="688">
        <f t="shared" si="706"/>
        <v>93.5</v>
      </c>
      <c r="R2880" s="688">
        <f t="shared" si="706"/>
        <v>93.5</v>
      </c>
      <c r="S2880" s="688">
        <v>1</v>
      </c>
      <c r="T2880" s="690">
        <f t="shared" si="707"/>
        <v>1.0699999999999999E-2</v>
      </c>
      <c r="U2880" s="690"/>
      <c r="V2880" s="690"/>
    </row>
    <row r="2881" spans="1:22" s="688" customFormat="1" ht="17.100000000000001" customHeight="1">
      <c r="A2881" s="1316" t="s">
        <v>2152</v>
      </c>
      <c r="B2881" s="1317"/>
      <c r="C2881" s="1316" t="s">
        <v>2153</v>
      </c>
      <c r="D2881" s="1317"/>
      <c r="E2881" s="683">
        <v>2.0999999999999999E-3</v>
      </c>
      <c r="F2881" s="676" t="s">
        <v>850</v>
      </c>
      <c r="G2881" s="670" t="e">
        <f>#REF!</f>
        <v>#REF!</v>
      </c>
      <c r="H2881" s="670" t="e">
        <f>INT(E2881*G2881)</f>
        <v>#REF!</v>
      </c>
      <c r="I2881" s="670"/>
      <c r="J2881" s="670"/>
      <c r="K2881" s="670"/>
      <c r="L2881" s="670"/>
      <c r="M2881" s="670" t="e">
        <f t="shared" si="708"/>
        <v>#REF!</v>
      </c>
      <c r="N2881" s="670" t="e">
        <f t="shared" si="708"/>
        <v>#REF!</v>
      </c>
      <c r="O2881" s="671"/>
      <c r="P2881" s="672"/>
      <c r="Q2881" s="688">
        <f t="shared" si="706"/>
        <v>93.5</v>
      </c>
      <c r="R2881" s="688">
        <f t="shared" si="706"/>
        <v>93.5</v>
      </c>
      <c r="S2881" s="688">
        <v>8</v>
      </c>
      <c r="T2881" s="690">
        <f t="shared" si="707"/>
        <v>8.5599999999999996E-2</v>
      </c>
      <c r="U2881" s="690"/>
      <c r="V2881" s="690"/>
    </row>
    <row r="2882" spans="1:22" s="688" customFormat="1" ht="17.100000000000001" customHeight="1">
      <c r="A2882" s="1316" t="s">
        <v>821</v>
      </c>
      <c r="B2882" s="1317"/>
      <c r="C2882" s="1316" t="s">
        <v>2154</v>
      </c>
      <c r="D2882" s="1317"/>
      <c r="E2882" s="701">
        <v>3.3000000000000002E-2</v>
      </c>
      <c r="F2882" s="676" t="s">
        <v>850</v>
      </c>
      <c r="G2882" s="670" t="e">
        <f>#REF!</f>
        <v>#REF!</v>
      </c>
      <c r="H2882" s="670" t="e">
        <f>INT(E2882*G2882)</f>
        <v>#REF!</v>
      </c>
      <c r="I2882" s="670"/>
      <c r="J2882" s="670"/>
      <c r="K2882" s="670"/>
      <c r="L2882" s="670"/>
      <c r="M2882" s="670" t="e">
        <f t="shared" si="708"/>
        <v>#REF!</v>
      </c>
      <c r="N2882" s="670" t="e">
        <f t="shared" si="708"/>
        <v>#REF!</v>
      </c>
      <c r="O2882" s="671"/>
      <c r="P2882" s="672"/>
      <c r="Q2882" s="688">
        <f t="shared" si="706"/>
        <v>93.5</v>
      </c>
      <c r="R2882" s="688">
        <f t="shared" si="706"/>
        <v>93.5</v>
      </c>
      <c r="S2882" s="688">
        <v>8</v>
      </c>
      <c r="T2882" s="690">
        <f t="shared" si="707"/>
        <v>8.5599999999999996E-2</v>
      </c>
      <c r="U2882" s="690"/>
      <c r="V2882" s="690"/>
    </row>
    <row r="2883" spans="1:22" s="688" customFormat="1" ht="17.100000000000001" customHeight="1">
      <c r="A2883" s="1316" t="s">
        <v>540</v>
      </c>
      <c r="B2883" s="1317"/>
      <c r="C2883" s="1316"/>
      <c r="D2883" s="1317"/>
      <c r="E2883" s="683">
        <f t="shared" ref="E2883:E2888" si="709">T2852</f>
        <v>1.7299999999999999E-2</v>
      </c>
      <c r="F2883" s="676" t="s">
        <v>366</v>
      </c>
      <c r="G2883" s="670"/>
      <c r="H2883" s="670"/>
      <c r="I2883" s="670">
        <f>[53]노임단가!$T$22</f>
        <v>273308</v>
      </c>
      <c r="J2883" s="670">
        <f t="shared" ref="J2883:J2888" si="710">INT(E2883*I2883)</f>
        <v>4728</v>
      </c>
      <c r="K2883" s="670"/>
      <c r="L2883" s="670"/>
      <c r="M2883" s="670">
        <f t="shared" si="708"/>
        <v>273308</v>
      </c>
      <c r="N2883" s="670">
        <f t="shared" si="708"/>
        <v>4728</v>
      </c>
      <c r="O2883" s="671"/>
      <c r="P2883" s="672"/>
      <c r="Q2883" s="688">
        <f t="shared" si="706"/>
        <v>93.5</v>
      </c>
      <c r="R2883" s="688">
        <f t="shared" si="706"/>
        <v>93.5</v>
      </c>
      <c r="S2883" s="688">
        <v>8</v>
      </c>
      <c r="T2883" s="690">
        <f t="shared" si="707"/>
        <v>8.5599999999999996E-2</v>
      </c>
      <c r="U2883" s="690"/>
      <c r="V2883" s="690"/>
    </row>
    <row r="2884" spans="1:22" s="688" customFormat="1" ht="17.100000000000001" customHeight="1">
      <c r="A2884" s="1316" t="s">
        <v>628</v>
      </c>
      <c r="B2884" s="1317"/>
      <c r="C2884" s="1316"/>
      <c r="D2884" s="1317"/>
      <c r="E2884" s="683">
        <f t="shared" si="709"/>
        <v>8.6999999999999994E-3</v>
      </c>
      <c r="F2884" s="676" t="s">
        <v>366</v>
      </c>
      <c r="G2884" s="670"/>
      <c r="H2884" s="670"/>
      <c r="I2884" s="670">
        <f>[53]노임단가!$T$6</f>
        <v>226122</v>
      </c>
      <c r="J2884" s="670">
        <f t="shared" si="710"/>
        <v>1967</v>
      </c>
      <c r="K2884" s="670"/>
      <c r="L2884" s="670"/>
      <c r="M2884" s="670">
        <f t="shared" si="708"/>
        <v>226122</v>
      </c>
      <c r="N2884" s="670">
        <f t="shared" si="708"/>
        <v>1967</v>
      </c>
      <c r="O2884" s="671"/>
      <c r="P2884" s="672"/>
      <c r="Q2884" s="688">
        <f t="shared" si="706"/>
        <v>93.5</v>
      </c>
      <c r="R2884" s="688">
        <f t="shared" si="706"/>
        <v>93.5</v>
      </c>
      <c r="T2884" s="690">
        <f t="shared" si="707"/>
        <v>0</v>
      </c>
      <c r="U2884" s="690"/>
      <c r="V2884" s="690"/>
    </row>
    <row r="2885" spans="1:22" s="688" customFormat="1" ht="17.100000000000001" customHeight="1">
      <c r="A2885" s="1316" t="s">
        <v>248</v>
      </c>
      <c r="B2885" s="1317"/>
      <c r="C2885" s="1316"/>
      <c r="D2885" s="1317"/>
      <c r="E2885" s="683">
        <f t="shared" si="709"/>
        <v>8.6999999999999994E-3</v>
      </c>
      <c r="F2885" s="676" t="s">
        <v>366</v>
      </c>
      <c r="G2885" s="670"/>
      <c r="H2885" s="670"/>
      <c r="I2885" s="670">
        <f>[53]노임단가!$T$5</f>
        <v>172068</v>
      </c>
      <c r="J2885" s="670">
        <f t="shared" si="710"/>
        <v>1496</v>
      </c>
      <c r="K2885" s="670"/>
      <c r="L2885" s="670"/>
      <c r="M2885" s="670">
        <f t="shared" si="708"/>
        <v>172068</v>
      </c>
      <c r="N2885" s="670">
        <f t="shared" si="708"/>
        <v>1496</v>
      </c>
      <c r="O2885" s="671"/>
      <c r="P2885" s="672"/>
    </row>
    <row r="2886" spans="1:22" s="688" customFormat="1" ht="17.100000000000001" customHeight="1">
      <c r="A2886" s="1316" t="s">
        <v>409</v>
      </c>
      <c r="B2886" s="1317"/>
      <c r="C2886" s="1316" t="s">
        <v>1380</v>
      </c>
      <c r="D2886" s="1317"/>
      <c r="E2886" s="683">
        <f t="shared" si="709"/>
        <v>6.93E-2</v>
      </c>
      <c r="F2886" s="676" t="s">
        <v>418</v>
      </c>
      <c r="G2886" s="670" t="e">
        <f>#REF!</f>
        <v>#REF!</v>
      </c>
      <c r="H2886" s="670" t="e">
        <f>INT(E2886*G2886)</f>
        <v>#REF!</v>
      </c>
      <c r="I2886" s="670" t="e">
        <f>#REF!</f>
        <v>#REF!</v>
      </c>
      <c r="J2886" s="670" t="e">
        <f t="shared" si="710"/>
        <v>#REF!</v>
      </c>
      <c r="K2886" s="670" t="e">
        <f>#REF!</f>
        <v>#REF!</v>
      </c>
      <c r="L2886" s="670" t="e">
        <f>INT(E2886*K2886)</f>
        <v>#REF!</v>
      </c>
      <c r="M2886" s="670" t="e">
        <f t="shared" si="708"/>
        <v>#REF!</v>
      </c>
      <c r="N2886" s="670" t="e">
        <f t="shared" si="708"/>
        <v>#REF!</v>
      </c>
      <c r="O2886" s="671"/>
      <c r="P2886" s="672" t="s">
        <v>1549</v>
      </c>
      <c r="Q2886" s="687" t="s">
        <v>1446</v>
      </c>
      <c r="R2886" s="688" t="s">
        <v>1876</v>
      </c>
      <c r="S2886" s="688" t="s">
        <v>1425</v>
      </c>
      <c r="T2886" s="688" t="s">
        <v>1426</v>
      </c>
    </row>
    <row r="2887" spans="1:22" s="688" customFormat="1" ht="16.5" customHeight="1">
      <c r="A2887" s="1316" t="s">
        <v>465</v>
      </c>
      <c r="B2887" s="1317"/>
      <c r="C2887" s="1316" t="s">
        <v>466</v>
      </c>
      <c r="D2887" s="1317"/>
      <c r="E2887" s="683">
        <f t="shared" si="709"/>
        <v>6.93E-2</v>
      </c>
      <c r="F2887" s="676" t="s">
        <v>418</v>
      </c>
      <c r="G2887" s="670" t="e">
        <f>#REF!</f>
        <v>#REF!</v>
      </c>
      <c r="H2887" s="750" t="e">
        <f>INT(E2887*G2887)</f>
        <v>#REF!</v>
      </c>
      <c r="I2887" s="670" t="e">
        <f>#REF!</f>
        <v>#REF!</v>
      </c>
      <c r="J2887" s="750" t="e">
        <f t="shared" si="710"/>
        <v>#REF!</v>
      </c>
      <c r="K2887" s="670" t="e">
        <f>#REF!</f>
        <v>#REF!</v>
      </c>
      <c r="L2887" s="750" t="e">
        <f>INT(E2887*K2887)</f>
        <v>#REF!</v>
      </c>
      <c r="M2887" s="670" t="e">
        <f t="shared" si="708"/>
        <v>#REF!</v>
      </c>
      <c r="N2887" s="670" t="e">
        <f t="shared" si="708"/>
        <v>#REF!</v>
      </c>
      <c r="O2887" s="671"/>
      <c r="P2887" s="672" t="s">
        <v>2183</v>
      </c>
      <c r="Q2887" s="688">
        <f>110*0.95</f>
        <v>104.5</v>
      </c>
      <c r="R2887" s="688">
        <f>(Q2887)</f>
        <v>104.5</v>
      </c>
      <c r="T2887" s="690">
        <f>ROUND(S2887/R2887,4)</f>
        <v>0</v>
      </c>
      <c r="U2887" s="690"/>
      <c r="V2887" s="690"/>
    </row>
    <row r="2888" spans="1:22" s="688" customFormat="1" ht="17.100000000000001" customHeight="1">
      <c r="A2888" s="1316" t="s">
        <v>641</v>
      </c>
      <c r="B2888" s="1317"/>
      <c r="C2888" s="1316" t="s">
        <v>642</v>
      </c>
      <c r="D2888" s="1317"/>
      <c r="E2888" s="683">
        <f t="shared" si="709"/>
        <v>6.93E-2</v>
      </c>
      <c r="F2888" s="676" t="s">
        <v>418</v>
      </c>
      <c r="G2888" s="670" t="e">
        <f>#REF!</f>
        <v>#REF!</v>
      </c>
      <c r="H2888" s="670" t="e">
        <f>INT(E2888*G2888)</f>
        <v>#REF!</v>
      </c>
      <c r="I2888" s="670" t="e">
        <f>#REF!</f>
        <v>#REF!</v>
      </c>
      <c r="J2888" s="670" t="e">
        <f t="shared" si="710"/>
        <v>#REF!</v>
      </c>
      <c r="K2888" s="670" t="e">
        <f>#REF!</f>
        <v>#REF!</v>
      </c>
      <c r="L2888" s="670" t="e">
        <f>INT(E2888*K2888)</f>
        <v>#REF!</v>
      </c>
      <c r="M2888" s="670" t="e">
        <f t="shared" si="708"/>
        <v>#REF!</v>
      </c>
      <c r="N2888" s="670" t="e">
        <f t="shared" si="708"/>
        <v>#REF!</v>
      </c>
      <c r="O2888" s="671"/>
      <c r="P2888" s="813"/>
      <c r="Q2888" s="688">
        <f>Q2887</f>
        <v>104.5</v>
      </c>
      <c r="R2888" s="688">
        <f>R2887</f>
        <v>104.5</v>
      </c>
      <c r="T2888" s="690">
        <f>ROUND(S2888/R2888,4)</f>
        <v>0</v>
      </c>
      <c r="U2888" s="690"/>
      <c r="V2888" s="690"/>
    </row>
    <row r="2889" spans="1:22" s="688" customFormat="1" ht="17.100000000000001" customHeight="1">
      <c r="A2889" s="1316" t="s">
        <v>2108</v>
      </c>
      <c r="B2889" s="1317"/>
      <c r="C2889" s="1316" t="s">
        <v>1764</v>
      </c>
      <c r="D2889" s="1317"/>
      <c r="E2889" s="675">
        <v>0.02</v>
      </c>
      <c r="F2889" s="676" t="s">
        <v>672</v>
      </c>
      <c r="G2889" s="670"/>
      <c r="H2889" s="670">
        <f>INT(E2889*G2889)</f>
        <v>0</v>
      </c>
      <c r="I2889" s="670"/>
      <c r="J2889" s="670"/>
      <c r="K2889" s="670">
        <f>SUM(J2883:J2885)</f>
        <v>8191</v>
      </c>
      <c r="L2889" s="670">
        <f>INT(E2889*K2889)</f>
        <v>163</v>
      </c>
      <c r="M2889" s="670">
        <f>G2889+I2889+K2889</f>
        <v>8191</v>
      </c>
      <c r="N2889" s="670">
        <f>H2889+J2889+L2889</f>
        <v>163</v>
      </c>
      <c r="O2889" s="671"/>
      <c r="P2889" s="672"/>
      <c r="Q2889" s="688">
        <f t="shared" ref="Q2889:R2897" si="711">Q2888</f>
        <v>104.5</v>
      </c>
      <c r="R2889" s="688">
        <f t="shared" si="711"/>
        <v>104.5</v>
      </c>
      <c r="T2889" s="690">
        <f t="shared" ref="T2889:T2897" si="712">ROUND(S2889/R2889,4)</f>
        <v>0</v>
      </c>
      <c r="U2889" s="690"/>
      <c r="V2889" s="690"/>
    </row>
    <row r="2890" spans="1:22" s="688" customFormat="1" ht="17.100000000000001" customHeight="1">
      <c r="A2890" s="1318" t="s">
        <v>1320</v>
      </c>
      <c r="B2890" s="1319"/>
      <c r="C2890" s="1316"/>
      <c r="D2890" s="1317"/>
      <c r="E2890" s="686"/>
      <c r="F2890" s="676"/>
      <c r="G2890" s="670"/>
      <c r="H2890" s="670" t="e">
        <f>SUM(H2879:H2889)</f>
        <v>#REF!</v>
      </c>
      <c r="I2890" s="670"/>
      <c r="J2890" s="670" t="e">
        <f>SUM(J2879:J2889)</f>
        <v>#REF!</v>
      </c>
      <c r="K2890" s="670"/>
      <c r="L2890" s="670" t="e">
        <f>SUM(L2879:L2889)</f>
        <v>#REF!</v>
      </c>
      <c r="M2890" s="670"/>
      <c r="N2890" s="670" t="e">
        <f>SUM(N2879:N2889)</f>
        <v>#REF!</v>
      </c>
      <c r="O2890" s="671"/>
      <c r="P2890" s="812"/>
      <c r="Q2890" s="688">
        <f t="shared" si="711"/>
        <v>104.5</v>
      </c>
      <c r="R2890" s="688">
        <f t="shared" si="711"/>
        <v>104.5</v>
      </c>
      <c r="T2890" s="690">
        <f t="shared" si="712"/>
        <v>0</v>
      </c>
      <c r="U2890" s="690"/>
      <c r="V2890" s="690"/>
    </row>
    <row r="2891" spans="1:22" s="688" customFormat="1" ht="17.100000000000001" customHeight="1">
      <c r="A2891" s="668">
        <f>A2878+1</f>
        <v>403</v>
      </c>
      <c r="B2891" s="1320" t="s">
        <v>2186</v>
      </c>
      <c r="C2891" s="1320"/>
      <c r="D2891" s="1320" t="s">
        <v>2192</v>
      </c>
      <c r="E2891" s="1320"/>
      <c r="F2891" s="669" t="s">
        <v>645</v>
      </c>
      <c r="G2891" s="698"/>
      <c r="H2891" s="698"/>
      <c r="I2891" s="698"/>
      <c r="J2891" s="698"/>
      <c r="K2891" s="670"/>
      <c r="L2891" s="670"/>
      <c r="M2891" s="670"/>
      <c r="N2891" s="698"/>
      <c r="O2891" s="699" t="s">
        <v>1562</v>
      </c>
      <c r="P2891" s="672"/>
      <c r="Q2891" s="688">
        <f t="shared" si="711"/>
        <v>104.5</v>
      </c>
      <c r="R2891" s="688">
        <f t="shared" si="711"/>
        <v>104.5</v>
      </c>
      <c r="S2891" s="688">
        <v>2</v>
      </c>
      <c r="T2891" s="690">
        <f t="shared" si="712"/>
        <v>1.9099999999999999E-2</v>
      </c>
      <c r="U2891" s="690"/>
      <c r="V2891" s="690"/>
    </row>
    <row r="2892" spans="1:22" s="688" customFormat="1" ht="17.100000000000001" customHeight="1">
      <c r="A2892" s="1316" t="s">
        <v>2158</v>
      </c>
      <c r="B2892" s="1317"/>
      <c r="C2892" s="1316" t="s">
        <v>2159</v>
      </c>
      <c r="D2892" s="1317"/>
      <c r="E2892" s="677">
        <v>26</v>
      </c>
      <c r="F2892" s="676" t="s">
        <v>30</v>
      </c>
      <c r="G2892" s="670"/>
      <c r="H2892" s="670"/>
      <c r="I2892" s="670"/>
      <c r="J2892" s="670"/>
      <c r="K2892" s="670"/>
      <c r="L2892" s="670"/>
      <c r="M2892" s="670"/>
      <c r="N2892" s="670"/>
      <c r="O2892" s="671"/>
      <c r="P2892" s="672"/>
      <c r="Q2892" s="688">
        <f t="shared" si="711"/>
        <v>104.5</v>
      </c>
      <c r="R2892" s="688">
        <f t="shared" si="711"/>
        <v>104.5</v>
      </c>
      <c r="S2892" s="688">
        <v>1</v>
      </c>
      <c r="T2892" s="690">
        <f t="shared" si="712"/>
        <v>9.5999999999999992E-3</v>
      </c>
      <c r="U2892" s="690"/>
      <c r="V2892" s="690"/>
    </row>
    <row r="2893" spans="1:22" s="688" customFormat="1" ht="17.100000000000001" customHeight="1">
      <c r="A2893" s="1369" t="s">
        <v>2160</v>
      </c>
      <c r="B2893" s="1365"/>
      <c r="C2893" s="1369" t="s">
        <v>1761</v>
      </c>
      <c r="D2893" s="1365"/>
      <c r="E2893" s="677">
        <v>26</v>
      </c>
      <c r="F2893" s="676" t="s">
        <v>30</v>
      </c>
      <c r="G2893" s="816"/>
      <c r="H2893" s="816"/>
      <c r="I2893" s="816"/>
      <c r="J2893" s="816"/>
      <c r="K2893" s="816">
        <f>[53]운반공!$BO$635</f>
        <v>22</v>
      </c>
      <c r="L2893" s="816">
        <f>INT(E2893*K2893)</f>
        <v>572</v>
      </c>
      <c r="M2893" s="816">
        <f t="shared" ref="M2893:N2901" si="713">G2893+I2893+K2893</f>
        <v>22</v>
      </c>
      <c r="N2893" s="816">
        <f t="shared" si="713"/>
        <v>572</v>
      </c>
      <c r="O2893" s="817"/>
      <c r="P2893" s="672"/>
      <c r="Q2893" s="688">
        <f t="shared" si="711"/>
        <v>104.5</v>
      </c>
      <c r="R2893" s="688">
        <f t="shared" si="711"/>
        <v>104.5</v>
      </c>
      <c r="S2893" s="688">
        <v>1</v>
      </c>
      <c r="T2893" s="690">
        <f t="shared" si="712"/>
        <v>9.5999999999999992E-3</v>
      </c>
      <c r="U2893" s="690"/>
      <c r="V2893" s="690"/>
    </row>
    <row r="2894" spans="1:22" s="688" customFormat="1" ht="17.100000000000001" customHeight="1">
      <c r="A2894" s="1316" t="s">
        <v>2161</v>
      </c>
      <c r="B2894" s="1317"/>
      <c r="C2894" s="1316" t="s">
        <v>2153</v>
      </c>
      <c r="D2894" s="1317"/>
      <c r="E2894" s="683">
        <v>1.6000000000000001E-3</v>
      </c>
      <c r="F2894" s="676" t="s">
        <v>850</v>
      </c>
      <c r="G2894" s="670" t="e">
        <f>#REF!</f>
        <v>#REF!</v>
      </c>
      <c r="H2894" s="670" t="e">
        <f>INT(E2894*G2894)</f>
        <v>#REF!</v>
      </c>
      <c r="I2894" s="670"/>
      <c r="J2894" s="670"/>
      <c r="K2894" s="670"/>
      <c r="L2894" s="670"/>
      <c r="M2894" s="670" t="e">
        <f t="shared" si="713"/>
        <v>#REF!</v>
      </c>
      <c r="N2894" s="670" t="e">
        <f t="shared" si="713"/>
        <v>#REF!</v>
      </c>
      <c r="O2894" s="671"/>
      <c r="P2894" s="672"/>
      <c r="Q2894" s="688">
        <f t="shared" si="711"/>
        <v>104.5</v>
      </c>
      <c r="R2894" s="688">
        <f t="shared" si="711"/>
        <v>104.5</v>
      </c>
      <c r="S2894" s="688">
        <v>8</v>
      </c>
      <c r="T2894" s="690">
        <f t="shared" si="712"/>
        <v>7.6600000000000001E-2</v>
      </c>
      <c r="U2894" s="690"/>
      <c r="V2894" s="690"/>
    </row>
    <row r="2895" spans="1:22" s="688" customFormat="1" ht="17.100000000000001" customHeight="1">
      <c r="A2895" s="1316" t="s">
        <v>821</v>
      </c>
      <c r="B2895" s="1317"/>
      <c r="C2895" s="1316" t="s">
        <v>2154</v>
      </c>
      <c r="D2895" s="1317"/>
      <c r="E2895" s="701">
        <v>3.3000000000000002E-2</v>
      </c>
      <c r="F2895" s="676" t="s">
        <v>850</v>
      </c>
      <c r="G2895" s="670" t="e">
        <f>#REF!</f>
        <v>#REF!</v>
      </c>
      <c r="H2895" s="670" t="e">
        <f>INT(E2895*G2895)</f>
        <v>#REF!</v>
      </c>
      <c r="I2895" s="670"/>
      <c r="J2895" s="670"/>
      <c r="K2895" s="670"/>
      <c r="L2895" s="670"/>
      <c r="M2895" s="670" t="e">
        <f t="shared" si="713"/>
        <v>#REF!</v>
      </c>
      <c r="N2895" s="670" t="e">
        <f t="shared" si="713"/>
        <v>#REF!</v>
      </c>
      <c r="O2895" s="671"/>
      <c r="P2895" s="672"/>
      <c r="Q2895" s="688">
        <f t="shared" si="711"/>
        <v>104.5</v>
      </c>
      <c r="R2895" s="688">
        <f t="shared" si="711"/>
        <v>104.5</v>
      </c>
      <c r="S2895" s="688">
        <v>8</v>
      </c>
      <c r="T2895" s="690">
        <f t="shared" si="712"/>
        <v>7.6600000000000001E-2</v>
      </c>
      <c r="U2895" s="690"/>
      <c r="V2895" s="690"/>
    </row>
    <row r="2896" spans="1:22" s="688" customFormat="1" ht="17.100000000000001" customHeight="1">
      <c r="A2896" s="1316" t="s">
        <v>540</v>
      </c>
      <c r="B2896" s="1317"/>
      <c r="C2896" s="1316"/>
      <c r="D2896" s="1317"/>
      <c r="E2896" s="683">
        <f t="shared" ref="E2896:E2901" si="714">T2865</f>
        <v>2.8000000000000001E-2</v>
      </c>
      <c r="F2896" s="676" t="s">
        <v>366</v>
      </c>
      <c r="G2896" s="670"/>
      <c r="H2896" s="670"/>
      <c r="I2896" s="670">
        <f>[53]노임단가!$T$22</f>
        <v>273308</v>
      </c>
      <c r="J2896" s="670">
        <f t="shared" ref="J2896:J2901" si="715">INT(E2896*I2896)</f>
        <v>7652</v>
      </c>
      <c r="K2896" s="670"/>
      <c r="L2896" s="670"/>
      <c r="M2896" s="670">
        <f t="shared" si="713"/>
        <v>273308</v>
      </c>
      <c r="N2896" s="670">
        <f t="shared" si="713"/>
        <v>7652</v>
      </c>
      <c r="O2896" s="671"/>
      <c r="P2896" s="672"/>
      <c r="Q2896" s="688">
        <f t="shared" si="711"/>
        <v>104.5</v>
      </c>
      <c r="R2896" s="688">
        <f t="shared" si="711"/>
        <v>104.5</v>
      </c>
      <c r="S2896" s="688">
        <v>8</v>
      </c>
      <c r="T2896" s="690">
        <f t="shared" si="712"/>
        <v>7.6600000000000001E-2</v>
      </c>
      <c r="U2896" s="690"/>
      <c r="V2896" s="690"/>
    </row>
    <row r="2897" spans="1:22" s="688" customFormat="1" ht="17.100000000000001" customHeight="1">
      <c r="A2897" s="1316" t="s">
        <v>628</v>
      </c>
      <c r="B2897" s="1317"/>
      <c r="C2897" s="1316"/>
      <c r="D2897" s="1317"/>
      <c r="E2897" s="683">
        <f t="shared" si="714"/>
        <v>1.4E-2</v>
      </c>
      <c r="F2897" s="676" t="s">
        <v>366</v>
      </c>
      <c r="G2897" s="670"/>
      <c r="H2897" s="670"/>
      <c r="I2897" s="670">
        <f>[53]노임단가!$T$6</f>
        <v>226122</v>
      </c>
      <c r="J2897" s="670">
        <f t="shared" si="715"/>
        <v>3165</v>
      </c>
      <c r="K2897" s="670"/>
      <c r="L2897" s="670"/>
      <c r="M2897" s="670">
        <f t="shared" si="713"/>
        <v>226122</v>
      </c>
      <c r="N2897" s="670">
        <f t="shared" si="713"/>
        <v>3165</v>
      </c>
      <c r="O2897" s="671"/>
      <c r="P2897" s="672"/>
      <c r="Q2897" s="688">
        <f t="shared" si="711"/>
        <v>104.5</v>
      </c>
      <c r="R2897" s="688">
        <f t="shared" si="711"/>
        <v>104.5</v>
      </c>
      <c r="T2897" s="690">
        <f t="shared" si="712"/>
        <v>0</v>
      </c>
      <c r="U2897" s="690"/>
      <c r="V2897" s="690"/>
    </row>
    <row r="2898" spans="1:22" s="688" customFormat="1" ht="17.100000000000001" customHeight="1">
      <c r="A2898" s="1316" t="s">
        <v>248</v>
      </c>
      <c r="B2898" s="1317"/>
      <c r="C2898" s="1316"/>
      <c r="D2898" s="1317"/>
      <c r="E2898" s="683">
        <f t="shared" si="714"/>
        <v>1.4E-2</v>
      </c>
      <c r="F2898" s="676" t="s">
        <v>366</v>
      </c>
      <c r="G2898" s="670"/>
      <c r="H2898" s="670"/>
      <c r="I2898" s="670">
        <f>[53]노임단가!$T$5</f>
        <v>172068</v>
      </c>
      <c r="J2898" s="670">
        <f t="shared" si="715"/>
        <v>2408</v>
      </c>
      <c r="K2898" s="670"/>
      <c r="L2898" s="670"/>
      <c r="M2898" s="670">
        <f t="shared" si="713"/>
        <v>172068</v>
      </c>
      <c r="N2898" s="670">
        <f t="shared" si="713"/>
        <v>2408</v>
      </c>
      <c r="O2898" s="671"/>
      <c r="P2898" s="672"/>
    </row>
    <row r="2899" spans="1:22" s="688" customFormat="1" ht="17.100000000000001" customHeight="1">
      <c r="A2899" s="1316" t="s">
        <v>409</v>
      </c>
      <c r="B2899" s="1317"/>
      <c r="C2899" s="1316" t="s">
        <v>1380</v>
      </c>
      <c r="D2899" s="1317"/>
      <c r="E2899" s="683">
        <f t="shared" si="714"/>
        <v>0.1119</v>
      </c>
      <c r="F2899" s="676" t="s">
        <v>418</v>
      </c>
      <c r="G2899" s="670" t="e">
        <f>#REF!</f>
        <v>#REF!</v>
      </c>
      <c r="H2899" s="670" t="e">
        <f>INT(E2899*G2899)</f>
        <v>#REF!</v>
      </c>
      <c r="I2899" s="670" t="e">
        <f>#REF!</f>
        <v>#REF!</v>
      </c>
      <c r="J2899" s="670" t="e">
        <f t="shared" si="715"/>
        <v>#REF!</v>
      </c>
      <c r="K2899" s="670" t="e">
        <f>#REF!</f>
        <v>#REF!</v>
      </c>
      <c r="L2899" s="670" t="e">
        <f>INT(E2899*K2899)</f>
        <v>#REF!</v>
      </c>
      <c r="M2899" s="670" t="e">
        <f t="shared" si="713"/>
        <v>#REF!</v>
      </c>
      <c r="N2899" s="670" t="e">
        <f t="shared" si="713"/>
        <v>#REF!</v>
      </c>
      <c r="O2899" s="671"/>
      <c r="P2899" s="672" t="s">
        <v>1549</v>
      </c>
      <c r="Q2899" s="687" t="s">
        <v>1446</v>
      </c>
      <c r="R2899" s="688" t="s">
        <v>1876</v>
      </c>
      <c r="S2899" s="688" t="s">
        <v>1425</v>
      </c>
      <c r="T2899" s="688" t="s">
        <v>1426</v>
      </c>
    </row>
    <row r="2900" spans="1:22" s="688" customFormat="1" ht="16.5" customHeight="1">
      <c r="A2900" s="1316" t="s">
        <v>465</v>
      </c>
      <c r="B2900" s="1317"/>
      <c r="C2900" s="1316" t="s">
        <v>466</v>
      </c>
      <c r="D2900" s="1317"/>
      <c r="E2900" s="683">
        <f t="shared" si="714"/>
        <v>0.1119</v>
      </c>
      <c r="F2900" s="676" t="s">
        <v>418</v>
      </c>
      <c r="G2900" s="670" t="e">
        <f>#REF!</f>
        <v>#REF!</v>
      </c>
      <c r="H2900" s="750" t="e">
        <f>INT(E2900*G2900)</f>
        <v>#REF!</v>
      </c>
      <c r="I2900" s="670" t="e">
        <f>#REF!</f>
        <v>#REF!</v>
      </c>
      <c r="J2900" s="750" t="e">
        <f t="shared" si="715"/>
        <v>#REF!</v>
      </c>
      <c r="K2900" s="670" t="e">
        <f>#REF!</f>
        <v>#REF!</v>
      </c>
      <c r="L2900" s="750" t="e">
        <f>INT(E2900*K2900)</f>
        <v>#REF!</v>
      </c>
      <c r="M2900" s="670" t="e">
        <f t="shared" si="713"/>
        <v>#REF!</v>
      </c>
      <c r="N2900" s="670" t="e">
        <f t="shared" si="713"/>
        <v>#REF!</v>
      </c>
      <c r="O2900" s="671"/>
      <c r="P2900" s="672" t="s">
        <v>2183</v>
      </c>
      <c r="Q2900" s="688">
        <f>110</f>
        <v>110</v>
      </c>
      <c r="R2900" s="688">
        <f>(Q2900)</f>
        <v>110</v>
      </c>
      <c r="T2900" s="690">
        <f>ROUND(S2900/R2900,4)</f>
        <v>0</v>
      </c>
      <c r="U2900" s="690"/>
      <c r="V2900" s="690"/>
    </row>
    <row r="2901" spans="1:22" s="688" customFormat="1" ht="17.100000000000001" customHeight="1">
      <c r="A2901" s="1316" t="s">
        <v>641</v>
      </c>
      <c r="B2901" s="1317"/>
      <c r="C2901" s="1316" t="s">
        <v>642</v>
      </c>
      <c r="D2901" s="1317"/>
      <c r="E2901" s="683">
        <f t="shared" si="714"/>
        <v>0.1119</v>
      </c>
      <c r="F2901" s="676" t="s">
        <v>418</v>
      </c>
      <c r="G2901" s="670" t="e">
        <f>#REF!</f>
        <v>#REF!</v>
      </c>
      <c r="H2901" s="670" t="e">
        <f>INT(E2901*G2901)</f>
        <v>#REF!</v>
      </c>
      <c r="I2901" s="670" t="e">
        <f>#REF!</f>
        <v>#REF!</v>
      </c>
      <c r="J2901" s="670" t="e">
        <f t="shared" si="715"/>
        <v>#REF!</v>
      </c>
      <c r="K2901" s="670" t="e">
        <f>#REF!</f>
        <v>#REF!</v>
      </c>
      <c r="L2901" s="670" t="e">
        <f>INT(E2901*K2901)</f>
        <v>#REF!</v>
      </c>
      <c r="M2901" s="670" t="e">
        <f t="shared" si="713"/>
        <v>#REF!</v>
      </c>
      <c r="N2901" s="670" t="e">
        <f t="shared" si="713"/>
        <v>#REF!</v>
      </c>
      <c r="O2901" s="671"/>
      <c r="P2901" s="813"/>
      <c r="Q2901" s="688">
        <f>Q2900</f>
        <v>110</v>
      </c>
      <c r="R2901" s="688">
        <f>R2900</f>
        <v>110</v>
      </c>
      <c r="T2901" s="690">
        <f>ROUND(S2901/R2901,4)</f>
        <v>0</v>
      </c>
      <c r="U2901" s="690"/>
      <c r="V2901" s="690"/>
    </row>
    <row r="2902" spans="1:22" s="688" customFormat="1" ht="17.100000000000001" customHeight="1">
      <c r="A2902" s="1316" t="s">
        <v>2108</v>
      </c>
      <c r="B2902" s="1317"/>
      <c r="C2902" s="1316" t="s">
        <v>1764</v>
      </c>
      <c r="D2902" s="1317"/>
      <c r="E2902" s="675">
        <v>0.02</v>
      </c>
      <c r="F2902" s="676" t="s">
        <v>672</v>
      </c>
      <c r="G2902" s="670"/>
      <c r="H2902" s="670">
        <f>INT(E2902*G2902)</f>
        <v>0</v>
      </c>
      <c r="I2902" s="670"/>
      <c r="J2902" s="670"/>
      <c r="K2902" s="670">
        <f>SUM(J2896:J2898)</f>
        <v>13225</v>
      </c>
      <c r="L2902" s="670">
        <f>INT(E2902*K2902)</f>
        <v>264</v>
      </c>
      <c r="M2902" s="670">
        <f>G2902+I2902+K2902</f>
        <v>13225</v>
      </c>
      <c r="N2902" s="670">
        <f>H2902+J2902+L2902</f>
        <v>264</v>
      </c>
      <c r="O2902" s="671"/>
      <c r="P2902" s="672"/>
      <c r="Q2902" s="688">
        <f t="shared" ref="Q2902:R2910" si="716">Q2901</f>
        <v>110</v>
      </c>
      <c r="R2902" s="688">
        <f t="shared" si="716"/>
        <v>110</v>
      </c>
      <c r="T2902" s="690">
        <f t="shared" ref="T2902:T2910" si="717">ROUND(S2902/R2902,4)</f>
        <v>0</v>
      </c>
      <c r="U2902" s="690"/>
      <c r="V2902" s="690"/>
    </row>
    <row r="2903" spans="1:22" s="688" customFormat="1" ht="17.100000000000001" customHeight="1">
      <c r="A2903" s="1318" t="s">
        <v>1320</v>
      </c>
      <c r="B2903" s="1319"/>
      <c r="C2903" s="1316"/>
      <c r="D2903" s="1317"/>
      <c r="E2903" s="686"/>
      <c r="F2903" s="676"/>
      <c r="G2903" s="670"/>
      <c r="H2903" s="670" t="e">
        <f>SUM(H2892:H2902)</f>
        <v>#REF!</v>
      </c>
      <c r="I2903" s="670"/>
      <c r="J2903" s="670" t="e">
        <f>SUM(J2892:J2902)</f>
        <v>#REF!</v>
      </c>
      <c r="K2903" s="670"/>
      <c r="L2903" s="670" t="e">
        <f>SUM(L2892:L2902)</f>
        <v>#REF!</v>
      </c>
      <c r="M2903" s="670"/>
      <c r="N2903" s="670" t="e">
        <f>SUM(N2892:N2902)</f>
        <v>#REF!</v>
      </c>
      <c r="O2903" s="671"/>
      <c r="P2903" s="812"/>
      <c r="Q2903" s="688">
        <f t="shared" si="716"/>
        <v>110</v>
      </c>
      <c r="R2903" s="688">
        <f t="shared" si="716"/>
        <v>110</v>
      </c>
      <c r="T2903" s="690">
        <f t="shared" si="717"/>
        <v>0</v>
      </c>
      <c r="U2903" s="690"/>
      <c r="V2903" s="690"/>
    </row>
    <row r="2904" spans="1:22" s="688" customFormat="1" ht="17.100000000000001" customHeight="1">
      <c r="A2904" s="668">
        <f>A2891+1</f>
        <v>404</v>
      </c>
      <c r="B2904" s="1320" t="s">
        <v>2186</v>
      </c>
      <c r="C2904" s="1320"/>
      <c r="D2904" s="1320" t="s">
        <v>2193</v>
      </c>
      <c r="E2904" s="1320"/>
      <c r="F2904" s="669" t="s">
        <v>645</v>
      </c>
      <c r="G2904" s="698"/>
      <c r="H2904" s="698"/>
      <c r="I2904" s="698"/>
      <c r="J2904" s="698"/>
      <c r="K2904" s="670"/>
      <c r="L2904" s="670"/>
      <c r="M2904" s="670"/>
      <c r="N2904" s="698"/>
      <c r="O2904" s="699" t="s">
        <v>1562</v>
      </c>
      <c r="P2904" s="672"/>
      <c r="Q2904" s="688">
        <f t="shared" si="716"/>
        <v>110</v>
      </c>
      <c r="R2904" s="688">
        <f t="shared" si="716"/>
        <v>110</v>
      </c>
      <c r="S2904" s="688">
        <v>2</v>
      </c>
      <c r="T2904" s="690">
        <f t="shared" si="717"/>
        <v>1.8200000000000001E-2</v>
      </c>
      <c r="U2904" s="690"/>
      <c r="V2904" s="690"/>
    </row>
    <row r="2905" spans="1:22" s="688" customFormat="1" ht="17.100000000000001" customHeight="1">
      <c r="A2905" s="1316" t="s">
        <v>2158</v>
      </c>
      <c r="B2905" s="1317"/>
      <c r="C2905" s="1316" t="s">
        <v>2159</v>
      </c>
      <c r="D2905" s="1317"/>
      <c r="E2905" s="677">
        <v>26</v>
      </c>
      <c r="F2905" s="676" t="s">
        <v>30</v>
      </c>
      <c r="G2905" s="670"/>
      <c r="H2905" s="670"/>
      <c r="I2905" s="670"/>
      <c r="J2905" s="670"/>
      <c r="K2905" s="670"/>
      <c r="L2905" s="670"/>
      <c r="M2905" s="670"/>
      <c r="N2905" s="670"/>
      <c r="O2905" s="671"/>
      <c r="P2905" s="672"/>
      <c r="Q2905" s="688">
        <f t="shared" si="716"/>
        <v>110</v>
      </c>
      <c r="R2905" s="688">
        <f t="shared" si="716"/>
        <v>110</v>
      </c>
      <c r="S2905" s="688">
        <v>1</v>
      </c>
      <c r="T2905" s="690">
        <f t="shared" si="717"/>
        <v>9.1000000000000004E-3</v>
      </c>
      <c r="U2905" s="690"/>
      <c r="V2905" s="690"/>
    </row>
    <row r="2906" spans="1:22" s="688" customFormat="1" ht="17.100000000000001" customHeight="1">
      <c r="A2906" s="1369" t="s">
        <v>2160</v>
      </c>
      <c r="B2906" s="1365"/>
      <c r="C2906" s="1369" t="s">
        <v>1761</v>
      </c>
      <c r="D2906" s="1365"/>
      <c r="E2906" s="677">
        <v>26</v>
      </c>
      <c r="F2906" s="676" t="s">
        <v>30</v>
      </c>
      <c r="G2906" s="816"/>
      <c r="H2906" s="816"/>
      <c r="I2906" s="816"/>
      <c r="J2906" s="816"/>
      <c r="K2906" s="816">
        <f>[53]운반공!$BO$635</f>
        <v>22</v>
      </c>
      <c r="L2906" s="816">
        <f>INT(E2906*K2906)</f>
        <v>572</v>
      </c>
      <c r="M2906" s="816">
        <f t="shared" ref="M2906:N2914" si="718">G2906+I2906+K2906</f>
        <v>22</v>
      </c>
      <c r="N2906" s="816">
        <f t="shared" si="718"/>
        <v>572</v>
      </c>
      <c r="O2906" s="817"/>
      <c r="P2906" s="672"/>
      <c r="Q2906" s="688">
        <f t="shared" si="716"/>
        <v>110</v>
      </c>
      <c r="R2906" s="688">
        <f t="shared" si="716"/>
        <v>110</v>
      </c>
      <c r="S2906" s="688">
        <v>1</v>
      </c>
      <c r="T2906" s="690">
        <f t="shared" si="717"/>
        <v>9.1000000000000004E-3</v>
      </c>
      <c r="U2906" s="690"/>
      <c r="V2906" s="690"/>
    </row>
    <row r="2907" spans="1:22" s="688" customFormat="1" ht="17.100000000000001" customHeight="1">
      <c r="A2907" s="1316" t="s">
        <v>2161</v>
      </c>
      <c r="B2907" s="1317"/>
      <c r="C2907" s="1316" t="s">
        <v>2153</v>
      </c>
      <c r="D2907" s="1317"/>
      <c r="E2907" s="683">
        <v>1.6000000000000001E-3</v>
      </c>
      <c r="F2907" s="676" t="s">
        <v>850</v>
      </c>
      <c r="G2907" s="670" t="e">
        <f>#REF!</f>
        <v>#REF!</v>
      </c>
      <c r="H2907" s="670" t="e">
        <f>INT(E2907*G2907)</f>
        <v>#REF!</v>
      </c>
      <c r="I2907" s="670"/>
      <c r="J2907" s="670"/>
      <c r="K2907" s="670"/>
      <c r="L2907" s="670"/>
      <c r="M2907" s="670" t="e">
        <f t="shared" si="718"/>
        <v>#REF!</v>
      </c>
      <c r="N2907" s="670" t="e">
        <f t="shared" si="718"/>
        <v>#REF!</v>
      </c>
      <c r="O2907" s="671"/>
      <c r="P2907" s="672"/>
      <c r="Q2907" s="688">
        <f t="shared" si="716"/>
        <v>110</v>
      </c>
      <c r="R2907" s="688">
        <f t="shared" si="716"/>
        <v>110</v>
      </c>
      <c r="S2907" s="688">
        <v>8</v>
      </c>
      <c r="T2907" s="690">
        <f t="shared" si="717"/>
        <v>7.2700000000000001E-2</v>
      </c>
      <c r="U2907" s="690"/>
      <c r="V2907" s="690"/>
    </row>
    <row r="2908" spans="1:22" s="688" customFormat="1" ht="17.100000000000001" customHeight="1">
      <c r="A2908" s="1316" t="s">
        <v>821</v>
      </c>
      <c r="B2908" s="1317"/>
      <c r="C2908" s="1316" t="s">
        <v>2154</v>
      </c>
      <c r="D2908" s="1317"/>
      <c r="E2908" s="701">
        <v>3.3000000000000002E-2</v>
      </c>
      <c r="F2908" s="676" t="s">
        <v>850</v>
      </c>
      <c r="G2908" s="670" t="e">
        <f>#REF!</f>
        <v>#REF!</v>
      </c>
      <c r="H2908" s="670" t="e">
        <f>INT(E2908*G2908)</f>
        <v>#REF!</v>
      </c>
      <c r="I2908" s="670"/>
      <c r="J2908" s="670"/>
      <c r="K2908" s="670"/>
      <c r="L2908" s="670"/>
      <c r="M2908" s="670" t="e">
        <f t="shared" si="718"/>
        <v>#REF!</v>
      </c>
      <c r="N2908" s="670" t="e">
        <f t="shared" si="718"/>
        <v>#REF!</v>
      </c>
      <c r="O2908" s="671"/>
      <c r="P2908" s="672"/>
      <c r="Q2908" s="688">
        <f t="shared" si="716"/>
        <v>110</v>
      </c>
      <c r="R2908" s="688">
        <f t="shared" si="716"/>
        <v>110</v>
      </c>
      <c r="S2908" s="688">
        <v>8</v>
      </c>
      <c r="T2908" s="690">
        <f t="shared" si="717"/>
        <v>7.2700000000000001E-2</v>
      </c>
      <c r="U2908" s="690"/>
      <c r="V2908" s="690"/>
    </row>
    <row r="2909" spans="1:22" s="688" customFormat="1" ht="17.100000000000001" customHeight="1">
      <c r="A2909" s="1316" t="s">
        <v>540</v>
      </c>
      <c r="B2909" s="1317"/>
      <c r="C2909" s="1316"/>
      <c r="D2909" s="1317"/>
      <c r="E2909" s="683">
        <f t="shared" ref="E2909:E2914" si="719">T2878</f>
        <v>2.1399999999999999E-2</v>
      </c>
      <c r="F2909" s="676" t="s">
        <v>366</v>
      </c>
      <c r="G2909" s="670"/>
      <c r="H2909" s="670"/>
      <c r="I2909" s="670">
        <f>[53]노임단가!$T$22</f>
        <v>273308</v>
      </c>
      <c r="J2909" s="670">
        <f t="shared" ref="J2909:J2914" si="720">INT(E2909*I2909)</f>
        <v>5848</v>
      </c>
      <c r="K2909" s="670"/>
      <c r="L2909" s="670"/>
      <c r="M2909" s="670">
        <f t="shared" si="718"/>
        <v>273308</v>
      </c>
      <c r="N2909" s="670">
        <f t="shared" si="718"/>
        <v>5848</v>
      </c>
      <c r="O2909" s="671"/>
      <c r="P2909" s="672"/>
      <c r="Q2909" s="688">
        <f t="shared" si="716"/>
        <v>110</v>
      </c>
      <c r="R2909" s="688">
        <f t="shared" si="716"/>
        <v>110</v>
      </c>
      <c r="S2909" s="688">
        <v>8</v>
      </c>
      <c r="T2909" s="690">
        <f t="shared" si="717"/>
        <v>7.2700000000000001E-2</v>
      </c>
      <c r="U2909" s="690"/>
      <c r="V2909" s="690"/>
    </row>
    <row r="2910" spans="1:22" s="688" customFormat="1" ht="17.100000000000001" customHeight="1">
      <c r="A2910" s="1316" t="s">
        <v>628</v>
      </c>
      <c r="B2910" s="1317"/>
      <c r="C2910" s="1316"/>
      <c r="D2910" s="1317"/>
      <c r="E2910" s="683">
        <f t="shared" si="719"/>
        <v>1.0699999999999999E-2</v>
      </c>
      <c r="F2910" s="676" t="s">
        <v>366</v>
      </c>
      <c r="G2910" s="670"/>
      <c r="H2910" s="670"/>
      <c r="I2910" s="670">
        <f>[53]노임단가!$T$6</f>
        <v>226122</v>
      </c>
      <c r="J2910" s="670">
        <f t="shared" si="720"/>
        <v>2419</v>
      </c>
      <c r="K2910" s="670"/>
      <c r="L2910" s="670"/>
      <c r="M2910" s="670">
        <f t="shared" si="718"/>
        <v>226122</v>
      </c>
      <c r="N2910" s="670">
        <f t="shared" si="718"/>
        <v>2419</v>
      </c>
      <c r="O2910" s="671"/>
      <c r="P2910" s="672"/>
      <c r="Q2910" s="688">
        <f t="shared" si="716"/>
        <v>110</v>
      </c>
      <c r="R2910" s="688">
        <f t="shared" si="716"/>
        <v>110</v>
      </c>
      <c r="T2910" s="690">
        <f t="shared" si="717"/>
        <v>0</v>
      </c>
      <c r="U2910" s="690"/>
      <c r="V2910" s="690"/>
    </row>
    <row r="2911" spans="1:22" s="688" customFormat="1" ht="17.100000000000001" customHeight="1">
      <c r="A2911" s="1316" t="s">
        <v>248</v>
      </c>
      <c r="B2911" s="1317"/>
      <c r="C2911" s="1316"/>
      <c r="D2911" s="1317"/>
      <c r="E2911" s="683">
        <f t="shared" si="719"/>
        <v>1.0699999999999999E-2</v>
      </c>
      <c r="F2911" s="676" t="s">
        <v>366</v>
      </c>
      <c r="G2911" s="670"/>
      <c r="H2911" s="670"/>
      <c r="I2911" s="670">
        <f>[53]노임단가!$T$5</f>
        <v>172068</v>
      </c>
      <c r="J2911" s="670">
        <f t="shared" si="720"/>
        <v>1841</v>
      </c>
      <c r="K2911" s="670"/>
      <c r="L2911" s="670"/>
      <c r="M2911" s="670">
        <f t="shared" si="718"/>
        <v>172068</v>
      </c>
      <c r="N2911" s="670">
        <f t="shared" si="718"/>
        <v>1841</v>
      </c>
      <c r="O2911" s="671"/>
      <c r="P2911" s="672"/>
    </row>
    <row r="2912" spans="1:22" s="688" customFormat="1" ht="17.100000000000001" customHeight="1">
      <c r="A2912" s="1316" t="s">
        <v>409</v>
      </c>
      <c r="B2912" s="1317"/>
      <c r="C2912" s="1316" t="s">
        <v>1380</v>
      </c>
      <c r="D2912" s="1317"/>
      <c r="E2912" s="683">
        <f t="shared" si="719"/>
        <v>8.5599999999999996E-2</v>
      </c>
      <c r="F2912" s="676" t="s">
        <v>418</v>
      </c>
      <c r="G2912" s="670" t="e">
        <f>#REF!</f>
        <v>#REF!</v>
      </c>
      <c r="H2912" s="670" t="e">
        <f>INT(E2912*G2912)</f>
        <v>#REF!</v>
      </c>
      <c r="I2912" s="670" t="e">
        <f>#REF!</f>
        <v>#REF!</v>
      </c>
      <c r="J2912" s="670" t="e">
        <f t="shared" si="720"/>
        <v>#REF!</v>
      </c>
      <c r="K2912" s="670" t="e">
        <f>#REF!</f>
        <v>#REF!</v>
      </c>
      <c r="L2912" s="670" t="e">
        <f>INT(E2912*K2912)</f>
        <v>#REF!</v>
      </c>
      <c r="M2912" s="670" t="e">
        <f t="shared" si="718"/>
        <v>#REF!</v>
      </c>
      <c r="N2912" s="670" t="e">
        <f t="shared" si="718"/>
        <v>#REF!</v>
      </c>
      <c r="O2912" s="671"/>
      <c r="P2912" s="672" t="s">
        <v>1549</v>
      </c>
      <c r="Q2912" s="687" t="s">
        <v>1446</v>
      </c>
      <c r="R2912" s="688" t="s">
        <v>1876</v>
      </c>
      <c r="S2912" s="688" t="s">
        <v>1425</v>
      </c>
      <c r="T2912" s="688" t="s">
        <v>1426</v>
      </c>
    </row>
    <row r="2913" spans="1:22" s="688" customFormat="1" ht="16.5" customHeight="1">
      <c r="A2913" s="1316" t="s">
        <v>465</v>
      </c>
      <c r="B2913" s="1317"/>
      <c r="C2913" s="1316" t="s">
        <v>466</v>
      </c>
      <c r="D2913" s="1317"/>
      <c r="E2913" s="683">
        <f t="shared" si="719"/>
        <v>8.5599999999999996E-2</v>
      </c>
      <c r="F2913" s="676" t="s">
        <v>418</v>
      </c>
      <c r="G2913" s="670" t="e">
        <f>#REF!</f>
        <v>#REF!</v>
      </c>
      <c r="H2913" s="750" t="e">
        <f>INT(E2913*G2913)</f>
        <v>#REF!</v>
      </c>
      <c r="I2913" s="670" t="e">
        <f>#REF!</f>
        <v>#REF!</v>
      </c>
      <c r="J2913" s="750" t="e">
        <f t="shared" si="720"/>
        <v>#REF!</v>
      </c>
      <c r="K2913" s="670" t="e">
        <f>#REF!</f>
        <v>#REF!</v>
      </c>
      <c r="L2913" s="750" t="e">
        <f>INT(E2913*K2913)</f>
        <v>#REF!</v>
      </c>
      <c r="M2913" s="670" t="e">
        <f t="shared" si="718"/>
        <v>#REF!</v>
      </c>
      <c r="N2913" s="670" t="e">
        <f t="shared" si="718"/>
        <v>#REF!</v>
      </c>
      <c r="O2913" s="671"/>
      <c r="P2913" s="672" t="s">
        <v>2183</v>
      </c>
      <c r="Q2913" s="688">
        <f>110*1.05</f>
        <v>115.5</v>
      </c>
      <c r="R2913" s="688">
        <f>(Q2913)</f>
        <v>115.5</v>
      </c>
      <c r="T2913" s="690">
        <f>ROUND(S2913/R2913,4)</f>
        <v>0</v>
      </c>
      <c r="U2913" s="690"/>
      <c r="V2913" s="690"/>
    </row>
    <row r="2914" spans="1:22" s="688" customFormat="1" ht="17.100000000000001" customHeight="1">
      <c r="A2914" s="1316" t="s">
        <v>641</v>
      </c>
      <c r="B2914" s="1317"/>
      <c r="C2914" s="1316" t="s">
        <v>642</v>
      </c>
      <c r="D2914" s="1317"/>
      <c r="E2914" s="683">
        <f t="shared" si="719"/>
        <v>8.5599999999999996E-2</v>
      </c>
      <c r="F2914" s="676" t="s">
        <v>418</v>
      </c>
      <c r="G2914" s="670" t="e">
        <f>#REF!</f>
        <v>#REF!</v>
      </c>
      <c r="H2914" s="670" t="e">
        <f>INT(E2914*G2914)</f>
        <v>#REF!</v>
      </c>
      <c r="I2914" s="670" t="e">
        <f>#REF!</f>
        <v>#REF!</v>
      </c>
      <c r="J2914" s="670" t="e">
        <f t="shared" si="720"/>
        <v>#REF!</v>
      </c>
      <c r="K2914" s="670" t="e">
        <f>#REF!</f>
        <v>#REF!</v>
      </c>
      <c r="L2914" s="670" t="e">
        <f>INT(E2914*K2914)</f>
        <v>#REF!</v>
      </c>
      <c r="M2914" s="670" t="e">
        <f t="shared" si="718"/>
        <v>#REF!</v>
      </c>
      <c r="N2914" s="670" t="e">
        <f t="shared" si="718"/>
        <v>#REF!</v>
      </c>
      <c r="O2914" s="671"/>
      <c r="P2914" s="813"/>
      <c r="Q2914" s="688">
        <f>Q2913</f>
        <v>115.5</v>
      </c>
      <c r="R2914" s="688">
        <f>R2913</f>
        <v>115.5</v>
      </c>
      <c r="T2914" s="690">
        <f>ROUND(S2914/R2914,4)</f>
        <v>0</v>
      </c>
      <c r="U2914" s="690"/>
      <c r="V2914" s="690"/>
    </row>
    <row r="2915" spans="1:22" s="688" customFormat="1" ht="17.100000000000001" customHeight="1">
      <c r="A2915" s="1316" t="s">
        <v>2108</v>
      </c>
      <c r="B2915" s="1317"/>
      <c r="C2915" s="1316" t="s">
        <v>1764</v>
      </c>
      <c r="D2915" s="1317"/>
      <c r="E2915" s="675">
        <v>0.02</v>
      </c>
      <c r="F2915" s="676" t="s">
        <v>672</v>
      </c>
      <c r="G2915" s="670"/>
      <c r="H2915" s="670">
        <f>INT(E2915*G2915)</f>
        <v>0</v>
      </c>
      <c r="I2915" s="670"/>
      <c r="J2915" s="670"/>
      <c r="K2915" s="670">
        <f>SUM(J2909:J2911)</f>
        <v>10108</v>
      </c>
      <c r="L2915" s="670">
        <f>INT(E2915*K2915)</f>
        <v>202</v>
      </c>
      <c r="M2915" s="670">
        <f>G2915+I2915+K2915</f>
        <v>10108</v>
      </c>
      <c r="N2915" s="670">
        <f>H2915+J2915+L2915</f>
        <v>202</v>
      </c>
      <c r="O2915" s="671"/>
      <c r="P2915" s="672"/>
      <c r="Q2915" s="688">
        <f t="shared" ref="Q2915:R2923" si="721">Q2914</f>
        <v>115.5</v>
      </c>
      <c r="R2915" s="688">
        <f t="shared" si="721"/>
        <v>115.5</v>
      </c>
      <c r="T2915" s="690">
        <f t="shared" ref="T2915:T2923" si="722">ROUND(S2915/R2915,4)</f>
        <v>0</v>
      </c>
      <c r="U2915" s="690"/>
      <c r="V2915" s="690"/>
    </row>
    <row r="2916" spans="1:22" s="688" customFormat="1" ht="17.100000000000001" customHeight="1">
      <c r="A2916" s="1318" t="s">
        <v>1320</v>
      </c>
      <c r="B2916" s="1319"/>
      <c r="C2916" s="1316"/>
      <c r="D2916" s="1317"/>
      <c r="E2916" s="686"/>
      <c r="F2916" s="676"/>
      <c r="G2916" s="670"/>
      <c r="H2916" s="670" t="e">
        <f>SUM(H2905:H2915)</f>
        <v>#REF!</v>
      </c>
      <c r="I2916" s="670"/>
      <c r="J2916" s="670" t="e">
        <f>SUM(J2905:J2915)</f>
        <v>#REF!</v>
      </c>
      <c r="K2916" s="670"/>
      <c r="L2916" s="670" t="e">
        <f>SUM(L2905:L2915)</f>
        <v>#REF!</v>
      </c>
      <c r="M2916" s="670"/>
      <c r="N2916" s="670" t="e">
        <f>SUM(N2905:N2915)</f>
        <v>#REF!</v>
      </c>
      <c r="O2916" s="671"/>
      <c r="P2916" s="812"/>
      <c r="Q2916" s="688">
        <f t="shared" si="721"/>
        <v>115.5</v>
      </c>
      <c r="R2916" s="688">
        <f t="shared" si="721"/>
        <v>115.5</v>
      </c>
      <c r="T2916" s="690">
        <f t="shared" si="722"/>
        <v>0</v>
      </c>
      <c r="U2916" s="690"/>
      <c r="V2916" s="690"/>
    </row>
    <row r="2917" spans="1:22" s="688" customFormat="1" ht="17.100000000000001" customHeight="1">
      <c r="A2917" s="668">
        <f>A2904+1</f>
        <v>405</v>
      </c>
      <c r="B2917" s="1320" t="s">
        <v>2186</v>
      </c>
      <c r="C2917" s="1320"/>
      <c r="D2917" s="1320" t="s">
        <v>2194</v>
      </c>
      <c r="E2917" s="1320"/>
      <c r="F2917" s="669" t="s">
        <v>645</v>
      </c>
      <c r="G2917" s="698"/>
      <c r="H2917" s="698"/>
      <c r="I2917" s="698"/>
      <c r="J2917" s="698"/>
      <c r="K2917" s="670"/>
      <c r="L2917" s="670"/>
      <c r="M2917" s="670"/>
      <c r="N2917" s="698"/>
      <c r="O2917" s="699" t="s">
        <v>1562</v>
      </c>
      <c r="P2917" s="672"/>
      <c r="Q2917" s="688">
        <f t="shared" si="721"/>
        <v>115.5</v>
      </c>
      <c r="R2917" s="688">
        <f t="shared" si="721"/>
        <v>115.5</v>
      </c>
      <c r="S2917" s="688">
        <v>2</v>
      </c>
      <c r="T2917" s="690">
        <f t="shared" si="722"/>
        <v>1.7299999999999999E-2</v>
      </c>
      <c r="U2917" s="690"/>
      <c r="V2917" s="690"/>
    </row>
    <row r="2918" spans="1:22" s="688" customFormat="1" ht="17.100000000000001" customHeight="1">
      <c r="A2918" s="1316" t="s">
        <v>2158</v>
      </c>
      <c r="B2918" s="1317"/>
      <c r="C2918" s="1316" t="s">
        <v>2159</v>
      </c>
      <c r="D2918" s="1317"/>
      <c r="E2918" s="677">
        <v>26</v>
      </c>
      <c r="F2918" s="676" t="s">
        <v>30</v>
      </c>
      <c r="G2918" s="670"/>
      <c r="H2918" s="670"/>
      <c r="I2918" s="670"/>
      <c r="J2918" s="670"/>
      <c r="K2918" s="670"/>
      <c r="L2918" s="670"/>
      <c r="M2918" s="670"/>
      <c r="N2918" s="670"/>
      <c r="O2918" s="671"/>
      <c r="P2918" s="672"/>
      <c r="Q2918" s="688">
        <f t="shared" si="721"/>
        <v>115.5</v>
      </c>
      <c r="R2918" s="688">
        <f t="shared" si="721"/>
        <v>115.5</v>
      </c>
      <c r="S2918" s="688">
        <v>1</v>
      </c>
      <c r="T2918" s="690">
        <f t="shared" si="722"/>
        <v>8.6999999999999994E-3</v>
      </c>
      <c r="U2918" s="690"/>
      <c r="V2918" s="690"/>
    </row>
    <row r="2919" spans="1:22" s="688" customFormat="1" ht="17.100000000000001" customHeight="1">
      <c r="A2919" s="1369" t="s">
        <v>2160</v>
      </c>
      <c r="B2919" s="1365"/>
      <c r="C2919" s="1369" t="s">
        <v>1761</v>
      </c>
      <c r="D2919" s="1365"/>
      <c r="E2919" s="677">
        <v>26</v>
      </c>
      <c r="F2919" s="676" t="s">
        <v>30</v>
      </c>
      <c r="G2919" s="816"/>
      <c r="H2919" s="816"/>
      <c r="I2919" s="816"/>
      <c r="J2919" s="816"/>
      <c r="K2919" s="816">
        <f>[53]운반공!$BO$635</f>
        <v>22</v>
      </c>
      <c r="L2919" s="816">
        <f>INT(E2919*K2919)</f>
        <v>572</v>
      </c>
      <c r="M2919" s="816">
        <f t="shared" ref="M2919:N2927" si="723">G2919+I2919+K2919</f>
        <v>22</v>
      </c>
      <c r="N2919" s="816">
        <f t="shared" si="723"/>
        <v>572</v>
      </c>
      <c r="O2919" s="817"/>
      <c r="P2919" s="672"/>
      <c r="Q2919" s="688">
        <f t="shared" si="721"/>
        <v>115.5</v>
      </c>
      <c r="R2919" s="688">
        <f t="shared" si="721"/>
        <v>115.5</v>
      </c>
      <c r="S2919" s="688">
        <v>1</v>
      </c>
      <c r="T2919" s="690">
        <f t="shared" si="722"/>
        <v>8.6999999999999994E-3</v>
      </c>
      <c r="U2919" s="690"/>
      <c r="V2919" s="690"/>
    </row>
    <row r="2920" spans="1:22" s="688" customFormat="1" ht="17.100000000000001" customHeight="1">
      <c r="A2920" s="1316" t="s">
        <v>2161</v>
      </c>
      <c r="B2920" s="1317"/>
      <c r="C2920" s="1316" t="s">
        <v>2153</v>
      </c>
      <c r="D2920" s="1317"/>
      <c r="E2920" s="683">
        <v>1.6000000000000001E-3</v>
      </c>
      <c r="F2920" s="676" t="s">
        <v>850</v>
      </c>
      <c r="G2920" s="670" t="e">
        <f>#REF!</f>
        <v>#REF!</v>
      </c>
      <c r="H2920" s="670" t="e">
        <f>INT(E2920*G2920)</f>
        <v>#REF!</v>
      </c>
      <c r="I2920" s="670"/>
      <c r="J2920" s="670"/>
      <c r="K2920" s="670"/>
      <c r="L2920" s="670"/>
      <c r="M2920" s="670" t="e">
        <f t="shared" si="723"/>
        <v>#REF!</v>
      </c>
      <c r="N2920" s="670" t="e">
        <f t="shared" si="723"/>
        <v>#REF!</v>
      </c>
      <c r="O2920" s="671"/>
      <c r="P2920" s="672"/>
      <c r="Q2920" s="688">
        <f t="shared" si="721"/>
        <v>115.5</v>
      </c>
      <c r="R2920" s="688">
        <f t="shared" si="721"/>
        <v>115.5</v>
      </c>
      <c r="S2920" s="688">
        <v>8</v>
      </c>
      <c r="T2920" s="690">
        <f t="shared" si="722"/>
        <v>6.93E-2</v>
      </c>
      <c r="U2920" s="690"/>
      <c r="V2920" s="690"/>
    </row>
    <row r="2921" spans="1:22" s="688" customFormat="1" ht="17.100000000000001" customHeight="1">
      <c r="A2921" s="1316" t="s">
        <v>821</v>
      </c>
      <c r="B2921" s="1317"/>
      <c r="C2921" s="1316" t="s">
        <v>2154</v>
      </c>
      <c r="D2921" s="1317"/>
      <c r="E2921" s="701">
        <v>3.3000000000000002E-2</v>
      </c>
      <c r="F2921" s="676" t="s">
        <v>850</v>
      </c>
      <c r="G2921" s="670" t="e">
        <f>#REF!</f>
        <v>#REF!</v>
      </c>
      <c r="H2921" s="670" t="e">
        <f>INT(E2921*G2921)</f>
        <v>#REF!</v>
      </c>
      <c r="I2921" s="670"/>
      <c r="J2921" s="670"/>
      <c r="K2921" s="670"/>
      <c r="L2921" s="670"/>
      <c r="M2921" s="670" t="e">
        <f t="shared" si="723"/>
        <v>#REF!</v>
      </c>
      <c r="N2921" s="670" t="e">
        <f t="shared" si="723"/>
        <v>#REF!</v>
      </c>
      <c r="O2921" s="671"/>
      <c r="P2921" s="672"/>
      <c r="Q2921" s="688">
        <f t="shared" si="721"/>
        <v>115.5</v>
      </c>
      <c r="R2921" s="688">
        <f t="shared" si="721"/>
        <v>115.5</v>
      </c>
      <c r="S2921" s="688">
        <v>8</v>
      </c>
      <c r="T2921" s="690">
        <f t="shared" si="722"/>
        <v>6.93E-2</v>
      </c>
      <c r="U2921" s="690"/>
      <c r="V2921" s="690"/>
    </row>
    <row r="2922" spans="1:22" s="688" customFormat="1" ht="17.100000000000001" customHeight="1">
      <c r="A2922" s="1316" t="s">
        <v>540</v>
      </c>
      <c r="B2922" s="1317"/>
      <c r="C2922" s="1316"/>
      <c r="D2922" s="1317"/>
      <c r="E2922" s="683">
        <f t="shared" ref="E2922:E2927" si="724">T2891</f>
        <v>1.9099999999999999E-2</v>
      </c>
      <c r="F2922" s="676" t="s">
        <v>366</v>
      </c>
      <c r="G2922" s="670"/>
      <c r="H2922" s="670"/>
      <c r="I2922" s="670">
        <f>[53]노임단가!$T$22</f>
        <v>273308</v>
      </c>
      <c r="J2922" s="670">
        <f t="shared" ref="J2922:J2927" si="725">INT(E2922*I2922)</f>
        <v>5220</v>
      </c>
      <c r="K2922" s="670"/>
      <c r="L2922" s="670"/>
      <c r="M2922" s="670">
        <f t="shared" si="723"/>
        <v>273308</v>
      </c>
      <c r="N2922" s="670">
        <f t="shared" si="723"/>
        <v>5220</v>
      </c>
      <c r="O2922" s="671"/>
      <c r="P2922" s="672"/>
      <c r="Q2922" s="688">
        <f t="shared" si="721"/>
        <v>115.5</v>
      </c>
      <c r="R2922" s="688">
        <f t="shared" si="721"/>
        <v>115.5</v>
      </c>
      <c r="S2922" s="688">
        <v>8</v>
      </c>
      <c r="T2922" s="690">
        <f t="shared" si="722"/>
        <v>6.93E-2</v>
      </c>
      <c r="U2922" s="690"/>
      <c r="V2922" s="690"/>
    </row>
    <row r="2923" spans="1:22" s="688" customFormat="1" ht="17.100000000000001" customHeight="1">
      <c r="A2923" s="1316" t="s">
        <v>628</v>
      </c>
      <c r="B2923" s="1317"/>
      <c r="C2923" s="1316"/>
      <c r="D2923" s="1317"/>
      <c r="E2923" s="683">
        <f t="shared" si="724"/>
        <v>9.5999999999999992E-3</v>
      </c>
      <c r="F2923" s="676" t="s">
        <v>366</v>
      </c>
      <c r="G2923" s="670"/>
      <c r="H2923" s="670"/>
      <c r="I2923" s="670">
        <f>[53]노임단가!$T$6</f>
        <v>226122</v>
      </c>
      <c r="J2923" s="670">
        <f t="shared" si="725"/>
        <v>2170</v>
      </c>
      <c r="K2923" s="670"/>
      <c r="L2923" s="670"/>
      <c r="M2923" s="670">
        <f t="shared" si="723"/>
        <v>226122</v>
      </c>
      <c r="N2923" s="670">
        <f t="shared" si="723"/>
        <v>2170</v>
      </c>
      <c r="O2923" s="671"/>
      <c r="P2923" s="672"/>
      <c r="Q2923" s="688">
        <f t="shared" si="721"/>
        <v>115.5</v>
      </c>
      <c r="R2923" s="688">
        <f t="shared" si="721"/>
        <v>115.5</v>
      </c>
      <c r="T2923" s="690">
        <f t="shared" si="722"/>
        <v>0</v>
      </c>
      <c r="U2923" s="690"/>
      <c r="V2923" s="690"/>
    </row>
    <row r="2924" spans="1:22" s="688" customFormat="1" ht="17.100000000000001" customHeight="1">
      <c r="A2924" s="1316" t="s">
        <v>248</v>
      </c>
      <c r="B2924" s="1317"/>
      <c r="C2924" s="1316"/>
      <c r="D2924" s="1317"/>
      <c r="E2924" s="683">
        <f t="shared" si="724"/>
        <v>9.5999999999999992E-3</v>
      </c>
      <c r="F2924" s="676" t="s">
        <v>366</v>
      </c>
      <c r="G2924" s="670"/>
      <c r="H2924" s="670"/>
      <c r="I2924" s="670">
        <f>[53]노임단가!$T$5</f>
        <v>172068</v>
      </c>
      <c r="J2924" s="670">
        <f t="shared" si="725"/>
        <v>1651</v>
      </c>
      <c r="K2924" s="670"/>
      <c r="L2924" s="670"/>
      <c r="M2924" s="670">
        <f t="shared" si="723"/>
        <v>172068</v>
      </c>
      <c r="N2924" s="670">
        <f t="shared" si="723"/>
        <v>1651</v>
      </c>
      <c r="O2924" s="671"/>
      <c r="P2924" s="672"/>
    </row>
    <row r="2925" spans="1:22" s="688" customFormat="1" ht="17.100000000000001" customHeight="1">
      <c r="A2925" s="1316" t="s">
        <v>409</v>
      </c>
      <c r="B2925" s="1317"/>
      <c r="C2925" s="1316" t="s">
        <v>1380</v>
      </c>
      <c r="D2925" s="1317"/>
      <c r="E2925" s="683">
        <f t="shared" si="724"/>
        <v>7.6600000000000001E-2</v>
      </c>
      <c r="F2925" s="676" t="s">
        <v>418</v>
      </c>
      <c r="G2925" s="670" t="e">
        <f>#REF!</f>
        <v>#REF!</v>
      </c>
      <c r="H2925" s="670" t="e">
        <f>INT(E2925*G2925)</f>
        <v>#REF!</v>
      </c>
      <c r="I2925" s="670" t="e">
        <f>#REF!</f>
        <v>#REF!</v>
      </c>
      <c r="J2925" s="670" t="e">
        <f t="shared" si="725"/>
        <v>#REF!</v>
      </c>
      <c r="K2925" s="670" t="e">
        <f>#REF!</f>
        <v>#REF!</v>
      </c>
      <c r="L2925" s="670" t="e">
        <f>INT(E2925*K2925)</f>
        <v>#REF!</v>
      </c>
      <c r="M2925" s="670" t="e">
        <f t="shared" si="723"/>
        <v>#REF!</v>
      </c>
      <c r="N2925" s="670" t="e">
        <f t="shared" si="723"/>
        <v>#REF!</v>
      </c>
      <c r="O2925" s="671"/>
      <c r="P2925" s="672"/>
    </row>
    <row r="2926" spans="1:22" s="688" customFormat="1" ht="17.100000000000001" customHeight="1">
      <c r="A2926" s="1316" t="s">
        <v>465</v>
      </c>
      <c r="B2926" s="1317"/>
      <c r="C2926" s="1316" t="s">
        <v>466</v>
      </c>
      <c r="D2926" s="1317"/>
      <c r="E2926" s="683">
        <f t="shared" si="724"/>
        <v>7.6600000000000001E-2</v>
      </c>
      <c r="F2926" s="676" t="s">
        <v>418</v>
      </c>
      <c r="G2926" s="670" t="e">
        <f>#REF!</f>
        <v>#REF!</v>
      </c>
      <c r="H2926" s="750" t="e">
        <f>INT(E2926*G2926)</f>
        <v>#REF!</v>
      </c>
      <c r="I2926" s="670" t="e">
        <f>#REF!</f>
        <v>#REF!</v>
      </c>
      <c r="J2926" s="750" t="e">
        <f t="shared" si="725"/>
        <v>#REF!</v>
      </c>
      <c r="K2926" s="670" t="e">
        <f>#REF!</f>
        <v>#REF!</v>
      </c>
      <c r="L2926" s="750" t="e">
        <f>INT(E2926*K2926)</f>
        <v>#REF!</v>
      </c>
      <c r="M2926" s="670" t="e">
        <f t="shared" si="723"/>
        <v>#REF!</v>
      </c>
      <c r="N2926" s="670" t="e">
        <f t="shared" si="723"/>
        <v>#REF!</v>
      </c>
      <c r="O2926" s="671"/>
      <c r="P2926" s="705"/>
    </row>
    <row r="2927" spans="1:22" s="688" customFormat="1" ht="17.100000000000001" customHeight="1">
      <c r="A2927" s="1316" t="s">
        <v>641</v>
      </c>
      <c r="B2927" s="1317"/>
      <c r="C2927" s="1316" t="s">
        <v>642</v>
      </c>
      <c r="D2927" s="1317"/>
      <c r="E2927" s="683">
        <f t="shared" si="724"/>
        <v>7.6600000000000001E-2</v>
      </c>
      <c r="F2927" s="676" t="s">
        <v>418</v>
      </c>
      <c r="G2927" s="670" t="e">
        <f>#REF!</f>
        <v>#REF!</v>
      </c>
      <c r="H2927" s="670" t="e">
        <f>INT(E2927*G2927)</f>
        <v>#REF!</v>
      </c>
      <c r="I2927" s="670" t="e">
        <f>#REF!</f>
        <v>#REF!</v>
      </c>
      <c r="J2927" s="670" t="e">
        <f t="shared" si="725"/>
        <v>#REF!</v>
      </c>
      <c r="K2927" s="670" t="e">
        <f>#REF!</f>
        <v>#REF!</v>
      </c>
      <c r="L2927" s="670" t="e">
        <f>INT(E2927*K2927)</f>
        <v>#REF!</v>
      </c>
      <c r="M2927" s="670" t="e">
        <f t="shared" si="723"/>
        <v>#REF!</v>
      </c>
      <c r="N2927" s="670" t="e">
        <f t="shared" si="723"/>
        <v>#REF!</v>
      </c>
      <c r="O2927" s="671"/>
      <c r="P2927" s="672"/>
    </row>
    <row r="2928" spans="1:22" s="688" customFormat="1" ht="17.100000000000001" customHeight="1">
      <c r="A2928" s="1316" t="s">
        <v>2108</v>
      </c>
      <c r="B2928" s="1317"/>
      <c r="C2928" s="1316" t="s">
        <v>1764</v>
      </c>
      <c r="D2928" s="1317"/>
      <c r="E2928" s="675">
        <v>0.02</v>
      </c>
      <c r="F2928" s="676" t="s">
        <v>672</v>
      </c>
      <c r="G2928" s="670"/>
      <c r="H2928" s="670">
        <f>INT(E2928*G2928)</f>
        <v>0</v>
      </c>
      <c r="I2928" s="670"/>
      <c r="J2928" s="670"/>
      <c r="K2928" s="670">
        <f>SUM(J2922:J2924)</f>
        <v>9041</v>
      </c>
      <c r="L2928" s="670">
        <f>INT(E2928*K2928)</f>
        <v>180</v>
      </c>
      <c r="M2928" s="670">
        <f>G2928+I2928+K2928</f>
        <v>9041</v>
      </c>
      <c r="N2928" s="670">
        <f>H2928+J2928+L2928</f>
        <v>180</v>
      </c>
      <c r="O2928" s="671"/>
      <c r="P2928" s="672"/>
    </row>
    <row r="2929" spans="1:20" s="688" customFormat="1" ht="17.100000000000001" customHeight="1">
      <c r="A2929" s="1318" t="s">
        <v>1320</v>
      </c>
      <c r="B2929" s="1319"/>
      <c r="C2929" s="1316"/>
      <c r="D2929" s="1317"/>
      <c r="E2929" s="686"/>
      <c r="F2929" s="676"/>
      <c r="G2929" s="670"/>
      <c r="H2929" s="670" t="e">
        <f>SUM(H2918:H2928)</f>
        <v>#REF!</v>
      </c>
      <c r="I2929" s="670"/>
      <c r="J2929" s="670" t="e">
        <f>SUM(J2918:J2928)</f>
        <v>#REF!</v>
      </c>
      <c r="K2929" s="670"/>
      <c r="L2929" s="670" t="e">
        <f>SUM(L2918:L2928)</f>
        <v>#REF!</v>
      </c>
      <c r="M2929" s="670"/>
      <c r="N2929" s="670" t="e">
        <f>SUM(N2918:N2928)</f>
        <v>#REF!</v>
      </c>
      <c r="O2929" s="671"/>
      <c r="P2929" s="672" t="s">
        <v>1422</v>
      </c>
      <c r="Q2929" s="687" t="s">
        <v>1446</v>
      </c>
      <c r="R2929" s="688" t="s">
        <v>1447</v>
      </c>
      <c r="S2929" s="688" t="s">
        <v>1425</v>
      </c>
      <c r="T2929" s="688" t="s">
        <v>1426</v>
      </c>
    </row>
    <row r="2930" spans="1:20" s="688" customFormat="1" ht="17.100000000000001" customHeight="1">
      <c r="A2930" s="668">
        <f>A2917+1</f>
        <v>406</v>
      </c>
      <c r="B2930" s="1320" t="s">
        <v>2186</v>
      </c>
      <c r="C2930" s="1320"/>
      <c r="D2930" s="1320" t="s">
        <v>2195</v>
      </c>
      <c r="E2930" s="1320"/>
      <c r="F2930" s="669" t="s">
        <v>645</v>
      </c>
      <c r="G2930" s="698"/>
      <c r="H2930" s="698"/>
      <c r="I2930" s="698"/>
      <c r="J2930" s="698"/>
      <c r="K2930" s="670"/>
      <c r="L2930" s="670"/>
      <c r="M2930" s="670"/>
      <c r="N2930" s="698"/>
      <c r="O2930" s="699" t="s">
        <v>1562</v>
      </c>
      <c r="P2930" s="672" t="s">
        <v>2155</v>
      </c>
      <c r="Q2930" s="688">
        <v>250</v>
      </c>
      <c r="R2930" s="688">
        <f>(Q2930/100)</f>
        <v>2.5</v>
      </c>
      <c r="S2930" s="688">
        <v>0</v>
      </c>
      <c r="T2930" s="690">
        <f>ROUND(S2930/R2930,4)</f>
        <v>0</v>
      </c>
    </row>
    <row r="2931" spans="1:20" s="688" customFormat="1" ht="17.100000000000001" customHeight="1">
      <c r="A2931" s="1316" t="s">
        <v>2158</v>
      </c>
      <c r="B2931" s="1317"/>
      <c r="C2931" s="1316" t="s">
        <v>2159</v>
      </c>
      <c r="D2931" s="1317"/>
      <c r="E2931" s="677">
        <v>26</v>
      </c>
      <c r="F2931" s="676" t="s">
        <v>30</v>
      </c>
      <c r="G2931" s="670"/>
      <c r="H2931" s="670"/>
      <c r="I2931" s="670"/>
      <c r="J2931" s="670"/>
      <c r="K2931" s="670"/>
      <c r="L2931" s="670"/>
      <c r="M2931" s="670"/>
      <c r="N2931" s="670"/>
      <c r="O2931" s="671"/>
      <c r="P2931" s="672" t="s">
        <v>1338</v>
      </c>
      <c r="Q2931" s="688">
        <f t="shared" ref="Q2931:R2935" si="726">Q2930</f>
        <v>250</v>
      </c>
      <c r="R2931" s="688">
        <f t="shared" si="726"/>
        <v>2.5</v>
      </c>
      <c r="S2931" s="688">
        <v>2</v>
      </c>
      <c r="T2931" s="690">
        <f>ROUND(S2931/R2931,4)</f>
        <v>0.8</v>
      </c>
    </row>
    <row r="2932" spans="1:20" s="688" customFormat="1" ht="17.100000000000001" customHeight="1">
      <c r="A2932" s="1369" t="s">
        <v>2160</v>
      </c>
      <c r="B2932" s="1365"/>
      <c r="C2932" s="1369" t="s">
        <v>1761</v>
      </c>
      <c r="D2932" s="1365"/>
      <c r="E2932" s="677">
        <v>26</v>
      </c>
      <c r="F2932" s="676" t="s">
        <v>30</v>
      </c>
      <c r="G2932" s="816"/>
      <c r="H2932" s="816"/>
      <c r="I2932" s="816"/>
      <c r="J2932" s="816"/>
      <c r="K2932" s="816">
        <f>[53]운반공!$BO$635</f>
        <v>22</v>
      </c>
      <c r="L2932" s="816">
        <f>INT(E2932*K2932)</f>
        <v>572</v>
      </c>
      <c r="M2932" s="816">
        <f t="shared" ref="M2932:N2940" si="727">G2932+I2932+K2932</f>
        <v>22</v>
      </c>
      <c r="N2932" s="816">
        <f t="shared" si="727"/>
        <v>572</v>
      </c>
      <c r="O2932" s="817"/>
      <c r="P2932" s="672"/>
      <c r="Q2932" s="688">
        <f t="shared" si="726"/>
        <v>250</v>
      </c>
      <c r="R2932" s="688">
        <f t="shared" si="726"/>
        <v>2.5</v>
      </c>
      <c r="S2932" s="688">
        <v>1</v>
      </c>
      <c r="T2932" s="690">
        <f t="shared" ref="T2932:T2937" si="728">ROUND(S2932/R2932,4)</f>
        <v>0.4</v>
      </c>
    </row>
    <row r="2933" spans="1:20" s="688" customFormat="1" ht="17.100000000000001" customHeight="1">
      <c r="A2933" s="1316" t="s">
        <v>2161</v>
      </c>
      <c r="B2933" s="1317"/>
      <c r="C2933" s="1316" t="s">
        <v>2153</v>
      </c>
      <c r="D2933" s="1317"/>
      <c r="E2933" s="683">
        <v>1.6000000000000001E-3</v>
      </c>
      <c r="F2933" s="676" t="s">
        <v>850</v>
      </c>
      <c r="G2933" s="670" t="e">
        <f>#REF!</f>
        <v>#REF!</v>
      </c>
      <c r="H2933" s="670" t="e">
        <f>INT(E2933*G2933)</f>
        <v>#REF!</v>
      </c>
      <c r="I2933" s="670"/>
      <c r="J2933" s="670"/>
      <c r="K2933" s="670"/>
      <c r="L2933" s="670"/>
      <c r="M2933" s="670" t="e">
        <f t="shared" si="727"/>
        <v>#REF!</v>
      </c>
      <c r="N2933" s="670" t="e">
        <f t="shared" si="727"/>
        <v>#REF!</v>
      </c>
      <c r="O2933" s="671"/>
      <c r="P2933" s="672"/>
      <c r="Q2933" s="688">
        <f t="shared" si="726"/>
        <v>250</v>
      </c>
      <c r="R2933" s="688">
        <f t="shared" si="726"/>
        <v>2.5</v>
      </c>
      <c r="S2933" s="688">
        <v>8</v>
      </c>
      <c r="T2933" s="690">
        <f t="shared" si="728"/>
        <v>3.2</v>
      </c>
    </row>
    <row r="2934" spans="1:20" s="688" customFormat="1" ht="17.100000000000001" customHeight="1">
      <c r="A2934" s="1316" t="s">
        <v>821</v>
      </c>
      <c r="B2934" s="1317"/>
      <c r="C2934" s="1316" t="s">
        <v>2154</v>
      </c>
      <c r="D2934" s="1317"/>
      <c r="E2934" s="701">
        <v>3.3000000000000002E-2</v>
      </c>
      <c r="F2934" s="676" t="s">
        <v>850</v>
      </c>
      <c r="G2934" s="670" t="e">
        <f>#REF!</f>
        <v>#REF!</v>
      </c>
      <c r="H2934" s="670" t="e">
        <f>INT(E2934*G2934)</f>
        <v>#REF!</v>
      </c>
      <c r="I2934" s="670"/>
      <c r="J2934" s="670"/>
      <c r="K2934" s="670"/>
      <c r="L2934" s="670"/>
      <c r="M2934" s="670" t="e">
        <f t="shared" si="727"/>
        <v>#REF!</v>
      </c>
      <c r="N2934" s="670" t="e">
        <f t="shared" si="727"/>
        <v>#REF!</v>
      </c>
      <c r="O2934" s="671"/>
      <c r="P2934" s="672"/>
      <c r="Q2934" s="688">
        <f t="shared" si="726"/>
        <v>250</v>
      </c>
      <c r="R2934" s="688">
        <f t="shared" si="726"/>
        <v>2.5</v>
      </c>
      <c r="S2934" s="688">
        <v>8</v>
      </c>
      <c r="T2934" s="690">
        <f t="shared" si="728"/>
        <v>3.2</v>
      </c>
    </row>
    <row r="2935" spans="1:20" s="688" customFormat="1" ht="17.100000000000001" customHeight="1">
      <c r="A2935" s="1316" t="s">
        <v>540</v>
      </c>
      <c r="B2935" s="1317"/>
      <c r="C2935" s="1316"/>
      <c r="D2935" s="1317"/>
      <c r="E2935" s="683">
        <f t="shared" ref="E2935:E2940" si="729">T2904</f>
        <v>1.8200000000000001E-2</v>
      </c>
      <c r="F2935" s="676" t="s">
        <v>366</v>
      </c>
      <c r="G2935" s="670"/>
      <c r="H2935" s="670"/>
      <c r="I2935" s="670">
        <f>[53]노임단가!$T$22</f>
        <v>273308</v>
      </c>
      <c r="J2935" s="670">
        <f t="shared" ref="J2935:J2940" si="730">INT(E2935*I2935)</f>
        <v>4974</v>
      </c>
      <c r="K2935" s="670"/>
      <c r="L2935" s="670"/>
      <c r="M2935" s="670">
        <f t="shared" si="727"/>
        <v>273308</v>
      </c>
      <c r="N2935" s="670">
        <f t="shared" si="727"/>
        <v>4974</v>
      </c>
      <c r="O2935" s="671"/>
      <c r="P2935" s="672"/>
      <c r="Q2935" s="688">
        <f t="shared" si="726"/>
        <v>250</v>
      </c>
      <c r="R2935" s="688">
        <f t="shared" si="726"/>
        <v>2.5</v>
      </c>
      <c r="S2935" s="688">
        <v>8</v>
      </c>
      <c r="T2935" s="690">
        <f t="shared" si="728"/>
        <v>3.2</v>
      </c>
    </row>
    <row r="2936" spans="1:20" s="688" customFormat="1" ht="17.100000000000001" customHeight="1">
      <c r="A2936" s="1316" t="s">
        <v>628</v>
      </c>
      <c r="B2936" s="1317"/>
      <c r="C2936" s="1316"/>
      <c r="D2936" s="1317"/>
      <c r="E2936" s="683">
        <f t="shared" si="729"/>
        <v>9.1000000000000004E-3</v>
      </c>
      <c r="F2936" s="676" t="s">
        <v>366</v>
      </c>
      <c r="G2936" s="670"/>
      <c r="H2936" s="670"/>
      <c r="I2936" s="670">
        <f>[53]노임단가!$T$6</f>
        <v>226122</v>
      </c>
      <c r="J2936" s="670">
        <f t="shared" si="730"/>
        <v>2057</v>
      </c>
      <c r="K2936" s="670"/>
      <c r="L2936" s="670"/>
      <c r="M2936" s="670">
        <f t="shared" si="727"/>
        <v>226122</v>
      </c>
      <c r="N2936" s="670">
        <f t="shared" si="727"/>
        <v>2057</v>
      </c>
      <c r="O2936" s="671"/>
      <c r="P2936" s="672"/>
      <c r="Q2936" s="688">
        <f>Q2934</f>
        <v>250</v>
      </c>
      <c r="R2936" s="688">
        <f>R2934</f>
        <v>2.5</v>
      </c>
      <c r="S2936" s="688">
        <v>4</v>
      </c>
      <c r="T2936" s="690">
        <f>ROUND(S2936/R2936,4)</f>
        <v>1.6</v>
      </c>
    </row>
    <row r="2937" spans="1:20" s="688" customFormat="1" ht="17.100000000000001" customHeight="1">
      <c r="A2937" s="1316" t="s">
        <v>248</v>
      </c>
      <c r="B2937" s="1317"/>
      <c r="C2937" s="1316"/>
      <c r="D2937" s="1317"/>
      <c r="E2937" s="683">
        <f t="shared" si="729"/>
        <v>9.1000000000000004E-3</v>
      </c>
      <c r="F2937" s="676" t="s">
        <v>366</v>
      </c>
      <c r="G2937" s="670"/>
      <c r="H2937" s="670"/>
      <c r="I2937" s="670">
        <f>[53]노임단가!$T$5</f>
        <v>172068</v>
      </c>
      <c r="J2937" s="670">
        <f t="shared" si="730"/>
        <v>1565</v>
      </c>
      <c r="K2937" s="670"/>
      <c r="L2937" s="670"/>
      <c r="M2937" s="670">
        <f t="shared" si="727"/>
        <v>172068</v>
      </c>
      <c r="N2937" s="670">
        <f t="shared" si="727"/>
        <v>1565</v>
      </c>
      <c r="O2937" s="671"/>
      <c r="P2937" s="672"/>
      <c r="Q2937" s="688">
        <f>Q2935</f>
        <v>250</v>
      </c>
      <c r="R2937" s="688">
        <f>R2935</f>
        <v>2.5</v>
      </c>
      <c r="S2937" s="688">
        <v>4</v>
      </c>
      <c r="T2937" s="690">
        <f t="shared" si="728"/>
        <v>1.6</v>
      </c>
    </row>
    <row r="2938" spans="1:20" s="688" customFormat="1" ht="17.100000000000001" customHeight="1">
      <c r="A2938" s="1316" t="s">
        <v>409</v>
      </c>
      <c r="B2938" s="1317"/>
      <c r="C2938" s="1316" t="s">
        <v>1380</v>
      </c>
      <c r="D2938" s="1317"/>
      <c r="E2938" s="683">
        <f t="shared" si="729"/>
        <v>7.2700000000000001E-2</v>
      </c>
      <c r="F2938" s="676" t="s">
        <v>418</v>
      </c>
      <c r="G2938" s="670" t="e">
        <f>#REF!</f>
        <v>#REF!</v>
      </c>
      <c r="H2938" s="670" t="e">
        <f>INT(E2938*G2938)</f>
        <v>#REF!</v>
      </c>
      <c r="I2938" s="670" t="e">
        <f>#REF!</f>
        <v>#REF!</v>
      </c>
      <c r="J2938" s="670" t="e">
        <f t="shared" si="730"/>
        <v>#REF!</v>
      </c>
      <c r="K2938" s="670" t="e">
        <f>#REF!</f>
        <v>#REF!</v>
      </c>
      <c r="L2938" s="670" t="e">
        <f>INT(E2938*K2938)</f>
        <v>#REF!</v>
      </c>
      <c r="M2938" s="670" t="e">
        <f t="shared" si="727"/>
        <v>#REF!</v>
      </c>
      <c r="N2938" s="670" t="e">
        <f t="shared" si="727"/>
        <v>#REF!</v>
      </c>
      <c r="O2938" s="671"/>
      <c r="P2938" s="672"/>
      <c r="T2938" s="690"/>
    </row>
    <row r="2939" spans="1:20" s="688" customFormat="1" ht="17.100000000000001" customHeight="1">
      <c r="A2939" s="1316" t="s">
        <v>465</v>
      </c>
      <c r="B2939" s="1317"/>
      <c r="C2939" s="1316" t="s">
        <v>466</v>
      </c>
      <c r="D2939" s="1317"/>
      <c r="E2939" s="683">
        <f t="shared" si="729"/>
        <v>7.2700000000000001E-2</v>
      </c>
      <c r="F2939" s="676" t="s">
        <v>418</v>
      </c>
      <c r="G2939" s="670" t="e">
        <f>#REF!</f>
        <v>#REF!</v>
      </c>
      <c r="H2939" s="750" t="e">
        <f>INT(E2939*G2939)</f>
        <v>#REF!</v>
      </c>
      <c r="I2939" s="670" t="e">
        <f>#REF!</f>
        <v>#REF!</v>
      </c>
      <c r="J2939" s="750" t="e">
        <f t="shared" si="730"/>
        <v>#REF!</v>
      </c>
      <c r="K2939" s="670" t="e">
        <f>#REF!</f>
        <v>#REF!</v>
      </c>
      <c r="L2939" s="750" t="e">
        <f>INT(E2939*K2939)</f>
        <v>#REF!</v>
      </c>
      <c r="M2939" s="670" t="e">
        <f t="shared" si="727"/>
        <v>#REF!</v>
      </c>
      <c r="N2939" s="670" t="e">
        <f t="shared" si="727"/>
        <v>#REF!</v>
      </c>
      <c r="O2939" s="671"/>
      <c r="P2939" s="672"/>
      <c r="T2939" s="690"/>
    </row>
    <row r="2940" spans="1:20" s="688" customFormat="1" ht="17.100000000000001" customHeight="1">
      <c r="A2940" s="1316" t="s">
        <v>641</v>
      </c>
      <c r="B2940" s="1317"/>
      <c r="C2940" s="1316" t="s">
        <v>642</v>
      </c>
      <c r="D2940" s="1317"/>
      <c r="E2940" s="683">
        <f t="shared" si="729"/>
        <v>7.2700000000000001E-2</v>
      </c>
      <c r="F2940" s="676" t="s">
        <v>418</v>
      </c>
      <c r="G2940" s="670" t="e">
        <f>#REF!</f>
        <v>#REF!</v>
      </c>
      <c r="H2940" s="670" t="e">
        <f>INT(E2940*G2940)</f>
        <v>#REF!</v>
      </c>
      <c r="I2940" s="670" t="e">
        <f>#REF!</f>
        <v>#REF!</v>
      </c>
      <c r="J2940" s="670" t="e">
        <f t="shared" si="730"/>
        <v>#REF!</v>
      </c>
      <c r="K2940" s="670" t="e">
        <f>#REF!</f>
        <v>#REF!</v>
      </c>
      <c r="L2940" s="670" t="e">
        <f>INT(E2940*K2940)</f>
        <v>#REF!</v>
      </c>
      <c r="M2940" s="670" t="e">
        <f t="shared" si="727"/>
        <v>#REF!</v>
      </c>
      <c r="N2940" s="670" t="e">
        <f t="shared" si="727"/>
        <v>#REF!</v>
      </c>
      <c r="O2940" s="671"/>
      <c r="P2940" s="672"/>
      <c r="T2940" s="690"/>
    </row>
    <row r="2941" spans="1:20" s="688" customFormat="1" ht="17.100000000000001" customHeight="1">
      <c r="A2941" s="1316" t="s">
        <v>2108</v>
      </c>
      <c r="B2941" s="1317"/>
      <c r="C2941" s="1316" t="s">
        <v>1764</v>
      </c>
      <c r="D2941" s="1317"/>
      <c r="E2941" s="675">
        <v>0.02</v>
      </c>
      <c r="F2941" s="676" t="s">
        <v>672</v>
      </c>
      <c r="G2941" s="670"/>
      <c r="H2941" s="670">
        <f>INT(E2941*G2941)</f>
        <v>0</v>
      </c>
      <c r="I2941" s="670"/>
      <c r="J2941" s="670"/>
      <c r="K2941" s="670">
        <f>SUM(J2935:J2937)</f>
        <v>8596</v>
      </c>
      <c r="L2941" s="670">
        <f>INT(E2941*K2941)</f>
        <v>171</v>
      </c>
      <c r="M2941" s="670">
        <f>G2941+I2941+K2941</f>
        <v>8596</v>
      </c>
      <c r="N2941" s="670">
        <f>H2941+J2941+L2941</f>
        <v>171</v>
      </c>
      <c r="O2941" s="671"/>
      <c r="P2941" s="672"/>
      <c r="T2941" s="690"/>
    </row>
    <row r="2942" spans="1:20" s="688" customFormat="1" ht="17.100000000000001" customHeight="1">
      <c r="A2942" s="1318" t="s">
        <v>1320</v>
      </c>
      <c r="B2942" s="1319"/>
      <c r="C2942" s="1316"/>
      <c r="D2942" s="1317"/>
      <c r="E2942" s="686"/>
      <c r="F2942" s="676"/>
      <c r="G2942" s="670"/>
      <c r="H2942" s="670" t="e">
        <f>SUM(H2931:H2941)</f>
        <v>#REF!</v>
      </c>
      <c r="I2942" s="670"/>
      <c r="J2942" s="670" t="e">
        <f>SUM(J2931:J2941)</f>
        <v>#REF!</v>
      </c>
      <c r="K2942" s="670"/>
      <c r="L2942" s="670" t="e">
        <f>SUM(L2931:L2941)</f>
        <v>#REF!</v>
      </c>
      <c r="M2942" s="670"/>
      <c r="N2942" s="670" t="e">
        <f>SUM(N2931:N2941)</f>
        <v>#REF!</v>
      </c>
      <c r="O2942" s="671"/>
      <c r="P2942" s="672"/>
      <c r="T2942" s="690"/>
    </row>
    <row r="2943" spans="1:20" s="688" customFormat="1" ht="17.100000000000001" customHeight="1">
      <c r="A2943" s="668">
        <f>A2930+1</f>
        <v>407</v>
      </c>
      <c r="B2943" s="1320" t="s">
        <v>2186</v>
      </c>
      <c r="C2943" s="1320"/>
      <c r="D2943" s="1320" t="s">
        <v>2196</v>
      </c>
      <c r="E2943" s="1320"/>
      <c r="F2943" s="669" t="s">
        <v>645</v>
      </c>
      <c r="G2943" s="698"/>
      <c r="H2943" s="698"/>
      <c r="I2943" s="698"/>
      <c r="J2943" s="698"/>
      <c r="K2943" s="670"/>
      <c r="L2943" s="670"/>
      <c r="M2943" s="670"/>
      <c r="N2943" s="698"/>
      <c r="O2943" s="699" t="s">
        <v>1562</v>
      </c>
      <c r="P2943" s="672"/>
      <c r="T2943" s="690"/>
    </row>
    <row r="2944" spans="1:20" s="688" customFormat="1" ht="17.100000000000001" customHeight="1">
      <c r="A2944" s="1316" t="s">
        <v>2158</v>
      </c>
      <c r="B2944" s="1317"/>
      <c r="C2944" s="1316" t="s">
        <v>2159</v>
      </c>
      <c r="D2944" s="1317"/>
      <c r="E2944" s="677">
        <v>26</v>
      </c>
      <c r="F2944" s="676" t="s">
        <v>30</v>
      </c>
      <c r="G2944" s="670"/>
      <c r="H2944" s="670"/>
      <c r="I2944" s="670"/>
      <c r="J2944" s="670"/>
      <c r="K2944" s="670"/>
      <c r="L2944" s="670"/>
      <c r="M2944" s="670"/>
      <c r="N2944" s="670"/>
      <c r="O2944" s="671"/>
      <c r="P2944" s="672"/>
      <c r="T2944" s="690"/>
    </row>
    <row r="2945" spans="1:20" s="665" customFormat="1" ht="17.100000000000001" customHeight="1">
      <c r="A2945" s="1369" t="s">
        <v>2160</v>
      </c>
      <c r="B2945" s="1365"/>
      <c r="C2945" s="1369" t="s">
        <v>1761</v>
      </c>
      <c r="D2945" s="1365"/>
      <c r="E2945" s="677">
        <v>26</v>
      </c>
      <c r="F2945" s="676" t="s">
        <v>30</v>
      </c>
      <c r="G2945" s="816"/>
      <c r="H2945" s="816"/>
      <c r="I2945" s="816"/>
      <c r="J2945" s="816"/>
      <c r="K2945" s="816">
        <f>[53]운반공!$BO$635</f>
        <v>22</v>
      </c>
      <c r="L2945" s="816">
        <f>INT(E2945*K2945)</f>
        <v>572</v>
      </c>
      <c r="M2945" s="816">
        <f t="shared" ref="M2945:N2953" si="731">G2945+I2945+K2945</f>
        <v>22</v>
      </c>
      <c r="N2945" s="816">
        <f t="shared" si="731"/>
        <v>572</v>
      </c>
      <c r="O2945" s="817"/>
      <c r="P2945" s="672"/>
      <c r="Q2945" s="688" t="s">
        <v>1994</v>
      </c>
      <c r="R2945" s="688"/>
      <c r="S2945" s="688"/>
      <c r="T2945" s="690"/>
    </row>
    <row r="2946" spans="1:20" s="688" customFormat="1" ht="17.100000000000001" customHeight="1">
      <c r="A2946" s="1316" t="s">
        <v>2161</v>
      </c>
      <c r="B2946" s="1317"/>
      <c r="C2946" s="1316" t="s">
        <v>2153</v>
      </c>
      <c r="D2946" s="1317"/>
      <c r="E2946" s="683">
        <v>1.6000000000000001E-3</v>
      </c>
      <c r="F2946" s="676" t="s">
        <v>850</v>
      </c>
      <c r="G2946" s="670" t="e">
        <f>#REF!</f>
        <v>#REF!</v>
      </c>
      <c r="H2946" s="670" t="e">
        <f>INT(E2946*G2946)</f>
        <v>#REF!</v>
      </c>
      <c r="I2946" s="670"/>
      <c r="J2946" s="670"/>
      <c r="K2946" s="670"/>
      <c r="L2946" s="670"/>
      <c r="M2946" s="670" t="e">
        <f t="shared" si="731"/>
        <v>#REF!</v>
      </c>
      <c r="N2946" s="670" t="e">
        <f t="shared" si="731"/>
        <v>#REF!</v>
      </c>
      <c r="O2946" s="671"/>
      <c r="P2946" s="672"/>
      <c r="T2946" s="690"/>
    </row>
    <row r="2947" spans="1:20" s="688" customFormat="1" ht="17.100000000000001" customHeight="1">
      <c r="A2947" s="1316" t="s">
        <v>821</v>
      </c>
      <c r="B2947" s="1317"/>
      <c r="C2947" s="1316" t="s">
        <v>2154</v>
      </c>
      <c r="D2947" s="1317"/>
      <c r="E2947" s="701">
        <v>3.3000000000000002E-2</v>
      </c>
      <c r="F2947" s="676" t="s">
        <v>850</v>
      </c>
      <c r="G2947" s="670" t="e">
        <f>#REF!</f>
        <v>#REF!</v>
      </c>
      <c r="H2947" s="670" t="e">
        <f>INT(E2947*G2947)</f>
        <v>#REF!</v>
      </c>
      <c r="I2947" s="670"/>
      <c r="J2947" s="670"/>
      <c r="K2947" s="670"/>
      <c r="L2947" s="670"/>
      <c r="M2947" s="670" t="e">
        <f t="shared" si="731"/>
        <v>#REF!</v>
      </c>
      <c r="N2947" s="670" t="e">
        <f t="shared" si="731"/>
        <v>#REF!</v>
      </c>
      <c r="O2947" s="671"/>
      <c r="P2947" s="672"/>
      <c r="Q2947" s="665"/>
      <c r="R2947" s="665"/>
    </row>
    <row r="2948" spans="1:20" s="688" customFormat="1" ht="17.100000000000001" customHeight="1">
      <c r="A2948" s="1316" t="s">
        <v>540</v>
      </c>
      <c r="B2948" s="1317"/>
      <c r="C2948" s="1316"/>
      <c r="D2948" s="1317"/>
      <c r="E2948" s="683">
        <f t="shared" ref="E2948:E2953" si="732">T2917</f>
        <v>1.7299999999999999E-2</v>
      </c>
      <c r="F2948" s="676" t="s">
        <v>366</v>
      </c>
      <c r="G2948" s="670"/>
      <c r="H2948" s="670"/>
      <c r="I2948" s="670">
        <f>[53]노임단가!$T$22</f>
        <v>273308</v>
      </c>
      <c r="J2948" s="670">
        <f t="shared" ref="J2948:J2953" si="733">INT(E2948*I2948)</f>
        <v>4728</v>
      </c>
      <c r="K2948" s="670"/>
      <c r="L2948" s="670"/>
      <c r="M2948" s="670">
        <f t="shared" si="731"/>
        <v>273308</v>
      </c>
      <c r="N2948" s="670">
        <f t="shared" si="731"/>
        <v>4728</v>
      </c>
      <c r="O2948" s="671"/>
      <c r="P2948" s="672"/>
      <c r="Q2948" s="687"/>
      <c r="S2948" s="665"/>
      <c r="T2948" s="665"/>
    </row>
    <row r="2949" spans="1:20" s="688" customFormat="1" ht="17.100000000000001" customHeight="1">
      <c r="A2949" s="1316" t="s">
        <v>628</v>
      </c>
      <c r="B2949" s="1317"/>
      <c r="C2949" s="1316"/>
      <c r="D2949" s="1317"/>
      <c r="E2949" s="683">
        <f t="shared" si="732"/>
        <v>8.6999999999999994E-3</v>
      </c>
      <c r="F2949" s="676" t="s">
        <v>366</v>
      </c>
      <c r="G2949" s="670"/>
      <c r="H2949" s="670"/>
      <c r="I2949" s="670">
        <f>[53]노임단가!$T$6</f>
        <v>226122</v>
      </c>
      <c r="J2949" s="670">
        <f t="shared" si="733"/>
        <v>1967</v>
      </c>
      <c r="K2949" s="670"/>
      <c r="L2949" s="670"/>
      <c r="M2949" s="670">
        <f t="shared" si="731"/>
        <v>226122</v>
      </c>
      <c r="N2949" s="670">
        <f t="shared" si="731"/>
        <v>1967</v>
      </c>
      <c r="O2949" s="671"/>
      <c r="P2949" s="672"/>
    </row>
    <row r="2950" spans="1:20" s="688" customFormat="1" ht="17.100000000000001" customHeight="1">
      <c r="A2950" s="1316" t="s">
        <v>248</v>
      </c>
      <c r="B2950" s="1317"/>
      <c r="C2950" s="1316"/>
      <c r="D2950" s="1317"/>
      <c r="E2950" s="683">
        <f t="shared" si="732"/>
        <v>8.6999999999999994E-3</v>
      </c>
      <c r="F2950" s="676" t="s">
        <v>366</v>
      </c>
      <c r="G2950" s="670"/>
      <c r="H2950" s="670"/>
      <c r="I2950" s="670">
        <f>[53]노임단가!$T$5</f>
        <v>172068</v>
      </c>
      <c r="J2950" s="670">
        <f t="shared" si="733"/>
        <v>1496</v>
      </c>
      <c r="K2950" s="670"/>
      <c r="L2950" s="670"/>
      <c r="M2950" s="670">
        <f t="shared" si="731"/>
        <v>172068</v>
      </c>
      <c r="N2950" s="670">
        <f t="shared" si="731"/>
        <v>1496</v>
      </c>
      <c r="O2950" s="671"/>
      <c r="P2950" s="672"/>
      <c r="T2950" s="690"/>
    </row>
    <row r="2951" spans="1:20" s="688" customFormat="1" ht="17.100000000000001" customHeight="1">
      <c r="A2951" s="1316" t="s">
        <v>409</v>
      </c>
      <c r="B2951" s="1317"/>
      <c r="C2951" s="1316" t="s">
        <v>1380</v>
      </c>
      <c r="D2951" s="1317"/>
      <c r="E2951" s="683">
        <f t="shared" si="732"/>
        <v>6.93E-2</v>
      </c>
      <c r="F2951" s="676" t="s">
        <v>418</v>
      </c>
      <c r="G2951" s="670" t="e">
        <f>#REF!</f>
        <v>#REF!</v>
      </c>
      <c r="H2951" s="670" t="e">
        <f>INT(E2951*G2951)</f>
        <v>#REF!</v>
      </c>
      <c r="I2951" s="670" t="e">
        <f>#REF!</f>
        <v>#REF!</v>
      </c>
      <c r="J2951" s="670" t="e">
        <f t="shared" si="733"/>
        <v>#REF!</v>
      </c>
      <c r="K2951" s="670" t="e">
        <f>#REF!</f>
        <v>#REF!</v>
      </c>
      <c r="L2951" s="670" t="e">
        <f>INT(E2951*K2951)</f>
        <v>#REF!</v>
      </c>
      <c r="M2951" s="670" t="e">
        <f t="shared" si="731"/>
        <v>#REF!</v>
      </c>
      <c r="N2951" s="670" t="e">
        <f t="shared" si="731"/>
        <v>#REF!</v>
      </c>
      <c r="O2951" s="671"/>
      <c r="P2951" s="672"/>
      <c r="T2951" s="690"/>
    </row>
    <row r="2952" spans="1:20" s="688" customFormat="1" ht="17.100000000000001" customHeight="1">
      <c r="A2952" s="1316" t="s">
        <v>465</v>
      </c>
      <c r="B2952" s="1317"/>
      <c r="C2952" s="1316" t="s">
        <v>466</v>
      </c>
      <c r="D2952" s="1317"/>
      <c r="E2952" s="683">
        <f t="shared" si="732"/>
        <v>6.93E-2</v>
      </c>
      <c r="F2952" s="676" t="s">
        <v>418</v>
      </c>
      <c r="G2952" s="670" t="e">
        <f>#REF!</f>
        <v>#REF!</v>
      </c>
      <c r="H2952" s="750" t="e">
        <f>INT(E2952*G2952)</f>
        <v>#REF!</v>
      </c>
      <c r="I2952" s="670" t="e">
        <f>#REF!</f>
        <v>#REF!</v>
      </c>
      <c r="J2952" s="750" t="e">
        <f t="shared" si="733"/>
        <v>#REF!</v>
      </c>
      <c r="K2952" s="670" t="e">
        <f>#REF!</f>
        <v>#REF!</v>
      </c>
      <c r="L2952" s="750" t="e">
        <f>INT(E2952*K2952)</f>
        <v>#REF!</v>
      </c>
      <c r="M2952" s="670" t="e">
        <f t="shared" si="731"/>
        <v>#REF!</v>
      </c>
      <c r="N2952" s="670" t="e">
        <f t="shared" si="731"/>
        <v>#REF!</v>
      </c>
      <c r="O2952" s="671"/>
      <c r="P2952" s="672"/>
      <c r="T2952" s="690"/>
    </row>
    <row r="2953" spans="1:20" s="688" customFormat="1" ht="17.100000000000001" customHeight="1">
      <c r="A2953" s="1316" t="s">
        <v>641</v>
      </c>
      <c r="B2953" s="1317"/>
      <c r="C2953" s="1316" t="s">
        <v>642</v>
      </c>
      <c r="D2953" s="1317"/>
      <c r="E2953" s="683">
        <f t="shared" si="732"/>
        <v>6.93E-2</v>
      </c>
      <c r="F2953" s="676" t="s">
        <v>418</v>
      </c>
      <c r="G2953" s="670" t="e">
        <f>#REF!</f>
        <v>#REF!</v>
      </c>
      <c r="H2953" s="670" t="e">
        <f>INT(E2953*G2953)</f>
        <v>#REF!</v>
      </c>
      <c r="I2953" s="670" t="e">
        <f>#REF!</f>
        <v>#REF!</v>
      </c>
      <c r="J2953" s="670" t="e">
        <f t="shared" si="733"/>
        <v>#REF!</v>
      </c>
      <c r="K2953" s="670" t="e">
        <f>#REF!</f>
        <v>#REF!</v>
      </c>
      <c r="L2953" s="670" t="e">
        <f>INT(E2953*K2953)</f>
        <v>#REF!</v>
      </c>
      <c r="M2953" s="670" t="e">
        <f t="shared" si="731"/>
        <v>#REF!</v>
      </c>
      <c r="N2953" s="670" t="e">
        <f t="shared" si="731"/>
        <v>#REF!</v>
      </c>
      <c r="O2953" s="671"/>
      <c r="P2953" s="672"/>
      <c r="T2953" s="690"/>
    </row>
    <row r="2954" spans="1:20" s="688" customFormat="1" ht="17.100000000000001" customHeight="1">
      <c r="A2954" s="1316" t="s">
        <v>2108</v>
      </c>
      <c r="B2954" s="1317"/>
      <c r="C2954" s="1316" t="s">
        <v>1764</v>
      </c>
      <c r="D2954" s="1317"/>
      <c r="E2954" s="675">
        <v>0.02</v>
      </c>
      <c r="F2954" s="676" t="s">
        <v>672</v>
      </c>
      <c r="G2954" s="670"/>
      <c r="H2954" s="670">
        <f>INT(E2954*G2954)</f>
        <v>0</v>
      </c>
      <c r="I2954" s="670"/>
      <c r="J2954" s="670"/>
      <c r="K2954" s="670">
        <f>SUM(J2948:J2950)</f>
        <v>8191</v>
      </c>
      <c r="L2954" s="670">
        <f>INT(E2954*K2954)</f>
        <v>163</v>
      </c>
      <c r="M2954" s="670">
        <f>G2954+I2954+K2954</f>
        <v>8191</v>
      </c>
      <c r="N2954" s="670">
        <f>H2954+J2954+L2954</f>
        <v>163</v>
      </c>
      <c r="O2954" s="671"/>
      <c r="P2954" s="672"/>
      <c r="T2954" s="690"/>
    </row>
    <row r="2955" spans="1:20" s="688" customFormat="1" ht="17.100000000000001" customHeight="1">
      <c r="A2955" s="1318" t="s">
        <v>1320</v>
      </c>
      <c r="B2955" s="1319"/>
      <c r="C2955" s="1316"/>
      <c r="D2955" s="1317"/>
      <c r="E2955" s="686"/>
      <c r="F2955" s="676"/>
      <c r="G2955" s="670"/>
      <c r="H2955" s="670" t="e">
        <f>SUM(H2944:H2954)</f>
        <v>#REF!</v>
      </c>
      <c r="I2955" s="670"/>
      <c r="J2955" s="670" t="e">
        <f>SUM(J2944:J2954)</f>
        <v>#REF!</v>
      </c>
      <c r="K2955" s="670"/>
      <c r="L2955" s="670" t="e">
        <f>SUM(L2944:L2954)</f>
        <v>#REF!</v>
      </c>
      <c r="M2955" s="670"/>
      <c r="N2955" s="670" t="e">
        <f>SUM(N2944:N2954)</f>
        <v>#REF!</v>
      </c>
      <c r="O2955" s="671"/>
      <c r="P2955" s="672"/>
      <c r="T2955" s="690"/>
    </row>
    <row r="2956" spans="1:20" s="822" customFormat="1" ht="17.100000000000001" customHeight="1">
      <c r="A2956" s="737">
        <f>A2943+1</f>
        <v>408</v>
      </c>
      <c r="B2956" s="1345" t="s">
        <v>2197</v>
      </c>
      <c r="C2956" s="1345"/>
      <c r="D2956" s="1345"/>
      <c r="E2956" s="1345"/>
      <c r="F2956" s="738" t="s">
        <v>645</v>
      </c>
      <c r="G2956" s="771"/>
      <c r="H2956" s="771"/>
      <c r="I2956" s="771"/>
      <c r="J2956" s="771"/>
      <c r="K2956" s="739"/>
      <c r="L2956" s="739"/>
      <c r="M2956" s="739"/>
      <c r="N2956" s="771"/>
      <c r="O2956" s="772"/>
      <c r="P2956" s="678" t="s">
        <v>1693</v>
      </c>
      <c r="T2956" s="823"/>
    </row>
    <row r="2957" spans="1:20" s="822" customFormat="1" ht="17.100000000000001" customHeight="1">
      <c r="A2957" s="1341" t="s">
        <v>902</v>
      </c>
      <c r="B2957" s="1342"/>
      <c r="C2957" s="1341" t="s">
        <v>903</v>
      </c>
      <c r="D2957" s="1342"/>
      <c r="E2957" s="744">
        <v>1.1000000000000001</v>
      </c>
      <c r="F2957" s="742" t="s">
        <v>645</v>
      </c>
      <c r="G2957" s="739" t="e">
        <f>#REF!</f>
        <v>#REF!</v>
      </c>
      <c r="H2957" s="739" t="e">
        <f>INT(E2957*G2957)</f>
        <v>#REF!</v>
      </c>
      <c r="I2957" s="739"/>
      <c r="J2957" s="739"/>
      <c r="K2957" s="739"/>
      <c r="L2957" s="739"/>
      <c r="M2957" s="739" t="e">
        <f t="shared" ref="M2957:N2959" si="734">G2957+I2957+K2957</f>
        <v>#REF!</v>
      </c>
      <c r="N2957" s="739" t="e">
        <f t="shared" si="734"/>
        <v>#REF!</v>
      </c>
      <c r="O2957" s="740"/>
      <c r="P2957" s="735" t="s">
        <v>2198</v>
      </c>
      <c r="T2957" s="823"/>
    </row>
    <row r="2958" spans="1:20" s="824" customFormat="1" ht="17.100000000000001" customHeight="1">
      <c r="A2958" s="1339" t="s">
        <v>2199</v>
      </c>
      <c r="B2958" s="1340" t="s">
        <v>2200</v>
      </c>
      <c r="C2958" s="785"/>
      <c r="D2958" s="780"/>
      <c r="E2958" s="754">
        <v>2E-3</v>
      </c>
      <c r="F2958" s="755" t="s">
        <v>366</v>
      </c>
      <c r="G2958" s="756"/>
      <c r="H2958" s="756"/>
      <c r="I2958" s="756">
        <f>[53]노임단가!$T$29</f>
        <v>228286</v>
      </c>
      <c r="J2958" s="756">
        <f>INT(E2958*I2958)</f>
        <v>456</v>
      </c>
      <c r="K2958" s="756"/>
      <c r="L2958" s="756"/>
      <c r="M2958" s="756">
        <f t="shared" si="734"/>
        <v>228286</v>
      </c>
      <c r="N2958" s="756">
        <f t="shared" si="734"/>
        <v>456</v>
      </c>
      <c r="O2958" s="757"/>
      <c r="P2958" s="758" t="s">
        <v>2201</v>
      </c>
      <c r="R2958" s="824" t="s">
        <v>2202</v>
      </c>
      <c r="S2958" s="824" t="s">
        <v>2203</v>
      </c>
      <c r="T2958" s="825"/>
    </row>
    <row r="2959" spans="1:20" s="824" customFormat="1" ht="17.100000000000001" customHeight="1">
      <c r="A2959" s="1339" t="s">
        <v>248</v>
      </c>
      <c r="B2959" s="1340"/>
      <c r="C2959" s="1368"/>
      <c r="D2959" s="1340"/>
      <c r="E2959" s="826">
        <v>6.9999999999999999E-4</v>
      </c>
      <c r="F2959" s="755" t="s">
        <v>366</v>
      </c>
      <c r="G2959" s="756"/>
      <c r="H2959" s="756"/>
      <c r="I2959" s="756">
        <f>[53]노임단가!$T$5</f>
        <v>172068</v>
      </c>
      <c r="J2959" s="756">
        <f>INT(E2959*I2959)</f>
        <v>120</v>
      </c>
      <c r="K2959" s="756"/>
      <c r="L2959" s="756"/>
      <c r="M2959" s="756">
        <f t="shared" si="734"/>
        <v>172068</v>
      </c>
      <c r="N2959" s="756">
        <f t="shared" si="734"/>
        <v>120</v>
      </c>
      <c r="O2959" s="827"/>
      <c r="P2959" s="758" t="s">
        <v>2199</v>
      </c>
      <c r="Q2959" s="824">
        <v>6</v>
      </c>
      <c r="R2959" s="824">
        <v>3000</v>
      </c>
      <c r="S2959" s="824">
        <f>Q2959/R2959</f>
        <v>2E-3</v>
      </c>
      <c r="T2959" s="825"/>
    </row>
    <row r="2960" spans="1:20" s="822" customFormat="1" ht="17.100000000000001" customHeight="1">
      <c r="A2960" s="1343" t="s">
        <v>1320</v>
      </c>
      <c r="B2960" s="1344"/>
      <c r="C2960" s="1341"/>
      <c r="D2960" s="1342"/>
      <c r="E2960" s="745"/>
      <c r="F2960" s="742"/>
      <c r="G2960" s="739"/>
      <c r="H2960" s="739" t="e">
        <f>SUM(H2957:H2959)</f>
        <v>#REF!</v>
      </c>
      <c r="I2960" s="739"/>
      <c r="J2960" s="739">
        <f>SUM(J2957:J2959)</f>
        <v>576</v>
      </c>
      <c r="K2960" s="739"/>
      <c r="L2960" s="739"/>
      <c r="M2960" s="739"/>
      <c r="N2960" s="739" t="e">
        <f>SUM(N2957:N2959)</f>
        <v>#REF!</v>
      </c>
      <c r="O2960" s="740"/>
      <c r="P2960" s="678" t="s">
        <v>248</v>
      </c>
      <c r="Q2960" s="822">
        <v>2</v>
      </c>
      <c r="R2960" s="822">
        <v>3000</v>
      </c>
      <c r="S2960" s="823">
        <f>Q2960/R2960</f>
        <v>6.6666666666666664E-4</v>
      </c>
      <c r="T2960" s="823"/>
    </row>
    <row r="2961" spans="1:20" s="688" customFormat="1" ht="17.100000000000001" customHeight="1">
      <c r="A2961" s="668">
        <f>A2956+1</f>
        <v>409</v>
      </c>
      <c r="B2961" s="1320" t="s">
        <v>2204</v>
      </c>
      <c r="C2961" s="1320"/>
      <c r="D2961" s="1320" t="s">
        <v>2205</v>
      </c>
      <c r="E2961" s="1320"/>
      <c r="F2961" s="669" t="s">
        <v>1458</v>
      </c>
      <c r="G2961" s="698"/>
      <c r="H2961" s="698"/>
      <c r="I2961" s="698"/>
      <c r="J2961" s="698"/>
      <c r="K2961" s="670"/>
      <c r="L2961" s="670"/>
      <c r="M2961" s="670"/>
      <c r="N2961" s="698"/>
      <c r="O2961" s="699" t="s">
        <v>1562</v>
      </c>
      <c r="P2961" s="672"/>
      <c r="T2961" s="690"/>
    </row>
    <row r="2962" spans="1:20" s="688" customFormat="1" ht="17.100000000000001" customHeight="1">
      <c r="A2962" s="1316" t="s">
        <v>2206</v>
      </c>
      <c r="B2962" s="1317"/>
      <c r="C2962" s="1316" t="s">
        <v>1827</v>
      </c>
      <c r="D2962" s="1317"/>
      <c r="E2962" s="686"/>
      <c r="F2962" s="676" t="s">
        <v>1458</v>
      </c>
      <c r="G2962" s="670"/>
      <c r="H2962" s="670"/>
      <c r="I2962" s="670"/>
      <c r="J2962" s="670"/>
      <c r="K2962" s="670"/>
      <c r="L2962" s="670"/>
      <c r="M2962" s="670"/>
      <c r="N2962" s="670"/>
      <c r="O2962" s="671"/>
      <c r="P2962" s="672" t="s">
        <v>1422</v>
      </c>
      <c r="Q2962" s="687" t="s">
        <v>1446</v>
      </c>
      <c r="R2962" s="688" t="s">
        <v>1447</v>
      </c>
      <c r="S2962" s="688" t="s">
        <v>1425</v>
      </c>
      <c r="T2962" s="688" t="s">
        <v>1426</v>
      </c>
    </row>
    <row r="2963" spans="1:20" s="688" customFormat="1" ht="17.100000000000001" customHeight="1">
      <c r="A2963" s="1316" t="s">
        <v>540</v>
      </c>
      <c r="B2963" s="1317"/>
      <c r="C2963" s="1316"/>
      <c r="D2963" s="1317"/>
      <c r="E2963" s="701">
        <v>0.8</v>
      </c>
      <c r="F2963" s="676" t="s">
        <v>366</v>
      </c>
      <c r="G2963" s="670"/>
      <c r="H2963" s="670"/>
      <c r="I2963" s="670">
        <f>[53]노임단가!$T$22</f>
        <v>273308</v>
      </c>
      <c r="J2963" s="670">
        <f t="shared" ref="J2963:J2968" si="735">INT(E2963*I2963)</f>
        <v>218646</v>
      </c>
      <c r="K2963" s="670"/>
      <c r="L2963" s="670"/>
      <c r="M2963" s="670">
        <f t="shared" ref="M2963:N2968" si="736">G2963+I2963+K2963</f>
        <v>273308</v>
      </c>
      <c r="N2963" s="670">
        <f t="shared" si="736"/>
        <v>218646</v>
      </c>
      <c r="O2963" s="671"/>
      <c r="P2963" s="672" t="s">
        <v>2207</v>
      </c>
      <c r="Q2963" s="688">
        <v>120</v>
      </c>
      <c r="R2963" s="688">
        <f>(Q2963)/100</f>
        <v>1.2</v>
      </c>
      <c r="T2963" s="690">
        <f>ROUND(S2963/R2963,4)</f>
        <v>0</v>
      </c>
    </row>
    <row r="2964" spans="1:20" s="665" customFormat="1" ht="17.100000000000001" customHeight="1">
      <c r="A2964" s="1316" t="s">
        <v>248</v>
      </c>
      <c r="B2964" s="1317"/>
      <c r="C2964" s="1316"/>
      <c r="D2964" s="1317"/>
      <c r="E2964" s="701">
        <v>0.4</v>
      </c>
      <c r="F2964" s="676" t="s">
        <v>366</v>
      </c>
      <c r="G2964" s="670"/>
      <c r="H2964" s="670"/>
      <c r="I2964" s="670">
        <f>[53]노임단가!$T$5</f>
        <v>172068</v>
      </c>
      <c r="J2964" s="670">
        <f t="shared" si="735"/>
        <v>68827</v>
      </c>
      <c r="K2964" s="670"/>
      <c r="L2964" s="670"/>
      <c r="M2964" s="670">
        <f t="shared" si="736"/>
        <v>172068</v>
      </c>
      <c r="N2964" s="670">
        <f t="shared" si="736"/>
        <v>68827</v>
      </c>
      <c r="O2964" s="671"/>
      <c r="P2964" s="672"/>
      <c r="Q2964" s="688">
        <f t="shared" ref="Q2964:R2966" si="737">Q2963</f>
        <v>120</v>
      </c>
      <c r="R2964" s="688">
        <f t="shared" si="737"/>
        <v>1.2</v>
      </c>
      <c r="S2964" s="688">
        <v>5</v>
      </c>
      <c r="T2964" s="690">
        <f>ROUND(S2964/R2964,4)</f>
        <v>4.1666999999999996</v>
      </c>
    </row>
    <row r="2965" spans="1:20" s="688" customFormat="1" ht="17.100000000000001" customHeight="1">
      <c r="A2965" s="1316" t="s">
        <v>515</v>
      </c>
      <c r="B2965" s="1317"/>
      <c r="C2965" s="1316" t="s">
        <v>555</v>
      </c>
      <c r="D2965" s="1317"/>
      <c r="E2965" s="701">
        <v>3.2</v>
      </c>
      <c r="F2965" s="676" t="s">
        <v>418</v>
      </c>
      <c r="G2965" s="670" t="e">
        <f>#REF!</f>
        <v>#REF!</v>
      </c>
      <c r="H2965" s="750" t="e">
        <f>INT(E2965*G2965)</f>
        <v>#REF!</v>
      </c>
      <c r="I2965" s="670" t="e">
        <f>#REF!</f>
        <v>#REF!</v>
      </c>
      <c r="J2965" s="750" t="e">
        <f t="shared" si="735"/>
        <v>#REF!</v>
      </c>
      <c r="K2965" s="670" t="e">
        <f>#REF!</f>
        <v>#REF!</v>
      </c>
      <c r="L2965" s="750" t="e">
        <f>INT(E2965*K2965)</f>
        <v>#REF!</v>
      </c>
      <c r="M2965" s="750" t="e">
        <f t="shared" si="736"/>
        <v>#REF!</v>
      </c>
      <c r="N2965" s="670" t="e">
        <f t="shared" si="736"/>
        <v>#REF!</v>
      </c>
      <c r="O2965" s="671"/>
      <c r="P2965" s="672"/>
      <c r="Q2965" s="688">
        <f t="shared" si="737"/>
        <v>120</v>
      </c>
      <c r="R2965" s="688">
        <f t="shared" si="737"/>
        <v>1.2</v>
      </c>
      <c r="S2965" s="688">
        <v>3</v>
      </c>
      <c r="T2965" s="690">
        <f>ROUND(S2965/R2965,4)</f>
        <v>2.5</v>
      </c>
    </row>
    <row r="2966" spans="1:20" s="688" customFormat="1" ht="17.100000000000001" customHeight="1">
      <c r="A2966" s="1316" t="s">
        <v>554</v>
      </c>
      <c r="B2966" s="1317"/>
      <c r="C2966" s="1316" t="s">
        <v>1181</v>
      </c>
      <c r="D2966" s="1317"/>
      <c r="E2966" s="701">
        <v>3.2</v>
      </c>
      <c r="F2966" s="676" t="s">
        <v>418</v>
      </c>
      <c r="G2966" s="670" t="e">
        <f>#REF!</f>
        <v>#REF!</v>
      </c>
      <c r="H2966" s="670" t="e">
        <f>INT(E2966*G2966)</f>
        <v>#REF!</v>
      </c>
      <c r="I2966" s="670" t="e">
        <f>#REF!</f>
        <v>#REF!</v>
      </c>
      <c r="J2966" s="670" t="e">
        <f t="shared" si="735"/>
        <v>#REF!</v>
      </c>
      <c r="K2966" s="670" t="e">
        <f>#REF!</f>
        <v>#REF!</v>
      </c>
      <c r="L2966" s="670" t="e">
        <f>INT(E2966*K2966)</f>
        <v>#REF!</v>
      </c>
      <c r="M2966" s="670" t="e">
        <f t="shared" si="736"/>
        <v>#REF!</v>
      </c>
      <c r="N2966" s="670" t="e">
        <f t="shared" si="736"/>
        <v>#REF!</v>
      </c>
      <c r="O2966" s="671"/>
      <c r="P2966" s="672"/>
      <c r="Q2966" s="688">
        <f t="shared" si="737"/>
        <v>120</v>
      </c>
      <c r="R2966" s="688">
        <f t="shared" si="737"/>
        <v>1.2</v>
      </c>
      <c r="S2966" s="688">
        <v>8</v>
      </c>
      <c r="T2966" s="690">
        <f>ROUND(S2966/R2966,4)</f>
        <v>6.6666999999999996</v>
      </c>
    </row>
    <row r="2967" spans="1:20" s="688" customFormat="1" ht="17.100000000000001" customHeight="1">
      <c r="A2967" s="1316" t="s">
        <v>465</v>
      </c>
      <c r="B2967" s="1317"/>
      <c r="C2967" s="1316" t="s">
        <v>466</v>
      </c>
      <c r="D2967" s="1317"/>
      <c r="E2967" s="701">
        <v>3.2</v>
      </c>
      <c r="F2967" s="676" t="s">
        <v>418</v>
      </c>
      <c r="G2967" s="670" t="e">
        <f>#REF!</f>
        <v>#REF!</v>
      </c>
      <c r="H2967" s="670" t="e">
        <f>INT(E2967*G2967)</f>
        <v>#REF!</v>
      </c>
      <c r="I2967" s="670" t="e">
        <f>#REF!</f>
        <v>#REF!</v>
      </c>
      <c r="J2967" s="670" t="e">
        <f t="shared" si="735"/>
        <v>#REF!</v>
      </c>
      <c r="K2967" s="670" t="e">
        <f>#REF!</f>
        <v>#REF!</v>
      </c>
      <c r="L2967" s="670" t="e">
        <f>INT(E2967*K2967)</f>
        <v>#REF!</v>
      </c>
      <c r="M2967" s="670" t="e">
        <f t="shared" si="736"/>
        <v>#REF!</v>
      </c>
      <c r="N2967" s="670" t="e">
        <f t="shared" si="736"/>
        <v>#REF!</v>
      </c>
      <c r="O2967" s="671"/>
      <c r="P2967" s="672"/>
      <c r="T2967" s="690"/>
    </row>
    <row r="2968" spans="1:20" s="688" customFormat="1" ht="17.100000000000001" customHeight="1">
      <c r="A2968" s="1316" t="s">
        <v>630</v>
      </c>
      <c r="B2968" s="1317"/>
      <c r="C2968" s="1367" t="s">
        <v>1251</v>
      </c>
      <c r="D2968" s="1327"/>
      <c r="E2968" s="701">
        <v>1.6</v>
      </c>
      <c r="F2968" s="676" t="s">
        <v>418</v>
      </c>
      <c r="G2968" s="670" t="e">
        <f>#REF!</f>
        <v>#REF!</v>
      </c>
      <c r="H2968" s="670" t="e">
        <f>INT(E2968*G2968)</f>
        <v>#REF!</v>
      </c>
      <c r="I2968" s="670" t="e">
        <f>#REF!</f>
        <v>#REF!</v>
      </c>
      <c r="J2968" s="670" t="e">
        <f t="shared" si="735"/>
        <v>#REF!</v>
      </c>
      <c r="K2968" s="670" t="e">
        <f>#REF!</f>
        <v>#REF!</v>
      </c>
      <c r="L2968" s="670" t="e">
        <f>INT(E2968*K2968)</f>
        <v>#REF!</v>
      </c>
      <c r="M2968" s="670" t="e">
        <f t="shared" si="736"/>
        <v>#REF!</v>
      </c>
      <c r="N2968" s="670" t="e">
        <f t="shared" si="736"/>
        <v>#REF!</v>
      </c>
      <c r="O2968" s="671"/>
      <c r="P2968" s="672"/>
      <c r="T2968" s="690"/>
    </row>
    <row r="2969" spans="1:20" s="688" customFormat="1" ht="17.100000000000001" customHeight="1">
      <c r="A2969" s="1316" t="s">
        <v>2208</v>
      </c>
      <c r="B2969" s="1317"/>
      <c r="C2969" s="1316" t="s">
        <v>2209</v>
      </c>
      <c r="D2969" s="1317"/>
      <c r="E2969" s="677">
        <v>1</v>
      </c>
      <c r="F2969" s="676" t="s">
        <v>672</v>
      </c>
      <c r="G2969" s="670"/>
      <c r="H2969" s="670"/>
      <c r="I2969" s="670"/>
      <c r="J2969" s="670"/>
      <c r="K2969" s="670"/>
      <c r="L2969" s="670"/>
      <c r="M2969" s="670"/>
      <c r="N2969" s="670"/>
      <c r="O2969" s="671"/>
      <c r="P2969" s="672"/>
      <c r="Q2969" s="828"/>
    </row>
    <row r="2970" spans="1:20" s="688" customFormat="1" ht="17.100000000000001" customHeight="1">
      <c r="A2970" s="1318" t="s">
        <v>1320</v>
      </c>
      <c r="B2970" s="1319"/>
      <c r="C2970" s="1316"/>
      <c r="D2970" s="1317"/>
      <c r="E2970" s="686"/>
      <c r="F2970" s="676"/>
      <c r="G2970" s="670"/>
      <c r="H2970" s="670" t="e">
        <f>SUM(H2962:H2969)</f>
        <v>#REF!</v>
      </c>
      <c r="I2970" s="670"/>
      <c r="J2970" s="670" t="e">
        <f>SUM(J2962:J2969)</f>
        <v>#REF!</v>
      </c>
      <c r="K2970" s="670"/>
      <c r="L2970" s="670" t="e">
        <f>SUM(L2962:L2969)</f>
        <v>#REF!</v>
      </c>
      <c r="M2970" s="670"/>
      <c r="N2970" s="670" t="e">
        <f>SUM(N2962:N2969)</f>
        <v>#REF!</v>
      </c>
      <c r="O2970" s="671"/>
      <c r="P2970" s="672"/>
      <c r="Q2970" s="688" t="s">
        <v>1994</v>
      </c>
    </row>
    <row r="2971" spans="1:20" s="688" customFormat="1" ht="17.100000000000001" customHeight="1">
      <c r="A2971" s="668">
        <f>A2961+1</f>
        <v>410</v>
      </c>
      <c r="B2971" s="1320" t="s">
        <v>2210</v>
      </c>
      <c r="C2971" s="1320"/>
      <c r="D2971" s="1320"/>
      <c r="E2971" s="1320"/>
      <c r="F2971" s="669" t="s">
        <v>1458</v>
      </c>
      <c r="G2971" s="698"/>
      <c r="H2971" s="698"/>
      <c r="I2971" s="698"/>
      <c r="J2971" s="698"/>
      <c r="K2971" s="670"/>
      <c r="L2971" s="670"/>
      <c r="M2971" s="670"/>
      <c r="N2971" s="698"/>
      <c r="O2971" s="699"/>
      <c r="P2971" s="672"/>
      <c r="Q2971" s="688" t="s">
        <v>1994</v>
      </c>
    </row>
    <row r="2972" spans="1:20" s="688" customFormat="1" ht="17.100000000000001" customHeight="1">
      <c r="A2972" s="1316" t="s">
        <v>1008</v>
      </c>
      <c r="B2972" s="1317"/>
      <c r="C2972" s="1316" t="s">
        <v>2211</v>
      </c>
      <c r="D2972" s="1317"/>
      <c r="E2972" s="677">
        <v>35</v>
      </c>
      <c r="F2972" s="676" t="s">
        <v>835</v>
      </c>
      <c r="G2972" s="670" t="e">
        <f>#REF!</f>
        <v>#REF!</v>
      </c>
      <c r="H2972" s="670" t="e">
        <f>INT(E2972*G2972)</f>
        <v>#REF!</v>
      </c>
      <c r="I2972" s="670"/>
      <c r="J2972" s="670"/>
      <c r="K2972" s="670"/>
      <c r="L2972" s="670"/>
      <c r="M2972" s="670" t="e">
        <f t="shared" ref="M2972:N2976" si="738">G2972+I2972+K2972</f>
        <v>#REF!</v>
      </c>
      <c r="N2972" s="670" t="e">
        <f t="shared" si="738"/>
        <v>#REF!</v>
      </c>
      <c r="O2972" s="671"/>
      <c r="P2972" s="672"/>
      <c r="Q2972" s="828" t="str">
        <f>Q2971</f>
        <v>서울형품셈</v>
      </c>
      <c r="R2972" s="688">
        <f>R2971</f>
        <v>0</v>
      </c>
      <c r="S2972" s="688">
        <v>8</v>
      </c>
      <c r="T2972" s="690" t="e">
        <f>ROUND(S2972/R2972,4)</f>
        <v>#DIV/0!</v>
      </c>
    </row>
    <row r="2973" spans="1:20" s="688" customFormat="1" ht="17.100000000000001" customHeight="1">
      <c r="A2973" s="1316" t="s">
        <v>1005</v>
      </c>
      <c r="B2973" s="1317"/>
      <c r="C2973" s="1316"/>
      <c r="D2973" s="1317"/>
      <c r="E2973" s="679">
        <v>3.3</v>
      </c>
      <c r="F2973" s="676" t="s">
        <v>801</v>
      </c>
      <c r="G2973" s="670" t="e">
        <f>#REF!</f>
        <v>#REF!</v>
      </c>
      <c r="H2973" s="670" t="e">
        <f>INT(E2973*G2973)</f>
        <v>#REF!</v>
      </c>
      <c r="I2973" s="670"/>
      <c r="J2973" s="670"/>
      <c r="K2973" s="670"/>
      <c r="L2973" s="670"/>
      <c r="M2973" s="670" t="e">
        <f t="shared" si="738"/>
        <v>#REF!</v>
      </c>
      <c r="N2973" s="670" t="e">
        <f t="shared" si="738"/>
        <v>#REF!</v>
      </c>
      <c r="O2973" s="671"/>
      <c r="P2973" s="672"/>
      <c r="Q2973" s="688" t="s">
        <v>1994</v>
      </c>
    </row>
    <row r="2974" spans="1:20" s="688" customFormat="1" ht="17.100000000000001" customHeight="1">
      <c r="A2974" s="1316" t="s">
        <v>540</v>
      </c>
      <c r="B2974" s="1317"/>
      <c r="C2974" s="1316"/>
      <c r="D2974" s="1317"/>
      <c r="E2974" s="701">
        <v>2.5000000000000001E-2</v>
      </c>
      <c r="F2974" s="676" t="s">
        <v>366</v>
      </c>
      <c r="G2974" s="670"/>
      <c r="H2974" s="670"/>
      <c r="I2974" s="670">
        <f>[53]노임단가!$T$22</f>
        <v>273308</v>
      </c>
      <c r="J2974" s="670">
        <f>INT(E2974*I2974)</f>
        <v>6832</v>
      </c>
      <c r="K2974" s="670"/>
      <c r="L2974" s="670"/>
      <c r="M2974" s="670">
        <f t="shared" si="738"/>
        <v>273308</v>
      </c>
      <c r="N2974" s="670">
        <f t="shared" si="738"/>
        <v>6832</v>
      </c>
      <c r="O2974" s="671"/>
      <c r="P2974" s="672"/>
    </row>
    <row r="2975" spans="1:20" s="688" customFormat="1" ht="17.100000000000001" customHeight="1">
      <c r="A2975" s="1316" t="s">
        <v>248</v>
      </c>
      <c r="B2975" s="1317"/>
      <c r="C2975" s="1316"/>
      <c r="D2975" s="1317"/>
      <c r="E2975" s="675">
        <v>0.05</v>
      </c>
      <c r="F2975" s="676" t="s">
        <v>366</v>
      </c>
      <c r="G2975" s="670"/>
      <c r="H2975" s="670"/>
      <c r="I2975" s="670">
        <f>[53]노임단가!$T$5</f>
        <v>172068</v>
      </c>
      <c r="J2975" s="670">
        <f>INT(E2975*I2975)</f>
        <v>8603</v>
      </c>
      <c r="K2975" s="670"/>
      <c r="L2975" s="670"/>
      <c r="M2975" s="670">
        <f t="shared" si="738"/>
        <v>172068</v>
      </c>
      <c r="N2975" s="670">
        <f t="shared" si="738"/>
        <v>8603</v>
      </c>
      <c r="O2975" s="671"/>
      <c r="P2975" s="672"/>
    </row>
    <row r="2976" spans="1:20" s="688" customFormat="1" ht="17.100000000000001" customHeight="1">
      <c r="A2976" s="1316" t="s">
        <v>1217</v>
      </c>
      <c r="B2976" s="1317"/>
      <c r="C2976" s="1316" t="s">
        <v>1218</v>
      </c>
      <c r="D2976" s="1317"/>
      <c r="E2976" s="679">
        <v>0.2</v>
      </c>
      <c r="F2976" s="676" t="s">
        <v>418</v>
      </c>
      <c r="G2976" s="670" t="e">
        <f>#REF!</f>
        <v>#REF!</v>
      </c>
      <c r="H2976" s="670" t="e">
        <f>INT(E2976*G2976)</f>
        <v>#REF!</v>
      </c>
      <c r="I2976" s="670" t="e">
        <f>#REF!</f>
        <v>#REF!</v>
      </c>
      <c r="J2976" s="670" t="e">
        <f>INT(E2976*I2976)</f>
        <v>#REF!</v>
      </c>
      <c r="K2976" s="670" t="e">
        <f>#REF!</f>
        <v>#REF!</v>
      </c>
      <c r="L2976" s="670" t="e">
        <f>INT(E2976*K2976)</f>
        <v>#REF!</v>
      </c>
      <c r="M2976" s="670" t="e">
        <f t="shared" si="738"/>
        <v>#REF!</v>
      </c>
      <c r="N2976" s="670" t="e">
        <f t="shared" si="738"/>
        <v>#REF!</v>
      </c>
      <c r="O2976" s="671"/>
      <c r="P2976" s="672"/>
      <c r="Q2976" s="828"/>
    </row>
    <row r="2977" spans="1:20" s="688" customFormat="1" ht="17.100000000000001" customHeight="1">
      <c r="A2977" s="1318" t="s">
        <v>1320</v>
      </c>
      <c r="B2977" s="1319"/>
      <c r="C2977" s="1316"/>
      <c r="D2977" s="1317"/>
      <c r="E2977" s="686"/>
      <c r="F2977" s="676"/>
      <c r="G2977" s="670"/>
      <c r="H2977" s="670" t="e">
        <f>SUM(H2972:H2976)</f>
        <v>#REF!</v>
      </c>
      <c r="I2977" s="670"/>
      <c r="J2977" s="670" t="e">
        <f>SUM(J2972:J2976)</f>
        <v>#REF!</v>
      </c>
      <c r="K2977" s="670"/>
      <c r="L2977" s="670" t="e">
        <f>SUM(L2972:L2976)</f>
        <v>#REF!</v>
      </c>
      <c r="M2977" s="670"/>
      <c r="N2977" s="670" t="e">
        <f>SUM(N2972:N2976)</f>
        <v>#REF!</v>
      </c>
      <c r="O2977" s="671"/>
      <c r="P2977" s="672"/>
      <c r="Q2977" s="688" t="s">
        <v>1994</v>
      </c>
    </row>
    <row r="2978" spans="1:20" s="688" customFormat="1" ht="17.100000000000001" customHeight="1">
      <c r="A2978" s="668">
        <f>A2971+1</f>
        <v>411</v>
      </c>
      <c r="B2978" s="1320" t="s">
        <v>2212</v>
      </c>
      <c r="C2978" s="1320"/>
      <c r="D2978" s="1320"/>
      <c r="E2978" s="1320"/>
      <c r="F2978" s="669" t="s">
        <v>645</v>
      </c>
      <c r="G2978" s="698"/>
      <c r="H2978" s="698"/>
      <c r="I2978" s="698"/>
      <c r="J2978" s="698"/>
      <c r="K2978" s="670"/>
      <c r="L2978" s="670"/>
      <c r="M2978" s="670"/>
      <c r="N2978" s="698"/>
      <c r="O2978" s="699" t="s">
        <v>1562</v>
      </c>
      <c r="P2978" s="672"/>
      <c r="Q2978" s="688" t="s">
        <v>1994</v>
      </c>
    </row>
    <row r="2979" spans="1:20" s="688" customFormat="1" ht="17.100000000000001" customHeight="1">
      <c r="A2979" s="1316" t="s">
        <v>2152</v>
      </c>
      <c r="B2979" s="1317"/>
      <c r="C2979" s="1316" t="s">
        <v>1827</v>
      </c>
      <c r="D2979" s="1317"/>
      <c r="E2979" s="683"/>
      <c r="F2979" s="676" t="s">
        <v>2213</v>
      </c>
      <c r="G2979" s="670"/>
      <c r="H2979" s="670">
        <f>INT(E2979*G2979)</f>
        <v>0</v>
      </c>
      <c r="I2979" s="670"/>
      <c r="J2979" s="670"/>
      <c r="K2979" s="670"/>
      <c r="L2979" s="670"/>
      <c r="M2979" s="670">
        <f t="shared" ref="M2979:N2981" si="739">G2979+I2979+K2979</f>
        <v>0</v>
      </c>
      <c r="N2979" s="670">
        <f t="shared" si="739"/>
        <v>0</v>
      </c>
      <c r="O2979" s="671"/>
      <c r="P2979" s="672"/>
      <c r="Q2979" s="828" t="str">
        <f>Q2978</f>
        <v>서울형품셈</v>
      </c>
      <c r="R2979" s="688">
        <f>R2978</f>
        <v>0</v>
      </c>
      <c r="S2979" s="688">
        <v>8</v>
      </c>
      <c r="T2979" s="690" t="e">
        <f>ROUND(S2979/R2979,4)</f>
        <v>#DIV/0!</v>
      </c>
    </row>
    <row r="2980" spans="1:20" s="688" customFormat="1" ht="17.100000000000001" customHeight="1">
      <c r="A2980" s="1316" t="s">
        <v>248</v>
      </c>
      <c r="B2980" s="1317"/>
      <c r="C2980" s="1316"/>
      <c r="D2980" s="1317"/>
      <c r="E2980" s="686">
        <v>6.3899999999999998E-3</v>
      </c>
      <c r="F2980" s="676" t="s">
        <v>366</v>
      </c>
      <c r="G2980" s="670"/>
      <c r="H2980" s="670"/>
      <c r="I2980" s="670">
        <f>[53]노임단가!$T$5</f>
        <v>172068</v>
      </c>
      <c r="J2980" s="670">
        <f>INT(E2980*I2980)</f>
        <v>1099</v>
      </c>
      <c r="K2980" s="670"/>
      <c r="L2980" s="670"/>
      <c r="M2980" s="670">
        <f t="shared" si="739"/>
        <v>172068</v>
      </c>
      <c r="N2980" s="670">
        <f t="shared" si="739"/>
        <v>1099</v>
      </c>
      <c r="O2980" s="671"/>
      <c r="P2980" s="672"/>
      <c r="Q2980" s="688" t="s">
        <v>1994</v>
      </c>
    </row>
    <row r="2981" spans="1:20" s="688" customFormat="1" ht="17.100000000000001" customHeight="1">
      <c r="A2981" s="1316" t="s">
        <v>465</v>
      </c>
      <c r="B2981" s="1317"/>
      <c r="C2981" s="1316" t="s">
        <v>466</v>
      </c>
      <c r="D2981" s="1317"/>
      <c r="E2981" s="686">
        <v>5.5999999999999999E-3</v>
      </c>
      <c r="F2981" s="676" t="s">
        <v>672</v>
      </c>
      <c r="G2981" s="670" t="e">
        <f>#REF!</f>
        <v>#REF!</v>
      </c>
      <c r="H2981" s="670" t="e">
        <f>INT(E2981*G2981)</f>
        <v>#REF!</v>
      </c>
      <c r="I2981" s="670" t="e">
        <f>#REF!</f>
        <v>#REF!</v>
      </c>
      <c r="J2981" s="670" t="e">
        <f>INT(E2981*I2981)</f>
        <v>#REF!</v>
      </c>
      <c r="K2981" s="670" t="e">
        <f>#REF!</f>
        <v>#REF!</v>
      </c>
      <c r="L2981" s="670" t="e">
        <f>INT(E2981*K2981)</f>
        <v>#REF!</v>
      </c>
      <c r="M2981" s="670" t="e">
        <f t="shared" si="739"/>
        <v>#REF!</v>
      </c>
      <c r="N2981" s="670" t="e">
        <f t="shared" si="739"/>
        <v>#REF!</v>
      </c>
      <c r="O2981" s="671"/>
      <c r="P2981" s="672"/>
    </row>
    <row r="2982" spans="1:20" s="688" customFormat="1" ht="17.100000000000001" customHeight="1">
      <c r="A2982" s="1318" t="s">
        <v>1320</v>
      </c>
      <c r="B2982" s="1319"/>
      <c r="C2982" s="1316"/>
      <c r="D2982" s="1317"/>
      <c r="E2982" s="686"/>
      <c r="F2982" s="676"/>
      <c r="G2982" s="670"/>
      <c r="H2982" s="670" t="e">
        <f>SUM(H2979:H2981)</f>
        <v>#REF!</v>
      </c>
      <c r="I2982" s="670"/>
      <c r="J2982" s="670" t="e">
        <f>SUM(J2979:J2981)</f>
        <v>#REF!</v>
      </c>
      <c r="K2982" s="670"/>
      <c r="L2982" s="670" t="e">
        <f>SUM(L2979:L2981)</f>
        <v>#REF!</v>
      </c>
      <c r="M2982" s="670"/>
      <c r="N2982" s="670" t="e">
        <f>SUM(N2979:N2981)</f>
        <v>#REF!</v>
      </c>
      <c r="O2982" s="671"/>
      <c r="P2982" s="672"/>
      <c r="R2982" s="665"/>
    </row>
    <row r="2983" spans="1:20" s="688" customFormat="1" ht="17.100000000000001" customHeight="1">
      <c r="A2983" s="668">
        <f>A2978+1</f>
        <v>412</v>
      </c>
      <c r="B2983" s="1320" t="s">
        <v>2214</v>
      </c>
      <c r="C2983" s="1320"/>
      <c r="D2983" s="1320" t="s">
        <v>2215</v>
      </c>
      <c r="E2983" s="1320"/>
      <c r="F2983" s="669" t="s">
        <v>272</v>
      </c>
      <c r="G2983" s="698"/>
      <c r="H2983" s="698"/>
      <c r="I2983" s="698"/>
      <c r="J2983" s="698"/>
      <c r="K2983" s="670"/>
      <c r="L2983" s="670"/>
      <c r="M2983" s="670"/>
      <c r="N2983" s="698"/>
      <c r="O2983" s="699"/>
      <c r="P2983" s="672"/>
      <c r="Q2983" s="688" t="s">
        <v>1994</v>
      </c>
      <c r="S2983" s="665"/>
      <c r="T2983" s="665"/>
    </row>
    <row r="2984" spans="1:20" s="688" customFormat="1" ht="17.100000000000001" customHeight="1">
      <c r="A2984" s="1362" t="s">
        <v>628</v>
      </c>
      <c r="B2984" s="1363"/>
      <c r="C2984" s="1362"/>
      <c r="D2984" s="1363"/>
      <c r="E2984" s="829">
        <v>2.5000000000000001E-2</v>
      </c>
      <c r="F2984" s="676" t="s">
        <v>366</v>
      </c>
      <c r="G2984" s="670"/>
      <c r="H2984" s="670">
        <f>INT(E2984*G2984)</f>
        <v>0</v>
      </c>
      <c r="I2984" s="670">
        <f>[53]노임단가!$T$6</f>
        <v>226122</v>
      </c>
      <c r="J2984" s="670">
        <f>INT(E2984*I2984)</f>
        <v>5653</v>
      </c>
      <c r="K2984" s="670"/>
      <c r="L2984" s="670"/>
      <c r="M2984" s="670">
        <f t="shared" ref="M2984:N2986" si="740">G2984+I2984+K2984</f>
        <v>226122</v>
      </c>
      <c r="N2984" s="670">
        <f t="shared" si="740"/>
        <v>5653</v>
      </c>
      <c r="O2984" s="671"/>
      <c r="P2984" s="672"/>
      <c r="Q2984" s="688" t="s">
        <v>1994</v>
      </c>
    </row>
    <row r="2985" spans="1:20" s="688" customFormat="1" ht="17.100000000000001" customHeight="1">
      <c r="A2985" s="1362" t="s">
        <v>1294</v>
      </c>
      <c r="B2985" s="1363"/>
      <c r="C2985" s="1362"/>
      <c r="D2985" s="1363"/>
      <c r="E2985" s="830">
        <v>0.1</v>
      </c>
      <c r="F2985" s="676" t="s">
        <v>366</v>
      </c>
      <c r="G2985" s="670" t="e">
        <f>#REF!</f>
        <v>#REF!</v>
      </c>
      <c r="H2985" s="670" t="e">
        <f>INT(E2985*G2985)</f>
        <v>#REF!</v>
      </c>
      <c r="I2985" s="670" t="e">
        <f>#REF!</f>
        <v>#REF!</v>
      </c>
      <c r="J2985" s="670" t="e">
        <f>INT(E2985*I2985)</f>
        <v>#REF!</v>
      </c>
      <c r="K2985" s="670" t="e">
        <f>#REF!</f>
        <v>#REF!</v>
      </c>
      <c r="L2985" s="670" t="e">
        <f>INT(E2985*K2985)</f>
        <v>#REF!</v>
      </c>
      <c r="M2985" s="670" t="e">
        <f t="shared" si="740"/>
        <v>#REF!</v>
      </c>
      <c r="N2985" s="670" t="e">
        <f t="shared" si="740"/>
        <v>#REF!</v>
      </c>
      <c r="O2985" s="671"/>
      <c r="P2985" s="672"/>
      <c r="Q2985" s="688" t="s">
        <v>1994</v>
      </c>
    </row>
    <row r="2986" spans="1:20" s="688" customFormat="1" ht="17.100000000000001" customHeight="1">
      <c r="A2986" s="1362" t="s">
        <v>1077</v>
      </c>
      <c r="B2986" s="1363"/>
      <c r="C2986" s="1362" t="s">
        <v>1078</v>
      </c>
      <c r="D2986" s="1363"/>
      <c r="E2986" s="829">
        <v>6.0000000000000001E-3</v>
      </c>
      <c r="F2986" s="676" t="s">
        <v>672</v>
      </c>
      <c r="G2986" s="670" t="e">
        <f>#REF!</f>
        <v>#REF!</v>
      </c>
      <c r="H2986" s="670" t="e">
        <f>INT(E2986*G2986)</f>
        <v>#REF!</v>
      </c>
      <c r="I2986" s="670"/>
      <c r="J2986" s="670">
        <f>INT(E2986*I2986)</f>
        <v>0</v>
      </c>
      <c r="K2986" s="670"/>
      <c r="L2986" s="670">
        <f>INT(E2986*K2986)</f>
        <v>0</v>
      </c>
      <c r="M2986" s="670" t="e">
        <f t="shared" si="740"/>
        <v>#REF!</v>
      </c>
      <c r="N2986" s="670" t="e">
        <f t="shared" si="740"/>
        <v>#REF!</v>
      </c>
      <c r="O2986" s="671"/>
      <c r="P2986" s="672"/>
      <c r="Q2986" s="688" t="s">
        <v>1994</v>
      </c>
    </row>
    <row r="2987" spans="1:20" s="688" customFormat="1" ht="17.100000000000001" customHeight="1">
      <c r="A2987" s="1318" t="s">
        <v>1320</v>
      </c>
      <c r="B2987" s="1319"/>
      <c r="C2987" s="1316"/>
      <c r="D2987" s="1317"/>
      <c r="E2987" s="686"/>
      <c r="F2987" s="676"/>
      <c r="G2987" s="670"/>
      <c r="H2987" s="670" t="e">
        <f>SUM(H2984:H2986)</f>
        <v>#REF!</v>
      </c>
      <c r="I2987" s="670"/>
      <c r="J2987" s="670" t="e">
        <f>SUM(J2984:J2986)</f>
        <v>#REF!</v>
      </c>
      <c r="K2987" s="670"/>
      <c r="L2987" s="670" t="e">
        <f>SUM(L2984:L2986)</f>
        <v>#REF!</v>
      </c>
      <c r="M2987" s="670"/>
      <c r="N2987" s="670" t="e">
        <f>SUM(N2984:N2986)</f>
        <v>#REF!</v>
      </c>
      <c r="O2987" s="671"/>
      <c r="P2987" s="672"/>
      <c r="Q2987" s="688" t="s">
        <v>1994</v>
      </c>
    </row>
    <row r="2988" spans="1:20" s="688" customFormat="1" ht="17.100000000000001" customHeight="1">
      <c r="A2988" s="668">
        <f>A2983+1</f>
        <v>413</v>
      </c>
      <c r="B2988" s="1320" t="s">
        <v>2214</v>
      </c>
      <c r="C2988" s="1320"/>
      <c r="D2988" s="1320" t="s">
        <v>2216</v>
      </c>
      <c r="E2988" s="1320"/>
      <c r="F2988" s="669" t="s">
        <v>272</v>
      </c>
      <c r="G2988" s="698"/>
      <c r="H2988" s="698"/>
      <c r="I2988" s="698"/>
      <c r="J2988" s="698"/>
      <c r="K2988" s="670"/>
      <c r="L2988" s="670"/>
      <c r="M2988" s="670"/>
      <c r="N2988" s="698"/>
      <c r="O2988" s="699"/>
      <c r="P2988" s="672"/>
      <c r="Q2988" s="688" t="s">
        <v>1994</v>
      </c>
    </row>
    <row r="2989" spans="1:20" s="665" customFormat="1" ht="17.100000000000001" customHeight="1">
      <c r="A2989" s="1362" t="s">
        <v>628</v>
      </c>
      <c r="B2989" s="1363"/>
      <c r="C2989" s="1362"/>
      <c r="D2989" s="1363"/>
      <c r="E2989" s="829">
        <v>0.08</v>
      </c>
      <c r="F2989" s="676" t="s">
        <v>366</v>
      </c>
      <c r="G2989" s="670"/>
      <c r="H2989" s="670">
        <f>INT(E2989*G2989)</f>
        <v>0</v>
      </c>
      <c r="I2989" s="670">
        <f>[53]노임단가!$T$6</f>
        <v>226122</v>
      </c>
      <c r="J2989" s="670">
        <f>INT(E2989*I2989)</f>
        <v>18089</v>
      </c>
      <c r="K2989" s="670"/>
      <c r="L2989" s="670"/>
      <c r="M2989" s="670">
        <f t="shared" ref="M2989:N2991" si="741">G2989+I2989+K2989</f>
        <v>226122</v>
      </c>
      <c r="N2989" s="670">
        <f t="shared" si="741"/>
        <v>18089</v>
      </c>
      <c r="O2989" s="671"/>
      <c r="P2989" s="672"/>
      <c r="Q2989" s="688" t="s">
        <v>1994</v>
      </c>
      <c r="R2989" s="688"/>
      <c r="S2989" s="688"/>
      <c r="T2989" s="688"/>
    </row>
    <row r="2990" spans="1:20" s="665" customFormat="1" ht="17.100000000000001" customHeight="1">
      <c r="A2990" s="1362" t="s">
        <v>1294</v>
      </c>
      <c r="B2990" s="1363"/>
      <c r="C2990" s="1362"/>
      <c r="D2990" s="1363"/>
      <c r="E2990" s="830">
        <v>0.32</v>
      </c>
      <c r="F2990" s="676" t="s">
        <v>366</v>
      </c>
      <c r="G2990" s="670" t="e">
        <f>#REF!</f>
        <v>#REF!</v>
      </c>
      <c r="H2990" s="670" t="e">
        <f>INT(E2990*G2990)</f>
        <v>#REF!</v>
      </c>
      <c r="I2990" s="670" t="e">
        <f>#REF!</f>
        <v>#REF!</v>
      </c>
      <c r="J2990" s="670" t="e">
        <f>INT(E2990*I2990)</f>
        <v>#REF!</v>
      </c>
      <c r="K2990" s="670" t="e">
        <f>#REF!</f>
        <v>#REF!</v>
      </c>
      <c r="L2990" s="670" t="e">
        <f>INT(E2990*K2990)</f>
        <v>#REF!</v>
      </c>
      <c r="M2990" s="670" t="e">
        <f t="shared" si="741"/>
        <v>#REF!</v>
      </c>
      <c r="N2990" s="670" t="e">
        <f t="shared" si="741"/>
        <v>#REF!</v>
      </c>
      <c r="O2990" s="671"/>
      <c r="P2990" s="672"/>
      <c r="Q2990" s="688" t="s">
        <v>1994</v>
      </c>
      <c r="R2990" s="688"/>
      <c r="S2990" s="688"/>
      <c r="T2990" s="688"/>
    </row>
    <row r="2991" spans="1:20" s="665" customFormat="1" ht="17.100000000000001" customHeight="1">
      <c r="A2991" s="1362" t="s">
        <v>1077</v>
      </c>
      <c r="B2991" s="1363"/>
      <c r="C2991" s="1362" t="s">
        <v>1078</v>
      </c>
      <c r="D2991" s="1363"/>
      <c r="E2991" s="829">
        <v>0.02</v>
      </c>
      <c r="F2991" s="676" t="s">
        <v>672</v>
      </c>
      <c r="G2991" s="670" t="e">
        <f>#REF!</f>
        <v>#REF!</v>
      </c>
      <c r="H2991" s="670" t="e">
        <f>INT(E2991*G2991)</f>
        <v>#REF!</v>
      </c>
      <c r="I2991" s="670"/>
      <c r="J2991" s="670">
        <f>INT(E2991*I2991)</f>
        <v>0</v>
      </c>
      <c r="K2991" s="670"/>
      <c r="L2991" s="670">
        <f>INT(E2991*K2991)</f>
        <v>0</v>
      </c>
      <c r="M2991" s="670" t="e">
        <f t="shared" si="741"/>
        <v>#REF!</v>
      </c>
      <c r="N2991" s="670" t="e">
        <f t="shared" si="741"/>
        <v>#REF!</v>
      </c>
      <c r="O2991" s="671"/>
      <c r="P2991" s="672"/>
      <c r="Q2991" s="688" t="s">
        <v>1994</v>
      </c>
      <c r="R2991" s="688"/>
      <c r="S2991" s="688"/>
      <c r="T2991" s="688"/>
    </row>
    <row r="2992" spans="1:20" s="688" customFormat="1" ht="17.100000000000001" customHeight="1">
      <c r="A2992" s="1318" t="s">
        <v>1320</v>
      </c>
      <c r="B2992" s="1319"/>
      <c r="C2992" s="1316"/>
      <c r="D2992" s="1317"/>
      <c r="E2992" s="686"/>
      <c r="F2992" s="676"/>
      <c r="G2992" s="670"/>
      <c r="H2992" s="670" t="e">
        <f>SUM(H2989:H2991)</f>
        <v>#REF!</v>
      </c>
      <c r="I2992" s="670"/>
      <c r="J2992" s="670" t="e">
        <f>SUM(J2989:J2991)</f>
        <v>#REF!</v>
      </c>
      <c r="K2992" s="670"/>
      <c r="L2992" s="670" t="e">
        <f>SUM(L2989:L2991)</f>
        <v>#REF!</v>
      </c>
      <c r="M2992" s="670"/>
      <c r="N2992" s="670" t="e">
        <f>SUM(N2989:N2991)</f>
        <v>#REF!</v>
      </c>
      <c r="O2992" s="671"/>
      <c r="P2992" s="672"/>
      <c r="Q2992" s="688" t="s">
        <v>1994</v>
      </c>
      <c r="R2992" s="665"/>
    </row>
    <row r="2993" spans="1:20" s="688" customFormat="1" ht="17.100000000000001" customHeight="1">
      <c r="A2993" s="668">
        <f>A2988+1</f>
        <v>414</v>
      </c>
      <c r="B2993" s="1320" t="s">
        <v>2217</v>
      </c>
      <c r="C2993" s="1320"/>
      <c r="D2993" s="1320" t="s">
        <v>2218</v>
      </c>
      <c r="E2993" s="1320"/>
      <c r="F2993" s="669" t="s">
        <v>1458</v>
      </c>
      <c r="G2993" s="698"/>
      <c r="H2993" s="698"/>
      <c r="I2993" s="698"/>
      <c r="J2993" s="698"/>
      <c r="K2993" s="670"/>
      <c r="L2993" s="670"/>
      <c r="M2993" s="670"/>
      <c r="N2993" s="698"/>
      <c r="O2993" s="699" t="s">
        <v>1562</v>
      </c>
      <c r="P2993" s="672"/>
      <c r="Q2993" s="688" t="s">
        <v>1994</v>
      </c>
      <c r="R2993" s="665"/>
      <c r="S2993" s="665"/>
      <c r="T2993" s="665"/>
    </row>
    <row r="2994" spans="1:20" s="688" customFormat="1" ht="17.100000000000001" customHeight="1">
      <c r="A2994" s="1316" t="s">
        <v>2219</v>
      </c>
      <c r="B2994" s="1317"/>
      <c r="C2994" s="1316" t="s">
        <v>1827</v>
      </c>
      <c r="D2994" s="1317"/>
      <c r="E2994" s="686"/>
      <c r="F2994" s="676" t="s">
        <v>2213</v>
      </c>
      <c r="G2994" s="670"/>
      <c r="H2994" s="670"/>
      <c r="I2994" s="670"/>
      <c r="J2994" s="670"/>
      <c r="K2994" s="670"/>
      <c r="L2994" s="670"/>
      <c r="M2994" s="670"/>
      <c r="N2994" s="670"/>
      <c r="O2994" s="671"/>
      <c r="P2994" s="672"/>
      <c r="Q2994" s="688" t="s">
        <v>1994</v>
      </c>
      <c r="R2994" s="665"/>
      <c r="S2994" s="665"/>
      <c r="T2994" s="665"/>
    </row>
    <row r="2995" spans="1:20" s="688" customFormat="1" ht="17.100000000000001" customHeight="1">
      <c r="A2995" s="1316" t="s">
        <v>628</v>
      </c>
      <c r="B2995" s="1317"/>
      <c r="C2995" s="1316"/>
      <c r="D2995" s="1317"/>
      <c r="E2995" s="683">
        <v>4.1666999999999996</v>
      </c>
      <c r="F2995" s="676" t="s">
        <v>366</v>
      </c>
      <c r="G2995" s="670"/>
      <c r="H2995" s="670"/>
      <c r="I2995" s="670">
        <f>[53]노임단가!$T$6</f>
        <v>226122</v>
      </c>
      <c r="J2995" s="670">
        <f>INT(E2995*I2995)</f>
        <v>942182</v>
      </c>
      <c r="K2995" s="670"/>
      <c r="L2995" s="670"/>
      <c r="M2995" s="670">
        <f t="shared" ref="M2995:N2998" si="742">G2995+I2995+K2995</f>
        <v>226122</v>
      </c>
      <c r="N2995" s="670">
        <f t="shared" si="742"/>
        <v>942182</v>
      </c>
      <c r="O2995" s="671"/>
      <c r="P2995" s="672"/>
      <c r="Q2995" s="688" t="s">
        <v>1994</v>
      </c>
      <c r="S2995" s="665"/>
      <c r="T2995" s="665"/>
    </row>
    <row r="2996" spans="1:20" s="688" customFormat="1" ht="17.100000000000001" customHeight="1">
      <c r="A2996" s="1316" t="s">
        <v>2220</v>
      </c>
      <c r="B2996" s="1317"/>
      <c r="C2996" s="1316"/>
      <c r="D2996" s="1317"/>
      <c r="E2996" s="683">
        <v>2.5</v>
      </c>
      <c r="F2996" s="676" t="s">
        <v>366</v>
      </c>
      <c r="G2996" s="670"/>
      <c r="H2996" s="670"/>
      <c r="I2996" s="670">
        <f>[53]노임단가!$T$5</f>
        <v>172068</v>
      </c>
      <c r="J2996" s="670">
        <f>INT(E2996*I2996)</f>
        <v>430170</v>
      </c>
      <c r="K2996" s="670"/>
      <c r="L2996" s="670"/>
      <c r="M2996" s="670">
        <f t="shared" si="742"/>
        <v>172068</v>
      </c>
      <c r="N2996" s="670">
        <f t="shared" si="742"/>
        <v>430170</v>
      </c>
      <c r="O2996" s="671"/>
      <c r="P2996" s="672"/>
      <c r="Q2996" s="688" t="s">
        <v>1994</v>
      </c>
    </row>
    <row r="2997" spans="1:20" s="665" customFormat="1" ht="17.100000000000001" customHeight="1">
      <c r="A2997" s="1316" t="s">
        <v>1220</v>
      </c>
      <c r="B2997" s="1317"/>
      <c r="C2997" s="1316" t="s">
        <v>395</v>
      </c>
      <c r="D2997" s="1317"/>
      <c r="E2997" s="683">
        <v>6.6666999999999996</v>
      </c>
      <c r="F2997" s="676" t="s">
        <v>418</v>
      </c>
      <c r="G2997" s="670" t="e">
        <f>#REF!</f>
        <v>#REF!</v>
      </c>
      <c r="H2997" s="670" t="e">
        <f>INT(E2997*G2997)</f>
        <v>#REF!</v>
      </c>
      <c r="I2997" s="670" t="e">
        <f>#REF!</f>
        <v>#REF!</v>
      </c>
      <c r="J2997" s="670" t="e">
        <f>INT(E2997*I2997)</f>
        <v>#REF!</v>
      </c>
      <c r="K2997" s="670" t="e">
        <f>#REF!</f>
        <v>#REF!</v>
      </c>
      <c r="L2997" s="670" t="e">
        <f>INT(E2997*K2997)</f>
        <v>#REF!</v>
      </c>
      <c r="M2997" s="670" t="e">
        <f t="shared" si="742"/>
        <v>#REF!</v>
      </c>
      <c r="N2997" s="670" t="e">
        <f t="shared" si="742"/>
        <v>#REF!</v>
      </c>
      <c r="O2997" s="671"/>
      <c r="P2997" s="672"/>
      <c r="Q2997" s="688" t="s">
        <v>1994</v>
      </c>
      <c r="R2997" s="688"/>
      <c r="S2997" s="688"/>
      <c r="T2997" s="688"/>
    </row>
    <row r="2998" spans="1:20" s="665" customFormat="1" ht="17.100000000000001" customHeight="1">
      <c r="A2998" s="1316" t="s">
        <v>1485</v>
      </c>
      <c r="B2998" s="1317"/>
      <c r="C2998" s="1316" t="s">
        <v>1451</v>
      </c>
      <c r="D2998" s="1317"/>
      <c r="E2998" s="675">
        <v>0.03</v>
      </c>
      <c r="F2998" s="676" t="s">
        <v>672</v>
      </c>
      <c r="G2998" s="670"/>
      <c r="H2998" s="670">
        <f>INT(E2998*G2998)</f>
        <v>0</v>
      </c>
      <c r="I2998" s="670"/>
      <c r="J2998" s="670"/>
      <c r="K2998" s="831">
        <f>J2995+J2996</f>
        <v>1372352</v>
      </c>
      <c r="L2998" s="670">
        <f>INT(E2998*K2998)</f>
        <v>41170</v>
      </c>
      <c r="M2998" s="670">
        <f t="shared" si="742"/>
        <v>1372352</v>
      </c>
      <c r="N2998" s="670">
        <f t="shared" si="742"/>
        <v>41170</v>
      </c>
      <c r="O2998" s="671"/>
      <c r="P2998" s="672"/>
      <c r="Q2998" s="688" t="s">
        <v>2221</v>
      </c>
      <c r="R2998" s="688"/>
      <c r="S2998" s="688"/>
      <c r="T2998" s="688"/>
    </row>
    <row r="2999" spans="1:20" s="688" customFormat="1" ht="17.100000000000001" customHeight="1">
      <c r="A2999" s="1318" t="s">
        <v>1320</v>
      </c>
      <c r="B2999" s="1319"/>
      <c r="C2999" s="1316"/>
      <c r="D2999" s="1317"/>
      <c r="E2999" s="686"/>
      <c r="F2999" s="676"/>
      <c r="G2999" s="670"/>
      <c r="H2999" s="670" t="e">
        <f>SUM(H2994:H2998)</f>
        <v>#REF!</v>
      </c>
      <c r="I2999" s="670"/>
      <c r="J2999" s="670" t="e">
        <f>SUM(J2994:J2998)</f>
        <v>#REF!</v>
      </c>
      <c r="K2999" s="670"/>
      <c r="L2999" s="670" t="e">
        <f>SUM(L2994:L2998)</f>
        <v>#REF!</v>
      </c>
      <c r="M2999" s="670"/>
      <c r="N2999" s="670" t="e">
        <f>SUM(N2994:N2998)</f>
        <v>#REF!</v>
      </c>
      <c r="O2999" s="671"/>
      <c r="P2999" s="672"/>
      <c r="Q2999" s="688" t="s">
        <v>2221</v>
      </c>
    </row>
    <row r="3000" spans="1:20" s="688" customFormat="1" ht="17.100000000000001" customHeight="1">
      <c r="A3000" s="668">
        <f>A2993+1</f>
        <v>415</v>
      </c>
      <c r="B3000" s="1320" t="s">
        <v>2222</v>
      </c>
      <c r="C3000" s="1320"/>
      <c r="D3000" s="1320" t="s">
        <v>2223</v>
      </c>
      <c r="E3000" s="1320"/>
      <c r="F3000" s="669" t="s">
        <v>1458</v>
      </c>
      <c r="G3000" s="698"/>
      <c r="H3000" s="698"/>
      <c r="I3000" s="698"/>
      <c r="J3000" s="698"/>
      <c r="K3000" s="670"/>
      <c r="L3000" s="670"/>
      <c r="M3000" s="670"/>
      <c r="N3000" s="698"/>
      <c r="O3000" s="699" t="s">
        <v>1562</v>
      </c>
      <c r="P3000" s="672"/>
      <c r="Q3000" s="688" t="s">
        <v>2221</v>
      </c>
      <c r="R3000" s="665"/>
    </row>
    <row r="3001" spans="1:20" s="665" customFormat="1" ht="17.100000000000001" customHeight="1">
      <c r="A3001" s="1316" t="s">
        <v>1524</v>
      </c>
      <c r="B3001" s="1317"/>
      <c r="C3001" s="1321" t="s">
        <v>2224</v>
      </c>
      <c r="D3001" s="1317"/>
      <c r="E3001" s="679">
        <v>4.5</v>
      </c>
      <c r="F3001" s="676" t="s">
        <v>850</v>
      </c>
      <c r="G3001" s="670" t="e">
        <f>$H$484</f>
        <v>#REF!</v>
      </c>
      <c r="H3001" s="670" t="e">
        <f>INT(E3001*G3001)</f>
        <v>#REF!</v>
      </c>
      <c r="I3001" s="670">
        <f>$J$484</f>
        <v>73989</v>
      </c>
      <c r="J3001" s="670">
        <f>INT(E3001*I3001)</f>
        <v>332950</v>
      </c>
      <c r="K3001" s="670">
        <f>$L$484</f>
        <v>11220</v>
      </c>
      <c r="L3001" s="670">
        <f>INT(E3001*K3001)</f>
        <v>50490</v>
      </c>
      <c r="M3001" s="670" t="e">
        <f t="shared" ref="M3001:N3005" si="743">G3001+I3001+K3001</f>
        <v>#REF!</v>
      </c>
      <c r="N3001" s="670" t="e">
        <f t="shared" si="743"/>
        <v>#REF!</v>
      </c>
      <c r="O3001" s="671">
        <f>$A$479</f>
        <v>130</v>
      </c>
      <c r="P3001" s="672"/>
      <c r="Q3001" s="688"/>
    </row>
    <row r="3002" spans="1:20" s="665" customFormat="1" ht="17.100000000000001" customHeight="1">
      <c r="A3002" s="1316" t="s">
        <v>540</v>
      </c>
      <c r="B3002" s="1317"/>
      <c r="C3002" s="1316"/>
      <c r="D3002" s="1317"/>
      <c r="E3002" s="679">
        <v>20</v>
      </c>
      <c r="F3002" s="676" t="s">
        <v>366</v>
      </c>
      <c r="G3002" s="670"/>
      <c r="H3002" s="670"/>
      <c r="I3002" s="670">
        <f>[53]노임단가!$T$22</f>
        <v>273308</v>
      </c>
      <c r="J3002" s="670">
        <f>INT(E3002*I3002)</f>
        <v>5466160</v>
      </c>
      <c r="K3002" s="670"/>
      <c r="L3002" s="670"/>
      <c r="M3002" s="670">
        <f t="shared" si="743"/>
        <v>273308</v>
      </c>
      <c r="N3002" s="670">
        <f t="shared" si="743"/>
        <v>5466160</v>
      </c>
      <c r="O3002" s="671"/>
      <c r="P3002" s="672"/>
      <c r="Q3002" s="688" t="s">
        <v>1994</v>
      </c>
      <c r="R3002" s="688"/>
    </row>
    <row r="3003" spans="1:20" s="688" customFormat="1" ht="17.100000000000001" customHeight="1">
      <c r="A3003" s="1316" t="s">
        <v>248</v>
      </c>
      <c r="B3003" s="1317"/>
      <c r="C3003" s="1316"/>
      <c r="D3003" s="1317"/>
      <c r="E3003" s="679">
        <v>40</v>
      </c>
      <c r="F3003" s="676" t="s">
        <v>366</v>
      </c>
      <c r="G3003" s="670"/>
      <c r="H3003" s="670"/>
      <c r="I3003" s="670">
        <f>[53]노임단가!$T$5</f>
        <v>172068</v>
      </c>
      <c r="J3003" s="670">
        <f>INT(E3003*I3003)</f>
        <v>6882720</v>
      </c>
      <c r="K3003" s="670"/>
      <c r="L3003" s="670"/>
      <c r="M3003" s="670">
        <f t="shared" si="743"/>
        <v>172068</v>
      </c>
      <c r="N3003" s="670">
        <f t="shared" si="743"/>
        <v>6882720</v>
      </c>
      <c r="O3003" s="671"/>
      <c r="P3003" s="672"/>
      <c r="Q3003" s="688" t="s">
        <v>1994</v>
      </c>
    </row>
    <row r="3004" spans="1:20" s="688" customFormat="1" ht="17.100000000000001" customHeight="1">
      <c r="A3004" s="1316" t="s">
        <v>1161</v>
      </c>
      <c r="B3004" s="1317"/>
      <c r="C3004" s="1316" t="s">
        <v>642</v>
      </c>
      <c r="D3004" s="1317"/>
      <c r="E3004" s="679">
        <v>160</v>
      </c>
      <c r="F3004" s="676" t="s">
        <v>418</v>
      </c>
      <c r="G3004" s="670" t="e">
        <f>#REF!</f>
        <v>#REF!</v>
      </c>
      <c r="H3004" s="670" t="e">
        <f>INT(E3004*G3004)</f>
        <v>#REF!</v>
      </c>
      <c r="I3004" s="670" t="e">
        <f>#REF!</f>
        <v>#REF!</v>
      </c>
      <c r="J3004" s="670" t="e">
        <f>INT(E3004*I3004)</f>
        <v>#REF!</v>
      </c>
      <c r="K3004" s="670" t="e">
        <f>#REF!</f>
        <v>#REF!</v>
      </c>
      <c r="L3004" s="670" t="e">
        <f>INT(E3004*K3004)</f>
        <v>#REF!</v>
      </c>
      <c r="M3004" s="670" t="e">
        <f t="shared" si="743"/>
        <v>#REF!</v>
      </c>
      <c r="N3004" s="670" t="e">
        <f t="shared" si="743"/>
        <v>#REF!</v>
      </c>
      <c r="O3004" s="671"/>
      <c r="P3004" s="672"/>
      <c r="Q3004" s="688" t="s">
        <v>1994</v>
      </c>
      <c r="R3004" s="665"/>
    </row>
    <row r="3005" spans="1:20" s="665" customFormat="1" ht="17.100000000000001" customHeight="1">
      <c r="A3005" s="1316" t="s">
        <v>1485</v>
      </c>
      <c r="B3005" s="1317"/>
      <c r="C3005" s="1316" t="s">
        <v>1451</v>
      </c>
      <c r="D3005" s="1317"/>
      <c r="E3005" s="675">
        <v>0.03</v>
      </c>
      <c r="F3005" s="676" t="s">
        <v>672</v>
      </c>
      <c r="G3005" s="670">
        <f>SUM($J$3002:$J$3003)</f>
        <v>12348880</v>
      </c>
      <c r="H3005" s="670">
        <f>INT(E3005*G3005)</f>
        <v>370466</v>
      </c>
      <c r="I3005" s="670"/>
      <c r="J3005" s="670"/>
      <c r="K3005" s="791"/>
      <c r="L3005" s="791"/>
      <c r="M3005" s="670">
        <f t="shared" si="743"/>
        <v>12348880</v>
      </c>
      <c r="N3005" s="670">
        <f t="shared" si="743"/>
        <v>370466</v>
      </c>
      <c r="O3005" s="671"/>
      <c r="P3005" s="672"/>
      <c r="Q3005" s="688" t="s">
        <v>1994</v>
      </c>
    </row>
    <row r="3006" spans="1:20" s="665" customFormat="1" ht="17.100000000000001" customHeight="1">
      <c r="A3006" s="1318" t="s">
        <v>1320</v>
      </c>
      <c r="B3006" s="1319"/>
      <c r="C3006" s="1316"/>
      <c r="D3006" s="1317"/>
      <c r="E3006" s="686"/>
      <c r="F3006" s="676"/>
      <c r="G3006" s="670"/>
      <c r="H3006" s="670" t="e">
        <f>SUM(H3001:H3005)</f>
        <v>#REF!</v>
      </c>
      <c r="I3006" s="670"/>
      <c r="J3006" s="670" t="e">
        <f>SUM(J3001:J3005)</f>
        <v>#REF!</v>
      </c>
      <c r="K3006" s="670"/>
      <c r="L3006" s="670" t="e">
        <f>SUM(L3001:L3005)</f>
        <v>#REF!</v>
      </c>
      <c r="M3006" s="670"/>
      <c r="N3006" s="670" t="e">
        <f>SUM(N3001:N3005)</f>
        <v>#REF!</v>
      </c>
      <c r="O3006" s="671"/>
      <c r="P3006" s="672"/>
      <c r="Q3006" s="688" t="s">
        <v>1994</v>
      </c>
      <c r="R3006" s="688"/>
    </row>
    <row r="3007" spans="1:20" s="665" customFormat="1" ht="17.100000000000001" customHeight="1">
      <c r="A3007" s="668">
        <f>A3000+1</f>
        <v>416</v>
      </c>
      <c r="B3007" s="1320" t="s">
        <v>2222</v>
      </c>
      <c r="C3007" s="1320"/>
      <c r="D3007" s="1320" t="s">
        <v>2223</v>
      </c>
      <c r="E3007" s="1320"/>
      <c r="F3007" s="669" t="s">
        <v>645</v>
      </c>
      <c r="G3007" s="698"/>
      <c r="H3007" s="698"/>
      <c r="I3007" s="698"/>
      <c r="J3007" s="698"/>
      <c r="K3007" s="670"/>
      <c r="L3007" s="670"/>
      <c r="M3007" s="670"/>
      <c r="N3007" s="698"/>
      <c r="O3007" s="699" t="s">
        <v>1562</v>
      </c>
      <c r="P3007" s="672"/>
      <c r="Q3007" s="688" t="s">
        <v>1994</v>
      </c>
      <c r="R3007" s="688"/>
      <c r="S3007" s="688"/>
      <c r="T3007" s="688"/>
    </row>
    <row r="3008" spans="1:20" s="665" customFormat="1" ht="17.100000000000001" customHeight="1">
      <c r="A3008" s="1316" t="s">
        <v>1524</v>
      </c>
      <c r="B3008" s="1317"/>
      <c r="C3008" s="1321" t="s">
        <v>2224</v>
      </c>
      <c r="D3008" s="1317"/>
      <c r="E3008" s="701">
        <f>E3001/100</f>
        <v>4.4999999999999998E-2</v>
      </c>
      <c r="F3008" s="676" t="s">
        <v>850</v>
      </c>
      <c r="G3008" s="670" t="e">
        <f>$H$484</f>
        <v>#REF!</v>
      </c>
      <c r="H3008" s="670" t="e">
        <f>INT(E3008*G3008)</f>
        <v>#REF!</v>
      </c>
      <c r="I3008" s="670">
        <f>$J$484</f>
        <v>73989</v>
      </c>
      <c r="J3008" s="670">
        <f>INT(E3008*I3008)</f>
        <v>3329</v>
      </c>
      <c r="K3008" s="670">
        <f>$L$484</f>
        <v>11220</v>
      </c>
      <c r="L3008" s="670">
        <f>INT(E3008*K3008)</f>
        <v>504</v>
      </c>
      <c r="M3008" s="670" t="e">
        <f t="shared" ref="M3008:N3012" si="744">G3008+I3008+K3008</f>
        <v>#REF!</v>
      </c>
      <c r="N3008" s="670" t="e">
        <f t="shared" si="744"/>
        <v>#REF!</v>
      </c>
      <c r="O3008" s="671">
        <f>$A$479</f>
        <v>130</v>
      </c>
      <c r="P3008" s="672"/>
      <c r="Q3008" s="688" t="s">
        <v>1994</v>
      </c>
      <c r="S3008" s="688"/>
      <c r="T3008" s="688"/>
    </row>
    <row r="3009" spans="1:20" s="665" customFormat="1" ht="17.100000000000001" customHeight="1">
      <c r="A3009" s="1316" t="s">
        <v>540</v>
      </c>
      <c r="B3009" s="1317"/>
      <c r="C3009" s="1316"/>
      <c r="D3009" s="1317"/>
      <c r="E3009" s="675">
        <f>E3002/100</f>
        <v>0.2</v>
      </c>
      <c r="F3009" s="676" t="s">
        <v>366</v>
      </c>
      <c r="G3009" s="670"/>
      <c r="H3009" s="670"/>
      <c r="I3009" s="670">
        <f>[53]노임단가!$T$22</f>
        <v>273308</v>
      </c>
      <c r="J3009" s="670">
        <f>INT(E3009*I3009)</f>
        <v>54661</v>
      </c>
      <c r="K3009" s="670"/>
      <c r="L3009" s="670"/>
      <c r="M3009" s="670">
        <f t="shared" si="744"/>
        <v>273308</v>
      </c>
      <c r="N3009" s="670">
        <f t="shared" si="744"/>
        <v>54661</v>
      </c>
      <c r="O3009" s="671"/>
      <c r="P3009" s="672"/>
      <c r="Q3009" s="688" t="s">
        <v>1994</v>
      </c>
    </row>
    <row r="3010" spans="1:20" s="665" customFormat="1" ht="17.100000000000001" customHeight="1">
      <c r="A3010" s="1316" t="s">
        <v>248</v>
      </c>
      <c r="B3010" s="1317"/>
      <c r="C3010" s="1316"/>
      <c r="D3010" s="1317"/>
      <c r="E3010" s="675">
        <f>E3003/100</f>
        <v>0.4</v>
      </c>
      <c r="F3010" s="676" t="s">
        <v>366</v>
      </c>
      <c r="G3010" s="670"/>
      <c r="H3010" s="670"/>
      <c r="I3010" s="670">
        <f>[53]노임단가!$T$5</f>
        <v>172068</v>
      </c>
      <c r="J3010" s="670">
        <f>INT(E3010*I3010)</f>
        <v>68827</v>
      </c>
      <c r="K3010" s="670"/>
      <c r="L3010" s="670"/>
      <c r="M3010" s="670">
        <f t="shared" si="744"/>
        <v>172068</v>
      </c>
      <c r="N3010" s="670">
        <f t="shared" si="744"/>
        <v>68827</v>
      </c>
      <c r="O3010" s="671"/>
      <c r="P3010" s="672"/>
      <c r="Q3010" s="688" t="s">
        <v>1994</v>
      </c>
    </row>
    <row r="3011" spans="1:20" s="688" customFormat="1" ht="17.100000000000001" customHeight="1">
      <c r="A3011" s="1316" t="s">
        <v>1161</v>
      </c>
      <c r="B3011" s="1317"/>
      <c r="C3011" s="1316" t="s">
        <v>642</v>
      </c>
      <c r="D3011" s="1317"/>
      <c r="E3011" s="675">
        <f>E3004/100</f>
        <v>1.6</v>
      </c>
      <c r="F3011" s="676" t="s">
        <v>418</v>
      </c>
      <c r="G3011" s="670" t="e">
        <f>#REF!</f>
        <v>#REF!</v>
      </c>
      <c r="H3011" s="670" t="e">
        <f>INT(E3011*G3011)</f>
        <v>#REF!</v>
      </c>
      <c r="I3011" s="670" t="e">
        <f>#REF!</f>
        <v>#REF!</v>
      </c>
      <c r="J3011" s="670" t="e">
        <f>INT(E3011*I3011)</f>
        <v>#REF!</v>
      </c>
      <c r="K3011" s="670" t="e">
        <f>#REF!</f>
        <v>#REF!</v>
      </c>
      <c r="L3011" s="670" t="e">
        <f>INT(E3011*K3011)</f>
        <v>#REF!</v>
      </c>
      <c r="M3011" s="670" t="e">
        <f t="shared" si="744"/>
        <v>#REF!</v>
      </c>
      <c r="N3011" s="670" t="e">
        <f t="shared" si="744"/>
        <v>#REF!</v>
      </c>
      <c r="O3011" s="671"/>
      <c r="P3011" s="672"/>
      <c r="Q3011" s="688" t="s">
        <v>1994</v>
      </c>
      <c r="R3011" s="665"/>
      <c r="S3011" s="665"/>
      <c r="T3011" s="665"/>
    </row>
    <row r="3012" spans="1:20" s="688" customFormat="1" ht="17.100000000000001" customHeight="1">
      <c r="A3012" s="1316" t="s">
        <v>1485</v>
      </c>
      <c r="B3012" s="1317"/>
      <c r="C3012" s="1316" t="s">
        <v>1451</v>
      </c>
      <c r="D3012" s="1317"/>
      <c r="E3012" s="675">
        <v>0.03</v>
      </c>
      <c r="F3012" s="676" t="s">
        <v>672</v>
      </c>
      <c r="G3012" s="670">
        <f>SUM($J$3009:$J$3010)</f>
        <v>123488</v>
      </c>
      <c r="H3012" s="670">
        <f>INT(E3012*G3012)</f>
        <v>3704</v>
      </c>
      <c r="I3012" s="670"/>
      <c r="J3012" s="670"/>
      <c r="K3012" s="791"/>
      <c r="L3012" s="791"/>
      <c r="M3012" s="670">
        <f t="shared" si="744"/>
        <v>123488</v>
      </c>
      <c r="N3012" s="670">
        <f t="shared" si="744"/>
        <v>3704</v>
      </c>
      <c r="O3012" s="671"/>
      <c r="P3012" s="672"/>
      <c r="Q3012" s="688" t="s">
        <v>1994</v>
      </c>
      <c r="R3012" s="665"/>
      <c r="S3012" s="665"/>
      <c r="T3012" s="665"/>
    </row>
    <row r="3013" spans="1:20" s="688" customFormat="1" ht="17.100000000000001" customHeight="1">
      <c r="A3013" s="1318" t="s">
        <v>1320</v>
      </c>
      <c r="B3013" s="1319"/>
      <c r="C3013" s="1316"/>
      <c r="D3013" s="1317"/>
      <c r="E3013" s="686"/>
      <c r="F3013" s="676"/>
      <c r="G3013" s="670"/>
      <c r="H3013" s="670" t="e">
        <f>SUM(H3008:H3012)</f>
        <v>#REF!</v>
      </c>
      <c r="I3013" s="670"/>
      <c r="J3013" s="670" t="e">
        <f>SUM(J3008:J3012)</f>
        <v>#REF!</v>
      </c>
      <c r="K3013" s="670"/>
      <c r="L3013" s="670" t="e">
        <f>SUM(L3008:L3012)</f>
        <v>#REF!</v>
      </c>
      <c r="M3013" s="670"/>
      <c r="N3013" s="670" t="e">
        <f>SUM(N3008:N3012)</f>
        <v>#REF!</v>
      </c>
      <c r="O3013" s="671"/>
      <c r="P3013" s="672"/>
      <c r="Q3013" s="688" t="s">
        <v>1994</v>
      </c>
      <c r="R3013" s="665"/>
      <c r="S3013" s="665"/>
      <c r="T3013" s="665"/>
    </row>
    <row r="3014" spans="1:20" s="688" customFormat="1" ht="17.100000000000001" customHeight="1">
      <c r="A3014" s="668">
        <f>A3007+1</f>
        <v>417</v>
      </c>
      <c r="B3014" s="1320" t="s">
        <v>2225</v>
      </c>
      <c r="C3014" s="1320"/>
      <c r="D3014" s="1320" t="s">
        <v>2226</v>
      </c>
      <c r="E3014" s="1320"/>
      <c r="F3014" s="669" t="s">
        <v>645</v>
      </c>
      <c r="G3014" s="698"/>
      <c r="H3014" s="698"/>
      <c r="I3014" s="698"/>
      <c r="J3014" s="698"/>
      <c r="K3014" s="670"/>
      <c r="L3014" s="670"/>
      <c r="M3014" s="670"/>
      <c r="N3014" s="698"/>
      <c r="O3014" s="699" t="s">
        <v>1562</v>
      </c>
      <c r="P3014" s="672"/>
      <c r="Q3014" s="688" t="s">
        <v>1994</v>
      </c>
      <c r="S3014" s="665"/>
      <c r="T3014" s="665"/>
    </row>
    <row r="3015" spans="1:20" s="688" customFormat="1" ht="17.100000000000001" customHeight="1">
      <c r="A3015" s="1362" t="s">
        <v>2150</v>
      </c>
      <c r="B3015" s="1363"/>
      <c r="C3015" s="1362" t="s">
        <v>2227</v>
      </c>
      <c r="D3015" s="1363"/>
      <c r="E3015" s="830">
        <v>1.08</v>
      </c>
      <c r="F3015" s="676" t="s">
        <v>645</v>
      </c>
      <c r="G3015" s="670"/>
      <c r="H3015" s="670"/>
      <c r="I3015" s="670"/>
      <c r="J3015" s="670"/>
      <c r="K3015" s="670"/>
      <c r="L3015" s="670"/>
      <c r="M3015" s="670"/>
      <c r="N3015" s="670"/>
      <c r="O3015" s="671"/>
      <c r="P3015" s="672"/>
      <c r="Q3015" s="688" t="s">
        <v>1994</v>
      </c>
    </row>
    <row r="3016" spans="1:20" s="688" customFormat="1" ht="17.100000000000001" customHeight="1">
      <c r="A3016" s="1362" t="s">
        <v>2133</v>
      </c>
      <c r="B3016" s="1363"/>
      <c r="C3016" s="1362" t="s">
        <v>1761</v>
      </c>
      <c r="D3016" s="1363"/>
      <c r="E3016" s="830">
        <v>1.08</v>
      </c>
      <c r="F3016" s="676" t="s">
        <v>645</v>
      </c>
      <c r="G3016" s="670"/>
      <c r="H3016" s="670"/>
      <c r="I3016" s="670"/>
      <c r="J3016" s="670"/>
      <c r="K3016" s="670">
        <f>[53]운반공!$BO$629</f>
        <v>691</v>
      </c>
      <c r="L3016" s="670">
        <f>INT(E3016*K3016)</f>
        <v>746</v>
      </c>
      <c r="M3016" s="670">
        <f t="shared" ref="M3016:N3031" si="745">G3016+I3016+K3016</f>
        <v>691</v>
      </c>
      <c r="N3016" s="670">
        <f t="shared" si="745"/>
        <v>746</v>
      </c>
      <c r="O3016" s="671"/>
      <c r="P3016" s="672"/>
      <c r="Q3016" s="688" t="s">
        <v>1994</v>
      </c>
    </row>
    <row r="3017" spans="1:20" s="688" customFormat="1" ht="17.100000000000001" customHeight="1">
      <c r="A3017" s="1362" t="s">
        <v>2152</v>
      </c>
      <c r="B3017" s="1363"/>
      <c r="C3017" s="1362" t="s">
        <v>2153</v>
      </c>
      <c r="D3017" s="1363"/>
      <c r="E3017" s="832">
        <v>2.8E-3</v>
      </c>
      <c r="F3017" s="676" t="s">
        <v>850</v>
      </c>
      <c r="G3017" s="670" t="e">
        <f>#REF!</f>
        <v>#REF!</v>
      </c>
      <c r="H3017" s="670" t="e">
        <f>INT(E3017*G3017)</f>
        <v>#REF!</v>
      </c>
      <c r="I3017" s="670"/>
      <c r="J3017" s="670"/>
      <c r="K3017" s="670"/>
      <c r="L3017" s="670"/>
      <c r="M3017" s="670" t="e">
        <f t="shared" si="745"/>
        <v>#REF!</v>
      </c>
      <c r="N3017" s="670" t="e">
        <f t="shared" si="745"/>
        <v>#REF!</v>
      </c>
      <c r="O3017" s="671"/>
      <c r="P3017" s="672"/>
      <c r="Q3017" s="688" t="s">
        <v>2221</v>
      </c>
    </row>
    <row r="3018" spans="1:20" s="688" customFormat="1" ht="17.100000000000001" customHeight="1">
      <c r="A3018" s="1362" t="s">
        <v>2212</v>
      </c>
      <c r="B3018" s="1363"/>
      <c r="C3018" s="1362"/>
      <c r="D3018" s="1363"/>
      <c r="E3018" s="819">
        <v>1</v>
      </c>
      <c r="F3018" s="676" t="s">
        <v>645</v>
      </c>
      <c r="G3018" s="670" t="e">
        <f>$H$2982</f>
        <v>#REF!</v>
      </c>
      <c r="H3018" s="670" t="e">
        <f>INT(E3018*G3018)</f>
        <v>#REF!</v>
      </c>
      <c r="I3018" s="670" t="e">
        <f>$J$2982</f>
        <v>#REF!</v>
      </c>
      <c r="J3018" s="670" t="e">
        <f>INT(E3018*I3018)</f>
        <v>#REF!</v>
      </c>
      <c r="K3018" s="670" t="e">
        <f>$L$2982</f>
        <v>#REF!</v>
      </c>
      <c r="L3018" s="670" t="e">
        <f>INT(E3018*K3018)</f>
        <v>#REF!</v>
      </c>
      <c r="M3018" s="670" t="e">
        <f t="shared" si="745"/>
        <v>#REF!</v>
      </c>
      <c r="N3018" s="670" t="e">
        <f t="shared" si="745"/>
        <v>#REF!</v>
      </c>
      <c r="O3018" s="671">
        <f>$A$2978</f>
        <v>411</v>
      </c>
      <c r="P3018" s="672"/>
      <c r="Q3018" s="688" t="s">
        <v>2221</v>
      </c>
    </row>
    <row r="3019" spans="1:20" s="688" customFormat="1" ht="17.100000000000001" customHeight="1">
      <c r="A3019" s="1362" t="s">
        <v>821</v>
      </c>
      <c r="B3019" s="1363"/>
      <c r="C3019" s="1362" t="s">
        <v>2154</v>
      </c>
      <c r="D3019" s="1363"/>
      <c r="E3019" s="829">
        <v>3.3000000000000002E-2</v>
      </c>
      <c r="F3019" s="676" t="s">
        <v>850</v>
      </c>
      <c r="G3019" s="670" t="e">
        <f>#REF!</f>
        <v>#REF!</v>
      </c>
      <c r="H3019" s="670" t="e">
        <f>INT(E3019*G3019)</f>
        <v>#REF!</v>
      </c>
      <c r="I3019" s="670"/>
      <c r="J3019" s="670"/>
      <c r="K3019" s="670"/>
      <c r="L3019" s="670"/>
      <c r="M3019" s="670" t="e">
        <f t="shared" si="745"/>
        <v>#REF!</v>
      </c>
      <c r="N3019" s="670" t="e">
        <f t="shared" si="745"/>
        <v>#REF!</v>
      </c>
      <c r="O3019" s="671"/>
      <c r="P3019" s="672"/>
      <c r="Q3019" s="688" t="s">
        <v>2221</v>
      </c>
    </row>
    <row r="3020" spans="1:20" s="688" customFormat="1" ht="17.100000000000001" customHeight="1">
      <c r="A3020" s="1362" t="s">
        <v>540</v>
      </c>
      <c r="B3020" s="1363"/>
      <c r="C3020" s="1362"/>
      <c r="D3020" s="1363"/>
      <c r="E3020" s="829">
        <v>1.6E-2</v>
      </c>
      <c r="F3020" s="676" t="s">
        <v>366</v>
      </c>
      <c r="G3020" s="670"/>
      <c r="H3020" s="670"/>
      <c r="I3020" s="670">
        <f>[53]노임단가!$T$22</f>
        <v>273308</v>
      </c>
      <c r="J3020" s="670">
        <f t="shared" ref="J3020:J3026" si="746">INT(E3020*I3020)</f>
        <v>4372</v>
      </c>
      <c r="K3020" s="670"/>
      <c r="L3020" s="670"/>
      <c r="M3020" s="670">
        <f t="shared" si="745"/>
        <v>273308</v>
      </c>
      <c r="N3020" s="670">
        <f t="shared" si="745"/>
        <v>4372</v>
      </c>
      <c r="O3020" s="671"/>
      <c r="P3020" s="672"/>
    </row>
    <row r="3021" spans="1:20" s="688" customFormat="1" ht="17.100000000000001" customHeight="1">
      <c r="A3021" s="1362" t="s">
        <v>628</v>
      </c>
      <c r="B3021" s="1363"/>
      <c r="C3021" s="1362"/>
      <c r="D3021" s="1363"/>
      <c r="E3021" s="829">
        <v>1.6E-2</v>
      </c>
      <c r="F3021" s="676" t="s">
        <v>366</v>
      </c>
      <c r="G3021" s="670"/>
      <c r="H3021" s="670"/>
      <c r="I3021" s="670">
        <f>[53]노임단가!$T$6</f>
        <v>226122</v>
      </c>
      <c r="J3021" s="670">
        <f t="shared" si="746"/>
        <v>3617</v>
      </c>
      <c r="K3021" s="670"/>
      <c r="L3021" s="670"/>
      <c r="M3021" s="670">
        <f t="shared" si="745"/>
        <v>226122</v>
      </c>
      <c r="N3021" s="670">
        <f t="shared" si="745"/>
        <v>3617</v>
      </c>
      <c r="O3021" s="671"/>
      <c r="P3021" s="672"/>
      <c r="Q3021" s="688" t="s">
        <v>1994</v>
      </c>
    </row>
    <row r="3022" spans="1:20" s="688" customFormat="1" ht="17.100000000000001" customHeight="1">
      <c r="A3022" s="1362" t="s">
        <v>248</v>
      </c>
      <c r="B3022" s="1363"/>
      <c r="C3022" s="1362"/>
      <c r="D3022" s="1363"/>
      <c r="E3022" s="829">
        <v>3.2000000000000001E-2</v>
      </c>
      <c r="F3022" s="676" t="s">
        <v>366</v>
      </c>
      <c r="G3022" s="670"/>
      <c r="H3022" s="670"/>
      <c r="I3022" s="670">
        <f>[53]노임단가!$T$5</f>
        <v>172068</v>
      </c>
      <c r="J3022" s="670">
        <f t="shared" si="746"/>
        <v>5506</v>
      </c>
      <c r="K3022" s="670"/>
      <c r="L3022" s="670"/>
      <c r="M3022" s="670">
        <f t="shared" si="745"/>
        <v>172068</v>
      </c>
      <c r="N3022" s="670">
        <f t="shared" si="745"/>
        <v>5506</v>
      </c>
      <c r="O3022" s="671"/>
      <c r="P3022" s="672"/>
      <c r="Q3022" s="688" t="s">
        <v>1994</v>
      </c>
    </row>
    <row r="3023" spans="1:20" s="688" customFormat="1" ht="17.100000000000001" customHeight="1">
      <c r="A3023" s="1362" t="s">
        <v>465</v>
      </c>
      <c r="B3023" s="1363"/>
      <c r="C3023" s="1362" t="s">
        <v>466</v>
      </c>
      <c r="D3023" s="1363"/>
      <c r="E3023" s="829">
        <v>6.4000000000000001E-2</v>
      </c>
      <c r="F3023" s="676" t="s">
        <v>418</v>
      </c>
      <c r="G3023" s="670" t="e">
        <f>#REF!</f>
        <v>#REF!</v>
      </c>
      <c r="H3023" s="750" t="e">
        <f>INT(E3023*G3023)</f>
        <v>#REF!</v>
      </c>
      <c r="I3023" s="670" t="e">
        <f>#REF!</f>
        <v>#REF!</v>
      </c>
      <c r="J3023" s="750" t="e">
        <f t="shared" si="746"/>
        <v>#REF!</v>
      </c>
      <c r="K3023" s="670" t="e">
        <f>#REF!</f>
        <v>#REF!</v>
      </c>
      <c r="L3023" s="750" t="e">
        <f>INT(E3023*K3023)</f>
        <v>#REF!</v>
      </c>
      <c r="M3023" s="670" t="e">
        <f t="shared" si="745"/>
        <v>#REF!</v>
      </c>
      <c r="N3023" s="670" t="e">
        <f t="shared" si="745"/>
        <v>#REF!</v>
      </c>
      <c r="O3023" s="671"/>
      <c r="P3023" s="672"/>
      <c r="Q3023" s="688" t="s">
        <v>1994</v>
      </c>
    </row>
    <row r="3024" spans="1:20" s="688" customFormat="1" ht="17.100000000000001" customHeight="1">
      <c r="A3024" s="1362" t="s">
        <v>409</v>
      </c>
      <c r="B3024" s="1363"/>
      <c r="C3024" s="1362" t="s">
        <v>397</v>
      </c>
      <c r="D3024" s="1363"/>
      <c r="E3024" s="829">
        <v>6.4000000000000001E-2</v>
      </c>
      <c r="F3024" s="676" t="s">
        <v>418</v>
      </c>
      <c r="G3024" s="670" t="e">
        <f>$G$1660</f>
        <v>#REF!</v>
      </c>
      <c r="H3024" s="670" t="e">
        <f t="shared" ref="H3024:H3031" si="747">INT(E3024*G3024)</f>
        <v>#REF!</v>
      </c>
      <c r="I3024" s="670" t="e">
        <f>$I$1660</f>
        <v>#REF!</v>
      </c>
      <c r="J3024" s="670" t="e">
        <f t="shared" si="746"/>
        <v>#REF!</v>
      </c>
      <c r="K3024" s="670" t="e">
        <f>$K$1660</f>
        <v>#REF!</v>
      </c>
      <c r="L3024" s="670" t="e">
        <f>INT(E3024*K3024)</f>
        <v>#REF!</v>
      </c>
      <c r="M3024" s="670" t="e">
        <f t="shared" si="745"/>
        <v>#REF!</v>
      </c>
      <c r="N3024" s="670" t="e">
        <f t="shared" si="745"/>
        <v>#REF!</v>
      </c>
      <c r="O3024" s="671"/>
      <c r="P3024" s="672"/>
      <c r="Q3024" s="688" t="s">
        <v>1994</v>
      </c>
    </row>
    <row r="3025" spans="1:17" s="688" customFormat="1" ht="17.100000000000001" customHeight="1">
      <c r="A3025" s="1362" t="s">
        <v>2228</v>
      </c>
      <c r="B3025" s="1363"/>
      <c r="C3025" s="1362" t="s">
        <v>2215</v>
      </c>
      <c r="D3025" s="1363"/>
      <c r="E3025" s="830"/>
      <c r="F3025" s="676" t="s">
        <v>272</v>
      </c>
      <c r="G3025" s="670" t="e">
        <f>$H$2987</f>
        <v>#REF!</v>
      </c>
      <c r="H3025" s="670" t="e">
        <f t="shared" si="747"/>
        <v>#REF!</v>
      </c>
      <c r="I3025" s="670" t="e">
        <f>$J$2987</f>
        <v>#REF!</v>
      </c>
      <c r="J3025" s="670" t="e">
        <f t="shared" si="746"/>
        <v>#REF!</v>
      </c>
      <c r="K3025" s="670" t="e">
        <f>$L$2987</f>
        <v>#REF!</v>
      </c>
      <c r="L3025" s="670" t="e">
        <f>INT(E3025*K3025)</f>
        <v>#REF!</v>
      </c>
      <c r="M3025" s="670" t="e">
        <f t="shared" si="745"/>
        <v>#REF!</v>
      </c>
      <c r="N3025" s="670" t="e">
        <f t="shared" si="745"/>
        <v>#REF!</v>
      </c>
      <c r="O3025" s="671">
        <f>$A$2983</f>
        <v>412</v>
      </c>
      <c r="P3025" s="672"/>
      <c r="Q3025" s="688" t="s">
        <v>1994</v>
      </c>
    </row>
    <row r="3026" spans="1:17" s="688" customFormat="1" ht="17.100000000000001" customHeight="1">
      <c r="A3026" s="1362" t="s">
        <v>2228</v>
      </c>
      <c r="B3026" s="1363"/>
      <c r="C3026" s="1362" t="s">
        <v>2216</v>
      </c>
      <c r="D3026" s="1363"/>
      <c r="E3026" s="830"/>
      <c r="F3026" s="676" t="s">
        <v>272</v>
      </c>
      <c r="G3026" s="670" t="e">
        <f>$H$2992</f>
        <v>#REF!</v>
      </c>
      <c r="H3026" s="670" t="e">
        <f t="shared" si="747"/>
        <v>#REF!</v>
      </c>
      <c r="I3026" s="670" t="e">
        <f>$J$2992</f>
        <v>#REF!</v>
      </c>
      <c r="J3026" s="670" t="e">
        <f t="shared" si="746"/>
        <v>#REF!</v>
      </c>
      <c r="K3026" s="670" t="e">
        <f>$L$2992</f>
        <v>#REF!</v>
      </c>
      <c r="L3026" s="670" t="e">
        <f>INT(E3026*K3026)</f>
        <v>#REF!</v>
      </c>
      <c r="M3026" s="670" t="e">
        <f t="shared" si="745"/>
        <v>#REF!</v>
      </c>
      <c r="N3026" s="670" t="e">
        <f t="shared" si="745"/>
        <v>#REF!</v>
      </c>
      <c r="O3026" s="671">
        <f>$A$2988</f>
        <v>413</v>
      </c>
      <c r="P3026" s="672"/>
      <c r="Q3026" s="688" t="s">
        <v>1994</v>
      </c>
    </row>
    <row r="3027" spans="1:17" s="688" customFormat="1" ht="17.100000000000001" customHeight="1">
      <c r="A3027" s="1362" t="s">
        <v>1328</v>
      </c>
      <c r="B3027" s="1363"/>
      <c r="C3027" s="1362" t="s">
        <v>1469</v>
      </c>
      <c r="D3027" s="1363"/>
      <c r="E3027" s="830">
        <v>0.05</v>
      </c>
      <c r="F3027" s="676" t="s">
        <v>672</v>
      </c>
      <c r="G3027" s="670">
        <f>SUM(J3020:J3022)</f>
        <v>13495</v>
      </c>
      <c r="H3027" s="670">
        <f t="shared" si="747"/>
        <v>674</v>
      </c>
      <c r="I3027" s="670"/>
      <c r="J3027" s="670"/>
      <c r="K3027" s="670"/>
      <c r="L3027" s="670"/>
      <c r="M3027" s="670">
        <f t="shared" si="745"/>
        <v>13495</v>
      </c>
      <c r="N3027" s="670">
        <f t="shared" si="745"/>
        <v>674</v>
      </c>
      <c r="O3027" s="671"/>
      <c r="P3027" s="672"/>
      <c r="Q3027" s="688" t="s">
        <v>1994</v>
      </c>
    </row>
    <row r="3028" spans="1:17" s="688" customFormat="1" ht="17.100000000000001" customHeight="1">
      <c r="A3028" s="1362" t="s">
        <v>1485</v>
      </c>
      <c r="B3028" s="1363"/>
      <c r="C3028" s="1362" t="s">
        <v>1451</v>
      </c>
      <c r="D3028" s="1363"/>
      <c r="E3028" s="830">
        <v>0.03</v>
      </c>
      <c r="F3028" s="676" t="s">
        <v>672</v>
      </c>
      <c r="G3028" s="670"/>
      <c r="H3028" s="670">
        <f t="shared" si="747"/>
        <v>0</v>
      </c>
      <c r="I3028" s="670"/>
      <c r="J3028" s="670"/>
      <c r="K3028" s="831">
        <f>SUM(J3020:J3022)</f>
        <v>13495</v>
      </c>
      <c r="L3028" s="670">
        <f>INT(E3028*K3028)</f>
        <v>404</v>
      </c>
      <c r="M3028" s="670">
        <f>G3028+I3028+K3028</f>
        <v>13495</v>
      </c>
      <c r="N3028" s="670">
        <f>H3028+J3028+L3028</f>
        <v>404</v>
      </c>
      <c r="O3028" s="671"/>
      <c r="P3028" s="672"/>
      <c r="Q3028" s="688" t="s">
        <v>1994</v>
      </c>
    </row>
    <row r="3029" spans="1:17" s="688" customFormat="1" ht="17.100000000000001" customHeight="1">
      <c r="A3029" s="1362" t="s">
        <v>2229</v>
      </c>
      <c r="B3029" s="1363"/>
      <c r="C3029" s="1366" t="s">
        <v>2230</v>
      </c>
      <c r="D3029" s="1363"/>
      <c r="E3029" s="830">
        <v>0.01</v>
      </c>
      <c r="F3029" s="676" t="s">
        <v>1458</v>
      </c>
      <c r="G3029" s="670" t="e">
        <f>$H$2535</f>
        <v>#REF!</v>
      </c>
      <c r="H3029" s="670" t="e">
        <f t="shared" si="747"/>
        <v>#REF!</v>
      </c>
      <c r="I3029" s="670">
        <f>$J$2535</f>
        <v>3736040</v>
      </c>
      <c r="J3029" s="670">
        <f>INT(E3029*I3029)</f>
        <v>37360</v>
      </c>
      <c r="K3029" s="670">
        <f>$L$2535</f>
        <v>57420</v>
      </c>
      <c r="L3029" s="670">
        <f>INT(E3029*K3029)</f>
        <v>574</v>
      </c>
      <c r="M3029" s="670" t="e">
        <f t="shared" si="745"/>
        <v>#REF!</v>
      </c>
      <c r="N3029" s="670" t="e">
        <f>H3029+J3029+L3029</f>
        <v>#REF!</v>
      </c>
      <c r="O3029" s="671">
        <f>$A$2488</f>
        <v>356</v>
      </c>
      <c r="P3029" s="672"/>
      <c r="Q3029" s="688" t="s">
        <v>1994</v>
      </c>
    </row>
    <row r="3030" spans="1:17" s="688" customFormat="1" ht="17.100000000000001" customHeight="1">
      <c r="A3030" s="1362" t="s">
        <v>2231</v>
      </c>
      <c r="B3030" s="1363"/>
      <c r="C3030" s="1366" t="s">
        <v>2232</v>
      </c>
      <c r="D3030" s="1363"/>
      <c r="E3030" s="830">
        <v>0.01</v>
      </c>
      <c r="F3030" s="676" t="s">
        <v>1458</v>
      </c>
      <c r="G3030" s="670" t="e">
        <f>$H$630</f>
        <v>#REF!</v>
      </c>
      <c r="H3030" s="670" t="e">
        <f t="shared" si="747"/>
        <v>#REF!</v>
      </c>
      <c r="I3030" s="670">
        <f>$J$630</f>
        <v>1356</v>
      </c>
      <c r="J3030" s="670">
        <f>INT(E3030*I3030)</f>
        <v>13</v>
      </c>
      <c r="K3030" s="670"/>
      <c r="L3030" s="670"/>
      <c r="M3030" s="670" t="e">
        <f t="shared" si="745"/>
        <v>#REF!</v>
      </c>
      <c r="N3030" s="670" t="e">
        <f>H3030+J3030+L3030</f>
        <v>#REF!</v>
      </c>
      <c r="O3030" s="671">
        <f>$A$626</f>
        <v>151</v>
      </c>
      <c r="P3030" s="672"/>
      <c r="Q3030" s="688" t="s">
        <v>1994</v>
      </c>
    </row>
    <row r="3031" spans="1:17" s="688" customFormat="1" ht="17.100000000000001" customHeight="1">
      <c r="A3031" s="1362" t="s">
        <v>2233</v>
      </c>
      <c r="B3031" s="1363"/>
      <c r="C3031" s="1364" t="s">
        <v>2234</v>
      </c>
      <c r="D3031" s="1365"/>
      <c r="E3031" s="830">
        <v>0.01</v>
      </c>
      <c r="F3031" s="676" t="s">
        <v>1458</v>
      </c>
      <c r="G3031" s="670" t="e">
        <f>$H$1732</f>
        <v>#REF!</v>
      </c>
      <c r="H3031" s="670" t="e">
        <f t="shared" si="747"/>
        <v>#REF!</v>
      </c>
      <c r="I3031" s="670" t="e">
        <f>$J$1732</f>
        <v>#REF!</v>
      </c>
      <c r="J3031" s="670" t="e">
        <f>INT(E3031*I3031)</f>
        <v>#REF!</v>
      </c>
      <c r="K3031" s="670" t="e">
        <f>$L$1732</f>
        <v>#REF!</v>
      </c>
      <c r="L3031" s="670" t="e">
        <f>INT(E3031*K3031)</f>
        <v>#REF!</v>
      </c>
      <c r="M3031" s="670" t="e">
        <f t="shared" si="745"/>
        <v>#REF!</v>
      </c>
      <c r="N3031" s="670" t="e">
        <f>H3031+J3031+L3031</f>
        <v>#REF!</v>
      </c>
      <c r="O3031" s="671">
        <f>$A$1724</f>
        <v>295</v>
      </c>
      <c r="P3031" s="672"/>
      <c r="Q3031" s="688" t="s">
        <v>1994</v>
      </c>
    </row>
    <row r="3032" spans="1:17" s="688" customFormat="1" ht="17.100000000000001" customHeight="1">
      <c r="A3032" s="1318" t="s">
        <v>1320</v>
      </c>
      <c r="B3032" s="1319"/>
      <c r="C3032" s="1316"/>
      <c r="D3032" s="1317"/>
      <c r="E3032" s="686"/>
      <c r="F3032" s="676"/>
      <c r="G3032" s="670"/>
      <c r="H3032" s="670" t="e">
        <f>SUM(H3015:H3031)</f>
        <v>#REF!</v>
      </c>
      <c r="I3032" s="670"/>
      <c r="J3032" s="670" t="e">
        <f>SUM(J3015:J3031)</f>
        <v>#REF!</v>
      </c>
      <c r="K3032" s="670"/>
      <c r="L3032" s="670" t="e">
        <f>SUM(L3015:L3031)</f>
        <v>#REF!</v>
      </c>
      <c r="M3032" s="670"/>
      <c r="N3032" s="670" t="e">
        <f>SUM(N3015:N3031)</f>
        <v>#REF!</v>
      </c>
      <c r="O3032" s="671"/>
      <c r="P3032" s="672"/>
      <c r="Q3032" s="688" t="s">
        <v>1994</v>
      </c>
    </row>
    <row r="3033" spans="1:17" s="688" customFormat="1" ht="17.100000000000001" customHeight="1">
      <c r="A3033" s="668">
        <f>A3014+1</f>
        <v>418</v>
      </c>
      <c r="B3033" s="1320" t="s">
        <v>2225</v>
      </c>
      <c r="C3033" s="1320"/>
      <c r="D3033" s="1320" t="s">
        <v>2235</v>
      </c>
      <c r="E3033" s="1320"/>
      <c r="F3033" s="669" t="s">
        <v>645</v>
      </c>
      <c r="G3033" s="698"/>
      <c r="H3033" s="698"/>
      <c r="I3033" s="698"/>
      <c r="J3033" s="698"/>
      <c r="K3033" s="670"/>
      <c r="L3033" s="670"/>
      <c r="M3033" s="670"/>
      <c r="N3033" s="698"/>
      <c r="O3033" s="699" t="s">
        <v>1562</v>
      </c>
      <c r="P3033" s="672"/>
      <c r="Q3033" s="688" t="s">
        <v>1994</v>
      </c>
    </row>
    <row r="3034" spans="1:17" s="688" customFormat="1" ht="17.100000000000001" customHeight="1">
      <c r="A3034" s="1316" t="s">
        <v>2150</v>
      </c>
      <c r="B3034" s="1317"/>
      <c r="C3034" s="1316" t="s">
        <v>2227</v>
      </c>
      <c r="D3034" s="1317"/>
      <c r="E3034" s="830">
        <v>1.08</v>
      </c>
      <c r="F3034" s="676" t="s">
        <v>645</v>
      </c>
      <c r="G3034" s="670"/>
      <c r="H3034" s="670"/>
      <c r="I3034" s="670"/>
      <c r="J3034" s="670"/>
      <c r="K3034" s="670"/>
      <c r="L3034" s="670"/>
      <c r="M3034" s="670"/>
      <c r="N3034" s="670"/>
      <c r="O3034" s="671"/>
      <c r="P3034" s="672"/>
      <c r="Q3034" s="688" t="s">
        <v>1994</v>
      </c>
    </row>
    <row r="3035" spans="1:17" s="688" customFormat="1" ht="17.100000000000001" customHeight="1">
      <c r="A3035" s="1316" t="s">
        <v>2133</v>
      </c>
      <c r="B3035" s="1317"/>
      <c r="C3035" s="1316" t="s">
        <v>1761</v>
      </c>
      <c r="D3035" s="1317"/>
      <c r="E3035" s="830">
        <v>1.08</v>
      </c>
      <c r="F3035" s="676" t="s">
        <v>645</v>
      </c>
      <c r="G3035" s="670"/>
      <c r="H3035" s="670"/>
      <c r="I3035" s="670"/>
      <c r="J3035" s="670"/>
      <c r="K3035" s="670">
        <f>[53]운반공!$BO$629</f>
        <v>691</v>
      </c>
      <c r="L3035" s="670">
        <f>INT(E3035*K3035)</f>
        <v>746</v>
      </c>
      <c r="M3035" s="670">
        <f t="shared" ref="M3035:N3050" si="748">G3035+I3035+K3035</f>
        <v>691</v>
      </c>
      <c r="N3035" s="670">
        <f t="shared" si="748"/>
        <v>746</v>
      </c>
      <c r="O3035" s="671"/>
      <c r="P3035" s="672"/>
      <c r="Q3035" s="688" t="s">
        <v>1994</v>
      </c>
    </row>
    <row r="3036" spans="1:17" s="688" customFormat="1" ht="17.100000000000001" customHeight="1">
      <c r="A3036" s="1316" t="s">
        <v>2152</v>
      </c>
      <c r="B3036" s="1317"/>
      <c r="C3036" s="1316" t="s">
        <v>2153</v>
      </c>
      <c r="D3036" s="1317"/>
      <c r="E3036" s="832">
        <v>2.8E-3</v>
      </c>
      <c r="F3036" s="676" t="s">
        <v>850</v>
      </c>
      <c r="G3036" s="670" t="e">
        <f>#REF!</f>
        <v>#REF!</v>
      </c>
      <c r="H3036" s="670" t="e">
        <f>INT(E3036*G3036)</f>
        <v>#REF!</v>
      </c>
      <c r="I3036" s="670"/>
      <c r="J3036" s="670"/>
      <c r="K3036" s="670"/>
      <c r="L3036" s="670"/>
      <c r="M3036" s="670" t="e">
        <f t="shared" si="748"/>
        <v>#REF!</v>
      </c>
      <c r="N3036" s="670" t="e">
        <f t="shared" si="748"/>
        <v>#REF!</v>
      </c>
      <c r="O3036" s="671"/>
      <c r="P3036" s="672"/>
      <c r="Q3036" s="688" t="s">
        <v>2221</v>
      </c>
    </row>
    <row r="3037" spans="1:17" s="688" customFormat="1" ht="17.100000000000001" customHeight="1">
      <c r="A3037" s="1316" t="s">
        <v>2212</v>
      </c>
      <c r="B3037" s="1317"/>
      <c r="C3037" s="1316"/>
      <c r="D3037" s="1317"/>
      <c r="E3037" s="819">
        <v>1</v>
      </c>
      <c r="F3037" s="676" t="s">
        <v>645</v>
      </c>
      <c r="G3037" s="670" t="e">
        <f>$H$2982</f>
        <v>#REF!</v>
      </c>
      <c r="H3037" s="670" t="e">
        <f>INT(E3037*G3037)</f>
        <v>#REF!</v>
      </c>
      <c r="I3037" s="670" t="e">
        <f>$J$2982</f>
        <v>#REF!</v>
      </c>
      <c r="J3037" s="670" t="e">
        <f>INT(E3037*I3037)</f>
        <v>#REF!</v>
      </c>
      <c r="K3037" s="670" t="e">
        <f>$L$2982</f>
        <v>#REF!</v>
      </c>
      <c r="L3037" s="670" t="e">
        <f>INT(E3037*K3037)</f>
        <v>#REF!</v>
      </c>
      <c r="M3037" s="670" t="e">
        <f t="shared" si="748"/>
        <v>#REF!</v>
      </c>
      <c r="N3037" s="670" t="e">
        <f t="shared" si="748"/>
        <v>#REF!</v>
      </c>
      <c r="O3037" s="671">
        <f>$A$2978</f>
        <v>411</v>
      </c>
      <c r="P3037" s="672"/>
      <c r="Q3037" s="688" t="s">
        <v>2221</v>
      </c>
    </row>
    <row r="3038" spans="1:17" s="688" customFormat="1" ht="17.100000000000001" customHeight="1">
      <c r="A3038" s="1316" t="s">
        <v>2236</v>
      </c>
      <c r="B3038" s="1317"/>
      <c r="C3038" s="1321" t="s">
        <v>2224</v>
      </c>
      <c r="D3038" s="1317"/>
      <c r="E3038" s="829">
        <v>0.04</v>
      </c>
      <c r="F3038" s="676" t="s">
        <v>850</v>
      </c>
      <c r="G3038" s="670" t="e">
        <f>$H$484</f>
        <v>#REF!</v>
      </c>
      <c r="H3038" s="670" t="e">
        <f>INT(E3038*G3038)</f>
        <v>#REF!</v>
      </c>
      <c r="I3038" s="670"/>
      <c r="J3038" s="670"/>
      <c r="K3038" s="670"/>
      <c r="L3038" s="670"/>
      <c r="M3038" s="670" t="e">
        <f t="shared" si="748"/>
        <v>#REF!</v>
      </c>
      <c r="N3038" s="670" t="e">
        <f t="shared" si="748"/>
        <v>#REF!</v>
      </c>
      <c r="O3038" s="671">
        <f>$A$479</f>
        <v>130</v>
      </c>
      <c r="P3038" s="672"/>
      <c r="Q3038" s="688" t="s">
        <v>2221</v>
      </c>
    </row>
    <row r="3039" spans="1:17" s="688" customFormat="1" ht="17.100000000000001" customHeight="1">
      <c r="A3039" s="1362" t="s">
        <v>540</v>
      </c>
      <c r="B3039" s="1363"/>
      <c r="C3039" s="1362"/>
      <c r="D3039" s="1363"/>
      <c r="E3039" s="829">
        <v>1.6E-2</v>
      </c>
      <c r="F3039" s="676" t="s">
        <v>366</v>
      </c>
      <c r="G3039" s="670"/>
      <c r="H3039" s="670"/>
      <c r="I3039" s="670">
        <f>[53]노임단가!$T$22</f>
        <v>273308</v>
      </c>
      <c r="J3039" s="670">
        <f t="shared" ref="J3039:J3045" si="749">INT(E3039*I3039)</f>
        <v>4372</v>
      </c>
      <c r="K3039" s="670"/>
      <c r="L3039" s="670"/>
      <c r="M3039" s="670">
        <f t="shared" si="748"/>
        <v>273308</v>
      </c>
      <c r="N3039" s="670">
        <f t="shared" si="748"/>
        <v>4372</v>
      </c>
      <c r="O3039" s="671"/>
      <c r="P3039" s="672"/>
    </row>
    <row r="3040" spans="1:17" s="688" customFormat="1" ht="17.100000000000001" customHeight="1">
      <c r="A3040" s="1316" t="s">
        <v>628</v>
      </c>
      <c r="B3040" s="1317"/>
      <c r="C3040" s="1316"/>
      <c r="D3040" s="1317"/>
      <c r="E3040" s="829">
        <v>1.6E-2</v>
      </c>
      <c r="F3040" s="676" t="s">
        <v>366</v>
      </c>
      <c r="G3040" s="670"/>
      <c r="H3040" s="670"/>
      <c r="I3040" s="670">
        <f>[53]노임단가!$T$6</f>
        <v>226122</v>
      </c>
      <c r="J3040" s="670">
        <f t="shared" si="749"/>
        <v>3617</v>
      </c>
      <c r="K3040" s="670"/>
      <c r="L3040" s="670"/>
      <c r="M3040" s="670">
        <f t="shared" si="748"/>
        <v>226122</v>
      </c>
      <c r="N3040" s="670">
        <f t="shared" si="748"/>
        <v>3617</v>
      </c>
      <c r="O3040" s="671"/>
      <c r="P3040" s="672"/>
      <c r="Q3040" s="688" t="s">
        <v>1994</v>
      </c>
    </row>
    <row r="3041" spans="1:20" s="688" customFormat="1" ht="17.100000000000001" customHeight="1">
      <c r="A3041" s="1316" t="s">
        <v>248</v>
      </c>
      <c r="B3041" s="1317"/>
      <c r="C3041" s="1316"/>
      <c r="D3041" s="1317"/>
      <c r="E3041" s="829">
        <v>3.2000000000000001E-2</v>
      </c>
      <c r="F3041" s="676" t="s">
        <v>366</v>
      </c>
      <c r="G3041" s="670"/>
      <c r="H3041" s="670"/>
      <c r="I3041" s="670">
        <f>[53]노임단가!$T$5</f>
        <v>172068</v>
      </c>
      <c r="J3041" s="670">
        <f t="shared" si="749"/>
        <v>5506</v>
      </c>
      <c r="K3041" s="670"/>
      <c r="L3041" s="670"/>
      <c r="M3041" s="670">
        <f t="shared" si="748"/>
        <v>172068</v>
      </c>
      <c r="N3041" s="670">
        <f t="shared" si="748"/>
        <v>5506</v>
      </c>
      <c r="O3041" s="671"/>
      <c r="P3041" s="672"/>
      <c r="Q3041" s="688" t="s">
        <v>1994</v>
      </c>
    </row>
    <row r="3042" spans="1:20" s="688" customFormat="1" ht="17.100000000000001" customHeight="1">
      <c r="A3042" s="1316" t="s">
        <v>465</v>
      </c>
      <c r="B3042" s="1317"/>
      <c r="C3042" s="1316" t="s">
        <v>466</v>
      </c>
      <c r="D3042" s="1317"/>
      <c r="E3042" s="829">
        <v>6.4000000000000001E-2</v>
      </c>
      <c r="F3042" s="676" t="s">
        <v>418</v>
      </c>
      <c r="G3042" s="670" t="e">
        <f>#REF!</f>
        <v>#REF!</v>
      </c>
      <c r="H3042" s="750" t="e">
        <f>INT(E3042*G3042)</f>
        <v>#REF!</v>
      </c>
      <c r="I3042" s="670" t="e">
        <f>#REF!</f>
        <v>#REF!</v>
      </c>
      <c r="J3042" s="750" t="e">
        <f t="shared" si="749"/>
        <v>#REF!</v>
      </c>
      <c r="K3042" s="670" t="e">
        <f>#REF!</f>
        <v>#REF!</v>
      </c>
      <c r="L3042" s="750" t="e">
        <f>INT(E3042*K3042)</f>
        <v>#REF!</v>
      </c>
      <c r="M3042" s="670" t="e">
        <f t="shared" si="748"/>
        <v>#REF!</v>
      </c>
      <c r="N3042" s="670" t="e">
        <f t="shared" si="748"/>
        <v>#REF!</v>
      </c>
      <c r="O3042" s="671"/>
      <c r="P3042" s="672"/>
      <c r="Q3042" s="688" t="s">
        <v>1994</v>
      </c>
    </row>
    <row r="3043" spans="1:20" s="688" customFormat="1" ht="17.100000000000001" customHeight="1">
      <c r="A3043" s="1316" t="s">
        <v>409</v>
      </c>
      <c r="B3043" s="1317"/>
      <c r="C3043" s="1316" t="s">
        <v>397</v>
      </c>
      <c r="D3043" s="1317"/>
      <c r="E3043" s="829">
        <v>6.4000000000000001E-2</v>
      </c>
      <c r="F3043" s="676" t="s">
        <v>418</v>
      </c>
      <c r="G3043" s="670" t="e">
        <f>$G$1660</f>
        <v>#REF!</v>
      </c>
      <c r="H3043" s="670" t="e">
        <f t="shared" ref="H3043:H3050" si="750">INT(E3043*G3043)</f>
        <v>#REF!</v>
      </c>
      <c r="I3043" s="670" t="e">
        <f>$I$1660</f>
        <v>#REF!</v>
      </c>
      <c r="J3043" s="670" t="e">
        <f t="shared" si="749"/>
        <v>#REF!</v>
      </c>
      <c r="K3043" s="670" t="e">
        <f>$K$1660</f>
        <v>#REF!</v>
      </c>
      <c r="L3043" s="670" t="e">
        <f>INT(E3043*K3043)</f>
        <v>#REF!</v>
      </c>
      <c r="M3043" s="670" t="e">
        <f t="shared" si="748"/>
        <v>#REF!</v>
      </c>
      <c r="N3043" s="670" t="e">
        <f t="shared" si="748"/>
        <v>#REF!</v>
      </c>
      <c r="O3043" s="671"/>
      <c r="P3043" s="672"/>
      <c r="Q3043" s="688" t="s">
        <v>1994</v>
      </c>
    </row>
    <row r="3044" spans="1:20" s="688" customFormat="1" ht="17.100000000000001" customHeight="1">
      <c r="A3044" s="1362" t="s">
        <v>2228</v>
      </c>
      <c r="B3044" s="1363"/>
      <c r="C3044" s="1362" t="s">
        <v>2215</v>
      </c>
      <c r="D3044" s="1363"/>
      <c r="E3044" s="830"/>
      <c r="F3044" s="676" t="s">
        <v>272</v>
      </c>
      <c r="G3044" s="670" t="e">
        <f>$H$2987</f>
        <v>#REF!</v>
      </c>
      <c r="H3044" s="670" t="e">
        <f t="shared" si="750"/>
        <v>#REF!</v>
      </c>
      <c r="I3044" s="670" t="e">
        <f>$J$2987</f>
        <v>#REF!</v>
      </c>
      <c r="J3044" s="670" t="e">
        <f t="shared" si="749"/>
        <v>#REF!</v>
      </c>
      <c r="K3044" s="670" t="e">
        <f>$L$2987</f>
        <v>#REF!</v>
      </c>
      <c r="L3044" s="670" t="e">
        <f>INT(E3044*K3044)</f>
        <v>#REF!</v>
      </c>
      <c r="M3044" s="670" t="e">
        <f t="shared" si="748"/>
        <v>#REF!</v>
      </c>
      <c r="N3044" s="670" t="e">
        <f t="shared" si="748"/>
        <v>#REF!</v>
      </c>
      <c r="O3044" s="671">
        <f>$A$2983</f>
        <v>412</v>
      </c>
      <c r="P3044" s="672"/>
      <c r="Q3044" s="688" t="s">
        <v>1994</v>
      </c>
    </row>
    <row r="3045" spans="1:20" s="688" customFormat="1" ht="17.100000000000001" customHeight="1">
      <c r="A3045" s="1362" t="s">
        <v>2228</v>
      </c>
      <c r="B3045" s="1363"/>
      <c r="C3045" s="1362" t="s">
        <v>2216</v>
      </c>
      <c r="D3045" s="1363"/>
      <c r="E3045" s="830"/>
      <c r="F3045" s="676" t="s">
        <v>272</v>
      </c>
      <c r="G3045" s="670" t="e">
        <f>$H$2992</f>
        <v>#REF!</v>
      </c>
      <c r="H3045" s="670" t="e">
        <f t="shared" si="750"/>
        <v>#REF!</v>
      </c>
      <c r="I3045" s="670" t="e">
        <f>$J$2992</f>
        <v>#REF!</v>
      </c>
      <c r="J3045" s="670" t="e">
        <f t="shared" si="749"/>
        <v>#REF!</v>
      </c>
      <c r="K3045" s="670" t="e">
        <f>$L$2992</f>
        <v>#REF!</v>
      </c>
      <c r="L3045" s="670" t="e">
        <f>INT(E3045*K3045)</f>
        <v>#REF!</v>
      </c>
      <c r="M3045" s="670" t="e">
        <f t="shared" si="748"/>
        <v>#REF!</v>
      </c>
      <c r="N3045" s="670" t="e">
        <f t="shared" si="748"/>
        <v>#REF!</v>
      </c>
      <c r="O3045" s="671">
        <f>$A$2988</f>
        <v>413</v>
      </c>
      <c r="P3045" s="672"/>
      <c r="Q3045" s="688" t="s">
        <v>1994</v>
      </c>
    </row>
    <row r="3046" spans="1:20" s="688" customFormat="1" ht="17.100000000000001" customHeight="1">
      <c r="A3046" s="1316" t="s">
        <v>1328</v>
      </c>
      <c r="B3046" s="1317"/>
      <c r="C3046" s="1316" t="s">
        <v>1469</v>
      </c>
      <c r="D3046" s="1317"/>
      <c r="E3046" s="830">
        <v>0.05</v>
      </c>
      <c r="F3046" s="676" t="s">
        <v>672</v>
      </c>
      <c r="G3046" s="670">
        <f>SUM(J3039:J3041)</f>
        <v>13495</v>
      </c>
      <c r="H3046" s="670">
        <f t="shared" si="750"/>
        <v>674</v>
      </c>
      <c r="I3046" s="670"/>
      <c r="J3046" s="670"/>
      <c r="K3046" s="670"/>
      <c r="L3046" s="670"/>
      <c r="M3046" s="670">
        <f t="shared" si="748"/>
        <v>13495</v>
      </c>
      <c r="N3046" s="670">
        <f t="shared" si="748"/>
        <v>674</v>
      </c>
      <c r="O3046" s="671"/>
      <c r="P3046" s="672"/>
      <c r="Q3046" s="688" t="s">
        <v>1994</v>
      </c>
    </row>
    <row r="3047" spans="1:20" s="688" customFormat="1" ht="17.100000000000001" customHeight="1">
      <c r="A3047" s="1316" t="s">
        <v>1485</v>
      </c>
      <c r="B3047" s="1317"/>
      <c r="C3047" s="1316" t="s">
        <v>1451</v>
      </c>
      <c r="D3047" s="1317"/>
      <c r="E3047" s="830">
        <v>0.03</v>
      </c>
      <c r="F3047" s="676" t="s">
        <v>672</v>
      </c>
      <c r="G3047" s="670">
        <f>SUM(J3039:J3041)</f>
        <v>13495</v>
      </c>
      <c r="H3047" s="670">
        <f t="shared" si="750"/>
        <v>404</v>
      </c>
      <c r="I3047" s="670"/>
      <c r="J3047" s="670"/>
      <c r="K3047" s="831">
        <f>SUM(J3039:J3041)</f>
        <v>13495</v>
      </c>
      <c r="L3047" s="670">
        <f>INT(E3047*K3047)</f>
        <v>404</v>
      </c>
      <c r="M3047" s="670">
        <f>G3047+I3047+K3047</f>
        <v>26990</v>
      </c>
      <c r="N3047" s="670">
        <f>H3047+J3047+L3047</f>
        <v>808</v>
      </c>
      <c r="O3047" s="671"/>
      <c r="P3047" s="672"/>
      <c r="Q3047" s="688" t="s">
        <v>1994</v>
      </c>
    </row>
    <row r="3048" spans="1:20" s="688" customFormat="1" ht="17.100000000000001" customHeight="1">
      <c r="A3048" s="1316" t="s">
        <v>470</v>
      </c>
      <c r="B3048" s="1317"/>
      <c r="C3048" s="1321" t="s">
        <v>2237</v>
      </c>
      <c r="D3048" s="1317"/>
      <c r="E3048" s="830">
        <v>0.01</v>
      </c>
      <c r="F3048" s="676" t="s">
        <v>1458</v>
      </c>
      <c r="G3048" s="670" t="e">
        <f>$H$2535</f>
        <v>#REF!</v>
      </c>
      <c r="H3048" s="670" t="e">
        <f t="shared" si="750"/>
        <v>#REF!</v>
      </c>
      <c r="I3048" s="670">
        <f>$J$2535</f>
        <v>3736040</v>
      </c>
      <c r="J3048" s="670">
        <f>INT(E3048*I3048)</f>
        <v>37360</v>
      </c>
      <c r="K3048" s="670">
        <f>$L$2535</f>
        <v>57420</v>
      </c>
      <c r="L3048" s="670">
        <f>INT(E3048*K3048)</f>
        <v>574</v>
      </c>
      <c r="M3048" s="670" t="e">
        <f t="shared" si="748"/>
        <v>#REF!</v>
      </c>
      <c r="N3048" s="670" t="e">
        <f>H3048+J3048+L3048</f>
        <v>#REF!</v>
      </c>
      <c r="O3048" s="671">
        <f>$A$2488</f>
        <v>356</v>
      </c>
      <c r="P3048" s="672"/>
      <c r="Q3048" s="688" t="s">
        <v>1994</v>
      </c>
      <c r="T3048" s="690"/>
    </row>
    <row r="3049" spans="1:20" s="688" customFormat="1" ht="17.100000000000001" customHeight="1">
      <c r="A3049" s="1316" t="s">
        <v>2238</v>
      </c>
      <c r="B3049" s="1317"/>
      <c r="C3049" s="1321"/>
      <c r="D3049" s="1317"/>
      <c r="E3049" s="830">
        <v>0.01</v>
      </c>
      <c r="F3049" s="676" t="s">
        <v>1458</v>
      </c>
      <c r="G3049" s="670" t="e">
        <f>$H$630</f>
        <v>#REF!</v>
      </c>
      <c r="H3049" s="670" t="e">
        <f t="shared" si="750"/>
        <v>#REF!</v>
      </c>
      <c r="I3049" s="670">
        <f>$J$630</f>
        <v>1356</v>
      </c>
      <c r="J3049" s="670">
        <f>INT(E3049*I3049)</f>
        <v>13</v>
      </c>
      <c r="K3049" s="670"/>
      <c r="L3049" s="670"/>
      <c r="M3049" s="670" t="e">
        <f t="shared" si="748"/>
        <v>#REF!</v>
      </c>
      <c r="N3049" s="670" t="e">
        <f>H3049+J3049+L3049</f>
        <v>#REF!</v>
      </c>
      <c r="O3049" s="671">
        <f>$A$626</f>
        <v>151</v>
      </c>
      <c r="P3049" s="672"/>
      <c r="Q3049" s="688" t="s">
        <v>1994</v>
      </c>
      <c r="T3049" s="690"/>
    </row>
    <row r="3050" spans="1:20" s="688" customFormat="1" ht="17.100000000000001" customHeight="1">
      <c r="A3050" s="1316" t="s">
        <v>1979</v>
      </c>
      <c r="B3050" s="1317"/>
      <c r="C3050" s="1321" t="s">
        <v>2234</v>
      </c>
      <c r="D3050" s="1317"/>
      <c r="E3050" s="830">
        <v>0.01</v>
      </c>
      <c r="F3050" s="676" t="s">
        <v>1458</v>
      </c>
      <c r="G3050" s="670" t="e">
        <f>$H$1732</f>
        <v>#REF!</v>
      </c>
      <c r="H3050" s="670" t="e">
        <f t="shared" si="750"/>
        <v>#REF!</v>
      </c>
      <c r="I3050" s="670" t="e">
        <f>$J$1732</f>
        <v>#REF!</v>
      </c>
      <c r="J3050" s="670" t="e">
        <f>INT(E3050*I3050)</f>
        <v>#REF!</v>
      </c>
      <c r="K3050" s="670" t="e">
        <f>$L$1732</f>
        <v>#REF!</v>
      </c>
      <c r="L3050" s="670" t="e">
        <f>INT(E3050*K3050)</f>
        <v>#REF!</v>
      </c>
      <c r="M3050" s="670" t="e">
        <f t="shared" si="748"/>
        <v>#REF!</v>
      </c>
      <c r="N3050" s="670" t="e">
        <f>H3050+J3050+L3050</f>
        <v>#REF!</v>
      </c>
      <c r="O3050" s="671">
        <f>$A$1724</f>
        <v>295</v>
      </c>
      <c r="P3050" s="672"/>
      <c r="Q3050" s="688" t="s">
        <v>1994</v>
      </c>
      <c r="T3050" s="690"/>
    </row>
    <row r="3051" spans="1:20" s="688" customFormat="1" ht="17.100000000000001" customHeight="1">
      <c r="A3051" s="1318" t="s">
        <v>1320</v>
      </c>
      <c r="B3051" s="1319"/>
      <c r="C3051" s="1316"/>
      <c r="D3051" s="1317"/>
      <c r="E3051" s="686"/>
      <c r="F3051" s="676"/>
      <c r="G3051" s="670"/>
      <c r="H3051" s="670" t="e">
        <f>SUM(H3034:H3050)</f>
        <v>#REF!</v>
      </c>
      <c r="I3051" s="670"/>
      <c r="J3051" s="670" t="e">
        <f>SUM(J3034:J3050)</f>
        <v>#REF!</v>
      </c>
      <c r="K3051" s="670"/>
      <c r="L3051" s="670" t="e">
        <f>SUM(L3034:L3050)</f>
        <v>#REF!</v>
      </c>
      <c r="M3051" s="670"/>
      <c r="N3051" s="670" t="e">
        <f>SUM(N3034:N3050)</f>
        <v>#REF!</v>
      </c>
      <c r="O3051" s="671"/>
      <c r="P3051" s="672"/>
      <c r="Q3051" s="688" t="s">
        <v>1994</v>
      </c>
      <c r="T3051" s="690"/>
    </row>
    <row r="3052" spans="1:20" s="688" customFormat="1" ht="17.100000000000001" customHeight="1">
      <c r="A3052" s="668">
        <f>A3033+1</f>
        <v>419</v>
      </c>
      <c r="B3052" s="1320" t="s">
        <v>2225</v>
      </c>
      <c r="C3052" s="1320"/>
      <c r="D3052" s="1320" t="s">
        <v>2239</v>
      </c>
      <c r="E3052" s="1320"/>
      <c r="F3052" s="669" t="s">
        <v>645</v>
      </c>
      <c r="G3052" s="698"/>
      <c r="H3052" s="698"/>
      <c r="I3052" s="698"/>
      <c r="J3052" s="698"/>
      <c r="K3052" s="670"/>
      <c r="L3052" s="670"/>
      <c r="M3052" s="670"/>
      <c r="N3052" s="698"/>
      <c r="O3052" s="699" t="s">
        <v>1562</v>
      </c>
      <c r="P3052" s="672"/>
      <c r="Q3052" s="688" t="s">
        <v>1994</v>
      </c>
      <c r="T3052" s="690"/>
    </row>
    <row r="3053" spans="1:20" s="688" customFormat="1" ht="17.100000000000001" customHeight="1">
      <c r="A3053" s="1316" t="s">
        <v>2240</v>
      </c>
      <c r="B3053" s="1317"/>
      <c r="C3053" s="1316" t="s">
        <v>2241</v>
      </c>
      <c r="D3053" s="1317"/>
      <c r="E3053" s="830">
        <v>26</v>
      </c>
      <c r="F3053" s="676" t="s">
        <v>30</v>
      </c>
      <c r="G3053" s="704"/>
      <c r="H3053" s="670"/>
      <c r="I3053" s="706"/>
      <c r="J3053" s="670"/>
      <c r="K3053" s="670"/>
      <c r="L3053" s="670"/>
      <c r="M3053" s="670"/>
      <c r="N3053" s="670"/>
      <c r="O3053" s="671"/>
      <c r="P3053" s="672"/>
      <c r="Q3053" s="688" t="s">
        <v>1994</v>
      </c>
      <c r="T3053" s="690"/>
    </row>
    <row r="3054" spans="1:20" s="688" customFormat="1" ht="17.100000000000001" customHeight="1">
      <c r="A3054" s="1316" t="s">
        <v>2137</v>
      </c>
      <c r="B3054" s="1317"/>
      <c r="C3054" s="1316" t="s">
        <v>1761</v>
      </c>
      <c r="D3054" s="1317"/>
      <c r="E3054" s="830">
        <v>26</v>
      </c>
      <c r="F3054" s="676" t="s">
        <v>30</v>
      </c>
      <c r="G3054" s="670"/>
      <c r="H3054" s="670"/>
      <c r="I3054" s="670"/>
      <c r="J3054" s="670"/>
      <c r="K3054" s="670">
        <f>[53]운반공!$BO$636</f>
        <v>26</v>
      </c>
      <c r="L3054" s="670">
        <f>INT(E3054*K3054)</f>
        <v>676</v>
      </c>
      <c r="M3054" s="670">
        <f t="shared" ref="M3054:N3069" si="751">G3054+I3054+K3054</f>
        <v>26</v>
      </c>
      <c r="N3054" s="670">
        <f t="shared" si="751"/>
        <v>676</v>
      </c>
      <c r="O3054" s="671"/>
      <c r="P3054" s="672"/>
      <c r="Q3054" s="688" t="s">
        <v>1994</v>
      </c>
      <c r="T3054" s="690"/>
    </row>
    <row r="3055" spans="1:20" s="688" customFormat="1" ht="17.100000000000001" customHeight="1">
      <c r="A3055" s="1316" t="s">
        <v>2161</v>
      </c>
      <c r="B3055" s="1317"/>
      <c r="C3055" s="1316" t="s">
        <v>2153</v>
      </c>
      <c r="D3055" s="1317"/>
      <c r="E3055" s="832">
        <v>1.6000000000000001E-3</v>
      </c>
      <c r="F3055" s="676" t="s">
        <v>850</v>
      </c>
      <c r="G3055" s="670" t="e">
        <f>#REF!</f>
        <v>#REF!</v>
      </c>
      <c r="H3055" s="670" t="e">
        <f>INT(E3055*G3055)</f>
        <v>#REF!</v>
      </c>
      <c r="I3055" s="670"/>
      <c r="J3055" s="670"/>
      <c r="K3055" s="670"/>
      <c r="L3055" s="670"/>
      <c r="M3055" s="670" t="e">
        <f t="shared" si="751"/>
        <v>#REF!</v>
      </c>
      <c r="N3055" s="670" t="e">
        <f t="shared" si="751"/>
        <v>#REF!</v>
      </c>
      <c r="O3055" s="671"/>
      <c r="P3055" s="672"/>
      <c r="Q3055" s="688" t="s">
        <v>2221</v>
      </c>
      <c r="T3055" s="690"/>
    </row>
    <row r="3056" spans="1:20" s="688" customFormat="1" ht="17.100000000000001" customHeight="1">
      <c r="A3056" s="1316" t="s">
        <v>2212</v>
      </c>
      <c r="B3056" s="1317"/>
      <c r="C3056" s="1316"/>
      <c r="D3056" s="1317"/>
      <c r="E3056" s="819">
        <v>1</v>
      </c>
      <c r="F3056" s="676" t="s">
        <v>645</v>
      </c>
      <c r="G3056" s="670" t="e">
        <f>$H$2982</f>
        <v>#REF!</v>
      </c>
      <c r="H3056" s="670" t="e">
        <f>INT(E3056*G3056)</f>
        <v>#REF!</v>
      </c>
      <c r="I3056" s="670" t="e">
        <f>$J$2982</f>
        <v>#REF!</v>
      </c>
      <c r="J3056" s="670" t="e">
        <f>INT(E3056*I3056)</f>
        <v>#REF!</v>
      </c>
      <c r="K3056" s="670" t="e">
        <f>$L$2982</f>
        <v>#REF!</v>
      </c>
      <c r="L3056" s="670" t="e">
        <f>INT(E3056*K3056)</f>
        <v>#REF!</v>
      </c>
      <c r="M3056" s="670" t="e">
        <f t="shared" si="751"/>
        <v>#REF!</v>
      </c>
      <c r="N3056" s="670" t="e">
        <f t="shared" si="751"/>
        <v>#REF!</v>
      </c>
      <c r="O3056" s="671">
        <f>$A$2978</f>
        <v>411</v>
      </c>
      <c r="P3056" s="672"/>
      <c r="Q3056" s="688" t="s">
        <v>2221</v>
      </c>
      <c r="T3056" s="690"/>
    </row>
    <row r="3057" spans="1:20" s="688" customFormat="1" ht="17.100000000000001" customHeight="1">
      <c r="A3057" s="1316" t="s">
        <v>821</v>
      </c>
      <c r="B3057" s="1317"/>
      <c r="C3057" s="1316" t="s">
        <v>2154</v>
      </c>
      <c r="D3057" s="1317"/>
      <c r="E3057" s="829">
        <v>3.3000000000000002E-2</v>
      </c>
      <c r="F3057" s="676" t="s">
        <v>850</v>
      </c>
      <c r="G3057" s="670" t="e">
        <f>#REF!</f>
        <v>#REF!</v>
      </c>
      <c r="H3057" s="670" t="e">
        <f>INT(E3057*G3057)</f>
        <v>#REF!</v>
      </c>
      <c r="I3057" s="670"/>
      <c r="J3057" s="670"/>
      <c r="K3057" s="670"/>
      <c r="L3057" s="670"/>
      <c r="M3057" s="670" t="e">
        <f t="shared" si="751"/>
        <v>#REF!</v>
      </c>
      <c r="N3057" s="670" t="e">
        <f t="shared" si="751"/>
        <v>#REF!</v>
      </c>
      <c r="O3057" s="671"/>
      <c r="P3057" s="672"/>
      <c r="Q3057" s="688" t="s">
        <v>2221</v>
      </c>
      <c r="T3057" s="690"/>
    </row>
    <row r="3058" spans="1:20" s="688" customFormat="1" ht="17.100000000000001" customHeight="1">
      <c r="A3058" s="1362" t="s">
        <v>540</v>
      </c>
      <c r="B3058" s="1363"/>
      <c r="C3058" s="1362"/>
      <c r="D3058" s="1363"/>
      <c r="E3058" s="829">
        <v>1.6E-2</v>
      </c>
      <c r="F3058" s="676" t="s">
        <v>366</v>
      </c>
      <c r="G3058" s="670"/>
      <c r="H3058" s="670"/>
      <c r="I3058" s="670">
        <f>[53]노임단가!$T$22</f>
        <v>273308</v>
      </c>
      <c r="J3058" s="670">
        <f t="shared" ref="J3058:J3064" si="752">INT(E3058*I3058)</f>
        <v>4372</v>
      </c>
      <c r="K3058" s="670"/>
      <c r="L3058" s="670"/>
      <c r="M3058" s="670">
        <f t="shared" si="751"/>
        <v>273308</v>
      </c>
      <c r="N3058" s="670">
        <f t="shared" si="751"/>
        <v>4372</v>
      </c>
      <c r="O3058" s="671"/>
      <c r="P3058" s="672"/>
      <c r="T3058" s="690"/>
    </row>
    <row r="3059" spans="1:20" s="688" customFormat="1" ht="17.100000000000001" customHeight="1">
      <c r="A3059" s="1316" t="s">
        <v>628</v>
      </c>
      <c r="B3059" s="1317"/>
      <c r="C3059" s="1316"/>
      <c r="D3059" s="1317"/>
      <c r="E3059" s="829">
        <v>1.6E-2</v>
      </c>
      <c r="F3059" s="676" t="s">
        <v>366</v>
      </c>
      <c r="G3059" s="670"/>
      <c r="H3059" s="670"/>
      <c r="I3059" s="670">
        <f>[53]노임단가!$T$6</f>
        <v>226122</v>
      </c>
      <c r="J3059" s="670">
        <f t="shared" si="752"/>
        <v>3617</v>
      </c>
      <c r="K3059" s="670"/>
      <c r="L3059" s="670"/>
      <c r="M3059" s="670">
        <f t="shared" si="751"/>
        <v>226122</v>
      </c>
      <c r="N3059" s="670">
        <f t="shared" si="751"/>
        <v>3617</v>
      </c>
      <c r="O3059" s="671"/>
      <c r="P3059" s="672"/>
      <c r="T3059" s="690"/>
    </row>
    <row r="3060" spans="1:20" s="688" customFormat="1" ht="17.100000000000001" customHeight="1">
      <c r="A3060" s="1316" t="s">
        <v>248</v>
      </c>
      <c r="B3060" s="1317"/>
      <c r="C3060" s="1316"/>
      <c r="D3060" s="1317"/>
      <c r="E3060" s="829">
        <v>3.2000000000000001E-2</v>
      </c>
      <c r="F3060" s="676" t="s">
        <v>366</v>
      </c>
      <c r="G3060" s="670"/>
      <c r="H3060" s="670"/>
      <c r="I3060" s="670">
        <f>[53]노임단가!$T$5</f>
        <v>172068</v>
      </c>
      <c r="J3060" s="670">
        <f t="shared" si="752"/>
        <v>5506</v>
      </c>
      <c r="K3060" s="670"/>
      <c r="L3060" s="670"/>
      <c r="M3060" s="670">
        <f t="shared" si="751"/>
        <v>172068</v>
      </c>
      <c r="N3060" s="670">
        <f t="shared" si="751"/>
        <v>5506</v>
      </c>
      <c r="O3060" s="671"/>
      <c r="P3060" s="672"/>
      <c r="Q3060" s="688">
        <f>0.05*1*2.32*1.02</f>
        <v>0.11831999999999999</v>
      </c>
      <c r="T3060" s="690"/>
    </row>
    <row r="3061" spans="1:20" s="688" customFormat="1" ht="17.100000000000001" customHeight="1">
      <c r="A3061" s="1316" t="s">
        <v>465</v>
      </c>
      <c r="B3061" s="1317"/>
      <c r="C3061" s="1316" t="s">
        <v>466</v>
      </c>
      <c r="D3061" s="1317"/>
      <c r="E3061" s="829">
        <v>6.4000000000000001E-2</v>
      </c>
      <c r="F3061" s="676" t="s">
        <v>418</v>
      </c>
      <c r="G3061" s="670" t="e">
        <f>#REF!</f>
        <v>#REF!</v>
      </c>
      <c r="H3061" s="750" t="e">
        <f>INT(E3061*G3061)</f>
        <v>#REF!</v>
      </c>
      <c r="I3061" s="670" t="e">
        <f>#REF!</f>
        <v>#REF!</v>
      </c>
      <c r="J3061" s="750" t="e">
        <f t="shared" si="752"/>
        <v>#REF!</v>
      </c>
      <c r="K3061" s="670" t="e">
        <f>#REF!</f>
        <v>#REF!</v>
      </c>
      <c r="L3061" s="750" t="e">
        <f>INT(E3061*K3061)</f>
        <v>#REF!</v>
      </c>
      <c r="M3061" s="670" t="e">
        <f t="shared" si="751"/>
        <v>#REF!</v>
      </c>
      <c r="N3061" s="670" t="e">
        <f t="shared" si="751"/>
        <v>#REF!</v>
      </c>
      <c r="O3061" s="671"/>
      <c r="P3061" s="672"/>
      <c r="Q3061" s="688" t="s">
        <v>2221</v>
      </c>
    </row>
    <row r="3062" spans="1:20" s="688" customFormat="1" ht="17.100000000000001" customHeight="1">
      <c r="A3062" s="1316" t="s">
        <v>409</v>
      </c>
      <c r="B3062" s="1317"/>
      <c r="C3062" s="1316" t="s">
        <v>397</v>
      </c>
      <c r="D3062" s="1317"/>
      <c r="E3062" s="829">
        <v>6.4000000000000001E-2</v>
      </c>
      <c r="F3062" s="676" t="s">
        <v>418</v>
      </c>
      <c r="G3062" s="670" t="e">
        <f>$G$1660</f>
        <v>#REF!</v>
      </c>
      <c r="H3062" s="670" t="e">
        <f t="shared" ref="H3062:H3069" si="753">INT(E3062*G3062)</f>
        <v>#REF!</v>
      </c>
      <c r="I3062" s="670" t="e">
        <f>$I$1660</f>
        <v>#REF!</v>
      </c>
      <c r="J3062" s="670" t="e">
        <f t="shared" si="752"/>
        <v>#REF!</v>
      </c>
      <c r="K3062" s="670" t="e">
        <f>$K$1660</f>
        <v>#REF!</v>
      </c>
      <c r="L3062" s="670" t="e">
        <f>INT(E3062*K3062)</f>
        <v>#REF!</v>
      </c>
      <c r="M3062" s="670" t="e">
        <f t="shared" si="751"/>
        <v>#REF!</v>
      </c>
      <c r="N3062" s="670" t="e">
        <f t="shared" si="751"/>
        <v>#REF!</v>
      </c>
      <c r="O3062" s="671"/>
      <c r="P3062" s="672"/>
      <c r="Q3062" s="688" t="s">
        <v>2221</v>
      </c>
    </row>
    <row r="3063" spans="1:20" s="688" customFormat="1" ht="17.100000000000001" customHeight="1">
      <c r="A3063" s="1362" t="s">
        <v>2228</v>
      </c>
      <c r="B3063" s="1363"/>
      <c r="C3063" s="1362" t="s">
        <v>2215</v>
      </c>
      <c r="D3063" s="1363"/>
      <c r="E3063" s="830"/>
      <c r="F3063" s="676" t="s">
        <v>272</v>
      </c>
      <c r="G3063" s="670" t="e">
        <f>$H$2987</f>
        <v>#REF!</v>
      </c>
      <c r="H3063" s="670" t="e">
        <f t="shared" si="753"/>
        <v>#REF!</v>
      </c>
      <c r="I3063" s="670" t="e">
        <f>$J$2987</f>
        <v>#REF!</v>
      </c>
      <c r="J3063" s="670" t="e">
        <f t="shared" si="752"/>
        <v>#REF!</v>
      </c>
      <c r="K3063" s="670" t="e">
        <f>$L$2987</f>
        <v>#REF!</v>
      </c>
      <c r="L3063" s="670" t="e">
        <f>INT(E3063*K3063)</f>
        <v>#REF!</v>
      </c>
      <c r="M3063" s="670" t="e">
        <f t="shared" si="751"/>
        <v>#REF!</v>
      </c>
      <c r="N3063" s="670" t="e">
        <f t="shared" si="751"/>
        <v>#REF!</v>
      </c>
      <c r="O3063" s="671">
        <f>$A$2983</f>
        <v>412</v>
      </c>
      <c r="P3063" s="672"/>
      <c r="Q3063" s="688" t="s">
        <v>2221</v>
      </c>
    </row>
    <row r="3064" spans="1:20" s="688" customFormat="1" ht="17.100000000000001" customHeight="1">
      <c r="A3064" s="1362" t="s">
        <v>2228</v>
      </c>
      <c r="B3064" s="1363"/>
      <c r="C3064" s="1362" t="s">
        <v>2216</v>
      </c>
      <c r="D3064" s="1363"/>
      <c r="E3064" s="830"/>
      <c r="F3064" s="676" t="s">
        <v>272</v>
      </c>
      <c r="G3064" s="670" t="e">
        <f>$H$2992</f>
        <v>#REF!</v>
      </c>
      <c r="H3064" s="670" t="e">
        <f t="shared" si="753"/>
        <v>#REF!</v>
      </c>
      <c r="I3064" s="670" t="e">
        <f>$J$2992</f>
        <v>#REF!</v>
      </c>
      <c r="J3064" s="670" t="e">
        <f t="shared" si="752"/>
        <v>#REF!</v>
      </c>
      <c r="K3064" s="670" t="e">
        <f>$L$2992</f>
        <v>#REF!</v>
      </c>
      <c r="L3064" s="670" t="e">
        <f>INT(E3064*K3064)</f>
        <v>#REF!</v>
      </c>
      <c r="M3064" s="670" t="e">
        <f t="shared" si="751"/>
        <v>#REF!</v>
      </c>
      <c r="N3064" s="670" t="e">
        <f t="shared" si="751"/>
        <v>#REF!</v>
      </c>
      <c r="O3064" s="671">
        <f>$A$2988</f>
        <v>413</v>
      </c>
      <c r="P3064" s="672"/>
      <c r="Q3064" s="688" t="s">
        <v>2221</v>
      </c>
    </row>
    <row r="3065" spans="1:20" s="688" customFormat="1" ht="17.100000000000001" customHeight="1">
      <c r="A3065" s="1316" t="s">
        <v>1328</v>
      </c>
      <c r="B3065" s="1317"/>
      <c r="C3065" s="1316" t="s">
        <v>1469</v>
      </c>
      <c r="D3065" s="1317"/>
      <c r="E3065" s="830">
        <v>0.05</v>
      </c>
      <c r="F3065" s="676" t="s">
        <v>672</v>
      </c>
      <c r="G3065" s="670">
        <f>SUM(J3058:J3060)</f>
        <v>13495</v>
      </c>
      <c r="H3065" s="670">
        <f t="shared" si="753"/>
        <v>674</v>
      </c>
      <c r="I3065" s="670"/>
      <c r="J3065" s="670"/>
      <c r="K3065" s="670"/>
      <c r="L3065" s="670"/>
      <c r="M3065" s="670">
        <f t="shared" si="751"/>
        <v>13495</v>
      </c>
      <c r="N3065" s="670">
        <f t="shared" si="751"/>
        <v>674</v>
      </c>
      <c r="O3065" s="671"/>
      <c r="P3065" s="672"/>
    </row>
    <row r="3066" spans="1:20" s="688" customFormat="1" ht="17.100000000000001" customHeight="1">
      <c r="A3066" s="1316" t="s">
        <v>1485</v>
      </c>
      <c r="B3066" s="1317"/>
      <c r="C3066" s="1316" t="s">
        <v>1451</v>
      </c>
      <c r="D3066" s="1317"/>
      <c r="E3066" s="830">
        <v>0.03</v>
      </c>
      <c r="F3066" s="676" t="s">
        <v>672</v>
      </c>
      <c r="G3066" s="670"/>
      <c r="H3066" s="670">
        <f t="shared" si="753"/>
        <v>0</v>
      </c>
      <c r="I3066" s="670"/>
      <c r="J3066" s="670"/>
      <c r="K3066" s="831">
        <f>SUM(J3058:J3060)</f>
        <v>13495</v>
      </c>
      <c r="L3066" s="670">
        <f>INT(E3066*K3066)</f>
        <v>404</v>
      </c>
      <c r="M3066" s="670">
        <f>G3066+I3066+K3066</f>
        <v>13495</v>
      </c>
      <c r="N3066" s="670">
        <f>H3066+J3066+L3066</f>
        <v>404</v>
      </c>
      <c r="O3066" s="671"/>
      <c r="P3066" s="672"/>
    </row>
    <row r="3067" spans="1:20" s="688" customFormat="1" ht="17.100000000000001" customHeight="1">
      <c r="A3067" s="1316" t="s">
        <v>470</v>
      </c>
      <c r="B3067" s="1317"/>
      <c r="C3067" s="1321" t="s">
        <v>2237</v>
      </c>
      <c r="D3067" s="1317"/>
      <c r="E3067" s="830">
        <v>0.01</v>
      </c>
      <c r="F3067" s="676" t="s">
        <v>1458</v>
      </c>
      <c r="G3067" s="670" t="e">
        <f>$H$2535</f>
        <v>#REF!</v>
      </c>
      <c r="H3067" s="670" t="e">
        <f t="shared" si="753"/>
        <v>#REF!</v>
      </c>
      <c r="I3067" s="670">
        <f>$J$2535</f>
        <v>3736040</v>
      </c>
      <c r="J3067" s="670">
        <f>INT(E3067*I3067)</f>
        <v>37360</v>
      </c>
      <c r="K3067" s="670">
        <f>$L$2535</f>
        <v>57420</v>
      </c>
      <c r="L3067" s="670">
        <f>INT(E3067*K3067)</f>
        <v>574</v>
      </c>
      <c r="M3067" s="670" t="e">
        <f t="shared" si="751"/>
        <v>#REF!</v>
      </c>
      <c r="N3067" s="670" t="e">
        <f t="shared" si="751"/>
        <v>#REF!</v>
      </c>
      <c r="O3067" s="671">
        <f>$A$2488</f>
        <v>356</v>
      </c>
      <c r="P3067" s="672"/>
      <c r="Q3067" s="688" t="s">
        <v>2221</v>
      </c>
    </row>
    <row r="3068" spans="1:20" s="688" customFormat="1" ht="17.100000000000001" customHeight="1">
      <c r="A3068" s="1316" t="s">
        <v>2242</v>
      </c>
      <c r="B3068" s="1317"/>
      <c r="C3068" s="1321"/>
      <c r="D3068" s="1317"/>
      <c r="E3068" s="830">
        <v>0.01</v>
      </c>
      <c r="F3068" s="676" t="s">
        <v>1458</v>
      </c>
      <c r="G3068" s="670" t="e">
        <f>$H$630</f>
        <v>#REF!</v>
      </c>
      <c r="H3068" s="670" t="e">
        <f t="shared" si="753"/>
        <v>#REF!</v>
      </c>
      <c r="I3068" s="670">
        <f>$J$630</f>
        <v>1356</v>
      </c>
      <c r="J3068" s="670">
        <f>INT(E3068*I3068)</f>
        <v>13</v>
      </c>
      <c r="K3068" s="670"/>
      <c r="L3068" s="670"/>
      <c r="M3068" s="670" t="e">
        <f t="shared" si="751"/>
        <v>#REF!</v>
      </c>
      <c r="N3068" s="670" t="e">
        <f t="shared" si="751"/>
        <v>#REF!</v>
      </c>
      <c r="O3068" s="671">
        <f>$A$626</f>
        <v>151</v>
      </c>
      <c r="P3068" s="672"/>
      <c r="Q3068" s="688" t="s">
        <v>2221</v>
      </c>
    </row>
    <row r="3069" spans="1:20" s="688" customFormat="1" ht="17.100000000000001" customHeight="1">
      <c r="A3069" s="1316" t="s">
        <v>1979</v>
      </c>
      <c r="B3069" s="1317"/>
      <c r="C3069" s="1321" t="s">
        <v>2234</v>
      </c>
      <c r="D3069" s="1317"/>
      <c r="E3069" s="830">
        <v>0.01</v>
      </c>
      <c r="F3069" s="676" t="s">
        <v>1458</v>
      </c>
      <c r="G3069" s="670" t="e">
        <f>$H$1732</f>
        <v>#REF!</v>
      </c>
      <c r="H3069" s="670" t="e">
        <f t="shared" si="753"/>
        <v>#REF!</v>
      </c>
      <c r="I3069" s="670" t="e">
        <f>$J$1732</f>
        <v>#REF!</v>
      </c>
      <c r="J3069" s="670" t="e">
        <f>INT(E3069*I3069)</f>
        <v>#REF!</v>
      </c>
      <c r="K3069" s="670" t="e">
        <f>$L$1732</f>
        <v>#REF!</v>
      </c>
      <c r="L3069" s="670" t="e">
        <f>INT(E3069*K3069)</f>
        <v>#REF!</v>
      </c>
      <c r="M3069" s="670" t="e">
        <f t="shared" si="751"/>
        <v>#REF!</v>
      </c>
      <c r="N3069" s="670" t="e">
        <f t="shared" si="751"/>
        <v>#REF!</v>
      </c>
      <c r="O3069" s="671">
        <f>$A$1724</f>
        <v>295</v>
      </c>
      <c r="P3069" s="672"/>
    </row>
    <row r="3070" spans="1:20" s="688" customFormat="1" ht="17.100000000000001" customHeight="1">
      <c r="A3070" s="1318" t="s">
        <v>1320</v>
      </c>
      <c r="B3070" s="1319"/>
      <c r="C3070" s="1316"/>
      <c r="D3070" s="1317"/>
      <c r="E3070" s="686"/>
      <c r="F3070" s="676"/>
      <c r="G3070" s="670"/>
      <c r="H3070" s="670" t="e">
        <f>SUM(H3053:H3069)</f>
        <v>#REF!</v>
      </c>
      <c r="I3070" s="670"/>
      <c r="J3070" s="670" t="e">
        <f>SUM(J3053:J3069)</f>
        <v>#REF!</v>
      </c>
      <c r="K3070" s="670"/>
      <c r="L3070" s="670" t="e">
        <f>SUM(L3053:L3069)</f>
        <v>#REF!</v>
      </c>
      <c r="M3070" s="670"/>
      <c r="N3070" s="670" t="e">
        <f>SUM(N3053:N3069)</f>
        <v>#REF!</v>
      </c>
      <c r="O3070" s="671"/>
      <c r="P3070" s="672"/>
      <c r="Q3070" s="828" t="s">
        <v>2243</v>
      </c>
    </row>
    <row r="3071" spans="1:20" s="688" customFormat="1" ht="17.100000000000001" customHeight="1">
      <c r="A3071" s="668">
        <f>A3052+1</f>
        <v>420</v>
      </c>
      <c r="B3071" s="1320" t="s">
        <v>2225</v>
      </c>
      <c r="C3071" s="1320"/>
      <c r="D3071" s="1320" t="s">
        <v>2244</v>
      </c>
      <c r="E3071" s="1320"/>
      <c r="F3071" s="669" t="s">
        <v>645</v>
      </c>
      <c r="G3071" s="698"/>
      <c r="H3071" s="698"/>
      <c r="I3071" s="698"/>
      <c r="J3071" s="698"/>
      <c r="K3071" s="670"/>
      <c r="L3071" s="670"/>
      <c r="M3071" s="670"/>
      <c r="N3071" s="698"/>
      <c r="O3071" s="699" t="s">
        <v>1562</v>
      </c>
      <c r="P3071" s="672"/>
      <c r="Q3071" s="828"/>
    </row>
    <row r="3072" spans="1:20" s="688" customFormat="1" ht="17.100000000000001" customHeight="1">
      <c r="A3072" s="1316" t="s">
        <v>2240</v>
      </c>
      <c r="B3072" s="1317"/>
      <c r="C3072" s="1316" t="s">
        <v>2241</v>
      </c>
      <c r="D3072" s="1317"/>
      <c r="E3072" s="830">
        <v>26</v>
      </c>
      <c r="F3072" s="676" t="s">
        <v>30</v>
      </c>
      <c r="G3072" s="670"/>
      <c r="H3072" s="670"/>
      <c r="I3072" s="670"/>
      <c r="J3072" s="670"/>
      <c r="K3072" s="670"/>
      <c r="L3072" s="670"/>
      <c r="M3072" s="670"/>
      <c r="N3072" s="670"/>
      <c r="O3072" s="671"/>
      <c r="P3072" s="672"/>
      <c r="Q3072" s="828"/>
    </row>
    <row r="3073" spans="1:20" s="688" customFormat="1" ht="17.100000000000001" customHeight="1">
      <c r="A3073" s="1316" t="s">
        <v>2137</v>
      </c>
      <c r="B3073" s="1317"/>
      <c r="C3073" s="1316" t="s">
        <v>1761</v>
      </c>
      <c r="D3073" s="1317"/>
      <c r="E3073" s="830">
        <v>26</v>
      </c>
      <c r="F3073" s="676" t="s">
        <v>30</v>
      </c>
      <c r="G3073" s="670"/>
      <c r="H3073" s="670"/>
      <c r="I3073" s="670"/>
      <c r="J3073" s="670"/>
      <c r="K3073" s="670">
        <f>[53]운반공!$BO$636</f>
        <v>26</v>
      </c>
      <c r="L3073" s="670">
        <f>INT(E3073*K3073)</f>
        <v>676</v>
      </c>
      <c r="M3073" s="670">
        <f t="shared" ref="M3073:N3088" si="754">G3073+I3073+K3073</f>
        <v>26</v>
      </c>
      <c r="N3073" s="670">
        <f t="shared" si="754"/>
        <v>676</v>
      </c>
      <c r="O3073" s="671"/>
      <c r="P3073" s="672"/>
      <c r="Q3073" s="828"/>
    </row>
    <row r="3074" spans="1:20" s="688" customFormat="1" ht="17.100000000000001" customHeight="1">
      <c r="A3074" s="1316" t="s">
        <v>2161</v>
      </c>
      <c r="B3074" s="1317"/>
      <c r="C3074" s="1316" t="s">
        <v>2153</v>
      </c>
      <c r="D3074" s="1317"/>
      <c r="E3074" s="832">
        <v>1.6000000000000001E-3</v>
      </c>
      <c r="F3074" s="676" t="s">
        <v>850</v>
      </c>
      <c r="G3074" s="670" t="e">
        <f>#REF!</f>
        <v>#REF!</v>
      </c>
      <c r="H3074" s="670" t="e">
        <f>INT(E3074*G3074)</f>
        <v>#REF!</v>
      </c>
      <c r="I3074" s="670"/>
      <c r="J3074" s="670"/>
      <c r="K3074" s="670"/>
      <c r="L3074" s="670"/>
      <c r="M3074" s="670" t="e">
        <f t="shared" si="754"/>
        <v>#REF!</v>
      </c>
      <c r="N3074" s="670" t="e">
        <f t="shared" si="754"/>
        <v>#REF!</v>
      </c>
      <c r="O3074" s="671"/>
      <c r="P3074" s="672" t="s">
        <v>1994</v>
      </c>
      <c r="Q3074" s="828" t="s">
        <v>2245</v>
      </c>
    </row>
    <row r="3075" spans="1:20" s="688" customFormat="1" ht="17.100000000000001" customHeight="1">
      <c r="A3075" s="1316" t="s">
        <v>2212</v>
      </c>
      <c r="B3075" s="1317"/>
      <c r="C3075" s="1316"/>
      <c r="D3075" s="1317"/>
      <c r="E3075" s="819">
        <v>1</v>
      </c>
      <c r="F3075" s="676" t="s">
        <v>645</v>
      </c>
      <c r="G3075" s="670" t="e">
        <f>$H$2982</f>
        <v>#REF!</v>
      </c>
      <c r="H3075" s="670" t="e">
        <f>INT(E3075*G3075)</f>
        <v>#REF!</v>
      </c>
      <c r="I3075" s="670" t="e">
        <f>$J$2982</f>
        <v>#REF!</v>
      </c>
      <c r="J3075" s="670" t="e">
        <f>INT(E3075*I3075)</f>
        <v>#REF!</v>
      </c>
      <c r="K3075" s="670" t="e">
        <f>$L$2982</f>
        <v>#REF!</v>
      </c>
      <c r="L3075" s="670" t="e">
        <f>INT(E3075*K3075)</f>
        <v>#REF!</v>
      </c>
      <c r="M3075" s="670" t="e">
        <f t="shared" si="754"/>
        <v>#REF!</v>
      </c>
      <c r="N3075" s="670" t="e">
        <f>H3075+J3075+L3075</f>
        <v>#REF!</v>
      </c>
      <c r="O3075" s="671">
        <f>$A$2978</f>
        <v>411</v>
      </c>
      <c r="P3075" s="672" t="s">
        <v>1994</v>
      </c>
      <c r="Q3075" s="828"/>
    </row>
    <row r="3076" spans="1:20" s="688" customFormat="1" ht="17.100000000000001" customHeight="1">
      <c r="A3076" s="1316" t="s">
        <v>2236</v>
      </c>
      <c r="B3076" s="1317"/>
      <c r="C3076" s="1321" t="s">
        <v>2224</v>
      </c>
      <c r="D3076" s="1317"/>
      <c r="E3076" s="829">
        <v>0.04</v>
      </c>
      <c r="F3076" s="676" t="s">
        <v>850</v>
      </c>
      <c r="G3076" s="670" t="e">
        <f>$H$484</f>
        <v>#REF!</v>
      </c>
      <c r="H3076" s="670" t="e">
        <f>INT(E3076*G3076)</f>
        <v>#REF!</v>
      </c>
      <c r="I3076" s="670"/>
      <c r="J3076" s="670"/>
      <c r="K3076" s="670"/>
      <c r="L3076" s="670"/>
      <c r="M3076" s="670" t="e">
        <f t="shared" si="754"/>
        <v>#REF!</v>
      </c>
      <c r="N3076" s="670" t="e">
        <f t="shared" si="754"/>
        <v>#REF!</v>
      </c>
      <c r="O3076" s="671">
        <f>$A$479</f>
        <v>130</v>
      </c>
      <c r="P3076" s="672"/>
      <c r="Q3076" s="828"/>
    </row>
    <row r="3077" spans="1:20" s="688" customFormat="1" ht="17.100000000000001" customHeight="1">
      <c r="A3077" s="1362" t="s">
        <v>540</v>
      </c>
      <c r="B3077" s="1363"/>
      <c r="C3077" s="1362"/>
      <c r="D3077" s="1363"/>
      <c r="E3077" s="829">
        <v>1.6E-2</v>
      </c>
      <c r="F3077" s="676" t="s">
        <v>366</v>
      </c>
      <c r="G3077" s="670"/>
      <c r="H3077" s="670"/>
      <c r="I3077" s="670">
        <f>[53]노임단가!$T$22</f>
        <v>273308</v>
      </c>
      <c r="J3077" s="670">
        <f t="shared" ref="J3077:J3083" si="755">INT(E3077*I3077)</f>
        <v>4372</v>
      </c>
      <c r="K3077" s="670"/>
      <c r="L3077" s="670"/>
      <c r="M3077" s="670">
        <f t="shared" si="754"/>
        <v>273308</v>
      </c>
      <c r="N3077" s="670">
        <f t="shared" si="754"/>
        <v>4372</v>
      </c>
      <c r="O3077" s="671"/>
      <c r="P3077" s="672"/>
      <c r="Q3077" s="828"/>
    </row>
    <row r="3078" spans="1:20" s="688" customFormat="1" ht="17.100000000000001" customHeight="1">
      <c r="A3078" s="1316" t="s">
        <v>628</v>
      </c>
      <c r="B3078" s="1317"/>
      <c r="C3078" s="1316"/>
      <c r="D3078" s="1317"/>
      <c r="E3078" s="829">
        <v>1.6E-2</v>
      </c>
      <c r="F3078" s="676" t="s">
        <v>366</v>
      </c>
      <c r="G3078" s="670"/>
      <c r="H3078" s="670"/>
      <c r="I3078" s="670">
        <f>[53]노임단가!$T$6</f>
        <v>226122</v>
      </c>
      <c r="J3078" s="670">
        <f t="shared" si="755"/>
        <v>3617</v>
      </c>
      <c r="K3078" s="670"/>
      <c r="L3078" s="670"/>
      <c r="M3078" s="670">
        <f t="shared" si="754"/>
        <v>226122</v>
      </c>
      <c r="N3078" s="670">
        <f t="shared" si="754"/>
        <v>3617</v>
      </c>
      <c r="O3078" s="671"/>
      <c r="P3078" s="672"/>
      <c r="Q3078" s="828"/>
    </row>
    <row r="3079" spans="1:20" s="688" customFormat="1" ht="17.100000000000001" customHeight="1">
      <c r="A3079" s="1316" t="s">
        <v>248</v>
      </c>
      <c r="B3079" s="1317"/>
      <c r="C3079" s="1316"/>
      <c r="D3079" s="1317"/>
      <c r="E3079" s="829">
        <v>3.2000000000000001E-2</v>
      </c>
      <c r="F3079" s="676" t="s">
        <v>366</v>
      </c>
      <c r="G3079" s="670"/>
      <c r="H3079" s="670"/>
      <c r="I3079" s="670">
        <f>[53]노임단가!$T$5</f>
        <v>172068</v>
      </c>
      <c r="J3079" s="670">
        <f t="shared" si="755"/>
        <v>5506</v>
      </c>
      <c r="K3079" s="670"/>
      <c r="L3079" s="670"/>
      <c r="M3079" s="670">
        <f t="shared" si="754"/>
        <v>172068</v>
      </c>
      <c r="N3079" s="670">
        <f t="shared" si="754"/>
        <v>5506</v>
      </c>
      <c r="O3079" s="671"/>
      <c r="P3079" s="672" t="s">
        <v>936</v>
      </c>
      <c r="Q3079" s="828"/>
    </row>
    <row r="3080" spans="1:20" s="688" customFormat="1" ht="17.100000000000001" customHeight="1">
      <c r="A3080" s="1316" t="s">
        <v>465</v>
      </c>
      <c r="B3080" s="1317"/>
      <c r="C3080" s="1316" t="s">
        <v>466</v>
      </c>
      <c r="D3080" s="1317"/>
      <c r="E3080" s="829">
        <v>6.4000000000000001E-2</v>
      </c>
      <c r="F3080" s="676" t="s">
        <v>418</v>
      </c>
      <c r="G3080" s="670" t="e">
        <f>#REF!</f>
        <v>#REF!</v>
      </c>
      <c r="H3080" s="750" t="e">
        <f>INT(E3080*G3080)</f>
        <v>#REF!</v>
      </c>
      <c r="I3080" s="670" t="e">
        <f>#REF!</f>
        <v>#REF!</v>
      </c>
      <c r="J3080" s="750" t="e">
        <f t="shared" si="755"/>
        <v>#REF!</v>
      </c>
      <c r="K3080" s="670" t="e">
        <f>#REF!</f>
        <v>#REF!</v>
      </c>
      <c r="L3080" s="750" t="e">
        <f>INT(E3080*K3080)</f>
        <v>#REF!</v>
      </c>
      <c r="M3080" s="670" t="e">
        <f t="shared" si="754"/>
        <v>#REF!</v>
      </c>
      <c r="N3080" s="670" t="e">
        <f t="shared" si="754"/>
        <v>#REF!</v>
      </c>
      <c r="O3080" s="671"/>
      <c r="P3080" s="672"/>
      <c r="Q3080" s="828" t="s">
        <v>2246</v>
      </c>
    </row>
    <row r="3081" spans="1:20" s="688" customFormat="1" ht="17.100000000000001" customHeight="1">
      <c r="A3081" s="1316" t="s">
        <v>409</v>
      </c>
      <c r="B3081" s="1317"/>
      <c r="C3081" s="1316" t="s">
        <v>397</v>
      </c>
      <c r="D3081" s="1317"/>
      <c r="E3081" s="829">
        <v>6.4000000000000001E-2</v>
      </c>
      <c r="F3081" s="676" t="s">
        <v>418</v>
      </c>
      <c r="G3081" s="670" t="e">
        <f>$G$1660</f>
        <v>#REF!</v>
      </c>
      <c r="H3081" s="670" t="e">
        <f t="shared" ref="H3081:H3088" si="756">INT(E3081*G3081)</f>
        <v>#REF!</v>
      </c>
      <c r="I3081" s="670" t="e">
        <f>$I$1660</f>
        <v>#REF!</v>
      </c>
      <c r="J3081" s="670" t="e">
        <f t="shared" si="755"/>
        <v>#REF!</v>
      </c>
      <c r="K3081" s="670" t="e">
        <f>$K$1660</f>
        <v>#REF!</v>
      </c>
      <c r="L3081" s="670" t="e">
        <f>INT(E3081*K3081)</f>
        <v>#REF!</v>
      </c>
      <c r="M3081" s="670" t="e">
        <f t="shared" si="754"/>
        <v>#REF!</v>
      </c>
      <c r="N3081" s="670" t="e">
        <f t="shared" si="754"/>
        <v>#REF!</v>
      </c>
      <c r="O3081" s="671"/>
      <c r="P3081" s="672"/>
      <c r="Q3081" s="828" t="s">
        <v>1446</v>
      </c>
      <c r="R3081" s="688" t="s">
        <v>1876</v>
      </c>
      <c r="S3081" s="688" t="s">
        <v>1425</v>
      </c>
      <c r="T3081" s="688" t="s">
        <v>1426</v>
      </c>
    </row>
    <row r="3082" spans="1:20" s="688" customFormat="1" ht="17.100000000000001" customHeight="1">
      <c r="A3082" s="1362" t="s">
        <v>2228</v>
      </c>
      <c r="B3082" s="1363"/>
      <c r="C3082" s="1362" t="s">
        <v>2215</v>
      </c>
      <c r="D3082" s="1363"/>
      <c r="E3082" s="830"/>
      <c r="F3082" s="676" t="s">
        <v>272</v>
      </c>
      <c r="G3082" s="670" t="e">
        <f>$H$2987</f>
        <v>#REF!</v>
      </c>
      <c r="H3082" s="670" t="e">
        <f t="shared" si="756"/>
        <v>#REF!</v>
      </c>
      <c r="I3082" s="670" t="e">
        <f>$J$2987</f>
        <v>#REF!</v>
      </c>
      <c r="J3082" s="670" t="e">
        <f t="shared" si="755"/>
        <v>#REF!</v>
      </c>
      <c r="K3082" s="670" t="e">
        <f>$L$2987</f>
        <v>#REF!</v>
      </c>
      <c r="L3082" s="670" t="e">
        <f>INT(E3082*K3082)</f>
        <v>#REF!</v>
      </c>
      <c r="M3082" s="670" t="e">
        <f t="shared" si="754"/>
        <v>#REF!</v>
      </c>
      <c r="N3082" s="670" t="e">
        <f t="shared" si="754"/>
        <v>#REF!</v>
      </c>
      <c r="O3082" s="671">
        <f>$A$2983</f>
        <v>412</v>
      </c>
      <c r="P3082" s="672"/>
      <c r="Q3082" s="828">
        <v>35</v>
      </c>
      <c r="R3082" s="688">
        <f>(Q3082)</f>
        <v>35</v>
      </c>
      <c r="T3082" s="690">
        <f t="shared" ref="T3082:T3092" si="757">ROUND(S3082/R3082,4)</f>
        <v>0</v>
      </c>
    </row>
    <row r="3083" spans="1:20" s="688" customFormat="1" ht="17.100000000000001" customHeight="1">
      <c r="A3083" s="1362" t="s">
        <v>2228</v>
      </c>
      <c r="B3083" s="1363"/>
      <c r="C3083" s="1362" t="s">
        <v>2216</v>
      </c>
      <c r="D3083" s="1363"/>
      <c r="E3083" s="830"/>
      <c r="F3083" s="676" t="s">
        <v>272</v>
      </c>
      <c r="G3083" s="670" t="e">
        <f>$H$2992</f>
        <v>#REF!</v>
      </c>
      <c r="H3083" s="670" t="e">
        <f t="shared" si="756"/>
        <v>#REF!</v>
      </c>
      <c r="I3083" s="670" t="e">
        <f>$J$2992</f>
        <v>#REF!</v>
      </c>
      <c r="J3083" s="670" t="e">
        <f t="shared" si="755"/>
        <v>#REF!</v>
      </c>
      <c r="K3083" s="670" t="e">
        <f>$L$2992</f>
        <v>#REF!</v>
      </c>
      <c r="L3083" s="670" t="e">
        <f>INT(E3083*K3083)</f>
        <v>#REF!</v>
      </c>
      <c r="M3083" s="670" t="e">
        <f t="shared" si="754"/>
        <v>#REF!</v>
      </c>
      <c r="N3083" s="670" t="e">
        <f t="shared" si="754"/>
        <v>#REF!</v>
      </c>
      <c r="O3083" s="671">
        <f>$A$2988</f>
        <v>413</v>
      </c>
      <c r="P3083" s="672"/>
      <c r="Q3083" s="828">
        <f t="shared" ref="Q3083:R3092" si="758">Q3082</f>
        <v>35</v>
      </c>
      <c r="R3083" s="688">
        <f t="shared" si="758"/>
        <v>35</v>
      </c>
      <c r="T3083" s="690">
        <f t="shared" si="757"/>
        <v>0</v>
      </c>
    </row>
    <row r="3084" spans="1:20" s="688" customFormat="1" ht="17.100000000000001" customHeight="1">
      <c r="A3084" s="1316" t="s">
        <v>1328</v>
      </c>
      <c r="B3084" s="1317"/>
      <c r="C3084" s="1316" t="s">
        <v>1469</v>
      </c>
      <c r="D3084" s="1317"/>
      <c r="E3084" s="830">
        <v>0.05</v>
      </c>
      <c r="F3084" s="676" t="s">
        <v>672</v>
      </c>
      <c r="G3084" s="670">
        <f>SUM(J3077:J3079)</f>
        <v>13495</v>
      </c>
      <c r="H3084" s="670">
        <f t="shared" si="756"/>
        <v>674</v>
      </c>
      <c r="I3084" s="670"/>
      <c r="J3084" s="670"/>
      <c r="K3084" s="670"/>
      <c r="L3084" s="670"/>
      <c r="M3084" s="670">
        <f t="shared" si="754"/>
        <v>13495</v>
      </c>
      <c r="N3084" s="670">
        <f t="shared" si="754"/>
        <v>674</v>
      </c>
      <c r="O3084" s="671"/>
      <c r="P3084" s="672"/>
      <c r="Q3084" s="828">
        <f t="shared" si="758"/>
        <v>35</v>
      </c>
      <c r="R3084" s="688">
        <f t="shared" si="758"/>
        <v>35</v>
      </c>
      <c r="T3084" s="690">
        <f t="shared" si="757"/>
        <v>0</v>
      </c>
    </row>
    <row r="3085" spans="1:20" s="688" customFormat="1" ht="17.100000000000001" customHeight="1">
      <c r="A3085" s="1316" t="s">
        <v>1485</v>
      </c>
      <c r="B3085" s="1317"/>
      <c r="C3085" s="1316" t="s">
        <v>1451</v>
      </c>
      <c r="D3085" s="1317"/>
      <c r="E3085" s="830">
        <v>0.03</v>
      </c>
      <c r="F3085" s="676" t="s">
        <v>672</v>
      </c>
      <c r="G3085" s="670"/>
      <c r="H3085" s="670">
        <f t="shared" si="756"/>
        <v>0</v>
      </c>
      <c r="I3085" s="670"/>
      <c r="J3085" s="670"/>
      <c r="K3085" s="831">
        <f>SUM(J3077:J3079)</f>
        <v>13495</v>
      </c>
      <c r="L3085" s="670">
        <f>INT(E3085*K3085)</f>
        <v>404</v>
      </c>
      <c r="M3085" s="670">
        <f>G3085+I3085+K3085</f>
        <v>13495</v>
      </c>
      <c r="N3085" s="670">
        <f>H3085+J3085+L3085</f>
        <v>404</v>
      </c>
      <c r="O3085" s="671"/>
      <c r="P3085" s="672"/>
      <c r="Q3085" s="828">
        <f t="shared" si="758"/>
        <v>35</v>
      </c>
      <c r="R3085" s="688">
        <f t="shared" si="758"/>
        <v>35</v>
      </c>
      <c r="S3085" s="688">
        <v>2</v>
      </c>
      <c r="T3085" s="690">
        <f t="shared" si="757"/>
        <v>5.7099999999999998E-2</v>
      </c>
    </row>
    <row r="3086" spans="1:20" s="688" customFormat="1" ht="17.100000000000001" customHeight="1">
      <c r="A3086" s="1316" t="s">
        <v>470</v>
      </c>
      <c r="B3086" s="1317"/>
      <c r="C3086" s="1321" t="s">
        <v>2237</v>
      </c>
      <c r="D3086" s="1317"/>
      <c r="E3086" s="830">
        <v>0.01</v>
      </c>
      <c r="F3086" s="676" t="s">
        <v>1458</v>
      </c>
      <c r="G3086" s="670" t="e">
        <f>$H$2494</f>
        <v>#REF!</v>
      </c>
      <c r="H3086" s="670" t="e">
        <f t="shared" si="756"/>
        <v>#REF!</v>
      </c>
      <c r="I3086" s="670">
        <f>$J$2494</f>
        <v>287473</v>
      </c>
      <c r="J3086" s="670">
        <f>INT(E3086*I3086)</f>
        <v>2874</v>
      </c>
      <c r="K3086" s="670">
        <f>$L$2494</f>
        <v>8624</v>
      </c>
      <c r="L3086" s="670">
        <f>INT(E3086*K3086)</f>
        <v>86</v>
      </c>
      <c r="M3086" s="670" t="e">
        <f t="shared" si="754"/>
        <v>#REF!</v>
      </c>
      <c r="N3086" s="670" t="e">
        <f t="shared" si="754"/>
        <v>#REF!</v>
      </c>
      <c r="O3086" s="671">
        <f>$A$2488</f>
        <v>356</v>
      </c>
      <c r="P3086" s="672"/>
      <c r="Q3086" s="828">
        <f t="shared" si="758"/>
        <v>35</v>
      </c>
      <c r="R3086" s="688">
        <f t="shared" si="758"/>
        <v>35</v>
      </c>
      <c r="S3086" s="688">
        <v>1</v>
      </c>
      <c r="T3086" s="690">
        <f t="shared" si="757"/>
        <v>2.86E-2</v>
      </c>
    </row>
    <row r="3087" spans="1:20" s="688" customFormat="1" ht="17.100000000000001" customHeight="1">
      <c r="A3087" s="1316" t="s">
        <v>2242</v>
      </c>
      <c r="B3087" s="1317"/>
      <c r="C3087" s="1321"/>
      <c r="D3087" s="1317"/>
      <c r="E3087" s="830">
        <v>0.01</v>
      </c>
      <c r="F3087" s="676" t="s">
        <v>1458</v>
      </c>
      <c r="G3087" s="670" t="e">
        <f>$H$630</f>
        <v>#REF!</v>
      </c>
      <c r="H3087" s="670" t="e">
        <f t="shared" si="756"/>
        <v>#REF!</v>
      </c>
      <c r="I3087" s="670">
        <f>$J$630</f>
        <v>1356</v>
      </c>
      <c r="J3087" s="670">
        <f>INT(E3087*I3087)</f>
        <v>13</v>
      </c>
      <c r="K3087" s="670"/>
      <c r="L3087" s="670"/>
      <c r="M3087" s="670" t="e">
        <f t="shared" si="754"/>
        <v>#REF!</v>
      </c>
      <c r="N3087" s="670" t="e">
        <f t="shared" si="754"/>
        <v>#REF!</v>
      </c>
      <c r="O3087" s="671">
        <f>$A$626</f>
        <v>151</v>
      </c>
      <c r="P3087" s="672"/>
      <c r="Q3087" s="828">
        <f t="shared" si="758"/>
        <v>35</v>
      </c>
      <c r="R3087" s="688">
        <f t="shared" si="758"/>
        <v>35</v>
      </c>
      <c r="S3087" s="688">
        <v>1</v>
      </c>
      <c r="T3087" s="690">
        <f t="shared" si="757"/>
        <v>2.86E-2</v>
      </c>
    </row>
    <row r="3088" spans="1:20" s="688" customFormat="1" ht="17.100000000000001" customHeight="1">
      <c r="A3088" s="1316" t="s">
        <v>1979</v>
      </c>
      <c r="B3088" s="1317"/>
      <c r="C3088" s="1321" t="s">
        <v>2234</v>
      </c>
      <c r="D3088" s="1317"/>
      <c r="E3088" s="830">
        <v>0.01</v>
      </c>
      <c r="F3088" s="676" t="s">
        <v>1458</v>
      </c>
      <c r="G3088" s="670" t="e">
        <f>$H$1732</f>
        <v>#REF!</v>
      </c>
      <c r="H3088" s="670" t="e">
        <f t="shared" si="756"/>
        <v>#REF!</v>
      </c>
      <c r="I3088" s="670" t="e">
        <f>$J$1732</f>
        <v>#REF!</v>
      </c>
      <c r="J3088" s="670" t="e">
        <f>INT(E3088*I3088)</f>
        <v>#REF!</v>
      </c>
      <c r="K3088" s="670" t="e">
        <f>$L$1732</f>
        <v>#REF!</v>
      </c>
      <c r="L3088" s="670" t="e">
        <f>INT(E3088*K3088)</f>
        <v>#REF!</v>
      </c>
      <c r="M3088" s="670" t="e">
        <f t="shared" si="754"/>
        <v>#REF!</v>
      </c>
      <c r="N3088" s="670" t="e">
        <f t="shared" si="754"/>
        <v>#REF!</v>
      </c>
      <c r="O3088" s="671">
        <f>$A$1724</f>
        <v>295</v>
      </c>
      <c r="P3088" s="672"/>
      <c r="Q3088" s="828">
        <f t="shared" si="758"/>
        <v>35</v>
      </c>
      <c r="R3088" s="688">
        <f t="shared" si="758"/>
        <v>35</v>
      </c>
      <c r="S3088" s="688">
        <v>2</v>
      </c>
      <c r="T3088" s="690">
        <f t="shared" si="757"/>
        <v>5.7099999999999998E-2</v>
      </c>
    </row>
    <row r="3089" spans="1:20" s="688" customFormat="1" ht="17.100000000000001" customHeight="1">
      <c r="A3089" s="1318" t="s">
        <v>1320</v>
      </c>
      <c r="B3089" s="1319"/>
      <c r="C3089" s="1316"/>
      <c r="D3089" s="1317"/>
      <c r="E3089" s="686"/>
      <c r="F3089" s="676"/>
      <c r="G3089" s="670"/>
      <c r="H3089" s="670" t="e">
        <f>SUM(H3072:H3088)</f>
        <v>#REF!</v>
      </c>
      <c r="I3089" s="670"/>
      <c r="J3089" s="670" t="e">
        <f>SUM(J3072:J3088)</f>
        <v>#REF!</v>
      </c>
      <c r="K3089" s="670"/>
      <c r="L3089" s="670" t="e">
        <f>SUM(L3072:L3088)</f>
        <v>#REF!</v>
      </c>
      <c r="M3089" s="670"/>
      <c r="N3089" s="670" t="e">
        <f>SUM(N3072:N3088)</f>
        <v>#REF!</v>
      </c>
      <c r="O3089" s="671"/>
      <c r="P3089" s="672"/>
      <c r="Q3089" s="828">
        <f t="shared" si="758"/>
        <v>35</v>
      </c>
      <c r="R3089" s="688">
        <f t="shared" si="758"/>
        <v>35</v>
      </c>
      <c r="S3089" s="688">
        <v>8</v>
      </c>
      <c r="T3089" s="690">
        <f t="shared" si="757"/>
        <v>0.2286</v>
      </c>
    </row>
    <row r="3090" spans="1:20" s="688" customFormat="1" ht="17.100000000000001" customHeight="1">
      <c r="A3090" s="668">
        <f>A3071+1</f>
        <v>421</v>
      </c>
      <c r="B3090" s="1320" t="s">
        <v>2225</v>
      </c>
      <c r="C3090" s="1320"/>
      <c r="D3090" s="1320" t="s">
        <v>2247</v>
      </c>
      <c r="E3090" s="1320"/>
      <c r="F3090" s="669" t="s">
        <v>645</v>
      </c>
      <c r="G3090" s="698"/>
      <c r="H3090" s="698"/>
      <c r="I3090" s="698"/>
      <c r="J3090" s="698"/>
      <c r="K3090" s="670"/>
      <c r="L3090" s="670"/>
      <c r="M3090" s="670"/>
      <c r="N3090" s="698"/>
      <c r="O3090" s="699" t="s">
        <v>1562</v>
      </c>
      <c r="P3090" s="672"/>
      <c r="Q3090" s="828">
        <f t="shared" si="758"/>
        <v>35</v>
      </c>
      <c r="R3090" s="688">
        <f t="shared" si="758"/>
        <v>35</v>
      </c>
      <c r="S3090" s="688">
        <v>8</v>
      </c>
      <c r="T3090" s="690">
        <f t="shared" si="757"/>
        <v>0.2286</v>
      </c>
    </row>
    <row r="3091" spans="1:20" s="688" customFormat="1" ht="17.100000000000001" customHeight="1">
      <c r="A3091" s="1316" t="s">
        <v>1676</v>
      </c>
      <c r="B3091" s="1317"/>
      <c r="C3091" s="1316" t="s">
        <v>2248</v>
      </c>
      <c r="D3091" s="1317"/>
      <c r="E3091" s="833">
        <v>0.11831999999999999</v>
      </c>
      <c r="F3091" s="676" t="s">
        <v>915</v>
      </c>
      <c r="G3091" s="686"/>
      <c r="H3091" s="686"/>
      <c r="I3091" s="686"/>
      <c r="J3091" s="670"/>
      <c r="K3091" s="670"/>
      <c r="L3091" s="670"/>
      <c r="M3091" s="670"/>
      <c r="N3091" s="670"/>
      <c r="O3091" s="671"/>
      <c r="P3091" s="672"/>
      <c r="Q3091" s="828">
        <f t="shared" si="758"/>
        <v>35</v>
      </c>
      <c r="R3091" s="688">
        <f t="shared" si="758"/>
        <v>35</v>
      </c>
      <c r="S3091" s="688">
        <v>8</v>
      </c>
      <c r="T3091" s="690">
        <f t="shared" si="757"/>
        <v>0.2286</v>
      </c>
    </row>
    <row r="3092" spans="1:20" s="688" customFormat="1" ht="17.100000000000001" customHeight="1">
      <c r="A3092" s="1316" t="s">
        <v>2032</v>
      </c>
      <c r="B3092" s="1317"/>
      <c r="C3092" s="1316" t="s">
        <v>2249</v>
      </c>
      <c r="D3092" s="1317"/>
      <c r="E3092" s="675">
        <v>1</v>
      </c>
      <c r="F3092" s="669" t="s">
        <v>645</v>
      </c>
      <c r="G3092" s="670" t="e">
        <f>$H$1875</f>
        <v>#REF!</v>
      </c>
      <c r="H3092" s="670" t="e">
        <f>INT(E3092*G3092)</f>
        <v>#REF!</v>
      </c>
      <c r="I3092" s="670" t="e">
        <f>$J$1875</f>
        <v>#REF!</v>
      </c>
      <c r="J3092" s="670" t="e">
        <f>INT(E3092*I3092)</f>
        <v>#REF!</v>
      </c>
      <c r="K3092" s="670" t="e">
        <f>$L$1875</f>
        <v>#REF!</v>
      </c>
      <c r="L3092" s="670" t="e">
        <f>INT(E3092*K3092)</f>
        <v>#REF!</v>
      </c>
      <c r="M3092" s="670" t="e">
        <f t="shared" ref="M3092:N3095" si="759">G3092+I3092+K3092</f>
        <v>#REF!</v>
      </c>
      <c r="N3092" s="670" t="e">
        <f t="shared" si="759"/>
        <v>#REF!</v>
      </c>
      <c r="O3092" s="671">
        <f>A1866</f>
        <v>311</v>
      </c>
      <c r="P3092" s="672"/>
      <c r="Q3092" s="828">
        <f t="shared" si="758"/>
        <v>35</v>
      </c>
      <c r="R3092" s="688">
        <f t="shared" si="758"/>
        <v>35</v>
      </c>
      <c r="S3092" s="688">
        <v>8</v>
      </c>
      <c r="T3092" s="690">
        <f t="shared" si="757"/>
        <v>0.2286</v>
      </c>
    </row>
    <row r="3093" spans="1:20" s="688" customFormat="1" ht="17.100000000000001" customHeight="1">
      <c r="A3093" s="1316" t="s">
        <v>2022</v>
      </c>
      <c r="B3093" s="1317"/>
      <c r="C3093" s="1316" t="s">
        <v>2023</v>
      </c>
      <c r="D3093" s="1317"/>
      <c r="E3093" s="675">
        <v>0.01</v>
      </c>
      <c r="F3093" s="676" t="s">
        <v>1458</v>
      </c>
      <c r="G3093" s="670" t="e">
        <f>$H$1772</f>
        <v>#REF!</v>
      </c>
      <c r="H3093" s="670" t="e">
        <f>INT(E3093*G3093)</f>
        <v>#REF!</v>
      </c>
      <c r="I3093" s="670" t="e">
        <f>$J$1772</f>
        <v>#REF!</v>
      </c>
      <c r="J3093" s="670" t="e">
        <f>INT(E3093*I3093)</f>
        <v>#REF!</v>
      </c>
      <c r="K3093" s="670" t="e">
        <f>$L$1772</f>
        <v>#REF!</v>
      </c>
      <c r="L3093" s="670" t="e">
        <f>INT(E3093*K3093)</f>
        <v>#REF!</v>
      </c>
      <c r="M3093" s="670" t="e">
        <f t="shared" si="759"/>
        <v>#REF!</v>
      </c>
      <c r="N3093" s="670" t="e">
        <f t="shared" si="759"/>
        <v>#REF!</v>
      </c>
      <c r="O3093" s="671">
        <f>$A$1778</f>
        <v>302</v>
      </c>
      <c r="P3093" s="672"/>
      <c r="Q3093" s="828"/>
      <c r="T3093" s="690"/>
    </row>
    <row r="3094" spans="1:20" s="688" customFormat="1" ht="17.100000000000001" customHeight="1">
      <c r="A3094" s="1316" t="s">
        <v>2242</v>
      </c>
      <c r="B3094" s="1317"/>
      <c r="C3094" s="1321"/>
      <c r="D3094" s="1317"/>
      <c r="E3094" s="675">
        <v>0.01</v>
      </c>
      <c r="F3094" s="676" t="s">
        <v>1458</v>
      </c>
      <c r="G3094" s="670" t="e">
        <f>$H$630</f>
        <v>#REF!</v>
      </c>
      <c r="H3094" s="670" t="e">
        <f>INT(E3094*G3094)</f>
        <v>#REF!</v>
      </c>
      <c r="I3094" s="670">
        <f>$J$630</f>
        <v>1356</v>
      </c>
      <c r="J3094" s="670">
        <f>INT(E3094*I3094)</f>
        <v>13</v>
      </c>
      <c r="K3094" s="670"/>
      <c r="L3094" s="670"/>
      <c r="M3094" s="670" t="e">
        <f t="shared" si="759"/>
        <v>#REF!</v>
      </c>
      <c r="N3094" s="670" t="e">
        <f t="shared" si="759"/>
        <v>#REF!</v>
      </c>
      <c r="O3094" s="671">
        <f>$A$626</f>
        <v>151</v>
      </c>
      <c r="P3094" s="672"/>
      <c r="Q3094" s="828"/>
      <c r="T3094" s="690"/>
    </row>
    <row r="3095" spans="1:20" s="688" customFormat="1" ht="17.100000000000001" customHeight="1">
      <c r="A3095" s="1316" t="s">
        <v>470</v>
      </c>
      <c r="B3095" s="1317"/>
      <c r="C3095" s="1321" t="s">
        <v>2250</v>
      </c>
      <c r="D3095" s="1317"/>
      <c r="E3095" s="675">
        <v>0.01</v>
      </c>
      <c r="F3095" s="676" t="s">
        <v>1458</v>
      </c>
      <c r="G3095" s="670" t="e">
        <f>$H$2501</f>
        <v>#REF!</v>
      </c>
      <c r="H3095" s="670" t="e">
        <f>INT(E3095*G3095)</f>
        <v>#REF!</v>
      </c>
      <c r="I3095" s="670">
        <f>$J$2501</f>
        <v>287473</v>
      </c>
      <c r="J3095" s="670">
        <f>INT(E3095*I3095)</f>
        <v>2874</v>
      </c>
      <c r="K3095" s="670">
        <f>$L$2501</f>
        <v>8624</v>
      </c>
      <c r="L3095" s="670">
        <f>INT(E3095*K3095)</f>
        <v>86</v>
      </c>
      <c r="M3095" s="670" t="e">
        <f t="shared" si="759"/>
        <v>#REF!</v>
      </c>
      <c r="N3095" s="670" t="e">
        <f t="shared" si="759"/>
        <v>#REF!</v>
      </c>
      <c r="O3095" s="671">
        <f>$A$2495</f>
        <v>357</v>
      </c>
      <c r="P3095" s="672"/>
      <c r="Q3095" s="828">
        <v>260</v>
      </c>
    </row>
    <row r="3096" spans="1:20" s="688" customFormat="1" ht="17.100000000000001" customHeight="1">
      <c r="A3096" s="1318" t="s">
        <v>1320</v>
      </c>
      <c r="B3096" s="1319"/>
      <c r="C3096" s="1316"/>
      <c r="D3096" s="1317"/>
      <c r="E3096" s="686"/>
      <c r="F3096" s="676"/>
      <c r="G3096" s="670"/>
      <c r="H3096" s="670" t="e">
        <f>SUM(H3091:H3095)</f>
        <v>#REF!</v>
      </c>
      <c r="I3096" s="670"/>
      <c r="J3096" s="670" t="e">
        <f>SUM(J3091:J3095)</f>
        <v>#REF!</v>
      </c>
      <c r="K3096" s="670"/>
      <c r="L3096" s="670" t="e">
        <f>SUM(L3091:L3095)</f>
        <v>#REF!</v>
      </c>
      <c r="M3096" s="670"/>
      <c r="N3096" s="670" t="e">
        <f>SUM(N3091:N3095)</f>
        <v>#REF!</v>
      </c>
      <c r="O3096" s="671"/>
      <c r="P3096" s="672"/>
      <c r="Q3096" s="828"/>
    </row>
    <row r="3097" spans="1:20" s="688" customFormat="1" ht="17.100000000000001" customHeight="1">
      <c r="A3097" s="668">
        <f>A3090+1</f>
        <v>422</v>
      </c>
      <c r="B3097" s="1320" t="s">
        <v>2225</v>
      </c>
      <c r="C3097" s="1320"/>
      <c r="D3097" s="1320" t="s">
        <v>470</v>
      </c>
      <c r="E3097" s="1320"/>
      <c r="F3097" s="669" t="s">
        <v>645</v>
      </c>
      <c r="G3097" s="698"/>
      <c r="H3097" s="698"/>
      <c r="I3097" s="698"/>
      <c r="J3097" s="698"/>
      <c r="K3097" s="670"/>
      <c r="L3097" s="670"/>
      <c r="M3097" s="670"/>
      <c r="N3097" s="698"/>
      <c r="O3097" s="699"/>
      <c r="P3097" s="672"/>
      <c r="Q3097" s="828"/>
    </row>
    <row r="3098" spans="1:20" s="688" customFormat="1" ht="17.100000000000001" customHeight="1">
      <c r="A3098" s="1316" t="s">
        <v>470</v>
      </c>
      <c r="B3098" s="1317"/>
      <c r="C3098" s="1321" t="s">
        <v>2250</v>
      </c>
      <c r="D3098" s="1317"/>
      <c r="E3098" s="675">
        <v>0.01</v>
      </c>
      <c r="F3098" s="676" t="s">
        <v>1458</v>
      </c>
      <c r="G3098" s="670" t="e">
        <f>$H$2501</f>
        <v>#REF!</v>
      </c>
      <c r="H3098" s="670" t="e">
        <f>INT(E3098*G3098)</f>
        <v>#REF!</v>
      </c>
      <c r="I3098" s="670">
        <f>$J$2501</f>
        <v>287473</v>
      </c>
      <c r="J3098" s="670">
        <f>INT(E3098*I3098)</f>
        <v>2874</v>
      </c>
      <c r="K3098" s="670">
        <f>$L$2501</f>
        <v>8624</v>
      </c>
      <c r="L3098" s="670">
        <f>INT(E3098*K3098)</f>
        <v>86</v>
      </c>
      <c r="M3098" s="670" t="e">
        <f>G3098+I3098+K3098</f>
        <v>#REF!</v>
      </c>
      <c r="N3098" s="670" t="e">
        <f>H3098+J3098+L3098</f>
        <v>#REF!</v>
      </c>
      <c r="O3098" s="671">
        <f>$A$2495</f>
        <v>357</v>
      </c>
      <c r="P3098" s="672"/>
      <c r="Q3098" s="828"/>
    </row>
    <row r="3099" spans="1:20" s="688" customFormat="1" ht="17.100000000000001" customHeight="1">
      <c r="A3099" s="1316" t="s">
        <v>1979</v>
      </c>
      <c r="B3099" s="1317"/>
      <c r="C3099" s="1321" t="s">
        <v>2234</v>
      </c>
      <c r="D3099" s="1317"/>
      <c r="E3099" s="675">
        <v>0.01</v>
      </c>
      <c r="F3099" s="676" t="s">
        <v>1458</v>
      </c>
      <c r="G3099" s="670" t="e">
        <f>$H$1732</f>
        <v>#REF!</v>
      </c>
      <c r="H3099" s="670" t="e">
        <f>INT(E3099*G3099)</f>
        <v>#REF!</v>
      </c>
      <c r="I3099" s="670" t="e">
        <f>$J$1732</f>
        <v>#REF!</v>
      </c>
      <c r="J3099" s="670" t="e">
        <f>INT(E3099*I3099)</f>
        <v>#REF!</v>
      </c>
      <c r="K3099" s="670" t="e">
        <f>$L$1732</f>
        <v>#REF!</v>
      </c>
      <c r="L3099" s="670" t="e">
        <f>INT(E3099*K3099)</f>
        <v>#REF!</v>
      </c>
      <c r="M3099" s="670" t="e">
        <f>G3099+I3099+K3099</f>
        <v>#REF!</v>
      </c>
      <c r="N3099" s="670" t="e">
        <f>H3099+J3099+L3099</f>
        <v>#REF!</v>
      </c>
      <c r="O3099" s="671">
        <f>$A$1724</f>
        <v>295</v>
      </c>
      <c r="P3099" s="672"/>
      <c r="Q3099" s="828"/>
    </row>
    <row r="3100" spans="1:20" s="688" customFormat="1" ht="17.100000000000001" customHeight="1">
      <c r="A3100" s="1318" t="s">
        <v>1320</v>
      </c>
      <c r="B3100" s="1319"/>
      <c r="C3100" s="1316"/>
      <c r="D3100" s="1317"/>
      <c r="E3100" s="686"/>
      <c r="F3100" s="676"/>
      <c r="G3100" s="670"/>
      <c r="H3100" s="670" t="e">
        <f>SUM(H3098:H3099)</f>
        <v>#REF!</v>
      </c>
      <c r="I3100" s="670"/>
      <c r="J3100" s="670" t="e">
        <f>SUM(J3098:J3099)</f>
        <v>#REF!</v>
      </c>
      <c r="K3100" s="670"/>
      <c r="L3100" s="670" t="e">
        <f>SUM(L3098:L3099)</f>
        <v>#REF!</v>
      </c>
      <c r="M3100" s="670"/>
      <c r="N3100" s="670" t="e">
        <f>SUM(N3098:N3099)</f>
        <v>#REF!</v>
      </c>
      <c r="O3100" s="671"/>
      <c r="P3100" s="672"/>
      <c r="Q3100" s="828"/>
    </row>
    <row r="3101" spans="1:20" s="688" customFormat="1" ht="17.100000000000001" customHeight="1">
      <c r="A3101" s="668">
        <f>A3097+1</f>
        <v>423</v>
      </c>
      <c r="B3101" s="1320" t="s">
        <v>2251</v>
      </c>
      <c r="C3101" s="1320"/>
      <c r="D3101" s="1320"/>
      <c r="E3101" s="1320"/>
      <c r="F3101" s="669" t="s">
        <v>645</v>
      </c>
      <c r="G3101" s="698"/>
      <c r="H3101" s="698"/>
      <c r="I3101" s="698"/>
      <c r="J3101" s="698"/>
      <c r="K3101" s="670"/>
      <c r="L3101" s="670"/>
      <c r="M3101" s="670"/>
      <c r="N3101" s="698"/>
      <c r="O3101" s="699" t="s">
        <v>1562</v>
      </c>
      <c r="P3101" s="672"/>
      <c r="Q3101" s="828"/>
    </row>
    <row r="3102" spans="1:20" s="688" customFormat="1" ht="17.100000000000001" customHeight="1">
      <c r="A3102" s="1316" t="s">
        <v>2252</v>
      </c>
      <c r="B3102" s="1317"/>
      <c r="C3102" s="1321" t="s">
        <v>1827</v>
      </c>
      <c r="D3102" s="1317"/>
      <c r="E3102" s="820">
        <v>1.1000000000000001</v>
      </c>
      <c r="F3102" s="676" t="s">
        <v>645</v>
      </c>
      <c r="G3102" s="670"/>
      <c r="H3102" s="670"/>
      <c r="I3102" s="670"/>
      <c r="J3102" s="670"/>
      <c r="K3102" s="670"/>
      <c r="L3102" s="670"/>
      <c r="M3102" s="670"/>
      <c r="N3102" s="670"/>
      <c r="O3102" s="671"/>
      <c r="P3102" s="672"/>
      <c r="Q3102" s="828"/>
    </row>
    <row r="3103" spans="1:20" s="688" customFormat="1" ht="17.100000000000001" customHeight="1">
      <c r="A3103" s="1316" t="s">
        <v>1524</v>
      </c>
      <c r="B3103" s="1317"/>
      <c r="C3103" s="1321" t="s">
        <v>2224</v>
      </c>
      <c r="D3103" s="1317"/>
      <c r="E3103" s="701">
        <v>4.4999999999999998E-2</v>
      </c>
      <c r="F3103" s="676" t="s">
        <v>850</v>
      </c>
      <c r="G3103" s="670" t="e">
        <f>$H$484</f>
        <v>#REF!</v>
      </c>
      <c r="H3103" s="670" t="e">
        <f>INT(E3103*G3103)</f>
        <v>#REF!</v>
      </c>
      <c r="I3103" s="670">
        <f>$J$484</f>
        <v>73989</v>
      </c>
      <c r="J3103" s="670">
        <f>INT(E3103*I3103)</f>
        <v>3329</v>
      </c>
      <c r="K3103" s="670">
        <f>$L$484</f>
        <v>11220</v>
      </c>
      <c r="L3103" s="670">
        <f>INT(E3103*K3103)</f>
        <v>504</v>
      </c>
      <c r="M3103" s="670" t="e">
        <f t="shared" ref="M3103:N3107" si="760">G3103+I3103+K3103</f>
        <v>#REF!</v>
      </c>
      <c r="N3103" s="670" t="e">
        <f t="shared" si="760"/>
        <v>#REF!</v>
      </c>
      <c r="O3103" s="671">
        <f>$A$479</f>
        <v>130</v>
      </c>
      <c r="P3103" s="672"/>
      <c r="Q3103" s="828"/>
    </row>
    <row r="3104" spans="1:20" s="688" customFormat="1" ht="17.100000000000001" customHeight="1">
      <c r="A3104" s="1316" t="s">
        <v>2253</v>
      </c>
      <c r="B3104" s="1317"/>
      <c r="C3104" s="1321" t="s">
        <v>2254</v>
      </c>
      <c r="D3104" s="1317"/>
      <c r="E3104" s="679">
        <v>0.1</v>
      </c>
      <c r="F3104" s="676" t="s">
        <v>850</v>
      </c>
      <c r="G3104" s="670" t="e">
        <f>$H$552</f>
        <v>#REF!</v>
      </c>
      <c r="H3104" s="670" t="e">
        <f>INT(E3104*G3104)</f>
        <v>#REF!</v>
      </c>
      <c r="I3104" s="670">
        <f>$J$552</f>
        <v>373604</v>
      </c>
      <c r="J3104" s="670">
        <f>INT(E3104*I3104)</f>
        <v>37360</v>
      </c>
      <c r="K3104" s="670">
        <f>$L$552</f>
        <v>5742</v>
      </c>
      <c r="L3104" s="670">
        <f>INT(E3104*K3104)</f>
        <v>574</v>
      </c>
      <c r="M3104" s="670" t="e">
        <f t="shared" si="760"/>
        <v>#REF!</v>
      </c>
      <c r="N3104" s="670" t="e">
        <f t="shared" si="760"/>
        <v>#REF!</v>
      </c>
      <c r="O3104" s="671">
        <f>$A$545</f>
        <v>139</v>
      </c>
      <c r="P3104" s="672"/>
      <c r="Q3104" s="828"/>
    </row>
    <row r="3105" spans="1:22" s="688" customFormat="1" ht="17.100000000000001" customHeight="1">
      <c r="A3105" s="1316" t="s">
        <v>2255</v>
      </c>
      <c r="B3105" s="1317"/>
      <c r="C3105" s="1321" t="s">
        <v>2256</v>
      </c>
      <c r="D3105" s="1317"/>
      <c r="E3105" s="701">
        <v>0.28399999999999997</v>
      </c>
      <c r="F3105" s="676" t="s">
        <v>366</v>
      </c>
      <c r="G3105" s="670"/>
      <c r="H3105" s="670"/>
      <c r="I3105" s="670">
        <f>[53]노임단가!$BK$10</f>
        <v>268908</v>
      </c>
      <c r="J3105" s="670">
        <f>INT(E3105*I3105)</f>
        <v>76369</v>
      </c>
      <c r="K3105" s="670"/>
      <c r="L3105" s="670"/>
      <c r="M3105" s="670">
        <f t="shared" si="760"/>
        <v>268908</v>
      </c>
      <c r="N3105" s="670">
        <f t="shared" si="760"/>
        <v>76369</v>
      </c>
      <c r="O3105" s="671"/>
      <c r="P3105" s="672"/>
      <c r="Q3105" s="828"/>
    </row>
    <row r="3106" spans="1:22" s="688" customFormat="1" ht="17.100000000000001" customHeight="1">
      <c r="A3106" s="1316" t="s">
        <v>2255</v>
      </c>
      <c r="B3106" s="1317"/>
      <c r="C3106" s="1321" t="s">
        <v>248</v>
      </c>
      <c r="D3106" s="1317"/>
      <c r="E3106" s="701">
        <v>0.14199999999999999</v>
      </c>
      <c r="F3106" s="676" t="s">
        <v>366</v>
      </c>
      <c r="G3106" s="670"/>
      <c r="H3106" s="670"/>
      <c r="I3106" s="670">
        <f>[53]노임단가!$T$5</f>
        <v>172068</v>
      </c>
      <c r="J3106" s="670">
        <f>INT(E3106*I3106)</f>
        <v>24433</v>
      </c>
      <c r="K3106" s="670"/>
      <c r="L3106" s="670"/>
      <c r="M3106" s="670">
        <f>G3106+I3106+K3106</f>
        <v>172068</v>
      </c>
      <c r="N3106" s="670">
        <f>H3106+J3106+L3106</f>
        <v>24433</v>
      </c>
      <c r="O3106" s="671"/>
      <c r="P3106" s="672"/>
      <c r="Q3106" s="828"/>
    </row>
    <row r="3107" spans="1:22" s="688" customFormat="1" ht="17.100000000000001" customHeight="1">
      <c r="A3107" s="1316" t="s">
        <v>1485</v>
      </c>
      <c r="B3107" s="1317"/>
      <c r="C3107" s="1321" t="s">
        <v>1329</v>
      </c>
      <c r="D3107" s="1317"/>
      <c r="E3107" s="675">
        <v>0.01</v>
      </c>
      <c r="F3107" s="676" t="s">
        <v>672</v>
      </c>
      <c r="G3107" s="670"/>
      <c r="H3107" s="670">
        <f>INT(E3107*G3107)</f>
        <v>0</v>
      </c>
      <c r="I3107" s="670"/>
      <c r="J3107" s="670"/>
      <c r="K3107" s="670">
        <f>$J$3105+$J$3106</f>
        <v>100802</v>
      </c>
      <c r="L3107" s="670">
        <f>INT(E3107*K3107)</f>
        <v>1008</v>
      </c>
      <c r="M3107" s="670">
        <f t="shared" si="760"/>
        <v>100802</v>
      </c>
      <c r="N3107" s="670">
        <f t="shared" si="760"/>
        <v>1008</v>
      </c>
      <c r="O3107" s="671"/>
      <c r="P3107" s="672"/>
      <c r="Q3107" s="828"/>
    </row>
    <row r="3108" spans="1:22" s="688" customFormat="1" ht="17.100000000000001" customHeight="1">
      <c r="A3108" s="1318" t="s">
        <v>1320</v>
      </c>
      <c r="B3108" s="1319"/>
      <c r="C3108" s="1316"/>
      <c r="D3108" s="1317"/>
      <c r="E3108" s="686"/>
      <c r="F3108" s="676"/>
      <c r="G3108" s="670"/>
      <c r="H3108" s="670" t="e">
        <f>SUM(H3103:H3107)</f>
        <v>#REF!</v>
      </c>
      <c r="I3108" s="670"/>
      <c r="J3108" s="670">
        <f>SUM(J3103:J3107)</f>
        <v>141491</v>
      </c>
      <c r="K3108" s="670"/>
      <c r="L3108" s="670">
        <f>SUM(L3103:L3107)</f>
        <v>2086</v>
      </c>
      <c r="M3108" s="670"/>
      <c r="N3108" s="670" t="e">
        <f>SUM(N3103:N3107)</f>
        <v>#REF!</v>
      </c>
      <c r="O3108" s="671"/>
      <c r="P3108" s="672"/>
      <c r="Q3108" s="828"/>
    </row>
    <row r="3109" spans="1:22" s="688" customFormat="1" ht="17.100000000000001" customHeight="1">
      <c r="A3109" s="668">
        <f>A3101+1</f>
        <v>424</v>
      </c>
      <c r="B3109" s="1320" t="s">
        <v>2257</v>
      </c>
      <c r="C3109" s="1320"/>
      <c r="D3109" s="1320" t="s">
        <v>2258</v>
      </c>
      <c r="E3109" s="1320"/>
      <c r="F3109" s="669" t="s">
        <v>30</v>
      </c>
      <c r="G3109" s="698"/>
      <c r="H3109" s="698"/>
      <c r="I3109" s="698"/>
      <c r="J3109" s="698"/>
      <c r="K3109" s="670"/>
      <c r="L3109" s="670"/>
      <c r="M3109" s="670"/>
      <c r="N3109" s="698"/>
      <c r="O3109" s="699"/>
      <c r="P3109" s="672"/>
      <c r="Q3109" s="828"/>
    </row>
    <row r="3110" spans="1:22" s="688" customFormat="1" ht="17.100000000000001" customHeight="1">
      <c r="A3110" s="1316" t="s">
        <v>1066</v>
      </c>
      <c r="B3110" s="1317"/>
      <c r="C3110" s="1316" t="s">
        <v>2259</v>
      </c>
      <c r="D3110" s="1317"/>
      <c r="E3110" s="677">
        <v>1</v>
      </c>
      <c r="F3110" s="676" t="s">
        <v>30</v>
      </c>
      <c r="G3110" s="670" t="e">
        <f>#REF!</f>
        <v>#REF!</v>
      </c>
      <c r="H3110" s="670" t="e">
        <f>INT(E3110*G3110)</f>
        <v>#REF!</v>
      </c>
      <c r="I3110" s="670"/>
      <c r="J3110" s="670"/>
      <c r="K3110" s="670"/>
      <c r="L3110" s="670"/>
      <c r="M3110" s="670" t="e">
        <f>G3110+I3110+K3110</f>
        <v>#REF!</v>
      </c>
      <c r="N3110" s="670" t="e">
        <f>H3110+J3110+L3110</f>
        <v>#REF!</v>
      </c>
      <c r="O3110" s="671"/>
      <c r="P3110" s="672"/>
      <c r="Q3110" s="828"/>
    </row>
    <row r="3111" spans="1:22" s="688" customFormat="1" ht="17.100000000000001" customHeight="1">
      <c r="A3111" s="1318" t="s">
        <v>1320</v>
      </c>
      <c r="B3111" s="1319"/>
      <c r="C3111" s="1316"/>
      <c r="D3111" s="1317"/>
      <c r="E3111" s="686"/>
      <c r="F3111" s="676"/>
      <c r="G3111" s="670"/>
      <c r="H3111" s="670" t="e">
        <f>SUM(H3110:H3110)</f>
        <v>#REF!</v>
      </c>
      <c r="I3111" s="670"/>
      <c r="J3111" s="670"/>
      <c r="K3111" s="670"/>
      <c r="L3111" s="670"/>
      <c r="M3111" s="670"/>
      <c r="N3111" s="670" t="e">
        <f>SUM(N3110:N3110)</f>
        <v>#REF!</v>
      </c>
      <c r="O3111" s="671"/>
      <c r="P3111" s="672"/>
      <c r="Q3111" s="828"/>
    </row>
    <row r="3112" spans="1:22" s="841" customFormat="1" ht="17.100000000000001" customHeight="1">
      <c r="A3112" s="834">
        <f>A3109+1</f>
        <v>425</v>
      </c>
      <c r="B3112" s="1361" t="s">
        <v>2260</v>
      </c>
      <c r="C3112" s="1361"/>
      <c r="D3112" s="1361" t="s">
        <v>2261</v>
      </c>
      <c r="E3112" s="1361"/>
      <c r="F3112" s="835" t="s">
        <v>645</v>
      </c>
      <c r="G3112" s="836"/>
      <c r="H3112" s="836"/>
      <c r="I3112" s="836"/>
      <c r="J3112" s="836"/>
      <c r="K3112" s="837"/>
      <c r="L3112" s="837"/>
      <c r="M3112" s="837"/>
      <c r="N3112" s="836"/>
      <c r="O3112" s="838"/>
      <c r="P3112" s="839"/>
      <c r="Q3112" s="840"/>
    </row>
    <row r="3113" spans="1:22" s="688" customFormat="1" ht="17.100000000000001" customHeight="1">
      <c r="A3113" s="1316" t="s">
        <v>833</v>
      </c>
      <c r="B3113" s="1317"/>
      <c r="C3113" s="1316" t="s">
        <v>834</v>
      </c>
      <c r="D3113" s="1317"/>
      <c r="E3113" s="679">
        <v>12.2</v>
      </c>
      <c r="F3113" s="676" t="s">
        <v>835</v>
      </c>
      <c r="G3113" s="670" t="e">
        <f>#REF!</f>
        <v>#REF!</v>
      </c>
      <c r="H3113" s="670" t="e">
        <f>INT(E3113*G3113)</f>
        <v>#REF!</v>
      </c>
      <c r="I3113" s="670"/>
      <c r="J3113" s="670"/>
      <c r="K3113" s="670"/>
      <c r="L3113" s="670"/>
      <c r="M3113" s="670" t="e">
        <f t="shared" ref="M3113:N3118" si="761">G3113+I3113+K3113</f>
        <v>#REF!</v>
      </c>
      <c r="N3113" s="670" t="e">
        <f t="shared" si="761"/>
        <v>#REF!</v>
      </c>
      <c r="O3113" s="671"/>
      <c r="P3113" s="672"/>
      <c r="Q3113" s="828"/>
    </row>
    <row r="3114" spans="1:22" s="688" customFormat="1" ht="17.100000000000001" customHeight="1">
      <c r="A3114" s="1316" t="s">
        <v>2262</v>
      </c>
      <c r="B3114" s="1317"/>
      <c r="C3114" s="1316" t="s">
        <v>2263</v>
      </c>
      <c r="D3114" s="1317"/>
      <c r="E3114" s="679">
        <v>2.4</v>
      </c>
      <c r="F3114" s="676" t="s">
        <v>835</v>
      </c>
      <c r="G3114" s="670" t="e">
        <f>#REF!</f>
        <v>#REF!</v>
      </c>
      <c r="H3114" s="670" t="e">
        <f>INT(E3114*G3114)</f>
        <v>#REF!</v>
      </c>
      <c r="I3114" s="670"/>
      <c r="J3114" s="670"/>
      <c r="K3114" s="670"/>
      <c r="L3114" s="670"/>
      <c r="M3114" s="670" t="e">
        <f t="shared" si="761"/>
        <v>#REF!</v>
      </c>
      <c r="N3114" s="670" t="e">
        <f t="shared" si="761"/>
        <v>#REF!</v>
      </c>
      <c r="O3114" s="671"/>
      <c r="P3114" s="672"/>
      <c r="Q3114" s="828"/>
    </row>
    <row r="3115" spans="1:22" s="688" customFormat="1" ht="17.100000000000001" customHeight="1">
      <c r="A3115" s="1316" t="s">
        <v>2264</v>
      </c>
      <c r="B3115" s="1317"/>
      <c r="C3115" s="1316"/>
      <c r="D3115" s="1317"/>
      <c r="E3115" s="679">
        <v>1.8</v>
      </c>
      <c r="F3115" s="676" t="s">
        <v>835</v>
      </c>
      <c r="G3115" s="670" t="e">
        <f>#REF!</f>
        <v>#REF!</v>
      </c>
      <c r="H3115" s="670" t="e">
        <f>INT(E3115*G3115)</f>
        <v>#REF!</v>
      </c>
      <c r="I3115" s="670"/>
      <c r="J3115" s="670"/>
      <c r="K3115" s="670"/>
      <c r="L3115" s="670"/>
      <c r="M3115" s="670" t="e">
        <f t="shared" si="761"/>
        <v>#REF!</v>
      </c>
      <c r="N3115" s="670" t="e">
        <f t="shared" si="761"/>
        <v>#REF!</v>
      </c>
      <c r="O3115" s="671"/>
      <c r="P3115" s="672"/>
      <c r="Q3115" s="828"/>
      <c r="U3115" s="617"/>
      <c r="V3115" s="617"/>
    </row>
    <row r="3116" spans="1:22" s="688" customFormat="1" ht="17.100000000000001" customHeight="1">
      <c r="A3116" s="1316" t="s">
        <v>2265</v>
      </c>
      <c r="B3116" s="1317"/>
      <c r="C3116" s="1316"/>
      <c r="D3116" s="1317"/>
      <c r="E3116" s="683">
        <f>3/300</f>
        <v>0.01</v>
      </c>
      <c r="F3116" s="676" t="s">
        <v>366</v>
      </c>
      <c r="G3116" s="670"/>
      <c r="H3116" s="670"/>
      <c r="I3116" s="670">
        <f>[53]노임단가!$BK$6</f>
        <v>263017</v>
      </c>
      <c r="J3116" s="670">
        <f>INT(E3116*I3116)</f>
        <v>2630</v>
      </c>
      <c r="K3116" s="670"/>
      <c r="L3116" s="670"/>
      <c r="M3116" s="670">
        <f t="shared" si="761"/>
        <v>263017</v>
      </c>
      <c r="N3116" s="670">
        <f t="shared" si="761"/>
        <v>2630</v>
      </c>
      <c r="O3116" s="671"/>
      <c r="P3116" s="672"/>
      <c r="Q3116" s="828"/>
      <c r="U3116" s="617"/>
      <c r="V3116" s="617"/>
    </row>
    <row r="3117" spans="1:22" s="688" customFormat="1" ht="17.100000000000001" customHeight="1">
      <c r="A3117" s="1316" t="s">
        <v>248</v>
      </c>
      <c r="B3117" s="1317"/>
      <c r="C3117" s="1316"/>
      <c r="D3117" s="1317"/>
      <c r="E3117" s="683">
        <f>2/300</f>
        <v>6.6666666666666671E-3</v>
      </c>
      <c r="F3117" s="676" t="s">
        <v>366</v>
      </c>
      <c r="G3117" s="670"/>
      <c r="H3117" s="670"/>
      <c r="I3117" s="670">
        <f>[53]노임단가!T5</f>
        <v>172068</v>
      </c>
      <c r="J3117" s="670">
        <f>INT(E3117*I3117)</f>
        <v>1147</v>
      </c>
      <c r="K3117" s="670"/>
      <c r="L3117" s="670"/>
      <c r="M3117" s="670">
        <f t="shared" si="761"/>
        <v>172068</v>
      </c>
      <c r="N3117" s="670">
        <f t="shared" si="761"/>
        <v>1147</v>
      </c>
      <c r="O3117" s="671"/>
      <c r="P3117" s="672"/>
      <c r="Q3117" s="828"/>
    </row>
    <row r="3118" spans="1:22" s="688" customFormat="1" ht="17.100000000000001" customHeight="1">
      <c r="A3118" s="1316" t="s">
        <v>1485</v>
      </c>
      <c r="B3118" s="1317"/>
      <c r="C3118" s="1316" t="s">
        <v>1451</v>
      </c>
      <c r="D3118" s="1317"/>
      <c r="E3118" s="675">
        <v>0.03</v>
      </c>
      <c r="F3118" s="676" t="s">
        <v>672</v>
      </c>
      <c r="G3118" s="670"/>
      <c r="H3118" s="670">
        <f>INT(E3118*G3118)</f>
        <v>0</v>
      </c>
      <c r="I3118" s="670"/>
      <c r="J3118" s="670"/>
      <c r="K3118" s="831">
        <f>J3116+J3117</f>
        <v>3777</v>
      </c>
      <c r="L3118" s="670">
        <f>INT(E3118*K3118)</f>
        <v>113</v>
      </c>
      <c r="M3118" s="670">
        <f t="shared" si="761"/>
        <v>3777</v>
      </c>
      <c r="N3118" s="670">
        <f t="shared" si="761"/>
        <v>113</v>
      </c>
      <c r="O3118" s="671"/>
      <c r="P3118" s="672"/>
      <c r="Q3118" s="828"/>
      <c r="T3118" s="690"/>
    </row>
    <row r="3119" spans="1:22" s="688" customFormat="1" ht="17.100000000000001" customHeight="1">
      <c r="A3119" s="1318" t="s">
        <v>1320</v>
      </c>
      <c r="B3119" s="1319"/>
      <c r="C3119" s="1316"/>
      <c r="D3119" s="1317"/>
      <c r="E3119" s="686"/>
      <c r="F3119" s="676"/>
      <c r="G3119" s="670"/>
      <c r="H3119" s="670" t="e">
        <f>SUM(H3113:H3118)</f>
        <v>#REF!</v>
      </c>
      <c r="I3119" s="670"/>
      <c r="J3119" s="670">
        <f>SUM(J3113:J3118)</f>
        <v>3777</v>
      </c>
      <c r="K3119" s="670"/>
      <c r="L3119" s="670">
        <f>SUM(L3113:L3118)</f>
        <v>113</v>
      </c>
      <c r="M3119" s="670"/>
      <c r="N3119" s="670" t="e">
        <f>SUM(N3113:N3118)</f>
        <v>#REF!</v>
      </c>
      <c r="O3119" s="671"/>
      <c r="P3119" s="672"/>
      <c r="Q3119" s="828"/>
      <c r="T3119" s="690"/>
    </row>
    <row r="3120" spans="1:22" s="688" customFormat="1" ht="17.100000000000001" customHeight="1">
      <c r="A3120" s="668">
        <f>A3112+1</f>
        <v>426</v>
      </c>
      <c r="B3120" s="1320" t="s">
        <v>2260</v>
      </c>
      <c r="C3120" s="1320"/>
      <c r="D3120" s="1320" t="s">
        <v>2266</v>
      </c>
      <c r="E3120" s="1320"/>
      <c r="F3120" s="669" t="s">
        <v>645</v>
      </c>
      <c r="G3120" s="698"/>
      <c r="H3120" s="698"/>
      <c r="I3120" s="698"/>
      <c r="J3120" s="698"/>
      <c r="K3120" s="670"/>
      <c r="L3120" s="670"/>
      <c r="M3120" s="670"/>
      <c r="N3120" s="698"/>
      <c r="O3120" s="699"/>
      <c r="P3120" s="672"/>
      <c r="Q3120" s="828"/>
    </row>
    <row r="3121" spans="1:22" s="688" customFormat="1" ht="17.100000000000001" customHeight="1">
      <c r="A3121" s="1316" t="s">
        <v>833</v>
      </c>
      <c r="B3121" s="1317"/>
      <c r="C3121" s="1316" t="s">
        <v>834</v>
      </c>
      <c r="D3121" s="1317"/>
      <c r="E3121" s="679">
        <v>12.2</v>
      </c>
      <c r="F3121" s="676" t="s">
        <v>835</v>
      </c>
      <c r="G3121" s="670" t="e">
        <f>#REF!</f>
        <v>#REF!</v>
      </c>
      <c r="H3121" s="670" t="e">
        <f>INT(E3121*G3121)</f>
        <v>#REF!</v>
      </c>
      <c r="I3121" s="670"/>
      <c r="J3121" s="670"/>
      <c r="K3121" s="670"/>
      <c r="L3121" s="670"/>
      <c r="M3121" s="670" t="e">
        <f t="shared" ref="M3121:N3126" si="762">G3121+I3121+K3121</f>
        <v>#REF!</v>
      </c>
      <c r="N3121" s="670" t="e">
        <f t="shared" si="762"/>
        <v>#REF!</v>
      </c>
      <c r="O3121" s="671"/>
      <c r="P3121" s="672"/>
      <c r="Q3121" s="828"/>
    </row>
    <row r="3122" spans="1:22" s="688" customFormat="1" ht="17.100000000000001" customHeight="1">
      <c r="A3122" s="1316" t="s">
        <v>2262</v>
      </c>
      <c r="B3122" s="1317"/>
      <c r="C3122" s="1316" t="s">
        <v>2263</v>
      </c>
      <c r="D3122" s="1317"/>
      <c r="E3122" s="679">
        <v>2.4</v>
      </c>
      <c r="F3122" s="676" t="s">
        <v>835</v>
      </c>
      <c r="G3122" s="670" t="e">
        <f>#REF!</f>
        <v>#REF!</v>
      </c>
      <c r="H3122" s="670" t="e">
        <f>INT(E3122*G3122)</f>
        <v>#REF!</v>
      </c>
      <c r="I3122" s="670"/>
      <c r="J3122" s="670"/>
      <c r="K3122" s="670"/>
      <c r="L3122" s="670"/>
      <c r="M3122" s="670" t="e">
        <f t="shared" si="762"/>
        <v>#REF!</v>
      </c>
      <c r="N3122" s="670" t="e">
        <f t="shared" si="762"/>
        <v>#REF!</v>
      </c>
      <c r="O3122" s="671"/>
      <c r="P3122" s="672"/>
      <c r="Q3122" s="828"/>
    </row>
    <row r="3123" spans="1:22" s="688" customFormat="1" ht="17.100000000000001" customHeight="1">
      <c r="A3123" s="1316" t="s">
        <v>2264</v>
      </c>
      <c r="B3123" s="1317"/>
      <c r="C3123" s="1316"/>
      <c r="D3123" s="1317"/>
      <c r="E3123" s="679">
        <v>1.8</v>
      </c>
      <c r="F3123" s="676" t="s">
        <v>835</v>
      </c>
      <c r="G3123" s="670" t="e">
        <f>#REF!</f>
        <v>#REF!</v>
      </c>
      <c r="H3123" s="670" t="e">
        <f>INT(E3123*G3123)</f>
        <v>#REF!</v>
      </c>
      <c r="I3123" s="670"/>
      <c r="J3123" s="670"/>
      <c r="K3123" s="670"/>
      <c r="L3123" s="670"/>
      <c r="M3123" s="670" t="e">
        <f t="shared" si="762"/>
        <v>#REF!</v>
      </c>
      <c r="N3123" s="670" t="e">
        <f t="shared" si="762"/>
        <v>#REF!</v>
      </c>
      <c r="O3123" s="671"/>
      <c r="P3123" s="672"/>
      <c r="Q3123" s="828"/>
      <c r="U3123" s="617"/>
      <c r="V3123" s="617"/>
    </row>
    <row r="3124" spans="1:22" s="688" customFormat="1" ht="17.100000000000001" customHeight="1">
      <c r="A3124" s="1316" t="s">
        <v>2265</v>
      </c>
      <c r="B3124" s="1317"/>
      <c r="C3124" s="1316"/>
      <c r="D3124" s="1317"/>
      <c r="E3124" s="683">
        <f>3/200</f>
        <v>1.4999999999999999E-2</v>
      </c>
      <c r="F3124" s="676" t="s">
        <v>366</v>
      </c>
      <c r="G3124" s="670"/>
      <c r="H3124" s="670"/>
      <c r="I3124" s="670">
        <f>[53]노임단가!$BK$6</f>
        <v>263017</v>
      </c>
      <c r="J3124" s="670">
        <f>INT(E3124*I3124)</f>
        <v>3945</v>
      </c>
      <c r="K3124" s="670"/>
      <c r="L3124" s="670"/>
      <c r="M3124" s="670">
        <f t="shared" si="762"/>
        <v>263017</v>
      </c>
      <c r="N3124" s="670">
        <f t="shared" si="762"/>
        <v>3945</v>
      </c>
      <c r="O3124" s="671"/>
      <c r="P3124" s="672"/>
      <c r="Q3124" s="828"/>
      <c r="U3124" s="617"/>
      <c r="V3124" s="617"/>
    </row>
    <row r="3125" spans="1:22" s="688" customFormat="1" ht="17.100000000000001" customHeight="1">
      <c r="A3125" s="1316" t="s">
        <v>248</v>
      </c>
      <c r="B3125" s="1317"/>
      <c r="C3125" s="1316"/>
      <c r="D3125" s="1317"/>
      <c r="E3125" s="683">
        <f>2/200</f>
        <v>0.01</v>
      </c>
      <c r="F3125" s="676" t="s">
        <v>366</v>
      </c>
      <c r="G3125" s="670"/>
      <c r="H3125" s="670"/>
      <c r="I3125" s="670">
        <f>[53]노임단가!T13</f>
        <v>221481</v>
      </c>
      <c r="J3125" s="670">
        <f>INT(E3125*I3125)</f>
        <v>2214</v>
      </c>
      <c r="K3125" s="670"/>
      <c r="L3125" s="670"/>
      <c r="M3125" s="670">
        <f t="shared" si="762"/>
        <v>221481</v>
      </c>
      <c r="N3125" s="670">
        <f t="shared" si="762"/>
        <v>2214</v>
      </c>
      <c r="O3125" s="671"/>
      <c r="P3125" s="672"/>
      <c r="Q3125" s="828"/>
    </row>
    <row r="3126" spans="1:22" s="688" customFormat="1" ht="17.100000000000001" customHeight="1">
      <c r="A3126" s="1316" t="s">
        <v>1485</v>
      </c>
      <c r="B3126" s="1317"/>
      <c r="C3126" s="1316" t="s">
        <v>1451</v>
      </c>
      <c r="D3126" s="1317"/>
      <c r="E3126" s="675">
        <v>0.03</v>
      </c>
      <c r="F3126" s="676" t="s">
        <v>672</v>
      </c>
      <c r="G3126" s="670"/>
      <c r="H3126" s="670">
        <f>INT(E3126*G3126)</f>
        <v>0</v>
      </c>
      <c r="I3126" s="670"/>
      <c r="J3126" s="670"/>
      <c r="K3126" s="831">
        <f>J3124+J3125</f>
        <v>6159</v>
      </c>
      <c r="L3126" s="670">
        <f>INT(E3126*K3126)</f>
        <v>184</v>
      </c>
      <c r="M3126" s="670">
        <f t="shared" si="762"/>
        <v>6159</v>
      </c>
      <c r="N3126" s="670">
        <f t="shared" si="762"/>
        <v>184</v>
      </c>
      <c r="O3126" s="671"/>
      <c r="P3126" s="672"/>
      <c r="Q3126" s="828"/>
      <c r="T3126" s="690"/>
    </row>
    <row r="3127" spans="1:22" s="688" customFormat="1" ht="17.100000000000001" customHeight="1">
      <c r="A3127" s="1318" t="s">
        <v>1320</v>
      </c>
      <c r="B3127" s="1319"/>
      <c r="C3127" s="1316"/>
      <c r="D3127" s="1317"/>
      <c r="E3127" s="686"/>
      <c r="F3127" s="676"/>
      <c r="G3127" s="670"/>
      <c r="H3127" s="670" t="e">
        <f>SUM(H3121:H3126)</f>
        <v>#REF!</v>
      </c>
      <c r="I3127" s="670"/>
      <c r="J3127" s="670">
        <f>SUM(J3121:J3126)</f>
        <v>6159</v>
      </c>
      <c r="K3127" s="670"/>
      <c r="L3127" s="670">
        <f>SUM(L3121:L3126)</f>
        <v>184</v>
      </c>
      <c r="M3127" s="670"/>
      <c r="N3127" s="670" t="e">
        <f>SUM(N3121:N3126)</f>
        <v>#REF!</v>
      </c>
      <c r="O3127" s="671"/>
      <c r="P3127" s="672"/>
      <c r="Q3127" s="828"/>
      <c r="T3127" s="690"/>
    </row>
    <row r="3128" spans="1:22" s="688" customFormat="1" ht="17.100000000000001" customHeight="1">
      <c r="A3128" s="668">
        <f>A3120+1</f>
        <v>427</v>
      </c>
      <c r="B3128" s="1320" t="s">
        <v>2260</v>
      </c>
      <c r="C3128" s="1320"/>
      <c r="D3128" s="1320"/>
      <c r="E3128" s="1320"/>
      <c r="F3128" s="669" t="s">
        <v>645</v>
      </c>
      <c r="G3128" s="698"/>
      <c r="H3128" s="698"/>
      <c r="I3128" s="698"/>
      <c r="J3128" s="698"/>
      <c r="K3128" s="670"/>
      <c r="L3128" s="670"/>
      <c r="M3128" s="670"/>
      <c r="N3128" s="698"/>
      <c r="O3128" s="699"/>
      <c r="P3128" s="672"/>
      <c r="Q3128" s="828"/>
    </row>
    <row r="3129" spans="1:22" s="688" customFormat="1" ht="17.100000000000001" customHeight="1">
      <c r="A3129" s="1316" t="s">
        <v>833</v>
      </c>
      <c r="B3129" s="1317"/>
      <c r="C3129" s="1316" t="s">
        <v>834</v>
      </c>
      <c r="D3129" s="1317"/>
      <c r="E3129" s="679">
        <v>12.2</v>
      </c>
      <c r="F3129" s="676" t="s">
        <v>835</v>
      </c>
      <c r="G3129" s="670" t="e">
        <f>#REF!</f>
        <v>#REF!</v>
      </c>
      <c r="H3129" s="670" t="e">
        <f>INT(E3129*G3129)</f>
        <v>#REF!</v>
      </c>
      <c r="I3129" s="670"/>
      <c r="J3129" s="670"/>
      <c r="K3129" s="670"/>
      <c r="L3129" s="670"/>
      <c r="M3129" s="670" t="e">
        <f t="shared" ref="M3129:N3139" si="763">G3129+I3129+K3129</f>
        <v>#REF!</v>
      </c>
      <c r="N3129" s="670" t="e">
        <f t="shared" si="763"/>
        <v>#REF!</v>
      </c>
      <c r="O3129" s="671"/>
      <c r="P3129" s="672"/>
      <c r="Q3129" s="828"/>
    </row>
    <row r="3130" spans="1:22" s="688" customFormat="1" ht="17.100000000000001" customHeight="1">
      <c r="A3130" s="1316" t="s">
        <v>2262</v>
      </c>
      <c r="B3130" s="1317"/>
      <c r="C3130" s="1316" t="s">
        <v>2263</v>
      </c>
      <c r="D3130" s="1317"/>
      <c r="E3130" s="679">
        <v>2.4</v>
      </c>
      <c r="F3130" s="676" t="s">
        <v>835</v>
      </c>
      <c r="G3130" s="670" t="e">
        <f>#REF!</f>
        <v>#REF!</v>
      </c>
      <c r="H3130" s="670" t="e">
        <f>INT(E3130*G3130)</f>
        <v>#REF!</v>
      </c>
      <c r="I3130" s="670"/>
      <c r="J3130" s="670"/>
      <c r="K3130" s="670"/>
      <c r="L3130" s="670"/>
      <c r="M3130" s="670" t="e">
        <f t="shared" si="763"/>
        <v>#REF!</v>
      </c>
      <c r="N3130" s="670" t="e">
        <f t="shared" si="763"/>
        <v>#REF!</v>
      </c>
      <c r="O3130" s="671"/>
      <c r="P3130" s="672"/>
      <c r="Q3130" s="828"/>
    </row>
    <row r="3131" spans="1:22" s="688" customFormat="1" ht="17.100000000000001" customHeight="1">
      <c r="A3131" s="1316" t="s">
        <v>2264</v>
      </c>
      <c r="B3131" s="1317"/>
      <c r="C3131" s="1316"/>
      <c r="D3131" s="1317"/>
      <c r="E3131" s="679">
        <v>1.8</v>
      </c>
      <c r="F3131" s="676" t="s">
        <v>835</v>
      </c>
      <c r="G3131" s="670" t="e">
        <f>#REF!</f>
        <v>#REF!</v>
      </c>
      <c r="H3131" s="670" t="e">
        <f>INT(E3131*G3131)</f>
        <v>#REF!</v>
      </c>
      <c r="I3131" s="670"/>
      <c r="J3131" s="670"/>
      <c r="K3131" s="670"/>
      <c r="L3131" s="670"/>
      <c r="M3131" s="670" t="e">
        <f t="shared" si="763"/>
        <v>#REF!</v>
      </c>
      <c r="N3131" s="670" t="e">
        <f t="shared" si="763"/>
        <v>#REF!</v>
      </c>
      <c r="O3131" s="671"/>
      <c r="P3131" s="672"/>
      <c r="Q3131" s="828"/>
      <c r="U3131" s="617"/>
      <c r="V3131" s="617"/>
    </row>
    <row r="3132" spans="1:22" s="688" customFormat="1" ht="17.100000000000001" customHeight="1">
      <c r="A3132" s="1316" t="s">
        <v>2265</v>
      </c>
      <c r="B3132" s="1317"/>
      <c r="C3132" s="1316"/>
      <c r="D3132" s="1317"/>
      <c r="E3132" s="683">
        <v>5.7099999999999998E-2</v>
      </c>
      <c r="F3132" s="676" t="s">
        <v>366</v>
      </c>
      <c r="G3132" s="670"/>
      <c r="H3132" s="670"/>
      <c r="I3132" s="670">
        <f>[53]노임단가!$BK$6</f>
        <v>263017</v>
      </c>
      <c r="J3132" s="670">
        <f t="shared" ref="J3132:J3139" si="764">INT(E3132*I3132)</f>
        <v>15018</v>
      </c>
      <c r="K3132" s="670"/>
      <c r="L3132" s="670"/>
      <c r="M3132" s="670">
        <f t="shared" si="763"/>
        <v>263017</v>
      </c>
      <c r="N3132" s="670">
        <f t="shared" si="763"/>
        <v>15018</v>
      </c>
      <c r="O3132" s="671"/>
      <c r="P3132" s="672"/>
      <c r="Q3132" s="828"/>
      <c r="U3132" s="617" t="s">
        <v>2267</v>
      </c>
      <c r="V3132" s="617"/>
    </row>
    <row r="3133" spans="1:22" s="688" customFormat="1" ht="17.100000000000001" customHeight="1">
      <c r="A3133" s="1316" t="s">
        <v>540</v>
      </c>
      <c r="B3133" s="1317"/>
      <c r="C3133" s="1316"/>
      <c r="D3133" s="1317"/>
      <c r="E3133" s="683">
        <v>2.86E-2</v>
      </c>
      <c r="F3133" s="676" t="s">
        <v>366</v>
      </c>
      <c r="G3133" s="670"/>
      <c r="H3133" s="670"/>
      <c r="I3133" s="670">
        <f>[53]노임단가!$T$22</f>
        <v>273308</v>
      </c>
      <c r="J3133" s="670">
        <f t="shared" si="764"/>
        <v>7816</v>
      </c>
      <c r="K3133" s="670"/>
      <c r="L3133" s="670"/>
      <c r="M3133" s="670">
        <f t="shared" si="763"/>
        <v>273308</v>
      </c>
      <c r="N3133" s="670">
        <f>H3133+J3133+L3133</f>
        <v>7816</v>
      </c>
      <c r="O3133" s="671"/>
      <c r="P3133" s="672"/>
      <c r="Q3133" s="828"/>
    </row>
    <row r="3134" spans="1:22" s="688" customFormat="1" ht="17.100000000000001" customHeight="1">
      <c r="A3134" s="1316" t="s">
        <v>628</v>
      </c>
      <c r="B3134" s="1317"/>
      <c r="C3134" s="1316"/>
      <c r="D3134" s="1317"/>
      <c r="E3134" s="683">
        <v>2.86E-2</v>
      </c>
      <c r="F3134" s="676" t="s">
        <v>366</v>
      </c>
      <c r="G3134" s="670"/>
      <c r="H3134" s="670"/>
      <c r="I3134" s="670">
        <f>[53]노임단가!$T$6</f>
        <v>226122</v>
      </c>
      <c r="J3134" s="670">
        <f t="shared" si="764"/>
        <v>6467</v>
      </c>
      <c r="K3134" s="670"/>
      <c r="L3134" s="670"/>
      <c r="M3134" s="670">
        <f t="shared" si="763"/>
        <v>226122</v>
      </c>
      <c r="N3134" s="670">
        <f>H3134+J3134+L3134</f>
        <v>6467</v>
      </c>
      <c r="O3134" s="671"/>
      <c r="P3134" s="672"/>
      <c r="Q3134" s="842"/>
      <c r="R3134" s="617"/>
      <c r="S3134" s="617"/>
      <c r="T3134" s="617"/>
    </row>
    <row r="3135" spans="1:22" s="688" customFormat="1" ht="17.100000000000001" customHeight="1">
      <c r="A3135" s="1316" t="s">
        <v>248</v>
      </c>
      <c r="B3135" s="1317"/>
      <c r="C3135" s="1316"/>
      <c r="D3135" s="1317"/>
      <c r="E3135" s="683">
        <v>5.7099999999999998E-2</v>
      </c>
      <c r="F3135" s="676" t="s">
        <v>366</v>
      </c>
      <c r="G3135" s="670"/>
      <c r="H3135" s="670"/>
      <c r="I3135" s="670">
        <f>[53]노임단가!$T$5</f>
        <v>172068</v>
      </c>
      <c r="J3135" s="670">
        <f t="shared" si="764"/>
        <v>9825</v>
      </c>
      <c r="K3135" s="670"/>
      <c r="L3135" s="670"/>
      <c r="M3135" s="670">
        <f t="shared" si="763"/>
        <v>172068</v>
      </c>
      <c r="N3135" s="670">
        <f t="shared" si="763"/>
        <v>9825</v>
      </c>
      <c r="O3135" s="671"/>
      <c r="P3135" s="672"/>
      <c r="Q3135" s="828" t="s">
        <v>2268</v>
      </c>
      <c r="R3135" s="842">
        <f>(1.8*1.8*14/18)</f>
        <v>2.52</v>
      </c>
      <c r="S3135" s="617" t="s">
        <v>645</v>
      </c>
      <c r="T3135" s="617">
        <f>(3.14*0.9^2)/4</f>
        <v>0.63585000000000003</v>
      </c>
    </row>
    <row r="3136" spans="1:22" s="688" customFormat="1" ht="17.100000000000001" customHeight="1">
      <c r="A3136" s="1316" t="s">
        <v>1266</v>
      </c>
      <c r="B3136" s="1317"/>
      <c r="C3136" s="1316" t="s">
        <v>1269</v>
      </c>
      <c r="D3136" s="1317"/>
      <c r="E3136" s="683">
        <v>0.2286</v>
      </c>
      <c r="F3136" s="676" t="s">
        <v>418</v>
      </c>
      <c r="G3136" s="670" t="e">
        <f>#REF!</f>
        <v>#REF!</v>
      </c>
      <c r="H3136" s="670" t="e">
        <f>INT(E3136*G3136)</f>
        <v>#REF!</v>
      </c>
      <c r="I3136" s="670" t="e">
        <f>#REF!</f>
        <v>#REF!</v>
      </c>
      <c r="J3136" s="670" t="e">
        <f t="shared" si="764"/>
        <v>#REF!</v>
      </c>
      <c r="K3136" s="670" t="e">
        <f>#REF!</f>
        <v>#REF!</v>
      </c>
      <c r="L3136" s="670" t="e">
        <f>INT(E3136*K3136)</f>
        <v>#REF!</v>
      </c>
      <c r="M3136" s="670" t="e">
        <f t="shared" si="763"/>
        <v>#REF!</v>
      </c>
      <c r="N3136" s="670" t="e">
        <f t="shared" si="763"/>
        <v>#REF!</v>
      </c>
      <c r="O3136" s="671"/>
      <c r="P3136" s="672"/>
      <c r="Q3136" s="828"/>
      <c r="T3136" s="690"/>
    </row>
    <row r="3137" spans="1:20" s="688" customFormat="1" ht="17.100000000000001" customHeight="1">
      <c r="A3137" s="1316" t="s">
        <v>1220</v>
      </c>
      <c r="B3137" s="1317"/>
      <c r="C3137" s="1316" t="s">
        <v>1221</v>
      </c>
      <c r="D3137" s="1317"/>
      <c r="E3137" s="683">
        <v>0.2286</v>
      </c>
      <c r="F3137" s="676" t="s">
        <v>418</v>
      </c>
      <c r="G3137" s="670" t="e">
        <f>#REF!</f>
        <v>#REF!</v>
      </c>
      <c r="H3137" s="670" t="e">
        <f>INT(E3137*G3137)</f>
        <v>#REF!</v>
      </c>
      <c r="I3137" s="670" t="e">
        <f>#REF!</f>
        <v>#REF!</v>
      </c>
      <c r="J3137" s="670" t="e">
        <f t="shared" si="764"/>
        <v>#REF!</v>
      </c>
      <c r="K3137" s="670" t="e">
        <f>#REF!</f>
        <v>#REF!</v>
      </c>
      <c r="L3137" s="670" t="e">
        <f>INT(E3137*K3137)</f>
        <v>#REF!</v>
      </c>
      <c r="M3137" s="670" t="e">
        <f t="shared" si="763"/>
        <v>#REF!</v>
      </c>
      <c r="N3137" s="670" t="e">
        <f t="shared" si="763"/>
        <v>#REF!</v>
      </c>
      <c r="O3137" s="671"/>
      <c r="P3137" s="672"/>
      <c r="Q3137" s="828"/>
      <c r="T3137" s="690"/>
    </row>
    <row r="3138" spans="1:20" s="688" customFormat="1" ht="17.100000000000001" customHeight="1">
      <c r="A3138" s="1316" t="s">
        <v>554</v>
      </c>
      <c r="B3138" s="1317"/>
      <c r="C3138" s="1316" t="s">
        <v>1181</v>
      </c>
      <c r="D3138" s="1317"/>
      <c r="E3138" s="683">
        <v>0.2286</v>
      </c>
      <c r="F3138" s="676" t="s">
        <v>418</v>
      </c>
      <c r="G3138" s="670" t="e">
        <f>#REF!</f>
        <v>#REF!</v>
      </c>
      <c r="H3138" s="670" t="e">
        <f>INT(E3138*G3138)</f>
        <v>#REF!</v>
      </c>
      <c r="I3138" s="670" t="e">
        <f>#REF!</f>
        <v>#REF!</v>
      </c>
      <c r="J3138" s="670" t="e">
        <f t="shared" si="764"/>
        <v>#REF!</v>
      </c>
      <c r="K3138" s="670" t="e">
        <f>#REF!</f>
        <v>#REF!</v>
      </c>
      <c r="L3138" s="670" t="e">
        <f>INT(E3138*K3138)</f>
        <v>#REF!</v>
      </c>
      <c r="M3138" s="670" t="e">
        <f t="shared" si="763"/>
        <v>#REF!</v>
      </c>
      <c r="N3138" s="670" t="e">
        <f>H3138+J3138+L3138</f>
        <v>#REF!</v>
      </c>
      <c r="O3138" s="671"/>
      <c r="P3138" s="672"/>
      <c r="Q3138" s="828"/>
      <c r="T3138" s="690"/>
    </row>
    <row r="3139" spans="1:20" s="688" customFormat="1" ht="17.100000000000001" customHeight="1">
      <c r="A3139" s="1316" t="s">
        <v>1161</v>
      </c>
      <c r="B3139" s="1317"/>
      <c r="C3139" s="1316" t="s">
        <v>642</v>
      </c>
      <c r="D3139" s="1317"/>
      <c r="E3139" s="683">
        <v>0.2286</v>
      </c>
      <c r="F3139" s="676" t="s">
        <v>418</v>
      </c>
      <c r="G3139" s="670" t="e">
        <f>#REF!</f>
        <v>#REF!</v>
      </c>
      <c r="H3139" s="670" t="e">
        <f>INT(E3139*G3139)</f>
        <v>#REF!</v>
      </c>
      <c r="I3139" s="670" t="e">
        <f>#REF!</f>
        <v>#REF!</v>
      </c>
      <c r="J3139" s="670" t="e">
        <f t="shared" si="764"/>
        <v>#REF!</v>
      </c>
      <c r="K3139" s="670" t="e">
        <f>#REF!</f>
        <v>#REF!</v>
      </c>
      <c r="L3139" s="670" t="e">
        <f>INT(E3139*K3139)</f>
        <v>#REF!</v>
      </c>
      <c r="M3139" s="670" t="e">
        <f t="shared" si="763"/>
        <v>#REF!</v>
      </c>
      <c r="N3139" s="670" t="e">
        <f>H3139+J3139+L3139</f>
        <v>#REF!</v>
      </c>
      <c r="O3139" s="671"/>
      <c r="P3139" s="672"/>
      <c r="Q3139" s="828"/>
      <c r="T3139" s="690"/>
    </row>
    <row r="3140" spans="1:20" s="688" customFormat="1" ht="17.100000000000001" customHeight="1">
      <c r="A3140" s="1316" t="s">
        <v>1485</v>
      </c>
      <c r="B3140" s="1317"/>
      <c r="C3140" s="1316" t="s">
        <v>1469</v>
      </c>
      <c r="D3140" s="1317"/>
      <c r="E3140" s="675">
        <v>0.05</v>
      </c>
      <c r="F3140" s="676" t="s">
        <v>672</v>
      </c>
      <c r="G3140" s="670">
        <f>J3132+J3133+J3134+J3135</f>
        <v>39126</v>
      </c>
      <c r="H3140" s="670">
        <f>INT(E3140*G3140)</f>
        <v>1956</v>
      </c>
      <c r="I3140" s="670"/>
      <c r="J3140" s="670"/>
      <c r="K3140" s="791"/>
      <c r="L3140" s="791"/>
      <c r="M3140" s="670">
        <f>G3140+I3140+K3140</f>
        <v>39126</v>
      </c>
      <c r="N3140" s="670">
        <f>H3140+J3140+L3140</f>
        <v>1956</v>
      </c>
      <c r="O3140" s="671"/>
      <c r="P3140" s="672"/>
      <c r="Q3140" s="828"/>
      <c r="T3140" s="690"/>
    </row>
    <row r="3141" spans="1:20" s="688" customFormat="1" ht="17.100000000000001" customHeight="1">
      <c r="A3141" s="1318" t="s">
        <v>1320</v>
      </c>
      <c r="B3141" s="1319"/>
      <c r="C3141" s="1316"/>
      <c r="D3141" s="1317"/>
      <c r="E3141" s="686"/>
      <c r="F3141" s="676"/>
      <c r="G3141" s="670"/>
      <c r="H3141" s="670" t="e">
        <f>SUM(H3129:H3140)</f>
        <v>#REF!</v>
      </c>
      <c r="I3141" s="670"/>
      <c r="J3141" s="670" t="e">
        <f>SUM(J3129:J3140)</f>
        <v>#REF!</v>
      </c>
      <c r="K3141" s="670"/>
      <c r="L3141" s="670" t="e">
        <f>SUM(L3129:L3140)</f>
        <v>#REF!</v>
      </c>
      <c r="M3141" s="670"/>
      <c r="N3141" s="670" t="e">
        <f>SUM(N3129:N3140)</f>
        <v>#REF!</v>
      </c>
      <c r="O3141" s="671"/>
      <c r="P3141" s="672"/>
      <c r="Q3141" s="828"/>
      <c r="T3141" s="690"/>
    </row>
    <row r="3142" spans="1:20" s="688" customFormat="1" ht="17.100000000000001" customHeight="1">
      <c r="A3142" s="668">
        <f>A3128+1</f>
        <v>428</v>
      </c>
      <c r="B3142" s="1320" t="s">
        <v>2269</v>
      </c>
      <c r="C3142" s="1320"/>
      <c r="D3142" s="1320" t="s">
        <v>2270</v>
      </c>
      <c r="E3142" s="1320"/>
      <c r="F3142" s="669" t="s">
        <v>575</v>
      </c>
      <c r="G3142" s="698"/>
      <c r="H3142" s="698"/>
      <c r="I3142" s="698"/>
      <c r="J3142" s="698"/>
      <c r="K3142" s="670"/>
      <c r="L3142" s="670"/>
      <c r="M3142" s="670"/>
      <c r="N3142" s="698"/>
      <c r="O3142" s="699" t="s">
        <v>1562</v>
      </c>
      <c r="P3142" s="672"/>
      <c r="Q3142" s="828"/>
      <c r="T3142" s="690"/>
    </row>
    <row r="3143" spans="1:20" s="688" customFormat="1" ht="17.100000000000001" customHeight="1">
      <c r="A3143" s="1316" t="s">
        <v>2271</v>
      </c>
      <c r="B3143" s="1317"/>
      <c r="C3143" s="1316" t="s">
        <v>2272</v>
      </c>
      <c r="D3143" s="1317"/>
      <c r="E3143" s="677">
        <v>1</v>
      </c>
      <c r="F3143" s="676" t="s">
        <v>1828</v>
      </c>
      <c r="G3143" s="670"/>
      <c r="H3143" s="670"/>
      <c r="I3143" s="670"/>
      <c r="J3143" s="670"/>
      <c r="K3143" s="670"/>
      <c r="L3143" s="670"/>
      <c r="M3143" s="670"/>
      <c r="N3143" s="670"/>
      <c r="O3143" s="671"/>
      <c r="P3143" s="672"/>
      <c r="Q3143" s="828" t="s">
        <v>1935</v>
      </c>
      <c r="R3143" s="688" t="s">
        <v>2273</v>
      </c>
      <c r="S3143" s="688" t="s">
        <v>1425</v>
      </c>
      <c r="T3143" s="688" t="s">
        <v>1426</v>
      </c>
    </row>
    <row r="3144" spans="1:20" s="688" customFormat="1" ht="17.100000000000001" customHeight="1">
      <c r="A3144" s="1316" t="str">
        <f>$B$3166</f>
        <v>맨홀보수</v>
      </c>
      <c r="B3144" s="1317"/>
      <c r="C3144" s="1316" t="str">
        <f>$D$3166</f>
        <v>하수 Φ648(조절높이 0mm)</v>
      </c>
      <c r="D3144" s="1317"/>
      <c r="E3144" s="677">
        <v>1</v>
      </c>
      <c r="F3144" s="676" t="str">
        <f>$F$3166</f>
        <v>개소</v>
      </c>
      <c r="G3144" s="670" t="e">
        <f>$H$3173</f>
        <v>#REF!</v>
      </c>
      <c r="H3144" s="670" t="e">
        <f>INT(E3144*G3144)</f>
        <v>#REF!</v>
      </c>
      <c r="I3144" s="670">
        <f>$J$3173</f>
        <v>451790</v>
      </c>
      <c r="J3144" s="670">
        <f>INT(E3144*I3144)</f>
        <v>451790</v>
      </c>
      <c r="K3144" s="670"/>
      <c r="L3144" s="670"/>
      <c r="M3144" s="670" t="e">
        <f>G3144+I3144+K3144</f>
        <v>#REF!</v>
      </c>
      <c r="N3144" s="670" t="e">
        <f>H3144+J3144+L3144</f>
        <v>#REF!</v>
      </c>
      <c r="O3144" s="671">
        <f>$A$3166</f>
        <v>434</v>
      </c>
      <c r="P3144" s="672"/>
      <c r="Q3144" s="828">
        <v>3</v>
      </c>
      <c r="R3144" s="688">
        <f>(Q3144)</f>
        <v>3</v>
      </c>
      <c r="T3144" s="690">
        <f>ROUND(S3144/R3144,4)</f>
        <v>0</v>
      </c>
    </row>
    <row r="3145" spans="1:20" s="688" customFormat="1" ht="17.100000000000001" customHeight="1">
      <c r="A3145" s="1318" t="s">
        <v>1320</v>
      </c>
      <c r="B3145" s="1319"/>
      <c r="C3145" s="1316"/>
      <c r="D3145" s="1317"/>
      <c r="E3145" s="686"/>
      <c r="F3145" s="676"/>
      <c r="G3145" s="670"/>
      <c r="H3145" s="670" t="e">
        <f>SUM(H3143:H3144)</f>
        <v>#REF!</v>
      </c>
      <c r="I3145" s="670"/>
      <c r="J3145" s="670">
        <f>SUM(J3143:J3144)</f>
        <v>451790</v>
      </c>
      <c r="K3145" s="670"/>
      <c r="L3145" s="670"/>
      <c r="M3145" s="670"/>
      <c r="N3145" s="670" t="e">
        <f>SUM(N3143:N3144)</f>
        <v>#REF!</v>
      </c>
      <c r="O3145" s="671"/>
      <c r="P3145" s="672"/>
      <c r="Q3145" s="828">
        <f t="shared" ref="Q3145:R3148" si="765">Q3144</f>
        <v>3</v>
      </c>
      <c r="R3145" s="688">
        <f t="shared" si="765"/>
        <v>3</v>
      </c>
      <c r="T3145" s="690">
        <f>ROUND(S3145/R3145,4)</f>
        <v>0</v>
      </c>
    </row>
    <row r="3146" spans="1:20" s="665" customFormat="1" ht="17.100000000000001" customHeight="1">
      <c r="A3146" s="668">
        <f>A3142+1</f>
        <v>429</v>
      </c>
      <c r="B3146" s="1320" t="s">
        <v>2269</v>
      </c>
      <c r="C3146" s="1320"/>
      <c r="D3146" s="1320" t="s">
        <v>2274</v>
      </c>
      <c r="E3146" s="1320"/>
      <c r="F3146" s="669" t="s">
        <v>575</v>
      </c>
      <c r="G3146" s="698"/>
      <c r="H3146" s="698"/>
      <c r="I3146" s="698"/>
      <c r="J3146" s="698"/>
      <c r="K3146" s="670"/>
      <c r="L3146" s="670"/>
      <c r="M3146" s="670"/>
      <c r="N3146" s="698"/>
      <c r="O3146" s="699" t="s">
        <v>1562</v>
      </c>
      <c r="P3146" s="672"/>
      <c r="Q3146" s="828">
        <f t="shared" si="765"/>
        <v>3</v>
      </c>
      <c r="R3146" s="688">
        <f t="shared" si="765"/>
        <v>3</v>
      </c>
      <c r="S3146" s="688"/>
      <c r="T3146" s="690">
        <f>ROUND(S3146/R3146,4)</f>
        <v>0</v>
      </c>
    </row>
    <row r="3147" spans="1:20" s="688" customFormat="1" ht="17.100000000000001" customHeight="1">
      <c r="A3147" s="1316" t="s">
        <v>2271</v>
      </c>
      <c r="B3147" s="1317"/>
      <c r="C3147" s="1316" t="s">
        <v>2275</v>
      </c>
      <c r="D3147" s="1317"/>
      <c r="E3147" s="677">
        <v>1</v>
      </c>
      <c r="F3147" s="676" t="s">
        <v>1828</v>
      </c>
      <c r="G3147" s="670"/>
      <c r="H3147" s="670"/>
      <c r="I3147" s="670"/>
      <c r="J3147" s="670"/>
      <c r="K3147" s="670"/>
      <c r="L3147" s="670"/>
      <c r="M3147" s="670"/>
      <c r="N3147" s="670"/>
      <c r="O3147" s="671"/>
      <c r="P3147" s="672"/>
      <c r="Q3147" s="828">
        <f t="shared" si="765"/>
        <v>3</v>
      </c>
      <c r="R3147" s="688">
        <f t="shared" si="765"/>
        <v>3</v>
      </c>
      <c r="S3147" s="688">
        <v>2</v>
      </c>
      <c r="T3147" s="690">
        <f>ROUND(S3147/R3147,4)</f>
        <v>0.66669999999999996</v>
      </c>
    </row>
    <row r="3148" spans="1:20" s="688" customFormat="1" ht="17.100000000000001" customHeight="1">
      <c r="A3148" s="1316" t="str">
        <f>$B$3174</f>
        <v>맨홀보수</v>
      </c>
      <c r="B3148" s="1317"/>
      <c r="C3148" s="1316" t="str">
        <f>$D$3174</f>
        <v>상수 Φ648(조절높이 0mm)</v>
      </c>
      <c r="D3148" s="1317"/>
      <c r="E3148" s="677">
        <v>1</v>
      </c>
      <c r="F3148" s="676" t="str">
        <f>$F$3174</f>
        <v>개소</v>
      </c>
      <c r="G3148" s="670" t="e">
        <f>$H$3181</f>
        <v>#REF!</v>
      </c>
      <c r="H3148" s="670" t="e">
        <f>INT(E3148*G3148)</f>
        <v>#REF!</v>
      </c>
      <c r="I3148" s="670">
        <f>$J$3181</f>
        <v>580993</v>
      </c>
      <c r="J3148" s="670">
        <f>INT(E3148*I3148)</f>
        <v>580993</v>
      </c>
      <c r="K3148" s="670"/>
      <c r="L3148" s="670"/>
      <c r="M3148" s="670" t="e">
        <f>G3148+I3148+K3148</f>
        <v>#REF!</v>
      </c>
      <c r="N3148" s="670" t="e">
        <f>H3148+J3148+L3148</f>
        <v>#REF!</v>
      </c>
      <c r="O3148" s="671">
        <f>$A$3174</f>
        <v>435</v>
      </c>
      <c r="P3148" s="672"/>
      <c r="Q3148" s="828">
        <f t="shared" si="765"/>
        <v>3</v>
      </c>
      <c r="R3148" s="688">
        <f t="shared" si="765"/>
        <v>3</v>
      </c>
      <c r="S3148" s="688">
        <v>3</v>
      </c>
      <c r="T3148" s="690">
        <f>ROUND(S3148/R3148,4)</f>
        <v>1</v>
      </c>
    </row>
    <row r="3149" spans="1:20" s="688" customFormat="1" ht="17.100000000000001" customHeight="1">
      <c r="A3149" s="1318" t="s">
        <v>1320</v>
      </c>
      <c r="B3149" s="1319"/>
      <c r="C3149" s="1316"/>
      <c r="D3149" s="1317"/>
      <c r="E3149" s="686"/>
      <c r="F3149" s="676"/>
      <c r="G3149" s="670"/>
      <c r="H3149" s="670" t="e">
        <f>SUM(H3147:H3148)</f>
        <v>#REF!</v>
      </c>
      <c r="I3149" s="670"/>
      <c r="J3149" s="670">
        <f>SUM(J3147:J3148)</f>
        <v>580993</v>
      </c>
      <c r="K3149" s="670"/>
      <c r="L3149" s="670"/>
      <c r="M3149" s="670"/>
      <c r="N3149" s="670" t="e">
        <f>SUM(N3147:N3148)</f>
        <v>#REF!</v>
      </c>
      <c r="O3149" s="671"/>
      <c r="P3149" s="672"/>
      <c r="Q3149" s="665"/>
      <c r="R3149" s="665"/>
    </row>
    <row r="3150" spans="1:20" s="688" customFormat="1" ht="17.100000000000001" customHeight="1">
      <c r="A3150" s="668">
        <f>A3146+1</f>
        <v>430</v>
      </c>
      <c r="B3150" s="1320" t="s">
        <v>2269</v>
      </c>
      <c r="C3150" s="1320"/>
      <c r="D3150" s="1320" t="s">
        <v>2276</v>
      </c>
      <c r="E3150" s="1320"/>
      <c r="F3150" s="669" t="s">
        <v>575</v>
      </c>
      <c r="G3150" s="698"/>
      <c r="H3150" s="698"/>
      <c r="I3150" s="698"/>
      <c r="J3150" s="698"/>
      <c r="K3150" s="670"/>
      <c r="L3150" s="670"/>
      <c r="M3150" s="670"/>
      <c r="N3150" s="698"/>
      <c r="O3150" s="699" t="s">
        <v>1562</v>
      </c>
      <c r="P3150" s="672"/>
      <c r="Q3150" s="828" t="s">
        <v>2277</v>
      </c>
      <c r="S3150" s="665"/>
      <c r="T3150" s="665"/>
    </row>
    <row r="3151" spans="1:20" s="688" customFormat="1" ht="17.100000000000001" customHeight="1">
      <c r="A3151" s="1316" t="s">
        <v>2271</v>
      </c>
      <c r="B3151" s="1317"/>
      <c r="C3151" s="1316" t="s">
        <v>2278</v>
      </c>
      <c r="D3151" s="1317"/>
      <c r="E3151" s="677">
        <v>1</v>
      </c>
      <c r="F3151" s="676" t="s">
        <v>1828</v>
      </c>
      <c r="G3151" s="670"/>
      <c r="H3151" s="670"/>
      <c r="I3151" s="670"/>
      <c r="J3151" s="670"/>
      <c r="K3151" s="670"/>
      <c r="L3151" s="670"/>
      <c r="M3151" s="670"/>
      <c r="N3151" s="670"/>
      <c r="O3151" s="671"/>
      <c r="P3151" s="672"/>
      <c r="Q3151" s="828" t="s">
        <v>2277</v>
      </c>
    </row>
    <row r="3152" spans="1:20" s="688" customFormat="1" ht="17.100000000000001" customHeight="1">
      <c r="A3152" s="1316" t="str">
        <f>$B$3182</f>
        <v>맨홀보수</v>
      </c>
      <c r="B3152" s="1317"/>
      <c r="C3152" s="1316" t="str">
        <f>$D$3182</f>
        <v>Φ766(조절높이 0mm)</v>
      </c>
      <c r="D3152" s="1317"/>
      <c r="E3152" s="677">
        <v>1</v>
      </c>
      <c r="F3152" s="676" t="str">
        <f>$F$3182</f>
        <v>개소</v>
      </c>
      <c r="G3152" s="670" t="e">
        <f>$H$3189</f>
        <v>#REF!</v>
      </c>
      <c r="H3152" s="670" t="e">
        <f>INT(E3152*G3152)</f>
        <v>#REF!</v>
      </c>
      <c r="I3152" s="670">
        <f>$J$3189</f>
        <v>451790</v>
      </c>
      <c r="J3152" s="670">
        <f>INT(E3152*I3152)</f>
        <v>451790</v>
      </c>
      <c r="K3152" s="670"/>
      <c r="L3152" s="670"/>
      <c r="M3152" s="670" t="e">
        <f>G3152+I3152+K3152</f>
        <v>#REF!</v>
      </c>
      <c r="N3152" s="670" t="e">
        <f>H3152+J3152+L3152</f>
        <v>#REF!</v>
      </c>
      <c r="O3152" s="671">
        <f>$A$3182</f>
        <v>436</v>
      </c>
      <c r="P3152" s="672"/>
      <c r="Q3152" s="828" t="s">
        <v>2277</v>
      </c>
    </row>
    <row r="3153" spans="1:20" s="688" customFormat="1" ht="17.100000000000001" customHeight="1">
      <c r="A3153" s="1318" t="s">
        <v>1320</v>
      </c>
      <c r="B3153" s="1319"/>
      <c r="C3153" s="1316"/>
      <c r="D3153" s="1317"/>
      <c r="E3153" s="686"/>
      <c r="F3153" s="676"/>
      <c r="G3153" s="670"/>
      <c r="H3153" s="670" t="e">
        <f>SUM(H3151:H3152)</f>
        <v>#REF!</v>
      </c>
      <c r="I3153" s="670"/>
      <c r="J3153" s="670">
        <f>SUM(J3151:J3152)</f>
        <v>451790</v>
      </c>
      <c r="K3153" s="670"/>
      <c r="L3153" s="670"/>
      <c r="M3153" s="670"/>
      <c r="N3153" s="670" t="e">
        <f>SUM(N3151:N3152)</f>
        <v>#REF!</v>
      </c>
      <c r="O3153" s="671"/>
      <c r="P3153" s="672"/>
      <c r="Q3153" s="828" t="s">
        <v>2277</v>
      </c>
    </row>
    <row r="3154" spans="1:20" s="665" customFormat="1" ht="17.100000000000001" customHeight="1">
      <c r="A3154" s="668">
        <f>A3150+1</f>
        <v>431</v>
      </c>
      <c r="B3154" s="1320" t="s">
        <v>2269</v>
      </c>
      <c r="C3154" s="1320"/>
      <c r="D3154" s="1320" t="s">
        <v>2279</v>
      </c>
      <c r="E3154" s="1320"/>
      <c r="F3154" s="669" t="s">
        <v>575</v>
      </c>
      <c r="G3154" s="698"/>
      <c r="H3154" s="698"/>
      <c r="I3154" s="698"/>
      <c r="J3154" s="698"/>
      <c r="K3154" s="670"/>
      <c r="L3154" s="670"/>
      <c r="M3154" s="670"/>
      <c r="N3154" s="698"/>
      <c r="O3154" s="699" t="s">
        <v>1562</v>
      </c>
      <c r="P3154" s="672"/>
      <c r="Q3154" s="828" t="s">
        <v>2277</v>
      </c>
      <c r="R3154" s="688"/>
      <c r="S3154" s="688"/>
      <c r="T3154" s="688"/>
    </row>
    <row r="3155" spans="1:20" s="688" customFormat="1" ht="17.100000000000001" customHeight="1">
      <c r="A3155" s="1316" t="s">
        <v>2271</v>
      </c>
      <c r="B3155" s="1317"/>
      <c r="C3155" s="1316" t="s">
        <v>2280</v>
      </c>
      <c r="D3155" s="1317"/>
      <c r="E3155" s="677">
        <v>1</v>
      </c>
      <c r="F3155" s="676" t="s">
        <v>1828</v>
      </c>
      <c r="G3155" s="670"/>
      <c r="H3155" s="670"/>
      <c r="I3155" s="670"/>
      <c r="J3155" s="670"/>
      <c r="K3155" s="670"/>
      <c r="L3155" s="670"/>
      <c r="M3155" s="670"/>
      <c r="N3155" s="670"/>
      <c r="O3155" s="671"/>
      <c r="P3155" s="672"/>
      <c r="Q3155" s="828" t="s">
        <v>2277</v>
      </c>
    </row>
    <row r="3156" spans="1:20" s="688" customFormat="1" ht="17.100000000000001" customHeight="1">
      <c r="A3156" s="1316" t="str">
        <f>$B$3190</f>
        <v>맨홀보수</v>
      </c>
      <c r="B3156" s="1317"/>
      <c r="C3156" s="1316" t="str">
        <f>$D$3190</f>
        <v>Φ918(조절높이 0mm)</v>
      </c>
      <c r="D3156" s="1317"/>
      <c r="E3156" s="677">
        <v>1</v>
      </c>
      <c r="F3156" s="676" t="str">
        <f>$F$3190</f>
        <v>개소</v>
      </c>
      <c r="G3156" s="670" t="e">
        <f>$H$3197</f>
        <v>#REF!</v>
      </c>
      <c r="H3156" s="670" t="e">
        <f>INT(E3156*G3156)</f>
        <v>#REF!</v>
      </c>
      <c r="I3156" s="670">
        <f>$J$3197</f>
        <v>451790</v>
      </c>
      <c r="J3156" s="670">
        <f>INT(E3156*I3156)</f>
        <v>451790</v>
      </c>
      <c r="K3156" s="670"/>
      <c r="L3156" s="670"/>
      <c r="M3156" s="670" t="e">
        <f>G3156+I3156+K3156</f>
        <v>#REF!</v>
      </c>
      <c r="N3156" s="670" t="e">
        <f>H3156+J3156+L3156</f>
        <v>#REF!</v>
      </c>
      <c r="O3156" s="671">
        <f>$A$3190</f>
        <v>437</v>
      </c>
      <c r="P3156" s="672"/>
      <c r="Q3156" s="828" t="s">
        <v>2277</v>
      </c>
    </row>
    <row r="3157" spans="1:20" s="688" customFormat="1" ht="17.100000000000001" customHeight="1">
      <c r="A3157" s="1318" t="s">
        <v>1320</v>
      </c>
      <c r="B3157" s="1319"/>
      <c r="C3157" s="1316"/>
      <c r="D3157" s="1317"/>
      <c r="E3157" s="686"/>
      <c r="F3157" s="676"/>
      <c r="G3157" s="670"/>
      <c r="H3157" s="670" t="e">
        <f>SUM(H3155:H3156)</f>
        <v>#REF!</v>
      </c>
      <c r="I3157" s="670"/>
      <c r="J3157" s="670">
        <f>SUM(J3155:J3156)</f>
        <v>451790</v>
      </c>
      <c r="K3157" s="670"/>
      <c r="L3157" s="670"/>
      <c r="M3157" s="670"/>
      <c r="N3157" s="670" t="e">
        <f>SUM(N3155:N3156)</f>
        <v>#REF!</v>
      </c>
      <c r="O3157" s="671"/>
      <c r="P3157" s="672"/>
      <c r="Q3157" s="828" t="s">
        <v>2277</v>
      </c>
      <c r="R3157" s="665"/>
    </row>
    <row r="3158" spans="1:20" s="688" customFormat="1" ht="17.100000000000001" customHeight="1">
      <c r="A3158" s="668">
        <f>A3154+1</f>
        <v>432</v>
      </c>
      <c r="B3158" s="1320" t="s">
        <v>2269</v>
      </c>
      <c r="C3158" s="1320"/>
      <c r="D3158" s="1320" t="s">
        <v>2281</v>
      </c>
      <c r="E3158" s="1320"/>
      <c r="F3158" s="669" t="s">
        <v>575</v>
      </c>
      <c r="G3158" s="698"/>
      <c r="H3158" s="698"/>
      <c r="I3158" s="698"/>
      <c r="J3158" s="698"/>
      <c r="K3158" s="670"/>
      <c r="L3158" s="670"/>
      <c r="M3158" s="670"/>
      <c r="N3158" s="698"/>
      <c r="O3158" s="699" t="s">
        <v>1562</v>
      </c>
      <c r="P3158" s="672"/>
      <c r="Q3158" s="828" t="s">
        <v>2277</v>
      </c>
      <c r="S3158" s="665"/>
      <c r="T3158" s="665"/>
    </row>
    <row r="3159" spans="1:20" s="688" customFormat="1" ht="17.100000000000001" customHeight="1">
      <c r="A3159" s="1316" t="s">
        <v>2271</v>
      </c>
      <c r="B3159" s="1317"/>
      <c r="C3159" s="1316" t="s">
        <v>2282</v>
      </c>
      <c r="D3159" s="1317"/>
      <c r="E3159" s="677">
        <v>1</v>
      </c>
      <c r="F3159" s="676" t="s">
        <v>1828</v>
      </c>
      <c r="G3159" s="670"/>
      <c r="H3159" s="670"/>
      <c r="I3159" s="670"/>
      <c r="J3159" s="670"/>
      <c r="K3159" s="670"/>
      <c r="L3159" s="670"/>
      <c r="M3159" s="670"/>
      <c r="N3159" s="670"/>
      <c r="O3159" s="699"/>
      <c r="P3159" s="672"/>
      <c r="Q3159" s="828" t="s">
        <v>2277</v>
      </c>
    </row>
    <row r="3160" spans="1:20" s="688" customFormat="1" ht="17.100000000000001" customHeight="1">
      <c r="A3160" s="1316" t="str">
        <f>$B$3206</f>
        <v>맨홀보수</v>
      </c>
      <c r="B3160" s="1317"/>
      <c r="C3160" s="1316" t="str">
        <f>$D$3206</f>
        <v>전기,통신620×1020(조절높이 0mm)</v>
      </c>
      <c r="D3160" s="1317"/>
      <c r="E3160" s="677">
        <v>1</v>
      </c>
      <c r="F3160" s="676" t="str">
        <f>$F$3206</f>
        <v>개소</v>
      </c>
      <c r="G3160" s="670" t="e">
        <f>$H$3213</f>
        <v>#REF!</v>
      </c>
      <c r="H3160" s="670" t="e">
        <f>INT(E3160*G3160)</f>
        <v>#REF!</v>
      </c>
      <c r="I3160" s="670">
        <f>$J$3213</f>
        <v>451790</v>
      </c>
      <c r="J3160" s="670">
        <f>INT(E3160*I3160)</f>
        <v>451790</v>
      </c>
      <c r="K3160" s="670"/>
      <c r="L3160" s="670"/>
      <c r="M3160" s="670" t="e">
        <f>G3160+I3160+K3160</f>
        <v>#REF!</v>
      </c>
      <c r="N3160" s="670" t="e">
        <f>H3160+J3160+L3160</f>
        <v>#REF!</v>
      </c>
      <c r="O3160" s="671">
        <f>$A$3206</f>
        <v>439</v>
      </c>
      <c r="P3160" s="672"/>
      <c r="Q3160" s="828" t="s">
        <v>2277</v>
      </c>
    </row>
    <row r="3161" spans="1:20" s="688" customFormat="1" ht="17.100000000000001" customHeight="1">
      <c r="A3161" s="1318" t="s">
        <v>1320</v>
      </c>
      <c r="B3161" s="1319"/>
      <c r="C3161" s="1316"/>
      <c r="D3161" s="1317"/>
      <c r="E3161" s="686"/>
      <c r="F3161" s="676"/>
      <c r="G3161" s="670"/>
      <c r="H3161" s="670" t="e">
        <f>SUM(H3159:H3160)</f>
        <v>#REF!</v>
      </c>
      <c r="I3161" s="670"/>
      <c r="J3161" s="670">
        <f>SUM(J3159:J3160)</f>
        <v>451790</v>
      </c>
      <c r="K3161" s="670"/>
      <c r="L3161" s="670"/>
      <c r="M3161" s="670"/>
      <c r="N3161" s="670" t="e">
        <f>SUM(N3159:N3160)</f>
        <v>#REF!</v>
      </c>
      <c r="O3161" s="671"/>
      <c r="P3161" s="672"/>
      <c r="Q3161" s="828" t="s">
        <v>2277</v>
      </c>
    </row>
    <row r="3162" spans="1:20" s="665" customFormat="1" ht="17.100000000000001" customHeight="1">
      <c r="A3162" s="668">
        <f>A3158+1</f>
        <v>433</v>
      </c>
      <c r="B3162" s="1320" t="s">
        <v>2269</v>
      </c>
      <c r="C3162" s="1320"/>
      <c r="D3162" s="1320" t="s">
        <v>2283</v>
      </c>
      <c r="E3162" s="1320"/>
      <c r="F3162" s="669" t="s">
        <v>575</v>
      </c>
      <c r="G3162" s="698"/>
      <c r="H3162" s="698"/>
      <c r="I3162" s="698"/>
      <c r="J3162" s="698"/>
      <c r="K3162" s="670"/>
      <c r="L3162" s="670"/>
      <c r="M3162" s="670"/>
      <c r="N3162" s="698"/>
      <c r="O3162" s="699" t="s">
        <v>1562</v>
      </c>
      <c r="P3162" s="672"/>
      <c r="Q3162" s="828" t="s">
        <v>2277</v>
      </c>
      <c r="R3162" s="688"/>
      <c r="S3162" s="688"/>
      <c r="T3162" s="688"/>
    </row>
    <row r="3163" spans="1:20" s="688" customFormat="1" ht="17.100000000000001" customHeight="1">
      <c r="A3163" s="1316" t="s">
        <v>2271</v>
      </c>
      <c r="B3163" s="1317"/>
      <c r="C3163" s="1316" t="s">
        <v>2284</v>
      </c>
      <c r="D3163" s="1317"/>
      <c r="E3163" s="677">
        <v>1</v>
      </c>
      <c r="F3163" s="676" t="s">
        <v>1828</v>
      </c>
      <c r="G3163" s="670"/>
      <c r="H3163" s="670"/>
      <c r="I3163" s="670"/>
      <c r="J3163" s="670"/>
      <c r="K3163" s="670"/>
      <c r="L3163" s="670"/>
      <c r="M3163" s="670"/>
      <c r="N3163" s="670"/>
      <c r="O3163" s="671"/>
      <c r="P3163" s="672"/>
      <c r="Q3163" s="828" t="s">
        <v>2277</v>
      </c>
    </row>
    <row r="3164" spans="1:20" s="688" customFormat="1" ht="17.100000000000001" customHeight="1">
      <c r="A3164" s="1316" t="str">
        <f>$B$3214</f>
        <v>맨홀보수</v>
      </c>
      <c r="B3164" s="1317"/>
      <c r="C3164" s="1316" t="str">
        <f>$D$3214</f>
        <v>가로등,신호등500×500(조절높이 0mm)</v>
      </c>
      <c r="D3164" s="1317"/>
      <c r="E3164" s="677">
        <v>1</v>
      </c>
      <c r="F3164" s="676" t="str">
        <f>$F$3214</f>
        <v>개소</v>
      </c>
      <c r="G3164" s="670" t="e">
        <f>$H$3221</f>
        <v>#REF!</v>
      </c>
      <c r="H3164" s="670" t="e">
        <f>INT(E3164*G3164)</f>
        <v>#REF!</v>
      </c>
      <c r="I3164" s="670">
        <f>$J$3221</f>
        <v>365756</v>
      </c>
      <c r="J3164" s="670">
        <f>INT(E3164*I3164)</f>
        <v>365756</v>
      </c>
      <c r="K3164" s="670"/>
      <c r="L3164" s="670"/>
      <c r="M3164" s="670" t="e">
        <f>G3164+I3164+K3164</f>
        <v>#REF!</v>
      </c>
      <c r="N3164" s="670" t="e">
        <f>H3164+J3164+L3164</f>
        <v>#REF!</v>
      </c>
      <c r="O3164" s="671">
        <f>$A$3214</f>
        <v>440</v>
      </c>
      <c r="P3164" s="672"/>
      <c r="Q3164" s="828" t="s">
        <v>2277</v>
      </c>
    </row>
    <row r="3165" spans="1:20" s="688" customFormat="1" ht="17.100000000000001" customHeight="1">
      <c r="A3165" s="1318" t="s">
        <v>1320</v>
      </c>
      <c r="B3165" s="1319"/>
      <c r="C3165" s="1316"/>
      <c r="D3165" s="1317"/>
      <c r="E3165" s="686"/>
      <c r="F3165" s="676"/>
      <c r="G3165" s="670"/>
      <c r="H3165" s="670" t="e">
        <f>SUM(H3163:H3164)</f>
        <v>#REF!</v>
      </c>
      <c r="I3165" s="670"/>
      <c r="J3165" s="670">
        <f>SUM(J3163:J3164)</f>
        <v>365756</v>
      </c>
      <c r="K3165" s="670"/>
      <c r="L3165" s="670"/>
      <c r="M3165" s="670"/>
      <c r="N3165" s="670" t="e">
        <f>SUM(N3163:N3164)</f>
        <v>#REF!</v>
      </c>
      <c r="O3165" s="671"/>
      <c r="P3165" s="672"/>
      <c r="Q3165" s="828" t="s">
        <v>2277</v>
      </c>
      <c r="R3165" s="665"/>
    </row>
    <row r="3166" spans="1:20" s="688" customFormat="1" ht="17.100000000000001" customHeight="1">
      <c r="A3166" s="668">
        <f>A3162+1</f>
        <v>434</v>
      </c>
      <c r="B3166" s="1320" t="s">
        <v>2285</v>
      </c>
      <c r="C3166" s="1320"/>
      <c r="D3166" s="1320" t="s">
        <v>2286</v>
      </c>
      <c r="E3166" s="1320"/>
      <c r="F3166" s="669" t="s">
        <v>575</v>
      </c>
      <c r="G3166" s="698"/>
      <c r="H3166" s="698"/>
      <c r="I3166" s="698"/>
      <c r="J3166" s="698"/>
      <c r="K3166" s="670"/>
      <c r="L3166" s="670"/>
      <c r="M3166" s="670"/>
      <c r="N3166" s="698"/>
      <c r="O3166" s="699"/>
      <c r="P3166" s="672"/>
      <c r="Q3166" s="828" t="s">
        <v>2277</v>
      </c>
      <c r="S3166" s="665"/>
      <c r="T3166" s="665"/>
    </row>
    <row r="3167" spans="1:20" s="688" customFormat="1" ht="17.100000000000001" customHeight="1">
      <c r="A3167" s="1316" t="str">
        <f>$B$3222</f>
        <v>프라이머</v>
      </c>
      <c r="B3167" s="1317"/>
      <c r="C3167" s="1316" t="str">
        <f>$D$3222</f>
        <v>맨홀보수용</v>
      </c>
      <c r="D3167" s="1317"/>
      <c r="E3167" s="675">
        <v>0.78</v>
      </c>
      <c r="F3167" s="676" t="str">
        <f>$F$3222</f>
        <v>m3</v>
      </c>
      <c r="G3167" s="670" t="e">
        <f>$H$3225</f>
        <v>#REF!</v>
      </c>
      <c r="H3167" s="670" t="e">
        <f>INT(E3167*G3167)</f>
        <v>#REF!</v>
      </c>
      <c r="I3167" s="670"/>
      <c r="J3167" s="670"/>
      <c r="K3167" s="670"/>
      <c r="L3167" s="670"/>
      <c r="M3167" s="670" t="e">
        <f t="shared" ref="M3167:N3172" si="766">G3167+I3167+K3167</f>
        <v>#REF!</v>
      </c>
      <c r="N3167" s="670" t="e">
        <f t="shared" si="766"/>
        <v>#REF!</v>
      </c>
      <c r="O3167" s="671">
        <f>$A$3222</f>
        <v>441</v>
      </c>
      <c r="P3167" s="672"/>
      <c r="Q3167" s="828" t="s">
        <v>2277</v>
      </c>
    </row>
    <row r="3168" spans="1:20" s="688" customFormat="1" ht="17.100000000000001" customHeight="1">
      <c r="A3168" s="1316" t="str">
        <f>$B$3226</f>
        <v>모르타르</v>
      </c>
      <c r="B3168" s="1317"/>
      <c r="C3168" s="1316" t="str">
        <f>$D$3226</f>
        <v>맨홀보수용</v>
      </c>
      <c r="D3168" s="1317"/>
      <c r="E3168" s="675">
        <v>0.01</v>
      </c>
      <c r="F3168" s="676" t="str">
        <f>$F$3226</f>
        <v>m3</v>
      </c>
      <c r="G3168" s="670" t="e">
        <f>$H$3230</f>
        <v>#REF!</v>
      </c>
      <c r="H3168" s="670" t="e">
        <f>INT(E3168*G3168)</f>
        <v>#REF!</v>
      </c>
      <c r="I3168" s="670"/>
      <c r="J3168" s="670"/>
      <c r="K3168" s="670"/>
      <c r="L3168" s="670"/>
      <c r="M3168" s="670" t="e">
        <f t="shared" si="766"/>
        <v>#REF!</v>
      </c>
      <c r="N3168" s="670" t="e">
        <f t="shared" si="766"/>
        <v>#REF!</v>
      </c>
      <c r="O3168" s="671">
        <f>$A$3226</f>
        <v>442</v>
      </c>
      <c r="P3168" s="672"/>
      <c r="Q3168" s="828" t="s">
        <v>2277</v>
      </c>
    </row>
    <row r="3169" spans="1:20" s="688" customFormat="1" ht="17.100000000000001" customHeight="1">
      <c r="A3169" s="1316" t="str">
        <f>$B$3231</f>
        <v>폴리머콘크리트</v>
      </c>
      <c r="B3169" s="1317"/>
      <c r="C3169" s="1316" t="str">
        <f>$D$3231</f>
        <v>맨홀보수용</v>
      </c>
      <c r="D3169" s="1317"/>
      <c r="E3169" s="701">
        <v>2.1000000000000001E-2</v>
      </c>
      <c r="F3169" s="676" t="str">
        <f>$F$3231</f>
        <v>m3</v>
      </c>
      <c r="G3169" s="670" t="e">
        <f>$H$3236</f>
        <v>#REF!</v>
      </c>
      <c r="H3169" s="670" t="e">
        <f>INT(E3169*G3169)</f>
        <v>#REF!</v>
      </c>
      <c r="I3169" s="670"/>
      <c r="J3169" s="670"/>
      <c r="K3169" s="670"/>
      <c r="L3169" s="670"/>
      <c r="M3169" s="670" t="e">
        <f t="shared" si="766"/>
        <v>#REF!</v>
      </c>
      <c r="N3169" s="670" t="e">
        <f t="shared" si="766"/>
        <v>#REF!</v>
      </c>
      <c r="O3169" s="671">
        <f>$A$3231</f>
        <v>443</v>
      </c>
      <c r="P3169" s="672"/>
      <c r="Q3169" s="828" t="s">
        <v>2277</v>
      </c>
    </row>
    <row r="3170" spans="1:20" s="665" customFormat="1" ht="17.100000000000001" customHeight="1">
      <c r="A3170" s="1316" t="s">
        <v>628</v>
      </c>
      <c r="B3170" s="1317"/>
      <c r="C3170" s="1316"/>
      <c r="D3170" s="1317"/>
      <c r="E3170" s="675">
        <v>0.4</v>
      </c>
      <c r="F3170" s="676" t="s">
        <v>366</v>
      </c>
      <c r="G3170" s="670"/>
      <c r="H3170" s="670"/>
      <c r="I3170" s="670">
        <f>[53]노임단가!$T$6</f>
        <v>226122</v>
      </c>
      <c r="J3170" s="670">
        <f>INT(E3170*I3170)</f>
        <v>90448</v>
      </c>
      <c r="K3170" s="670"/>
      <c r="L3170" s="670"/>
      <c r="M3170" s="670">
        <f t="shared" si="766"/>
        <v>226122</v>
      </c>
      <c r="N3170" s="670">
        <f t="shared" si="766"/>
        <v>90448</v>
      </c>
      <c r="O3170" s="671"/>
      <c r="P3170" s="672"/>
      <c r="Q3170" s="828" t="s">
        <v>2277</v>
      </c>
      <c r="R3170" s="688"/>
      <c r="S3170" s="688"/>
      <c r="T3170" s="688"/>
    </row>
    <row r="3171" spans="1:20" s="688" customFormat="1" ht="17.100000000000001" customHeight="1">
      <c r="A3171" s="1316" t="s">
        <v>248</v>
      </c>
      <c r="B3171" s="1317"/>
      <c r="C3171" s="1316"/>
      <c r="D3171" s="1317"/>
      <c r="E3171" s="675">
        <v>0.6</v>
      </c>
      <c r="F3171" s="676" t="s">
        <v>366</v>
      </c>
      <c r="G3171" s="670"/>
      <c r="H3171" s="670"/>
      <c r="I3171" s="670">
        <f>[53]노임단가!$T$5</f>
        <v>172068</v>
      </c>
      <c r="J3171" s="670">
        <f>INT(E3171*I3171)</f>
        <v>103240</v>
      </c>
      <c r="K3171" s="670"/>
      <c r="L3171" s="670"/>
      <c r="M3171" s="670">
        <f t="shared" si="766"/>
        <v>172068</v>
      </c>
      <c r="N3171" s="670">
        <f t="shared" si="766"/>
        <v>103240</v>
      </c>
      <c r="O3171" s="671"/>
      <c r="P3171" s="672"/>
      <c r="Q3171" s="828" t="s">
        <v>2277</v>
      </c>
    </row>
    <row r="3172" spans="1:20" s="688" customFormat="1" ht="17.100000000000001" customHeight="1">
      <c r="A3172" s="1316" t="s">
        <v>248</v>
      </c>
      <c r="B3172" s="1317"/>
      <c r="C3172" s="1316" t="s">
        <v>2287</v>
      </c>
      <c r="D3172" s="1317"/>
      <c r="E3172" s="675">
        <v>1.5</v>
      </c>
      <c r="F3172" s="676" t="s">
        <v>366</v>
      </c>
      <c r="G3172" s="670"/>
      <c r="H3172" s="670"/>
      <c r="I3172" s="670">
        <f>[53]노임단가!$T$5</f>
        <v>172068</v>
      </c>
      <c r="J3172" s="670">
        <f>INT(E3172*I3172)</f>
        <v>258102</v>
      </c>
      <c r="K3172" s="670"/>
      <c r="L3172" s="670"/>
      <c r="M3172" s="670">
        <f t="shared" si="766"/>
        <v>172068</v>
      </c>
      <c r="N3172" s="670">
        <f t="shared" si="766"/>
        <v>258102</v>
      </c>
      <c r="O3172" s="671"/>
      <c r="P3172" s="672"/>
      <c r="Q3172" s="828" t="s">
        <v>2277</v>
      </c>
    </row>
    <row r="3173" spans="1:20" s="688" customFormat="1" ht="17.100000000000001" customHeight="1">
      <c r="A3173" s="1318" t="s">
        <v>1320</v>
      </c>
      <c r="B3173" s="1319"/>
      <c r="C3173" s="1316"/>
      <c r="D3173" s="1317"/>
      <c r="E3173" s="686"/>
      <c r="F3173" s="676"/>
      <c r="G3173" s="670"/>
      <c r="H3173" s="670" t="e">
        <f>SUM(H3167:H3172)</f>
        <v>#REF!</v>
      </c>
      <c r="I3173" s="670"/>
      <c r="J3173" s="670">
        <f>SUM(J3167:J3172)</f>
        <v>451790</v>
      </c>
      <c r="K3173" s="670"/>
      <c r="L3173" s="670"/>
      <c r="M3173" s="670"/>
      <c r="N3173" s="670" t="e">
        <f>SUM(N3167:N3172)</f>
        <v>#REF!</v>
      </c>
      <c r="O3173" s="671"/>
      <c r="P3173" s="672"/>
      <c r="Q3173" s="828" t="s">
        <v>2277</v>
      </c>
      <c r="R3173" s="665"/>
    </row>
    <row r="3174" spans="1:20" s="688" customFormat="1" ht="17.100000000000001" customHeight="1">
      <c r="A3174" s="668">
        <f>A3166+1</f>
        <v>435</v>
      </c>
      <c r="B3174" s="1320" t="s">
        <v>2285</v>
      </c>
      <c r="C3174" s="1320"/>
      <c r="D3174" s="1320" t="s">
        <v>2288</v>
      </c>
      <c r="E3174" s="1320"/>
      <c r="F3174" s="669" t="s">
        <v>575</v>
      </c>
      <c r="G3174" s="698"/>
      <c r="H3174" s="698"/>
      <c r="I3174" s="698"/>
      <c r="J3174" s="698"/>
      <c r="K3174" s="670"/>
      <c r="L3174" s="670"/>
      <c r="M3174" s="670"/>
      <c r="N3174" s="698"/>
      <c r="O3174" s="699"/>
      <c r="P3174" s="672"/>
      <c r="Q3174" s="828" t="s">
        <v>2277</v>
      </c>
      <c r="S3174" s="665"/>
      <c r="T3174" s="665"/>
    </row>
    <row r="3175" spans="1:20" s="688" customFormat="1" ht="17.100000000000001" customHeight="1">
      <c r="A3175" s="1316" t="str">
        <f>$B$3222</f>
        <v>프라이머</v>
      </c>
      <c r="B3175" s="1317"/>
      <c r="C3175" s="1316" t="str">
        <f>$D$3222</f>
        <v>맨홀보수용</v>
      </c>
      <c r="D3175" s="1317"/>
      <c r="E3175" s="679">
        <v>1.4</v>
      </c>
      <c r="F3175" s="676" t="str">
        <f>$F$3222</f>
        <v>m3</v>
      </c>
      <c r="G3175" s="670" t="e">
        <f>$H$3225</f>
        <v>#REF!</v>
      </c>
      <c r="H3175" s="670" t="e">
        <f>INT(E3175*G3175)</f>
        <v>#REF!</v>
      </c>
      <c r="I3175" s="670"/>
      <c r="J3175" s="670"/>
      <c r="K3175" s="670"/>
      <c r="L3175" s="670"/>
      <c r="M3175" s="670" t="e">
        <f t="shared" ref="M3175:N3180" si="767">G3175+I3175+K3175</f>
        <v>#REF!</v>
      </c>
      <c r="N3175" s="670" t="e">
        <f t="shared" si="767"/>
        <v>#REF!</v>
      </c>
      <c r="O3175" s="671">
        <f>$A$3222</f>
        <v>441</v>
      </c>
      <c r="P3175" s="672"/>
      <c r="Q3175" s="828" t="s">
        <v>2277</v>
      </c>
    </row>
    <row r="3176" spans="1:20" s="688" customFormat="1" ht="17.100000000000001" customHeight="1">
      <c r="A3176" s="1316" t="str">
        <f>$B$3226</f>
        <v>모르타르</v>
      </c>
      <c r="B3176" s="1317"/>
      <c r="C3176" s="1316" t="str">
        <f>$D$3226</f>
        <v>맨홀보수용</v>
      </c>
      <c r="D3176" s="1317"/>
      <c r="E3176" s="701">
        <v>1.4999999999999999E-2</v>
      </c>
      <c r="F3176" s="676" t="str">
        <f>$F$3226</f>
        <v>m3</v>
      </c>
      <c r="G3176" s="670" t="e">
        <f>$H$3230</f>
        <v>#REF!</v>
      </c>
      <c r="H3176" s="670" t="e">
        <f>INT(E3176*G3176)</f>
        <v>#REF!</v>
      </c>
      <c r="I3176" s="670"/>
      <c r="J3176" s="670"/>
      <c r="K3176" s="670"/>
      <c r="L3176" s="670"/>
      <c r="M3176" s="670" t="e">
        <f t="shared" si="767"/>
        <v>#REF!</v>
      </c>
      <c r="N3176" s="670" t="e">
        <f t="shared" si="767"/>
        <v>#REF!</v>
      </c>
      <c r="O3176" s="671">
        <f>$A$3226</f>
        <v>442</v>
      </c>
      <c r="P3176" s="672"/>
      <c r="Q3176" s="828" t="s">
        <v>2277</v>
      </c>
    </row>
    <row r="3177" spans="1:20" s="688" customFormat="1" ht="17.100000000000001" customHeight="1">
      <c r="A3177" s="1316" t="str">
        <f>$B$3231</f>
        <v>폴리머콘크리트</v>
      </c>
      <c r="B3177" s="1317"/>
      <c r="C3177" s="1316" t="str">
        <f>$D$3231</f>
        <v>맨홀보수용</v>
      </c>
      <c r="D3177" s="1317"/>
      <c r="E3177" s="675">
        <v>0.16</v>
      </c>
      <c r="F3177" s="676" t="str">
        <f>$F$3231</f>
        <v>m3</v>
      </c>
      <c r="G3177" s="670" t="e">
        <f>$H$3236</f>
        <v>#REF!</v>
      </c>
      <c r="H3177" s="670" t="e">
        <f>INT(E3177*G3177)</f>
        <v>#REF!</v>
      </c>
      <c r="I3177" s="670"/>
      <c r="J3177" s="670"/>
      <c r="K3177" s="670"/>
      <c r="L3177" s="670"/>
      <c r="M3177" s="670" t="e">
        <f t="shared" si="767"/>
        <v>#REF!</v>
      </c>
      <c r="N3177" s="670" t="e">
        <f t="shared" si="767"/>
        <v>#REF!</v>
      </c>
      <c r="O3177" s="671">
        <f>$A$3231</f>
        <v>443</v>
      </c>
      <c r="P3177" s="672"/>
      <c r="Q3177" s="828" t="s">
        <v>2277</v>
      </c>
    </row>
    <row r="3178" spans="1:20" s="665" customFormat="1" ht="17.100000000000001" customHeight="1">
      <c r="A3178" s="1316" t="s">
        <v>628</v>
      </c>
      <c r="B3178" s="1317"/>
      <c r="C3178" s="1316"/>
      <c r="D3178" s="1317"/>
      <c r="E3178" s="701">
        <v>0.66700000000000004</v>
      </c>
      <c r="F3178" s="676" t="s">
        <v>366</v>
      </c>
      <c r="G3178" s="670"/>
      <c r="H3178" s="670"/>
      <c r="I3178" s="670">
        <f>[53]노임단가!$T$6</f>
        <v>226122</v>
      </c>
      <c r="J3178" s="670">
        <f>INT(E3178*I3178)</f>
        <v>150823</v>
      </c>
      <c r="K3178" s="670"/>
      <c r="L3178" s="670"/>
      <c r="M3178" s="670">
        <f t="shared" si="767"/>
        <v>226122</v>
      </c>
      <c r="N3178" s="670">
        <f t="shared" si="767"/>
        <v>150823</v>
      </c>
      <c r="O3178" s="671"/>
      <c r="P3178" s="672"/>
      <c r="Q3178" s="828" t="s">
        <v>2277</v>
      </c>
      <c r="R3178" s="688"/>
      <c r="S3178" s="688"/>
      <c r="T3178" s="688"/>
    </row>
    <row r="3179" spans="1:20" s="688" customFormat="1" ht="17.100000000000001" customHeight="1">
      <c r="A3179" s="1316" t="s">
        <v>248</v>
      </c>
      <c r="B3179" s="1317"/>
      <c r="C3179" s="1316"/>
      <c r="D3179" s="1317"/>
      <c r="E3179" s="675">
        <v>1</v>
      </c>
      <c r="F3179" s="676" t="s">
        <v>366</v>
      </c>
      <c r="G3179" s="670"/>
      <c r="H3179" s="670"/>
      <c r="I3179" s="670">
        <f>[53]노임단가!$T$5</f>
        <v>172068</v>
      </c>
      <c r="J3179" s="670">
        <f>INT(E3179*I3179)</f>
        <v>172068</v>
      </c>
      <c r="K3179" s="670"/>
      <c r="L3179" s="670"/>
      <c r="M3179" s="670">
        <f t="shared" si="767"/>
        <v>172068</v>
      </c>
      <c r="N3179" s="670">
        <f t="shared" si="767"/>
        <v>172068</v>
      </c>
      <c r="O3179" s="671"/>
      <c r="P3179" s="672"/>
      <c r="Q3179" s="828" t="s">
        <v>2277</v>
      </c>
    </row>
    <row r="3180" spans="1:20" s="688" customFormat="1" ht="17.100000000000001" customHeight="1">
      <c r="A3180" s="1359" t="s">
        <v>248</v>
      </c>
      <c r="B3180" s="1360"/>
      <c r="C3180" s="1359" t="s">
        <v>2287</v>
      </c>
      <c r="D3180" s="1360"/>
      <c r="E3180" s="675">
        <v>1.5</v>
      </c>
      <c r="F3180" s="676" t="s">
        <v>366</v>
      </c>
      <c r="G3180" s="670"/>
      <c r="H3180" s="670"/>
      <c r="I3180" s="670">
        <f>[53]노임단가!$T$5</f>
        <v>172068</v>
      </c>
      <c r="J3180" s="670">
        <f>INT(E3180*I3180)</f>
        <v>258102</v>
      </c>
      <c r="K3180" s="670"/>
      <c r="L3180" s="670"/>
      <c r="M3180" s="670">
        <f t="shared" si="767"/>
        <v>172068</v>
      </c>
      <c r="N3180" s="670">
        <f t="shared" si="767"/>
        <v>258102</v>
      </c>
      <c r="O3180" s="671"/>
      <c r="P3180" s="672"/>
      <c r="Q3180" s="828" t="s">
        <v>2277</v>
      </c>
    </row>
    <row r="3181" spans="1:20" s="688" customFormat="1" ht="17.100000000000001" customHeight="1">
      <c r="A3181" s="1318" t="s">
        <v>1320</v>
      </c>
      <c r="B3181" s="1319"/>
      <c r="C3181" s="1316"/>
      <c r="D3181" s="1317"/>
      <c r="E3181" s="686"/>
      <c r="F3181" s="676"/>
      <c r="G3181" s="670"/>
      <c r="H3181" s="670" t="e">
        <f>SUM(H3175:H3180)</f>
        <v>#REF!</v>
      </c>
      <c r="I3181" s="670"/>
      <c r="J3181" s="670">
        <f>SUM(J3175:J3180)</f>
        <v>580993</v>
      </c>
      <c r="K3181" s="670"/>
      <c r="L3181" s="670"/>
      <c r="M3181" s="670"/>
      <c r="N3181" s="670" t="e">
        <f>SUM(N3175:N3180)</f>
        <v>#REF!</v>
      </c>
      <c r="O3181" s="671"/>
      <c r="P3181" s="672"/>
      <c r="Q3181" s="828" t="s">
        <v>2277</v>
      </c>
      <c r="R3181" s="665"/>
    </row>
    <row r="3182" spans="1:20" s="688" customFormat="1" ht="17.100000000000001" customHeight="1">
      <c r="A3182" s="668">
        <f>A3174+1</f>
        <v>436</v>
      </c>
      <c r="B3182" s="1320" t="s">
        <v>2285</v>
      </c>
      <c r="C3182" s="1320"/>
      <c r="D3182" s="1320" t="s">
        <v>2289</v>
      </c>
      <c r="E3182" s="1320"/>
      <c r="F3182" s="669" t="s">
        <v>575</v>
      </c>
      <c r="G3182" s="698"/>
      <c r="H3182" s="698"/>
      <c r="I3182" s="698"/>
      <c r="J3182" s="698"/>
      <c r="K3182" s="670"/>
      <c r="L3182" s="670"/>
      <c r="M3182" s="670"/>
      <c r="N3182" s="698"/>
      <c r="O3182" s="699"/>
      <c r="P3182" s="672"/>
      <c r="Q3182" s="828" t="s">
        <v>2277</v>
      </c>
      <c r="S3182" s="665"/>
      <c r="T3182" s="665"/>
    </row>
    <row r="3183" spans="1:20" s="688" customFormat="1" ht="17.100000000000001" customHeight="1">
      <c r="A3183" s="1316" t="str">
        <f>$B$3222</f>
        <v>프라이머</v>
      </c>
      <c r="B3183" s="1317"/>
      <c r="C3183" s="1316" t="str">
        <f>$D$3222</f>
        <v>맨홀보수용</v>
      </c>
      <c r="D3183" s="1317"/>
      <c r="E3183" s="675">
        <v>1.1100000000000001</v>
      </c>
      <c r="F3183" s="676" t="str">
        <f>$F$3222</f>
        <v>m3</v>
      </c>
      <c r="G3183" s="670" t="e">
        <f>$H$3225</f>
        <v>#REF!</v>
      </c>
      <c r="H3183" s="670" t="e">
        <f>INT(E3183*G3183)</f>
        <v>#REF!</v>
      </c>
      <c r="I3183" s="670"/>
      <c r="J3183" s="670"/>
      <c r="K3183" s="670"/>
      <c r="L3183" s="670"/>
      <c r="M3183" s="670" t="e">
        <f t="shared" ref="M3183:N3188" si="768">G3183+I3183+K3183</f>
        <v>#REF!</v>
      </c>
      <c r="N3183" s="670" t="e">
        <f t="shared" si="768"/>
        <v>#REF!</v>
      </c>
      <c r="O3183" s="671">
        <f>$A$3222</f>
        <v>441</v>
      </c>
      <c r="P3183" s="672"/>
      <c r="Q3183" s="828" t="s">
        <v>2277</v>
      </c>
    </row>
    <row r="3184" spans="1:20" s="688" customFormat="1" ht="17.100000000000001" customHeight="1">
      <c r="A3184" s="1316" t="str">
        <f>$B$3226</f>
        <v>모르타르</v>
      </c>
      <c r="B3184" s="1317"/>
      <c r="C3184" s="1316" t="str">
        <f>$D$3226</f>
        <v>맨홀보수용</v>
      </c>
      <c r="D3184" s="1317"/>
      <c r="E3184" s="701">
        <v>1.2E-2</v>
      </c>
      <c r="F3184" s="676" t="str">
        <f>$F$3226</f>
        <v>m3</v>
      </c>
      <c r="G3184" s="670" t="e">
        <f>$H$3230</f>
        <v>#REF!</v>
      </c>
      <c r="H3184" s="670" t="e">
        <f>INT(E3184*G3184)</f>
        <v>#REF!</v>
      </c>
      <c r="I3184" s="670"/>
      <c r="J3184" s="670"/>
      <c r="K3184" s="670"/>
      <c r="L3184" s="670"/>
      <c r="M3184" s="670" t="e">
        <f t="shared" si="768"/>
        <v>#REF!</v>
      </c>
      <c r="N3184" s="670" t="e">
        <f t="shared" si="768"/>
        <v>#REF!</v>
      </c>
      <c r="O3184" s="671">
        <f>$A$3226</f>
        <v>442</v>
      </c>
      <c r="P3184" s="672"/>
      <c r="Q3184" s="828" t="s">
        <v>2277</v>
      </c>
    </row>
    <row r="3185" spans="1:20" s="688" customFormat="1" ht="17.100000000000001" customHeight="1">
      <c r="A3185" s="1316" t="str">
        <f>$B$3231</f>
        <v>폴리머콘크리트</v>
      </c>
      <c r="B3185" s="1317"/>
      <c r="C3185" s="1316" t="str">
        <f>$D$3231</f>
        <v>맨홀보수용</v>
      </c>
      <c r="D3185" s="1317"/>
      <c r="E3185" s="701">
        <v>3.9E-2</v>
      </c>
      <c r="F3185" s="676" t="str">
        <f>$F$3231</f>
        <v>m3</v>
      </c>
      <c r="G3185" s="670" t="e">
        <f>$H$3236</f>
        <v>#REF!</v>
      </c>
      <c r="H3185" s="670" t="e">
        <f>INT(E3185*G3185)</f>
        <v>#REF!</v>
      </c>
      <c r="I3185" s="670"/>
      <c r="J3185" s="670"/>
      <c r="K3185" s="670"/>
      <c r="L3185" s="670"/>
      <c r="M3185" s="670" t="e">
        <f t="shared" si="768"/>
        <v>#REF!</v>
      </c>
      <c r="N3185" s="670" t="e">
        <f t="shared" si="768"/>
        <v>#REF!</v>
      </c>
      <c r="O3185" s="671">
        <f>$A$3231</f>
        <v>443</v>
      </c>
      <c r="P3185" s="672"/>
      <c r="Q3185" s="828" t="s">
        <v>2277</v>
      </c>
    </row>
    <row r="3186" spans="1:20" s="665" customFormat="1" ht="17.100000000000001" customHeight="1">
      <c r="A3186" s="1359" t="s">
        <v>628</v>
      </c>
      <c r="B3186" s="1360"/>
      <c r="C3186" s="1359"/>
      <c r="D3186" s="1360"/>
      <c r="E3186" s="675">
        <v>0.4</v>
      </c>
      <c r="F3186" s="676" t="s">
        <v>366</v>
      </c>
      <c r="G3186" s="670"/>
      <c r="H3186" s="670"/>
      <c r="I3186" s="670">
        <f>[53]노임단가!$T$6</f>
        <v>226122</v>
      </c>
      <c r="J3186" s="670">
        <f>INT(E3186*I3186)</f>
        <v>90448</v>
      </c>
      <c r="K3186" s="670"/>
      <c r="L3186" s="670"/>
      <c r="M3186" s="670">
        <f t="shared" si="768"/>
        <v>226122</v>
      </c>
      <c r="N3186" s="670">
        <f t="shared" si="768"/>
        <v>90448</v>
      </c>
      <c r="O3186" s="671"/>
      <c r="P3186" s="672"/>
      <c r="Q3186" s="828" t="s">
        <v>2277</v>
      </c>
      <c r="R3186" s="688"/>
      <c r="S3186" s="688"/>
      <c r="T3186" s="688"/>
    </row>
    <row r="3187" spans="1:20" s="688" customFormat="1" ht="17.100000000000001" customHeight="1">
      <c r="A3187" s="1359" t="s">
        <v>248</v>
      </c>
      <c r="B3187" s="1360"/>
      <c r="C3187" s="1359"/>
      <c r="D3187" s="1360"/>
      <c r="E3187" s="675">
        <v>0.6</v>
      </c>
      <c r="F3187" s="676" t="s">
        <v>366</v>
      </c>
      <c r="G3187" s="670"/>
      <c r="H3187" s="670"/>
      <c r="I3187" s="670">
        <f>[53]노임단가!$T$5</f>
        <v>172068</v>
      </c>
      <c r="J3187" s="670">
        <f>INT(E3187*I3187)</f>
        <v>103240</v>
      </c>
      <c r="K3187" s="670"/>
      <c r="L3187" s="670"/>
      <c r="M3187" s="670">
        <f t="shared" si="768"/>
        <v>172068</v>
      </c>
      <c r="N3187" s="670">
        <f t="shared" si="768"/>
        <v>103240</v>
      </c>
      <c r="O3187" s="671"/>
      <c r="P3187" s="672"/>
      <c r="Q3187" s="828" t="s">
        <v>2277</v>
      </c>
    </row>
    <row r="3188" spans="1:20" s="688" customFormat="1" ht="17.100000000000001" customHeight="1">
      <c r="A3188" s="1359" t="s">
        <v>248</v>
      </c>
      <c r="B3188" s="1360"/>
      <c r="C3188" s="1359" t="s">
        <v>2287</v>
      </c>
      <c r="D3188" s="1360"/>
      <c r="E3188" s="675">
        <v>1.5</v>
      </c>
      <c r="F3188" s="676" t="s">
        <v>366</v>
      </c>
      <c r="G3188" s="670"/>
      <c r="H3188" s="670"/>
      <c r="I3188" s="670">
        <f>[53]노임단가!$T$5</f>
        <v>172068</v>
      </c>
      <c r="J3188" s="670">
        <f>INT(E3188*I3188)</f>
        <v>258102</v>
      </c>
      <c r="K3188" s="670"/>
      <c r="L3188" s="670"/>
      <c r="M3188" s="670">
        <f t="shared" si="768"/>
        <v>172068</v>
      </c>
      <c r="N3188" s="670">
        <f t="shared" si="768"/>
        <v>258102</v>
      </c>
      <c r="O3188" s="671"/>
      <c r="P3188" s="672"/>
      <c r="Q3188" s="828" t="s">
        <v>2277</v>
      </c>
    </row>
    <row r="3189" spans="1:20" s="688" customFormat="1" ht="17.100000000000001" customHeight="1">
      <c r="A3189" s="1318" t="s">
        <v>1320</v>
      </c>
      <c r="B3189" s="1319"/>
      <c r="C3189" s="1316"/>
      <c r="D3189" s="1317"/>
      <c r="E3189" s="686"/>
      <c r="F3189" s="676"/>
      <c r="G3189" s="670"/>
      <c r="H3189" s="670" t="e">
        <f>SUM(H3183:H3188)</f>
        <v>#REF!</v>
      </c>
      <c r="I3189" s="670"/>
      <c r="J3189" s="670">
        <f>SUM(J3183:J3188)</f>
        <v>451790</v>
      </c>
      <c r="K3189" s="670"/>
      <c r="L3189" s="670"/>
      <c r="M3189" s="670"/>
      <c r="N3189" s="670" t="e">
        <f>SUM(N3183:N3188)</f>
        <v>#REF!</v>
      </c>
      <c r="O3189" s="671"/>
      <c r="P3189" s="672"/>
      <c r="Q3189" s="828" t="s">
        <v>2277</v>
      </c>
      <c r="R3189" s="665"/>
    </row>
    <row r="3190" spans="1:20" s="688" customFormat="1" ht="17.100000000000001" customHeight="1">
      <c r="A3190" s="668">
        <f>A3182+1</f>
        <v>437</v>
      </c>
      <c r="B3190" s="1320" t="s">
        <v>2285</v>
      </c>
      <c r="C3190" s="1320"/>
      <c r="D3190" s="1320" t="s">
        <v>2290</v>
      </c>
      <c r="E3190" s="1320"/>
      <c r="F3190" s="669" t="s">
        <v>575</v>
      </c>
      <c r="G3190" s="698"/>
      <c r="H3190" s="698"/>
      <c r="I3190" s="698"/>
      <c r="J3190" s="698"/>
      <c r="K3190" s="670"/>
      <c r="L3190" s="670"/>
      <c r="M3190" s="670"/>
      <c r="N3190" s="698"/>
      <c r="O3190" s="699"/>
      <c r="P3190" s="672"/>
      <c r="Q3190" s="828" t="s">
        <v>2277</v>
      </c>
      <c r="S3190" s="665"/>
      <c r="T3190" s="665"/>
    </row>
    <row r="3191" spans="1:20" s="688" customFormat="1" ht="17.100000000000001" customHeight="1">
      <c r="A3191" s="1316" t="str">
        <f>$B$3222</f>
        <v>프라이머</v>
      </c>
      <c r="B3191" s="1317"/>
      <c r="C3191" s="1316" t="str">
        <f>$D$3222</f>
        <v>맨홀보수용</v>
      </c>
      <c r="D3191" s="1317"/>
      <c r="E3191" s="679">
        <v>1.3</v>
      </c>
      <c r="F3191" s="676" t="str">
        <f>$F$3222</f>
        <v>m3</v>
      </c>
      <c r="G3191" s="670" t="e">
        <f>$H$3225</f>
        <v>#REF!</v>
      </c>
      <c r="H3191" s="670" t="e">
        <f>INT(E3191*G3191)</f>
        <v>#REF!</v>
      </c>
      <c r="I3191" s="670"/>
      <c r="J3191" s="670"/>
      <c r="K3191" s="670"/>
      <c r="L3191" s="670"/>
      <c r="M3191" s="670" t="e">
        <f t="shared" ref="M3191:N3196" si="769">G3191+I3191+K3191</f>
        <v>#REF!</v>
      </c>
      <c r="N3191" s="670" t="e">
        <f t="shared" si="769"/>
        <v>#REF!</v>
      </c>
      <c r="O3191" s="671">
        <f>$A$3222</f>
        <v>441</v>
      </c>
      <c r="P3191" s="672"/>
      <c r="Q3191" s="828" t="s">
        <v>2277</v>
      </c>
    </row>
    <row r="3192" spans="1:20" s="688" customFormat="1" ht="17.100000000000001" customHeight="1">
      <c r="A3192" s="1316" t="str">
        <f>$B$3226</f>
        <v>모르타르</v>
      </c>
      <c r="B3192" s="1317"/>
      <c r="C3192" s="1316" t="str">
        <f>$D$3226</f>
        <v>맨홀보수용</v>
      </c>
      <c r="D3192" s="1317"/>
      <c r="E3192" s="701">
        <v>1.4E-2</v>
      </c>
      <c r="F3192" s="676" t="str">
        <f>$F$3226</f>
        <v>m3</v>
      </c>
      <c r="G3192" s="670" t="e">
        <f>$H$3230</f>
        <v>#REF!</v>
      </c>
      <c r="H3192" s="670" t="e">
        <f>INT(E3192*G3192)</f>
        <v>#REF!</v>
      </c>
      <c r="I3192" s="670"/>
      <c r="J3192" s="670"/>
      <c r="K3192" s="670"/>
      <c r="L3192" s="670"/>
      <c r="M3192" s="670" t="e">
        <f t="shared" si="769"/>
        <v>#REF!</v>
      </c>
      <c r="N3192" s="670" t="e">
        <f t="shared" si="769"/>
        <v>#REF!</v>
      </c>
      <c r="O3192" s="671">
        <f>$A$3226</f>
        <v>442</v>
      </c>
      <c r="P3192" s="672"/>
      <c r="Q3192" s="828" t="s">
        <v>2277</v>
      </c>
    </row>
    <row r="3193" spans="1:20" s="688" customFormat="1" ht="17.100000000000001" customHeight="1">
      <c r="A3193" s="1316" t="str">
        <f>$B$3231</f>
        <v>폴리머콘크리트</v>
      </c>
      <c r="B3193" s="1317"/>
      <c r="C3193" s="1316" t="str">
        <f>$D$3231</f>
        <v>맨홀보수용</v>
      </c>
      <c r="D3193" s="1317"/>
      <c r="E3193" s="701">
        <v>4.8000000000000001E-2</v>
      </c>
      <c r="F3193" s="676" t="str">
        <f>$F$3231</f>
        <v>m3</v>
      </c>
      <c r="G3193" s="670" t="e">
        <f>$H$3236</f>
        <v>#REF!</v>
      </c>
      <c r="H3193" s="670" t="e">
        <f>INT(E3193*G3193)</f>
        <v>#REF!</v>
      </c>
      <c r="I3193" s="670"/>
      <c r="J3193" s="670"/>
      <c r="K3193" s="670"/>
      <c r="L3193" s="670"/>
      <c r="M3193" s="670" t="e">
        <f t="shared" si="769"/>
        <v>#REF!</v>
      </c>
      <c r="N3193" s="670" t="e">
        <f t="shared" si="769"/>
        <v>#REF!</v>
      </c>
      <c r="O3193" s="671">
        <f>$A$3231</f>
        <v>443</v>
      </c>
      <c r="P3193" s="672"/>
      <c r="Q3193" s="828" t="s">
        <v>2277</v>
      </c>
    </row>
    <row r="3194" spans="1:20" s="665" customFormat="1" ht="17.100000000000001" customHeight="1">
      <c r="A3194" s="1359" t="s">
        <v>628</v>
      </c>
      <c r="B3194" s="1360"/>
      <c r="C3194" s="1359"/>
      <c r="D3194" s="1360"/>
      <c r="E3194" s="675">
        <v>0.4</v>
      </c>
      <c r="F3194" s="676" t="s">
        <v>366</v>
      </c>
      <c r="G3194" s="670"/>
      <c r="H3194" s="670"/>
      <c r="I3194" s="670">
        <f>[53]노임단가!$T$6</f>
        <v>226122</v>
      </c>
      <c r="J3194" s="670">
        <f>INT(E3194*I3194)</f>
        <v>90448</v>
      </c>
      <c r="K3194" s="670"/>
      <c r="L3194" s="670"/>
      <c r="M3194" s="670">
        <f t="shared" si="769"/>
        <v>226122</v>
      </c>
      <c r="N3194" s="670">
        <f t="shared" si="769"/>
        <v>90448</v>
      </c>
      <c r="O3194" s="671"/>
      <c r="P3194" s="672"/>
      <c r="Q3194" s="828" t="s">
        <v>2277</v>
      </c>
      <c r="R3194" s="688"/>
      <c r="S3194" s="688"/>
      <c r="T3194" s="688"/>
    </row>
    <row r="3195" spans="1:20" s="688" customFormat="1" ht="17.100000000000001" customHeight="1">
      <c r="A3195" s="1359" t="s">
        <v>248</v>
      </c>
      <c r="B3195" s="1360"/>
      <c r="C3195" s="1359"/>
      <c r="D3195" s="1360"/>
      <c r="E3195" s="675">
        <v>0.6</v>
      </c>
      <c r="F3195" s="676" t="s">
        <v>366</v>
      </c>
      <c r="G3195" s="670"/>
      <c r="H3195" s="670"/>
      <c r="I3195" s="670">
        <f>[53]노임단가!$T$5</f>
        <v>172068</v>
      </c>
      <c r="J3195" s="670">
        <f>INT(E3195*I3195)</f>
        <v>103240</v>
      </c>
      <c r="K3195" s="670"/>
      <c r="L3195" s="670"/>
      <c r="M3195" s="670">
        <f t="shared" si="769"/>
        <v>172068</v>
      </c>
      <c r="N3195" s="670">
        <f t="shared" si="769"/>
        <v>103240</v>
      </c>
      <c r="O3195" s="671"/>
      <c r="P3195" s="672"/>
      <c r="Q3195" s="828" t="s">
        <v>2277</v>
      </c>
    </row>
    <row r="3196" spans="1:20" s="688" customFormat="1" ht="17.100000000000001" customHeight="1">
      <c r="A3196" s="1359" t="s">
        <v>248</v>
      </c>
      <c r="B3196" s="1360"/>
      <c r="C3196" s="1359" t="s">
        <v>2287</v>
      </c>
      <c r="D3196" s="1360"/>
      <c r="E3196" s="675">
        <v>1.5</v>
      </c>
      <c r="F3196" s="676" t="s">
        <v>366</v>
      </c>
      <c r="G3196" s="670"/>
      <c r="H3196" s="670"/>
      <c r="I3196" s="670">
        <f>[53]노임단가!$T$5</f>
        <v>172068</v>
      </c>
      <c r="J3196" s="670">
        <f>INT(E3196*I3196)</f>
        <v>258102</v>
      </c>
      <c r="K3196" s="670"/>
      <c r="L3196" s="670"/>
      <c r="M3196" s="670">
        <f t="shared" si="769"/>
        <v>172068</v>
      </c>
      <c r="N3196" s="670">
        <f t="shared" si="769"/>
        <v>258102</v>
      </c>
      <c r="O3196" s="671"/>
      <c r="P3196" s="672"/>
      <c r="Q3196" s="828" t="s">
        <v>2277</v>
      </c>
    </row>
    <row r="3197" spans="1:20" s="688" customFormat="1" ht="17.100000000000001" customHeight="1">
      <c r="A3197" s="1318" t="s">
        <v>1320</v>
      </c>
      <c r="B3197" s="1319"/>
      <c r="C3197" s="1316"/>
      <c r="D3197" s="1317"/>
      <c r="E3197" s="686"/>
      <c r="F3197" s="676"/>
      <c r="G3197" s="670"/>
      <c r="H3197" s="670" t="e">
        <f>SUM(H3191:H3196)</f>
        <v>#REF!</v>
      </c>
      <c r="I3197" s="670"/>
      <c r="J3197" s="670">
        <f>SUM(J3191:J3196)</f>
        <v>451790</v>
      </c>
      <c r="K3197" s="670"/>
      <c r="L3197" s="670"/>
      <c r="M3197" s="670"/>
      <c r="N3197" s="670" t="e">
        <f>SUM(N3191:N3196)</f>
        <v>#REF!</v>
      </c>
      <c r="O3197" s="671"/>
      <c r="P3197" s="672"/>
      <c r="Q3197" s="828" t="s">
        <v>2277</v>
      </c>
      <c r="R3197" s="665"/>
    </row>
    <row r="3198" spans="1:20" s="688" customFormat="1" ht="17.100000000000001" customHeight="1">
      <c r="A3198" s="668">
        <f>A3190+1</f>
        <v>438</v>
      </c>
      <c r="B3198" s="1320" t="s">
        <v>2285</v>
      </c>
      <c r="C3198" s="1320"/>
      <c r="D3198" s="1320" t="s">
        <v>2291</v>
      </c>
      <c r="E3198" s="1320"/>
      <c r="F3198" s="669" t="s">
        <v>575</v>
      </c>
      <c r="G3198" s="698"/>
      <c r="H3198" s="698"/>
      <c r="I3198" s="698"/>
      <c r="J3198" s="698"/>
      <c r="K3198" s="670"/>
      <c r="L3198" s="670"/>
      <c r="M3198" s="670"/>
      <c r="N3198" s="698"/>
      <c r="O3198" s="699"/>
      <c r="P3198" s="672"/>
      <c r="Q3198" s="828" t="s">
        <v>2277</v>
      </c>
      <c r="S3198" s="665"/>
      <c r="T3198" s="665"/>
    </row>
    <row r="3199" spans="1:20" s="688" customFormat="1" ht="17.100000000000001" customHeight="1">
      <c r="A3199" s="1316" t="str">
        <f>$B$3222</f>
        <v>프라이머</v>
      </c>
      <c r="B3199" s="1317"/>
      <c r="C3199" s="1316" t="str">
        <f>$D$3222</f>
        <v>맨홀보수용</v>
      </c>
      <c r="D3199" s="1317"/>
      <c r="E3199" s="675">
        <v>1.1000000000000001</v>
      </c>
      <c r="F3199" s="676" t="str">
        <f>$F$3222</f>
        <v>m3</v>
      </c>
      <c r="G3199" s="670" t="e">
        <f>$H$3225</f>
        <v>#REF!</v>
      </c>
      <c r="H3199" s="670" t="e">
        <f>INT(E3199*G3199)</f>
        <v>#REF!</v>
      </c>
      <c r="I3199" s="670"/>
      <c r="J3199" s="670"/>
      <c r="K3199" s="670"/>
      <c r="L3199" s="670"/>
      <c r="M3199" s="670" t="e">
        <f t="shared" ref="M3199:N3204" si="770">G3199+I3199+K3199</f>
        <v>#REF!</v>
      </c>
      <c r="N3199" s="670" t="e">
        <f t="shared" si="770"/>
        <v>#REF!</v>
      </c>
      <c r="O3199" s="671">
        <f>$A$3222</f>
        <v>441</v>
      </c>
      <c r="P3199" s="672"/>
      <c r="Q3199" s="828" t="s">
        <v>2277</v>
      </c>
    </row>
    <row r="3200" spans="1:20" s="688" customFormat="1" ht="17.100000000000001" customHeight="1">
      <c r="A3200" s="1316" t="str">
        <f>$B$3226</f>
        <v>모르타르</v>
      </c>
      <c r="B3200" s="1317"/>
      <c r="C3200" s="1316" t="str">
        <f>$D$3226</f>
        <v>맨홀보수용</v>
      </c>
      <c r="D3200" s="1317"/>
      <c r="E3200" s="701">
        <v>1.7000000000000001E-2</v>
      </c>
      <c r="F3200" s="676" t="str">
        <f>$F$3226</f>
        <v>m3</v>
      </c>
      <c r="G3200" s="670" t="e">
        <f>$H$3230</f>
        <v>#REF!</v>
      </c>
      <c r="H3200" s="670" t="e">
        <f>INT(E3200*G3200)</f>
        <v>#REF!</v>
      </c>
      <c r="I3200" s="670"/>
      <c r="J3200" s="670"/>
      <c r="K3200" s="670"/>
      <c r="L3200" s="670"/>
      <c r="M3200" s="670" t="e">
        <f t="shared" si="770"/>
        <v>#REF!</v>
      </c>
      <c r="N3200" s="670" t="e">
        <f t="shared" si="770"/>
        <v>#REF!</v>
      </c>
      <c r="O3200" s="671">
        <f>$A$3226</f>
        <v>442</v>
      </c>
      <c r="P3200" s="672"/>
      <c r="Q3200" s="828" t="s">
        <v>2277</v>
      </c>
    </row>
    <row r="3201" spans="1:20" s="688" customFormat="1" ht="17.100000000000001" customHeight="1">
      <c r="A3201" s="1316" t="str">
        <f>$B$3231</f>
        <v>폴리머콘크리트</v>
      </c>
      <c r="B3201" s="1317"/>
      <c r="C3201" s="1316" t="str">
        <f>$D$3231</f>
        <v>맨홀보수용</v>
      </c>
      <c r="D3201" s="1317"/>
      <c r="E3201" s="701">
        <v>4.9000000000000002E-2</v>
      </c>
      <c r="F3201" s="676" t="str">
        <f>$F$3231</f>
        <v>m3</v>
      </c>
      <c r="G3201" s="670" t="e">
        <f>$H$3236</f>
        <v>#REF!</v>
      </c>
      <c r="H3201" s="670" t="e">
        <f>INT(E3201*G3201)</f>
        <v>#REF!</v>
      </c>
      <c r="I3201" s="670"/>
      <c r="J3201" s="670"/>
      <c r="K3201" s="670"/>
      <c r="L3201" s="670"/>
      <c r="M3201" s="670" t="e">
        <f t="shared" si="770"/>
        <v>#REF!</v>
      </c>
      <c r="N3201" s="670" t="e">
        <f t="shared" si="770"/>
        <v>#REF!</v>
      </c>
      <c r="O3201" s="671">
        <f>$A$3231</f>
        <v>443</v>
      </c>
      <c r="P3201" s="672"/>
      <c r="Q3201" s="828" t="s">
        <v>2277</v>
      </c>
    </row>
    <row r="3202" spans="1:20" s="688" customFormat="1" ht="17.100000000000001" customHeight="1">
      <c r="A3202" s="1359" t="s">
        <v>628</v>
      </c>
      <c r="B3202" s="1360"/>
      <c r="C3202" s="1359"/>
      <c r="D3202" s="1360"/>
      <c r="E3202" s="675">
        <v>0.4</v>
      </c>
      <c r="F3202" s="676" t="s">
        <v>366</v>
      </c>
      <c r="G3202" s="670"/>
      <c r="H3202" s="670"/>
      <c r="I3202" s="670">
        <f>[53]노임단가!$T$6</f>
        <v>226122</v>
      </c>
      <c r="J3202" s="670">
        <f>INT(E3202*I3202)</f>
        <v>90448</v>
      </c>
      <c r="K3202" s="670"/>
      <c r="L3202" s="670"/>
      <c r="M3202" s="670">
        <f t="shared" si="770"/>
        <v>226122</v>
      </c>
      <c r="N3202" s="670">
        <f t="shared" si="770"/>
        <v>90448</v>
      </c>
      <c r="O3202" s="671"/>
      <c r="P3202" s="672"/>
      <c r="Q3202" s="828" t="s">
        <v>2277</v>
      </c>
    </row>
    <row r="3203" spans="1:20" s="688" customFormat="1" ht="17.100000000000001" customHeight="1">
      <c r="A3203" s="1359" t="s">
        <v>248</v>
      </c>
      <c r="B3203" s="1360"/>
      <c r="C3203" s="1359"/>
      <c r="D3203" s="1360"/>
      <c r="E3203" s="675">
        <v>0.6</v>
      </c>
      <c r="F3203" s="676" t="s">
        <v>366</v>
      </c>
      <c r="G3203" s="670"/>
      <c r="H3203" s="670"/>
      <c r="I3203" s="670">
        <f>[53]노임단가!$T$5</f>
        <v>172068</v>
      </c>
      <c r="J3203" s="670">
        <f>INT(E3203*I3203)</f>
        <v>103240</v>
      </c>
      <c r="K3203" s="670"/>
      <c r="L3203" s="670"/>
      <c r="M3203" s="670">
        <f t="shared" si="770"/>
        <v>172068</v>
      </c>
      <c r="N3203" s="670">
        <f t="shared" si="770"/>
        <v>103240</v>
      </c>
      <c r="O3203" s="671"/>
      <c r="P3203" s="672"/>
      <c r="Q3203" s="828" t="s">
        <v>2277</v>
      </c>
    </row>
    <row r="3204" spans="1:20" s="688" customFormat="1" ht="17.100000000000001" customHeight="1">
      <c r="A3204" s="1359" t="s">
        <v>248</v>
      </c>
      <c r="B3204" s="1360"/>
      <c r="C3204" s="1359" t="s">
        <v>2287</v>
      </c>
      <c r="D3204" s="1360"/>
      <c r="E3204" s="675">
        <v>1.5</v>
      </c>
      <c r="F3204" s="676" t="s">
        <v>366</v>
      </c>
      <c r="G3204" s="670"/>
      <c r="H3204" s="670"/>
      <c r="I3204" s="670">
        <f>[53]노임단가!$T$5</f>
        <v>172068</v>
      </c>
      <c r="J3204" s="670">
        <f>INT(E3204*I3204)</f>
        <v>258102</v>
      </c>
      <c r="K3204" s="670"/>
      <c r="L3204" s="670"/>
      <c r="M3204" s="670">
        <f t="shared" si="770"/>
        <v>172068</v>
      </c>
      <c r="N3204" s="670">
        <f t="shared" si="770"/>
        <v>258102</v>
      </c>
      <c r="O3204" s="671"/>
      <c r="P3204" s="672"/>
      <c r="Q3204" s="828" t="s">
        <v>2277</v>
      </c>
    </row>
    <row r="3205" spans="1:20" s="688" customFormat="1" ht="17.100000000000001" customHeight="1">
      <c r="A3205" s="1318" t="s">
        <v>1320</v>
      </c>
      <c r="B3205" s="1319"/>
      <c r="C3205" s="1316"/>
      <c r="D3205" s="1317"/>
      <c r="E3205" s="686"/>
      <c r="F3205" s="676"/>
      <c r="G3205" s="670"/>
      <c r="H3205" s="670" t="e">
        <f>SUM(H3199:H3204)</f>
        <v>#REF!</v>
      </c>
      <c r="I3205" s="670"/>
      <c r="J3205" s="670">
        <f>SUM(J3199:J3204)</f>
        <v>451790</v>
      </c>
      <c r="K3205" s="670"/>
      <c r="L3205" s="670"/>
      <c r="M3205" s="670"/>
      <c r="N3205" s="670" t="e">
        <f>SUM(N3199:N3204)</f>
        <v>#REF!</v>
      </c>
      <c r="O3205" s="671"/>
      <c r="P3205" s="672"/>
      <c r="Q3205" s="828" t="s">
        <v>2277</v>
      </c>
    </row>
    <row r="3206" spans="1:20" s="688" customFormat="1" ht="17.100000000000001" customHeight="1">
      <c r="A3206" s="668">
        <f>A3198+1</f>
        <v>439</v>
      </c>
      <c r="B3206" s="1320" t="s">
        <v>2285</v>
      </c>
      <c r="C3206" s="1320"/>
      <c r="D3206" s="1320" t="s">
        <v>2292</v>
      </c>
      <c r="E3206" s="1320"/>
      <c r="F3206" s="669" t="s">
        <v>575</v>
      </c>
      <c r="G3206" s="698"/>
      <c r="H3206" s="698"/>
      <c r="I3206" s="698"/>
      <c r="J3206" s="698"/>
      <c r="K3206" s="670"/>
      <c r="L3206" s="670"/>
      <c r="M3206" s="670"/>
      <c r="N3206" s="698"/>
      <c r="O3206" s="699"/>
      <c r="P3206" s="672"/>
      <c r="Q3206" s="828"/>
    </row>
    <row r="3207" spans="1:20" s="688" customFormat="1" ht="17.100000000000001" customHeight="1">
      <c r="A3207" s="1316" t="str">
        <f>$B$3222</f>
        <v>프라이머</v>
      </c>
      <c r="B3207" s="1317"/>
      <c r="C3207" s="1316" t="str">
        <f>$D$3222</f>
        <v>맨홀보수용</v>
      </c>
      <c r="D3207" s="1317"/>
      <c r="E3207" s="675">
        <v>3.06</v>
      </c>
      <c r="F3207" s="676" t="str">
        <f>$F$3222</f>
        <v>m3</v>
      </c>
      <c r="G3207" s="670" t="e">
        <f>$H$3225</f>
        <v>#REF!</v>
      </c>
      <c r="H3207" s="670" t="e">
        <f>INT(E3207*G3207)</f>
        <v>#REF!</v>
      </c>
      <c r="I3207" s="670"/>
      <c r="J3207" s="670"/>
      <c r="K3207" s="670"/>
      <c r="L3207" s="670"/>
      <c r="M3207" s="670" t="e">
        <f t="shared" ref="M3207:N3212" si="771">G3207+I3207+K3207</f>
        <v>#REF!</v>
      </c>
      <c r="N3207" s="670" t="e">
        <f t="shared" si="771"/>
        <v>#REF!</v>
      </c>
      <c r="O3207" s="671">
        <f>$A$3222</f>
        <v>441</v>
      </c>
      <c r="P3207" s="672"/>
      <c r="Q3207" s="828"/>
    </row>
    <row r="3208" spans="1:20" s="688" customFormat="1" ht="17.100000000000001" customHeight="1">
      <c r="A3208" s="1316" t="str">
        <f>$B$3226</f>
        <v>모르타르</v>
      </c>
      <c r="B3208" s="1317"/>
      <c r="C3208" s="1316" t="str">
        <f>$D$3226</f>
        <v>맨홀보수용</v>
      </c>
      <c r="D3208" s="1317"/>
      <c r="E3208" s="701">
        <v>2.8000000000000001E-2</v>
      </c>
      <c r="F3208" s="676" t="str">
        <f>$F$3226</f>
        <v>m3</v>
      </c>
      <c r="G3208" s="670" t="e">
        <f>$H$3230</f>
        <v>#REF!</v>
      </c>
      <c r="H3208" s="670" t="e">
        <f>INT(E3208*G3208)</f>
        <v>#REF!</v>
      </c>
      <c r="I3208" s="670"/>
      <c r="J3208" s="670"/>
      <c r="K3208" s="670"/>
      <c r="L3208" s="670"/>
      <c r="M3208" s="670" t="e">
        <f t="shared" si="771"/>
        <v>#REF!</v>
      </c>
      <c r="N3208" s="670" t="e">
        <f t="shared" si="771"/>
        <v>#REF!</v>
      </c>
      <c r="O3208" s="671">
        <f>$A$3226</f>
        <v>442</v>
      </c>
      <c r="P3208" s="672"/>
      <c r="Q3208" s="828"/>
    </row>
    <row r="3209" spans="1:20" s="688" customFormat="1" ht="17.100000000000001" customHeight="1">
      <c r="A3209" s="1316" t="str">
        <f>$B$3231</f>
        <v>폴리머콘크리트</v>
      </c>
      <c r="B3209" s="1317"/>
      <c r="C3209" s="1316" t="str">
        <f>$D$3231</f>
        <v>맨홀보수용</v>
      </c>
      <c r="D3209" s="1317"/>
      <c r="E3209" s="701">
        <v>4.9000000000000002E-2</v>
      </c>
      <c r="F3209" s="676" t="str">
        <f>$F$3231</f>
        <v>m3</v>
      </c>
      <c r="G3209" s="670" t="e">
        <f>$H$3236</f>
        <v>#REF!</v>
      </c>
      <c r="H3209" s="670" t="e">
        <f>INT(E3209*G3209)</f>
        <v>#REF!</v>
      </c>
      <c r="I3209" s="670"/>
      <c r="J3209" s="670"/>
      <c r="K3209" s="670"/>
      <c r="L3209" s="670"/>
      <c r="M3209" s="670" t="e">
        <f t="shared" si="771"/>
        <v>#REF!</v>
      </c>
      <c r="N3209" s="670" t="e">
        <f t="shared" si="771"/>
        <v>#REF!</v>
      </c>
      <c r="O3209" s="671">
        <f>$A$3231</f>
        <v>443</v>
      </c>
      <c r="P3209" s="672"/>
      <c r="Q3209" s="828"/>
    </row>
    <row r="3210" spans="1:20" s="688" customFormat="1" ht="17.100000000000001" customHeight="1">
      <c r="A3210" s="1359" t="s">
        <v>628</v>
      </c>
      <c r="B3210" s="1360"/>
      <c r="C3210" s="1359"/>
      <c r="D3210" s="1360"/>
      <c r="E3210" s="675">
        <v>0.4</v>
      </c>
      <c r="F3210" s="676" t="s">
        <v>366</v>
      </c>
      <c r="G3210" s="670"/>
      <c r="H3210" s="670"/>
      <c r="I3210" s="670">
        <f>[53]노임단가!$T$6</f>
        <v>226122</v>
      </c>
      <c r="J3210" s="670">
        <f>INT(E3210*I3210)</f>
        <v>90448</v>
      </c>
      <c r="K3210" s="670"/>
      <c r="L3210" s="670"/>
      <c r="M3210" s="670">
        <f t="shared" si="771"/>
        <v>226122</v>
      </c>
      <c r="N3210" s="670">
        <f t="shared" si="771"/>
        <v>90448</v>
      </c>
      <c r="O3210" s="671"/>
      <c r="P3210" s="672"/>
      <c r="Q3210" s="828"/>
    </row>
    <row r="3211" spans="1:20" s="688" customFormat="1" ht="17.100000000000001" customHeight="1">
      <c r="A3211" s="1359" t="s">
        <v>248</v>
      </c>
      <c r="B3211" s="1360"/>
      <c r="C3211" s="1359"/>
      <c r="D3211" s="1360"/>
      <c r="E3211" s="675">
        <v>0.6</v>
      </c>
      <c r="F3211" s="676" t="s">
        <v>366</v>
      </c>
      <c r="G3211" s="670"/>
      <c r="H3211" s="670"/>
      <c r="I3211" s="670">
        <f>[53]노임단가!$T$5</f>
        <v>172068</v>
      </c>
      <c r="J3211" s="670">
        <f>INT(E3211*I3211)</f>
        <v>103240</v>
      </c>
      <c r="K3211" s="670"/>
      <c r="L3211" s="670"/>
      <c r="M3211" s="670">
        <f t="shared" si="771"/>
        <v>172068</v>
      </c>
      <c r="N3211" s="670">
        <f t="shared" si="771"/>
        <v>103240</v>
      </c>
      <c r="O3211" s="671"/>
      <c r="P3211" s="672"/>
      <c r="Q3211" s="828"/>
    </row>
    <row r="3212" spans="1:20" s="688" customFormat="1" ht="17.100000000000001" customHeight="1">
      <c r="A3212" s="1359" t="s">
        <v>248</v>
      </c>
      <c r="B3212" s="1360"/>
      <c r="C3212" s="1359" t="s">
        <v>2287</v>
      </c>
      <c r="D3212" s="1360"/>
      <c r="E3212" s="675">
        <v>1.5</v>
      </c>
      <c r="F3212" s="676" t="s">
        <v>366</v>
      </c>
      <c r="G3212" s="670"/>
      <c r="H3212" s="670"/>
      <c r="I3212" s="670">
        <f>[53]노임단가!$T$5</f>
        <v>172068</v>
      </c>
      <c r="J3212" s="670">
        <f>INT(E3212*I3212)</f>
        <v>258102</v>
      </c>
      <c r="K3212" s="670"/>
      <c r="L3212" s="670"/>
      <c r="M3212" s="670">
        <f t="shared" si="771"/>
        <v>172068</v>
      </c>
      <c r="N3212" s="670">
        <f t="shared" si="771"/>
        <v>258102</v>
      </c>
      <c r="O3212" s="671"/>
      <c r="P3212" s="672"/>
      <c r="Q3212" s="828"/>
    </row>
    <row r="3213" spans="1:20" s="688" customFormat="1" ht="17.100000000000001" customHeight="1">
      <c r="A3213" s="1318" t="s">
        <v>1320</v>
      </c>
      <c r="B3213" s="1319"/>
      <c r="C3213" s="1316"/>
      <c r="D3213" s="1317"/>
      <c r="E3213" s="686"/>
      <c r="F3213" s="676"/>
      <c r="G3213" s="670"/>
      <c r="H3213" s="670" t="e">
        <f>SUM(H3207:H3212)</f>
        <v>#REF!</v>
      </c>
      <c r="I3213" s="670"/>
      <c r="J3213" s="670">
        <f>SUM(J3207:J3212)</f>
        <v>451790</v>
      </c>
      <c r="K3213" s="670"/>
      <c r="L3213" s="670"/>
      <c r="M3213" s="670"/>
      <c r="N3213" s="670" t="e">
        <f>SUM(N3207:N3212)</f>
        <v>#REF!</v>
      </c>
      <c r="O3213" s="671"/>
      <c r="P3213" s="672"/>
      <c r="Q3213" s="828"/>
    </row>
    <row r="3214" spans="1:20" s="688" customFormat="1" ht="17.100000000000001" customHeight="1">
      <c r="A3214" s="668">
        <f>A3206+1</f>
        <v>440</v>
      </c>
      <c r="B3214" s="1320" t="s">
        <v>2285</v>
      </c>
      <c r="C3214" s="1320"/>
      <c r="D3214" s="1320" t="s">
        <v>2293</v>
      </c>
      <c r="E3214" s="1320"/>
      <c r="F3214" s="669" t="s">
        <v>575</v>
      </c>
      <c r="G3214" s="698"/>
      <c r="H3214" s="698"/>
      <c r="I3214" s="698"/>
      <c r="J3214" s="698"/>
      <c r="K3214" s="670"/>
      <c r="L3214" s="670"/>
      <c r="M3214" s="670"/>
      <c r="N3214" s="698"/>
      <c r="O3214" s="699"/>
      <c r="P3214" s="672"/>
      <c r="Q3214" s="828"/>
      <c r="S3214" s="690"/>
      <c r="T3214" s="690"/>
    </row>
    <row r="3215" spans="1:20" s="688" customFormat="1" ht="17.100000000000001" customHeight="1">
      <c r="A3215" s="1316" t="str">
        <f>$B$3222</f>
        <v>프라이머</v>
      </c>
      <c r="B3215" s="1317"/>
      <c r="C3215" s="1316" t="str">
        <f>$D$3222</f>
        <v>맨홀보수용</v>
      </c>
      <c r="D3215" s="1317"/>
      <c r="E3215" s="679">
        <v>1.1000000000000001</v>
      </c>
      <c r="F3215" s="676" t="str">
        <f>$F$3222</f>
        <v>m3</v>
      </c>
      <c r="G3215" s="670" t="e">
        <f>$H$3225</f>
        <v>#REF!</v>
      </c>
      <c r="H3215" s="670" t="e">
        <f>INT(E3215*G3215)</f>
        <v>#REF!</v>
      </c>
      <c r="I3215" s="670"/>
      <c r="J3215" s="670"/>
      <c r="K3215" s="670"/>
      <c r="L3215" s="670"/>
      <c r="M3215" s="670" t="e">
        <f t="shared" ref="M3215:N3220" si="772">G3215+I3215+K3215</f>
        <v>#REF!</v>
      </c>
      <c r="N3215" s="670" t="e">
        <f t="shared" si="772"/>
        <v>#REF!</v>
      </c>
      <c r="O3215" s="671">
        <f>$A$3222</f>
        <v>441</v>
      </c>
      <c r="P3215" s="672"/>
      <c r="Q3215" s="828"/>
    </row>
    <row r="3216" spans="1:20" s="688" customFormat="1" ht="17.100000000000001" customHeight="1">
      <c r="A3216" s="1316" t="str">
        <f>$B$3226</f>
        <v>모르타르</v>
      </c>
      <c r="B3216" s="1317"/>
      <c r="C3216" s="1316" t="str">
        <f>$D$3226</f>
        <v>맨홀보수용</v>
      </c>
      <c r="D3216" s="1317"/>
      <c r="E3216" s="675">
        <v>0.01</v>
      </c>
      <c r="F3216" s="676" t="str">
        <f>$F$3226</f>
        <v>m3</v>
      </c>
      <c r="G3216" s="670" t="e">
        <f>$H$3230</f>
        <v>#REF!</v>
      </c>
      <c r="H3216" s="670" t="e">
        <f>INT(E3216*G3216)</f>
        <v>#REF!</v>
      </c>
      <c r="I3216" s="670"/>
      <c r="J3216" s="670"/>
      <c r="K3216" s="670"/>
      <c r="L3216" s="670"/>
      <c r="M3216" s="670" t="e">
        <f t="shared" si="772"/>
        <v>#REF!</v>
      </c>
      <c r="N3216" s="670" t="e">
        <f t="shared" si="772"/>
        <v>#REF!</v>
      </c>
      <c r="O3216" s="671">
        <f>$A$3226</f>
        <v>442</v>
      </c>
      <c r="P3216" s="672"/>
      <c r="Q3216" s="828"/>
    </row>
    <row r="3217" spans="1:20" s="688" customFormat="1" ht="17.100000000000001" customHeight="1">
      <c r="A3217" s="1316" t="str">
        <f>$B$3231</f>
        <v>폴리머콘크리트</v>
      </c>
      <c r="B3217" s="1317"/>
      <c r="C3217" s="1316" t="str">
        <f>$D$3231</f>
        <v>맨홀보수용</v>
      </c>
      <c r="D3217" s="1317"/>
      <c r="E3217" s="701">
        <v>4.9000000000000002E-2</v>
      </c>
      <c r="F3217" s="676" t="str">
        <f>$F$3231</f>
        <v>m3</v>
      </c>
      <c r="G3217" s="670" t="e">
        <f>$H$3236</f>
        <v>#REF!</v>
      </c>
      <c r="H3217" s="670" t="e">
        <f>INT(E3217*G3217)</f>
        <v>#REF!</v>
      </c>
      <c r="I3217" s="670"/>
      <c r="J3217" s="670"/>
      <c r="K3217" s="670"/>
      <c r="L3217" s="670"/>
      <c r="M3217" s="670" t="e">
        <f t="shared" si="772"/>
        <v>#REF!</v>
      </c>
      <c r="N3217" s="670" t="e">
        <f t="shared" si="772"/>
        <v>#REF!</v>
      </c>
      <c r="O3217" s="671">
        <f>$A$3231</f>
        <v>443</v>
      </c>
      <c r="P3217" s="672"/>
      <c r="Q3217" s="828"/>
    </row>
    <row r="3218" spans="1:20" s="688" customFormat="1" ht="17.100000000000001" customHeight="1">
      <c r="A3218" s="1359" t="s">
        <v>628</v>
      </c>
      <c r="B3218" s="1360"/>
      <c r="C3218" s="1359"/>
      <c r="D3218" s="1360"/>
      <c r="E3218" s="675">
        <v>0.4</v>
      </c>
      <c r="F3218" s="676" t="s">
        <v>366</v>
      </c>
      <c r="G3218" s="670"/>
      <c r="H3218" s="670"/>
      <c r="I3218" s="670">
        <f>[53]노임단가!$T$6</f>
        <v>226122</v>
      </c>
      <c r="J3218" s="670">
        <f>INT(E3218*I3218)</f>
        <v>90448</v>
      </c>
      <c r="K3218" s="670"/>
      <c r="L3218" s="670"/>
      <c r="M3218" s="670">
        <f t="shared" si="772"/>
        <v>226122</v>
      </c>
      <c r="N3218" s="670">
        <f t="shared" si="772"/>
        <v>90448</v>
      </c>
      <c r="O3218" s="671"/>
      <c r="P3218" s="672"/>
      <c r="Q3218" s="828"/>
    </row>
    <row r="3219" spans="1:20" s="688" customFormat="1" ht="17.100000000000001" customHeight="1">
      <c r="A3219" s="1359" t="s">
        <v>248</v>
      </c>
      <c r="B3219" s="1360"/>
      <c r="C3219" s="1359"/>
      <c r="D3219" s="1360"/>
      <c r="E3219" s="675">
        <v>0.6</v>
      </c>
      <c r="F3219" s="676" t="s">
        <v>366</v>
      </c>
      <c r="G3219" s="670"/>
      <c r="H3219" s="670"/>
      <c r="I3219" s="670">
        <f>[53]노임단가!$T$5</f>
        <v>172068</v>
      </c>
      <c r="J3219" s="670">
        <f>INT(E3219*I3219)</f>
        <v>103240</v>
      </c>
      <c r="K3219" s="670"/>
      <c r="L3219" s="670"/>
      <c r="M3219" s="670">
        <f t="shared" si="772"/>
        <v>172068</v>
      </c>
      <c r="N3219" s="670">
        <f t="shared" si="772"/>
        <v>103240</v>
      </c>
      <c r="O3219" s="671"/>
      <c r="P3219" s="672"/>
      <c r="Q3219" s="828"/>
    </row>
    <row r="3220" spans="1:20" s="688" customFormat="1" ht="17.100000000000001" customHeight="1">
      <c r="A3220" s="1359" t="s">
        <v>248</v>
      </c>
      <c r="B3220" s="1360"/>
      <c r="C3220" s="1359" t="s">
        <v>2287</v>
      </c>
      <c r="D3220" s="1360"/>
      <c r="E3220" s="675">
        <v>1</v>
      </c>
      <c r="F3220" s="676" t="s">
        <v>366</v>
      </c>
      <c r="G3220" s="670"/>
      <c r="H3220" s="670"/>
      <c r="I3220" s="670">
        <f>[53]노임단가!$T$5</f>
        <v>172068</v>
      </c>
      <c r="J3220" s="670">
        <f>INT(E3220*I3220)</f>
        <v>172068</v>
      </c>
      <c r="K3220" s="670"/>
      <c r="L3220" s="670"/>
      <c r="M3220" s="670">
        <f t="shared" si="772"/>
        <v>172068</v>
      </c>
      <c r="N3220" s="670">
        <f t="shared" si="772"/>
        <v>172068</v>
      </c>
      <c r="O3220" s="671"/>
      <c r="P3220" s="672"/>
      <c r="Q3220" s="828"/>
    </row>
    <row r="3221" spans="1:20" s="688" customFormat="1" ht="17.100000000000001" customHeight="1">
      <c r="A3221" s="1318" t="s">
        <v>1320</v>
      </c>
      <c r="B3221" s="1319"/>
      <c r="C3221" s="1316"/>
      <c r="D3221" s="1317"/>
      <c r="E3221" s="686"/>
      <c r="F3221" s="676"/>
      <c r="G3221" s="670"/>
      <c r="H3221" s="670" t="e">
        <f>SUM(H3215:H3220)</f>
        <v>#REF!</v>
      </c>
      <c r="I3221" s="670"/>
      <c r="J3221" s="670">
        <f>SUM(J3215:J3220)</f>
        <v>365756</v>
      </c>
      <c r="K3221" s="670"/>
      <c r="L3221" s="670"/>
      <c r="M3221" s="670"/>
      <c r="N3221" s="670" t="e">
        <f>SUM(N3215:N3220)</f>
        <v>#REF!</v>
      </c>
      <c r="O3221" s="671"/>
      <c r="P3221" s="672"/>
      <c r="Q3221" s="828"/>
    </row>
    <row r="3222" spans="1:20" s="688" customFormat="1" ht="17.100000000000001" customHeight="1">
      <c r="A3222" s="668">
        <f>A3214+1</f>
        <v>441</v>
      </c>
      <c r="B3222" s="1320" t="s">
        <v>2294</v>
      </c>
      <c r="C3222" s="1320"/>
      <c r="D3222" s="1320" t="s">
        <v>2295</v>
      </c>
      <c r="E3222" s="1320"/>
      <c r="F3222" s="669" t="s">
        <v>850</v>
      </c>
      <c r="G3222" s="698"/>
      <c r="H3222" s="698"/>
      <c r="I3222" s="698"/>
      <c r="J3222" s="698"/>
      <c r="K3222" s="670"/>
      <c r="L3222" s="670"/>
      <c r="M3222" s="670"/>
      <c r="N3222" s="698"/>
      <c r="O3222" s="699"/>
      <c r="P3222" s="672"/>
      <c r="Q3222" s="828"/>
    </row>
    <row r="3223" spans="1:20" s="688" customFormat="1" ht="17.100000000000001" customHeight="1">
      <c r="A3223" s="1316" t="s">
        <v>843</v>
      </c>
      <c r="B3223" s="1317"/>
      <c r="C3223" s="1316" t="s">
        <v>2296</v>
      </c>
      <c r="D3223" s="1317"/>
      <c r="E3223" s="675">
        <v>1.26</v>
      </c>
      <c r="F3223" s="676" t="s">
        <v>835</v>
      </c>
      <c r="G3223" s="670" t="e">
        <f>#REF!</f>
        <v>#REF!</v>
      </c>
      <c r="H3223" s="670" t="e">
        <f>INT(E3223*G3223)</f>
        <v>#REF!</v>
      </c>
      <c r="I3223" s="670"/>
      <c r="J3223" s="670"/>
      <c r="K3223" s="670"/>
      <c r="L3223" s="670"/>
      <c r="M3223" s="670" t="e">
        <f>G3223+I3223+K3223</f>
        <v>#REF!</v>
      </c>
      <c r="N3223" s="670" t="e">
        <f>H3223+J3223+L3223</f>
        <v>#REF!</v>
      </c>
      <c r="O3223" s="671"/>
      <c r="P3223" s="672"/>
      <c r="Q3223" s="828"/>
    </row>
    <row r="3224" spans="1:20" s="688" customFormat="1" ht="17.100000000000001" customHeight="1">
      <c r="A3224" s="1316" t="s">
        <v>1000</v>
      </c>
      <c r="B3224" s="1317"/>
      <c r="C3224" s="1316" t="s">
        <v>2297</v>
      </c>
      <c r="D3224" s="1317"/>
      <c r="E3224" s="675">
        <v>0.21</v>
      </c>
      <c r="F3224" s="676" t="s">
        <v>801</v>
      </c>
      <c r="G3224" s="670" t="e">
        <f>#REF!</f>
        <v>#REF!</v>
      </c>
      <c r="H3224" s="670" t="e">
        <f>INT(E3224*G3224)</f>
        <v>#REF!</v>
      </c>
      <c r="I3224" s="670"/>
      <c r="J3224" s="670"/>
      <c r="K3224" s="670"/>
      <c r="L3224" s="670"/>
      <c r="M3224" s="670" t="e">
        <f>G3224+I3224+K3224</f>
        <v>#REF!</v>
      </c>
      <c r="N3224" s="670" t="e">
        <f>H3224+J3224+L3224</f>
        <v>#REF!</v>
      </c>
      <c r="O3224" s="671"/>
      <c r="P3224" s="672"/>
      <c r="Q3224" s="828"/>
    </row>
    <row r="3225" spans="1:20" s="688" customFormat="1" ht="17.100000000000001" customHeight="1">
      <c r="A3225" s="1318" t="s">
        <v>1320</v>
      </c>
      <c r="B3225" s="1319"/>
      <c r="C3225" s="1316"/>
      <c r="D3225" s="1317"/>
      <c r="E3225" s="686"/>
      <c r="F3225" s="676"/>
      <c r="G3225" s="670"/>
      <c r="H3225" s="670" t="e">
        <f>SUM(H3223:H3224)</f>
        <v>#REF!</v>
      </c>
      <c r="I3225" s="670"/>
      <c r="J3225" s="670"/>
      <c r="K3225" s="670"/>
      <c r="L3225" s="670"/>
      <c r="M3225" s="670"/>
      <c r="N3225" s="670" t="e">
        <f>SUM(N3223:N3224)</f>
        <v>#REF!</v>
      </c>
      <c r="O3225" s="671"/>
      <c r="P3225" s="672"/>
      <c r="Q3225" s="828"/>
    </row>
    <row r="3226" spans="1:20" s="688" customFormat="1" ht="17.100000000000001" customHeight="1">
      <c r="A3226" s="668">
        <f>A3222+1</f>
        <v>442</v>
      </c>
      <c r="B3226" s="1320" t="s">
        <v>1524</v>
      </c>
      <c r="C3226" s="1320"/>
      <c r="D3226" s="1320" t="s">
        <v>2295</v>
      </c>
      <c r="E3226" s="1320"/>
      <c r="F3226" s="669" t="s">
        <v>850</v>
      </c>
      <c r="G3226" s="698"/>
      <c r="H3226" s="698"/>
      <c r="I3226" s="698"/>
      <c r="J3226" s="698"/>
      <c r="K3226" s="670"/>
      <c r="L3226" s="670"/>
      <c r="M3226" s="670"/>
      <c r="N3226" s="698"/>
      <c r="O3226" s="699"/>
      <c r="P3226" s="672"/>
      <c r="Q3226" s="828"/>
    </row>
    <row r="3227" spans="1:20" s="688" customFormat="1" ht="17.100000000000001" customHeight="1">
      <c r="A3227" s="1316" t="s">
        <v>843</v>
      </c>
      <c r="B3227" s="1317"/>
      <c r="C3227" s="1316" t="s">
        <v>2296</v>
      </c>
      <c r="D3227" s="1317"/>
      <c r="E3227" s="675">
        <v>200.55</v>
      </c>
      <c r="F3227" s="676" t="s">
        <v>835</v>
      </c>
      <c r="G3227" s="670" t="e">
        <f>#REF!</f>
        <v>#REF!</v>
      </c>
      <c r="H3227" s="670" t="e">
        <f>INT(E3227*G3227)</f>
        <v>#REF!</v>
      </c>
      <c r="I3227" s="670"/>
      <c r="J3227" s="670"/>
      <c r="K3227" s="670"/>
      <c r="L3227" s="670"/>
      <c r="M3227" s="670" t="e">
        <f t="shared" ref="M3227:N3229" si="773">G3227+I3227+K3227</f>
        <v>#REF!</v>
      </c>
      <c r="N3227" s="670" t="e">
        <f t="shared" si="773"/>
        <v>#REF!</v>
      </c>
      <c r="O3227" s="671"/>
      <c r="P3227" s="672"/>
      <c r="Q3227" s="828"/>
      <c r="S3227" s="690"/>
      <c r="T3227" s="690"/>
    </row>
    <row r="3228" spans="1:20" s="688" customFormat="1" ht="17.100000000000001" customHeight="1">
      <c r="A3228" s="1316" t="s">
        <v>821</v>
      </c>
      <c r="B3228" s="1317"/>
      <c r="C3228" s="1316"/>
      <c r="D3228" s="1317"/>
      <c r="E3228" s="679">
        <v>1.2</v>
      </c>
      <c r="F3228" s="676" t="s">
        <v>850</v>
      </c>
      <c r="G3228" s="670" t="e">
        <f>#REF!</f>
        <v>#REF!</v>
      </c>
      <c r="H3228" s="670" t="e">
        <f>INT(E3228*G3228)</f>
        <v>#REF!</v>
      </c>
      <c r="I3228" s="670"/>
      <c r="J3228" s="670"/>
      <c r="K3228" s="670"/>
      <c r="L3228" s="670"/>
      <c r="M3228" s="670" t="e">
        <f t="shared" si="773"/>
        <v>#REF!</v>
      </c>
      <c r="N3228" s="670" t="e">
        <f t="shared" si="773"/>
        <v>#REF!</v>
      </c>
      <c r="O3228" s="671"/>
      <c r="P3228" s="672"/>
      <c r="Q3228" s="828"/>
    </row>
    <row r="3229" spans="1:20" s="688" customFormat="1" ht="17.100000000000001" customHeight="1">
      <c r="A3229" s="1316" t="s">
        <v>2264</v>
      </c>
      <c r="B3229" s="1317"/>
      <c r="C3229" s="1316" t="s">
        <v>2298</v>
      </c>
      <c r="D3229" s="1317"/>
      <c r="E3229" s="675">
        <v>110.25</v>
      </c>
      <c r="F3229" s="676" t="s">
        <v>835</v>
      </c>
      <c r="G3229" s="670" t="e">
        <f>#REF!</f>
        <v>#REF!</v>
      </c>
      <c r="H3229" s="670" t="e">
        <f>INT(E3229*G3229)</f>
        <v>#REF!</v>
      </c>
      <c r="I3229" s="670"/>
      <c r="J3229" s="670"/>
      <c r="K3229" s="670"/>
      <c r="L3229" s="670"/>
      <c r="M3229" s="670" t="e">
        <f t="shared" si="773"/>
        <v>#REF!</v>
      </c>
      <c r="N3229" s="670" t="e">
        <f t="shared" si="773"/>
        <v>#REF!</v>
      </c>
      <c r="O3229" s="671"/>
      <c r="P3229" s="672"/>
      <c r="Q3229" s="828"/>
    </row>
    <row r="3230" spans="1:20" s="688" customFormat="1" ht="17.100000000000001" customHeight="1">
      <c r="A3230" s="1318" t="s">
        <v>1320</v>
      </c>
      <c r="B3230" s="1319"/>
      <c r="C3230" s="1316"/>
      <c r="D3230" s="1317"/>
      <c r="E3230" s="686"/>
      <c r="F3230" s="676"/>
      <c r="G3230" s="670"/>
      <c r="H3230" s="670" t="e">
        <f>SUM(H3227:H3229)</f>
        <v>#REF!</v>
      </c>
      <c r="I3230" s="670"/>
      <c r="J3230" s="670"/>
      <c r="K3230" s="670"/>
      <c r="L3230" s="670"/>
      <c r="M3230" s="670"/>
      <c r="N3230" s="670" t="e">
        <f>SUM(N3227:N3229)</f>
        <v>#REF!</v>
      </c>
      <c r="O3230" s="671"/>
      <c r="P3230" s="672"/>
      <c r="Q3230" s="828"/>
    </row>
    <row r="3231" spans="1:20" s="688" customFormat="1" ht="17.100000000000001" customHeight="1">
      <c r="A3231" s="668">
        <f>A3226+1</f>
        <v>443</v>
      </c>
      <c r="B3231" s="1320" t="s">
        <v>2299</v>
      </c>
      <c r="C3231" s="1320"/>
      <c r="D3231" s="1320" t="s">
        <v>2295</v>
      </c>
      <c r="E3231" s="1320"/>
      <c r="F3231" s="669" t="s">
        <v>850</v>
      </c>
      <c r="G3231" s="698"/>
      <c r="H3231" s="698"/>
      <c r="I3231" s="698"/>
      <c r="J3231" s="698"/>
      <c r="K3231" s="670"/>
      <c r="L3231" s="670"/>
      <c r="M3231" s="670"/>
      <c r="N3231" s="698"/>
      <c r="O3231" s="699"/>
      <c r="P3231" s="672"/>
      <c r="Q3231" s="828"/>
    </row>
    <row r="3232" spans="1:20" s="688" customFormat="1" ht="17.100000000000001" customHeight="1">
      <c r="A3232" s="1316" t="s">
        <v>843</v>
      </c>
      <c r="B3232" s="1317"/>
      <c r="C3232" s="1316" t="s">
        <v>2296</v>
      </c>
      <c r="D3232" s="1317"/>
      <c r="E3232" s="675">
        <v>137.55000000000001</v>
      </c>
      <c r="F3232" s="676" t="s">
        <v>835</v>
      </c>
      <c r="G3232" s="670" t="e">
        <f>#REF!</f>
        <v>#REF!</v>
      </c>
      <c r="H3232" s="670" t="e">
        <f>INT(E3232*G3232)</f>
        <v>#REF!</v>
      </c>
      <c r="I3232" s="670"/>
      <c r="J3232" s="670"/>
      <c r="K3232" s="670"/>
      <c r="L3232" s="670"/>
      <c r="M3232" s="670" t="e">
        <f t="shared" ref="M3232:N3235" si="774">G3232+I3232+K3232</f>
        <v>#REF!</v>
      </c>
      <c r="N3232" s="670" t="e">
        <f t="shared" si="774"/>
        <v>#REF!</v>
      </c>
      <c r="O3232" s="671"/>
      <c r="P3232" s="672"/>
      <c r="Q3232" s="828"/>
    </row>
    <row r="3233" spans="1:17" s="688" customFormat="1" ht="17.100000000000001" customHeight="1">
      <c r="A3233" s="1316" t="s">
        <v>821</v>
      </c>
      <c r="B3233" s="1317"/>
      <c r="C3233" s="1316"/>
      <c r="D3233" s="1317"/>
      <c r="E3233" s="675">
        <v>0.56000000000000005</v>
      </c>
      <c r="F3233" s="676" t="s">
        <v>850</v>
      </c>
      <c r="G3233" s="670" t="e">
        <f>#REF!</f>
        <v>#REF!</v>
      </c>
      <c r="H3233" s="670" t="e">
        <f>INT(E3233*G3233)</f>
        <v>#REF!</v>
      </c>
      <c r="I3233" s="670"/>
      <c r="J3233" s="670"/>
      <c r="K3233" s="670"/>
      <c r="L3233" s="670"/>
      <c r="M3233" s="670" t="e">
        <f t="shared" si="774"/>
        <v>#REF!</v>
      </c>
      <c r="N3233" s="670" t="e">
        <f t="shared" si="774"/>
        <v>#REF!</v>
      </c>
      <c r="O3233" s="671"/>
      <c r="P3233" s="672"/>
      <c r="Q3233" s="828"/>
    </row>
    <row r="3234" spans="1:17" s="688" customFormat="1" ht="17.100000000000001" customHeight="1">
      <c r="A3234" s="1316" t="s">
        <v>824</v>
      </c>
      <c r="B3234" s="1317"/>
      <c r="C3234" s="1316" t="s">
        <v>2300</v>
      </c>
      <c r="D3234" s="1317"/>
      <c r="E3234" s="675">
        <v>0.64</v>
      </c>
      <c r="F3234" s="676" t="s">
        <v>850</v>
      </c>
      <c r="G3234" s="670" t="e">
        <f>#REF!</f>
        <v>#REF!</v>
      </c>
      <c r="H3234" s="670" t="e">
        <f>INT(E3234*G3234)</f>
        <v>#REF!</v>
      </c>
      <c r="I3234" s="670"/>
      <c r="J3234" s="670"/>
      <c r="K3234" s="670"/>
      <c r="L3234" s="670"/>
      <c r="M3234" s="670" t="e">
        <f t="shared" si="774"/>
        <v>#REF!</v>
      </c>
      <c r="N3234" s="670" t="e">
        <f t="shared" si="774"/>
        <v>#REF!</v>
      </c>
      <c r="O3234" s="671"/>
      <c r="P3234" s="672"/>
      <c r="Q3234" s="828"/>
    </row>
    <row r="3235" spans="1:17" s="688" customFormat="1" ht="17.100000000000001" customHeight="1">
      <c r="A3235" s="1316" t="s">
        <v>2264</v>
      </c>
      <c r="B3235" s="1317"/>
      <c r="C3235" s="1316" t="s">
        <v>2298</v>
      </c>
      <c r="D3235" s="1317"/>
      <c r="E3235" s="679">
        <v>81.900000000000006</v>
      </c>
      <c r="F3235" s="676" t="s">
        <v>835</v>
      </c>
      <c r="G3235" s="670" t="e">
        <f>#REF!</f>
        <v>#REF!</v>
      </c>
      <c r="H3235" s="670" t="e">
        <f>INT(E3235*G3235)</f>
        <v>#REF!</v>
      </c>
      <c r="I3235" s="670"/>
      <c r="J3235" s="670"/>
      <c r="K3235" s="670"/>
      <c r="L3235" s="670"/>
      <c r="M3235" s="670" t="e">
        <f t="shared" si="774"/>
        <v>#REF!</v>
      </c>
      <c r="N3235" s="670" t="e">
        <f t="shared" si="774"/>
        <v>#REF!</v>
      </c>
      <c r="O3235" s="671"/>
      <c r="P3235" s="672"/>
      <c r="Q3235" s="828"/>
    </row>
    <row r="3236" spans="1:17" s="688" customFormat="1" ht="17.100000000000001" customHeight="1">
      <c r="A3236" s="1318" t="s">
        <v>1320</v>
      </c>
      <c r="B3236" s="1319"/>
      <c r="C3236" s="1316"/>
      <c r="D3236" s="1317"/>
      <c r="E3236" s="686"/>
      <c r="F3236" s="676"/>
      <c r="G3236" s="670"/>
      <c r="H3236" s="670" t="e">
        <f>SUM(H3232:H3235)</f>
        <v>#REF!</v>
      </c>
      <c r="I3236" s="670"/>
      <c r="J3236" s="670"/>
      <c r="K3236" s="670"/>
      <c r="L3236" s="670"/>
      <c r="M3236" s="670"/>
      <c r="N3236" s="670" t="e">
        <f>SUM(N3232:N3235)</f>
        <v>#REF!</v>
      </c>
      <c r="O3236" s="671"/>
      <c r="P3236" s="672"/>
      <c r="Q3236" s="828"/>
    </row>
    <row r="3237" spans="1:17" s="688" customFormat="1" ht="17.100000000000001" customHeight="1">
      <c r="A3237" s="668">
        <f>A3231+1</f>
        <v>444</v>
      </c>
      <c r="B3237" s="1320" t="s">
        <v>2301</v>
      </c>
      <c r="C3237" s="1320"/>
      <c r="D3237" s="1320" t="s">
        <v>2270</v>
      </c>
      <c r="E3237" s="1320"/>
      <c r="F3237" s="669" t="s">
        <v>575</v>
      </c>
      <c r="G3237" s="698"/>
      <c r="H3237" s="698"/>
      <c r="I3237" s="698"/>
      <c r="J3237" s="698"/>
      <c r="K3237" s="670"/>
      <c r="L3237" s="670"/>
      <c r="M3237" s="670"/>
      <c r="N3237" s="698"/>
      <c r="O3237" s="699"/>
      <c r="P3237" s="672"/>
      <c r="Q3237" s="828"/>
    </row>
    <row r="3238" spans="1:17" s="688" customFormat="1" ht="17.100000000000001" customHeight="1">
      <c r="A3238" s="1316" t="s">
        <v>1441</v>
      </c>
      <c r="B3238" s="1317"/>
      <c r="C3238" s="1316"/>
      <c r="D3238" s="1317"/>
      <c r="E3238" s="675">
        <v>4.88</v>
      </c>
      <c r="F3238" s="676" t="s">
        <v>272</v>
      </c>
      <c r="G3238" s="670" t="e">
        <f>$H$194</f>
        <v>#REF!</v>
      </c>
      <c r="H3238" s="670" t="e">
        <f>INT(E3238*G3238)</f>
        <v>#REF!</v>
      </c>
      <c r="I3238" s="670" t="e">
        <f>$J$194</f>
        <v>#REF!</v>
      </c>
      <c r="J3238" s="670" t="e">
        <f t="shared" ref="J3238:J3243" si="775">INT(E3238*I3238)</f>
        <v>#REF!</v>
      </c>
      <c r="K3238" s="670" t="e">
        <f>$L$194</f>
        <v>#REF!</v>
      </c>
      <c r="L3238" s="670" t="e">
        <f>INT(E3238*K3238)</f>
        <v>#REF!</v>
      </c>
      <c r="M3238" s="670" t="e">
        <f t="shared" ref="M3238:N3241" si="776">G3238+I3238+K3238</f>
        <v>#REF!</v>
      </c>
      <c r="N3238" s="670" t="e">
        <f t="shared" si="776"/>
        <v>#REF!</v>
      </c>
      <c r="O3238" s="671">
        <f>$A$189</f>
        <v>49</v>
      </c>
      <c r="P3238" s="672"/>
      <c r="Q3238" s="828"/>
    </row>
    <row r="3239" spans="1:17" s="688" customFormat="1" ht="17.100000000000001" customHeight="1">
      <c r="A3239" s="1316" t="str">
        <f>$B$214</f>
        <v>콘크리트포장 깨기</v>
      </c>
      <c r="B3239" s="1317"/>
      <c r="C3239" s="1316" t="str">
        <f>$D$214</f>
        <v>소형브레이커+공기압축기</v>
      </c>
      <c r="D3239" s="1317"/>
      <c r="E3239" s="701">
        <v>0.184</v>
      </c>
      <c r="F3239" s="676" t="s">
        <v>850</v>
      </c>
      <c r="G3239" s="670" t="e">
        <f>$H$220</f>
        <v>#REF!</v>
      </c>
      <c r="H3239" s="670" t="e">
        <f>INT(E3239*G3239)</f>
        <v>#REF!</v>
      </c>
      <c r="I3239" s="670" t="e">
        <f>$J$220</f>
        <v>#REF!</v>
      </c>
      <c r="J3239" s="670" t="e">
        <f t="shared" si="775"/>
        <v>#REF!</v>
      </c>
      <c r="K3239" s="670" t="e">
        <f>$L$220</f>
        <v>#REF!</v>
      </c>
      <c r="L3239" s="670" t="e">
        <f>INT(E3239*K3239)</f>
        <v>#REF!</v>
      </c>
      <c r="M3239" s="670" t="e">
        <f t="shared" si="776"/>
        <v>#REF!</v>
      </c>
      <c r="N3239" s="670" t="e">
        <f t="shared" si="776"/>
        <v>#REF!</v>
      </c>
      <c r="O3239" s="671">
        <f>$A$214</f>
        <v>53</v>
      </c>
      <c r="P3239" s="672"/>
      <c r="Q3239" s="828"/>
    </row>
    <row r="3240" spans="1:17" s="688" customFormat="1" ht="17.100000000000001" customHeight="1">
      <c r="A3240" s="1316" t="s">
        <v>2302</v>
      </c>
      <c r="B3240" s="1317"/>
      <c r="C3240" s="1316" t="s">
        <v>1816</v>
      </c>
      <c r="D3240" s="1317"/>
      <c r="E3240" s="701">
        <v>0.189</v>
      </c>
      <c r="F3240" s="676" t="s">
        <v>850</v>
      </c>
      <c r="G3240" s="670" t="e">
        <f>$H$544</f>
        <v>#REF!</v>
      </c>
      <c r="H3240" s="670" t="e">
        <f>INT(E3240*G3240)</f>
        <v>#REF!</v>
      </c>
      <c r="I3240" s="670">
        <f>$J$544</f>
        <v>586878</v>
      </c>
      <c r="J3240" s="670">
        <f t="shared" si="775"/>
        <v>110919</v>
      </c>
      <c r="K3240" s="670">
        <f>$L$544</f>
        <v>6798</v>
      </c>
      <c r="L3240" s="670">
        <f>INT(E3240*K3240)</f>
        <v>1284</v>
      </c>
      <c r="M3240" s="670" t="e">
        <f t="shared" si="776"/>
        <v>#REF!</v>
      </c>
      <c r="N3240" s="670" t="e">
        <f t="shared" si="776"/>
        <v>#REF!</v>
      </c>
      <c r="O3240" s="671">
        <f>$A$537</f>
        <v>138</v>
      </c>
      <c r="P3240" s="672"/>
      <c r="Q3240" s="828"/>
    </row>
    <row r="3241" spans="1:17" s="688" customFormat="1" ht="17.100000000000001" customHeight="1">
      <c r="A3241" s="1316" t="s">
        <v>2303</v>
      </c>
      <c r="B3241" s="1317"/>
      <c r="C3241" s="1316" t="s">
        <v>2304</v>
      </c>
      <c r="D3241" s="1317"/>
      <c r="E3241" s="675">
        <v>0.18</v>
      </c>
      <c r="F3241" s="676" t="s">
        <v>645</v>
      </c>
      <c r="G3241" s="670" t="e">
        <f>$H$714</f>
        <v>#REF!</v>
      </c>
      <c r="H3241" s="670" t="e">
        <f>INT(E3241*G3241)</f>
        <v>#REF!</v>
      </c>
      <c r="I3241" s="670">
        <f>$J$714</f>
        <v>38182</v>
      </c>
      <c r="J3241" s="670">
        <f t="shared" si="775"/>
        <v>6872</v>
      </c>
      <c r="K3241" s="670">
        <f>$L$714</f>
        <v>0</v>
      </c>
      <c r="L3241" s="670">
        <f>INT(E3241*K3241)</f>
        <v>0</v>
      </c>
      <c r="M3241" s="670" t="e">
        <f t="shared" si="776"/>
        <v>#REF!</v>
      </c>
      <c r="N3241" s="670" t="e">
        <f t="shared" si="776"/>
        <v>#REF!</v>
      </c>
      <c r="O3241" s="671">
        <f>$A$709</f>
        <v>161</v>
      </c>
      <c r="P3241" s="672"/>
      <c r="Q3241" s="828"/>
    </row>
    <row r="3242" spans="1:17" s="688" customFormat="1" ht="17.100000000000001" customHeight="1">
      <c r="A3242" s="1316" t="s">
        <v>2305</v>
      </c>
      <c r="B3242" s="1317"/>
      <c r="C3242" s="1316" t="s">
        <v>1827</v>
      </c>
      <c r="D3242" s="1317"/>
      <c r="E3242" s="701">
        <v>0.184</v>
      </c>
      <c r="F3242" s="676" t="s">
        <v>850</v>
      </c>
      <c r="G3242" s="670"/>
      <c r="H3242" s="670"/>
      <c r="I3242" s="670"/>
      <c r="J3242" s="670"/>
      <c r="K3242" s="670"/>
      <c r="L3242" s="670"/>
      <c r="M3242" s="670"/>
      <c r="N3242" s="670"/>
      <c r="O3242" s="671"/>
      <c r="P3242" s="672"/>
      <c r="Q3242" s="828"/>
    </row>
    <row r="3243" spans="1:17" s="688" customFormat="1" ht="17.100000000000001" customHeight="1">
      <c r="A3243" s="1359" t="s">
        <v>248</v>
      </c>
      <c r="B3243" s="1360"/>
      <c r="C3243" s="1359" t="s">
        <v>2287</v>
      </c>
      <c r="D3243" s="1360"/>
      <c r="E3243" s="675">
        <v>1.5</v>
      </c>
      <c r="F3243" s="676" t="s">
        <v>366</v>
      </c>
      <c r="G3243" s="670"/>
      <c r="H3243" s="670"/>
      <c r="I3243" s="670">
        <f>[53]노임단가!$T$5</f>
        <v>172068</v>
      </c>
      <c r="J3243" s="670">
        <f t="shared" si="775"/>
        <v>258102</v>
      </c>
      <c r="K3243" s="670"/>
      <c r="L3243" s="670"/>
      <c r="M3243" s="670">
        <f>G3243+I3243+K3243</f>
        <v>172068</v>
      </c>
      <c r="N3243" s="670">
        <f>H3243+J3243+L3243</f>
        <v>258102</v>
      </c>
      <c r="O3243" s="671"/>
      <c r="P3243" s="672"/>
      <c r="Q3243" s="828"/>
    </row>
    <row r="3244" spans="1:17" s="688" customFormat="1" ht="17.100000000000001" customHeight="1">
      <c r="A3244" s="1318" t="s">
        <v>1320</v>
      </c>
      <c r="B3244" s="1319"/>
      <c r="C3244" s="1316"/>
      <c r="D3244" s="1317"/>
      <c r="E3244" s="686"/>
      <c r="F3244" s="676"/>
      <c r="G3244" s="670"/>
      <c r="H3244" s="670" t="e">
        <f>SUM(H3238:H3243)</f>
        <v>#REF!</v>
      </c>
      <c r="I3244" s="670"/>
      <c r="J3244" s="670" t="e">
        <f>SUM(J3238:J3243)</f>
        <v>#REF!</v>
      </c>
      <c r="K3244" s="670"/>
      <c r="L3244" s="670" t="e">
        <f>SUM(L3238:L3243)</f>
        <v>#REF!</v>
      </c>
      <c r="M3244" s="670"/>
      <c r="N3244" s="670" t="e">
        <f>SUM(N3238:N3243)</f>
        <v>#REF!</v>
      </c>
      <c r="O3244" s="671"/>
      <c r="P3244" s="672"/>
      <c r="Q3244" s="828"/>
    </row>
    <row r="3245" spans="1:17" s="688" customFormat="1" ht="17.100000000000001" customHeight="1">
      <c r="A3245" s="668">
        <f>A3237+1</f>
        <v>445</v>
      </c>
      <c r="B3245" s="1320" t="s">
        <v>2301</v>
      </c>
      <c r="C3245" s="1320"/>
      <c r="D3245" s="1320" t="s">
        <v>2274</v>
      </c>
      <c r="E3245" s="1320"/>
      <c r="F3245" s="669" t="s">
        <v>575</v>
      </c>
      <c r="G3245" s="698"/>
      <c r="H3245" s="698"/>
      <c r="I3245" s="698"/>
      <c r="J3245" s="698"/>
      <c r="K3245" s="670"/>
      <c r="L3245" s="670"/>
      <c r="M3245" s="670"/>
      <c r="N3245" s="698"/>
      <c r="O3245" s="699"/>
      <c r="P3245" s="672"/>
      <c r="Q3245" s="828"/>
    </row>
    <row r="3246" spans="1:17" s="688" customFormat="1" ht="17.100000000000001" customHeight="1">
      <c r="A3246" s="1316" t="s">
        <v>1441</v>
      </c>
      <c r="B3246" s="1317"/>
      <c r="C3246" s="1316"/>
      <c r="D3246" s="1317"/>
      <c r="E3246" s="679">
        <v>5.4</v>
      </c>
      <c r="F3246" s="676" t="s">
        <v>272</v>
      </c>
      <c r="G3246" s="670" t="e">
        <f>$H$194</f>
        <v>#REF!</v>
      </c>
      <c r="H3246" s="670" t="e">
        <f>INT(E3246*G3246)</f>
        <v>#REF!</v>
      </c>
      <c r="I3246" s="670" t="e">
        <f>$J$194</f>
        <v>#REF!</v>
      </c>
      <c r="J3246" s="670" t="e">
        <f>INT(E3246*I3246)</f>
        <v>#REF!</v>
      </c>
      <c r="K3246" s="670" t="e">
        <f>$L$194</f>
        <v>#REF!</v>
      </c>
      <c r="L3246" s="670" t="e">
        <f>INT(E3246*K3246)</f>
        <v>#REF!</v>
      </c>
      <c r="M3246" s="670" t="e">
        <f t="shared" ref="M3246:N3249" si="777">G3246+I3246+K3246</f>
        <v>#REF!</v>
      </c>
      <c r="N3246" s="670" t="e">
        <f t="shared" si="777"/>
        <v>#REF!</v>
      </c>
      <c r="O3246" s="671">
        <f>$A$189</f>
        <v>49</v>
      </c>
      <c r="P3246" s="672"/>
      <c r="Q3246" s="828"/>
    </row>
    <row r="3247" spans="1:17" s="688" customFormat="1" ht="17.100000000000001" customHeight="1">
      <c r="A3247" s="1316" t="str">
        <f>$B$214</f>
        <v>콘크리트포장 깨기</v>
      </c>
      <c r="B3247" s="1317"/>
      <c r="C3247" s="1316" t="str">
        <f>$D$214</f>
        <v>소형브레이커+공기압축기</v>
      </c>
      <c r="D3247" s="1317"/>
      <c r="E3247" s="701">
        <v>0.184</v>
      </c>
      <c r="F3247" s="676" t="s">
        <v>850</v>
      </c>
      <c r="G3247" s="670" t="e">
        <f>$H$220</f>
        <v>#REF!</v>
      </c>
      <c r="H3247" s="670" t="e">
        <f>INT(E3247*G3247)</f>
        <v>#REF!</v>
      </c>
      <c r="I3247" s="670" t="e">
        <f>$J$220</f>
        <v>#REF!</v>
      </c>
      <c r="J3247" s="670" t="e">
        <f>INT(E3247*I3247)</f>
        <v>#REF!</v>
      </c>
      <c r="K3247" s="670" t="e">
        <f>$L$220</f>
        <v>#REF!</v>
      </c>
      <c r="L3247" s="670" t="e">
        <f>INT(E3247*K3247)</f>
        <v>#REF!</v>
      </c>
      <c r="M3247" s="670" t="e">
        <f t="shared" si="777"/>
        <v>#REF!</v>
      </c>
      <c r="N3247" s="670" t="e">
        <f t="shared" si="777"/>
        <v>#REF!</v>
      </c>
      <c r="O3247" s="671">
        <f>$A$214</f>
        <v>53</v>
      </c>
      <c r="P3247" s="672"/>
      <c r="Q3247" s="828"/>
    </row>
    <row r="3248" spans="1:17" s="688" customFormat="1" ht="17.100000000000001" customHeight="1">
      <c r="A3248" s="1316" t="s">
        <v>2302</v>
      </c>
      <c r="B3248" s="1317"/>
      <c r="C3248" s="1316" t="s">
        <v>1816</v>
      </c>
      <c r="D3248" s="1317"/>
      <c r="E3248" s="701">
        <v>0.40200000000000002</v>
      </c>
      <c r="F3248" s="676" t="s">
        <v>850</v>
      </c>
      <c r="G3248" s="670" t="e">
        <f>$H$544</f>
        <v>#REF!</v>
      </c>
      <c r="H3248" s="670" t="e">
        <f>INT(E3248*G3248)</f>
        <v>#REF!</v>
      </c>
      <c r="I3248" s="670">
        <f>$J$544</f>
        <v>586878</v>
      </c>
      <c r="J3248" s="670">
        <f>INT(E3248*I3248)</f>
        <v>235924</v>
      </c>
      <c r="K3248" s="670">
        <f>$L$544</f>
        <v>6798</v>
      </c>
      <c r="L3248" s="670">
        <f>INT(E3248*K3248)</f>
        <v>2732</v>
      </c>
      <c r="M3248" s="670" t="e">
        <f t="shared" si="777"/>
        <v>#REF!</v>
      </c>
      <c r="N3248" s="670" t="e">
        <f t="shared" si="777"/>
        <v>#REF!</v>
      </c>
      <c r="O3248" s="671">
        <f>$A$537</f>
        <v>138</v>
      </c>
      <c r="P3248" s="672"/>
      <c r="Q3248" s="828"/>
    </row>
    <row r="3249" spans="1:20" s="688" customFormat="1" ht="17.100000000000001" customHeight="1">
      <c r="A3249" s="1316" t="s">
        <v>2303</v>
      </c>
      <c r="B3249" s="1317"/>
      <c r="C3249" s="1316" t="s">
        <v>2304</v>
      </c>
      <c r="D3249" s="1317"/>
      <c r="E3249" s="675">
        <v>0.23</v>
      </c>
      <c r="F3249" s="676" t="s">
        <v>645</v>
      </c>
      <c r="G3249" s="670" t="e">
        <f>$H$714</f>
        <v>#REF!</v>
      </c>
      <c r="H3249" s="670" t="e">
        <f>INT(E3249*G3249)</f>
        <v>#REF!</v>
      </c>
      <c r="I3249" s="670">
        <f>$J$714</f>
        <v>38182</v>
      </c>
      <c r="J3249" s="670">
        <f>INT(E3249*I3249)</f>
        <v>8781</v>
      </c>
      <c r="K3249" s="670">
        <f>$L$714</f>
        <v>0</v>
      </c>
      <c r="L3249" s="670">
        <f>INT(E3249*K3249)</f>
        <v>0</v>
      </c>
      <c r="M3249" s="670" t="e">
        <f t="shared" si="777"/>
        <v>#REF!</v>
      </c>
      <c r="N3249" s="670" t="e">
        <f t="shared" si="777"/>
        <v>#REF!</v>
      </c>
      <c r="O3249" s="671">
        <f>$A$709</f>
        <v>161</v>
      </c>
      <c r="P3249" s="672"/>
      <c r="Q3249" s="828"/>
    </row>
    <row r="3250" spans="1:20" s="688" customFormat="1" ht="17.100000000000001" customHeight="1">
      <c r="A3250" s="1316" t="s">
        <v>2305</v>
      </c>
      <c r="B3250" s="1317"/>
      <c r="C3250" s="1316" t="s">
        <v>1827</v>
      </c>
      <c r="D3250" s="1317"/>
      <c r="E3250" s="701">
        <v>0.39800000000000002</v>
      </c>
      <c r="F3250" s="676" t="s">
        <v>850</v>
      </c>
      <c r="G3250" s="670"/>
      <c r="H3250" s="670"/>
      <c r="I3250" s="670"/>
      <c r="J3250" s="670"/>
      <c r="K3250" s="670"/>
      <c r="L3250" s="670"/>
      <c r="M3250" s="670"/>
      <c r="N3250" s="670"/>
      <c r="O3250" s="671"/>
      <c r="P3250" s="672"/>
      <c r="Q3250" s="828"/>
    </row>
    <row r="3251" spans="1:20" s="688" customFormat="1" ht="17.100000000000001" customHeight="1">
      <c r="A3251" s="1359" t="s">
        <v>248</v>
      </c>
      <c r="B3251" s="1360"/>
      <c r="C3251" s="1359" t="s">
        <v>2287</v>
      </c>
      <c r="D3251" s="1360"/>
      <c r="E3251" s="675">
        <v>1.5</v>
      </c>
      <c r="F3251" s="676" t="s">
        <v>366</v>
      </c>
      <c r="G3251" s="670"/>
      <c r="H3251" s="670"/>
      <c r="I3251" s="670">
        <f>[53]노임단가!$T$5</f>
        <v>172068</v>
      </c>
      <c r="J3251" s="670">
        <f>INT(E3251*I3251)</f>
        <v>258102</v>
      </c>
      <c r="K3251" s="670"/>
      <c r="L3251" s="670"/>
      <c r="M3251" s="670">
        <f>G3251+I3251+K3251</f>
        <v>172068</v>
      </c>
      <c r="N3251" s="670">
        <f>H3251+J3251+L3251</f>
        <v>258102</v>
      </c>
      <c r="O3251" s="671"/>
      <c r="P3251" s="672"/>
      <c r="Q3251" s="828"/>
    </row>
    <row r="3252" spans="1:20" s="688" customFormat="1" ht="17.100000000000001" customHeight="1">
      <c r="A3252" s="1318" t="s">
        <v>1320</v>
      </c>
      <c r="B3252" s="1319"/>
      <c r="C3252" s="1316"/>
      <c r="D3252" s="1317"/>
      <c r="E3252" s="686"/>
      <c r="F3252" s="676"/>
      <c r="G3252" s="670"/>
      <c r="H3252" s="670" t="e">
        <f>SUM(H3246:H3251)</f>
        <v>#REF!</v>
      </c>
      <c r="I3252" s="670"/>
      <c r="J3252" s="670" t="e">
        <f>SUM(J3246:J3251)</f>
        <v>#REF!</v>
      </c>
      <c r="K3252" s="670"/>
      <c r="L3252" s="670" t="e">
        <f>SUM(L3246:L3251)</f>
        <v>#REF!</v>
      </c>
      <c r="M3252" s="670"/>
      <c r="N3252" s="670" t="e">
        <f>SUM(N3246:N3251)</f>
        <v>#REF!</v>
      </c>
      <c r="O3252" s="671"/>
      <c r="P3252" s="672"/>
      <c r="Q3252" s="828"/>
    </row>
    <row r="3253" spans="1:20" s="688" customFormat="1" ht="17.100000000000001" customHeight="1">
      <c r="A3253" s="668">
        <f>A3245+1</f>
        <v>446</v>
      </c>
      <c r="B3253" s="1320" t="s">
        <v>2301</v>
      </c>
      <c r="C3253" s="1320"/>
      <c r="D3253" s="1320" t="s">
        <v>2306</v>
      </c>
      <c r="E3253" s="1320"/>
      <c r="F3253" s="669" t="s">
        <v>575</v>
      </c>
      <c r="G3253" s="698"/>
      <c r="H3253" s="698"/>
      <c r="I3253" s="698"/>
      <c r="J3253" s="698"/>
      <c r="K3253" s="670"/>
      <c r="L3253" s="670"/>
      <c r="M3253" s="670"/>
      <c r="N3253" s="698"/>
      <c r="O3253" s="699"/>
      <c r="P3253" s="672"/>
      <c r="Q3253" s="828"/>
    </row>
    <row r="3254" spans="1:20" s="688" customFormat="1" ht="17.100000000000001" customHeight="1">
      <c r="A3254" s="1316" t="s">
        <v>1441</v>
      </c>
      <c r="B3254" s="1317"/>
      <c r="C3254" s="1316"/>
      <c r="D3254" s="1317"/>
      <c r="E3254" s="675">
        <v>5.68</v>
      </c>
      <c r="F3254" s="676" t="s">
        <v>272</v>
      </c>
      <c r="G3254" s="670" t="e">
        <f>$H$194</f>
        <v>#REF!</v>
      </c>
      <c r="H3254" s="670" t="e">
        <f>INT(E3254*G3254)</f>
        <v>#REF!</v>
      </c>
      <c r="I3254" s="670" t="e">
        <f>$J$194</f>
        <v>#REF!</v>
      </c>
      <c r="J3254" s="670" t="e">
        <f>INT(E3254*I3254)</f>
        <v>#REF!</v>
      </c>
      <c r="K3254" s="670" t="e">
        <f>$L$194</f>
        <v>#REF!</v>
      </c>
      <c r="L3254" s="670" t="e">
        <f>INT(E3254*K3254)</f>
        <v>#REF!</v>
      </c>
      <c r="M3254" s="670" t="e">
        <f t="shared" ref="M3254:N3257" si="778">G3254+I3254+K3254</f>
        <v>#REF!</v>
      </c>
      <c r="N3254" s="670" t="e">
        <f t="shared" si="778"/>
        <v>#REF!</v>
      </c>
      <c r="O3254" s="671">
        <f>$A$189</f>
        <v>49</v>
      </c>
      <c r="P3254" s="672"/>
      <c r="Q3254" s="828"/>
    </row>
    <row r="3255" spans="1:20" s="688" customFormat="1" ht="17.100000000000001" customHeight="1">
      <c r="A3255" s="1316" t="str">
        <f>$B$214</f>
        <v>콘크리트포장 깨기</v>
      </c>
      <c r="B3255" s="1317"/>
      <c r="C3255" s="1316" t="str">
        <f>$D$214</f>
        <v>소형브레이커+공기압축기</v>
      </c>
      <c r="D3255" s="1317"/>
      <c r="E3255" s="701">
        <v>0.184</v>
      </c>
      <c r="F3255" s="676" t="s">
        <v>850</v>
      </c>
      <c r="G3255" s="670" t="e">
        <f>$H$220</f>
        <v>#REF!</v>
      </c>
      <c r="H3255" s="670" t="e">
        <f>INT(E3255*G3255)</f>
        <v>#REF!</v>
      </c>
      <c r="I3255" s="670" t="e">
        <f>$J$220</f>
        <v>#REF!</v>
      </c>
      <c r="J3255" s="670" t="e">
        <f>INT(E3255*I3255)</f>
        <v>#REF!</v>
      </c>
      <c r="K3255" s="670" t="e">
        <f>$L$220</f>
        <v>#REF!</v>
      </c>
      <c r="L3255" s="670" t="e">
        <f>INT(E3255*K3255)</f>
        <v>#REF!</v>
      </c>
      <c r="M3255" s="670" t="e">
        <f t="shared" si="778"/>
        <v>#REF!</v>
      </c>
      <c r="N3255" s="670" t="e">
        <f t="shared" si="778"/>
        <v>#REF!</v>
      </c>
      <c r="O3255" s="671">
        <f>$A$214</f>
        <v>53</v>
      </c>
      <c r="P3255" s="672"/>
      <c r="Q3255" s="828"/>
    </row>
    <row r="3256" spans="1:20" s="688" customFormat="1" ht="17.100000000000001" customHeight="1">
      <c r="A3256" s="1316" t="s">
        <v>2302</v>
      </c>
      <c r="B3256" s="1317"/>
      <c r="C3256" s="1316" t="s">
        <v>1816</v>
      </c>
      <c r="D3256" s="1317"/>
      <c r="E3256" s="701">
        <v>0.316</v>
      </c>
      <c r="F3256" s="676" t="s">
        <v>850</v>
      </c>
      <c r="G3256" s="670" t="e">
        <f>$H$544</f>
        <v>#REF!</v>
      </c>
      <c r="H3256" s="670" t="e">
        <f>INT(E3256*G3256)</f>
        <v>#REF!</v>
      </c>
      <c r="I3256" s="670">
        <f>$J$544</f>
        <v>586878</v>
      </c>
      <c r="J3256" s="670">
        <f>INT(E3256*I3256)</f>
        <v>185453</v>
      </c>
      <c r="K3256" s="670">
        <f>$L$544</f>
        <v>6798</v>
      </c>
      <c r="L3256" s="670">
        <f>INT(E3256*K3256)</f>
        <v>2148</v>
      </c>
      <c r="M3256" s="670" t="e">
        <f t="shared" si="778"/>
        <v>#REF!</v>
      </c>
      <c r="N3256" s="670" t="e">
        <f t="shared" si="778"/>
        <v>#REF!</v>
      </c>
      <c r="O3256" s="671">
        <f>$A$537</f>
        <v>138</v>
      </c>
      <c r="P3256" s="672"/>
      <c r="Q3256" s="828"/>
    </row>
    <row r="3257" spans="1:20" s="688" customFormat="1" ht="17.100000000000001" customHeight="1">
      <c r="A3257" s="1316" t="s">
        <v>2303</v>
      </c>
      <c r="B3257" s="1317"/>
      <c r="C3257" s="1316" t="s">
        <v>2304</v>
      </c>
      <c r="D3257" s="1317"/>
      <c r="E3257" s="701">
        <v>0.22500000000000001</v>
      </c>
      <c r="F3257" s="676" t="s">
        <v>645</v>
      </c>
      <c r="G3257" s="670" t="e">
        <f>$H$714</f>
        <v>#REF!</v>
      </c>
      <c r="H3257" s="670" t="e">
        <f>INT(E3257*G3257)</f>
        <v>#REF!</v>
      </c>
      <c r="I3257" s="670">
        <f>$J$714</f>
        <v>38182</v>
      </c>
      <c r="J3257" s="670">
        <f>INT(E3257*I3257)</f>
        <v>8590</v>
      </c>
      <c r="K3257" s="670">
        <f>$L$714</f>
        <v>0</v>
      </c>
      <c r="L3257" s="670">
        <f>INT(E3257*K3257)</f>
        <v>0</v>
      </c>
      <c r="M3257" s="670" t="e">
        <f t="shared" si="778"/>
        <v>#REF!</v>
      </c>
      <c r="N3257" s="670" t="e">
        <f t="shared" si="778"/>
        <v>#REF!</v>
      </c>
      <c r="O3257" s="671">
        <f>$A$709</f>
        <v>161</v>
      </c>
      <c r="P3257" s="672"/>
      <c r="Q3257" s="828"/>
    </row>
    <row r="3258" spans="1:20" s="688" customFormat="1" ht="17.100000000000001" customHeight="1">
      <c r="A3258" s="1316" t="s">
        <v>2305</v>
      </c>
      <c r="B3258" s="1317"/>
      <c r="C3258" s="1316" t="s">
        <v>1827</v>
      </c>
      <c r="D3258" s="1317"/>
      <c r="E3258" s="701">
        <v>0.309</v>
      </c>
      <c r="F3258" s="676" t="s">
        <v>850</v>
      </c>
      <c r="G3258" s="670"/>
      <c r="H3258" s="670"/>
      <c r="I3258" s="670"/>
      <c r="J3258" s="670"/>
      <c r="K3258" s="670"/>
      <c r="L3258" s="670"/>
      <c r="M3258" s="670"/>
      <c r="N3258" s="670"/>
      <c r="O3258" s="671"/>
      <c r="P3258" s="672"/>
      <c r="Q3258" s="828"/>
      <c r="S3258" s="690"/>
      <c r="T3258" s="690"/>
    </row>
    <row r="3259" spans="1:20" s="688" customFormat="1" ht="17.100000000000001" customHeight="1">
      <c r="A3259" s="1359" t="s">
        <v>248</v>
      </c>
      <c r="B3259" s="1360"/>
      <c r="C3259" s="1359" t="s">
        <v>2287</v>
      </c>
      <c r="D3259" s="1360"/>
      <c r="E3259" s="675">
        <v>1.5</v>
      </c>
      <c r="F3259" s="676" t="s">
        <v>366</v>
      </c>
      <c r="G3259" s="670"/>
      <c r="H3259" s="670"/>
      <c r="I3259" s="670">
        <f>[53]노임단가!$T$5</f>
        <v>172068</v>
      </c>
      <c r="J3259" s="670">
        <f>INT(E3259*I3259)</f>
        <v>258102</v>
      </c>
      <c r="K3259" s="670"/>
      <c r="L3259" s="670"/>
      <c r="M3259" s="670">
        <f>G3259+I3259+K3259</f>
        <v>172068</v>
      </c>
      <c r="N3259" s="670">
        <f>H3259+J3259+L3259</f>
        <v>258102</v>
      </c>
      <c r="O3259" s="671"/>
      <c r="P3259" s="672"/>
      <c r="Q3259" s="843">
        <f>E3415*0.15</f>
        <v>1.7999999999999998E-4</v>
      </c>
    </row>
    <row r="3260" spans="1:20" s="688" customFormat="1" ht="17.100000000000001" customHeight="1">
      <c r="A3260" s="1318" t="s">
        <v>1320</v>
      </c>
      <c r="B3260" s="1319"/>
      <c r="C3260" s="1316"/>
      <c r="D3260" s="1317"/>
      <c r="E3260" s="686"/>
      <c r="F3260" s="676"/>
      <c r="G3260" s="670"/>
      <c r="H3260" s="670" t="e">
        <f>SUM(H3254:H3259)</f>
        <v>#REF!</v>
      </c>
      <c r="I3260" s="670"/>
      <c r="J3260" s="670" t="e">
        <f>SUM(J3254:J3259)</f>
        <v>#REF!</v>
      </c>
      <c r="K3260" s="670"/>
      <c r="L3260" s="670" t="e">
        <f>SUM(L3254:L3259)</f>
        <v>#REF!</v>
      </c>
      <c r="M3260" s="670"/>
      <c r="N3260" s="670" t="e">
        <f>SUM(N3254:N3259)</f>
        <v>#REF!</v>
      </c>
      <c r="O3260" s="671"/>
      <c r="P3260" s="672"/>
      <c r="Q3260" s="828"/>
    </row>
    <row r="3261" spans="1:20" s="688" customFormat="1" ht="17.100000000000001" customHeight="1">
      <c r="A3261" s="668">
        <f>A3253+1</f>
        <v>447</v>
      </c>
      <c r="B3261" s="1320" t="s">
        <v>2301</v>
      </c>
      <c r="C3261" s="1320"/>
      <c r="D3261" s="1320" t="s">
        <v>2307</v>
      </c>
      <c r="E3261" s="1320"/>
      <c r="F3261" s="669" t="s">
        <v>575</v>
      </c>
      <c r="G3261" s="698"/>
      <c r="H3261" s="698"/>
      <c r="I3261" s="698"/>
      <c r="J3261" s="698"/>
      <c r="K3261" s="670"/>
      <c r="L3261" s="670"/>
      <c r="M3261" s="670"/>
      <c r="N3261" s="698"/>
      <c r="O3261" s="699"/>
      <c r="P3261" s="672"/>
      <c r="Q3261" s="828"/>
    </row>
    <row r="3262" spans="1:20" s="688" customFormat="1" ht="17.100000000000001" customHeight="1">
      <c r="A3262" s="1316" t="s">
        <v>1441</v>
      </c>
      <c r="B3262" s="1317"/>
      <c r="C3262" s="1316"/>
      <c r="D3262" s="1317"/>
      <c r="E3262" s="675">
        <v>6.28</v>
      </c>
      <c r="F3262" s="676" t="s">
        <v>272</v>
      </c>
      <c r="G3262" s="670" t="e">
        <f>$H$194</f>
        <v>#REF!</v>
      </c>
      <c r="H3262" s="670" t="e">
        <f>INT(E3262*G3262)</f>
        <v>#REF!</v>
      </c>
      <c r="I3262" s="670" t="e">
        <f>$J$194</f>
        <v>#REF!</v>
      </c>
      <c r="J3262" s="670" t="e">
        <f>INT(E3262*I3262)</f>
        <v>#REF!</v>
      </c>
      <c r="K3262" s="670" t="e">
        <f>$L$194</f>
        <v>#REF!</v>
      </c>
      <c r="L3262" s="670" t="e">
        <f>INT(E3262*K3262)</f>
        <v>#REF!</v>
      </c>
      <c r="M3262" s="670" t="e">
        <f t="shared" ref="M3262:N3265" si="779">G3262+I3262+K3262</f>
        <v>#REF!</v>
      </c>
      <c r="N3262" s="670" t="e">
        <f t="shared" si="779"/>
        <v>#REF!</v>
      </c>
      <c r="O3262" s="671">
        <f>$A$189</f>
        <v>49</v>
      </c>
      <c r="P3262" s="672"/>
      <c r="Q3262" s="828"/>
    </row>
    <row r="3263" spans="1:20" s="688" customFormat="1" ht="17.100000000000001" customHeight="1">
      <c r="A3263" s="1316" t="str">
        <f>$B$214</f>
        <v>콘크리트포장 깨기</v>
      </c>
      <c r="B3263" s="1317"/>
      <c r="C3263" s="1316" t="str">
        <f>$D$214</f>
        <v>소형브레이커+공기압축기</v>
      </c>
      <c r="D3263" s="1317"/>
      <c r="E3263" s="701">
        <v>0.184</v>
      </c>
      <c r="F3263" s="676" t="s">
        <v>850</v>
      </c>
      <c r="G3263" s="670" t="e">
        <f>$H$220</f>
        <v>#REF!</v>
      </c>
      <c r="H3263" s="670" t="e">
        <f>INT(E3263*G3263)</f>
        <v>#REF!</v>
      </c>
      <c r="I3263" s="670" t="e">
        <f>$J$220</f>
        <v>#REF!</v>
      </c>
      <c r="J3263" s="670" t="e">
        <f>INT(E3263*I3263)</f>
        <v>#REF!</v>
      </c>
      <c r="K3263" s="670" t="e">
        <f>$L$220</f>
        <v>#REF!</v>
      </c>
      <c r="L3263" s="670" t="e">
        <f>INT(E3263*K3263)</f>
        <v>#REF!</v>
      </c>
      <c r="M3263" s="670" t="e">
        <f t="shared" si="779"/>
        <v>#REF!</v>
      </c>
      <c r="N3263" s="670" t="e">
        <f t="shared" si="779"/>
        <v>#REF!</v>
      </c>
      <c r="O3263" s="671">
        <f>$A$214</f>
        <v>53</v>
      </c>
      <c r="P3263" s="672"/>
      <c r="Q3263" s="844">
        <f>(0.6*0.25)/0.75</f>
        <v>0.19999999999999998</v>
      </c>
    </row>
    <row r="3264" spans="1:20" s="688" customFormat="1" ht="17.100000000000001" customHeight="1">
      <c r="A3264" s="1316" t="s">
        <v>2302</v>
      </c>
      <c r="B3264" s="1317"/>
      <c r="C3264" s="1316" t="s">
        <v>1816</v>
      </c>
      <c r="D3264" s="1317"/>
      <c r="E3264" s="701">
        <v>0.374</v>
      </c>
      <c r="F3264" s="676" t="s">
        <v>850</v>
      </c>
      <c r="G3264" s="670" t="e">
        <f>$H$544</f>
        <v>#REF!</v>
      </c>
      <c r="H3264" s="670" t="e">
        <f>INT(E3264*G3264)</f>
        <v>#REF!</v>
      </c>
      <c r="I3264" s="670">
        <f>$J$544</f>
        <v>586878</v>
      </c>
      <c r="J3264" s="670">
        <f>INT(E3264*I3264)</f>
        <v>219492</v>
      </c>
      <c r="K3264" s="670">
        <f>$L$544</f>
        <v>6798</v>
      </c>
      <c r="L3264" s="670">
        <f>INT(E3264*K3264)</f>
        <v>2542</v>
      </c>
      <c r="M3264" s="670" t="e">
        <f t="shared" si="779"/>
        <v>#REF!</v>
      </c>
      <c r="N3264" s="670" t="e">
        <f t="shared" si="779"/>
        <v>#REF!</v>
      </c>
      <c r="O3264" s="671">
        <f>$A$537</f>
        <v>138</v>
      </c>
      <c r="P3264" s="672"/>
      <c r="Q3264" s="828"/>
    </row>
    <row r="3265" spans="1:24" s="688" customFormat="1" ht="17.100000000000001" customHeight="1">
      <c r="A3265" s="1316" t="s">
        <v>2303</v>
      </c>
      <c r="B3265" s="1317"/>
      <c r="C3265" s="1316" t="s">
        <v>2304</v>
      </c>
      <c r="D3265" s="1317"/>
      <c r="E3265" s="701">
        <v>0.27200000000000002</v>
      </c>
      <c r="F3265" s="676" t="s">
        <v>645</v>
      </c>
      <c r="G3265" s="670" t="e">
        <f>$H$714</f>
        <v>#REF!</v>
      </c>
      <c r="H3265" s="670" t="e">
        <f>INT(E3265*G3265)</f>
        <v>#REF!</v>
      </c>
      <c r="I3265" s="670">
        <f>$J$714</f>
        <v>38182</v>
      </c>
      <c r="J3265" s="670">
        <f>INT(E3265*I3265)</f>
        <v>10385</v>
      </c>
      <c r="K3265" s="670">
        <f>$L$714</f>
        <v>0</v>
      </c>
      <c r="L3265" s="670">
        <f>INT(E3265*K3265)</f>
        <v>0</v>
      </c>
      <c r="M3265" s="670" t="e">
        <f t="shared" si="779"/>
        <v>#REF!</v>
      </c>
      <c r="N3265" s="670" t="e">
        <f t="shared" si="779"/>
        <v>#REF!</v>
      </c>
      <c r="O3265" s="671">
        <f>$A$709</f>
        <v>161</v>
      </c>
      <c r="P3265" s="672"/>
      <c r="Q3265" s="828"/>
      <c r="R3265" s="845"/>
      <c r="S3265" s="845"/>
      <c r="T3265" s="846"/>
      <c r="U3265" s="846" t="s">
        <v>2308</v>
      </c>
      <c r="V3265" s="846"/>
    </row>
    <row r="3266" spans="1:24" s="688" customFormat="1" ht="17.100000000000001" customHeight="1">
      <c r="A3266" s="1316" t="s">
        <v>2305</v>
      </c>
      <c r="B3266" s="1317"/>
      <c r="C3266" s="1316" t="s">
        <v>1827</v>
      </c>
      <c r="D3266" s="1317"/>
      <c r="E3266" s="701">
        <v>0.36599999999999999</v>
      </c>
      <c r="F3266" s="676" t="s">
        <v>850</v>
      </c>
      <c r="G3266" s="670"/>
      <c r="H3266" s="670"/>
      <c r="I3266" s="670"/>
      <c r="J3266" s="670"/>
      <c r="K3266" s="670"/>
      <c r="L3266" s="670"/>
      <c r="M3266" s="670"/>
      <c r="N3266" s="670"/>
      <c r="O3266" s="671"/>
      <c r="P3266" s="672"/>
      <c r="Q3266" s="828"/>
      <c r="R3266" s="845" t="s">
        <v>2309</v>
      </c>
      <c r="S3266" s="847">
        <f>23</f>
        <v>23</v>
      </c>
      <c r="T3266" s="846"/>
      <c r="U3266" s="846" t="s">
        <v>2310</v>
      </c>
      <c r="V3266" s="846"/>
    </row>
    <row r="3267" spans="1:24" s="688" customFormat="1" ht="17.100000000000001" customHeight="1">
      <c r="A3267" s="1359" t="s">
        <v>248</v>
      </c>
      <c r="B3267" s="1360"/>
      <c r="C3267" s="1359" t="s">
        <v>2287</v>
      </c>
      <c r="D3267" s="1360"/>
      <c r="E3267" s="675">
        <v>1.5</v>
      </c>
      <c r="F3267" s="676" t="s">
        <v>366</v>
      </c>
      <c r="G3267" s="670"/>
      <c r="H3267" s="670"/>
      <c r="I3267" s="670">
        <f>[53]노임단가!$T$5</f>
        <v>172068</v>
      </c>
      <c r="J3267" s="670">
        <f>INT(E3267*I3267)</f>
        <v>258102</v>
      </c>
      <c r="K3267" s="670"/>
      <c r="L3267" s="670"/>
      <c r="M3267" s="670">
        <f>G3267+I3267+K3267</f>
        <v>172068</v>
      </c>
      <c r="N3267" s="670">
        <f>H3267+J3267+L3267</f>
        <v>258102</v>
      </c>
      <c r="O3267" s="671"/>
      <c r="P3267" s="672"/>
      <c r="Q3267" s="828" t="s">
        <v>2311</v>
      </c>
      <c r="R3267" s="845" t="e">
        <f>TRUNC(8/Y3268,6)</f>
        <v>#DIV/0!</v>
      </c>
      <c r="S3267" s="845"/>
      <c r="T3267" s="846"/>
      <c r="U3267" s="846"/>
      <c r="V3267" s="846"/>
    </row>
    <row r="3268" spans="1:24" s="688" customFormat="1" ht="17.100000000000001" customHeight="1">
      <c r="A3268" s="1318" t="s">
        <v>1320</v>
      </c>
      <c r="B3268" s="1319"/>
      <c r="C3268" s="1316"/>
      <c r="D3268" s="1317"/>
      <c r="E3268" s="686"/>
      <c r="F3268" s="676"/>
      <c r="G3268" s="670"/>
      <c r="H3268" s="670" t="e">
        <f>SUM(H3262:H3267)</f>
        <v>#REF!</v>
      </c>
      <c r="I3268" s="670"/>
      <c r="J3268" s="670" t="e">
        <f>SUM(J3262:J3267)</f>
        <v>#REF!</v>
      </c>
      <c r="K3268" s="670"/>
      <c r="L3268" s="670" t="e">
        <f>SUM(L3262:L3267)</f>
        <v>#REF!</v>
      </c>
      <c r="M3268" s="670"/>
      <c r="N3268" s="670" t="e">
        <f>SUM(N3262:N3267)</f>
        <v>#REF!</v>
      </c>
      <c r="O3268" s="671"/>
      <c r="P3268" s="672"/>
      <c r="Q3268" s="828" t="s">
        <v>2311</v>
      </c>
      <c r="R3268" s="845" t="e">
        <f>TRUNC(1/Y3268,5)</f>
        <v>#DIV/0!</v>
      </c>
      <c r="S3268" s="845"/>
      <c r="T3268" s="845"/>
      <c r="U3268" s="845"/>
      <c r="V3268" s="845"/>
    </row>
    <row r="3269" spans="1:24" s="688" customFormat="1" ht="17.100000000000001" customHeight="1">
      <c r="A3269" s="668">
        <f>A3261+1</f>
        <v>448</v>
      </c>
      <c r="B3269" s="1320" t="s">
        <v>2301</v>
      </c>
      <c r="C3269" s="1320"/>
      <c r="D3269" s="1320" t="s">
        <v>2312</v>
      </c>
      <c r="E3269" s="1320"/>
      <c r="F3269" s="669" t="s">
        <v>575</v>
      </c>
      <c r="G3269" s="698"/>
      <c r="H3269" s="698"/>
      <c r="I3269" s="698"/>
      <c r="J3269" s="698"/>
      <c r="K3269" s="670"/>
      <c r="L3269" s="670"/>
      <c r="M3269" s="670"/>
      <c r="N3269" s="698"/>
      <c r="O3269" s="699"/>
      <c r="P3269" s="672"/>
      <c r="Q3269" s="828" t="s">
        <v>2311</v>
      </c>
      <c r="R3269" s="845"/>
      <c r="S3269" s="845"/>
      <c r="T3269" s="845"/>
      <c r="U3269" s="845"/>
      <c r="V3269" s="845"/>
    </row>
    <row r="3270" spans="1:24" s="688" customFormat="1" ht="17.100000000000001" customHeight="1">
      <c r="A3270" s="1316" t="s">
        <v>1441</v>
      </c>
      <c r="B3270" s="1317"/>
      <c r="C3270" s="1316"/>
      <c r="D3270" s="1317"/>
      <c r="E3270" s="675">
        <v>7.04</v>
      </c>
      <c r="F3270" s="676" t="s">
        <v>272</v>
      </c>
      <c r="G3270" s="670" t="e">
        <f>$H$194</f>
        <v>#REF!</v>
      </c>
      <c r="H3270" s="670" t="e">
        <f>INT(E3270*G3270)</f>
        <v>#REF!</v>
      </c>
      <c r="I3270" s="670" t="e">
        <f>$J$194</f>
        <v>#REF!</v>
      </c>
      <c r="J3270" s="670" t="e">
        <f>INT(E3270*I3270)</f>
        <v>#REF!</v>
      </c>
      <c r="K3270" s="670" t="e">
        <f>$L$194</f>
        <v>#REF!</v>
      </c>
      <c r="L3270" s="670" t="e">
        <f>INT(E3270*K3270)</f>
        <v>#REF!</v>
      </c>
      <c r="M3270" s="670" t="e">
        <f t="shared" ref="M3270:N3273" si="780">G3270+I3270+K3270</f>
        <v>#REF!</v>
      </c>
      <c r="N3270" s="670" t="e">
        <f t="shared" si="780"/>
        <v>#REF!</v>
      </c>
      <c r="O3270" s="671">
        <f>$A$189</f>
        <v>49</v>
      </c>
      <c r="P3270" s="672"/>
      <c r="Q3270" s="828" t="s">
        <v>2311</v>
      </c>
      <c r="R3270" s="845" t="e">
        <f>TRUNC(3/Y3268,4)</f>
        <v>#DIV/0!</v>
      </c>
      <c r="S3270" s="845"/>
      <c r="T3270" s="845"/>
      <c r="U3270" s="845"/>
      <c r="V3270" s="845"/>
    </row>
    <row r="3271" spans="1:24" s="688" customFormat="1" ht="17.100000000000001" customHeight="1">
      <c r="A3271" s="1316" t="str">
        <f>$B$214</f>
        <v>콘크리트포장 깨기</v>
      </c>
      <c r="B3271" s="1317"/>
      <c r="C3271" s="1316" t="str">
        <f>$D$214</f>
        <v>소형브레이커+공기압축기</v>
      </c>
      <c r="D3271" s="1317"/>
      <c r="E3271" s="701">
        <v>0.184</v>
      </c>
      <c r="F3271" s="676" t="s">
        <v>850</v>
      </c>
      <c r="G3271" s="670" t="e">
        <f>$H$220</f>
        <v>#REF!</v>
      </c>
      <c r="H3271" s="670" t="e">
        <f>INT(E3271*G3271)</f>
        <v>#REF!</v>
      </c>
      <c r="I3271" s="670" t="e">
        <f>$J$220</f>
        <v>#REF!</v>
      </c>
      <c r="J3271" s="670" t="e">
        <f>INT(E3271*I3271)</f>
        <v>#REF!</v>
      </c>
      <c r="K3271" s="670" t="e">
        <f>$L$220</f>
        <v>#REF!</v>
      </c>
      <c r="L3271" s="670" t="e">
        <f>INT(E3271*K3271)</f>
        <v>#REF!</v>
      </c>
      <c r="M3271" s="670" t="e">
        <f t="shared" si="780"/>
        <v>#REF!</v>
      </c>
      <c r="N3271" s="670" t="e">
        <f t="shared" si="780"/>
        <v>#REF!</v>
      </c>
      <c r="O3271" s="671">
        <f>$A$214</f>
        <v>53</v>
      </c>
      <c r="P3271" s="672"/>
      <c r="Q3271" s="828" t="s">
        <v>2311</v>
      </c>
      <c r="R3271" s="845">
        <f>TRUNC(Y3267/1000,6)*10+0.00001</f>
        <v>1.0000000000000001E-5</v>
      </c>
      <c r="S3271" s="845"/>
      <c r="T3271" s="845"/>
      <c r="U3271" s="845"/>
      <c r="V3271" s="845"/>
    </row>
    <row r="3272" spans="1:24" s="848" customFormat="1" ht="17.100000000000001" customHeight="1">
      <c r="A3272" s="1316" t="s">
        <v>2302</v>
      </c>
      <c r="B3272" s="1317"/>
      <c r="C3272" s="1316" t="s">
        <v>1816</v>
      </c>
      <c r="D3272" s="1317"/>
      <c r="E3272" s="701">
        <v>0.46400000000000002</v>
      </c>
      <c r="F3272" s="676" t="s">
        <v>850</v>
      </c>
      <c r="G3272" s="670" t="e">
        <f>$H$544</f>
        <v>#REF!</v>
      </c>
      <c r="H3272" s="670" t="e">
        <f>INT(E3272*G3272)</f>
        <v>#REF!</v>
      </c>
      <c r="I3272" s="670">
        <f>$J$544</f>
        <v>586878</v>
      </c>
      <c r="J3272" s="670">
        <f>INT(E3272*I3272)</f>
        <v>272311</v>
      </c>
      <c r="K3272" s="670">
        <f>$L$544</f>
        <v>6798</v>
      </c>
      <c r="L3272" s="670">
        <f>INT(E3272*K3272)</f>
        <v>3154</v>
      </c>
      <c r="M3272" s="670" t="e">
        <f t="shared" si="780"/>
        <v>#REF!</v>
      </c>
      <c r="N3272" s="670" t="e">
        <f t="shared" si="780"/>
        <v>#REF!</v>
      </c>
      <c r="O3272" s="671">
        <f>$A$537</f>
        <v>138</v>
      </c>
      <c r="P3272" s="672"/>
      <c r="Q3272" s="828" t="s">
        <v>2311</v>
      </c>
      <c r="R3272" s="688"/>
      <c r="S3272" s="688"/>
      <c r="T3272" s="688"/>
      <c r="U3272" s="688"/>
      <c r="V3272" s="688"/>
    </row>
    <row r="3273" spans="1:24" s="848" customFormat="1" ht="17.100000000000001" customHeight="1">
      <c r="A3273" s="1316" t="s">
        <v>2303</v>
      </c>
      <c r="B3273" s="1317"/>
      <c r="C3273" s="1316" t="s">
        <v>2304</v>
      </c>
      <c r="D3273" s="1317"/>
      <c r="E3273" s="701">
        <v>0.33200000000000002</v>
      </c>
      <c r="F3273" s="676" t="s">
        <v>645</v>
      </c>
      <c r="G3273" s="670" t="e">
        <f>$H$714</f>
        <v>#REF!</v>
      </c>
      <c r="H3273" s="670" t="e">
        <f>INT(E3273*G3273)</f>
        <v>#REF!</v>
      </c>
      <c r="I3273" s="670">
        <f>$J$714</f>
        <v>38182</v>
      </c>
      <c r="J3273" s="670">
        <f>INT(E3273*I3273)</f>
        <v>12676</v>
      </c>
      <c r="K3273" s="670">
        <f>$L$714</f>
        <v>0</v>
      </c>
      <c r="L3273" s="670">
        <f>INT(E3273*K3273)</f>
        <v>0</v>
      </c>
      <c r="M3273" s="670" t="e">
        <f t="shared" si="780"/>
        <v>#REF!</v>
      </c>
      <c r="N3273" s="670" t="e">
        <f t="shared" si="780"/>
        <v>#REF!</v>
      </c>
      <c r="O3273" s="671">
        <f>$A$709</f>
        <v>161</v>
      </c>
      <c r="P3273" s="672"/>
      <c r="Q3273" s="849" t="s">
        <v>2313</v>
      </c>
      <c r="R3273" s="850"/>
      <c r="S3273" s="845"/>
      <c r="T3273" s="845"/>
      <c r="U3273" s="845"/>
      <c r="V3273" s="845"/>
    </row>
    <row r="3274" spans="1:24" s="848" customFormat="1" ht="17.100000000000001" customHeight="1">
      <c r="A3274" s="1316" t="s">
        <v>2305</v>
      </c>
      <c r="B3274" s="1317"/>
      <c r="C3274" s="1316" t="s">
        <v>1827</v>
      </c>
      <c r="D3274" s="1317"/>
      <c r="E3274" s="701">
        <v>0.45400000000000001</v>
      </c>
      <c r="F3274" s="676" t="s">
        <v>850</v>
      </c>
      <c r="G3274" s="670"/>
      <c r="H3274" s="670"/>
      <c r="I3274" s="670"/>
      <c r="J3274" s="670"/>
      <c r="K3274" s="670"/>
      <c r="L3274" s="670"/>
      <c r="M3274" s="670"/>
      <c r="N3274" s="670"/>
      <c r="O3274" s="671"/>
      <c r="P3274" s="672" t="s">
        <v>2314</v>
      </c>
      <c r="Q3274" s="849" t="s">
        <v>2311</v>
      </c>
      <c r="R3274" s="845" t="s">
        <v>2315</v>
      </c>
      <c r="S3274" s="851">
        <f>600</f>
        <v>600</v>
      </c>
      <c r="T3274" s="846"/>
      <c r="U3274" s="846" t="s">
        <v>2308</v>
      </c>
      <c r="V3274" s="846"/>
    </row>
    <row r="3275" spans="1:24" s="848" customFormat="1" ht="17.100000000000001" customHeight="1">
      <c r="A3275" s="1359" t="s">
        <v>248</v>
      </c>
      <c r="B3275" s="1360"/>
      <c r="C3275" s="1359" t="s">
        <v>2287</v>
      </c>
      <c r="D3275" s="1360"/>
      <c r="E3275" s="675">
        <v>1.5</v>
      </c>
      <c r="F3275" s="676" t="s">
        <v>366</v>
      </c>
      <c r="G3275" s="670"/>
      <c r="H3275" s="670"/>
      <c r="I3275" s="670">
        <f>[53]노임단가!$T$5</f>
        <v>172068</v>
      </c>
      <c r="J3275" s="670">
        <f>INT(E3275*I3275)</f>
        <v>258102</v>
      </c>
      <c r="K3275" s="670"/>
      <c r="L3275" s="670"/>
      <c r="M3275" s="670">
        <f>G3275+I3275+K3275</f>
        <v>172068</v>
      </c>
      <c r="N3275" s="670">
        <f>H3275+J3275+L3275</f>
        <v>258102</v>
      </c>
      <c r="O3275" s="671"/>
      <c r="P3275" s="672" t="s">
        <v>2316</v>
      </c>
      <c r="Q3275" s="849" t="s">
        <v>2311</v>
      </c>
      <c r="R3275" s="845" t="s">
        <v>2317</v>
      </c>
      <c r="S3275" s="846">
        <f>S3274</f>
        <v>600</v>
      </c>
      <c r="T3275" s="846"/>
      <c r="U3275" s="851" t="s">
        <v>2318</v>
      </c>
      <c r="V3275" s="851"/>
    </row>
    <row r="3276" spans="1:24" s="848" customFormat="1" ht="17.100000000000001" customHeight="1">
      <c r="A3276" s="1318" t="s">
        <v>1320</v>
      </c>
      <c r="B3276" s="1319"/>
      <c r="C3276" s="1316"/>
      <c r="D3276" s="1317"/>
      <c r="E3276" s="686"/>
      <c r="F3276" s="676"/>
      <c r="G3276" s="670"/>
      <c r="H3276" s="670" t="e">
        <f>SUM(H3270:H3275)</f>
        <v>#REF!</v>
      </c>
      <c r="I3276" s="670"/>
      <c r="J3276" s="670" t="e">
        <f>SUM(J3270:J3275)</f>
        <v>#REF!</v>
      </c>
      <c r="K3276" s="670"/>
      <c r="L3276" s="670" t="e">
        <f>SUM(L3270:L3275)</f>
        <v>#REF!</v>
      </c>
      <c r="M3276" s="670"/>
      <c r="N3276" s="670" t="e">
        <f>SUM(N3270:N3275)</f>
        <v>#REF!</v>
      </c>
      <c r="O3276" s="671"/>
      <c r="P3276" s="672" t="s">
        <v>2319</v>
      </c>
      <c r="Q3276" s="849" t="s">
        <v>2311</v>
      </c>
      <c r="R3276" s="845"/>
      <c r="S3276" s="845"/>
      <c r="T3276" s="845" t="s">
        <v>2320</v>
      </c>
      <c r="U3276" s="846" t="s">
        <v>2321</v>
      </c>
      <c r="V3276" s="846"/>
    </row>
    <row r="3277" spans="1:24" s="848" customFormat="1" ht="17.100000000000001" customHeight="1">
      <c r="A3277" s="668">
        <f>A3269+1</f>
        <v>449</v>
      </c>
      <c r="B3277" s="1320" t="s">
        <v>2301</v>
      </c>
      <c r="C3277" s="1320"/>
      <c r="D3277" s="1320" t="s">
        <v>2322</v>
      </c>
      <c r="E3277" s="1320"/>
      <c r="F3277" s="669" t="s">
        <v>575</v>
      </c>
      <c r="G3277" s="698"/>
      <c r="H3277" s="698"/>
      <c r="I3277" s="698"/>
      <c r="J3277" s="698"/>
      <c r="K3277" s="670"/>
      <c r="L3277" s="670"/>
      <c r="M3277" s="670"/>
      <c r="N3277" s="698"/>
      <c r="O3277" s="699"/>
      <c r="P3277" s="852"/>
      <c r="Q3277" s="849" t="s">
        <v>2311</v>
      </c>
      <c r="R3277" s="845" t="e">
        <f>TRUNC(2/$Y3277,5)</f>
        <v>#DIV/0!</v>
      </c>
      <c r="S3277" s="845"/>
      <c r="T3277" s="845"/>
      <c r="U3277" s="845"/>
      <c r="V3277" s="845"/>
    </row>
    <row r="3278" spans="1:24" s="848" customFormat="1" ht="17.100000000000001" customHeight="1">
      <c r="A3278" s="1316" t="s">
        <v>1441</v>
      </c>
      <c r="B3278" s="1317"/>
      <c r="C3278" s="1316"/>
      <c r="D3278" s="1317"/>
      <c r="E3278" s="675">
        <v>5.08</v>
      </c>
      <c r="F3278" s="676" t="s">
        <v>272</v>
      </c>
      <c r="G3278" s="670" t="e">
        <f>$H$194</f>
        <v>#REF!</v>
      </c>
      <c r="H3278" s="670" t="e">
        <f>INT(E3278*G3278)</f>
        <v>#REF!</v>
      </c>
      <c r="I3278" s="670" t="e">
        <f>$J$194</f>
        <v>#REF!</v>
      </c>
      <c r="J3278" s="670" t="e">
        <f>INT(E3278*I3278)</f>
        <v>#REF!</v>
      </c>
      <c r="K3278" s="670" t="e">
        <f>$L$194</f>
        <v>#REF!</v>
      </c>
      <c r="L3278" s="670" t="e">
        <f>INT(E3278*K3278)</f>
        <v>#REF!</v>
      </c>
      <c r="M3278" s="670" t="e">
        <f t="shared" ref="M3278:N3281" si="781">G3278+I3278+K3278</f>
        <v>#REF!</v>
      </c>
      <c r="N3278" s="670" t="e">
        <f t="shared" si="781"/>
        <v>#REF!</v>
      </c>
      <c r="O3278" s="671">
        <f>$A$189</f>
        <v>49</v>
      </c>
      <c r="P3278" s="852"/>
      <c r="Q3278" s="849" t="s">
        <v>2311</v>
      </c>
      <c r="R3278" s="845" t="e">
        <f>TRUNC(2/$Y3277,5)</f>
        <v>#DIV/0!</v>
      </c>
      <c r="S3278" s="845"/>
      <c r="T3278" s="845"/>
      <c r="U3278" s="845"/>
      <c r="V3278" s="845"/>
    </row>
    <row r="3279" spans="1:24" s="848" customFormat="1" ht="17.100000000000001" customHeight="1">
      <c r="A3279" s="1316" t="str">
        <f>$B$214</f>
        <v>콘크리트포장 깨기</v>
      </c>
      <c r="B3279" s="1317"/>
      <c r="C3279" s="1316" t="str">
        <f>$D$214</f>
        <v>소형브레이커+공기압축기</v>
      </c>
      <c r="D3279" s="1317"/>
      <c r="E3279" s="701">
        <v>0.184</v>
      </c>
      <c r="F3279" s="676" t="s">
        <v>850</v>
      </c>
      <c r="G3279" s="670" t="e">
        <f>$H$220</f>
        <v>#REF!</v>
      </c>
      <c r="H3279" s="670" t="e">
        <f>INT(E3279*G3279)</f>
        <v>#REF!</v>
      </c>
      <c r="I3279" s="670" t="e">
        <f>$J$220</f>
        <v>#REF!</v>
      </c>
      <c r="J3279" s="670" t="e">
        <f>INT(E3279*I3279)</f>
        <v>#REF!</v>
      </c>
      <c r="K3279" s="670" t="e">
        <f>$L$220</f>
        <v>#REF!</v>
      </c>
      <c r="L3279" s="670" t="e">
        <f>INT(E3279*K3279)</f>
        <v>#REF!</v>
      </c>
      <c r="M3279" s="670" t="e">
        <f t="shared" si="781"/>
        <v>#REF!</v>
      </c>
      <c r="N3279" s="670" t="e">
        <f t="shared" si="781"/>
        <v>#REF!</v>
      </c>
      <c r="O3279" s="671">
        <f>$A$214</f>
        <v>53</v>
      </c>
      <c r="P3279" s="852"/>
      <c r="Q3279" s="849" t="s">
        <v>2311</v>
      </c>
      <c r="R3279" s="845" t="e">
        <f>TRUNC(2/$Y3277,5)</f>
        <v>#DIV/0!</v>
      </c>
    </row>
    <row r="3280" spans="1:24" s="848" customFormat="1" ht="17.100000000000001" customHeight="1">
      <c r="A3280" s="1316" t="s">
        <v>2302</v>
      </c>
      <c r="B3280" s="1317"/>
      <c r="C3280" s="1316" t="s">
        <v>1816</v>
      </c>
      <c r="D3280" s="1317"/>
      <c r="E3280" s="701">
        <v>0.183</v>
      </c>
      <c r="F3280" s="676" t="s">
        <v>850</v>
      </c>
      <c r="G3280" s="670" t="e">
        <f>$H$544</f>
        <v>#REF!</v>
      </c>
      <c r="H3280" s="670" t="e">
        <f>INT(E3280*G3280)</f>
        <v>#REF!</v>
      </c>
      <c r="I3280" s="670">
        <f>$J$544</f>
        <v>586878</v>
      </c>
      <c r="J3280" s="670">
        <f>INT(E3280*I3280)</f>
        <v>107398</v>
      </c>
      <c r="K3280" s="670">
        <f>$L$544</f>
        <v>6798</v>
      </c>
      <c r="L3280" s="670">
        <f>INT(E3280*K3280)</f>
        <v>1244</v>
      </c>
      <c r="M3280" s="670" t="e">
        <f t="shared" si="781"/>
        <v>#REF!</v>
      </c>
      <c r="N3280" s="670" t="e">
        <f t="shared" si="781"/>
        <v>#REF!</v>
      </c>
      <c r="O3280" s="671">
        <f>$A$537</f>
        <v>138</v>
      </c>
      <c r="P3280" s="852"/>
      <c r="Q3280" s="849" t="s">
        <v>2311</v>
      </c>
      <c r="R3280" s="845" t="e">
        <f>TRUNC(2/$Y3277,5)</f>
        <v>#DIV/0!</v>
      </c>
      <c r="T3280" s="848">
        <v>900</v>
      </c>
      <c r="U3280" s="848">
        <f>T3280/0.15</f>
        <v>6000</v>
      </c>
      <c r="W3280" s="848">
        <v>2</v>
      </c>
      <c r="X3280" s="848">
        <f>W3280/U3280</f>
        <v>3.3333333333333332E-4</v>
      </c>
    </row>
    <row r="3281" spans="1:24" s="848" customFormat="1" ht="17.100000000000001" customHeight="1">
      <c r="A3281" s="1316" t="s">
        <v>2303</v>
      </c>
      <c r="B3281" s="1317"/>
      <c r="C3281" s="1316" t="s">
        <v>2304</v>
      </c>
      <c r="D3281" s="1317"/>
      <c r="E3281" s="701">
        <v>0.28000000000000003</v>
      </c>
      <c r="F3281" s="676" t="s">
        <v>645</v>
      </c>
      <c r="G3281" s="670" t="e">
        <f>$H$714</f>
        <v>#REF!</v>
      </c>
      <c r="H3281" s="670" t="e">
        <f>INT(E3281*G3281)</f>
        <v>#REF!</v>
      </c>
      <c r="I3281" s="670">
        <f>$J$714</f>
        <v>38182</v>
      </c>
      <c r="J3281" s="670">
        <f>INT(E3281*I3281)</f>
        <v>10690</v>
      </c>
      <c r="K3281" s="670">
        <f>$L$714</f>
        <v>0</v>
      </c>
      <c r="L3281" s="670">
        <f>INT(E3281*K3281)</f>
        <v>0</v>
      </c>
      <c r="M3281" s="670" t="e">
        <f t="shared" si="781"/>
        <v>#REF!</v>
      </c>
      <c r="N3281" s="670" t="e">
        <f t="shared" si="781"/>
        <v>#REF!</v>
      </c>
      <c r="O3281" s="671">
        <f>$A$709</f>
        <v>161</v>
      </c>
      <c r="P3281" s="852"/>
      <c r="Q3281" s="849" t="s">
        <v>2311</v>
      </c>
      <c r="R3281" s="845" t="e">
        <f>TRUNC(1/$Y3277,5)</f>
        <v>#DIV/0!</v>
      </c>
      <c r="S3281" s="845"/>
      <c r="T3281" s="845">
        <v>450</v>
      </c>
      <c r="U3281" s="845">
        <f>T3281/0.15</f>
        <v>3000</v>
      </c>
      <c r="V3281" s="845"/>
      <c r="W3281" s="848">
        <v>2</v>
      </c>
      <c r="X3281" s="848">
        <f>ROUND(W3281/U3281,4)</f>
        <v>6.9999999999999999E-4</v>
      </c>
    </row>
    <row r="3282" spans="1:24" s="848" customFormat="1" ht="17.100000000000001" customHeight="1">
      <c r="A3282" s="1316" t="s">
        <v>2305</v>
      </c>
      <c r="B3282" s="1317"/>
      <c r="C3282" s="1316" t="s">
        <v>1827</v>
      </c>
      <c r="D3282" s="1317"/>
      <c r="E3282" s="675">
        <v>0.17</v>
      </c>
      <c r="F3282" s="676" t="s">
        <v>850</v>
      </c>
      <c r="G3282" s="670"/>
      <c r="H3282" s="670"/>
      <c r="I3282" s="670"/>
      <c r="J3282" s="670"/>
      <c r="K3282" s="670"/>
      <c r="L3282" s="670"/>
      <c r="M3282" s="670"/>
      <c r="N3282" s="670"/>
      <c r="O3282" s="671"/>
      <c r="P3282" s="852"/>
      <c r="Q3282" s="849" t="s">
        <v>2311</v>
      </c>
      <c r="R3282" s="847">
        <f>W3277</f>
        <v>0</v>
      </c>
      <c r="S3282" s="850"/>
      <c r="T3282" s="850"/>
      <c r="U3282" s="850"/>
      <c r="V3282" s="850"/>
    </row>
    <row r="3283" spans="1:24" s="848" customFormat="1" ht="17.100000000000001" customHeight="1">
      <c r="A3283" s="1359" t="s">
        <v>248</v>
      </c>
      <c r="B3283" s="1360"/>
      <c r="C3283" s="1359" t="s">
        <v>2287</v>
      </c>
      <c r="D3283" s="1360"/>
      <c r="E3283" s="675">
        <v>1.5</v>
      </c>
      <c r="F3283" s="676" t="s">
        <v>366</v>
      </c>
      <c r="G3283" s="670"/>
      <c r="H3283" s="670"/>
      <c r="I3283" s="670">
        <f>[53]노임단가!$T$5</f>
        <v>172068</v>
      </c>
      <c r="J3283" s="670">
        <f>INT(E3283*I3283)</f>
        <v>258102</v>
      </c>
      <c r="K3283" s="670"/>
      <c r="L3283" s="670"/>
      <c r="M3283" s="670">
        <f>G3283+I3283+K3283</f>
        <v>172068</v>
      </c>
      <c r="N3283" s="670">
        <f>H3283+J3283+L3283</f>
        <v>258102</v>
      </c>
      <c r="O3283" s="671"/>
      <c r="P3283" s="852"/>
      <c r="Q3283" s="849" t="s">
        <v>2311</v>
      </c>
      <c r="R3283" s="850"/>
      <c r="S3283" s="850"/>
      <c r="T3283" s="850"/>
      <c r="U3283" s="850"/>
      <c r="V3283" s="850"/>
    </row>
    <row r="3284" spans="1:24" s="848" customFormat="1" ht="17.100000000000001" customHeight="1">
      <c r="A3284" s="1318" t="s">
        <v>1320</v>
      </c>
      <c r="B3284" s="1319"/>
      <c r="C3284" s="1316"/>
      <c r="D3284" s="1317"/>
      <c r="E3284" s="686"/>
      <c r="F3284" s="676"/>
      <c r="G3284" s="670"/>
      <c r="H3284" s="670" t="e">
        <f>SUM(H3278:H3283)</f>
        <v>#REF!</v>
      </c>
      <c r="I3284" s="670"/>
      <c r="J3284" s="670" t="e">
        <f>SUM(J3278:J3283)</f>
        <v>#REF!</v>
      </c>
      <c r="K3284" s="670"/>
      <c r="L3284" s="670" t="e">
        <f>SUM(L3278:L3283)</f>
        <v>#REF!</v>
      </c>
      <c r="M3284" s="670"/>
      <c r="N3284" s="670" t="e">
        <f>SUM(N3278:N3283)</f>
        <v>#REF!</v>
      </c>
      <c r="O3284" s="671"/>
      <c r="P3284" s="852"/>
      <c r="Q3284" s="849" t="s">
        <v>2311</v>
      </c>
      <c r="R3284" s="850"/>
      <c r="S3284" s="850"/>
      <c r="T3284" s="850"/>
      <c r="U3284" s="850"/>
      <c r="V3284" s="850"/>
    </row>
    <row r="3285" spans="1:24" s="848" customFormat="1" ht="17.100000000000001" customHeight="1">
      <c r="A3285" s="668">
        <f>A3277+1</f>
        <v>450</v>
      </c>
      <c r="B3285" s="1320" t="s">
        <v>2301</v>
      </c>
      <c r="C3285" s="1320"/>
      <c r="D3285" s="1320" t="s">
        <v>2323</v>
      </c>
      <c r="E3285" s="1320"/>
      <c r="F3285" s="669" t="s">
        <v>575</v>
      </c>
      <c r="G3285" s="698"/>
      <c r="H3285" s="698"/>
      <c r="I3285" s="698"/>
      <c r="J3285" s="698"/>
      <c r="K3285" s="670"/>
      <c r="L3285" s="670"/>
      <c r="M3285" s="670"/>
      <c r="N3285" s="698"/>
      <c r="O3285" s="699"/>
      <c r="P3285" s="852"/>
      <c r="Q3285" s="849" t="s">
        <v>2311</v>
      </c>
      <c r="R3285" s="850"/>
      <c r="S3285" s="850"/>
      <c r="T3285" s="850"/>
      <c r="U3285" s="850"/>
      <c r="V3285" s="850"/>
    </row>
    <row r="3286" spans="1:24" s="848" customFormat="1" ht="17.100000000000001" customHeight="1">
      <c r="A3286" s="1316" t="s">
        <v>1441</v>
      </c>
      <c r="B3286" s="1317"/>
      <c r="C3286" s="1316"/>
      <c r="D3286" s="1317"/>
      <c r="E3286" s="677">
        <v>4</v>
      </c>
      <c r="F3286" s="676" t="s">
        <v>272</v>
      </c>
      <c r="G3286" s="670" t="e">
        <f>$H$194</f>
        <v>#REF!</v>
      </c>
      <c r="H3286" s="670" t="e">
        <f>INT(E3286*G3286)</f>
        <v>#REF!</v>
      </c>
      <c r="I3286" s="670" t="e">
        <f>$J$194</f>
        <v>#REF!</v>
      </c>
      <c r="J3286" s="670" t="e">
        <f>INT(E3286*I3286)</f>
        <v>#REF!</v>
      </c>
      <c r="K3286" s="670" t="e">
        <f>$L$194</f>
        <v>#REF!</v>
      </c>
      <c r="L3286" s="670" t="e">
        <f>INT(E3286*K3286)</f>
        <v>#REF!</v>
      </c>
      <c r="M3286" s="670" t="e">
        <f t="shared" ref="M3286:N3289" si="782">G3286+I3286+K3286</f>
        <v>#REF!</v>
      </c>
      <c r="N3286" s="670" t="e">
        <f t="shared" si="782"/>
        <v>#REF!</v>
      </c>
      <c r="O3286" s="671">
        <f>$A$189</f>
        <v>49</v>
      </c>
      <c r="P3286" s="852"/>
      <c r="Q3286" s="849" t="s">
        <v>2311</v>
      </c>
      <c r="R3286" s="850"/>
      <c r="S3286" s="845"/>
      <c r="T3286" s="845"/>
      <c r="U3286" s="845"/>
      <c r="V3286" s="845"/>
    </row>
    <row r="3287" spans="1:24" s="848" customFormat="1" ht="17.100000000000001" customHeight="1">
      <c r="A3287" s="1316" t="str">
        <f>$B$214</f>
        <v>콘크리트포장 깨기</v>
      </c>
      <c r="B3287" s="1317"/>
      <c r="C3287" s="1316" t="str">
        <f>$D$214</f>
        <v>소형브레이커+공기압축기</v>
      </c>
      <c r="D3287" s="1317"/>
      <c r="E3287" s="701">
        <v>0.184</v>
      </c>
      <c r="F3287" s="676" t="s">
        <v>850</v>
      </c>
      <c r="G3287" s="670" t="e">
        <f>$H$220</f>
        <v>#REF!</v>
      </c>
      <c r="H3287" s="670" t="e">
        <f>INT(E3287*G3287)</f>
        <v>#REF!</v>
      </c>
      <c r="I3287" s="670" t="e">
        <f>$J$220</f>
        <v>#REF!</v>
      </c>
      <c r="J3287" s="670" t="e">
        <f>INT(E3287*I3287)</f>
        <v>#REF!</v>
      </c>
      <c r="K3287" s="670" t="e">
        <f>$L$220</f>
        <v>#REF!</v>
      </c>
      <c r="L3287" s="670" t="e">
        <f>INT(E3287*K3287)</f>
        <v>#REF!</v>
      </c>
      <c r="M3287" s="670" t="e">
        <f t="shared" si="782"/>
        <v>#REF!</v>
      </c>
      <c r="N3287" s="670" t="e">
        <f t="shared" si="782"/>
        <v>#REF!</v>
      </c>
      <c r="O3287" s="671">
        <f>$A$214</f>
        <v>53</v>
      </c>
      <c r="P3287" s="672" t="s">
        <v>2314</v>
      </c>
      <c r="Q3287" s="849" t="s">
        <v>2311</v>
      </c>
      <c r="R3287" s="845" t="s">
        <v>2324</v>
      </c>
      <c r="S3287" s="851">
        <f>600*0.5</f>
        <v>300</v>
      </c>
      <c r="T3287" s="846"/>
      <c r="U3287" s="846" t="s">
        <v>2308</v>
      </c>
      <c r="V3287" s="846"/>
    </row>
    <row r="3288" spans="1:24" s="848" customFormat="1" ht="17.100000000000001" customHeight="1">
      <c r="A3288" s="1316" t="s">
        <v>2302</v>
      </c>
      <c r="B3288" s="1317"/>
      <c r="C3288" s="1316" t="s">
        <v>1816</v>
      </c>
      <c r="D3288" s="1317"/>
      <c r="E3288" s="675">
        <v>0.18</v>
      </c>
      <c r="F3288" s="676" t="s">
        <v>850</v>
      </c>
      <c r="G3288" s="670" t="e">
        <f>$H$544</f>
        <v>#REF!</v>
      </c>
      <c r="H3288" s="670" t="e">
        <f>INT(E3288*G3288)</f>
        <v>#REF!</v>
      </c>
      <c r="I3288" s="670">
        <f>$J$544</f>
        <v>586878</v>
      </c>
      <c r="J3288" s="670">
        <f>INT(E3288*I3288)</f>
        <v>105638</v>
      </c>
      <c r="K3288" s="670">
        <f>$L$544</f>
        <v>6798</v>
      </c>
      <c r="L3288" s="670">
        <f>INT(E3288*K3288)</f>
        <v>1223</v>
      </c>
      <c r="M3288" s="670" t="e">
        <f t="shared" si="782"/>
        <v>#REF!</v>
      </c>
      <c r="N3288" s="670" t="e">
        <f t="shared" si="782"/>
        <v>#REF!</v>
      </c>
      <c r="O3288" s="671">
        <f>$A$537</f>
        <v>138</v>
      </c>
      <c r="P3288" s="672" t="s">
        <v>2316</v>
      </c>
      <c r="Q3288" s="849" t="s">
        <v>2311</v>
      </c>
      <c r="R3288" s="845" t="s">
        <v>2317</v>
      </c>
      <c r="S3288" s="846">
        <f>S3287</f>
        <v>300</v>
      </c>
      <c r="T3288" s="846"/>
      <c r="U3288" s="851" t="s">
        <v>2318</v>
      </c>
      <c r="V3288" s="851"/>
    </row>
    <row r="3289" spans="1:24" s="848" customFormat="1" ht="17.100000000000001" customHeight="1">
      <c r="A3289" s="1316" t="s">
        <v>2303</v>
      </c>
      <c r="B3289" s="1317"/>
      <c r="C3289" s="1316" t="s">
        <v>2304</v>
      </c>
      <c r="D3289" s="1317"/>
      <c r="E3289" s="701">
        <v>9.7000000000000003E-2</v>
      </c>
      <c r="F3289" s="676" t="s">
        <v>645</v>
      </c>
      <c r="G3289" s="670" t="e">
        <f>$H$714</f>
        <v>#REF!</v>
      </c>
      <c r="H3289" s="670" t="e">
        <f>INT(E3289*G3289)</f>
        <v>#REF!</v>
      </c>
      <c r="I3289" s="670">
        <f>$J$714</f>
        <v>38182</v>
      </c>
      <c r="J3289" s="670">
        <f>INT(E3289*I3289)</f>
        <v>3703</v>
      </c>
      <c r="K3289" s="670">
        <f>$L$714</f>
        <v>0</v>
      </c>
      <c r="L3289" s="670">
        <f>INT(E3289*K3289)</f>
        <v>0</v>
      </c>
      <c r="M3289" s="670" t="e">
        <f t="shared" si="782"/>
        <v>#REF!</v>
      </c>
      <c r="N3289" s="670" t="e">
        <f t="shared" si="782"/>
        <v>#REF!</v>
      </c>
      <c r="O3289" s="671">
        <f>$A$709</f>
        <v>161</v>
      </c>
      <c r="P3289" s="672" t="s">
        <v>2319</v>
      </c>
      <c r="Q3289" s="849" t="s">
        <v>2311</v>
      </c>
      <c r="R3289" s="845"/>
      <c r="S3289" s="845"/>
      <c r="T3289" s="845" t="s">
        <v>2320</v>
      </c>
      <c r="U3289" s="846" t="s">
        <v>2321</v>
      </c>
      <c r="V3289" s="846"/>
    </row>
    <row r="3290" spans="1:24" s="848" customFormat="1" ht="17.100000000000001" customHeight="1">
      <c r="A3290" s="1316" t="s">
        <v>2305</v>
      </c>
      <c r="B3290" s="1317"/>
      <c r="C3290" s="1316" t="s">
        <v>1827</v>
      </c>
      <c r="D3290" s="1317"/>
      <c r="E3290" s="675">
        <v>0.11</v>
      </c>
      <c r="F3290" s="676" t="s">
        <v>850</v>
      </c>
      <c r="G3290" s="670"/>
      <c r="H3290" s="670"/>
      <c r="I3290" s="670"/>
      <c r="J3290" s="670"/>
      <c r="K3290" s="670"/>
      <c r="L3290" s="670"/>
      <c r="M3290" s="670"/>
      <c r="N3290" s="670"/>
      <c r="O3290" s="671"/>
      <c r="P3290" s="852"/>
      <c r="Q3290" s="849" t="s">
        <v>2311</v>
      </c>
      <c r="R3290" s="845" t="e">
        <f>TRUNC(2/$Y3290,5)</f>
        <v>#DIV/0!</v>
      </c>
      <c r="S3290" s="845"/>
      <c r="T3290" s="845"/>
      <c r="U3290" s="845"/>
      <c r="V3290" s="845"/>
    </row>
    <row r="3291" spans="1:24" s="848" customFormat="1" ht="17.100000000000001" customHeight="1">
      <c r="A3291" s="1316" t="s">
        <v>248</v>
      </c>
      <c r="B3291" s="1317"/>
      <c r="C3291" s="1316" t="s">
        <v>2287</v>
      </c>
      <c r="D3291" s="1317"/>
      <c r="E3291" s="701">
        <v>0.38400000000000001</v>
      </c>
      <c r="F3291" s="676" t="s">
        <v>366</v>
      </c>
      <c r="G3291" s="670"/>
      <c r="H3291" s="670"/>
      <c r="I3291" s="670">
        <f>[53]노임단가!$T$5</f>
        <v>172068</v>
      </c>
      <c r="J3291" s="670">
        <f>INT(E3291*I3291)</f>
        <v>66074</v>
      </c>
      <c r="K3291" s="670"/>
      <c r="L3291" s="670"/>
      <c r="M3291" s="670">
        <f>G3291+I3291+K3291</f>
        <v>172068</v>
      </c>
      <c r="N3291" s="670">
        <f>H3291+J3291+L3291</f>
        <v>66074</v>
      </c>
      <c r="O3291" s="671"/>
      <c r="P3291" s="852"/>
      <c r="Q3291" s="849" t="s">
        <v>2311</v>
      </c>
      <c r="R3291" s="845" t="e">
        <f>TRUNC(2/$Y3290,5)</f>
        <v>#DIV/0!</v>
      </c>
      <c r="S3291" s="845"/>
      <c r="T3291" s="845"/>
      <c r="U3291" s="845"/>
      <c r="V3291" s="845"/>
    </row>
    <row r="3292" spans="1:24" s="848" customFormat="1" ht="17.100000000000001" customHeight="1">
      <c r="A3292" s="1318" t="s">
        <v>1320</v>
      </c>
      <c r="B3292" s="1319"/>
      <c r="C3292" s="1316"/>
      <c r="D3292" s="1317"/>
      <c r="E3292" s="686"/>
      <c r="F3292" s="676"/>
      <c r="G3292" s="670"/>
      <c r="H3292" s="670" t="e">
        <f>SUM(H3286:H3291)</f>
        <v>#REF!</v>
      </c>
      <c r="I3292" s="670"/>
      <c r="J3292" s="670" t="e">
        <f>SUM(J3286:J3291)</f>
        <v>#REF!</v>
      </c>
      <c r="K3292" s="670"/>
      <c r="L3292" s="670" t="e">
        <f>SUM(L3286:L3291)</f>
        <v>#REF!</v>
      </c>
      <c r="M3292" s="670"/>
      <c r="N3292" s="670" t="e">
        <f>SUM(N3286:N3291)</f>
        <v>#REF!</v>
      </c>
      <c r="O3292" s="671"/>
      <c r="P3292" s="852"/>
      <c r="Q3292" s="849" t="s">
        <v>2311</v>
      </c>
      <c r="R3292" s="845" t="e">
        <f>TRUNC(2/$Y3290,5)</f>
        <v>#DIV/0!</v>
      </c>
    </row>
    <row r="3293" spans="1:24" s="848" customFormat="1" ht="17.100000000000001" customHeight="1">
      <c r="A3293" s="668">
        <f>A3285+1</f>
        <v>451</v>
      </c>
      <c r="B3293" s="1320" t="s">
        <v>2325</v>
      </c>
      <c r="C3293" s="1320"/>
      <c r="D3293" s="1320" t="s">
        <v>2326</v>
      </c>
      <c r="E3293" s="1320"/>
      <c r="F3293" s="669" t="s">
        <v>575</v>
      </c>
      <c r="G3293" s="698"/>
      <c r="H3293" s="698"/>
      <c r="I3293" s="698"/>
      <c r="J3293" s="698"/>
      <c r="K3293" s="670"/>
      <c r="L3293" s="670"/>
      <c r="M3293" s="670"/>
      <c r="N3293" s="698"/>
      <c r="O3293" s="699"/>
      <c r="P3293" s="852"/>
      <c r="Q3293" s="849" t="s">
        <v>2311</v>
      </c>
      <c r="R3293" s="845" t="e">
        <f>TRUNC(2/$Y3290,5)</f>
        <v>#DIV/0!</v>
      </c>
    </row>
    <row r="3294" spans="1:24" s="848" customFormat="1" ht="17.100000000000001" customHeight="1">
      <c r="A3294" s="1316" t="s">
        <v>1817</v>
      </c>
      <c r="B3294" s="1317"/>
      <c r="C3294" s="1316" t="s">
        <v>2327</v>
      </c>
      <c r="D3294" s="1317"/>
      <c r="E3294" s="701">
        <v>0.156</v>
      </c>
      <c r="F3294" s="676" t="s">
        <v>850</v>
      </c>
      <c r="G3294" s="670" t="e">
        <f>H568</f>
        <v>#REF!</v>
      </c>
      <c r="H3294" s="670" t="e">
        <f>INT(E3294*G3294)</f>
        <v>#REF!</v>
      </c>
      <c r="I3294" s="670">
        <f>J568</f>
        <v>586878</v>
      </c>
      <c r="J3294" s="670">
        <f>INT(E3294*I3294)</f>
        <v>91552</v>
      </c>
      <c r="K3294" s="670">
        <f>L568</f>
        <v>5742</v>
      </c>
      <c r="L3294" s="670">
        <f>INT(E3294*K3294)</f>
        <v>895</v>
      </c>
      <c r="M3294" s="670" t="e">
        <f>G3294+I3294+K3294</f>
        <v>#REF!</v>
      </c>
      <c r="N3294" s="670" t="e">
        <f>H3294+J3294+L3294</f>
        <v>#REF!</v>
      </c>
      <c r="O3294" s="671">
        <f>A561</f>
        <v>141</v>
      </c>
      <c r="P3294" s="852"/>
      <c r="Q3294" s="849" t="s">
        <v>2311</v>
      </c>
      <c r="R3294" s="845" t="e">
        <f>TRUNC(1/$Y3290,5)</f>
        <v>#DIV/0!</v>
      </c>
      <c r="S3294" s="845"/>
      <c r="T3294" s="845"/>
      <c r="U3294" s="845"/>
      <c r="V3294" s="845"/>
    </row>
    <row r="3295" spans="1:24" s="848" customFormat="1" ht="17.100000000000001" customHeight="1">
      <c r="A3295" s="1316" t="s">
        <v>1826</v>
      </c>
      <c r="B3295" s="1317"/>
      <c r="C3295" s="1316" t="s">
        <v>1827</v>
      </c>
      <c r="D3295" s="1317"/>
      <c r="E3295" s="677">
        <v>1</v>
      </c>
      <c r="F3295" s="676" t="s">
        <v>1828</v>
      </c>
      <c r="G3295" s="670"/>
      <c r="H3295" s="670"/>
      <c r="I3295" s="670"/>
      <c r="J3295" s="670"/>
      <c r="K3295" s="670"/>
      <c r="L3295" s="670"/>
      <c r="M3295" s="670"/>
      <c r="N3295" s="670"/>
      <c r="O3295" s="671"/>
      <c r="P3295" s="852"/>
      <c r="Q3295" s="849" t="s">
        <v>2311</v>
      </c>
      <c r="R3295" s="847">
        <f>W3290</f>
        <v>0</v>
      </c>
      <c r="S3295" s="850"/>
      <c r="T3295" s="850"/>
      <c r="U3295" s="850"/>
      <c r="V3295" s="850"/>
    </row>
    <row r="3296" spans="1:24" s="848" customFormat="1" ht="17.100000000000001" customHeight="1">
      <c r="A3296" s="1316" t="s">
        <v>248</v>
      </c>
      <c r="B3296" s="1317"/>
      <c r="C3296" s="1316" t="s">
        <v>2287</v>
      </c>
      <c r="D3296" s="1317"/>
      <c r="E3296" s="675">
        <v>1</v>
      </c>
      <c r="F3296" s="676" t="s">
        <v>366</v>
      </c>
      <c r="G3296" s="670"/>
      <c r="H3296" s="670"/>
      <c r="I3296" s="670">
        <f>[53]노임단가!$T$5</f>
        <v>172068</v>
      </c>
      <c r="J3296" s="670">
        <f>INT(E3296*I3296)</f>
        <v>172068</v>
      </c>
      <c r="K3296" s="670"/>
      <c r="L3296" s="670"/>
      <c r="M3296" s="670">
        <f>G3296+I3296+K3296</f>
        <v>172068</v>
      </c>
      <c r="N3296" s="670">
        <f>H3296+J3296+L3296</f>
        <v>172068</v>
      </c>
      <c r="O3296" s="671"/>
      <c r="P3296" s="852"/>
      <c r="Q3296" s="849" t="s">
        <v>2311</v>
      </c>
      <c r="R3296" s="850"/>
      <c r="S3296" s="850"/>
      <c r="T3296" s="850"/>
      <c r="U3296" s="850"/>
      <c r="V3296" s="850"/>
    </row>
    <row r="3297" spans="1:22" s="848" customFormat="1" ht="17.100000000000001" customHeight="1">
      <c r="A3297" s="1318" t="s">
        <v>1320</v>
      </c>
      <c r="B3297" s="1319"/>
      <c r="C3297" s="1316"/>
      <c r="D3297" s="1317"/>
      <c r="E3297" s="686"/>
      <c r="F3297" s="676"/>
      <c r="G3297" s="670"/>
      <c r="H3297" s="670" t="e">
        <f>SUM(H3294:H3296)</f>
        <v>#REF!</v>
      </c>
      <c r="I3297" s="670"/>
      <c r="J3297" s="670">
        <f>SUM(J3294:J3296)</f>
        <v>263620</v>
      </c>
      <c r="K3297" s="670"/>
      <c r="L3297" s="670">
        <f>SUM(L3294:L3296)</f>
        <v>895</v>
      </c>
      <c r="M3297" s="670"/>
      <c r="N3297" s="670" t="e">
        <f>SUM(N3294:N3296)</f>
        <v>#REF!</v>
      </c>
      <c r="O3297" s="671"/>
      <c r="P3297" s="852"/>
      <c r="Q3297" s="849" t="s">
        <v>2311</v>
      </c>
      <c r="R3297" s="850"/>
      <c r="S3297" s="850"/>
      <c r="T3297" s="850"/>
      <c r="U3297" s="850"/>
      <c r="V3297" s="850"/>
    </row>
    <row r="3298" spans="1:22" s="848" customFormat="1" ht="17.100000000000001" customHeight="1">
      <c r="A3298" s="668">
        <f>A3293+1</f>
        <v>452</v>
      </c>
      <c r="B3298" s="1320" t="s">
        <v>2328</v>
      </c>
      <c r="C3298" s="1320"/>
      <c r="D3298" s="1320" t="s">
        <v>2329</v>
      </c>
      <c r="E3298" s="1320"/>
      <c r="F3298" s="669" t="s">
        <v>272</v>
      </c>
      <c r="G3298" s="698"/>
      <c r="H3298" s="698"/>
      <c r="I3298" s="698"/>
      <c r="J3298" s="698"/>
      <c r="K3298" s="670"/>
      <c r="L3298" s="670"/>
      <c r="M3298" s="670"/>
      <c r="N3298" s="698"/>
      <c r="O3298" s="699"/>
      <c r="P3298" s="852"/>
      <c r="Q3298" s="849" t="s">
        <v>2311</v>
      </c>
      <c r="R3298" s="850"/>
      <c r="S3298" s="850"/>
      <c r="T3298" s="850"/>
      <c r="U3298" s="850"/>
      <c r="V3298" s="850"/>
    </row>
    <row r="3299" spans="1:22" s="848" customFormat="1" ht="17.100000000000001" customHeight="1">
      <c r="A3299" s="1316" t="s">
        <v>628</v>
      </c>
      <c r="B3299" s="1317"/>
      <c r="C3299" s="1316" t="s">
        <v>2330</v>
      </c>
      <c r="D3299" s="1317"/>
      <c r="E3299" s="683">
        <v>4.3E-3</v>
      </c>
      <c r="F3299" s="676" t="s">
        <v>366</v>
      </c>
      <c r="G3299" s="670"/>
      <c r="H3299" s="670"/>
      <c r="I3299" s="670">
        <f>[53]노임단가!$T$4</f>
        <v>215907</v>
      </c>
      <c r="J3299" s="670">
        <f>INT(E3299*I3299)</f>
        <v>928</v>
      </c>
      <c r="K3299" s="670"/>
      <c r="L3299" s="670"/>
      <c r="M3299" s="670">
        <f>G3299+I3299+K3299</f>
        <v>215907</v>
      </c>
      <c r="N3299" s="670">
        <f>H3299+J3299+L3299</f>
        <v>928</v>
      </c>
      <c r="O3299" s="671"/>
      <c r="P3299" s="852"/>
      <c r="Q3299" s="849" t="s">
        <v>2311</v>
      </c>
      <c r="R3299" s="845" t="s">
        <v>2331</v>
      </c>
      <c r="S3299" s="851">
        <f>600*0.38</f>
        <v>228</v>
      </c>
      <c r="T3299" s="846"/>
      <c r="U3299" s="846" t="s">
        <v>2308</v>
      </c>
      <c r="V3299" s="846"/>
    </row>
    <row r="3300" spans="1:22" s="848" customFormat="1" ht="17.100000000000001" customHeight="1">
      <c r="A3300" s="1316" t="s">
        <v>248</v>
      </c>
      <c r="B3300" s="1317"/>
      <c r="C3300" s="1316" t="s">
        <v>2330</v>
      </c>
      <c r="D3300" s="1317"/>
      <c r="E3300" s="683">
        <v>8.6E-3</v>
      </c>
      <c r="F3300" s="676" t="s">
        <v>366</v>
      </c>
      <c r="G3300" s="670"/>
      <c r="H3300" s="670"/>
      <c r="I3300" s="670">
        <f>[53]노임단가!$T$5</f>
        <v>172068</v>
      </c>
      <c r="J3300" s="670">
        <f>INT(E3300*I3300)</f>
        <v>1479</v>
      </c>
      <c r="K3300" s="670"/>
      <c r="L3300" s="670"/>
      <c r="M3300" s="670">
        <f>G3300+I3300+K3300</f>
        <v>172068</v>
      </c>
      <c r="N3300" s="670">
        <f>H3300+J3300+L3300</f>
        <v>1479</v>
      </c>
      <c r="O3300" s="671"/>
      <c r="P3300" s="672" t="s">
        <v>2314</v>
      </c>
      <c r="Q3300" s="849" t="s">
        <v>2311</v>
      </c>
      <c r="R3300" s="845" t="s">
        <v>2317</v>
      </c>
      <c r="S3300" s="846">
        <f>S3299</f>
        <v>228</v>
      </c>
      <c r="T3300" s="846"/>
      <c r="U3300" s="851" t="s">
        <v>2332</v>
      </c>
      <c r="V3300" s="851"/>
    </row>
    <row r="3301" spans="1:22" s="848" customFormat="1" ht="17.100000000000001" customHeight="1">
      <c r="A3301" s="1316" t="s">
        <v>1261</v>
      </c>
      <c r="B3301" s="1317"/>
      <c r="C3301" s="1316" t="s">
        <v>1264</v>
      </c>
      <c r="D3301" s="1317"/>
      <c r="E3301" s="683">
        <v>3.4299999999999997E-2</v>
      </c>
      <c r="F3301" s="676" t="s">
        <v>418</v>
      </c>
      <c r="G3301" s="670" t="e">
        <f>#REF!</f>
        <v>#REF!</v>
      </c>
      <c r="H3301" s="670" t="e">
        <f>INT(E3301*G3301)</f>
        <v>#REF!</v>
      </c>
      <c r="I3301" s="670" t="e">
        <f>#REF!</f>
        <v>#REF!</v>
      </c>
      <c r="J3301" s="670" t="e">
        <f>INT(E3301*I3301)</f>
        <v>#REF!</v>
      </c>
      <c r="K3301" s="670" t="e">
        <f>#REF!</f>
        <v>#REF!</v>
      </c>
      <c r="L3301" s="670" t="e">
        <f>INT(E3301*K3301)</f>
        <v>#REF!</v>
      </c>
      <c r="M3301" s="670" t="e">
        <f t="shared" ref="M3301:N3303" si="783">G3301+I3301+K3301</f>
        <v>#REF!</v>
      </c>
      <c r="N3301" s="670" t="e">
        <f t="shared" si="783"/>
        <v>#REF!</v>
      </c>
      <c r="O3301" s="671"/>
      <c r="P3301" s="672" t="s">
        <v>2316</v>
      </c>
      <c r="Q3301" s="849" t="s">
        <v>2311</v>
      </c>
      <c r="R3301" s="845" t="s">
        <v>2317</v>
      </c>
      <c r="S3301" s="846">
        <f>S3300</f>
        <v>228</v>
      </c>
      <c r="T3301" s="846"/>
      <c r="U3301" s="851" t="s">
        <v>2318</v>
      </c>
      <c r="V3301" s="851"/>
    </row>
    <row r="3302" spans="1:22" s="848" customFormat="1" ht="17.100000000000001" customHeight="1">
      <c r="A3302" s="1316" t="s">
        <v>2333</v>
      </c>
      <c r="B3302" s="1317"/>
      <c r="C3302" s="1316" t="s">
        <v>642</v>
      </c>
      <c r="D3302" s="1317"/>
      <c r="E3302" s="686">
        <v>3.4299999999999997E-2</v>
      </c>
      <c r="F3302" s="676" t="s">
        <v>418</v>
      </c>
      <c r="G3302" s="670" t="e">
        <f>#REF!</f>
        <v>#REF!</v>
      </c>
      <c r="H3302" s="670" t="e">
        <f>INT(E3302*G3302)</f>
        <v>#REF!</v>
      </c>
      <c r="I3302" s="670" t="e">
        <f>#REF!</f>
        <v>#REF!</v>
      </c>
      <c r="J3302" s="670" t="e">
        <f>INT(E3302*I3302)</f>
        <v>#REF!</v>
      </c>
      <c r="K3302" s="670" t="e">
        <f>#REF!</f>
        <v>#REF!</v>
      </c>
      <c r="L3302" s="670" t="e">
        <f>INT(E3302*K3302)</f>
        <v>#REF!</v>
      </c>
      <c r="M3302" s="670" t="e">
        <f>G3302+I3302+K3302</f>
        <v>#REF!</v>
      </c>
      <c r="N3302" s="670" t="e">
        <f>H3302+J3302+L3302</f>
        <v>#REF!</v>
      </c>
      <c r="O3302" s="671"/>
      <c r="P3302" s="672" t="s">
        <v>2319</v>
      </c>
      <c r="Q3302" s="849" t="s">
        <v>2311</v>
      </c>
      <c r="R3302" s="845" t="e">
        <f>TRUNC(2/$Y3303,5)</f>
        <v>#DIV/0!</v>
      </c>
      <c r="S3302" s="845"/>
      <c r="T3302" s="845"/>
      <c r="U3302" s="845"/>
      <c r="V3302" s="845"/>
    </row>
    <row r="3303" spans="1:22" s="848" customFormat="1" ht="17.100000000000001" customHeight="1">
      <c r="A3303" s="1316" t="s">
        <v>2334</v>
      </c>
      <c r="B3303" s="1317"/>
      <c r="C3303" s="1316" t="s">
        <v>2335</v>
      </c>
      <c r="D3303" s="1317"/>
      <c r="E3303" s="683">
        <v>6.4000000000000005E-4</v>
      </c>
      <c r="F3303" s="676" t="s">
        <v>915</v>
      </c>
      <c r="G3303" s="670"/>
      <c r="H3303" s="670"/>
      <c r="I3303" s="670"/>
      <c r="J3303" s="670"/>
      <c r="K3303" s="670" t="e">
        <f>$L$466</f>
        <v>#REF!</v>
      </c>
      <c r="L3303" s="670" t="e">
        <f>INT(E3303*K3303)</f>
        <v>#REF!</v>
      </c>
      <c r="M3303" s="670" t="e">
        <f t="shared" si="783"/>
        <v>#REF!</v>
      </c>
      <c r="N3303" s="670" t="e">
        <f t="shared" si="783"/>
        <v>#REF!</v>
      </c>
      <c r="O3303" s="671"/>
      <c r="P3303" s="852"/>
      <c r="Q3303" s="849" t="s">
        <v>2311</v>
      </c>
      <c r="R3303" s="845" t="e">
        <f>TRUNC(2/$Y3303,5)</f>
        <v>#DIV/0!</v>
      </c>
      <c r="S3303" s="845"/>
      <c r="T3303" s="845"/>
      <c r="U3303" s="845"/>
      <c r="V3303" s="845"/>
    </row>
    <row r="3304" spans="1:22" s="848" customFormat="1" ht="17.100000000000001" customHeight="1">
      <c r="A3304" s="1318" t="s">
        <v>1320</v>
      </c>
      <c r="B3304" s="1319"/>
      <c r="C3304" s="1316"/>
      <c r="D3304" s="1317"/>
      <c r="E3304" s="686"/>
      <c r="F3304" s="676"/>
      <c r="G3304" s="670"/>
      <c r="H3304" s="670" t="e">
        <f>SUM(H3299:H3303)</f>
        <v>#REF!</v>
      </c>
      <c r="I3304" s="670"/>
      <c r="J3304" s="670" t="e">
        <f>SUM(J3299:J3303)</f>
        <v>#REF!</v>
      </c>
      <c r="K3304" s="670"/>
      <c r="L3304" s="670" t="e">
        <f>SUM(L3299:L3303)</f>
        <v>#REF!</v>
      </c>
      <c r="M3304" s="670"/>
      <c r="N3304" s="670" t="e">
        <f>SUM(N3299:N3303)</f>
        <v>#REF!</v>
      </c>
      <c r="O3304" s="671"/>
      <c r="P3304" s="852"/>
      <c r="Q3304" s="849" t="s">
        <v>2311</v>
      </c>
      <c r="R3304" s="845" t="e">
        <f>TRUNC(2/$Y3303,5)</f>
        <v>#DIV/0!</v>
      </c>
    </row>
    <row r="3305" spans="1:22" s="848" customFormat="1" ht="17.100000000000001" customHeight="1">
      <c r="A3305" s="668">
        <f>A3298+1</f>
        <v>453</v>
      </c>
      <c r="B3305" s="1320" t="s">
        <v>2336</v>
      </c>
      <c r="C3305" s="1320"/>
      <c r="D3305" s="1320" t="s">
        <v>2337</v>
      </c>
      <c r="E3305" s="1320"/>
      <c r="F3305" s="669" t="s">
        <v>272</v>
      </c>
      <c r="G3305" s="698"/>
      <c r="H3305" s="698"/>
      <c r="I3305" s="698"/>
      <c r="J3305" s="698"/>
      <c r="K3305" s="670"/>
      <c r="L3305" s="670"/>
      <c r="M3305" s="670"/>
      <c r="N3305" s="698"/>
      <c r="O3305" s="699"/>
      <c r="P3305" s="852"/>
      <c r="Q3305" s="849" t="s">
        <v>2311</v>
      </c>
      <c r="R3305" s="845" t="e">
        <f>TRUNC(2/$Y3303,5)</f>
        <v>#DIV/0!</v>
      </c>
    </row>
    <row r="3306" spans="1:22" s="848" customFormat="1" ht="17.100000000000001" customHeight="1">
      <c r="A3306" s="1316" t="s">
        <v>2338</v>
      </c>
      <c r="B3306" s="1317"/>
      <c r="C3306" s="1316" t="s">
        <v>2339</v>
      </c>
      <c r="D3306" s="1317"/>
      <c r="E3306" s="683">
        <f>0.42*0.15</f>
        <v>6.3E-2</v>
      </c>
      <c r="F3306" s="676" t="s">
        <v>801</v>
      </c>
      <c r="G3306" s="670" t="e">
        <f>#REF!</f>
        <v>#REF!</v>
      </c>
      <c r="H3306" s="670" t="e">
        <f>INT(E3306*G3306)</f>
        <v>#REF!</v>
      </c>
      <c r="I3306" s="670"/>
      <c r="J3306" s="670"/>
      <c r="K3306" s="670"/>
      <c r="L3306" s="670"/>
      <c r="M3306" s="670" t="e">
        <f t="shared" ref="M3306:N3316" si="784">G3306+I3306+K3306</f>
        <v>#REF!</v>
      </c>
      <c r="N3306" s="670" t="e">
        <f t="shared" si="784"/>
        <v>#REF!</v>
      </c>
      <c r="O3306" s="671" t="s">
        <v>2340</v>
      </c>
      <c r="P3306" s="852"/>
      <c r="Q3306" s="849" t="s">
        <v>2311</v>
      </c>
      <c r="R3306" s="845" t="e">
        <f>TRUNC(1/$Y3303,5)</f>
        <v>#DIV/0!</v>
      </c>
      <c r="S3306" s="845"/>
      <c r="T3306" s="845"/>
      <c r="U3306" s="845"/>
      <c r="V3306" s="845"/>
    </row>
    <row r="3307" spans="1:22" s="848" customFormat="1" ht="17.100000000000001" customHeight="1">
      <c r="A3307" s="1316" t="s">
        <v>2338</v>
      </c>
      <c r="B3307" s="1317"/>
      <c r="C3307" s="1316" t="s">
        <v>2341</v>
      </c>
      <c r="D3307" s="1317"/>
      <c r="E3307" s="683">
        <f>0.42*0.15</f>
        <v>6.3E-2</v>
      </c>
      <c r="F3307" s="676" t="s">
        <v>801</v>
      </c>
      <c r="G3307" s="670" t="e">
        <f>#REF!</f>
        <v>#REF!</v>
      </c>
      <c r="H3307" s="670" t="e">
        <f>INT(E3307*G3307)</f>
        <v>#REF!</v>
      </c>
      <c r="I3307" s="670"/>
      <c r="J3307" s="670"/>
      <c r="K3307" s="670"/>
      <c r="L3307" s="670"/>
      <c r="M3307" s="670" t="e">
        <f>G3307+I3307+K3307</f>
        <v>#REF!</v>
      </c>
      <c r="N3307" s="670" t="e">
        <f>H3307+J3307+L3307</f>
        <v>#REF!</v>
      </c>
      <c r="O3307" s="671" t="s">
        <v>2340</v>
      </c>
      <c r="P3307" s="852"/>
      <c r="Q3307" s="849" t="s">
        <v>2311</v>
      </c>
      <c r="R3307" s="847">
        <f>W3303</f>
        <v>0</v>
      </c>
      <c r="S3307" s="850"/>
      <c r="T3307" s="850"/>
      <c r="U3307" s="850"/>
      <c r="V3307" s="850"/>
    </row>
    <row r="3308" spans="1:22" s="848" customFormat="1" ht="17.100000000000001" customHeight="1">
      <c r="A3308" s="1316" t="s">
        <v>941</v>
      </c>
      <c r="B3308" s="1317"/>
      <c r="C3308" s="1316" t="s">
        <v>2342</v>
      </c>
      <c r="D3308" s="1317"/>
      <c r="E3308" s="686">
        <f>0.31*0.15</f>
        <v>4.65E-2</v>
      </c>
      <c r="F3308" s="676" t="s">
        <v>835</v>
      </c>
      <c r="G3308" s="670" t="e">
        <f>#REF!</f>
        <v>#REF!</v>
      </c>
      <c r="H3308" s="670" t="e">
        <f>INT(E3308*G3308)</f>
        <v>#REF!</v>
      </c>
      <c r="I3308" s="670"/>
      <c r="J3308" s="670"/>
      <c r="K3308" s="670"/>
      <c r="L3308" s="670"/>
      <c r="M3308" s="670" t="e">
        <f t="shared" si="784"/>
        <v>#REF!</v>
      </c>
      <c r="N3308" s="670" t="e">
        <f t="shared" si="784"/>
        <v>#REF!</v>
      </c>
      <c r="O3308" s="671"/>
      <c r="P3308" s="852"/>
      <c r="Q3308" s="849" t="s">
        <v>2311</v>
      </c>
      <c r="R3308" s="850"/>
      <c r="S3308" s="850"/>
      <c r="T3308" s="850"/>
      <c r="U3308" s="850"/>
      <c r="V3308" s="850"/>
    </row>
    <row r="3309" spans="1:22" s="848" customFormat="1" ht="17.100000000000001" customHeight="1">
      <c r="A3309" s="1316" t="s">
        <v>628</v>
      </c>
      <c r="B3309" s="1317"/>
      <c r="C3309" s="1321" t="s">
        <v>2330</v>
      </c>
      <c r="D3309" s="1317"/>
      <c r="E3309" s="686">
        <v>5.0000000000000001E-4</v>
      </c>
      <c r="F3309" s="676" t="s">
        <v>366</v>
      </c>
      <c r="G3309" s="670"/>
      <c r="H3309" s="670"/>
      <c r="I3309" s="670">
        <f>[53]노임단가!$T$6</f>
        <v>226122</v>
      </c>
      <c r="J3309" s="670">
        <f t="shared" ref="J3309:J3314" si="785">INT(E3309*I3309)</f>
        <v>113</v>
      </c>
      <c r="K3309" s="670"/>
      <c r="L3309" s="670"/>
      <c r="M3309" s="670">
        <f>G3309+I3309+K3309</f>
        <v>226122</v>
      </c>
      <c r="N3309" s="670">
        <f>H3309+J3309+L3309</f>
        <v>113</v>
      </c>
      <c r="O3309" s="671"/>
      <c r="P3309" s="852"/>
      <c r="Q3309" s="849" t="s">
        <v>2311</v>
      </c>
      <c r="R3309" s="850"/>
      <c r="S3309" s="850"/>
      <c r="T3309" s="850"/>
      <c r="U3309" s="850"/>
      <c r="V3309" s="850"/>
    </row>
    <row r="3310" spans="1:22" s="848" customFormat="1" ht="17.100000000000001" customHeight="1">
      <c r="A3310" s="1316" t="s">
        <v>248</v>
      </c>
      <c r="B3310" s="1317"/>
      <c r="C3310" s="1321" t="s">
        <v>2330</v>
      </c>
      <c r="D3310" s="1317"/>
      <c r="E3310" s="686">
        <v>5.0000000000000001E-4</v>
      </c>
      <c r="F3310" s="676" t="s">
        <v>366</v>
      </c>
      <c r="G3310" s="670"/>
      <c r="H3310" s="670"/>
      <c r="I3310" s="670">
        <f>[53]노임단가!$T$5</f>
        <v>172068</v>
      </c>
      <c r="J3310" s="670">
        <f t="shared" si="785"/>
        <v>86</v>
      </c>
      <c r="K3310" s="670"/>
      <c r="L3310" s="670"/>
      <c r="M3310" s="670">
        <f t="shared" si="784"/>
        <v>172068</v>
      </c>
      <c r="N3310" s="670">
        <f t="shared" si="784"/>
        <v>86</v>
      </c>
      <c r="O3310" s="671"/>
      <c r="P3310" s="852"/>
      <c r="Q3310" s="849" t="s">
        <v>2311</v>
      </c>
      <c r="R3310" s="850"/>
      <c r="S3310" s="850"/>
      <c r="T3310" s="850"/>
      <c r="U3310" s="850"/>
      <c r="V3310" s="850"/>
    </row>
    <row r="3311" spans="1:22" s="848" customFormat="1" ht="17.100000000000001" customHeight="1">
      <c r="A3311" s="1316" t="s">
        <v>628</v>
      </c>
      <c r="B3311" s="1317"/>
      <c r="C3311" s="1321" t="s">
        <v>2343</v>
      </c>
      <c r="D3311" s="1317"/>
      <c r="E3311" s="686">
        <v>5.0000000000000001E-4</v>
      </c>
      <c r="F3311" s="676" t="s">
        <v>366</v>
      </c>
      <c r="G3311" s="670"/>
      <c r="H3311" s="670"/>
      <c r="I3311" s="670">
        <f>[53]노임단가!$T$6</f>
        <v>226122</v>
      </c>
      <c r="J3311" s="670">
        <f t="shared" si="785"/>
        <v>113</v>
      </c>
      <c r="K3311" s="670"/>
      <c r="L3311" s="670"/>
      <c r="M3311" s="670">
        <f t="shared" si="784"/>
        <v>226122</v>
      </c>
      <c r="N3311" s="670">
        <f t="shared" si="784"/>
        <v>113</v>
      </c>
      <c r="O3311" s="671"/>
      <c r="P3311" s="852"/>
      <c r="Q3311" s="849" t="s">
        <v>2311</v>
      </c>
      <c r="R3311" s="850"/>
      <c r="S3311" s="850"/>
      <c r="T3311" s="850"/>
      <c r="U3311" s="850"/>
      <c r="V3311" s="850"/>
    </row>
    <row r="3312" spans="1:22" s="848" customFormat="1" ht="17.100000000000001" customHeight="1">
      <c r="A3312" s="1316" t="s">
        <v>248</v>
      </c>
      <c r="B3312" s="1317"/>
      <c r="C3312" s="1321" t="s">
        <v>2343</v>
      </c>
      <c r="D3312" s="1317"/>
      <c r="E3312" s="686">
        <v>5.0000000000000001E-4</v>
      </c>
      <c r="F3312" s="676" t="s">
        <v>366</v>
      </c>
      <c r="G3312" s="670"/>
      <c r="H3312" s="670"/>
      <c r="I3312" s="670">
        <f>[53]노임단가!$T$5</f>
        <v>172068</v>
      </c>
      <c r="J3312" s="670">
        <f t="shared" si="785"/>
        <v>86</v>
      </c>
      <c r="K3312" s="670"/>
      <c r="L3312" s="670"/>
      <c r="M3312" s="670">
        <f t="shared" si="784"/>
        <v>172068</v>
      </c>
      <c r="N3312" s="670">
        <f t="shared" si="784"/>
        <v>86</v>
      </c>
      <c r="O3312" s="671"/>
      <c r="P3312" s="672" t="s">
        <v>2314</v>
      </c>
      <c r="Q3312" s="849" t="s">
        <v>2311</v>
      </c>
      <c r="R3312" s="845" t="s">
        <v>2344</v>
      </c>
      <c r="S3312" s="851">
        <f>600*0.18</f>
        <v>108</v>
      </c>
      <c r="T3312" s="846"/>
      <c r="U3312" s="846" t="s">
        <v>2308</v>
      </c>
      <c r="V3312" s="846"/>
    </row>
    <row r="3313" spans="1:22" s="848" customFormat="1" ht="17.100000000000001" customHeight="1">
      <c r="A3313" s="1316" t="s">
        <v>1161</v>
      </c>
      <c r="B3313" s="1317"/>
      <c r="C3313" s="1316" t="s">
        <v>2345</v>
      </c>
      <c r="D3313" s="1317"/>
      <c r="E3313" s="686">
        <v>2E-3</v>
      </c>
      <c r="F3313" s="676" t="s">
        <v>418</v>
      </c>
      <c r="G3313" s="670" t="e">
        <f>#REF!</f>
        <v>#REF!</v>
      </c>
      <c r="H3313" s="670" t="e">
        <f>INT(E3313*G3313)</f>
        <v>#REF!</v>
      </c>
      <c r="I3313" s="670" t="e">
        <f>#REF!</f>
        <v>#REF!</v>
      </c>
      <c r="J3313" s="670" t="e">
        <f t="shared" si="785"/>
        <v>#REF!</v>
      </c>
      <c r="K3313" s="670" t="e">
        <f>#REF!</f>
        <v>#REF!</v>
      </c>
      <c r="L3313" s="670" t="e">
        <f>INT(E3313*K3313)</f>
        <v>#REF!</v>
      </c>
      <c r="M3313" s="670" t="e">
        <f t="shared" si="784"/>
        <v>#REF!</v>
      </c>
      <c r="N3313" s="670" t="e">
        <f t="shared" si="784"/>
        <v>#REF!</v>
      </c>
      <c r="O3313" s="671"/>
      <c r="P3313" s="672" t="s">
        <v>2316</v>
      </c>
      <c r="Q3313" s="849" t="s">
        <v>2311</v>
      </c>
      <c r="R3313" s="845" t="s">
        <v>2317</v>
      </c>
      <c r="S3313" s="846">
        <f>S3312</f>
        <v>108</v>
      </c>
      <c r="T3313" s="846"/>
      <c r="U3313" s="851" t="s">
        <v>2318</v>
      </c>
      <c r="V3313" s="851"/>
    </row>
    <row r="3314" spans="1:22" s="848" customFormat="1" ht="17.100000000000001" customHeight="1">
      <c r="A3314" s="1316" t="s">
        <v>1161</v>
      </c>
      <c r="B3314" s="1317"/>
      <c r="C3314" s="1316" t="s">
        <v>1154</v>
      </c>
      <c r="D3314" s="1317"/>
      <c r="E3314" s="686">
        <v>2E-3</v>
      </c>
      <c r="F3314" s="676" t="s">
        <v>418</v>
      </c>
      <c r="G3314" s="670" t="e">
        <f>#REF!</f>
        <v>#REF!</v>
      </c>
      <c r="H3314" s="670" t="e">
        <f>INT(E3314*G3314)</f>
        <v>#REF!</v>
      </c>
      <c r="I3314" s="670" t="e">
        <f>#REF!</f>
        <v>#REF!</v>
      </c>
      <c r="J3314" s="670" t="e">
        <f t="shared" si="785"/>
        <v>#REF!</v>
      </c>
      <c r="K3314" s="670" t="e">
        <f>#REF!</f>
        <v>#REF!</v>
      </c>
      <c r="L3314" s="670" t="e">
        <f>INT(E3314*K3314)</f>
        <v>#REF!</v>
      </c>
      <c r="M3314" s="670" t="e">
        <f t="shared" si="784"/>
        <v>#REF!</v>
      </c>
      <c r="N3314" s="670" t="e">
        <f t="shared" si="784"/>
        <v>#REF!</v>
      </c>
      <c r="O3314" s="671"/>
      <c r="P3314" s="672" t="s">
        <v>2319</v>
      </c>
      <c r="Q3314" s="849" t="s">
        <v>2311</v>
      </c>
      <c r="R3314" s="845" t="e">
        <f>TRUNC(2/$Y3315,5)</f>
        <v>#DIV/0!</v>
      </c>
      <c r="S3314" s="845"/>
      <c r="T3314" s="845"/>
      <c r="U3314" s="845"/>
      <c r="V3314" s="845"/>
    </row>
    <row r="3315" spans="1:22" s="848" customFormat="1" ht="17.100000000000001" customHeight="1">
      <c r="A3315" s="1316" t="s">
        <v>2346</v>
      </c>
      <c r="B3315" s="1317"/>
      <c r="C3315" s="1321" t="s">
        <v>1451</v>
      </c>
      <c r="D3315" s="1317"/>
      <c r="E3315" s="686">
        <v>0.03</v>
      </c>
      <c r="F3315" s="676" t="s">
        <v>672</v>
      </c>
      <c r="G3315" s="670"/>
      <c r="H3315" s="670">
        <f>INT(E3315*G3315)</f>
        <v>0</v>
      </c>
      <c r="I3315" s="670"/>
      <c r="J3315" s="670"/>
      <c r="K3315" s="670">
        <f>J3309+J3310</f>
        <v>199</v>
      </c>
      <c r="L3315" s="670">
        <f>INT(E3315*K3315)</f>
        <v>5</v>
      </c>
      <c r="M3315" s="670">
        <f t="shared" si="784"/>
        <v>199</v>
      </c>
      <c r="N3315" s="670">
        <f t="shared" si="784"/>
        <v>5</v>
      </c>
      <c r="O3315" s="671"/>
      <c r="P3315" s="852"/>
      <c r="Q3315" s="849" t="s">
        <v>2311</v>
      </c>
      <c r="R3315" s="845" t="e">
        <f>TRUNC(2/$Y3315,5)</f>
        <v>#DIV/0!</v>
      </c>
      <c r="S3315" s="845"/>
      <c r="T3315" s="845"/>
      <c r="U3315" s="845"/>
      <c r="V3315" s="845"/>
    </row>
    <row r="3316" spans="1:22" s="848" customFormat="1" ht="17.100000000000001" customHeight="1">
      <c r="A3316" s="1316" t="s">
        <v>1328</v>
      </c>
      <c r="B3316" s="1317"/>
      <c r="C3316" s="1321" t="s">
        <v>2347</v>
      </c>
      <c r="D3316" s="1317"/>
      <c r="E3316" s="686">
        <v>0.01</v>
      </c>
      <c r="F3316" s="676" t="s">
        <v>672</v>
      </c>
      <c r="G3316" s="670" t="e">
        <f>SUM(H3307:H3308)</f>
        <v>#REF!</v>
      </c>
      <c r="H3316" s="670" t="e">
        <f>INT(E3316*G3316)</f>
        <v>#REF!</v>
      </c>
      <c r="I3316" s="670"/>
      <c r="J3316" s="670"/>
      <c r="K3316" s="670"/>
      <c r="L3316" s="670"/>
      <c r="M3316" s="670" t="e">
        <f t="shared" si="784"/>
        <v>#REF!</v>
      </c>
      <c r="N3316" s="670" t="e">
        <f t="shared" si="784"/>
        <v>#REF!</v>
      </c>
      <c r="O3316" s="671"/>
      <c r="P3316" s="852"/>
      <c r="Q3316" s="849" t="s">
        <v>2311</v>
      </c>
      <c r="R3316" s="845" t="e">
        <f>TRUNC(2/$Y3315,5)</f>
        <v>#DIV/0!</v>
      </c>
    </row>
    <row r="3317" spans="1:22" s="848" customFormat="1" ht="17.100000000000001" customHeight="1">
      <c r="A3317" s="1318" t="s">
        <v>1320</v>
      </c>
      <c r="B3317" s="1319"/>
      <c r="C3317" s="1316"/>
      <c r="D3317" s="1317"/>
      <c r="E3317" s="686"/>
      <c r="F3317" s="676"/>
      <c r="G3317" s="670"/>
      <c r="H3317" s="670" t="e">
        <f>SUM(H3308:H3316)</f>
        <v>#REF!</v>
      </c>
      <c r="I3317" s="670"/>
      <c r="J3317" s="670" t="e">
        <f>SUM(J3308:J3316)</f>
        <v>#REF!</v>
      </c>
      <c r="K3317" s="670"/>
      <c r="L3317" s="670" t="e">
        <f>SUM(L3308:L3316)</f>
        <v>#REF!</v>
      </c>
      <c r="M3317" s="670"/>
      <c r="N3317" s="670" t="e">
        <f>SUM(N3308:N3316)</f>
        <v>#REF!</v>
      </c>
      <c r="O3317" s="671"/>
      <c r="P3317" s="852"/>
      <c r="Q3317" s="849" t="s">
        <v>2311</v>
      </c>
      <c r="R3317" s="845" t="e">
        <f>TRUNC(2/$Y3315,5)</f>
        <v>#DIV/0!</v>
      </c>
    </row>
    <row r="3318" spans="1:22" s="848" customFormat="1" ht="17.100000000000001" customHeight="1">
      <c r="A3318" s="668">
        <f>A3305+1</f>
        <v>454</v>
      </c>
      <c r="B3318" s="1320" t="s">
        <v>2348</v>
      </c>
      <c r="C3318" s="1320"/>
      <c r="D3318" s="1320" t="s">
        <v>2349</v>
      </c>
      <c r="E3318" s="1320"/>
      <c r="F3318" s="669" t="s">
        <v>272</v>
      </c>
      <c r="G3318" s="698"/>
      <c r="H3318" s="698"/>
      <c r="I3318" s="698"/>
      <c r="J3318" s="698"/>
      <c r="K3318" s="670"/>
      <c r="L3318" s="670"/>
      <c r="M3318" s="670"/>
      <c r="N3318" s="698"/>
      <c r="O3318" s="699"/>
      <c r="P3318" s="852"/>
      <c r="Q3318" s="849" t="s">
        <v>2311</v>
      </c>
      <c r="R3318" s="845" t="e">
        <f>TRUNC(1/$Y3315,5)</f>
        <v>#DIV/0!</v>
      </c>
      <c r="S3318" s="845"/>
      <c r="T3318" s="845"/>
      <c r="U3318" s="845"/>
      <c r="V3318" s="845"/>
    </row>
    <row r="3319" spans="1:22" s="848" customFormat="1" ht="17.100000000000001" customHeight="1">
      <c r="A3319" s="1316" t="s">
        <v>2338</v>
      </c>
      <c r="B3319" s="1317"/>
      <c r="C3319" s="1316" t="s">
        <v>2339</v>
      </c>
      <c r="D3319" s="1317"/>
      <c r="E3319" s="683">
        <f>0.42*0.15</f>
        <v>6.3E-2</v>
      </c>
      <c r="F3319" s="676" t="s">
        <v>801</v>
      </c>
      <c r="G3319" s="670" t="e">
        <f>#REF!</f>
        <v>#REF!</v>
      </c>
      <c r="H3319" s="670" t="e">
        <f>INT(E3319*G3319)</f>
        <v>#REF!</v>
      </c>
      <c r="I3319" s="670"/>
      <c r="J3319" s="670"/>
      <c r="K3319" s="670"/>
      <c r="L3319" s="670"/>
      <c r="M3319" s="670" t="e">
        <f t="shared" ref="M3319:N3328" si="786">G3319+I3319+K3319</f>
        <v>#REF!</v>
      </c>
      <c r="N3319" s="670" t="e">
        <f t="shared" si="786"/>
        <v>#REF!</v>
      </c>
      <c r="O3319" s="671" t="s">
        <v>2340</v>
      </c>
      <c r="P3319" s="852"/>
      <c r="Q3319" s="849" t="s">
        <v>2311</v>
      </c>
      <c r="R3319" s="847">
        <f>W3315</f>
        <v>0</v>
      </c>
      <c r="S3319" s="850"/>
      <c r="T3319" s="850"/>
      <c r="U3319" s="850"/>
      <c r="V3319" s="850"/>
    </row>
    <row r="3320" spans="1:22" s="848" customFormat="1" ht="17.100000000000001" customHeight="1">
      <c r="A3320" s="1316" t="s">
        <v>2338</v>
      </c>
      <c r="B3320" s="1317"/>
      <c r="C3320" s="1316" t="s">
        <v>2341</v>
      </c>
      <c r="D3320" s="1317"/>
      <c r="E3320" s="683">
        <f>0.42*0.15</f>
        <v>6.3E-2</v>
      </c>
      <c r="F3320" s="676" t="s">
        <v>801</v>
      </c>
      <c r="G3320" s="670" t="e">
        <f>#REF!</f>
        <v>#REF!</v>
      </c>
      <c r="H3320" s="670" t="e">
        <f>INT(E3320*G3320)</f>
        <v>#REF!</v>
      </c>
      <c r="I3320" s="670"/>
      <c r="J3320" s="670"/>
      <c r="K3320" s="670"/>
      <c r="L3320" s="670"/>
      <c r="M3320" s="670" t="e">
        <f t="shared" si="786"/>
        <v>#REF!</v>
      </c>
      <c r="N3320" s="670" t="e">
        <f t="shared" si="786"/>
        <v>#REF!</v>
      </c>
      <c r="O3320" s="671" t="s">
        <v>2340</v>
      </c>
      <c r="P3320" s="852"/>
      <c r="Q3320" s="849" t="s">
        <v>2311</v>
      </c>
      <c r="R3320" s="850"/>
      <c r="S3320" s="850"/>
      <c r="T3320" s="850"/>
      <c r="U3320" s="850"/>
      <c r="V3320" s="850"/>
    </row>
    <row r="3321" spans="1:22" s="848" customFormat="1" ht="17.100000000000001" customHeight="1">
      <c r="A3321" s="1316" t="s">
        <v>941</v>
      </c>
      <c r="B3321" s="1317"/>
      <c r="C3321" s="1316" t="s">
        <v>2342</v>
      </c>
      <c r="D3321" s="1317"/>
      <c r="E3321" s="686">
        <f>0.31*0.15</f>
        <v>4.65E-2</v>
      </c>
      <c r="F3321" s="676" t="s">
        <v>835</v>
      </c>
      <c r="G3321" s="670" t="e">
        <f>#REF!</f>
        <v>#REF!</v>
      </c>
      <c r="H3321" s="670" t="e">
        <f>INT(E3321*G3321)</f>
        <v>#REF!</v>
      </c>
      <c r="I3321" s="670"/>
      <c r="J3321" s="670"/>
      <c r="K3321" s="670"/>
      <c r="L3321" s="670"/>
      <c r="M3321" s="670" t="e">
        <f t="shared" si="786"/>
        <v>#REF!</v>
      </c>
      <c r="N3321" s="670" t="e">
        <f t="shared" si="786"/>
        <v>#REF!</v>
      </c>
      <c r="O3321" s="671"/>
      <c r="P3321" s="852"/>
      <c r="Q3321" s="849" t="s">
        <v>2311</v>
      </c>
      <c r="R3321" s="850"/>
      <c r="S3321" s="850"/>
      <c r="T3321" s="850"/>
      <c r="U3321" s="850"/>
      <c r="V3321" s="850"/>
    </row>
    <row r="3322" spans="1:22" s="848" customFormat="1" ht="17.100000000000001" customHeight="1">
      <c r="A3322" s="1316" t="s">
        <v>628</v>
      </c>
      <c r="B3322" s="1317"/>
      <c r="C3322" s="1321" t="s">
        <v>2330</v>
      </c>
      <c r="D3322" s="1317"/>
      <c r="E3322" s="686">
        <v>1E-3</v>
      </c>
      <c r="F3322" s="676" t="s">
        <v>366</v>
      </c>
      <c r="G3322" s="670"/>
      <c r="H3322" s="670"/>
      <c r="I3322" s="670">
        <f>[53]노임단가!$T$6</f>
        <v>226122</v>
      </c>
      <c r="J3322" s="670">
        <f t="shared" ref="J3322:J3327" si="787">INT(E3322*I3322)</f>
        <v>226</v>
      </c>
      <c r="K3322" s="670"/>
      <c r="L3322" s="670"/>
      <c r="M3322" s="670">
        <f t="shared" si="786"/>
        <v>226122</v>
      </c>
      <c r="N3322" s="670">
        <f t="shared" si="786"/>
        <v>226</v>
      </c>
      <c r="O3322" s="671"/>
      <c r="P3322" s="852"/>
      <c r="Q3322" s="849" t="s">
        <v>2311</v>
      </c>
      <c r="R3322" s="850"/>
      <c r="S3322" s="850"/>
      <c r="T3322" s="850"/>
      <c r="U3322" s="850"/>
      <c r="V3322" s="850"/>
    </row>
    <row r="3323" spans="1:22" s="848" customFormat="1" ht="17.100000000000001" customHeight="1">
      <c r="A3323" s="1316" t="s">
        <v>248</v>
      </c>
      <c r="B3323" s="1317"/>
      <c r="C3323" s="1321" t="s">
        <v>2330</v>
      </c>
      <c r="D3323" s="1317"/>
      <c r="E3323" s="686">
        <v>1E-3</v>
      </c>
      <c r="F3323" s="676" t="s">
        <v>366</v>
      </c>
      <c r="G3323" s="670"/>
      <c r="H3323" s="670"/>
      <c r="I3323" s="670">
        <f>[53]노임단가!$T$5</f>
        <v>172068</v>
      </c>
      <c r="J3323" s="670">
        <f t="shared" si="787"/>
        <v>172</v>
      </c>
      <c r="K3323" s="670"/>
      <c r="L3323" s="670"/>
      <c r="M3323" s="670">
        <f t="shared" si="786"/>
        <v>172068</v>
      </c>
      <c r="N3323" s="670">
        <f t="shared" si="786"/>
        <v>172</v>
      </c>
      <c r="O3323" s="671"/>
      <c r="P3323" s="852"/>
      <c r="Q3323" s="849" t="s">
        <v>2311</v>
      </c>
      <c r="R3323" s="845"/>
      <c r="S3323" s="850"/>
      <c r="T3323" s="850"/>
      <c r="U3323" s="850"/>
      <c r="V3323" s="850"/>
    </row>
    <row r="3324" spans="1:22" s="848" customFormat="1" ht="17.100000000000001" customHeight="1">
      <c r="A3324" s="1316" t="s">
        <v>628</v>
      </c>
      <c r="B3324" s="1317"/>
      <c r="C3324" s="1321" t="s">
        <v>2343</v>
      </c>
      <c r="D3324" s="1317"/>
      <c r="E3324" s="686">
        <v>1E-3</v>
      </c>
      <c r="F3324" s="676" t="s">
        <v>366</v>
      </c>
      <c r="G3324" s="670"/>
      <c r="H3324" s="670"/>
      <c r="I3324" s="670">
        <f>[53]노임단가!$T$6</f>
        <v>226122</v>
      </c>
      <c r="J3324" s="670">
        <f t="shared" si="787"/>
        <v>226</v>
      </c>
      <c r="K3324" s="670"/>
      <c r="L3324" s="670"/>
      <c r="M3324" s="670">
        <f t="shared" si="786"/>
        <v>226122</v>
      </c>
      <c r="N3324" s="670">
        <f t="shared" si="786"/>
        <v>226</v>
      </c>
      <c r="O3324" s="671"/>
      <c r="P3324" s="672" t="s">
        <v>2314</v>
      </c>
      <c r="Q3324" s="849" t="s">
        <v>2311</v>
      </c>
      <c r="R3324" s="845" t="s">
        <v>2315</v>
      </c>
      <c r="S3324" s="851">
        <f>600</f>
        <v>600</v>
      </c>
      <c r="T3324" s="846"/>
      <c r="U3324" s="846" t="s">
        <v>2308</v>
      </c>
      <c r="V3324" s="846"/>
    </row>
    <row r="3325" spans="1:22" s="848" customFormat="1" ht="17.100000000000001" customHeight="1">
      <c r="A3325" s="1316" t="s">
        <v>248</v>
      </c>
      <c r="B3325" s="1317"/>
      <c r="C3325" s="1321" t="s">
        <v>2343</v>
      </c>
      <c r="D3325" s="1317"/>
      <c r="E3325" s="686">
        <v>1E-3</v>
      </c>
      <c r="F3325" s="676" t="s">
        <v>366</v>
      </c>
      <c r="G3325" s="670"/>
      <c r="H3325" s="670"/>
      <c r="I3325" s="670">
        <f>[53]노임단가!$T$5</f>
        <v>172068</v>
      </c>
      <c r="J3325" s="670">
        <f t="shared" si="787"/>
        <v>172</v>
      </c>
      <c r="K3325" s="670"/>
      <c r="L3325" s="670"/>
      <c r="M3325" s="670">
        <f t="shared" si="786"/>
        <v>172068</v>
      </c>
      <c r="N3325" s="670">
        <f t="shared" si="786"/>
        <v>172</v>
      </c>
      <c r="O3325" s="671"/>
      <c r="P3325" s="672" t="s">
        <v>2316</v>
      </c>
      <c r="Q3325" s="849" t="s">
        <v>2311</v>
      </c>
      <c r="R3325" s="845" t="s">
        <v>2317</v>
      </c>
      <c r="S3325" s="846">
        <f>S3324</f>
        <v>600</v>
      </c>
      <c r="T3325" s="846"/>
      <c r="U3325" s="851" t="s">
        <v>2318</v>
      </c>
      <c r="V3325" s="851"/>
    </row>
    <row r="3326" spans="1:22" s="848" customFormat="1" ht="17.100000000000001" customHeight="1">
      <c r="A3326" s="1316" t="s">
        <v>1161</v>
      </c>
      <c r="B3326" s="1317"/>
      <c r="C3326" s="1316" t="s">
        <v>2345</v>
      </c>
      <c r="D3326" s="1317"/>
      <c r="E3326" s="686">
        <v>2E-3</v>
      </c>
      <c r="F3326" s="676" t="s">
        <v>418</v>
      </c>
      <c r="G3326" s="670" t="e">
        <f>#REF!</f>
        <v>#REF!</v>
      </c>
      <c r="H3326" s="670" t="e">
        <f>INT(E3326*G3326)</f>
        <v>#REF!</v>
      </c>
      <c r="I3326" s="670" t="e">
        <f>#REF!</f>
        <v>#REF!</v>
      </c>
      <c r="J3326" s="670" t="e">
        <f t="shared" si="787"/>
        <v>#REF!</v>
      </c>
      <c r="K3326" s="670" t="e">
        <f>#REF!</f>
        <v>#REF!</v>
      </c>
      <c r="L3326" s="670" t="e">
        <f>INT(E3326*K3326)</f>
        <v>#REF!</v>
      </c>
      <c r="M3326" s="670" t="e">
        <f t="shared" si="786"/>
        <v>#REF!</v>
      </c>
      <c r="N3326" s="670" t="e">
        <f t="shared" si="786"/>
        <v>#REF!</v>
      </c>
      <c r="O3326" s="671"/>
      <c r="P3326" s="672"/>
      <c r="Q3326" s="849" t="s">
        <v>2311</v>
      </c>
      <c r="R3326" s="845"/>
      <c r="S3326" s="845"/>
      <c r="T3326" s="845" t="s">
        <v>2320</v>
      </c>
      <c r="U3326" s="846" t="s">
        <v>2321</v>
      </c>
      <c r="V3326" s="846"/>
    </row>
    <row r="3327" spans="1:22" s="848" customFormat="1" ht="17.100000000000001" customHeight="1">
      <c r="A3327" s="1316" t="s">
        <v>1161</v>
      </c>
      <c r="B3327" s="1317"/>
      <c r="C3327" s="1316" t="s">
        <v>1154</v>
      </c>
      <c r="D3327" s="1317"/>
      <c r="E3327" s="686">
        <v>2E-3</v>
      </c>
      <c r="F3327" s="676" t="s">
        <v>418</v>
      </c>
      <c r="G3327" s="670" t="e">
        <f>#REF!</f>
        <v>#REF!</v>
      </c>
      <c r="H3327" s="670" t="e">
        <f>INT(E3327*G3327)</f>
        <v>#REF!</v>
      </c>
      <c r="I3327" s="670" t="e">
        <f>#REF!</f>
        <v>#REF!</v>
      </c>
      <c r="J3327" s="670" t="e">
        <f t="shared" si="787"/>
        <v>#REF!</v>
      </c>
      <c r="K3327" s="670" t="e">
        <f>#REF!</f>
        <v>#REF!</v>
      </c>
      <c r="L3327" s="670" t="e">
        <f>INT(E3327*K3327)</f>
        <v>#REF!</v>
      </c>
      <c r="M3327" s="670" t="e">
        <f t="shared" si="786"/>
        <v>#REF!</v>
      </c>
      <c r="N3327" s="670" t="e">
        <f t="shared" si="786"/>
        <v>#REF!</v>
      </c>
      <c r="O3327" s="671"/>
      <c r="P3327" s="852"/>
      <c r="Q3327" s="849" t="s">
        <v>2311</v>
      </c>
      <c r="R3327" s="845" t="e">
        <f>TRUNC(2/$Y3327,5)</f>
        <v>#DIV/0!</v>
      </c>
      <c r="S3327" s="845"/>
      <c r="T3327" s="845"/>
      <c r="U3327" s="845"/>
      <c r="V3327" s="845"/>
    </row>
    <row r="3328" spans="1:22" s="848" customFormat="1" ht="17.100000000000001" customHeight="1">
      <c r="A3328" s="1316" t="s">
        <v>2346</v>
      </c>
      <c r="B3328" s="1317"/>
      <c r="C3328" s="1321" t="s">
        <v>1451</v>
      </c>
      <c r="D3328" s="1317"/>
      <c r="E3328" s="686">
        <v>0.03</v>
      </c>
      <c r="F3328" s="676" t="s">
        <v>672</v>
      </c>
      <c r="G3328" s="670"/>
      <c r="H3328" s="670">
        <f>INT(E3328*G3328)</f>
        <v>0</v>
      </c>
      <c r="I3328" s="670"/>
      <c r="J3328" s="670"/>
      <c r="K3328" s="670">
        <f>J3322+J3323</f>
        <v>398</v>
      </c>
      <c r="L3328" s="670">
        <f>INT(E3328*K3328)</f>
        <v>11</v>
      </c>
      <c r="M3328" s="670">
        <f t="shared" si="786"/>
        <v>398</v>
      </c>
      <c r="N3328" s="670">
        <f t="shared" si="786"/>
        <v>11</v>
      </c>
      <c r="O3328" s="671"/>
      <c r="P3328" s="852"/>
      <c r="Q3328" s="849" t="s">
        <v>2311</v>
      </c>
      <c r="R3328" s="845" t="e">
        <f>TRUNC(2/$Y3327,5)</f>
        <v>#DIV/0!</v>
      </c>
      <c r="S3328" s="845"/>
      <c r="T3328" s="845"/>
      <c r="U3328" s="845"/>
      <c r="V3328" s="845"/>
    </row>
    <row r="3329" spans="1:22" s="848" customFormat="1" ht="17.100000000000001" customHeight="1">
      <c r="A3329" s="1316" t="s">
        <v>1328</v>
      </c>
      <c r="B3329" s="1317"/>
      <c r="C3329" s="1321" t="s">
        <v>2347</v>
      </c>
      <c r="D3329" s="1317"/>
      <c r="E3329" s="686">
        <v>0.01</v>
      </c>
      <c r="F3329" s="676" t="s">
        <v>672</v>
      </c>
      <c r="G3329" s="670" t="e">
        <f>SUM(H3320:H3321)</f>
        <v>#REF!</v>
      </c>
      <c r="H3329" s="670" t="e">
        <f>INT(E3329*G3329)</f>
        <v>#REF!</v>
      </c>
      <c r="I3329" s="670"/>
      <c r="J3329" s="670"/>
      <c r="K3329" s="670"/>
      <c r="L3329" s="670"/>
      <c r="M3329" s="670" t="e">
        <f>G3329+I3329+K3329</f>
        <v>#REF!</v>
      </c>
      <c r="N3329" s="670" t="e">
        <f>H3329+J3329+L3329</f>
        <v>#REF!</v>
      </c>
      <c r="O3329" s="671"/>
      <c r="P3329" s="852"/>
      <c r="Q3329" s="849" t="s">
        <v>2311</v>
      </c>
      <c r="R3329" s="845" t="e">
        <f>TRUNC(2/$Y3327,5)</f>
        <v>#DIV/0!</v>
      </c>
    </row>
    <row r="3330" spans="1:22" s="848" customFormat="1" ht="17.100000000000001" customHeight="1">
      <c r="A3330" s="1318" t="s">
        <v>1320</v>
      </c>
      <c r="B3330" s="1319"/>
      <c r="C3330" s="1316"/>
      <c r="D3330" s="1317"/>
      <c r="E3330" s="686"/>
      <c r="F3330" s="676"/>
      <c r="G3330" s="670"/>
      <c r="H3330" s="670" t="e">
        <f>SUM(H3321:H3329)</f>
        <v>#REF!</v>
      </c>
      <c r="I3330" s="670"/>
      <c r="J3330" s="670" t="e">
        <f>SUM(J3322:J3329)</f>
        <v>#REF!</v>
      </c>
      <c r="K3330" s="670"/>
      <c r="L3330" s="670" t="e">
        <f>SUM(L3322:L3329)</f>
        <v>#REF!</v>
      </c>
      <c r="M3330" s="670"/>
      <c r="N3330" s="670" t="e">
        <f>SUM(N3321:N3329)</f>
        <v>#REF!</v>
      </c>
      <c r="O3330" s="671"/>
      <c r="P3330" s="852"/>
      <c r="Q3330" s="849" t="s">
        <v>2311</v>
      </c>
      <c r="R3330" s="850"/>
      <c r="S3330" s="850"/>
      <c r="T3330" s="850"/>
      <c r="U3330" s="850"/>
      <c r="V3330" s="850"/>
    </row>
    <row r="3331" spans="1:22" s="848" customFormat="1" ht="17.100000000000001" customHeight="1">
      <c r="A3331" s="668">
        <f>A3318+1</f>
        <v>455</v>
      </c>
      <c r="B3331" s="1320" t="s">
        <v>2348</v>
      </c>
      <c r="C3331" s="1320"/>
      <c r="D3331" s="1320" t="s">
        <v>2350</v>
      </c>
      <c r="E3331" s="1320"/>
      <c r="F3331" s="669" t="s">
        <v>272</v>
      </c>
      <c r="G3331" s="698"/>
      <c r="H3331" s="698"/>
      <c r="I3331" s="698"/>
      <c r="J3331" s="698"/>
      <c r="K3331" s="670"/>
      <c r="L3331" s="670"/>
      <c r="M3331" s="670"/>
      <c r="N3331" s="698"/>
      <c r="O3331" s="699" t="s">
        <v>2351</v>
      </c>
      <c r="P3331" s="852"/>
      <c r="Q3331" s="849" t="s">
        <v>2311</v>
      </c>
      <c r="R3331" s="850"/>
      <c r="S3331" s="850"/>
      <c r="T3331" s="850"/>
      <c r="U3331" s="850"/>
      <c r="V3331" s="850"/>
    </row>
    <row r="3332" spans="1:22" s="848" customFormat="1" ht="17.100000000000001" customHeight="1">
      <c r="A3332" s="1316" t="s">
        <v>2338</v>
      </c>
      <c r="B3332" s="1317"/>
      <c r="C3332" s="1316" t="s">
        <v>2339</v>
      </c>
      <c r="D3332" s="1317"/>
      <c r="E3332" s="683">
        <v>6.3E-2</v>
      </c>
      <c r="F3332" s="676" t="s">
        <v>801</v>
      </c>
      <c r="G3332" s="670" t="e">
        <f>#REF!</f>
        <v>#REF!</v>
      </c>
      <c r="H3332" s="670" t="e">
        <f>INT(E3332*G3332)</f>
        <v>#REF!</v>
      </c>
      <c r="I3332" s="670"/>
      <c r="J3332" s="670"/>
      <c r="K3332" s="670"/>
      <c r="L3332" s="670"/>
      <c r="M3332" s="670" t="e">
        <f t="shared" ref="M3332:N3340" si="788">G3332+I3332+K3332</f>
        <v>#REF!</v>
      </c>
      <c r="N3332" s="670" t="e">
        <f t="shared" si="788"/>
        <v>#REF!</v>
      </c>
      <c r="O3332" s="671" t="s">
        <v>2340</v>
      </c>
      <c r="P3332" s="852"/>
      <c r="Q3332" s="849" t="s">
        <v>2311</v>
      </c>
      <c r="R3332" s="850"/>
      <c r="S3332" s="850"/>
      <c r="T3332" s="850"/>
      <c r="U3332" s="850"/>
      <c r="V3332" s="850"/>
    </row>
    <row r="3333" spans="1:22" s="848" customFormat="1" ht="17.100000000000001" customHeight="1">
      <c r="A3333" s="1316" t="s">
        <v>941</v>
      </c>
      <c r="B3333" s="1317"/>
      <c r="C3333" s="1316" t="s">
        <v>2342</v>
      </c>
      <c r="D3333" s="1317"/>
      <c r="E3333" s="683">
        <v>4.65E-2</v>
      </c>
      <c r="F3333" s="676" t="s">
        <v>835</v>
      </c>
      <c r="G3333" s="670" t="e">
        <f>#REF!</f>
        <v>#REF!</v>
      </c>
      <c r="H3333" s="670" t="e">
        <f>INT(E3333*G3333)</f>
        <v>#REF!</v>
      </c>
      <c r="I3333" s="670"/>
      <c r="J3333" s="670"/>
      <c r="K3333" s="670"/>
      <c r="L3333" s="670"/>
      <c r="M3333" s="670" t="e">
        <f t="shared" si="788"/>
        <v>#REF!</v>
      </c>
      <c r="N3333" s="670" t="e">
        <f t="shared" si="788"/>
        <v>#REF!</v>
      </c>
      <c r="O3333" s="671"/>
      <c r="P3333" s="852"/>
      <c r="Q3333" s="849" t="s">
        <v>2311</v>
      </c>
      <c r="R3333" s="845"/>
      <c r="S3333" s="850"/>
      <c r="T3333" s="850"/>
      <c r="U3333" s="850"/>
      <c r="V3333" s="850"/>
    </row>
    <row r="3334" spans="1:22" s="848" customFormat="1" ht="17.100000000000001" customHeight="1">
      <c r="A3334" s="1316" t="s">
        <v>628</v>
      </c>
      <c r="B3334" s="1317"/>
      <c r="C3334" s="1321" t="s">
        <v>2330</v>
      </c>
      <c r="D3334" s="1317"/>
      <c r="E3334" s="686">
        <v>1.2999999999999999E-3</v>
      </c>
      <c r="F3334" s="676" t="s">
        <v>366</v>
      </c>
      <c r="G3334" s="670"/>
      <c r="H3334" s="670"/>
      <c r="I3334" s="670">
        <f>[53]노임단가!$T$6</f>
        <v>226122</v>
      </c>
      <c r="J3334" s="670">
        <f t="shared" ref="J3334:J3339" si="789">INT(E3334*I3334)</f>
        <v>293</v>
      </c>
      <c r="K3334" s="670"/>
      <c r="L3334" s="670"/>
      <c r="M3334" s="670">
        <f t="shared" si="788"/>
        <v>226122</v>
      </c>
      <c r="N3334" s="670">
        <f t="shared" si="788"/>
        <v>293</v>
      </c>
      <c r="O3334" s="671"/>
      <c r="P3334" s="672" t="s">
        <v>2314</v>
      </c>
      <c r="Q3334" s="849" t="s">
        <v>2311</v>
      </c>
      <c r="R3334" s="845" t="s">
        <v>2324</v>
      </c>
      <c r="S3334" s="851">
        <f>600*0.5</f>
        <v>300</v>
      </c>
      <c r="T3334" s="846"/>
      <c r="U3334" s="846" t="s">
        <v>2308</v>
      </c>
      <c r="V3334" s="846"/>
    </row>
    <row r="3335" spans="1:22" s="848" customFormat="1" ht="17.100000000000001" customHeight="1">
      <c r="A3335" s="1316" t="s">
        <v>248</v>
      </c>
      <c r="B3335" s="1317"/>
      <c r="C3335" s="1321" t="s">
        <v>2330</v>
      </c>
      <c r="D3335" s="1317"/>
      <c r="E3335" s="686">
        <v>1.2999999999999999E-3</v>
      </c>
      <c r="F3335" s="676" t="s">
        <v>366</v>
      </c>
      <c r="G3335" s="670"/>
      <c r="H3335" s="670"/>
      <c r="I3335" s="670">
        <f>[53]노임단가!$T$5</f>
        <v>172068</v>
      </c>
      <c r="J3335" s="670">
        <f t="shared" si="789"/>
        <v>223</v>
      </c>
      <c r="K3335" s="670"/>
      <c r="L3335" s="670"/>
      <c r="M3335" s="670">
        <f t="shared" si="788"/>
        <v>172068</v>
      </c>
      <c r="N3335" s="670">
        <f t="shared" si="788"/>
        <v>223</v>
      </c>
      <c r="O3335" s="671"/>
      <c r="P3335" s="672" t="s">
        <v>2316</v>
      </c>
      <c r="Q3335" s="849" t="s">
        <v>2311</v>
      </c>
      <c r="R3335" s="845" t="s">
        <v>2317</v>
      </c>
      <c r="S3335" s="846">
        <f>S3334</f>
        <v>300</v>
      </c>
      <c r="T3335" s="846"/>
      <c r="U3335" s="851" t="s">
        <v>2318</v>
      </c>
      <c r="V3335" s="851"/>
    </row>
    <row r="3336" spans="1:22" s="848" customFormat="1" ht="17.100000000000001" customHeight="1">
      <c r="A3336" s="1316" t="s">
        <v>628</v>
      </c>
      <c r="B3336" s="1317"/>
      <c r="C3336" s="1321" t="s">
        <v>2343</v>
      </c>
      <c r="D3336" s="1317"/>
      <c r="E3336" s="686">
        <v>1.2999999999999999E-3</v>
      </c>
      <c r="F3336" s="676" t="s">
        <v>366</v>
      </c>
      <c r="G3336" s="670"/>
      <c r="H3336" s="670"/>
      <c r="I3336" s="670">
        <f>[53]노임단가!$T$6</f>
        <v>226122</v>
      </c>
      <c r="J3336" s="670">
        <f t="shared" si="789"/>
        <v>293</v>
      </c>
      <c r="K3336" s="670"/>
      <c r="L3336" s="670"/>
      <c r="M3336" s="670">
        <f t="shared" si="788"/>
        <v>226122</v>
      </c>
      <c r="N3336" s="670">
        <f t="shared" si="788"/>
        <v>293</v>
      </c>
      <c r="O3336" s="671"/>
      <c r="P3336" s="672"/>
      <c r="Q3336" s="849" t="s">
        <v>2311</v>
      </c>
      <c r="R3336" s="845"/>
      <c r="S3336" s="845"/>
      <c r="T3336" s="845" t="s">
        <v>2320</v>
      </c>
      <c r="U3336" s="846" t="s">
        <v>2321</v>
      </c>
      <c r="V3336" s="846"/>
    </row>
    <row r="3337" spans="1:22" s="848" customFormat="1" ht="17.100000000000001" customHeight="1">
      <c r="A3337" s="1316" t="s">
        <v>248</v>
      </c>
      <c r="B3337" s="1317"/>
      <c r="C3337" s="1321" t="s">
        <v>2343</v>
      </c>
      <c r="D3337" s="1317"/>
      <c r="E3337" s="686">
        <v>1.2999999999999999E-3</v>
      </c>
      <c r="F3337" s="676" t="s">
        <v>366</v>
      </c>
      <c r="G3337" s="670"/>
      <c r="H3337" s="670"/>
      <c r="I3337" s="670">
        <f>[53]노임단가!$T$5</f>
        <v>172068</v>
      </c>
      <c r="J3337" s="670">
        <f t="shared" si="789"/>
        <v>223</v>
      </c>
      <c r="K3337" s="670"/>
      <c r="L3337" s="670"/>
      <c r="M3337" s="670">
        <f t="shared" si="788"/>
        <v>172068</v>
      </c>
      <c r="N3337" s="670">
        <f t="shared" si="788"/>
        <v>223</v>
      </c>
      <c r="O3337" s="671"/>
      <c r="P3337" s="852"/>
      <c r="Q3337" s="849" t="s">
        <v>2311</v>
      </c>
      <c r="R3337" s="845" t="e">
        <f>TRUNC(2/$Y3337,5)</f>
        <v>#DIV/0!</v>
      </c>
      <c r="S3337" s="845"/>
      <c r="T3337" s="845"/>
      <c r="U3337" s="845"/>
      <c r="V3337" s="845"/>
    </row>
    <row r="3338" spans="1:22" s="848" customFormat="1" ht="17.100000000000001" customHeight="1">
      <c r="A3338" s="1316" t="s">
        <v>1161</v>
      </c>
      <c r="B3338" s="1317"/>
      <c r="C3338" s="1316" t="s">
        <v>2345</v>
      </c>
      <c r="D3338" s="1317"/>
      <c r="E3338" s="686">
        <v>5.3E-3</v>
      </c>
      <c r="F3338" s="676" t="s">
        <v>418</v>
      </c>
      <c r="G3338" s="670" t="e">
        <f>#REF!</f>
        <v>#REF!</v>
      </c>
      <c r="H3338" s="670" t="e">
        <f>INT(E3338*G3338)</f>
        <v>#REF!</v>
      </c>
      <c r="I3338" s="670" t="e">
        <f>#REF!</f>
        <v>#REF!</v>
      </c>
      <c r="J3338" s="670" t="e">
        <f t="shared" si="789"/>
        <v>#REF!</v>
      </c>
      <c r="K3338" s="670" t="e">
        <f>#REF!</f>
        <v>#REF!</v>
      </c>
      <c r="L3338" s="670" t="e">
        <f>INT(E3338*K3338)</f>
        <v>#REF!</v>
      </c>
      <c r="M3338" s="670" t="e">
        <f t="shared" si="788"/>
        <v>#REF!</v>
      </c>
      <c r="N3338" s="670" t="e">
        <f t="shared" si="788"/>
        <v>#REF!</v>
      </c>
      <c r="O3338" s="671"/>
      <c r="P3338" s="852"/>
      <c r="Q3338" s="849" t="s">
        <v>2311</v>
      </c>
      <c r="R3338" s="845" t="e">
        <f>TRUNC(2/$Y3337,5)</f>
        <v>#DIV/0!</v>
      </c>
      <c r="S3338" s="845"/>
      <c r="T3338" s="845"/>
      <c r="U3338" s="845"/>
      <c r="V3338" s="845"/>
    </row>
    <row r="3339" spans="1:22" s="848" customFormat="1" ht="17.100000000000001" customHeight="1">
      <c r="A3339" s="1316" t="s">
        <v>1161</v>
      </c>
      <c r="B3339" s="1317"/>
      <c r="C3339" s="1316" t="s">
        <v>1154</v>
      </c>
      <c r="D3339" s="1317"/>
      <c r="E3339" s="686">
        <v>5.3E-3</v>
      </c>
      <c r="F3339" s="676" t="s">
        <v>418</v>
      </c>
      <c r="G3339" s="670" t="e">
        <f>#REF!</f>
        <v>#REF!</v>
      </c>
      <c r="H3339" s="670" t="e">
        <f>INT(E3339*G3339)</f>
        <v>#REF!</v>
      </c>
      <c r="I3339" s="670" t="e">
        <f>#REF!</f>
        <v>#REF!</v>
      </c>
      <c r="J3339" s="670" t="e">
        <f t="shared" si="789"/>
        <v>#REF!</v>
      </c>
      <c r="K3339" s="670" t="e">
        <f>#REF!</f>
        <v>#REF!</v>
      </c>
      <c r="L3339" s="670" t="e">
        <f>INT(E3339*K3339)</f>
        <v>#REF!</v>
      </c>
      <c r="M3339" s="670" t="e">
        <f t="shared" si="788"/>
        <v>#REF!</v>
      </c>
      <c r="N3339" s="670" t="e">
        <f t="shared" si="788"/>
        <v>#REF!</v>
      </c>
      <c r="O3339" s="671"/>
      <c r="P3339" s="852"/>
      <c r="Q3339" s="849" t="s">
        <v>2311</v>
      </c>
      <c r="R3339" s="845" t="e">
        <f>TRUNC(2/$Y3337,5)</f>
        <v>#DIV/0!</v>
      </c>
    </row>
    <row r="3340" spans="1:22" s="848" customFormat="1" ht="17.100000000000001" customHeight="1">
      <c r="A3340" s="1316" t="s">
        <v>2346</v>
      </c>
      <c r="B3340" s="1317"/>
      <c r="C3340" s="1321" t="s">
        <v>1451</v>
      </c>
      <c r="D3340" s="1317"/>
      <c r="E3340" s="686">
        <v>0.03</v>
      </c>
      <c r="F3340" s="676" t="s">
        <v>672</v>
      </c>
      <c r="G3340" s="670"/>
      <c r="H3340" s="670">
        <f>INT(E3340*G3340)</f>
        <v>0</v>
      </c>
      <c r="I3340" s="670"/>
      <c r="J3340" s="670"/>
      <c r="K3340" s="670">
        <f>J3334+J3335</f>
        <v>516</v>
      </c>
      <c r="L3340" s="670">
        <f>INT(E3340*K3340)</f>
        <v>15</v>
      </c>
      <c r="M3340" s="670">
        <f t="shared" si="788"/>
        <v>516</v>
      </c>
      <c r="N3340" s="670">
        <f t="shared" si="788"/>
        <v>15</v>
      </c>
      <c r="O3340" s="671"/>
      <c r="P3340" s="852"/>
      <c r="Q3340" s="849" t="s">
        <v>2311</v>
      </c>
      <c r="R3340" s="850"/>
      <c r="S3340" s="850"/>
      <c r="T3340" s="850"/>
      <c r="U3340" s="850"/>
      <c r="V3340" s="850"/>
    </row>
    <row r="3341" spans="1:22" s="848" customFormat="1" ht="17.100000000000001" customHeight="1">
      <c r="A3341" s="1316" t="s">
        <v>1328</v>
      </c>
      <c r="B3341" s="1317"/>
      <c r="C3341" s="1321" t="s">
        <v>2347</v>
      </c>
      <c r="D3341" s="1317"/>
      <c r="E3341" s="686">
        <v>0.01</v>
      </c>
      <c r="F3341" s="676" t="s">
        <v>672</v>
      </c>
      <c r="G3341" s="670" t="e">
        <f>SUM(H3332:H3333)</f>
        <v>#REF!</v>
      </c>
      <c r="H3341" s="670" t="e">
        <f>INT(E3341*G3341)</f>
        <v>#REF!</v>
      </c>
      <c r="I3341" s="670"/>
      <c r="J3341" s="670"/>
      <c r="K3341" s="670"/>
      <c r="L3341" s="670"/>
      <c r="M3341" s="670" t="e">
        <f>G3341+I3341+K3341</f>
        <v>#REF!</v>
      </c>
      <c r="N3341" s="670" t="e">
        <f>H3341+J3341+L3341</f>
        <v>#REF!</v>
      </c>
      <c r="O3341" s="671"/>
      <c r="P3341" s="852"/>
      <c r="Q3341" s="849" t="s">
        <v>2311</v>
      </c>
      <c r="R3341" s="850"/>
      <c r="S3341" s="850"/>
      <c r="T3341" s="850"/>
      <c r="U3341" s="850"/>
      <c r="V3341" s="850"/>
    </row>
    <row r="3342" spans="1:22" s="848" customFormat="1" ht="17.100000000000001" customHeight="1">
      <c r="A3342" s="1318" t="s">
        <v>1320</v>
      </c>
      <c r="B3342" s="1319"/>
      <c r="C3342" s="1316"/>
      <c r="D3342" s="1317"/>
      <c r="E3342" s="686"/>
      <c r="F3342" s="676"/>
      <c r="G3342" s="670"/>
      <c r="H3342" s="670" t="e">
        <f>SUM(H3333:H3341)</f>
        <v>#REF!</v>
      </c>
      <c r="I3342" s="670"/>
      <c r="J3342" s="670" t="e">
        <f>SUM(J3333:J3341)</f>
        <v>#REF!</v>
      </c>
      <c r="K3342" s="670"/>
      <c r="L3342" s="670" t="e">
        <f>SUM(L3333:L3341)</f>
        <v>#REF!</v>
      </c>
      <c r="M3342" s="670"/>
      <c r="N3342" s="670" t="e">
        <f>SUM(N3333:N3341)</f>
        <v>#REF!</v>
      </c>
      <c r="O3342" s="671"/>
      <c r="P3342" s="852"/>
      <c r="Q3342" s="849" t="s">
        <v>2311</v>
      </c>
      <c r="R3342" s="850"/>
      <c r="S3342" s="850"/>
      <c r="T3342" s="850"/>
      <c r="U3342" s="850"/>
      <c r="V3342" s="850"/>
    </row>
    <row r="3343" spans="1:22" s="848" customFormat="1" ht="17.100000000000001" customHeight="1">
      <c r="A3343" s="668">
        <f>A3331+1</f>
        <v>456</v>
      </c>
      <c r="B3343" s="1320" t="s">
        <v>2348</v>
      </c>
      <c r="C3343" s="1320"/>
      <c r="D3343" s="1320" t="s">
        <v>2352</v>
      </c>
      <c r="E3343" s="1320"/>
      <c r="F3343" s="669" t="s">
        <v>272</v>
      </c>
      <c r="G3343" s="698"/>
      <c r="H3343" s="698"/>
      <c r="I3343" s="698"/>
      <c r="J3343" s="698"/>
      <c r="K3343" s="670"/>
      <c r="L3343" s="670"/>
      <c r="M3343" s="670"/>
      <c r="N3343" s="698"/>
      <c r="O3343" s="699"/>
      <c r="P3343" s="852"/>
      <c r="Q3343" s="849" t="s">
        <v>2311</v>
      </c>
      <c r="R3343" s="845" t="s">
        <v>2353</v>
      </c>
      <c r="S3343" s="851">
        <f>600*0.38</f>
        <v>228</v>
      </c>
      <c r="T3343" s="850"/>
      <c r="U3343" s="850"/>
      <c r="V3343" s="850"/>
    </row>
    <row r="3344" spans="1:22" s="848" customFormat="1" ht="17.100000000000001" customHeight="1">
      <c r="A3344" s="1316" t="s">
        <v>2338</v>
      </c>
      <c r="B3344" s="1317"/>
      <c r="C3344" s="1316" t="s">
        <v>2354</v>
      </c>
      <c r="D3344" s="1317"/>
      <c r="E3344" s="683">
        <v>6.3E-2</v>
      </c>
      <c r="F3344" s="676" t="s">
        <v>801</v>
      </c>
      <c r="G3344" s="670" t="e">
        <f>#REF!</f>
        <v>#REF!</v>
      </c>
      <c r="H3344" s="670" t="e">
        <f>INT(E3344*G3344)</f>
        <v>#REF!</v>
      </c>
      <c r="I3344" s="670"/>
      <c r="J3344" s="670"/>
      <c r="K3344" s="670"/>
      <c r="L3344" s="670"/>
      <c r="M3344" s="670" t="e">
        <f t="shared" ref="M3344:N3352" si="790">G3344+I3344+K3344</f>
        <v>#REF!</v>
      </c>
      <c r="N3344" s="670" t="e">
        <f t="shared" si="790"/>
        <v>#REF!</v>
      </c>
      <c r="O3344" s="671" t="s">
        <v>2340</v>
      </c>
      <c r="P3344" s="672" t="s">
        <v>2314</v>
      </c>
      <c r="Q3344" s="849" t="s">
        <v>2311</v>
      </c>
      <c r="R3344" s="845" t="s">
        <v>2317</v>
      </c>
      <c r="S3344" s="846">
        <f>S3343</f>
        <v>228</v>
      </c>
      <c r="T3344" s="846"/>
      <c r="U3344" s="851" t="s">
        <v>2332</v>
      </c>
      <c r="V3344" s="851"/>
    </row>
    <row r="3345" spans="1:22" s="848" customFormat="1" ht="17.100000000000001" customHeight="1">
      <c r="A3345" s="1316" t="s">
        <v>941</v>
      </c>
      <c r="B3345" s="1317"/>
      <c r="C3345" s="1316" t="s">
        <v>2342</v>
      </c>
      <c r="D3345" s="1317"/>
      <c r="E3345" s="683">
        <v>4.65E-2</v>
      </c>
      <c r="F3345" s="676" t="s">
        <v>835</v>
      </c>
      <c r="G3345" s="670" t="e">
        <f>#REF!</f>
        <v>#REF!</v>
      </c>
      <c r="H3345" s="670" t="e">
        <f>INT(E3345*G3345)</f>
        <v>#REF!</v>
      </c>
      <c r="I3345" s="670"/>
      <c r="J3345" s="670"/>
      <c r="K3345" s="670"/>
      <c r="L3345" s="670"/>
      <c r="M3345" s="670" t="e">
        <f t="shared" si="790"/>
        <v>#REF!</v>
      </c>
      <c r="N3345" s="670" t="e">
        <f t="shared" si="790"/>
        <v>#REF!</v>
      </c>
      <c r="O3345" s="671"/>
      <c r="P3345" s="672" t="s">
        <v>2316</v>
      </c>
      <c r="Q3345" s="849" t="s">
        <v>2311</v>
      </c>
      <c r="R3345" s="845" t="s">
        <v>2317</v>
      </c>
      <c r="S3345" s="846">
        <f>S3344</f>
        <v>228</v>
      </c>
      <c r="T3345" s="846"/>
      <c r="U3345" s="851" t="s">
        <v>2318</v>
      </c>
      <c r="V3345" s="851"/>
    </row>
    <row r="3346" spans="1:22" s="848" customFormat="1" ht="17.100000000000001" customHeight="1">
      <c r="A3346" s="1316" t="s">
        <v>628</v>
      </c>
      <c r="B3346" s="1317"/>
      <c r="C3346" s="1321" t="s">
        <v>2330</v>
      </c>
      <c r="D3346" s="1317"/>
      <c r="E3346" s="686">
        <v>2.8E-3</v>
      </c>
      <c r="F3346" s="676" t="s">
        <v>366</v>
      </c>
      <c r="G3346" s="670"/>
      <c r="H3346" s="670"/>
      <c r="I3346" s="670">
        <f>[53]노임단가!$T$6</f>
        <v>226122</v>
      </c>
      <c r="J3346" s="670">
        <f t="shared" ref="J3346:J3351" si="791">INT(E3346*I3346)</f>
        <v>633</v>
      </c>
      <c r="K3346" s="670"/>
      <c r="L3346" s="670"/>
      <c r="M3346" s="670">
        <f t="shared" si="790"/>
        <v>226122</v>
      </c>
      <c r="N3346" s="670">
        <f t="shared" si="790"/>
        <v>633</v>
      </c>
      <c r="O3346" s="671"/>
      <c r="P3346" s="852"/>
      <c r="Q3346" s="849" t="s">
        <v>2311</v>
      </c>
      <c r="R3346" s="845" t="e">
        <f>TRUNC(2/$Y3347,5)</f>
        <v>#DIV/0!</v>
      </c>
      <c r="S3346" s="845"/>
      <c r="T3346" s="845"/>
      <c r="U3346" s="845"/>
      <c r="V3346" s="845"/>
    </row>
    <row r="3347" spans="1:22" s="848" customFormat="1" ht="17.100000000000001" customHeight="1">
      <c r="A3347" s="1316" t="s">
        <v>248</v>
      </c>
      <c r="B3347" s="1317"/>
      <c r="C3347" s="1321" t="s">
        <v>2330</v>
      </c>
      <c r="D3347" s="1317"/>
      <c r="E3347" s="686">
        <v>2.8E-3</v>
      </c>
      <c r="F3347" s="676" t="s">
        <v>366</v>
      </c>
      <c r="G3347" s="670"/>
      <c r="H3347" s="670"/>
      <c r="I3347" s="670">
        <f>[53]노임단가!$T$5</f>
        <v>172068</v>
      </c>
      <c r="J3347" s="670">
        <f t="shared" si="791"/>
        <v>481</v>
      </c>
      <c r="K3347" s="670"/>
      <c r="L3347" s="670"/>
      <c r="M3347" s="670">
        <f t="shared" si="790"/>
        <v>172068</v>
      </c>
      <c r="N3347" s="670">
        <f t="shared" si="790"/>
        <v>481</v>
      </c>
      <c r="O3347" s="671"/>
      <c r="P3347" s="852"/>
      <c r="Q3347" s="849" t="s">
        <v>2311</v>
      </c>
      <c r="R3347" s="845" t="e">
        <f>TRUNC(2/$Y3347,5)</f>
        <v>#DIV/0!</v>
      </c>
      <c r="S3347" s="845"/>
      <c r="T3347" s="845"/>
      <c r="U3347" s="845"/>
      <c r="V3347" s="845"/>
    </row>
    <row r="3348" spans="1:22" s="848" customFormat="1" ht="17.100000000000001" customHeight="1">
      <c r="A3348" s="1316" t="s">
        <v>628</v>
      </c>
      <c r="B3348" s="1317"/>
      <c r="C3348" s="1321" t="s">
        <v>2343</v>
      </c>
      <c r="D3348" s="1317"/>
      <c r="E3348" s="686">
        <v>2.8E-3</v>
      </c>
      <c r="F3348" s="676" t="s">
        <v>366</v>
      </c>
      <c r="G3348" s="670"/>
      <c r="H3348" s="670"/>
      <c r="I3348" s="670">
        <f>[53]노임단가!$T$6</f>
        <v>226122</v>
      </c>
      <c r="J3348" s="670">
        <f t="shared" si="791"/>
        <v>633</v>
      </c>
      <c r="K3348" s="670"/>
      <c r="L3348" s="670"/>
      <c r="M3348" s="670">
        <f t="shared" si="790"/>
        <v>226122</v>
      </c>
      <c r="N3348" s="670">
        <f t="shared" si="790"/>
        <v>633</v>
      </c>
      <c r="O3348" s="671"/>
      <c r="P3348" s="852"/>
      <c r="Q3348" s="849" t="s">
        <v>2311</v>
      </c>
      <c r="R3348" s="845" t="e">
        <f>TRUNC(2/$Y3347,5)</f>
        <v>#DIV/0!</v>
      </c>
    </row>
    <row r="3349" spans="1:22" s="848" customFormat="1" ht="17.100000000000001" customHeight="1">
      <c r="A3349" s="1316" t="s">
        <v>248</v>
      </c>
      <c r="B3349" s="1317"/>
      <c r="C3349" s="1321" t="s">
        <v>2343</v>
      </c>
      <c r="D3349" s="1317"/>
      <c r="E3349" s="686">
        <v>2.8E-3</v>
      </c>
      <c r="F3349" s="676" t="s">
        <v>366</v>
      </c>
      <c r="G3349" s="670"/>
      <c r="H3349" s="670"/>
      <c r="I3349" s="670">
        <f>[53]노임단가!$T$5</f>
        <v>172068</v>
      </c>
      <c r="J3349" s="670">
        <f t="shared" si="791"/>
        <v>481</v>
      </c>
      <c r="K3349" s="670"/>
      <c r="L3349" s="670"/>
      <c r="M3349" s="670">
        <f t="shared" si="790"/>
        <v>172068</v>
      </c>
      <c r="N3349" s="670">
        <f t="shared" si="790"/>
        <v>481</v>
      </c>
      <c r="O3349" s="671"/>
      <c r="P3349" s="852"/>
      <c r="Q3349" s="849" t="s">
        <v>2311</v>
      </c>
      <c r="R3349" s="850"/>
      <c r="S3349" s="850"/>
      <c r="T3349" s="850"/>
      <c r="U3349" s="850"/>
      <c r="V3349" s="850"/>
    </row>
    <row r="3350" spans="1:22" s="848" customFormat="1" ht="17.100000000000001" customHeight="1">
      <c r="A3350" s="1316" t="s">
        <v>1161</v>
      </c>
      <c r="B3350" s="1317"/>
      <c r="C3350" s="1316" t="s">
        <v>2345</v>
      </c>
      <c r="D3350" s="1317"/>
      <c r="E3350" s="686">
        <v>1.11E-2</v>
      </c>
      <c r="F3350" s="676" t="s">
        <v>418</v>
      </c>
      <c r="G3350" s="670" t="e">
        <f>#REF!</f>
        <v>#REF!</v>
      </c>
      <c r="H3350" s="670" t="e">
        <f>INT(E3350*G3350)</f>
        <v>#REF!</v>
      </c>
      <c r="I3350" s="670" t="e">
        <f>#REF!</f>
        <v>#REF!</v>
      </c>
      <c r="J3350" s="670" t="e">
        <f t="shared" si="791"/>
        <v>#REF!</v>
      </c>
      <c r="K3350" s="670" t="e">
        <f>#REF!</f>
        <v>#REF!</v>
      </c>
      <c r="L3350" s="670" t="e">
        <f>INT(E3350*K3350)</f>
        <v>#REF!</v>
      </c>
      <c r="M3350" s="670" t="e">
        <f t="shared" si="790"/>
        <v>#REF!</v>
      </c>
      <c r="N3350" s="670" t="e">
        <f t="shared" si="790"/>
        <v>#REF!</v>
      </c>
      <c r="O3350" s="671"/>
      <c r="P3350" s="852"/>
      <c r="Q3350" s="849" t="s">
        <v>2311</v>
      </c>
      <c r="R3350" s="850"/>
      <c r="S3350" s="850"/>
      <c r="T3350" s="850"/>
      <c r="U3350" s="850"/>
      <c r="V3350" s="850"/>
    </row>
    <row r="3351" spans="1:22" s="848" customFormat="1" ht="17.100000000000001" customHeight="1">
      <c r="A3351" s="1316" t="s">
        <v>1161</v>
      </c>
      <c r="B3351" s="1317"/>
      <c r="C3351" s="1316" t="s">
        <v>1154</v>
      </c>
      <c r="D3351" s="1317"/>
      <c r="E3351" s="686">
        <v>1.11E-2</v>
      </c>
      <c r="F3351" s="676" t="s">
        <v>418</v>
      </c>
      <c r="G3351" s="670" t="e">
        <f>#REF!</f>
        <v>#REF!</v>
      </c>
      <c r="H3351" s="670" t="e">
        <f>INT(E3351*G3351)</f>
        <v>#REF!</v>
      </c>
      <c r="I3351" s="670" t="e">
        <f>#REF!</f>
        <v>#REF!</v>
      </c>
      <c r="J3351" s="670" t="e">
        <f t="shared" si="791"/>
        <v>#REF!</v>
      </c>
      <c r="K3351" s="670" t="e">
        <f>#REF!</f>
        <v>#REF!</v>
      </c>
      <c r="L3351" s="670" t="e">
        <f>INT(E3351*K3351)</f>
        <v>#REF!</v>
      </c>
      <c r="M3351" s="670" t="e">
        <f t="shared" si="790"/>
        <v>#REF!</v>
      </c>
      <c r="N3351" s="670" t="e">
        <f t="shared" si="790"/>
        <v>#REF!</v>
      </c>
      <c r="O3351" s="671"/>
      <c r="P3351" s="852"/>
      <c r="Q3351" s="849" t="s">
        <v>2311</v>
      </c>
      <c r="R3351" s="850"/>
      <c r="S3351" s="850"/>
      <c r="T3351" s="850"/>
      <c r="U3351" s="850"/>
      <c r="V3351" s="850"/>
    </row>
    <row r="3352" spans="1:22" s="848" customFormat="1" ht="17.100000000000001" customHeight="1">
      <c r="A3352" s="1316" t="s">
        <v>2346</v>
      </c>
      <c r="B3352" s="1317"/>
      <c r="C3352" s="1321" t="s">
        <v>1451</v>
      </c>
      <c r="D3352" s="1317"/>
      <c r="E3352" s="686">
        <v>0.03</v>
      </c>
      <c r="F3352" s="676" t="s">
        <v>672</v>
      </c>
      <c r="G3352" s="670"/>
      <c r="H3352" s="670">
        <f>INT(E3352*G3352)</f>
        <v>0</v>
      </c>
      <c r="I3352" s="670"/>
      <c r="J3352" s="670"/>
      <c r="K3352" s="670">
        <f>J3346+J3347</f>
        <v>1114</v>
      </c>
      <c r="L3352" s="670">
        <f>INT(E3352*K3352)</f>
        <v>33</v>
      </c>
      <c r="M3352" s="670">
        <f t="shared" si="790"/>
        <v>1114</v>
      </c>
      <c r="N3352" s="670">
        <f t="shared" si="790"/>
        <v>33</v>
      </c>
      <c r="O3352" s="671"/>
      <c r="P3352" s="852"/>
      <c r="Q3352" s="849" t="s">
        <v>2311</v>
      </c>
      <c r="R3352" s="850"/>
      <c r="S3352" s="850"/>
      <c r="T3352" s="850"/>
      <c r="U3352" s="850"/>
      <c r="V3352" s="850"/>
    </row>
    <row r="3353" spans="1:22" s="848" customFormat="1" ht="17.100000000000001" customHeight="1">
      <c r="A3353" s="1316" t="s">
        <v>1328</v>
      </c>
      <c r="B3353" s="1317"/>
      <c r="C3353" s="1321" t="s">
        <v>2347</v>
      </c>
      <c r="D3353" s="1317"/>
      <c r="E3353" s="686">
        <v>0.01</v>
      </c>
      <c r="F3353" s="676" t="s">
        <v>672</v>
      </c>
      <c r="G3353" s="670" t="e">
        <f>SUM(H3344:H3345)</f>
        <v>#REF!</v>
      </c>
      <c r="H3353" s="670" t="e">
        <f>INT(E3353*G3353)</f>
        <v>#REF!</v>
      </c>
      <c r="I3353" s="670"/>
      <c r="J3353" s="670"/>
      <c r="K3353" s="670"/>
      <c r="L3353" s="670"/>
      <c r="M3353" s="670" t="e">
        <f>G3353+I3353+K3353</f>
        <v>#REF!</v>
      </c>
      <c r="N3353" s="670" t="e">
        <f>H3353+J3353+L3353</f>
        <v>#REF!</v>
      </c>
      <c r="O3353" s="671"/>
      <c r="P3353" s="672" t="s">
        <v>2314</v>
      </c>
      <c r="Q3353" s="849" t="s">
        <v>2311</v>
      </c>
      <c r="R3353" s="845" t="s">
        <v>2344</v>
      </c>
      <c r="S3353" s="851">
        <f>600*0.18</f>
        <v>108</v>
      </c>
      <c r="T3353" s="846"/>
      <c r="U3353" s="846" t="s">
        <v>2308</v>
      </c>
      <c r="V3353" s="846"/>
    </row>
    <row r="3354" spans="1:22" s="848" customFormat="1" ht="17.100000000000001" customHeight="1">
      <c r="A3354" s="1318" t="s">
        <v>1320</v>
      </c>
      <c r="B3354" s="1319"/>
      <c r="C3354" s="1316"/>
      <c r="D3354" s="1317"/>
      <c r="E3354" s="686"/>
      <c r="F3354" s="676"/>
      <c r="G3354" s="670"/>
      <c r="H3354" s="670" t="e">
        <f>SUM(H3345:H3353)</f>
        <v>#REF!</v>
      </c>
      <c r="I3354" s="670"/>
      <c r="J3354" s="670" t="e">
        <f>SUM(J3346:J3353)</f>
        <v>#REF!</v>
      </c>
      <c r="K3354" s="670"/>
      <c r="L3354" s="670" t="e">
        <f>SUM(L3346:L3353)</f>
        <v>#REF!</v>
      </c>
      <c r="M3354" s="670"/>
      <c r="N3354" s="670" t="e">
        <f>SUM(N3345:N3353)</f>
        <v>#REF!</v>
      </c>
      <c r="O3354" s="671"/>
      <c r="P3354" s="672" t="s">
        <v>2316</v>
      </c>
      <c r="Q3354" s="849" t="s">
        <v>2311</v>
      </c>
      <c r="R3354" s="845" t="s">
        <v>2317</v>
      </c>
      <c r="S3354" s="846">
        <f>S3353</f>
        <v>108</v>
      </c>
      <c r="T3354" s="846"/>
      <c r="U3354" s="851" t="s">
        <v>2318</v>
      </c>
      <c r="V3354" s="851"/>
    </row>
    <row r="3355" spans="1:22" s="848" customFormat="1" ht="17.100000000000001" customHeight="1">
      <c r="A3355" s="668">
        <f>A3343+1</f>
        <v>457</v>
      </c>
      <c r="B3355" s="1320" t="s">
        <v>2348</v>
      </c>
      <c r="C3355" s="1320"/>
      <c r="D3355" s="1320" t="s">
        <v>2355</v>
      </c>
      <c r="E3355" s="1320"/>
      <c r="F3355" s="669" t="s">
        <v>272</v>
      </c>
      <c r="G3355" s="698"/>
      <c r="H3355" s="698"/>
      <c r="I3355" s="698"/>
      <c r="J3355" s="698"/>
      <c r="K3355" s="670"/>
      <c r="L3355" s="670"/>
      <c r="M3355" s="670"/>
      <c r="N3355" s="698"/>
      <c r="O3355" s="699"/>
      <c r="P3355" s="852"/>
      <c r="Q3355" s="849" t="s">
        <v>2311</v>
      </c>
      <c r="R3355" s="845" t="e">
        <f>TRUNC(2/$Y3356,5)</f>
        <v>#DIV/0!</v>
      </c>
      <c r="S3355" s="845"/>
      <c r="T3355" s="845"/>
      <c r="U3355" s="845"/>
      <c r="V3355" s="845"/>
    </row>
    <row r="3356" spans="1:22" s="848" customFormat="1" ht="17.100000000000001" customHeight="1">
      <c r="A3356" s="1316" t="s">
        <v>2338</v>
      </c>
      <c r="B3356" s="1317"/>
      <c r="C3356" s="1316" t="s">
        <v>2339</v>
      </c>
      <c r="D3356" s="1317"/>
      <c r="E3356" s="683">
        <v>6.3E-2</v>
      </c>
      <c r="F3356" s="676" t="s">
        <v>801</v>
      </c>
      <c r="G3356" s="670" t="e">
        <f>#REF!</f>
        <v>#REF!</v>
      </c>
      <c r="H3356" s="670" t="e">
        <f>INT(E3356*G3356)</f>
        <v>#REF!</v>
      </c>
      <c r="I3356" s="670"/>
      <c r="J3356" s="670"/>
      <c r="K3356" s="670"/>
      <c r="L3356" s="670"/>
      <c r="M3356" s="670" t="e">
        <f t="shared" ref="M3356:N3363" si="792">G3356+I3356+K3356</f>
        <v>#REF!</v>
      </c>
      <c r="N3356" s="670" t="e">
        <f t="shared" si="792"/>
        <v>#REF!</v>
      </c>
      <c r="O3356" s="671" t="s">
        <v>2340</v>
      </c>
      <c r="P3356" s="852"/>
      <c r="Q3356" s="849" t="s">
        <v>2311</v>
      </c>
      <c r="R3356" s="845" t="e">
        <f>TRUNC(2/$Y3356,5)</f>
        <v>#DIV/0!</v>
      </c>
      <c r="S3356" s="845"/>
      <c r="T3356" s="845"/>
      <c r="U3356" s="845"/>
      <c r="V3356" s="845"/>
    </row>
    <row r="3357" spans="1:22" s="848" customFormat="1" ht="17.100000000000001" customHeight="1">
      <c r="A3357" s="1316" t="s">
        <v>2338</v>
      </c>
      <c r="B3357" s="1317"/>
      <c r="C3357" s="1316" t="s">
        <v>2341</v>
      </c>
      <c r="D3357" s="1317"/>
      <c r="E3357" s="683">
        <v>6.3E-2</v>
      </c>
      <c r="F3357" s="676" t="s">
        <v>801</v>
      </c>
      <c r="G3357" s="670" t="e">
        <f>#REF!</f>
        <v>#REF!</v>
      </c>
      <c r="H3357" s="670" t="e">
        <f>INT(E3357*G3357)</f>
        <v>#REF!</v>
      </c>
      <c r="I3357" s="670"/>
      <c r="J3357" s="670"/>
      <c r="K3357" s="670"/>
      <c r="L3357" s="670"/>
      <c r="M3357" s="670" t="e">
        <f t="shared" si="792"/>
        <v>#REF!</v>
      </c>
      <c r="N3357" s="670" t="e">
        <f t="shared" si="792"/>
        <v>#REF!</v>
      </c>
      <c r="O3357" s="671" t="s">
        <v>2340</v>
      </c>
      <c r="P3357" s="852"/>
      <c r="Q3357" s="849" t="s">
        <v>2311</v>
      </c>
      <c r="R3357" s="845" t="e">
        <f>TRUNC(2/$Y3356,5)</f>
        <v>#DIV/0!</v>
      </c>
    </row>
    <row r="3358" spans="1:22" s="848" customFormat="1" ht="17.100000000000001" customHeight="1">
      <c r="A3358" s="1316" t="s">
        <v>941</v>
      </c>
      <c r="B3358" s="1317"/>
      <c r="C3358" s="1316" t="s">
        <v>2342</v>
      </c>
      <c r="D3358" s="1317"/>
      <c r="E3358" s="686">
        <v>4.65E-2</v>
      </c>
      <c r="F3358" s="676" t="s">
        <v>835</v>
      </c>
      <c r="G3358" s="670" t="e">
        <f>#REF!</f>
        <v>#REF!</v>
      </c>
      <c r="H3358" s="670" t="e">
        <f>INT(E3358*G3358)</f>
        <v>#REF!</v>
      </c>
      <c r="I3358" s="670"/>
      <c r="J3358" s="670"/>
      <c r="K3358" s="670"/>
      <c r="L3358" s="670"/>
      <c r="M3358" s="670" t="e">
        <f t="shared" si="792"/>
        <v>#REF!</v>
      </c>
      <c r="N3358" s="670" t="e">
        <f t="shared" si="792"/>
        <v>#REF!</v>
      </c>
      <c r="O3358" s="671"/>
      <c r="P3358" s="852"/>
      <c r="Q3358" s="849" t="s">
        <v>2311</v>
      </c>
      <c r="R3358" s="850"/>
      <c r="S3358" s="850"/>
      <c r="T3358" s="850"/>
      <c r="U3358" s="850"/>
      <c r="V3358" s="850"/>
    </row>
    <row r="3359" spans="1:22" s="848" customFormat="1" ht="17.100000000000001" customHeight="1">
      <c r="A3359" s="1316" t="s">
        <v>628</v>
      </c>
      <c r="B3359" s="1317"/>
      <c r="C3359" s="1321" t="s">
        <v>2330</v>
      </c>
      <c r="D3359" s="1317"/>
      <c r="E3359" s="686">
        <v>5.0000000000000001E-4</v>
      </c>
      <c r="F3359" s="676" t="s">
        <v>366</v>
      </c>
      <c r="G3359" s="670"/>
      <c r="H3359" s="670"/>
      <c r="I3359" s="670">
        <f>[53]노임단가!$T$6</f>
        <v>226122</v>
      </c>
      <c r="J3359" s="670">
        <f>INT(E3359*I3359)</f>
        <v>113</v>
      </c>
      <c r="K3359" s="670"/>
      <c r="L3359" s="670"/>
      <c r="M3359" s="670">
        <f t="shared" si="792"/>
        <v>226122</v>
      </c>
      <c r="N3359" s="670">
        <f t="shared" si="792"/>
        <v>113</v>
      </c>
      <c r="O3359" s="671"/>
      <c r="P3359" s="852"/>
      <c r="Q3359" s="849" t="s">
        <v>2311</v>
      </c>
      <c r="R3359" s="850"/>
      <c r="S3359" s="850"/>
      <c r="T3359" s="850"/>
      <c r="U3359" s="850"/>
      <c r="V3359" s="850"/>
    </row>
    <row r="3360" spans="1:22" s="688" customFormat="1" ht="17.100000000000001" customHeight="1">
      <c r="A3360" s="1316" t="s">
        <v>248</v>
      </c>
      <c r="B3360" s="1317"/>
      <c r="C3360" s="1321" t="s">
        <v>2330</v>
      </c>
      <c r="D3360" s="1317"/>
      <c r="E3360" s="686">
        <v>5.0000000000000001E-4</v>
      </c>
      <c r="F3360" s="676" t="s">
        <v>366</v>
      </c>
      <c r="G3360" s="670"/>
      <c r="H3360" s="670"/>
      <c r="I3360" s="670">
        <f>[53]노임단가!$T$5</f>
        <v>172068</v>
      </c>
      <c r="J3360" s="670">
        <f>INT(E3360*I3360)</f>
        <v>86</v>
      </c>
      <c r="K3360" s="670"/>
      <c r="L3360" s="670"/>
      <c r="M3360" s="670">
        <f t="shared" si="792"/>
        <v>172068</v>
      </c>
      <c r="N3360" s="670">
        <f t="shared" si="792"/>
        <v>86</v>
      </c>
      <c r="O3360" s="671"/>
      <c r="P3360" s="852"/>
      <c r="Q3360" s="849" t="s">
        <v>2311</v>
      </c>
      <c r="R3360" s="850"/>
      <c r="S3360" s="850"/>
      <c r="T3360" s="850"/>
      <c r="U3360" s="850"/>
      <c r="V3360" s="850"/>
    </row>
    <row r="3361" spans="1:22" s="688" customFormat="1" ht="17.100000000000001" customHeight="1">
      <c r="A3361" s="1316" t="s">
        <v>2333</v>
      </c>
      <c r="B3361" s="1317"/>
      <c r="C3361" s="1316" t="s">
        <v>1154</v>
      </c>
      <c r="D3361" s="1317"/>
      <c r="E3361" s="686">
        <v>2E-3</v>
      </c>
      <c r="F3361" s="676" t="s">
        <v>418</v>
      </c>
      <c r="G3361" s="670" t="e">
        <f>#REF!</f>
        <v>#REF!</v>
      </c>
      <c r="H3361" s="670" t="e">
        <f>INT(E3361*G3361)</f>
        <v>#REF!</v>
      </c>
      <c r="I3361" s="670" t="e">
        <f>#REF!</f>
        <v>#REF!</v>
      </c>
      <c r="J3361" s="670" t="e">
        <f>INT(E3361*I3361)</f>
        <v>#REF!</v>
      </c>
      <c r="K3361" s="670" t="e">
        <f>#REF!</f>
        <v>#REF!</v>
      </c>
      <c r="L3361" s="670" t="e">
        <f>INT(E3361*K3361)</f>
        <v>#REF!</v>
      </c>
      <c r="M3361" s="670" t="e">
        <f t="shared" si="792"/>
        <v>#REF!</v>
      </c>
      <c r="N3361" s="670" t="e">
        <f t="shared" si="792"/>
        <v>#REF!</v>
      </c>
      <c r="O3361" s="671"/>
      <c r="P3361" s="852"/>
      <c r="Q3361" s="828" t="s">
        <v>2311</v>
      </c>
      <c r="R3361" s="850"/>
      <c r="S3361" s="845"/>
      <c r="T3361" s="845"/>
      <c r="U3361" s="845"/>
      <c r="V3361" s="845"/>
    </row>
    <row r="3362" spans="1:22" s="688" customFormat="1" ht="17.100000000000001" customHeight="1">
      <c r="A3362" s="1316" t="s">
        <v>2346</v>
      </c>
      <c r="B3362" s="1317"/>
      <c r="C3362" s="1321" t="s">
        <v>1451</v>
      </c>
      <c r="D3362" s="1317"/>
      <c r="E3362" s="686">
        <v>0.03</v>
      </c>
      <c r="F3362" s="676" t="s">
        <v>672</v>
      </c>
      <c r="G3362" s="670"/>
      <c r="H3362" s="670">
        <f>INT(E3362*G3362)</f>
        <v>0</v>
      </c>
      <c r="I3362" s="670"/>
      <c r="J3362" s="670"/>
      <c r="K3362" s="670">
        <f>J3359+J3360</f>
        <v>199</v>
      </c>
      <c r="L3362" s="670">
        <f>INT(E3362*K3362)</f>
        <v>5</v>
      </c>
      <c r="M3362" s="670">
        <f t="shared" si="792"/>
        <v>199</v>
      </c>
      <c r="N3362" s="670">
        <f t="shared" si="792"/>
        <v>5</v>
      </c>
      <c r="O3362" s="671"/>
      <c r="P3362" s="672" t="s">
        <v>2314</v>
      </c>
      <c r="Q3362" s="828" t="s">
        <v>2311</v>
      </c>
      <c r="R3362" s="845"/>
      <c r="S3362" s="853"/>
      <c r="T3362" s="846"/>
      <c r="U3362" s="846"/>
      <c r="V3362" s="846"/>
    </row>
    <row r="3363" spans="1:22" s="688" customFormat="1" ht="17.100000000000001" customHeight="1">
      <c r="A3363" s="1316" t="s">
        <v>1328</v>
      </c>
      <c r="B3363" s="1317"/>
      <c r="C3363" s="1321" t="s">
        <v>2347</v>
      </c>
      <c r="D3363" s="1317"/>
      <c r="E3363" s="686">
        <v>0.01</v>
      </c>
      <c r="F3363" s="676" t="s">
        <v>672</v>
      </c>
      <c r="G3363" s="670" t="e">
        <f>SUM(H3357:H3358)</f>
        <v>#REF!</v>
      </c>
      <c r="H3363" s="670" t="e">
        <f>INT(E3363*G3363)</f>
        <v>#REF!</v>
      </c>
      <c r="I3363" s="670"/>
      <c r="J3363" s="670"/>
      <c r="K3363" s="670"/>
      <c r="L3363" s="670"/>
      <c r="M3363" s="670" t="e">
        <f t="shared" si="792"/>
        <v>#REF!</v>
      </c>
      <c r="N3363" s="670" t="e">
        <f t="shared" si="792"/>
        <v>#REF!</v>
      </c>
      <c r="O3363" s="671"/>
      <c r="P3363" s="672" t="s">
        <v>2316</v>
      </c>
      <c r="Q3363" s="828" t="s">
        <v>2311</v>
      </c>
      <c r="R3363" s="845"/>
      <c r="S3363" s="846"/>
      <c r="T3363" s="846"/>
      <c r="U3363" s="851"/>
      <c r="V3363" s="851"/>
    </row>
    <row r="3364" spans="1:22" s="688" customFormat="1" ht="17.100000000000001" customHeight="1">
      <c r="A3364" s="1318" t="s">
        <v>1320</v>
      </c>
      <c r="B3364" s="1319"/>
      <c r="C3364" s="1316"/>
      <c r="D3364" s="1317"/>
      <c r="E3364" s="686"/>
      <c r="F3364" s="676"/>
      <c r="G3364" s="670"/>
      <c r="H3364" s="670" t="e">
        <f>SUM(H3358:H3363)</f>
        <v>#REF!</v>
      </c>
      <c r="I3364" s="670"/>
      <c r="J3364" s="670" t="e">
        <f>SUM(J3359:J3363)</f>
        <v>#REF!</v>
      </c>
      <c r="K3364" s="670"/>
      <c r="L3364" s="670" t="e">
        <f>SUM(L3359:L3363)</f>
        <v>#REF!</v>
      </c>
      <c r="M3364" s="670"/>
      <c r="N3364" s="670" t="e">
        <f>SUM(N3358:N3363)</f>
        <v>#REF!</v>
      </c>
      <c r="O3364" s="671"/>
      <c r="P3364" s="672" t="s">
        <v>2319</v>
      </c>
      <c r="Q3364" s="828" t="s">
        <v>2311</v>
      </c>
      <c r="R3364" s="845"/>
      <c r="S3364" s="845"/>
      <c r="T3364" s="845"/>
      <c r="U3364" s="846"/>
      <c r="V3364" s="846"/>
    </row>
    <row r="3365" spans="1:22" s="688" customFormat="1" ht="17.100000000000001" customHeight="1">
      <c r="A3365" s="668">
        <f>A3355+1</f>
        <v>458</v>
      </c>
      <c r="B3365" s="1320" t="s">
        <v>2348</v>
      </c>
      <c r="C3365" s="1320"/>
      <c r="D3365" s="1320" t="s">
        <v>2356</v>
      </c>
      <c r="E3365" s="1320"/>
      <c r="F3365" s="669" t="s">
        <v>272</v>
      </c>
      <c r="G3365" s="698"/>
      <c r="H3365" s="698"/>
      <c r="I3365" s="698"/>
      <c r="J3365" s="698"/>
      <c r="K3365" s="670"/>
      <c r="L3365" s="670"/>
      <c r="M3365" s="670"/>
      <c r="N3365" s="698"/>
      <c r="O3365" s="699"/>
      <c r="P3365" s="672"/>
      <c r="Q3365" s="828" t="s">
        <v>2311</v>
      </c>
      <c r="R3365" s="845"/>
      <c r="S3365" s="845"/>
      <c r="T3365" s="845"/>
      <c r="U3365" s="845"/>
      <c r="V3365" s="845"/>
    </row>
    <row r="3366" spans="1:22" s="688" customFormat="1" ht="17.100000000000001" customHeight="1">
      <c r="A3366" s="1316" t="s">
        <v>2338</v>
      </c>
      <c r="B3366" s="1317"/>
      <c r="C3366" s="1316" t="s">
        <v>2339</v>
      </c>
      <c r="D3366" s="1317"/>
      <c r="E3366" s="683">
        <v>6.3E-2</v>
      </c>
      <c r="F3366" s="676" t="s">
        <v>801</v>
      </c>
      <c r="G3366" s="670" t="e">
        <f>#REF!</f>
        <v>#REF!</v>
      </c>
      <c r="H3366" s="670" t="e">
        <f>INT(E3366*G3366)</f>
        <v>#REF!</v>
      </c>
      <c r="I3366" s="670"/>
      <c r="J3366" s="670"/>
      <c r="K3366" s="670"/>
      <c r="L3366" s="670"/>
      <c r="M3366" s="670" t="e">
        <f t="shared" ref="M3366:N3373" si="793">G3366+I3366+K3366</f>
        <v>#REF!</v>
      </c>
      <c r="N3366" s="670" t="e">
        <f t="shared" si="793"/>
        <v>#REF!</v>
      </c>
      <c r="O3366" s="671" t="s">
        <v>2340</v>
      </c>
      <c r="P3366" s="672"/>
      <c r="Q3366" s="828" t="s">
        <v>2311</v>
      </c>
      <c r="R3366" s="845"/>
      <c r="S3366" s="845"/>
      <c r="T3366" s="845"/>
      <c r="U3366" s="845"/>
      <c r="V3366" s="845"/>
    </row>
    <row r="3367" spans="1:22" s="688" customFormat="1" ht="17.100000000000001" customHeight="1">
      <c r="A3367" s="1316" t="s">
        <v>2338</v>
      </c>
      <c r="B3367" s="1317"/>
      <c r="C3367" s="1316" t="s">
        <v>2341</v>
      </c>
      <c r="D3367" s="1317"/>
      <c r="E3367" s="683">
        <v>6.3E-2</v>
      </c>
      <c r="F3367" s="676" t="s">
        <v>801</v>
      </c>
      <c r="G3367" s="670" t="e">
        <f>#REF!</f>
        <v>#REF!</v>
      </c>
      <c r="H3367" s="670" t="e">
        <f>INT(E3367*G3367)</f>
        <v>#REF!</v>
      </c>
      <c r="I3367" s="670"/>
      <c r="J3367" s="670"/>
      <c r="K3367" s="670"/>
      <c r="L3367" s="670"/>
      <c r="M3367" s="670" t="e">
        <f t="shared" si="793"/>
        <v>#REF!</v>
      </c>
      <c r="N3367" s="670" t="e">
        <f t="shared" si="793"/>
        <v>#REF!</v>
      </c>
      <c r="O3367" s="671" t="s">
        <v>2340</v>
      </c>
      <c r="P3367" s="672"/>
      <c r="Q3367" s="828" t="s">
        <v>2311</v>
      </c>
      <c r="R3367" s="845"/>
      <c r="S3367" s="848"/>
      <c r="T3367" s="848"/>
      <c r="U3367" s="848"/>
      <c r="V3367" s="848"/>
    </row>
    <row r="3368" spans="1:22" s="688" customFormat="1" ht="17.100000000000001" customHeight="1">
      <c r="A3368" s="1316" t="s">
        <v>941</v>
      </c>
      <c r="B3368" s="1317"/>
      <c r="C3368" s="1316" t="s">
        <v>2342</v>
      </c>
      <c r="D3368" s="1317"/>
      <c r="E3368" s="686">
        <v>4.65E-2</v>
      </c>
      <c r="F3368" s="676" t="s">
        <v>835</v>
      </c>
      <c r="G3368" s="670" t="e">
        <f>#REF!</f>
        <v>#REF!</v>
      </c>
      <c r="H3368" s="670" t="e">
        <f>INT(E3368*G3368)</f>
        <v>#REF!</v>
      </c>
      <c r="I3368" s="670"/>
      <c r="J3368" s="670"/>
      <c r="K3368" s="670"/>
      <c r="L3368" s="670"/>
      <c r="M3368" s="670" t="e">
        <f t="shared" si="793"/>
        <v>#REF!</v>
      </c>
      <c r="N3368" s="670" t="e">
        <f t="shared" si="793"/>
        <v>#REF!</v>
      </c>
      <c r="O3368" s="671"/>
      <c r="P3368" s="672"/>
      <c r="Q3368" s="828" t="s">
        <v>2311</v>
      </c>
      <c r="R3368" s="845"/>
      <c r="S3368" s="848"/>
      <c r="T3368" s="848"/>
      <c r="U3368" s="848"/>
      <c r="V3368" s="848"/>
    </row>
    <row r="3369" spans="1:22" s="848" customFormat="1" ht="17.100000000000001" customHeight="1">
      <c r="A3369" s="1316" t="s">
        <v>628</v>
      </c>
      <c r="B3369" s="1317"/>
      <c r="C3369" s="1321" t="s">
        <v>2330</v>
      </c>
      <c r="D3369" s="1317"/>
      <c r="E3369" s="686">
        <v>1E-3</v>
      </c>
      <c r="F3369" s="676" t="s">
        <v>366</v>
      </c>
      <c r="G3369" s="670"/>
      <c r="H3369" s="670"/>
      <c r="I3369" s="670">
        <f>[53]노임단가!$T$6</f>
        <v>226122</v>
      </c>
      <c r="J3369" s="670">
        <f>INT(E3369*I3369)</f>
        <v>226</v>
      </c>
      <c r="K3369" s="670"/>
      <c r="L3369" s="670"/>
      <c r="M3369" s="670">
        <f t="shared" si="793"/>
        <v>226122</v>
      </c>
      <c r="N3369" s="670">
        <f t="shared" si="793"/>
        <v>226</v>
      </c>
      <c r="O3369" s="671"/>
      <c r="P3369" s="672"/>
      <c r="Q3369" s="828" t="s">
        <v>2311</v>
      </c>
      <c r="R3369" s="845"/>
      <c r="S3369" s="845"/>
      <c r="T3369" s="845"/>
      <c r="U3369" s="845"/>
      <c r="V3369" s="845"/>
    </row>
    <row r="3370" spans="1:22" s="848" customFormat="1" ht="17.100000000000001" customHeight="1">
      <c r="A3370" s="1316" t="s">
        <v>248</v>
      </c>
      <c r="B3370" s="1317"/>
      <c r="C3370" s="1321" t="s">
        <v>2330</v>
      </c>
      <c r="D3370" s="1317"/>
      <c r="E3370" s="686">
        <v>1E-3</v>
      </c>
      <c r="F3370" s="676" t="s">
        <v>366</v>
      </c>
      <c r="G3370" s="670"/>
      <c r="H3370" s="670"/>
      <c r="I3370" s="670">
        <f>[53]노임단가!$T$5</f>
        <v>172068</v>
      </c>
      <c r="J3370" s="670">
        <f>INT(E3370*I3370)</f>
        <v>172</v>
      </c>
      <c r="K3370" s="670"/>
      <c r="L3370" s="670"/>
      <c r="M3370" s="670">
        <f t="shared" si="793"/>
        <v>172068</v>
      </c>
      <c r="N3370" s="670">
        <f t="shared" si="793"/>
        <v>172</v>
      </c>
      <c r="O3370" s="671"/>
      <c r="P3370" s="852"/>
      <c r="Q3370" s="849" t="s">
        <v>2311</v>
      </c>
      <c r="R3370" s="845" t="e">
        <f>TRUNC(2/$Y3367,5)</f>
        <v>#DIV/0!</v>
      </c>
    </row>
    <row r="3371" spans="1:22" s="848" customFormat="1" ht="17.100000000000001" customHeight="1">
      <c r="A3371" s="1316" t="s">
        <v>2333</v>
      </c>
      <c r="B3371" s="1317"/>
      <c r="C3371" s="1316" t="s">
        <v>1154</v>
      </c>
      <c r="D3371" s="1317"/>
      <c r="E3371" s="686">
        <v>4.0000000000000001E-3</v>
      </c>
      <c r="F3371" s="676" t="s">
        <v>418</v>
      </c>
      <c r="G3371" s="670" t="e">
        <f>#REF!</f>
        <v>#REF!</v>
      </c>
      <c r="H3371" s="670" t="e">
        <f>INT(E3371*G3371)</f>
        <v>#REF!</v>
      </c>
      <c r="I3371" s="670" t="e">
        <f>#REF!</f>
        <v>#REF!</v>
      </c>
      <c r="J3371" s="670" t="e">
        <f>INT(E3371*I3371)</f>
        <v>#REF!</v>
      </c>
      <c r="K3371" s="670" t="e">
        <f>#REF!</f>
        <v>#REF!</v>
      </c>
      <c r="L3371" s="670" t="e">
        <f>INT(E3371*K3371)</f>
        <v>#REF!</v>
      </c>
      <c r="M3371" s="670" t="e">
        <f t="shared" si="793"/>
        <v>#REF!</v>
      </c>
      <c r="N3371" s="670" t="e">
        <f t="shared" si="793"/>
        <v>#REF!</v>
      </c>
      <c r="O3371" s="671"/>
      <c r="P3371" s="852"/>
      <c r="Q3371" s="849" t="s">
        <v>2311</v>
      </c>
      <c r="R3371" s="845" t="e">
        <f>TRUNC(1/$Y3367,5)</f>
        <v>#DIV/0!</v>
      </c>
      <c r="S3371" s="845"/>
      <c r="T3371" s="845"/>
      <c r="U3371" s="845"/>
      <c r="V3371" s="845"/>
    </row>
    <row r="3372" spans="1:22" s="848" customFormat="1" ht="17.100000000000001" customHeight="1">
      <c r="A3372" s="1316" t="s">
        <v>2346</v>
      </c>
      <c r="B3372" s="1317"/>
      <c r="C3372" s="1321" t="s">
        <v>1451</v>
      </c>
      <c r="D3372" s="1317"/>
      <c r="E3372" s="686">
        <v>0.03</v>
      </c>
      <c r="F3372" s="676" t="s">
        <v>672</v>
      </c>
      <c r="G3372" s="670"/>
      <c r="H3372" s="670">
        <f>INT(E3372*G3372)</f>
        <v>0</v>
      </c>
      <c r="I3372" s="670"/>
      <c r="J3372" s="670"/>
      <c r="K3372" s="670">
        <f>J3369+J3370</f>
        <v>398</v>
      </c>
      <c r="L3372" s="670">
        <f>INT(E3372*K3372)</f>
        <v>11</v>
      </c>
      <c r="M3372" s="670">
        <f t="shared" si="793"/>
        <v>398</v>
      </c>
      <c r="N3372" s="670">
        <f t="shared" si="793"/>
        <v>11</v>
      </c>
      <c r="O3372" s="671"/>
      <c r="P3372" s="852"/>
      <c r="Q3372" s="849" t="s">
        <v>2311</v>
      </c>
      <c r="R3372" s="847">
        <f>W3367</f>
        <v>0</v>
      </c>
      <c r="S3372" s="850"/>
      <c r="T3372" s="850"/>
      <c r="U3372" s="850"/>
      <c r="V3372" s="850"/>
    </row>
    <row r="3373" spans="1:22" s="848" customFormat="1" ht="17.100000000000001" customHeight="1">
      <c r="A3373" s="1316" t="s">
        <v>1328</v>
      </c>
      <c r="B3373" s="1317"/>
      <c r="C3373" s="1321" t="s">
        <v>2347</v>
      </c>
      <c r="D3373" s="1317"/>
      <c r="E3373" s="686">
        <v>0.01</v>
      </c>
      <c r="F3373" s="676" t="s">
        <v>672</v>
      </c>
      <c r="G3373" s="670" t="e">
        <f>SUM(H3367:H3368)</f>
        <v>#REF!</v>
      </c>
      <c r="H3373" s="670" t="e">
        <f>INT(E3373*G3373)</f>
        <v>#REF!</v>
      </c>
      <c r="I3373" s="670"/>
      <c r="J3373" s="670"/>
      <c r="K3373" s="670"/>
      <c r="L3373" s="670"/>
      <c r="M3373" s="670" t="e">
        <f t="shared" si="793"/>
        <v>#REF!</v>
      </c>
      <c r="N3373" s="670" t="e">
        <f t="shared" si="793"/>
        <v>#REF!</v>
      </c>
      <c r="O3373" s="671"/>
      <c r="P3373" s="852"/>
      <c r="Q3373" s="849" t="s">
        <v>2311</v>
      </c>
      <c r="R3373" s="847">
        <f>W3368</f>
        <v>0</v>
      </c>
      <c r="S3373" s="850"/>
      <c r="T3373" s="850"/>
      <c r="U3373" s="850"/>
      <c r="V3373" s="850"/>
    </row>
    <row r="3374" spans="1:22" s="848" customFormat="1" ht="17.100000000000001" customHeight="1">
      <c r="A3374" s="1318" t="s">
        <v>1320</v>
      </c>
      <c r="B3374" s="1319"/>
      <c r="C3374" s="1316"/>
      <c r="D3374" s="1317"/>
      <c r="E3374" s="686"/>
      <c r="F3374" s="676"/>
      <c r="G3374" s="670"/>
      <c r="H3374" s="670" t="e">
        <f>SUM(H3368:H3373)</f>
        <v>#REF!</v>
      </c>
      <c r="I3374" s="670"/>
      <c r="J3374" s="670" t="e">
        <f>SUM(J3368:J3373)</f>
        <v>#REF!</v>
      </c>
      <c r="K3374" s="670"/>
      <c r="L3374" s="670" t="e">
        <f>SUM(L3368:L3373)</f>
        <v>#REF!</v>
      </c>
      <c r="M3374" s="670"/>
      <c r="N3374" s="670" t="e">
        <f>SUM(N3368:N3373)</f>
        <v>#REF!</v>
      </c>
      <c r="O3374" s="671"/>
      <c r="P3374" s="852"/>
      <c r="Q3374" s="849" t="s">
        <v>2311</v>
      </c>
      <c r="R3374" s="850"/>
      <c r="S3374" s="850"/>
      <c r="T3374" s="850"/>
      <c r="U3374" s="850"/>
      <c r="V3374" s="850"/>
    </row>
    <row r="3375" spans="1:22" s="848" customFormat="1" ht="17.100000000000001" customHeight="1">
      <c r="A3375" s="668">
        <f>A3365+1</f>
        <v>459</v>
      </c>
      <c r="B3375" s="1320" t="s">
        <v>2348</v>
      </c>
      <c r="C3375" s="1320"/>
      <c r="D3375" s="1320" t="s">
        <v>2357</v>
      </c>
      <c r="E3375" s="1320"/>
      <c r="F3375" s="669" t="s">
        <v>272</v>
      </c>
      <c r="G3375" s="698"/>
      <c r="H3375" s="698"/>
      <c r="I3375" s="698"/>
      <c r="J3375" s="698"/>
      <c r="K3375" s="670"/>
      <c r="L3375" s="670"/>
      <c r="M3375" s="670"/>
      <c r="N3375" s="698"/>
      <c r="O3375" s="699" t="s">
        <v>2351</v>
      </c>
      <c r="P3375" s="852"/>
      <c r="Q3375" s="849" t="s">
        <v>2311</v>
      </c>
      <c r="R3375" s="850"/>
      <c r="S3375" s="850"/>
      <c r="T3375" s="850"/>
      <c r="U3375" s="850"/>
      <c r="V3375" s="850"/>
    </row>
    <row r="3376" spans="1:22" s="688" customFormat="1" ht="17.100000000000001" customHeight="1">
      <c r="A3376" s="1316" t="s">
        <v>2338</v>
      </c>
      <c r="B3376" s="1317"/>
      <c r="C3376" s="1316" t="s">
        <v>2354</v>
      </c>
      <c r="D3376" s="1317"/>
      <c r="E3376" s="683">
        <v>6.3E-2</v>
      </c>
      <c r="F3376" s="676" t="s">
        <v>801</v>
      </c>
      <c r="G3376" s="670" t="e">
        <f>#REF!</f>
        <v>#REF!</v>
      </c>
      <c r="H3376" s="670" t="e">
        <f>INT(E3376*G3376)</f>
        <v>#REF!</v>
      </c>
      <c r="I3376" s="670"/>
      <c r="J3376" s="670"/>
      <c r="K3376" s="670"/>
      <c r="L3376" s="670"/>
      <c r="M3376" s="670" t="e">
        <f t="shared" ref="M3376:N3382" si="794">G3376+I3376+K3376</f>
        <v>#REF!</v>
      </c>
      <c r="N3376" s="670" t="e">
        <f t="shared" si="794"/>
        <v>#REF!</v>
      </c>
      <c r="O3376" s="671" t="s">
        <v>2340</v>
      </c>
      <c r="P3376" s="852"/>
      <c r="Q3376" s="849" t="s">
        <v>2311</v>
      </c>
      <c r="R3376" s="850"/>
      <c r="S3376" s="850"/>
      <c r="T3376" s="850"/>
      <c r="U3376" s="850"/>
      <c r="V3376" s="850"/>
    </row>
    <row r="3377" spans="1:22" s="688" customFormat="1" ht="17.100000000000001" customHeight="1">
      <c r="A3377" s="1316" t="s">
        <v>941</v>
      </c>
      <c r="B3377" s="1317"/>
      <c r="C3377" s="1316" t="s">
        <v>2342</v>
      </c>
      <c r="D3377" s="1317"/>
      <c r="E3377" s="683">
        <v>4.65E-2</v>
      </c>
      <c r="F3377" s="676" t="s">
        <v>835</v>
      </c>
      <c r="G3377" s="670" t="e">
        <f>#REF!</f>
        <v>#REF!</v>
      </c>
      <c r="H3377" s="670" t="e">
        <f>INT(E3377*G3377)</f>
        <v>#REF!</v>
      </c>
      <c r="I3377" s="670"/>
      <c r="J3377" s="670"/>
      <c r="K3377" s="670"/>
      <c r="L3377" s="670"/>
      <c r="M3377" s="670" t="e">
        <f t="shared" si="794"/>
        <v>#REF!</v>
      </c>
      <c r="N3377" s="670" t="e">
        <f t="shared" si="794"/>
        <v>#REF!</v>
      </c>
      <c r="O3377" s="671"/>
      <c r="P3377" s="672"/>
      <c r="Q3377" s="828" t="s">
        <v>2311</v>
      </c>
      <c r="R3377" s="845"/>
      <c r="S3377" s="845"/>
      <c r="T3377" s="845"/>
      <c r="U3377" s="846"/>
      <c r="V3377" s="846"/>
    </row>
    <row r="3378" spans="1:22" s="688" customFormat="1" ht="17.100000000000001" customHeight="1">
      <c r="A3378" s="1316" t="s">
        <v>628</v>
      </c>
      <c r="B3378" s="1317"/>
      <c r="C3378" s="1321" t="s">
        <v>2330</v>
      </c>
      <c r="D3378" s="1317"/>
      <c r="E3378" s="686">
        <v>1.2999999999999999E-3</v>
      </c>
      <c r="F3378" s="676" t="s">
        <v>366</v>
      </c>
      <c r="G3378" s="670"/>
      <c r="H3378" s="670"/>
      <c r="I3378" s="670">
        <f>[53]노임단가!$T$6</f>
        <v>226122</v>
      </c>
      <c r="J3378" s="670">
        <f>INT(E3378*I3378)</f>
        <v>293</v>
      </c>
      <c r="K3378" s="670"/>
      <c r="L3378" s="670"/>
      <c r="M3378" s="670">
        <f t="shared" si="794"/>
        <v>226122</v>
      </c>
      <c r="N3378" s="670">
        <f t="shared" si="794"/>
        <v>293</v>
      </c>
      <c r="O3378" s="671"/>
      <c r="P3378" s="672" t="s">
        <v>2314</v>
      </c>
      <c r="Q3378" s="828" t="s">
        <v>2311</v>
      </c>
      <c r="R3378" s="845"/>
      <c r="S3378" s="845"/>
      <c r="T3378" s="845"/>
      <c r="U3378" s="845"/>
      <c r="V3378" s="845"/>
    </row>
    <row r="3379" spans="1:22" s="688" customFormat="1" ht="17.100000000000001" customHeight="1">
      <c r="A3379" s="1316" t="s">
        <v>248</v>
      </c>
      <c r="B3379" s="1317"/>
      <c r="C3379" s="1321" t="s">
        <v>2330</v>
      </c>
      <c r="D3379" s="1317"/>
      <c r="E3379" s="686">
        <v>1.2999999999999999E-3</v>
      </c>
      <c r="F3379" s="676" t="s">
        <v>366</v>
      </c>
      <c r="G3379" s="670"/>
      <c r="H3379" s="670"/>
      <c r="I3379" s="670">
        <f>[53]노임단가!$T$5</f>
        <v>172068</v>
      </c>
      <c r="J3379" s="670">
        <f>INT(E3379*I3379)</f>
        <v>223</v>
      </c>
      <c r="K3379" s="670"/>
      <c r="L3379" s="670"/>
      <c r="M3379" s="670">
        <f t="shared" si="794"/>
        <v>172068</v>
      </c>
      <c r="N3379" s="670">
        <f t="shared" si="794"/>
        <v>223</v>
      </c>
      <c r="O3379" s="671"/>
      <c r="P3379" s="672" t="s">
        <v>2316</v>
      </c>
      <c r="Q3379" s="828" t="s">
        <v>2311</v>
      </c>
      <c r="R3379" s="845"/>
      <c r="S3379" s="846"/>
      <c r="T3379" s="846"/>
      <c r="U3379" s="851"/>
      <c r="V3379" s="851"/>
    </row>
    <row r="3380" spans="1:22" s="688" customFormat="1" ht="17.100000000000001" customHeight="1">
      <c r="A3380" s="1316" t="s">
        <v>2333</v>
      </c>
      <c r="B3380" s="1317"/>
      <c r="C3380" s="1316" t="s">
        <v>1154</v>
      </c>
      <c r="D3380" s="1317"/>
      <c r="E3380" s="686">
        <v>5.3E-3</v>
      </c>
      <c r="F3380" s="676" t="s">
        <v>418</v>
      </c>
      <c r="G3380" s="670" t="e">
        <f>#REF!</f>
        <v>#REF!</v>
      </c>
      <c r="H3380" s="670" t="e">
        <f>INT(E3380*G3380)</f>
        <v>#REF!</v>
      </c>
      <c r="I3380" s="670" t="e">
        <f>#REF!</f>
        <v>#REF!</v>
      </c>
      <c r="J3380" s="670" t="e">
        <f>INT(E3380*I3380)</f>
        <v>#REF!</v>
      </c>
      <c r="K3380" s="670" t="e">
        <f>#REF!</f>
        <v>#REF!</v>
      </c>
      <c r="L3380" s="670" t="e">
        <f>INT(E3380*K3380)</f>
        <v>#REF!</v>
      </c>
      <c r="M3380" s="670" t="e">
        <f t="shared" si="794"/>
        <v>#REF!</v>
      </c>
      <c r="N3380" s="670" t="e">
        <f t="shared" si="794"/>
        <v>#REF!</v>
      </c>
      <c r="O3380" s="671"/>
      <c r="P3380" s="672" t="s">
        <v>2319</v>
      </c>
      <c r="Q3380" s="828" t="s">
        <v>2311</v>
      </c>
      <c r="R3380" s="845"/>
      <c r="S3380" s="845"/>
      <c r="T3380" s="845"/>
      <c r="U3380" s="846"/>
      <c r="V3380" s="846"/>
    </row>
    <row r="3381" spans="1:22" s="688" customFormat="1" ht="17.100000000000001" customHeight="1">
      <c r="A3381" s="1316" t="s">
        <v>2346</v>
      </c>
      <c r="B3381" s="1317"/>
      <c r="C3381" s="1321" t="s">
        <v>1451</v>
      </c>
      <c r="D3381" s="1317"/>
      <c r="E3381" s="686">
        <v>0.03</v>
      </c>
      <c r="F3381" s="676" t="s">
        <v>672</v>
      </c>
      <c r="G3381" s="670"/>
      <c r="H3381" s="670">
        <f>INT(E3381*G3381)</f>
        <v>0</v>
      </c>
      <c r="I3381" s="670"/>
      <c r="J3381" s="670"/>
      <c r="K3381" s="670">
        <f>J3378+J3379</f>
        <v>516</v>
      </c>
      <c r="L3381" s="670">
        <f>INT(E3381*K3381)</f>
        <v>15</v>
      </c>
      <c r="M3381" s="670">
        <f t="shared" si="794"/>
        <v>516</v>
      </c>
      <c r="N3381" s="670">
        <f t="shared" si="794"/>
        <v>15</v>
      </c>
      <c r="O3381" s="671"/>
      <c r="P3381" s="672"/>
      <c r="Q3381" s="828" t="s">
        <v>2311</v>
      </c>
      <c r="R3381" s="845"/>
      <c r="S3381" s="845"/>
      <c r="T3381" s="845"/>
      <c r="U3381" s="845"/>
      <c r="V3381" s="845"/>
    </row>
    <row r="3382" spans="1:22" s="688" customFormat="1" ht="17.100000000000001" customHeight="1">
      <c r="A3382" s="1316" t="s">
        <v>1328</v>
      </c>
      <c r="B3382" s="1317"/>
      <c r="C3382" s="1321" t="s">
        <v>2347</v>
      </c>
      <c r="D3382" s="1317"/>
      <c r="E3382" s="686">
        <v>0.01</v>
      </c>
      <c r="F3382" s="676" t="s">
        <v>672</v>
      </c>
      <c r="G3382" s="670" t="e">
        <f>SUM(H3376:H3377)</f>
        <v>#REF!</v>
      </c>
      <c r="H3382" s="670" t="e">
        <f>INT(E3382*G3382)</f>
        <v>#REF!</v>
      </c>
      <c r="I3382" s="670"/>
      <c r="J3382" s="670"/>
      <c r="K3382" s="670"/>
      <c r="L3382" s="670"/>
      <c r="M3382" s="670" t="e">
        <f t="shared" si="794"/>
        <v>#REF!</v>
      </c>
      <c r="N3382" s="670" t="e">
        <f t="shared" si="794"/>
        <v>#REF!</v>
      </c>
      <c r="O3382" s="671"/>
      <c r="P3382" s="672"/>
      <c r="Q3382" s="828" t="s">
        <v>2311</v>
      </c>
      <c r="R3382" s="845"/>
      <c r="S3382" s="845"/>
      <c r="T3382" s="845"/>
      <c r="U3382" s="845"/>
      <c r="V3382" s="845"/>
    </row>
    <row r="3383" spans="1:22" s="688" customFormat="1" ht="17.100000000000001" customHeight="1">
      <c r="A3383" s="1318" t="s">
        <v>1320</v>
      </c>
      <c r="B3383" s="1319"/>
      <c r="C3383" s="1316"/>
      <c r="D3383" s="1317"/>
      <c r="E3383" s="686"/>
      <c r="F3383" s="676"/>
      <c r="G3383" s="670"/>
      <c r="H3383" s="670" t="e">
        <f>SUM(H3377:H3382)</f>
        <v>#REF!</v>
      </c>
      <c r="I3383" s="670"/>
      <c r="J3383" s="670" t="e">
        <f>SUM(J3377:J3382)</f>
        <v>#REF!</v>
      </c>
      <c r="K3383" s="670"/>
      <c r="L3383" s="670" t="e">
        <f>SUM(L3377:L3382)</f>
        <v>#REF!</v>
      </c>
      <c r="M3383" s="670"/>
      <c r="N3383" s="670" t="e">
        <f>SUM(N3377:N3382)</f>
        <v>#REF!</v>
      </c>
      <c r="O3383" s="671"/>
      <c r="P3383" s="672"/>
      <c r="Q3383" s="828" t="s">
        <v>2311</v>
      </c>
      <c r="R3383" s="845"/>
      <c r="S3383" s="848"/>
      <c r="T3383" s="848"/>
      <c r="U3383" s="848"/>
      <c r="V3383" s="848"/>
    </row>
    <row r="3384" spans="1:22" s="688" customFormat="1" ht="17.100000000000001" customHeight="1">
      <c r="A3384" s="668">
        <f>A3375+1</f>
        <v>460</v>
      </c>
      <c r="B3384" s="1320" t="s">
        <v>2348</v>
      </c>
      <c r="C3384" s="1320"/>
      <c r="D3384" s="1320" t="s">
        <v>2358</v>
      </c>
      <c r="E3384" s="1320"/>
      <c r="F3384" s="669" t="s">
        <v>272</v>
      </c>
      <c r="G3384" s="698"/>
      <c r="H3384" s="698"/>
      <c r="I3384" s="698"/>
      <c r="J3384" s="698"/>
      <c r="K3384" s="670"/>
      <c r="L3384" s="670"/>
      <c r="M3384" s="670"/>
      <c r="N3384" s="698"/>
      <c r="O3384" s="699"/>
      <c r="P3384" s="672"/>
      <c r="Q3384" s="828" t="s">
        <v>2311</v>
      </c>
      <c r="R3384" s="845"/>
      <c r="S3384" s="848"/>
      <c r="T3384" s="848"/>
      <c r="U3384" s="848"/>
      <c r="V3384" s="848"/>
    </row>
    <row r="3385" spans="1:22" s="848" customFormat="1" ht="17.100000000000001" customHeight="1">
      <c r="A3385" s="1316" t="s">
        <v>2338</v>
      </c>
      <c r="B3385" s="1317"/>
      <c r="C3385" s="1316" t="s">
        <v>2354</v>
      </c>
      <c r="D3385" s="1317"/>
      <c r="E3385" s="683">
        <v>6.3E-2</v>
      </c>
      <c r="F3385" s="676" t="s">
        <v>801</v>
      </c>
      <c r="G3385" s="670" t="e">
        <f>#REF!</f>
        <v>#REF!</v>
      </c>
      <c r="H3385" s="670" t="e">
        <f>INT(E3385*G3385)</f>
        <v>#REF!</v>
      </c>
      <c r="I3385" s="670"/>
      <c r="J3385" s="670"/>
      <c r="K3385" s="670"/>
      <c r="L3385" s="670"/>
      <c r="M3385" s="670" t="e">
        <f t="shared" ref="M3385:N3391" si="795">G3385+I3385+K3385</f>
        <v>#REF!</v>
      </c>
      <c r="N3385" s="670" t="e">
        <f t="shared" si="795"/>
        <v>#REF!</v>
      </c>
      <c r="O3385" s="671" t="s">
        <v>2340</v>
      </c>
      <c r="P3385" s="672"/>
      <c r="Q3385" s="828" t="s">
        <v>2311</v>
      </c>
      <c r="R3385" s="845"/>
      <c r="S3385" s="845"/>
      <c r="T3385" s="845"/>
      <c r="U3385" s="845"/>
      <c r="V3385" s="845"/>
    </row>
    <row r="3386" spans="1:22" s="848" customFormat="1" ht="17.100000000000001" customHeight="1">
      <c r="A3386" s="1316" t="s">
        <v>941</v>
      </c>
      <c r="B3386" s="1317"/>
      <c r="C3386" s="1316" t="s">
        <v>2342</v>
      </c>
      <c r="D3386" s="1317"/>
      <c r="E3386" s="683">
        <v>4.65E-2</v>
      </c>
      <c r="F3386" s="676" t="s">
        <v>835</v>
      </c>
      <c r="G3386" s="670" t="e">
        <f>#REF!</f>
        <v>#REF!</v>
      </c>
      <c r="H3386" s="670" t="e">
        <f>INT(E3386*G3386)</f>
        <v>#REF!</v>
      </c>
      <c r="I3386" s="670"/>
      <c r="J3386" s="670"/>
      <c r="K3386" s="670"/>
      <c r="L3386" s="670"/>
      <c r="M3386" s="670" t="e">
        <f t="shared" si="795"/>
        <v>#REF!</v>
      </c>
      <c r="N3386" s="670" t="e">
        <f t="shared" si="795"/>
        <v>#REF!</v>
      </c>
      <c r="O3386" s="671"/>
      <c r="P3386" s="852"/>
      <c r="Q3386" s="849" t="s">
        <v>2311</v>
      </c>
      <c r="R3386" s="845" t="e">
        <f>TRUNC(2/$Y3383,5)</f>
        <v>#DIV/0!</v>
      </c>
    </row>
    <row r="3387" spans="1:22" s="848" customFormat="1" ht="17.100000000000001" customHeight="1">
      <c r="A3387" s="1316" t="s">
        <v>628</v>
      </c>
      <c r="B3387" s="1317"/>
      <c r="C3387" s="1321" t="s">
        <v>2330</v>
      </c>
      <c r="D3387" s="1317"/>
      <c r="E3387" s="686">
        <v>2.8E-3</v>
      </c>
      <c r="F3387" s="676" t="s">
        <v>366</v>
      </c>
      <c r="G3387" s="670"/>
      <c r="H3387" s="670"/>
      <c r="I3387" s="670">
        <f>[53]노임단가!$T$6</f>
        <v>226122</v>
      </c>
      <c r="J3387" s="670">
        <f>INT(E3387*I3387)</f>
        <v>633</v>
      </c>
      <c r="K3387" s="670"/>
      <c r="L3387" s="670"/>
      <c r="M3387" s="670">
        <f t="shared" si="795"/>
        <v>226122</v>
      </c>
      <c r="N3387" s="670">
        <f t="shared" si="795"/>
        <v>633</v>
      </c>
      <c r="O3387" s="671"/>
      <c r="P3387" s="852"/>
      <c r="Q3387" s="849" t="s">
        <v>2311</v>
      </c>
      <c r="R3387" s="845" t="e">
        <f>TRUNC(1/$Y3383,5)</f>
        <v>#DIV/0!</v>
      </c>
      <c r="S3387" s="845"/>
      <c r="T3387" s="845"/>
      <c r="U3387" s="845"/>
      <c r="V3387" s="845"/>
    </row>
    <row r="3388" spans="1:22" s="848" customFormat="1" ht="17.100000000000001" customHeight="1">
      <c r="A3388" s="1316" t="s">
        <v>248</v>
      </c>
      <c r="B3388" s="1317"/>
      <c r="C3388" s="1321" t="s">
        <v>2330</v>
      </c>
      <c r="D3388" s="1317"/>
      <c r="E3388" s="686">
        <v>2.8E-3</v>
      </c>
      <c r="F3388" s="676" t="s">
        <v>366</v>
      </c>
      <c r="G3388" s="670"/>
      <c r="H3388" s="670"/>
      <c r="I3388" s="670">
        <f>[53]노임단가!$T$5</f>
        <v>172068</v>
      </c>
      <c r="J3388" s="670">
        <f>INT(E3388*I3388)</f>
        <v>481</v>
      </c>
      <c r="K3388" s="670"/>
      <c r="L3388" s="670"/>
      <c r="M3388" s="670">
        <f t="shared" si="795"/>
        <v>172068</v>
      </c>
      <c r="N3388" s="670">
        <f t="shared" si="795"/>
        <v>481</v>
      </c>
      <c r="O3388" s="671"/>
      <c r="P3388" s="852"/>
      <c r="Q3388" s="849" t="s">
        <v>2311</v>
      </c>
      <c r="R3388" s="847">
        <f>W3383</f>
        <v>0</v>
      </c>
      <c r="S3388" s="850"/>
      <c r="T3388" s="850"/>
      <c r="U3388" s="850"/>
      <c r="V3388" s="850"/>
    </row>
    <row r="3389" spans="1:22" s="848" customFormat="1" ht="17.100000000000001" customHeight="1">
      <c r="A3389" s="1316" t="s">
        <v>2333</v>
      </c>
      <c r="B3389" s="1317"/>
      <c r="C3389" s="1316" t="s">
        <v>1154</v>
      </c>
      <c r="D3389" s="1317"/>
      <c r="E3389" s="686">
        <v>1.11E-2</v>
      </c>
      <c r="F3389" s="676" t="s">
        <v>418</v>
      </c>
      <c r="G3389" s="670" t="e">
        <f>#REF!</f>
        <v>#REF!</v>
      </c>
      <c r="H3389" s="670" t="e">
        <f>INT(E3389*G3389)</f>
        <v>#REF!</v>
      </c>
      <c r="I3389" s="670" t="e">
        <f>#REF!</f>
        <v>#REF!</v>
      </c>
      <c r="J3389" s="670" t="e">
        <f>INT(E3389*I3389)</f>
        <v>#REF!</v>
      </c>
      <c r="K3389" s="670" t="e">
        <f>#REF!</f>
        <v>#REF!</v>
      </c>
      <c r="L3389" s="670" t="e">
        <f>INT(E3389*K3389)</f>
        <v>#REF!</v>
      </c>
      <c r="M3389" s="670" t="e">
        <f t="shared" si="795"/>
        <v>#REF!</v>
      </c>
      <c r="N3389" s="670" t="e">
        <f t="shared" si="795"/>
        <v>#REF!</v>
      </c>
      <c r="O3389" s="671"/>
      <c r="P3389" s="852"/>
      <c r="Q3389" s="849" t="s">
        <v>2311</v>
      </c>
      <c r="R3389" s="847">
        <f>W3384</f>
        <v>0</v>
      </c>
      <c r="S3389" s="850"/>
      <c r="T3389" s="850"/>
      <c r="U3389" s="850"/>
      <c r="V3389" s="850"/>
    </row>
    <row r="3390" spans="1:22" s="848" customFormat="1" ht="17.100000000000001" customHeight="1">
      <c r="A3390" s="1316" t="s">
        <v>2346</v>
      </c>
      <c r="B3390" s="1317"/>
      <c r="C3390" s="1321" t="s">
        <v>1451</v>
      </c>
      <c r="D3390" s="1317"/>
      <c r="E3390" s="686">
        <v>0.03</v>
      </c>
      <c r="F3390" s="676" t="s">
        <v>672</v>
      </c>
      <c r="G3390" s="670"/>
      <c r="H3390" s="670">
        <f>INT(E3390*G3390)</f>
        <v>0</v>
      </c>
      <c r="I3390" s="670"/>
      <c r="J3390" s="670"/>
      <c r="K3390" s="670">
        <f>J3387+J3388</f>
        <v>1114</v>
      </c>
      <c r="L3390" s="670">
        <f>INT(E3390*K3390)</f>
        <v>33</v>
      </c>
      <c r="M3390" s="670">
        <f t="shared" si="795"/>
        <v>1114</v>
      </c>
      <c r="N3390" s="670">
        <f t="shared" si="795"/>
        <v>33</v>
      </c>
      <c r="O3390" s="671"/>
      <c r="P3390" s="852"/>
      <c r="Q3390" s="849" t="s">
        <v>2311</v>
      </c>
      <c r="R3390" s="850"/>
      <c r="S3390" s="850"/>
      <c r="T3390" s="850"/>
      <c r="U3390" s="850"/>
      <c r="V3390" s="850"/>
    </row>
    <row r="3391" spans="1:22" s="848" customFormat="1" ht="17.100000000000001" customHeight="1">
      <c r="A3391" s="1316" t="s">
        <v>1328</v>
      </c>
      <c r="B3391" s="1317"/>
      <c r="C3391" s="1321" t="s">
        <v>2347</v>
      </c>
      <c r="D3391" s="1317"/>
      <c r="E3391" s="686">
        <v>0.01</v>
      </c>
      <c r="F3391" s="676" t="s">
        <v>672</v>
      </c>
      <c r="G3391" s="670" t="e">
        <f>SUM(H3385:H3386)</f>
        <v>#REF!</v>
      </c>
      <c r="H3391" s="670" t="e">
        <f>INT(E3391*G3391)</f>
        <v>#REF!</v>
      </c>
      <c r="I3391" s="670"/>
      <c r="J3391" s="670"/>
      <c r="K3391" s="670"/>
      <c r="L3391" s="670"/>
      <c r="M3391" s="670" t="e">
        <f t="shared" si="795"/>
        <v>#REF!</v>
      </c>
      <c r="N3391" s="670" t="e">
        <f t="shared" si="795"/>
        <v>#REF!</v>
      </c>
      <c r="O3391" s="671"/>
      <c r="P3391" s="852"/>
      <c r="Q3391" s="849" t="s">
        <v>2311</v>
      </c>
      <c r="R3391" s="850"/>
      <c r="S3391" s="850"/>
      <c r="T3391" s="850"/>
      <c r="U3391" s="850"/>
      <c r="V3391" s="850"/>
    </row>
    <row r="3392" spans="1:22" s="688" customFormat="1" ht="17.100000000000001" customHeight="1">
      <c r="A3392" s="1318" t="s">
        <v>1320</v>
      </c>
      <c r="B3392" s="1319"/>
      <c r="C3392" s="1316"/>
      <c r="D3392" s="1317"/>
      <c r="E3392" s="686"/>
      <c r="F3392" s="676"/>
      <c r="G3392" s="670"/>
      <c r="H3392" s="670" t="e">
        <f>SUM(H3386:H3391)</f>
        <v>#REF!</v>
      </c>
      <c r="I3392" s="670"/>
      <c r="J3392" s="670" t="e">
        <f>SUM(J3387:J3391)</f>
        <v>#REF!</v>
      </c>
      <c r="K3392" s="670"/>
      <c r="L3392" s="670" t="e">
        <f>SUM(L3387:L3391)</f>
        <v>#REF!</v>
      </c>
      <c r="M3392" s="670"/>
      <c r="N3392" s="670" t="e">
        <f>SUM(N3386:N3391)</f>
        <v>#REF!</v>
      </c>
      <c r="O3392" s="671"/>
      <c r="P3392" s="852"/>
      <c r="Q3392" s="849" t="s">
        <v>2311</v>
      </c>
      <c r="R3392" s="850"/>
      <c r="S3392" s="850"/>
      <c r="T3392" s="850"/>
      <c r="U3392" s="850"/>
      <c r="V3392" s="850"/>
    </row>
    <row r="3393" spans="1:22" s="688" customFormat="1" ht="17.100000000000001" customHeight="1">
      <c r="A3393" s="668">
        <f>A3384+1</f>
        <v>461</v>
      </c>
      <c r="B3393" s="1320" t="s">
        <v>2359</v>
      </c>
      <c r="C3393" s="1320"/>
      <c r="D3393" s="1320" t="s">
        <v>2337</v>
      </c>
      <c r="E3393" s="1320"/>
      <c r="F3393" s="669" t="s">
        <v>272</v>
      </c>
      <c r="G3393" s="698"/>
      <c r="H3393" s="698"/>
      <c r="I3393" s="698"/>
      <c r="J3393" s="698"/>
      <c r="K3393" s="670"/>
      <c r="L3393" s="670"/>
      <c r="M3393" s="670"/>
      <c r="N3393" s="698"/>
      <c r="O3393" s="699" t="s">
        <v>1562</v>
      </c>
      <c r="P3393" s="672"/>
      <c r="Q3393" s="828" t="s">
        <v>2311</v>
      </c>
      <c r="R3393" s="845"/>
      <c r="S3393" s="848"/>
      <c r="T3393" s="848"/>
      <c r="U3393" s="848"/>
      <c r="V3393" s="848"/>
    </row>
    <row r="3394" spans="1:22" s="688" customFormat="1" ht="17.100000000000001" customHeight="1">
      <c r="A3394" s="1316" t="s">
        <v>943</v>
      </c>
      <c r="B3394" s="1317"/>
      <c r="C3394" s="1316" t="s">
        <v>2360</v>
      </c>
      <c r="D3394" s="1317"/>
      <c r="E3394" s="683">
        <v>0.67949999999999999</v>
      </c>
      <c r="F3394" s="676" t="s">
        <v>835</v>
      </c>
      <c r="G3394" s="670" t="e">
        <f>#REF!</f>
        <v>#REF!</v>
      </c>
      <c r="H3394" s="670" t="e">
        <f>INT(E3394*G3394)</f>
        <v>#REF!</v>
      </c>
      <c r="I3394" s="670"/>
      <c r="J3394" s="670"/>
      <c r="K3394" s="670"/>
      <c r="L3394" s="670"/>
      <c r="M3394" s="670" t="e">
        <f t="shared" ref="M3394:N3406" si="796">G3394+I3394+K3394</f>
        <v>#REF!</v>
      </c>
      <c r="N3394" s="670" t="e">
        <f t="shared" si="796"/>
        <v>#REF!</v>
      </c>
      <c r="O3394" s="671" t="s">
        <v>2340</v>
      </c>
      <c r="P3394" s="672" t="s">
        <v>2314</v>
      </c>
      <c r="Q3394" s="828" t="s">
        <v>2311</v>
      </c>
      <c r="R3394" s="845"/>
      <c r="S3394" s="850"/>
      <c r="T3394" s="850"/>
      <c r="U3394" s="850"/>
      <c r="V3394" s="850"/>
    </row>
    <row r="3395" spans="1:22" s="688" customFormat="1" ht="17.100000000000001" customHeight="1">
      <c r="A3395" s="1316" t="s">
        <v>943</v>
      </c>
      <c r="B3395" s="1317"/>
      <c r="C3395" s="1316" t="s">
        <v>2361</v>
      </c>
      <c r="D3395" s="1317"/>
      <c r="E3395" s="683">
        <v>0.67949999999999999</v>
      </c>
      <c r="F3395" s="676" t="s">
        <v>835</v>
      </c>
      <c r="G3395" s="670" t="e">
        <f>#REF!</f>
        <v>#REF!</v>
      </c>
      <c r="H3395" s="670" t="e">
        <f>INT(E3395*G3395)</f>
        <v>#REF!</v>
      </c>
      <c r="I3395" s="670"/>
      <c r="J3395" s="670"/>
      <c r="K3395" s="670"/>
      <c r="L3395" s="670"/>
      <c r="M3395" s="670" t="e">
        <f t="shared" si="796"/>
        <v>#REF!</v>
      </c>
      <c r="N3395" s="670" t="e">
        <f t="shared" si="796"/>
        <v>#REF!</v>
      </c>
      <c r="O3395" s="671" t="s">
        <v>2340</v>
      </c>
      <c r="P3395" s="672" t="s">
        <v>2316</v>
      </c>
      <c r="Q3395" s="828" t="s">
        <v>2311</v>
      </c>
      <c r="R3395" s="845"/>
      <c r="S3395" s="846"/>
      <c r="T3395" s="846"/>
      <c r="U3395" s="851"/>
      <c r="V3395" s="851"/>
    </row>
    <row r="3396" spans="1:22" s="688" customFormat="1" ht="17.100000000000001" customHeight="1">
      <c r="A3396" s="1316" t="s">
        <v>941</v>
      </c>
      <c r="B3396" s="1317"/>
      <c r="C3396" s="1316" t="s">
        <v>2342</v>
      </c>
      <c r="D3396" s="1317"/>
      <c r="E3396" s="683">
        <v>4.65E-2</v>
      </c>
      <c r="F3396" s="676" t="s">
        <v>835</v>
      </c>
      <c r="G3396" s="670" t="e">
        <f>#REF!</f>
        <v>#REF!</v>
      </c>
      <c r="H3396" s="670" t="e">
        <f>INT(E3396*G3396)</f>
        <v>#REF!</v>
      </c>
      <c r="I3396" s="670"/>
      <c r="J3396" s="670"/>
      <c r="K3396" s="670"/>
      <c r="L3396" s="670"/>
      <c r="M3396" s="670" t="e">
        <f t="shared" si="796"/>
        <v>#REF!</v>
      </c>
      <c r="N3396" s="670" t="e">
        <f t="shared" si="796"/>
        <v>#REF!</v>
      </c>
      <c r="O3396" s="671"/>
      <c r="P3396" s="672" t="s">
        <v>2319</v>
      </c>
      <c r="Q3396" s="828" t="s">
        <v>2311</v>
      </c>
      <c r="R3396" s="845"/>
      <c r="S3396" s="845"/>
      <c r="T3396" s="845"/>
      <c r="U3396" s="845"/>
      <c r="V3396" s="845"/>
    </row>
    <row r="3397" spans="1:22" s="688" customFormat="1" ht="17.100000000000001" customHeight="1">
      <c r="A3397" s="1316" t="s">
        <v>946</v>
      </c>
      <c r="B3397" s="1317"/>
      <c r="C3397" s="1316" t="s">
        <v>2362</v>
      </c>
      <c r="D3397" s="1317"/>
      <c r="E3397" s="683">
        <v>0.03</v>
      </c>
      <c r="F3397" s="676" t="s">
        <v>835</v>
      </c>
      <c r="G3397" s="670" t="e">
        <f>#REF!</f>
        <v>#REF!</v>
      </c>
      <c r="H3397" s="670" t="e">
        <f>INT(E3397*G3397)</f>
        <v>#REF!</v>
      </c>
      <c r="I3397" s="670"/>
      <c r="J3397" s="670"/>
      <c r="K3397" s="670"/>
      <c r="L3397" s="670"/>
      <c r="M3397" s="670" t="e">
        <f t="shared" si="796"/>
        <v>#REF!</v>
      </c>
      <c r="N3397" s="670" t="e">
        <f t="shared" si="796"/>
        <v>#REF!</v>
      </c>
      <c r="O3397" s="671"/>
      <c r="P3397" s="672"/>
      <c r="Q3397" s="828" t="s">
        <v>2311</v>
      </c>
      <c r="R3397" s="845"/>
      <c r="S3397" s="845"/>
      <c r="T3397" s="845"/>
      <c r="U3397" s="845"/>
      <c r="V3397" s="845"/>
    </row>
    <row r="3398" spans="1:22" s="688" customFormat="1" ht="17.100000000000001" customHeight="1">
      <c r="A3398" s="1316" t="s">
        <v>1041</v>
      </c>
      <c r="B3398" s="1317"/>
      <c r="C3398" s="1316"/>
      <c r="D3398" s="1317"/>
      <c r="E3398" s="683">
        <v>0.03</v>
      </c>
      <c r="F3398" s="676" t="s">
        <v>835</v>
      </c>
      <c r="G3398" s="670" t="e">
        <f>#REF!</f>
        <v>#REF!</v>
      </c>
      <c r="H3398" s="670" t="e">
        <f>INT(E3398*G3398)</f>
        <v>#REF!</v>
      </c>
      <c r="I3398" s="670"/>
      <c r="J3398" s="670"/>
      <c r="K3398" s="670"/>
      <c r="L3398" s="670"/>
      <c r="M3398" s="670" t="e">
        <f t="shared" si="796"/>
        <v>#REF!</v>
      </c>
      <c r="N3398" s="670" t="e">
        <f t="shared" si="796"/>
        <v>#REF!</v>
      </c>
      <c r="O3398" s="671"/>
      <c r="P3398" s="672"/>
      <c r="Q3398" s="828" t="s">
        <v>2311</v>
      </c>
      <c r="R3398" s="845"/>
      <c r="S3398" s="848"/>
      <c r="T3398" s="848"/>
      <c r="U3398" s="848"/>
      <c r="V3398" s="848"/>
    </row>
    <row r="3399" spans="1:22" s="688" customFormat="1" ht="17.100000000000001" customHeight="1">
      <c r="A3399" s="1316" t="s">
        <v>628</v>
      </c>
      <c r="B3399" s="1317"/>
      <c r="C3399" s="1321" t="s">
        <v>2330</v>
      </c>
      <c r="D3399" s="1317"/>
      <c r="E3399" s="683">
        <v>5.9999999999999995E-4</v>
      </c>
      <c r="F3399" s="676" t="s">
        <v>366</v>
      </c>
      <c r="G3399" s="670"/>
      <c r="H3399" s="670"/>
      <c r="I3399" s="670">
        <f>[53]노임단가!$T$6</f>
        <v>226122</v>
      </c>
      <c r="J3399" s="670">
        <f t="shared" ref="J3399:J3405" si="797">INT(E3399*I3399)</f>
        <v>135</v>
      </c>
      <c r="K3399" s="670"/>
      <c r="L3399" s="670"/>
      <c r="M3399" s="670">
        <f t="shared" si="796"/>
        <v>226122</v>
      </c>
      <c r="N3399" s="670">
        <f t="shared" si="796"/>
        <v>135</v>
      </c>
      <c r="O3399" s="671"/>
      <c r="P3399" s="672"/>
      <c r="Q3399" s="828" t="s">
        <v>2311</v>
      </c>
      <c r="R3399" s="845"/>
      <c r="S3399" s="848"/>
      <c r="T3399" s="848"/>
      <c r="U3399" s="848"/>
      <c r="V3399" s="848"/>
    </row>
    <row r="3400" spans="1:22" s="848" customFormat="1" ht="17.100000000000001" customHeight="1">
      <c r="A3400" s="1316" t="s">
        <v>248</v>
      </c>
      <c r="B3400" s="1317"/>
      <c r="C3400" s="1321" t="s">
        <v>2330</v>
      </c>
      <c r="D3400" s="1317"/>
      <c r="E3400" s="683">
        <v>5.9999999999999995E-4</v>
      </c>
      <c r="F3400" s="676" t="s">
        <v>366</v>
      </c>
      <c r="G3400" s="670"/>
      <c r="H3400" s="670"/>
      <c r="I3400" s="670">
        <f>[53]노임단가!$T$5</f>
        <v>172068</v>
      </c>
      <c r="J3400" s="670">
        <f t="shared" si="797"/>
        <v>103</v>
      </c>
      <c r="K3400" s="670"/>
      <c r="L3400" s="670"/>
      <c r="M3400" s="670">
        <f t="shared" si="796"/>
        <v>172068</v>
      </c>
      <c r="N3400" s="670">
        <f t="shared" si="796"/>
        <v>103</v>
      </c>
      <c r="O3400" s="671"/>
      <c r="P3400" s="672"/>
      <c r="Q3400" s="828" t="s">
        <v>2311</v>
      </c>
      <c r="R3400" s="845"/>
      <c r="S3400" s="845"/>
      <c r="T3400" s="845"/>
      <c r="U3400" s="845"/>
      <c r="V3400" s="845"/>
    </row>
    <row r="3401" spans="1:22" s="848" customFormat="1" ht="17.100000000000001" customHeight="1">
      <c r="A3401" s="1316" t="s">
        <v>628</v>
      </c>
      <c r="B3401" s="1317"/>
      <c r="C3401" s="1321" t="s">
        <v>2343</v>
      </c>
      <c r="D3401" s="1317"/>
      <c r="E3401" s="686">
        <v>5.9999999999999995E-4</v>
      </c>
      <c r="F3401" s="676" t="s">
        <v>366</v>
      </c>
      <c r="G3401" s="670"/>
      <c r="H3401" s="670"/>
      <c r="I3401" s="670">
        <f>[53]노임단가!$T$6</f>
        <v>226122</v>
      </c>
      <c r="J3401" s="670">
        <f t="shared" si="797"/>
        <v>135</v>
      </c>
      <c r="K3401" s="670"/>
      <c r="L3401" s="670"/>
      <c r="M3401" s="670">
        <f t="shared" si="796"/>
        <v>226122</v>
      </c>
      <c r="N3401" s="670">
        <f t="shared" si="796"/>
        <v>135</v>
      </c>
      <c r="O3401" s="671"/>
      <c r="P3401" s="852"/>
      <c r="Q3401" s="849" t="s">
        <v>2311</v>
      </c>
      <c r="R3401" s="845" t="e">
        <f>TRUNC(2/$Y3398,5)</f>
        <v>#DIV/0!</v>
      </c>
    </row>
    <row r="3402" spans="1:22" s="848" customFormat="1" ht="17.100000000000001" customHeight="1">
      <c r="A3402" s="1316" t="s">
        <v>248</v>
      </c>
      <c r="B3402" s="1317"/>
      <c r="C3402" s="1321" t="s">
        <v>2343</v>
      </c>
      <c r="D3402" s="1317"/>
      <c r="E3402" s="686">
        <v>5.9999999999999995E-4</v>
      </c>
      <c r="F3402" s="676" t="s">
        <v>366</v>
      </c>
      <c r="G3402" s="670"/>
      <c r="H3402" s="670"/>
      <c r="I3402" s="670">
        <f>[53]노임단가!$T$5</f>
        <v>172068</v>
      </c>
      <c r="J3402" s="670">
        <f t="shared" si="797"/>
        <v>103</v>
      </c>
      <c r="K3402" s="670"/>
      <c r="L3402" s="670"/>
      <c r="M3402" s="670">
        <f t="shared" si="796"/>
        <v>172068</v>
      </c>
      <c r="N3402" s="670">
        <f t="shared" si="796"/>
        <v>103</v>
      </c>
      <c r="O3402" s="671"/>
      <c r="P3402" s="852"/>
      <c r="Q3402" s="849" t="s">
        <v>2311</v>
      </c>
      <c r="R3402" s="845" t="e">
        <f>TRUNC(1/$Y3398,5)</f>
        <v>#DIV/0!</v>
      </c>
      <c r="S3402" s="845"/>
      <c r="T3402" s="845"/>
      <c r="U3402" s="845"/>
      <c r="V3402" s="845"/>
    </row>
    <row r="3403" spans="1:22" s="848" customFormat="1" ht="17.100000000000001" customHeight="1">
      <c r="A3403" s="1316" t="s">
        <v>1161</v>
      </c>
      <c r="B3403" s="1317"/>
      <c r="C3403" s="1316" t="s">
        <v>2345</v>
      </c>
      <c r="D3403" s="1317"/>
      <c r="E3403" s="686">
        <v>2.3999999999999998E-3</v>
      </c>
      <c r="F3403" s="676" t="s">
        <v>418</v>
      </c>
      <c r="G3403" s="670" t="e">
        <f>#REF!</f>
        <v>#REF!</v>
      </c>
      <c r="H3403" s="670" t="e">
        <f>INT(E3403*G3403)</f>
        <v>#REF!</v>
      </c>
      <c r="I3403" s="670" t="e">
        <f>#REF!</f>
        <v>#REF!</v>
      </c>
      <c r="J3403" s="670" t="e">
        <f t="shared" si="797"/>
        <v>#REF!</v>
      </c>
      <c r="K3403" s="670" t="e">
        <f>#REF!</f>
        <v>#REF!</v>
      </c>
      <c r="L3403" s="670" t="e">
        <f>INT(E3403*K3403)</f>
        <v>#REF!</v>
      </c>
      <c r="M3403" s="670" t="e">
        <f t="shared" si="796"/>
        <v>#REF!</v>
      </c>
      <c r="N3403" s="670" t="e">
        <f t="shared" si="796"/>
        <v>#REF!</v>
      </c>
      <c r="O3403" s="671"/>
      <c r="P3403" s="852"/>
      <c r="Q3403" s="849" t="s">
        <v>2311</v>
      </c>
      <c r="R3403" s="847">
        <f>W3398</f>
        <v>0</v>
      </c>
      <c r="S3403" s="850"/>
      <c r="T3403" s="850"/>
      <c r="U3403" s="850"/>
      <c r="V3403" s="850"/>
    </row>
    <row r="3404" spans="1:22" s="848" customFormat="1" ht="17.100000000000001" customHeight="1">
      <c r="A3404" s="1316" t="s">
        <v>1161</v>
      </c>
      <c r="B3404" s="1317"/>
      <c r="C3404" s="1316" t="s">
        <v>2363</v>
      </c>
      <c r="D3404" s="1317"/>
      <c r="E3404" s="686">
        <v>2.3999999999999998E-3</v>
      </c>
      <c r="F3404" s="676" t="s">
        <v>418</v>
      </c>
      <c r="G3404" s="670" t="e">
        <f>#REF!</f>
        <v>#REF!</v>
      </c>
      <c r="H3404" s="670" t="e">
        <f>INT(E3404*G3404)</f>
        <v>#REF!</v>
      </c>
      <c r="I3404" s="670" t="e">
        <f>#REF!</f>
        <v>#REF!</v>
      </c>
      <c r="J3404" s="670" t="e">
        <f t="shared" si="797"/>
        <v>#REF!</v>
      </c>
      <c r="K3404" s="670" t="e">
        <f>#REF!</f>
        <v>#REF!</v>
      </c>
      <c r="L3404" s="670" t="e">
        <f>INT(E3404*K3404)</f>
        <v>#REF!</v>
      </c>
      <c r="M3404" s="670" t="e">
        <f t="shared" si="796"/>
        <v>#REF!</v>
      </c>
      <c r="N3404" s="670" t="e">
        <f t="shared" si="796"/>
        <v>#REF!</v>
      </c>
      <c r="O3404" s="671"/>
      <c r="P3404" s="852"/>
      <c r="Q3404" s="849" t="s">
        <v>2311</v>
      </c>
      <c r="R3404" s="847">
        <f>W3399</f>
        <v>0</v>
      </c>
      <c r="S3404" s="850"/>
      <c r="T3404" s="850"/>
      <c r="U3404" s="850"/>
      <c r="V3404" s="850"/>
    </row>
    <row r="3405" spans="1:22" s="848" customFormat="1" ht="17.100000000000001" customHeight="1">
      <c r="A3405" s="1316" t="s">
        <v>1161</v>
      </c>
      <c r="B3405" s="1317"/>
      <c r="C3405" s="1316" t="s">
        <v>2364</v>
      </c>
      <c r="D3405" s="1317"/>
      <c r="E3405" s="686">
        <v>2.3999999999999998E-3</v>
      </c>
      <c r="F3405" s="676" t="s">
        <v>418</v>
      </c>
      <c r="G3405" s="670" t="e">
        <f>#REF!</f>
        <v>#REF!</v>
      </c>
      <c r="H3405" s="670" t="e">
        <f>INT(E3405*G3405)</f>
        <v>#REF!</v>
      </c>
      <c r="I3405" s="670" t="e">
        <f>#REF!</f>
        <v>#REF!</v>
      </c>
      <c r="J3405" s="670" t="e">
        <f t="shared" si="797"/>
        <v>#REF!</v>
      </c>
      <c r="K3405" s="670" t="e">
        <f>#REF!</f>
        <v>#REF!</v>
      </c>
      <c r="L3405" s="670" t="e">
        <f>INT(E3405*K3405)</f>
        <v>#REF!</v>
      </c>
      <c r="M3405" s="670" t="e">
        <f t="shared" si="796"/>
        <v>#REF!</v>
      </c>
      <c r="N3405" s="670" t="e">
        <f t="shared" si="796"/>
        <v>#REF!</v>
      </c>
      <c r="O3405" s="671"/>
      <c r="P3405" s="852"/>
      <c r="Q3405" s="849" t="s">
        <v>2311</v>
      </c>
      <c r="R3405" s="850"/>
      <c r="S3405" s="850"/>
      <c r="T3405" s="850"/>
      <c r="U3405" s="850"/>
      <c r="V3405" s="850"/>
    </row>
    <row r="3406" spans="1:22" s="848" customFormat="1" ht="17.100000000000001" customHeight="1">
      <c r="A3406" s="1316" t="s">
        <v>2346</v>
      </c>
      <c r="B3406" s="1317"/>
      <c r="C3406" s="1321" t="s">
        <v>2365</v>
      </c>
      <c r="D3406" s="1317"/>
      <c r="E3406" s="686">
        <v>0.1</v>
      </c>
      <c r="F3406" s="676" t="s">
        <v>672</v>
      </c>
      <c r="G3406" s="670"/>
      <c r="H3406" s="670">
        <f>INT(E3406*G3406)</f>
        <v>0</v>
      </c>
      <c r="I3406" s="670"/>
      <c r="J3406" s="670"/>
      <c r="K3406" s="670">
        <f>J3399+J3400</f>
        <v>238</v>
      </c>
      <c r="L3406" s="670">
        <f>INT(E3406*K3406)</f>
        <v>23</v>
      </c>
      <c r="M3406" s="670">
        <f t="shared" si="796"/>
        <v>238</v>
      </c>
      <c r="N3406" s="670">
        <f t="shared" si="796"/>
        <v>23</v>
      </c>
      <c r="O3406" s="671"/>
      <c r="P3406" s="852"/>
      <c r="Q3406" s="849" t="s">
        <v>2311</v>
      </c>
      <c r="R3406" s="850"/>
      <c r="S3406" s="850"/>
      <c r="T3406" s="850"/>
      <c r="U3406" s="850"/>
      <c r="V3406" s="850"/>
    </row>
    <row r="3407" spans="1:22" s="688" customFormat="1" ht="17.100000000000001" customHeight="1">
      <c r="A3407" s="1316" t="s">
        <v>1328</v>
      </c>
      <c r="B3407" s="1317"/>
      <c r="C3407" s="1321" t="s">
        <v>2347</v>
      </c>
      <c r="D3407" s="1317"/>
      <c r="E3407" s="686">
        <v>0.01</v>
      </c>
      <c r="F3407" s="676" t="s">
        <v>672</v>
      </c>
      <c r="G3407" s="670" t="e">
        <f>SUM(H3395:H3396)</f>
        <v>#REF!</v>
      </c>
      <c r="H3407" s="670" t="e">
        <f>INT(E3407*G3407)</f>
        <v>#REF!</v>
      </c>
      <c r="I3407" s="670"/>
      <c r="J3407" s="670"/>
      <c r="K3407" s="670"/>
      <c r="L3407" s="670"/>
      <c r="M3407" s="670" t="e">
        <f>G3407+I3407+K3407</f>
        <v>#REF!</v>
      </c>
      <c r="N3407" s="670" t="e">
        <f>H3407+J3407+L3407</f>
        <v>#REF!</v>
      </c>
      <c r="O3407" s="671"/>
      <c r="P3407" s="852"/>
      <c r="Q3407" s="849" t="s">
        <v>2311</v>
      </c>
      <c r="R3407" s="850"/>
      <c r="S3407" s="850"/>
      <c r="T3407" s="850"/>
      <c r="U3407" s="850"/>
      <c r="V3407" s="850"/>
    </row>
    <row r="3408" spans="1:22" s="688" customFormat="1" ht="17.100000000000001" customHeight="1">
      <c r="A3408" s="1318" t="s">
        <v>1320</v>
      </c>
      <c r="B3408" s="1319"/>
      <c r="C3408" s="1316"/>
      <c r="D3408" s="1317"/>
      <c r="E3408" s="686"/>
      <c r="F3408" s="676"/>
      <c r="G3408" s="670"/>
      <c r="H3408" s="670" t="e">
        <f>SUM(H3396:H3407)</f>
        <v>#REF!</v>
      </c>
      <c r="I3408" s="670"/>
      <c r="J3408" s="670" t="e">
        <f>SUM(J3396:J3407)</f>
        <v>#REF!</v>
      </c>
      <c r="K3408" s="670"/>
      <c r="L3408" s="670" t="e">
        <f>SUM(L3396:L3407)</f>
        <v>#REF!</v>
      </c>
      <c r="M3408" s="670"/>
      <c r="N3408" s="670" t="e">
        <f>SUM(N3396:N3407)</f>
        <v>#REF!</v>
      </c>
      <c r="O3408" s="671"/>
      <c r="P3408" s="672"/>
      <c r="Q3408" s="828" t="s">
        <v>2311</v>
      </c>
      <c r="R3408" s="848"/>
      <c r="S3408" s="850"/>
      <c r="T3408" s="850"/>
      <c r="U3408" s="850"/>
      <c r="V3408" s="850"/>
    </row>
    <row r="3409" spans="1:22" s="688" customFormat="1" ht="17.100000000000001" customHeight="1">
      <c r="A3409" s="668">
        <f>A3393+1</f>
        <v>462</v>
      </c>
      <c r="B3409" s="1320" t="s">
        <v>2359</v>
      </c>
      <c r="C3409" s="1320"/>
      <c r="D3409" s="1320" t="s">
        <v>2349</v>
      </c>
      <c r="E3409" s="1320"/>
      <c r="F3409" s="669" t="s">
        <v>272</v>
      </c>
      <c r="G3409" s="698"/>
      <c r="H3409" s="698"/>
      <c r="I3409" s="698"/>
      <c r="J3409" s="698"/>
      <c r="K3409" s="670"/>
      <c r="L3409" s="670"/>
      <c r="M3409" s="670"/>
      <c r="N3409" s="698"/>
      <c r="O3409" s="699" t="s">
        <v>1562</v>
      </c>
      <c r="P3409" s="672" t="s">
        <v>2314</v>
      </c>
      <c r="Q3409" s="828" t="s">
        <v>2311</v>
      </c>
      <c r="R3409" s="850"/>
      <c r="S3409" s="850"/>
      <c r="T3409" s="850"/>
      <c r="U3409" s="850"/>
      <c r="V3409" s="850"/>
    </row>
    <row r="3410" spans="1:22" s="688" customFormat="1" ht="17.100000000000001" customHeight="1">
      <c r="A3410" s="1316" t="s">
        <v>943</v>
      </c>
      <c r="B3410" s="1317"/>
      <c r="C3410" s="1316" t="s">
        <v>2360</v>
      </c>
      <c r="D3410" s="1317"/>
      <c r="E3410" s="683">
        <v>0.67949999999999999</v>
      </c>
      <c r="F3410" s="676" t="s">
        <v>835</v>
      </c>
      <c r="G3410" s="670" t="e">
        <f>#REF!</f>
        <v>#REF!</v>
      </c>
      <c r="H3410" s="670" t="e">
        <f>INT(E3410*G3410)</f>
        <v>#REF!</v>
      </c>
      <c r="I3410" s="670"/>
      <c r="J3410" s="670"/>
      <c r="K3410" s="670"/>
      <c r="L3410" s="670"/>
      <c r="M3410" s="670" t="e">
        <f t="shared" ref="M3410:N3422" si="798">G3410+I3410+K3410</f>
        <v>#REF!</v>
      </c>
      <c r="N3410" s="670" t="e">
        <f t="shared" si="798"/>
        <v>#REF!</v>
      </c>
      <c r="O3410" s="671" t="s">
        <v>2340</v>
      </c>
      <c r="P3410" s="672" t="s">
        <v>2316</v>
      </c>
      <c r="Q3410" s="828" t="s">
        <v>2311</v>
      </c>
      <c r="R3410" s="845"/>
      <c r="S3410" s="846"/>
      <c r="T3410" s="846"/>
      <c r="U3410" s="851"/>
      <c r="V3410" s="851"/>
    </row>
    <row r="3411" spans="1:22" s="688" customFormat="1" ht="17.100000000000001" customHeight="1">
      <c r="A3411" s="1316" t="s">
        <v>943</v>
      </c>
      <c r="B3411" s="1317"/>
      <c r="C3411" s="1316" t="s">
        <v>2361</v>
      </c>
      <c r="D3411" s="1317"/>
      <c r="E3411" s="683">
        <v>0.67949999999999999</v>
      </c>
      <c r="F3411" s="676" t="s">
        <v>835</v>
      </c>
      <c r="G3411" s="670" t="e">
        <f>#REF!</f>
        <v>#REF!</v>
      </c>
      <c r="H3411" s="670" t="e">
        <f>INT(E3411*G3411)</f>
        <v>#REF!</v>
      </c>
      <c r="I3411" s="670"/>
      <c r="J3411" s="670"/>
      <c r="K3411" s="670"/>
      <c r="L3411" s="670"/>
      <c r="M3411" s="670" t="e">
        <f t="shared" si="798"/>
        <v>#REF!</v>
      </c>
      <c r="N3411" s="670" t="e">
        <f t="shared" si="798"/>
        <v>#REF!</v>
      </c>
      <c r="O3411" s="671" t="s">
        <v>2340</v>
      </c>
      <c r="P3411" s="672" t="s">
        <v>2319</v>
      </c>
      <c r="Q3411" s="828" t="s">
        <v>2311</v>
      </c>
      <c r="R3411" s="845"/>
      <c r="S3411" s="845"/>
      <c r="T3411" s="845"/>
      <c r="U3411" s="845"/>
      <c r="V3411" s="845"/>
    </row>
    <row r="3412" spans="1:22" s="688" customFormat="1" ht="17.100000000000001" customHeight="1">
      <c r="A3412" s="1316" t="s">
        <v>941</v>
      </c>
      <c r="B3412" s="1317"/>
      <c r="C3412" s="1316" t="s">
        <v>2342</v>
      </c>
      <c r="D3412" s="1317"/>
      <c r="E3412" s="683">
        <v>4.65E-2</v>
      </c>
      <c r="F3412" s="676" t="s">
        <v>835</v>
      </c>
      <c r="G3412" s="670" t="e">
        <f>#REF!</f>
        <v>#REF!</v>
      </c>
      <c r="H3412" s="670" t="e">
        <f>INT(E3412*G3412)</f>
        <v>#REF!</v>
      </c>
      <c r="I3412" s="670"/>
      <c r="J3412" s="670"/>
      <c r="K3412" s="670"/>
      <c r="L3412" s="670"/>
      <c r="M3412" s="670" t="e">
        <f t="shared" si="798"/>
        <v>#REF!</v>
      </c>
      <c r="N3412" s="670" t="e">
        <f t="shared" si="798"/>
        <v>#REF!</v>
      </c>
      <c r="O3412" s="671"/>
      <c r="P3412" s="672"/>
      <c r="Q3412" s="828" t="s">
        <v>2311</v>
      </c>
      <c r="R3412" s="845"/>
      <c r="S3412" s="845"/>
      <c r="T3412" s="845"/>
      <c r="U3412" s="845"/>
      <c r="V3412" s="845"/>
    </row>
    <row r="3413" spans="1:22" s="688" customFormat="1" ht="17.100000000000001" customHeight="1">
      <c r="A3413" s="1316" t="s">
        <v>946</v>
      </c>
      <c r="B3413" s="1317"/>
      <c r="C3413" s="1316" t="s">
        <v>2362</v>
      </c>
      <c r="D3413" s="1317"/>
      <c r="E3413" s="683">
        <v>0.03</v>
      </c>
      <c r="F3413" s="676" t="s">
        <v>835</v>
      </c>
      <c r="G3413" s="670" t="e">
        <f>#REF!</f>
        <v>#REF!</v>
      </c>
      <c r="H3413" s="670" t="e">
        <f>INT(E3413*G3413)</f>
        <v>#REF!</v>
      </c>
      <c r="I3413" s="670"/>
      <c r="J3413" s="670"/>
      <c r="K3413" s="670"/>
      <c r="L3413" s="670"/>
      <c r="M3413" s="670" t="e">
        <f t="shared" si="798"/>
        <v>#REF!</v>
      </c>
      <c r="N3413" s="670" t="e">
        <f t="shared" si="798"/>
        <v>#REF!</v>
      </c>
      <c r="O3413" s="671"/>
      <c r="P3413" s="672"/>
      <c r="Q3413" s="828" t="s">
        <v>2311</v>
      </c>
      <c r="R3413" s="845"/>
      <c r="S3413" s="848"/>
      <c r="T3413" s="848"/>
      <c r="U3413" s="848"/>
      <c r="V3413" s="848"/>
    </row>
    <row r="3414" spans="1:22" s="688" customFormat="1" ht="17.100000000000001" customHeight="1">
      <c r="A3414" s="1316" t="s">
        <v>1041</v>
      </c>
      <c r="B3414" s="1317"/>
      <c r="C3414" s="1316"/>
      <c r="D3414" s="1317"/>
      <c r="E3414" s="683">
        <v>0.03</v>
      </c>
      <c r="F3414" s="676" t="s">
        <v>835</v>
      </c>
      <c r="G3414" s="670" t="e">
        <f>#REF!</f>
        <v>#REF!</v>
      </c>
      <c r="H3414" s="670" t="e">
        <f>INT(E3414*G3414)</f>
        <v>#REF!</v>
      </c>
      <c r="I3414" s="670"/>
      <c r="J3414" s="670"/>
      <c r="K3414" s="670"/>
      <c r="L3414" s="670"/>
      <c r="M3414" s="670" t="e">
        <f t="shared" si="798"/>
        <v>#REF!</v>
      </c>
      <c r="N3414" s="670" t="e">
        <f t="shared" si="798"/>
        <v>#REF!</v>
      </c>
      <c r="O3414" s="671"/>
      <c r="P3414" s="672"/>
      <c r="Q3414" s="828" t="s">
        <v>2311</v>
      </c>
      <c r="R3414" s="845"/>
      <c r="S3414" s="848"/>
      <c r="T3414" s="848"/>
      <c r="U3414" s="848"/>
      <c r="V3414" s="848"/>
    </row>
    <row r="3415" spans="1:22" s="848" customFormat="1" ht="17.100000000000001" customHeight="1">
      <c r="A3415" s="1316" t="s">
        <v>628</v>
      </c>
      <c r="B3415" s="1317"/>
      <c r="C3415" s="1321" t="s">
        <v>2330</v>
      </c>
      <c r="D3415" s="1317"/>
      <c r="E3415" s="683">
        <v>1.1999999999999999E-3</v>
      </c>
      <c r="F3415" s="676" t="s">
        <v>366</v>
      </c>
      <c r="G3415" s="670"/>
      <c r="H3415" s="670"/>
      <c r="I3415" s="670">
        <f>[53]노임단가!$T$6</f>
        <v>226122</v>
      </c>
      <c r="J3415" s="670">
        <f t="shared" ref="J3415:J3421" si="799">INT(E3415*I3415)</f>
        <v>271</v>
      </c>
      <c r="K3415" s="670"/>
      <c r="L3415" s="670"/>
      <c r="M3415" s="670">
        <f t="shared" si="798"/>
        <v>226122</v>
      </c>
      <c r="N3415" s="670">
        <f t="shared" si="798"/>
        <v>271</v>
      </c>
      <c r="O3415" s="671"/>
      <c r="P3415" s="672"/>
      <c r="Q3415" s="828" t="s">
        <v>2311</v>
      </c>
      <c r="R3415" s="845"/>
      <c r="S3415" s="845"/>
      <c r="T3415" s="845"/>
      <c r="U3415" s="845"/>
      <c r="V3415" s="845"/>
    </row>
    <row r="3416" spans="1:22" s="848" customFormat="1" ht="17.100000000000001" customHeight="1">
      <c r="A3416" s="1316" t="s">
        <v>248</v>
      </c>
      <c r="B3416" s="1317"/>
      <c r="C3416" s="1321" t="s">
        <v>2330</v>
      </c>
      <c r="D3416" s="1317"/>
      <c r="E3416" s="683">
        <v>1.1999999999999999E-3</v>
      </c>
      <c r="F3416" s="676" t="s">
        <v>366</v>
      </c>
      <c r="G3416" s="670"/>
      <c r="H3416" s="670"/>
      <c r="I3416" s="670">
        <f>[53]노임단가!$T$5</f>
        <v>172068</v>
      </c>
      <c r="J3416" s="670">
        <f t="shared" si="799"/>
        <v>206</v>
      </c>
      <c r="K3416" s="670"/>
      <c r="L3416" s="670"/>
      <c r="M3416" s="670">
        <f t="shared" si="798"/>
        <v>172068</v>
      </c>
      <c r="N3416" s="670">
        <f t="shared" si="798"/>
        <v>206</v>
      </c>
      <c r="O3416" s="671"/>
      <c r="P3416" s="852"/>
      <c r="Q3416" s="849" t="s">
        <v>2311</v>
      </c>
      <c r="R3416" s="845" t="e">
        <f>TRUNC(2/$Y3413,5)</f>
        <v>#DIV/0!</v>
      </c>
    </row>
    <row r="3417" spans="1:22" s="848" customFormat="1" ht="17.100000000000001" customHeight="1">
      <c r="A3417" s="1316" t="s">
        <v>628</v>
      </c>
      <c r="B3417" s="1317"/>
      <c r="C3417" s="1321" t="s">
        <v>2343</v>
      </c>
      <c r="D3417" s="1317"/>
      <c r="E3417" s="686">
        <v>1.1999999999999999E-3</v>
      </c>
      <c r="F3417" s="676" t="s">
        <v>366</v>
      </c>
      <c r="G3417" s="670"/>
      <c r="H3417" s="670"/>
      <c r="I3417" s="670">
        <f>[53]노임단가!$T$6</f>
        <v>226122</v>
      </c>
      <c r="J3417" s="670">
        <f t="shared" si="799"/>
        <v>271</v>
      </c>
      <c r="K3417" s="670"/>
      <c r="L3417" s="670"/>
      <c r="M3417" s="670">
        <f t="shared" si="798"/>
        <v>226122</v>
      </c>
      <c r="N3417" s="670">
        <f t="shared" si="798"/>
        <v>271</v>
      </c>
      <c r="O3417" s="671"/>
      <c r="P3417" s="852"/>
      <c r="Q3417" s="849" t="s">
        <v>2311</v>
      </c>
      <c r="R3417" s="845" t="e">
        <f>TRUNC(1/$Y3413,5)</f>
        <v>#DIV/0!</v>
      </c>
      <c r="S3417" s="845"/>
      <c r="T3417" s="845"/>
      <c r="U3417" s="845"/>
      <c r="V3417" s="845"/>
    </row>
    <row r="3418" spans="1:22" s="848" customFormat="1" ht="17.100000000000001" customHeight="1">
      <c r="A3418" s="1316" t="s">
        <v>248</v>
      </c>
      <c r="B3418" s="1317"/>
      <c r="C3418" s="1321" t="s">
        <v>2343</v>
      </c>
      <c r="D3418" s="1317"/>
      <c r="E3418" s="686">
        <v>1.1999999999999999E-3</v>
      </c>
      <c r="F3418" s="676" t="s">
        <v>366</v>
      </c>
      <c r="G3418" s="670"/>
      <c r="H3418" s="670"/>
      <c r="I3418" s="670">
        <f>[53]노임단가!$T$5</f>
        <v>172068</v>
      </c>
      <c r="J3418" s="670">
        <f t="shared" si="799"/>
        <v>206</v>
      </c>
      <c r="K3418" s="670"/>
      <c r="L3418" s="670"/>
      <c r="M3418" s="670">
        <f t="shared" si="798"/>
        <v>172068</v>
      </c>
      <c r="N3418" s="670">
        <f t="shared" si="798"/>
        <v>206</v>
      </c>
      <c r="O3418" s="671"/>
      <c r="P3418" s="852"/>
      <c r="Q3418" s="849" t="s">
        <v>2311</v>
      </c>
      <c r="R3418" s="847">
        <f>W3413</f>
        <v>0</v>
      </c>
      <c r="S3418" s="850"/>
      <c r="T3418" s="850"/>
      <c r="U3418" s="850"/>
      <c r="V3418" s="850"/>
    </row>
    <row r="3419" spans="1:22" s="848" customFormat="1" ht="17.100000000000001" customHeight="1">
      <c r="A3419" s="1316" t="s">
        <v>1161</v>
      </c>
      <c r="B3419" s="1317"/>
      <c r="C3419" s="1316" t="s">
        <v>2345</v>
      </c>
      <c r="D3419" s="1317"/>
      <c r="E3419" s="686">
        <v>4.7999999999999996E-3</v>
      </c>
      <c r="F3419" s="676" t="s">
        <v>418</v>
      </c>
      <c r="G3419" s="670" t="e">
        <f>#REF!</f>
        <v>#REF!</v>
      </c>
      <c r="H3419" s="670" t="e">
        <f>INT(E3419*G3419)</f>
        <v>#REF!</v>
      </c>
      <c r="I3419" s="670" t="e">
        <f>#REF!</f>
        <v>#REF!</v>
      </c>
      <c r="J3419" s="670" t="e">
        <f t="shared" si="799"/>
        <v>#REF!</v>
      </c>
      <c r="K3419" s="670" t="e">
        <f>#REF!</f>
        <v>#REF!</v>
      </c>
      <c r="L3419" s="670" t="e">
        <f>INT(E3419*K3419)</f>
        <v>#REF!</v>
      </c>
      <c r="M3419" s="670" t="e">
        <f t="shared" si="798"/>
        <v>#REF!</v>
      </c>
      <c r="N3419" s="670" t="e">
        <f t="shared" si="798"/>
        <v>#REF!</v>
      </c>
      <c r="O3419" s="671"/>
      <c r="P3419" s="852"/>
      <c r="Q3419" s="849" t="s">
        <v>2311</v>
      </c>
      <c r="R3419" s="847">
        <f>W3414</f>
        <v>0</v>
      </c>
      <c r="S3419" s="850"/>
      <c r="T3419" s="850"/>
      <c r="U3419" s="850"/>
      <c r="V3419" s="850"/>
    </row>
    <row r="3420" spans="1:22" s="848" customFormat="1" ht="17.100000000000001" customHeight="1">
      <c r="A3420" s="1316" t="s">
        <v>1161</v>
      </c>
      <c r="B3420" s="1317"/>
      <c r="C3420" s="1316" t="s">
        <v>2363</v>
      </c>
      <c r="D3420" s="1317"/>
      <c r="E3420" s="686">
        <v>4.7999999999999996E-3</v>
      </c>
      <c r="F3420" s="676" t="s">
        <v>418</v>
      </c>
      <c r="G3420" s="670" t="e">
        <f>#REF!</f>
        <v>#REF!</v>
      </c>
      <c r="H3420" s="670" t="e">
        <f>INT(E3420*G3420)</f>
        <v>#REF!</v>
      </c>
      <c r="I3420" s="670" t="e">
        <f>#REF!</f>
        <v>#REF!</v>
      </c>
      <c r="J3420" s="670" t="e">
        <f t="shared" si="799"/>
        <v>#REF!</v>
      </c>
      <c r="K3420" s="670" t="e">
        <f>#REF!</f>
        <v>#REF!</v>
      </c>
      <c r="L3420" s="670" t="e">
        <f>INT(E3420*K3420)</f>
        <v>#REF!</v>
      </c>
      <c r="M3420" s="670" t="e">
        <f t="shared" si="798"/>
        <v>#REF!</v>
      </c>
      <c r="N3420" s="670" t="e">
        <f t="shared" si="798"/>
        <v>#REF!</v>
      </c>
      <c r="O3420" s="671"/>
      <c r="P3420" s="852"/>
      <c r="Q3420" s="849" t="s">
        <v>2311</v>
      </c>
      <c r="R3420" s="850"/>
      <c r="S3420" s="850"/>
      <c r="T3420" s="850"/>
      <c r="U3420" s="850"/>
      <c r="V3420" s="850"/>
    </row>
    <row r="3421" spans="1:22" s="848" customFormat="1" ht="17.100000000000001" customHeight="1">
      <c r="A3421" s="1316" t="s">
        <v>1161</v>
      </c>
      <c r="B3421" s="1317"/>
      <c r="C3421" s="1316" t="s">
        <v>2364</v>
      </c>
      <c r="D3421" s="1317"/>
      <c r="E3421" s="686">
        <v>4.7999999999999996E-3</v>
      </c>
      <c r="F3421" s="676" t="s">
        <v>418</v>
      </c>
      <c r="G3421" s="670" t="e">
        <f>#REF!</f>
        <v>#REF!</v>
      </c>
      <c r="H3421" s="670" t="e">
        <f>INT(E3421*G3421)</f>
        <v>#REF!</v>
      </c>
      <c r="I3421" s="670" t="e">
        <f>#REF!</f>
        <v>#REF!</v>
      </c>
      <c r="J3421" s="670" t="e">
        <f t="shared" si="799"/>
        <v>#REF!</v>
      </c>
      <c r="K3421" s="670" t="e">
        <f>#REF!</f>
        <v>#REF!</v>
      </c>
      <c r="L3421" s="670" t="e">
        <f>INT(E3421*K3421)</f>
        <v>#REF!</v>
      </c>
      <c r="M3421" s="670" t="e">
        <f t="shared" si="798"/>
        <v>#REF!</v>
      </c>
      <c r="N3421" s="670" t="e">
        <f t="shared" si="798"/>
        <v>#REF!</v>
      </c>
      <c r="O3421" s="671"/>
      <c r="P3421" s="852"/>
      <c r="Q3421" s="849" t="s">
        <v>2311</v>
      </c>
      <c r="R3421" s="850"/>
      <c r="S3421" s="850"/>
      <c r="T3421" s="850"/>
      <c r="U3421" s="850"/>
      <c r="V3421" s="850"/>
    </row>
    <row r="3422" spans="1:22" s="688" customFormat="1" ht="17.100000000000001" customHeight="1">
      <c r="A3422" s="1316" t="s">
        <v>2346</v>
      </c>
      <c r="B3422" s="1317"/>
      <c r="C3422" s="1321" t="s">
        <v>2365</v>
      </c>
      <c r="D3422" s="1317"/>
      <c r="E3422" s="686">
        <v>0.1</v>
      </c>
      <c r="F3422" s="676" t="s">
        <v>672</v>
      </c>
      <c r="G3422" s="670"/>
      <c r="H3422" s="670">
        <f>INT(E3422*G3422)</f>
        <v>0</v>
      </c>
      <c r="I3422" s="670"/>
      <c r="J3422" s="670"/>
      <c r="K3422" s="670">
        <f>J3415+J3416</f>
        <v>477</v>
      </c>
      <c r="L3422" s="670">
        <f>INT(E3422*K3422)</f>
        <v>47</v>
      </c>
      <c r="M3422" s="670">
        <f t="shared" si="798"/>
        <v>477</v>
      </c>
      <c r="N3422" s="670">
        <f t="shared" si="798"/>
        <v>47</v>
      </c>
      <c r="O3422" s="671"/>
      <c r="P3422" s="852"/>
      <c r="Q3422" s="849" t="s">
        <v>2311</v>
      </c>
      <c r="R3422" s="850"/>
      <c r="S3422" s="850"/>
      <c r="T3422" s="850"/>
      <c r="U3422" s="850"/>
      <c r="V3422" s="850"/>
    </row>
    <row r="3423" spans="1:22" s="688" customFormat="1" ht="17.100000000000001" customHeight="1">
      <c r="A3423" s="1316" t="s">
        <v>1328</v>
      </c>
      <c r="B3423" s="1317"/>
      <c r="C3423" s="1321" t="s">
        <v>2347</v>
      </c>
      <c r="D3423" s="1317"/>
      <c r="E3423" s="686">
        <v>0.01</v>
      </c>
      <c r="F3423" s="676" t="s">
        <v>672</v>
      </c>
      <c r="G3423" s="670" t="e">
        <f>SUM(H3411:H3412)</f>
        <v>#REF!</v>
      </c>
      <c r="H3423" s="670" t="e">
        <f>INT(E3423*G3423)</f>
        <v>#REF!</v>
      </c>
      <c r="I3423" s="670"/>
      <c r="J3423" s="670"/>
      <c r="K3423" s="670"/>
      <c r="L3423" s="670"/>
      <c r="M3423" s="670" t="e">
        <f>G3423+I3423+K3423</f>
        <v>#REF!</v>
      </c>
      <c r="N3423" s="670" t="e">
        <f>H3423+J3423+L3423</f>
        <v>#REF!</v>
      </c>
      <c r="O3423" s="671"/>
      <c r="P3423" s="672"/>
      <c r="Q3423" s="828" t="s">
        <v>2311</v>
      </c>
      <c r="R3423" s="845"/>
      <c r="S3423" s="851"/>
      <c r="T3423" s="846"/>
      <c r="U3423" s="846"/>
      <c r="V3423" s="846"/>
    </row>
    <row r="3424" spans="1:22" s="688" customFormat="1" ht="17.100000000000001" customHeight="1">
      <c r="A3424" s="1318" t="s">
        <v>1320</v>
      </c>
      <c r="B3424" s="1319"/>
      <c r="C3424" s="1316"/>
      <c r="D3424" s="1317"/>
      <c r="E3424" s="686"/>
      <c r="F3424" s="676"/>
      <c r="G3424" s="670"/>
      <c r="H3424" s="670" t="e">
        <f>SUM(H3412:H3423)</f>
        <v>#REF!</v>
      </c>
      <c r="I3424" s="670"/>
      <c r="J3424" s="670" t="e">
        <f>SUM(J3412:J3423)</f>
        <v>#REF!</v>
      </c>
      <c r="K3424" s="670"/>
      <c r="L3424" s="670" t="e">
        <f>SUM(L3412:L3423)</f>
        <v>#REF!</v>
      </c>
      <c r="M3424" s="670"/>
      <c r="N3424" s="670" t="e">
        <f>SUM(N3412:N3423)</f>
        <v>#REF!</v>
      </c>
      <c r="O3424" s="671"/>
      <c r="P3424" s="672" t="s">
        <v>2314</v>
      </c>
      <c r="Q3424" s="828" t="s">
        <v>2311</v>
      </c>
      <c r="R3424" s="850"/>
      <c r="S3424" s="850"/>
      <c r="T3424" s="850"/>
      <c r="U3424" s="850"/>
      <c r="V3424" s="850"/>
    </row>
    <row r="3425" spans="1:22" s="688" customFormat="1" ht="17.100000000000001" customHeight="1">
      <c r="A3425" s="668">
        <f>A3409+1</f>
        <v>463</v>
      </c>
      <c r="B3425" s="1320" t="s">
        <v>2359</v>
      </c>
      <c r="C3425" s="1320"/>
      <c r="D3425" s="1320" t="s">
        <v>2350</v>
      </c>
      <c r="E3425" s="1320"/>
      <c r="F3425" s="669" t="s">
        <v>272</v>
      </c>
      <c r="G3425" s="698"/>
      <c r="H3425" s="698"/>
      <c r="I3425" s="698"/>
      <c r="J3425" s="698"/>
      <c r="K3425" s="670"/>
      <c r="L3425" s="670"/>
      <c r="M3425" s="670"/>
      <c r="N3425" s="698"/>
      <c r="O3425" s="699" t="s">
        <v>1562</v>
      </c>
      <c r="P3425" s="672" t="s">
        <v>2316</v>
      </c>
      <c r="Q3425" s="828" t="s">
        <v>2311</v>
      </c>
      <c r="R3425" s="845"/>
      <c r="S3425" s="846"/>
      <c r="T3425" s="846"/>
      <c r="U3425" s="851"/>
      <c r="V3425" s="851"/>
    </row>
    <row r="3426" spans="1:22" s="688" customFormat="1" ht="17.100000000000001" customHeight="1">
      <c r="A3426" s="1316" t="s">
        <v>943</v>
      </c>
      <c r="B3426" s="1317"/>
      <c r="C3426" s="1316" t="s">
        <v>2366</v>
      </c>
      <c r="D3426" s="1317"/>
      <c r="E3426" s="683">
        <v>0.67949999999999999</v>
      </c>
      <c r="F3426" s="676" t="s">
        <v>835</v>
      </c>
      <c r="G3426" s="670" t="e">
        <f>#REF!</f>
        <v>#REF!</v>
      </c>
      <c r="H3426" s="670" t="e">
        <f>INT(E3426*G3426)</f>
        <v>#REF!</v>
      </c>
      <c r="I3426" s="670"/>
      <c r="J3426" s="670"/>
      <c r="K3426" s="670"/>
      <c r="L3426" s="670"/>
      <c r="M3426" s="670" t="e">
        <f t="shared" ref="M3426:N3437" si="800">G3426+I3426+K3426</f>
        <v>#REF!</v>
      </c>
      <c r="N3426" s="670" t="e">
        <f t="shared" si="800"/>
        <v>#REF!</v>
      </c>
      <c r="O3426" s="671" t="s">
        <v>2340</v>
      </c>
      <c r="P3426" s="672"/>
      <c r="Q3426" s="828" t="s">
        <v>2311</v>
      </c>
      <c r="R3426" s="845"/>
      <c r="S3426" s="845"/>
      <c r="T3426" s="845"/>
      <c r="U3426" s="846"/>
      <c r="V3426" s="846"/>
    </row>
    <row r="3427" spans="1:22" s="688" customFormat="1" ht="17.100000000000001" customHeight="1">
      <c r="A3427" s="1316" t="s">
        <v>941</v>
      </c>
      <c r="B3427" s="1317"/>
      <c r="C3427" s="1316" t="s">
        <v>2342</v>
      </c>
      <c r="D3427" s="1317"/>
      <c r="E3427" s="683">
        <v>4.65E-2</v>
      </c>
      <c r="F3427" s="676" t="s">
        <v>835</v>
      </c>
      <c r="G3427" s="670" t="e">
        <f>#REF!</f>
        <v>#REF!</v>
      </c>
      <c r="H3427" s="670" t="e">
        <f>INT(E3427*G3427)</f>
        <v>#REF!</v>
      </c>
      <c r="I3427" s="670"/>
      <c r="J3427" s="670"/>
      <c r="K3427" s="670"/>
      <c r="L3427" s="670"/>
      <c r="M3427" s="670" t="e">
        <f t="shared" si="800"/>
        <v>#REF!</v>
      </c>
      <c r="N3427" s="670" t="e">
        <f t="shared" si="800"/>
        <v>#REF!</v>
      </c>
      <c r="O3427" s="671"/>
      <c r="P3427" s="672"/>
      <c r="Q3427" s="828" t="s">
        <v>2311</v>
      </c>
      <c r="R3427" s="845"/>
      <c r="S3427" s="845"/>
      <c r="T3427" s="845"/>
      <c r="U3427" s="845"/>
      <c r="V3427" s="845"/>
    </row>
    <row r="3428" spans="1:22" s="688" customFormat="1" ht="17.100000000000001" customHeight="1">
      <c r="A3428" s="1316" t="s">
        <v>946</v>
      </c>
      <c r="B3428" s="1317"/>
      <c r="C3428" s="1316" t="s">
        <v>2362</v>
      </c>
      <c r="D3428" s="1317"/>
      <c r="E3428" s="683">
        <v>0.03</v>
      </c>
      <c r="F3428" s="676" t="s">
        <v>835</v>
      </c>
      <c r="G3428" s="670" t="e">
        <f>#REF!</f>
        <v>#REF!</v>
      </c>
      <c r="H3428" s="670" t="e">
        <f>INT(E3428*G3428)</f>
        <v>#REF!</v>
      </c>
      <c r="I3428" s="670"/>
      <c r="J3428" s="670"/>
      <c r="K3428" s="670"/>
      <c r="L3428" s="670"/>
      <c r="M3428" s="670" t="e">
        <f t="shared" si="800"/>
        <v>#REF!</v>
      </c>
      <c r="N3428" s="670" t="e">
        <f t="shared" si="800"/>
        <v>#REF!</v>
      </c>
      <c r="O3428" s="671"/>
      <c r="P3428" s="672"/>
      <c r="Q3428" s="828" t="s">
        <v>2311</v>
      </c>
      <c r="R3428" s="845"/>
      <c r="S3428" s="845"/>
      <c r="T3428" s="845"/>
      <c r="U3428" s="845"/>
      <c r="V3428" s="845"/>
    </row>
    <row r="3429" spans="1:22" s="688" customFormat="1" ht="17.100000000000001" customHeight="1">
      <c r="A3429" s="1316" t="s">
        <v>1041</v>
      </c>
      <c r="B3429" s="1317"/>
      <c r="C3429" s="1316"/>
      <c r="D3429" s="1317"/>
      <c r="E3429" s="683">
        <v>0.03</v>
      </c>
      <c r="F3429" s="676" t="s">
        <v>835</v>
      </c>
      <c r="G3429" s="670" t="e">
        <f>#REF!</f>
        <v>#REF!</v>
      </c>
      <c r="H3429" s="670" t="e">
        <f>INT(E3429*G3429)</f>
        <v>#REF!</v>
      </c>
      <c r="I3429" s="670"/>
      <c r="J3429" s="670"/>
      <c r="K3429" s="670"/>
      <c r="L3429" s="670"/>
      <c r="M3429" s="670" t="e">
        <f t="shared" si="800"/>
        <v>#REF!</v>
      </c>
      <c r="N3429" s="670" t="e">
        <f t="shared" si="800"/>
        <v>#REF!</v>
      </c>
      <c r="O3429" s="671"/>
      <c r="P3429" s="672"/>
      <c r="Q3429" s="828" t="s">
        <v>2311</v>
      </c>
      <c r="R3429" s="845"/>
      <c r="S3429" s="848"/>
      <c r="T3429" s="848"/>
      <c r="U3429" s="848"/>
      <c r="V3429" s="848"/>
    </row>
    <row r="3430" spans="1:22" s="688" customFormat="1" ht="17.100000000000001" customHeight="1">
      <c r="A3430" s="1316" t="s">
        <v>628</v>
      </c>
      <c r="B3430" s="1317"/>
      <c r="C3430" s="1321" t="s">
        <v>2330</v>
      </c>
      <c r="D3430" s="1317"/>
      <c r="E3430" s="683">
        <v>1.6000000000000001E-3</v>
      </c>
      <c r="F3430" s="676" t="s">
        <v>366</v>
      </c>
      <c r="G3430" s="670"/>
      <c r="H3430" s="670"/>
      <c r="I3430" s="670">
        <f>[53]노임단가!$T$6</f>
        <v>226122</v>
      </c>
      <c r="J3430" s="670">
        <f t="shared" ref="J3430:J3436" si="801">INT(E3430*I3430)</f>
        <v>361</v>
      </c>
      <c r="K3430" s="670"/>
      <c r="L3430" s="670"/>
      <c r="M3430" s="670">
        <f t="shared" si="800"/>
        <v>226122</v>
      </c>
      <c r="N3430" s="670">
        <f t="shared" si="800"/>
        <v>361</v>
      </c>
      <c r="O3430" s="671"/>
      <c r="P3430" s="672"/>
      <c r="Q3430" s="828" t="s">
        <v>2311</v>
      </c>
      <c r="R3430" s="845"/>
      <c r="S3430" s="848"/>
      <c r="T3430" s="848"/>
      <c r="U3430" s="848"/>
      <c r="V3430" s="848"/>
    </row>
    <row r="3431" spans="1:22" s="848" customFormat="1" ht="17.100000000000001" customHeight="1">
      <c r="A3431" s="1316" t="s">
        <v>248</v>
      </c>
      <c r="B3431" s="1317"/>
      <c r="C3431" s="1321" t="s">
        <v>2330</v>
      </c>
      <c r="D3431" s="1317"/>
      <c r="E3431" s="683">
        <v>1.6000000000000001E-3</v>
      </c>
      <c r="F3431" s="676" t="s">
        <v>366</v>
      </c>
      <c r="G3431" s="670"/>
      <c r="H3431" s="670"/>
      <c r="I3431" s="670">
        <f>[53]노임단가!$T$5</f>
        <v>172068</v>
      </c>
      <c r="J3431" s="670">
        <f t="shared" si="801"/>
        <v>275</v>
      </c>
      <c r="K3431" s="670"/>
      <c r="L3431" s="670"/>
      <c r="M3431" s="670">
        <f t="shared" si="800"/>
        <v>172068</v>
      </c>
      <c r="N3431" s="670">
        <f t="shared" si="800"/>
        <v>275</v>
      </c>
      <c r="O3431" s="671"/>
      <c r="P3431" s="672"/>
      <c r="Q3431" s="828" t="s">
        <v>2311</v>
      </c>
      <c r="R3431" s="845"/>
      <c r="S3431" s="845"/>
      <c r="T3431" s="845"/>
      <c r="U3431" s="845"/>
      <c r="V3431" s="845"/>
    </row>
    <row r="3432" spans="1:22" s="848" customFormat="1" ht="17.100000000000001" customHeight="1">
      <c r="A3432" s="1316" t="s">
        <v>628</v>
      </c>
      <c r="B3432" s="1317"/>
      <c r="C3432" s="1321" t="s">
        <v>2343</v>
      </c>
      <c r="D3432" s="1317"/>
      <c r="E3432" s="686">
        <v>1.6000000000000001E-3</v>
      </c>
      <c r="F3432" s="676" t="s">
        <v>366</v>
      </c>
      <c r="G3432" s="670"/>
      <c r="H3432" s="670"/>
      <c r="I3432" s="670">
        <f>[53]노임단가!$T$6</f>
        <v>226122</v>
      </c>
      <c r="J3432" s="670">
        <f t="shared" si="801"/>
        <v>361</v>
      </c>
      <c r="K3432" s="670"/>
      <c r="L3432" s="670"/>
      <c r="M3432" s="670">
        <f t="shared" si="800"/>
        <v>226122</v>
      </c>
      <c r="N3432" s="670">
        <f t="shared" si="800"/>
        <v>361</v>
      </c>
      <c r="O3432" s="671"/>
      <c r="P3432" s="852"/>
      <c r="Q3432" s="849" t="s">
        <v>2311</v>
      </c>
      <c r="R3432" s="847">
        <f>W3430</f>
        <v>0</v>
      </c>
      <c r="S3432" s="850"/>
      <c r="T3432" s="850"/>
      <c r="U3432" s="850"/>
      <c r="V3432" s="850"/>
    </row>
    <row r="3433" spans="1:22" s="848" customFormat="1" ht="17.100000000000001" customHeight="1">
      <c r="A3433" s="1316" t="s">
        <v>248</v>
      </c>
      <c r="B3433" s="1317"/>
      <c r="C3433" s="1321" t="s">
        <v>2343</v>
      </c>
      <c r="D3433" s="1317"/>
      <c r="E3433" s="686">
        <v>1.6000000000000001E-3</v>
      </c>
      <c r="F3433" s="676" t="s">
        <v>366</v>
      </c>
      <c r="G3433" s="670"/>
      <c r="H3433" s="670"/>
      <c r="I3433" s="670">
        <f>[53]노임단가!$T$5</f>
        <v>172068</v>
      </c>
      <c r="J3433" s="670">
        <f t="shared" si="801"/>
        <v>275</v>
      </c>
      <c r="K3433" s="670"/>
      <c r="L3433" s="670"/>
      <c r="M3433" s="670">
        <f t="shared" si="800"/>
        <v>172068</v>
      </c>
      <c r="N3433" s="670">
        <f t="shared" si="800"/>
        <v>275</v>
      </c>
      <c r="O3433" s="671"/>
      <c r="P3433" s="852"/>
      <c r="Q3433" s="849" t="s">
        <v>2311</v>
      </c>
      <c r="R3433" s="850"/>
      <c r="S3433" s="850"/>
      <c r="T3433" s="850"/>
      <c r="U3433" s="850"/>
      <c r="V3433" s="850"/>
    </row>
    <row r="3434" spans="1:22" s="848" customFormat="1" ht="17.100000000000001" customHeight="1">
      <c r="A3434" s="1316" t="s">
        <v>1161</v>
      </c>
      <c r="B3434" s="1317"/>
      <c r="C3434" s="1316" t="s">
        <v>2345</v>
      </c>
      <c r="D3434" s="1317"/>
      <c r="E3434" s="686">
        <v>6.3E-3</v>
      </c>
      <c r="F3434" s="676" t="s">
        <v>418</v>
      </c>
      <c r="G3434" s="670" t="e">
        <f>#REF!</f>
        <v>#REF!</v>
      </c>
      <c r="H3434" s="670" t="e">
        <f>INT(E3434*G3434)</f>
        <v>#REF!</v>
      </c>
      <c r="I3434" s="670" t="e">
        <f>#REF!</f>
        <v>#REF!</v>
      </c>
      <c r="J3434" s="670" t="e">
        <f t="shared" si="801"/>
        <v>#REF!</v>
      </c>
      <c r="K3434" s="670" t="e">
        <f>#REF!</f>
        <v>#REF!</v>
      </c>
      <c r="L3434" s="670" t="e">
        <f>INT(E3434*K3434)</f>
        <v>#REF!</v>
      </c>
      <c r="M3434" s="670" t="e">
        <f t="shared" si="800"/>
        <v>#REF!</v>
      </c>
      <c r="N3434" s="670" t="e">
        <f t="shared" si="800"/>
        <v>#REF!</v>
      </c>
      <c r="O3434" s="671"/>
      <c r="P3434" s="852"/>
      <c r="Q3434" s="849" t="s">
        <v>2311</v>
      </c>
      <c r="R3434" s="850"/>
      <c r="S3434" s="850"/>
      <c r="T3434" s="850"/>
      <c r="U3434" s="850"/>
      <c r="V3434" s="850"/>
    </row>
    <row r="3435" spans="1:22" s="688" customFormat="1" ht="17.100000000000001" customHeight="1">
      <c r="A3435" s="1316" t="s">
        <v>1161</v>
      </c>
      <c r="B3435" s="1317"/>
      <c r="C3435" s="1316" t="s">
        <v>2363</v>
      </c>
      <c r="D3435" s="1317"/>
      <c r="E3435" s="686">
        <v>6.3E-3</v>
      </c>
      <c r="F3435" s="676" t="s">
        <v>418</v>
      </c>
      <c r="G3435" s="670" t="e">
        <f>#REF!</f>
        <v>#REF!</v>
      </c>
      <c r="H3435" s="670" t="e">
        <f>INT(E3435*G3435)</f>
        <v>#REF!</v>
      </c>
      <c r="I3435" s="670" t="e">
        <f>#REF!</f>
        <v>#REF!</v>
      </c>
      <c r="J3435" s="670" t="e">
        <f t="shared" si="801"/>
        <v>#REF!</v>
      </c>
      <c r="K3435" s="670" t="e">
        <f>#REF!</f>
        <v>#REF!</v>
      </c>
      <c r="L3435" s="670" t="e">
        <f>INT(E3435*K3435)</f>
        <v>#REF!</v>
      </c>
      <c r="M3435" s="670" t="e">
        <f t="shared" si="800"/>
        <v>#REF!</v>
      </c>
      <c r="N3435" s="670" t="e">
        <f t="shared" si="800"/>
        <v>#REF!</v>
      </c>
      <c r="O3435" s="671"/>
      <c r="P3435" s="852"/>
      <c r="Q3435" s="849" t="s">
        <v>2311</v>
      </c>
      <c r="R3435" s="850"/>
      <c r="S3435" s="850"/>
      <c r="T3435" s="850"/>
      <c r="U3435" s="850"/>
      <c r="V3435" s="850"/>
    </row>
    <row r="3436" spans="1:22" s="688" customFormat="1" ht="17.100000000000001" customHeight="1">
      <c r="A3436" s="1316" t="s">
        <v>1161</v>
      </c>
      <c r="B3436" s="1317"/>
      <c r="C3436" s="1316" t="s">
        <v>2364</v>
      </c>
      <c r="D3436" s="1317"/>
      <c r="E3436" s="686">
        <v>6.3E-3</v>
      </c>
      <c r="F3436" s="676" t="s">
        <v>418</v>
      </c>
      <c r="G3436" s="670" t="e">
        <f>#REF!</f>
        <v>#REF!</v>
      </c>
      <c r="H3436" s="670" t="e">
        <f>INT(E3436*G3436)</f>
        <v>#REF!</v>
      </c>
      <c r="I3436" s="670" t="e">
        <f>#REF!</f>
        <v>#REF!</v>
      </c>
      <c r="J3436" s="670" t="e">
        <f t="shared" si="801"/>
        <v>#REF!</v>
      </c>
      <c r="K3436" s="670" t="e">
        <f>#REF!</f>
        <v>#REF!</v>
      </c>
      <c r="L3436" s="670" t="e">
        <f>INT(E3436*K3436)</f>
        <v>#REF!</v>
      </c>
      <c r="M3436" s="670" t="e">
        <f t="shared" si="800"/>
        <v>#REF!</v>
      </c>
      <c r="N3436" s="670" t="e">
        <f t="shared" si="800"/>
        <v>#REF!</v>
      </c>
      <c r="O3436" s="671"/>
      <c r="P3436" s="672"/>
      <c r="Q3436" s="828" t="s">
        <v>2311</v>
      </c>
      <c r="R3436" s="850"/>
      <c r="S3436" s="850"/>
      <c r="T3436" s="850"/>
      <c r="U3436" s="850"/>
      <c r="V3436" s="850"/>
    </row>
    <row r="3437" spans="1:22" s="688" customFormat="1" ht="17.100000000000001" customHeight="1">
      <c r="A3437" s="1316" t="s">
        <v>2346</v>
      </c>
      <c r="B3437" s="1317"/>
      <c r="C3437" s="1321" t="s">
        <v>2365</v>
      </c>
      <c r="D3437" s="1317"/>
      <c r="E3437" s="686">
        <v>0.1</v>
      </c>
      <c r="F3437" s="676" t="s">
        <v>672</v>
      </c>
      <c r="G3437" s="670"/>
      <c r="H3437" s="670">
        <f>INT(E3437*G3437)</f>
        <v>0</v>
      </c>
      <c r="I3437" s="670"/>
      <c r="J3437" s="670"/>
      <c r="K3437" s="670">
        <f>J3430+J3431</f>
        <v>636</v>
      </c>
      <c r="L3437" s="670">
        <f>INT(E3437*K3437)</f>
        <v>63</v>
      </c>
      <c r="M3437" s="670">
        <f t="shared" si="800"/>
        <v>636</v>
      </c>
      <c r="N3437" s="670">
        <f t="shared" si="800"/>
        <v>63</v>
      </c>
      <c r="O3437" s="671"/>
      <c r="P3437" s="672" t="s">
        <v>2314</v>
      </c>
      <c r="Q3437" s="828" t="s">
        <v>2311</v>
      </c>
      <c r="R3437" s="854"/>
      <c r="S3437" s="854"/>
      <c r="T3437" s="854"/>
      <c r="U3437" s="854"/>
      <c r="V3437" s="854"/>
    </row>
    <row r="3438" spans="1:22" s="688" customFormat="1" ht="17.100000000000001" customHeight="1">
      <c r="A3438" s="1316" t="s">
        <v>1328</v>
      </c>
      <c r="B3438" s="1317"/>
      <c r="C3438" s="1321" t="s">
        <v>2347</v>
      </c>
      <c r="D3438" s="1317"/>
      <c r="E3438" s="686">
        <v>0.01</v>
      </c>
      <c r="F3438" s="676" t="s">
        <v>672</v>
      </c>
      <c r="G3438" s="670" t="e">
        <f>SUM(H3426:H3427)</f>
        <v>#REF!</v>
      </c>
      <c r="H3438" s="670" t="e">
        <f>INT(E3438*G3438)</f>
        <v>#REF!</v>
      </c>
      <c r="I3438" s="670"/>
      <c r="J3438" s="670"/>
      <c r="K3438" s="670"/>
      <c r="L3438" s="670"/>
      <c r="M3438" s="670" t="e">
        <f>G3438+I3438+K3438</f>
        <v>#REF!</v>
      </c>
      <c r="N3438" s="670" t="e">
        <f>H3438+J3438+L3438</f>
        <v>#REF!</v>
      </c>
      <c r="O3438" s="671"/>
      <c r="P3438" s="672" t="s">
        <v>2316</v>
      </c>
      <c r="Q3438" s="828" t="s">
        <v>2311</v>
      </c>
      <c r="R3438" s="845"/>
      <c r="S3438" s="846"/>
      <c r="T3438" s="846"/>
      <c r="U3438" s="851"/>
      <c r="V3438" s="851"/>
    </row>
    <row r="3439" spans="1:22" s="688" customFormat="1" ht="17.100000000000001" customHeight="1">
      <c r="A3439" s="1318" t="s">
        <v>1320</v>
      </c>
      <c r="B3439" s="1319"/>
      <c r="C3439" s="1316"/>
      <c r="D3439" s="1317"/>
      <c r="E3439" s="701"/>
      <c r="F3439" s="669"/>
      <c r="G3439" s="670"/>
      <c r="H3439" s="855" t="e">
        <f>SUM(H3427:H3438)</f>
        <v>#REF!</v>
      </c>
      <c r="I3439" s="670"/>
      <c r="J3439" s="855" t="e">
        <f>SUM(J3427:J3438)</f>
        <v>#REF!</v>
      </c>
      <c r="K3439" s="670"/>
      <c r="L3439" s="855" t="e">
        <f>SUM(L3427:L3438)</f>
        <v>#REF!</v>
      </c>
      <c r="M3439" s="670"/>
      <c r="N3439" s="855" t="e">
        <f>SUM(N3427:N3438)</f>
        <v>#REF!</v>
      </c>
      <c r="O3439" s="671"/>
      <c r="P3439" s="672"/>
      <c r="Q3439" s="828" t="s">
        <v>2311</v>
      </c>
      <c r="R3439" s="845"/>
      <c r="S3439" s="845"/>
      <c r="T3439" s="845"/>
      <c r="U3439" s="846"/>
      <c r="V3439" s="846"/>
    </row>
    <row r="3440" spans="1:22" s="688" customFormat="1" ht="17.100000000000001" customHeight="1">
      <c r="A3440" s="668">
        <f>A3425+1</f>
        <v>464</v>
      </c>
      <c r="B3440" s="1320" t="s">
        <v>2359</v>
      </c>
      <c r="C3440" s="1320"/>
      <c r="D3440" s="1320" t="s">
        <v>2352</v>
      </c>
      <c r="E3440" s="1320"/>
      <c r="F3440" s="669" t="s">
        <v>272</v>
      </c>
      <c r="G3440" s="698"/>
      <c r="H3440" s="698"/>
      <c r="I3440" s="698"/>
      <c r="J3440" s="698"/>
      <c r="K3440" s="670"/>
      <c r="L3440" s="670"/>
      <c r="M3440" s="670"/>
      <c r="N3440" s="698"/>
      <c r="O3440" s="699" t="s">
        <v>1562</v>
      </c>
      <c r="P3440" s="672"/>
      <c r="Q3440" s="828" t="s">
        <v>2311</v>
      </c>
      <c r="R3440" s="845"/>
      <c r="S3440" s="845"/>
      <c r="T3440" s="845"/>
      <c r="U3440" s="845"/>
      <c r="V3440" s="845"/>
    </row>
    <row r="3441" spans="1:22" s="688" customFormat="1" ht="17.100000000000001" customHeight="1">
      <c r="A3441" s="1316" t="s">
        <v>943</v>
      </c>
      <c r="B3441" s="1317"/>
      <c r="C3441" s="1316" t="s">
        <v>2366</v>
      </c>
      <c r="D3441" s="1317"/>
      <c r="E3441" s="683">
        <v>0.67949999999999999</v>
      </c>
      <c r="F3441" s="676" t="s">
        <v>835</v>
      </c>
      <c r="G3441" s="670" t="e">
        <f>#REF!</f>
        <v>#REF!</v>
      </c>
      <c r="H3441" s="670" t="e">
        <f>INT(E3441*G3441)</f>
        <v>#REF!</v>
      </c>
      <c r="I3441" s="670"/>
      <c r="J3441" s="670"/>
      <c r="K3441" s="670"/>
      <c r="L3441" s="670"/>
      <c r="M3441" s="670" t="e">
        <f t="shared" ref="M3441:N3452" si="802">G3441+I3441+K3441</f>
        <v>#REF!</v>
      </c>
      <c r="N3441" s="670" t="e">
        <f t="shared" si="802"/>
        <v>#REF!</v>
      </c>
      <c r="O3441" s="671" t="s">
        <v>2340</v>
      </c>
      <c r="P3441" s="672"/>
      <c r="Q3441" s="828" t="s">
        <v>2311</v>
      </c>
      <c r="R3441" s="845"/>
      <c r="S3441" s="845"/>
      <c r="T3441" s="845"/>
      <c r="U3441" s="845"/>
      <c r="V3441" s="845"/>
    </row>
    <row r="3442" spans="1:22" s="688" customFormat="1" ht="17.100000000000001" customHeight="1">
      <c r="A3442" s="1316" t="s">
        <v>941</v>
      </c>
      <c r="B3442" s="1317"/>
      <c r="C3442" s="1316" t="s">
        <v>2342</v>
      </c>
      <c r="D3442" s="1317"/>
      <c r="E3442" s="683">
        <v>4.65E-2</v>
      </c>
      <c r="F3442" s="676" t="s">
        <v>835</v>
      </c>
      <c r="G3442" s="670" t="e">
        <f>#REF!</f>
        <v>#REF!</v>
      </c>
      <c r="H3442" s="670" t="e">
        <f>INT(E3442*G3442)</f>
        <v>#REF!</v>
      </c>
      <c r="I3442" s="670"/>
      <c r="J3442" s="670"/>
      <c r="K3442" s="670"/>
      <c r="L3442" s="670"/>
      <c r="M3442" s="670" t="e">
        <f t="shared" si="802"/>
        <v>#REF!</v>
      </c>
      <c r="N3442" s="670" t="e">
        <f t="shared" si="802"/>
        <v>#REF!</v>
      </c>
      <c r="O3442" s="671"/>
      <c r="P3442" s="672"/>
      <c r="Q3442" s="828" t="s">
        <v>2311</v>
      </c>
      <c r="R3442" s="845"/>
      <c r="S3442" s="848"/>
      <c r="T3442" s="848"/>
      <c r="U3442" s="848"/>
      <c r="V3442" s="848"/>
    </row>
    <row r="3443" spans="1:22" s="688" customFormat="1" ht="17.100000000000001" customHeight="1">
      <c r="A3443" s="1316" t="s">
        <v>946</v>
      </c>
      <c r="B3443" s="1317"/>
      <c r="C3443" s="1316" t="s">
        <v>2362</v>
      </c>
      <c r="D3443" s="1317"/>
      <c r="E3443" s="683">
        <v>0.03</v>
      </c>
      <c r="F3443" s="676" t="s">
        <v>835</v>
      </c>
      <c r="G3443" s="670" t="e">
        <f>#REF!</f>
        <v>#REF!</v>
      </c>
      <c r="H3443" s="670" t="e">
        <f>INT(E3443*G3443)</f>
        <v>#REF!</v>
      </c>
      <c r="I3443" s="670"/>
      <c r="J3443" s="670"/>
      <c r="K3443" s="670"/>
      <c r="L3443" s="670"/>
      <c r="M3443" s="670" t="e">
        <f t="shared" si="802"/>
        <v>#REF!</v>
      </c>
      <c r="N3443" s="670" t="e">
        <f t="shared" si="802"/>
        <v>#REF!</v>
      </c>
      <c r="O3443" s="671"/>
      <c r="P3443" s="672"/>
      <c r="Q3443" s="828" t="s">
        <v>2311</v>
      </c>
      <c r="R3443" s="845"/>
      <c r="S3443" s="848"/>
      <c r="T3443" s="848"/>
      <c r="U3443" s="848"/>
      <c r="V3443" s="848"/>
    </row>
    <row r="3444" spans="1:22" s="848" customFormat="1" ht="17.100000000000001" customHeight="1">
      <c r="A3444" s="1316" t="s">
        <v>1041</v>
      </c>
      <c r="B3444" s="1317"/>
      <c r="C3444" s="1316"/>
      <c r="D3444" s="1317"/>
      <c r="E3444" s="683">
        <v>0.03</v>
      </c>
      <c r="F3444" s="676" t="s">
        <v>835</v>
      </c>
      <c r="G3444" s="670" t="e">
        <f>#REF!</f>
        <v>#REF!</v>
      </c>
      <c r="H3444" s="670" t="e">
        <f>INT(E3444*G3444)</f>
        <v>#REF!</v>
      </c>
      <c r="I3444" s="670"/>
      <c r="J3444" s="670"/>
      <c r="K3444" s="670"/>
      <c r="L3444" s="670"/>
      <c r="M3444" s="670" t="e">
        <f t="shared" si="802"/>
        <v>#REF!</v>
      </c>
      <c r="N3444" s="670" t="e">
        <f t="shared" si="802"/>
        <v>#REF!</v>
      </c>
      <c r="O3444" s="671"/>
      <c r="P3444" s="672"/>
      <c r="Q3444" s="828" t="s">
        <v>2311</v>
      </c>
      <c r="R3444" s="845"/>
      <c r="S3444" s="845"/>
      <c r="T3444" s="845"/>
      <c r="U3444" s="845"/>
      <c r="V3444" s="845"/>
    </row>
    <row r="3445" spans="1:22" s="848" customFormat="1" ht="17.100000000000001" customHeight="1">
      <c r="A3445" s="1316" t="s">
        <v>628</v>
      </c>
      <c r="B3445" s="1317"/>
      <c r="C3445" s="1321" t="s">
        <v>2330</v>
      </c>
      <c r="D3445" s="1317"/>
      <c r="E3445" s="683">
        <v>3.3E-3</v>
      </c>
      <c r="F3445" s="676" t="s">
        <v>366</v>
      </c>
      <c r="G3445" s="670"/>
      <c r="H3445" s="670"/>
      <c r="I3445" s="670">
        <f>[53]노임단가!$T$6</f>
        <v>226122</v>
      </c>
      <c r="J3445" s="670">
        <f t="shared" ref="J3445:J3451" si="803">INT(E3445*I3445)</f>
        <v>746</v>
      </c>
      <c r="K3445" s="670"/>
      <c r="L3445" s="670"/>
      <c r="M3445" s="670">
        <f t="shared" si="802"/>
        <v>226122</v>
      </c>
      <c r="N3445" s="670">
        <f t="shared" si="802"/>
        <v>746</v>
      </c>
      <c r="O3445" s="671"/>
      <c r="P3445" s="852"/>
      <c r="Q3445" s="849" t="s">
        <v>2311</v>
      </c>
      <c r="R3445" s="847">
        <f>W3443</f>
        <v>0</v>
      </c>
      <c r="S3445" s="850"/>
      <c r="T3445" s="850"/>
      <c r="U3445" s="850"/>
      <c r="V3445" s="850"/>
    </row>
    <row r="3446" spans="1:22" s="848" customFormat="1" ht="17.100000000000001" customHeight="1">
      <c r="A3446" s="1316" t="s">
        <v>248</v>
      </c>
      <c r="B3446" s="1317"/>
      <c r="C3446" s="1321" t="s">
        <v>2330</v>
      </c>
      <c r="D3446" s="1317"/>
      <c r="E3446" s="683">
        <v>3.3E-3</v>
      </c>
      <c r="F3446" s="676" t="s">
        <v>366</v>
      </c>
      <c r="G3446" s="670"/>
      <c r="H3446" s="670"/>
      <c r="I3446" s="670">
        <f>[53]노임단가!$T$5</f>
        <v>172068</v>
      </c>
      <c r="J3446" s="670">
        <f t="shared" si="803"/>
        <v>567</v>
      </c>
      <c r="K3446" s="670"/>
      <c r="L3446" s="670"/>
      <c r="M3446" s="670">
        <f t="shared" si="802"/>
        <v>172068</v>
      </c>
      <c r="N3446" s="670">
        <f t="shared" si="802"/>
        <v>567</v>
      </c>
      <c r="O3446" s="671"/>
      <c r="P3446" s="852"/>
      <c r="Q3446" s="849" t="s">
        <v>2311</v>
      </c>
      <c r="R3446" s="850"/>
      <c r="S3446" s="850"/>
      <c r="T3446" s="850"/>
      <c r="U3446" s="850"/>
      <c r="V3446" s="850"/>
    </row>
    <row r="3447" spans="1:22" s="848" customFormat="1" ht="17.100000000000001" customHeight="1">
      <c r="A3447" s="1316" t="s">
        <v>628</v>
      </c>
      <c r="B3447" s="1317"/>
      <c r="C3447" s="1321" t="s">
        <v>2343</v>
      </c>
      <c r="D3447" s="1317"/>
      <c r="E3447" s="686">
        <v>3.3E-3</v>
      </c>
      <c r="F3447" s="676" t="s">
        <v>366</v>
      </c>
      <c r="G3447" s="670"/>
      <c r="H3447" s="670"/>
      <c r="I3447" s="670">
        <f>[53]노임단가!$T$6</f>
        <v>226122</v>
      </c>
      <c r="J3447" s="670">
        <f t="shared" si="803"/>
        <v>746</v>
      </c>
      <c r="K3447" s="670"/>
      <c r="L3447" s="670"/>
      <c r="M3447" s="670">
        <f t="shared" si="802"/>
        <v>226122</v>
      </c>
      <c r="N3447" s="670">
        <f t="shared" si="802"/>
        <v>746</v>
      </c>
      <c r="O3447" s="671"/>
      <c r="P3447" s="852"/>
      <c r="Q3447" s="849" t="s">
        <v>2311</v>
      </c>
      <c r="R3447" s="850"/>
      <c r="S3447" s="850"/>
      <c r="T3447" s="850"/>
      <c r="U3447" s="850"/>
      <c r="V3447" s="850"/>
    </row>
    <row r="3448" spans="1:22" s="688" customFormat="1" ht="17.100000000000001" customHeight="1">
      <c r="A3448" s="1316" t="s">
        <v>248</v>
      </c>
      <c r="B3448" s="1317"/>
      <c r="C3448" s="1321" t="s">
        <v>2343</v>
      </c>
      <c r="D3448" s="1317"/>
      <c r="E3448" s="686">
        <v>3.3E-3</v>
      </c>
      <c r="F3448" s="676" t="s">
        <v>366</v>
      </c>
      <c r="G3448" s="670"/>
      <c r="H3448" s="670"/>
      <c r="I3448" s="670">
        <f>[53]노임단가!$T$5</f>
        <v>172068</v>
      </c>
      <c r="J3448" s="670">
        <f t="shared" si="803"/>
        <v>567</v>
      </c>
      <c r="K3448" s="670"/>
      <c r="L3448" s="670"/>
      <c r="M3448" s="670">
        <f t="shared" si="802"/>
        <v>172068</v>
      </c>
      <c r="N3448" s="670">
        <f t="shared" si="802"/>
        <v>567</v>
      </c>
      <c r="O3448" s="671"/>
      <c r="P3448" s="852"/>
      <c r="Q3448" s="849" t="s">
        <v>2311</v>
      </c>
      <c r="R3448" s="850"/>
      <c r="S3448" s="850"/>
      <c r="T3448" s="850"/>
      <c r="U3448" s="850"/>
      <c r="V3448" s="850"/>
    </row>
    <row r="3449" spans="1:22" s="688" customFormat="1" ht="17.100000000000001" customHeight="1">
      <c r="A3449" s="1316" t="s">
        <v>1161</v>
      </c>
      <c r="B3449" s="1317"/>
      <c r="C3449" s="1316" t="s">
        <v>2345</v>
      </c>
      <c r="D3449" s="1317"/>
      <c r="E3449" s="686">
        <v>1.3299999999999999E-2</v>
      </c>
      <c r="F3449" s="676" t="s">
        <v>418</v>
      </c>
      <c r="G3449" s="670" t="e">
        <f>#REF!</f>
        <v>#REF!</v>
      </c>
      <c r="H3449" s="670" t="e">
        <f>INT(E3449*G3449)</f>
        <v>#REF!</v>
      </c>
      <c r="I3449" s="670" t="e">
        <f>#REF!</f>
        <v>#REF!</v>
      </c>
      <c r="J3449" s="670" t="e">
        <f t="shared" si="803"/>
        <v>#REF!</v>
      </c>
      <c r="K3449" s="670" t="e">
        <f>#REF!</f>
        <v>#REF!</v>
      </c>
      <c r="L3449" s="670" t="e">
        <f>INT(E3449*K3449)</f>
        <v>#REF!</v>
      </c>
      <c r="M3449" s="670" t="e">
        <f t="shared" si="802"/>
        <v>#REF!</v>
      </c>
      <c r="N3449" s="670" t="e">
        <f t="shared" si="802"/>
        <v>#REF!</v>
      </c>
      <c r="O3449" s="671"/>
      <c r="P3449" s="672"/>
      <c r="Q3449" s="828" t="s">
        <v>2311</v>
      </c>
    </row>
    <row r="3450" spans="1:22" s="688" customFormat="1" ht="17.100000000000001" customHeight="1">
      <c r="A3450" s="1316" t="s">
        <v>1161</v>
      </c>
      <c r="B3450" s="1317"/>
      <c r="C3450" s="1316" t="s">
        <v>2363</v>
      </c>
      <c r="D3450" s="1317"/>
      <c r="E3450" s="686">
        <v>1.3299999999999999E-2</v>
      </c>
      <c r="F3450" s="676" t="s">
        <v>418</v>
      </c>
      <c r="G3450" s="670" t="e">
        <f>#REF!</f>
        <v>#REF!</v>
      </c>
      <c r="H3450" s="670" t="e">
        <f>INT(E3450*G3450)</f>
        <v>#REF!</v>
      </c>
      <c r="I3450" s="670" t="e">
        <f>#REF!</f>
        <v>#REF!</v>
      </c>
      <c r="J3450" s="670" t="e">
        <f t="shared" si="803"/>
        <v>#REF!</v>
      </c>
      <c r="K3450" s="670" t="e">
        <f>#REF!</f>
        <v>#REF!</v>
      </c>
      <c r="L3450" s="670" t="e">
        <f>INT(E3450*K3450)</f>
        <v>#REF!</v>
      </c>
      <c r="M3450" s="670" t="e">
        <f t="shared" si="802"/>
        <v>#REF!</v>
      </c>
      <c r="N3450" s="670" t="e">
        <f t="shared" si="802"/>
        <v>#REF!</v>
      </c>
      <c r="O3450" s="671"/>
      <c r="P3450" s="672" t="s">
        <v>2314</v>
      </c>
      <c r="Q3450" s="828" t="s">
        <v>2311</v>
      </c>
    </row>
    <row r="3451" spans="1:22" s="688" customFormat="1" ht="17.100000000000001" customHeight="1">
      <c r="A3451" s="1316" t="s">
        <v>1161</v>
      </c>
      <c r="B3451" s="1317"/>
      <c r="C3451" s="1316" t="s">
        <v>2364</v>
      </c>
      <c r="D3451" s="1317"/>
      <c r="E3451" s="686">
        <v>1.3299999999999999E-2</v>
      </c>
      <c r="F3451" s="676" t="s">
        <v>418</v>
      </c>
      <c r="G3451" s="670" t="e">
        <f>#REF!</f>
        <v>#REF!</v>
      </c>
      <c r="H3451" s="670" t="e">
        <f>INT(E3451*G3451)</f>
        <v>#REF!</v>
      </c>
      <c r="I3451" s="670" t="e">
        <f>#REF!</f>
        <v>#REF!</v>
      </c>
      <c r="J3451" s="670" t="e">
        <f t="shared" si="803"/>
        <v>#REF!</v>
      </c>
      <c r="K3451" s="670" t="e">
        <f>#REF!</f>
        <v>#REF!</v>
      </c>
      <c r="L3451" s="670" t="e">
        <f>INT(E3451*K3451)</f>
        <v>#REF!</v>
      </c>
      <c r="M3451" s="670" t="e">
        <f t="shared" si="802"/>
        <v>#REF!</v>
      </c>
      <c r="N3451" s="670" t="e">
        <f t="shared" si="802"/>
        <v>#REF!</v>
      </c>
      <c r="O3451" s="671"/>
      <c r="P3451" s="672" t="s">
        <v>2316</v>
      </c>
      <c r="Q3451" s="828" t="s">
        <v>2311</v>
      </c>
      <c r="R3451" s="845"/>
      <c r="S3451" s="846"/>
      <c r="T3451" s="846"/>
      <c r="U3451" s="851"/>
      <c r="V3451" s="851"/>
    </row>
    <row r="3452" spans="1:22" s="688" customFormat="1" ht="17.100000000000001" customHeight="1">
      <c r="A3452" s="1316" t="s">
        <v>2346</v>
      </c>
      <c r="B3452" s="1317"/>
      <c r="C3452" s="1321" t="s">
        <v>2365</v>
      </c>
      <c r="D3452" s="1317"/>
      <c r="E3452" s="686">
        <v>0.1</v>
      </c>
      <c r="F3452" s="676" t="s">
        <v>672</v>
      </c>
      <c r="G3452" s="670"/>
      <c r="H3452" s="670">
        <f>INT(E3452*G3452)</f>
        <v>0</v>
      </c>
      <c r="I3452" s="670"/>
      <c r="J3452" s="670"/>
      <c r="K3452" s="670">
        <f>J3445+J3446</f>
        <v>1313</v>
      </c>
      <c r="L3452" s="670">
        <f>INT(E3452*K3452)</f>
        <v>131</v>
      </c>
      <c r="M3452" s="670">
        <f t="shared" si="802"/>
        <v>1313</v>
      </c>
      <c r="N3452" s="670">
        <f t="shared" si="802"/>
        <v>131</v>
      </c>
      <c r="O3452" s="671"/>
      <c r="P3452" s="672"/>
      <c r="Q3452" s="828" t="s">
        <v>2311</v>
      </c>
      <c r="R3452" s="845"/>
      <c r="S3452" s="845"/>
      <c r="T3452" s="845"/>
      <c r="U3452" s="845"/>
      <c r="V3452" s="845"/>
    </row>
    <row r="3453" spans="1:22" s="688" customFormat="1" ht="17.100000000000001" customHeight="1">
      <c r="A3453" s="1316" t="s">
        <v>1328</v>
      </c>
      <c r="B3453" s="1317"/>
      <c r="C3453" s="1321" t="s">
        <v>2347</v>
      </c>
      <c r="D3453" s="1317"/>
      <c r="E3453" s="686">
        <v>0.01</v>
      </c>
      <c r="F3453" s="676" t="s">
        <v>672</v>
      </c>
      <c r="G3453" s="670" t="e">
        <f>SUM(H3441:H3442)</f>
        <v>#REF!</v>
      </c>
      <c r="H3453" s="670" t="e">
        <f>INT(E3453*G3453)</f>
        <v>#REF!</v>
      </c>
      <c r="I3453" s="670"/>
      <c r="J3453" s="670"/>
      <c r="K3453" s="670"/>
      <c r="L3453" s="670"/>
      <c r="M3453" s="670" t="e">
        <f>G3453+I3453+K3453</f>
        <v>#REF!</v>
      </c>
      <c r="N3453" s="670" t="e">
        <f>H3453+J3453+L3453</f>
        <v>#REF!</v>
      </c>
      <c r="O3453" s="671"/>
      <c r="P3453" s="672"/>
      <c r="Q3453" s="828" t="s">
        <v>2311</v>
      </c>
      <c r="R3453" s="845"/>
      <c r="S3453" s="845"/>
      <c r="T3453" s="845"/>
      <c r="U3453" s="845"/>
      <c r="V3453" s="845"/>
    </row>
    <row r="3454" spans="1:22" s="688" customFormat="1" ht="17.100000000000001" customHeight="1">
      <c r="A3454" s="1354" t="s">
        <v>1320</v>
      </c>
      <c r="B3454" s="1354"/>
      <c r="C3454" s="1355"/>
      <c r="D3454" s="1356"/>
      <c r="E3454" s="701"/>
      <c r="F3454" s="669"/>
      <c r="G3454" s="670"/>
      <c r="H3454" s="855" t="e">
        <f>SUM(H3442:H3453)</f>
        <v>#REF!</v>
      </c>
      <c r="I3454" s="670"/>
      <c r="J3454" s="855" t="e">
        <f>SUM(J3442:J3453)</f>
        <v>#REF!</v>
      </c>
      <c r="K3454" s="670"/>
      <c r="L3454" s="855" t="e">
        <f>SUM(L3442:L3453)</f>
        <v>#REF!</v>
      </c>
      <c r="M3454" s="670"/>
      <c r="N3454" s="855" t="e">
        <f>SUM(N3442:N3453)</f>
        <v>#REF!</v>
      </c>
      <c r="O3454" s="671"/>
      <c r="P3454" s="672"/>
      <c r="Q3454" s="828" t="s">
        <v>2311</v>
      </c>
      <c r="R3454" s="845"/>
      <c r="S3454" s="848"/>
      <c r="T3454" s="848"/>
      <c r="U3454" s="848"/>
      <c r="V3454" s="848"/>
    </row>
    <row r="3455" spans="1:22" s="688" customFormat="1" ht="17.100000000000001" customHeight="1">
      <c r="A3455" s="668">
        <f>A3440+1</f>
        <v>465</v>
      </c>
      <c r="B3455" s="1320" t="s">
        <v>2359</v>
      </c>
      <c r="C3455" s="1320"/>
      <c r="D3455" s="1320" t="s">
        <v>2355</v>
      </c>
      <c r="E3455" s="1320"/>
      <c r="F3455" s="669" t="s">
        <v>272</v>
      </c>
      <c r="G3455" s="698"/>
      <c r="H3455" s="698"/>
      <c r="I3455" s="698"/>
      <c r="J3455" s="698"/>
      <c r="K3455" s="670"/>
      <c r="L3455" s="670"/>
      <c r="M3455" s="670"/>
      <c r="N3455" s="698"/>
      <c r="O3455" s="699" t="s">
        <v>1562</v>
      </c>
      <c r="P3455" s="672"/>
      <c r="Q3455" s="828" t="s">
        <v>2311</v>
      </c>
      <c r="R3455" s="845"/>
      <c r="S3455" s="848"/>
      <c r="T3455" s="848"/>
      <c r="U3455" s="848"/>
      <c r="V3455" s="848"/>
    </row>
    <row r="3456" spans="1:22" s="848" customFormat="1" ht="17.100000000000001" customHeight="1">
      <c r="A3456" s="1316" t="s">
        <v>943</v>
      </c>
      <c r="B3456" s="1317"/>
      <c r="C3456" s="1316" t="s">
        <v>2360</v>
      </c>
      <c r="D3456" s="1317"/>
      <c r="E3456" s="683">
        <v>0.67949999999999999</v>
      </c>
      <c r="F3456" s="676" t="s">
        <v>835</v>
      </c>
      <c r="G3456" s="670" t="e">
        <f>#REF!</f>
        <v>#REF!</v>
      </c>
      <c r="H3456" s="670" t="e">
        <f>INT(E3456*G3456)</f>
        <v>#REF!</v>
      </c>
      <c r="I3456" s="670"/>
      <c r="J3456" s="670"/>
      <c r="K3456" s="670"/>
      <c r="L3456" s="670"/>
      <c r="M3456" s="670" t="e">
        <f t="shared" ref="M3456:N3465" si="804">G3456+I3456+K3456</f>
        <v>#REF!</v>
      </c>
      <c r="N3456" s="670" t="e">
        <f t="shared" si="804"/>
        <v>#REF!</v>
      </c>
      <c r="O3456" s="671" t="s">
        <v>2340</v>
      </c>
      <c r="P3456" s="672"/>
      <c r="Q3456" s="828" t="s">
        <v>2311</v>
      </c>
      <c r="R3456" s="845"/>
      <c r="S3456" s="845"/>
      <c r="T3456" s="845"/>
      <c r="U3456" s="845"/>
      <c r="V3456" s="845"/>
    </row>
    <row r="3457" spans="1:22" s="848" customFormat="1" ht="17.100000000000001" customHeight="1">
      <c r="A3457" s="1316" t="s">
        <v>943</v>
      </c>
      <c r="B3457" s="1317"/>
      <c r="C3457" s="1316" t="s">
        <v>2361</v>
      </c>
      <c r="D3457" s="1317"/>
      <c r="E3457" s="683">
        <v>0.67949999999999999</v>
      </c>
      <c r="F3457" s="676" t="s">
        <v>835</v>
      </c>
      <c r="G3457" s="670" t="e">
        <f>#REF!</f>
        <v>#REF!</v>
      </c>
      <c r="H3457" s="670" t="e">
        <f>INT(E3457*G3457)</f>
        <v>#REF!</v>
      </c>
      <c r="I3457" s="670"/>
      <c r="J3457" s="670"/>
      <c r="K3457" s="670"/>
      <c r="L3457" s="670"/>
      <c r="M3457" s="670" t="e">
        <f t="shared" si="804"/>
        <v>#REF!</v>
      </c>
      <c r="N3457" s="670" t="e">
        <f t="shared" si="804"/>
        <v>#REF!</v>
      </c>
      <c r="O3457" s="671" t="s">
        <v>2340</v>
      </c>
      <c r="P3457" s="852"/>
      <c r="Q3457" s="849" t="s">
        <v>2311</v>
      </c>
      <c r="R3457" s="847">
        <f>W3455</f>
        <v>0</v>
      </c>
      <c r="S3457" s="850"/>
      <c r="T3457" s="850"/>
      <c r="U3457" s="850"/>
      <c r="V3457" s="850"/>
    </row>
    <row r="3458" spans="1:22" s="848" customFormat="1" ht="17.100000000000001" customHeight="1">
      <c r="A3458" s="1316" t="s">
        <v>941</v>
      </c>
      <c r="B3458" s="1317"/>
      <c r="C3458" s="1316" t="s">
        <v>2342</v>
      </c>
      <c r="D3458" s="1317"/>
      <c r="E3458" s="683">
        <v>4.65E-2</v>
      </c>
      <c r="F3458" s="676" t="s">
        <v>835</v>
      </c>
      <c r="G3458" s="670" t="e">
        <f>#REF!</f>
        <v>#REF!</v>
      </c>
      <c r="H3458" s="670" t="e">
        <f>INT(E3458*G3458)</f>
        <v>#REF!</v>
      </c>
      <c r="I3458" s="670"/>
      <c r="J3458" s="670"/>
      <c r="K3458" s="670"/>
      <c r="L3458" s="670"/>
      <c r="M3458" s="670" t="e">
        <f t="shared" si="804"/>
        <v>#REF!</v>
      </c>
      <c r="N3458" s="670" t="e">
        <f t="shared" si="804"/>
        <v>#REF!</v>
      </c>
      <c r="O3458" s="671"/>
      <c r="P3458" s="852"/>
      <c r="Q3458" s="849" t="s">
        <v>2311</v>
      </c>
      <c r="R3458" s="850"/>
      <c r="S3458" s="850"/>
      <c r="T3458" s="850"/>
      <c r="U3458" s="850"/>
      <c r="V3458" s="850"/>
    </row>
    <row r="3459" spans="1:22" s="848" customFormat="1" ht="17.100000000000001" customHeight="1">
      <c r="A3459" s="1316" t="s">
        <v>946</v>
      </c>
      <c r="B3459" s="1317"/>
      <c r="C3459" s="1316" t="s">
        <v>2362</v>
      </c>
      <c r="D3459" s="1317"/>
      <c r="E3459" s="683">
        <v>0.03</v>
      </c>
      <c r="F3459" s="676" t="s">
        <v>835</v>
      </c>
      <c r="G3459" s="670" t="e">
        <f>#REF!</f>
        <v>#REF!</v>
      </c>
      <c r="H3459" s="670" t="e">
        <f>INT(E3459*G3459)</f>
        <v>#REF!</v>
      </c>
      <c r="I3459" s="670"/>
      <c r="J3459" s="670"/>
      <c r="K3459" s="670"/>
      <c r="L3459" s="670"/>
      <c r="M3459" s="670" t="e">
        <f t="shared" si="804"/>
        <v>#REF!</v>
      </c>
      <c r="N3459" s="670" t="e">
        <f t="shared" si="804"/>
        <v>#REF!</v>
      </c>
      <c r="O3459" s="671"/>
      <c r="P3459" s="852"/>
      <c r="Q3459" s="849" t="s">
        <v>2311</v>
      </c>
      <c r="R3459" s="850"/>
      <c r="S3459" s="850"/>
      <c r="T3459" s="850"/>
      <c r="U3459" s="850"/>
      <c r="V3459" s="850"/>
    </row>
    <row r="3460" spans="1:22" s="688" customFormat="1" ht="17.100000000000001" customHeight="1">
      <c r="A3460" s="1316" t="s">
        <v>1041</v>
      </c>
      <c r="B3460" s="1317"/>
      <c r="C3460" s="1316"/>
      <c r="D3460" s="1317"/>
      <c r="E3460" s="683">
        <v>0.03</v>
      </c>
      <c r="F3460" s="676" t="s">
        <v>835</v>
      </c>
      <c r="G3460" s="670" t="e">
        <f>#REF!</f>
        <v>#REF!</v>
      </c>
      <c r="H3460" s="670" t="e">
        <f>INT(E3460*G3460)</f>
        <v>#REF!</v>
      </c>
      <c r="I3460" s="670"/>
      <c r="J3460" s="670"/>
      <c r="K3460" s="670"/>
      <c r="L3460" s="670"/>
      <c r="M3460" s="670" t="e">
        <f t="shared" si="804"/>
        <v>#REF!</v>
      </c>
      <c r="N3460" s="670" t="e">
        <f t="shared" si="804"/>
        <v>#REF!</v>
      </c>
      <c r="O3460" s="671"/>
      <c r="P3460" s="852"/>
      <c r="Q3460" s="849" t="s">
        <v>2311</v>
      </c>
      <c r="R3460" s="850"/>
      <c r="S3460" s="850"/>
      <c r="T3460" s="850"/>
      <c r="U3460" s="850"/>
      <c r="V3460" s="850"/>
    </row>
    <row r="3461" spans="1:22" s="688" customFormat="1" ht="17.100000000000001" customHeight="1">
      <c r="A3461" s="1316" t="s">
        <v>628</v>
      </c>
      <c r="B3461" s="1317"/>
      <c r="C3461" s="1321" t="s">
        <v>2330</v>
      </c>
      <c r="D3461" s="1317"/>
      <c r="E3461" s="683">
        <v>5.9999999999999995E-4</v>
      </c>
      <c r="F3461" s="676" t="s">
        <v>366</v>
      </c>
      <c r="G3461" s="670"/>
      <c r="H3461" s="670"/>
      <c r="I3461" s="670">
        <f>[53]노임단가!$T$6</f>
        <v>226122</v>
      </c>
      <c r="J3461" s="670">
        <f>INT(E3461*I3461)</f>
        <v>135</v>
      </c>
      <c r="K3461" s="670"/>
      <c r="L3461" s="670"/>
      <c r="M3461" s="670">
        <f t="shared" si="804"/>
        <v>226122</v>
      </c>
      <c r="N3461" s="670">
        <f t="shared" si="804"/>
        <v>135</v>
      </c>
      <c r="O3461" s="671"/>
      <c r="P3461" s="672"/>
      <c r="Q3461" s="828" t="s">
        <v>2311</v>
      </c>
    </row>
    <row r="3462" spans="1:22" s="688" customFormat="1" ht="17.100000000000001" customHeight="1">
      <c r="A3462" s="1316" t="s">
        <v>248</v>
      </c>
      <c r="B3462" s="1317"/>
      <c r="C3462" s="1321" t="s">
        <v>2330</v>
      </c>
      <c r="D3462" s="1317"/>
      <c r="E3462" s="683">
        <v>5.9999999999999995E-4</v>
      </c>
      <c r="F3462" s="676" t="s">
        <v>366</v>
      </c>
      <c r="G3462" s="670"/>
      <c r="H3462" s="670"/>
      <c r="I3462" s="670">
        <f>[53]노임단가!$T$5</f>
        <v>172068</v>
      </c>
      <c r="J3462" s="670">
        <f>INT(E3462*I3462)</f>
        <v>103</v>
      </c>
      <c r="K3462" s="670"/>
      <c r="L3462" s="670"/>
      <c r="M3462" s="670">
        <f t="shared" si="804"/>
        <v>172068</v>
      </c>
      <c r="N3462" s="670">
        <f t="shared" si="804"/>
        <v>103</v>
      </c>
      <c r="O3462" s="671"/>
      <c r="P3462" s="672" t="s">
        <v>2314</v>
      </c>
      <c r="Q3462" s="828" t="s">
        <v>2311</v>
      </c>
    </row>
    <row r="3463" spans="1:22" s="688" customFormat="1" ht="17.100000000000001" customHeight="1">
      <c r="A3463" s="1316" t="s">
        <v>1161</v>
      </c>
      <c r="B3463" s="1317"/>
      <c r="C3463" s="1316" t="s">
        <v>2363</v>
      </c>
      <c r="D3463" s="1317"/>
      <c r="E3463" s="686">
        <v>2.3999999999999998E-3</v>
      </c>
      <c r="F3463" s="676" t="s">
        <v>418</v>
      </c>
      <c r="G3463" s="670" t="e">
        <f>#REF!</f>
        <v>#REF!</v>
      </c>
      <c r="H3463" s="670" t="e">
        <f>INT(E3463*G3463)</f>
        <v>#REF!</v>
      </c>
      <c r="I3463" s="670" t="e">
        <f>#REF!</f>
        <v>#REF!</v>
      </c>
      <c r="J3463" s="670" t="e">
        <f>INT(E3463*I3463)</f>
        <v>#REF!</v>
      </c>
      <c r="K3463" s="670" t="e">
        <f>#REF!</f>
        <v>#REF!</v>
      </c>
      <c r="L3463" s="670" t="e">
        <f>INT(E3463*K3463)</f>
        <v>#REF!</v>
      </c>
      <c r="M3463" s="670" t="e">
        <f t="shared" si="804"/>
        <v>#REF!</v>
      </c>
      <c r="N3463" s="670" t="e">
        <f t="shared" si="804"/>
        <v>#REF!</v>
      </c>
      <c r="O3463" s="671"/>
      <c r="P3463" s="672" t="s">
        <v>2316</v>
      </c>
      <c r="Q3463" s="828" t="s">
        <v>2311</v>
      </c>
      <c r="R3463" s="845"/>
      <c r="S3463" s="846"/>
      <c r="T3463" s="846"/>
      <c r="U3463" s="851"/>
      <c r="V3463" s="851"/>
    </row>
    <row r="3464" spans="1:22" s="688" customFormat="1" ht="17.100000000000001" customHeight="1">
      <c r="A3464" s="1316" t="s">
        <v>1161</v>
      </c>
      <c r="B3464" s="1317"/>
      <c r="C3464" s="1316" t="s">
        <v>2364</v>
      </c>
      <c r="D3464" s="1317"/>
      <c r="E3464" s="686">
        <v>2.3999999999999998E-3</v>
      </c>
      <c r="F3464" s="676" t="s">
        <v>418</v>
      </c>
      <c r="G3464" s="670" t="e">
        <f>#REF!</f>
        <v>#REF!</v>
      </c>
      <c r="H3464" s="670" t="e">
        <f>INT(E3464*G3464)</f>
        <v>#REF!</v>
      </c>
      <c r="I3464" s="670" t="e">
        <f>#REF!</f>
        <v>#REF!</v>
      </c>
      <c r="J3464" s="670" t="e">
        <f>INT(E3464*I3464)</f>
        <v>#REF!</v>
      </c>
      <c r="K3464" s="670" t="e">
        <f>#REF!</f>
        <v>#REF!</v>
      </c>
      <c r="L3464" s="670" t="e">
        <f>INT(E3464*K3464)</f>
        <v>#REF!</v>
      </c>
      <c r="M3464" s="670" t="e">
        <f t="shared" si="804"/>
        <v>#REF!</v>
      </c>
      <c r="N3464" s="670" t="e">
        <f t="shared" si="804"/>
        <v>#REF!</v>
      </c>
      <c r="O3464" s="671"/>
      <c r="P3464" s="672"/>
      <c r="Q3464" s="828" t="s">
        <v>2311</v>
      </c>
      <c r="R3464" s="845"/>
      <c r="S3464" s="845"/>
      <c r="T3464" s="845"/>
      <c r="U3464" s="845"/>
      <c r="V3464" s="845"/>
    </row>
    <row r="3465" spans="1:22" s="688" customFormat="1" ht="17.100000000000001" customHeight="1">
      <c r="A3465" s="1316" t="s">
        <v>2346</v>
      </c>
      <c r="B3465" s="1317"/>
      <c r="C3465" s="1321" t="s">
        <v>2365</v>
      </c>
      <c r="D3465" s="1317"/>
      <c r="E3465" s="686">
        <v>0.1</v>
      </c>
      <c r="F3465" s="676" t="s">
        <v>672</v>
      </c>
      <c r="G3465" s="670"/>
      <c r="H3465" s="670">
        <f>INT(E3465*G3465)</f>
        <v>0</v>
      </c>
      <c r="I3465" s="670"/>
      <c r="J3465" s="670"/>
      <c r="K3465" s="670">
        <f>J3461+J3462</f>
        <v>238</v>
      </c>
      <c r="L3465" s="670">
        <f>INT(E3465*K3465)</f>
        <v>23</v>
      </c>
      <c r="M3465" s="670">
        <f t="shared" si="804"/>
        <v>238</v>
      </c>
      <c r="N3465" s="670">
        <f t="shared" si="804"/>
        <v>23</v>
      </c>
      <c r="O3465" s="671"/>
      <c r="P3465" s="672"/>
      <c r="Q3465" s="828" t="s">
        <v>2311</v>
      </c>
      <c r="R3465" s="845"/>
      <c r="S3465" s="845"/>
      <c r="T3465" s="845"/>
      <c r="U3465" s="845"/>
      <c r="V3465" s="845"/>
    </row>
    <row r="3466" spans="1:22" s="688" customFormat="1" ht="17.100000000000001" customHeight="1">
      <c r="A3466" s="1316" t="s">
        <v>1328</v>
      </c>
      <c r="B3466" s="1317"/>
      <c r="C3466" s="1321" t="s">
        <v>2347</v>
      </c>
      <c r="D3466" s="1317"/>
      <c r="E3466" s="686">
        <v>0.01</v>
      </c>
      <c r="F3466" s="676" t="s">
        <v>672</v>
      </c>
      <c r="G3466" s="670" t="e">
        <f>SUM(H3457:H3458)</f>
        <v>#REF!</v>
      </c>
      <c r="H3466" s="670" t="e">
        <f>INT(E3466*G3466)</f>
        <v>#REF!</v>
      </c>
      <c r="I3466" s="670"/>
      <c r="J3466" s="670"/>
      <c r="K3466" s="670"/>
      <c r="L3466" s="670"/>
      <c r="M3466" s="670" t="e">
        <f>G3466+I3466+K3466</f>
        <v>#REF!</v>
      </c>
      <c r="N3466" s="670" t="e">
        <f>H3466+J3466+L3466</f>
        <v>#REF!</v>
      </c>
      <c r="O3466" s="671"/>
      <c r="P3466" s="672"/>
      <c r="Q3466" s="828" t="s">
        <v>2311</v>
      </c>
      <c r="R3466" s="845"/>
      <c r="S3466" s="848"/>
      <c r="T3466" s="848"/>
      <c r="U3466" s="848"/>
      <c r="V3466" s="848"/>
    </row>
    <row r="3467" spans="1:22" s="688" customFormat="1" ht="17.100000000000001" customHeight="1">
      <c r="A3467" s="1354" t="s">
        <v>1320</v>
      </c>
      <c r="B3467" s="1354"/>
      <c r="C3467" s="1355"/>
      <c r="D3467" s="1355"/>
      <c r="E3467" s="686"/>
      <c r="F3467" s="676"/>
      <c r="G3467" s="670"/>
      <c r="H3467" s="670" t="e">
        <f>SUM(H3458:H3466)</f>
        <v>#REF!</v>
      </c>
      <c r="I3467" s="670"/>
      <c r="J3467" s="670" t="e">
        <f>SUM(J3458:J3466)</f>
        <v>#REF!</v>
      </c>
      <c r="K3467" s="670"/>
      <c r="L3467" s="670" t="e">
        <f>SUM(L3458:L3466)</f>
        <v>#REF!</v>
      </c>
      <c r="M3467" s="670"/>
      <c r="N3467" s="670" t="e">
        <f>SUM(N3458:N3466)</f>
        <v>#REF!</v>
      </c>
      <c r="O3467" s="671"/>
      <c r="P3467" s="672"/>
      <c r="Q3467" s="828" t="s">
        <v>2311</v>
      </c>
      <c r="R3467" s="845"/>
      <c r="S3467" s="848"/>
      <c r="T3467" s="848"/>
      <c r="U3467" s="848"/>
      <c r="V3467" s="848"/>
    </row>
    <row r="3468" spans="1:22" s="848" customFormat="1" ht="17.100000000000001" customHeight="1">
      <c r="A3468" s="668">
        <f>A3455+1</f>
        <v>466</v>
      </c>
      <c r="B3468" s="1320" t="s">
        <v>2359</v>
      </c>
      <c r="C3468" s="1320"/>
      <c r="D3468" s="1320" t="s">
        <v>2356</v>
      </c>
      <c r="E3468" s="1320"/>
      <c r="F3468" s="669" t="s">
        <v>272</v>
      </c>
      <c r="G3468" s="698"/>
      <c r="H3468" s="698"/>
      <c r="I3468" s="698"/>
      <c r="J3468" s="698"/>
      <c r="K3468" s="670"/>
      <c r="L3468" s="670"/>
      <c r="M3468" s="670"/>
      <c r="N3468" s="698"/>
      <c r="O3468" s="699" t="s">
        <v>1562</v>
      </c>
      <c r="P3468" s="672"/>
      <c r="Q3468" s="828" t="s">
        <v>2311</v>
      </c>
      <c r="R3468" s="845"/>
      <c r="S3468" s="845"/>
      <c r="T3468" s="845"/>
      <c r="U3468" s="845"/>
      <c r="V3468" s="845"/>
    </row>
    <row r="3469" spans="1:22" s="848" customFormat="1" ht="17.100000000000001" customHeight="1">
      <c r="A3469" s="1316" t="s">
        <v>943</v>
      </c>
      <c r="B3469" s="1317"/>
      <c r="C3469" s="1316" t="s">
        <v>2360</v>
      </c>
      <c r="D3469" s="1317"/>
      <c r="E3469" s="683">
        <v>0.67949999999999999</v>
      </c>
      <c r="F3469" s="676" t="s">
        <v>835</v>
      </c>
      <c r="G3469" s="670" t="e">
        <f>#REF!</f>
        <v>#REF!</v>
      </c>
      <c r="H3469" s="670" t="e">
        <f>INT(E3469*G3469)</f>
        <v>#REF!</v>
      </c>
      <c r="I3469" s="670"/>
      <c r="J3469" s="670"/>
      <c r="K3469" s="670"/>
      <c r="L3469" s="670"/>
      <c r="M3469" s="670" t="e">
        <f t="shared" ref="M3469:N3478" si="805">G3469+I3469+K3469</f>
        <v>#REF!</v>
      </c>
      <c r="N3469" s="670" t="e">
        <f t="shared" si="805"/>
        <v>#REF!</v>
      </c>
      <c r="O3469" s="671" t="s">
        <v>2340</v>
      </c>
      <c r="P3469" s="852"/>
      <c r="Q3469" s="849" t="s">
        <v>2311</v>
      </c>
      <c r="R3469" s="847">
        <f>W3467</f>
        <v>0</v>
      </c>
      <c r="S3469" s="850"/>
      <c r="T3469" s="850"/>
      <c r="U3469" s="850"/>
      <c r="V3469" s="850"/>
    </row>
    <row r="3470" spans="1:22" s="848" customFormat="1" ht="17.100000000000001" customHeight="1">
      <c r="A3470" s="1316" t="s">
        <v>943</v>
      </c>
      <c r="B3470" s="1317"/>
      <c r="C3470" s="1316" t="s">
        <v>2361</v>
      </c>
      <c r="D3470" s="1317"/>
      <c r="E3470" s="683">
        <v>0.67949999999999999</v>
      </c>
      <c r="F3470" s="676" t="s">
        <v>835</v>
      </c>
      <c r="G3470" s="670" t="e">
        <f>#REF!</f>
        <v>#REF!</v>
      </c>
      <c r="H3470" s="670" t="e">
        <f>INT(E3470*G3470)</f>
        <v>#REF!</v>
      </c>
      <c r="I3470" s="670"/>
      <c r="J3470" s="670"/>
      <c r="K3470" s="670"/>
      <c r="L3470" s="670"/>
      <c r="M3470" s="670" t="e">
        <f t="shared" si="805"/>
        <v>#REF!</v>
      </c>
      <c r="N3470" s="670" t="e">
        <f t="shared" si="805"/>
        <v>#REF!</v>
      </c>
      <c r="O3470" s="671" t="s">
        <v>2340</v>
      </c>
      <c r="P3470" s="852"/>
      <c r="Q3470" s="849" t="s">
        <v>2311</v>
      </c>
      <c r="R3470" s="850"/>
      <c r="S3470" s="850"/>
      <c r="T3470" s="850"/>
      <c r="U3470" s="850"/>
      <c r="V3470" s="850"/>
    </row>
    <row r="3471" spans="1:22" s="848" customFormat="1" ht="17.100000000000001" customHeight="1">
      <c r="A3471" s="1316" t="s">
        <v>941</v>
      </c>
      <c r="B3471" s="1317"/>
      <c r="C3471" s="1316" t="s">
        <v>2342</v>
      </c>
      <c r="D3471" s="1317"/>
      <c r="E3471" s="683">
        <v>4.65E-2</v>
      </c>
      <c r="F3471" s="676" t="s">
        <v>835</v>
      </c>
      <c r="G3471" s="670" t="e">
        <f>#REF!</f>
        <v>#REF!</v>
      </c>
      <c r="H3471" s="670" t="e">
        <f>INT(E3471*G3471)</f>
        <v>#REF!</v>
      </c>
      <c r="I3471" s="670"/>
      <c r="J3471" s="670"/>
      <c r="K3471" s="670"/>
      <c r="L3471" s="670"/>
      <c r="M3471" s="670" t="e">
        <f t="shared" si="805"/>
        <v>#REF!</v>
      </c>
      <c r="N3471" s="670" t="e">
        <f t="shared" si="805"/>
        <v>#REF!</v>
      </c>
      <c r="O3471" s="671"/>
      <c r="P3471" s="852"/>
      <c r="Q3471" s="849" t="s">
        <v>2311</v>
      </c>
      <c r="R3471" s="850"/>
      <c r="S3471" s="850"/>
      <c r="T3471" s="850"/>
      <c r="U3471" s="850"/>
      <c r="V3471" s="850"/>
    </row>
    <row r="3472" spans="1:22" s="688" customFormat="1" ht="17.100000000000001" customHeight="1">
      <c r="A3472" s="1316" t="s">
        <v>946</v>
      </c>
      <c r="B3472" s="1317"/>
      <c r="C3472" s="1316" t="s">
        <v>2362</v>
      </c>
      <c r="D3472" s="1317"/>
      <c r="E3472" s="683">
        <v>0.03</v>
      </c>
      <c r="F3472" s="676" t="s">
        <v>835</v>
      </c>
      <c r="G3472" s="670" t="e">
        <f>#REF!</f>
        <v>#REF!</v>
      </c>
      <c r="H3472" s="670" t="e">
        <f>INT(E3472*G3472)</f>
        <v>#REF!</v>
      </c>
      <c r="I3472" s="670"/>
      <c r="J3472" s="670"/>
      <c r="K3472" s="670"/>
      <c r="L3472" s="670"/>
      <c r="M3472" s="670" t="e">
        <f t="shared" si="805"/>
        <v>#REF!</v>
      </c>
      <c r="N3472" s="670" t="e">
        <f t="shared" si="805"/>
        <v>#REF!</v>
      </c>
      <c r="O3472" s="671"/>
      <c r="P3472" s="852"/>
      <c r="Q3472" s="849" t="s">
        <v>2311</v>
      </c>
      <c r="R3472" s="850"/>
      <c r="S3472" s="850"/>
      <c r="T3472" s="850"/>
      <c r="U3472" s="850"/>
      <c r="V3472" s="850"/>
    </row>
    <row r="3473" spans="1:22" s="688" customFormat="1" ht="17.100000000000001" customHeight="1">
      <c r="A3473" s="1316" t="s">
        <v>1041</v>
      </c>
      <c r="B3473" s="1317"/>
      <c r="C3473" s="1316"/>
      <c r="D3473" s="1317"/>
      <c r="E3473" s="683">
        <v>0.03</v>
      </c>
      <c r="F3473" s="676" t="s">
        <v>835</v>
      </c>
      <c r="G3473" s="670" t="e">
        <f>#REF!</f>
        <v>#REF!</v>
      </c>
      <c r="H3473" s="670" t="e">
        <f>INT(E3473*G3473)</f>
        <v>#REF!</v>
      </c>
      <c r="I3473" s="670"/>
      <c r="J3473" s="670"/>
      <c r="K3473" s="670"/>
      <c r="L3473" s="670"/>
      <c r="M3473" s="670" t="e">
        <f t="shared" si="805"/>
        <v>#REF!</v>
      </c>
      <c r="N3473" s="670" t="e">
        <f t="shared" si="805"/>
        <v>#REF!</v>
      </c>
      <c r="O3473" s="671"/>
      <c r="P3473" s="672"/>
      <c r="Q3473" s="828" t="s">
        <v>2311</v>
      </c>
    </row>
    <row r="3474" spans="1:22" s="688" customFormat="1" ht="17.100000000000001" customHeight="1">
      <c r="A3474" s="1316" t="s">
        <v>628</v>
      </c>
      <c r="B3474" s="1317"/>
      <c r="C3474" s="1321" t="s">
        <v>2330</v>
      </c>
      <c r="D3474" s="1317"/>
      <c r="E3474" s="683">
        <v>1.1999999999999999E-3</v>
      </c>
      <c r="F3474" s="676" t="s">
        <v>366</v>
      </c>
      <c r="G3474" s="670"/>
      <c r="H3474" s="670"/>
      <c r="I3474" s="670">
        <f>[53]노임단가!$T$6</f>
        <v>226122</v>
      </c>
      <c r="J3474" s="670">
        <f>INT(E3474*I3474)</f>
        <v>271</v>
      </c>
      <c r="K3474" s="670"/>
      <c r="L3474" s="670"/>
      <c r="M3474" s="670">
        <f t="shared" si="805"/>
        <v>226122</v>
      </c>
      <c r="N3474" s="670">
        <f t="shared" si="805"/>
        <v>271</v>
      </c>
      <c r="O3474" s="671"/>
      <c r="P3474" s="672"/>
      <c r="Q3474" s="828" t="s">
        <v>2311</v>
      </c>
    </row>
    <row r="3475" spans="1:22" s="688" customFormat="1" ht="17.100000000000001" customHeight="1">
      <c r="A3475" s="1316" t="s">
        <v>248</v>
      </c>
      <c r="B3475" s="1317"/>
      <c r="C3475" s="1321" t="s">
        <v>2330</v>
      </c>
      <c r="D3475" s="1317"/>
      <c r="E3475" s="683">
        <v>1.1999999999999999E-3</v>
      </c>
      <c r="F3475" s="676" t="s">
        <v>366</v>
      </c>
      <c r="G3475" s="670"/>
      <c r="H3475" s="670"/>
      <c r="I3475" s="670">
        <f>[53]노임단가!$T$5</f>
        <v>172068</v>
      </c>
      <c r="J3475" s="670">
        <f>INT(E3475*I3475)</f>
        <v>206</v>
      </c>
      <c r="K3475" s="670"/>
      <c r="L3475" s="670"/>
      <c r="M3475" s="670">
        <f t="shared" si="805"/>
        <v>172068</v>
      </c>
      <c r="N3475" s="670">
        <f t="shared" si="805"/>
        <v>206</v>
      </c>
      <c r="O3475" s="671"/>
      <c r="P3475" s="672"/>
      <c r="Q3475" s="828" t="s">
        <v>2311</v>
      </c>
    </row>
    <row r="3476" spans="1:22" s="688" customFormat="1" ht="17.100000000000001" customHeight="1">
      <c r="A3476" s="1316" t="s">
        <v>1161</v>
      </c>
      <c r="B3476" s="1317"/>
      <c r="C3476" s="1316" t="s">
        <v>2363</v>
      </c>
      <c r="D3476" s="1317"/>
      <c r="E3476" s="686">
        <v>4.7999999999999996E-3</v>
      </c>
      <c r="F3476" s="676" t="s">
        <v>418</v>
      </c>
      <c r="G3476" s="670" t="e">
        <f>#REF!</f>
        <v>#REF!</v>
      </c>
      <c r="H3476" s="670" t="e">
        <f>INT(E3476*G3476)</f>
        <v>#REF!</v>
      </c>
      <c r="I3476" s="670" t="e">
        <f>#REF!</f>
        <v>#REF!</v>
      </c>
      <c r="J3476" s="670" t="e">
        <f>INT(E3476*I3476)</f>
        <v>#REF!</v>
      </c>
      <c r="K3476" s="670" t="e">
        <f>#REF!</f>
        <v>#REF!</v>
      </c>
      <c r="L3476" s="670" t="e">
        <f>INT(E3476*K3476)</f>
        <v>#REF!</v>
      </c>
      <c r="M3476" s="670" t="e">
        <f t="shared" si="805"/>
        <v>#REF!</v>
      </c>
      <c r="N3476" s="670" t="e">
        <f t="shared" si="805"/>
        <v>#REF!</v>
      </c>
      <c r="O3476" s="671"/>
      <c r="P3476" s="672"/>
      <c r="Q3476" s="828" t="s">
        <v>2311</v>
      </c>
    </row>
    <row r="3477" spans="1:22" s="848" customFormat="1" ht="17.100000000000001" customHeight="1">
      <c r="A3477" s="1316" t="s">
        <v>1161</v>
      </c>
      <c r="B3477" s="1317"/>
      <c r="C3477" s="1316" t="s">
        <v>2364</v>
      </c>
      <c r="D3477" s="1317"/>
      <c r="E3477" s="686">
        <v>4.7999999999999996E-3</v>
      </c>
      <c r="F3477" s="676" t="s">
        <v>418</v>
      </c>
      <c r="G3477" s="670" t="e">
        <f>#REF!</f>
        <v>#REF!</v>
      </c>
      <c r="H3477" s="670" t="e">
        <f>INT(E3477*G3477)</f>
        <v>#REF!</v>
      </c>
      <c r="I3477" s="670" t="e">
        <f>#REF!</f>
        <v>#REF!</v>
      </c>
      <c r="J3477" s="670" t="e">
        <f>INT(E3477*I3477)</f>
        <v>#REF!</v>
      </c>
      <c r="K3477" s="670" t="e">
        <f>#REF!</f>
        <v>#REF!</v>
      </c>
      <c r="L3477" s="670" t="e">
        <f>INT(E3477*K3477)</f>
        <v>#REF!</v>
      </c>
      <c r="M3477" s="670" t="e">
        <f t="shared" si="805"/>
        <v>#REF!</v>
      </c>
      <c r="N3477" s="670" t="e">
        <f t="shared" si="805"/>
        <v>#REF!</v>
      </c>
      <c r="O3477" s="671"/>
      <c r="P3477" s="672"/>
      <c r="Q3477" s="828" t="s">
        <v>2311</v>
      </c>
      <c r="R3477" s="688"/>
      <c r="S3477" s="688"/>
      <c r="T3477" s="688"/>
      <c r="U3477" s="688"/>
      <c r="V3477" s="688"/>
    </row>
    <row r="3478" spans="1:22" s="848" customFormat="1" ht="17.100000000000001" customHeight="1">
      <c r="A3478" s="1316" t="s">
        <v>2346</v>
      </c>
      <c r="B3478" s="1317"/>
      <c r="C3478" s="1321" t="s">
        <v>2365</v>
      </c>
      <c r="D3478" s="1317"/>
      <c r="E3478" s="686">
        <v>0.1</v>
      </c>
      <c r="F3478" s="676" t="s">
        <v>672</v>
      </c>
      <c r="G3478" s="670"/>
      <c r="H3478" s="670">
        <f>INT(E3478*G3478)</f>
        <v>0</v>
      </c>
      <c r="I3478" s="670"/>
      <c r="J3478" s="670"/>
      <c r="K3478" s="670">
        <f>J3474+J3475</f>
        <v>477</v>
      </c>
      <c r="L3478" s="670">
        <f>INT(E3478*K3478)</f>
        <v>47</v>
      </c>
      <c r="M3478" s="670">
        <f t="shared" si="805"/>
        <v>477</v>
      </c>
      <c r="N3478" s="670">
        <f t="shared" si="805"/>
        <v>47</v>
      </c>
      <c r="O3478" s="671"/>
      <c r="P3478" s="852"/>
      <c r="Q3478" s="849" t="s">
        <v>2311</v>
      </c>
      <c r="R3478" s="845" t="e">
        <f>TRUNC(2/$Y3477,5)</f>
        <v>#DIV/0!</v>
      </c>
      <c r="S3478" s="845"/>
      <c r="T3478" s="845"/>
      <c r="U3478" s="845"/>
      <c r="V3478" s="845"/>
    </row>
    <row r="3479" spans="1:22" s="848" customFormat="1" ht="17.100000000000001" customHeight="1">
      <c r="A3479" s="1316" t="s">
        <v>1328</v>
      </c>
      <c r="B3479" s="1317"/>
      <c r="C3479" s="1321" t="s">
        <v>2347</v>
      </c>
      <c r="D3479" s="1317"/>
      <c r="E3479" s="686">
        <v>0.01</v>
      </c>
      <c r="F3479" s="676" t="s">
        <v>672</v>
      </c>
      <c r="G3479" s="670" t="e">
        <f>SUM(H3470:H3471)</f>
        <v>#REF!</v>
      </c>
      <c r="H3479" s="670" t="e">
        <f>INT(E3479*G3479)</f>
        <v>#REF!</v>
      </c>
      <c r="I3479" s="670"/>
      <c r="J3479" s="670"/>
      <c r="K3479" s="670"/>
      <c r="L3479" s="670"/>
      <c r="M3479" s="670" t="e">
        <f>G3479+I3479+K3479</f>
        <v>#REF!</v>
      </c>
      <c r="N3479" s="670" t="e">
        <f>H3479+J3479+L3479</f>
        <v>#REF!</v>
      </c>
      <c r="O3479" s="671"/>
      <c r="P3479" s="852"/>
      <c r="Q3479" s="849" t="s">
        <v>2311</v>
      </c>
      <c r="R3479" s="845" t="e">
        <f>TRUNC(2/$Y3477,5)</f>
        <v>#DIV/0!</v>
      </c>
    </row>
    <row r="3480" spans="1:22" s="848" customFormat="1" ht="17.100000000000001" customHeight="1">
      <c r="A3480" s="1354" t="s">
        <v>1320</v>
      </c>
      <c r="B3480" s="1354"/>
      <c r="C3480" s="1355"/>
      <c r="D3480" s="1355"/>
      <c r="E3480" s="686"/>
      <c r="F3480" s="676"/>
      <c r="G3480" s="670"/>
      <c r="H3480" s="670" t="e">
        <f>SUM(H3471:H3479)</f>
        <v>#REF!</v>
      </c>
      <c r="I3480" s="670"/>
      <c r="J3480" s="670" t="e">
        <f>SUM(J3471:J3479)</f>
        <v>#REF!</v>
      </c>
      <c r="K3480" s="670"/>
      <c r="L3480" s="670" t="e">
        <f>SUM(L3471:L3479)</f>
        <v>#REF!</v>
      </c>
      <c r="M3480" s="670"/>
      <c r="N3480" s="670" t="e">
        <f>SUM(N3471:N3479)</f>
        <v>#REF!</v>
      </c>
      <c r="O3480" s="671"/>
      <c r="P3480" s="852"/>
      <c r="Q3480" s="849" t="s">
        <v>2311</v>
      </c>
      <c r="R3480" s="845" t="e">
        <f>TRUNC(2/$Y3477,5)</f>
        <v>#DIV/0!</v>
      </c>
    </row>
    <row r="3481" spans="1:22" s="848" customFormat="1" ht="17.100000000000001" customHeight="1">
      <c r="A3481" s="668">
        <f>A3468+1</f>
        <v>467</v>
      </c>
      <c r="B3481" s="1320" t="s">
        <v>2359</v>
      </c>
      <c r="C3481" s="1320"/>
      <c r="D3481" s="1320" t="s">
        <v>2367</v>
      </c>
      <c r="E3481" s="1320"/>
      <c r="F3481" s="669" t="s">
        <v>272</v>
      </c>
      <c r="G3481" s="698"/>
      <c r="H3481" s="698"/>
      <c r="I3481" s="698"/>
      <c r="J3481" s="698"/>
      <c r="K3481" s="670"/>
      <c r="L3481" s="670"/>
      <c r="M3481" s="670"/>
      <c r="N3481" s="698"/>
      <c r="O3481" s="699" t="s">
        <v>1562</v>
      </c>
      <c r="P3481" s="852"/>
      <c r="Q3481" s="849" t="s">
        <v>2311</v>
      </c>
      <c r="R3481" s="845" t="e">
        <f>TRUNC(1/$Y3477,5)</f>
        <v>#DIV/0!</v>
      </c>
      <c r="S3481" s="845"/>
      <c r="T3481" s="845"/>
      <c r="U3481" s="845"/>
      <c r="V3481" s="845"/>
    </row>
    <row r="3482" spans="1:22" s="848" customFormat="1" ht="17.100000000000001" customHeight="1">
      <c r="A3482" s="1316" t="s">
        <v>943</v>
      </c>
      <c r="B3482" s="1317"/>
      <c r="C3482" s="1316" t="s">
        <v>2366</v>
      </c>
      <c r="D3482" s="1317"/>
      <c r="E3482" s="683">
        <v>0.67949999999999999</v>
      </c>
      <c r="F3482" s="676" t="s">
        <v>835</v>
      </c>
      <c r="G3482" s="670" t="e">
        <f>#REF!</f>
        <v>#REF!</v>
      </c>
      <c r="H3482" s="670" t="e">
        <f>INT(E3482*G3482)</f>
        <v>#REF!</v>
      </c>
      <c r="I3482" s="670"/>
      <c r="J3482" s="670"/>
      <c r="K3482" s="670"/>
      <c r="L3482" s="670"/>
      <c r="M3482" s="670" t="e">
        <f t="shared" ref="M3482:N3490" si="806">G3482+I3482+K3482</f>
        <v>#REF!</v>
      </c>
      <c r="N3482" s="670" t="e">
        <f t="shared" si="806"/>
        <v>#REF!</v>
      </c>
      <c r="O3482" s="671" t="s">
        <v>2340</v>
      </c>
      <c r="P3482" s="852"/>
      <c r="Q3482" s="849" t="s">
        <v>2311</v>
      </c>
      <c r="R3482" s="847">
        <f>W3477</f>
        <v>0</v>
      </c>
      <c r="S3482" s="850"/>
      <c r="T3482" s="850"/>
      <c r="U3482" s="850"/>
      <c r="V3482" s="850"/>
    </row>
    <row r="3483" spans="1:22" s="848" customFormat="1" ht="17.100000000000001" customHeight="1">
      <c r="A3483" s="1316" t="s">
        <v>941</v>
      </c>
      <c r="B3483" s="1317"/>
      <c r="C3483" s="1316" t="s">
        <v>2342</v>
      </c>
      <c r="D3483" s="1317"/>
      <c r="E3483" s="683">
        <v>4.65E-2</v>
      </c>
      <c r="F3483" s="676" t="s">
        <v>835</v>
      </c>
      <c r="G3483" s="670" t="e">
        <f>#REF!</f>
        <v>#REF!</v>
      </c>
      <c r="H3483" s="670" t="e">
        <f>INT(E3483*G3483)</f>
        <v>#REF!</v>
      </c>
      <c r="I3483" s="670"/>
      <c r="J3483" s="670"/>
      <c r="K3483" s="670"/>
      <c r="L3483" s="670"/>
      <c r="M3483" s="670" t="e">
        <f t="shared" si="806"/>
        <v>#REF!</v>
      </c>
      <c r="N3483" s="670" t="e">
        <f t="shared" si="806"/>
        <v>#REF!</v>
      </c>
      <c r="O3483" s="671"/>
      <c r="P3483" s="852"/>
      <c r="Q3483" s="849" t="s">
        <v>2311</v>
      </c>
      <c r="R3483" s="850"/>
      <c r="S3483" s="850"/>
      <c r="T3483" s="850"/>
      <c r="U3483" s="850"/>
      <c r="V3483" s="850"/>
    </row>
    <row r="3484" spans="1:22" s="848" customFormat="1" ht="17.100000000000001" customHeight="1">
      <c r="A3484" s="1316" t="s">
        <v>946</v>
      </c>
      <c r="B3484" s="1317"/>
      <c r="C3484" s="1316" t="s">
        <v>2362</v>
      </c>
      <c r="D3484" s="1317"/>
      <c r="E3484" s="683">
        <v>0.03</v>
      </c>
      <c r="F3484" s="676" t="s">
        <v>835</v>
      </c>
      <c r="G3484" s="670" t="e">
        <f>#REF!</f>
        <v>#REF!</v>
      </c>
      <c r="H3484" s="670" t="e">
        <f>INT(E3484*G3484)</f>
        <v>#REF!</v>
      </c>
      <c r="I3484" s="670"/>
      <c r="J3484" s="670"/>
      <c r="K3484" s="670"/>
      <c r="L3484" s="670"/>
      <c r="M3484" s="670" t="e">
        <f t="shared" si="806"/>
        <v>#REF!</v>
      </c>
      <c r="N3484" s="670" t="e">
        <f t="shared" si="806"/>
        <v>#REF!</v>
      </c>
      <c r="O3484" s="671"/>
      <c r="P3484" s="852"/>
      <c r="Q3484" s="849" t="s">
        <v>2311</v>
      </c>
      <c r="R3484" s="850"/>
      <c r="S3484" s="850"/>
      <c r="T3484" s="850"/>
      <c r="U3484" s="850"/>
      <c r="V3484" s="850"/>
    </row>
    <row r="3485" spans="1:22" s="688" customFormat="1" ht="17.100000000000001" customHeight="1">
      <c r="A3485" s="1316" t="s">
        <v>1041</v>
      </c>
      <c r="B3485" s="1317"/>
      <c r="C3485" s="1316"/>
      <c r="D3485" s="1317"/>
      <c r="E3485" s="683">
        <v>0.03</v>
      </c>
      <c r="F3485" s="676" t="s">
        <v>835</v>
      </c>
      <c r="G3485" s="670" t="e">
        <f>#REF!</f>
        <v>#REF!</v>
      </c>
      <c r="H3485" s="670" t="e">
        <f>INT(E3485*G3485)</f>
        <v>#REF!</v>
      </c>
      <c r="I3485" s="670"/>
      <c r="J3485" s="670"/>
      <c r="K3485" s="670"/>
      <c r="L3485" s="670"/>
      <c r="M3485" s="670" t="e">
        <f t="shared" si="806"/>
        <v>#REF!</v>
      </c>
      <c r="N3485" s="670" t="e">
        <f t="shared" si="806"/>
        <v>#REF!</v>
      </c>
      <c r="O3485" s="671"/>
      <c r="P3485" s="852"/>
      <c r="Q3485" s="849" t="s">
        <v>2311</v>
      </c>
      <c r="R3485" s="850"/>
      <c r="S3485" s="850"/>
      <c r="T3485" s="850"/>
      <c r="U3485" s="850"/>
      <c r="V3485" s="850"/>
    </row>
    <row r="3486" spans="1:22" s="688" customFormat="1" ht="17.100000000000001" customHeight="1">
      <c r="A3486" s="1316" t="s">
        <v>628</v>
      </c>
      <c r="B3486" s="1317"/>
      <c r="C3486" s="1321" t="s">
        <v>2330</v>
      </c>
      <c r="D3486" s="1317"/>
      <c r="E3486" s="683">
        <v>1.6000000000000001E-3</v>
      </c>
      <c r="F3486" s="676" t="s">
        <v>366</v>
      </c>
      <c r="G3486" s="670"/>
      <c r="H3486" s="670"/>
      <c r="I3486" s="670">
        <f>[53]노임단가!$T$6</f>
        <v>226122</v>
      </c>
      <c r="J3486" s="670">
        <f>INT(E3486*I3486)</f>
        <v>361</v>
      </c>
      <c r="K3486" s="670"/>
      <c r="L3486" s="670"/>
      <c r="M3486" s="670">
        <f t="shared" si="806"/>
        <v>226122</v>
      </c>
      <c r="N3486" s="670">
        <f t="shared" si="806"/>
        <v>361</v>
      </c>
      <c r="O3486" s="671"/>
      <c r="P3486" s="672"/>
      <c r="Q3486" s="828" t="s">
        <v>2311</v>
      </c>
    </row>
    <row r="3487" spans="1:22" s="688" customFormat="1" ht="17.100000000000001" customHeight="1">
      <c r="A3487" s="1316" t="s">
        <v>248</v>
      </c>
      <c r="B3487" s="1317"/>
      <c r="C3487" s="1321" t="s">
        <v>2330</v>
      </c>
      <c r="D3487" s="1317"/>
      <c r="E3487" s="683">
        <v>1.6000000000000001E-3</v>
      </c>
      <c r="F3487" s="676" t="s">
        <v>366</v>
      </c>
      <c r="G3487" s="670"/>
      <c r="H3487" s="670"/>
      <c r="I3487" s="670">
        <f>[53]노임단가!$T$5</f>
        <v>172068</v>
      </c>
      <c r="J3487" s="670">
        <f>INT(E3487*I3487)</f>
        <v>275</v>
      </c>
      <c r="K3487" s="670"/>
      <c r="L3487" s="670"/>
      <c r="M3487" s="670">
        <f t="shared" si="806"/>
        <v>172068</v>
      </c>
      <c r="N3487" s="670">
        <f t="shared" si="806"/>
        <v>275</v>
      </c>
      <c r="O3487" s="671"/>
      <c r="P3487" s="672" t="s">
        <v>2314</v>
      </c>
      <c r="Q3487" s="828" t="s">
        <v>2311</v>
      </c>
    </row>
    <row r="3488" spans="1:22" s="688" customFormat="1" ht="17.100000000000001" customHeight="1">
      <c r="A3488" s="1316" t="s">
        <v>1161</v>
      </c>
      <c r="B3488" s="1317"/>
      <c r="C3488" s="1316" t="s">
        <v>2363</v>
      </c>
      <c r="D3488" s="1317"/>
      <c r="E3488" s="686">
        <v>6.3E-3</v>
      </c>
      <c r="F3488" s="676" t="s">
        <v>418</v>
      </c>
      <c r="G3488" s="670" t="e">
        <f>#REF!</f>
        <v>#REF!</v>
      </c>
      <c r="H3488" s="670" t="e">
        <f>INT(E3488*G3488)</f>
        <v>#REF!</v>
      </c>
      <c r="I3488" s="670" t="e">
        <f>#REF!</f>
        <v>#REF!</v>
      </c>
      <c r="J3488" s="670" t="e">
        <f>INT(E3488*I3488)</f>
        <v>#REF!</v>
      </c>
      <c r="K3488" s="670" t="e">
        <f>#REF!</f>
        <v>#REF!</v>
      </c>
      <c r="L3488" s="670" t="e">
        <f>INT(E3488*K3488)</f>
        <v>#REF!</v>
      </c>
      <c r="M3488" s="670" t="e">
        <f t="shared" si="806"/>
        <v>#REF!</v>
      </c>
      <c r="N3488" s="670" t="e">
        <f t="shared" si="806"/>
        <v>#REF!</v>
      </c>
      <c r="O3488" s="671"/>
      <c r="P3488" s="672" t="s">
        <v>2316</v>
      </c>
      <c r="Q3488" s="828" t="s">
        <v>2311</v>
      </c>
    </row>
    <row r="3489" spans="1:22" s="688" customFormat="1" ht="17.100000000000001" customHeight="1">
      <c r="A3489" s="1316" t="s">
        <v>1161</v>
      </c>
      <c r="B3489" s="1317"/>
      <c r="C3489" s="1316" t="s">
        <v>2364</v>
      </c>
      <c r="D3489" s="1317"/>
      <c r="E3489" s="686">
        <v>6.3E-3</v>
      </c>
      <c r="F3489" s="676" t="s">
        <v>418</v>
      </c>
      <c r="G3489" s="670" t="e">
        <f>#REF!</f>
        <v>#REF!</v>
      </c>
      <c r="H3489" s="670" t="e">
        <f>INT(E3489*G3489)</f>
        <v>#REF!</v>
      </c>
      <c r="I3489" s="670" t="e">
        <f>#REF!</f>
        <v>#REF!</v>
      </c>
      <c r="J3489" s="670" t="e">
        <f>INT(E3489*I3489)</f>
        <v>#REF!</v>
      </c>
      <c r="K3489" s="670" t="e">
        <f>#REF!</f>
        <v>#REF!</v>
      </c>
      <c r="L3489" s="670" t="e">
        <f>INT(E3489*K3489)</f>
        <v>#REF!</v>
      </c>
      <c r="M3489" s="670" t="e">
        <f t="shared" si="806"/>
        <v>#REF!</v>
      </c>
      <c r="N3489" s="670" t="e">
        <f t="shared" si="806"/>
        <v>#REF!</v>
      </c>
      <c r="O3489" s="671"/>
      <c r="P3489" s="672" t="s">
        <v>2319</v>
      </c>
      <c r="Q3489" s="828" t="s">
        <v>2311</v>
      </c>
    </row>
    <row r="3490" spans="1:22" s="848" customFormat="1" ht="17.100000000000001" customHeight="1">
      <c r="A3490" s="1316" t="s">
        <v>2346</v>
      </c>
      <c r="B3490" s="1317"/>
      <c r="C3490" s="1321" t="s">
        <v>2365</v>
      </c>
      <c r="D3490" s="1317"/>
      <c r="E3490" s="686">
        <v>0.1</v>
      </c>
      <c r="F3490" s="676" t="s">
        <v>672</v>
      </c>
      <c r="G3490" s="670"/>
      <c r="H3490" s="670">
        <f>INT(E3490*G3490)</f>
        <v>0</v>
      </c>
      <c r="I3490" s="670"/>
      <c r="J3490" s="670"/>
      <c r="K3490" s="670">
        <f>J3486+J3487</f>
        <v>636</v>
      </c>
      <c r="L3490" s="670">
        <f>INT(E3490*K3490)</f>
        <v>63</v>
      </c>
      <c r="M3490" s="670">
        <f t="shared" si="806"/>
        <v>636</v>
      </c>
      <c r="N3490" s="670">
        <f t="shared" si="806"/>
        <v>63</v>
      </c>
      <c r="O3490" s="671"/>
      <c r="P3490" s="672"/>
      <c r="Q3490" s="828" t="s">
        <v>2311</v>
      </c>
      <c r="R3490" s="688"/>
      <c r="S3490" s="688"/>
      <c r="T3490" s="688"/>
      <c r="U3490" s="688"/>
      <c r="V3490" s="688"/>
    </row>
    <row r="3491" spans="1:22" s="848" customFormat="1" ht="17.100000000000001" customHeight="1">
      <c r="A3491" s="1316" t="s">
        <v>1328</v>
      </c>
      <c r="B3491" s="1317"/>
      <c r="C3491" s="1321" t="s">
        <v>2347</v>
      </c>
      <c r="D3491" s="1317"/>
      <c r="E3491" s="686">
        <v>0.01</v>
      </c>
      <c r="F3491" s="676" t="s">
        <v>672</v>
      </c>
      <c r="G3491" s="670" t="e">
        <f>SUM(H3482:H3483)</f>
        <v>#REF!</v>
      </c>
      <c r="H3491" s="670" t="e">
        <f>INT(E3491*G3491)</f>
        <v>#REF!</v>
      </c>
      <c r="I3491" s="670"/>
      <c r="J3491" s="670"/>
      <c r="K3491" s="670"/>
      <c r="L3491" s="670"/>
      <c r="M3491" s="670" t="e">
        <f>G3491+I3491+K3491</f>
        <v>#REF!</v>
      </c>
      <c r="N3491" s="670" t="e">
        <f>H3491+J3491+L3491</f>
        <v>#REF!</v>
      </c>
      <c r="O3491" s="671"/>
      <c r="P3491" s="852"/>
      <c r="Q3491" s="849" t="s">
        <v>2311</v>
      </c>
      <c r="R3491" s="845" t="e">
        <f>TRUNC(2/$Y3490,5)</f>
        <v>#DIV/0!</v>
      </c>
      <c r="S3491" s="845"/>
      <c r="T3491" s="845"/>
      <c r="U3491" s="845"/>
      <c r="V3491" s="845"/>
    </row>
    <row r="3492" spans="1:22" s="848" customFormat="1" ht="17.100000000000001" customHeight="1">
      <c r="A3492" s="1354" t="s">
        <v>1320</v>
      </c>
      <c r="B3492" s="1354"/>
      <c r="C3492" s="1355"/>
      <c r="D3492" s="1356"/>
      <c r="E3492" s="701"/>
      <c r="F3492" s="669"/>
      <c r="G3492" s="670"/>
      <c r="H3492" s="856" t="e">
        <f>SUM(H3483:H3491)</f>
        <v>#REF!</v>
      </c>
      <c r="I3492" s="670"/>
      <c r="J3492" s="856" t="e">
        <f>SUM(J3483:J3491)</f>
        <v>#REF!</v>
      </c>
      <c r="K3492" s="670"/>
      <c r="L3492" s="855" t="e">
        <f>SUM(L3483:L3491)</f>
        <v>#REF!</v>
      </c>
      <c r="M3492" s="670"/>
      <c r="N3492" s="856" t="e">
        <f>SUM(N3483:N3491)</f>
        <v>#REF!</v>
      </c>
      <c r="O3492" s="671"/>
      <c r="P3492" s="852"/>
      <c r="Q3492" s="849" t="s">
        <v>2311</v>
      </c>
      <c r="R3492" s="845" t="e">
        <f>TRUNC(2/$Y3490,5)</f>
        <v>#DIV/0!</v>
      </c>
    </row>
    <row r="3493" spans="1:22" s="848" customFormat="1" ht="17.100000000000001" customHeight="1">
      <c r="A3493" s="668">
        <f>A3481+1</f>
        <v>468</v>
      </c>
      <c r="B3493" s="1320" t="s">
        <v>2359</v>
      </c>
      <c r="C3493" s="1320"/>
      <c r="D3493" s="1320" t="s">
        <v>2358</v>
      </c>
      <c r="E3493" s="1320"/>
      <c r="F3493" s="669" t="s">
        <v>272</v>
      </c>
      <c r="G3493" s="698"/>
      <c r="H3493" s="698"/>
      <c r="I3493" s="698"/>
      <c r="J3493" s="698"/>
      <c r="K3493" s="670"/>
      <c r="L3493" s="670"/>
      <c r="M3493" s="670"/>
      <c r="N3493" s="698"/>
      <c r="O3493" s="699" t="s">
        <v>1562</v>
      </c>
      <c r="P3493" s="852"/>
      <c r="Q3493" s="849" t="s">
        <v>2311</v>
      </c>
      <c r="R3493" s="850"/>
      <c r="S3493" s="850"/>
      <c r="T3493" s="850"/>
      <c r="U3493" s="850"/>
      <c r="V3493" s="850"/>
    </row>
    <row r="3494" spans="1:22" s="848" customFormat="1" ht="17.100000000000001" customHeight="1">
      <c r="A3494" s="1316" t="s">
        <v>943</v>
      </c>
      <c r="B3494" s="1317"/>
      <c r="C3494" s="1316" t="s">
        <v>2366</v>
      </c>
      <c r="D3494" s="1317"/>
      <c r="E3494" s="683">
        <v>0.67949999999999999</v>
      </c>
      <c r="F3494" s="676" t="s">
        <v>835</v>
      </c>
      <c r="G3494" s="670" t="e">
        <f>#REF!</f>
        <v>#REF!</v>
      </c>
      <c r="H3494" s="670" t="e">
        <f>INT(E3494*G3494)</f>
        <v>#REF!</v>
      </c>
      <c r="I3494" s="670"/>
      <c r="J3494" s="670"/>
      <c r="K3494" s="670"/>
      <c r="L3494" s="670"/>
      <c r="M3494" s="670" t="e">
        <f t="shared" ref="M3494:N3502" si="807">G3494+I3494+K3494</f>
        <v>#REF!</v>
      </c>
      <c r="N3494" s="670" t="e">
        <f t="shared" si="807"/>
        <v>#REF!</v>
      </c>
      <c r="O3494" s="671" t="s">
        <v>2340</v>
      </c>
      <c r="P3494" s="852"/>
      <c r="Q3494" s="849" t="s">
        <v>2311</v>
      </c>
      <c r="R3494" s="847">
        <f>W3488</f>
        <v>0</v>
      </c>
      <c r="S3494" s="850"/>
      <c r="T3494" s="850"/>
      <c r="U3494" s="850"/>
      <c r="V3494" s="850"/>
    </row>
    <row r="3495" spans="1:22" s="848" customFormat="1" ht="17.100000000000001" customHeight="1">
      <c r="A3495" s="1316" t="s">
        <v>941</v>
      </c>
      <c r="B3495" s="1317"/>
      <c r="C3495" s="1316" t="s">
        <v>2342</v>
      </c>
      <c r="D3495" s="1317"/>
      <c r="E3495" s="683">
        <v>4.65E-2</v>
      </c>
      <c r="F3495" s="676" t="s">
        <v>835</v>
      </c>
      <c r="G3495" s="670" t="e">
        <f>#REF!</f>
        <v>#REF!</v>
      </c>
      <c r="H3495" s="670" t="e">
        <f>INT(E3495*G3495)</f>
        <v>#REF!</v>
      </c>
      <c r="I3495" s="670"/>
      <c r="J3495" s="670"/>
      <c r="K3495" s="670"/>
      <c r="L3495" s="670"/>
      <c r="M3495" s="670" t="e">
        <f t="shared" si="807"/>
        <v>#REF!</v>
      </c>
      <c r="N3495" s="670" t="e">
        <f t="shared" si="807"/>
        <v>#REF!</v>
      </c>
      <c r="O3495" s="671"/>
      <c r="P3495" s="852"/>
      <c r="Q3495" s="849" t="s">
        <v>2311</v>
      </c>
      <c r="R3495" s="850"/>
      <c r="S3495" s="850"/>
      <c r="T3495" s="850"/>
      <c r="U3495" s="850"/>
      <c r="V3495" s="850"/>
    </row>
    <row r="3496" spans="1:22" s="848" customFormat="1" ht="17.100000000000001" customHeight="1">
      <c r="A3496" s="1316" t="s">
        <v>946</v>
      </c>
      <c r="B3496" s="1317"/>
      <c r="C3496" s="1316" t="s">
        <v>2362</v>
      </c>
      <c r="D3496" s="1317"/>
      <c r="E3496" s="683">
        <v>0.03</v>
      </c>
      <c r="F3496" s="676" t="s">
        <v>835</v>
      </c>
      <c r="G3496" s="670" t="e">
        <f>#REF!</f>
        <v>#REF!</v>
      </c>
      <c r="H3496" s="670" t="e">
        <f>INT(E3496*G3496)</f>
        <v>#REF!</v>
      </c>
      <c r="I3496" s="670"/>
      <c r="J3496" s="670"/>
      <c r="K3496" s="670"/>
      <c r="L3496" s="670"/>
      <c r="M3496" s="670" t="e">
        <f t="shared" si="807"/>
        <v>#REF!</v>
      </c>
      <c r="N3496" s="670" t="e">
        <f t="shared" si="807"/>
        <v>#REF!</v>
      </c>
      <c r="O3496" s="671"/>
      <c r="P3496" s="852"/>
      <c r="Q3496" s="849" t="s">
        <v>2311</v>
      </c>
      <c r="R3496" s="850"/>
      <c r="S3496" s="850"/>
      <c r="T3496" s="850"/>
      <c r="U3496" s="850"/>
      <c r="V3496" s="850"/>
    </row>
    <row r="3497" spans="1:22" s="688" customFormat="1" ht="17.100000000000001" customHeight="1">
      <c r="A3497" s="1316" t="s">
        <v>1041</v>
      </c>
      <c r="B3497" s="1317"/>
      <c r="C3497" s="1316"/>
      <c r="D3497" s="1317"/>
      <c r="E3497" s="683">
        <v>0.03</v>
      </c>
      <c r="F3497" s="676" t="s">
        <v>835</v>
      </c>
      <c r="G3497" s="670" t="e">
        <f>#REF!</f>
        <v>#REF!</v>
      </c>
      <c r="H3497" s="670" t="e">
        <f>INT(E3497*G3497)</f>
        <v>#REF!</v>
      </c>
      <c r="I3497" s="670"/>
      <c r="J3497" s="670"/>
      <c r="K3497" s="670"/>
      <c r="L3497" s="670"/>
      <c r="M3497" s="670" t="e">
        <f t="shared" si="807"/>
        <v>#REF!</v>
      </c>
      <c r="N3497" s="670" t="e">
        <f t="shared" si="807"/>
        <v>#REF!</v>
      </c>
      <c r="O3497" s="671"/>
      <c r="P3497" s="852"/>
      <c r="Q3497" s="849" t="s">
        <v>2311</v>
      </c>
      <c r="R3497" s="850"/>
      <c r="S3497" s="850"/>
      <c r="T3497" s="850"/>
      <c r="U3497" s="850"/>
      <c r="V3497" s="850"/>
    </row>
    <row r="3498" spans="1:22" s="688" customFormat="1" ht="17.100000000000001" customHeight="1">
      <c r="A3498" s="1316" t="s">
        <v>628</v>
      </c>
      <c r="B3498" s="1317"/>
      <c r="C3498" s="1321" t="s">
        <v>2330</v>
      </c>
      <c r="D3498" s="1317"/>
      <c r="E3498" s="683">
        <v>3.3E-3</v>
      </c>
      <c r="F3498" s="676" t="s">
        <v>366</v>
      </c>
      <c r="G3498" s="670"/>
      <c r="H3498" s="670"/>
      <c r="I3498" s="670">
        <f>[53]노임단가!$T$6</f>
        <v>226122</v>
      </c>
      <c r="J3498" s="670">
        <f>INT(E3498*I3498)</f>
        <v>746</v>
      </c>
      <c r="K3498" s="670"/>
      <c r="L3498" s="670"/>
      <c r="M3498" s="670">
        <f t="shared" si="807"/>
        <v>226122</v>
      </c>
      <c r="N3498" s="670">
        <f t="shared" si="807"/>
        <v>746</v>
      </c>
      <c r="O3498" s="671"/>
      <c r="P3498" s="672"/>
      <c r="Q3498" s="828" t="s">
        <v>2311</v>
      </c>
    </row>
    <row r="3499" spans="1:22" s="688" customFormat="1" ht="17.100000000000001" customHeight="1">
      <c r="A3499" s="1316" t="s">
        <v>248</v>
      </c>
      <c r="B3499" s="1317"/>
      <c r="C3499" s="1321" t="s">
        <v>2330</v>
      </c>
      <c r="D3499" s="1317"/>
      <c r="E3499" s="683">
        <v>3.3E-3</v>
      </c>
      <c r="F3499" s="676" t="s">
        <v>366</v>
      </c>
      <c r="G3499" s="670"/>
      <c r="H3499" s="670"/>
      <c r="I3499" s="670">
        <f>[53]노임단가!$T$5</f>
        <v>172068</v>
      </c>
      <c r="J3499" s="670">
        <f>INT(E3499*I3499)</f>
        <v>567</v>
      </c>
      <c r="K3499" s="670"/>
      <c r="L3499" s="670"/>
      <c r="M3499" s="670">
        <f t="shared" si="807"/>
        <v>172068</v>
      </c>
      <c r="N3499" s="670">
        <f t="shared" si="807"/>
        <v>567</v>
      </c>
      <c r="O3499" s="671"/>
      <c r="P3499" s="672" t="s">
        <v>2314</v>
      </c>
      <c r="Q3499" s="828" t="s">
        <v>2311</v>
      </c>
    </row>
    <row r="3500" spans="1:22" s="688" customFormat="1" ht="17.100000000000001" customHeight="1">
      <c r="A3500" s="1316" t="s">
        <v>1161</v>
      </c>
      <c r="B3500" s="1317"/>
      <c r="C3500" s="1316" t="s">
        <v>2363</v>
      </c>
      <c r="D3500" s="1317"/>
      <c r="E3500" s="686">
        <v>1.3299999999999999E-2</v>
      </c>
      <c r="F3500" s="676" t="s">
        <v>418</v>
      </c>
      <c r="G3500" s="670" t="e">
        <f>#REF!</f>
        <v>#REF!</v>
      </c>
      <c r="H3500" s="670" t="e">
        <f>INT(E3500*G3500)</f>
        <v>#REF!</v>
      </c>
      <c r="I3500" s="670" t="e">
        <f>#REF!</f>
        <v>#REF!</v>
      </c>
      <c r="J3500" s="670" t="e">
        <f>INT(E3500*I3500)</f>
        <v>#REF!</v>
      </c>
      <c r="K3500" s="670" t="e">
        <f>#REF!</f>
        <v>#REF!</v>
      </c>
      <c r="L3500" s="670" t="e">
        <f>INT(E3500*K3500)</f>
        <v>#REF!</v>
      </c>
      <c r="M3500" s="670" t="e">
        <f t="shared" si="807"/>
        <v>#REF!</v>
      </c>
      <c r="N3500" s="670" t="e">
        <f t="shared" si="807"/>
        <v>#REF!</v>
      </c>
      <c r="O3500" s="671"/>
      <c r="P3500" s="672" t="s">
        <v>2316</v>
      </c>
      <c r="Q3500" s="828" t="s">
        <v>2311</v>
      </c>
      <c r="R3500" s="845"/>
      <c r="S3500" s="846"/>
      <c r="T3500" s="846"/>
      <c r="U3500" s="851"/>
      <c r="V3500" s="851"/>
    </row>
    <row r="3501" spans="1:22" s="688" customFormat="1" ht="17.100000000000001" customHeight="1">
      <c r="A3501" s="1316" t="s">
        <v>1161</v>
      </c>
      <c r="B3501" s="1317"/>
      <c r="C3501" s="1316" t="s">
        <v>2364</v>
      </c>
      <c r="D3501" s="1317"/>
      <c r="E3501" s="686">
        <v>1.3299999999999999E-2</v>
      </c>
      <c r="F3501" s="676" t="s">
        <v>418</v>
      </c>
      <c r="G3501" s="670" t="e">
        <f>#REF!</f>
        <v>#REF!</v>
      </c>
      <c r="H3501" s="670" t="e">
        <f>INT(E3501*G3501)</f>
        <v>#REF!</v>
      </c>
      <c r="I3501" s="670" t="e">
        <f>#REF!</f>
        <v>#REF!</v>
      </c>
      <c r="J3501" s="670" t="e">
        <f>INT(E3501*I3501)</f>
        <v>#REF!</v>
      </c>
      <c r="K3501" s="670" t="e">
        <f>#REF!</f>
        <v>#REF!</v>
      </c>
      <c r="L3501" s="670" t="e">
        <f>INT(E3501*K3501)</f>
        <v>#REF!</v>
      </c>
      <c r="M3501" s="670" t="e">
        <f t="shared" si="807"/>
        <v>#REF!</v>
      </c>
      <c r="N3501" s="670" t="e">
        <f t="shared" si="807"/>
        <v>#REF!</v>
      </c>
      <c r="O3501" s="671"/>
      <c r="P3501" s="672" t="s">
        <v>2319</v>
      </c>
      <c r="Q3501" s="828" t="s">
        <v>2311</v>
      </c>
      <c r="R3501" s="845"/>
      <c r="S3501" s="845"/>
      <c r="T3501" s="845"/>
      <c r="U3501" s="846"/>
      <c r="V3501" s="846"/>
    </row>
    <row r="3502" spans="1:22" s="688" customFormat="1" ht="17.100000000000001" customHeight="1">
      <c r="A3502" s="1316" t="s">
        <v>2346</v>
      </c>
      <c r="B3502" s="1317"/>
      <c r="C3502" s="1321" t="s">
        <v>2365</v>
      </c>
      <c r="D3502" s="1317"/>
      <c r="E3502" s="686">
        <v>0.1</v>
      </c>
      <c r="F3502" s="676" t="s">
        <v>672</v>
      </c>
      <c r="G3502" s="670"/>
      <c r="H3502" s="670">
        <f>INT(E3502*G3502)</f>
        <v>0</v>
      </c>
      <c r="I3502" s="670"/>
      <c r="J3502" s="670"/>
      <c r="K3502" s="670">
        <f>J3498+J3499</f>
        <v>1313</v>
      </c>
      <c r="L3502" s="670">
        <f>INT(E3502*K3502)</f>
        <v>131</v>
      </c>
      <c r="M3502" s="670">
        <f t="shared" si="807"/>
        <v>1313</v>
      </c>
      <c r="N3502" s="670">
        <f t="shared" si="807"/>
        <v>131</v>
      </c>
      <c r="O3502" s="671"/>
      <c r="P3502" s="672"/>
      <c r="Q3502" s="828" t="s">
        <v>2311</v>
      </c>
      <c r="R3502" s="845"/>
      <c r="S3502" s="845"/>
      <c r="T3502" s="845"/>
      <c r="U3502" s="845"/>
      <c r="V3502" s="845"/>
    </row>
    <row r="3503" spans="1:22" s="688" customFormat="1" ht="17.100000000000001" customHeight="1">
      <c r="A3503" s="1316" t="s">
        <v>1328</v>
      </c>
      <c r="B3503" s="1317"/>
      <c r="C3503" s="1321" t="s">
        <v>2347</v>
      </c>
      <c r="D3503" s="1317"/>
      <c r="E3503" s="686">
        <v>0.01</v>
      </c>
      <c r="F3503" s="676" t="s">
        <v>672</v>
      </c>
      <c r="G3503" s="670" t="e">
        <f>SUM(H3494:H3495)</f>
        <v>#REF!</v>
      </c>
      <c r="H3503" s="670" t="e">
        <f>INT(E3503*G3503)</f>
        <v>#REF!</v>
      </c>
      <c r="I3503" s="670"/>
      <c r="J3503" s="670"/>
      <c r="K3503" s="670"/>
      <c r="L3503" s="670"/>
      <c r="M3503" s="670" t="e">
        <f>G3503+I3503+K3503</f>
        <v>#REF!</v>
      </c>
      <c r="N3503" s="670" t="e">
        <f>H3503+J3503+L3503</f>
        <v>#REF!</v>
      </c>
      <c r="O3503" s="671"/>
      <c r="P3503" s="672"/>
      <c r="Q3503" s="828" t="s">
        <v>2311</v>
      </c>
      <c r="R3503" s="845"/>
      <c r="S3503" s="845"/>
      <c r="T3503" s="845"/>
      <c r="U3503" s="845"/>
      <c r="V3503" s="845"/>
    </row>
    <row r="3504" spans="1:22" s="688" customFormat="1" ht="17.100000000000001" customHeight="1">
      <c r="A3504" s="1354" t="s">
        <v>1320</v>
      </c>
      <c r="B3504" s="1354"/>
      <c r="C3504" s="1355"/>
      <c r="D3504" s="1355"/>
      <c r="E3504" s="701"/>
      <c r="F3504" s="676"/>
      <c r="G3504" s="670"/>
      <c r="H3504" s="855" t="e">
        <f>SUM(H3495:H3503)</f>
        <v>#REF!</v>
      </c>
      <c r="I3504" s="670"/>
      <c r="J3504" s="855" t="e">
        <f>SUM(J3496:J3503)</f>
        <v>#REF!</v>
      </c>
      <c r="K3504" s="670"/>
      <c r="L3504" s="855" t="e">
        <f>SUM(L3496:L3503)</f>
        <v>#REF!</v>
      </c>
      <c r="M3504" s="670"/>
      <c r="N3504" s="855" t="e">
        <f>SUM(N3495:N3503)</f>
        <v>#REF!</v>
      </c>
      <c r="O3504" s="671"/>
      <c r="P3504" s="672"/>
      <c r="Q3504" s="828" t="s">
        <v>2311</v>
      </c>
      <c r="R3504" s="845"/>
      <c r="S3504" s="848"/>
      <c r="T3504" s="848"/>
      <c r="U3504" s="848"/>
      <c r="V3504" s="848"/>
    </row>
    <row r="3505" spans="1:22" s="688" customFormat="1" ht="17.100000000000001" customHeight="1">
      <c r="A3505" s="857">
        <f>A3493+1</f>
        <v>469</v>
      </c>
      <c r="B3505" s="1316" t="s">
        <v>2368</v>
      </c>
      <c r="C3505" s="1320"/>
      <c r="D3505" s="1320" t="s">
        <v>2369</v>
      </c>
      <c r="E3505" s="1317"/>
      <c r="F3505" s="676" t="s">
        <v>645</v>
      </c>
      <c r="G3505" s="670"/>
      <c r="H3505" s="670"/>
      <c r="I3505" s="670"/>
      <c r="J3505" s="670"/>
      <c r="K3505" s="670"/>
      <c r="L3505" s="670"/>
      <c r="M3505" s="670"/>
      <c r="N3505" s="670"/>
      <c r="O3505" s="671" t="s">
        <v>1562</v>
      </c>
      <c r="P3505" s="672"/>
      <c r="Q3505" s="828" t="s">
        <v>2311</v>
      </c>
      <c r="R3505" s="845"/>
      <c r="S3505" s="848"/>
      <c r="T3505" s="848"/>
      <c r="U3505" s="848"/>
      <c r="V3505" s="848"/>
    </row>
    <row r="3506" spans="1:22" s="848" customFormat="1" ht="17.100000000000001" customHeight="1">
      <c r="A3506" s="1346" t="s">
        <v>2338</v>
      </c>
      <c r="B3506" s="1317"/>
      <c r="C3506" s="1316" t="s">
        <v>2370</v>
      </c>
      <c r="D3506" s="1317"/>
      <c r="E3506" s="683">
        <v>0.21</v>
      </c>
      <c r="F3506" s="676" t="s">
        <v>801</v>
      </c>
      <c r="G3506" s="670" t="e">
        <f>#REF!</f>
        <v>#REF!</v>
      </c>
      <c r="H3506" s="670" t="e">
        <f>INT(E3506*G3506)</f>
        <v>#REF!</v>
      </c>
      <c r="I3506" s="670"/>
      <c r="J3506" s="670"/>
      <c r="K3506" s="670"/>
      <c r="L3506" s="670"/>
      <c r="M3506" s="670" t="e">
        <f t="shared" ref="M3506:N3508" si="808">G3506+I3506+K3506</f>
        <v>#REF!</v>
      </c>
      <c r="N3506" s="670" t="e">
        <f t="shared" si="808"/>
        <v>#REF!</v>
      </c>
      <c r="O3506" s="671" t="s">
        <v>2340</v>
      </c>
      <c r="P3506" s="672"/>
      <c r="Q3506" s="828" t="s">
        <v>2311</v>
      </c>
      <c r="R3506" s="845"/>
      <c r="S3506" s="845"/>
      <c r="T3506" s="845"/>
      <c r="U3506" s="845"/>
      <c r="V3506" s="845"/>
    </row>
    <row r="3507" spans="1:22" s="848" customFormat="1" ht="17.100000000000001" customHeight="1">
      <c r="A3507" s="1346" t="s">
        <v>2338</v>
      </c>
      <c r="B3507" s="1317"/>
      <c r="C3507" s="1316" t="s">
        <v>2371</v>
      </c>
      <c r="D3507" s="1317"/>
      <c r="E3507" s="683">
        <v>0.21</v>
      </c>
      <c r="F3507" s="676" t="s">
        <v>801</v>
      </c>
      <c r="G3507" s="670" t="e">
        <f>#REF!</f>
        <v>#REF!</v>
      </c>
      <c r="H3507" s="670" t="e">
        <f>INT(E3507*G3507)</f>
        <v>#REF!</v>
      </c>
      <c r="I3507" s="670"/>
      <c r="J3507" s="670"/>
      <c r="K3507" s="670"/>
      <c r="L3507" s="670"/>
      <c r="M3507" s="670" t="e">
        <f t="shared" si="808"/>
        <v>#REF!</v>
      </c>
      <c r="N3507" s="670" t="e">
        <f t="shared" si="808"/>
        <v>#REF!</v>
      </c>
      <c r="O3507" s="671" t="s">
        <v>2340</v>
      </c>
      <c r="P3507" s="852"/>
      <c r="Q3507" s="849" t="s">
        <v>2311</v>
      </c>
      <c r="R3507" s="845" t="e">
        <f>TRUNC(2/$Y3504,5)</f>
        <v>#DIV/0!</v>
      </c>
    </row>
    <row r="3508" spans="1:22" s="848" customFormat="1" ht="17.100000000000001" customHeight="1">
      <c r="A3508" s="1346" t="s">
        <v>941</v>
      </c>
      <c r="B3508" s="1317"/>
      <c r="C3508" s="1316" t="s">
        <v>2342</v>
      </c>
      <c r="D3508" s="1317"/>
      <c r="E3508" s="683">
        <v>0.31</v>
      </c>
      <c r="F3508" s="676" t="s">
        <v>835</v>
      </c>
      <c r="G3508" s="670" t="e">
        <f>#REF!</f>
        <v>#REF!</v>
      </c>
      <c r="H3508" s="670" t="e">
        <f>INT(E3508*G3508)</f>
        <v>#REF!</v>
      </c>
      <c r="I3508" s="670"/>
      <c r="J3508" s="670"/>
      <c r="K3508" s="670"/>
      <c r="L3508" s="670"/>
      <c r="M3508" s="670" t="e">
        <f t="shared" si="808"/>
        <v>#REF!</v>
      </c>
      <c r="N3508" s="670" t="e">
        <f t="shared" si="808"/>
        <v>#REF!</v>
      </c>
      <c r="O3508" s="693"/>
      <c r="P3508" s="852"/>
      <c r="Q3508" s="849" t="s">
        <v>2311</v>
      </c>
      <c r="R3508" s="845" t="e">
        <f>TRUNC(1/$Y3504,5)</f>
        <v>#DIV/0!</v>
      </c>
      <c r="S3508" s="845"/>
      <c r="T3508" s="845"/>
      <c r="U3508" s="845"/>
      <c r="V3508" s="845"/>
    </row>
    <row r="3509" spans="1:22" s="848" customFormat="1" ht="17.100000000000001" customHeight="1">
      <c r="A3509" s="1316" t="s">
        <v>628</v>
      </c>
      <c r="B3509" s="1317"/>
      <c r="C3509" s="1321" t="s">
        <v>2330</v>
      </c>
      <c r="D3509" s="1317"/>
      <c r="E3509" s="683">
        <v>8.8000000000000005E-3</v>
      </c>
      <c r="F3509" s="676" t="s">
        <v>366</v>
      </c>
      <c r="G3509" s="670"/>
      <c r="H3509" s="670"/>
      <c r="I3509" s="670">
        <f>[53]노임단가!$T$6</f>
        <v>226122</v>
      </c>
      <c r="J3509" s="670">
        <f t="shared" ref="J3509:J3514" si="809">INT(E3509*I3509)</f>
        <v>1989</v>
      </c>
      <c r="K3509" s="670"/>
      <c r="L3509" s="670"/>
      <c r="M3509" s="670">
        <f>G3509+I3509+K3509</f>
        <v>226122</v>
      </c>
      <c r="N3509" s="670">
        <f>H3509+J3509+L3509</f>
        <v>1989</v>
      </c>
      <c r="O3509" s="671"/>
      <c r="P3509" s="852"/>
      <c r="Q3509" s="849" t="s">
        <v>2311</v>
      </c>
      <c r="R3509" s="847">
        <f>W3504</f>
        <v>0</v>
      </c>
      <c r="S3509" s="850"/>
      <c r="T3509" s="850"/>
      <c r="U3509" s="850"/>
      <c r="V3509" s="850"/>
    </row>
    <row r="3510" spans="1:22" s="848" customFormat="1" ht="17.100000000000001" customHeight="1">
      <c r="A3510" s="1316" t="s">
        <v>248</v>
      </c>
      <c r="B3510" s="1317"/>
      <c r="C3510" s="1321" t="s">
        <v>2330</v>
      </c>
      <c r="D3510" s="1317"/>
      <c r="E3510" s="683">
        <v>8.8000000000000005E-3</v>
      </c>
      <c r="F3510" s="676" t="s">
        <v>366</v>
      </c>
      <c r="G3510" s="670"/>
      <c r="H3510" s="670"/>
      <c r="I3510" s="670">
        <f>[53]노임단가!$T$5</f>
        <v>172068</v>
      </c>
      <c r="J3510" s="670">
        <f t="shared" si="809"/>
        <v>1514</v>
      </c>
      <c r="K3510" s="670"/>
      <c r="L3510" s="670"/>
      <c r="M3510" s="670">
        <f t="shared" ref="M3510:N3516" si="810">G3510+I3510+K3510</f>
        <v>172068</v>
      </c>
      <c r="N3510" s="670">
        <f t="shared" si="810"/>
        <v>1514</v>
      </c>
      <c r="O3510" s="671"/>
      <c r="P3510" s="852"/>
      <c r="Q3510" s="849" t="s">
        <v>2311</v>
      </c>
      <c r="R3510" s="847">
        <f>W3505</f>
        <v>0</v>
      </c>
      <c r="S3510" s="850"/>
      <c r="T3510" s="850"/>
      <c r="U3510" s="850"/>
      <c r="V3510" s="850"/>
    </row>
    <row r="3511" spans="1:22" s="848" customFormat="1" ht="17.100000000000001" customHeight="1">
      <c r="A3511" s="1316" t="s">
        <v>628</v>
      </c>
      <c r="B3511" s="1317"/>
      <c r="C3511" s="1321" t="s">
        <v>2343</v>
      </c>
      <c r="D3511" s="1317"/>
      <c r="E3511" s="686">
        <v>8.8000000000000005E-3</v>
      </c>
      <c r="F3511" s="676" t="s">
        <v>366</v>
      </c>
      <c r="G3511" s="670"/>
      <c r="H3511" s="670"/>
      <c r="I3511" s="670">
        <f>[53]노임단가!$T$6</f>
        <v>226122</v>
      </c>
      <c r="J3511" s="670">
        <f t="shared" si="809"/>
        <v>1989</v>
      </c>
      <c r="K3511" s="670"/>
      <c r="L3511" s="670"/>
      <c r="M3511" s="670">
        <f t="shared" si="810"/>
        <v>226122</v>
      </c>
      <c r="N3511" s="670">
        <f t="shared" si="810"/>
        <v>1989</v>
      </c>
      <c r="O3511" s="671"/>
      <c r="P3511" s="852"/>
      <c r="Q3511" s="849" t="s">
        <v>2311</v>
      </c>
      <c r="R3511" s="850"/>
      <c r="S3511" s="850"/>
      <c r="T3511" s="850"/>
      <c r="U3511" s="850"/>
      <c r="V3511" s="850"/>
    </row>
    <row r="3512" spans="1:22" s="848" customFormat="1" ht="17.100000000000001" customHeight="1">
      <c r="A3512" s="1316" t="s">
        <v>248</v>
      </c>
      <c r="B3512" s="1317"/>
      <c r="C3512" s="1321" t="s">
        <v>2343</v>
      </c>
      <c r="D3512" s="1317"/>
      <c r="E3512" s="686">
        <v>8.8000000000000005E-3</v>
      </c>
      <c r="F3512" s="676" t="s">
        <v>366</v>
      </c>
      <c r="G3512" s="670"/>
      <c r="H3512" s="670"/>
      <c r="I3512" s="670">
        <f>[53]노임단가!$T$5</f>
        <v>172068</v>
      </c>
      <c r="J3512" s="670">
        <f t="shared" si="809"/>
        <v>1514</v>
      </c>
      <c r="K3512" s="670"/>
      <c r="L3512" s="670"/>
      <c r="M3512" s="670">
        <f t="shared" si="810"/>
        <v>172068</v>
      </c>
      <c r="N3512" s="670">
        <f t="shared" si="810"/>
        <v>1514</v>
      </c>
      <c r="O3512" s="671"/>
      <c r="P3512" s="852"/>
      <c r="Q3512" s="849" t="s">
        <v>2311</v>
      </c>
      <c r="R3512" s="850"/>
      <c r="S3512" s="850"/>
      <c r="T3512" s="850"/>
      <c r="U3512" s="850"/>
      <c r="V3512" s="850"/>
    </row>
    <row r="3513" spans="1:22" s="688" customFormat="1" ht="17.100000000000001" customHeight="1">
      <c r="A3513" s="1316" t="s">
        <v>1161</v>
      </c>
      <c r="B3513" s="1317"/>
      <c r="C3513" s="1316" t="s">
        <v>2345</v>
      </c>
      <c r="D3513" s="1317"/>
      <c r="E3513" s="686">
        <v>3.5099999999999999E-2</v>
      </c>
      <c r="F3513" s="676" t="s">
        <v>418</v>
      </c>
      <c r="G3513" s="670" t="e">
        <f>#REF!</f>
        <v>#REF!</v>
      </c>
      <c r="H3513" s="670" t="e">
        <f>INT(E3513*G3513)</f>
        <v>#REF!</v>
      </c>
      <c r="I3513" s="670" t="e">
        <f>#REF!</f>
        <v>#REF!</v>
      </c>
      <c r="J3513" s="670" t="e">
        <f t="shared" si="809"/>
        <v>#REF!</v>
      </c>
      <c r="K3513" s="670" t="e">
        <f>#REF!</f>
        <v>#REF!</v>
      </c>
      <c r="L3513" s="670" t="e">
        <f>INT(E3513*K3513)</f>
        <v>#REF!</v>
      </c>
      <c r="M3513" s="670" t="e">
        <f t="shared" si="810"/>
        <v>#REF!</v>
      </c>
      <c r="N3513" s="670" t="e">
        <f t="shared" si="810"/>
        <v>#REF!</v>
      </c>
      <c r="O3513" s="671"/>
      <c r="P3513" s="852"/>
      <c r="Q3513" s="849" t="s">
        <v>2311</v>
      </c>
      <c r="R3513" s="850"/>
      <c r="S3513" s="850"/>
      <c r="T3513" s="850"/>
      <c r="U3513" s="850"/>
      <c r="V3513" s="850"/>
    </row>
    <row r="3514" spans="1:22" s="688" customFormat="1" ht="17.100000000000001" customHeight="1">
      <c r="A3514" s="1316" t="s">
        <v>1161</v>
      </c>
      <c r="B3514" s="1317"/>
      <c r="C3514" s="1316" t="s">
        <v>1154</v>
      </c>
      <c r="D3514" s="1317"/>
      <c r="E3514" s="686">
        <v>3.5099999999999999E-2</v>
      </c>
      <c r="F3514" s="676" t="s">
        <v>418</v>
      </c>
      <c r="G3514" s="670" t="e">
        <f>#REF!</f>
        <v>#REF!</v>
      </c>
      <c r="H3514" s="670" t="e">
        <f>INT(E3514*G3514)</f>
        <v>#REF!</v>
      </c>
      <c r="I3514" s="670" t="e">
        <f>#REF!</f>
        <v>#REF!</v>
      </c>
      <c r="J3514" s="670" t="e">
        <f t="shared" si="809"/>
        <v>#REF!</v>
      </c>
      <c r="K3514" s="670" t="e">
        <f>#REF!</f>
        <v>#REF!</v>
      </c>
      <c r="L3514" s="670" t="e">
        <f>INT(E3514*K3514)</f>
        <v>#REF!</v>
      </c>
      <c r="M3514" s="670" t="e">
        <f t="shared" si="810"/>
        <v>#REF!</v>
      </c>
      <c r="N3514" s="670" t="e">
        <f t="shared" si="810"/>
        <v>#REF!</v>
      </c>
      <c r="O3514" s="671"/>
      <c r="P3514" s="672"/>
      <c r="Q3514" s="828" t="s">
        <v>2311</v>
      </c>
    </row>
    <row r="3515" spans="1:22" s="688" customFormat="1" ht="17.100000000000001" customHeight="1">
      <c r="A3515" s="1316" t="s">
        <v>2346</v>
      </c>
      <c r="B3515" s="1317"/>
      <c r="C3515" s="1321" t="s">
        <v>1451</v>
      </c>
      <c r="D3515" s="1317"/>
      <c r="E3515" s="686">
        <v>0.03</v>
      </c>
      <c r="F3515" s="676" t="s">
        <v>672</v>
      </c>
      <c r="G3515" s="670"/>
      <c r="H3515" s="670">
        <f>INT(E3515*G3515)</f>
        <v>0</v>
      </c>
      <c r="I3515" s="670"/>
      <c r="J3515" s="670"/>
      <c r="K3515" s="670">
        <f>J3509+J3510</f>
        <v>3503</v>
      </c>
      <c r="L3515" s="670">
        <f>INT(E3515*K3515)</f>
        <v>105</v>
      </c>
      <c r="M3515" s="670">
        <f t="shared" si="810"/>
        <v>3503</v>
      </c>
      <c r="N3515" s="670">
        <f t="shared" si="810"/>
        <v>105</v>
      </c>
      <c r="O3515" s="671"/>
      <c r="P3515" s="672" t="s">
        <v>2314</v>
      </c>
      <c r="Q3515" s="828" t="s">
        <v>2311</v>
      </c>
    </row>
    <row r="3516" spans="1:22" s="688" customFormat="1" ht="17.100000000000001" customHeight="1">
      <c r="A3516" s="1316" t="s">
        <v>1328</v>
      </c>
      <c r="B3516" s="1317"/>
      <c r="C3516" s="1321" t="s">
        <v>2347</v>
      </c>
      <c r="D3516" s="1317"/>
      <c r="E3516" s="686">
        <v>0.01</v>
      </c>
      <c r="F3516" s="676" t="s">
        <v>672</v>
      </c>
      <c r="G3516" s="670" t="e">
        <f>SUM(H3506:H3508)</f>
        <v>#REF!</v>
      </c>
      <c r="H3516" s="670" t="e">
        <f>INT(E3516*G3516)</f>
        <v>#REF!</v>
      </c>
      <c r="I3516" s="670"/>
      <c r="J3516" s="670"/>
      <c r="K3516" s="670"/>
      <c r="L3516" s="670"/>
      <c r="M3516" s="670" t="e">
        <f t="shared" si="810"/>
        <v>#REF!</v>
      </c>
      <c r="N3516" s="670" t="e">
        <f t="shared" si="810"/>
        <v>#REF!</v>
      </c>
      <c r="O3516" s="671"/>
      <c r="P3516" s="672" t="s">
        <v>2316</v>
      </c>
      <c r="Q3516" s="828" t="s">
        <v>2311</v>
      </c>
      <c r="R3516" s="845"/>
      <c r="S3516" s="846"/>
      <c r="T3516" s="846"/>
      <c r="U3516" s="851"/>
      <c r="V3516" s="851"/>
    </row>
    <row r="3517" spans="1:22" s="688" customFormat="1" ht="17.100000000000001" customHeight="1">
      <c r="A3517" s="1358" t="s">
        <v>1320</v>
      </c>
      <c r="B3517" s="1354"/>
      <c r="C3517" s="1355"/>
      <c r="D3517" s="1356"/>
      <c r="E3517" s="701"/>
      <c r="F3517" s="669"/>
      <c r="G3517" s="670"/>
      <c r="H3517" s="858" t="e">
        <f>SUM(H3508:H3516)</f>
        <v>#REF!</v>
      </c>
      <c r="I3517" s="670"/>
      <c r="J3517" s="858" t="e">
        <f>SUM(J3508:J3516)</f>
        <v>#REF!</v>
      </c>
      <c r="K3517" s="670"/>
      <c r="L3517" s="858" t="e">
        <f>SUM(L3508:L3516)</f>
        <v>#REF!</v>
      </c>
      <c r="M3517" s="670"/>
      <c r="N3517" s="858" t="e">
        <f>SUM(N3508:N3516)</f>
        <v>#REF!</v>
      </c>
      <c r="O3517" s="693"/>
      <c r="P3517" s="672"/>
      <c r="Q3517" s="828" t="s">
        <v>2311</v>
      </c>
      <c r="R3517" s="845"/>
      <c r="S3517" s="845"/>
      <c r="T3517" s="845"/>
      <c r="U3517" s="846"/>
      <c r="V3517" s="846"/>
    </row>
    <row r="3518" spans="1:22" s="688" customFormat="1" ht="17.100000000000001" customHeight="1">
      <c r="A3518" s="696">
        <f>A3505+1</f>
        <v>470</v>
      </c>
      <c r="B3518" s="1357" t="s">
        <v>2372</v>
      </c>
      <c r="C3518" s="1357"/>
      <c r="D3518" s="1357" t="s">
        <v>2369</v>
      </c>
      <c r="E3518" s="1357"/>
      <c r="F3518" s="697" t="s">
        <v>645</v>
      </c>
      <c r="G3518" s="698"/>
      <c r="H3518" s="698"/>
      <c r="I3518" s="698"/>
      <c r="J3518" s="698"/>
      <c r="K3518" s="670"/>
      <c r="L3518" s="670"/>
      <c r="M3518" s="670"/>
      <c r="N3518" s="698"/>
      <c r="O3518" s="671" t="s">
        <v>1562</v>
      </c>
      <c r="P3518" s="672"/>
      <c r="Q3518" s="828" t="s">
        <v>2311</v>
      </c>
      <c r="R3518" s="845"/>
      <c r="S3518" s="845"/>
      <c r="T3518" s="845"/>
      <c r="U3518" s="845"/>
      <c r="V3518" s="845"/>
    </row>
    <row r="3519" spans="1:22" s="688" customFormat="1" ht="17.100000000000001" customHeight="1">
      <c r="A3519" s="1346" t="s">
        <v>2338</v>
      </c>
      <c r="B3519" s="1317"/>
      <c r="C3519" s="1316" t="s">
        <v>2370</v>
      </c>
      <c r="D3519" s="1317"/>
      <c r="E3519" s="683">
        <v>0.21</v>
      </c>
      <c r="F3519" s="676" t="s">
        <v>801</v>
      </c>
      <c r="G3519" s="670" t="e">
        <f>#REF!</f>
        <v>#REF!</v>
      </c>
      <c r="H3519" s="670" t="e">
        <f>INT(E3519*G3519)</f>
        <v>#REF!</v>
      </c>
      <c r="I3519" s="670"/>
      <c r="J3519" s="670"/>
      <c r="K3519" s="670"/>
      <c r="L3519" s="670"/>
      <c r="M3519" s="670" t="e">
        <f t="shared" ref="M3519:N3528" si="811">G3519+I3519+K3519</f>
        <v>#REF!</v>
      </c>
      <c r="N3519" s="670" t="e">
        <f t="shared" si="811"/>
        <v>#REF!</v>
      </c>
      <c r="O3519" s="671" t="s">
        <v>2340</v>
      </c>
      <c r="P3519" s="672"/>
      <c r="Q3519" s="828" t="s">
        <v>2311</v>
      </c>
      <c r="R3519" s="845"/>
      <c r="S3519" s="845"/>
      <c r="T3519" s="845"/>
      <c r="U3519" s="845"/>
      <c r="V3519" s="845"/>
    </row>
    <row r="3520" spans="1:22" s="688" customFormat="1" ht="17.100000000000001" customHeight="1">
      <c r="A3520" s="1346" t="s">
        <v>2338</v>
      </c>
      <c r="B3520" s="1317"/>
      <c r="C3520" s="1316" t="s">
        <v>2371</v>
      </c>
      <c r="D3520" s="1317"/>
      <c r="E3520" s="683">
        <v>0.21</v>
      </c>
      <c r="F3520" s="676" t="s">
        <v>801</v>
      </c>
      <c r="G3520" s="670" t="e">
        <f>#REF!</f>
        <v>#REF!</v>
      </c>
      <c r="H3520" s="670" t="e">
        <f>INT(E3520*G3520)</f>
        <v>#REF!</v>
      </c>
      <c r="I3520" s="670"/>
      <c r="J3520" s="670"/>
      <c r="K3520" s="670"/>
      <c r="L3520" s="670"/>
      <c r="M3520" s="670" t="e">
        <f t="shared" si="811"/>
        <v>#REF!</v>
      </c>
      <c r="N3520" s="670" t="e">
        <f t="shared" si="811"/>
        <v>#REF!</v>
      </c>
      <c r="O3520" s="671" t="s">
        <v>2340</v>
      </c>
      <c r="P3520" s="672"/>
      <c r="Q3520" s="828" t="s">
        <v>2311</v>
      </c>
      <c r="R3520" s="845"/>
      <c r="S3520" s="848"/>
      <c r="T3520" s="848"/>
      <c r="U3520" s="848"/>
      <c r="V3520" s="848"/>
    </row>
    <row r="3521" spans="1:22" s="688" customFormat="1" ht="17.100000000000001" customHeight="1">
      <c r="A3521" s="1346" t="s">
        <v>941</v>
      </c>
      <c r="B3521" s="1317"/>
      <c r="C3521" s="1316" t="s">
        <v>2342</v>
      </c>
      <c r="D3521" s="1317"/>
      <c r="E3521" s="683">
        <v>0.31</v>
      </c>
      <c r="F3521" s="676" t="s">
        <v>835</v>
      </c>
      <c r="G3521" s="670" t="e">
        <f>#REF!</f>
        <v>#REF!</v>
      </c>
      <c r="H3521" s="670" t="e">
        <f>INT(E3521*G3521)</f>
        <v>#REF!</v>
      </c>
      <c r="I3521" s="670"/>
      <c r="J3521" s="670"/>
      <c r="K3521" s="670"/>
      <c r="L3521" s="670"/>
      <c r="M3521" s="670" t="e">
        <f t="shared" si="811"/>
        <v>#REF!</v>
      </c>
      <c r="N3521" s="670" t="e">
        <f t="shared" si="811"/>
        <v>#REF!</v>
      </c>
      <c r="O3521" s="693"/>
      <c r="P3521" s="672"/>
      <c r="Q3521" s="828" t="s">
        <v>2311</v>
      </c>
      <c r="R3521" s="845"/>
      <c r="S3521" s="848"/>
      <c r="T3521" s="848"/>
      <c r="U3521" s="848"/>
      <c r="V3521" s="848"/>
    </row>
    <row r="3522" spans="1:22" s="848" customFormat="1" ht="17.100000000000001" customHeight="1">
      <c r="A3522" s="1316" t="s">
        <v>628</v>
      </c>
      <c r="B3522" s="1317"/>
      <c r="C3522" s="1321" t="s">
        <v>2330</v>
      </c>
      <c r="D3522" s="1317"/>
      <c r="E3522" s="686">
        <v>8.8000000000000005E-3</v>
      </c>
      <c r="F3522" s="676" t="s">
        <v>366</v>
      </c>
      <c r="G3522" s="670"/>
      <c r="H3522" s="670"/>
      <c r="I3522" s="670">
        <f>[53]노임단가!$T$6</f>
        <v>226122</v>
      </c>
      <c r="J3522" s="670">
        <f>INT(E3522*I3522)</f>
        <v>1989</v>
      </c>
      <c r="K3522" s="670"/>
      <c r="L3522" s="670"/>
      <c r="M3522" s="670">
        <f t="shared" si="811"/>
        <v>226122</v>
      </c>
      <c r="N3522" s="670">
        <f t="shared" si="811"/>
        <v>1989</v>
      </c>
      <c r="O3522" s="671"/>
      <c r="P3522" s="672"/>
      <c r="Q3522" s="828" t="s">
        <v>2311</v>
      </c>
      <c r="R3522" s="845"/>
      <c r="S3522" s="845"/>
      <c r="T3522" s="845"/>
      <c r="U3522" s="845"/>
      <c r="V3522" s="845"/>
    </row>
    <row r="3523" spans="1:22" s="848" customFormat="1" ht="17.100000000000001" customHeight="1">
      <c r="A3523" s="1316" t="s">
        <v>248</v>
      </c>
      <c r="B3523" s="1317"/>
      <c r="C3523" s="1321" t="s">
        <v>2330</v>
      </c>
      <c r="D3523" s="1317"/>
      <c r="E3523" s="686">
        <v>8.8000000000000005E-3</v>
      </c>
      <c r="F3523" s="676" t="s">
        <v>366</v>
      </c>
      <c r="G3523" s="670"/>
      <c r="H3523" s="670"/>
      <c r="I3523" s="670">
        <f>[53]노임단가!$T$5</f>
        <v>172068</v>
      </c>
      <c r="J3523" s="670">
        <f>INT(E3523*I3523)</f>
        <v>1514</v>
      </c>
      <c r="K3523" s="670"/>
      <c r="L3523" s="670"/>
      <c r="M3523" s="670">
        <f t="shared" si="811"/>
        <v>172068</v>
      </c>
      <c r="N3523" s="670">
        <f t="shared" si="811"/>
        <v>1514</v>
      </c>
      <c r="O3523" s="671"/>
      <c r="P3523" s="852"/>
      <c r="Q3523" s="849" t="s">
        <v>2311</v>
      </c>
      <c r="R3523" s="847">
        <f>W3519</f>
        <v>0</v>
      </c>
      <c r="S3523" s="850"/>
      <c r="T3523" s="850"/>
      <c r="U3523" s="850"/>
      <c r="V3523" s="850"/>
    </row>
    <row r="3524" spans="1:22" s="848" customFormat="1" ht="17.100000000000001" customHeight="1">
      <c r="A3524" s="1316" t="s">
        <v>248</v>
      </c>
      <c r="B3524" s="1317"/>
      <c r="C3524" s="1321" t="s">
        <v>2373</v>
      </c>
      <c r="D3524" s="1317"/>
      <c r="E3524" s="686"/>
      <c r="F3524" s="676" t="s">
        <v>366</v>
      </c>
      <c r="G3524" s="670"/>
      <c r="H3524" s="670"/>
      <c r="I3524" s="670">
        <f>[53]노임단가!$T$5</f>
        <v>172068</v>
      </c>
      <c r="J3524" s="670">
        <f>INT(E3524*I3524)</f>
        <v>0</v>
      </c>
      <c r="K3524" s="670"/>
      <c r="L3524" s="670"/>
      <c r="M3524" s="670">
        <f t="shared" si="811"/>
        <v>172068</v>
      </c>
      <c r="N3524" s="670">
        <f t="shared" si="811"/>
        <v>0</v>
      </c>
      <c r="O3524" s="671"/>
      <c r="P3524" s="852"/>
      <c r="Q3524" s="849" t="s">
        <v>2311</v>
      </c>
      <c r="R3524" s="850"/>
      <c r="S3524" s="850"/>
      <c r="T3524" s="850"/>
      <c r="U3524" s="850"/>
      <c r="V3524" s="850"/>
    </row>
    <row r="3525" spans="1:22" s="848" customFormat="1" ht="17.100000000000001" customHeight="1">
      <c r="A3525" s="1316" t="s">
        <v>1161</v>
      </c>
      <c r="B3525" s="1317"/>
      <c r="C3525" s="1316" t="s">
        <v>2345</v>
      </c>
      <c r="D3525" s="1317"/>
      <c r="E3525" s="686">
        <v>3.5099999999999999E-2</v>
      </c>
      <c r="F3525" s="676" t="s">
        <v>418</v>
      </c>
      <c r="G3525" s="670" t="e">
        <f>#REF!</f>
        <v>#REF!</v>
      </c>
      <c r="H3525" s="670" t="e">
        <f>INT(E3525*G3525)</f>
        <v>#REF!</v>
      </c>
      <c r="I3525" s="670" t="e">
        <f>#REF!</f>
        <v>#REF!</v>
      </c>
      <c r="J3525" s="670" t="e">
        <f>INT(E3525*I3525)</f>
        <v>#REF!</v>
      </c>
      <c r="K3525" s="670" t="e">
        <f>#REF!</f>
        <v>#REF!</v>
      </c>
      <c r="L3525" s="670" t="e">
        <f>INT(E3525*K3525)</f>
        <v>#REF!</v>
      </c>
      <c r="M3525" s="670" t="e">
        <f t="shared" si="811"/>
        <v>#REF!</v>
      </c>
      <c r="N3525" s="670" t="e">
        <f t="shared" si="811"/>
        <v>#REF!</v>
      </c>
      <c r="O3525" s="671"/>
      <c r="P3525" s="852"/>
      <c r="Q3525" s="849" t="s">
        <v>2311</v>
      </c>
      <c r="R3525" s="850"/>
      <c r="S3525" s="850"/>
      <c r="T3525" s="850"/>
      <c r="U3525" s="850"/>
      <c r="V3525" s="850"/>
    </row>
    <row r="3526" spans="1:22" s="688" customFormat="1" ht="17.100000000000001" customHeight="1">
      <c r="A3526" s="1316" t="s">
        <v>1161</v>
      </c>
      <c r="B3526" s="1317"/>
      <c r="C3526" s="1316" t="s">
        <v>1154</v>
      </c>
      <c r="D3526" s="1317"/>
      <c r="E3526" s="686">
        <v>3.5099999999999999E-2</v>
      </c>
      <c r="F3526" s="676" t="s">
        <v>418</v>
      </c>
      <c r="G3526" s="670" t="e">
        <f>#REF!</f>
        <v>#REF!</v>
      </c>
      <c r="H3526" s="670" t="e">
        <f>INT(E3526*G3526)</f>
        <v>#REF!</v>
      </c>
      <c r="I3526" s="670" t="e">
        <f>#REF!</f>
        <v>#REF!</v>
      </c>
      <c r="J3526" s="670" t="e">
        <f>INT(E3526*I3526)</f>
        <v>#REF!</v>
      </c>
      <c r="K3526" s="670" t="e">
        <f>#REF!</f>
        <v>#REF!</v>
      </c>
      <c r="L3526" s="670" t="e">
        <f>INT(E3526*K3526)</f>
        <v>#REF!</v>
      </c>
      <c r="M3526" s="670" t="e">
        <f t="shared" si="811"/>
        <v>#REF!</v>
      </c>
      <c r="N3526" s="670" t="e">
        <f t="shared" si="811"/>
        <v>#REF!</v>
      </c>
      <c r="O3526" s="671"/>
      <c r="P3526" s="852"/>
      <c r="Q3526" s="849" t="s">
        <v>2311</v>
      </c>
      <c r="R3526" s="850"/>
      <c r="S3526" s="850"/>
      <c r="T3526" s="850"/>
      <c r="U3526" s="850"/>
      <c r="V3526" s="850"/>
    </row>
    <row r="3527" spans="1:22" s="688" customFormat="1" ht="17.100000000000001" customHeight="1">
      <c r="A3527" s="1316" t="s">
        <v>2346</v>
      </c>
      <c r="B3527" s="1317"/>
      <c r="C3527" s="1321" t="s">
        <v>1451</v>
      </c>
      <c r="D3527" s="1317"/>
      <c r="E3527" s="686">
        <v>0.03</v>
      </c>
      <c r="F3527" s="676" t="s">
        <v>672</v>
      </c>
      <c r="G3527" s="670"/>
      <c r="H3527" s="670">
        <f>INT(E3527*G3527)</f>
        <v>0</v>
      </c>
      <c r="I3527" s="670"/>
      <c r="J3527" s="670"/>
      <c r="K3527" s="670">
        <f>J3522+J3523</f>
        <v>3503</v>
      </c>
      <c r="L3527" s="670">
        <f>INT(E3527*K3527)</f>
        <v>105</v>
      </c>
      <c r="M3527" s="670">
        <f t="shared" si="811"/>
        <v>3503</v>
      </c>
      <c r="N3527" s="670">
        <f t="shared" si="811"/>
        <v>105</v>
      </c>
      <c r="O3527" s="671"/>
      <c r="P3527" s="672"/>
      <c r="Q3527" s="828" t="s">
        <v>2311</v>
      </c>
    </row>
    <row r="3528" spans="1:22" s="688" customFormat="1" ht="17.100000000000001" customHeight="1">
      <c r="A3528" s="1316" t="s">
        <v>1328</v>
      </c>
      <c r="B3528" s="1317"/>
      <c r="C3528" s="1321" t="s">
        <v>2347</v>
      </c>
      <c r="D3528" s="1317"/>
      <c r="E3528" s="686">
        <v>0.01</v>
      </c>
      <c r="F3528" s="676" t="s">
        <v>672</v>
      </c>
      <c r="G3528" s="670" t="e">
        <f>SUM(H3519:H3521)</f>
        <v>#REF!</v>
      </c>
      <c r="H3528" s="670" t="e">
        <f>INT(E3528*G3528)</f>
        <v>#REF!</v>
      </c>
      <c r="I3528" s="670"/>
      <c r="J3528" s="670"/>
      <c r="K3528" s="670"/>
      <c r="L3528" s="670"/>
      <c r="M3528" s="670" t="e">
        <f t="shared" si="811"/>
        <v>#REF!</v>
      </c>
      <c r="N3528" s="670" t="e">
        <f t="shared" si="811"/>
        <v>#REF!</v>
      </c>
      <c r="O3528" s="671"/>
      <c r="P3528" s="672"/>
      <c r="Q3528" s="828" t="s">
        <v>2311</v>
      </c>
    </row>
    <row r="3529" spans="1:22" s="688" customFormat="1" ht="17.100000000000001" customHeight="1">
      <c r="A3529" s="1318" t="s">
        <v>1320</v>
      </c>
      <c r="B3529" s="1319"/>
      <c r="C3529" s="1316"/>
      <c r="D3529" s="1317"/>
      <c r="E3529" s="701"/>
      <c r="F3529" s="669"/>
      <c r="G3529" s="670"/>
      <c r="H3529" s="856" t="e">
        <f>SUM(H3521:H3528)</f>
        <v>#REF!</v>
      </c>
      <c r="I3529" s="670"/>
      <c r="J3529" s="856" t="e">
        <f>SUM(J3521:J3528)</f>
        <v>#REF!</v>
      </c>
      <c r="K3529" s="670"/>
      <c r="L3529" s="856" t="e">
        <f>SUM(L3521:L3528)</f>
        <v>#REF!</v>
      </c>
      <c r="M3529" s="670"/>
      <c r="N3529" s="856" t="e">
        <f>SUM(N3521:N3528)</f>
        <v>#REF!</v>
      </c>
      <c r="O3529" s="671"/>
      <c r="P3529" s="672"/>
      <c r="Q3529" s="828" t="s">
        <v>2311</v>
      </c>
    </row>
    <row r="3530" spans="1:22" s="688" customFormat="1" ht="17.100000000000001" customHeight="1">
      <c r="A3530" s="668">
        <f>A3518+1</f>
        <v>471</v>
      </c>
      <c r="B3530" s="1320" t="s">
        <v>2368</v>
      </c>
      <c r="C3530" s="1320"/>
      <c r="D3530" s="1320" t="s">
        <v>2374</v>
      </c>
      <c r="E3530" s="1320"/>
      <c r="F3530" s="669" t="s">
        <v>645</v>
      </c>
      <c r="G3530" s="698"/>
      <c r="H3530" s="698"/>
      <c r="I3530" s="698"/>
      <c r="J3530" s="698"/>
      <c r="K3530" s="670"/>
      <c r="L3530" s="670"/>
      <c r="M3530" s="670"/>
      <c r="N3530" s="698"/>
      <c r="O3530" s="699"/>
      <c r="P3530" s="672"/>
      <c r="Q3530" s="828" t="s">
        <v>2311</v>
      </c>
    </row>
    <row r="3531" spans="1:22" s="688" customFormat="1" ht="17.100000000000001" customHeight="1">
      <c r="A3531" s="1316" t="s">
        <v>943</v>
      </c>
      <c r="B3531" s="1317"/>
      <c r="C3531" s="1316" t="s">
        <v>2366</v>
      </c>
      <c r="D3531" s="1317"/>
      <c r="E3531" s="683">
        <v>2.2650000000000001</v>
      </c>
      <c r="F3531" s="676" t="s">
        <v>835</v>
      </c>
      <c r="G3531" s="670" t="e">
        <f>#REF!</f>
        <v>#REF!</v>
      </c>
      <c r="H3531" s="670" t="e">
        <f>INT(E3531*G3531)</f>
        <v>#REF!</v>
      </c>
      <c r="I3531" s="670"/>
      <c r="J3531" s="670"/>
      <c r="K3531" s="670"/>
      <c r="L3531" s="670"/>
      <c r="M3531" s="670" t="e">
        <f t="shared" ref="M3531:N3543" si="812">G3531+I3531+K3531</f>
        <v>#REF!</v>
      </c>
      <c r="N3531" s="670" t="e">
        <f t="shared" si="812"/>
        <v>#REF!</v>
      </c>
      <c r="O3531" s="671" t="s">
        <v>2340</v>
      </c>
      <c r="P3531" s="672"/>
      <c r="Q3531" s="828" t="s">
        <v>2311</v>
      </c>
    </row>
    <row r="3532" spans="1:22" s="688" customFormat="1" ht="17.100000000000001" customHeight="1">
      <c r="A3532" s="1316" t="s">
        <v>943</v>
      </c>
      <c r="B3532" s="1317"/>
      <c r="C3532" s="1316" t="s">
        <v>2375</v>
      </c>
      <c r="D3532" s="1317"/>
      <c r="E3532" s="683">
        <v>2.2650000000000001</v>
      </c>
      <c r="F3532" s="676" t="s">
        <v>835</v>
      </c>
      <c r="G3532" s="670" t="e">
        <f>#REF!</f>
        <v>#REF!</v>
      </c>
      <c r="H3532" s="670" t="e">
        <f>INT(E3532*G3532)</f>
        <v>#REF!</v>
      </c>
      <c r="I3532" s="670"/>
      <c r="J3532" s="670"/>
      <c r="K3532" s="670"/>
      <c r="L3532" s="670"/>
      <c r="M3532" s="670" t="e">
        <f t="shared" si="812"/>
        <v>#REF!</v>
      </c>
      <c r="N3532" s="670" t="e">
        <f t="shared" si="812"/>
        <v>#REF!</v>
      </c>
      <c r="O3532" s="671" t="s">
        <v>2340</v>
      </c>
      <c r="P3532" s="672"/>
      <c r="Q3532" s="828" t="s">
        <v>2311</v>
      </c>
    </row>
    <row r="3533" spans="1:22" s="688" customFormat="1" ht="17.100000000000001" customHeight="1">
      <c r="A3533" s="1316" t="s">
        <v>941</v>
      </c>
      <c r="B3533" s="1317"/>
      <c r="C3533" s="1316" t="s">
        <v>2342</v>
      </c>
      <c r="D3533" s="1317"/>
      <c r="E3533" s="683">
        <v>0.31</v>
      </c>
      <c r="F3533" s="676" t="s">
        <v>835</v>
      </c>
      <c r="G3533" s="670" t="e">
        <f>#REF!</f>
        <v>#REF!</v>
      </c>
      <c r="H3533" s="670" t="e">
        <f>INT(E3533*G3533)</f>
        <v>#REF!</v>
      </c>
      <c r="I3533" s="670"/>
      <c r="J3533" s="670"/>
      <c r="K3533" s="670"/>
      <c r="L3533" s="670"/>
      <c r="M3533" s="670" t="e">
        <f t="shared" si="812"/>
        <v>#REF!</v>
      </c>
      <c r="N3533" s="670" t="e">
        <f t="shared" si="812"/>
        <v>#REF!</v>
      </c>
      <c r="O3533" s="671"/>
      <c r="P3533" s="672"/>
      <c r="Q3533" s="828" t="s">
        <v>2311</v>
      </c>
    </row>
    <row r="3534" spans="1:22" s="688" customFormat="1" ht="17.100000000000001" customHeight="1">
      <c r="A3534" s="1316" t="s">
        <v>946</v>
      </c>
      <c r="B3534" s="1317"/>
      <c r="C3534" s="1316" t="s">
        <v>2362</v>
      </c>
      <c r="D3534" s="1317"/>
      <c r="E3534" s="683">
        <v>0.2</v>
      </c>
      <c r="F3534" s="676" t="s">
        <v>835</v>
      </c>
      <c r="G3534" s="670" t="e">
        <f>#REF!</f>
        <v>#REF!</v>
      </c>
      <c r="H3534" s="670" t="e">
        <f>INT(E3534*G3534)</f>
        <v>#REF!</v>
      </c>
      <c r="I3534" s="670"/>
      <c r="J3534" s="670"/>
      <c r="K3534" s="670"/>
      <c r="L3534" s="670"/>
      <c r="M3534" s="670" t="e">
        <f t="shared" si="812"/>
        <v>#REF!</v>
      </c>
      <c r="N3534" s="670" t="e">
        <f t="shared" si="812"/>
        <v>#REF!</v>
      </c>
      <c r="O3534" s="671"/>
      <c r="P3534" s="672"/>
      <c r="Q3534" s="828" t="s">
        <v>2311</v>
      </c>
    </row>
    <row r="3535" spans="1:22" s="688" customFormat="1" ht="17.100000000000001" customHeight="1">
      <c r="A3535" s="1316" t="s">
        <v>1041</v>
      </c>
      <c r="B3535" s="1317"/>
      <c r="C3535" s="1316"/>
      <c r="D3535" s="1317"/>
      <c r="E3535" s="683">
        <v>0.2</v>
      </c>
      <c r="F3535" s="676" t="s">
        <v>835</v>
      </c>
      <c r="G3535" s="670" t="e">
        <f>#REF!</f>
        <v>#REF!</v>
      </c>
      <c r="H3535" s="670" t="e">
        <f>INT(E3535*G3535)</f>
        <v>#REF!</v>
      </c>
      <c r="I3535" s="670"/>
      <c r="J3535" s="670"/>
      <c r="K3535" s="670"/>
      <c r="L3535" s="670"/>
      <c r="M3535" s="670" t="e">
        <f t="shared" si="812"/>
        <v>#REF!</v>
      </c>
      <c r="N3535" s="670" t="e">
        <f t="shared" si="812"/>
        <v>#REF!</v>
      </c>
      <c r="O3535" s="671"/>
      <c r="P3535" s="672"/>
      <c r="Q3535" s="828" t="s">
        <v>2311</v>
      </c>
    </row>
    <row r="3536" spans="1:22" s="688" customFormat="1" ht="17.100000000000001" customHeight="1">
      <c r="A3536" s="1316" t="s">
        <v>628</v>
      </c>
      <c r="B3536" s="1317"/>
      <c r="C3536" s="1321" t="s">
        <v>2330</v>
      </c>
      <c r="D3536" s="1317"/>
      <c r="E3536" s="683">
        <v>1.0500000000000001E-2</v>
      </c>
      <c r="F3536" s="676" t="s">
        <v>366</v>
      </c>
      <c r="G3536" s="670"/>
      <c r="H3536" s="670"/>
      <c r="I3536" s="670">
        <f>[53]노임단가!$T$6</f>
        <v>226122</v>
      </c>
      <c r="J3536" s="670">
        <f t="shared" ref="J3536:J3542" si="813">INT(E3536*I3536)</f>
        <v>2374</v>
      </c>
      <c r="K3536" s="670"/>
      <c r="L3536" s="670"/>
      <c r="M3536" s="670">
        <f t="shared" si="812"/>
        <v>226122</v>
      </c>
      <c r="N3536" s="670">
        <f t="shared" si="812"/>
        <v>2374</v>
      </c>
      <c r="O3536" s="671"/>
      <c r="P3536" s="808"/>
      <c r="Q3536" s="828" t="s">
        <v>2311</v>
      </c>
    </row>
    <row r="3537" spans="1:17" s="688" customFormat="1" ht="17.100000000000001" customHeight="1">
      <c r="A3537" s="1316" t="s">
        <v>248</v>
      </c>
      <c r="B3537" s="1317"/>
      <c r="C3537" s="1321" t="s">
        <v>2330</v>
      </c>
      <c r="D3537" s="1317"/>
      <c r="E3537" s="683">
        <v>1.0500000000000001E-2</v>
      </c>
      <c r="F3537" s="676" t="s">
        <v>366</v>
      </c>
      <c r="G3537" s="670"/>
      <c r="H3537" s="670"/>
      <c r="I3537" s="670">
        <f>[53]노임단가!$T$5</f>
        <v>172068</v>
      </c>
      <c r="J3537" s="670">
        <f t="shared" si="813"/>
        <v>1806</v>
      </c>
      <c r="K3537" s="670"/>
      <c r="L3537" s="670"/>
      <c r="M3537" s="670">
        <f t="shared" si="812"/>
        <v>172068</v>
      </c>
      <c r="N3537" s="670">
        <f t="shared" si="812"/>
        <v>1806</v>
      </c>
      <c r="O3537" s="671"/>
      <c r="P3537" s="808"/>
      <c r="Q3537" s="828" t="s">
        <v>2311</v>
      </c>
    </row>
    <row r="3538" spans="1:17" s="688" customFormat="1" ht="17.100000000000001" customHeight="1">
      <c r="A3538" s="1316" t="s">
        <v>628</v>
      </c>
      <c r="B3538" s="1317"/>
      <c r="C3538" s="1321" t="s">
        <v>2343</v>
      </c>
      <c r="D3538" s="1317"/>
      <c r="E3538" s="686">
        <v>1.0500000000000001E-2</v>
      </c>
      <c r="F3538" s="676" t="s">
        <v>366</v>
      </c>
      <c r="G3538" s="670"/>
      <c r="H3538" s="670"/>
      <c r="I3538" s="670">
        <f>[53]노임단가!$T$6</f>
        <v>226122</v>
      </c>
      <c r="J3538" s="670">
        <f t="shared" si="813"/>
        <v>2374</v>
      </c>
      <c r="K3538" s="670"/>
      <c r="L3538" s="670"/>
      <c r="M3538" s="670">
        <f t="shared" si="812"/>
        <v>226122</v>
      </c>
      <c r="N3538" s="670">
        <f t="shared" si="812"/>
        <v>2374</v>
      </c>
      <c r="O3538" s="671"/>
      <c r="P3538" s="808"/>
      <c r="Q3538" s="828" t="s">
        <v>2311</v>
      </c>
    </row>
    <row r="3539" spans="1:17" s="688" customFormat="1" ht="17.100000000000001" customHeight="1">
      <c r="A3539" s="1316" t="s">
        <v>248</v>
      </c>
      <c r="B3539" s="1317"/>
      <c r="C3539" s="1321" t="s">
        <v>2343</v>
      </c>
      <c r="D3539" s="1317"/>
      <c r="E3539" s="686">
        <v>1.0500000000000001E-2</v>
      </c>
      <c r="F3539" s="676" t="s">
        <v>366</v>
      </c>
      <c r="G3539" s="670"/>
      <c r="H3539" s="670"/>
      <c r="I3539" s="670">
        <f>[53]노임단가!$T$5</f>
        <v>172068</v>
      </c>
      <c r="J3539" s="670">
        <f t="shared" si="813"/>
        <v>1806</v>
      </c>
      <c r="K3539" s="670"/>
      <c r="L3539" s="670"/>
      <c r="M3539" s="670">
        <f t="shared" si="812"/>
        <v>172068</v>
      </c>
      <c r="N3539" s="670">
        <f t="shared" si="812"/>
        <v>1806</v>
      </c>
      <c r="O3539" s="671"/>
      <c r="P3539" s="808"/>
      <c r="Q3539" s="828" t="s">
        <v>2311</v>
      </c>
    </row>
    <row r="3540" spans="1:17" s="688" customFormat="1" ht="17.100000000000001" customHeight="1">
      <c r="A3540" s="1316" t="s">
        <v>1161</v>
      </c>
      <c r="B3540" s="1317"/>
      <c r="C3540" s="1316" t="s">
        <v>2345</v>
      </c>
      <c r="D3540" s="1317"/>
      <c r="E3540" s="686">
        <v>4.2099999999999999E-2</v>
      </c>
      <c r="F3540" s="676" t="s">
        <v>418</v>
      </c>
      <c r="G3540" s="670" t="e">
        <f>#REF!</f>
        <v>#REF!</v>
      </c>
      <c r="H3540" s="670" t="e">
        <f>INT(E3540*G3540)</f>
        <v>#REF!</v>
      </c>
      <c r="I3540" s="670" t="e">
        <f>#REF!</f>
        <v>#REF!</v>
      </c>
      <c r="J3540" s="670" t="e">
        <f t="shared" si="813"/>
        <v>#REF!</v>
      </c>
      <c r="K3540" s="670" t="e">
        <f>#REF!</f>
        <v>#REF!</v>
      </c>
      <c r="L3540" s="670" t="e">
        <f>INT(E3540*K3540)</f>
        <v>#REF!</v>
      </c>
      <c r="M3540" s="670" t="e">
        <f t="shared" si="812"/>
        <v>#REF!</v>
      </c>
      <c r="N3540" s="670" t="e">
        <f t="shared" si="812"/>
        <v>#REF!</v>
      </c>
      <c r="O3540" s="671"/>
      <c r="P3540" s="808"/>
      <c r="Q3540" s="828" t="s">
        <v>2311</v>
      </c>
    </row>
    <row r="3541" spans="1:17" s="688" customFormat="1" ht="17.100000000000001" customHeight="1">
      <c r="A3541" s="1316" t="s">
        <v>1161</v>
      </c>
      <c r="B3541" s="1317"/>
      <c r="C3541" s="1316" t="s">
        <v>2363</v>
      </c>
      <c r="D3541" s="1317"/>
      <c r="E3541" s="686">
        <v>4.2099999999999999E-2</v>
      </c>
      <c r="F3541" s="676" t="s">
        <v>418</v>
      </c>
      <c r="G3541" s="670" t="e">
        <f>#REF!</f>
        <v>#REF!</v>
      </c>
      <c r="H3541" s="670" t="e">
        <f>INT(E3541*G3541)</f>
        <v>#REF!</v>
      </c>
      <c r="I3541" s="670" t="e">
        <f>#REF!</f>
        <v>#REF!</v>
      </c>
      <c r="J3541" s="670" t="e">
        <f t="shared" si="813"/>
        <v>#REF!</v>
      </c>
      <c r="K3541" s="670" t="e">
        <f>#REF!</f>
        <v>#REF!</v>
      </c>
      <c r="L3541" s="670" t="e">
        <f>INT(E3541*K3541)</f>
        <v>#REF!</v>
      </c>
      <c r="M3541" s="670" t="e">
        <f t="shared" si="812"/>
        <v>#REF!</v>
      </c>
      <c r="N3541" s="670" t="e">
        <f t="shared" si="812"/>
        <v>#REF!</v>
      </c>
      <c r="O3541" s="671"/>
      <c r="P3541" s="808"/>
      <c r="Q3541" s="828" t="s">
        <v>2311</v>
      </c>
    </row>
    <row r="3542" spans="1:17" s="688" customFormat="1" ht="17.100000000000001" customHeight="1">
      <c r="A3542" s="1316" t="s">
        <v>1161</v>
      </c>
      <c r="B3542" s="1317"/>
      <c r="C3542" s="1316" t="s">
        <v>2364</v>
      </c>
      <c r="D3542" s="1317"/>
      <c r="E3542" s="686">
        <v>4.2099999999999999E-2</v>
      </c>
      <c r="F3542" s="676" t="s">
        <v>418</v>
      </c>
      <c r="G3542" s="670" t="e">
        <f>#REF!</f>
        <v>#REF!</v>
      </c>
      <c r="H3542" s="670" t="e">
        <f>INT(E3542*G3542)</f>
        <v>#REF!</v>
      </c>
      <c r="I3542" s="670" t="e">
        <f>#REF!</f>
        <v>#REF!</v>
      </c>
      <c r="J3542" s="670" t="e">
        <f t="shared" si="813"/>
        <v>#REF!</v>
      </c>
      <c r="K3542" s="670" t="e">
        <f>#REF!</f>
        <v>#REF!</v>
      </c>
      <c r="L3542" s="670" t="e">
        <f>INT(E3542*K3542)</f>
        <v>#REF!</v>
      </c>
      <c r="M3542" s="670" t="e">
        <f t="shared" si="812"/>
        <v>#REF!</v>
      </c>
      <c r="N3542" s="670" t="e">
        <f t="shared" si="812"/>
        <v>#REF!</v>
      </c>
      <c r="O3542" s="671"/>
      <c r="P3542" s="808"/>
      <c r="Q3542" s="859" t="s">
        <v>2376</v>
      </c>
    </row>
    <row r="3543" spans="1:17" s="688" customFormat="1" ht="17.100000000000001" customHeight="1">
      <c r="A3543" s="1316" t="s">
        <v>2346</v>
      </c>
      <c r="B3543" s="1317"/>
      <c r="C3543" s="1321" t="s">
        <v>2365</v>
      </c>
      <c r="D3543" s="1317"/>
      <c r="E3543" s="686">
        <v>0.1</v>
      </c>
      <c r="F3543" s="676" t="s">
        <v>672</v>
      </c>
      <c r="G3543" s="670"/>
      <c r="H3543" s="670">
        <f>INT(E3543*G3543)</f>
        <v>0</v>
      </c>
      <c r="I3543" s="670"/>
      <c r="J3543" s="670"/>
      <c r="K3543" s="670">
        <f>J3536+J3537</f>
        <v>4180</v>
      </c>
      <c r="L3543" s="670">
        <f>INT(E3543*K3543)</f>
        <v>418</v>
      </c>
      <c r="M3543" s="670">
        <f t="shared" si="812"/>
        <v>4180</v>
      </c>
      <c r="N3543" s="670">
        <f t="shared" si="812"/>
        <v>418</v>
      </c>
      <c r="O3543" s="671"/>
      <c r="P3543" s="808"/>
      <c r="Q3543" s="859" t="s">
        <v>2376</v>
      </c>
    </row>
    <row r="3544" spans="1:17" s="688" customFormat="1" ht="17.100000000000001" customHeight="1">
      <c r="A3544" s="1316" t="s">
        <v>1328</v>
      </c>
      <c r="B3544" s="1317"/>
      <c r="C3544" s="1321" t="s">
        <v>2347</v>
      </c>
      <c r="D3544" s="1317"/>
      <c r="E3544" s="686">
        <v>0.01</v>
      </c>
      <c r="F3544" s="676" t="s">
        <v>672</v>
      </c>
      <c r="G3544" s="670" t="e">
        <f>SUM(H3531:H3533)</f>
        <v>#REF!</v>
      </c>
      <c r="H3544" s="670" t="e">
        <f>INT(E3544*G3544)</f>
        <v>#REF!</v>
      </c>
      <c r="I3544" s="670"/>
      <c r="J3544" s="670"/>
      <c r="K3544" s="670"/>
      <c r="L3544" s="670"/>
      <c r="M3544" s="670" t="e">
        <f>G3544+I3544+K3544</f>
        <v>#REF!</v>
      </c>
      <c r="N3544" s="670" t="e">
        <f>H3544+J3544+L3544</f>
        <v>#REF!</v>
      </c>
      <c r="O3544" s="671"/>
      <c r="P3544" s="808"/>
      <c r="Q3544" s="859" t="s">
        <v>2376</v>
      </c>
    </row>
    <row r="3545" spans="1:17" s="688" customFormat="1" ht="17.100000000000001" customHeight="1">
      <c r="A3545" s="1354" t="s">
        <v>1320</v>
      </c>
      <c r="B3545" s="1354"/>
      <c r="C3545" s="1355"/>
      <c r="D3545" s="1356"/>
      <c r="E3545" s="701"/>
      <c r="F3545" s="669"/>
      <c r="G3545" s="670"/>
      <c r="H3545" s="858" t="e">
        <f>SUM(H3533:H3544)</f>
        <v>#REF!</v>
      </c>
      <c r="I3545" s="670"/>
      <c r="J3545" s="858" t="e">
        <f>SUM(J3533:J3544)</f>
        <v>#REF!</v>
      </c>
      <c r="K3545" s="670"/>
      <c r="L3545" s="858" t="e">
        <f>SUM(L3533:L3544)</f>
        <v>#REF!</v>
      </c>
      <c r="M3545" s="670"/>
      <c r="N3545" s="858" t="e">
        <f>SUM(N3533:N3544)</f>
        <v>#REF!</v>
      </c>
      <c r="O3545" s="671"/>
      <c r="P3545" s="808"/>
      <c r="Q3545" s="859" t="s">
        <v>2376</v>
      </c>
    </row>
    <row r="3546" spans="1:17" s="688" customFormat="1" ht="17.100000000000001" customHeight="1">
      <c r="A3546" s="696">
        <f>A3530+1</f>
        <v>472</v>
      </c>
      <c r="B3546" s="1357" t="s">
        <v>2372</v>
      </c>
      <c r="C3546" s="1357"/>
      <c r="D3546" s="1357" t="s">
        <v>2374</v>
      </c>
      <c r="E3546" s="1357"/>
      <c r="F3546" s="697" t="s">
        <v>645</v>
      </c>
      <c r="G3546" s="698"/>
      <c r="H3546" s="698"/>
      <c r="I3546" s="698"/>
      <c r="J3546" s="698"/>
      <c r="K3546" s="670"/>
      <c r="L3546" s="670"/>
      <c r="M3546" s="670"/>
      <c r="N3546" s="698"/>
      <c r="O3546" s="699"/>
      <c r="P3546" s="808"/>
      <c r="Q3546" s="859" t="s">
        <v>2376</v>
      </c>
    </row>
    <row r="3547" spans="1:17" s="688" customFormat="1" ht="17.100000000000001" customHeight="1">
      <c r="A3547" s="1316" t="s">
        <v>943</v>
      </c>
      <c r="B3547" s="1317"/>
      <c r="C3547" s="1316" t="s">
        <v>2366</v>
      </c>
      <c r="D3547" s="1317"/>
      <c r="E3547" s="683">
        <v>2.2650000000000001</v>
      </c>
      <c r="F3547" s="676" t="s">
        <v>835</v>
      </c>
      <c r="G3547" s="670" t="e">
        <f>#REF!</f>
        <v>#REF!</v>
      </c>
      <c r="H3547" s="670" t="e">
        <f>INT(E3547*G3547)</f>
        <v>#REF!</v>
      </c>
      <c r="I3547" s="670"/>
      <c r="J3547" s="670"/>
      <c r="K3547" s="670"/>
      <c r="L3547" s="670"/>
      <c r="M3547" s="670" t="e">
        <f t="shared" ref="M3547:N3556" si="814">G3547+I3547+K3547</f>
        <v>#REF!</v>
      </c>
      <c r="N3547" s="670" t="e">
        <f t="shared" si="814"/>
        <v>#REF!</v>
      </c>
      <c r="O3547" s="671" t="s">
        <v>2340</v>
      </c>
      <c r="P3547" s="808"/>
      <c r="Q3547" s="859" t="s">
        <v>2376</v>
      </c>
    </row>
    <row r="3548" spans="1:17" s="688" customFormat="1" ht="17.100000000000001" customHeight="1">
      <c r="A3548" s="1316" t="s">
        <v>943</v>
      </c>
      <c r="B3548" s="1317"/>
      <c r="C3548" s="1316" t="s">
        <v>2375</v>
      </c>
      <c r="D3548" s="1317"/>
      <c r="E3548" s="683">
        <v>2.2650000000000001</v>
      </c>
      <c r="F3548" s="676" t="s">
        <v>835</v>
      </c>
      <c r="G3548" s="670" t="e">
        <f>#REF!</f>
        <v>#REF!</v>
      </c>
      <c r="H3548" s="670" t="e">
        <f>INT(E3548*G3548)</f>
        <v>#REF!</v>
      </c>
      <c r="I3548" s="670"/>
      <c r="J3548" s="670"/>
      <c r="K3548" s="670"/>
      <c r="L3548" s="670"/>
      <c r="M3548" s="670" t="e">
        <f t="shared" si="814"/>
        <v>#REF!</v>
      </c>
      <c r="N3548" s="670" t="e">
        <f t="shared" si="814"/>
        <v>#REF!</v>
      </c>
      <c r="O3548" s="671" t="s">
        <v>2340</v>
      </c>
      <c r="P3548" s="808"/>
      <c r="Q3548" s="859" t="s">
        <v>2376</v>
      </c>
    </row>
    <row r="3549" spans="1:17" s="688" customFormat="1" ht="17.100000000000001" customHeight="1">
      <c r="A3549" s="1316" t="s">
        <v>941</v>
      </c>
      <c r="B3549" s="1317"/>
      <c r="C3549" s="1316" t="s">
        <v>2342</v>
      </c>
      <c r="D3549" s="1317"/>
      <c r="E3549" s="683">
        <v>0.31</v>
      </c>
      <c r="F3549" s="676" t="s">
        <v>835</v>
      </c>
      <c r="G3549" s="670" t="e">
        <f>#REF!</f>
        <v>#REF!</v>
      </c>
      <c r="H3549" s="670" t="e">
        <f>INT(E3549*G3549)</f>
        <v>#REF!</v>
      </c>
      <c r="I3549" s="670"/>
      <c r="J3549" s="670"/>
      <c r="K3549" s="670"/>
      <c r="L3549" s="670"/>
      <c r="M3549" s="670" t="e">
        <f t="shared" si="814"/>
        <v>#REF!</v>
      </c>
      <c r="N3549" s="670" t="e">
        <f t="shared" si="814"/>
        <v>#REF!</v>
      </c>
      <c r="O3549" s="671"/>
      <c r="P3549" s="808"/>
      <c r="Q3549" s="859" t="s">
        <v>2376</v>
      </c>
    </row>
    <row r="3550" spans="1:17" s="688" customFormat="1" ht="17.100000000000001" customHeight="1">
      <c r="A3550" s="1316" t="s">
        <v>946</v>
      </c>
      <c r="B3550" s="1317"/>
      <c r="C3550" s="1316" t="s">
        <v>2362</v>
      </c>
      <c r="D3550" s="1317"/>
      <c r="E3550" s="683">
        <v>0.2</v>
      </c>
      <c r="F3550" s="676" t="s">
        <v>835</v>
      </c>
      <c r="G3550" s="670" t="e">
        <f>#REF!</f>
        <v>#REF!</v>
      </c>
      <c r="H3550" s="670" t="e">
        <f>INT(E3550*G3550)</f>
        <v>#REF!</v>
      </c>
      <c r="I3550" s="670"/>
      <c r="J3550" s="670"/>
      <c r="K3550" s="670"/>
      <c r="L3550" s="670"/>
      <c r="M3550" s="670" t="e">
        <f t="shared" si="814"/>
        <v>#REF!</v>
      </c>
      <c r="N3550" s="670" t="e">
        <f t="shared" si="814"/>
        <v>#REF!</v>
      </c>
      <c r="O3550" s="671"/>
      <c r="P3550" s="808"/>
      <c r="Q3550" s="859" t="s">
        <v>2376</v>
      </c>
    </row>
    <row r="3551" spans="1:17" s="688" customFormat="1" ht="17.100000000000001" customHeight="1">
      <c r="A3551" s="1316" t="s">
        <v>1041</v>
      </c>
      <c r="B3551" s="1317"/>
      <c r="C3551" s="1316"/>
      <c r="D3551" s="1317"/>
      <c r="E3551" s="683">
        <v>0.2</v>
      </c>
      <c r="F3551" s="676" t="s">
        <v>835</v>
      </c>
      <c r="G3551" s="670" t="e">
        <f>#REF!</f>
        <v>#REF!</v>
      </c>
      <c r="H3551" s="670" t="e">
        <f>INT(E3551*G3551)</f>
        <v>#REF!</v>
      </c>
      <c r="I3551" s="670"/>
      <c r="J3551" s="670"/>
      <c r="K3551" s="670"/>
      <c r="L3551" s="670"/>
      <c r="M3551" s="670" t="e">
        <f t="shared" si="814"/>
        <v>#REF!</v>
      </c>
      <c r="N3551" s="670" t="e">
        <f t="shared" si="814"/>
        <v>#REF!</v>
      </c>
      <c r="O3551" s="671"/>
      <c r="P3551" s="808"/>
      <c r="Q3551" s="859" t="s">
        <v>2376</v>
      </c>
    </row>
    <row r="3552" spans="1:17" s="688" customFormat="1" ht="17.100000000000001" customHeight="1">
      <c r="A3552" s="1316" t="s">
        <v>628</v>
      </c>
      <c r="B3552" s="1317"/>
      <c r="C3552" s="1321" t="s">
        <v>2330</v>
      </c>
      <c r="D3552" s="1317"/>
      <c r="E3552" s="683">
        <v>1.0500000000000001E-2</v>
      </c>
      <c r="F3552" s="676" t="s">
        <v>366</v>
      </c>
      <c r="G3552" s="670"/>
      <c r="H3552" s="670"/>
      <c r="I3552" s="670">
        <f>[53]노임단가!$T$6</f>
        <v>226122</v>
      </c>
      <c r="J3552" s="670">
        <f>INT(E3552*I3552)</f>
        <v>2374</v>
      </c>
      <c r="K3552" s="670"/>
      <c r="L3552" s="670"/>
      <c r="M3552" s="670">
        <f t="shared" si="814"/>
        <v>226122</v>
      </c>
      <c r="N3552" s="670">
        <f t="shared" si="814"/>
        <v>2374</v>
      </c>
      <c r="O3552" s="671"/>
      <c r="P3552" s="808"/>
      <c r="Q3552" s="859" t="s">
        <v>2376</v>
      </c>
    </row>
    <row r="3553" spans="1:20" s="688" customFormat="1" ht="17.100000000000001" customHeight="1">
      <c r="A3553" s="1316" t="s">
        <v>248</v>
      </c>
      <c r="B3553" s="1317"/>
      <c r="C3553" s="1321" t="s">
        <v>2330</v>
      </c>
      <c r="D3553" s="1317"/>
      <c r="E3553" s="683">
        <v>1.0500000000000001E-2</v>
      </c>
      <c r="F3553" s="676" t="s">
        <v>366</v>
      </c>
      <c r="G3553" s="670"/>
      <c r="H3553" s="670"/>
      <c r="I3553" s="670">
        <f>[53]노임단가!$T$5</f>
        <v>172068</v>
      </c>
      <c r="J3553" s="670">
        <f>INT(E3553*I3553)</f>
        <v>1806</v>
      </c>
      <c r="K3553" s="670"/>
      <c r="L3553" s="670"/>
      <c r="M3553" s="670">
        <f t="shared" si="814"/>
        <v>172068</v>
      </c>
      <c r="N3553" s="670">
        <f t="shared" si="814"/>
        <v>1806</v>
      </c>
      <c r="O3553" s="671"/>
      <c r="P3553" s="808"/>
      <c r="Q3553" s="828"/>
    </row>
    <row r="3554" spans="1:20" s="688" customFormat="1" ht="17.100000000000001" customHeight="1">
      <c r="A3554" s="1316" t="s">
        <v>1161</v>
      </c>
      <c r="B3554" s="1317"/>
      <c r="C3554" s="1316" t="s">
        <v>2363</v>
      </c>
      <c r="D3554" s="1317"/>
      <c r="E3554" s="686">
        <v>4.2099999999999999E-2</v>
      </c>
      <c r="F3554" s="676" t="s">
        <v>418</v>
      </c>
      <c r="G3554" s="670" t="e">
        <f>#REF!</f>
        <v>#REF!</v>
      </c>
      <c r="H3554" s="670" t="e">
        <f>INT(E3554*G3554)</f>
        <v>#REF!</v>
      </c>
      <c r="I3554" s="670" t="e">
        <f>#REF!</f>
        <v>#REF!</v>
      </c>
      <c r="J3554" s="670" t="e">
        <f>INT(E3554*I3554)</f>
        <v>#REF!</v>
      </c>
      <c r="K3554" s="670" t="e">
        <f>#REF!</f>
        <v>#REF!</v>
      </c>
      <c r="L3554" s="670" t="e">
        <f>INT(E3554*K3554)</f>
        <v>#REF!</v>
      </c>
      <c r="M3554" s="670" t="e">
        <f t="shared" si="814"/>
        <v>#REF!</v>
      </c>
      <c r="N3554" s="670" t="e">
        <f t="shared" si="814"/>
        <v>#REF!</v>
      </c>
      <c r="O3554" s="671"/>
      <c r="P3554" s="808"/>
      <c r="Q3554" s="828"/>
    </row>
    <row r="3555" spans="1:20" s="688" customFormat="1" ht="17.100000000000001" customHeight="1">
      <c r="A3555" s="1316" t="s">
        <v>1161</v>
      </c>
      <c r="B3555" s="1317"/>
      <c r="C3555" s="1316" t="s">
        <v>2364</v>
      </c>
      <c r="D3555" s="1317"/>
      <c r="E3555" s="686">
        <v>4.2099999999999999E-2</v>
      </c>
      <c r="F3555" s="676" t="s">
        <v>418</v>
      </c>
      <c r="G3555" s="670" t="e">
        <f>#REF!</f>
        <v>#REF!</v>
      </c>
      <c r="H3555" s="670" t="e">
        <f>INT(E3555*G3555)</f>
        <v>#REF!</v>
      </c>
      <c r="I3555" s="670" t="e">
        <f>#REF!</f>
        <v>#REF!</v>
      </c>
      <c r="J3555" s="670" t="e">
        <f>INT(E3555*I3555)</f>
        <v>#REF!</v>
      </c>
      <c r="K3555" s="670" t="e">
        <f>#REF!</f>
        <v>#REF!</v>
      </c>
      <c r="L3555" s="670" t="e">
        <f>INT(E3555*K3555)</f>
        <v>#REF!</v>
      </c>
      <c r="M3555" s="670" t="e">
        <f t="shared" si="814"/>
        <v>#REF!</v>
      </c>
      <c r="N3555" s="670" t="e">
        <f t="shared" si="814"/>
        <v>#REF!</v>
      </c>
      <c r="O3555" s="671"/>
      <c r="P3555" s="808"/>
      <c r="Q3555" s="828"/>
    </row>
    <row r="3556" spans="1:20" s="688" customFormat="1" ht="17.100000000000001" customHeight="1">
      <c r="A3556" s="1316" t="s">
        <v>2346</v>
      </c>
      <c r="B3556" s="1317"/>
      <c r="C3556" s="1321" t="s">
        <v>2365</v>
      </c>
      <c r="D3556" s="1317"/>
      <c r="E3556" s="686">
        <v>0.1</v>
      </c>
      <c r="F3556" s="676" t="s">
        <v>672</v>
      </c>
      <c r="G3556" s="670"/>
      <c r="H3556" s="670">
        <f>INT(E3556*G3556)</f>
        <v>0</v>
      </c>
      <c r="I3556" s="670"/>
      <c r="J3556" s="670"/>
      <c r="K3556" s="670">
        <f>J3553+J3552</f>
        <v>4180</v>
      </c>
      <c r="L3556" s="670">
        <f>INT(E3556*K3556)</f>
        <v>418</v>
      </c>
      <c r="M3556" s="670">
        <f t="shared" si="814"/>
        <v>4180</v>
      </c>
      <c r="N3556" s="670">
        <f t="shared" si="814"/>
        <v>418</v>
      </c>
      <c r="O3556" s="671"/>
      <c r="P3556" s="808"/>
      <c r="Q3556" s="828"/>
    </row>
    <row r="3557" spans="1:20" s="688" customFormat="1" ht="17.100000000000001" customHeight="1">
      <c r="A3557" s="1316" t="s">
        <v>1328</v>
      </c>
      <c r="B3557" s="1317"/>
      <c r="C3557" s="1321" t="s">
        <v>2347</v>
      </c>
      <c r="D3557" s="1317"/>
      <c r="E3557" s="686">
        <v>0.01</v>
      </c>
      <c r="F3557" s="676" t="s">
        <v>672</v>
      </c>
      <c r="G3557" s="670" t="e">
        <f>SUM(H3547:H3549)</f>
        <v>#REF!</v>
      </c>
      <c r="H3557" s="670" t="e">
        <f>INT(E3557*G3557)</f>
        <v>#REF!</v>
      </c>
      <c r="I3557" s="670"/>
      <c r="J3557" s="670"/>
      <c r="K3557" s="670"/>
      <c r="L3557" s="670"/>
      <c r="M3557" s="670" t="e">
        <f>G3557+I3557+K3557</f>
        <v>#REF!</v>
      </c>
      <c r="N3557" s="670" t="e">
        <f>H3557+J3557+L3557</f>
        <v>#REF!</v>
      </c>
      <c r="O3557" s="671"/>
      <c r="P3557" s="808"/>
      <c r="Q3557" s="828"/>
    </row>
    <row r="3558" spans="1:20" s="688" customFormat="1" ht="17.100000000000001" customHeight="1">
      <c r="A3558" s="1351" t="s">
        <v>1320</v>
      </c>
      <c r="B3558" s="1351"/>
      <c r="C3558" s="1352"/>
      <c r="D3558" s="1353"/>
      <c r="E3558" s="860"/>
      <c r="F3558" s="861"/>
      <c r="G3558" s="862"/>
      <c r="H3558" s="863" t="e">
        <f>SUM(H3549:H3557)</f>
        <v>#REF!</v>
      </c>
      <c r="I3558" s="862"/>
      <c r="J3558" s="863" t="e">
        <f>SUM(J3549:J3557)</f>
        <v>#REF!</v>
      </c>
      <c r="K3558" s="670"/>
      <c r="L3558" s="863" t="e">
        <f>SUM(L3549:L3557)</f>
        <v>#REF!</v>
      </c>
      <c r="M3558" s="670"/>
      <c r="N3558" s="863" t="e">
        <f>SUM(N3549:N3557)</f>
        <v>#REF!</v>
      </c>
      <c r="O3558" s="864"/>
      <c r="P3558" s="808"/>
      <c r="Q3558" s="828"/>
    </row>
    <row r="3559" spans="1:20" s="688" customFormat="1" ht="17.100000000000001" customHeight="1">
      <c r="A3559" s="692">
        <f>A3546+1</f>
        <v>473</v>
      </c>
      <c r="B3559" s="1320" t="s">
        <v>2377</v>
      </c>
      <c r="C3559" s="1320"/>
      <c r="D3559" s="1320" t="s">
        <v>2378</v>
      </c>
      <c r="E3559" s="1320"/>
      <c r="F3559" s="669" t="s">
        <v>272</v>
      </c>
      <c r="G3559" s="670"/>
      <c r="H3559" s="670"/>
      <c r="I3559" s="670"/>
      <c r="J3559" s="670"/>
      <c r="K3559" s="670"/>
      <c r="L3559" s="670"/>
      <c r="M3559" s="670"/>
      <c r="N3559" s="670"/>
      <c r="O3559" s="693"/>
      <c r="P3559" s="808"/>
      <c r="Q3559" s="828"/>
    </row>
    <row r="3560" spans="1:20" s="688" customFormat="1" ht="17.100000000000001" customHeight="1">
      <c r="A3560" s="1346" t="s">
        <v>1676</v>
      </c>
      <c r="B3560" s="1317"/>
      <c r="C3560" s="1316" t="s">
        <v>2379</v>
      </c>
      <c r="D3560" s="1317"/>
      <c r="E3560" s="675">
        <v>0.99</v>
      </c>
      <c r="F3560" s="676" t="s">
        <v>915</v>
      </c>
      <c r="G3560" s="670"/>
      <c r="H3560" s="670"/>
      <c r="I3560" s="670"/>
      <c r="J3560" s="670"/>
      <c r="K3560" s="670"/>
      <c r="L3560" s="670"/>
      <c r="M3560" s="670"/>
      <c r="N3560" s="670"/>
      <c r="O3560" s="693"/>
      <c r="P3560" s="808"/>
      <c r="Q3560" s="828"/>
    </row>
    <row r="3561" spans="1:20" s="688" customFormat="1" ht="17.100000000000001" customHeight="1">
      <c r="A3561" s="1346" t="s">
        <v>1441</v>
      </c>
      <c r="B3561" s="1317"/>
      <c r="C3561" s="1316"/>
      <c r="D3561" s="1317"/>
      <c r="E3561" s="677">
        <v>2</v>
      </c>
      <c r="F3561" s="676" t="s">
        <v>272</v>
      </c>
      <c r="G3561" s="670" t="e">
        <f>$H$194</f>
        <v>#REF!</v>
      </c>
      <c r="H3561" s="670" t="e">
        <f>INT(E3561*G3561)</f>
        <v>#REF!</v>
      </c>
      <c r="I3561" s="670" t="e">
        <f>$J$194</f>
        <v>#REF!</v>
      </c>
      <c r="J3561" s="670" t="e">
        <f>INT(E3561*I3561)</f>
        <v>#REF!</v>
      </c>
      <c r="K3561" s="670" t="e">
        <f>$L$194</f>
        <v>#REF!</v>
      </c>
      <c r="L3561" s="670" t="e">
        <f>INT(E3561*K3561)</f>
        <v>#REF!</v>
      </c>
      <c r="M3561" s="670" t="e">
        <f t="shared" ref="M3561:N3564" si="815">G3561+I3561+K3561</f>
        <v>#REF!</v>
      </c>
      <c r="N3561" s="670" t="e">
        <f t="shared" si="815"/>
        <v>#REF!</v>
      </c>
      <c r="O3561" s="693">
        <f>$A$189</f>
        <v>49</v>
      </c>
      <c r="P3561" s="808"/>
      <c r="Q3561" s="828"/>
    </row>
    <row r="3562" spans="1:20" s="688" customFormat="1" ht="17.100000000000001" customHeight="1">
      <c r="A3562" s="1346" t="str">
        <f>B207</f>
        <v>아스팔트포장 깨기</v>
      </c>
      <c r="B3562" s="1317"/>
      <c r="C3562" s="1316" t="str">
        <f>D207</f>
        <v>소형브레이커+공기압축기</v>
      </c>
      <c r="D3562" s="1317"/>
      <c r="E3562" s="701">
        <f>3.6*1*0.05</f>
        <v>0.18000000000000002</v>
      </c>
      <c r="F3562" s="676" t="s">
        <v>850</v>
      </c>
      <c r="G3562" s="670" t="e">
        <f>$H$213</f>
        <v>#REF!</v>
      </c>
      <c r="H3562" s="670" t="e">
        <f>INT(E3562*G3562)</f>
        <v>#REF!</v>
      </c>
      <c r="I3562" s="670" t="e">
        <f>$J$213</f>
        <v>#REF!</v>
      </c>
      <c r="J3562" s="670" t="e">
        <f>INT(E3562*I3562)</f>
        <v>#REF!</v>
      </c>
      <c r="K3562" s="670" t="e">
        <f>$L$213</f>
        <v>#REF!</v>
      </c>
      <c r="L3562" s="670" t="e">
        <f>INT(E3562*K3562)</f>
        <v>#REF!</v>
      </c>
      <c r="M3562" s="670" t="e">
        <f t="shared" si="815"/>
        <v>#REF!</v>
      </c>
      <c r="N3562" s="670" t="e">
        <f t="shared" si="815"/>
        <v>#REF!</v>
      </c>
      <c r="O3562" s="693">
        <f>A207</f>
        <v>52</v>
      </c>
      <c r="P3562" s="808"/>
      <c r="Q3562" s="828"/>
    </row>
    <row r="3563" spans="1:20" s="688" customFormat="1" ht="17.100000000000001" customHeight="1">
      <c r="A3563" s="1346" t="s">
        <v>2032</v>
      </c>
      <c r="B3563" s="1317"/>
      <c r="C3563" s="1316" t="s">
        <v>2380</v>
      </c>
      <c r="D3563" s="1317"/>
      <c r="E3563" s="679">
        <f>3.6*1</f>
        <v>3.6</v>
      </c>
      <c r="F3563" s="676" t="s">
        <v>645</v>
      </c>
      <c r="G3563" s="670" t="e">
        <f>$H$1875</f>
        <v>#REF!</v>
      </c>
      <c r="H3563" s="670" t="e">
        <f>INT(E3563*G3563)</f>
        <v>#REF!</v>
      </c>
      <c r="I3563" s="670" t="e">
        <f>$J$1875</f>
        <v>#REF!</v>
      </c>
      <c r="J3563" s="670" t="e">
        <f>INT(E3563*I3563)</f>
        <v>#REF!</v>
      </c>
      <c r="K3563" s="670" t="e">
        <f>$L$1875</f>
        <v>#REF!</v>
      </c>
      <c r="L3563" s="670" t="e">
        <f>INT(E3563*K3563)</f>
        <v>#REF!</v>
      </c>
      <c r="M3563" s="670" t="e">
        <f t="shared" si="815"/>
        <v>#REF!</v>
      </c>
      <c r="N3563" s="670" t="e">
        <f t="shared" si="815"/>
        <v>#REF!</v>
      </c>
      <c r="O3563" s="693">
        <f>$A$1876</f>
        <v>312</v>
      </c>
      <c r="P3563" s="808"/>
      <c r="Q3563" s="828"/>
    </row>
    <row r="3564" spans="1:20" s="688" customFormat="1" ht="17.100000000000001" customHeight="1">
      <c r="A3564" s="1346" t="s">
        <v>2368</v>
      </c>
      <c r="B3564" s="1317"/>
      <c r="C3564" s="1316" t="s">
        <v>2381</v>
      </c>
      <c r="D3564" s="1317"/>
      <c r="E3564" s="679">
        <v>3.6</v>
      </c>
      <c r="F3564" s="676" t="s">
        <v>645</v>
      </c>
      <c r="G3564" s="670" t="e">
        <f>$H$3545</f>
        <v>#REF!</v>
      </c>
      <c r="H3564" s="670" t="e">
        <f>INT(E3564*G3564)</f>
        <v>#REF!</v>
      </c>
      <c r="I3564" s="670" t="e">
        <f>$J$3545</f>
        <v>#REF!</v>
      </c>
      <c r="J3564" s="670" t="e">
        <f>INT(E3564*I3564)</f>
        <v>#REF!</v>
      </c>
      <c r="K3564" s="670" t="e">
        <f>$L$3545</f>
        <v>#REF!</v>
      </c>
      <c r="L3564" s="670" t="e">
        <f>INT(E3564*K3564)</f>
        <v>#REF!</v>
      </c>
      <c r="M3564" s="670" t="e">
        <f t="shared" si="815"/>
        <v>#REF!</v>
      </c>
      <c r="N3564" s="670" t="e">
        <f>H3564+J3564+L3564</f>
        <v>#REF!</v>
      </c>
      <c r="O3564" s="693">
        <f>A3530</f>
        <v>471</v>
      </c>
      <c r="P3564" s="808"/>
      <c r="Q3564" s="828"/>
    </row>
    <row r="3565" spans="1:20" s="688" customFormat="1" ht="17.100000000000001" customHeight="1">
      <c r="A3565" s="1346" t="s">
        <v>2382</v>
      </c>
      <c r="B3565" s="1317"/>
      <c r="C3565" s="1316" t="s">
        <v>1827</v>
      </c>
      <c r="D3565" s="1317"/>
      <c r="E3565" s="675">
        <v>0.18</v>
      </c>
      <c r="F3565" s="676" t="s">
        <v>850</v>
      </c>
      <c r="G3565" s="670"/>
      <c r="H3565" s="670"/>
      <c r="I3565" s="670"/>
      <c r="J3565" s="670"/>
      <c r="K3565" s="670"/>
      <c r="L3565" s="670"/>
      <c r="M3565" s="670"/>
      <c r="N3565" s="670"/>
      <c r="O3565" s="693"/>
      <c r="P3565" s="808"/>
      <c r="Q3565" s="828"/>
    </row>
    <row r="3566" spans="1:20" s="688" customFormat="1" ht="17.100000000000001" customHeight="1">
      <c r="A3566" s="1347" t="s">
        <v>1320</v>
      </c>
      <c r="B3566" s="1348"/>
      <c r="C3566" s="1349"/>
      <c r="D3566" s="1350"/>
      <c r="E3566" s="865"/>
      <c r="F3566" s="866"/>
      <c r="G3566" s="862"/>
      <c r="H3566" s="862" t="e">
        <f>SUM(H3561:H3565)</f>
        <v>#REF!</v>
      </c>
      <c r="I3566" s="862"/>
      <c r="J3566" s="862" t="e">
        <f>SUM(J3561:J3565)</f>
        <v>#REF!</v>
      </c>
      <c r="K3566" s="670"/>
      <c r="L3566" s="862" t="e">
        <f>SUM(L3561:L3565)</f>
        <v>#REF!</v>
      </c>
      <c r="M3566" s="670"/>
      <c r="N3566" s="862" t="e">
        <f>SUM(N3561:N3565)</f>
        <v>#REF!</v>
      </c>
      <c r="O3566" s="867"/>
      <c r="P3566" s="808"/>
      <c r="Q3566" s="828"/>
    </row>
    <row r="3567" spans="1:20" s="822" customFormat="1" ht="17.100000000000001" customHeight="1">
      <c r="A3567" s="737">
        <f>A3559+1</f>
        <v>474</v>
      </c>
      <c r="B3567" s="1345" t="s">
        <v>852</v>
      </c>
      <c r="C3567" s="1345"/>
      <c r="D3567" s="1345" t="s">
        <v>2383</v>
      </c>
      <c r="E3567" s="1345"/>
      <c r="F3567" s="738" t="s">
        <v>2384</v>
      </c>
      <c r="G3567" s="739"/>
      <c r="H3567" s="739"/>
      <c r="I3567" s="739"/>
      <c r="J3567" s="739"/>
      <c r="K3567" s="739"/>
      <c r="L3567" s="739"/>
      <c r="M3567" s="739"/>
      <c r="N3567" s="739"/>
      <c r="O3567" s="868"/>
      <c r="P3567" s="869" t="s">
        <v>2385</v>
      </c>
      <c r="Q3567" s="870"/>
    </row>
    <row r="3568" spans="1:20" s="822" customFormat="1" ht="17.100000000000001" customHeight="1">
      <c r="A3568" s="1341" t="s">
        <v>852</v>
      </c>
      <c r="B3568" s="1342"/>
      <c r="C3568" s="1341" t="s">
        <v>855</v>
      </c>
      <c r="D3568" s="1342"/>
      <c r="E3568" s="741">
        <v>0.22800000000000001</v>
      </c>
      <c r="F3568" s="742" t="s">
        <v>437</v>
      </c>
      <c r="G3568" s="739" t="e">
        <f>#REF!</f>
        <v>#REF!</v>
      </c>
      <c r="H3568" s="739" t="e">
        <f>INT(E3568*G3568)</f>
        <v>#REF!</v>
      </c>
      <c r="I3568" s="739"/>
      <c r="J3568" s="739"/>
      <c r="K3568" s="739"/>
      <c r="L3568" s="739"/>
      <c r="M3568" s="739" t="e">
        <f t="shared" ref="M3568:N3571" si="816">G3568+I3568+K3568</f>
        <v>#REF!</v>
      </c>
      <c r="N3568" s="739" t="e">
        <f t="shared" si="816"/>
        <v>#REF!</v>
      </c>
      <c r="O3568" s="868"/>
      <c r="P3568" s="871" t="s">
        <v>2386</v>
      </c>
      <c r="Q3568" s="870" t="s">
        <v>2387</v>
      </c>
      <c r="R3568" s="822" t="s">
        <v>2388</v>
      </c>
      <c r="T3568" s="822" t="s">
        <v>2389</v>
      </c>
    </row>
    <row r="3569" spans="1:20" s="824" customFormat="1" ht="17.100000000000001" customHeight="1">
      <c r="A3569" s="1339" t="s">
        <v>1621</v>
      </c>
      <c r="B3569" s="1340"/>
      <c r="C3569" s="1339"/>
      <c r="D3569" s="1340"/>
      <c r="E3569" s="761">
        <v>0.73</v>
      </c>
      <c r="F3569" s="755" t="s">
        <v>366</v>
      </c>
      <c r="G3569" s="756"/>
      <c r="H3569" s="756"/>
      <c r="I3569" s="756">
        <f>[53]노임단가!$T$10</f>
        <v>275790</v>
      </c>
      <c r="J3569" s="756">
        <f>INT(E3569*I3569)</f>
        <v>201326</v>
      </c>
      <c r="K3569" s="756"/>
      <c r="L3569" s="756"/>
      <c r="M3569" s="756">
        <f t="shared" si="816"/>
        <v>275790</v>
      </c>
      <c r="N3569" s="756">
        <f t="shared" si="816"/>
        <v>201326</v>
      </c>
      <c r="O3569" s="872"/>
      <c r="P3569" s="873" t="s">
        <v>2390</v>
      </c>
      <c r="Q3569" s="874">
        <v>3</v>
      </c>
      <c r="S3569" s="824">
        <v>41</v>
      </c>
      <c r="T3569" s="875">
        <f>Q3569/S3569*10</f>
        <v>0.73170731707317072</v>
      </c>
    </row>
    <row r="3570" spans="1:20" s="824" customFormat="1" ht="17.100000000000001" customHeight="1">
      <c r="A3570" s="1339" t="s">
        <v>248</v>
      </c>
      <c r="B3570" s="1340"/>
      <c r="C3570" s="1339"/>
      <c r="D3570" s="1340"/>
      <c r="E3570" s="761">
        <v>0.24</v>
      </c>
      <c r="F3570" s="755" t="s">
        <v>366</v>
      </c>
      <c r="G3570" s="756"/>
      <c r="H3570" s="756"/>
      <c r="I3570" s="756">
        <f>[53]노임단가!$T$5</f>
        <v>172068</v>
      </c>
      <c r="J3570" s="756">
        <f>INT(E3570*I3570)</f>
        <v>41296</v>
      </c>
      <c r="K3570" s="756"/>
      <c r="L3570" s="756"/>
      <c r="M3570" s="756">
        <f t="shared" si="816"/>
        <v>172068</v>
      </c>
      <c r="N3570" s="756">
        <f t="shared" si="816"/>
        <v>41296</v>
      </c>
      <c r="O3570" s="872"/>
      <c r="P3570" s="873" t="s">
        <v>2391</v>
      </c>
      <c r="Q3570" s="874">
        <v>1</v>
      </c>
      <c r="S3570" s="824">
        <v>41</v>
      </c>
      <c r="T3570" s="875">
        <f>Q3570/S3570*10</f>
        <v>0.24390243902439024</v>
      </c>
    </row>
    <row r="3571" spans="1:20" s="822" customFormat="1" ht="17.100000000000001" customHeight="1">
      <c r="A3571" s="1341" t="s">
        <v>1328</v>
      </c>
      <c r="B3571" s="1342"/>
      <c r="C3571" s="1341" t="s">
        <v>2392</v>
      </c>
      <c r="D3571" s="1342"/>
      <c r="E3571" s="744">
        <v>0.05</v>
      </c>
      <c r="F3571" s="742" t="s">
        <v>672</v>
      </c>
      <c r="G3571" s="739" t="e">
        <f>H3568</f>
        <v>#REF!</v>
      </c>
      <c r="H3571" s="739" t="e">
        <f>INT(E3571*G3571)</f>
        <v>#REF!</v>
      </c>
      <c r="I3571" s="739"/>
      <c r="J3571" s="739"/>
      <c r="K3571" s="739"/>
      <c r="L3571" s="739"/>
      <c r="M3571" s="739" t="e">
        <f t="shared" si="816"/>
        <v>#REF!</v>
      </c>
      <c r="N3571" s="739" t="e">
        <f t="shared" si="816"/>
        <v>#REF!</v>
      </c>
      <c r="O3571" s="868"/>
      <c r="P3571" s="869"/>
      <c r="Q3571" s="870"/>
    </row>
    <row r="3572" spans="1:20" s="688" customFormat="1" ht="17.100000000000001" customHeight="1">
      <c r="A3572" s="1318" t="s">
        <v>1320</v>
      </c>
      <c r="B3572" s="1319"/>
      <c r="C3572" s="1316"/>
      <c r="D3572" s="1317"/>
      <c r="E3572" s="686"/>
      <c r="F3572" s="676"/>
      <c r="G3572" s="670"/>
      <c r="H3572" s="670" t="e">
        <f>SUM(H3568:H3571)</f>
        <v>#REF!</v>
      </c>
      <c r="I3572" s="670"/>
      <c r="J3572" s="670">
        <f>SUM(J3568:J3571)</f>
        <v>242622</v>
      </c>
      <c r="K3572" s="670"/>
      <c r="L3572" s="670"/>
      <c r="M3572" s="670"/>
      <c r="N3572" s="670" t="e">
        <f>SUM(N3568:N3571)</f>
        <v>#REF!</v>
      </c>
      <c r="O3572" s="876"/>
      <c r="P3572" s="808"/>
      <c r="Q3572" s="828"/>
    </row>
    <row r="3573" spans="1:20" s="688" customFormat="1" ht="17.100000000000001" customHeight="1">
      <c r="A3573" s="737">
        <f>A3567+1</f>
        <v>475</v>
      </c>
      <c r="B3573" s="1345" t="s">
        <v>852</v>
      </c>
      <c r="C3573" s="1345"/>
      <c r="D3573" s="1345" t="s">
        <v>2393</v>
      </c>
      <c r="E3573" s="1345"/>
      <c r="F3573" s="738" t="s">
        <v>2384</v>
      </c>
      <c r="G3573" s="771"/>
      <c r="H3573" s="771"/>
      <c r="I3573" s="771"/>
      <c r="J3573" s="771"/>
      <c r="K3573" s="739"/>
      <c r="L3573" s="739"/>
      <c r="M3573" s="739"/>
      <c r="N3573" s="771"/>
      <c r="O3573" s="868"/>
      <c r="P3573" s="869" t="s">
        <v>2385</v>
      </c>
      <c r="Q3573" s="828"/>
    </row>
    <row r="3574" spans="1:20" s="688" customFormat="1" ht="17.100000000000001" customHeight="1">
      <c r="A3574" s="1341" t="s">
        <v>852</v>
      </c>
      <c r="B3574" s="1342"/>
      <c r="C3574" s="1341" t="s">
        <v>855</v>
      </c>
      <c r="D3574" s="1342"/>
      <c r="E3574" s="744">
        <v>0.38</v>
      </c>
      <c r="F3574" s="742" t="s">
        <v>437</v>
      </c>
      <c r="G3574" s="739" t="e">
        <f>#REF!</f>
        <v>#REF!</v>
      </c>
      <c r="H3574" s="739" t="e">
        <f>INT(E3574*G3574)</f>
        <v>#REF!</v>
      </c>
      <c r="I3574" s="739"/>
      <c r="J3574" s="739"/>
      <c r="K3574" s="739"/>
      <c r="L3574" s="739"/>
      <c r="M3574" s="739" t="e">
        <f t="shared" ref="M3574:N3577" si="817">G3574+I3574+K3574</f>
        <v>#REF!</v>
      </c>
      <c r="N3574" s="739" t="e">
        <f t="shared" si="817"/>
        <v>#REF!</v>
      </c>
      <c r="O3574" s="868"/>
      <c r="P3574" s="808"/>
      <c r="Q3574" s="828"/>
    </row>
    <row r="3575" spans="1:20" s="713" customFormat="1" ht="17.100000000000001" customHeight="1">
      <c r="A3575" s="1339" t="s">
        <v>1621</v>
      </c>
      <c r="B3575" s="1340"/>
      <c r="C3575" s="1339"/>
      <c r="D3575" s="1340"/>
      <c r="E3575" s="761">
        <f>E3569</f>
        <v>0.73</v>
      </c>
      <c r="F3575" s="755" t="s">
        <v>366</v>
      </c>
      <c r="G3575" s="756"/>
      <c r="H3575" s="756"/>
      <c r="I3575" s="756">
        <f>[53]노임단가!$T$10</f>
        <v>275790</v>
      </c>
      <c r="J3575" s="756">
        <f>INT(E3575*I3575)</f>
        <v>201326</v>
      </c>
      <c r="K3575" s="756"/>
      <c r="L3575" s="756"/>
      <c r="M3575" s="756">
        <f t="shared" si="817"/>
        <v>275790</v>
      </c>
      <c r="N3575" s="756">
        <f t="shared" si="817"/>
        <v>201326</v>
      </c>
      <c r="O3575" s="872"/>
      <c r="P3575" s="717"/>
      <c r="Q3575" s="877"/>
    </row>
    <row r="3576" spans="1:20" s="713" customFormat="1" ht="17.100000000000001" customHeight="1">
      <c r="A3576" s="1339" t="s">
        <v>248</v>
      </c>
      <c r="B3576" s="1340"/>
      <c r="C3576" s="1339"/>
      <c r="D3576" s="1340"/>
      <c r="E3576" s="761">
        <f>E3570</f>
        <v>0.24</v>
      </c>
      <c r="F3576" s="755" t="s">
        <v>366</v>
      </c>
      <c r="G3576" s="756"/>
      <c r="H3576" s="756"/>
      <c r="I3576" s="756">
        <f>[53]노임단가!$T$5</f>
        <v>172068</v>
      </c>
      <c r="J3576" s="756">
        <f>INT(E3576*I3576)</f>
        <v>41296</v>
      </c>
      <c r="K3576" s="756"/>
      <c r="L3576" s="756"/>
      <c r="M3576" s="756">
        <f t="shared" si="817"/>
        <v>172068</v>
      </c>
      <c r="N3576" s="756">
        <f t="shared" si="817"/>
        <v>41296</v>
      </c>
      <c r="O3576" s="872"/>
      <c r="P3576" s="710"/>
      <c r="Q3576" s="877"/>
    </row>
    <row r="3577" spans="1:20" s="688" customFormat="1" ht="17.100000000000001" customHeight="1">
      <c r="A3577" s="1341" t="s">
        <v>1328</v>
      </c>
      <c r="B3577" s="1342"/>
      <c r="C3577" s="1341" t="s">
        <v>2392</v>
      </c>
      <c r="D3577" s="1342"/>
      <c r="E3577" s="744">
        <v>0.05</v>
      </c>
      <c r="F3577" s="742" t="s">
        <v>672</v>
      </c>
      <c r="G3577" s="739" t="e">
        <f>H3574</f>
        <v>#REF!</v>
      </c>
      <c r="H3577" s="739" t="e">
        <f>INT(E3577*G3577)</f>
        <v>#REF!</v>
      </c>
      <c r="I3577" s="739"/>
      <c r="J3577" s="739"/>
      <c r="K3577" s="739"/>
      <c r="L3577" s="739"/>
      <c r="M3577" s="739" t="e">
        <f t="shared" si="817"/>
        <v>#REF!</v>
      </c>
      <c r="N3577" s="739" t="e">
        <f t="shared" si="817"/>
        <v>#REF!</v>
      </c>
      <c r="O3577" s="868"/>
      <c r="P3577" s="672"/>
      <c r="Q3577" s="828"/>
    </row>
    <row r="3578" spans="1:20" s="688" customFormat="1" ht="17.100000000000001" customHeight="1">
      <c r="A3578" s="1343" t="s">
        <v>1320</v>
      </c>
      <c r="B3578" s="1344"/>
      <c r="C3578" s="1341"/>
      <c r="D3578" s="1342"/>
      <c r="E3578" s="745"/>
      <c r="F3578" s="742"/>
      <c r="G3578" s="739"/>
      <c r="H3578" s="739" t="e">
        <f>SUM(H3574:H3577)</f>
        <v>#REF!</v>
      </c>
      <c r="I3578" s="739"/>
      <c r="J3578" s="739">
        <f>SUM(J3574:J3577)</f>
        <v>242622</v>
      </c>
      <c r="K3578" s="739"/>
      <c r="L3578" s="739"/>
      <c r="M3578" s="739"/>
      <c r="N3578" s="739" t="e">
        <f>SUM(N3574:N3577)</f>
        <v>#REF!</v>
      </c>
      <c r="O3578" s="868"/>
      <c r="P3578" s="672"/>
      <c r="Q3578" s="828"/>
    </row>
    <row r="3579" spans="1:20" s="688" customFormat="1" ht="17.100000000000001" customHeight="1">
      <c r="A3579" s="668">
        <f>A3573+1</f>
        <v>476</v>
      </c>
      <c r="B3579" s="1320" t="s">
        <v>852</v>
      </c>
      <c r="C3579" s="1320"/>
      <c r="D3579" s="1320" t="s">
        <v>2394</v>
      </c>
      <c r="E3579" s="1320"/>
      <c r="F3579" s="669" t="s">
        <v>2384</v>
      </c>
      <c r="G3579" s="698"/>
      <c r="H3579" s="698"/>
      <c r="I3579" s="698"/>
      <c r="J3579" s="698"/>
      <c r="K3579" s="670"/>
      <c r="L3579" s="670"/>
      <c r="M3579" s="670"/>
      <c r="N3579" s="698"/>
      <c r="O3579" s="876"/>
      <c r="P3579" s="672"/>
      <c r="Q3579" s="828"/>
    </row>
    <row r="3580" spans="1:20" s="688" customFormat="1" ht="17.100000000000001" customHeight="1">
      <c r="A3580" s="1316" t="s">
        <v>852</v>
      </c>
      <c r="B3580" s="1317"/>
      <c r="C3580" s="1316" t="s">
        <v>855</v>
      </c>
      <c r="D3580" s="1317"/>
      <c r="E3580" s="675">
        <v>0.48</v>
      </c>
      <c r="F3580" s="676" t="s">
        <v>437</v>
      </c>
      <c r="G3580" s="670" t="e">
        <f>#REF!</f>
        <v>#REF!</v>
      </c>
      <c r="H3580" s="670" t="e">
        <f>INT(E3580*G3580)</f>
        <v>#REF!</v>
      </c>
      <c r="I3580" s="670"/>
      <c r="J3580" s="670"/>
      <c r="K3580" s="670"/>
      <c r="L3580" s="670"/>
      <c r="M3580" s="670" t="e">
        <f t="shared" ref="M3580:N3583" si="818">G3580+I3580+K3580</f>
        <v>#REF!</v>
      </c>
      <c r="N3580" s="670" t="e">
        <f t="shared" si="818"/>
        <v>#REF!</v>
      </c>
      <c r="O3580" s="876"/>
      <c r="P3580" s="808"/>
      <c r="Q3580" s="828"/>
    </row>
    <row r="3581" spans="1:20" s="688" customFormat="1" ht="17.100000000000001" customHeight="1">
      <c r="A3581" s="1316" t="s">
        <v>1621</v>
      </c>
      <c r="B3581" s="1317"/>
      <c r="C3581" s="1316"/>
      <c r="D3581" s="1317"/>
      <c r="E3581" s="679">
        <v>1.6</v>
      </c>
      <c r="F3581" s="676" t="s">
        <v>366</v>
      </c>
      <c r="G3581" s="670"/>
      <c r="H3581" s="670"/>
      <c r="I3581" s="670">
        <f>[53]노임단가!$T$10</f>
        <v>275790</v>
      </c>
      <c r="J3581" s="670">
        <f>INT(E3581*I3581)</f>
        <v>441264</v>
      </c>
      <c r="K3581" s="670"/>
      <c r="L3581" s="670"/>
      <c r="M3581" s="670">
        <f t="shared" si="818"/>
        <v>275790</v>
      </c>
      <c r="N3581" s="670">
        <f t="shared" si="818"/>
        <v>441264</v>
      </c>
      <c r="O3581" s="876"/>
      <c r="P3581" s="808"/>
      <c r="Q3581" s="828"/>
    </row>
    <row r="3582" spans="1:20" s="688" customFormat="1" ht="17.100000000000001" customHeight="1">
      <c r="A3582" s="1316" t="s">
        <v>248</v>
      </c>
      <c r="B3582" s="1317"/>
      <c r="C3582" s="1316"/>
      <c r="D3582" s="1317"/>
      <c r="E3582" s="679">
        <v>0.6</v>
      </c>
      <c r="F3582" s="676" t="s">
        <v>366</v>
      </c>
      <c r="G3582" s="670"/>
      <c r="H3582" s="670"/>
      <c r="I3582" s="670">
        <f>[53]노임단가!$T$5</f>
        <v>172068</v>
      </c>
      <c r="J3582" s="670">
        <f>INT(E3582*I3582)</f>
        <v>103240</v>
      </c>
      <c r="K3582" s="670"/>
      <c r="L3582" s="670"/>
      <c r="M3582" s="670">
        <f t="shared" si="818"/>
        <v>172068</v>
      </c>
      <c r="N3582" s="670">
        <f t="shared" si="818"/>
        <v>103240</v>
      </c>
      <c r="O3582" s="876"/>
      <c r="P3582" s="808"/>
      <c r="Q3582" s="828"/>
    </row>
    <row r="3583" spans="1:20" s="688" customFormat="1" ht="17.100000000000001" customHeight="1">
      <c r="A3583" s="1316" t="s">
        <v>1328</v>
      </c>
      <c r="B3583" s="1317"/>
      <c r="C3583" s="1316" t="s">
        <v>2392</v>
      </c>
      <c r="D3583" s="1317"/>
      <c r="E3583" s="675">
        <v>0.05</v>
      </c>
      <c r="F3583" s="676" t="s">
        <v>672</v>
      </c>
      <c r="G3583" s="670" t="e">
        <f>H3580</f>
        <v>#REF!</v>
      </c>
      <c r="H3583" s="670" t="e">
        <f>INT(E3583*G3583)</f>
        <v>#REF!</v>
      </c>
      <c r="I3583" s="670"/>
      <c r="J3583" s="670"/>
      <c r="K3583" s="670"/>
      <c r="L3583" s="670"/>
      <c r="M3583" s="670" t="e">
        <f t="shared" si="818"/>
        <v>#REF!</v>
      </c>
      <c r="N3583" s="670" t="e">
        <f t="shared" si="818"/>
        <v>#REF!</v>
      </c>
      <c r="O3583" s="876"/>
      <c r="P3583" s="808"/>
      <c r="Q3583" s="828"/>
    </row>
    <row r="3584" spans="1:20" s="688" customFormat="1" ht="17.100000000000001" customHeight="1">
      <c r="A3584" s="1318" t="s">
        <v>1320</v>
      </c>
      <c r="B3584" s="1319"/>
      <c r="C3584" s="1316"/>
      <c r="D3584" s="1317"/>
      <c r="E3584" s="686"/>
      <c r="F3584" s="676"/>
      <c r="G3584" s="670"/>
      <c r="H3584" s="670" t="e">
        <f>SUM(H3580:H3583)</f>
        <v>#REF!</v>
      </c>
      <c r="I3584" s="670"/>
      <c r="J3584" s="670">
        <f>SUM(J3580:J3583)</f>
        <v>544504</v>
      </c>
      <c r="K3584" s="670"/>
      <c r="L3584" s="670"/>
      <c r="M3584" s="670"/>
      <c r="N3584" s="670" t="e">
        <f>SUM(N3580:N3583)</f>
        <v>#REF!</v>
      </c>
      <c r="O3584" s="876"/>
      <c r="P3584" s="808"/>
      <c r="Q3584" s="828"/>
    </row>
    <row r="3585" spans="1:20" s="688" customFormat="1" ht="17.100000000000001" customHeight="1">
      <c r="A3585" s="668">
        <f>A3579+1</f>
        <v>477</v>
      </c>
      <c r="B3585" s="1320" t="s">
        <v>852</v>
      </c>
      <c r="C3585" s="1320"/>
      <c r="D3585" s="1320" t="s">
        <v>2395</v>
      </c>
      <c r="E3585" s="1320"/>
      <c r="F3585" s="669" t="s">
        <v>2384</v>
      </c>
      <c r="G3585" s="698"/>
      <c r="H3585" s="698"/>
      <c r="I3585" s="698"/>
      <c r="J3585" s="698"/>
      <c r="K3585" s="670"/>
      <c r="L3585" s="670"/>
      <c r="M3585" s="670"/>
      <c r="N3585" s="698"/>
      <c r="O3585" s="876"/>
      <c r="P3585" s="808"/>
      <c r="Q3585" s="828"/>
    </row>
    <row r="3586" spans="1:20" s="688" customFormat="1" ht="17.100000000000001" customHeight="1">
      <c r="A3586" s="1316" t="s">
        <v>852</v>
      </c>
      <c r="B3586" s="1317"/>
      <c r="C3586" s="1316" t="s">
        <v>855</v>
      </c>
      <c r="D3586" s="1317"/>
      <c r="E3586" s="679">
        <v>0.8</v>
      </c>
      <c r="F3586" s="676" t="s">
        <v>437</v>
      </c>
      <c r="G3586" s="670" t="e">
        <f>#REF!</f>
        <v>#REF!</v>
      </c>
      <c r="H3586" s="670" t="e">
        <f>INT(E3586*G3586)</f>
        <v>#REF!</v>
      </c>
      <c r="I3586" s="670"/>
      <c r="J3586" s="670"/>
      <c r="K3586" s="670"/>
      <c r="L3586" s="670"/>
      <c r="M3586" s="670" t="e">
        <f t="shared" ref="M3586:N3589" si="819">G3586+I3586+K3586</f>
        <v>#REF!</v>
      </c>
      <c r="N3586" s="670" t="e">
        <f t="shared" si="819"/>
        <v>#REF!</v>
      </c>
      <c r="O3586" s="876"/>
      <c r="P3586" s="808"/>
      <c r="Q3586" s="828"/>
    </row>
    <row r="3587" spans="1:20" s="688" customFormat="1" ht="17.100000000000001" customHeight="1">
      <c r="A3587" s="1316" t="s">
        <v>1621</v>
      </c>
      <c r="B3587" s="1317"/>
      <c r="C3587" s="1316"/>
      <c r="D3587" s="1317"/>
      <c r="E3587" s="679">
        <v>1.6</v>
      </c>
      <c r="F3587" s="676" t="s">
        <v>366</v>
      </c>
      <c r="G3587" s="670"/>
      <c r="H3587" s="670"/>
      <c r="I3587" s="670">
        <f>[53]노임단가!$T$10</f>
        <v>275790</v>
      </c>
      <c r="J3587" s="670">
        <f>INT(E3587*I3587)</f>
        <v>441264</v>
      </c>
      <c r="K3587" s="670"/>
      <c r="L3587" s="670"/>
      <c r="M3587" s="670">
        <f t="shared" si="819"/>
        <v>275790</v>
      </c>
      <c r="N3587" s="670">
        <f t="shared" si="819"/>
        <v>441264</v>
      </c>
      <c r="O3587" s="876"/>
      <c r="P3587" s="808"/>
      <c r="Q3587" s="828"/>
    </row>
    <row r="3588" spans="1:20" s="688" customFormat="1" ht="17.100000000000001" customHeight="1">
      <c r="A3588" s="1316" t="s">
        <v>248</v>
      </c>
      <c r="B3588" s="1317"/>
      <c r="C3588" s="1316"/>
      <c r="D3588" s="1317"/>
      <c r="E3588" s="679">
        <v>0.6</v>
      </c>
      <c r="F3588" s="676" t="s">
        <v>366</v>
      </c>
      <c r="G3588" s="670"/>
      <c r="H3588" s="670"/>
      <c r="I3588" s="670">
        <f>[53]노임단가!$T$5</f>
        <v>172068</v>
      </c>
      <c r="J3588" s="670">
        <f>INT(E3588*I3588)</f>
        <v>103240</v>
      </c>
      <c r="K3588" s="670"/>
      <c r="L3588" s="670"/>
      <c r="M3588" s="670">
        <f t="shared" si="819"/>
        <v>172068</v>
      </c>
      <c r="N3588" s="670">
        <f t="shared" si="819"/>
        <v>103240</v>
      </c>
      <c r="O3588" s="876"/>
      <c r="P3588" s="808"/>
      <c r="Q3588" s="828"/>
    </row>
    <row r="3589" spans="1:20" s="688" customFormat="1" ht="17.100000000000001" customHeight="1">
      <c r="A3589" s="1316" t="s">
        <v>1328</v>
      </c>
      <c r="B3589" s="1317"/>
      <c r="C3589" s="1316" t="s">
        <v>2392</v>
      </c>
      <c r="D3589" s="1317"/>
      <c r="E3589" s="675">
        <v>0.05</v>
      </c>
      <c r="F3589" s="676" t="s">
        <v>672</v>
      </c>
      <c r="G3589" s="670" t="e">
        <f>H3586</f>
        <v>#REF!</v>
      </c>
      <c r="H3589" s="670" t="e">
        <f>INT(E3589*G3589)</f>
        <v>#REF!</v>
      </c>
      <c r="I3589" s="670"/>
      <c r="J3589" s="670"/>
      <c r="K3589" s="670"/>
      <c r="L3589" s="670"/>
      <c r="M3589" s="670" t="e">
        <f t="shared" si="819"/>
        <v>#REF!</v>
      </c>
      <c r="N3589" s="670" t="e">
        <f t="shared" si="819"/>
        <v>#REF!</v>
      </c>
      <c r="O3589" s="876"/>
      <c r="P3589" s="869" t="s">
        <v>2385</v>
      </c>
      <c r="Q3589" s="828"/>
    </row>
    <row r="3590" spans="1:20" s="688" customFormat="1" ht="17.100000000000001" customHeight="1">
      <c r="A3590" s="1318" t="s">
        <v>1320</v>
      </c>
      <c r="B3590" s="1319"/>
      <c r="C3590" s="1316"/>
      <c r="D3590" s="1317"/>
      <c r="E3590" s="686"/>
      <c r="F3590" s="676"/>
      <c r="G3590" s="670"/>
      <c r="H3590" s="670" t="e">
        <f>SUM(H3586:H3589)</f>
        <v>#REF!</v>
      </c>
      <c r="I3590" s="670"/>
      <c r="J3590" s="670">
        <f>SUM(J3586:J3589)</f>
        <v>544504</v>
      </c>
      <c r="K3590" s="670"/>
      <c r="L3590" s="670"/>
      <c r="M3590" s="670"/>
      <c r="N3590" s="670" t="e">
        <f>SUM(N3586:N3589)</f>
        <v>#REF!</v>
      </c>
      <c r="O3590" s="876"/>
      <c r="P3590" s="871" t="s">
        <v>2396</v>
      </c>
      <c r="Q3590" s="870" t="s">
        <v>2397</v>
      </c>
      <c r="R3590" s="822" t="s">
        <v>2388</v>
      </c>
      <c r="S3590" s="822"/>
      <c r="T3590" s="822" t="s">
        <v>2398</v>
      </c>
    </row>
    <row r="3591" spans="1:20" s="822" customFormat="1" ht="17.100000000000001" customHeight="1">
      <c r="A3591" s="737">
        <f>A3585+1</f>
        <v>478</v>
      </c>
      <c r="B3591" s="1345" t="s">
        <v>2399</v>
      </c>
      <c r="C3591" s="1345"/>
      <c r="D3591" s="1345" t="s">
        <v>2400</v>
      </c>
      <c r="E3591" s="1345"/>
      <c r="F3591" s="738" t="s">
        <v>645</v>
      </c>
      <c r="G3591" s="771"/>
      <c r="H3591" s="771"/>
      <c r="I3591" s="771"/>
      <c r="J3591" s="771"/>
      <c r="K3591" s="739"/>
      <c r="L3591" s="739"/>
      <c r="M3591" s="739"/>
      <c r="N3591" s="771"/>
      <c r="O3591" s="868"/>
      <c r="P3591" s="869" t="s">
        <v>2390</v>
      </c>
      <c r="Q3591" s="870">
        <v>3</v>
      </c>
      <c r="S3591" s="822">
        <v>41</v>
      </c>
      <c r="T3591" s="878">
        <f>Q3591/S3591</f>
        <v>7.3170731707317069E-2</v>
      </c>
    </row>
    <row r="3592" spans="1:20" s="822" customFormat="1" ht="17.100000000000001" customHeight="1">
      <c r="A3592" s="1341" t="s">
        <v>2401</v>
      </c>
      <c r="B3592" s="1342"/>
      <c r="C3592" s="1341" t="s">
        <v>855</v>
      </c>
      <c r="D3592" s="1342"/>
      <c r="E3592" s="741">
        <v>0.23899999999999999</v>
      </c>
      <c r="F3592" s="742" t="s">
        <v>272</v>
      </c>
      <c r="G3592" s="739" t="e">
        <f>#REF!</f>
        <v>#REF!</v>
      </c>
      <c r="H3592" s="739" t="e">
        <f>INT(E3592*G3592)</f>
        <v>#REF!</v>
      </c>
      <c r="I3592" s="739"/>
      <c r="J3592" s="739"/>
      <c r="K3592" s="739"/>
      <c r="L3592" s="739"/>
      <c r="M3592" s="739" t="e">
        <f t="shared" ref="M3592:N3598" si="820">G3592+I3592+K3592</f>
        <v>#REF!</v>
      </c>
      <c r="N3592" s="739" t="e">
        <f t="shared" si="820"/>
        <v>#REF!</v>
      </c>
      <c r="O3592" s="868"/>
      <c r="P3592" s="869" t="s">
        <v>2391</v>
      </c>
      <c r="Q3592" s="870">
        <v>1</v>
      </c>
      <c r="S3592" s="822">
        <v>41</v>
      </c>
      <c r="T3592" s="878">
        <f>Q3592/S3592</f>
        <v>2.4390243902439025E-2</v>
      </c>
    </row>
    <row r="3593" spans="1:20" s="822" customFormat="1" ht="17.100000000000001" customHeight="1">
      <c r="A3593" s="1341" t="s">
        <v>857</v>
      </c>
      <c r="B3593" s="1342"/>
      <c r="C3593" s="1341" t="s">
        <v>858</v>
      </c>
      <c r="D3593" s="1342"/>
      <c r="E3593" s="744">
        <v>0.06</v>
      </c>
      <c r="F3593" s="742" t="s">
        <v>30</v>
      </c>
      <c r="G3593" s="739" t="e">
        <f>#REF!</f>
        <v>#REF!</v>
      </c>
      <c r="H3593" s="739" t="e">
        <f>INT(E3593*G3593)</f>
        <v>#REF!</v>
      </c>
      <c r="I3593" s="739"/>
      <c r="J3593" s="739"/>
      <c r="K3593" s="739"/>
      <c r="L3593" s="739"/>
      <c r="M3593" s="739" t="e">
        <f t="shared" si="820"/>
        <v>#REF!</v>
      </c>
      <c r="N3593" s="739" t="e">
        <f t="shared" si="820"/>
        <v>#REF!</v>
      </c>
      <c r="O3593" s="868"/>
      <c r="P3593" s="869"/>
      <c r="Q3593" s="870"/>
    </row>
    <row r="3594" spans="1:20" s="822" customFormat="1" ht="17.100000000000001" customHeight="1">
      <c r="A3594" s="1341" t="s">
        <v>860</v>
      </c>
      <c r="B3594" s="1342"/>
      <c r="C3594" s="1341" t="s">
        <v>861</v>
      </c>
      <c r="D3594" s="1342"/>
      <c r="E3594" s="744">
        <v>0.25</v>
      </c>
      <c r="F3594" s="742" t="s">
        <v>30</v>
      </c>
      <c r="G3594" s="739" t="e">
        <f>#REF!</f>
        <v>#REF!</v>
      </c>
      <c r="H3594" s="739" t="e">
        <f>INT(E3594*G3594)</f>
        <v>#REF!</v>
      </c>
      <c r="I3594" s="739"/>
      <c r="J3594" s="739"/>
      <c r="K3594" s="739"/>
      <c r="L3594" s="739"/>
      <c r="M3594" s="739" t="e">
        <f t="shared" si="820"/>
        <v>#REF!</v>
      </c>
      <c r="N3594" s="739" t="e">
        <f t="shared" si="820"/>
        <v>#REF!</v>
      </c>
      <c r="O3594" s="868"/>
      <c r="P3594" s="869"/>
      <c r="Q3594" s="870"/>
    </row>
    <row r="3595" spans="1:20" s="822" customFormat="1" ht="17.100000000000001" customHeight="1">
      <c r="A3595" s="1341" t="s">
        <v>863</v>
      </c>
      <c r="B3595" s="1342"/>
      <c r="C3595" s="1341"/>
      <c r="D3595" s="1342"/>
      <c r="E3595" s="741">
        <v>4.0000000000000001E-3</v>
      </c>
      <c r="F3595" s="742" t="s">
        <v>30</v>
      </c>
      <c r="G3595" s="739" t="e">
        <f>#REF!</f>
        <v>#REF!</v>
      </c>
      <c r="H3595" s="739" t="e">
        <f>INT(E3595*G3595)</f>
        <v>#REF!</v>
      </c>
      <c r="I3595" s="739"/>
      <c r="J3595" s="739"/>
      <c r="K3595" s="739"/>
      <c r="L3595" s="739"/>
      <c r="M3595" s="739" t="e">
        <f t="shared" si="820"/>
        <v>#REF!</v>
      </c>
      <c r="N3595" s="739" t="e">
        <f t="shared" si="820"/>
        <v>#REF!</v>
      </c>
      <c r="O3595" s="868"/>
      <c r="P3595" s="869"/>
      <c r="Q3595" s="870"/>
    </row>
    <row r="3596" spans="1:20" s="824" customFormat="1" ht="17.100000000000001" customHeight="1">
      <c r="A3596" s="1339" t="s">
        <v>525</v>
      </c>
      <c r="B3596" s="1340"/>
      <c r="C3596" s="1339" t="s">
        <v>2402</v>
      </c>
      <c r="D3596" s="1340"/>
      <c r="E3596" s="761">
        <v>7.0000000000000007E-2</v>
      </c>
      <c r="F3596" s="755" t="s">
        <v>366</v>
      </c>
      <c r="G3596" s="756"/>
      <c r="H3596" s="756"/>
      <c r="I3596" s="756">
        <f>[53]노임단가!$T$9</f>
        <v>281939</v>
      </c>
      <c r="J3596" s="756">
        <f>INT(E3596*I3596)</f>
        <v>19735</v>
      </c>
      <c r="K3596" s="756"/>
      <c r="L3596" s="756"/>
      <c r="M3596" s="756">
        <f t="shared" si="820"/>
        <v>281939</v>
      </c>
      <c r="N3596" s="756">
        <f t="shared" si="820"/>
        <v>19735</v>
      </c>
      <c r="O3596" s="872"/>
      <c r="P3596" s="873"/>
      <c r="Q3596" s="874"/>
    </row>
    <row r="3597" spans="1:20" s="824" customFormat="1" ht="17.100000000000001" customHeight="1">
      <c r="A3597" s="785" t="s">
        <v>2391</v>
      </c>
      <c r="B3597" s="780"/>
      <c r="C3597" s="1339" t="s">
        <v>2402</v>
      </c>
      <c r="D3597" s="1340"/>
      <c r="E3597" s="761">
        <v>0.02</v>
      </c>
      <c r="F3597" s="755" t="s">
        <v>2403</v>
      </c>
      <c r="G3597" s="756"/>
      <c r="H3597" s="756"/>
      <c r="I3597" s="756">
        <f>[53]노임단가!$T$5</f>
        <v>172068</v>
      </c>
      <c r="J3597" s="756">
        <f>INT(E3597*I3597)</f>
        <v>3441</v>
      </c>
      <c r="K3597" s="756"/>
      <c r="L3597" s="756"/>
      <c r="M3597" s="756">
        <f t="shared" si="820"/>
        <v>172068</v>
      </c>
      <c r="N3597" s="756">
        <f t="shared" si="820"/>
        <v>3441</v>
      </c>
      <c r="O3597" s="872"/>
      <c r="P3597" s="873"/>
      <c r="Q3597" s="874"/>
    </row>
    <row r="3598" spans="1:20" s="822" customFormat="1" ht="17.100000000000001" customHeight="1">
      <c r="A3598" s="1341" t="s">
        <v>1485</v>
      </c>
      <c r="B3598" s="1342"/>
      <c r="C3598" s="1341" t="s">
        <v>1764</v>
      </c>
      <c r="D3598" s="1342"/>
      <c r="E3598" s="744">
        <v>0.02</v>
      </c>
      <c r="F3598" s="742" t="s">
        <v>672</v>
      </c>
      <c r="G3598" s="739">
        <f>J3596+J3597</f>
        <v>23176</v>
      </c>
      <c r="H3598" s="739">
        <f>INT(E3598*G3598)</f>
        <v>463</v>
      </c>
      <c r="I3598" s="739"/>
      <c r="J3598" s="739"/>
      <c r="K3598" s="879"/>
      <c r="L3598" s="879"/>
      <c r="M3598" s="739">
        <f t="shared" si="820"/>
        <v>23176</v>
      </c>
      <c r="N3598" s="739">
        <f t="shared" si="820"/>
        <v>463</v>
      </c>
      <c r="O3598" s="868"/>
      <c r="P3598" s="869"/>
      <c r="Q3598" s="870"/>
    </row>
    <row r="3599" spans="1:20" s="822" customFormat="1" ht="17.100000000000001" customHeight="1">
      <c r="A3599" s="1343" t="s">
        <v>1320</v>
      </c>
      <c r="B3599" s="1344"/>
      <c r="C3599" s="1341"/>
      <c r="D3599" s="1342"/>
      <c r="E3599" s="745"/>
      <c r="F3599" s="742"/>
      <c r="G3599" s="739"/>
      <c r="H3599" s="739" t="e">
        <f>SUM(H3592:H3598)</f>
        <v>#REF!</v>
      </c>
      <c r="I3599" s="739"/>
      <c r="J3599" s="739">
        <f>SUM(J3592:J3598)</f>
        <v>23176</v>
      </c>
      <c r="K3599" s="739"/>
      <c r="L3599" s="739">
        <f>SUM(L3592:L3598)</f>
        <v>0</v>
      </c>
      <c r="M3599" s="739"/>
      <c r="N3599" s="739" t="e">
        <f>SUM(N3592:N3598)</f>
        <v>#REF!</v>
      </c>
      <c r="O3599" s="868"/>
      <c r="P3599" s="869"/>
      <c r="Q3599" s="870"/>
    </row>
    <row r="3600" spans="1:20" s="688" customFormat="1" ht="17.100000000000001" customHeight="1">
      <c r="A3600" s="737">
        <f>A3591+1</f>
        <v>479</v>
      </c>
      <c r="B3600" s="1345" t="s">
        <v>2399</v>
      </c>
      <c r="C3600" s="1345"/>
      <c r="D3600" s="1345" t="s">
        <v>2404</v>
      </c>
      <c r="E3600" s="1345"/>
      <c r="F3600" s="738" t="s">
        <v>645</v>
      </c>
      <c r="G3600" s="771"/>
      <c r="H3600" s="771"/>
      <c r="I3600" s="771"/>
      <c r="J3600" s="771"/>
      <c r="K3600" s="739"/>
      <c r="L3600" s="739"/>
      <c r="M3600" s="739"/>
      <c r="N3600" s="771"/>
      <c r="O3600" s="868"/>
      <c r="P3600" s="869" t="s">
        <v>2385</v>
      </c>
      <c r="Q3600" s="828"/>
    </row>
    <row r="3601" spans="1:17" s="688" customFormat="1" ht="17.100000000000001" customHeight="1">
      <c r="A3601" s="1341" t="s">
        <v>2401</v>
      </c>
      <c r="B3601" s="1342"/>
      <c r="C3601" s="1341" t="s">
        <v>855</v>
      </c>
      <c r="D3601" s="1342"/>
      <c r="E3601" s="741">
        <v>0.39900000000000002</v>
      </c>
      <c r="F3601" s="742" t="s">
        <v>272</v>
      </c>
      <c r="G3601" s="739" t="e">
        <f>#REF!</f>
        <v>#REF!</v>
      </c>
      <c r="H3601" s="739" t="e">
        <f>INT(E3601*G3601)</f>
        <v>#REF!</v>
      </c>
      <c r="I3601" s="739"/>
      <c r="J3601" s="739"/>
      <c r="K3601" s="739"/>
      <c r="L3601" s="739"/>
      <c r="M3601" s="739" t="e">
        <f t="shared" ref="M3601:N3607" si="821">G3601+I3601+K3601</f>
        <v>#REF!</v>
      </c>
      <c r="N3601" s="739" t="e">
        <f t="shared" si="821"/>
        <v>#REF!</v>
      </c>
      <c r="O3601" s="868"/>
      <c r="P3601" s="808"/>
      <c r="Q3601" s="828"/>
    </row>
    <row r="3602" spans="1:17" s="688" customFormat="1" ht="17.100000000000001" customHeight="1">
      <c r="A3602" s="1341" t="s">
        <v>857</v>
      </c>
      <c r="B3602" s="1342"/>
      <c r="C3602" s="1341" t="s">
        <v>858</v>
      </c>
      <c r="D3602" s="1342"/>
      <c r="E3602" s="880">
        <v>0.1</v>
      </c>
      <c r="F3602" s="742" t="s">
        <v>30</v>
      </c>
      <c r="G3602" s="739" t="e">
        <f>#REF!</f>
        <v>#REF!</v>
      </c>
      <c r="H3602" s="739" t="e">
        <f>INT(E3602*G3602)</f>
        <v>#REF!</v>
      </c>
      <c r="I3602" s="739"/>
      <c r="J3602" s="739"/>
      <c r="K3602" s="739"/>
      <c r="L3602" s="739"/>
      <c r="M3602" s="739" t="e">
        <f t="shared" si="821"/>
        <v>#REF!</v>
      </c>
      <c r="N3602" s="739" t="e">
        <f t="shared" si="821"/>
        <v>#REF!</v>
      </c>
      <c r="O3602" s="868"/>
      <c r="P3602" s="808"/>
      <c r="Q3602" s="828"/>
    </row>
    <row r="3603" spans="1:17" s="688" customFormat="1" ht="17.100000000000001" customHeight="1">
      <c r="A3603" s="1341" t="s">
        <v>860</v>
      </c>
      <c r="B3603" s="1342"/>
      <c r="C3603" s="1341" t="s">
        <v>861</v>
      </c>
      <c r="D3603" s="1342"/>
      <c r="E3603" s="741">
        <v>0.41599999999999998</v>
      </c>
      <c r="F3603" s="742" t="s">
        <v>30</v>
      </c>
      <c r="G3603" s="739" t="e">
        <f>#REF!</f>
        <v>#REF!</v>
      </c>
      <c r="H3603" s="739" t="e">
        <f>INT(E3603*G3603)</f>
        <v>#REF!</v>
      </c>
      <c r="I3603" s="739"/>
      <c r="J3603" s="739"/>
      <c r="K3603" s="739"/>
      <c r="L3603" s="739"/>
      <c r="M3603" s="739" t="e">
        <f t="shared" si="821"/>
        <v>#REF!</v>
      </c>
      <c r="N3603" s="739" t="e">
        <f t="shared" si="821"/>
        <v>#REF!</v>
      </c>
      <c r="O3603" s="868"/>
      <c r="P3603" s="808"/>
      <c r="Q3603" s="828"/>
    </row>
    <row r="3604" spans="1:17" s="688" customFormat="1" ht="17.100000000000001" customHeight="1">
      <c r="A3604" s="1341" t="s">
        <v>863</v>
      </c>
      <c r="B3604" s="1342"/>
      <c r="C3604" s="1341"/>
      <c r="D3604" s="1342"/>
      <c r="E3604" s="741">
        <v>6.0000000000000001E-3</v>
      </c>
      <c r="F3604" s="742" t="s">
        <v>30</v>
      </c>
      <c r="G3604" s="739" t="e">
        <f>#REF!</f>
        <v>#REF!</v>
      </c>
      <c r="H3604" s="739" t="e">
        <f>INT(E3604*G3604)</f>
        <v>#REF!</v>
      </c>
      <c r="I3604" s="739"/>
      <c r="J3604" s="739"/>
      <c r="K3604" s="739"/>
      <c r="L3604" s="739"/>
      <c r="M3604" s="739" t="e">
        <f t="shared" si="821"/>
        <v>#REF!</v>
      </c>
      <c r="N3604" s="739" t="e">
        <f t="shared" si="821"/>
        <v>#REF!</v>
      </c>
      <c r="O3604" s="868"/>
      <c r="P3604" s="808"/>
      <c r="Q3604" s="828"/>
    </row>
    <row r="3605" spans="1:17" s="688" customFormat="1" ht="17.100000000000001" customHeight="1">
      <c r="A3605" s="1339" t="s">
        <v>525</v>
      </c>
      <c r="B3605" s="1340"/>
      <c r="C3605" s="1339" t="s">
        <v>2402</v>
      </c>
      <c r="D3605" s="1340"/>
      <c r="E3605" s="761">
        <v>7.0000000000000007E-2</v>
      </c>
      <c r="F3605" s="755" t="s">
        <v>366</v>
      </c>
      <c r="G3605" s="756"/>
      <c r="H3605" s="756"/>
      <c r="I3605" s="756">
        <f>[53]노임단가!$T$9</f>
        <v>281939</v>
      </c>
      <c r="J3605" s="756">
        <f>INT(E3605*I3605)</f>
        <v>19735</v>
      </c>
      <c r="K3605" s="756"/>
      <c r="L3605" s="756"/>
      <c r="M3605" s="756">
        <f t="shared" si="821"/>
        <v>281939</v>
      </c>
      <c r="N3605" s="756">
        <f t="shared" si="821"/>
        <v>19735</v>
      </c>
      <c r="O3605" s="872"/>
      <c r="P3605" s="808"/>
      <c r="Q3605" s="828"/>
    </row>
    <row r="3606" spans="1:17" s="688" customFormat="1" ht="17.100000000000001" customHeight="1">
      <c r="A3606" s="785" t="s">
        <v>2391</v>
      </c>
      <c r="B3606" s="780"/>
      <c r="C3606" s="1339" t="s">
        <v>2402</v>
      </c>
      <c r="D3606" s="1340"/>
      <c r="E3606" s="761">
        <v>0.02</v>
      </c>
      <c r="F3606" s="755" t="s">
        <v>2403</v>
      </c>
      <c r="G3606" s="756"/>
      <c r="H3606" s="756"/>
      <c r="I3606" s="756">
        <f>[53]노임단가!$T$5</f>
        <v>172068</v>
      </c>
      <c r="J3606" s="756">
        <f>INT(E3606*I3606)</f>
        <v>3441</v>
      </c>
      <c r="K3606" s="756"/>
      <c r="L3606" s="756"/>
      <c r="M3606" s="756">
        <f t="shared" si="821"/>
        <v>172068</v>
      </c>
      <c r="N3606" s="756">
        <f t="shared" si="821"/>
        <v>3441</v>
      </c>
      <c r="O3606" s="872"/>
      <c r="P3606" s="808"/>
      <c r="Q3606" s="828"/>
    </row>
    <row r="3607" spans="1:17" s="688" customFormat="1" ht="17.100000000000001" customHeight="1">
      <c r="A3607" s="1341" t="s">
        <v>1485</v>
      </c>
      <c r="B3607" s="1342"/>
      <c r="C3607" s="1341" t="s">
        <v>1764</v>
      </c>
      <c r="D3607" s="1342"/>
      <c r="E3607" s="744">
        <v>0.02</v>
      </c>
      <c r="F3607" s="742" t="s">
        <v>672</v>
      </c>
      <c r="G3607" s="739">
        <f>J3605+J3606</f>
        <v>23176</v>
      </c>
      <c r="H3607" s="739">
        <f>INT(E3607*G3607)</f>
        <v>463</v>
      </c>
      <c r="I3607" s="739"/>
      <c r="J3607" s="739"/>
      <c r="K3607" s="879"/>
      <c r="L3607" s="879"/>
      <c r="M3607" s="739">
        <f t="shared" si="821"/>
        <v>23176</v>
      </c>
      <c r="N3607" s="739">
        <f t="shared" si="821"/>
        <v>463</v>
      </c>
      <c r="O3607" s="868"/>
      <c r="P3607" s="808"/>
      <c r="Q3607" s="828"/>
    </row>
    <row r="3608" spans="1:17" s="688" customFormat="1" ht="17.100000000000001" customHeight="1">
      <c r="A3608" s="1318" t="s">
        <v>1320</v>
      </c>
      <c r="B3608" s="1319"/>
      <c r="C3608" s="1316"/>
      <c r="D3608" s="1317"/>
      <c r="E3608" s="686"/>
      <c r="F3608" s="676"/>
      <c r="G3608" s="670"/>
      <c r="H3608" s="670" t="e">
        <f>SUM(H3601:H3607)</f>
        <v>#REF!</v>
      </c>
      <c r="I3608" s="670"/>
      <c r="J3608" s="670">
        <f>SUM(J3601:J3607)</f>
        <v>23176</v>
      </c>
      <c r="K3608" s="670"/>
      <c r="L3608" s="670">
        <f>SUM(L3601:L3607)</f>
        <v>0</v>
      </c>
      <c r="M3608" s="670"/>
      <c r="N3608" s="670" t="e">
        <f>SUM(N3601:N3607)</f>
        <v>#REF!</v>
      </c>
      <c r="O3608" s="876"/>
      <c r="P3608" s="808"/>
      <c r="Q3608" s="828"/>
    </row>
    <row r="3609" spans="1:17" s="688" customFormat="1" ht="17.100000000000001" customHeight="1">
      <c r="A3609" s="668">
        <f>A3600+1</f>
        <v>480</v>
      </c>
      <c r="B3609" s="1320" t="s">
        <v>2405</v>
      </c>
      <c r="C3609" s="1320"/>
      <c r="D3609" s="1320" t="s">
        <v>2406</v>
      </c>
      <c r="E3609" s="1320"/>
      <c r="F3609" s="669" t="s">
        <v>645</v>
      </c>
      <c r="G3609" s="698"/>
      <c r="H3609" s="698"/>
      <c r="I3609" s="698"/>
      <c r="J3609" s="698"/>
      <c r="K3609" s="670"/>
      <c r="L3609" s="670"/>
      <c r="M3609" s="670"/>
      <c r="N3609" s="698"/>
      <c r="O3609" s="671"/>
      <c r="P3609" s="808"/>
      <c r="Q3609" s="828"/>
    </row>
    <row r="3610" spans="1:17" s="688" customFormat="1" ht="17.100000000000001" customHeight="1">
      <c r="A3610" s="1316" t="s">
        <v>2407</v>
      </c>
      <c r="B3610" s="1317"/>
      <c r="C3610" s="1316" t="s">
        <v>901</v>
      </c>
      <c r="D3610" s="1317"/>
      <c r="E3610" s="675">
        <v>1.05</v>
      </c>
      <c r="F3610" s="676" t="s">
        <v>645</v>
      </c>
      <c r="G3610" s="670" t="e">
        <f>#REF!</f>
        <v>#REF!</v>
      </c>
      <c r="H3610" s="670" t="e">
        <f>INT(E3610*G3610)</f>
        <v>#REF!</v>
      </c>
      <c r="I3610" s="670"/>
      <c r="J3610" s="670"/>
      <c r="K3610" s="670"/>
      <c r="L3610" s="670"/>
      <c r="M3610" s="670" t="e">
        <f>G3610+I3610+K3610</f>
        <v>#REF!</v>
      </c>
      <c r="N3610" s="670" t="e">
        <f>H3610+J3610+L3610</f>
        <v>#REF!</v>
      </c>
      <c r="O3610" s="671"/>
      <c r="P3610" s="808"/>
      <c r="Q3610" s="828"/>
    </row>
    <row r="3611" spans="1:17" s="688" customFormat="1" ht="17.100000000000001" customHeight="1">
      <c r="A3611" s="1316" t="s">
        <v>525</v>
      </c>
      <c r="B3611" s="1317"/>
      <c r="C3611" s="1316"/>
      <c r="D3611" s="1317"/>
      <c r="E3611" s="675">
        <v>0.02</v>
      </c>
      <c r="F3611" s="676" t="s">
        <v>366</v>
      </c>
      <c r="G3611" s="670"/>
      <c r="H3611" s="670"/>
      <c r="I3611" s="670">
        <f>[53]노임단가!$T$9</f>
        <v>281939</v>
      </c>
      <c r="J3611" s="670">
        <f>INT(E3611*I3611)</f>
        <v>5638</v>
      </c>
      <c r="K3611" s="670"/>
      <c r="L3611" s="670"/>
      <c r="M3611" s="670">
        <f>G3611+I3611+K3611</f>
        <v>281939</v>
      </c>
      <c r="N3611" s="670">
        <f>H3611+J3611+L3611</f>
        <v>5638</v>
      </c>
      <c r="O3611" s="671"/>
      <c r="P3611" s="808"/>
      <c r="Q3611" s="828"/>
    </row>
    <row r="3612" spans="1:17" s="688" customFormat="1" ht="17.100000000000001" customHeight="1">
      <c r="A3612" s="1318" t="s">
        <v>1320</v>
      </c>
      <c r="B3612" s="1319"/>
      <c r="C3612" s="1316"/>
      <c r="D3612" s="1317"/>
      <c r="E3612" s="686"/>
      <c r="F3612" s="676"/>
      <c r="G3612" s="670"/>
      <c r="H3612" s="670" t="e">
        <f>SUM(H3610:H3611)</f>
        <v>#REF!</v>
      </c>
      <c r="I3612" s="670"/>
      <c r="J3612" s="670">
        <f>SUM(J3610:J3611)</f>
        <v>5638</v>
      </c>
      <c r="K3612" s="670"/>
      <c r="L3612" s="670"/>
      <c r="M3612" s="670"/>
      <c r="N3612" s="670" t="e">
        <f>SUM(N3610:N3611)</f>
        <v>#REF!</v>
      </c>
      <c r="O3612" s="671"/>
      <c r="P3612" s="808"/>
      <c r="Q3612" s="828"/>
    </row>
    <row r="3613" spans="1:17" s="688" customFormat="1" ht="17.100000000000001" customHeight="1">
      <c r="A3613" s="668">
        <f>A3609+1</f>
        <v>481</v>
      </c>
      <c r="B3613" s="1320" t="s">
        <v>2408</v>
      </c>
      <c r="C3613" s="1320"/>
      <c r="D3613" s="1320" t="s">
        <v>2409</v>
      </c>
      <c r="E3613" s="1320"/>
      <c r="F3613" s="669" t="s">
        <v>915</v>
      </c>
      <c r="G3613" s="698"/>
      <c r="H3613" s="698"/>
      <c r="I3613" s="698"/>
      <c r="J3613" s="698"/>
      <c r="K3613" s="670"/>
      <c r="L3613" s="670"/>
      <c r="M3613" s="670"/>
      <c r="N3613" s="698"/>
      <c r="O3613" s="876"/>
      <c r="P3613" s="808"/>
      <c r="Q3613" s="881" t="s">
        <v>2410</v>
      </c>
    </row>
    <row r="3614" spans="1:17" s="688" customFormat="1" ht="17.100000000000001" customHeight="1">
      <c r="A3614" s="1316" t="s">
        <v>2411</v>
      </c>
      <c r="B3614" s="1317"/>
      <c r="C3614" s="1316"/>
      <c r="D3614" s="1317"/>
      <c r="E3614" s="675">
        <v>2.85</v>
      </c>
      <c r="F3614" s="676" t="s">
        <v>366</v>
      </c>
      <c r="G3614" s="670"/>
      <c r="H3614" s="670"/>
      <c r="I3614" s="670">
        <f>[53]노임단가!$T$12</f>
        <v>239808</v>
      </c>
      <c r="J3614" s="670">
        <f>INT(E3614*I3614)</f>
        <v>683452</v>
      </c>
      <c r="K3614" s="670"/>
      <c r="L3614" s="670"/>
      <c r="M3614" s="670">
        <f t="shared" ref="M3614:N3619" si="822">G3614+I3614+K3614</f>
        <v>239808</v>
      </c>
      <c r="N3614" s="670">
        <f t="shared" si="822"/>
        <v>683452</v>
      </c>
      <c r="O3614" s="876"/>
      <c r="P3614" s="808"/>
      <c r="Q3614" s="828"/>
    </row>
    <row r="3615" spans="1:17" s="688" customFormat="1" ht="17.100000000000001" customHeight="1">
      <c r="A3615" s="1316" t="s">
        <v>1482</v>
      </c>
      <c r="B3615" s="1317"/>
      <c r="C3615" s="1316"/>
      <c r="D3615" s="1317"/>
      <c r="E3615" s="675">
        <v>1.04</v>
      </c>
      <c r="F3615" s="676" t="s">
        <v>366</v>
      </c>
      <c r="G3615" s="670"/>
      <c r="H3615" s="670"/>
      <c r="I3615" s="670">
        <f>[53]노임단가!$T$15</f>
        <v>282536</v>
      </c>
      <c r="J3615" s="670">
        <f>INT(E3615*I3615)</f>
        <v>293837</v>
      </c>
      <c r="K3615" s="670"/>
      <c r="L3615" s="670"/>
      <c r="M3615" s="670">
        <f t="shared" si="822"/>
        <v>282536</v>
      </c>
      <c r="N3615" s="670">
        <f t="shared" si="822"/>
        <v>293837</v>
      </c>
      <c r="O3615" s="876"/>
      <c r="P3615" s="808"/>
      <c r="Q3615" s="828"/>
    </row>
    <row r="3616" spans="1:17" s="688" customFormat="1" ht="17.100000000000001" customHeight="1">
      <c r="A3616" s="1316" t="s">
        <v>628</v>
      </c>
      <c r="B3616" s="1317"/>
      <c r="C3616" s="1316"/>
      <c r="D3616" s="1317"/>
      <c r="E3616" s="675">
        <v>0.78</v>
      </c>
      <c r="F3616" s="676" t="s">
        <v>366</v>
      </c>
      <c r="G3616" s="670"/>
      <c r="H3616" s="670"/>
      <c r="I3616" s="670">
        <f>[53]노임단가!$T$6</f>
        <v>226122</v>
      </c>
      <c r="J3616" s="670">
        <f>INT(E3616*I3616)</f>
        <v>176375</v>
      </c>
      <c r="K3616" s="670"/>
      <c r="L3616" s="670"/>
      <c r="M3616" s="670">
        <f t="shared" si="822"/>
        <v>226122</v>
      </c>
      <c r="N3616" s="670">
        <f t="shared" si="822"/>
        <v>176375</v>
      </c>
      <c r="O3616" s="876"/>
      <c r="P3616" s="808"/>
      <c r="Q3616" s="828"/>
    </row>
    <row r="3617" spans="1:17" s="688" customFormat="1" ht="17.100000000000001" customHeight="1">
      <c r="A3617" s="1316" t="s">
        <v>248</v>
      </c>
      <c r="B3617" s="1317"/>
      <c r="C3617" s="1316"/>
      <c r="D3617" s="1317"/>
      <c r="E3617" s="675">
        <v>0.52</v>
      </c>
      <c r="F3617" s="676" t="s">
        <v>366</v>
      </c>
      <c r="G3617" s="670"/>
      <c r="H3617" s="670"/>
      <c r="I3617" s="670">
        <f>[53]노임단가!$T$5</f>
        <v>172068</v>
      </c>
      <c r="J3617" s="670">
        <f>INT(E3617*I3617)</f>
        <v>89475</v>
      </c>
      <c r="K3617" s="670"/>
      <c r="L3617" s="670"/>
      <c r="M3617" s="670">
        <f t="shared" si="822"/>
        <v>172068</v>
      </c>
      <c r="N3617" s="670">
        <f t="shared" si="822"/>
        <v>89475</v>
      </c>
      <c r="O3617" s="876"/>
      <c r="P3617" s="808"/>
      <c r="Q3617" s="828"/>
    </row>
    <row r="3618" spans="1:17" s="688" customFormat="1" ht="17.100000000000001" customHeight="1">
      <c r="A3618" s="1316" t="s">
        <v>2412</v>
      </c>
      <c r="B3618" s="1317"/>
      <c r="C3618" s="1316" t="s">
        <v>1469</v>
      </c>
      <c r="D3618" s="1317"/>
      <c r="E3618" s="675">
        <v>0.05</v>
      </c>
      <c r="F3618" s="676" t="s">
        <v>672</v>
      </c>
      <c r="G3618" s="670"/>
      <c r="H3618" s="670"/>
      <c r="I3618" s="670"/>
      <c r="J3618" s="670"/>
      <c r="K3618" s="670">
        <f>SUM(J3614:J3617)</f>
        <v>1243139</v>
      </c>
      <c r="L3618" s="670">
        <f>INT(E3618*K3618)</f>
        <v>62156</v>
      </c>
      <c r="M3618" s="670">
        <f t="shared" si="822"/>
        <v>1243139</v>
      </c>
      <c r="N3618" s="670">
        <f t="shared" si="822"/>
        <v>62156</v>
      </c>
      <c r="O3618" s="876"/>
      <c r="P3618" s="808"/>
      <c r="Q3618" s="828"/>
    </row>
    <row r="3619" spans="1:17" s="688" customFormat="1" ht="17.100000000000001" customHeight="1">
      <c r="A3619" s="1316" t="s">
        <v>2413</v>
      </c>
      <c r="B3619" s="1317"/>
      <c r="C3619" s="1316" t="s">
        <v>1451</v>
      </c>
      <c r="D3619" s="1317"/>
      <c r="E3619" s="703">
        <v>0.03</v>
      </c>
      <c r="F3619" s="676" t="s">
        <v>672</v>
      </c>
      <c r="G3619" s="670">
        <f>SUM(J3614:J3617)</f>
        <v>1243139</v>
      </c>
      <c r="H3619" s="670">
        <f>INT(E3619*G3619)</f>
        <v>37294</v>
      </c>
      <c r="I3619" s="670"/>
      <c r="J3619" s="670"/>
      <c r="K3619" s="670" t="e">
        <f>#REF!</f>
        <v>#REF!</v>
      </c>
      <c r="L3619" s="670" t="e">
        <f>INT(E3619*K3619)</f>
        <v>#REF!</v>
      </c>
      <c r="M3619" s="670" t="e">
        <f t="shared" si="822"/>
        <v>#REF!</v>
      </c>
      <c r="N3619" s="670" t="e">
        <f t="shared" si="822"/>
        <v>#REF!</v>
      </c>
      <c r="O3619" s="876"/>
      <c r="P3619" s="808"/>
      <c r="Q3619" s="828"/>
    </row>
    <row r="3620" spans="1:17" s="688" customFormat="1" ht="17.100000000000001" customHeight="1">
      <c r="A3620" s="1318" t="s">
        <v>1320</v>
      </c>
      <c r="B3620" s="1319"/>
      <c r="C3620" s="1316"/>
      <c r="D3620" s="1317"/>
      <c r="E3620" s="686"/>
      <c r="F3620" s="676"/>
      <c r="G3620" s="670"/>
      <c r="H3620" s="670">
        <f>SUM(H3614:H3619)</f>
        <v>37294</v>
      </c>
      <c r="I3620" s="670"/>
      <c r="J3620" s="670">
        <f>SUM(J3614:J3619)</f>
        <v>1243139</v>
      </c>
      <c r="K3620" s="670"/>
      <c r="L3620" s="670" t="e">
        <f>SUM(L3614:L3619)</f>
        <v>#REF!</v>
      </c>
      <c r="M3620" s="670"/>
      <c r="N3620" s="670" t="e">
        <f>SUM(N3614:N3619)</f>
        <v>#REF!</v>
      </c>
      <c r="O3620" s="876"/>
      <c r="P3620" s="808"/>
      <c r="Q3620" s="828"/>
    </row>
    <row r="3621" spans="1:17" s="688" customFormat="1" ht="17.100000000000001" customHeight="1">
      <c r="A3621" s="668">
        <f>A3613+1</f>
        <v>482</v>
      </c>
      <c r="B3621" s="1320" t="s">
        <v>2408</v>
      </c>
      <c r="C3621" s="1320"/>
      <c r="D3621" s="1320" t="s">
        <v>2414</v>
      </c>
      <c r="E3621" s="1320"/>
      <c r="F3621" s="669" t="s">
        <v>915</v>
      </c>
      <c r="G3621" s="698"/>
      <c r="H3621" s="698"/>
      <c r="I3621" s="698"/>
      <c r="J3621" s="698"/>
      <c r="K3621" s="670"/>
      <c r="L3621" s="670"/>
      <c r="M3621" s="670"/>
      <c r="N3621" s="698"/>
      <c r="O3621" s="876"/>
      <c r="P3621" s="808"/>
      <c r="Q3621" s="828"/>
    </row>
    <row r="3622" spans="1:17" s="688" customFormat="1" ht="17.100000000000001" customHeight="1">
      <c r="A3622" s="1316" t="s">
        <v>2411</v>
      </c>
      <c r="B3622" s="1317"/>
      <c r="C3622" s="1316"/>
      <c r="D3622" s="1317"/>
      <c r="E3622" s="679">
        <v>3.71</v>
      </c>
      <c r="F3622" s="676" t="s">
        <v>366</v>
      </c>
      <c r="G3622" s="670"/>
      <c r="H3622" s="670"/>
      <c r="I3622" s="670">
        <f>[53]노임단가!$T$12</f>
        <v>239808</v>
      </c>
      <c r="J3622" s="670">
        <f>INT(E3622*I3622)</f>
        <v>889687</v>
      </c>
      <c r="K3622" s="670"/>
      <c r="L3622" s="670"/>
      <c r="M3622" s="670">
        <f t="shared" ref="M3622:N3627" si="823">G3622+I3622+K3622</f>
        <v>239808</v>
      </c>
      <c r="N3622" s="670">
        <f t="shared" si="823"/>
        <v>889687</v>
      </c>
      <c r="O3622" s="876"/>
      <c r="P3622" s="808"/>
      <c r="Q3622" s="828"/>
    </row>
    <row r="3623" spans="1:17" s="688" customFormat="1" ht="17.100000000000001" customHeight="1">
      <c r="A3623" s="1316" t="s">
        <v>1482</v>
      </c>
      <c r="B3623" s="1317"/>
      <c r="C3623" s="1316"/>
      <c r="D3623" s="1317"/>
      <c r="E3623" s="675">
        <v>1.35</v>
      </c>
      <c r="F3623" s="676" t="s">
        <v>366</v>
      </c>
      <c r="G3623" s="670"/>
      <c r="H3623" s="670"/>
      <c r="I3623" s="670">
        <f>[53]노임단가!$T$15</f>
        <v>282536</v>
      </c>
      <c r="J3623" s="670">
        <f>INT(E3623*I3623)</f>
        <v>381423</v>
      </c>
      <c r="K3623" s="670"/>
      <c r="L3623" s="670"/>
      <c r="M3623" s="670">
        <f t="shared" si="823"/>
        <v>282536</v>
      </c>
      <c r="N3623" s="670">
        <f t="shared" si="823"/>
        <v>381423</v>
      </c>
      <c r="O3623" s="876"/>
      <c r="P3623" s="808"/>
      <c r="Q3623" s="828"/>
    </row>
    <row r="3624" spans="1:17" s="688" customFormat="1" ht="17.100000000000001" customHeight="1">
      <c r="A3624" s="1316" t="s">
        <v>628</v>
      </c>
      <c r="B3624" s="1317"/>
      <c r="C3624" s="1316"/>
      <c r="D3624" s="1317"/>
      <c r="E3624" s="675">
        <v>1.01</v>
      </c>
      <c r="F3624" s="676" t="s">
        <v>366</v>
      </c>
      <c r="G3624" s="670"/>
      <c r="H3624" s="670"/>
      <c r="I3624" s="670">
        <f>[53]노임단가!$T$6</f>
        <v>226122</v>
      </c>
      <c r="J3624" s="670">
        <f>INT(E3624*I3624)</f>
        <v>228383</v>
      </c>
      <c r="K3624" s="670"/>
      <c r="L3624" s="670"/>
      <c r="M3624" s="670">
        <f t="shared" si="823"/>
        <v>226122</v>
      </c>
      <c r="N3624" s="670">
        <f t="shared" si="823"/>
        <v>228383</v>
      </c>
      <c r="O3624" s="876"/>
      <c r="P3624" s="808"/>
      <c r="Q3624" s="828"/>
    </row>
    <row r="3625" spans="1:17" s="688" customFormat="1" ht="17.100000000000001" customHeight="1">
      <c r="A3625" s="1316" t="s">
        <v>248</v>
      </c>
      <c r="B3625" s="1317"/>
      <c r="C3625" s="1316"/>
      <c r="D3625" s="1317"/>
      <c r="E3625" s="675">
        <v>0.68</v>
      </c>
      <c r="F3625" s="676" t="s">
        <v>366</v>
      </c>
      <c r="G3625" s="670"/>
      <c r="H3625" s="670"/>
      <c r="I3625" s="670">
        <f>[53]노임단가!$T$5</f>
        <v>172068</v>
      </c>
      <c r="J3625" s="670">
        <f>INT(E3625*I3625)</f>
        <v>117006</v>
      </c>
      <c r="K3625" s="670"/>
      <c r="L3625" s="670"/>
      <c r="M3625" s="670">
        <f t="shared" si="823"/>
        <v>172068</v>
      </c>
      <c r="N3625" s="670">
        <f t="shared" si="823"/>
        <v>117006</v>
      </c>
      <c r="O3625" s="876"/>
      <c r="P3625" s="808"/>
      <c r="Q3625" s="828"/>
    </row>
    <row r="3626" spans="1:17" s="688" customFormat="1" ht="17.100000000000001" customHeight="1">
      <c r="A3626" s="1316" t="s">
        <v>2412</v>
      </c>
      <c r="B3626" s="1317"/>
      <c r="C3626" s="1316" t="s">
        <v>2415</v>
      </c>
      <c r="D3626" s="1317"/>
      <c r="E3626" s="675">
        <v>0.04</v>
      </c>
      <c r="F3626" s="676" t="s">
        <v>672</v>
      </c>
      <c r="G3626" s="670"/>
      <c r="H3626" s="670"/>
      <c r="I3626" s="670"/>
      <c r="J3626" s="670"/>
      <c r="K3626" s="670">
        <f>SUM(J3622:J3625)</f>
        <v>1616499</v>
      </c>
      <c r="L3626" s="670">
        <f>INT(E3626*K3626)</f>
        <v>64659</v>
      </c>
      <c r="M3626" s="670">
        <f t="shared" si="823"/>
        <v>1616499</v>
      </c>
      <c r="N3626" s="670">
        <f t="shared" si="823"/>
        <v>64659</v>
      </c>
      <c r="O3626" s="876"/>
      <c r="P3626" s="808"/>
      <c r="Q3626" s="828"/>
    </row>
    <row r="3627" spans="1:17" s="688" customFormat="1" ht="17.100000000000001" customHeight="1">
      <c r="A3627" s="1316" t="s">
        <v>2413</v>
      </c>
      <c r="B3627" s="1317"/>
      <c r="C3627" s="1316" t="s">
        <v>1764</v>
      </c>
      <c r="D3627" s="1317"/>
      <c r="E3627" s="703">
        <v>0.02</v>
      </c>
      <c r="F3627" s="676" t="s">
        <v>672</v>
      </c>
      <c r="G3627" s="670">
        <f>SUM(J3622:J3625)</f>
        <v>1616499</v>
      </c>
      <c r="H3627" s="670">
        <f>INT(E3627*G3627)</f>
        <v>32329</v>
      </c>
      <c r="I3627" s="670"/>
      <c r="J3627" s="670"/>
      <c r="K3627" s="670" t="e">
        <f>#REF!</f>
        <v>#REF!</v>
      </c>
      <c r="L3627" s="670" t="e">
        <f>INT(E3627*K3627)</f>
        <v>#REF!</v>
      </c>
      <c r="M3627" s="670" t="e">
        <f t="shared" si="823"/>
        <v>#REF!</v>
      </c>
      <c r="N3627" s="670" t="e">
        <f t="shared" si="823"/>
        <v>#REF!</v>
      </c>
      <c r="O3627" s="876"/>
      <c r="P3627" s="808"/>
      <c r="Q3627" s="828"/>
    </row>
    <row r="3628" spans="1:17" s="688" customFormat="1" ht="17.100000000000001" customHeight="1">
      <c r="A3628" s="1318" t="s">
        <v>1320</v>
      </c>
      <c r="B3628" s="1319"/>
      <c r="C3628" s="1316"/>
      <c r="D3628" s="1317"/>
      <c r="E3628" s="686"/>
      <c r="F3628" s="676"/>
      <c r="G3628" s="670"/>
      <c r="H3628" s="670">
        <f>SUM(H3622:H3627)</f>
        <v>32329</v>
      </c>
      <c r="I3628" s="670"/>
      <c r="J3628" s="670">
        <f>SUM(J3622:J3627)</f>
        <v>1616499</v>
      </c>
      <c r="K3628" s="670"/>
      <c r="L3628" s="670" t="e">
        <f>SUM(L3622:L3627)</f>
        <v>#REF!</v>
      </c>
      <c r="M3628" s="670"/>
      <c r="N3628" s="670" t="e">
        <f>SUM(N3622:N3627)</f>
        <v>#REF!</v>
      </c>
      <c r="O3628" s="876"/>
      <c r="P3628" s="808"/>
      <c r="Q3628" s="828"/>
    </row>
    <row r="3629" spans="1:17" s="688" customFormat="1" ht="17.100000000000001" customHeight="1">
      <c r="A3629" s="668">
        <f>A3621+1</f>
        <v>483</v>
      </c>
      <c r="B3629" s="1320" t="s">
        <v>2408</v>
      </c>
      <c r="C3629" s="1320"/>
      <c r="D3629" s="1320" t="s">
        <v>2416</v>
      </c>
      <c r="E3629" s="1320"/>
      <c r="F3629" s="669" t="s">
        <v>915</v>
      </c>
      <c r="G3629" s="698"/>
      <c r="H3629" s="698"/>
      <c r="I3629" s="698"/>
      <c r="J3629" s="698"/>
      <c r="K3629" s="670"/>
      <c r="L3629" s="670"/>
      <c r="M3629" s="670"/>
      <c r="N3629" s="698"/>
      <c r="O3629" s="876"/>
      <c r="P3629" s="808"/>
      <c r="Q3629" s="828"/>
    </row>
    <row r="3630" spans="1:17" s="688" customFormat="1" ht="17.100000000000001" customHeight="1">
      <c r="A3630" s="1316" t="s">
        <v>2411</v>
      </c>
      <c r="B3630" s="1317"/>
      <c r="C3630" s="1316"/>
      <c r="D3630" s="1317"/>
      <c r="E3630" s="679">
        <v>7.05</v>
      </c>
      <c r="F3630" s="676" t="s">
        <v>366</v>
      </c>
      <c r="G3630" s="670"/>
      <c r="H3630" s="670"/>
      <c r="I3630" s="670">
        <f>[53]노임단가!$T$12</f>
        <v>239808</v>
      </c>
      <c r="J3630" s="670">
        <f>INT(E3630*I3630)</f>
        <v>1690646</v>
      </c>
      <c r="K3630" s="670"/>
      <c r="L3630" s="670"/>
      <c r="M3630" s="670">
        <f t="shared" ref="M3630:N3635" si="824">G3630+I3630+K3630</f>
        <v>239808</v>
      </c>
      <c r="N3630" s="670">
        <f t="shared" si="824"/>
        <v>1690646</v>
      </c>
      <c r="O3630" s="876"/>
      <c r="P3630" s="808"/>
      <c r="Q3630" s="828"/>
    </row>
    <row r="3631" spans="1:17" s="688" customFormat="1" ht="17.100000000000001" customHeight="1">
      <c r="A3631" s="1316" t="s">
        <v>1482</v>
      </c>
      <c r="B3631" s="1317"/>
      <c r="C3631" s="1316"/>
      <c r="D3631" s="1317"/>
      <c r="E3631" s="675">
        <v>2.57</v>
      </c>
      <c r="F3631" s="676" t="s">
        <v>366</v>
      </c>
      <c r="G3631" s="670"/>
      <c r="H3631" s="670"/>
      <c r="I3631" s="670">
        <f>[53]노임단가!$T$15</f>
        <v>282536</v>
      </c>
      <c r="J3631" s="670">
        <f>INT(E3631*I3631)</f>
        <v>726117</v>
      </c>
      <c r="K3631" s="670"/>
      <c r="L3631" s="670"/>
      <c r="M3631" s="670">
        <f t="shared" si="824"/>
        <v>282536</v>
      </c>
      <c r="N3631" s="670">
        <f t="shared" si="824"/>
        <v>726117</v>
      </c>
      <c r="O3631" s="876"/>
      <c r="P3631" s="808"/>
      <c r="Q3631" s="828"/>
    </row>
    <row r="3632" spans="1:17" s="688" customFormat="1" ht="17.100000000000001" customHeight="1">
      <c r="A3632" s="1316" t="s">
        <v>628</v>
      </c>
      <c r="B3632" s="1317"/>
      <c r="C3632" s="1316"/>
      <c r="D3632" s="1317"/>
      <c r="E3632" s="675">
        <v>1.92</v>
      </c>
      <c r="F3632" s="676" t="s">
        <v>366</v>
      </c>
      <c r="G3632" s="670"/>
      <c r="H3632" s="670"/>
      <c r="I3632" s="670">
        <f>[53]노임단가!$T$6</f>
        <v>226122</v>
      </c>
      <c r="J3632" s="670">
        <f>INT(E3632*I3632)</f>
        <v>434154</v>
      </c>
      <c r="K3632" s="670"/>
      <c r="L3632" s="670"/>
      <c r="M3632" s="670">
        <f t="shared" si="824"/>
        <v>226122</v>
      </c>
      <c r="N3632" s="670">
        <f t="shared" si="824"/>
        <v>434154</v>
      </c>
      <c r="O3632" s="876"/>
      <c r="P3632" s="808"/>
      <c r="Q3632" s="828"/>
    </row>
    <row r="3633" spans="1:17" s="688" customFormat="1" ht="17.100000000000001" customHeight="1">
      <c r="A3633" s="1316" t="s">
        <v>248</v>
      </c>
      <c r="B3633" s="1317"/>
      <c r="C3633" s="1316"/>
      <c r="D3633" s="1317"/>
      <c r="E3633" s="675">
        <v>1.28</v>
      </c>
      <c r="F3633" s="676" t="s">
        <v>366</v>
      </c>
      <c r="G3633" s="670"/>
      <c r="H3633" s="670"/>
      <c r="I3633" s="670">
        <f>[53]노임단가!$T$5</f>
        <v>172068</v>
      </c>
      <c r="J3633" s="670">
        <f>INT(E3633*I3633)</f>
        <v>220247</v>
      </c>
      <c r="K3633" s="670"/>
      <c r="L3633" s="670"/>
      <c r="M3633" s="670">
        <f t="shared" si="824"/>
        <v>172068</v>
      </c>
      <c r="N3633" s="670">
        <f t="shared" si="824"/>
        <v>220247</v>
      </c>
      <c r="O3633" s="876"/>
      <c r="P3633" s="808"/>
      <c r="Q3633" s="828"/>
    </row>
    <row r="3634" spans="1:17" s="688" customFormat="1" ht="17.100000000000001" customHeight="1">
      <c r="A3634" s="1316" t="s">
        <v>2412</v>
      </c>
      <c r="B3634" s="1317"/>
      <c r="C3634" s="1316" t="s">
        <v>1469</v>
      </c>
      <c r="D3634" s="1317"/>
      <c r="E3634" s="675">
        <v>0.05</v>
      </c>
      <c r="F3634" s="676" t="s">
        <v>672</v>
      </c>
      <c r="G3634" s="670"/>
      <c r="H3634" s="670"/>
      <c r="I3634" s="670"/>
      <c r="J3634" s="670"/>
      <c r="K3634" s="670">
        <f>SUM(J3630:J3633)</f>
        <v>3071164</v>
      </c>
      <c r="L3634" s="670">
        <f>INT(E3634*K3634)</f>
        <v>153558</v>
      </c>
      <c r="M3634" s="670">
        <f t="shared" si="824"/>
        <v>3071164</v>
      </c>
      <c r="N3634" s="670">
        <f t="shared" si="824"/>
        <v>153558</v>
      </c>
      <c r="O3634" s="876"/>
      <c r="P3634" s="808"/>
      <c r="Q3634" s="828"/>
    </row>
    <row r="3635" spans="1:17" s="688" customFormat="1" ht="17.100000000000001" customHeight="1">
      <c r="A3635" s="1316" t="s">
        <v>2413</v>
      </c>
      <c r="B3635" s="1317"/>
      <c r="C3635" s="1316" t="s">
        <v>1451</v>
      </c>
      <c r="D3635" s="1317"/>
      <c r="E3635" s="703">
        <v>0.03</v>
      </c>
      <c r="F3635" s="676" t="s">
        <v>672</v>
      </c>
      <c r="G3635" s="670">
        <f>SUM(J3630:J3633)</f>
        <v>3071164</v>
      </c>
      <c r="H3635" s="670">
        <f>INT(E3635*G3635)</f>
        <v>92134</v>
      </c>
      <c r="I3635" s="670"/>
      <c r="J3635" s="670"/>
      <c r="K3635" s="670" t="e">
        <f>#REF!</f>
        <v>#REF!</v>
      </c>
      <c r="L3635" s="670" t="e">
        <f>INT(E3635*K3635)</f>
        <v>#REF!</v>
      </c>
      <c r="M3635" s="670" t="e">
        <f t="shared" si="824"/>
        <v>#REF!</v>
      </c>
      <c r="N3635" s="670" t="e">
        <f t="shared" si="824"/>
        <v>#REF!</v>
      </c>
      <c r="O3635" s="876"/>
      <c r="P3635" s="808"/>
      <c r="Q3635" s="828"/>
    </row>
    <row r="3636" spans="1:17" s="688" customFormat="1" ht="17.100000000000001" customHeight="1">
      <c r="A3636" s="1318" t="s">
        <v>1320</v>
      </c>
      <c r="B3636" s="1319"/>
      <c r="C3636" s="1316"/>
      <c r="D3636" s="1317"/>
      <c r="E3636" s="686"/>
      <c r="F3636" s="676"/>
      <c r="G3636" s="670"/>
      <c r="H3636" s="670">
        <f>SUM(H3630:H3635)</f>
        <v>92134</v>
      </c>
      <c r="I3636" s="670"/>
      <c r="J3636" s="670">
        <f>SUM(J3630:J3635)</f>
        <v>3071164</v>
      </c>
      <c r="K3636" s="670"/>
      <c r="L3636" s="670" t="e">
        <f>SUM(L3630:L3635)</f>
        <v>#REF!</v>
      </c>
      <c r="M3636" s="670"/>
      <c r="N3636" s="670" t="e">
        <f>SUM(N3630:N3635)</f>
        <v>#REF!</v>
      </c>
      <c r="O3636" s="876"/>
      <c r="P3636" s="808"/>
      <c r="Q3636" s="828"/>
    </row>
    <row r="3637" spans="1:17" s="688" customFormat="1" ht="17.100000000000001" customHeight="1">
      <c r="A3637" s="668">
        <f>A3629+1</f>
        <v>484</v>
      </c>
      <c r="B3637" s="1320" t="s">
        <v>2408</v>
      </c>
      <c r="C3637" s="1320"/>
      <c r="D3637" s="1320" t="s">
        <v>2417</v>
      </c>
      <c r="E3637" s="1320"/>
      <c r="F3637" s="669" t="s">
        <v>915</v>
      </c>
      <c r="G3637" s="698"/>
      <c r="H3637" s="698"/>
      <c r="I3637" s="698"/>
      <c r="J3637" s="698"/>
      <c r="K3637" s="670"/>
      <c r="L3637" s="670"/>
      <c r="M3637" s="670"/>
      <c r="N3637" s="698"/>
      <c r="O3637" s="876"/>
      <c r="P3637" s="808"/>
      <c r="Q3637" s="828"/>
    </row>
    <row r="3638" spans="1:17" s="688" customFormat="1" ht="17.100000000000001" customHeight="1">
      <c r="A3638" s="1316" t="s">
        <v>2411</v>
      </c>
      <c r="B3638" s="1317"/>
      <c r="C3638" s="1316"/>
      <c r="D3638" s="1317"/>
      <c r="E3638" s="679">
        <v>9.17</v>
      </c>
      <c r="F3638" s="676" t="s">
        <v>366</v>
      </c>
      <c r="G3638" s="670"/>
      <c r="H3638" s="670"/>
      <c r="I3638" s="670">
        <f>[53]노임단가!$T$12</f>
        <v>239808</v>
      </c>
      <c r="J3638" s="670">
        <f>INT(E3638*I3638)</f>
        <v>2199039</v>
      </c>
      <c r="K3638" s="670"/>
      <c r="L3638" s="670"/>
      <c r="M3638" s="670">
        <f t="shared" ref="M3638:N3643" si="825">G3638+I3638+K3638</f>
        <v>239808</v>
      </c>
      <c r="N3638" s="670">
        <f t="shared" si="825"/>
        <v>2199039</v>
      </c>
      <c r="O3638" s="876"/>
      <c r="P3638" s="808"/>
      <c r="Q3638" s="828"/>
    </row>
    <row r="3639" spans="1:17" s="688" customFormat="1" ht="17.100000000000001" customHeight="1">
      <c r="A3639" s="1316" t="s">
        <v>1482</v>
      </c>
      <c r="B3639" s="1317"/>
      <c r="C3639" s="1316"/>
      <c r="D3639" s="1317"/>
      <c r="E3639" s="675">
        <v>3.34</v>
      </c>
      <c r="F3639" s="676" t="s">
        <v>366</v>
      </c>
      <c r="G3639" s="670"/>
      <c r="H3639" s="670"/>
      <c r="I3639" s="670">
        <f>[53]노임단가!$T$15</f>
        <v>282536</v>
      </c>
      <c r="J3639" s="670">
        <f>INT(E3639*I3639)</f>
        <v>943670</v>
      </c>
      <c r="K3639" s="670"/>
      <c r="L3639" s="670"/>
      <c r="M3639" s="670">
        <f t="shared" si="825"/>
        <v>282536</v>
      </c>
      <c r="N3639" s="670">
        <f t="shared" si="825"/>
        <v>943670</v>
      </c>
      <c r="O3639" s="876"/>
      <c r="P3639" s="808"/>
      <c r="Q3639" s="828"/>
    </row>
    <row r="3640" spans="1:17" s="688" customFormat="1" ht="17.100000000000001" customHeight="1">
      <c r="A3640" s="1316" t="s">
        <v>628</v>
      </c>
      <c r="B3640" s="1317"/>
      <c r="C3640" s="1316"/>
      <c r="D3640" s="1317"/>
      <c r="E3640" s="675">
        <v>2.5</v>
      </c>
      <c r="F3640" s="676" t="s">
        <v>366</v>
      </c>
      <c r="G3640" s="670"/>
      <c r="H3640" s="670"/>
      <c r="I3640" s="670">
        <f>[53]노임단가!$T$6</f>
        <v>226122</v>
      </c>
      <c r="J3640" s="670">
        <f>INT(E3640*I3640)</f>
        <v>565305</v>
      </c>
      <c r="K3640" s="670"/>
      <c r="L3640" s="670"/>
      <c r="M3640" s="670">
        <f t="shared" si="825"/>
        <v>226122</v>
      </c>
      <c r="N3640" s="670">
        <f t="shared" si="825"/>
        <v>565305</v>
      </c>
      <c r="O3640" s="876"/>
      <c r="P3640" s="808"/>
      <c r="Q3640" s="828"/>
    </row>
    <row r="3641" spans="1:17" s="688" customFormat="1" ht="17.100000000000001" customHeight="1">
      <c r="A3641" s="1316" t="s">
        <v>248</v>
      </c>
      <c r="B3641" s="1317"/>
      <c r="C3641" s="1316"/>
      <c r="D3641" s="1317"/>
      <c r="E3641" s="675">
        <v>1.66</v>
      </c>
      <c r="F3641" s="676" t="s">
        <v>366</v>
      </c>
      <c r="G3641" s="670"/>
      <c r="H3641" s="670"/>
      <c r="I3641" s="670">
        <f>[53]노임단가!$T$5</f>
        <v>172068</v>
      </c>
      <c r="J3641" s="670">
        <f>INT(E3641*I3641)</f>
        <v>285632</v>
      </c>
      <c r="K3641" s="670"/>
      <c r="L3641" s="670"/>
      <c r="M3641" s="670">
        <f t="shared" si="825"/>
        <v>172068</v>
      </c>
      <c r="N3641" s="670">
        <f t="shared" si="825"/>
        <v>285632</v>
      </c>
      <c r="O3641" s="876"/>
      <c r="P3641" s="808"/>
      <c r="Q3641" s="828"/>
    </row>
    <row r="3642" spans="1:17" s="688" customFormat="1" ht="17.100000000000001" customHeight="1">
      <c r="A3642" s="1316" t="s">
        <v>2412</v>
      </c>
      <c r="B3642" s="1317"/>
      <c r="C3642" s="1316" t="s">
        <v>2415</v>
      </c>
      <c r="D3642" s="1317"/>
      <c r="E3642" s="675">
        <v>0.04</v>
      </c>
      <c r="F3642" s="676" t="s">
        <v>672</v>
      </c>
      <c r="G3642" s="670"/>
      <c r="H3642" s="670"/>
      <c r="I3642" s="670"/>
      <c r="J3642" s="670"/>
      <c r="K3642" s="670">
        <f>SUM(J3638:J3641)</f>
        <v>3993646</v>
      </c>
      <c r="L3642" s="670">
        <f>INT(E3642*K3642)</f>
        <v>159745</v>
      </c>
      <c r="M3642" s="670">
        <f t="shared" si="825"/>
        <v>3993646</v>
      </c>
      <c r="N3642" s="670">
        <f t="shared" si="825"/>
        <v>159745</v>
      </c>
      <c r="O3642" s="876"/>
      <c r="P3642" s="808"/>
      <c r="Q3642" s="828"/>
    </row>
    <row r="3643" spans="1:17" s="688" customFormat="1" ht="17.100000000000001" customHeight="1">
      <c r="A3643" s="1316" t="s">
        <v>2413</v>
      </c>
      <c r="B3643" s="1317"/>
      <c r="C3643" s="1316" t="s">
        <v>1764</v>
      </c>
      <c r="D3643" s="1317"/>
      <c r="E3643" s="703">
        <v>0.02</v>
      </c>
      <c r="F3643" s="676" t="s">
        <v>672</v>
      </c>
      <c r="G3643" s="670">
        <f>SUM(J3638:J3641)</f>
        <v>3993646</v>
      </c>
      <c r="H3643" s="670">
        <f>INT(E3643*G3643)</f>
        <v>79872</v>
      </c>
      <c r="I3643" s="670"/>
      <c r="J3643" s="670"/>
      <c r="K3643" s="670" t="e">
        <f>#REF!</f>
        <v>#REF!</v>
      </c>
      <c r="L3643" s="670" t="e">
        <f>INT(E3643*K3643)</f>
        <v>#REF!</v>
      </c>
      <c r="M3643" s="670" t="e">
        <f t="shared" si="825"/>
        <v>#REF!</v>
      </c>
      <c r="N3643" s="670" t="e">
        <f t="shared" si="825"/>
        <v>#REF!</v>
      </c>
      <c r="O3643" s="876"/>
      <c r="P3643" s="808"/>
      <c r="Q3643" s="828"/>
    </row>
    <row r="3644" spans="1:17" s="688" customFormat="1" ht="17.100000000000001" customHeight="1">
      <c r="A3644" s="1318" t="s">
        <v>1320</v>
      </c>
      <c r="B3644" s="1319"/>
      <c r="C3644" s="1316"/>
      <c r="D3644" s="1317"/>
      <c r="E3644" s="686"/>
      <c r="F3644" s="676"/>
      <c r="G3644" s="670"/>
      <c r="H3644" s="670">
        <f>SUM(H3638:H3643)</f>
        <v>79872</v>
      </c>
      <c r="I3644" s="670"/>
      <c r="J3644" s="670">
        <f>SUM(J3638:J3643)</f>
        <v>3993646</v>
      </c>
      <c r="K3644" s="670"/>
      <c r="L3644" s="670" t="e">
        <f>SUM(L3638:L3643)</f>
        <v>#REF!</v>
      </c>
      <c r="M3644" s="670"/>
      <c r="N3644" s="670" t="e">
        <f>SUM(N3638:N3643)</f>
        <v>#REF!</v>
      </c>
      <c r="O3644" s="876"/>
      <c r="P3644" s="808"/>
      <c r="Q3644" s="828"/>
    </row>
    <row r="3645" spans="1:17" s="688" customFormat="1" ht="17.100000000000001" customHeight="1">
      <c r="A3645" s="668">
        <f>A3637+1</f>
        <v>485</v>
      </c>
      <c r="B3645" s="1320" t="s">
        <v>2408</v>
      </c>
      <c r="C3645" s="1320"/>
      <c r="D3645" s="1320" t="s">
        <v>2418</v>
      </c>
      <c r="E3645" s="1320"/>
      <c r="F3645" s="669" t="s">
        <v>915</v>
      </c>
      <c r="G3645" s="698"/>
      <c r="H3645" s="698"/>
      <c r="I3645" s="698"/>
      <c r="J3645" s="698"/>
      <c r="K3645" s="670"/>
      <c r="L3645" s="670"/>
      <c r="M3645" s="670"/>
      <c r="N3645" s="698"/>
      <c r="O3645" s="876"/>
      <c r="P3645" s="808"/>
      <c r="Q3645" s="828"/>
    </row>
    <row r="3646" spans="1:17" s="688" customFormat="1" ht="17.100000000000001" customHeight="1">
      <c r="A3646" s="1316" t="s">
        <v>2411</v>
      </c>
      <c r="B3646" s="1317"/>
      <c r="C3646" s="1316"/>
      <c r="D3646" s="1317"/>
      <c r="E3646" s="703">
        <v>12.38</v>
      </c>
      <c r="F3646" s="676" t="s">
        <v>366</v>
      </c>
      <c r="G3646" s="670"/>
      <c r="H3646" s="670"/>
      <c r="I3646" s="670">
        <f>[53]노임단가!$T$12</f>
        <v>239808</v>
      </c>
      <c r="J3646" s="670">
        <f>INT(E3646*I3646)</f>
        <v>2968823</v>
      </c>
      <c r="K3646" s="670"/>
      <c r="L3646" s="670"/>
      <c r="M3646" s="670">
        <f t="shared" ref="M3646:N3651" si="826">G3646+I3646+K3646</f>
        <v>239808</v>
      </c>
      <c r="N3646" s="670">
        <f t="shared" si="826"/>
        <v>2968823</v>
      </c>
      <c r="O3646" s="876"/>
      <c r="P3646" s="808"/>
      <c r="Q3646" s="828"/>
    </row>
    <row r="3647" spans="1:17" s="688" customFormat="1" ht="17.100000000000001" customHeight="1">
      <c r="A3647" s="1316" t="s">
        <v>1482</v>
      </c>
      <c r="B3647" s="1317"/>
      <c r="C3647" s="1316"/>
      <c r="D3647" s="1317"/>
      <c r="E3647" s="675">
        <v>3.38</v>
      </c>
      <c r="F3647" s="676" t="s">
        <v>366</v>
      </c>
      <c r="G3647" s="670"/>
      <c r="H3647" s="670"/>
      <c r="I3647" s="670">
        <f>[53]노임단가!$T$15</f>
        <v>282536</v>
      </c>
      <c r="J3647" s="670">
        <f>INT(E3647*I3647)</f>
        <v>954971</v>
      </c>
      <c r="K3647" s="670"/>
      <c r="L3647" s="670"/>
      <c r="M3647" s="670">
        <f t="shared" si="826"/>
        <v>282536</v>
      </c>
      <c r="N3647" s="670">
        <f t="shared" si="826"/>
        <v>954971</v>
      </c>
      <c r="O3647" s="876"/>
      <c r="P3647" s="808"/>
      <c r="Q3647" s="828"/>
    </row>
    <row r="3648" spans="1:17" s="688" customFormat="1" ht="17.100000000000001" customHeight="1">
      <c r="A3648" s="1316" t="s">
        <v>628</v>
      </c>
      <c r="B3648" s="1317"/>
      <c r="C3648" s="1316"/>
      <c r="D3648" s="1317"/>
      <c r="E3648" s="675">
        <v>4.5</v>
      </c>
      <c r="F3648" s="676" t="s">
        <v>366</v>
      </c>
      <c r="G3648" s="670"/>
      <c r="H3648" s="670"/>
      <c r="I3648" s="670">
        <f>[53]노임단가!$T$6</f>
        <v>226122</v>
      </c>
      <c r="J3648" s="670">
        <f>INT(E3648*I3648)</f>
        <v>1017549</v>
      </c>
      <c r="K3648" s="670"/>
      <c r="L3648" s="670"/>
      <c r="M3648" s="670">
        <f t="shared" si="826"/>
        <v>226122</v>
      </c>
      <c r="N3648" s="670">
        <f t="shared" si="826"/>
        <v>1017549</v>
      </c>
      <c r="O3648" s="876"/>
      <c r="P3648" s="808"/>
      <c r="Q3648" s="828"/>
    </row>
    <row r="3649" spans="1:17" s="688" customFormat="1" ht="17.100000000000001" customHeight="1">
      <c r="A3649" s="1316" t="s">
        <v>248</v>
      </c>
      <c r="B3649" s="1317"/>
      <c r="C3649" s="1316"/>
      <c r="D3649" s="1317"/>
      <c r="E3649" s="675">
        <v>2.25</v>
      </c>
      <c r="F3649" s="676" t="s">
        <v>366</v>
      </c>
      <c r="G3649" s="670"/>
      <c r="H3649" s="670"/>
      <c r="I3649" s="670">
        <f>[53]노임단가!$T$5</f>
        <v>172068</v>
      </c>
      <c r="J3649" s="670">
        <f>INT(E3649*I3649)</f>
        <v>387153</v>
      </c>
      <c r="K3649" s="670"/>
      <c r="L3649" s="670"/>
      <c r="M3649" s="670">
        <f t="shared" si="826"/>
        <v>172068</v>
      </c>
      <c r="N3649" s="670">
        <f t="shared" si="826"/>
        <v>387153</v>
      </c>
      <c r="O3649" s="876"/>
      <c r="P3649" s="808"/>
      <c r="Q3649" s="828"/>
    </row>
    <row r="3650" spans="1:17" s="688" customFormat="1" ht="17.100000000000001" customHeight="1">
      <c r="A3650" s="1316" t="s">
        <v>2412</v>
      </c>
      <c r="B3650" s="1317"/>
      <c r="C3650" s="1316" t="s">
        <v>1469</v>
      </c>
      <c r="D3650" s="1317"/>
      <c r="E3650" s="675">
        <v>0.05</v>
      </c>
      <c r="F3650" s="676" t="s">
        <v>672</v>
      </c>
      <c r="G3650" s="670"/>
      <c r="H3650" s="670"/>
      <c r="I3650" s="670"/>
      <c r="J3650" s="670"/>
      <c r="K3650" s="670">
        <f>SUM(J3646:J3649)</f>
        <v>5328496</v>
      </c>
      <c r="L3650" s="670">
        <f>INT(E3650*K3650)</f>
        <v>266424</v>
      </c>
      <c r="M3650" s="670">
        <f t="shared" si="826"/>
        <v>5328496</v>
      </c>
      <c r="N3650" s="670">
        <f t="shared" si="826"/>
        <v>266424</v>
      </c>
      <c r="O3650" s="876"/>
      <c r="P3650" s="808"/>
      <c r="Q3650" s="828"/>
    </row>
    <row r="3651" spans="1:17" s="688" customFormat="1" ht="17.100000000000001" customHeight="1">
      <c r="A3651" s="1316" t="s">
        <v>2413</v>
      </c>
      <c r="B3651" s="1317"/>
      <c r="C3651" s="1316" t="s">
        <v>1451</v>
      </c>
      <c r="D3651" s="1317"/>
      <c r="E3651" s="703">
        <v>0.03</v>
      </c>
      <c r="F3651" s="676" t="s">
        <v>672</v>
      </c>
      <c r="G3651" s="670">
        <f>SUM(J3646:J3649)</f>
        <v>5328496</v>
      </c>
      <c r="H3651" s="670">
        <f>INT(E3651*G3651)</f>
        <v>159854</v>
      </c>
      <c r="I3651" s="670"/>
      <c r="J3651" s="670"/>
      <c r="K3651" s="670" t="e">
        <f>#REF!</f>
        <v>#REF!</v>
      </c>
      <c r="L3651" s="670" t="e">
        <f>INT(E3651*K3651)</f>
        <v>#REF!</v>
      </c>
      <c r="M3651" s="670" t="e">
        <f t="shared" si="826"/>
        <v>#REF!</v>
      </c>
      <c r="N3651" s="670" t="e">
        <f t="shared" si="826"/>
        <v>#REF!</v>
      </c>
      <c r="O3651" s="876"/>
      <c r="P3651" s="808"/>
      <c r="Q3651" s="828"/>
    </row>
    <row r="3652" spans="1:17" s="688" customFormat="1" ht="17.100000000000001" customHeight="1">
      <c r="A3652" s="1318" t="s">
        <v>1320</v>
      </c>
      <c r="B3652" s="1319"/>
      <c r="C3652" s="1316"/>
      <c r="D3652" s="1317"/>
      <c r="E3652" s="686"/>
      <c r="F3652" s="676"/>
      <c r="G3652" s="670"/>
      <c r="H3652" s="670">
        <f>SUM(H3646:H3651)</f>
        <v>159854</v>
      </c>
      <c r="I3652" s="670"/>
      <c r="J3652" s="670">
        <f>SUM(J3646:J3651)</f>
        <v>5328496</v>
      </c>
      <c r="K3652" s="670"/>
      <c r="L3652" s="670" t="e">
        <f>SUM(L3646:L3651)</f>
        <v>#REF!</v>
      </c>
      <c r="M3652" s="670"/>
      <c r="N3652" s="670" t="e">
        <f>SUM(N3646:N3651)</f>
        <v>#REF!</v>
      </c>
      <c r="O3652" s="876"/>
      <c r="P3652" s="808"/>
      <c r="Q3652" s="828"/>
    </row>
    <row r="3653" spans="1:17" s="688" customFormat="1" ht="17.100000000000001" customHeight="1">
      <c r="A3653" s="668">
        <f>A3645+1</f>
        <v>486</v>
      </c>
      <c r="B3653" s="1320" t="s">
        <v>2408</v>
      </c>
      <c r="C3653" s="1320"/>
      <c r="D3653" s="1320" t="s">
        <v>2419</v>
      </c>
      <c r="E3653" s="1320"/>
      <c r="F3653" s="669" t="s">
        <v>915</v>
      </c>
      <c r="G3653" s="698"/>
      <c r="H3653" s="698"/>
      <c r="I3653" s="698"/>
      <c r="J3653" s="698"/>
      <c r="K3653" s="670"/>
      <c r="L3653" s="670"/>
      <c r="M3653" s="670"/>
      <c r="N3653" s="698"/>
      <c r="O3653" s="876"/>
      <c r="P3653" s="808"/>
      <c r="Q3653" s="828"/>
    </row>
    <row r="3654" spans="1:17" s="688" customFormat="1" ht="17.100000000000001" customHeight="1">
      <c r="A3654" s="1316" t="s">
        <v>2411</v>
      </c>
      <c r="B3654" s="1317"/>
      <c r="C3654" s="1316"/>
      <c r="D3654" s="1317"/>
      <c r="E3654" s="679">
        <v>16.09</v>
      </c>
      <c r="F3654" s="676" t="s">
        <v>366</v>
      </c>
      <c r="G3654" s="670"/>
      <c r="H3654" s="670"/>
      <c r="I3654" s="670">
        <f>[53]노임단가!$T$12</f>
        <v>239808</v>
      </c>
      <c r="J3654" s="670">
        <f>INT(E3654*I3654)</f>
        <v>3858510</v>
      </c>
      <c r="K3654" s="670"/>
      <c r="L3654" s="670"/>
      <c r="M3654" s="670">
        <f t="shared" ref="M3654:N3659" si="827">G3654+I3654+K3654</f>
        <v>239808</v>
      </c>
      <c r="N3654" s="670">
        <f t="shared" si="827"/>
        <v>3858510</v>
      </c>
      <c r="O3654" s="876"/>
      <c r="P3654" s="808"/>
      <c r="Q3654" s="828"/>
    </row>
    <row r="3655" spans="1:17" s="688" customFormat="1" ht="17.100000000000001" customHeight="1">
      <c r="A3655" s="1316" t="s">
        <v>1482</v>
      </c>
      <c r="B3655" s="1317"/>
      <c r="C3655" s="1316"/>
      <c r="D3655" s="1317"/>
      <c r="E3655" s="675">
        <v>4.3899999999999997</v>
      </c>
      <c r="F3655" s="676" t="s">
        <v>366</v>
      </c>
      <c r="G3655" s="670"/>
      <c r="H3655" s="670"/>
      <c r="I3655" s="670">
        <f>[53]노임단가!$T$15</f>
        <v>282536</v>
      </c>
      <c r="J3655" s="670">
        <f>INT(E3655*I3655)</f>
        <v>1240333</v>
      </c>
      <c r="K3655" s="670"/>
      <c r="L3655" s="670"/>
      <c r="M3655" s="670">
        <f t="shared" si="827"/>
        <v>282536</v>
      </c>
      <c r="N3655" s="670">
        <f t="shared" si="827"/>
        <v>1240333</v>
      </c>
      <c r="O3655" s="876"/>
      <c r="P3655" s="808"/>
      <c r="Q3655" s="828"/>
    </row>
    <row r="3656" spans="1:17" s="688" customFormat="1" ht="17.100000000000001" customHeight="1">
      <c r="A3656" s="1316" t="s">
        <v>628</v>
      </c>
      <c r="B3656" s="1317"/>
      <c r="C3656" s="1316"/>
      <c r="D3656" s="1317"/>
      <c r="E3656" s="675">
        <v>5.85</v>
      </c>
      <c r="F3656" s="676" t="s">
        <v>366</v>
      </c>
      <c r="G3656" s="670"/>
      <c r="H3656" s="670"/>
      <c r="I3656" s="670">
        <f>[53]노임단가!$T$6</f>
        <v>226122</v>
      </c>
      <c r="J3656" s="670">
        <f>INT(E3656*I3656)</f>
        <v>1322813</v>
      </c>
      <c r="K3656" s="670"/>
      <c r="L3656" s="670"/>
      <c r="M3656" s="670">
        <f t="shared" si="827"/>
        <v>226122</v>
      </c>
      <c r="N3656" s="670">
        <f t="shared" si="827"/>
        <v>1322813</v>
      </c>
      <c r="O3656" s="876"/>
      <c r="P3656" s="808"/>
      <c r="Q3656" s="828"/>
    </row>
    <row r="3657" spans="1:17" s="688" customFormat="1" ht="17.100000000000001" customHeight="1">
      <c r="A3657" s="1316" t="s">
        <v>248</v>
      </c>
      <c r="B3657" s="1317"/>
      <c r="C3657" s="1316"/>
      <c r="D3657" s="1317"/>
      <c r="E3657" s="675">
        <v>2.93</v>
      </c>
      <c r="F3657" s="676" t="s">
        <v>366</v>
      </c>
      <c r="G3657" s="670"/>
      <c r="H3657" s="670"/>
      <c r="I3657" s="670">
        <f>[53]노임단가!$T$5</f>
        <v>172068</v>
      </c>
      <c r="J3657" s="670">
        <f>INT(E3657*I3657)</f>
        <v>504159</v>
      </c>
      <c r="K3657" s="670"/>
      <c r="L3657" s="670"/>
      <c r="M3657" s="670">
        <f t="shared" si="827"/>
        <v>172068</v>
      </c>
      <c r="N3657" s="670">
        <f t="shared" si="827"/>
        <v>504159</v>
      </c>
      <c r="O3657" s="876"/>
      <c r="P3657" s="808"/>
      <c r="Q3657" s="828"/>
    </row>
    <row r="3658" spans="1:17" s="688" customFormat="1" ht="17.100000000000001" customHeight="1">
      <c r="A3658" s="1316" t="s">
        <v>2412</v>
      </c>
      <c r="B3658" s="1317"/>
      <c r="C3658" s="1316" t="s">
        <v>2415</v>
      </c>
      <c r="D3658" s="1317"/>
      <c r="E3658" s="675">
        <v>0.04</v>
      </c>
      <c r="F3658" s="676" t="s">
        <v>672</v>
      </c>
      <c r="G3658" s="670"/>
      <c r="H3658" s="670"/>
      <c r="I3658" s="670"/>
      <c r="J3658" s="670"/>
      <c r="K3658" s="670">
        <f>SUM(J3654:J3657)</f>
        <v>6925815</v>
      </c>
      <c r="L3658" s="670">
        <f>INT(E3658*K3658)</f>
        <v>277032</v>
      </c>
      <c r="M3658" s="670">
        <f t="shared" si="827"/>
        <v>6925815</v>
      </c>
      <c r="N3658" s="670">
        <f t="shared" si="827"/>
        <v>277032</v>
      </c>
      <c r="O3658" s="876"/>
      <c r="P3658" s="808"/>
      <c r="Q3658" s="828"/>
    </row>
    <row r="3659" spans="1:17" s="688" customFormat="1" ht="17.100000000000001" customHeight="1">
      <c r="A3659" s="1316" t="s">
        <v>2413</v>
      </c>
      <c r="B3659" s="1317"/>
      <c r="C3659" s="1316" t="s">
        <v>1764</v>
      </c>
      <c r="D3659" s="1317"/>
      <c r="E3659" s="703">
        <v>0.02</v>
      </c>
      <c r="F3659" s="676" t="s">
        <v>672</v>
      </c>
      <c r="G3659" s="670">
        <f>SUM(J3654:J3657)</f>
        <v>6925815</v>
      </c>
      <c r="H3659" s="670">
        <f>INT(E3659*G3659)</f>
        <v>138516</v>
      </c>
      <c r="I3659" s="670"/>
      <c r="J3659" s="670"/>
      <c r="K3659" s="670" t="e">
        <f>#REF!</f>
        <v>#REF!</v>
      </c>
      <c r="L3659" s="670" t="e">
        <f>INT(E3659*K3659)</f>
        <v>#REF!</v>
      </c>
      <c r="M3659" s="670" t="e">
        <f t="shared" si="827"/>
        <v>#REF!</v>
      </c>
      <c r="N3659" s="670" t="e">
        <f t="shared" si="827"/>
        <v>#REF!</v>
      </c>
      <c r="O3659" s="876"/>
      <c r="P3659" s="808"/>
      <c r="Q3659" s="828"/>
    </row>
    <row r="3660" spans="1:17" s="688" customFormat="1" ht="17.100000000000001" customHeight="1">
      <c r="A3660" s="1318" t="s">
        <v>1320</v>
      </c>
      <c r="B3660" s="1319"/>
      <c r="C3660" s="1316"/>
      <c r="D3660" s="1317"/>
      <c r="E3660" s="686"/>
      <c r="F3660" s="676"/>
      <c r="G3660" s="670"/>
      <c r="H3660" s="670">
        <f>SUM(H3654:H3659)</f>
        <v>138516</v>
      </c>
      <c r="I3660" s="670"/>
      <c r="J3660" s="670">
        <f>SUM(J3654:J3659)</f>
        <v>6925815</v>
      </c>
      <c r="K3660" s="670"/>
      <c r="L3660" s="670" t="e">
        <f>SUM(L3654:L3659)</f>
        <v>#REF!</v>
      </c>
      <c r="M3660" s="670"/>
      <c r="N3660" s="670" t="e">
        <f>SUM(N3654:N3659)</f>
        <v>#REF!</v>
      </c>
      <c r="O3660" s="876"/>
      <c r="P3660" s="808"/>
      <c r="Q3660" s="828"/>
    </row>
    <row r="3661" spans="1:17" s="688" customFormat="1" ht="17.100000000000001" customHeight="1">
      <c r="A3661" s="668">
        <f>A3653+1</f>
        <v>487</v>
      </c>
      <c r="B3661" s="1320" t="s">
        <v>2420</v>
      </c>
      <c r="C3661" s="1320"/>
      <c r="D3661" s="1320" t="s">
        <v>2421</v>
      </c>
      <c r="E3661" s="1320"/>
      <c r="F3661" s="669" t="s">
        <v>645</v>
      </c>
      <c r="G3661" s="698"/>
      <c r="H3661" s="698"/>
      <c r="I3661" s="698"/>
      <c r="J3661" s="698"/>
      <c r="K3661" s="670"/>
      <c r="L3661" s="670"/>
      <c r="M3661" s="670"/>
      <c r="N3661" s="698"/>
      <c r="O3661" s="876"/>
      <c r="P3661" s="808" t="s">
        <v>2422</v>
      </c>
      <c r="Q3661" s="828"/>
    </row>
    <row r="3662" spans="1:17" s="688" customFormat="1" ht="17.100000000000001" customHeight="1">
      <c r="A3662" s="1316" t="s">
        <v>2265</v>
      </c>
      <c r="B3662" s="1317"/>
      <c r="C3662" s="1316"/>
      <c r="D3662" s="1317"/>
      <c r="E3662" s="701">
        <v>0.01</v>
      </c>
      <c r="F3662" s="676" t="s">
        <v>366</v>
      </c>
      <c r="G3662" s="670"/>
      <c r="H3662" s="670"/>
      <c r="I3662" s="670">
        <f>[53]노임단가!$BK$6</f>
        <v>263017</v>
      </c>
      <c r="J3662" s="670">
        <f>INT(E3662*I3662)</f>
        <v>2630</v>
      </c>
      <c r="K3662" s="670"/>
      <c r="L3662" s="670"/>
      <c r="M3662" s="670">
        <f t="shared" ref="M3662:N3665" si="828">G3662+I3662+K3662</f>
        <v>263017</v>
      </c>
      <c r="N3662" s="670">
        <f t="shared" si="828"/>
        <v>2630</v>
      </c>
      <c r="O3662" s="876"/>
      <c r="P3662" s="808"/>
      <c r="Q3662" s="828"/>
    </row>
    <row r="3663" spans="1:17" s="688" customFormat="1" ht="17.100000000000001" customHeight="1">
      <c r="A3663" s="1316" t="s">
        <v>248</v>
      </c>
      <c r="B3663" s="1317"/>
      <c r="C3663" s="1316"/>
      <c r="D3663" s="1317"/>
      <c r="E3663" s="683">
        <v>1E-3</v>
      </c>
      <c r="F3663" s="676" t="s">
        <v>366</v>
      </c>
      <c r="G3663" s="670"/>
      <c r="H3663" s="670"/>
      <c r="I3663" s="670">
        <f>[53]노임단가!$T$5</f>
        <v>172068</v>
      </c>
      <c r="J3663" s="670">
        <f>INT(E3663*I3663)</f>
        <v>172</v>
      </c>
      <c r="K3663" s="670"/>
      <c r="L3663" s="670"/>
      <c r="M3663" s="670">
        <f t="shared" si="828"/>
        <v>172068</v>
      </c>
      <c r="N3663" s="670">
        <f t="shared" si="828"/>
        <v>172</v>
      </c>
      <c r="O3663" s="876"/>
      <c r="P3663" s="808"/>
      <c r="Q3663" s="828"/>
    </row>
    <row r="3664" spans="1:17" s="688" customFormat="1" ht="17.100000000000001" customHeight="1">
      <c r="A3664" s="1316" t="s">
        <v>1003</v>
      </c>
      <c r="B3664" s="1317"/>
      <c r="C3664" s="1338"/>
      <c r="D3664" s="1317"/>
      <c r="E3664" s="675">
        <v>0.05</v>
      </c>
      <c r="F3664" s="676" t="s">
        <v>835</v>
      </c>
      <c r="G3664" s="670" t="e">
        <f>#REF!</f>
        <v>#REF!</v>
      </c>
      <c r="H3664" s="670" t="e">
        <f>INT(E3664*G3664)</f>
        <v>#REF!</v>
      </c>
      <c r="I3664" s="670"/>
      <c r="J3664" s="670"/>
      <c r="K3664" s="670"/>
      <c r="L3664" s="670"/>
      <c r="M3664" s="670" t="e">
        <f t="shared" si="828"/>
        <v>#REF!</v>
      </c>
      <c r="N3664" s="670" t="e">
        <f t="shared" si="828"/>
        <v>#REF!</v>
      </c>
      <c r="O3664" s="876"/>
      <c r="P3664" s="808"/>
      <c r="Q3664" s="828"/>
    </row>
    <row r="3665" spans="1:17" s="688" customFormat="1" ht="17.100000000000001" customHeight="1">
      <c r="A3665" s="1316" t="s">
        <v>1763</v>
      </c>
      <c r="B3665" s="1317"/>
      <c r="C3665" s="1338" t="s">
        <v>1451</v>
      </c>
      <c r="D3665" s="1317"/>
      <c r="E3665" s="675">
        <v>0.03</v>
      </c>
      <c r="F3665" s="676" t="s">
        <v>672</v>
      </c>
      <c r="G3665" s="670">
        <f>J3662+J3663</f>
        <v>2802</v>
      </c>
      <c r="H3665" s="670">
        <f>INT(E3665*G3665)</f>
        <v>84</v>
      </c>
      <c r="I3665" s="670"/>
      <c r="J3665" s="670"/>
      <c r="K3665" s="670"/>
      <c r="L3665" s="670"/>
      <c r="M3665" s="670">
        <f t="shared" si="828"/>
        <v>2802</v>
      </c>
      <c r="N3665" s="670">
        <f t="shared" si="828"/>
        <v>84</v>
      </c>
      <c r="O3665" s="876"/>
      <c r="P3665" s="808"/>
      <c r="Q3665" s="828"/>
    </row>
    <row r="3666" spans="1:17" s="688" customFormat="1" ht="17.100000000000001" customHeight="1">
      <c r="A3666" s="1318" t="s">
        <v>1320</v>
      </c>
      <c r="B3666" s="1319"/>
      <c r="C3666" s="1316"/>
      <c r="D3666" s="1317"/>
      <c r="E3666" s="686"/>
      <c r="F3666" s="676"/>
      <c r="G3666" s="670"/>
      <c r="H3666" s="670" t="e">
        <f>SUM(H3662:H3665)</f>
        <v>#REF!</v>
      </c>
      <c r="I3666" s="670"/>
      <c r="J3666" s="670">
        <f>SUM(J3662:J3665)</f>
        <v>2802</v>
      </c>
      <c r="K3666" s="670"/>
      <c r="L3666" s="670">
        <f>SUM(L3662:L3665)</f>
        <v>0</v>
      </c>
      <c r="M3666" s="670"/>
      <c r="N3666" s="670" t="e">
        <f>SUM(N3662:N3665)</f>
        <v>#REF!</v>
      </c>
      <c r="O3666" s="876"/>
      <c r="P3666" s="808"/>
      <c r="Q3666" s="828"/>
    </row>
    <row r="3667" spans="1:17" s="688" customFormat="1" ht="17.100000000000001" customHeight="1">
      <c r="A3667" s="668">
        <f>A3661+1</f>
        <v>488</v>
      </c>
      <c r="B3667" s="1320" t="s">
        <v>2420</v>
      </c>
      <c r="C3667" s="1320"/>
      <c r="D3667" s="1320" t="s">
        <v>2423</v>
      </c>
      <c r="E3667" s="1320"/>
      <c r="F3667" s="669" t="s">
        <v>645</v>
      </c>
      <c r="G3667" s="698"/>
      <c r="H3667" s="698"/>
      <c r="I3667" s="698"/>
      <c r="J3667" s="698"/>
      <c r="K3667" s="670"/>
      <c r="L3667" s="670"/>
      <c r="M3667" s="670"/>
      <c r="N3667" s="698"/>
      <c r="O3667" s="876"/>
      <c r="P3667" s="808" t="s">
        <v>1422</v>
      </c>
      <c r="Q3667" s="828"/>
    </row>
    <row r="3668" spans="1:17" s="688" customFormat="1" ht="17.100000000000001" customHeight="1">
      <c r="A3668" s="1316" t="s">
        <v>2265</v>
      </c>
      <c r="B3668" s="1317"/>
      <c r="C3668" s="1316"/>
      <c r="D3668" s="1317"/>
      <c r="E3668" s="701">
        <f>0.01*1.2</f>
        <v>1.2E-2</v>
      </c>
      <c r="F3668" s="676" t="s">
        <v>366</v>
      </c>
      <c r="G3668" s="670"/>
      <c r="H3668" s="670"/>
      <c r="I3668" s="670">
        <f>[53]노임단가!$BK$6</f>
        <v>263017</v>
      </c>
      <c r="J3668" s="670">
        <f>INT(E3668*I3668)</f>
        <v>3156</v>
      </c>
      <c r="K3668" s="670"/>
      <c r="L3668" s="670"/>
      <c r="M3668" s="670">
        <f t="shared" ref="M3668:N3671" si="829">G3668+I3668+K3668</f>
        <v>263017</v>
      </c>
      <c r="N3668" s="670">
        <f t="shared" si="829"/>
        <v>3156</v>
      </c>
      <c r="O3668" s="876"/>
      <c r="P3668" s="808" t="s">
        <v>2422</v>
      </c>
      <c r="Q3668" s="828"/>
    </row>
    <row r="3669" spans="1:17" s="688" customFormat="1" ht="17.100000000000001" customHeight="1">
      <c r="A3669" s="1316" t="s">
        <v>248</v>
      </c>
      <c r="B3669" s="1317"/>
      <c r="C3669" s="1316"/>
      <c r="D3669" s="1317"/>
      <c r="E3669" s="683">
        <f>0.001*1.2</f>
        <v>1.1999999999999999E-3</v>
      </c>
      <c r="F3669" s="676" t="s">
        <v>366</v>
      </c>
      <c r="G3669" s="670"/>
      <c r="H3669" s="670"/>
      <c r="I3669" s="670">
        <f>[53]노임단가!$T$5</f>
        <v>172068</v>
      </c>
      <c r="J3669" s="670">
        <f>INT(E3669*I3669)</f>
        <v>206</v>
      </c>
      <c r="K3669" s="670"/>
      <c r="L3669" s="670"/>
      <c r="M3669" s="670">
        <f t="shared" si="829"/>
        <v>172068</v>
      </c>
      <c r="N3669" s="670">
        <f t="shared" si="829"/>
        <v>206</v>
      </c>
      <c r="O3669" s="876"/>
      <c r="P3669" s="808"/>
      <c r="Q3669" s="828"/>
    </row>
    <row r="3670" spans="1:17" s="688" customFormat="1" ht="17.100000000000001" customHeight="1">
      <c r="A3670" s="1316" t="s">
        <v>1003</v>
      </c>
      <c r="B3670" s="1317"/>
      <c r="C3670" s="1338"/>
      <c r="D3670" s="1317"/>
      <c r="E3670" s="675">
        <v>0.05</v>
      </c>
      <c r="F3670" s="676" t="s">
        <v>835</v>
      </c>
      <c r="G3670" s="670" t="e">
        <f>#REF!</f>
        <v>#REF!</v>
      </c>
      <c r="H3670" s="670" t="e">
        <f>INT(E3670*G3670)</f>
        <v>#REF!</v>
      </c>
      <c r="I3670" s="670"/>
      <c r="J3670" s="670"/>
      <c r="K3670" s="670"/>
      <c r="L3670" s="670"/>
      <c r="M3670" s="670" t="e">
        <f t="shared" si="829"/>
        <v>#REF!</v>
      </c>
      <c r="N3670" s="670" t="e">
        <f t="shared" si="829"/>
        <v>#REF!</v>
      </c>
      <c r="O3670" s="876"/>
      <c r="P3670" s="808"/>
      <c r="Q3670" s="828"/>
    </row>
    <row r="3671" spans="1:17" s="688" customFormat="1" ht="17.100000000000001" customHeight="1">
      <c r="A3671" s="1316" t="s">
        <v>1763</v>
      </c>
      <c r="B3671" s="1317"/>
      <c r="C3671" s="1338" t="s">
        <v>1451</v>
      </c>
      <c r="D3671" s="1317"/>
      <c r="E3671" s="675">
        <v>0.03</v>
      </c>
      <c r="F3671" s="676" t="s">
        <v>672</v>
      </c>
      <c r="G3671" s="670">
        <f>J3668+J3669</f>
        <v>3362</v>
      </c>
      <c r="H3671" s="670">
        <f>INT(E3671*G3671)</f>
        <v>100</v>
      </c>
      <c r="I3671" s="670"/>
      <c r="J3671" s="670"/>
      <c r="K3671" s="670"/>
      <c r="L3671" s="670"/>
      <c r="M3671" s="670">
        <f t="shared" si="829"/>
        <v>3362</v>
      </c>
      <c r="N3671" s="670">
        <f t="shared" si="829"/>
        <v>100</v>
      </c>
      <c r="O3671" s="876"/>
      <c r="P3671" s="808"/>
      <c r="Q3671" s="828"/>
    </row>
    <row r="3672" spans="1:17" s="688" customFormat="1" ht="17.100000000000001" customHeight="1">
      <c r="A3672" s="1318" t="s">
        <v>1320</v>
      </c>
      <c r="B3672" s="1319"/>
      <c r="C3672" s="1316"/>
      <c r="D3672" s="1317"/>
      <c r="E3672" s="686"/>
      <c r="F3672" s="676"/>
      <c r="G3672" s="670"/>
      <c r="H3672" s="670" t="e">
        <f>SUM(H3668:H3671)</f>
        <v>#REF!</v>
      </c>
      <c r="I3672" s="670"/>
      <c r="J3672" s="670">
        <f>SUM(J3668:J3671)</f>
        <v>3362</v>
      </c>
      <c r="K3672" s="670"/>
      <c r="L3672" s="670">
        <f>SUM(L3668:L3671)</f>
        <v>0</v>
      </c>
      <c r="M3672" s="670"/>
      <c r="N3672" s="670" t="e">
        <f>SUM(N3668:N3671)</f>
        <v>#REF!</v>
      </c>
      <c r="O3672" s="876"/>
      <c r="P3672" s="808"/>
      <c r="Q3672" s="828"/>
    </row>
    <row r="3673" spans="1:17" s="688" customFormat="1" ht="17.100000000000001" customHeight="1">
      <c r="A3673" s="668">
        <f>A3667+1</f>
        <v>489</v>
      </c>
      <c r="B3673" s="1320" t="s">
        <v>2424</v>
      </c>
      <c r="C3673" s="1320"/>
      <c r="D3673" s="1320" t="s">
        <v>2425</v>
      </c>
      <c r="E3673" s="1320"/>
      <c r="F3673" s="669" t="s">
        <v>645</v>
      </c>
      <c r="G3673" s="698"/>
      <c r="H3673" s="698"/>
      <c r="I3673" s="698"/>
      <c r="J3673" s="698"/>
      <c r="K3673" s="670"/>
      <c r="L3673" s="670"/>
      <c r="M3673" s="670"/>
      <c r="N3673" s="698"/>
      <c r="O3673" s="876"/>
      <c r="P3673" s="808"/>
      <c r="Q3673" s="828"/>
    </row>
    <row r="3674" spans="1:17" s="688" customFormat="1" ht="17.100000000000001" customHeight="1">
      <c r="A3674" s="1316" t="s">
        <v>2265</v>
      </c>
      <c r="B3674" s="1317"/>
      <c r="C3674" s="1316"/>
      <c r="D3674" s="1317"/>
      <c r="E3674" s="701">
        <v>5.0000000000000001E-3</v>
      </c>
      <c r="F3674" s="676" t="s">
        <v>366</v>
      </c>
      <c r="G3674" s="670"/>
      <c r="H3674" s="670"/>
      <c r="I3674" s="670">
        <f>[53]노임단가!$BK$6</f>
        <v>263017</v>
      </c>
      <c r="J3674" s="670">
        <f>INT(E3674*I3674)</f>
        <v>1315</v>
      </c>
      <c r="K3674" s="670"/>
      <c r="L3674" s="670"/>
      <c r="M3674" s="670">
        <f t="shared" ref="M3674:N3677" si="830">G3674+I3674+K3674</f>
        <v>263017</v>
      </c>
      <c r="N3674" s="670">
        <f t="shared" si="830"/>
        <v>1315</v>
      </c>
      <c r="O3674" s="876"/>
      <c r="P3674" s="808" t="s">
        <v>1422</v>
      </c>
      <c r="Q3674" s="828"/>
    </row>
    <row r="3675" spans="1:17" s="688" customFormat="1" ht="17.100000000000001" customHeight="1">
      <c r="A3675" s="1316" t="s">
        <v>248</v>
      </c>
      <c r="B3675" s="1317"/>
      <c r="C3675" s="1316"/>
      <c r="D3675" s="1317"/>
      <c r="E3675" s="701">
        <v>1E-3</v>
      </c>
      <c r="F3675" s="676" t="s">
        <v>366</v>
      </c>
      <c r="G3675" s="670"/>
      <c r="H3675" s="670"/>
      <c r="I3675" s="670">
        <f>[53]노임단가!$T$5</f>
        <v>172068</v>
      </c>
      <c r="J3675" s="670">
        <f>INT(E3675*I3675)</f>
        <v>172</v>
      </c>
      <c r="K3675" s="670"/>
      <c r="L3675" s="670"/>
      <c r="M3675" s="670">
        <f t="shared" si="830"/>
        <v>172068</v>
      </c>
      <c r="N3675" s="670">
        <f t="shared" si="830"/>
        <v>172</v>
      </c>
      <c r="O3675" s="876"/>
      <c r="P3675" s="808" t="s">
        <v>2426</v>
      </c>
      <c r="Q3675" s="828"/>
    </row>
    <row r="3676" spans="1:17" s="688" customFormat="1" ht="17.100000000000001" customHeight="1">
      <c r="A3676" s="1316" t="s">
        <v>1003</v>
      </c>
      <c r="B3676" s="1317"/>
      <c r="C3676" s="1338"/>
      <c r="D3676" s="1317"/>
      <c r="E3676" s="675">
        <v>0.08</v>
      </c>
      <c r="F3676" s="676" t="s">
        <v>835</v>
      </c>
      <c r="G3676" s="670" t="e">
        <f>#REF!</f>
        <v>#REF!</v>
      </c>
      <c r="H3676" s="670" t="e">
        <f>INT(E3676*G3676)</f>
        <v>#REF!</v>
      </c>
      <c r="I3676" s="670"/>
      <c r="J3676" s="670"/>
      <c r="K3676" s="670"/>
      <c r="L3676" s="670"/>
      <c r="M3676" s="670" t="e">
        <f t="shared" si="830"/>
        <v>#REF!</v>
      </c>
      <c r="N3676" s="670" t="e">
        <f t="shared" si="830"/>
        <v>#REF!</v>
      </c>
      <c r="O3676" s="876"/>
      <c r="P3676" s="808"/>
      <c r="Q3676" s="828"/>
    </row>
    <row r="3677" spans="1:17" s="688" customFormat="1" ht="17.100000000000001" customHeight="1">
      <c r="A3677" s="1316" t="s">
        <v>1763</v>
      </c>
      <c r="B3677" s="1317"/>
      <c r="C3677" s="1338" t="s">
        <v>1451</v>
      </c>
      <c r="D3677" s="1317"/>
      <c r="E3677" s="675">
        <v>0.03</v>
      </c>
      <c r="F3677" s="676" t="s">
        <v>672</v>
      </c>
      <c r="G3677" s="670">
        <f>J3674+J3675</f>
        <v>1487</v>
      </c>
      <c r="H3677" s="670">
        <f>INT(E3677*G3677)</f>
        <v>44</v>
      </c>
      <c r="I3677" s="670"/>
      <c r="J3677" s="670"/>
      <c r="K3677" s="670"/>
      <c r="L3677" s="670"/>
      <c r="M3677" s="670">
        <f t="shared" si="830"/>
        <v>1487</v>
      </c>
      <c r="N3677" s="670">
        <f t="shared" si="830"/>
        <v>44</v>
      </c>
      <c r="O3677" s="876"/>
      <c r="P3677" s="808"/>
      <c r="Q3677" s="828"/>
    </row>
    <row r="3678" spans="1:17" s="688" customFormat="1" ht="17.100000000000001" customHeight="1">
      <c r="A3678" s="1318" t="s">
        <v>1320</v>
      </c>
      <c r="B3678" s="1319"/>
      <c r="C3678" s="1316"/>
      <c r="D3678" s="1317"/>
      <c r="E3678" s="686"/>
      <c r="F3678" s="676"/>
      <c r="G3678" s="670"/>
      <c r="H3678" s="670" t="e">
        <f>SUM(H3674:H3677)</f>
        <v>#REF!</v>
      </c>
      <c r="I3678" s="670"/>
      <c r="J3678" s="670">
        <f>SUM(J3674:J3677)</f>
        <v>1487</v>
      </c>
      <c r="K3678" s="670"/>
      <c r="L3678" s="670">
        <f>SUM(L3674:L3677)</f>
        <v>0</v>
      </c>
      <c r="M3678" s="670"/>
      <c r="N3678" s="670" t="e">
        <f>SUM(N3674:N3677)</f>
        <v>#REF!</v>
      </c>
      <c r="O3678" s="876"/>
      <c r="P3678" s="808"/>
      <c r="Q3678" s="828"/>
    </row>
    <row r="3679" spans="1:17" s="688" customFormat="1" ht="17.100000000000001" customHeight="1">
      <c r="A3679" s="668">
        <f>A3673+1</f>
        <v>490</v>
      </c>
      <c r="B3679" s="1320" t="s">
        <v>2424</v>
      </c>
      <c r="C3679" s="1320"/>
      <c r="D3679" s="1320" t="s">
        <v>2427</v>
      </c>
      <c r="E3679" s="1320"/>
      <c r="F3679" s="669" t="s">
        <v>645</v>
      </c>
      <c r="G3679" s="698"/>
      <c r="H3679" s="698"/>
      <c r="I3679" s="698"/>
      <c r="J3679" s="698"/>
      <c r="K3679" s="670"/>
      <c r="L3679" s="670"/>
      <c r="M3679" s="670"/>
      <c r="N3679" s="698"/>
      <c r="O3679" s="876"/>
      <c r="P3679" s="808"/>
      <c r="Q3679" s="828"/>
    </row>
    <row r="3680" spans="1:17" s="688" customFormat="1" ht="17.100000000000001" customHeight="1">
      <c r="A3680" s="1316" t="s">
        <v>2265</v>
      </c>
      <c r="B3680" s="1317"/>
      <c r="C3680" s="1316"/>
      <c r="D3680" s="1317"/>
      <c r="E3680" s="701">
        <v>5.0000000000000001E-3</v>
      </c>
      <c r="F3680" s="676" t="s">
        <v>366</v>
      </c>
      <c r="G3680" s="670"/>
      <c r="H3680" s="670"/>
      <c r="I3680" s="670">
        <f>[53]노임단가!$BK$6</f>
        <v>263017</v>
      </c>
      <c r="J3680" s="670">
        <f>INT(E3680*I3680)</f>
        <v>1315</v>
      </c>
      <c r="K3680" s="670"/>
      <c r="L3680" s="670"/>
      <c r="M3680" s="670">
        <f t="shared" ref="M3680:N3683" si="831">G3680+I3680+K3680</f>
        <v>263017</v>
      </c>
      <c r="N3680" s="670">
        <f t="shared" si="831"/>
        <v>1315</v>
      </c>
      <c r="O3680" s="876"/>
      <c r="P3680" s="808"/>
      <c r="Q3680" s="828"/>
    </row>
    <row r="3681" spans="1:20" s="688" customFormat="1" ht="17.100000000000001" customHeight="1">
      <c r="A3681" s="1316" t="s">
        <v>248</v>
      </c>
      <c r="B3681" s="1317"/>
      <c r="C3681" s="1316"/>
      <c r="D3681" s="1317"/>
      <c r="E3681" s="701">
        <v>1E-3</v>
      </c>
      <c r="F3681" s="676" t="s">
        <v>366</v>
      </c>
      <c r="G3681" s="670"/>
      <c r="H3681" s="670"/>
      <c r="I3681" s="670">
        <f>[53]노임단가!$T$5</f>
        <v>172068</v>
      </c>
      <c r="J3681" s="670">
        <f>INT(E3681*I3681)</f>
        <v>172</v>
      </c>
      <c r="K3681" s="670"/>
      <c r="L3681" s="670"/>
      <c r="M3681" s="670">
        <f t="shared" si="831"/>
        <v>172068</v>
      </c>
      <c r="N3681" s="670">
        <f t="shared" si="831"/>
        <v>172</v>
      </c>
      <c r="O3681" s="876"/>
      <c r="P3681" s="808" t="s">
        <v>1422</v>
      </c>
      <c r="Q3681" s="828"/>
    </row>
    <row r="3682" spans="1:20" s="688" customFormat="1" ht="17.100000000000001" customHeight="1">
      <c r="A3682" s="1316" t="s">
        <v>1003</v>
      </c>
      <c r="B3682" s="1317"/>
      <c r="C3682" s="1338"/>
      <c r="D3682" s="1317"/>
      <c r="E3682" s="675">
        <v>0.06</v>
      </c>
      <c r="F3682" s="676" t="s">
        <v>835</v>
      </c>
      <c r="G3682" s="670" t="e">
        <f>#REF!</f>
        <v>#REF!</v>
      </c>
      <c r="H3682" s="670" t="e">
        <f>INT(E3682*G3682)</f>
        <v>#REF!</v>
      </c>
      <c r="I3682" s="670"/>
      <c r="J3682" s="670"/>
      <c r="K3682" s="670"/>
      <c r="L3682" s="670"/>
      <c r="M3682" s="670" t="e">
        <f t="shared" si="831"/>
        <v>#REF!</v>
      </c>
      <c r="N3682" s="670" t="e">
        <f t="shared" si="831"/>
        <v>#REF!</v>
      </c>
      <c r="O3682" s="876"/>
      <c r="P3682" s="808" t="s">
        <v>2426</v>
      </c>
      <c r="Q3682" s="828"/>
    </row>
    <row r="3683" spans="1:20" s="688" customFormat="1" ht="17.100000000000001" customHeight="1">
      <c r="A3683" s="1316" t="s">
        <v>1763</v>
      </c>
      <c r="B3683" s="1317"/>
      <c r="C3683" s="1338" t="s">
        <v>1451</v>
      </c>
      <c r="D3683" s="1317"/>
      <c r="E3683" s="675">
        <v>0.03</v>
      </c>
      <c r="F3683" s="676" t="s">
        <v>672</v>
      </c>
      <c r="G3683" s="670">
        <f>J3680+J3681</f>
        <v>1487</v>
      </c>
      <c r="H3683" s="670">
        <f>INT(E3683*G3683)</f>
        <v>44</v>
      </c>
      <c r="I3683" s="670"/>
      <c r="J3683" s="670"/>
      <c r="K3683" s="670"/>
      <c r="L3683" s="670"/>
      <c r="M3683" s="670">
        <f t="shared" si="831"/>
        <v>1487</v>
      </c>
      <c r="N3683" s="670">
        <f t="shared" si="831"/>
        <v>44</v>
      </c>
      <c r="O3683" s="876"/>
      <c r="P3683" s="808"/>
      <c r="Q3683" s="828"/>
    </row>
    <row r="3684" spans="1:20" s="688" customFormat="1" ht="17.100000000000001" customHeight="1">
      <c r="A3684" s="1318" t="s">
        <v>1320</v>
      </c>
      <c r="B3684" s="1319"/>
      <c r="C3684" s="1316"/>
      <c r="D3684" s="1317"/>
      <c r="E3684" s="686"/>
      <c r="F3684" s="676"/>
      <c r="G3684" s="670"/>
      <c r="H3684" s="670" t="e">
        <f>SUM(H3680:H3683)</f>
        <v>#REF!</v>
      </c>
      <c r="I3684" s="670"/>
      <c r="J3684" s="670">
        <f>SUM(J3680:J3683)</f>
        <v>1487</v>
      </c>
      <c r="K3684" s="670"/>
      <c r="L3684" s="670">
        <f>SUM(L3680:L3683)</f>
        <v>0</v>
      </c>
      <c r="M3684" s="670"/>
      <c r="N3684" s="670" t="e">
        <f>SUM(N3680:N3683)</f>
        <v>#REF!</v>
      </c>
      <c r="O3684" s="876"/>
      <c r="P3684" s="808"/>
      <c r="Q3684" s="828"/>
    </row>
    <row r="3685" spans="1:20" s="688" customFormat="1" ht="17.100000000000001" customHeight="1">
      <c r="A3685" s="668">
        <f>A3679+1</f>
        <v>491</v>
      </c>
      <c r="B3685" s="1320" t="s">
        <v>2428</v>
      </c>
      <c r="C3685" s="1320"/>
      <c r="D3685" s="1320" t="s">
        <v>2429</v>
      </c>
      <c r="E3685" s="1320"/>
      <c r="F3685" s="669" t="s">
        <v>645</v>
      </c>
      <c r="G3685" s="698"/>
      <c r="H3685" s="698"/>
      <c r="I3685" s="698"/>
      <c r="J3685" s="698"/>
      <c r="K3685" s="670"/>
      <c r="L3685" s="670"/>
      <c r="M3685" s="670"/>
      <c r="N3685" s="698"/>
      <c r="O3685" s="876"/>
      <c r="P3685" s="808"/>
      <c r="Q3685" s="828"/>
    </row>
    <row r="3686" spans="1:20" s="688" customFormat="1" ht="17.100000000000001" customHeight="1">
      <c r="A3686" s="1316" t="s">
        <v>994</v>
      </c>
      <c r="B3686" s="1317"/>
      <c r="C3686" s="1316" t="s">
        <v>995</v>
      </c>
      <c r="D3686" s="1317"/>
      <c r="E3686" s="701">
        <v>0.16600000000000001</v>
      </c>
      <c r="F3686" s="676" t="s">
        <v>801</v>
      </c>
      <c r="G3686" s="670" t="e">
        <f>#REF!</f>
        <v>#REF!</v>
      </c>
      <c r="H3686" s="670" t="e">
        <f>INT(E3686*G3686)</f>
        <v>#REF!</v>
      </c>
      <c r="I3686" s="670"/>
      <c r="J3686" s="670"/>
      <c r="K3686" s="670"/>
      <c r="L3686" s="670"/>
      <c r="M3686" s="670" t="e">
        <f t="shared" ref="M3686:N3690" si="832">G3686+I3686+K3686</f>
        <v>#REF!</v>
      </c>
      <c r="N3686" s="670" t="e">
        <f t="shared" si="832"/>
        <v>#REF!</v>
      </c>
      <c r="O3686" s="876"/>
      <c r="P3686" s="808"/>
      <c r="Q3686" s="828"/>
    </row>
    <row r="3687" spans="1:20" s="688" customFormat="1" ht="17.100000000000001" customHeight="1">
      <c r="A3687" s="1316" t="s">
        <v>1000</v>
      </c>
      <c r="B3687" s="1317"/>
      <c r="C3687" s="1316" t="s">
        <v>1001</v>
      </c>
      <c r="D3687" s="1317"/>
      <c r="E3687" s="701">
        <v>8.0000000000000002E-3</v>
      </c>
      <c r="F3687" s="676" t="s">
        <v>801</v>
      </c>
      <c r="G3687" s="670" t="e">
        <f>#REF!</f>
        <v>#REF!</v>
      </c>
      <c r="H3687" s="670" t="e">
        <f>INT(E3687*G3687)</f>
        <v>#REF!</v>
      </c>
      <c r="I3687" s="670"/>
      <c r="J3687" s="670"/>
      <c r="K3687" s="670"/>
      <c r="L3687" s="670"/>
      <c r="M3687" s="670" t="e">
        <f t="shared" si="832"/>
        <v>#REF!</v>
      </c>
      <c r="N3687" s="670" t="e">
        <f t="shared" si="832"/>
        <v>#REF!</v>
      </c>
      <c r="O3687" s="876"/>
      <c r="P3687" s="808"/>
      <c r="Q3687" s="828"/>
    </row>
    <row r="3688" spans="1:20" s="688" customFormat="1" ht="17.100000000000001" customHeight="1">
      <c r="A3688" s="1316" t="s">
        <v>2265</v>
      </c>
      <c r="B3688" s="1317"/>
      <c r="C3688" s="1316"/>
      <c r="D3688" s="1317"/>
      <c r="E3688" s="701">
        <v>2.1999999999999999E-2</v>
      </c>
      <c r="F3688" s="676" t="s">
        <v>366</v>
      </c>
      <c r="G3688" s="670"/>
      <c r="H3688" s="670"/>
      <c r="I3688" s="670">
        <f>[53]노임단가!$BK$6</f>
        <v>263017</v>
      </c>
      <c r="J3688" s="670">
        <f>INT(E3688*I3688)</f>
        <v>5786</v>
      </c>
      <c r="K3688" s="670"/>
      <c r="L3688" s="670"/>
      <c r="M3688" s="670">
        <f t="shared" si="832"/>
        <v>263017</v>
      </c>
      <c r="N3688" s="670">
        <f t="shared" si="832"/>
        <v>5786</v>
      </c>
      <c r="O3688" s="876"/>
      <c r="P3688" s="808" t="s">
        <v>1422</v>
      </c>
      <c r="Q3688" s="828"/>
    </row>
    <row r="3689" spans="1:20" s="688" customFormat="1" ht="17.100000000000001" customHeight="1">
      <c r="A3689" s="1316" t="s">
        <v>248</v>
      </c>
      <c r="B3689" s="1317"/>
      <c r="C3689" s="1316"/>
      <c r="D3689" s="1317"/>
      <c r="E3689" s="701">
        <v>4.0000000000000001E-3</v>
      </c>
      <c r="F3689" s="676" t="s">
        <v>366</v>
      </c>
      <c r="G3689" s="670"/>
      <c r="H3689" s="670"/>
      <c r="I3689" s="670">
        <f>[53]노임단가!$T$5</f>
        <v>172068</v>
      </c>
      <c r="J3689" s="670">
        <f>INT(E3689*I3689)</f>
        <v>688</v>
      </c>
      <c r="K3689" s="670"/>
      <c r="L3689" s="670"/>
      <c r="M3689" s="670">
        <f t="shared" si="832"/>
        <v>172068</v>
      </c>
      <c r="N3689" s="670">
        <f t="shared" si="832"/>
        <v>688</v>
      </c>
      <c r="O3689" s="876"/>
      <c r="P3689" s="808" t="s">
        <v>2426</v>
      </c>
      <c r="Q3689" s="828"/>
    </row>
    <row r="3690" spans="1:20" s="688" customFormat="1" ht="17.100000000000001" customHeight="1">
      <c r="A3690" s="1316" t="s">
        <v>1763</v>
      </c>
      <c r="B3690" s="1317"/>
      <c r="C3690" s="1316" t="s">
        <v>1764</v>
      </c>
      <c r="D3690" s="1317"/>
      <c r="E3690" s="675">
        <v>0.02</v>
      </c>
      <c r="F3690" s="676" t="s">
        <v>672</v>
      </c>
      <c r="G3690" s="670">
        <f>J3688+J3689</f>
        <v>6474</v>
      </c>
      <c r="H3690" s="670">
        <f>INT(E3690*G3690)</f>
        <v>129</v>
      </c>
      <c r="I3690" s="670"/>
      <c r="J3690" s="670"/>
      <c r="K3690" s="670"/>
      <c r="L3690" s="670"/>
      <c r="M3690" s="670">
        <f t="shared" si="832"/>
        <v>6474</v>
      </c>
      <c r="N3690" s="670">
        <f t="shared" si="832"/>
        <v>129</v>
      </c>
      <c r="O3690" s="876"/>
      <c r="P3690" s="808"/>
      <c r="Q3690" s="828"/>
    </row>
    <row r="3691" spans="1:20" s="688" customFormat="1" ht="17.100000000000001" customHeight="1">
      <c r="A3691" s="1318" t="s">
        <v>1320</v>
      </c>
      <c r="B3691" s="1319"/>
      <c r="C3691" s="1316"/>
      <c r="D3691" s="1317"/>
      <c r="E3691" s="686"/>
      <c r="F3691" s="676"/>
      <c r="G3691" s="670"/>
      <c r="H3691" s="670" t="e">
        <f>SUM(H3686:H3690)</f>
        <v>#REF!</v>
      </c>
      <c r="I3691" s="670"/>
      <c r="J3691" s="670">
        <f>SUM(J3686:J3690)</f>
        <v>6474</v>
      </c>
      <c r="K3691" s="670"/>
      <c r="L3691" s="670">
        <f>SUM(L3686:L3690)</f>
        <v>0</v>
      </c>
      <c r="M3691" s="670"/>
      <c r="N3691" s="670" t="e">
        <f>SUM(N3686:N3690)</f>
        <v>#REF!</v>
      </c>
      <c r="O3691" s="876"/>
      <c r="P3691" s="808"/>
      <c r="Q3691" s="828"/>
    </row>
    <row r="3692" spans="1:20" s="688" customFormat="1" ht="17.100000000000001" customHeight="1">
      <c r="A3692" s="668">
        <f>A3685+1</f>
        <v>492</v>
      </c>
      <c r="B3692" s="1320" t="s">
        <v>2428</v>
      </c>
      <c r="C3692" s="1320"/>
      <c r="D3692" s="1320" t="s">
        <v>2430</v>
      </c>
      <c r="E3692" s="1320"/>
      <c r="F3692" s="669" t="s">
        <v>645</v>
      </c>
      <c r="G3692" s="698"/>
      <c r="H3692" s="698"/>
      <c r="I3692" s="698"/>
      <c r="J3692" s="698"/>
      <c r="K3692" s="670"/>
      <c r="L3692" s="670"/>
      <c r="M3692" s="670"/>
      <c r="N3692" s="698"/>
      <c r="O3692" s="876"/>
      <c r="P3692" s="808"/>
      <c r="Q3692" s="828"/>
    </row>
    <row r="3693" spans="1:20" s="688" customFormat="1" ht="17.100000000000001" customHeight="1">
      <c r="A3693" s="1316" t="s">
        <v>994</v>
      </c>
      <c r="B3693" s="1317"/>
      <c r="C3693" s="1316" t="s">
        <v>995</v>
      </c>
      <c r="D3693" s="1317"/>
      <c r="E3693" s="701">
        <v>0.16600000000000001</v>
      </c>
      <c r="F3693" s="676" t="s">
        <v>801</v>
      </c>
      <c r="G3693" s="670" t="e">
        <f>#REF!</f>
        <v>#REF!</v>
      </c>
      <c r="H3693" s="670" t="e">
        <f>INT(E3693*G3693)</f>
        <v>#REF!</v>
      </c>
      <c r="I3693" s="670"/>
      <c r="J3693" s="670"/>
      <c r="K3693" s="670"/>
      <c r="L3693" s="670"/>
      <c r="M3693" s="670" t="e">
        <f t="shared" ref="M3693:N3697" si="833">G3693+I3693+K3693</f>
        <v>#REF!</v>
      </c>
      <c r="N3693" s="670" t="e">
        <f t="shared" si="833"/>
        <v>#REF!</v>
      </c>
      <c r="O3693" s="876"/>
      <c r="P3693" s="808"/>
      <c r="Q3693" s="828"/>
    </row>
    <row r="3694" spans="1:20" s="688" customFormat="1" ht="17.100000000000001" customHeight="1">
      <c r="A3694" s="1316" t="s">
        <v>1000</v>
      </c>
      <c r="B3694" s="1317"/>
      <c r="C3694" s="1316" t="s">
        <v>1001</v>
      </c>
      <c r="D3694" s="1317"/>
      <c r="E3694" s="701">
        <v>8.0000000000000002E-3</v>
      </c>
      <c r="F3694" s="676" t="s">
        <v>801</v>
      </c>
      <c r="G3694" s="670" t="e">
        <f>#REF!</f>
        <v>#REF!</v>
      </c>
      <c r="H3694" s="670" t="e">
        <f>INT(E3694*G3694)</f>
        <v>#REF!</v>
      </c>
      <c r="I3694" s="670"/>
      <c r="J3694" s="670"/>
      <c r="K3694" s="670"/>
      <c r="L3694" s="670"/>
      <c r="M3694" s="670" t="e">
        <f t="shared" si="833"/>
        <v>#REF!</v>
      </c>
      <c r="N3694" s="670" t="e">
        <f t="shared" si="833"/>
        <v>#REF!</v>
      </c>
      <c r="O3694" s="876"/>
      <c r="P3694" s="808"/>
      <c r="Q3694" s="828"/>
      <c r="R3694" s="670">
        <f>[53]노임단가!$T$6</f>
        <v>226122</v>
      </c>
      <c r="S3694" s="688">
        <v>6.6400000000000001E-2</v>
      </c>
      <c r="T3694" s="688">
        <f>R3694*S3694</f>
        <v>15014.5008</v>
      </c>
    </row>
    <row r="3695" spans="1:20" s="688" customFormat="1" ht="17.100000000000001" customHeight="1">
      <c r="A3695" s="1316" t="s">
        <v>2265</v>
      </c>
      <c r="B3695" s="1317"/>
      <c r="C3695" s="1316"/>
      <c r="D3695" s="1317"/>
      <c r="E3695" s="683">
        <f>E3688*1.2</f>
        <v>2.6399999999999996E-2</v>
      </c>
      <c r="F3695" s="676" t="s">
        <v>366</v>
      </c>
      <c r="G3695" s="670"/>
      <c r="H3695" s="670"/>
      <c r="I3695" s="670">
        <f>[53]노임단가!$BK$6</f>
        <v>263017</v>
      </c>
      <c r="J3695" s="670">
        <f>INT(E3695*I3695)</f>
        <v>6943</v>
      </c>
      <c r="K3695" s="670"/>
      <c r="L3695" s="670"/>
      <c r="M3695" s="670">
        <f t="shared" si="833"/>
        <v>263017</v>
      </c>
      <c r="N3695" s="670">
        <f t="shared" si="833"/>
        <v>6943</v>
      </c>
      <c r="O3695" s="876"/>
      <c r="P3695" s="808" t="s">
        <v>1422</v>
      </c>
      <c r="Q3695" s="828"/>
      <c r="R3695" s="670">
        <f>[53]노임단가!$T$5</f>
        <v>172068</v>
      </c>
      <c r="S3695" s="688">
        <v>6.6400000000000001E-2</v>
      </c>
      <c r="T3695" s="688">
        <f>R3695*S3695</f>
        <v>11425.315200000001</v>
      </c>
    </row>
    <row r="3696" spans="1:20" s="688" customFormat="1" ht="17.100000000000001" customHeight="1">
      <c r="A3696" s="1316" t="s">
        <v>248</v>
      </c>
      <c r="B3696" s="1317"/>
      <c r="C3696" s="1316"/>
      <c r="D3696" s="1317"/>
      <c r="E3696" s="683">
        <f>E3689*1.2</f>
        <v>4.7999999999999996E-3</v>
      </c>
      <c r="F3696" s="676" t="s">
        <v>366</v>
      </c>
      <c r="G3696" s="670"/>
      <c r="H3696" s="670"/>
      <c r="I3696" s="670">
        <f>[53]노임단가!$T$5</f>
        <v>172068</v>
      </c>
      <c r="J3696" s="670">
        <f>INT(E3696*I3696)</f>
        <v>825</v>
      </c>
      <c r="K3696" s="670"/>
      <c r="L3696" s="670"/>
      <c r="M3696" s="670">
        <f t="shared" si="833"/>
        <v>172068</v>
      </c>
      <c r="N3696" s="670">
        <f t="shared" si="833"/>
        <v>825</v>
      </c>
      <c r="O3696" s="876"/>
      <c r="P3696" s="808" t="s">
        <v>2426</v>
      </c>
      <c r="Q3696" s="828"/>
      <c r="T3696" s="688">
        <f>T3694+T3695</f>
        <v>26439.815999999999</v>
      </c>
    </row>
    <row r="3697" spans="1:19" s="688" customFormat="1" ht="17.100000000000001" customHeight="1">
      <c r="A3697" s="1316" t="s">
        <v>1763</v>
      </c>
      <c r="B3697" s="1317"/>
      <c r="C3697" s="1316" t="s">
        <v>1764</v>
      </c>
      <c r="D3697" s="1317"/>
      <c r="E3697" s="675">
        <v>0.02</v>
      </c>
      <c r="F3697" s="676" t="s">
        <v>672</v>
      </c>
      <c r="G3697" s="670">
        <f>J3695+J3696</f>
        <v>7768</v>
      </c>
      <c r="H3697" s="670">
        <f>INT(E3697*G3697)</f>
        <v>155</v>
      </c>
      <c r="I3697" s="670"/>
      <c r="J3697" s="670"/>
      <c r="K3697" s="670"/>
      <c r="L3697" s="670"/>
      <c r="M3697" s="670">
        <f t="shared" si="833"/>
        <v>7768</v>
      </c>
      <c r="N3697" s="670">
        <f t="shared" si="833"/>
        <v>155</v>
      </c>
      <c r="O3697" s="876"/>
      <c r="P3697" s="808"/>
      <c r="Q3697" s="828"/>
    </row>
    <row r="3698" spans="1:19" s="688" customFormat="1" ht="17.100000000000001" customHeight="1">
      <c r="A3698" s="1318" t="s">
        <v>1320</v>
      </c>
      <c r="B3698" s="1319"/>
      <c r="C3698" s="1316"/>
      <c r="D3698" s="1317"/>
      <c r="E3698" s="686"/>
      <c r="F3698" s="676"/>
      <c r="G3698" s="670"/>
      <c r="H3698" s="670" t="e">
        <f>SUM(H3693:H3697)</f>
        <v>#REF!</v>
      </c>
      <c r="I3698" s="670"/>
      <c r="J3698" s="670">
        <f>SUM(J3693:J3697)</f>
        <v>7768</v>
      </c>
      <c r="K3698" s="670"/>
      <c r="L3698" s="670">
        <f>SUM(L3693:L3697)</f>
        <v>0</v>
      </c>
      <c r="M3698" s="670"/>
      <c r="N3698" s="670" t="e">
        <f>SUM(N3693:N3697)</f>
        <v>#REF!</v>
      </c>
      <c r="O3698" s="876"/>
      <c r="P3698" s="808"/>
      <c r="Q3698" s="828"/>
    </row>
    <row r="3699" spans="1:19" s="688" customFormat="1" ht="17.100000000000001" customHeight="1">
      <c r="A3699" s="668">
        <f>A3692+1</f>
        <v>493</v>
      </c>
      <c r="B3699" s="1320" t="s">
        <v>2428</v>
      </c>
      <c r="C3699" s="1320"/>
      <c r="D3699" s="1320" t="s">
        <v>2431</v>
      </c>
      <c r="E3699" s="1320"/>
      <c r="F3699" s="669" t="s">
        <v>645</v>
      </c>
      <c r="G3699" s="698"/>
      <c r="H3699" s="698"/>
      <c r="I3699" s="698"/>
      <c r="J3699" s="698"/>
      <c r="K3699" s="670"/>
      <c r="L3699" s="670"/>
      <c r="M3699" s="670"/>
      <c r="N3699" s="698"/>
      <c r="O3699" s="876"/>
      <c r="P3699" s="808"/>
      <c r="Q3699" s="828"/>
    </row>
    <row r="3700" spans="1:19" s="688" customFormat="1" ht="17.100000000000001" customHeight="1">
      <c r="A3700" s="1316" t="s">
        <v>994</v>
      </c>
      <c r="B3700" s="1317"/>
      <c r="C3700" s="1316" t="s">
        <v>995</v>
      </c>
      <c r="D3700" s="1317"/>
      <c r="E3700" s="701">
        <v>0.19900000000000001</v>
      </c>
      <c r="F3700" s="676" t="s">
        <v>801</v>
      </c>
      <c r="G3700" s="670" t="e">
        <f>#REF!</f>
        <v>#REF!</v>
      </c>
      <c r="H3700" s="670" t="e">
        <f>INT(E3700*G3700)</f>
        <v>#REF!</v>
      </c>
      <c r="I3700" s="670"/>
      <c r="J3700" s="670"/>
      <c r="K3700" s="670"/>
      <c r="L3700" s="670"/>
      <c r="M3700" s="670" t="e">
        <f t="shared" ref="M3700:N3704" si="834">G3700+I3700+K3700</f>
        <v>#REF!</v>
      </c>
      <c r="N3700" s="670" t="e">
        <f t="shared" si="834"/>
        <v>#REF!</v>
      </c>
      <c r="O3700" s="876"/>
      <c r="P3700" s="808"/>
      <c r="Q3700" s="828"/>
    </row>
    <row r="3701" spans="1:19" s="688" customFormat="1" ht="17.100000000000001" customHeight="1">
      <c r="A3701" s="1316" t="s">
        <v>1000</v>
      </c>
      <c r="B3701" s="1317"/>
      <c r="C3701" s="1316" t="s">
        <v>1001</v>
      </c>
      <c r="D3701" s="1317"/>
      <c r="E3701" s="701">
        <v>8.0000000000000002E-3</v>
      </c>
      <c r="F3701" s="676" t="s">
        <v>801</v>
      </c>
      <c r="G3701" s="670" t="e">
        <f>#REF!</f>
        <v>#REF!</v>
      </c>
      <c r="H3701" s="670" t="e">
        <f>INT(E3701*G3701)</f>
        <v>#REF!</v>
      </c>
      <c r="I3701" s="670"/>
      <c r="J3701" s="670"/>
      <c r="K3701" s="670"/>
      <c r="L3701" s="670"/>
      <c r="M3701" s="670" t="e">
        <f t="shared" si="834"/>
        <v>#REF!</v>
      </c>
      <c r="N3701" s="670" t="e">
        <f t="shared" si="834"/>
        <v>#REF!</v>
      </c>
      <c r="O3701" s="876"/>
      <c r="P3701" s="808"/>
      <c r="Q3701" s="828"/>
    </row>
    <row r="3702" spans="1:19" s="688" customFormat="1" ht="17.100000000000001" customHeight="1">
      <c r="A3702" s="1316" t="s">
        <v>2265</v>
      </c>
      <c r="B3702" s="1317"/>
      <c r="C3702" s="1316"/>
      <c r="D3702" s="1317"/>
      <c r="E3702" s="701">
        <v>2.5999999999999999E-2</v>
      </c>
      <c r="F3702" s="676" t="s">
        <v>366</v>
      </c>
      <c r="G3702" s="670"/>
      <c r="H3702" s="670"/>
      <c r="I3702" s="670">
        <f>[53]노임단가!$BK$6</f>
        <v>263017</v>
      </c>
      <c r="J3702" s="670">
        <f>INT(E3702*I3702)</f>
        <v>6838</v>
      </c>
      <c r="K3702" s="670"/>
      <c r="L3702" s="670"/>
      <c r="M3702" s="670">
        <f t="shared" si="834"/>
        <v>263017</v>
      </c>
      <c r="N3702" s="670">
        <f t="shared" si="834"/>
        <v>6838</v>
      </c>
      <c r="O3702" s="876"/>
      <c r="P3702" s="672"/>
      <c r="Q3702" s="688" t="s">
        <v>2432</v>
      </c>
    </row>
    <row r="3703" spans="1:19" s="688" customFormat="1" ht="17.100000000000001" customHeight="1">
      <c r="A3703" s="1316" t="s">
        <v>248</v>
      </c>
      <c r="B3703" s="1317"/>
      <c r="C3703" s="1316"/>
      <c r="D3703" s="1317"/>
      <c r="E3703" s="701">
        <v>6.0000000000000001E-3</v>
      </c>
      <c r="F3703" s="676" t="s">
        <v>366</v>
      </c>
      <c r="G3703" s="670"/>
      <c r="H3703" s="670"/>
      <c r="I3703" s="670">
        <f>[53]노임단가!$T$5</f>
        <v>172068</v>
      </c>
      <c r="J3703" s="670">
        <f>INT(E3703*I3703)</f>
        <v>1032</v>
      </c>
      <c r="K3703" s="670"/>
      <c r="L3703" s="670"/>
      <c r="M3703" s="670">
        <f t="shared" si="834"/>
        <v>172068</v>
      </c>
      <c r="N3703" s="670">
        <f t="shared" si="834"/>
        <v>1032</v>
      </c>
      <c r="O3703" s="876"/>
      <c r="P3703" s="672"/>
      <c r="Q3703" s="688" t="s">
        <v>2432</v>
      </c>
    </row>
    <row r="3704" spans="1:19" s="688" customFormat="1" ht="17.100000000000001" customHeight="1">
      <c r="A3704" s="1316" t="s">
        <v>1763</v>
      </c>
      <c r="B3704" s="1317"/>
      <c r="C3704" s="1316" t="s">
        <v>1764</v>
      </c>
      <c r="D3704" s="1317"/>
      <c r="E3704" s="675">
        <v>0.02</v>
      </c>
      <c r="F3704" s="676" t="s">
        <v>672</v>
      </c>
      <c r="G3704" s="670">
        <f>J3702+J3703</f>
        <v>7870</v>
      </c>
      <c r="H3704" s="670">
        <f>INT(E3704*G3704)</f>
        <v>157</v>
      </c>
      <c r="I3704" s="670"/>
      <c r="J3704" s="670"/>
      <c r="K3704" s="670"/>
      <c r="L3704" s="670"/>
      <c r="M3704" s="670">
        <f t="shared" si="834"/>
        <v>7870</v>
      </c>
      <c r="N3704" s="670">
        <f t="shared" si="834"/>
        <v>157</v>
      </c>
      <c r="O3704" s="876"/>
      <c r="P3704" s="672"/>
      <c r="Q3704" s="688" t="s">
        <v>2432</v>
      </c>
    </row>
    <row r="3705" spans="1:19" s="688" customFormat="1" ht="17.100000000000001" customHeight="1">
      <c r="A3705" s="1318" t="s">
        <v>1320</v>
      </c>
      <c r="B3705" s="1319"/>
      <c r="C3705" s="1316"/>
      <c r="D3705" s="1317"/>
      <c r="E3705" s="686"/>
      <c r="F3705" s="676"/>
      <c r="G3705" s="670"/>
      <c r="H3705" s="670" t="e">
        <f>SUM(H3700:H3704)</f>
        <v>#REF!</v>
      </c>
      <c r="I3705" s="670"/>
      <c r="J3705" s="670">
        <f>SUM(J3700:J3704)</f>
        <v>7870</v>
      </c>
      <c r="K3705" s="670"/>
      <c r="L3705" s="670">
        <f>SUM(L3700:L3704)</f>
        <v>0</v>
      </c>
      <c r="M3705" s="670"/>
      <c r="N3705" s="670" t="e">
        <f>SUM(N3700:N3704)</f>
        <v>#REF!</v>
      </c>
      <c r="O3705" s="876"/>
      <c r="P3705" s="672"/>
      <c r="Q3705" s="688" t="s">
        <v>2432</v>
      </c>
      <c r="S3705" s="688">
        <f>1/170</f>
        <v>5.8823529411764705E-3</v>
      </c>
    </row>
    <row r="3706" spans="1:19" s="688" customFormat="1" ht="17.100000000000001" customHeight="1">
      <c r="A3706" s="668">
        <f>A3699+1</f>
        <v>494</v>
      </c>
      <c r="B3706" s="1320" t="s">
        <v>2428</v>
      </c>
      <c r="C3706" s="1320"/>
      <c r="D3706" s="1320" t="s">
        <v>2433</v>
      </c>
      <c r="E3706" s="1320"/>
      <c r="F3706" s="669" t="s">
        <v>645</v>
      </c>
      <c r="G3706" s="698"/>
      <c r="H3706" s="698"/>
      <c r="I3706" s="698"/>
      <c r="J3706" s="698"/>
      <c r="K3706" s="670"/>
      <c r="L3706" s="670"/>
      <c r="M3706" s="670"/>
      <c r="N3706" s="698"/>
      <c r="O3706" s="876"/>
      <c r="P3706" s="672"/>
      <c r="Q3706" s="688" t="s">
        <v>2432</v>
      </c>
      <c r="S3706" s="688">
        <f>1/270</f>
        <v>3.7037037037037038E-3</v>
      </c>
    </row>
    <row r="3707" spans="1:19" s="688" customFormat="1" ht="17.100000000000001" customHeight="1">
      <c r="A3707" s="1316" t="s">
        <v>994</v>
      </c>
      <c r="B3707" s="1317"/>
      <c r="C3707" s="1316" t="s">
        <v>995</v>
      </c>
      <c r="D3707" s="1317"/>
      <c r="E3707" s="701">
        <v>0.19900000000000001</v>
      </c>
      <c r="F3707" s="676" t="s">
        <v>801</v>
      </c>
      <c r="G3707" s="670" t="e">
        <f>#REF!</f>
        <v>#REF!</v>
      </c>
      <c r="H3707" s="670" t="e">
        <f>INT(E3707*G3707)</f>
        <v>#REF!</v>
      </c>
      <c r="I3707" s="670"/>
      <c r="J3707" s="670"/>
      <c r="K3707" s="670"/>
      <c r="L3707" s="670"/>
      <c r="M3707" s="670" t="e">
        <f t="shared" ref="M3707:N3711" si="835">G3707+I3707+K3707</f>
        <v>#REF!</v>
      </c>
      <c r="N3707" s="670" t="e">
        <f t="shared" si="835"/>
        <v>#REF!</v>
      </c>
      <c r="O3707" s="876"/>
      <c r="P3707" s="672"/>
      <c r="Q3707" s="688" t="s">
        <v>2432</v>
      </c>
      <c r="S3707" s="688">
        <f>0.036*3.14</f>
        <v>0.11304</v>
      </c>
    </row>
    <row r="3708" spans="1:19" s="688" customFormat="1" ht="17.100000000000001" customHeight="1">
      <c r="A3708" s="1316" t="s">
        <v>1000</v>
      </c>
      <c r="B3708" s="1317"/>
      <c r="C3708" s="1316" t="s">
        <v>1001</v>
      </c>
      <c r="D3708" s="1317"/>
      <c r="E3708" s="701">
        <v>8.0000000000000002E-3</v>
      </c>
      <c r="F3708" s="676" t="s">
        <v>801</v>
      </c>
      <c r="G3708" s="670" t="e">
        <f>#REF!</f>
        <v>#REF!</v>
      </c>
      <c r="H3708" s="670" t="e">
        <f>INT(E3708*G3708)</f>
        <v>#REF!</v>
      </c>
      <c r="I3708" s="670"/>
      <c r="J3708" s="670"/>
      <c r="K3708" s="670"/>
      <c r="L3708" s="670"/>
      <c r="M3708" s="670" t="e">
        <f t="shared" si="835"/>
        <v>#REF!</v>
      </c>
      <c r="N3708" s="670" t="e">
        <f t="shared" si="835"/>
        <v>#REF!</v>
      </c>
      <c r="O3708" s="876"/>
      <c r="P3708" s="672" t="s">
        <v>2434</v>
      </c>
    </row>
    <row r="3709" spans="1:19" s="688" customFormat="1" ht="17.100000000000001" customHeight="1">
      <c r="A3709" s="1316" t="s">
        <v>2265</v>
      </c>
      <c r="B3709" s="1317"/>
      <c r="C3709" s="1316"/>
      <c r="D3709" s="1317"/>
      <c r="E3709" s="683">
        <f>E3702*1.2</f>
        <v>3.1199999999999999E-2</v>
      </c>
      <c r="F3709" s="676" t="s">
        <v>366</v>
      </c>
      <c r="G3709" s="670"/>
      <c r="H3709" s="670"/>
      <c r="I3709" s="670">
        <f>[53]노임단가!$BK$6</f>
        <v>263017</v>
      </c>
      <c r="J3709" s="670">
        <f>INT(E3709*I3709)</f>
        <v>8206</v>
      </c>
      <c r="K3709" s="670"/>
      <c r="L3709" s="670"/>
      <c r="M3709" s="670">
        <f t="shared" si="835"/>
        <v>263017</v>
      </c>
      <c r="N3709" s="670">
        <f t="shared" si="835"/>
        <v>8206</v>
      </c>
      <c r="O3709" s="876"/>
      <c r="P3709" s="672"/>
    </row>
    <row r="3710" spans="1:19" s="688" customFormat="1" ht="17.100000000000001" customHeight="1">
      <c r="A3710" s="1316" t="s">
        <v>248</v>
      </c>
      <c r="B3710" s="1317"/>
      <c r="C3710" s="1316"/>
      <c r="D3710" s="1317"/>
      <c r="E3710" s="683">
        <f>E3703*1.2</f>
        <v>7.1999999999999998E-3</v>
      </c>
      <c r="F3710" s="676" t="s">
        <v>366</v>
      </c>
      <c r="G3710" s="670"/>
      <c r="H3710" s="670"/>
      <c r="I3710" s="670">
        <f>[53]노임단가!$T$5</f>
        <v>172068</v>
      </c>
      <c r="J3710" s="670">
        <f>INT(E3710*I3710)</f>
        <v>1238</v>
      </c>
      <c r="K3710" s="670"/>
      <c r="L3710" s="670"/>
      <c r="M3710" s="670">
        <f t="shared" si="835"/>
        <v>172068</v>
      </c>
      <c r="N3710" s="670">
        <f t="shared" si="835"/>
        <v>1238</v>
      </c>
      <c r="O3710" s="876"/>
      <c r="P3710" s="672"/>
    </row>
    <row r="3711" spans="1:19" s="688" customFormat="1" ht="17.100000000000001" customHeight="1">
      <c r="A3711" s="1316" t="s">
        <v>1763</v>
      </c>
      <c r="B3711" s="1317"/>
      <c r="C3711" s="1316" t="s">
        <v>1764</v>
      </c>
      <c r="D3711" s="1317"/>
      <c r="E3711" s="675">
        <v>0.02</v>
      </c>
      <c r="F3711" s="676" t="s">
        <v>672</v>
      </c>
      <c r="G3711" s="670">
        <f>J3709+J3710</f>
        <v>9444</v>
      </c>
      <c r="H3711" s="670">
        <f>INT(E3711*G3711)</f>
        <v>188</v>
      </c>
      <c r="I3711" s="670"/>
      <c r="J3711" s="670"/>
      <c r="K3711" s="670"/>
      <c r="L3711" s="670"/>
      <c r="M3711" s="670">
        <f t="shared" si="835"/>
        <v>9444</v>
      </c>
      <c r="N3711" s="670">
        <f t="shared" si="835"/>
        <v>188</v>
      </c>
      <c r="O3711" s="876"/>
      <c r="P3711" s="672"/>
    </row>
    <row r="3712" spans="1:19" s="688" customFormat="1" ht="17.100000000000001" customHeight="1">
      <c r="A3712" s="1318" t="s">
        <v>1320</v>
      </c>
      <c r="B3712" s="1319"/>
      <c r="C3712" s="1316"/>
      <c r="D3712" s="1317"/>
      <c r="E3712" s="686"/>
      <c r="F3712" s="676"/>
      <c r="G3712" s="670"/>
      <c r="H3712" s="670" t="e">
        <f>SUM(H3707:H3711)</f>
        <v>#REF!</v>
      </c>
      <c r="I3712" s="670"/>
      <c r="J3712" s="670">
        <f>SUM(J3707:J3711)</f>
        <v>9444</v>
      </c>
      <c r="K3712" s="670"/>
      <c r="L3712" s="670">
        <f>SUM(L3707:L3711)</f>
        <v>0</v>
      </c>
      <c r="M3712" s="670"/>
      <c r="N3712" s="670" t="e">
        <f>SUM(N3707:N3711)</f>
        <v>#REF!</v>
      </c>
      <c r="O3712" s="876"/>
      <c r="P3712" s="672"/>
      <c r="Q3712" s="688" t="s">
        <v>2432</v>
      </c>
      <c r="S3712" s="688">
        <f>0.036*3.14</f>
        <v>0.11304</v>
      </c>
    </row>
    <row r="3713" spans="1:19" s="688" customFormat="1" ht="17.100000000000001" customHeight="1">
      <c r="A3713" s="668">
        <f>A3706+1</f>
        <v>495</v>
      </c>
      <c r="B3713" s="1320" t="s">
        <v>2435</v>
      </c>
      <c r="C3713" s="1320"/>
      <c r="D3713" s="1320" t="s">
        <v>2436</v>
      </c>
      <c r="E3713" s="1320"/>
      <c r="F3713" s="669" t="s">
        <v>645</v>
      </c>
      <c r="G3713" s="698"/>
      <c r="H3713" s="698"/>
      <c r="I3713" s="698"/>
      <c r="J3713" s="698"/>
      <c r="K3713" s="670"/>
      <c r="L3713" s="670"/>
      <c r="M3713" s="670"/>
      <c r="N3713" s="698"/>
      <c r="O3713" s="876"/>
      <c r="P3713" s="672"/>
      <c r="Q3713" s="688" t="s">
        <v>2437</v>
      </c>
      <c r="S3713" s="688">
        <f>1.2*3.14</f>
        <v>3.7679999999999998</v>
      </c>
    </row>
    <row r="3714" spans="1:19" s="688" customFormat="1" ht="17.100000000000001" customHeight="1">
      <c r="A3714" s="1316" t="s">
        <v>997</v>
      </c>
      <c r="B3714" s="1317"/>
      <c r="C3714" s="1316" t="s">
        <v>998</v>
      </c>
      <c r="D3714" s="1317"/>
      <c r="E3714" s="701">
        <v>0.08</v>
      </c>
      <c r="F3714" s="676" t="s">
        <v>801</v>
      </c>
      <c r="G3714" s="670" t="e">
        <f>#REF!</f>
        <v>#REF!</v>
      </c>
      <c r="H3714" s="670" t="e">
        <f>INT(E3714*G3714)</f>
        <v>#REF!</v>
      </c>
      <c r="I3714" s="670"/>
      <c r="J3714" s="670"/>
      <c r="K3714" s="670"/>
      <c r="L3714" s="670"/>
      <c r="M3714" s="670" t="e">
        <f t="shared" ref="M3714:N3718" si="836">G3714+I3714+K3714</f>
        <v>#REF!</v>
      </c>
      <c r="N3714" s="670" t="e">
        <f t="shared" si="836"/>
        <v>#REF!</v>
      </c>
      <c r="O3714" s="876"/>
      <c r="P3714" s="672"/>
      <c r="Q3714" s="688" t="s">
        <v>2437</v>
      </c>
    </row>
    <row r="3715" spans="1:19" s="688" customFormat="1" ht="17.100000000000001" customHeight="1">
      <c r="A3715" s="1316" t="s">
        <v>1000</v>
      </c>
      <c r="B3715" s="1317"/>
      <c r="C3715" s="1316" t="s">
        <v>1001</v>
      </c>
      <c r="D3715" s="1317"/>
      <c r="E3715" s="701">
        <v>4.0000000000000001E-3</v>
      </c>
      <c r="F3715" s="676" t="s">
        <v>801</v>
      </c>
      <c r="G3715" s="670" t="e">
        <f>#REF!</f>
        <v>#REF!</v>
      </c>
      <c r="H3715" s="670" t="e">
        <f>INT(E3715*G3715)</f>
        <v>#REF!</v>
      </c>
      <c r="I3715" s="670"/>
      <c r="J3715" s="670"/>
      <c r="K3715" s="670"/>
      <c r="L3715" s="670"/>
      <c r="M3715" s="670" t="e">
        <f t="shared" si="836"/>
        <v>#REF!</v>
      </c>
      <c r="N3715" s="670" t="e">
        <f t="shared" si="836"/>
        <v>#REF!</v>
      </c>
      <c r="O3715" s="876"/>
      <c r="P3715" s="672"/>
      <c r="Q3715" s="688" t="s">
        <v>2437</v>
      </c>
    </row>
    <row r="3716" spans="1:19" s="688" customFormat="1" ht="17.100000000000001" customHeight="1">
      <c r="A3716" s="1316" t="s">
        <v>2265</v>
      </c>
      <c r="B3716" s="1317"/>
      <c r="C3716" s="1316"/>
      <c r="D3716" s="1317"/>
      <c r="E3716" s="701">
        <v>1.4999999999999999E-2</v>
      </c>
      <c r="F3716" s="676" t="s">
        <v>366</v>
      </c>
      <c r="G3716" s="670"/>
      <c r="H3716" s="670"/>
      <c r="I3716" s="670">
        <f>[53]노임단가!$BK$6</f>
        <v>263017</v>
      </c>
      <c r="J3716" s="670">
        <f>INT(E3716*I3716)</f>
        <v>3945</v>
      </c>
      <c r="K3716" s="670"/>
      <c r="L3716" s="670"/>
      <c r="M3716" s="670">
        <f t="shared" si="836"/>
        <v>263017</v>
      </c>
      <c r="N3716" s="670">
        <f t="shared" si="836"/>
        <v>3945</v>
      </c>
      <c r="O3716" s="876"/>
      <c r="P3716" s="672"/>
      <c r="Q3716" s="688" t="s">
        <v>2437</v>
      </c>
    </row>
    <row r="3717" spans="1:19" s="688" customFormat="1" ht="17.100000000000001" customHeight="1">
      <c r="A3717" s="1316" t="s">
        <v>248</v>
      </c>
      <c r="B3717" s="1317"/>
      <c r="C3717" s="1316"/>
      <c r="D3717" s="1317"/>
      <c r="E3717" s="701">
        <v>3.0000000000000001E-3</v>
      </c>
      <c r="F3717" s="676" t="s">
        <v>366</v>
      </c>
      <c r="G3717" s="670"/>
      <c r="H3717" s="670"/>
      <c r="I3717" s="670">
        <f>[53]노임단가!$T$5</f>
        <v>172068</v>
      </c>
      <c r="J3717" s="670">
        <f>INT(E3717*I3717)</f>
        <v>516</v>
      </c>
      <c r="K3717" s="670"/>
      <c r="L3717" s="670"/>
      <c r="M3717" s="670">
        <f t="shared" si="836"/>
        <v>172068</v>
      </c>
      <c r="N3717" s="670">
        <f t="shared" si="836"/>
        <v>516</v>
      </c>
      <c r="O3717" s="876"/>
      <c r="P3717" s="672"/>
      <c r="Q3717" s="688" t="s">
        <v>2437</v>
      </c>
    </row>
    <row r="3718" spans="1:19" s="688" customFormat="1" ht="17.100000000000001" customHeight="1">
      <c r="A3718" s="1316" t="s">
        <v>1763</v>
      </c>
      <c r="B3718" s="1317"/>
      <c r="C3718" s="1316" t="s">
        <v>1764</v>
      </c>
      <c r="D3718" s="1317"/>
      <c r="E3718" s="675">
        <v>0.02</v>
      </c>
      <c r="F3718" s="676" t="s">
        <v>672</v>
      </c>
      <c r="G3718" s="670">
        <f>J3716+J3717</f>
        <v>4461</v>
      </c>
      <c r="H3718" s="670">
        <f>INT(E3718*G3718)</f>
        <v>89</v>
      </c>
      <c r="I3718" s="670"/>
      <c r="J3718" s="670"/>
      <c r="K3718" s="670"/>
      <c r="L3718" s="670"/>
      <c r="M3718" s="670">
        <f t="shared" si="836"/>
        <v>4461</v>
      </c>
      <c r="N3718" s="670">
        <f t="shared" si="836"/>
        <v>89</v>
      </c>
      <c r="O3718" s="876"/>
      <c r="P3718" s="672"/>
      <c r="Q3718" s="688" t="s">
        <v>2437</v>
      </c>
    </row>
    <row r="3719" spans="1:19" s="688" customFormat="1" ht="17.100000000000001" customHeight="1">
      <c r="A3719" s="1318" t="s">
        <v>1320</v>
      </c>
      <c r="B3719" s="1319"/>
      <c r="C3719" s="1316"/>
      <c r="D3719" s="1317"/>
      <c r="E3719" s="686"/>
      <c r="F3719" s="676"/>
      <c r="G3719" s="670"/>
      <c r="H3719" s="670" t="e">
        <f>SUM(H3714:H3718)</f>
        <v>#REF!</v>
      </c>
      <c r="I3719" s="670"/>
      <c r="J3719" s="670">
        <f>SUM(J3714:J3718)</f>
        <v>4461</v>
      </c>
      <c r="K3719" s="670"/>
      <c r="L3719" s="670">
        <f>SUM(L3714:L3718)</f>
        <v>0</v>
      </c>
      <c r="M3719" s="670"/>
      <c r="N3719" s="670" t="e">
        <f>SUM(N3714:N3718)</f>
        <v>#REF!</v>
      </c>
      <c r="O3719" s="876"/>
      <c r="P3719" s="672"/>
      <c r="Q3719" s="688" t="s">
        <v>2437</v>
      </c>
    </row>
    <row r="3720" spans="1:19" s="688" customFormat="1" ht="17.100000000000001" customHeight="1">
      <c r="A3720" s="668">
        <f>A3713+1</f>
        <v>496</v>
      </c>
      <c r="B3720" s="1320" t="s">
        <v>2435</v>
      </c>
      <c r="C3720" s="1320"/>
      <c r="D3720" s="1320" t="s">
        <v>2438</v>
      </c>
      <c r="E3720" s="1320"/>
      <c r="F3720" s="669" t="s">
        <v>645</v>
      </c>
      <c r="G3720" s="698"/>
      <c r="H3720" s="698"/>
      <c r="I3720" s="698"/>
      <c r="J3720" s="698"/>
      <c r="K3720" s="670"/>
      <c r="L3720" s="670"/>
      <c r="M3720" s="670"/>
      <c r="N3720" s="698"/>
      <c r="O3720" s="876"/>
      <c r="P3720" s="672"/>
      <c r="Q3720" s="688" t="s">
        <v>2437</v>
      </c>
    </row>
    <row r="3721" spans="1:19" s="688" customFormat="1" ht="17.100000000000001" customHeight="1">
      <c r="A3721" s="1316" t="s">
        <v>997</v>
      </c>
      <c r="B3721" s="1317"/>
      <c r="C3721" s="1316" t="s">
        <v>998</v>
      </c>
      <c r="D3721" s="1317"/>
      <c r="E3721" s="701">
        <v>0.161</v>
      </c>
      <c r="F3721" s="676" t="s">
        <v>801</v>
      </c>
      <c r="G3721" s="670" t="e">
        <f>#REF!</f>
        <v>#REF!</v>
      </c>
      <c r="H3721" s="670" t="e">
        <f>INT(E3721*G3721)</f>
        <v>#REF!</v>
      </c>
      <c r="I3721" s="670"/>
      <c r="J3721" s="670"/>
      <c r="K3721" s="670"/>
      <c r="L3721" s="670"/>
      <c r="M3721" s="670" t="e">
        <f t="shared" ref="M3721:N3725" si="837">G3721+I3721+K3721</f>
        <v>#REF!</v>
      </c>
      <c r="N3721" s="670" t="e">
        <f t="shared" si="837"/>
        <v>#REF!</v>
      </c>
      <c r="O3721" s="876"/>
      <c r="P3721" s="672"/>
      <c r="Q3721" s="688" t="s">
        <v>2437</v>
      </c>
    </row>
    <row r="3722" spans="1:19" s="688" customFormat="1" ht="17.100000000000001" customHeight="1">
      <c r="A3722" s="1316" t="s">
        <v>1000</v>
      </c>
      <c r="B3722" s="1317"/>
      <c r="C3722" s="1316" t="s">
        <v>1001</v>
      </c>
      <c r="D3722" s="1317"/>
      <c r="E3722" s="701">
        <v>8.0000000000000002E-3</v>
      </c>
      <c r="F3722" s="676" t="s">
        <v>801</v>
      </c>
      <c r="G3722" s="670" t="e">
        <f>#REF!</f>
        <v>#REF!</v>
      </c>
      <c r="H3722" s="670" t="e">
        <f>INT(E3722*G3722)</f>
        <v>#REF!</v>
      </c>
      <c r="I3722" s="670"/>
      <c r="J3722" s="670"/>
      <c r="K3722" s="670"/>
      <c r="L3722" s="670"/>
      <c r="M3722" s="670" t="e">
        <f t="shared" si="837"/>
        <v>#REF!</v>
      </c>
      <c r="N3722" s="670" t="e">
        <f t="shared" si="837"/>
        <v>#REF!</v>
      </c>
      <c r="O3722" s="876"/>
      <c r="P3722" s="672"/>
      <c r="Q3722" s="688" t="s">
        <v>2437</v>
      </c>
    </row>
    <row r="3723" spans="1:19" s="688" customFormat="1" ht="17.100000000000001" customHeight="1">
      <c r="A3723" s="1316" t="s">
        <v>2265</v>
      </c>
      <c r="B3723" s="1317"/>
      <c r="C3723" s="1316"/>
      <c r="D3723" s="1317"/>
      <c r="E3723" s="701">
        <f>E3716*2</f>
        <v>0.03</v>
      </c>
      <c r="F3723" s="676" t="s">
        <v>366</v>
      </c>
      <c r="G3723" s="670"/>
      <c r="H3723" s="670"/>
      <c r="I3723" s="670">
        <f>[53]노임단가!$BK$6</f>
        <v>263017</v>
      </c>
      <c r="J3723" s="670">
        <f>INT(E3723*I3723)</f>
        <v>7890</v>
      </c>
      <c r="K3723" s="670"/>
      <c r="L3723" s="670"/>
      <c r="M3723" s="670">
        <f t="shared" si="837"/>
        <v>263017</v>
      </c>
      <c r="N3723" s="670">
        <f t="shared" si="837"/>
        <v>7890</v>
      </c>
      <c r="O3723" s="876"/>
      <c r="P3723" s="672"/>
      <c r="Q3723" s="688" t="s">
        <v>2437</v>
      </c>
    </row>
    <row r="3724" spans="1:19" s="688" customFormat="1" ht="17.100000000000001" customHeight="1">
      <c r="A3724" s="1316" t="s">
        <v>248</v>
      </c>
      <c r="B3724" s="1317"/>
      <c r="C3724" s="1316"/>
      <c r="D3724" s="1317"/>
      <c r="E3724" s="701">
        <f>E3717*2</f>
        <v>6.0000000000000001E-3</v>
      </c>
      <c r="F3724" s="676" t="s">
        <v>366</v>
      </c>
      <c r="G3724" s="670"/>
      <c r="H3724" s="670"/>
      <c r="I3724" s="670">
        <f>[53]노임단가!$T$5</f>
        <v>172068</v>
      </c>
      <c r="J3724" s="670">
        <f>INT(E3724*I3724)</f>
        <v>1032</v>
      </c>
      <c r="K3724" s="670"/>
      <c r="L3724" s="670"/>
      <c r="M3724" s="670">
        <f t="shared" si="837"/>
        <v>172068</v>
      </c>
      <c r="N3724" s="670">
        <f t="shared" si="837"/>
        <v>1032</v>
      </c>
      <c r="O3724" s="876"/>
      <c r="P3724" s="672"/>
      <c r="Q3724" s="688" t="s">
        <v>2437</v>
      </c>
    </row>
    <row r="3725" spans="1:19" s="688" customFormat="1" ht="17.100000000000001" customHeight="1">
      <c r="A3725" s="1316" t="s">
        <v>1763</v>
      </c>
      <c r="B3725" s="1317"/>
      <c r="C3725" s="1316" t="s">
        <v>1764</v>
      </c>
      <c r="D3725" s="1317"/>
      <c r="E3725" s="675">
        <v>0.02</v>
      </c>
      <c r="F3725" s="676" t="s">
        <v>672</v>
      </c>
      <c r="G3725" s="670">
        <f>J3723+J3724</f>
        <v>8922</v>
      </c>
      <c r="H3725" s="670">
        <f>INT(E3725*G3725)</f>
        <v>178</v>
      </c>
      <c r="I3725" s="670"/>
      <c r="J3725" s="670"/>
      <c r="K3725" s="670"/>
      <c r="L3725" s="670"/>
      <c r="M3725" s="670">
        <f t="shared" si="837"/>
        <v>8922</v>
      </c>
      <c r="N3725" s="670">
        <f t="shared" si="837"/>
        <v>178</v>
      </c>
      <c r="O3725" s="876"/>
      <c r="P3725" s="672"/>
      <c r="Q3725" s="688" t="s">
        <v>2437</v>
      </c>
    </row>
    <row r="3726" spans="1:19" s="688" customFormat="1" ht="17.100000000000001" customHeight="1">
      <c r="A3726" s="1318" t="s">
        <v>1320</v>
      </c>
      <c r="B3726" s="1319"/>
      <c r="C3726" s="1316"/>
      <c r="D3726" s="1317"/>
      <c r="E3726" s="686"/>
      <c r="F3726" s="676"/>
      <c r="G3726" s="670"/>
      <c r="H3726" s="670" t="e">
        <f>SUM(H3721:H3725)</f>
        <v>#REF!</v>
      </c>
      <c r="I3726" s="670"/>
      <c r="J3726" s="670">
        <f>SUM(J3721:J3725)</f>
        <v>8922</v>
      </c>
      <c r="K3726" s="670"/>
      <c r="L3726" s="670">
        <f>SUM(L3721:L3725)</f>
        <v>0</v>
      </c>
      <c r="M3726" s="670"/>
      <c r="N3726" s="670" t="e">
        <f>SUM(N3721:N3725)</f>
        <v>#REF!</v>
      </c>
      <c r="O3726" s="876"/>
      <c r="P3726" s="672"/>
      <c r="Q3726" s="688" t="s">
        <v>2437</v>
      </c>
    </row>
    <row r="3727" spans="1:19" s="688" customFormat="1" ht="17.100000000000001" customHeight="1">
      <c r="A3727" s="668">
        <f>A3720+1</f>
        <v>497</v>
      </c>
      <c r="B3727" s="1320" t="s">
        <v>2435</v>
      </c>
      <c r="C3727" s="1320"/>
      <c r="D3727" s="1320" t="s">
        <v>2439</v>
      </c>
      <c r="E3727" s="1320"/>
      <c r="F3727" s="669" t="s">
        <v>645</v>
      </c>
      <c r="G3727" s="698"/>
      <c r="H3727" s="698"/>
      <c r="I3727" s="698"/>
      <c r="J3727" s="698"/>
      <c r="K3727" s="670"/>
      <c r="L3727" s="670"/>
      <c r="M3727" s="670"/>
      <c r="N3727" s="698"/>
      <c r="O3727" s="876"/>
      <c r="P3727" s="672"/>
      <c r="Q3727" s="688" t="s">
        <v>2437</v>
      </c>
    </row>
    <row r="3728" spans="1:19" s="688" customFormat="1" ht="17.100000000000001" customHeight="1">
      <c r="A3728" s="1316" t="s">
        <v>997</v>
      </c>
      <c r="B3728" s="1317"/>
      <c r="C3728" s="1316" t="s">
        <v>998</v>
      </c>
      <c r="D3728" s="1317"/>
      <c r="E3728" s="701">
        <v>0.08</v>
      </c>
      <c r="F3728" s="676" t="s">
        <v>801</v>
      </c>
      <c r="G3728" s="670" t="e">
        <f>#REF!</f>
        <v>#REF!</v>
      </c>
      <c r="H3728" s="670" t="e">
        <f>INT(E3728*G3728)</f>
        <v>#REF!</v>
      </c>
      <c r="I3728" s="670"/>
      <c r="J3728" s="670"/>
      <c r="K3728" s="670"/>
      <c r="L3728" s="670"/>
      <c r="M3728" s="670" t="e">
        <f t="shared" ref="M3728:N3732" si="838">G3728+I3728+K3728</f>
        <v>#REF!</v>
      </c>
      <c r="N3728" s="670" t="e">
        <f t="shared" si="838"/>
        <v>#REF!</v>
      </c>
      <c r="O3728" s="876"/>
      <c r="P3728" s="672"/>
      <c r="Q3728" s="688" t="s">
        <v>2437</v>
      </c>
    </row>
    <row r="3729" spans="1:17" s="688" customFormat="1" ht="17.100000000000001" customHeight="1">
      <c r="A3729" s="1316" t="s">
        <v>1000</v>
      </c>
      <c r="B3729" s="1317"/>
      <c r="C3729" s="1316" t="s">
        <v>1001</v>
      </c>
      <c r="D3729" s="1317"/>
      <c r="E3729" s="701">
        <v>4.0000000000000001E-3</v>
      </c>
      <c r="F3729" s="676" t="s">
        <v>801</v>
      </c>
      <c r="G3729" s="670" t="e">
        <f>#REF!</f>
        <v>#REF!</v>
      </c>
      <c r="H3729" s="670" t="e">
        <f>INT(E3729*G3729)</f>
        <v>#REF!</v>
      </c>
      <c r="I3729" s="670"/>
      <c r="J3729" s="670"/>
      <c r="K3729" s="670"/>
      <c r="L3729" s="670"/>
      <c r="M3729" s="670" t="e">
        <f t="shared" si="838"/>
        <v>#REF!</v>
      </c>
      <c r="N3729" s="670" t="e">
        <f t="shared" si="838"/>
        <v>#REF!</v>
      </c>
      <c r="O3729" s="876"/>
      <c r="P3729" s="672"/>
      <c r="Q3729" s="688" t="s">
        <v>2437</v>
      </c>
    </row>
    <row r="3730" spans="1:17" s="688" customFormat="1" ht="17.100000000000001" customHeight="1">
      <c r="A3730" s="1316" t="s">
        <v>2265</v>
      </c>
      <c r="B3730" s="1317"/>
      <c r="C3730" s="1316"/>
      <c r="D3730" s="1317"/>
      <c r="E3730" s="701">
        <f>E3716*1.2</f>
        <v>1.7999999999999999E-2</v>
      </c>
      <c r="F3730" s="676" t="s">
        <v>366</v>
      </c>
      <c r="G3730" s="670"/>
      <c r="H3730" s="670"/>
      <c r="I3730" s="670">
        <f>[53]노임단가!$BK$6</f>
        <v>263017</v>
      </c>
      <c r="J3730" s="670">
        <f>INT(E3730*I3730)</f>
        <v>4734</v>
      </c>
      <c r="K3730" s="670"/>
      <c r="L3730" s="670"/>
      <c r="M3730" s="670">
        <f t="shared" si="838"/>
        <v>263017</v>
      </c>
      <c r="N3730" s="670">
        <f t="shared" si="838"/>
        <v>4734</v>
      </c>
      <c r="O3730" s="876"/>
      <c r="P3730" s="672"/>
      <c r="Q3730" s="688" t="s">
        <v>2437</v>
      </c>
    </row>
    <row r="3731" spans="1:17" s="688" customFormat="1" ht="17.100000000000001" customHeight="1">
      <c r="A3731" s="1316" t="s">
        <v>248</v>
      </c>
      <c r="B3731" s="1317"/>
      <c r="C3731" s="1316"/>
      <c r="D3731" s="1317"/>
      <c r="E3731" s="701">
        <f>E3717*1.2</f>
        <v>3.5999999999999999E-3</v>
      </c>
      <c r="F3731" s="676" t="s">
        <v>366</v>
      </c>
      <c r="G3731" s="670"/>
      <c r="H3731" s="670"/>
      <c r="I3731" s="670">
        <f>[53]노임단가!$T$5</f>
        <v>172068</v>
      </c>
      <c r="J3731" s="670">
        <f>INT(E3731*I3731)</f>
        <v>619</v>
      </c>
      <c r="K3731" s="670"/>
      <c r="L3731" s="670"/>
      <c r="M3731" s="670">
        <f t="shared" si="838"/>
        <v>172068</v>
      </c>
      <c r="N3731" s="670">
        <f t="shared" si="838"/>
        <v>619</v>
      </c>
      <c r="O3731" s="876"/>
      <c r="P3731" s="672"/>
      <c r="Q3731" s="688" t="s">
        <v>2437</v>
      </c>
    </row>
    <row r="3732" spans="1:17" s="688" customFormat="1" ht="17.100000000000001" customHeight="1">
      <c r="A3732" s="1316" t="s">
        <v>1763</v>
      </c>
      <c r="B3732" s="1317"/>
      <c r="C3732" s="1316" t="s">
        <v>1764</v>
      </c>
      <c r="D3732" s="1317"/>
      <c r="E3732" s="675">
        <v>0.02</v>
      </c>
      <c r="F3732" s="676" t="s">
        <v>672</v>
      </c>
      <c r="G3732" s="670">
        <f>J3730+J3731</f>
        <v>5353</v>
      </c>
      <c r="H3732" s="670">
        <f>INT(E3732*G3732)</f>
        <v>107</v>
      </c>
      <c r="I3732" s="670"/>
      <c r="J3732" s="670"/>
      <c r="K3732" s="670"/>
      <c r="L3732" s="670"/>
      <c r="M3732" s="670">
        <f t="shared" si="838"/>
        <v>5353</v>
      </c>
      <c r="N3732" s="670">
        <f t="shared" si="838"/>
        <v>107</v>
      </c>
      <c r="O3732" s="876"/>
      <c r="P3732" s="672"/>
      <c r="Q3732" s="688" t="s">
        <v>2437</v>
      </c>
    </row>
    <row r="3733" spans="1:17" s="688" customFormat="1" ht="17.100000000000001" customHeight="1">
      <c r="A3733" s="1318" t="s">
        <v>1320</v>
      </c>
      <c r="B3733" s="1319"/>
      <c r="C3733" s="1316"/>
      <c r="D3733" s="1317"/>
      <c r="E3733" s="686"/>
      <c r="F3733" s="676"/>
      <c r="G3733" s="670"/>
      <c r="H3733" s="670" t="e">
        <f>SUM(H3728:H3732)</f>
        <v>#REF!</v>
      </c>
      <c r="I3733" s="670"/>
      <c r="J3733" s="670">
        <f>SUM(J3728:J3732)</f>
        <v>5353</v>
      </c>
      <c r="K3733" s="670"/>
      <c r="L3733" s="670">
        <f>SUM(L3728:L3732)</f>
        <v>0</v>
      </c>
      <c r="M3733" s="670"/>
      <c r="N3733" s="670" t="e">
        <f>SUM(N3728:N3732)</f>
        <v>#REF!</v>
      </c>
      <c r="O3733" s="876"/>
      <c r="P3733" s="672"/>
      <c r="Q3733" s="688" t="s">
        <v>2437</v>
      </c>
    </row>
    <row r="3734" spans="1:17" s="688" customFormat="1" ht="17.100000000000001" customHeight="1">
      <c r="A3734" s="668">
        <f>A3727+1</f>
        <v>498</v>
      </c>
      <c r="B3734" s="1320" t="s">
        <v>2435</v>
      </c>
      <c r="C3734" s="1320"/>
      <c r="D3734" s="1320" t="s">
        <v>2440</v>
      </c>
      <c r="E3734" s="1320"/>
      <c r="F3734" s="669" t="s">
        <v>645</v>
      </c>
      <c r="G3734" s="698"/>
      <c r="H3734" s="698"/>
      <c r="I3734" s="698"/>
      <c r="J3734" s="698"/>
      <c r="K3734" s="670"/>
      <c r="L3734" s="670"/>
      <c r="M3734" s="670"/>
      <c r="N3734" s="698"/>
      <c r="O3734" s="876"/>
      <c r="P3734" s="672"/>
      <c r="Q3734" s="688" t="s">
        <v>2437</v>
      </c>
    </row>
    <row r="3735" spans="1:17" s="688" customFormat="1" ht="17.100000000000001" customHeight="1">
      <c r="A3735" s="1316" t="s">
        <v>997</v>
      </c>
      <c r="B3735" s="1317"/>
      <c r="C3735" s="1316" t="s">
        <v>998</v>
      </c>
      <c r="D3735" s="1317"/>
      <c r="E3735" s="701">
        <v>0.161</v>
      </c>
      <c r="F3735" s="676" t="s">
        <v>801</v>
      </c>
      <c r="G3735" s="670" t="e">
        <f>#REF!</f>
        <v>#REF!</v>
      </c>
      <c r="H3735" s="670" t="e">
        <f>INT(E3735*G3735)</f>
        <v>#REF!</v>
      </c>
      <c r="I3735" s="670"/>
      <c r="J3735" s="670"/>
      <c r="K3735" s="670"/>
      <c r="L3735" s="670"/>
      <c r="M3735" s="670" t="e">
        <f t="shared" ref="M3735:N3739" si="839">G3735+I3735+K3735</f>
        <v>#REF!</v>
      </c>
      <c r="N3735" s="670" t="e">
        <f t="shared" si="839"/>
        <v>#REF!</v>
      </c>
      <c r="O3735" s="876"/>
      <c r="P3735" s="672"/>
      <c r="Q3735" s="688" t="s">
        <v>2437</v>
      </c>
    </row>
    <row r="3736" spans="1:17" s="688" customFormat="1" ht="17.100000000000001" customHeight="1">
      <c r="A3736" s="1316" t="s">
        <v>1000</v>
      </c>
      <c r="B3736" s="1317"/>
      <c r="C3736" s="1316" t="s">
        <v>1001</v>
      </c>
      <c r="D3736" s="1317"/>
      <c r="E3736" s="701">
        <v>8.0000000000000002E-3</v>
      </c>
      <c r="F3736" s="676" t="s">
        <v>801</v>
      </c>
      <c r="G3736" s="670" t="e">
        <f>#REF!</f>
        <v>#REF!</v>
      </c>
      <c r="H3736" s="670" t="e">
        <f>INT(E3736*G3736)</f>
        <v>#REF!</v>
      </c>
      <c r="I3736" s="670"/>
      <c r="J3736" s="670"/>
      <c r="K3736" s="670"/>
      <c r="L3736" s="670"/>
      <c r="M3736" s="670" t="e">
        <f t="shared" si="839"/>
        <v>#REF!</v>
      </c>
      <c r="N3736" s="670" t="e">
        <f t="shared" si="839"/>
        <v>#REF!</v>
      </c>
      <c r="O3736" s="876"/>
      <c r="P3736" s="672"/>
      <c r="Q3736" s="688" t="s">
        <v>2437</v>
      </c>
    </row>
    <row r="3737" spans="1:17" s="688" customFormat="1" ht="17.100000000000001" customHeight="1">
      <c r="A3737" s="1316" t="s">
        <v>2265</v>
      </c>
      <c r="B3737" s="1317"/>
      <c r="C3737" s="1316"/>
      <c r="D3737" s="1317"/>
      <c r="E3737" s="701">
        <f>E3730*2</f>
        <v>3.5999999999999997E-2</v>
      </c>
      <c r="F3737" s="676" t="s">
        <v>366</v>
      </c>
      <c r="G3737" s="670"/>
      <c r="H3737" s="670"/>
      <c r="I3737" s="670">
        <f>[53]노임단가!$BK$6</f>
        <v>263017</v>
      </c>
      <c r="J3737" s="670">
        <f>INT(E3737*I3737)</f>
        <v>9468</v>
      </c>
      <c r="K3737" s="670"/>
      <c r="L3737" s="670"/>
      <c r="M3737" s="670">
        <f t="shared" si="839"/>
        <v>263017</v>
      </c>
      <c r="N3737" s="670">
        <f t="shared" si="839"/>
        <v>9468</v>
      </c>
      <c r="O3737" s="876"/>
      <c r="P3737" s="672"/>
      <c r="Q3737" s="688" t="s">
        <v>2437</v>
      </c>
    </row>
    <row r="3738" spans="1:17" s="688" customFormat="1" ht="17.100000000000001" customHeight="1">
      <c r="A3738" s="1316" t="s">
        <v>248</v>
      </c>
      <c r="B3738" s="1317"/>
      <c r="C3738" s="1316"/>
      <c r="D3738" s="1317"/>
      <c r="E3738" s="701">
        <f>E3731*2</f>
        <v>7.1999999999999998E-3</v>
      </c>
      <c r="F3738" s="676" t="s">
        <v>366</v>
      </c>
      <c r="G3738" s="670"/>
      <c r="H3738" s="670"/>
      <c r="I3738" s="670">
        <f>[53]노임단가!$T$5</f>
        <v>172068</v>
      </c>
      <c r="J3738" s="670">
        <f>INT(E3738*I3738)</f>
        <v>1238</v>
      </c>
      <c r="K3738" s="670"/>
      <c r="L3738" s="670"/>
      <c r="M3738" s="670">
        <f t="shared" si="839"/>
        <v>172068</v>
      </c>
      <c r="N3738" s="670">
        <f t="shared" si="839"/>
        <v>1238</v>
      </c>
      <c r="O3738" s="876"/>
      <c r="P3738" s="672"/>
      <c r="Q3738" s="688" t="s">
        <v>2437</v>
      </c>
    </row>
    <row r="3739" spans="1:17" s="688" customFormat="1" ht="17.100000000000001" customHeight="1">
      <c r="A3739" s="1316" t="s">
        <v>1763</v>
      </c>
      <c r="B3739" s="1317"/>
      <c r="C3739" s="1316" t="s">
        <v>1764</v>
      </c>
      <c r="D3739" s="1317"/>
      <c r="E3739" s="675">
        <v>0.02</v>
      </c>
      <c r="F3739" s="676" t="s">
        <v>672</v>
      </c>
      <c r="G3739" s="670">
        <f>J3737+J3738</f>
        <v>10706</v>
      </c>
      <c r="H3739" s="670">
        <f>INT(E3739*G3739)</f>
        <v>214</v>
      </c>
      <c r="I3739" s="670"/>
      <c r="J3739" s="670"/>
      <c r="K3739" s="670"/>
      <c r="L3739" s="670"/>
      <c r="M3739" s="670">
        <f t="shared" si="839"/>
        <v>10706</v>
      </c>
      <c r="N3739" s="670">
        <f t="shared" si="839"/>
        <v>214</v>
      </c>
      <c r="O3739" s="876"/>
      <c r="P3739" s="672"/>
      <c r="Q3739" s="688" t="s">
        <v>2437</v>
      </c>
    </row>
    <row r="3740" spans="1:17" s="688" customFormat="1" ht="17.100000000000001" customHeight="1">
      <c r="A3740" s="1318" t="s">
        <v>1320</v>
      </c>
      <c r="B3740" s="1319"/>
      <c r="C3740" s="1316"/>
      <c r="D3740" s="1317"/>
      <c r="E3740" s="686"/>
      <c r="F3740" s="676"/>
      <c r="G3740" s="670"/>
      <c r="H3740" s="670" t="e">
        <f>SUM(H3735:H3739)</f>
        <v>#REF!</v>
      </c>
      <c r="I3740" s="670"/>
      <c r="J3740" s="670">
        <f>SUM(J3735:J3739)</f>
        <v>10706</v>
      </c>
      <c r="K3740" s="670"/>
      <c r="L3740" s="670">
        <f>SUM(L3735:L3739)</f>
        <v>0</v>
      </c>
      <c r="M3740" s="670"/>
      <c r="N3740" s="670" t="e">
        <f>SUM(N3735:N3739)</f>
        <v>#REF!</v>
      </c>
      <c r="O3740" s="876"/>
      <c r="P3740" s="672"/>
      <c r="Q3740" s="688" t="s">
        <v>2437</v>
      </c>
    </row>
    <row r="3741" spans="1:17" s="688" customFormat="1" ht="17.100000000000001" customHeight="1">
      <c r="A3741" s="668">
        <f>A3734+1</f>
        <v>499</v>
      </c>
      <c r="B3741" s="1320" t="s">
        <v>2441</v>
      </c>
      <c r="C3741" s="1320"/>
      <c r="D3741" s="1320" t="s">
        <v>2442</v>
      </c>
      <c r="E3741" s="1320"/>
      <c r="F3741" s="669" t="s">
        <v>1828</v>
      </c>
      <c r="G3741" s="698"/>
      <c r="H3741" s="698"/>
      <c r="I3741" s="698"/>
      <c r="J3741" s="698"/>
      <c r="K3741" s="670"/>
      <c r="L3741" s="670"/>
      <c r="M3741" s="670"/>
      <c r="N3741" s="698"/>
      <c r="O3741" s="882" t="s">
        <v>2443</v>
      </c>
      <c r="P3741" s="672"/>
      <c r="Q3741" s="688" t="s">
        <v>2437</v>
      </c>
    </row>
    <row r="3742" spans="1:17" s="688" customFormat="1" ht="17.100000000000001" customHeight="1">
      <c r="A3742" s="1316" t="s">
        <v>628</v>
      </c>
      <c r="B3742" s="1317"/>
      <c r="C3742" s="1316" t="s">
        <v>2444</v>
      </c>
      <c r="D3742" s="1317"/>
      <c r="E3742" s="686">
        <v>7.4000000000000003E-3</v>
      </c>
      <c r="F3742" s="676" t="s">
        <v>366</v>
      </c>
      <c r="G3742" s="670"/>
      <c r="H3742" s="670"/>
      <c r="I3742" s="670">
        <f>[53]노임단가!$T$6</f>
        <v>226122</v>
      </c>
      <c r="J3742" s="670">
        <f>INT(E3742*I3742)</f>
        <v>1673</v>
      </c>
      <c r="K3742" s="670"/>
      <c r="L3742" s="670"/>
      <c r="M3742" s="670">
        <f t="shared" ref="M3742:N3746" si="840">G3742+I3742+K3742</f>
        <v>226122</v>
      </c>
      <c r="N3742" s="670">
        <f t="shared" si="840"/>
        <v>1673</v>
      </c>
      <c r="O3742" s="671"/>
      <c r="P3742" s="672"/>
      <c r="Q3742" s="688" t="s">
        <v>2437</v>
      </c>
    </row>
    <row r="3743" spans="1:17" s="688" customFormat="1" ht="17.100000000000001" customHeight="1">
      <c r="A3743" s="1316" t="s">
        <v>248</v>
      </c>
      <c r="B3743" s="1317"/>
      <c r="C3743" s="1316" t="s">
        <v>2444</v>
      </c>
      <c r="D3743" s="1317"/>
      <c r="E3743" s="686">
        <v>1.4800000000000001E-2</v>
      </c>
      <c r="F3743" s="676" t="s">
        <v>366</v>
      </c>
      <c r="G3743" s="670"/>
      <c r="H3743" s="670"/>
      <c r="I3743" s="670">
        <f>[53]노임단가!$T$5</f>
        <v>172068</v>
      </c>
      <c r="J3743" s="670">
        <f>INT(E3743*I3743)</f>
        <v>2546</v>
      </c>
      <c r="K3743" s="670"/>
      <c r="L3743" s="670"/>
      <c r="M3743" s="670">
        <f t="shared" si="840"/>
        <v>172068</v>
      </c>
      <c r="N3743" s="670">
        <f t="shared" si="840"/>
        <v>2546</v>
      </c>
      <c r="O3743" s="671"/>
      <c r="P3743" s="672"/>
      <c r="Q3743" s="688" t="s">
        <v>2437</v>
      </c>
    </row>
    <row r="3744" spans="1:17" s="688" customFormat="1" ht="17.100000000000001" customHeight="1">
      <c r="A3744" s="1316" t="s">
        <v>628</v>
      </c>
      <c r="B3744" s="1317"/>
      <c r="C3744" s="1316" t="s">
        <v>2445</v>
      </c>
      <c r="D3744" s="1317"/>
      <c r="E3744" s="686">
        <v>9.7999999999999997E-3</v>
      </c>
      <c r="F3744" s="676" t="s">
        <v>366</v>
      </c>
      <c r="G3744" s="670"/>
      <c r="H3744" s="670"/>
      <c r="I3744" s="670">
        <f>[53]노임단가!$T$6</f>
        <v>226122</v>
      </c>
      <c r="J3744" s="670">
        <f>INT(E3744*I3744)</f>
        <v>2215</v>
      </c>
      <c r="K3744" s="670"/>
      <c r="L3744" s="670"/>
      <c r="M3744" s="670">
        <f t="shared" si="840"/>
        <v>226122</v>
      </c>
      <c r="N3744" s="670">
        <f t="shared" si="840"/>
        <v>2215</v>
      </c>
      <c r="O3744" s="671"/>
      <c r="P3744" s="672"/>
      <c r="Q3744" s="688" t="s">
        <v>2437</v>
      </c>
    </row>
    <row r="3745" spans="1:17" s="688" customFormat="1" ht="17.100000000000001" customHeight="1">
      <c r="A3745" s="1316" t="s">
        <v>248</v>
      </c>
      <c r="B3745" s="1317"/>
      <c r="C3745" s="1316" t="s">
        <v>2445</v>
      </c>
      <c r="D3745" s="1317"/>
      <c r="E3745" s="686">
        <v>4.8999999999999998E-3</v>
      </c>
      <c r="F3745" s="676" t="s">
        <v>366</v>
      </c>
      <c r="G3745" s="670"/>
      <c r="H3745" s="670"/>
      <c r="I3745" s="670">
        <f>[53]노임단가!$T$5</f>
        <v>172068</v>
      </c>
      <c r="J3745" s="670">
        <f>INT(E3745*I3745)</f>
        <v>843</v>
      </c>
      <c r="K3745" s="670"/>
      <c r="L3745" s="670"/>
      <c r="M3745" s="670">
        <f>G3745+I3745+K3745</f>
        <v>172068</v>
      </c>
      <c r="N3745" s="670">
        <f>H3745+J3745+L3745</f>
        <v>843</v>
      </c>
      <c r="O3745" s="671"/>
      <c r="P3745" s="672"/>
      <c r="Q3745" s="688" t="s">
        <v>2437</v>
      </c>
    </row>
    <row r="3746" spans="1:17" s="688" customFormat="1" ht="17.100000000000001" customHeight="1">
      <c r="A3746" s="1316" t="s">
        <v>1199</v>
      </c>
      <c r="B3746" s="1317"/>
      <c r="C3746" s="1316" t="s">
        <v>2446</v>
      </c>
      <c r="D3746" s="1317"/>
      <c r="E3746" s="686">
        <v>6.9000000000000006E-2</v>
      </c>
      <c r="F3746" s="676" t="s">
        <v>418</v>
      </c>
      <c r="G3746" s="670" t="e">
        <f>#REF!</f>
        <v>#REF!</v>
      </c>
      <c r="H3746" s="670" t="e">
        <f>INT(E3746*G3746)</f>
        <v>#REF!</v>
      </c>
      <c r="I3746" s="670" t="e">
        <f>#REF!</f>
        <v>#REF!</v>
      </c>
      <c r="J3746" s="670" t="e">
        <f>INT(E3746*I3746)</f>
        <v>#REF!</v>
      </c>
      <c r="K3746" s="670" t="e">
        <f>#REF!</f>
        <v>#REF!</v>
      </c>
      <c r="L3746" s="670" t="e">
        <f>INT(E3746*K3746)</f>
        <v>#REF!</v>
      </c>
      <c r="M3746" s="670" t="e">
        <f t="shared" si="840"/>
        <v>#REF!</v>
      </c>
      <c r="N3746" s="670" t="e">
        <f t="shared" si="840"/>
        <v>#REF!</v>
      </c>
      <c r="O3746" s="671"/>
      <c r="P3746" s="672"/>
      <c r="Q3746" s="688" t="s">
        <v>2437</v>
      </c>
    </row>
    <row r="3747" spans="1:17" s="688" customFormat="1" ht="17.100000000000001" customHeight="1">
      <c r="A3747" s="1318" t="s">
        <v>1320</v>
      </c>
      <c r="B3747" s="1319"/>
      <c r="C3747" s="1316"/>
      <c r="D3747" s="1317"/>
      <c r="E3747" s="686"/>
      <c r="F3747" s="676"/>
      <c r="G3747" s="670"/>
      <c r="H3747" s="670" t="e">
        <f>SUM(H3742:H3746)</f>
        <v>#REF!</v>
      </c>
      <c r="I3747" s="670"/>
      <c r="J3747" s="670" t="e">
        <f>SUM(J3742:J3746)</f>
        <v>#REF!</v>
      </c>
      <c r="K3747" s="670"/>
      <c r="L3747" s="670" t="e">
        <f>SUM(L3742:L3746)</f>
        <v>#REF!</v>
      </c>
      <c r="M3747" s="670"/>
      <c r="N3747" s="670" t="e">
        <f>SUM(N3742:N3746)</f>
        <v>#REF!</v>
      </c>
      <c r="O3747" s="671"/>
      <c r="P3747" s="672"/>
      <c r="Q3747" s="688" t="s">
        <v>2437</v>
      </c>
    </row>
    <row r="3748" spans="1:17" s="688" customFormat="1" ht="17.100000000000001" customHeight="1">
      <c r="A3748" s="668">
        <f>A3741+1</f>
        <v>500</v>
      </c>
      <c r="B3748" s="1320" t="s">
        <v>2447</v>
      </c>
      <c r="C3748" s="1320"/>
      <c r="D3748" s="1320"/>
      <c r="E3748" s="1320"/>
      <c r="F3748" s="669" t="s">
        <v>1828</v>
      </c>
      <c r="G3748" s="698"/>
      <c r="H3748" s="698"/>
      <c r="I3748" s="698"/>
      <c r="J3748" s="698"/>
      <c r="K3748" s="670"/>
      <c r="L3748" s="670"/>
      <c r="M3748" s="670"/>
      <c r="N3748" s="698"/>
      <c r="O3748" s="882" t="s">
        <v>2443</v>
      </c>
      <c r="P3748" s="672"/>
      <c r="Q3748" s="688" t="s">
        <v>2437</v>
      </c>
    </row>
    <row r="3749" spans="1:17" s="688" customFormat="1" ht="17.100000000000001" customHeight="1">
      <c r="A3749" s="1316" t="s">
        <v>628</v>
      </c>
      <c r="B3749" s="1317"/>
      <c r="C3749" s="1316"/>
      <c r="D3749" s="1317"/>
      <c r="E3749" s="683">
        <v>6.6400000000000001E-2</v>
      </c>
      <c r="F3749" s="676" t="s">
        <v>366</v>
      </c>
      <c r="G3749" s="670"/>
      <c r="H3749" s="670"/>
      <c r="I3749" s="670">
        <f>[53]노임단가!$T$6</f>
        <v>226122</v>
      </c>
      <c r="J3749" s="670">
        <f>INT(E3749*I3749)</f>
        <v>15014</v>
      </c>
      <c r="K3749" s="670"/>
      <c r="L3749" s="670"/>
      <c r="M3749" s="670">
        <f t="shared" ref="M3749:N3751" si="841">G3749+I3749+K3749</f>
        <v>226122</v>
      </c>
      <c r="N3749" s="670">
        <f t="shared" si="841"/>
        <v>15014</v>
      </c>
      <c r="O3749" s="671"/>
      <c r="P3749" s="672"/>
      <c r="Q3749" s="688" t="s">
        <v>2437</v>
      </c>
    </row>
    <row r="3750" spans="1:17" s="688" customFormat="1" ht="17.100000000000001" customHeight="1">
      <c r="A3750" s="1316" t="s">
        <v>248</v>
      </c>
      <c r="B3750" s="1317"/>
      <c r="C3750" s="1316"/>
      <c r="D3750" s="1317"/>
      <c r="E3750" s="683">
        <v>6.6400000000000001E-2</v>
      </c>
      <c r="F3750" s="676" t="s">
        <v>366</v>
      </c>
      <c r="G3750" s="670"/>
      <c r="H3750" s="670"/>
      <c r="I3750" s="670">
        <f>[53]노임단가!$T$5</f>
        <v>172068</v>
      </c>
      <c r="J3750" s="670">
        <f>INT(E3750*I3750)</f>
        <v>11425</v>
      </c>
      <c r="K3750" s="670"/>
      <c r="L3750" s="670"/>
      <c r="M3750" s="670">
        <f t="shared" si="841"/>
        <v>172068</v>
      </c>
      <c r="N3750" s="670">
        <f t="shared" si="841"/>
        <v>11425</v>
      </c>
      <c r="O3750" s="671"/>
      <c r="P3750" s="672"/>
      <c r="Q3750" s="688" t="s">
        <v>2437</v>
      </c>
    </row>
    <row r="3751" spans="1:17" s="688" customFormat="1" ht="17.100000000000001" customHeight="1">
      <c r="A3751" s="1316" t="s">
        <v>1485</v>
      </c>
      <c r="B3751" s="1317"/>
      <c r="C3751" s="1316" t="s">
        <v>2365</v>
      </c>
      <c r="D3751" s="1317"/>
      <c r="E3751" s="675">
        <v>0.1</v>
      </c>
      <c r="F3751" s="676" t="s">
        <v>672</v>
      </c>
      <c r="G3751" s="670"/>
      <c r="H3751" s="670">
        <f>INT(E3751*G3751)</f>
        <v>0</v>
      </c>
      <c r="I3751" s="670"/>
      <c r="J3751" s="670"/>
      <c r="K3751" s="670">
        <f>J3749+J3750</f>
        <v>26439</v>
      </c>
      <c r="L3751" s="670">
        <f>INT(E3751*K3751)</f>
        <v>2643</v>
      </c>
      <c r="M3751" s="670">
        <f t="shared" si="841"/>
        <v>26439</v>
      </c>
      <c r="N3751" s="670">
        <f t="shared" si="841"/>
        <v>2643</v>
      </c>
      <c r="O3751" s="671"/>
      <c r="P3751" s="672"/>
      <c r="Q3751" s="688" t="s">
        <v>2437</v>
      </c>
    </row>
    <row r="3752" spans="1:17" s="688" customFormat="1" ht="17.100000000000001" customHeight="1">
      <c r="A3752" s="1318" t="s">
        <v>1320</v>
      </c>
      <c r="B3752" s="1319"/>
      <c r="C3752" s="1316"/>
      <c r="D3752" s="1317"/>
      <c r="E3752" s="686"/>
      <c r="F3752" s="676"/>
      <c r="G3752" s="670"/>
      <c r="H3752" s="670">
        <f>SUM(H3749:H3751)</f>
        <v>0</v>
      </c>
      <c r="I3752" s="670"/>
      <c r="J3752" s="670">
        <f>SUM(J3749:J3750)</f>
        <v>26439</v>
      </c>
      <c r="K3752" s="670"/>
      <c r="L3752" s="670">
        <f>SUM(L3749:L3751)</f>
        <v>2643</v>
      </c>
      <c r="M3752" s="670"/>
      <c r="N3752" s="670">
        <f>SUM(N3749:N3751)</f>
        <v>29082</v>
      </c>
      <c r="O3752" s="671"/>
      <c r="P3752" s="672"/>
      <c r="Q3752" s="688" t="s">
        <v>2437</v>
      </c>
    </row>
    <row r="3753" spans="1:17" s="688" customFormat="1" ht="17.100000000000001" customHeight="1">
      <c r="A3753" s="668">
        <f>A3748+1</f>
        <v>501</v>
      </c>
      <c r="B3753" s="1320" t="s">
        <v>2448</v>
      </c>
      <c r="C3753" s="1320"/>
      <c r="D3753" s="1320" t="s">
        <v>2449</v>
      </c>
      <c r="E3753" s="1320"/>
      <c r="F3753" s="669" t="s">
        <v>575</v>
      </c>
      <c r="G3753" s="698"/>
      <c r="H3753" s="698"/>
      <c r="I3753" s="698"/>
      <c r="J3753" s="698"/>
      <c r="K3753" s="670"/>
      <c r="L3753" s="670"/>
      <c r="M3753" s="670"/>
      <c r="N3753" s="698"/>
      <c r="O3753" s="699"/>
      <c r="P3753" s="672"/>
      <c r="Q3753" s="688" t="s">
        <v>2437</v>
      </c>
    </row>
    <row r="3754" spans="1:17" s="688" customFormat="1" ht="17.100000000000001" customHeight="1">
      <c r="A3754" s="1316" t="s">
        <v>962</v>
      </c>
      <c r="B3754" s="1320"/>
      <c r="C3754" s="1316" t="s">
        <v>2450</v>
      </c>
      <c r="D3754" s="1317"/>
      <c r="E3754" s="683">
        <v>6.6699999999999995E-2</v>
      </c>
      <c r="F3754" s="676" t="s">
        <v>30</v>
      </c>
      <c r="G3754" s="670" t="e">
        <f>#REF!</f>
        <v>#REF!</v>
      </c>
      <c r="H3754" s="670" t="e">
        <f>INT(E3754*G3754)</f>
        <v>#REF!</v>
      </c>
      <c r="I3754" s="670"/>
      <c r="J3754" s="670"/>
      <c r="K3754" s="670"/>
      <c r="L3754" s="670"/>
      <c r="M3754" s="670" t="e">
        <f t="shared" ref="M3754:N3761" si="842">G3754+I3754+K3754</f>
        <v>#REF!</v>
      </c>
      <c r="N3754" s="670" t="e">
        <f t="shared" si="842"/>
        <v>#REF!</v>
      </c>
      <c r="O3754" s="671"/>
      <c r="P3754" s="672"/>
      <c r="Q3754" s="688" t="s">
        <v>2437</v>
      </c>
    </row>
    <row r="3755" spans="1:17" s="688" customFormat="1" ht="17.100000000000001" customHeight="1">
      <c r="A3755" s="1316" t="s">
        <v>968</v>
      </c>
      <c r="B3755" s="1320"/>
      <c r="C3755" s="1316" t="s">
        <v>2450</v>
      </c>
      <c r="D3755" s="1317"/>
      <c r="E3755" s="686">
        <v>6.6699999999999995E-2</v>
      </c>
      <c r="F3755" s="676" t="s">
        <v>30</v>
      </c>
      <c r="G3755" s="670" t="e">
        <f>#REF!</f>
        <v>#REF!</v>
      </c>
      <c r="H3755" s="670" t="e">
        <f>INT(E3755*G3755)</f>
        <v>#REF!</v>
      </c>
      <c r="I3755" s="670"/>
      <c r="J3755" s="670"/>
      <c r="K3755" s="670"/>
      <c r="L3755" s="670"/>
      <c r="M3755" s="670" t="e">
        <f t="shared" si="842"/>
        <v>#REF!</v>
      </c>
      <c r="N3755" s="670" t="e">
        <f t="shared" si="842"/>
        <v>#REF!</v>
      </c>
      <c r="O3755" s="671"/>
      <c r="P3755" s="672"/>
      <c r="Q3755" s="688" t="s">
        <v>2437</v>
      </c>
    </row>
    <row r="3756" spans="1:17" s="688" customFormat="1" ht="17.100000000000001" customHeight="1">
      <c r="A3756" s="1316" t="s">
        <v>1719</v>
      </c>
      <c r="B3756" s="1317"/>
      <c r="C3756" s="1316"/>
      <c r="D3756" s="1317"/>
      <c r="E3756" s="701">
        <f>2/4</f>
        <v>0.5</v>
      </c>
      <c r="F3756" s="676" t="s">
        <v>366</v>
      </c>
      <c r="G3756" s="670"/>
      <c r="H3756" s="670"/>
      <c r="I3756" s="670">
        <f>[53]노임단가!$BK$17</f>
        <v>262580</v>
      </c>
      <c r="J3756" s="670">
        <f>INT(E3756*I3756)</f>
        <v>131290</v>
      </c>
      <c r="K3756" s="670"/>
      <c r="L3756" s="670"/>
      <c r="M3756" s="670">
        <f t="shared" si="842"/>
        <v>262580</v>
      </c>
      <c r="N3756" s="670">
        <f t="shared" si="842"/>
        <v>131290</v>
      </c>
      <c r="O3756" s="671"/>
      <c r="P3756" s="672"/>
      <c r="Q3756" s="688" t="s">
        <v>2437</v>
      </c>
    </row>
    <row r="3757" spans="1:17" s="688" customFormat="1" ht="17.100000000000001" customHeight="1">
      <c r="A3757" s="1316" t="s">
        <v>248</v>
      </c>
      <c r="B3757" s="1317"/>
      <c r="C3757" s="1316"/>
      <c r="D3757" s="1317"/>
      <c r="E3757" s="701">
        <f>1/4</f>
        <v>0.25</v>
      </c>
      <c r="F3757" s="676" t="s">
        <v>366</v>
      </c>
      <c r="G3757" s="670"/>
      <c r="H3757" s="670"/>
      <c r="I3757" s="670">
        <f>[53]노임단가!$T$5</f>
        <v>172068</v>
      </c>
      <c r="J3757" s="670">
        <f>INT(E3757*I3757)</f>
        <v>43017</v>
      </c>
      <c r="K3757" s="670"/>
      <c r="L3757" s="670"/>
      <c r="M3757" s="670">
        <f t="shared" si="842"/>
        <v>172068</v>
      </c>
      <c r="N3757" s="670">
        <f t="shared" si="842"/>
        <v>43017</v>
      </c>
      <c r="O3757" s="671"/>
      <c r="P3757" s="672"/>
      <c r="Q3757" s="688" t="s">
        <v>2437</v>
      </c>
    </row>
    <row r="3758" spans="1:17" s="688" customFormat="1" ht="17.100000000000001" customHeight="1">
      <c r="A3758" s="1316" t="s">
        <v>1068</v>
      </c>
      <c r="B3758" s="1317"/>
      <c r="C3758" s="1316" t="s">
        <v>2451</v>
      </c>
      <c r="D3758" s="1317"/>
      <c r="E3758" s="677"/>
      <c r="F3758" s="676" t="s">
        <v>801</v>
      </c>
      <c r="G3758" s="704" t="e">
        <f>#REF!</f>
        <v>#REF!</v>
      </c>
      <c r="H3758" s="670" t="e">
        <f>INT(E3758*G3758)</f>
        <v>#REF!</v>
      </c>
      <c r="I3758" s="670"/>
      <c r="J3758" s="670"/>
      <c r="K3758" s="670"/>
      <c r="L3758" s="670"/>
      <c r="M3758" s="704" t="e">
        <f t="shared" si="842"/>
        <v>#REF!</v>
      </c>
      <c r="N3758" s="670" t="e">
        <f>H3758+J3758+L3758</f>
        <v>#REF!</v>
      </c>
      <c r="O3758" s="671"/>
      <c r="P3758" s="672"/>
      <c r="Q3758" s="688" t="s">
        <v>2437</v>
      </c>
    </row>
    <row r="3759" spans="1:17" s="688" customFormat="1" ht="17.100000000000001" customHeight="1">
      <c r="A3759" s="1316" t="s">
        <v>1397</v>
      </c>
      <c r="B3759" s="1317"/>
      <c r="C3759" s="1316" t="s">
        <v>1251</v>
      </c>
      <c r="D3759" s="1317"/>
      <c r="E3759" s="675">
        <v>1.41</v>
      </c>
      <c r="F3759" s="676" t="s">
        <v>418</v>
      </c>
      <c r="G3759" s="670" t="e">
        <f>$G$1662</f>
        <v>#REF!</v>
      </c>
      <c r="H3759" s="670" t="e">
        <f>INT(E3759*G3759)</f>
        <v>#REF!</v>
      </c>
      <c r="I3759" s="670" t="e">
        <f>$I$1662</f>
        <v>#REF!</v>
      </c>
      <c r="J3759" s="670" t="e">
        <f>INT(E3759*I3759)</f>
        <v>#REF!</v>
      </c>
      <c r="K3759" s="670" t="e">
        <f>$K$1662</f>
        <v>#REF!</v>
      </c>
      <c r="L3759" s="670" t="e">
        <f>INT(E3759*K3759)</f>
        <v>#REF!</v>
      </c>
      <c r="M3759" s="670" t="e">
        <f t="shared" si="842"/>
        <v>#REF!</v>
      </c>
      <c r="N3759" s="670" t="e">
        <f t="shared" si="842"/>
        <v>#REF!</v>
      </c>
      <c r="O3759" s="671"/>
      <c r="P3759" s="672"/>
      <c r="Q3759" s="688" t="s">
        <v>2437</v>
      </c>
    </row>
    <row r="3760" spans="1:17" s="688" customFormat="1" ht="17.100000000000001" customHeight="1">
      <c r="A3760" s="1316" t="s">
        <v>417</v>
      </c>
      <c r="B3760" s="1317"/>
      <c r="C3760" s="1316" t="s">
        <v>550</v>
      </c>
      <c r="D3760" s="1317"/>
      <c r="E3760" s="675">
        <v>1.41</v>
      </c>
      <c r="F3760" s="676" t="s">
        <v>418</v>
      </c>
      <c r="G3760" s="670" t="e">
        <f>#REF!</f>
        <v>#REF!</v>
      </c>
      <c r="H3760" s="670" t="e">
        <f>INT(E3760*G3760)</f>
        <v>#REF!</v>
      </c>
      <c r="I3760" s="670" t="e">
        <f>#REF!</f>
        <v>#REF!</v>
      </c>
      <c r="J3760" s="670" t="e">
        <f>INT(E3760*I3760)</f>
        <v>#REF!</v>
      </c>
      <c r="K3760" s="670" t="e">
        <f>#REF!</f>
        <v>#REF!</v>
      </c>
      <c r="L3760" s="670" t="e">
        <f>INT(E3760*K3760)</f>
        <v>#REF!</v>
      </c>
      <c r="M3760" s="670" t="e">
        <f t="shared" si="842"/>
        <v>#REF!</v>
      </c>
      <c r="N3760" s="670" t="e">
        <f t="shared" si="842"/>
        <v>#REF!</v>
      </c>
      <c r="O3760" s="671"/>
      <c r="P3760" s="672"/>
      <c r="Q3760" s="688" t="s">
        <v>2437</v>
      </c>
    </row>
    <row r="3761" spans="1:20" s="688" customFormat="1" ht="17.100000000000001" customHeight="1">
      <c r="A3761" s="1316" t="s">
        <v>1328</v>
      </c>
      <c r="B3761" s="1317"/>
      <c r="C3761" s="1316" t="s">
        <v>2392</v>
      </c>
      <c r="D3761" s="1317"/>
      <c r="E3761" s="675">
        <v>0.05</v>
      </c>
      <c r="F3761" s="676" t="s">
        <v>672</v>
      </c>
      <c r="G3761" s="670" t="e">
        <f>H3754+H3755</f>
        <v>#REF!</v>
      </c>
      <c r="H3761" s="670" t="e">
        <f>INT(E3761*G3761)</f>
        <v>#REF!</v>
      </c>
      <c r="I3761" s="670"/>
      <c r="J3761" s="670"/>
      <c r="K3761" s="670"/>
      <c r="L3761" s="670"/>
      <c r="M3761" s="670" t="e">
        <f t="shared" si="842"/>
        <v>#REF!</v>
      </c>
      <c r="N3761" s="670" t="e">
        <f t="shared" si="842"/>
        <v>#REF!</v>
      </c>
      <c r="O3761" s="671"/>
      <c r="P3761" s="672"/>
      <c r="Q3761" s="688" t="s">
        <v>2437</v>
      </c>
    </row>
    <row r="3762" spans="1:20" s="688" customFormat="1" ht="17.100000000000001" customHeight="1">
      <c r="A3762" s="1316" t="s">
        <v>2452</v>
      </c>
      <c r="B3762" s="1317"/>
      <c r="C3762" s="1316" t="s">
        <v>1451</v>
      </c>
      <c r="D3762" s="1317"/>
      <c r="E3762" s="675">
        <v>0.03</v>
      </c>
      <c r="F3762" s="676" t="s">
        <v>672</v>
      </c>
      <c r="G3762" s="670"/>
      <c r="H3762" s="670">
        <f>INT(E3762*G3762)</f>
        <v>0</v>
      </c>
      <c r="I3762" s="670"/>
      <c r="J3762" s="670"/>
      <c r="K3762" s="831">
        <f>J3756+J3757</f>
        <v>174307</v>
      </c>
      <c r="L3762" s="670">
        <f>INT(E3762*K3762)</f>
        <v>5229</v>
      </c>
      <c r="M3762" s="670">
        <f>G3762+I3762+K3762</f>
        <v>174307</v>
      </c>
      <c r="N3762" s="670">
        <f>H3762+J3762+L3762</f>
        <v>5229</v>
      </c>
      <c r="O3762" s="671"/>
      <c r="P3762" s="672"/>
      <c r="Q3762" s="688" t="s">
        <v>2437</v>
      </c>
    </row>
    <row r="3763" spans="1:20" s="688" customFormat="1" ht="17.100000000000001" customHeight="1">
      <c r="A3763" s="1318" t="s">
        <v>1320</v>
      </c>
      <c r="B3763" s="1319"/>
      <c r="C3763" s="1316"/>
      <c r="D3763" s="1317"/>
      <c r="E3763" s="686"/>
      <c r="F3763" s="676"/>
      <c r="G3763" s="670"/>
      <c r="H3763" s="670" t="e">
        <f>SUM(H3754:H3762)</f>
        <v>#REF!</v>
      </c>
      <c r="I3763" s="670"/>
      <c r="J3763" s="670" t="e">
        <f>SUM(J3754:J3762)</f>
        <v>#REF!</v>
      </c>
      <c r="K3763" s="670"/>
      <c r="L3763" s="670" t="e">
        <f>SUM(L3754:L3762)</f>
        <v>#REF!</v>
      </c>
      <c r="M3763" s="670"/>
      <c r="N3763" s="670" t="e">
        <f>SUM(N3754:N3762)</f>
        <v>#REF!</v>
      </c>
      <c r="O3763" s="671"/>
      <c r="P3763" s="672"/>
      <c r="Q3763" s="688" t="s">
        <v>2437</v>
      </c>
    </row>
    <row r="3764" spans="1:20" s="688" customFormat="1" ht="17.100000000000001" customHeight="1">
      <c r="A3764" s="668">
        <f>A3753+1</f>
        <v>502</v>
      </c>
      <c r="B3764" s="1320" t="s">
        <v>2448</v>
      </c>
      <c r="C3764" s="1320"/>
      <c r="D3764" s="1320" t="s">
        <v>2453</v>
      </c>
      <c r="E3764" s="1320"/>
      <c r="F3764" s="669" t="s">
        <v>575</v>
      </c>
      <c r="G3764" s="698"/>
      <c r="H3764" s="698"/>
      <c r="I3764" s="698"/>
      <c r="J3764" s="698"/>
      <c r="K3764" s="670"/>
      <c r="L3764" s="670"/>
      <c r="M3764" s="670"/>
      <c r="N3764" s="698"/>
      <c r="O3764" s="699"/>
      <c r="P3764" s="672"/>
      <c r="Q3764" s="688" t="s">
        <v>2437</v>
      </c>
    </row>
    <row r="3765" spans="1:20" s="688" customFormat="1" ht="17.100000000000001" customHeight="1">
      <c r="A3765" s="1316" t="s">
        <v>962</v>
      </c>
      <c r="B3765" s="1320"/>
      <c r="C3765" s="1316" t="s">
        <v>2454</v>
      </c>
      <c r="D3765" s="1317"/>
      <c r="E3765" s="679">
        <v>0.1</v>
      </c>
      <c r="F3765" s="676" t="s">
        <v>30</v>
      </c>
      <c r="G3765" s="670" t="e">
        <f>#REF!</f>
        <v>#REF!</v>
      </c>
      <c r="H3765" s="670" t="e">
        <f>INT(E3765*G3765)</f>
        <v>#REF!</v>
      </c>
      <c r="I3765" s="670"/>
      <c r="J3765" s="670"/>
      <c r="K3765" s="670"/>
      <c r="L3765" s="670"/>
      <c r="M3765" s="670" t="e">
        <f t="shared" ref="M3765:N3773" si="843">G3765+I3765+K3765</f>
        <v>#REF!</v>
      </c>
      <c r="N3765" s="670" t="e">
        <f t="shared" si="843"/>
        <v>#REF!</v>
      </c>
      <c r="O3765" s="671"/>
      <c r="P3765" s="672"/>
      <c r="Q3765" s="688" t="s">
        <v>2437</v>
      </c>
    </row>
    <row r="3766" spans="1:20" s="688" customFormat="1" ht="17.100000000000001" customHeight="1">
      <c r="A3766" s="1316" t="s">
        <v>968</v>
      </c>
      <c r="B3766" s="1320"/>
      <c r="C3766" s="1316" t="s">
        <v>2454</v>
      </c>
      <c r="D3766" s="1317"/>
      <c r="E3766" s="679">
        <v>0.1</v>
      </c>
      <c r="F3766" s="676" t="s">
        <v>30</v>
      </c>
      <c r="G3766" s="670" t="e">
        <f>#REF!</f>
        <v>#REF!</v>
      </c>
      <c r="H3766" s="670" t="e">
        <f>INT(E3766*G3766)</f>
        <v>#REF!</v>
      </c>
      <c r="I3766" s="670"/>
      <c r="J3766" s="670"/>
      <c r="K3766" s="670"/>
      <c r="L3766" s="670"/>
      <c r="M3766" s="670" t="e">
        <f t="shared" si="843"/>
        <v>#REF!</v>
      </c>
      <c r="N3766" s="670" t="e">
        <f t="shared" si="843"/>
        <v>#REF!</v>
      </c>
      <c r="O3766" s="671"/>
      <c r="P3766" s="672"/>
      <c r="Q3766" s="688" t="s">
        <v>2437</v>
      </c>
    </row>
    <row r="3767" spans="1:20" s="688" customFormat="1" ht="17.100000000000001" customHeight="1">
      <c r="A3767" s="1316" t="s">
        <v>1719</v>
      </c>
      <c r="B3767" s="1317"/>
      <c r="C3767" s="1316"/>
      <c r="D3767" s="1317"/>
      <c r="E3767" s="701">
        <f>2/3</f>
        <v>0.66666666666666663</v>
      </c>
      <c r="F3767" s="676" t="s">
        <v>366</v>
      </c>
      <c r="G3767" s="670"/>
      <c r="H3767" s="670"/>
      <c r="I3767" s="670">
        <f>[53]노임단가!$BK$17</f>
        <v>262580</v>
      </c>
      <c r="J3767" s="670">
        <f>INT(E3767*I3767)</f>
        <v>175053</v>
      </c>
      <c r="K3767" s="670"/>
      <c r="L3767" s="670"/>
      <c r="M3767" s="670">
        <f t="shared" si="843"/>
        <v>262580</v>
      </c>
      <c r="N3767" s="670">
        <f t="shared" si="843"/>
        <v>175053</v>
      </c>
      <c r="O3767" s="671"/>
      <c r="P3767" s="672"/>
      <c r="Q3767" s="688" t="s">
        <v>2437</v>
      </c>
    </row>
    <row r="3768" spans="1:20" s="688" customFormat="1" ht="17.100000000000001" customHeight="1">
      <c r="A3768" s="1316" t="s">
        <v>248</v>
      </c>
      <c r="B3768" s="1317"/>
      <c r="C3768" s="1316"/>
      <c r="D3768" s="1317"/>
      <c r="E3768" s="701">
        <f>1/3</f>
        <v>0.33333333333333331</v>
      </c>
      <c r="F3768" s="676" t="s">
        <v>366</v>
      </c>
      <c r="G3768" s="670"/>
      <c r="H3768" s="670"/>
      <c r="I3768" s="670">
        <f>[53]노임단가!$T$5</f>
        <v>172068</v>
      </c>
      <c r="J3768" s="670">
        <f>INT(E3768*I3768)</f>
        <v>57356</v>
      </c>
      <c r="K3768" s="670"/>
      <c r="L3768" s="670"/>
      <c r="M3768" s="670">
        <f t="shared" si="843"/>
        <v>172068</v>
      </c>
      <c r="N3768" s="670">
        <f t="shared" si="843"/>
        <v>57356</v>
      </c>
      <c r="O3768" s="671"/>
      <c r="P3768" s="672"/>
      <c r="Q3768" s="688" t="s">
        <v>2437</v>
      </c>
    </row>
    <row r="3769" spans="1:20" s="688" customFormat="1" ht="17.100000000000001" customHeight="1">
      <c r="A3769" s="1316" t="s">
        <v>1068</v>
      </c>
      <c r="B3769" s="1317"/>
      <c r="C3769" s="1316" t="s">
        <v>2455</v>
      </c>
      <c r="D3769" s="1317"/>
      <c r="E3769" s="677"/>
      <c r="F3769" s="676" t="s">
        <v>801</v>
      </c>
      <c r="G3769" s="704" t="e">
        <f>#REF!</f>
        <v>#REF!</v>
      </c>
      <c r="H3769" s="670" t="e">
        <f>INT(E3769*G3769)</f>
        <v>#REF!</v>
      </c>
      <c r="I3769" s="670"/>
      <c r="J3769" s="670"/>
      <c r="K3769" s="670"/>
      <c r="L3769" s="670"/>
      <c r="M3769" s="704" t="e">
        <f t="shared" si="843"/>
        <v>#REF!</v>
      </c>
      <c r="N3769" s="670" t="e">
        <f t="shared" si="843"/>
        <v>#REF!</v>
      </c>
      <c r="O3769" s="671"/>
      <c r="P3769" s="672"/>
      <c r="Q3769" s="688" t="s">
        <v>2437</v>
      </c>
    </row>
    <row r="3770" spans="1:20" s="688" customFormat="1" ht="17.100000000000001" customHeight="1">
      <c r="A3770" s="1316" t="s">
        <v>1397</v>
      </c>
      <c r="B3770" s="1317"/>
      <c r="C3770" s="1316" t="s">
        <v>1251</v>
      </c>
      <c r="D3770" s="1317"/>
      <c r="E3770" s="675">
        <v>1.53</v>
      </c>
      <c r="F3770" s="676" t="s">
        <v>418</v>
      </c>
      <c r="G3770" s="670" t="e">
        <f>$G$1662</f>
        <v>#REF!</v>
      </c>
      <c r="H3770" s="670" t="e">
        <f>INT(E3770*G3770)</f>
        <v>#REF!</v>
      </c>
      <c r="I3770" s="670" t="e">
        <f>$I$1662</f>
        <v>#REF!</v>
      </c>
      <c r="J3770" s="670" t="e">
        <f>INT(E3770*I3770)</f>
        <v>#REF!</v>
      </c>
      <c r="K3770" s="670" t="e">
        <f>$K$1662</f>
        <v>#REF!</v>
      </c>
      <c r="L3770" s="670" t="e">
        <f>INT(E3770*K3770)</f>
        <v>#REF!</v>
      </c>
      <c r="M3770" s="670" t="e">
        <f t="shared" si="843"/>
        <v>#REF!</v>
      </c>
      <c r="N3770" s="670" t="e">
        <f t="shared" si="843"/>
        <v>#REF!</v>
      </c>
      <c r="O3770" s="671"/>
      <c r="P3770" s="672"/>
      <c r="Q3770" s="688" t="s">
        <v>2437</v>
      </c>
    </row>
    <row r="3771" spans="1:20" s="688" customFormat="1" ht="17.100000000000001" customHeight="1">
      <c r="A3771" s="1316" t="s">
        <v>417</v>
      </c>
      <c r="B3771" s="1317"/>
      <c r="C3771" s="1316" t="s">
        <v>550</v>
      </c>
      <c r="D3771" s="1317"/>
      <c r="E3771" s="675">
        <v>1.53</v>
      </c>
      <c r="F3771" s="676" t="s">
        <v>418</v>
      </c>
      <c r="G3771" s="670" t="e">
        <f>$G$3760</f>
        <v>#REF!</v>
      </c>
      <c r="H3771" s="670" t="e">
        <f>INT(E3771*G3771)</f>
        <v>#REF!</v>
      </c>
      <c r="I3771" s="670" t="e">
        <f>$I$3760</f>
        <v>#REF!</v>
      </c>
      <c r="J3771" s="670" t="e">
        <f>INT(E3771*I3771)</f>
        <v>#REF!</v>
      </c>
      <c r="K3771" s="670" t="e">
        <f>$K$3760</f>
        <v>#REF!</v>
      </c>
      <c r="L3771" s="670" t="e">
        <f>INT(E3771*K3771)</f>
        <v>#REF!</v>
      </c>
      <c r="M3771" s="670" t="e">
        <f t="shared" si="843"/>
        <v>#REF!</v>
      </c>
      <c r="N3771" s="670" t="e">
        <f t="shared" si="843"/>
        <v>#REF!</v>
      </c>
      <c r="O3771" s="671"/>
      <c r="P3771" s="672"/>
      <c r="Q3771" s="688" t="s">
        <v>2437</v>
      </c>
    </row>
    <row r="3772" spans="1:20" s="688" customFormat="1" ht="17.100000000000001" customHeight="1">
      <c r="A3772" s="1316" t="s">
        <v>1328</v>
      </c>
      <c r="B3772" s="1317"/>
      <c r="C3772" s="1316" t="s">
        <v>2392</v>
      </c>
      <c r="D3772" s="1317"/>
      <c r="E3772" s="675">
        <v>0.05</v>
      </c>
      <c r="F3772" s="676" t="s">
        <v>672</v>
      </c>
      <c r="G3772" s="670" t="e">
        <f>H3765+H3766</f>
        <v>#REF!</v>
      </c>
      <c r="H3772" s="670" t="e">
        <f>INT(E3772*G3772)</f>
        <v>#REF!</v>
      </c>
      <c r="I3772" s="670"/>
      <c r="J3772" s="670"/>
      <c r="K3772" s="670"/>
      <c r="L3772" s="670"/>
      <c r="M3772" s="670" t="e">
        <f t="shared" si="843"/>
        <v>#REF!</v>
      </c>
      <c r="N3772" s="670" t="e">
        <f t="shared" si="843"/>
        <v>#REF!</v>
      </c>
      <c r="O3772" s="671"/>
      <c r="P3772" s="672"/>
      <c r="Q3772" s="688" t="s">
        <v>2437</v>
      </c>
    </row>
    <row r="3773" spans="1:20" s="688" customFormat="1" ht="17.100000000000001" customHeight="1">
      <c r="A3773" s="1316" t="s">
        <v>2452</v>
      </c>
      <c r="B3773" s="1317"/>
      <c r="C3773" s="1316" t="s">
        <v>1451</v>
      </c>
      <c r="D3773" s="1317"/>
      <c r="E3773" s="675">
        <v>0.03</v>
      </c>
      <c r="F3773" s="676" t="s">
        <v>672</v>
      </c>
      <c r="G3773" s="670"/>
      <c r="H3773" s="670">
        <f>INT(E3773*G3773)</f>
        <v>0</v>
      </c>
      <c r="I3773" s="670"/>
      <c r="J3773" s="670"/>
      <c r="K3773" s="831">
        <f>J3767+J3768</f>
        <v>232409</v>
      </c>
      <c r="L3773" s="670">
        <f>INT(E3773*K3773)</f>
        <v>6972</v>
      </c>
      <c r="M3773" s="670">
        <f t="shared" si="843"/>
        <v>232409</v>
      </c>
      <c r="N3773" s="670">
        <f t="shared" si="843"/>
        <v>6972</v>
      </c>
      <c r="O3773" s="671"/>
      <c r="P3773" s="672"/>
      <c r="Q3773" s="688" t="s">
        <v>2437</v>
      </c>
    </row>
    <row r="3774" spans="1:20" s="688" customFormat="1" ht="17.100000000000001" customHeight="1">
      <c r="A3774" s="1318" t="s">
        <v>1320</v>
      </c>
      <c r="B3774" s="1319"/>
      <c r="C3774" s="1316"/>
      <c r="D3774" s="1317"/>
      <c r="E3774" s="686"/>
      <c r="F3774" s="676"/>
      <c r="G3774" s="670"/>
      <c r="H3774" s="670" t="e">
        <f>SUM(H3765:H3773)</f>
        <v>#REF!</v>
      </c>
      <c r="I3774" s="670"/>
      <c r="J3774" s="670" t="e">
        <f>SUM(J3765:J3773)</f>
        <v>#REF!</v>
      </c>
      <c r="K3774" s="670"/>
      <c r="L3774" s="670" t="e">
        <f>SUM(L3765:L3773)</f>
        <v>#REF!</v>
      </c>
      <c r="M3774" s="670"/>
      <c r="N3774" s="670" t="e">
        <f>SUM(N3765:N3773)</f>
        <v>#REF!</v>
      </c>
      <c r="O3774" s="671"/>
      <c r="P3774" s="672"/>
      <c r="Q3774" s="688" t="s">
        <v>2437</v>
      </c>
    </row>
    <row r="3775" spans="1:20" s="688" customFormat="1" ht="17.100000000000001" customHeight="1">
      <c r="A3775" s="668">
        <f>A3764+1</f>
        <v>503</v>
      </c>
      <c r="B3775" s="1320" t="s">
        <v>2448</v>
      </c>
      <c r="C3775" s="1320"/>
      <c r="D3775" s="1320" t="s">
        <v>2456</v>
      </c>
      <c r="E3775" s="1320"/>
      <c r="F3775" s="669" t="s">
        <v>575</v>
      </c>
      <c r="G3775" s="698"/>
      <c r="H3775" s="698"/>
      <c r="I3775" s="698"/>
      <c r="J3775" s="698"/>
      <c r="K3775" s="670"/>
      <c r="L3775" s="670"/>
      <c r="M3775" s="670"/>
      <c r="N3775" s="698"/>
      <c r="O3775" s="699"/>
      <c r="P3775" s="672"/>
      <c r="T3775" s="690" t="e">
        <f>ROUND(S3775/#REF!,4)</f>
        <v>#REF!</v>
      </c>
    </row>
    <row r="3776" spans="1:20" s="688" customFormat="1" ht="17.100000000000001" customHeight="1">
      <c r="A3776" s="1316" t="s">
        <v>968</v>
      </c>
      <c r="B3776" s="1320"/>
      <c r="C3776" s="1316" t="s">
        <v>2457</v>
      </c>
      <c r="D3776" s="1317"/>
      <c r="E3776" s="679">
        <v>0.2</v>
      </c>
      <c r="F3776" s="676" t="s">
        <v>30</v>
      </c>
      <c r="G3776" s="670" t="e">
        <f>#REF!</f>
        <v>#REF!</v>
      </c>
      <c r="H3776" s="670" t="e">
        <f>INT(E3776*G3776)</f>
        <v>#REF!</v>
      </c>
      <c r="I3776" s="670"/>
      <c r="J3776" s="670"/>
      <c r="K3776" s="670"/>
      <c r="L3776" s="670"/>
      <c r="M3776" s="670" t="e">
        <f t="shared" ref="M3776:N3783" si="844">G3776+I3776+K3776</f>
        <v>#REF!</v>
      </c>
      <c r="N3776" s="670" t="e">
        <f t="shared" si="844"/>
        <v>#REF!</v>
      </c>
      <c r="O3776" s="671"/>
      <c r="P3776" s="672"/>
      <c r="T3776" s="690" t="e">
        <f t="shared" ref="T3776:T3781" si="845">ROUND(S3776/R3775,4)</f>
        <v>#DIV/0!</v>
      </c>
    </row>
    <row r="3777" spans="1:20" s="688" customFormat="1" ht="17.100000000000001" customHeight="1">
      <c r="A3777" s="1316" t="s">
        <v>1719</v>
      </c>
      <c r="B3777" s="1317"/>
      <c r="C3777" s="1316"/>
      <c r="D3777" s="1317"/>
      <c r="E3777" s="701">
        <f>2/2</f>
        <v>1</v>
      </c>
      <c r="F3777" s="676" t="s">
        <v>366</v>
      </c>
      <c r="G3777" s="670"/>
      <c r="H3777" s="670"/>
      <c r="I3777" s="670">
        <f>[53]노임단가!$BK$17</f>
        <v>262580</v>
      </c>
      <c r="J3777" s="670">
        <f>INT(E3777*I3777)</f>
        <v>262580</v>
      </c>
      <c r="K3777" s="670"/>
      <c r="L3777" s="670"/>
      <c r="M3777" s="670">
        <f t="shared" si="844"/>
        <v>262580</v>
      </c>
      <c r="N3777" s="670">
        <f t="shared" si="844"/>
        <v>262580</v>
      </c>
      <c r="O3777" s="671"/>
      <c r="P3777" s="672"/>
      <c r="T3777" s="690" t="e">
        <f t="shared" si="845"/>
        <v>#DIV/0!</v>
      </c>
    </row>
    <row r="3778" spans="1:20" s="688" customFormat="1" ht="17.100000000000001" customHeight="1">
      <c r="A3778" s="1316" t="s">
        <v>248</v>
      </c>
      <c r="B3778" s="1317"/>
      <c r="C3778" s="1316"/>
      <c r="D3778" s="1317"/>
      <c r="E3778" s="701">
        <f>1/2</f>
        <v>0.5</v>
      </c>
      <c r="F3778" s="676" t="s">
        <v>366</v>
      </c>
      <c r="G3778" s="670"/>
      <c r="H3778" s="670"/>
      <c r="I3778" s="670">
        <f>[53]노임단가!$T$5</f>
        <v>172068</v>
      </c>
      <c r="J3778" s="670">
        <f>INT(E3778*I3778)</f>
        <v>86034</v>
      </c>
      <c r="K3778" s="670"/>
      <c r="L3778" s="670"/>
      <c r="M3778" s="670">
        <f t="shared" si="844"/>
        <v>172068</v>
      </c>
      <c r="N3778" s="670">
        <f t="shared" si="844"/>
        <v>86034</v>
      </c>
      <c r="O3778" s="671"/>
      <c r="P3778" s="672"/>
      <c r="T3778" s="690" t="e">
        <f t="shared" si="845"/>
        <v>#DIV/0!</v>
      </c>
    </row>
    <row r="3779" spans="1:20" s="688" customFormat="1" ht="17.100000000000001" customHeight="1">
      <c r="A3779" s="1316" t="s">
        <v>1068</v>
      </c>
      <c r="B3779" s="1317"/>
      <c r="C3779" s="1316" t="s">
        <v>2458</v>
      </c>
      <c r="D3779" s="1317"/>
      <c r="E3779" s="677"/>
      <c r="F3779" s="676" t="s">
        <v>801</v>
      </c>
      <c r="G3779" s="704" t="e">
        <f>#REF!</f>
        <v>#REF!</v>
      </c>
      <c r="H3779" s="670" t="e">
        <f>INT(E3779*G3779)</f>
        <v>#REF!</v>
      </c>
      <c r="I3779" s="670"/>
      <c r="J3779" s="670"/>
      <c r="K3779" s="670"/>
      <c r="L3779" s="670"/>
      <c r="M3779" s="704" t="e">
        <f t="shared" si="844"/>
        <v>#REF!</v>
      </c>
      <c r="N3779" s="670" t="e">
        <f t="shared" si="844"/>
        <v>#REF!</v>
      </c>
      <c r="O3779" s="671"/>
      <c r="P3779" s="672"/>
      <c r="S3779" s="688">
        <v>1</v>
      </c>
      <c r="T3779" s="690" t="e">
        <f t="shared" si="845"/>
        <v>#DIV/0!</v>
      </c>
    </row>
    <row r="3780" spans="1:20" s="688" customFormat="1" ht="17.100000000000001" customHeight="1">
      <c r="A3780" s="1316" t="s">
        <v>1397</v>
      </c>
      <c r="B3780" s="1317"/>
      <c r="C3780" s="1316" t="s">
        <v>1251</v>
      </c>
      <c r="D3780" s="1317"/>
      <c r="E3780" s="675">
        <v>1.61</v>
      </c>
      <c r="F3780" s="676" t="s">
        <v>418</v>
      </c>
      <c r="G3780" s="670" t="e">
        <f>$G$1662</f>
        <v>#REF!</v>
      </c>
      <c r="H3780" s="670" t="e">
        <f>INT(E3780*G3780)</f>
        <v>#REF!</v>
      </c>
      <c r="I3780" s="670" t="e">
        <f>$I$1662</f>
        <v>#REF!</v>
      </c>
      <c r="J3780" s="670" t="e">
        <f>INT(E3780*I3780)</f>
        <v>#REF!</v>
      </c>
      <c r="K3780" s="670" t="e">
        <f>$K$1662</f>
        <v>#REF!</v>
      </c>
      <c r="L3780" s="670" t="e">
        <f>INT(E3780*K3780)</f>
        <v>#REF!</v>
      </c>
      <c r="M3780" s="670" t="e">
        <f t="shared" si="844"/>
        <v>#REF!</v>
      </c>
      <c r="N3780" s="670" t="e">
        <f t="shared" si="844"/>
        <v>#REF!</v>
      </c>
      <c r="O3780" s="671"/>
      <c r="P3780" s="672"/>
      <c r="S3780" s="688">
        <v>2</v>
      </c>
      <c r="T3780" s="690" t="e">
        <f t="shared" si="845"/>
        <v>#DIV/0!</v>
      </c>
    </row>
    <row r="3781" spans="1:20" s="688" customFormat="1" ht="17.100000000000001" customHeight="1">
      <c r="A3781" s="1316" t="s">
        <v>417</v>
      </c>
      <c r="B3781" s="1317"/>
      <c r="C3781" s="1316" t="s">
        <v>550</v>
      </c>
      <c r="D3781" s="1317"/>
      <c r="E3781" s="675">
        <v>1.61</v>
      </c>
      <c r="F3781" s="676" t="s">
        <v>418</v>
      </c>
      <c r="G3781" s="670" t="e">
        <f>$G$3760</f>
        <v>#REF!</v>
      </c>
      <c r="H3781" s="670" t="e">
        <f>INT(E3781*G3781)</f>
        <v>#REF!</v>
      </c>
      <c r="I3781" s="670" t="e">
        <f>$I$3760</f>
        <v>#REF!</v>
      </c>
      <c r="J3781" s="670" t="e">
        <f>INT(E3781*I3781)</f>
        <v>#REF!</v>
      </c>
      <c r="K3781" s="670" t="e">
        <f>$K$3760</f>
        <v>#REF!</v>
      </c>
      <c r="L3781" s="670" t="e">
        <f>INT(E3781*K3781)</f>
        <v>#REF!</v>
      </c>
      <c r="M3781" s="670" t="e">
        <f t="shared" si="844"/>
        <v>#REF!</v>
      </c>
      <c r="N3781" s="670" t="e">
        <f t="shared" si="844"/>
        <v>#REF!</v>
      </c>
      <c r="O3781" s="671"/>
      <c r="P3781" s="672"/>
      <c r="T3781" s="690" t="e">
        <f t="shared" si="845"/>
        <v>#DIV/0!</v>
      </c>
    </row>
    <row r="3782" spans="1:20" s="688" customFormat="1" ht="17.100000000000001" customHeight="1">
      <c r="A3782" s="1316" t="s">
        <v>1328</v>
      </c>
      <c r="B3782" s="1317"/>
      <c r="C3782" s="1316" t="s">
        <v>2392</v>
      </c>
      <c r="D3782" s="1317"/>
      <c r="E3782" s="675">
        <v>0.05</v>
      </c>
      <c r="F3782" s="676" t="s">
        <v>672</v>
      </c>
      <c r="G3782" s="670" t="e">
        <f>H3776</f>
        <v>#REF!</v>
      </c>
      <c r="H3782" s="670" t="e">
        <f>INT(E3782*G3782)</f>
        <v>#REF!</v>
      </c>
      <c r="I3782" s="670"/>
      <c r="J3782" s="670"/>
      <c r="K3782" s="670"/>
      <c r="L3782" s="670"/>
      <c r="M3782" s="670" t="e">
        <f t="shared" si="844"/>
        <v>#REF!</v>
      </c>
      <c r="N3782" s="670" t="e">
        <f t="shared" si="844"/>
        <v>#REF!</v>
      </c>
      <c r="O3782" s="671"/>
      <c r="P3782" s="672"/>
    </row>
    <row r="3783" spans="1:20" s="688" customFormat="1" ht="17.100000000000001" customHeight="1">
      <c r="A3783" s="1316" t="s">
        <v>2452</v>
      </c>
      <c r="B3783" s="1317"/>
      <c r="C3783" s="1316" t="s">
        <v>1451</v>
      </c>
      <c r="D3783" s="1317"/>
      <c r="E3783" s="675">
        <v>0.03</v>
      </c>
      <c r="F3783" s="676" t="s">
        <v>672</v>
      </c>
      <c r="G3783" s="670"/>
      <c r="H3783" s="670">
        <f>INT(E3783*G3783)</f>
        <v>0</v>
      </c>
      <c r="I3783" s="670"/>
      <c r="J3783" s="670"/>
      <c r="K3783" s="831">
        <f>J3777+J3778</f>
        <v>348614</v>
      </c>
      <c r="L3783" s="670">
        <f>INT(E3783*K3783)</f>
        <v>10458</v>
      </c>
      <c r="M3783" s="670">
        <f t="shared" si="844"/>
        <v>348614</v>
      </c>
      <c r="N3783" s="670">
        <f t="shared" si="844"/>
        <v>10458</v>
      </c>
      <c r="O3783" s="671"/>
      <c r="P3783" s="672"/>
    </row>
    <row r="3784" spans="1:20" s="688" customFormat="1" ht="17.100000000000001" customHeight="1">
      <c r="A3784" s="1318" t="s">
        <v>1320</v>
      </c>
      <c r="B3784" s="1319"/>
      <c r="C3784" s="1316"/>
      <c r="D3784" s="1317"/>
      <c r="E3784" s="686"/>
      <c r="F3784" s="676"/>
      <c r="G3784" s="670"/>
      <c r="H3784" s="670" t="e">
        <f>SUM(H3776:H3783)</f>
        <v>#REF!</v>
      </c>
      <c r="I3784" s="670"/>
      <c r="J3784" s="670" t="e">
        <f>SUM(J3776:J3783)</f>
        <v>#REF!</v>
      </c>
      <c r="K3784" s="670"/>
      <c r="L3784" s="670" t="e">
        <f>SUM(L3776:L3783)</f>
        <v>#REF!</v>
      </c>
      <c r="M3784" s="670"/>
      <c r="N3784" s="670" t="e">
        <f>SUM(N3776:N3783)</f>
        <v>#REF!</v>
      </c>
      <c r="O3784" s="671"/>
      <c r="P3784" s="672"/>
    </row>
    <row r="3785" spans="1:20" s="688" customFormat="1" ht="17.100000000000001" customHeight="1">
      <c r="A3785" s="668">
        <f>A3775+1</f>
        <v>504</v>
      </c>
      <c r="B3785" s="1320" t="s">
        <v>2459</v>
      </c>
      <c r="C3785" s="1320"/>
      <c r="D3785" s="1320" t="s">
        <v>2460</v>
      </c>
      <c r="E3785" s="1320"/>
      <c r="F3785" s="669" t="s">
        <v>272</v>
      </c>
      <c r="G3785" s="698"/>
      <c r="H3785" s="698"/>
      <c r="I3785" s="698"/>
      <c r="J3785" s="698"/>
      <c r="K3785" s="670"/>
      <c r="L3785" s="670"/>
      <c r="M3785" s="670"/>
      <c r="N3785" s="698"/>
      <c r="O3785" s="699"/>
      <c r="P3785" s="672"/>
    </row>
    <row r="3786" spans="1:20" s="688" customFormat="1" ht="17.100000000000001" customHeight="1">
      <c r="A3786" s="1316" t="s">
        <v>987</v>
      </c>
      <c r="B3786" s="1317"/>
      <c r="C3786" s="1316" t="s">
        <v>2461</v>
      </c>
      <c r="D3786" s="1317"/>
      <c r="E3786" s="677">
        <v>1</v>
      </c>
      <c r="F3786" s="676" t="s">
        <v>272</v>
      </c>
      <c r="G3786" s="670"/>
      <c r="H3786" s="670"/>
      <c r="I3786" s="670"/>
      <c r="J3786" s="670"/>
      <c r="K3786" s="670" t="e">
        <f>#REF!</f>
        <v>#REF!</v>
      </c>
      <c r="L3786" s="670" t="e">
        <f>INT(E3786*K3786)</f>
        <v>#REF!</v>
      </c>
      <c r="M3786" s="670" t="e">
        <f>G3786+I3786+K3786</f>
        <v>#REF!</v>
      </c>
      <c r="N3786" s="670" t="e">
        <f>H3786+J3786+L3786</f>
        <v>#REF!</v>
      </c>
      <c r="O3786" s="671"/>
      <c r="P3786" s="672"/>
    </row>
    <row r="3787" spans="1:20" s="688" customFormat="1" ht="17.100000000000001" customHeight="1">
      <c r="A3787" s="1318" t="s">
        <v>1320</v>
      </c>
      <c r="B3787" s="1319"/>
      <c r="C3787" s="1316"/>
      <c r="D3787" s="1317"/>
      <c r="E3787" s="686"/>
      <c r="F3787" s="676"/>
      <c r="G3787" s="670"/>
      <c r="H3787" s="670"/>
      <c r="I3787" s="670"/>
      <c r="J3787" s="670"/>
      <c r="K3787" s="670"/>
      <c r="L3787" s="670" t="e">
        <f>SUM(L3786:L3786)</f>
        <v>#REF!</v>
      </c>
      <c r="M3787" s="670"/>
      <c r="N3787" s="670" t="e">
        <f>SUM(N3786:N3786)</f>
        <v>#REF!</v>
      </c>
      <c r="O3787" s="671"/>
      <c r="P3787" s="672"/>
    </row>
    <row r="3788" spans="1:20" s="688" customFormat="1" ht="17.100000000000001" customHeight="1">
      <c r="A3788" s="668">
        <f>A3785+1</f>
        <v>505</v>
      </c>
      <c r="B3788" s="1320" t="s">
        <v>2459</v>
      </c>
      <c r="C3788" s="1320"/>
      <c r="D3788" s="1320" t="s">
        <v>2462</v>
      </c>
      <c r="E3788" s="1320"/>
      <c r="F3788" s="669" t="s">
        <v>272</v>
      </c>
      <c r="G3788" s="698"/>
      <c r="H3788" s="698"/>
      <c r="I3788" s="698"/>
      <c r="J3788" s="698"/>
      <c r="K3788" s="670"/>
      <c r="L3788" s="670"/>
      <c r="M3788" s="670"/>
      <c r="N3788" s="698"/>
      <c r="O3788" s="699"/>
      <c r="P3788" s="672"/>
    </row>
    <row r="3789" spans="1:20" s="688" customFormat="1" ht="17.100000000000001" customHeight="1">
      <c r="A3789" s="1316" t="s">
        <v>987</v>
      </c>
      <c r="B3789" s="1317"/>
      <c r="C3789" s="1316" t="s">
        <v>2463</v>
      </c>
      <c r="D3789" s="1317"/>
      <c r="E3789" s="677">
        <v>1</v>
      </c>
      <c r="F3789" s="676" t="s">
        <v>272</v>
      </c>
      <c r="G3789" s="670"/>
      <c r="H3789" s="670"/>
      <c r="I3789" s="670"/>
      <c r="J3789" s="670"/>
      <c r="K3789" s="670" t="e">
        <f>#REF!</f>
        <v>#REF!</v>
      </c>
      <c r="L3789" s="670" t="e">
        <f>INT(E3789*K3789)</f>
        <v>#REF!</v>
      </c>
      <c r="M3789" s="670" t="e">
        <f>G3789+I3789+K3789</f>
        <v>#REF!</v>
      </c>
      <c r="N3789" s="670" t="e">
        <f>H3789+J3789+L3789</f>
        <v>#REF!</v>
      </c>
      <c r="O3789" s="671"/>
      <c r="P3789" s="672" t="s">
        <v>2311</v>
      </c>
      <c r="Q3789" s="688" t="s">
        <v>2464</v>
      </c>
    </row>
    <row r="3790" spans="1:20" s="688" customFormat="1" ht="17.100000000000001" customHeight="1">
      <c r="A3790" s="1318" t="s">
        <v>1320</v>
      </c>
      <c r="B3790" s="1319"/>
      <c r="C3790" s="1316"/>
      <c r="D3790" s="1317"/>
      <c r="E3790" s="686"/>
      <c r="F3790" s="676"/>
      <c r="G3790" s="670"/>
      <c r="H3790" s="670"/>
      <c r="I3790" s="670"/>
      <c r="J3790" s="670"/>
      <c r="K3790" s="670"/>
      <c r="L3790" s="670" t="e">
        <f>SUM(L3789:L3789)</f>
        <v>#REF!</v>
      </c>
      <c r="M3790" s="670"/>
      <c r="N3790" s="670" t="e">
        <f>SUM(N3789:N3789)</f>
        <v>#REF!</v>
      </c>
      <c r="O3790" s="671"/>
      <c r="P3790" s="672" t="s">
        <v>2311</v>
      </c>
    </row>
    <row r="3791" spans="1:20" s="713" customFormat="1" ht="17.100000000000001" customHeight="1">
      <c r="A3791" s="668">
        <f>+A3788+1</f>
        <v>506</v>
      </c>
      <c r="B3791" s="1320" t="s">
        <v>2465</v>
      </c>
      <c r="C3791" s="1320"/>
      <c r="D3791" s="1320" t="s">
        <v>2466</v>
      </c>
      <c r="E3791" s="1320"/>
      <c r="F3791" s="669" t="s">
        <v>272</v>
      </c>
      <c r="G3791" s="698"/>
      <c r="H3791" s="698"/>
      <c r="I3791" s="698"/>
      <c r="J3791" s="698"/>
      <c r="K3791" s="670"/>
      <c r="L3791" s="670"/>
      <c r="M3791" s="670"/>
      <c r="N3791" s="698"/>
      <c r="O3791" s="699"/>
      <c r="P3791" s="710" t="s">
        <v>2311</v>
      </c>
    </row>
    <row r="3792" spans="1:20" s="713" customFormat="1" ht="17.100000000000001" customHeight="1">
      <c r="A3792" s="1336" t="s">
        <v>628</v>
      </c>
      <c r="B3792" s="1337"/>
      <c r="C3792" s="1336"/>
      <c r="D3792" s="1337"/>
      <c r="E3792" s="883">
        <f>2/520</f>
        <v>3.8461538461538464E-3</v>
      </c>
      <c r="F3792" s="884" t="s">
        <v>366</v>
      </c>
      <c r="G3792" s="670"/>
      <c r="H3792" s="670"/>
      <c r="I3792" s="670">
        <f>[53]노임단가!$T$6</f>
        <v>226122</v>
      </c>
      <c r="J3792" s="670">
        <f>INT(I3792*E3792)</f>
        <v>869</v>
      </c>
      <c r="K3792" s="670"/>
      <c r="L3792" s="670"/>
      <c r="M3792" s="670">
        <f t="shared" ref="M3792:N3795" si="846">G3792+I3792+K3792</f>
        <v>226122</v>
      </c>
      <c r="N3792" s="670">
        <f t="shared" si="846"/>
        <v>869</v>
      </c>
      <c r="O3792" s="671"/>
      <c r="P3792" s="710" t="s">
        <v>2311</v>
      </c>
    </row>
    <row r="3793" spans="1:20" s="713" customFormat="1" ht="17.100000000000001" customHeight="1">
      <c r="A3793" s="1336" t="s">
        <v>248</v>
      </c>
      <c r="B3793" s="1337"/>
      <c r="C3793" s="1336"/>
      <c r="D3793" s="1337"/>
      <c r="E3793" s="883">
        <f>1/520</f>
        <v>1.9230769230769232E-3</v>
      </c>
      <c r="F3793" s="884" t="s">
        <v>366</v>
      </c>
      <c r="G3793" s="670"/>
      <c r="H3793" s="670"/>
      <c r="I3793" s="670">
        <f>[53]노임단가!$T$5</f>
        <v>172068</v>
      </c>
      <c r="J3793" s="670">
        <f>INT(I3793*E3793)</f>
        <v>330</v>
      </c>
      <c r="K3793" s="670"/>
      <c r="L3793" s="670"/>
      <c r="M3793" s="670">
        <f t="shared" si="846"/>
        <v>172068</v>
      </c>
      <c r="N3793" s="670">
        <f t="shared" si="846"/>
        <v>330</v>
      </c>
      <c r="O3793" s="671"/>
      <c r="P3793" s="710" t="s">
        <v>2311</v>
      </c>
    </row>
    <row r="3794" spans="1:20" s="713" customFormat="1" ht="17.100000000000001" customHeight="1">
      <c r="A3794" s="1336" t="s">
        <v>1062</v>
      </c>
      <c r="B3794" s="1337"/>
      <c r="C3794" s="1336"/>
      <c r="D3794" s="1337"/>
      <c r="E3794" s="883">
        <f>8/520</f>
        <v>1.5384615384615385E-2</v>
      </c>
      <c r="F3794" s="884" t="s">
        <v>418</v>
      </c>
      <c r="G3794" s="670"/>
      <c r="H3794" s="670"/>
      <c r="I3794" s="670"/>
      <c r="J3794" s="670"/>
      <c r="K3794" s="670" t="e">
        <f>#REF!</f>
        <v>#REF!</v>
      </c>
      <c r="L3794" s="670" t="e">
        <f>INT(K3794*E3794)</f>
        <v>#REF!</v>
      </c>
      <c r="M3794" s="670" t="e">
        <f t="shared" si="846"/>
        <v>#REF!</v>
      </c>
      <c r="N3794" s="670" t="e">
        <f t="shared" si="846"/>
        <v>#REF!</v>
      </c>
      <c r="O3794" s="671"/>
      <c r="P3794" s="710" t="s">
        <v>2311</v>
      </c>
    </row>
    <row r="3795" spans="1:20" s="713" customFormat="1" ht="17.100000000000001" customHeight="1">
      <c r="A3795" s="1336" t="s">
        <v>2467</v>
      </c>
      <c r="B3795" s="1337"/>
      <c r="C3795" s="1336" t="s">
        <v>2468</v>
      </c>
      <c r="D3795" s="1337"/>
      <c r="E3795" s="883">
        <f>8/520</f>
        <v>1.5384615384615385E-2</v>
      </c>
      <c r="F3795" s="884" t="s">
        <v>418</v>
      </c>
      <c r="G3795" s="670" t="e">
        <f>#REF!</f>
        <v>#REF!</v>
      </c>
      <c r="H3795" s="670" t="e">
        <f>INT(G3795*E3795)</f>
        <v>#REF!</v>
      </c>
      <c r="I3795" s="670" t="e">
        <f>#REF!</f>
        <v>#REF!</v>
      </c>
      <c r="J3795" s="670" t="e">
        <f>INT(I3795*E3795)</f>
        <v>#REF!</v>
      </c>
      <c r="K3795" s="670" t="e">
        <f>#REF!</f>
        <v>#REF!</v>
      </c>
      <c r="L3795" s="670" t="e">
        <f>INT(K3795*E3795)</f>
        <v>#REF!</v>
      </c>
      <c r="M3795" s="670" t="e">
        <f t="shared" si="846"/>
        <v>#REF!</v>
      </c>
      <c r="N3795" s="670" t="e">
        <f t="shared" si="846"/>
        <v>#REF!</v>
      </c>
      <c r="O3795" s="671"/>
      <c r="P3795" s="710" t="s">
        <v>2311</v>
      </c>
    </row>
    <row r="3796" spans="1:20" s="713" customFormat="1" ht="17.100000000000001" customHeight="1">
      <c r="A3796" s="1318" t="s">
        <v>1320</v>
      </c>
      <c r="B3796" s="1319"/>
      <c r="C3796" s="1316"/>
      <c r="D3796" s="1317"/>
      <c r="E3796" s="686"/>
      <c r="F3796" s="676"/>
      <c r="G3796" s="670"/>
      <c r="H3796" s="670" t="e">
        <f>SUM(H3792:H3795)</f>
        <v>#REF!</v>
      </c>
      <c r="I3796" s="670"/>
      <c r="J3796" s="670" t="e">
        <f>SUM(J3792:J3795)</f>
        <v>#REF!</v>
      </c>
      <c r="K3796" s="670"/>
      <c r="L3796" s="670" t="e">
        <f>SUM(L3792:L3795)</f>
        <v>#REF!</v>
      </c>
      <c r="M3796" s="670"/>
      <c r="N3796" s="670" t="e">
        <f>SUM(N3792:N3795)</f>
        <v>#REF!</v>
      </c>
      <c r="O3796" s="671"/>
      <c r="P3796" s="710" t="s">
        <v>2311</v>
      </c>
    </row>
    <row r="3797" spans="1:20" s="713" customFormat="1" ht="17.100000000000001" customHeight="1">
      <c r="A3797" s="668">
        <f>+A3791+1</f>
        <v>507</v>
      </c>
      <c r="B3797" s="1320" t="s">
        <v>2465</v>
      </c>
      <c r="C3797" s="1320"/>
      <c r="D3797" s="1320" t="s">
        <v>2469</v>
      </c>
      <c r="E3797" s="1320"/>
      <c r="F3797" s="669" t="s">
        <v>272</v>
      </c>
      <c r="G3797" s="698"/>
      <c r="H3797" s="698"/>
      <c r="I3797" s="698"/>
      <c r="J3797" s="698"/>
      <c r="K3797" s="670"/>
      <c r="L3797" s="670"/>
      <c r="M3797" s="670"/>
      <c r="N3797" s="698"/>
      <c r="O3797" s="699"/>
      <c r="P3797" s="710" t="s">
        <v>2311</v>
      </c>
    </row>
    <row r="3798" spans="1:20" s="713" customFormat="1" ht="17.100000000000001" customHeight="1">
      <c r="A3798" s="1336" t="s">
        <v>628</v>
      </c>
      <c r="B3798" s="1337"/>
      <c r="C3798" s="1336"/>
      <c r="D3798" s="1337"/>
      <c r="E3798" s="883">
        <f>1/320</f>
        <v>3.1250000000000002E-3</v>
      </c>
      <c r="F3798" s="884" t="s">
        <v>366</v>
      </c>
      <c r="G3798" s="670"/>
      <c r="H3798" s="670"/>
      <c r="I3798" s="670">
        <f>[53]노임단가!$T$6</f>
        <v>226122</v>
      </c>
      <c r="J3798" s="670">
        <f>INT(I3798*E3798)</f>
        <v>706</v>
      </c>
      <c r="K3798" s="670"/>
      <c r="L3798" s="670"/>
      <c r="M3798" s="670">
        <f t="shared" ref="M3798:N3801" si="847">G3798+I3798+K3798</f>
        <v>226122</v>
      </c>
      <c r="N3798" s="670">
        <f t="shared" si="847"/>
        <v>706</v>
      </c>
      <c r="O3798" s="671"/>
      <c r="P3798" s="710" t="s">
        <v>2311</v>
      </c>
    </row>
    <row r="3799" spans="1:20" s="713" customFormat="1" ht="17.100000000000001" customHeight="1">
      <c r="A3799" s="1336" t="s">
        <v>248</v>
      </c>
      <c r="B3799" s="1337"/>
      <c r="C3799" s="1336"/>
      <c r="D3799" s="1337"/>
      <c r="E3799" s="883">
        <f>1/320</f>
        <v>3.1250000000000002E-3</v>
      </c>
      <c r="F3799" s="884" t="s">
        <v>366</v>
      </c>
      <c r="G3799" s="670"/>
      <c r="H3799" s="670"/>
      <c r="I3799" s="670">
        <f>[53]노임단가!$T$5</f>
        <v>172068</v>
      </c>
      <c r="J3799" s="670">
        <f>INT(I3799*E3799)</f>
        <v>537</v>
      </c>
      <c r="K3799" s="670"/>
      <c r="L3799" s="670"/>
      <c r="M3799" s="670">
        <f t="shared" si="847"/>
        <v>172068</v>
      </c>
      <c r="N3799" s="670">
        <f t="shared" si="847"/>
        <v>537</v>
      </c>
      <c r="O3799" s="671"/>
      <c r="P3799" s="710" t="s">
        <v>2311</v>
      </c>
    </row>
    <row r="3800" spans="1:20" s="713" customFormat="1" ht="17.100000000000001" customHeight="1">
      <c r="A3800" s="1336" t="s">
        <v>1062</v>
      </c>
      <c r="B3800" s="1337"/>
      <c r="C3800" s="1336"/>
      <c r="D3800" s="1337"/>
      <c r="E3800" s="883">
        <f>8/320</f>
        <v>2.5000000000000001E-2</v>
      </c>
      <c r="F3800" s="884" t="s">
        <v>418</v>
      </c>
      <c r="G3800" s="670"/>
      <c r="H3800" s="670"/>
      <c r="I3800" s="670"/>
      <c r="J3800" s="670"/>
      <c r="K3800" s="670" t="e">
        <f>#REF!</f>
        <v>#REF!</v>
      </c>
      <c r="L3800" s="670" t="e">
        <f>INT(K3800*E3800)</f>
        <v>#REF!</v>
      </c>
      <c r="M3800" s="670" t="e">
        <f t="shared" si="847"/>
        <v>#REF!</v>
      </c>
      <c r="N3800" s="670" t="e">
        <f t="shared" si="847"/>
        <v>#REF!</v>
      </c>
      <c r="O3800" s="671"/>
      <c r="P3800" s="710" t="s">
        <v>2311</v>
      </c>
    </row>
    <row r="3801" spans="1:20" s="713" customFormat="1" ht="17.100000000000001" customHeight="1">
      <c r="A3801" s="1336" t="s">
        <v>2467</v>
      </c>
      <c r="B3801" s="1337"/>
      <c r="C3801" s="1336" t="s">
        <v>2468</v>
      </c>
      <c r="D3801" s="1337"/>
      <c r="E3801" s="883">
        <f>8/320</f>
        <v>2.5000000000000001E-2</v>
      </c>
      <c r="F3801" s="884" t="s">
        <v>418</v>
      </c>
      <c r="G3801" s="670" t="e">
        <f>#REF!</f>
        <v>#REF!</v>
      </c>
      <c r="H3801" s="670" t="e">
        <f>INT(G3801*E3801)</f>
        <v>#REF!</v>
      </c>
      <c r="I3801" s="670" t="e">
        <f>#REF!</f>
        <v>#REF!</v>
      </c>
      <c r="J3801" s="670" t="e">
        <f>INT(I3801*E3801)</f>
        <v>#REF!</v>
      </c>
      <c r="K3801" s="670" t="e">
        <f>#REF!</f>
        <v>#REF!</v>
      </c>
      <c r="L3801" s="670" t="e">
        <f>INT(K3801*E3801)</f>
        <v>#REF!</v>
      </c>
      <c r="M3801" s="670" t="e">
        <f t="shared" si="847"/>
        <v>#REF!</v>
      </c>
      <c r="N3801" s="670" t="e">
        <f t="shared" si="847"/>
        <v>#REF!</v>
      </c>
      <c r="O3801" s="671"/>
      <c r="P3801" s="710" t="s">
        <v>2074</v>
      </c>
      <c r="Q3801" s="713" t="s">
        <v>2470</v>
      </c>
      <c r="R3801" s="713" t="s">
        <v>2273</v>
      </c>
      <c r="S3801" s="713" t="s">
        <v>1425</v>
      </c>
      <c r="T3801" s="713" t="s">
        <v>1426</v>
      </c>
    </row>
    <row r="3802" spans="1:20" s="713" customFormat="1" ht="17.100000000000001" customHeight="1">
      <c r="A3802" s="1318" t="s">
        <v>1320</v>
      </c>
      <c r="B3802" s="1319"/>
      <c r="C3802" s="1316"/>
      <c r="D3802" s="1317"/>
      <c r="E3802" s="686"/>
      <c r="F3802" s="676"/>
      <c r="G3802" s="670"/>
      <c r="H3802" s="670" t="e">
        <f>SUM(H3798:H3801)</f>
        <v>#REF!</v>
      </c>
      <c r="I3802" s="670"/>
      <c r="J3802" s="670" t="e">
        <f>SUM(J3798:J3801)</f>
        <v>#REF!</v>
      </c>
      <c r="K3802" s="670"/>
      <c r="L3802" s="670" t="e">
        <f>SUM(L3798:L3801)</f>
        <v>#REF!</v>
      </c>
      <c r="M3802" s="670"/>
      <c r="N3802" s="670" t="e">
        <f>SUM(N3798:N3801)</f>
        <v>#REF!</v>
      </c>
      <c r="O3802" s="671"/>
      <c r="P3802" s="710"/>
      <c r="T3802" s="718"/>
    </row>
    <row r="3803" spans="1:20" s="688" customFormat="1" ht="17.100000000000001" customHeight="1">
      <c r="A3803" s="668">
        <f>A3797+1</f>
        <v>508</v>
      </c>
      <c r="B3803" s="1320" t="s">
        <v>2471</v>
      </c>
      <c r="C3803" s="1320"/>
      <c r="D3803" s="1320" t="s">
        <v>2472</v>
      </c>
      <c r="E3803" s="1320"/>
      <c r="F3803" s="669" t="s">
        <v>30</v>
      </c>
      <c r="G3803" s="698"/>
      <c r="H3803" s="698"/>
      <c r="I3803" s="698"/>
      <c r="J3803" s="698"/>
      <c r="K3803" s="670"/>
      <c r="L3803" s="670"/>
      <c r="M3803" s="670"/>
      <c r="N3803" s="698"/>
      <c r="O3803" s="699"/>
      <c r="P3803" s="672"/>
      <c r="R3803" s="688">
        <v>13</v>
      </c>
      <c r="S3803" s="688">
        <v>2</v>
      </c>
      <c r="T3803" s="690">
        <f>ROUND(S3803/R3803,4)</f>
        <v>0.15379999999999999</v>
      </c>
    </row>
    <row r="3804" spans="1:20" s="688" customFormat="1" ht="17.100000000000001" customHeight="1">
      <c r="A3804" s="1316" t="s">
        <v>2473</v>
      </c>
      <c r="B3804" s="1317"/>
      <c r="C3804" s="1316" t="s">
        <v>2474</v>
      </c>
      <c r="D3804" s="1317"/>
      <c r="E3804" s="677">
        <v>1</v>
      </c>
      <c r="F3804" s="676" t="s">
        <v>30</v>
      </c>
      <c r="G3804" s="670">
        <v>3000</v>
      </c>
      <c r="H3804" s="670">
        <f>INT(E3804*G3804)</f>
        <v>3000</v>
      </c>
      <c r="I3804" s="670"/>
      <c r="J3804" s="670"/>
      <c r="K3804" s="670"/>
      <c r="L3804" s="670"/>
      <c r="M3804" s="670">
        <f>G3804+I3804+K3804</f>
        <v>3000</v>
      </c>
      <c r="N3804" s="670">
        <f>H3804+J3804+L3804</f>
        <v>3000</v>
      </c>
      <c r="O3804" s="671"/>
      <c r="P3804" s="672"/>
      <c r="R3804" s="688">
        <v>13</v>
      </c>
      <c r="S3804" s="688">
        <v>1</v>
      </c>
      <c r="T3804" s="690">
        <f>ROUND(S3804/R3804,4)</f>
        <v>7.6899999999999996E-2</v>
      </c>
    </row>
    <row r="3805" spans="1:20" s="688" customFormat="1" ht="17.100000000000001" customHeight="1">
      <c r="A3805" s="1316" t="s">
        <v>248</v>
      </c>
      <c r="B3805" s="1317"/>
      <c r="C3805" s="1316"/>
      <c r="D3805" s="1317"/>
      <c r="E3805" s="675">
        <v>0.01</v>
      </c>
      <c r="F3805" s="676" t="s">
        <v>366</v>
      </c>
      <c r="G3805" s="670"/>
      <c r="H3805" s="670"/>
      <c r="I3805" s="670">
        <f>[53]노임단가!$T$5</f>
        <v>172068</v>
      </c>
      <c r="J3805" s="670">
        <f>INT(E3805*I3805)</f>
        <v>1720</v>
      </c>
      <c r="K3805" s="670"/>
      <c r="L3805" s="670"/>
      <c r="M3805" s="670">
        <f>G3805+I3805+K3805</f>
        <v>172068</v>
      </c>
      <c r="N3805" s="670">
        <f>H3805+J3805+L3805</f>
        <v>1720</v>
      </c>
      <c r="O3805" s="671"/>
      <c r="P3805" s="672"/>
      <c r="T3805" s="690"/>
    </row>
    <row r="3806" spans="1:20" s="688" customFormat="1" ht="17.100000000000001" customHeight="1">
      <c r="A3806" s="1318" t="s">
        <v>1320</v>
      </c>
      <c r="B3806" s="1319"/>
      <c r="C3806" s="1316"/>
      <c r="D3806" s="1317"/>
      <c r="E3806" s="686"/>
      <c r="F3806" s="676"/>
      <c r="G3806" s="670"/>
      <c r="H3806" s="670">
        <f>SUM(H3804:H3805)</f>
        <v>3000</v>
      </c>
      <c r="I3806" s="670"/>
      <c r="J3806" s="670">
        <f>SUM(J3804:J3805)</f>
        <v>1720</v>
      </c>
      <c r="K3806" s="670"/>
      <c r="L3806" s="670"/>
      <c r="M3806" s="670"/>
      <c r="N3806" s="670">
        <f>SUM(N3804:N3805)</f>
        <v>4720</v>
      </c>
      <c r="O3806" s="671"/>
      <c r="P3806" s="672"/>
    </row>
    <row r="3807" spans="1:20" s="688" customFormat="1" ht="17.100000000000001" customHeight="1">
      <c r="A3807" s="668">
        <f>A3803+1</f>
        <v>509</v>
      </c>
      <c r="B3807" s="1320" t="s">
        <v>2475</v>
      </c>
      <c r="C3807" s="1320"/>
      <c r="D3807" s="1320" t="s">
        <v>2476</v>
      </c>
      <c r="E3807" s="1320"/>
      <c r="F3807" s="669" t="s">
        <v>30</v>
      </c>
      <c r="G3807" s="698"/>
      <c r="H3807" s="698"/>
      <c r="I3807" s="698"/>
      <c r="J3807" s="698"/>
      <c r="K3807" s="670"/>
      <c r="L3807" s="670"/>
      <c r="M3807" s="670"/>
      <c r="N3807" s="698"/>
      <c r="O3807" s="699"/>
      <c r="P3807" s="672" t="s">
        <v>2074</v>
      </c>
      <c r="Q3807" s="688" t="s">
        <v>2470</v>
      </c>
      <c r="R3807" s="688" t="s">
        <v>2273</v>
      </c>
      <c r="S3807" s="688" t="s">
        <v>1425</v>
      </c>
      <c r="T3807" s="688" t="s">
        <v>1426</v>
      </c>
    </row>
    <row r="3808" spans="1:20" s="688" customFormat="1" ht="17.100000000000001" customHeight="1">
      <c r="A3808" s="1316" t="s">
        <v>2477</v>
      </c>
      <c r="B3808" s="1317"/>
      <c r="C3808" s="1316" t="s">
        <v>2478</v>
      </c>
      <c r="D3808" s="1317"/>
      <c r="E3808" s="677">
        <v>1</v>
      </c>
      <c r="F3808" s="676" t="s">
        <v>30</v>
      </c>
      <c r="G3808" s="670">
        <v>4000</v>
      </c>
      <c r="H3808" s="670">
        <f>INT(E3808*G3808)</f>
        <v>4000</v>
      </c>
      <c r="I3808" s="670"/>
      <c r="J3808" s="670"/>
      <c r="K3808" s="670"/>
      <c r="L3808" s="670"/>
      <c r="M3808" s="670">
        <f>G3808+I3808+K3808</f>
        <v>4000</v>
      </c>
      <c r="N3808" s="670">
        <f>H3808+J3808+L3808</f>
        <v>4000</v>
      </c>
      <c r="O3808" s="671"/>
      <c r="P3808" s="672"/>
      <c r="R3808" s="688">
        <v>13</v>
      </c>
      <c r="S3808" s="688">
        <v>2</v>
      </c>
      <c r="T3808" s="690">
        <f>ROUND(S3808/R3808,4)</f>
        <v>0.15379999999999999</v>
      </c>
    </row>
    <row r="3809" spans="1:20" s="688" customFormat="1" ht="17.100000000000001" customHeight="1">
      <c r="A3809" s="1316" t="s">
        <v>248</v>
      </c>
      <c r="B3809" s="1317"/>
      <c r="C3809" s="1316"/>
      <c r="D3809" s="1317"/>
      <c r="E3809" s="675">
        <v>0.08</v>
      </c>
      <c r="F3809" s="676" t="s">
        <v>366</v>
      </c>
      <c r="G3809" s="670"/>
      <c r="H3809" s="670"/>
      <c r="I3809" s="670">
        <f>[53]노임단가!$T$5</f>
        <v>172068</v>
      </c>
      <c r="J3809" s="670">
        <f>INT(E3809*I3809)</f>
        <v>13765</v>
      </c>
      <c r="K3809" s="670"/>
      <c r="L3809" s="670"/>
      <c r="M3809" s="670">
        <f>G3809+I3809+K3809</f>
        <v>172068</v>
      </c>
      <c r="N3809" s="670">
        <f>H3809+J3809+L3809</f>
        <v>13765</v>
      </c>
      <c r="O3809" s="671"/>
      <c r="P3809" s="672"/>
      <c r="R3809" s="688">
        <v>13</v>
      </c>
      <c r="S3809" s="688">
        <v>1</v>
      </c>
      <c r="T3809" s="690">
        <f>ROUND(S3809/R3809,4)</f>
        <v>7.6899999999999996E-2</v>
      </c>
    </row>
    <row r="3810" spans="1:20" s="688" customFormat="1" ht="17.100000000000001" customHeight="1">
      <c r="A3810" s="1318" t="s">
        <v>1320</v>
      </c>
      <c r="B3810" s="1319"/>
      <c r="C3810" s="1316"/>
      <c r="D3810" s="1317"/>
      <c r="E3810" s="686"/>
      <c r="F3810" s="676"/>
      <c r="G3810" s="670"/>
      <c r="H3810" s="670">
        <f>SUM(H3808:H3809)</f>
        <v>4000</v>
      </c>
      <c r="I3810" s="670"/>
      <c r="J3810" s="670">
        <f>SUM(J3808:J3809)</f>
        <v>13765</v>
      </c>
      <c r="K3810" s="670"/>
      <c r="L3810" s="670"/>
      <c r="M3810" s="670"/>
      <c r="N3810" s="670">
        <f>SUM(N3808:N3809)</f>
        <v>17765</v>
      </c>
      <c r="O3810" s="671"/>
      <c r="P3810" s="672"/>
      <c r="T3810" s="690"/>
    </row>
    <row r="3811" spans="1:20" s="688" customFormat="1" ht="17.100000000000001" customHeight="1">
      <c r="A3811" s="668">
        <f>A3807+1</f>
        <v>510</v>
      </c>
      <c r="B3811" s="1320" t="s">
        <v>2479</v>
      </c>
      <c r="C3811" s="1320"/>
      <c r="D3811" s="1320" t="s">
        <v>2375</v>
      </c>
      <c r="E3811" s="1320"/>
      <c r="F3811" s="669" t="s">
        <v>645</v>
      </c>
      <c r="G3811" s="698"/>
      <c r="H3811" s="698"/>
      <c r="I3811" s="698"/>
      <c r="J3811" s="698"/>
      <c r="K3811" s="670"/>
      <c r="L3811" s="670"/>
      <c r="M3811" s="670"/>
      <c r="N3811" s="698"/>
      <c r="O3811" s="699"/>
      <c r="P3811" s="672"/>
    </row>
    <row r="3812" spans="1:20" s="688" customFormat="1" ht="17.100000000000001" customHeight="1">
      <c r="A3812" s="1316" t="s">
        <v>929</v>
      </c>
      <c r="B3812" s="1317"/>
      <c r="C3812" s="1316"/>
      <c r="D3812" s="1317"/>
      <c r="E3812" s="675">
        <v>1.01</v>
      </c>
      <c r="F3812" s="676" t="s">
        <v>645</v>
      </c>
      <c r="G3812" s="670" t="e">
        <f>#REF!</f>
        <v>#REF!</v>
      </c>
      <c r="H3812" s="670" t="e">
        <f>INT(E3812*G3812)</f>
        <v>#REF!</v>
      </c>
      <c r="I3812" s="670"/>
      <c r="J3812" s="670"/>
      <c r="K3812" s="670"/>
      <c r="L3812" s="670"/>
      <c r="M3812" s="670" t="e">
        <f t="shared" ref="M3812:N3817" si="848">G3812+I3812+K3812</f>
        <v>#REF!</v>
      </c>
      <c r="N3812" s="670" t="e">
        <f t="shared" si="848"/>
        <v>#REF!</v>
      </c>
      <c r="O3812" s="671"/>
      <c r="P3812" s="672"/>
    </row>
    <row r="3813" spans="1:20" s="688" customFormat="1" ht="17.100000000000001" customHeight="1">
      <c r="A3813" s="1316" t="s">
        <v>2294</v>
      </c>
      <c r="B3813" s="1317"/>
      <c r="C3813" s="1316"/>
      <c r="D3813" s="1317"/>
      <c r="E3813" s="679">
        <v>0.2</v>
      </c>
      <c r="F3813" s="676" t="s">
        <v>801</v>
      </c>
      <c r="G3813" s="670" t="e">
        <f>#REF!</f>
        <v>#REF!</v>
      </c>
      <c r="H3813" s="670" t="e">
        <f>INT(E3813*G3813)</f>
        <v>#REF!</v>
      </c>
      <c r="I3813" s="670"/>
      <c r="J3813" s="670"/>
      <c r="K3813" s="670"/>
      <c r="L3813" s="670"/>
      <c r="M3813" s="670" t="e">
        <f t="shared" si="848"/>
        <v>#REF!</v>
      </c>
      <c r="N3813" s="670" t="e">
        <f t="shared" si="848"/>
        <v>#REF!</v>
      </c>
      <c r="O3813" s="671"/>
      <c r="P3813" s="672"/>
      <c r="Q3813" s="688">
        <f>1/8*2</f>
        <v>0.25</v>
      </c>
    </row>
    <row r="3814" spans="1:20" s="688" customFormat="1" ht="17.100000000000001" customHeight="1">
      <c r="A3814" s="1316" t="s">
        <v>628</v>
      </c>
      <c r="B3814" s="1317"/>
      <c r="C3814" s="1316"/>
      <c r="D3814" s="1317"/>
      <c r="E3814" s="675">
        <v>0.01</v>
      </c>
      <c r="F3814" s="676" t="s">
        <v>366</v>
      </c>
      <c r="G3814" s="670"/>
      <c r="H3814" s="670"/>
      <c r="I3814" s="670">
        <f>[53]노임단가!$T$6</f>
        <v>226122</v>
      </c>
      <c r="J3814" s="670">
        <f>INT(E3814*I3814)</f>
        <v>2261</v>
      </c>
      <c r="K3814" s="670"/>
      <c r="L3814" s="670"/>
      <c r="M3814" s="670">
        <f t="shared" si="848"/>
        <v>226122</v>
      </c>
      <c r="N3814" s="670">
        <f t="shared" si="848"/>
        <v>2261</v>
      </c>
      <c r="O3814" s="671"/>
      <c r="P3814" s="672"/>
      <c r="Q3814" s="688">
        <f>1/8*3</f>
        <v>0.375</v>
      </c>
    </row>
    <row r="3815" spans="1:20" s="688" customFormat="1" ht="17.100000000000001" customHeight="1">
      <c r="A3815" s="1316" t="s">
        <v>248</v>
      </c>
      <c r="B3815" s="1317"/>
      <c r="C3815" s="1316"/>
      <c r="D3815" s="1317"/>
      <c r="E3815" s="675">
        <v>0.03</v>
      </c>
      <c r="F3815" s="676" t="s">
        <v>366</v>
      </c>
      <c r="G3815" s="670"/>
      <c r="H3815" s="670"/>
      <c r="I3815" s="670">
        <f>[53]노임단가!$T$5</f>
        <v>172068</v>
      </c>
      <c r="J3815" s="670">
        <f>INT(E3815*I3815)</f>
        <v>5162</v>
      </c>
      <c r="K3815" s="670"/>
      <c r="L3815" s="670"/>
      <c r="M3815" s="670">
        <f t="shared" si="848"/>
        <v>172068</v>
      </c>
      <c r="N3815" s="670">
        <f t="shared" si="848"/>
        <v>5162</v>
      </c>
      <c r="O3815" s="671"/>
      <c r="P3815" s="672"/>
    </row>
    <row r="3816" spans="1:20" s="688" customFormat="1" ht="17.100000000000001" customHeight="1">
      <c r="A3816" s="1316" t="s">
        <v>1328</v>
      </c>
      <c r="B3816" s="1317"/>
      <c r="C3816" s="1316" t="s">
        <v>1469</v>
      </c>
      <c r="D3816" s="1317"/>
      <c r="E3816" s="675">
        <v>0.05</v>
      </c>
      <c r="F3816" s="676" t="s">
        <v>672</v>
      </c>
      <c r="G3816" s="670">
        <f>J3814+J3815</f>
        <v>7423</v>
      </c>
      <c r="H3816" s="670">
        <f>INT(E3816*G3816)</f>
        <v>371</v>
      </c>
      <c r="I3816" s="670"/>
      <c r="J3816" s="670"/>
      <c r="K3816" s="670"/>
      <c r="L3816" s="670"/>
      <c r="M3816" s="670">
        <f t="shared" si="848"/>
        <v>7423</v>
      </c>
      <c r="N3816" s="670">
        <f t="shared" si="848"/>
        <v>371</v>
      </c>
      <c r="O3816" s="671"/>
      <c r="P3816" s="672"/>
    </row>
    <row r="3817" spans="1:20" s="688" customFormat="1" ht="17.100000000000001" customHeight="1">
      <c r="A3817" s="1316" t="s">
        <v>2452</v>
      </c>
      <c r="B3817" s="1317"/>
      <c r="C3817" s="1316" t="s">
        <v>2480</v>
      </c>
      <c r="D3817" s="1317"/>
      <c r="E3817" s="679">
        <v>0.2</v>
      </c>
      <c r="F3817" s="676" t="s">
        <v>672</v>
      </c>
      <c r="G3817" s="670"/>
      <c r="H3817" s="670">
        <f>INT(E3817*G3817)</f>
        <v>0</v>
      </c>
      <c r="I3817" s="670"/>
      <c r="J3817" s="670"/>
      <c r="K3817" s="831">
        <f>J3814+J3815</f>
        <v>7423</v>
      </c>
      <c r="L3817" s="670">
        <f>INT(E3817*K3817)</f>
        <v>1484</v>
      </c>
      <c r="M3817" s="670">
        <f t="shared" si="848"/>
        <v>7423</v>
      </c>
      <c r="N3817" s="670">
        <f t="shared" si="848"/>
        <v>1484</v>
      </c>
      <c r="O3817" s="671"/>
      <c r="P3817" s="672"/>
    </row>
    <row r="3818" spans="1:20" s="688" customFormat="1" ht="17.100000000000001" customHeight="1">
      <c r="A3818" s="1318" t="s">
        <v>1320</v>
      </c>
      <c r="B3818" s="1319"/>
      <c r="C3818" s="1316"/>
      <c r="D3818" s="1317"/>
      <c r="E3818" s="686"/>
      <c r="F3818" s="676"/>
      <c r="G3818" s="670"/>
      <c r="H3818" s="670" t="e">
        <f>SUM(H3812:H3817)</f>
        <v>#REF!</v>
      </c>
      <c r="I3818" s="670"/>
      <c r="J3818" s="670">
        <f>SUM(J3812:J3817)</f>
        <v>7423</v>
      </c>
      <c r="K3818" s="670"/>
      <c r="L3818" s="670">
        <f>SUM(L3812:L3817)</f>
        <v>1484</v>
      </c>
      <c r="M3818" s="670"/>
      <c r="N3818" s="670" t="e">
        <f>SUM(N3812:N3817)</f>
        <v>#REF!</v>
      </c>
      <c r="O3818" s="671"/>
      <c r="P3818" s="672"/>
    </row>
    <row r="3819" spans="1:20" s="688" customFormat="1" ht="17.100000000000001" customHeight="1">
      <c r="A3819" s="668">
        <f>A3811+1</f>
        <v>511</v>
      </c>
      <c r="B3819" s="1320" t="s">
        <v>2479</v>
      </c>
      <c r="C3819" s="1320"/>
      <c r="D3819" s="1320" t="s">
        <v>2481</v>
      </c>
      <c r="E3819" s="1320"/>
      <c r="F3819" s="669" t="s">
        <v>30</v>
      </c>
      <c r="G3819" s="698"/>
      <c r="H3819" s="698"/>
      <c r="I3819" s="698"/>
      <c r="J3819" s="698"/>
      <c r="K3819" s="670"/>
      <c r="L3819" s="670"/>
      <c r="M3819" s="670"/>
      <c r="N3819" s="698"/>
      <c r="O3819" s="699"/>
      <c r="P3819" s="672"/>
    </row>
    <row r="3820" spans="1:20" s="688" customFormat="1" ht="17.100000000000001" customHeight="1">
      <c r="A3820" s="1316" t="s">
        <v>2479</v>
      </c>
      <c r="B3820" s="1320"/>
      <c r="C3820" s="1320" t="s">
        <v>2375</v>
      </c>
      <c r="D3820" s="1320"/>
      <c r="E3820" s="675">
        <v>0.12</v>
      </c>
      <c r="F3820" s="676" t="s">
        <v>645</v>
      </c>
      <c r="G3820" s="670" t="e">
        <f>H3818</f>
        <v>#REF!</v>
      </c>
      <c r="H3820" s="670" t="e">
        <f>INT(E3820*G3820)</f>
        <v>#REF!</v>
      </c>
      <c r="I3820" s="670">
        <f>J3818</f>
        <v>7423</v>
      </c>
      <c r="J3820" s="670">
        <f>INT(E3820*I3820)</f>
        <v>890</v>
      </c>
      <c r="K3820" s="670">
        <f>L3818</f>
        <v>1484</v>
      </c>
      <c r="L3820" s="670">
        <f>INT(E3820*K3820)</f>
        <v>178</v>
      </c>
      <c r="M3820" s="670" t="e">
        <f>G3820+I3820+K3820</f>
        <v>#REF!</v>
      </c>
      <c r="N3820" s="670" t="e">
        <f>H3820+J3820+L3820</f>
        <v>#REF!</v>
      </c>
      <c r="O3820" s="671">
        <f>A3811</f>
        <v>510</v>
      </c>
      <c r="P3820" s="672"/>
    </row>
    <row r="3821" spans="1:20" s="688" customFormat="1" ht="17.100000000000001" customHeight="1">
      <c r="A3821" s="1318" t="s">
        <v>1320</v>
      </c>
      <c r="B3821" s="1319"/>
      <c r="C3821" s="1316"/>
      <c r="D3821" s="1317"/>
      <c r="E3821" s="686"/>
      <c r="F3821" s="676"/>
      <c r="G3821" s="670"/>
      <c r="H3821" s="670" t="e">
        <f>H3820</f>
        <v>#REF!</v>
      </c>
      <c r="I3821" s="670"/>
      <c r="J3821" s="670">
        <f>J3820</f>
        <v>890</v>
      </c>
      <c r="K3821" s="670"/>
      <c r="L3821" s="670">
        <f>L3820</f>
        <v>178</v>
      </c>
      <c r="M3821" s="670"/>
      <c r="N3821" s="670" t="e">
        <f>N3820</f>
        <v>#REF!</v>
      </c>
      <c r="O3821" s="671"/>
      <c r="P3821" s="672"/>
    </row>
    <row r="3822" spans="1:20" s="688" customFormat="1" ht="17.100000000000001" customHeight="1">
      <c r="A3822" s="668">
        <f>A3819+1</f>
        <v>512</v>
      </c>
      <c r="B3822" s="1320" t="s">
        <v>2482</v>
      </c>
      <c r="C3822" s="1320"/>
      <c r="D3822" s="1320"/>
      <c r="E3822" s="1320"/>
      <c r="F3822" s="669" t="s">
        <v>30</v>
      </c>
      <c r="G3822" s="698"/>
      <c r="H3822" s="698"/>
      <c r="I3822" s="698"/>
      <c r="J3822" s="698"/>
      <c r="K3822" s="670"/>
      <c r="L3822" s="670"/>
      <c r="M3822" s="670"/>
      <c r="N3822" s="698"/>
      <c r="O3822" s="699"/>
      <c r="P3822" s="672"/>
    </row>
    <row r="3823" spans="1:20" s="688" customFormat="1" ht="17.100000000000001" customHeight="1">
      <c r="A3823" s="1316" t="s">
        <v>934</v>
      </c>
      <c r="B3823" s="1320"/>
      <c r="C3823" s="1316" t="s">
        <v>2483</v>
      </c>
      <c r="D3823" s="1317"/>
      <c r="E3823" s="677">
        <v>1</v>
      </c>
      <c r="F3823" s="676" t="s">
        <v>30</v>
      </c>
      <c r="G3823" s="670" t="e">
        <f>#REF!</f>
        <v>#REF!</v>
      </c>
      <c r="H3823" s="670" t="e">
        <f>INT(E3823*G3823)</f>
        <v>#REF!</v>
      </c>
      <c r="I3823" s="670"/>
      <c r="J3823" s="670"/>
      <c r="K3823" s="670"/>
      <c r="L3823" s="670"/>
      <c r="M3823" s="670" t="e">
        <f>G3823+I3823+K3823</f>
        <v>#REF!</v>
      </c>
      <c r="N3823" s="670" t="e">
        <f>H3823+J3823+L3823</f>
        <v>#REF!</v>
      </c>
      <c r="O3823" s="671"/>
      <c r="P3823" s="672"/>
    </row>
    <row r="3824" spans="1:20" s="688" customFormat="1" ht="17.100000000000001" customHeight="1">
      <c r="A3824" s="1316" t="s">
        <v>248</v>
      </c>
      <c r="B3824" s="1320"/>
      <c r="C3824" s="1316"/>
      <c r="D3824" s="1317"/>
      <c r="E3824" s="701">
        <v>1E-3</v>
      </c>
      <c r="F3824" s="676" t="s">
        <v>366</v>
      </c>
      <c r="G3824" s="670"/>
      <c r="H3824" s="670"/>
      <c r="I3824" s="670">
        <f>[53]노임단가!$T$5</f>
        <v>172068</v>
      </c>
      <c r="J3824" s="670">
        <f>INT(E3824*I3824)</f>
        <v>172</v>
      </c>
      <c r="K3824" s="670"/>
      <c r="L3824" s="670"/>
      <c r="M3824" s="670">
        <f>G3824+I3824+K3824</f>
        <v>172068</v>
      </c>
      <c r="N3824" s="670">
        <f>H3824+J3824+L3824</f>
        <v>172</v>
      </c>
      <c r="O3824" s="671"/>
      <c r="P3824" s="672"/>
    </row>
    <row r="3825" spans="1:16" s="688" customFormat="1" ht="17.100000000000001" customHeight="1">
      <c r="A3825" s="1318" t="s">
        <v>1320</v>
      </c>
      <c r="B3825" s="1319"/>
      <c r="C3825" s="1316"/>
      <c r="D3825" s="1317"/>
      <c r="E3825" s="686"/>
      <c r="F3825" s="676"/>
      <c r="G3825" s="670"/>
      <c r="H3825" s="670" t="e">
        <f>SUM(H3823:H3824)</f>
        <v>#REF!</v>
      </c>
      <c r="I3825" s="670"/>
      <c r="J3825" s="670">
        <f>SUM(J3823:J3824)</f>
        <v>172</v>
      </c>
      <c r="K3825" s="670"/>
      <c r="L3825" s="670"/>
      <c r="M3825" s="670"/>
      <c r="N3825" s="670" t="e">
        <f>SUM(N3823:N3824)</f>
        <v>#REF!</v>
      </c>
      <c r="O3825" s="671"/>
      <c r="P3825" s="672"/>
    </row>
    <row r="3826" spans="1:16" s="688" customFormat="1" ht="17.100000000000001" customHeight="1">
      <c r="A3826" s="668">
        <f>A3822+1</f>
        <v>513</v>
      </c>
      <c r="B3826" s="1320" t="s">
        <v>2484</v>
      </c>
      <c r="C3826" s="1320"/>
      <c r="D3826" s="1320" t="s">
        <v>2485</v>
      </c>
      <c r="E3826" s="1320"/>
      <c r="F3826" s="669" t="s">
        <v>30</v>
      </c>
      <c r="G3826" s="698"/>
      <c r="H3826" s="698"/>
      <c r="I3826" s="698"/>
      <c r="J3826" s="698"/>
      <c r="K3826" s="670"/>
      <c r="L3826" s="670"/>
      <c r="M3826" s="670"/>
      <c r="N3826" s="698"/>
      <c r="O3826" s="699"/>
      <c r="P3826" s="672"/>
    </row>
    <row r="3827" spans="1:16" s="688" customFormat="1" ht="17.100000000000001" customHeight="1">
      <c r="A3827" s="1316" t="s">
        <v>949</v>
      </c>
      <c r="B3827" s="1317"/>
      <c r="C3827" s="1316" t="s">
        <v>2485</v>
      </c>
      <c r="D3827" s="1317"/>
      <c r="E3827" s="677">
        <v>1</v>
      </c>
      <c r="F3827" s="676" t="s">
        <v>30</v>
      </c>
      <c r="G3827" s="670" t="e">
        <f>#REF!</f>
        <v>#REF!</v>
      </c>
      <c r="H3827" s="670" t="e">
        <f>INT(E3827*G3827)</f>
        <v>#REF!</v>
      </c>
      <c r="I3827" s="670"/>
      <c r="J3827" s="670"/>
      <c r="K3827" s="670"/>
      <c r="L3827" s="670"/>
      <c r="M3827" s="670" t="e">
        <f>G3827+I3827+K3827</f>
        <v>#REF!</v>
      </c>
      <c r="N3827" s="670" t="e">
        <f>H3827+J3827+L3827</f>
        <v>#REF!</v>
      </c>
      <c r="O3827" s="671"/>
      <c r="P3827" s="672"/>
    </row>
    <row r="3828" spans="1:16" s="688" customFormat="1" ht="17.100000000000001" customHeight="1">
      <c r="A3828" s="1316" t="s">
        <v>628</v>
      </c>
      <c r="B3828" s="1320"/>
      <c r="C3828" s="1316"/>
      <c r="D3828" s="1317"/>
      <c r="E3828" s="683">
        <v>1.43E-2</v>
      </c>
      <c r="F3828" s="676" t="s">
        <v>366</v>
      </c>
      <c r="G3828" s="670"/>
      <c r="H3828" s="670"/>
      <c r="I3828" s="670">
        <f>[53]노임단가!$T$6</f>
        <v>226122</v>
      </c>
      <c r="J3828" s="670">
        <f>INT(E3828*I3828)</f>
        <v>3233</v>
      </c>
      <c r="K3828" s="670"/>
      <c r="L3828" s="670"/>
      <c r="M3828" s="670">
        <f t="shared" ref="M3828:N3831" si="849">G3828+I3828+K3828</f>
        <v>226122</v>
      </c>
      <c r="N3828" s="670">
        <f t="shared" si="849"/>
        <v>3233</v>
      </c>
      <c r="O3828" s="671"/>
      <c r="P3828" s="672"/>
    </row>
    <row r="3829" spans="1:16" s="688" customFormat="1" ht="17.100000000000001" customHeight="1">
      <c r="A3829" s="1316" t="s">
        <v>248</v>
      </c>
      <c r="B3829" s="1320"/>
      <c r="C3829" s="1316"/>
      <c r="D3829" s="1317"/>
      <c r="E3829" s="683">
        <v>1.43E-2</v>
      </c>
      <c r="F3829" s="676" t="s">
        <v>366</v>
      </c>
      <c r="G3829" s="670"/>
      <c r="H3829" s="670"/>
      <c r="I3829" s="670">
        <f>[53]노임단가!$T$5</f>
        <v>172068</v>
      </c>
      <c r="J3829" s="670">
        <f>INT(E3829*I3829)</f>
        <v>2460</v>
      </c>
      <c r="K3829" s="670"/>
      <c r="L3829" s="670"/>
      <c r="M3829" s="670">
        <f t="shared" si="849"/>
        <v>172068</v>
      </c>
      <c r="N3829" s="670">
        <f t="shared" si="849"/>
        <v>2460</v>
      </c>
      <c r="O3829" s="671"/>
      <c r="P3829" s="672"/>
    </row>
    <row r="3830" spans="1:16" s="688" customFormat="1" ht="17.100000000000001" customHeight="1">
      <c r="A3830" s="1316" t="s">
        <v>1485</v>
      </c>
      <c r="B3830" s="1320"/>
      <c r="C3830" s="1316" t="s">
        <v>1469</v>
      </c>
      <c r="D3830" s="1317"/>
      <c r="E3830" s="675">
        <v>0.05</v>
      </c>
      <c r="F3830" s="676" t="s">
        <v>672</v>
      </c>
      <c r="G3830" s="670"/>
      <c r="H3830" s="670">
        <f>INT(E3830*G3830)</f>
        <v>0</v>
      </c>
      <c r="I3830" s="670"/>
      <c r="J3830" s="670"/>
      <c r="K3830" s="831">
        <f>J3828+J3829</f>
        <v>5693</v>
      </c>
      <c r="L3830" s="670">
        <f>INT(E3830*K3830)</f>
        <v>284</v>
      </c>
      <c r="M3830" s="670">
        <f t="shared" si="849"/>
        <v>5693</v>
      </c>
      <c r="N3830" s="670">
        <f t="shared" si="849"/>
        <v>284</v>
      </c>
      <c r="O3830" s="671"/>
      <c r="P3830" s="672"/>
    </row>
    <row r="3831" spans="1:16" s="688" customFormat="1" ht="17.100000000000001" customHeight="1">
      <c r="A3831" s="1316" t="s">
        <v>2486</v>
      </c>
      <c r="B3831" s="1320"/>
      <c r="C3831" s="1316" t="s">
        <v>2487</v>
      </c>
      <c r="D3831" s="1317"/>
      <c r="E3831" s="675">
        <v>0.05</v>
      </c>
      <c r="F3831" s="676" t="s">
        <v>672</v>
      </c>
      <c r="G3831" s="670" t="e">
        <f>SUM(H3827)</f>
        <v>#REF!</v>
      </c>
      <c r="H3831" s="670" t="e">
        <f>INT(E3831*G3831)</f>
        <v>#REF!</v>
      </c>
      <c r="I3831" s="670"/>
      <c r="J3831" s="670"/>
      <c r="K3831" s="791"/>
      <c r="L3831" s="791"/>
      <c r="M3831" s="670" t="e">
        <f t="shared" si="849"/>
        <v>#REF!</v>
      </c>
      <c r="N3831" s="670" t="e">
        <f t="shared" si="849"/>
        <v>#REF!</v>
      </c>
      <c r="O3831" s="671"/>
      <c r="P3831" s="672"/>
    </row>
    <row r="3832" spans="1:16" s="688" customFormat="1" ht="17.100000000000001" customHeight="1">
      <c r="A3832" s="1318" t="s">
        <v>1320</v>
      </c>
      <c r="B3832" s="1319"/>
      <c r="C3832" s="1316"/>
      <c r="D3832" s="1317"/>
      <c r="E3832" s="686"/>
      <c r="F3832" s="676"/>
      <c r="G3832" s="670"/>
      <c r="H3832" s="670" t="e">
        <f>SUM(H3827:H3831)</f>
        <v>#REF!</v>
      </c>
      <c r="I3832" s="670"/>
      <c r="J3832" s="670">
        <f>SUM(J3827:J3831)</f>
        <v>5693</v>
      </c>
      <c r="K3832" s="670"/>
      <c r="L3832" s="670">
        <f>SUM(L3827:L3831)</f>
        <v>284</v>
      </c>
      <c r="M3832" s="670"/>
      <c r="N3832" s="670" t="e">
        <f>SUM(N3827:N3831)</f>
        <v>#REF!</v>
      </c>
      <c r="O3832" s="671"/>
      <c r="P3832" s="672"/>
    </row>
    <row r="3833" spans="1:16" s="688" customFormat="1" ht="17.100000000000001" customHeight="1">
      <c r="A3833" s="668">
        <f>A3826+1</f>
        <v>514</v>
      </c>
      <c r="B3833" s="1320" t="s">
        <v>2488</v>
      </c>
      <c r="C3833" s="1320"/>
      <c r="D3833" s="1320" t="s">
        <v>2485</v>
      </c>
      <c r="E3833" s="1320"/>
      <c r="F3833" s="669" t="s">
        <v>30</v>
      </c>
      <c r="G3833" s="698"/>
      <c r="H3833" s="698"/>
      <c r="I3833" s="698"/>
      <c r="J3833" s="698"/>
      <c r="K3833" s="670"/>
      <c r="L3833" s="670"/>
      <c r="M3833" s="670"/>
      <c r="N3833" s="698"/>
      <c r="O3833" s="699"/>
      <c r="P3833" s="672"/>
    </row>
    <row r="3834" spans="1:16" s="688" customFormat="1" ht="17.100000000000001" customHeight="1">
      <c r="A3834" s="1316" t="s">
        <v>952</v>
      </c>
      <c r="B3834" s="1320"/>
      <c r="C3834" s="1316" t="s">
        <v>2485</v>
      </c>
      <c r="D3834" s="1317"/>
      <c r="E3834" s="677">
        <v>1</v>
      </c>
      <c r="F3834" s="676" t="s">
        <v>30</v>
      </c>
      <c r="G3834" s="670" t="e">
        <f>#REF!</f>
        <v>#REF!</v>
      </c>
      <c r="H3834" s="670" t="e">
        <f>INT(E3834*G3834)</f>
        <v>#REF!</v>
      </c>
      <c r="I3834" s="670"/>
      <c r="J3834" s="670"/>
      <c r="K3834" s="670"/>
      <c r="L3834" s="670"/>
      <c r="M3834" s="670" t="e">
        <f>G3834+I3834+K3834</f>
        <v>#REF!</v>
      </c>
      <c r="N3834" s="670" t="e">
        <f>H3834+J3834+L3834</f>
        <v>#REF!</v>
      </c>
      <c r="O3834" s="671"/>
      <c r="P3834" s="672"/>
    </row>
    <row r="3835" spans="1:16" s="688" customFormat="1" ht="17.100000000000001" customHeight="1">
      <c r="A3835" s="1316" t="s">
        <v>628</v>
      </c>
      <c r="B3835" s="1320"/>
      <c r="C3835" s="1316"/>
      <c r="D3835" s="1317"/>
      <c r="E3835" s="683">
        <v>1.43E-2</v>
      </c>
      <c r="F3835" s="676" t="s">
        <v>366</v>
      </c>
      <c r="G3835" s="670"/>
      <c r="H3835" s="670"/>
      <c r="I3835" s="670">
        <f>[53]노임단가!$T$6</f>
        <v>226122</v>
      </c>
      <c r="J3835" s="670">
        <f>INT(E3835*I3835)</f>
        <v>3233</v>
      </c>
      <c r="K3835" s="670"/>
      <c r="L3835" s="670"/>
      <c r="M3835" s="670">
        <f t="shared" ref="M3835:N3838" si="850">G3835+I3835+K3835</f>
        <v>226122</v>
      </c>
      <c r="N3835" s="670">
        <f t="shared" si="850"/>
        <v>3233</v>
      </c>
      <c r="O3835" s="671"/>
      <c r="P3835" s="672"/>
    </row>
    <row r="3836" spans="1:16" s="688" customFormat="1" ht="17.100000000000001" customHeight="1">
      <c r="A3836" s="1316" t="s">
        <v>248</v>
      </c>
      <c r="B3836" s="1320"/>
      <c r="C3836" s="1316"/>
      <c r="D3836" s="1317"/>
      <c r="E3836" s="683">
        <v>1.43E-2</v>
      </c>
      <c r="F3836" s="676" t="s">
        <v>366</v>
      </c>
      <c r="G3836" s="670"/>
      <c r="H3836" s="670"/>
      <c r="I3836" s="670">
        <f>[53]노임단가!$T$5</f>
        <v>172068</v>
      </c>
      <c r="J3836" s="670">
        <f>INT(E3836*I3836)</f>
        <v>2460</v>
      </c>
      <c r="K3836" s="670"/>
      <c r="L3836" s="670"/>
      <c r="M3836" s="670">
        <f t="shared" si="850"/>
        <v>172068</v>
      </c>
      <c r="N3836" s="670">
        <f t="shared" si="850"/>
        <v>2460</v>
      </c>
      <c r="O3836" s="671"/>
      <c r="P3836" s="672"/>
    </row>
    <row r="3837" spans="1:16" s="688" customFormat="1" ht="17.100000000000001" customHeight="1">
      <c r="A3837" s="1316" t="s">
        <v>1485</v>
      </c>
      <c r="B3837" s="1320"/>
      <c r="C3837" s="1316" t="s">
        <v>1469</v>
      </c>
      <c r="D3837" s="1317"/>
      <c r="E3837" s="675">
        <v>0.05</v>
      </c>
      <c r="F3837" s="676" t="s">
        <v>672</v>
      </c>
      <c r="G3837" s="670"/>
      <c r="H3837" s="670">
        <f>INT(E3837*G3837)</f>
        <v>0</v>
      </c>
      <c r="I3837" s="670"/>
      <c r="J3837" s="670"/>
      <c r="K3837" s="831">
        <f>J3835+J3836</f>
        <v>5693</v>
      </c>
      <c r="L3837" s="670">
        <f>INT(E3837*K3837)</f>
        <v>284</v>
      </c>
      <c r="M3837" s="670">
        <f t="shared" si="850"/>
        <v>5693</v>
      </c>
      <c r="N3837" s="670">
        <f t="shared" si="850"/>
        <v>284</v>
      </c>
      <c r="O3837" s="671"/>
      <c r="P3837" s="672"/>
    </row>
    <row r="3838" spans="1:16" s="688" customFormat="1" ht="17.100000000000001" customHeight="1">
      <c r="A3838" s="1316" t="s">
        <v>2486</v>
      </c>
      <c r="B3838" s="1320"/>
      <c r="C3838" s="1316" t="s">
        <v>2487</v>
      </c>
      <c r="D3838" s="1317"/>
      <c r="E3838" s="675">
        <v>0.05</v>
      </c>
      <c r="F3838" s="676" t="s">
        <v>672</v>
      </c>
      <c r="G3838" s="670" t="e">
        <f>SUM(H3834)</f>
        <v>#REF!</v>
      </c>
      <c r="H3838" s="670" t="e">
        <f>INT(E3838*G3838)</f>
        <v>#REF!</v>
      </c>
      <c r="I3838" s="670"/>
      <c r="J3838" s="670"/>
      <c r="K3838" s="791"/>
      <c r="L3838" s="791"/>
      <c r="M3838" s="670" t="e">
        <f t="shared" si="850"/>
        <v>#REF!</v>
      </c>
      <c r="N3838" s="670" t="e">
        <f t="shared" si="850"/>
        <v>#REF!</v>
      </c>
      <c r="O3838" s="671"/>
      <c r="P3838" s="672"/>
    </row>
    <row r="3839" spans="1:16" s="688" customFormat="1" ht="17.100000000000001" customHeight="1">
      <c r="A3839" s="1318" t="s">
        <v>1320</v>
      </c>
      <c r="B3839" s="1319"/>
      <c r="C3839" s="1316"/>
      <c r="D3839" s="1317"/>
      <c r="E3839" s="686"/>
      <c r="F3839" s="676"/>
      <c r="G3839" s="670"/>
      <c r="H3839" s="670" t="e">
        <f>SUM(H3834:H3838)</f>
        <v>#REF!</v>
      </c>
      <c r="I3839" s="670"/>
      <c r="J3839" s="670">
        <f>SUM(J3834:J3838)</f>
        <v>5693</v>
      </c>
      <c r="K3839" s="670"/>
      <c r="L3839" s="670">
        <f>SUM(L3834:L3838)</f>
        <v>284</v>
      </c>
      <c r="M3839" s="670"/>
      <c r="N3839" s="670" t="e">
        <f>SUM(N3834:N3838)</f>
        <v>#REF!</v>
      </c>
      <c r="O3839" s="671"/>
      <c r="P3839" s="672"/>
    </row>
    <row r="3840" spans="1:16" s="688" customFormat="1" ht="17.100000000000001" customHeight="1">
      <c r="A3840" s="668">
        <f>A3833+1</f>
        <v>515</v>
      </c>
      <c r="B3840" s="1335" t="s">
        <v>2489</v>
      </c>
      <c r="C3840" s="1335"/>
      <c r="D3840" s="1335" t="s">
        <v>1338</v>
      </c>
      <c r="E3840" s="1335"/>
      <c r="F3840" s="885" t="s">
        <v>2490</v>
      </c>
      <c r="G3840" s="698"/>
      <c r="H3840" s="698"/>
      <c r="I3840" s="698"/>
      <c r="J3840" s="698"/>
      <c r="K3840" s="670"/>
      <c r="L3840" s="670"/>
      <c r="M3840" s="670"/>
      <c r="N3840" s="698"/>
      <c r="O3840" s="699" t="s">
        <v>1562</v>
      </c>
      <c r="P3840" s="672"/>
    </row>
    <row r="3841" spans="1:16" s="688" customFormat="1" ht="17.100000000000001" customHeight="1">
      <c r="A3841" s="886" t="s">
        <v>2491</v>
      </c>
      <c r="B3841" s="886"/>
      <c r="C3841" s="1331" t="s">
        <v>2492</v>
      </c>
      <c r="D3841" s="1331"/>
      <c r="E3841" s="887">
        <v>1</v>
      </c>
      <c r="F3841" s="676" t="s">
        <v>30</v>
      </c>
      <c r="G3841" s="670"/>
      <c r="H3841" s="670"/>
      <c r="I3841" s="670"/>
      <c r="J3841" s="670"/>
      <c r="K3841" s="670"/>
      <c r="L3841" s="670"/>
      <c r="M3841" s="670">
        <f t="shared" ref="M3841:N3844" si="851">G3841+I3841+K3841</f>
        <v>0</v>
      </c>
      <c r="N3841" s="670">
        <f t="shared" si="851"/>
        <v>0</v>
      </c>
      <c r="O3841" s="671"/>
      <c r="P3841" s="672"/>
    </row>
    <row r="3842" spans="1:16" s="688" customFormat="1" ht="17.100000000000001" customHeight="1">
      <c r="A3842" s="1329" t="s">
        <v>299</v>
      </c>
      <c r="B3842" s="1330"/>
      <c r="C3842" s="1331"/>
      <c r="D3842" s="1331"/>
      <c r="E3842" s="888">
        <v>0.15379999999999999</v>
      </c>
      <c r="F3842" s="676" t="s">
        <v>366</v>
      </c>
      <c r="G3842" s="670"/>
      <c r="H3842" s="670"/>
      <c r="I3842" s="670">
        <f>[53]노임단가!$T$6</f>
        <v>226122</v>
      </c>
      <c r="J3842" s="670">
        <f>INT(E3842*I3842)</f>
        <v>34777</v>
      </c>
      <c r="K3842" s="670"/>
      <c r="L3842" s="670"/>
      <c r="M3842" s="670">
        <f t="shared" si="851"/>
        <v>226122</v>
      </c>
      <c r="N3842" s="670">
        <f t="shared" si="851"/>
        <v>34777</v>
      </c>
      <c r="O3842" s="671"/>
      <c r="P3842" s="672"/>
    </row>
    <row r="3843" spans="1:16" s="688" customFormat="1" ht="17.100000000000001" customHeight="1">
      <c r="A3843" s="1329" t="s">
        <v>280</v>
      </c>
      <c r="B3843" s="1330"/>
      <c r="C3843" s="1331"/>
      <c r="D3843" s="1331"/>
      <c r="E3843" s="888">
        <v>7.6899999999999996E-2</v>
      </c>
      <c r="F3843" s="676" t="s">
        <v>366</v>
      </c>
      <c r="G3843" s="670"/>
      <c r="H3843" s="670"/>
      <c r="I3843" s="670">
        <f>[53]노임단가!$T$5</f>
        <v>172068</v>
      </c>
      <c r="J3843" s="670">
        <f>INT(E3843*I3843)</f>
        <v>13232</v>
      </c>
      <c r="K3843" s="670"/>
      <c r="L3843" s="670"/>
      <c r="M3843" s="670">
        <f t="shared" si="851"/>
        <v>172068</v>
      </c>
      <c r="N3843" s="670">
        <f t="shared" si="851"/>
        <v>13232</v>
      </c>
      <c r="O3843" s="671"/>
      <c r="P3843" s="672"/>
    </row>
    <row r="3844" spans="1:16" s="688" customFormat="1" ht="17.100000000000001" customHeight="1">
      <c r="A3844" s="1332" t="s">
        <v>2108</v>
      </c>
      <c r="B3844" s="1333"/>
      <c r="C3844" s="1334" t="s">
        <v>2493</v>
      </c>
      <c r="D3844" s="1334"/>
      <c r="E3844" s="830">
        <v>0.05</v>
      </c>
      <c r="F3844" s="676" t="s">
        <v>672</v>
      </c>
      <c r="G3844" s="670"/>
      <c r="H3844" s="670">
        <f>INT(E3844*G3844)</f>
        <v>0</v>
      </c>
      <c r="I3844" s="670"/>
      <c r="J3844" s="670"/>
      <c r="K3844" s="670">
        <f>J3842+J3843</f>
        <v>48009</v>
      </c>
      <c r="L3844" s="670">
        <f>INT(E3844*K3844)</f>
        <v>2400</v>
      </c>
      <c r="M3844" s="670">
        <f t="shared" si="851"/>
        <v>48009</v>
      </c>
      <c r="N3844" s="670">
        <f t="shared" si="851"/>
        <v>2400</v>
      </c>
      <c r="O3844" s="671"/>
      <c r="P3844" s="672"/>
    </row>
    <row r="3845" spans="1:16" s="688" customFormat="1" ht="17.100000000000001" customHeight="1">
      <c r="A3845" s="1318" t="s">
        <v>1320</v>
      </c>
      <c r="B3845" s="1319"/>
      <c r="C3845" s="1316"/>
      <c r="D3845" s="1317"/>
      <c r="E3845" s="686"/>
      <c r="F3845" s="676"/>
      <c r="G3845" s="670"/>
      <c r="H3845" s="670">
        <f>SUM(H3841:H3844)</f>
        <v>0</v>
      </c>
      <c r="I3845" s="670"/>
      <c r="J3845" s="670">
        <f>SUM(J3841:J3844)</f>
        <v>48009</v>
      </c>
      <c r="K3845" s="670"/>
      <c r="L3845" s="670">
        <f>SUM(L3841:L3844)</f>
        <v>2400</v>
      </c>
      <c r="M3845" s="670"/>
      <c r="N3845" s="670">
        <f>SUM(N3841:N3844)</f>
        <v>50409</v>
      </c>
      <c r="O3845" s="671"/>
      <c r="P3845" s="672"/>
    </row>
    <row r="3846" spans="1:16" s="688" customFormat="1" ht="17.100000000000001" customHeight="1">
      <c r="A3846" s="668">
        <f>A3840+1</f>
        <v>516</v>
      </c>
      <c r="B3846" s="1335" t="s">
        <v>2494</v>
      </c>
      <c r="C3846" s="1335"/>
      <c r="D3846" s="1335" t="s">
        <v>2495</v>
      </c>
      <c r="E3846" s="1335"/>
      <c r="F3846" s="885" t="s">
        <v>2490</v>
      </c>
      <c r="G3846" s="698"/>
      <c r="H3846" s="698"/>
      <c r="I3846" s="698"/>
      <c r="J3846" s="698"/>
      <c r="K3846" s="670"/>
      <c r="L3846" s="670"/>
      <c r="M3846" s="670"/>
      <c r="N3846" s="698"/>
      <c r="O3846" s="699" t="s">
        <v>1562</v>
      </c>
      <c r="P3846" s="672"/>
    </row>
    <row r="3847" spans="1:16" s="688" customFormat="1" ht="17.100000000000001" customHeight="1">
      <c r="A3847" s="1329" t="s">
        <v>299</v>
      </c>
      <c r="B3847" s="1330"/>
      <c r="C3847" s="1331"/>
      <c r="D3847" s="1331"/>
      <c r="E3847" s="888">
        <f>E3842/2</f>
        <v>7.6899999999999996E-2</v>
      </c>
      <c r="F3847" s="676" t="s">
        <v>366</v>
      </c>
      <c r="G3847" s="670"/>
      <c r="H3847" s="670"/>
      <c r="I3847" s="670">
        <f>[53]노임단가!$T$6</f>
        <v>226122</v>
      </c>
      <c r="J3847" s="670">
        <f>INT(E3847*I3847)</f>
        <v>17388</v>
      </c>
      <c r="K3847" s="670"/>
      <c r="L3847" s="670"/>
      <c r="M3847" s="670">
        <f t="shared" ref="M3847:N3849" si="852">G3847+I3847+K3847</f>
        <v>226122</v>
      </c>
      <c r="N3847" s="670">
        <f t="shared" si="852"/>
        <v>17388</v>
      </c>
      <c r="O3847" s="671"/>
      <c r="P3847" s="672"/>
    </row>
    <row r="3848" spans="1:16" s="688" customFormat="1" ht="17.100000000000001" customHeight="1">
      <c r="A3848" s="1329" t="s">
        <v>280</v>
      </c>
      <c r="B3848" s="1330"/>
      <c r="C3848" s="1331"/>
      <c r="D3848" s="1331"/>
      <c r="E3848" s="888">
        <f>E3843/2</f>
        <v>3.8449999999999998E-2</v>
      </c>
      <c r="F3848" s="676" t="s">
        <v>366</v>
      </c>
      <c r="G3848" s="670"/>
      <c r="H3848" s="670"/>
      <c r="I3848" s="670">
        <f>[53]노임단가!$T$5</f>
        <v>172068</v>
      </c>
      <c r="J3848" s="670">
        <f>INT(E3848*I3848)</f>
        <v>6616</v>
      </c>
      <c r="K3848" s="670"/>
      <c r="L3848" s="670"/>
      <c r="M3848" s="670">
        <f t="shared" si="852"/>
        <v>172068</v>
      </c>
      <c r="N3848" s="670">
        <f t="shared" si="852"/>
        <v>6616</v>
      </c>
      <c r="O3848" s="671"/>
      <c r="P3848" s="672"/>
    </row>
    <row r="3849" spans="1:16" s="688" customFormat="1" ht="17.100000000000001" customHeight="1">
      <c r="A3849" s="1332" t="s">
        <v>2496</v>
      </c>
      <c r="B3849" s="1333"/>
      <c r="C3849" s="1334" t="s">
        <v>2493</v>
      </c>
      <c r="D3849" s="1334"/>
      <c r="E3849" s="830">
        <v>0.05</v>
      </c>
      <c r="F3849" s="676" t="s">
        <v>672</v>
      </c>
      <c r="G3849" s="670">
        <f>SUM(J3847:J3848)</f>
        <v>24004</v>
      </c>
      <c r="H3849" s="670">
        <f>INT(E3849*G3849)</f>
        <v>1200</v>
      </c>
      <c r="I3849" s="670"/>
      <c r="J3849" s="670"/>
      <c r="K3849" s="670"/>
      <c r="L3849" s="670"/>
      <c r="M3849" s="670">
        <f t="shared" si="852"/>
        <v>24004</v>
      </c>
      <c r="N3849" s="670">
        <f t="shared" si="852"/>
        <v>1200</v>
      </c>
      <c r="O3849" s="671"/>
      <c r="P3849" s="672"/>
    </row>
    <row r="3850" spans="1:16" s="688" customFormat="1" ht="17.100000000000001" customHeight="1">
      <c r="A3850" s="1318" t="s">
        <v>1320</v>
      </c>
      <c r="B3850" s="1319"/>
      <c r="C3850" s="1316"/>
      <c r="D3850" s="1317"/>
      <c r="E3850" s="686"/>
      <c r="F3850" s="676"/>
      <c r="G3850" s="670"/>
      <c r="H3850" s="670">
        <f>SUM(H3847:H3849)</f>
        <v>1200</v>
      </c>
      <c r="I3850" s="670"/>
      <c r="J3850" s="670">
        <f>SUM(J3847:J3849)</f>
        <v>24004</v>
      </c>
      <c r="K3850" s="670"/>
      <c r="L3850" s="670">
        <f>SUM(L3847:L3849)</f>
        <v>0</v>
      </c>
      <c r="M3850" s="670"/>
      <c r="N3850" s="670">
        <f>SUM(N3847:N3849)</f>
        <v>25204</v>
      </c>
      <c r="O3850" s="671"/>
      <c r="P3850" s="672"/>
    </row>
    <row r="3851" spans="1:16" s="688" customFormat="1" ht="17.100000000000001" customHeight="1">
      <c r="A3851" s="668">
        <f>A3846+1</f>
        <v>517</v>
      </c>
      <c r="B3851" s="1320" t="s">
        <v>2497</v>
      </c>
      <c r="C3851" s="1320"/>
      <c r="D3851" s="1320"/>
      <c r="E3851" s="1320"/>
      <c r="F3851" s="669" t="s">
        <v>366</v>
      </c>
      <c r="G3851" s="698"/>
      <c r="H3851" s="698"/>
      <c r="I3851" s="698"/>
      <c r="J3851" s="698"/>
      <c r="K3851" s="670"/>
      <c r="L3851" s="670"/>
      <c r="M3851" s="670"/>
      <c r="N3851" s="698"/>
      <c r="O3851" s="699"/>
      <c r="P3851" s="672"/>
    </row>
    <row r="3852" spans="1:16" s="688" customFormat="1" ht="17.100000000000001" customHeight="1">
      <c r="A3852" s="1316" t="s">
        <v>248</v>
      </c>
      <c r="B3852" s="1317"/>
      <c r="C3852" s="1316"/>
      <c r="D3852" s="1317"/>
      <c r="E3852" s="675">
        <v>1</v>
      </c>
      <c r="F3852" s="676" t="s">
        <v>366</v>
      </c>
      <c r="G3852" s="686"/>
      <c r="H3852" s="670"/>
      <c r="I3852" s="670"/>
      <c r="J3852" s="670"/>
      <c r="K3852" s="670">
        <f>[53]노임단가!$T$5</f>
        <v>172068</v>
      </c>
      <c r="L3852" s="670">
        <f>INT(E3852*K3852)</f>
        <v>172068</v>
      </c>
      <c r="M3852" s="670">
        <f>G3852+I3852+K3852</f>
        <v>172068</v>
      </c>
      <c r="N3852" s="670">
        <f>H3852+J3852+L3852</f>
        <v>172068</v>
      </c>
      <c r="O3852" s="671"/>
      <c r="P3852" s="672"/>
    </row>
    <row r="3853" spans="1:16" s="688" customFormat="1" ht="17.100000000000001" customHeight="1">
      <c r="A3853" s="1318" t="s">
        <v>1320</v>
      </c>
      <c r="B3853" s="1319"/>
      <c r="C3853" s="1316"/>
      <c r="D3853" s="1317"/>
      <c r="E3853" s="686"/>
      <c r="F3853" s="676"/>
      <c r="G3853" s="670"/>
      <c r="H3853" s="670"/>
      <c r="I3853" s="670"/>
      <c r="J3853" s="670"/>
      <c r="K3853" s="670"/>
      <c r="L3853" s="670">
        <f>L3852</f>
        <v>172068</v>
      </c>
      <c r="M3853" s="670"/>
      <c r="N3853" s="670">
        <f>N3852</f>
        <v>172068</v>
      </c>
      <c r="O3853" s="671"/>
      <c r="P3853" s="672"/>
    </row>
    <row r="3854" spans="1:16" s="688" customFormat="1" ht="17.100000000000001" customHeight="1">
      <c r="A3854" s="668">
        <f>A3851+1</f>
        <v>518</v>
      </c>
      <c r="B3854" s="1320" t="s">
        <v>2498</v>
      </c>
      <c r="C3854" s="1320"/>
      <c r="D3854" s="1320" t="s">
        <v>2499</v>
      </c>
      <c r="E3854" s="1320"/>
      <c r="F3854" s="669" t="s">
        <v>418</v>
      </c>
      <c r="G3854" s="698"/>
      <c r="H3854" s="698"/>
      <c r="I3854" s="698"/>
      <c r="J3854" s="698"/>
      <c r="K3854" s="670"/>
      <c r="L3854" s="670"/>
      <c r="M3854" s="670"/>
      <c r="N3854" s="698"/>
      <c r="O3854" s="699"/>
      <c r="P3854" s="672"/>
    </row>
    <row r="3855" spans="1:16" s="688" customFormat="1" ht="17.100000000000001" customHeight="1">
      <c r="A3855" s="1316" t="s">
        <v>248</v>
      </c>
      <c r="B3855" s="1317"/>
      <c r="C3855" s="1316"/>
      <c r="D3855" s="1317"/>
      <c r="E3855" s="701">
        <v>0.125</v>
      </c>
      <c r="F3855" s="676" t="s">
        <v>366</v>
      </c>
      <c r="G3855" s="670"/>
      <c r="H3855" s="670"/>
      <c r="I3855" s="670"/>
      <c r="J3855" s="670"/>
      <c r="K3855" s="670">
        <f>[53]노임단가!$T$5</f>
        <v>172068</v>
      </c>
      <c r="L3855" s="670">
        <f>INT(E3855*K3855)</f>
        <v>21508</v>
      </c>
      <c r="M3855" s="670">
        <f>G3855+I3855+K3855</f>
        <v>172068</v>
      </c>
      <c r="N3855" s="670">
        <f>H3855+J3855+L3855</f>
        <v>21508</v>
      </c>
      <c r="O3855" s="671"/>
      <c r="P3855" s="672"/>
    </row>
    <row r="3856" spans="1:16" s="688" customFormat="1" ht="17.100000000000001" customHeight="1">
      <c r="A3856" s="1318" t="s">
        <v>1320</v>
      </c>
      <c r="B3856" s="1319"/>
      <c r="C3856" s="1316"/>
      <c r="D3856" s="1317"/>
      <c r="E3856" s="686"/>
      <c r="F3856" s="676"/>
      <c r="G3856" s="670"/>
      <c r="H3856" s="670"/>
      <c r="I3856" s="670"/>
      <c r="J3856" s="670"/>
      <c r="K3856" s="670"/>
      <c r="L3856" s="670">
        <f>L3855</f>
        <v>21508</v>
      </c>
      <c r="M3856" s="670"/>
      <c r="N3856" s="670">
        <f>N3855</f>
        <v>21508</v>
      </c>
      <c r="O3856" s="671"/>
      <c r="P3856" s="672"/>
    </row>
    <row r="3857" spans="1:20" s="688" customFormat="1" ht="17.100000000000001" customHeight="1">
      <c r="A3857" s="668">
        <f>A3854+1</f>
        <v>519</v>
      </c>
      <c r="B3857" s="1320" t="s">
        <v>2498</v>
      </c>
      <c r="C3857" s="1320"/>
      <c r="D3857" s="1320" t="s">
        <v>2500</v>
      </c>
      <c r="E3857" s="1320"/>
      <c r="F3857" s="669" t="s">
        <v>418</v>
      </c>
      <c r="G3857" s="698"/>
      <c r="H3857" s="698"/>
      <c r="I3857" s="698"/>
      <c r="J3857" s="698"/>
      <c r="K3857" s="670"/>
      <c r="L3857" s="670"/>
      <c r="M3857" s="670"/>
      <c r="N3857" s="698"/>
      <c r="O3857" s="699"/>
      <c r="P3857" s="672"/>
    </row>
    <row r="3858" spans="1:20" s="688" customFormat="1" ht="17.100000000000001" customHeight="1">
      <c r="A3858" s="1316" t="s">
        <v>248</v>
      </c>
      <c r="B3858" s="1317"/>
      <c r="C3858" s="1316"/>
      <c r="D3858" s="1317"/>
      <c r="E3858" s="675">
        <v>0.25</v>
      </c>
      <c r="F3858" s="676" t="s">
        <v>366</v>
      </c>
      <c r="G3858" s="670"/>
      <c r="H3858" s="670"/>
      <c r="I3858" s="670"/>
      <c r="J3858" s="670"/>
      <c r="K3858" s="670">
        <f>[53]노임단가!$T$5</f>
        <v>172068</v>
      </c>
      <c r="L3858" s="670">
        <f>INT(E3858*K3858)</f>
        <v>43017</v>
      </c>
      <c r="M3858" s="670">
        <f>G3858+I3858+K3858</f>
        <v>172068</v>
      </c>
      <c r="N3858" s="670">
        <f>H3858+J3858+L3858</f>
        <v>43017</v>
      </c>
      <c r="O3858" s="671"/>
      <c r="P3858" s="672"/>
    </row>
    <row r="3859" spans="1:20" s="688" customFormat="1" ht="17.100000000000001" customHeight="1">
      <c r="A3859" s="1318" t="s">
        <v>1320</v>
      </c>
      <c r="B3859" s="1319"/>
      <c r="C3859" s="1316"/>
      <c r="D3859" s="1317"/>
      <c r="E3859" s="686"/>
      <c r="F3859" s="676"/>
      <c r="G3859" s="670"/>
      <c r="H3859" s="670"/>
      <c r="I3859" s="670"/>
      <c r="J3859" s="670"/>
      <c r="K3859" s="670"/>
      <c r="L3859" s="670">
        <f>L3858</f>
        <v>43017</v>
      </c>
      <c r="M3859" s="670"/>
      <c r="N3859" s="670">
        <f>N3858</f>
        <v>43017</v>
      </c>
      <c r="O3859" s="671"/>
      <c r="P3859" s="672"/>
    </row>
    <row r="3860" spans="1:20" s="688" customFormat="1" ht="17.100000000000001" customHeight="1">
      <c r="A3860" s="668">
        <f>A3857+1</f>
        <v>520</v>
      </c>
      <c r="B3860" s="1320" t="s">
        <v>1013</v>
      </c>
      <c r="C3860" s="1320"/>
      <c r="D3860" s="1320" t="s">
        <v>2501</v>
      </c>
      <c r="E3860" s="1320"/>
      <c r="F3860" s="669" t="s">
        <v>1017</v>
      </c>
      <c r="G3860" s="698"/>
      <c r="H3860" s="698"/>
      <c r="I3860" s="698"/>
      <c r="J3860" s="698"/>
      <c r="K3860" s="670"/>
      <c r="L3860" s="670"/>
      <c r="M3860" s="670"/>
      <c r="N3860" s="698"/>
      <c r="O3860" s="699"/>
      <c r="P3860" s="672"/>
    </row>
    <row r="3861" spans="1:20" s="688" customFormat="1" ht="17.100000000000001" customHeight="1">
      <c r="A3861" s="1316" t="s">
        <v>1013</v>
      </c>
      <c r="B3861" s="1317"/>
      <c r="C3861" s="1316" t="s">
        <v>2502</v>
      </c>
      <c r="D3861" s="1317"/>
      <c r="E3861" s="675">
        <v>0.18</v>
      </c>
      <c r="F3861" s="676" t="s">
        <v>1017</v>
      </c>
      <c r="G3861" s="670"/>
      <c r="H3861" s="670"/>
      <c r="I3861" s="670"/>
      <c r="J3861" s="670"/>
      <c r="K3861" s="670" t="e">
        <f>#REF!</f>
        <v>#REF!</v>
      </c>
      <c r="L3861" s="670" t="e">
        <f>INT(E3861*K3861)</f>
        <v>#REF!</v>
      </c>
      <c r="M3861" s="670" t="e">
        <f t="shared" ref="M3861:N3864" si="853">G3861+I3861+K3861</f>
        <v>#REF!</v>
      </c>
      <c r="N3861" s="670" t="e">
        <f t="shared" si="853"/>
        <v>#REF!</v>
      </c>
      <c r="O3861" s="671"/>
      <c r="P3861" s="672"/>
    </row>
    <row r="3862" spans="1:20" s="688" customFormat="1" ht="17.100000000000001" customHeight="1">
      <c r="A3862" s="1316" t="s">
        <v>525</v>
      </c>
      <c r="B3862" s="1317"/>
      <c r="C3862" s="1316" t="s">
        <v>2503</v>
      </c>
      <c r="D3862" s="1317"/>
      <c r="E3862" s="675">
        <v>0.57999999999999996</v>
      </c>
      <c r="F3862" s="676" t="s">
        <v>366</v>
      </c>
      <c r="G3862" s="670"/>
      <c r="H3862" s="670"/>
      <c r="I3862" s="670"/>
      <c r="J3862" s="670"/>
      <c r="K3862" s="670">
        <f>[53]노임단가!$T$9</f>
        <v>281939</v>
      </c>
      <c r="L3862" s="670">
        <f>INT(E3862*K3862)</f>
        <v>163524</v>
      </c>
      <c r="M3862" s="670">
        <f t="shared" si="853"/>
        <v>281939</v>
      </c>
      <c r="N3862" s="670">
        <f t="shared" si="853"/>
        <v>163524</v>
      </c>
      <c r="O3862" s="671"/>
      <c r="P3862" s="672"/>
    </row>
    <row r="3863" spans="1:20" s="688" customFormat="1" ht="17.100000000000001" customHeight="1">
      <c r="A3863" s="1316" t="s">
        <v>628</v>
      </c>
      <c r="B3863" s="1317"/>
      <c r="C3863" s="1316" t="s">
        <v>2503</v>
      </c>
      <c r="D3863" s="1317"/>
      <c r="E3863" s="675">
        <v>0.34</v>
      </c>
      <c r="F3863" s="676" t="s">
        <v>366</v>
      </c>
      <c r="G3863" s="670"/>
      <c r="H3863" s="670"/>
      <c r="I3863" s="670"/>
      <c r="J3863" s="670"/>
      <c r="K3863" s="670">
        <f>[53]노임단가!$T$6</f>
        <v>226122</v>
      </c>
      <c r="L3863" s="670">
        <f>INT(E3863*K3863)</f>
        <v>76881</v>
      </c>
      <c r="M3863" s="670">
        <f t="shared" si="853"/>
        <v>226122</v>
      </c>
      <c r="N3863" s="670">
        <f t="shared" si="853"/>
        <v>76881</v>
      </c>
      <c r="O3863" s="671"/>
      <c r="P3863" s="672"/>
    </row>
    <row r="3864" spans="1:20" s="688" customFormat="1" ht="17.100000000000001" customHeight="1">
      <c r="A3864" s="1316" t="s">
        <v>1199</v>
      </c>
      <c r="B3864" s="1317"/>
      <c r="C3864" s="1321" t="s">
        <v>2504</v>
      </c>
      <c r="D3864" s="1317"/>
      <c r="E3864" s="677">
        <v>2</v>
      </c>
      <c r="F3864" s="676" t="s">
        <v>418</v>
      </c>
      <c r="G3864" s="670"/>
      <c r="H3864" s="670"/>
      <c r="I3864" s="670"/>
      <c r="J3864" s="670"/>
      <c r="K3864" s="670" t="e">
        <f>#REF!</f>
        <v>#REF!</v>
      </c>
      <c r="L3864" s="670" t="e">
        <f>INT(E3864*K3864)</f>
        <v>#REF!</v>
      </c>
      <c r="M3864" s="670" t="e">
        <f t="shared" si="853"/>
        <v>#REF!</v>
      </c>
      <c r="N3864" s="670" t="e">
        <f t="shared" si="853"/>
        <v>#REF!</v>
      </c>
      <c r="O3864" s="671"/>
      <c r="P3864" s="672"/>
    </row>
    <row r="3865" spans="1:20" s="688" customFormat="1" ht="17.100000000000001" customHeight="1">
      <c r="A3865" s="1318" t="s">
        <v>1320</v>
      </c>
      <c r="B3865" s="1319"/>
      <c r="C3865" s="1316"/>
      <c r="D3865" s="1317"/>
      <c r="E3865" s="686"/>
      <c r="F3865" s="676"/>
      <c r="G3865" s="670"/>
      <c r="H3865" s="670"/>
      <c r="I3865" s="670"/>
      <c r="J3865" s="670"/>
      <c r="K3865" s="670"/>
      <c r="L3865" s="670" t="e">
        <f>SUM(L3861:L3864)</f>
        <v>#REF!</v>
      </c>
      <c r="M3865" s="670"/>
      <c r="N3865" s="670" t="e">
        <f>SUM(N3861:N3864)</f>
        <v>#REF!</v>
      </c>
      <c r="O3865" s="671"/>
      <c r="P3865" s="672"/>
    </row>
    <row r="3866" spans="1:20" s="688" customFormat="1" ht="17.100000000000001" customHeight="1">
      <c r="A3866" s="668">
        <f>A3860+1</f>
        <v>521</v>
      </c>
      <c r="B3866" s="1320" t="s">
        <v>1013</v>
      </c>
      <c r="C3866" s="1320"/>
      <c r="D3866" s="1320" t="s">
        <v>2505</v>
      </c>
      <c r="E3866" s="1320"/>
      <c r="F3866" s="669" t="s">
        <v>1017</v>
      </c>
      <c r="G3866" s="698"/>
      <c r="H3866" s="698"/>
      <c r="I3866" s="698"/>
      <c r="J3866" s="698"/>
      <c r="K3866" s="670"/>
      <c r="L3866" s="670"/>
      <c r="M3866" s="670"/>
      <c r="N3866" s="698"/>
      <c r="O3866" s="699"/>
      <c r="P3866" s="672"/>
    </row>
    <row r="3867" spans="1:20" s="688" customFormat="1" ht="17.100000000000001" customHeight="1">
      <c r="A3867" s="1316" t="s">
        <v>1013</v>
      </c>
      <c r="B3867" s="1317"/>
      <c r="C3867" s="1316" t="s">
        <v>2502</v>
      </c>
      <c r="D3867" s="1317"/>
      <c r="E3867" s="675">
        <v>0.23</v>
      </c>
      <c r="F3867" s="676" t="s">
        <v>1017</v>
      </c>
      <c r="G3867" s="670"/>
      <c r="H3867" s="670"/>
      <c r="I3867" s="670"/>
      <c r="J3867" s="670"/>
      <c r="K3867" s="670" t="e">
        <f>#REF!</f>
        <v>#REF!</v>
      </c>
      <c r="L3867" s="670" t="e">
        <f>INT(E3867*K3867)</f>
        <v>#REF!</v>
      </c>
      <c r="M3867" s="670" t="e">
        <f t="shared" ref="M3867:N3870" si="854">G3867+I3867+K3867</f>
        <v>#REF!</v>
      </c>
      <c r="N3867" s="670" t="e">
        <f t="shared" si="854"/>
        <v>#REF!</v>
      </c>
      <c r="O3867" s="671"/>
      <c r="P3867" s="672"/>
    </row>
    <row r="3868" spans="1:20" s="688" customFormat="1" ht="17.100000000000001" customHeight="1">
      <c r="A3868" s="1316" t="s">
        <v>525</v>
      </c>
      <c r="B3868" s="1317"/>
      <c r="C3868" s="1316" t="s">
        <v>2503</v>
      </c>
      <c r="D3868" s="1317"/>
      <c r="E3868" s="675">
        <v>0.57999999999999996</v>
      </c>
      <c r="F3868" s="676" t="s">
        <v>366</v>
      </c>
      <c r="G3868" s="670"/>
      <c r="H3868" s="670"/>
      <c r="I3868" s="670"/>
      <c r="J3868" s="670"/>
      <c r="K3868" s="670">
        <f>[53]노임단가!$T$9</f>
        <v>281939</v>
      </c>
      <c r="L3868" s="670">
        <f>INT(E3868*K3868)</f>
        <v>163524</v>
      </c>
      <c r="M3868" s="670">
        <f t="shared" si="854"/>
        <v>281939</v>
      </c>
      <c r="N3868" s="670">
        <f t="shared" si="854"/>
        <v>163524</v>
      </c>
      <c r="O3868" s="671"/>
      <c r="P3868" s="672"/>
    </row>
    <row r="3869" spans="1:20" s="688" customFormat="1" ht="17.100000000000001" customHeight="1">
      <c r="A3869" s="1316" t="s">
        <v>628</v>
      </c>
      <c r="B3869" s="1317"/>
      <c r="C3869" s="1316" t="s">
        <v>2503</v>
      </c>
      <c r="D3869" s="1317"/>
      <c r="E3869" s="675">
        <v>0.34</v>
      </c>
      <c r="F3869" s="676" t="s">
        <v>366</v>
      </c>
      <c r="G3869" s="670"/>
      <c r="H3869" s="670"/>
      <c r="I3869" s="670"/>
      <c r="J3869" s="670"/>
      <c r="K3869" s="670">
        <f>[53]노임단가!$T$6</f>
        <v>226122</v>
      </c>
      <c r="L3869" s="670">
        <f>INT(E3869*K3869)</f>
        <v>76881</v>
      </c>
      <c r="M3869" s="670">
        <f t="shared" si="854"/>
        <v>226122</v>
      </c>
      <c r="N3869" s="670">
        <f t="shared" si="854"/>
        <v>76881</v>
      </c>
      <c r="O3869" s="671"/>
      <c r="P3869" s="672"/>
    </row>
    <row r="3870" spans="1:20" s="688" customFormat="1" ht="17.100000000000001" customHeight="1">
      <c r="A3870" s="1316" t="s">
        <v>1199</v>
      </c>
      <c r="B3870" s="1317"/>
      <c r="C3870" s="1321" t="s">
        <v>2504</v>
      </c>
      <c r="D3870" s="1317"/>
      <c r="E3870" s="677">
        <v>2</v>
      </c>
      <c r="F3870" s="676" t="s">
        <v>418</v>
      </c>
      <c r="G3870" s="670"/>
      <c r="H3870" s="670"/>
      <c r="I3870" s="670"/>
      <c r="J3870" s="670"/>
      <c r="K3870" s="670" t="e">
        <f>#REF!</f>
        <v>#REF!</v>
      </c>
      <c r="L3870" s="670" t="e">
        <f>INT(E3870*K3870)</f>
        <v>#REF!</v>
      </c>
      <c r="M3870" s="670" t="e">
        <f t="shared" si="854"/>
        <v>#REF!</v>
      </c>
      <c r="N3870" s="670" t="e">
        <f t="shared" si="854"/>
        <v>#REF!</v>
      </c>
      <c r="O3870" s="671"/>
      <c r="P3870" s="672"/>
      <c r="Q3870" s="687"/>
    </row>
    <row r="3871" spans="1:20" s="688" customFormat="1" ht="17.100000000000001" customHeight="1">
      <c r="A3871" s="1318" t="s">
        <v>1320</v>
      </c>
      <c r="B3871" s="1319"/>
      <c r="C3871" s="1316"/>
      <c r="D3871" s="1317"/>
      <c r="E3871" s="686"/>
      <c r="F3871" s="676"/>
      <c r="G3871" s="670"/>
      <c r="H3871" s="670"/>
      <c r="I3871" s="670"/>
      <c r="J3871" s="670"/>
      <c r="K3871" s="670"/>
      <c r="L3871" s="670" t="e">
        <f>SUM(L3867:L3870)</f>
        <v>#REF!</v>
      </c>
      <c r="M3871" s="670"/>
      <c r="N3871" s="670" t="e">
        <f>SUM(N3867:N3870)</f>
        <v>#REF!</v>
      </c>
      <c r="O3871" s="671"/>
      <c r="P3871" s="672"/>
    </row>
    <row r="3872" spans="1:20" s="688" customFormat="1" ht="17.100000000000001" customHeight="1">
      <c r="A3872" s="668">
        <f>A3866+1</f>
        <v>522</v>
      </c>
      <c r="B3872" s="1320" t="s">
        <v>1013</v>
      </c>
      <c r="C3872" s="1320"/>
      <c r="D3872" s="1320" t="s">
        <v>2506</v>
      </c>
      <c r="E3872" s="1320"/>
      <c r="F3872" s="669" t="s">
        <v>1017</v>
      </c>
      <c r="G3872" s="698"/>
      <c r="H3872" s="698"/>
      <c r="I3872" s="698"/>
      <c r="J3872" s="698"/>
      <c r="K3872" s="670"/>
      <c r="L3872" s="670"/>
      <c r="M3872" s="670"/>
      <c r="N3872" s="698"/>
      <c r="O3872" s="699"/>
      <c r="P3872" s="672"/>
      <c r="T3872" s="690"/>
    </row>
    <row r="3873" spans="1:20" s="688" customFormat="1" ht="17.100000000000001" customHeight="1">
      <c r="A3873" s="1316" t="s">
        <v>1013</v>
      </c>
      <c r="B3873" s="1317"/>
      <c r="C3873" s="1316" t="s">
        <v>2502</v>
      </c>
      <c r="D3873" s="1317"/>
      <c r="E3873" s="675">
        <v>0.34</v>
      </c>
      <c r="F3873" s="676" t="s">
        <v>1017</v>
      </c>
      <c r="G3873" s="670"/>
      <c r="H3873" s="670"/>
      <c r="I3873" s="670"/>
      <c r="J3873" s="670"/>
      <c r="K3873" s="670" t="e">
        <f>#REF!</f>
        <v>#REF!</v>
      </c>
      <c r="L3873" s="670" t="e">
        <f>INT(E3873*K3873)</f>
        <v>#REF!</v>
      </c>
      <c r="M3873" s="670" t="e">
        <f t="shared" ref="M3873:N3876" si="855">G3873+I3873+K3873</f>
        <v>#REF!</v>
      </c>
      <c r="N3873" s="670" t="e">
        <f t="shared" si="855"/>
        <v>#REF!</v>
      </c>
      <c r="O3873" s="671"/>
      <c r="P3873" s="672"/>
      <c r="T3873" s="690"/>
    </row>
    <row r="3874" spans="1:20" s="688" customFormat="1" ht="17.100000000000001" customHeight="1">
      <c r="A3874" s="1316" t="s">
        <v>525</v>
      </c>
      <c r="B3874" s="1317"/>
      <c r="C3874" s="1316" t="s">
        <v>2503</v>
      </c>
      <c r="D3874" s="1317"/>
      <c r="E3874" s="675">
        <v>0.57999999999999996</v>
      </c>
      <c r="F3874" s="676" t="s">
        <v>366</v>
      </c>
      <c r="G3874" s="670"/>
      <c r="H3874" s="670"/>
      <c r="I3874" s="670"/>
      <c r="J3874" s="670"/>
      <c r="K3874" s="670">
        <f>[53]노임단가!$T$9</f>
        <v>281939</v>
      </c>
      <c r="L3874" s="670">
        <f>INT(E3874*K3874)</f>
        <v>163524</v>
      </c>
      <c r="M3874" s="670">
        <f t="shared" si="855"/>
        <v>281939</v>
      </c>
      <c r="N3874" s="670">
        <f t="shared" si="855"/>
        <v>163524</v>
      </c>
      <c r="O3874" s="671"/>
      <c r="P3874" s="672"/>
      <c r="T3874" s="690"/>
    </row>
    <row r="3875" spans="1:20" s="688" customFormat="1" ht="17.100000000000001" customHeight="1">
      <c r="A3875" s="1316" t="s">
        <v>628</v>
      </c>
      <c r="B3875" s="1317"/>
      <c r="C3875" s="1316" t="s">
        <v>2503</v>
      </c>
      <c r="D3875" s="1317"/>
      <c r="E3875" s="675">
        <v>0.34</v>
      </c>
      <c r="F3875" s="676" t="s">
        <v>366</v>
      </c>
      <c r="G3875" s="670"/>
      <c r="H3875" s="670"/>
      <c r="I3875" s="670"/>
      <c r="J3875" s="670"/>
      <c r="K3875" s="670">
        <f>[53]노임단가!$T$6</f>
        <v>226122</v>
      </c>
      <c r="L3875" s="670">
        <f>INT(E3875*K3875)</f>
        <v>76881</v>
      </c>
      <c r="M3875" s="670">
        <f t="shared" si="855"/>
        <v>226122</v>
      </c>
      <c r="N3875" s="670">
        <f t="shared" si="855"/>
        <v>76881</v>
      </c>
      <c r="O3875" s="671"/>
      <c r="P3875" s="672"/>
      <c r="T3875" s="690"/>
    </row>
    <row r="3876" spans="1:20" s="688" customFormat="1" ht="17.100000000000001" customHeight="1">
      <c r="A3876" s="1316" t="s">
        <v>1199</v>
      </c>
      <c r="B3876" s="1317"/>
      <c r="C3876" s="1321" t="s">
        <v>2504</v>
      </c>
      <c r="D3876" s="1317"/>
      <c r="E3876" s="677">
        <v>2</v>
      </c>
      <c r="F3876" s="676" t="s">
        <v>418</v>
      </c>
      <c r="G3876" s="670"/>
      <c r="H3876" s="670"/>
      <c r="I3876" s="670"/>
      <c r="J3876" s="670"/>
      <c r="K3876" s="670" t="e">
        <f>#REF!</f>
        <v>#REF!</v>
      </c>
      <c r="L3876" s="670" t="e">
        <f>INT(E3876*K3876)</f>
        <v>#REF!</v>
      </c>
      <c r="M3876" s="670" t="e">
        <f t="shared" si="855"/>
        <v>#REF!</v>
      </c>
      <c r="N3876" s="670" t="e">
        <f t="shared" si="855"/>
        <v>#REF!</v>
      </c>
      <c r="O3876" s="671"/>
      <c r="P3876" s="672"/>
      <c r="T3876" s="690"/>
    </row>
    <row r="3877" spans="1:20" s="688" customFormat="1" ht="17.100000000000001" customHeight="1">
      <c r="A3877" s="1318" t="s">
        <v>1320</v>
      </c>
      <c r="B3877" s="1319"/>
      <c r="C3877" s="1316"/>
      <c r="D3877" s="1317"/>
      <c r="E3877" s="686"/>
      <c r="F3877" s="676"/>
      <c r="G3877" s="670"/>
      <c r="H3877" s="670"/>
      <c r="I3877" s="670"/>
      <c r="J3877" s="670"/>
      <c r="K3877" s="670"/>
      <c r="L3877" s="670" t="e">
        <f>SUM(L3873:L3876)</f>
        <v>#REF!</v>
      </c>
      <c r="M3877" s="670"/>
      <c r="N3877" s="670" t="e">
        <f>SUM(N3873:N3876)</f>
        <v>#REF!</v>
      </c>
      <c r="O3877" s="671"/>
      <c r="P3877" s="672"/>
      <c r="T3877" s="690"/>
    </row>
    <row r="3878" spans="1:20" s="688" customFormat="1" ht="17.100000000000001" customHeight="1">
      <c r="A3878" s="668">
        <f>A3872+1</f>
        <v>523</v>
      </c>
      <c r="B3878" s="1320" t="s">
        <v>1013</v>
      </c>
      <c r="C3878" s="1320"/>
      <c r="D3878" s="1320" t="s">
        <v>2507</v>
      </c>
      <c r="E3878" s="1320"/>
      <c r="F3878" s="669" t="s">
        <v>1017</v>
      </c>
      <c r="G3878" s="698"/>
      <c r="H3878" s="698"/>
      <c r="I3878" s="698"/>
      <c r="J3878" s="698"/>
      <c r="K3878" s="670"/>
      <c r="L3878" s="670"/>
      <c r="M3878" s="670"/>
      <c r="N3878" s="698"/>
      <c r="O3878" s="699"/>
      <c r="P3878" s="672"/>
      <c r="T3878" s="690"/>
    </row>
    <row r="3879" spans="1:20" s="688" customFormat="1" ht="17.100000000000001" customHeight="1">
      <c r="A3879" s="1316" t="s">
        <v>1013</v>
      </c>
      <c r="B3879" s="1317"/>
      <c r="C3879" s="1316" t="s">
        <v>1016</v>
      </c>
      <c r="D3879" s="1317"/>
      <c r="E3879" s="675">
        <v>0.18</v>
      </c>
      <c r="F3879" s="676" t="s">
        <v>1017</v>
      </c>
      <c r="G3879" s="670"/>
      <c r="H3879" s="670"/>
      <c r="I3879" s="670"/>
      <c r="J3879" s="670"/>
      <c r="K3879" s="670" t="e">
        <f>#REF!</f>
        <v>#REF!</v>
      </c>
      <c r="L3879" s="670" t="e">
        <f>INT(E3879*K3879)</f>
        <v>#REF!</v>
      </c>
      <c r="M3879" s="670" t="e">
        <f t="shared" ref="M3879:N3882" si="856">G3879+I3879+K3879</f>
        <v>#REF!</v>
      </c>
      <c r="N3879" s="670" t="e">
        <f t="shared" si="856"/>
        <v>#REF!</v>
      </c>
      <c r="O3879" s="671"/>
      <c r="P3879" s="672"/>
      <c r="Q3879" s="687"/>
      <c r="T3879" s="690"/>
    </row>
    <row r="3880" spans="1:20" s="688" customFormat="1" ht="17.100000000000001" customHeight="1">
      <c r="A3880" s="1316" t="s">
        <v>525</v>
      </c>
      <c r="B3880" s="1317"/>
      <c r="C3880" s="1316" t="s">
        <v>2503</v>
      </c>
      <c r="D3880" s="1317"/>
      <c r="E3880" s="675">
        <v>0.78</v>
      </c>
      <c r="F3880" s="676" t="s">
        <v>366</v>
      </c>
      <c r="G3880" s="670"/>
      <c r="H3880" s="670"/>
      <c r="I3880" s="670"/>
      <c r="J3880" s="670"/>
      <c r="K3880" s="670">
        <f>[53]노임단가!$T$9</f>
        <v>281939</v>
      </c>
      <c r="L3880" s="670">
        <f>INT(E3880*K3880)</f>
        <v>219912</v>
      </c>
      <c r="M3880" s="670">
        <f t="shared" si="856"/>
        <v>281939</v>
      </c>
      <c r="N3880" s="670">
        <f t="shared" si="856"/>
        <v>219912</v>
      </c>
      <c r="O3880" s="671"/>
      <c r="P3880" s="672"/>
      <c r="T3880" s="690"/>
    </row>
    <row r="3881" spans="1:20" s="688" customFormat="1" ht="17.100000000000001" customHeight="1">
      <c r="A3881" s="1316" t="s">
        <v>628</v>
      </c>
      <c r="B3881" s="1317"/>
      <c r="C3881" s="1316" t="s">
        <v>2503</v>
      </c>
      <c r="D3881" s="1317"/>
      <c r="E3881" s="675">
        <v>0.38</v>
      </c>
      <c r="F3881" s="676" t="s">
        <v>366</v>
      </c>
      <c r="G3881" s="670"/>
      <c r="H3881" s="670"/>
      <c r="I3881" s="670"/>
      <c r="J3881" s="670"/>
      <c r="K3881" s="670">
        <f>[53]노임단가!$T$6</f>
        <v>226122</v>
      </c>
      <c r="L3881" s="670">
        <f>INT(E3881*K3881)</f>
        <v>85926</v>
      </c>
      <c r="M3881" s="670">
        <f t="shared" si="856"/>
        <v>226122</v>
      </c>
      <c r="N3881" s="670">
        <f t="shared" si="856"/>
        <v>85926</v>
      </c>
      <c r="O3881" s="671"/>
      <c r="P3881" s="672"/>
      <c r="T3881" s="690"/>
    </row>
    <row r="3882" spans="1:20" s="688" customFormat="1" ht="17.100000000000001" customHeight="1">
      <c r="A3882" s="1316" t="s">
        <v>1199</v>
      </c>
      <c r="B3882" s="1317"/>
      <c r="C3882" s="1321" t="s">
        <v>2504</v>
      </c>
      <c r="D3882" s="1317"/>
      <c r="E3882" s="677">
        <v>2</v>
      </c>
      <c r="F3882" s="676" t="s">
        <v>418</v>
      </c>
      <c r="G3882" s="670"/>
      <c r="H3882" s="670"/>
      <c r="I3882" s="670"/>
      <c r="J3882" s="670"/>
      <c r="K3882" s="670" t="e">
        <f>#REF!</f>
        <v>#REF!</v>
      </c>
      <c r="L3882" s="670" t="e">
        <f>INT(E3882*K3882)</f>
        <v>#REF!</v>
      </c>
      <c r="M3882" s="670" t="e">
        <f t="shared" si="856"/>
        <v>#REF!</v>
      </c>
      <c r="N3882" s="670" t="e">
        <f t="shared" si="856"/>
        <v>#REF!</v>
      </c>
      <c r="O3882" s="671"/>
      <c r="P3882" s="672"/>
      <c r="T3882" s="690"/>
    </row>
    <row r="3883" spans="1:20" s="688" customFormat="1" ht="17.100000000000001" customHeight="1">
      <c r="A3883" s="1318" t="s">
        <v>1320</v>
      </c>
      <c r="B3883" s="1319"/>
      <c r="C3883" s="1316"/>
      <c r="D3883" s="1317"/>
      <c r="E3883" s="686"/>
      <c r="F3883" s="676"/>
      <c r="G3883" s="670"/>
      <c r="H3883" s="670"/>
      <c r="I3883" s="670"/>
      <c r="J3883" s="670"/>
      <c r="K3883" s="670"/>
      <c r="L3883" s="670" t="e">
        <f>SUM(L3879:L3882)</f>
        <v>#REF!</v>
      </c>
      <c r="M3883" s="670"/>
      <c r="N3883" s="670" t="e">
        <f>SUM(N3879:N3882)</f>
        <v>#REF!</v>
      </c>
      <c r="O3883" s="671"/>
      <c r="P3883" s="672"/>
      <c r="T3883" s="690"/>
    </row>
    <row r="3884" spans="1:20" s="688" customFormat="1" ht="17.100000000000001" customHeight="1">
      <c r="A3884" s="668">
        <f>A3878+1</f>
        <v>524</v>
      </c>
      <c r="B3884" s="1320" t="s">
        <v>1013</v>
      </c>
      <c r="C3884" s="1320"/>
      <c r="D3884" s="1320" t="s">
        <v>2508</v>
      </c>
      <c r="E3884" s="1320"/>
      <c r="F3884" s="669" t="s">
        <v>1017</v>
      </c>
      <c r="G3884" s="698"/>
      <c r="H3884" s="698"/>
      <c r="I3884" s="698"/>
      <c r="J3884" s="698"/>
      <c r="K3884" s="670"/>
      <c r="L3884" s="670"/>
      <c r="M3884" s="670"/>
      <c r="N3884" s="698"/>
      <c r="O3884" s="699"/>
      <c r="P3884" s="672"/>
      <c r="T3884" s="690"/>
    </row>
    <row r="3885" spans="1:20" s="688" customFormat="1" ht="17.100000000000001" customHeight="1">
      <c r="A3885" s="1316" t="s">
        <v>1013</v>
      </c>
      <c r="B3885" s="1317"/>
      <c r="C3885" s="1316" t="s">
        <v>1016</v>
      </c>
      <c r="D3885" s="1317"/>
      <c r="E3885" s="675">
        <v>0.23</v>
      </c>
      <c r="F3885" s="676" t="s">
        <v>1017</v>
      </c>
      <c r="G3885" s="670"/>
      <c r="H3885" s="670"/>
      <c r="I3885" s="670"/>
      <c r="J3885" s="670"/>
      <c r="K3885" s="670" t="e">
        <f>#REF!</f>
        <v>#REF!</v>
      </c>
      <c r="L3885" s="670" t="e">
        <f>INT(E3885*K3885)</f>
        <v>#REF!</v>
      </c>
      <c r="M3885" s="670" t="e">
        <f t="shared" ref="M3885:N3888" si="857">G3885+I3885+K3885</f>
        <v>#REF!</v>
      </c>
      <c r="N3885" s="670" t="e">
        <f t="shared" si="857"/>
        <v>#REF!</v>
      </c>
      <c r="O3885" s="671"/>
      <c r="P3885" s="672"/>
      <c r="T3885" s="690"/>
    </row>
    <row r="3886" spans="1:20" s="688" customFormat="1" ht="17.100000000000001" customHeight="1">
      <c r="A3886" s="1316" t="s">
        <v>525</v>
      </c>
      <c r="B3886" s="1317"/>
      <c r="C3886" s="1316" t="s">
        <v>2503</v>
      </c>
      <c r="D3886" s="1317"/>
      <c r="E3886" s="675">
        <v>0.78</v>
      </c>
      <c r="F3886" s="676" t="s">
        <v>366</v>
      </c>
      <c r="G3886" s="670"/>
      <c r="H3886" s="670"/>
      <c r="I3886" s="670"/>
      <c r="J3886" s="670"/>
      <c r="K3886" s="670">
        <f>[53]노임단가!$T$9</f>
        <v>281939</v>
      </c>
      <c r="L3886" s="670">
        <f>INT(E3886*K3886)</f>
        <v>219912</v>
      </c>
      <c r="M3886" s="670">
        <f t="shared" si="857"/>
        <v>281939</v>
      </c>
      <c r="N3886" s="670">
        <f t="shared" si="857"/>
        <v>219912</v>
      </c>
      <c r="O3886" s="671"/>
      <c r="P3886" s="672"/>
      <c r="T3886" s="690"/>
    </row>
    <row r="3887" spans="1:20" s="688" customFormat="1" ht="17.100000000000001" customHeight="1">
      <c r="A3887" s="1316" t="s">
        <v>628</v>
      </c>
      <c r="B3887" s="1317"/>
      <c r="C3887" s="1316" t="s">
        <v>2503</v>
      </c>
      <c r="D3887" s="1317"/>
      <c r="E3887" s="675">
        <v>0.38</v>
      </c>
      <c r="F3887" s="676" t="s">
        <v>366</v>
      </c>
      <c r="G3887" s="670"/>
      <c r="H3887" s="670"/>
      <c r="I3887" s="670"/>
      <c r="J3887" s="670"/>
      <c r="K3887" s="670">
        <f>[53]노임단가!$T$6</f>
        <v>226122</v>
      </c>
      <c r="L3887" s="670">
        <f>INT(E3887*K3887)</f>
        <v>85926</v>
      </c>
      <c r="M3887" s="670">
        <f t="shared" si="857"/>
        <v>226122</v>
      </c>
      <c r="N3887" s="670">
        <f t="shared" si="857"/>
        <v>85926</v>
      </c>
      <c r="O3887" s="671"/>
      <c r="P3887" s="672"/>
    </row>
    <row r="3888" spans="1:20" s="688" customFormat="1" ht="17.100000000000001" customHeight="1">
      <c r="A3888" s="1316" t="s">
        <v>1199</v>
      </c>
      <c r="B3888" s="1317"/>
      <c r="C3888" s="1321" t="s">
        <v>2504</v>
      </c>
      <c r="D3888" s="1317"/>
      <c r="E3888" s="677">
        <v>2</v>
      </c>
      <c r="F3888" s="676" t="s">
        <v>418</v>
      </c>
      <c r="G3888" s="670"/>
      <c r="H3888" s="670"/>
      <c r="I3888" s="670"/>
      <c r="J3888" s="670"/>
      <c r="K3888" s="670" t="e">
        <f>#REF!</f>
        <v>#REF!</v>
      </c>
      <c r="L3888" s="670" t="e">
        <f>INT(E3888*K3888)</f>
        <v>#REF!</v>
      </c>
      <c r="M3888" s="670" t="e">
        <f t="shared" si="857"/>
        <v>#REF!</v>
      </c>
      <c r="N3888" s="670" t="e">
        <f t="shared" si="857"/>
        <v>#REF!</v>
      </c>
      <c r="O3888" s="671"/>
      <c r="P3888" s="672"/>
    </row>
    <row r="3889" spans="1:20" s="688" customFormat="1" ht="17.100000000000001" customHeight="1">
      <c r="A3889" s="1318" t="s">
        <v>1320</v>
      </c>
      <c r="B3889" s="1319"/>
      <c r="C3889" s="1316"/>
      <c r="D3889" s="1317"/>
      <c r="E3889" s="686"/>
      <c r="F3889" s="676"/>
      <c r="G3889" s="670"/>
      <c r="H3889" s="670"/>
      <c r="I3889" s="670"/>
      <c r="J3889" s="670"/>
      <c r="K3889" s="670"/>
      <c r="L3889" s="670" t="e">
        <f>SUM(L3885:L3888)</f>
        <v>#REF!</v>
      </c>
      <c r="M3889" s="670"/>
      <c r="N3889" s="670" t="e">
        <f>SUM(N3885:N3888)</f>
        <v>#REF!</v>
      </c>
      <c r="O3889" s="671"/>
      <c r="P3889" s="672"/>
    </row>
    <row r="3890" spans="1:20" s="688" customFormat="1" ht="17.100000000000001" customHeight="1">
      <c r="A3890" s="668">
        <f>A3884+1</f>
        <v>525</v>
      </c>
      <c r="B3890" s="1320" t="s">
        <v>1013</v>
      </c>
      <c r="C3890" s="1320"/>
      <c r="D3890" s="1320" t="s">
        <v>2509</v>
      </c>
      <c r="E3890" s="1320"/>
      <c r="F3890" s="669" t="s">
        <v>1017</v>
      </c>
      <c r="G3890" s="698"/>
      <c r="H3890" s="698"/>
      <c r="I3890" s="698"/>
      <c r="J3890" s="698"/>
      <c r="K3890" s="670"/>
      <c r="L3890" s="670"/>
      <c r="M3890" s="670"/>
      <c r="N3890" s="698"/>
      <c r="O3890" s="699"/>
      <c r="P3890" s="672"/>
    </row>
    <row r="3891" spans="1:20" s="688" customFormat="1" ht="17.100000000000001" customHeight="1">
      <c r="A3891" s="1316" t="s">
        <v>1013</v>
      </c>
      <c r="B3891" s="1317"/>
      <c r="C3891" s="1316" t="s">
        <v>1016</v>
      </c>
      <c r="D3891" s="1317"/>
      <c r="E3891" s="675">
        <v>0.34</v>
      </c>
      <c r="F3891" s="676" t="s">
        <v>1017</v>
      </c>
      <c r="G3891" s="670"/>
      <c r="H3891" s="670"/>
      <c r="I3891" s="670"/>
      <c r="J3891" s="670"/>
      <c r="K3891" s="670" t="e">
        <f>#REF!</f>
        <v>#REF!</v>
      </c>
      <c r="L3891" s="670" t="e">
        <f>INT(E3891*K3891)</f>
        <v>#REF!</v>
      </c>
      <c r="M3891" s="670" t="e">
        <f t="shared" ref="M3891:N3894" si="858">G3891+I3891+K3891</f>
        <v>#REF!</v>
      </c>
      <c r="N3891" s="670" t="e">
        <f t="shared" si="858"/>
        <v>#REF!</v>
      </c>
      <c r="O3891" s="671"/>
      <c r="P3891" s="672"/>
    </row>
    <row r="3892" spans="1:20" s="688" customFormat="1" ht="17.100000000000001" customHeight="1">
      <c r="A3892" s="1316" t="s">
        <v>525</v>
      </c>
      <c r="B3892" s="1317"/>
      <c r="C3892" s="1316" t="s">
        <v>2503</v>
      </c>
      <c r="D3892" s="1317"/>
      <c r="E3892" s="675">
        <v>0.78</v>
      </c>
      <c r="F3892" s="676" t="s">
        <v>366</v>
      </c>
      <c r="G3892" s="670"/>
      <c r="H3892" s="670"/>
      <c r="I3892" s="670"/>
      <c r="J3892" s="670"/>
      <c r="K3892" s="670">
        <f>[53]노임단가!$T$9</f>
        <v>281939</v>
      </c>
      <c r="L3892" s="670">
        <f>INT(E3892*K3892)</f>
        <v>219912</v>
      </c>
      <c r="M3892" s="670">
        <f t="shared" si="858"/>
        <v>281939</v>
      </c>
      <c r="N3892" s="670">
        <f t="shared" si="858"/>
        <v>219912</v>
      </c>
      <c r="O3892" s="671"/>
      <c r="P3892" s="672"/>
    </row>
    <row r="3893" spans="1:20" s="688" customFormat="1" ht="17.100000000000001" customHeight="1">
      <c r="A3893" s="1316" t="s">
        <v>628</v>
      </c>
      <c r="B3893" s="1317"/>
      <c r="C3893" s="1316" t="s">
        <v>2503</v>
      </c>
      <c r="D3893" s="1317"/>
      <c r="E3893" s="675">
        <v>0.38</v>
      </c>
      <c r="F3893" s="676" t="s">
        <v>366</v>
      </c>
      <c r="G3893" s="670"/>
      <c r="H3893" s="670"/>
      <c r="I3893" s="670"/>
      <c r="J3893" s="670"/>
      <c r="K3893" s="670">
        <f>[53]노임단가!$T$6</f>
        <v>226122</v>
      </c>
      <c r="L3893" s="670">
        <f>INT(E3893*K3893)</f>
        <v>85926</v>
      </c>
      <c r="M3893" s="670">
        <f t="shared" si="858"/>
        <v>226122</v>
      </c>
      <c r="N3893" s="670">
        <f t="shared" si="858"/>
        <v>85926</v>
      </c>
      <c r="O3893" s="671"/>
      <c r="P3893" s="672"/>
      <c r="Q3893" s="688" t="s">
        <v>2510</v>
      </c>
    </row>
    <row r="3894" spans="1:20" s="688" customFormat="1" ht="17.100000000000001" customHeight="1">
      <c r="A3894" s="1316" t="s">
        <v>1199</v>
      </c>
      <c r="B3894" s="1317"/>
      <c r="C3894" s="1321" t="s">
        <v>2504</v>
      </c>
      <c r="D3894" s="1317"/>
      <c r="E3894" s="677">
        <v>2</v>
      </c>
      <c r="F3894" s="676" t="s">
        <v>418</v>
      </c>
      <c r="G3894" s="670"/>
      <c r="H3894" s="670"/>
      <c r="I3894" s="670"/>
      <c r="J3894" s="670"/>
      <c r="K3894" s="670" t="e">
        <f>#REF!</f>
        <v>#REF!</v>
      </c>
      <c r="L3894" s="670" t="e">
        <f>INT(E3894*K3894)</f>
        <v>#REF!</v>
      </c>
      <c r="M3894" s="670" t="e">
        <f t="shared" si="858"/>
        <v>#REF!</v>
      </c>
      <c r="N3894" s="670" t="e">
        <f t="shared" si="858"/>
        <v>#REF!</v>
      </c>
      <c r="O3894" s="671"/>
      <c r="P3894" s="672"/>
      <c r="Q3894" s="687" t="s">
        <v>1446</v>
      </c>
      <c r="R3894" s="688" t="s">
        <v>1876</v>
      </c>
      <c r="S3894" s="688" t="s">
        <v>1425</v>
      </c>
      <c r="T3894" s="688" t="s">
        <v>1426</v>
      </c>
    </row>
    <row r="3895" spans="1:20" s="688" customFormat="1" ht="17.100000000000001" customHeight="1">
      <c r="A3895" s="1318" t="s">
        <v>1320</v>
      </c>
      <c r="B3895" s="1319"/>
      <c r="C3895" s="1316"/>
      <c r="D3895" s="1317"/>
      <c r="E3895" s="686"/>
      <c r="F3895" s="676"/>
      <c r="G3895" s="670"/>
      <c r="H3895" s="670"/>
      <c r="I3895" s="670"/>
      <c r="J3895" s="670"/>
      <c r="K3895" s="670"/>
      <c r="L3895" s="670" t="e">
        <f>SUM(L3891:L3894)</f>
        <v>#REF!</v>
      </c>
      <c r="M3895" s="670"/>
      <c r="N3895" s="670" t="e">
        <f>SUM(N3891:N3894)</f>
        <v>#REF!</v>
      </c>
      <c r="O3895" s="671"/>
      <c r="P3895" s="672"/>
      <c r="T3895" s="690"/>
    </row>
    <row r="3896" spans="1:20" s="688" customFormat="1" ht="17.100000000000001" customHeight="1">
      <c r="A3896" s="668">
        <f>A3890+1</f>
        <v>526</v>
      </c>
      <c r="B3896" s="1320" t="s">
        <v>1019</v>
      </c>
      <c r="C3896" s="1320"/>
      <c r="D3896" s="1320" t="s">
        <v>2501</v>
      </c>
      <c r="E3896" s="1320"/>
      <c r="F3896" s="669" t="s">
        <v>1017</v>
      </c>
      <c r="G3896" s="698"/>
      <c r="H3896" s="698"/>
      <c r="I3896" s="698"/>
      <c r="J3896" s="698"/>
      <c r="K3896" s="670"/>
      <c r="L3896" s="670"/>
      <c r="M3896" s="670"/>
      <c r="N3896" s="698"/>
      <c r="O3896" s="699"/>
      <c r="P3896" s="672"/>
      <c r="T3896" s="690"/>
    </row>
    <row r="3897" spans="1:20" s="688" customFormat="1" ht="17.100000000000001" customHeight="1">
      <c r="A3897" s="1316" t="s">
        <v>1019</v>
      </c>
      <c r="B3897" s="1317"/>
      <c r="C3897" s="1316" t="s">
        <v>2502</v>
      </c>
      <c r="D3897" s="1317"/>
      <c r="E3897" s="675">
        <v>0.18</v>
      </c>
      <c r="F3897" s="676" t="s">
        <v>1017</v>
      </c>
      <c r="G3897" s="670"/>
      <c r="H3897" s="670"/>
      <c r="I3897" s="670"/>
      <c r="J3897" s="670"/>
      <c r="K3897" s="670" t="e">
        <f>#REF!</f>
        <v>#REF!</v>
      </c>
      <c r="L3897" s="670" t="e">
        <f>INT(E3897*K3897)</f>
        <v>#REF!</v>
      </c>
      <c r="M3897" s="670" t="e">
        <f t="shared" ref="M3897:N3900" si="859">G3897+I3897+K3897</f>
        <v>#REF!</v>
      </c>
      <c r="N3897" s="670" t="e">
        <f t="shared" si="859"/>
        <v>#REF!</v>
      </c>
      <c r="O3897" s="671"/>
      <c r="P3897" s="672"/>
      <c r="T3897" s="690"/>
    </row>
    <row r="3898" spans="1:20" s="688" customFormat="1" ht="17.100000000000001" customHeight="1">
      <c r="A3898" s="1316" t="s">
        <v>525</v>
      </c>
      <c r="B3898" s="1317"/>
      <c r="C3898" s="1316" t="s">
        <v>2503</v>
      </c>
      <c r="D3898" s="1317"/>
      <c r="E3898" s="675">
        <v>0.57999999999999996</v>
      </c>
      <c r="F3898" s="676" t="s">
        <v>366</v>
      </c>
      <c r="G3898" s="670"/>
      <c r="H3898" s="670"/>
      <c r="I3898" s="670"/>
      <c r="J3898" s="670"/>
      <c r="K3898" s="670">
        <f>[53]노임단가!$T$9</f>
        <v>281939</v>
      </c>
      <c r="L3898" s="670">
        <f>INT(E3898*K3898)</f>
        <v>163524</v>
      </c>
      <c r="M3898" s="670">
        <f t="shared" si="859"/>
        <v>281939</v>
      </c>
      <c r="N3898" s="670">
        <f t="shared" si="859"/>
        <v>163524</v>
      </c>
      <c r="O3898" s="671"/>
      <c r="P3898" s="672"/>
      <c r="T3898" s="690"/>
    </row>
    <row r="3899" spans="1:20" s="688" customFormat="1" ht="17.100000000000001" customHeight="1">
      <c r="A3899" s="1316" t="s">
        <v>628</v>
      </c>
      <c r="B3899" s="1317"/>
      <c r="C3899" s="1316" t="s">
        <v>2503</v>
      </c>
      <c r="D3899" s="1317"/>
      <c r="E3899" s="675">
        <v>0.34</v>
      </c>
      <c r="F3899" s="676" t="s">
        <v>366</v>
      </c>
      <c r="G3899" s="670"/>
      <c r="H3899" s="670"/>
      <c r="I3899" s="670"/>
      <c r="J3899" s="670"/>
      <c r="K3899" s="670">
        <f>[53]노임단가!$T$6</f>
        <v>226122</v>
      </c>
      <c r="L3899" s="670">
        <f>INT(E3899*K3899)</f>
        <v>76881</v>
      </c>
      <c r="M3899" s="670">
        <f t="shared" si="859"/>
        <v>226122</v>
      </c>
      <c r="N3899" s="670">
        <f t="shared" si="859"/>
        <v>76881</v>
      </c>
      <c r="O3899" s="671"/>
      <c r="P3899" s="672"/>
      <c r="T3899" s="690"/>
    </row>
    <row r="3900" spans="1:20" s="688" customFormat="1" ht="17.100000000000001" customHeight="1">
      <c r="A3900" s="1316" t="s">
        <v>1199</v>
      </c>
      <c r="B3900" s="1317"/>
      <c r="C3900" s="1321" t="s">
        <v>2504</v>
      </c>
      <c r="D3900" s="1317"/>
      <c r="E3900" s="677">
        <v>2</v>
      </c>
      <c r="F3900" s="676" t="s">
        <v>418</v>
      </c>
      <c r="G3900" s="670"/>
      <c r="H3900" s="670"/>
      <c r="I3900" s="670"/>
      <c r="J3900" s="670"/>
      <c r="K3900" s="670" t="e">
        <f>#REF!</f>
        <v>#REF!</v>
      </c>
      <c r="L3900" s="670" t="e">
        <f>INT(E3900*K3900)</f>
        <v>#REF!</v>
      </c>
      <c r="M3900" s="670" t="e">
        <f t="shared" si="859"/>
        <v>#REF!</v>
      </c>
      <c r="N3900" s="670" t="e">
        <f t="shared" si="859"/>
        <v>#REF!</v>
      </c>
      <c r="O3900" s="671"/>
      <c r="P3900" s="672"/>
      <c r="Q3900" s="688">
        <f>Q3899</f>
        <v>0</v>
      </c>
      <c r="R3900" s="688">
        <f>R3899</f>
        <v>0</v>
      </c>
      <c r="S3900" s="688">
        <v>2</v>
      </c>
      <c r="T3900" s="690" t="e">
        <f>ROUND(S3900/R3900,4)</f>
        <v>#DIV/0!</v>
      </c>
    </row>
    <row r="3901" spans="1:20" s="688" customFormat="1" ht="17.100000000000001" customHeight="1">
      <c r="A3901" s="1318" t="s">
        <v>1320</v>
      </c>
      <c r="B3901" s="1319"/>
      <c r="C3901" s="1316"/>
      <c r="D3901" s="1317"/>
      <c r="E3901" s="686"/>
      <c r="F3901" s="676"/>
      <c r="G3901" s="670"/>
      <c r="H3901" s="670"/>
      <c r="I3901" s="670"/>
      <c r="J3901" s="670"/>
      <c r="K3901" s="670"/>
      <c r="L3901" s="670" t="e">
        <f>SUM(L3897:L3900)</f>
        <v>#REF!</v>
      </c>
      <c r="M3901" s="670"/>
      <c r="N3901" s="670" t="e">
        <f>SUM(N3897:N3900)</f>
        <v>#REF!</v>
      </c>
      <c r="O3901" s="671"/>
      <c r="P3901" s="672"/>
      <c r="Q3901" s="688">
        <f>Q3900</f>
        <v>0</v>
      </c>
      <c r="R3901" s="688">
        <f>R3900</f>
        <v>0</v>
      </c>
      <c r="S3901" s="688">
        <v>1</v>
      </c>
      <c r="T3901" s="690" t="e">
        <f>ROUND(S3901/R3901,4)</f>
        <v>#DIV/0!</v>
      </c>
    </row>
    <row r="3902" spans="1:20" s="688" customFormat="1" ht="17.100000000000001" customHeight="1">
      <c r="A3902" s="668">
        <f>A3896+1</f>
        <v>527</v>
      </c>
      <c r="B3902" s="1320" t="s">
        <v>1019</v>
      </c>
      <c r="C3902" s="1320"/>
      <c r="D3902" s="1320" t="s">
        <v>2505</v>
      </c>
      <c r="E3902" s="1320"/>
      <c r="F3902" s="669" t="s">
        <v>1017</v>
      </c>
      <c r="G3902" s="698"/>
      <c r="H3902" s="698"/>
      <c r="I3902" s="698"/>
      <c r="J3902" s="698"/>
      <c r="K3902" s="670"/>
      <c r="L3902" s="670"/>
      <c r="M3902" s="670"/>
      <c r="N3902" s="698"/>
      <c r="O3902" s="699"/>
      <c r="P3902" s="672"/>
    </row>
    <row r="3903" spans="1:20" s="688" customFormat="1" ht="17.100000000000001" customHeight="1">
      <c r="A3903" s="1316" t="s">
        <v>1019</v>
      </c>
      <c r="B3903" s="1317"/>
      <c r="C3903" s="1316" t="s">
        <v>2502</v>
      </c>
      <c r="D3903" s="1317"/>
      <c r="E3903" s="675">
        <v>0.23</v>
      </c>
      <c r="F3903" s="676" t="s">
        <v>1017</v>
      </c>
      <c r="G3903" s="670"/>
      <c r="H3903" s="670"/>
      <c r="I3903" s="670"/>
      <c r="J3903" s="670"/>
      <c r="K3903" s="670" t="e">
        <f>#REF!</f>
        <v>#REF!</v>
      </c>
      <c r="L3903" s="670" t="e">
        <f>INT(E3903*K3903)</f>
        <v>#REF!</v>
      </c>
      <c r="M3903" s="670" t="e">
        <f t="shared" ref="M3903:N3906" si="860">G3903+I3903+K3903</f>
        <v>#REF!</v>
      </c>
      <c r="N3903" s="670" t="e">
        <f t="shared" si="860"/>
        <v>#REF!</v>
      </c>
      <c r="O3903" s="671"/>
      <c r="P3903" s="672"/>
    </row>
    <row r="3904" spans="1:20" s="688" customFormat="1" ht="17.100000000000001" customHeight="1">
      <c r="A3904" s="1316" t="s">
        <v>525</v>
      </c>
      <c r="B3904" s="1317"/>
      <c r="C3904" s="1316" t="s">
        <v>2503</v>
      </c>
      <c r="D3904" s="1317"/>
      <c r="E3904" s="675">
        <v>0.57999999999999996</v>
      </c>
      <c r="F3904" s="676" t="s">
        <v>366</v>
      </c>
      <c r="G3904" s="670"/>
      <c r="H3904" s="670"/>
      <c r="I3904" s="670"/>
      <c r="J3904" s="670"/>
      <c r="K3904" s="670">
        <f>[53]노임단가!$T$9</f>
        <v>281939</v>
      </c>
      <c r="L3904" s="670">
        <f>INT(E3904*K3904)</f>
        <v>163524</v>
      </c>
      <c r="M3904" s="670">
        <f t="shared" si="860"/>
        <v>281939</v>
      </c>
      <c r="N3904" s="670">
        <f t="shared" si="860"/>
        <v>163524</v>
      </c>
      <c r="O3904" s="671"/>
      <c r="P3904" s="672"/>
    </row>
    <row r="3905" spans="1:22" s="688" customFormat="1" ht="17.100000000000001" customHeight="1">
      <c r="A3905" s="1316" t="s">
        <v>628</v>
      </c>
      <c r="B3905" s="1317"/>
      <c r="C3905" s="1316" t="s">
        <v>2503</v>
      </c>
      <c r="D3905" s="1317"/>
      <c r="E3905" s="675">
        <v>0.34</v>
      </c>
      <c r="F3905" s="676" t="s">
        <v>366</v>
      </c>
      <c r="G3905" s="670"/>
      <c r="H3905" s="670"/>
      <c r="I3905" s="670"/>
      <c r="J3905" s="670"/>
      <c r="K3905" s="670">
        <f>[53]노임단가!$T$6</f>
        <v>226122</v>
      </c>
      <c r="L3905" s="670">
        <f>INT(E3905*K3905)</f>
        <v>76881</v>
      </c>
      <c r="M3905" s="670">
        <f t="shared" si="860"/>
        <v>226122</v>
      </c>
      <c r="N3905" s="670">
        <f t="shared" si="860"/>
        <v>76881</v>
      </c>
      <c r="O3905" s="671"/>
      <c r="P3905" s="672"/>
    </row>
    <row r="3906" spans="1:22" s="688" customFormat="1" ht="17.100000000000001" customHeight="1">
      <c r="A3906" s="1316" t="s">
        <v>1199</v>
      </c>
      <c r="B3906" s="1317"/>
      <c r="C3906" s="1321" t="s">
        <v>2504</v>
      </c>
      <c r="D3906" s="1317"/>
      <c r="E3906" s="677">
        <v>2</v>
      </c>
      <c r="F3906" s="676" t="s">
        <v>418</v>
      </c>
      <c r="G3906" s="670"/>
      <c r="H3906" s="670"/>
      <c r="I3906" s="670"/>
      <c r="J3906" s="670"/>
      <c r="K3906" s="670" t="e">
        <f>#REF!</f>
        <v>#REF!</v>
      </c>
      <c r="L3906" s="670" t="e">
        <f>INT(E3906*K3906)</f>
        <v>#REF!</v>
      </c>
      <c r="M3906" s="670" t="e">
        <f t="shared" si="860"/>
        <v>#REF!</v>
      </c>
      <c r="N3906" s="670" t="e">
        <f t="shared" si="860"/>
        <v>#REF!</v>
      </c>
      <c r="O3906" s="671"/>
      <c r="P3906" s="672"/>
    </row>
    <row r="3907" spans="1:22" s="688" customFormat="1" ht="17.100000000000001" customHeight="1">
      <c r="A3907" s="1318" t="s">
        <v>1320</v>
      </c>
      <c r="B3907" s="1319"/>
      <c r="C3907" s="1316"/>
      <c r="D3907" s="1317"/>
      <c r="E3907" s="686"/>
      <c r="F3907" s="676"/>
      <c r="G3907" s="670"/>
      <c r="H3907" s="670"/>
      <c r="I3907" s="670"/>
      <c r="J3907" s="670"/>
      <c r="K3907" s="670"/>
      <c r="L3907" s="670" t="e">
        <f>SUM(L3903:L3906)</f>
        <v>#REF!</v>
      </c>
      <c r="M3907" s="670"/>
      <c r="N3907" s="670" t="e">
        <f>SUM(N3903:N3906)</f>
        <v>#REF!</v>
      </c>
      <c r="O3907" s="671"/>
      <c r="P3907" s="672"/>
    </row>
    <row r="3908" spans="1:22" s="688" customFormat="1" ht="17.100000000000001" customHeight="1">
      <c r="A3908" s="668">
        <f>A3902+1</f>
        <v>528</v>
      </c>
      <c r="B3908" s="1320" t="s">
        <v>1019</v>
      </c>
      <c r="C3908" s="1320"/>
      <c r="D3908" s="1320" t="s">
        <v>2506</v>
      </c>
      <c r="E3908" s="1320"/>
      <c r="F3908" s="669" t="s">
        <v>1017</v>
      </c>
      <c r="G3908" s="698"/>
      <c r="H3908" s="698"/>
      <c r="I3908" s="698"/>
      <c r="J3908" s="698"/>
      <c r="K3908" s="670"/>
      <c r="L3908" s="670"/>
      <c r="M3908" s="670"/>
      <c r="N3908" s="698"/>
      <c r="O3908" s="699"/>
      <c r="P3908" s="672"/>
    </row>
    <row r="3909" spans="1:22" s="688" customFormat="1" ht="17.100000000000001" customHeight="1">
      <c r="A3909" s="1316" t="s">
        <v>1019</v>
      </c>
      <c r="B3909" s="1317"/>
      <c r="C3909" s="1316" t="s">
        <v>2502</v>
      </c>
      <c r="D3909" s="1317"/>
      <c r="E3909" s="675">
        <v>0.34</v>
      </c>
      <c r="F3909" s="676" t="s">
        <v>1017</v>
      </c>
      <c r="G3909" s="670"/>
      <c r="H3909" s="670"/>
      <c r="I3909" s="670"/>
      <c r="J3909" s="670"/>
      <c r="K3909" s="670" t="e">
        <f>#REF!</f>
        <v>#REF!</v>
      </c>
      <c r="L3909" s="670" t="e">
        <f>INT(E3909*K3909)</f>
        <v>#REF!</v>
      </c>
      <c r="M3909" s="670" t="e">
        <f t="shared" ref="M3909:N3912" si="861">G3909+I3909+K3909</f>
        <v>#REF!</v>
      </c>
      <c r="N3909" s="670" t="e">
        <f t="shared" si="861"/>
        <v>#REF!</v>
      </c>
      <c r="O3909" s="671"/>
      <c r="P3909" s="672"/>
    </row>
    <row r="3910" spans="1:22" s="688" customFormat="1" ht="17.100000000000001" customHeight="1">
      <c r="A3910" s="1316" t="s">
        <v>525</v>
      </c>
      <c r="B3910" s="1317"/>
      <c r="C3910" s="1316" t="s">
        <v>2503</v>
      </c>
      <c r="D3910" s="1317"/>
      <c r="E3910" s="675">
        <v>0.57999999999999996</v>
      </c>
      <c r="F3910" s="676" t="s">
        <v>366</v>
      </c>
      <c r="G3910" s="670"/>
      <c r="H3910" s="670"/>
      <c r="I3910" s="670"/>
      <c r="J3910" s="670"/>
      <c r="K3910" s="670">
        <f>[53]노임단가!$T$9</f>
        <v>281939</v>
      </c>
      <c r="L3910" s="670">
        <f>INT(E3910*K3910)</f>
        <v>163524</v>
      </c>
      <c r="M3910" s="670">
        <f t="shared" si="861"/>
        <v>281939</v>
      </c>
      <c r="N3910" s="670">
        <f t="shared" si="861"/>
        <v>163524</v>
      </c>
      <c r="O3910" s="671"/>
      <c r="P3910" s="672"/>
    </row>
    <row r="3911" spans="1:22" s="688" customFormat="1" ht="17.100000000000001" customHeight="1">
      <c r="A3911" s="1316" t="s">
        <v>628</v>
      </c>
      <c r="B3911" s="1317"/>
      <c r="C3911" s="1316" t="s">
        <v>2503</v>
      </c>
      <c r="D3911" s="1317"/>
      <c r="E3911" s="675">
        <v>0.34</v>
      </c>
      <c r="F3911" s="676" t="s">
        <v>366</v>
      </c>
      <c r="G3911" s="670"/>
      <c r="H3911" s="670"/>
      <c r="I3911" s="670"/>
      <c r="J3911" s="670"/>
      <c r="K3911" s="670">
        <f>[53]노임단가!$T$6</f>
        <v>226122</v>
      </c>
      <c r="L3911" s="670">
        <f>INT(E3911*K3911)</f>
        <v>76881</v>
      </c>
      <c r="M3911" s="670">
        <f t="shared" si="861"/>
        <v>226122</v>
      </c>
      <c r="N3911" s="670">
        <f t="shared" si="861"/>
        <v>76881</v>
      </c>
      <c r="O3911" s="671"/>
      <c r="P3911" s="672"/>
    </row>
    <row r="3912" spans="1:22" s="688" customFormat="1" ht="17.100000000000001" customHeight="1">
      <c r="A3912" s="1316" t="s">
        <v>1199</v>
      </c>
      <c r="B3912" s="1317"/>
      <c r="C3912" s="1321" t="s">
        <v>2504</v>
      </c>
      <c r="D3912" s="1317"/>
      <c r="E3912" s="677">
        <v>2</v>
      </c>
      <c r="F3912" s="676" t="s">
        <v>418</v>
      </c>
      <c r="G3912" s="670"/>
      <c r="H3912" s="670"/>
      <c r="I3912" s="670"/>
      <c r="J3912" s="670"/>
      <c r="K3912" s="670" t="e">
        <f>#REF!</f>
        <v>#REF!</v>
      </c>
      <c r="L3912" s="670" t="e">
        <f>INT(E3912*K3912)</f>
        <v>#REF!</v>
      </c>
      <c r="M3912" s="670" t="e">
        <f t="shared" si="861"/>
        <v>#REF!</v>
      </c>
      <c r="N3912" s="670" t="e">
        <f t="shared" si="861"/>
        <v>#REF!</v>
      </c>
      <c r="O3912" s="671"/>
      <c r="P3912" s="672"/>
    </row>
    <row r="3913" spans="1:22" s="688" customFormat="1" ht="17.100000000000001" customHeight="1">
      <c r="A3913" s="1318" t="s">
        <v>1320</v>
      </c>
      <c r="B3913" s="1319"/>
      <c r="C3913" s="1316"/>
      <c r="D3913" s="1317"/>
      <c r="E3913" s="677"/>
      <c r="F3913" s="676"/>
      <c r="G3913" s="670"/>
      <c r="H3913" s="670"/>
      <c r="I3913" s="670"/>
      <c r="J3913" s="670"/>
      <c r="K3913" s="670"/>
      <c r="L3913" s="670" t="e">
        <f>SUM(L3909:L3912)</f>
        <v>#REF!</v>
      </c>
      <c r="M3913" s="670"/>
      <c r="N3913" s="670" t="e">
        <f>SUM(N3909:N3912)</f>
        <v>#REF!</v>
      </c>
      <c r="O3913" s="671"/>
      <c r="P3913" s="672"/>
    </row>
    <row r="3914" spans="1:22" s="688" customFormat="1" ht="17.100000000000001" customHeight="1">
      <c r="A3914" s="668">
        <f>A3908+1</f>
        <v>529</v>
      </c>
      <c r="B3914" s="1320" t="s">
        <v>1019</v>
      </c>
      <c r="C3914" s="1320"/>
      <c r="D3914" s="1320" t="s">
        <v>2507</v>
      </c>
      <c r="E3914" s="1320"/>
      <c r="F3914" s="669" t="s">
        <v>1017</v>
      </c>
      <c r="G3914" s="698"/>
      <c r="H3914" s="698"/>
      <c r="I3914" s="698"/>
      <c r="J3914" s="698"/>
      <c r="K3914" s="670"/>
      <c r="L3914" s="670"/>
      <c r="M3914" s="670"/>
      <c r="N3914" s="698"/>
      <c r="O3914" s="699"/>
      <c r="P3914" s="672"/>
    </row>
    <row r="3915" spans="1:22" ht="17.100000000000001" customHeight="1">
      <c r="A3915" s="1316" t="s">
        <v>1019</v>
      </c>
      <c r="B3915" s="1317"/>
      <c r="C3915" s="1316" t="s">
        <v>1016</v>
      </c>
      <c r="D3915" s="1317"/>
      <c r="E3915" s="675">
        <v>0.18</v>
      </c>
      <c r="F3915" s="676" t="s">
        <v>1017</v>
      </c>
      <c r="G3915" s="670"/>
      <c r="H3915" s="670"/>
      <c r="I3915" s="670"/>
      <c r="J3915" s="670"/>
      <c r="K3915" s="670" t="e">
        <f>#REF!</f>
        <v>#REF!</v>
      </c>
      <c r="L3915" s="670" t="e">
        <f>INT(E3915*K3915)</f>
        <v>#REF!</v>
      </c>
      <c r="M3915" s="670" t="e">
        <f t="shared" ref="M3915:N3918" si="862">G3915+I3915+K3915</f>
        <v>#REF!</v>
      </c>
      <c r="N3915" s="670" t="e">
        <f t="shared" si="862"/>
        <v>#REF!</v>
      </c>
      <c r="O3915" s="671"/>
      <c r="P3915" s="672"/>
      <c r="Q3915" s="688"/>
      <c r="R3915" s="688"/>
      <c r="S3915" s="688"/>
      <c r="T3915" s="688"/>
      <c r="U3915" s="688"/>
      <c r="V3915" s="688"/>
    </row>
    <row r="3916" spans="1:22" ht="17.100000000000001" customHeight="1">
      <c r="A3916" s="1316" t="s">
        <v>525</v>
      </c>
      <c r="B3916" s="1317"/>
      <c r="C3916" s="1316" t="s">
        <v>2503</v>
      </c>
      <c r="D3916" s="1317"/>
      <c r="E3916" s="675">
        <v>0.78</v>
      </c>
      <c r="F3916" s="676" t="s">
        <v>366</v>
      </c>
      <c r="G3916" s="670"/>
      <c r="H3916" s="670"/>
      <c r="I3916" s="670"/>
      <c r="J3916" s="670"/>
      <c r="K3916" s="670">
        <f>[53]노임단가!$T$9</f>
        <v>281939</v>
      </c>
      <c r="L3916" s="670">
        <f>INT(E3916*K3916)</f>
        <v>219912</v>
      </c>
      <c r="M3916" s="670">
        <f t="shared" si="862"/>
        <v>281939</v>
      </c>
      <c r="N3916" s="670">
        <f t="shared" si="862"/>
        <v>219912</v>
      </c>
      <c r="O3916" s="671"/>
      <c r="P3916" s="672"/>
      <c r="Q3916" s="688"/>
      <c r="R3916" s="688"/>
      <c r="S3916" s="688"/>
      <c r="T3916" s="688"/>
      <c r="U3916" s="688"/>
      <c r="V3916" s="688"/>
    </row>
    <row r="3917" spans="1:22" ht="17.100000000000001" customHeight="1">
      <c r="A3917" s="1316" t="s">
        <v>628</v>
      </c>
      <c r="B3917" s="1317"/>
      <c r="C3917" s="1316" t="s">
        <v>2503</v>
      </c>
      <c r="D3917" s="1317"/>
      <c r="E3917" s="675">
        <v>0.38</v>
      </c>
      <c r="F3917" s="676" t="s">
        <v>366</v>
      </c>
      <c r="G3917" s="670"/>
      <c r="H3917" s="670"/>
      <c r="I3917" s="670"/>
      <c r="J3917" s="670"/>
      <c r="K3917" s="670">
        <f>[53]노임단가!$T$6</f>
        <v>226122</v>
      </c>
      <c r="L3917" s="670">
        <f>INT(E3917*K3917)</f>
        <v>85926</v>
      </c>
      <c r="M3917" s="670">
        <f t="shared" si="862"/>
        <v>226122</v>
      </c>
      <c r="N3917" s="670">
        <f t="shared" si="862"/>
        <v>85926</v>
      </c>
      <c r="O3917" s="671"/>
      <c r="P3917" s="672"/>
      <c r="Q3917" s="688"/>
      <c r="R3917" s="688"/>
      <c r="S3917" s="688"/>
      <c r="T3917" s="688"/>
      <c r="U3917" s="688"/>
      <c r="V3917" s="688"/>
    </row>
    <row r="3918" spans="1:22" ht="17.100000000000001" customHeight="1">
      <c r="A3918" s="1316" t="s">
        <v>1199</v>
      </c>
      <c r="B3918" s="1317"/>
      <c r="C3918" s="1321" t="s">
        <v>2504</v>
      </c>
      <c r="D3918" s="1317"/>
      <c r="E3918" s="677">
        <v>2</v>
      </c>
      <c r="F3918" s="676" t="s">
        <v>418</v>
      </c>
      <c r="G3918" s="670"/>
      <c r="H3918" s="670"/>
      <c r="I3918" s="670"/>
      <c r="J3918" s="670"/>
      <c r="K3918" s="670" t="e">
        <f>#REF!</f>
        <v>#REF!</v>
      </c>
      <c r="L3918" s="670" t="e">
        <f>INT(E3918*K3918)</f>
        <v>#REF!</v>
      </c>
      <c r="M3918" s="670" t="e">
        <f t="shared" si="862"/>
        <v>#REF!</v>
      </c>
      <c r="N3918" s="670" t="e">
        <f t="shared" si="862"/>
        <v>#REF!</v>
      </c>
      <c r="O3918" s="671"/>
      <c r="P3918" s="672"/>
      <c r="Q3918" s="688"/>
      <c r="R3918" s="688"/>
      <c r="S3918" s="688"/>
      <c r="T3918" s="688"/>
      <c r="U3918" s="688"/>
      <c r="V3918" s="688"/>
    </row>
    <row r="3919" spans="1:22" ht="17.100000000000001" customHeight="1">
      <c r="A3919" s="1318" t="s">
        <v>1320</v>
      </c>
      <c r="B3919" s="1319"/>
      <c r="C3919" s="1316"/>
      <c r="D3919" s="1317"/>
      <c r="E3919" s="686"/>
      <c r="F3919" s="676"/>
      <c r="G3919" s="670"/>
      <c r="H3919" s="670"/>
      <c r="I3919" s="670"/>
      <c r="J3919" s="670"/>
      <c r="K3919" s="670"/>
      <c r="L3919" s="670" t="e">
        <f>SUM(L3915:L3918)</f>
        <v>#REF!</v>
      </c>
      <c r="M3919" s="670"/>
      <c r="N3919" s="670" t="e">
        <f>SUM(N3915:N3918)</f>
        <v>#REF!</v>
      </c>
      <c r="O3919" s="671"/>
      <c r="P3919" s="672"/>
      <c r="Q3919" s="688"/>
      <c r="R3919" s="688"/>
      <c r="S3919" s="688"/>
      <c r="T3919" s="688"/>
      <c r="U3919" s="688"/>
      <c r="V3919" s="688"/>
    </row>
    <row r="3920" spans="1:22" ht="17.100000000000001" customHeight="1">
      <c r="A3920" s="668">
        <f>A3914+1</f>
        <v>530</v>
      </c>
      <c r="B3920" s="1320" t="s">
        <v>1019</v>
      </c>
      <c r="C3920" s="1320"/>
      <c r="D3920" s="1320" t="s">
        <v>2508</v>
      </c>
      <c r="E3920" s="1320"/>
      <c r="F3920" s="669" t="s">
        <v>1017</v>
      </c>
      <c r="G3920" s="698"/>
      <c r="H3920" s="698"/>
      <c r="I3920" s="698"/>
      <c r="J3920" s="698"/>
      <c r="K3920" s="670"/>
      <c r="L3920" s="670"/>
      <c r="M3920" s="670"/>
      <c r="N3920" s="698"/>
      <c r="O3920" s="699"/>
      <c r="P3920" s="672"/>
      <c r="Q3920" s="688"/>
      <c r="R3920" s="688"/>
      <c r="S3920" s="688"/>
      <c r="T3920" s="688"/>
      <c r="U3920" s="688"/>
      <c r="V3920" s="688"/>
    </row>
    <row r="3921" spans="1:22" ht="17.100000000000001" customHeight="1">
      <c r="A3921" s="1316" t="s">
        <v>1019</v>
      </c>
      <c r="B3921" s="1317"/>
      <c r="C3921" s="1316" t="s">
        <v>1016</v>
      </c>
      <c r="D3921" s="1317"/>
      <c r="E3921" s="675">
        <v>0.23</v>
      </c>
      <c r="F3921" s="676" t="s">
        <v>1017</v>
      </c>
      <c r="G3921" s="670"/>
      <c r="H3921" s="670"/>
      <c r="I3921" s="670"/>
      <c r="J3921" s="670"/>
      <c r="K3921" s="670" t="e">
        <f>#REF!</f>
        <v>#REF!</v>
      </c>
      <c r="L3921" s="670" t="e">
        <f>INT(E3921*K3921)</f>
        <v>#REF!</v>
      </c>
      <c r="M3921" s="670" t="e">
        <f t="shared" ref="M3921:N3924" si="863">G3921+I3921+K3921</f>
        <v>#REF!</v>
      </c>
      <c r="N3921" s="670" t="e">
        <f t="shared" si="863"/>
        <v>#REF!</v>
      </c>
      <c r="O3921" s="671"/>
      <c r="P3921" s="672"/>
      <c r="Q3921" s="688"/>
      <c r="R3921" s="688"/>
      <c r="S3921" s="688"/>
      <c r="T3921" s="688"/>
      <c r="U3921" s="688"/>
      <c r="V3921" s="688"/>
    </row>
    <row r="3922" spans="1:22" ht="17.100000000000001" customHeight="1">
      <c r="A3922" s="1316" t="s">
        <v>525</v>
      </c>
      <c r="B3922" s="1317"/>
      <c r="C3922" s="1316" t="s">
        <v>2503</v>
      </c>
      <c r="D3922" s="1317"/>
      <c r="E3922" s="675">
        <v>0.78</v>
      </c>
      <c r="F3922" s="676" t="s">
        <v>366</v>
      </c>
      <c r="G3922" s="670"/>
      <c r="H3922" s="670"/>
      <c r="I3922" s="670"/>
      <c r="J3922" s="670"/>
      <c r="K3922" s="670">
        <f>[53]노임단가!$T$9</f>
        <v>281939</v>
      </c>
      <c r="L3922" s="670">
        <f>INT(E3922*K3922)</f>
        <v>219912</v>
      </c>
      <c r="M3922" s="670">
        <f t="shared" si="863"/>
        <v>281939</v>
      </c>
      <c r="N3922" s="670">
        <f t="shared" si="863"/>
        <v>219912</v>
      </c>
      <c r="O3922" s="671"/>
      <c r="P3922" s="672"/>
      <c r="Q3922" s="688"/>
      <c r="R3922" s="688"/>
      <c r="S3922" s="688"/>
      <c r="T3922" s="688"/>
      <c r="U3922" s="688"/>
      <c r="V3922" s="688"/>
    </row>
    <row r="3923" spans="1:22" ht="17.100000000000001" customHeight="1">
      <c r="A3923" s="1316" t="s">
        <v>628</v>
      </c>
      <c r="B3923" s="1317"/>
      <c r="C3923" s="1316" t="s">
        <v>2503</v>
      </c>
      <c r="D3923" s="1317"/>
      <c r="E3923" s="675">
        <v>0.38</v>
      </c>
      <c r="F3923" s="676" t="s">
        <v>366</v>
      </c>
      <c r="G3923" s="670"/>
      <c r="H3923" s="670"/>
      <c r="I3923" s="670"/>
      <c r="J3923" s="670"/>
      <c r="K3923" s="670">
        <f>[53]노임단가!$T$6</f>
        <v>226122</v>
      </c>
      <c r="L3923" s="670">
        <f>INT(E3923*K3923)</f>
        <v>85926</v>
      </c>
      <c r="M3923" s="670">
        <f t="shared" si="863"/>
        <v>226122</v>
      </c>
      <c r="N3923" s="670">
        <f t="shared" si="863"/>
        <v>85926</v>
      </c>
      <c r="O3923" s="671"/>
      <c r="P3923" s="672"/>
      <c r="S3923" s="688"/>
      <c r="T3923" s="688"/>
      <c r="U3923" s="688"/>
      <c r="V3923" s="688"/>
    </row>
    <row r="3924" spans="1:22" ht="17.100000000000001" customHeight="1">
      <c r="A3924" s="1316" t="s">
        <v>1199</v>
      </c>
      <c r="B3924" s="1317"/>
      <c r="C3924" s="1321" t="s">
        <v>2504</v>
      </c>
      <c r="D3924" s="1317"/>
      <c r="E3924" s="677">
        <v>2</v>
      </c>
      <c r="F3924" s="676" t="s">
        <v>418</v>
      </c>
      <c r="G3924" s="670"/>
      <c r="H3924" s="670"/>
      <c r="I3924" s="670"/>
      <c r="J3924" s="670"/>
      <c r="K3924" s="670" t="e">
        <f>#REF!</f>
        <v>#REF!</v>
      </c>
      <c r="L3924" s="670" t="e">
        <f>INT(E3924*K3924)</f>
        <v>#REF!</v>
      </c>
      <c r="M3924" s="670" t="e">
        <f t="shared" si="863"/>
        <v>#REF!</v>
      </c>
      <c r="N3924" s="670" t="e">
        <f t="shared" si="863"/>
        <v>#REF!</v>
      </c>
      <c r="O3924" s="671"/>
      <c r="P3924" s="672"/>
      <c r="U3924" s="688"/>
      <c r="V3924" s="688"/>
    </row>
    <row r="3925" spans="1:22" ht="17.100000000000001" customHeight="1">
      <c r="A3925" s="1318" t="s">
        <v>1320</v>
      </c>
      <c r="B3925" s="1319"/>
      <c r="C3925" s="1316"/>
      <c r="D3925" s="1317"/>
      <c r="E3925" s="686"/>
      <c r="F3925" s="676"/>
      <c r="G3925" s="670"/>
      <c r="H3925" s="670"/>
      <c r="I3925" s="670"/>
      <c r="J3925" s="670"/>
      <c r="K3925" s="670"/>
      <c r="L3925" s="670" t="e">
        <f>SUM(L3921:L3924)</f>
        <v>#REF!</v>
      </c>
      <c r="M3925" s="670"/>
      <c r="N3925" s="670" t="e">
        <f>SUM(N3921:N3924)</f>
        <v>#REF!</v>
      </c>
      <c r="O3925" s="671"/>
      <c r="P3925" s="672"/>
      <c r="U3925" s="688"/>
      <c r="V3925" s="688"/>
    </row>
    <row r="3926" spans="1:22" ht="17.100000000000001" customHeight="1">
      <c r="A3926" s="668">
        <f>A3920+1</f>
        <v>531</v>
      </c>
      <c r="B3926" s="1320" t="s">
        <v>1019</v>
      </c>
      <c r="C3926" s="1320"/>
      <c r="D3926" s="1320" t="s">
        <v>2509</v>
      </c>
      <c r="E3926" s="1320"/>
      <c r="F3926" s="669" t="s">
        <v>1017</v>
      </c>
      <c r="G3926" s="698"/>
      <c r="H3926" s="698"/>
      <c r="I3926" s="698"/>
      <c r="J3926" s="698"/>
      <c r="K3926" s="670"/>
      <c r="L3926" s="670"/>
      <c r="M3926" s="670"/>
      <c r="N3926" s="698"/>
      <c r="O3926" s="699"/>
      <c r="P3926" s="672"/>
      <c r="U3926" s="688"/>
      <c r="V3926" s="688"/>
    </row>
    <row r="3927" spans="1:22" ht="17.100000000000001" customHeight="1">
      <c r="A3927" s="1316" t="s">
        <v>1019</v>
      </c>
      <c r="B3927" s="1317"/>
      <c r="C3927" s="1316" t="s">
        <v>1016</v>
      </c>
      <c r="D3927" s="1317"/>
      <c r="E3927" s="675">
        <v>0.34</v>
      </c>
      <c r="F3927" s="676" t="s">
        <v>1017</v>
      </c>
      <c r="G3927" s="670"/>
      <c r="H3927" s="670"/>
      <c r="I3927" s="670"/>
      <c r="J3927" s="670"/>
      <c r="K3927" s="670" t="e">
        <f>#REF!</f>
        <v>#REF!</v>
      </c>
      <c r="L3927" s="670" t="e">
        <f>INT(E3927*K3927)</f>
        <v>#REF!</v>
      </c>
      <c r="M3927" s="670" t="e">
        <f t="shared" ref="M3927:N3930" si="864">G3927+I3927+K3927</f>
        <v>#REF!</v>
      </c>
      <c r="N3927" s="670" t="e">
        <f t="shared" si="864"/>
        <v>#REF!</v>
      </c>
      <c r="O3927" s="671"/>
      <c r="P3927" s="672"/>
      <c r="U3927" s="688"/>
      <c r="V3927" s="688"/>
    </row>
    <row r="3928" spans="1:22" ht="17.100000000000001" customHeight="1">
      <c r="A3928" s="1316" t="s">
        <v>525</v>
      </c>
      <c r="B3928" s="1317"/>
      <c r="C3928" s="1316" t="s">
        <v>2503</v>
      </c>
      <c r="D3928" s="1317"/>
      <c r="E3928" s="675">
        <v>0.78</v>
      </c>
      <c r="F3928" s="676" t="s">
        <v>366</v>
      </c>
      <c r="G3928" s="670"/>
      <c r="H3928" s="670"/>
      <c r="I3928" s="670"/>
      <c r="J3928" s="670"/>
      <c r="K3928" s="670">
        <f>[53]노임단가!$T$9</f>
        <v>281939</v>
      </c>
      <c r="L3928" s="670">
        <f>INT(E3928*K3928)</f>
        <v>219912</v>
      </c>
      <c r="M3928" s="670">
        <f t="shared" si="864"/>
        <v>281939</v>
      </c>
      <c r="N3928" s="670">
        <f t="shared" si="864"/>
        <v>219912</v>
      </c>
      <c r="O3928" s="671"/>
      <c r="P3928" s="672"/>
      <c r="U3928" s="688"/>
      <c r="V3928" s="688"/>
    </row>
    <row r="3929" spans="1:22" ht="17.100000000000001" customHeight="1">
      <c r="A3929" s="1316" t="s">
        <v>628</v>
      </c>
      <c r="B3929" s="1317"/>
      <c r="C3929" s="1316" t="s">
        <v>2503</v>
      </c>
      <c r="D3929" s="1317"/>
      <c r="E3929" s="675">
        <v>0.38</v>
      </c>
      <c r="F3929" s="676" t="s">
        <v>366</v>
      </c>
      <c r="G3929" s="670"/>
      <c r="H3929" s="670"/>
      <c r="I3929" s="670"/>
      <c r="J3929" s="670"/>
      <c r="K3929" s="670">
        <f>[53]노임단가!$T$6</f>
        <v>226122</v>
      </c>
      <c r="L3929" s="670">
        <f>INT(E3929*K3929)</f>
        <v>85926</v>
      </c>
      <c r="M3929" s="670">
        <f t="shared" si="864"/>
        <v>226122</v>
      </c>
      <c r="N3929" s="670">
        <f t="shared" si="864"/>
        <v>85926</v>
      </c>
      <c r="O3929" s="671"/>
      <c r="P3929" s="672"/>
      <c r="U3929" s="688"/>
      <c r="V3929" s="688"/>
    </row>
    <row r="3930" spans="1:22" ht="17.100000000000001" customHeight="1">
      <c r="A3930" s="1316" t="s">
        <v>1199</v>
      </c>
      <c r="B3930" s="1317"/>
      <c r="C3930" s="1321" t="s">
        <v>2511</v>
      </c>
      <c r="D3930" s="1317"/>
      <c r="E3930" s="677">
        <v>2</v>
      </c>
      <c r="F3930" s="676" t="s">
        <v>418</v>
      </c>
      <c r="G3930" s="670"/>
      <c r="H3930" s="670"/>
      <c r="I3930" s="670"/>
      <c r="J3930" s="670"/>
      <c r="K3930" s="670" t="e">
        <f>#REF!</f>
        <v>#REF!</v>
      </c>
      <c r="L3930" s="670" t="e">
        <f>INT(E3930*K3930)</f>
        <v>#REF!</v>
      </c>
      <c r="M3930" s="670" t="e">
        <f t="shared" si="864"/>
        <v>#REF!</v>
      </c>
      <c r="N3930" s="670" t="e">
        <f t="shared" si="864"/>
        <v>#REF!</v>
      </c>
      <c r="O3930" s="671"/>
      <c r="P3930" s="672"/>
      <c r="U3930" s="688"/>
      <c r="V3930" s="688"/>
    </row>
    <row r="3931" spans="1:22" ht="17.100000000000001" customHeight="1">
      <c r="A3931" s="1318" t="s">
        <v>1320</v>
      </c>
      <c r="B3931" s="1319"/>
      <c r="C3931" s="1316"/>
      <c r="D3931" s="1317"/>
      <c r="E3931" s="686"/>
      <c r="F3931" s="676"/>
      <c r="G3931" s="670"/>
      <c r="H3931" s="670"/>
      <c r="I3931" s="670"/>
      <c r="J3931" s="670"/>
      <c r="K3931" s="670"/>
      <c r="L3931" s="670" t="e">
        <f>SUM(L3927:L3930)</f>
        <v>#REF!</v>
      </c>
      <c r="M3931" s="670"/>
      <c r="N3931" s="670" t="e">
        <f>SUM(N3927:N3930)</f>
        <v>#REF!</v>
      </c>
      <c r="O3931" s="671"/>
      <c r="P3931" s="672"/>
      <c r="Q3931" s="688"/>
      <c r="R3931" s="688"/>
      <c r="S3931" s="688"/>
      <c r="T3931" s="688"/>
      <c r="U3931" s="688"/>
      <c r="V3931" s="688"/>
    </row>
    <row r="3932" spans="1:22" ht="17.100000000000001" customHeight="1">
      <c r="A3932" s="668">
        <f>A3926+1</f>
        <v>532</v>
      </c>
      <c r="B3932" s="1320" t="s">
        <v>2512</v>
      </c>
      <c r="C3932" s="1320"/>
      <c r="D3932" s="1328" t="s">
        <v>2513</v>
      </c>
      <c r="E3932" s="1328"/>
      <c r="F3932" s="669" t="s">
        <v>272</v>
      </c>
      <c r="G3932" s="698"/>
      <c r="H3932" s="698"/>
      <c r="I3932" s="698"/>
      <c r="J3932" s="698"/>
      <c r="K3932" s="670"/>
      <c r="L3932" s="670"/>
      <c r="M3932" s="670"/>
      <c r="N3932" s="698"/>
      <c r="O3932" s="699"/>
      <c r="P3932" s="672"/>
      <c r="U3932" s="688"/>
      <c r="V3932" s="688"/>
    </row>
    <row r="3933" spans="1:22" ht="17.100000000000001" customHeight="1">
      <c r="A3933" s="1316" t="s">
        <v>2514</v>
      </c>
      <c r="B3933" s="1317"/>
      <c r="C3933" s="1316" t="s">
        <v>2515</v>
      </c>
      <c r="D3933" s="1317"/>
      <c r="E3933" s="675">
        <f>2*29%</f>
        <v>0.57999999999999996</v>
      </c>
      <c r="F3933" s="676" t="s">
        <v>810</v>
      </c>
      <c r="G3933" s="670"/>
      <c r="H3933" s="670"/>
      <c r="I3933" s="670"/>
      <c r="J3933" s="670"/>
      <c r="K3933" s="670" t="e">
        <f>INT(#REF!*(550*2400)/(914*1828))</f>
        <v>#REF!</v>
      </c>
      <c r="L3933" s="670" t="e">
        <f t="shared" ref="L3933:L3941" si="865">INT(E3933*K3933)</f>
        <v>#REF!</v>
      </c>
      <c r="M3933" s="670" t="e">
        <f t="shared" ref="M3933:N3941" si="866">G3933+I3933+K3933</f>
        <v>#REF!</v>
      </c>
      <c r="N3933" s="670" t="e">
        <f t="shared" si="866"/>
        <v>#REF!</v>
      </c>
      <c r="O3933" s="671"/>
      <c r="P3933" s="672"/>
      <c r="U3933" s="688"/>
      <c r="V3933" s="688"/>
    </row>
    <row r="3934" spans="1:22" ht="17.100000000000001" customHeight="1">
      <c r="A3934" s="1316" t="s">
        <v>2516</v>
      </c>
      <c r="B3934" s="1317"/>
      <c r="C3934" s="1316" t="s">
        <v>2517</v>
      </c>
      <c r="D3934" s="1317"/>
      <c r="E3934" s="701">
        <f>6.6*6%</f>
        <v>0.39599999999999996</v>
      </c>
      <c r="F3934" s="676" t="s">
        <v>272</v>
      </c>
      <c r="G3934" s="670"/>
      <c r="H3934" s="670"/>
      <c r="I3934" s="670"/>
      <c r="J3934" s="670"/>
      <c r="K3934" s="670" t="e">
        <f>#REF!</f>
        <v>#REF!</v>
      </c>
      <c r="L3934" s="670" t="e">
        <f t="shared" si="865"/>
        <v>#REF!</v>
      </c>
      <c r="M3934" s="670" t="e">
        <f t="shared" si="866"/>
        <v>#REF!</v>
      </c>
      <c r="N3934" s="670" t="e">
        <f t="shared" si="866"/>
        <v>#REF!</v>
      </c>
      <c r="O3934" s="671"/>
      <c r="P3934" s="672"/>
      <c r="U3934" s="688"/>
      <c r="V3934" s="688"/>
    </row>
    <row r="3935" spans="1:22" ht="17.100000000000001" customHeight="1">
      <c r="A3935" s="1316" t="s">
        <v>2518</v>
      </c>
      <c r="B3935" s="1317"/>
      <c r="C3935" s="1316" t="s">
        <v>2519</v>
      </c>
      <c r="D3935" s="1317"/>
      <c r="E3935" s="686">
        <f>0.28*6%</f>
        <v>1.6800000000000002E-2</v>
      </c>
      <c r="F3935" s="676" t="s">
        <v>30</v>
      </c>
      <c r="G3935" s="670"/>
      <c r="H3935" s="670"/>
      <c r="I3935" s="670"/>
      <c r="J3935" s="670"/>
      <c r="K3935" s="670" t="e">
        <f>#REF!</f>
        <v>#REF!</v>
      </c>
      <c r="L3935" s="670" t="e">
        <f t="shared" si="865"/>
        <v>#REF!</v>
      </c>
      <c r="M3935" s="670" t="e">
        <f t="shared" si="866"/>
        <v>#REF!</v>
      </c>
      <c r="N3935" s="670" t="e">
        <f t="shared" si="866"/>
        <v>#REF!</v>
      </c>
      <c r="O3935" s="671"/>
      <c r="P3935" s="672" t="s">
        <v>2520</v>
      </c>
      <c r="Q3935" s="889"/>
      <c r="R3935" s="688"/>
      <c r="S3935" s="889"/>
      <c r="T3935" s="688"/>
      <c r="U3935" s="688"/>
      <c r="V3935" s="688"/>
    </row>
    <row r="3936" spans="1:22" ht="17.100000000000001" customHeight="1">
      <c r="A3936" s="1316" t="s">
        <v>2518</v>
      </c>
      <c r="B3936" s="1317"/>
      <c r="C3936" s="1321" t="s">
        <v>2521</v>
      </c>
      <c r="D3936" s="1317"/>
      <c r="E3936" s="686">
        <f>2.26*6%</f>
        <v>0.13559999999999997</v>
      </c>
      <c r="F3936" s="676" t="s">
        <v>30</v>
      </c>
      <c r="G3936" s="670"/>
      <c r="H3936" s="670"/>
      <c r="I3936" s="670"/>
      <c r="J3936" s="670"/>
      <c r="K3936" s="670" t="e">
        <f>#REF!</f>
        <v>#REF!</v>
      </c>
      <c r="L3936" s="670" t="e">
        <f t="shared" si="865"/>
        <v>#REF!</v>
      </c>
      <c r="M3936" s="670" t="e">
        <f t="shared" si="866"/>
        <v>#REF!</v>
      </c>
      <c r="N3936" s="670" t="e">
        <f t="shared" si="866"/>
        <v>#REF!</v>
      </c>
      <c r="O3936" s="671"/>
      <c r="P3936" s="808"/>
      <c r="S3936" s="890"/>
      <c r="U3936" s="688"/>
      <c r="V3936" s="688"/>
    </row>
    <row r="3937" spans="1:22" ht="17.100000000000001" customHeight="1">
      <c r="A3937" s="1316" t="s">
        <v>858</v>
      </c>
      <c r="B3937" s="1317"/>
      <c r="C3937" s="1321" t="s">
        <v>2521</v>
      </c>
      <c r="D3937" s="1317"/>
      <c r="E3937" s="686">
        <f>0.56*6%</f>
        <v>3.3600000000000005E-2</v>
      </c>
      <c r="F3937" s="676" t="s">
        <v>30</v>
      </c>
      <c r="G3937" s="670"/>
      <c r="H3937" s="670"/>
      <c r="I3937" s="670"/>
      <c r="J3937" s="670"/>
      <c r="K3937" s="670" t="e">
        <f>#REF!</f>
        <v>#REF!</v>
      </c>
      <c r="L3937" s="670" t="e">
        <f t="shared" si="865"/>
        <v>#REF!</v>
      </c>
      <c r="M3937" s="670" t="e">
        <f t="shared" si="866"/>
        <v>#REF!</v>
      </c>
      <c r="N3937" s="670" t="e">
        <f t="shared" si="866"/>
        <v>#REF!</v>
      </c>
      <c r="O3937" s="671"/>
      <c r="P3937" s="808"/>
      <c r="U3937" s="688"/>
      <c r="V3937" s="688"/>
    </row>
    <row r="3938" spans="1:22" ht="17.100000000000001" customHeight="1">
      <c r="A3938" s="1316" t="s">
        <v>2522</v>
      </c>
      <c r="B3938" s="1317"/>
      <c r="C3938" s="1321" t="s">
        <v>2523</v>
      </c>
      <c r="D3938" s="1317"/>
      <c r="E3938" s="686">
        <f>13.33*6%</f>
        <v>0.79979999999999996</v>
      </c>
      <c r="F3938" s="676" t="s">
        <v>30</v>
      </c>
      <c r="G3938" s="670"/>
      <c r="H3938" s="670"/>
      <c r="I3938" s="670"/>
      <c r="J3938" s="670"/>
      <c r="K3938" s="670" t="e">
        <f>#REF!</f>
        <v>#REF!</v>
      </c>
      <c r="L3938" s="670" t="e">
        <f t="shared" si="865"/>
        <v>#REF!</v>
      </c>
      <c r="M3938" s="670" t="e">
        <f t="shared" si="866"/>
        <v>#REF!</v>
      </c>
      <c r="N3938" s="670" t="e">
        <f>H3938+J3938+L3938</f>
        <v>#REF!</v>
      </c>
      <c r="O3938" s="671"/>
      <c r="P3938" s="808"/>
      <c r="U3938" s="688"/>
      <c r="V3938" s="688"/>
    </row>
    <row r="3939" spans="1:22" ht="17.100000000000001" customHeight="1">
      <c r="A3939" s="1316" t="s">
        <v>525</v>
      </c>
      <c r="B3939" s="1317"/>
      <c r="C3939" s="1316"/>
      <c r="D3939" s="1317"/>
      <c r="E3939" s="683">
        <v>4.2000000000000003E-2</v>
      </c>
      <c r="F3939" s="676" t="s">
        <v>366</v>
      </c>
      <c r="G3939" s="670"/>
      <c r="H3939" s="670"/>
      <c r="I3939" s="670"/>
      <c r="J3939" s="670"/>
      <c r="K3939" s="670">
        <f>[53]노임단가!$T$9</f>
        <v>281939</v>
      </c>
      <c r="L3939" s="670">
        <f t="shared" si="865"/>
        <v>11841</v>
      </c>
      <c r="M3939" s="670">
        <f t="shared" si="866"/>
        <v>281939</v>
      </c>
      <c r="N3939" s="670">
        <f t="shared" si="866"/>
        <v>11841</v>
      </c>
      <c r="O3939" s="671"/>
      <c r="P3939" s="672" t="s">
        <v>2520</v>
      </c>
      <c r="Q3939" s="889"/>
      <c r="R3939" s="688"/>
      <c r="S3939" s="889"/>
      <c r="T3939" s="688"/>
      <c r="U3939" s="688"/>
      <c r="V3939" s="688"/>
    </row>
    <row r="3940" spans="1:22" ht="17.100000000000001" customHeight="1">
      <c r="A3940" s="1324" t="s">
        <v>248</v>
      </c>
      <c r="B3940" s="1325"/>
      <c r="C3940" s="1324"/>
      <c r="D3940" s="1325"/>
      <c r="E3940" s="701">
        <v>1.4999999999999999E-2</v>
      </c>
      <c r="F3940" s="676" t="s">
        <v>366</v>
      </c>
      <c r="G3940" s="670"/>
      <c r="H3940" s="670"/>
      <c r="I3940" s="670"/>
      <c r="J3940" s="670"/>
      <c r="K3940" s="670">
        <f>[53]노임단가!$T$5</f>
        <v>172068</v>
      </c>
      <c r="L3940" s="670">
        <f t="shared" si="865"/>
        <v>2581</v>
      </c>
      <c r="M3940" s="670">
        <f t="shared" si="866"/>
        <v>172068</v>
      </c>
      <c r="N3940" s="670">
        <f t="shared" si="866"/>
        <v>2581</v>
      </c>
      <c r="O3940" s="671"/>
      <c r="P3940" s="808"/>
      <c r="S3940" s="890"/>
      <c r="U3940" s="688"/>
      <c r="V3940" s="688"/>
    </row>
    <row r="3941" spans="1:22" ht="17.100000000000001" customHeight="1">
      <c r="A3941" s="1316" t="s">
        <v>409</v>
      </c>
      <c r="B3941" s="1317"/>
      <c r="C3941" s="1326" t="s">
        <v>395</v>
      </c>
      <c r="D3941" s="1327"/>
      <c r="E3941" s="802">
        <v>4.9000000000000002E-2</v>
      </c>
      <c r="F3941" s="676" t="s">
        <v>418</v>
      </c>
      <c r="G3941" s="670"/>
      <c r="H3941" s="670"/>
      <c r="I3941" s="670"/>
      <c r="J3941" s="670"/>
      <c r="K3941" s="670" t="e">
        <f>#REF!</f>
        <v>#REF!</v>
      </c>
      <c r="L3941" s="670" t="e">
        <f t="shared" si="865"/>
        <v>#REF!</v>
      </c>
      <c r="M3941" s="670" t="e">
        <f t="shared" si="866"/>
        <v>#REF!</v>
      </c>
      <c r="N3941" s="670" t="e">
        <f t="shared" si="866"/>
        <v>#REF!</v>
      </c>
      <c r="O3941" s="671"/>
      <c r="P3941" s="808"/>
      <c r="R3941" s="828">
        <v>1</v>
      </c>
      <c r="S3941" s="828">
        <v>0.02</v>
      </c>
      <c r="U3941" s="688"/>
      <c r="V3941" s="688"/>
    </row>
    <row r="3942" spans="1:22" ht="17.100000000000001" customHeight="1">
      <c r="A3942" s="1316" t="s">
        <v>1485</v>
      </c>
      <c r="B3942" s="1317"/>
      <c r="C3942" s="1326" t="s">
        <v>1451</v>
      </c>
      <c r="D3942" s="1327"/>
      <c r="E3942" s="891">
        <v>0.03</v>
      </c>
      <c r="F3942" s="676" t="s">
        <v>672</v>
      </c>
      <c r="G3942" s="670"/>
      <c r="H3942" s="670">
        <f>INT(E3942*G3942)</f>
        <v>0</v>
      </c>
      <c r="I3942" s="670"/>
      <c r="J3942" s="670"/>
      <c r="K3942" s="831">
        <f>L3939+L3940</f>
        <v>14422</v>
      </c>
      <c r="L3942" s="670">
        <f>INT(E3942*K3942)</f>
        <v>432</v>
      </c>
      <c r="M3942" s="670">
        <f>G3942+I3942+K3942</f>
        <v>14422</v>
      </c>
      <c r="N3942" s="670">
        <f>H3942+J3942+L3942</f>
        <v>432</v>
      </c>
      <c r="O3942" s="671"/>
      <c r="P3942" s="808"/>
      <c r="U3942" s="688"/>
      <c r="V3942" s="688"/>
    </row>
    <row r="3943" spans="1:22" ht="17.100000000000001" customHeight="1">
      <c r="A3943" s="1318" t="s">
        <v>1320</v>
      </c>
      <c r="B3943" s="1319"/>
      <c r="C3943" s="1322" t="s">
        <v>1406</v>
      </c>
      <c r="D3943" s="1323"/>
      <c r="E3943" s="686"/>
      <c r="F3943" s="676"/>
      <c r="G3943" s="670"/>
      <c r="H3943" s="670"/>
      <c r="I3943" s="670"/>
      <c r="J3943" s="670"/>
      <c r="K3943" s="670"/>
      <c r="L3943" s="670" t="e">
        <f>SUM(L3933:L3942,H3942)</f>
        <v>#REF!</v>
      </c>
      <c r="M3943" s="670"/>
      <c r="N3943" s="670" t="e">
        <f>L3943</f>
        <v>#REF!</v>
      </c>
      <c r="O3943" s="671"/>
      <c r="P3943" s="672" t="s">
        <v>2520</v>
      </c>
      <c r="Q3943" s="889"/>
      <c r="R3943" s="688"/>
      <c r="S3943" s="889"/>
      <c r="T3943" s="688"/>
      <c r="U3943" s="688"/>
      <c r="V3943" s="688"/>
    </row>
    <row r="3944" spans="1:22" ht="17.100000000000001" customHeight="1">
      <c r="A3944" s="668">
        <f>A3932+1</f>
        <v>533</v>
      </c>
      <c r="B3944" s="1320" t="s">
        <v>2512</v>
      </c>
      <c r="C3944" s="1320"/>
      <c r="D3944" s="1328" t="s">
        <v>2524</v>
      </c>
      <c r="E3944" s="1328"/>
      <c r="F3944" s="669" t="s">
        <v>272</v>
      </c>
      <c r="G3944" s="698"/>
      <c r="H3944" s="698"/>
      <c r="I3944" s="698"/>
      <c r="J3944" s="698"/>
      <c r="K3944" s="670"/>
      <c r="L3944" s="670"/>
      <c r="M3944" s="670"/>
      <c r="N3944" s="698"/>
      <c r="O3944" s="699"/>
      <c r="P3944" s="808"/>
      <c r="S3944" s="890"/>
      <c r="U3944" s="688"/>
      <c r="V3944" s="688"/>
    </row>
    <row r="3945" spans="1:22" ht="17.100000000000001" customHeight="1">
      <c r="A3945" s="1316" t="s">
        <v>2514</v>
      </c>
      <c r="B3945" s="1317"/>
      <c r="C3945" s="1316" t="s">
        <v>2515</v>
      </c>
      <c r="D3945" s="1317"/>
      <c r="E3945" s="701">
        <f>(1/5.5)*33%</f>
        <v>6.0000000000000005E-2</v>
      </c>
      <c r="F3945" s="676" t="s">
        <v>810</v>
      </c>
      <c r="G3945" s="670"/>
      <c r="H3945" s="670"/>
      <c r="I3945" s="670"/>
      <c r="J3945" s="670"/>
      <c r="K3945" s="670" t="e">
        <f>INT(#REF!*(550*2400)/(914*1828))</f>
        <v>#REF!</v>
      </c>
      <c r="L3945" s="670" t="e">
        <f t="shared" ref="L3945:L3953" si="867">INT(E3945*K3945)</f>
        <v>#REF!</v>
      </c>
      <c r="M3945" s="670" t="e">
        <f t="shared" ref="M3945:N3953" si="868">G3945+I3945+K3945</f>
        <v>#REF!</v>
      </c>
      <c r="N3945" s="670" t="e">
        <f t="shared" si="868"/>
        <v>#REF!</v>
      </c>
      <c r="O3945" s="671"/>
      <c r="P3945" s="808"/>
      <c r="U3945" s="688"/>
      <c r="V3945" s="688"/>
    </row>
    <row r="3946" spans="1:22" ht="17.100000000000001" customHeight="1">
      <c r="A3946" s="1316" t="s">
        <v>2516</v>
      </c>
      <c r="B3946" s="1317"/>
      <c r="C3946" s="1316" t="s">
        <v>2517</v>
      </c>
      <c r="D3946" s="1317"/>
      <c r="E3946" s="675">
        <f>6.6*10%</f>
        <v>0.66</v>
      </c>
      <c r="F3946" s="676" t="s">
        <v>272</v>
      </c>
      <c r="G3946" s="670"/>
      <c r="H3946" s="670"/>
      <c r="I3946" s="670"/>
      <c r="J3946" s="670"/>
      <c r="K3946" s="670" t="e">
        <f>#REF!</f>
        <v>#REF!</v>
      </c>
      <c r="L3946" s="670" t="e">
        <f t="shared" si="867"/>
        <v>#REF!</v>
      </c>
      <c r="M3946" s="670" t="e">
        <f t="shared" si="868"/>
        <v>#REF!</v>
      </c>
      <c r="N3946" s="670" t="e">
        <f t="shared" si="868"/>
        <v>#REF!</v>
      </c>
      <c r="O3946" s="671"/>
      <c r="P3946" s="808"/>
      <c r="U3946" s="688"/>
      <c r="V3946" s="688"/>
    </row>
    <row r="3947" spans="1:22" ht="17.100000000000001" customHeight="1">
      <c r="A3947" s="1316" t="s">
        <v>2518</v>
      </c>
      <c r="B3947" s="1317"/>
      <c r="C3947" s="1316" t="s">
        <v>2519</v>
      </c>
      <c r="D3947" s="1317"/>
      <c r="E3947" s="701">
        <f>0.28*10%</f>
        <v>2.8000000000000004E-2</v>
      </c>
      <c r="F3947" s="676" t="s">
        <v>30</v>
      </c>
      <c r="G3947" s="670"/>
      <c r="H3947" s="670"/>
      <c r="I3947" s="670"/>
      <c r="J3947" s="670"/>
      <c r="K3947" s="670" t="e">
        <f>#REF!</f>
        <v>#REF!</v>
      </c>
      <c r="L3947" s="670" t="e">
        <f t="shared" si="867"/>
        <v>#REF!</v>
      </c>
      <c r="M3947" s="670" t="e">
        <f t="shared" si="868"/>
        <v>#REF!</v>
      </c>
      <c r="N3947" s="670" t="e">
        <f t="shared" si="868"/>
        <v>#REF!</v>
      </c>
      <c r="O3947" s="671"/>
      <c r="P3947" s="672" t="s">
        <v>2525</v>
      </c>
      <c r="U3947" s="688"/>
      <c r="V3947" s="688"/>
    </row>
    <row r="3948" spans="1:22" ht="17.100000000000001" customHeight="1">
      <c r="A3948" s="1316" t="s">
        <v>2518</v>
      </c>
      <c r="B3948" s="1317"/>
      <c r="C3948" s="1321" t="s">
        <v>2521</v>
      </c>
      <c r="D3948" s="1317"/>
      <c r="E3948" s="701">
        <f>2.26*10%</f>
        <v>0.22599999999999998</v>
      </c>
      <c r="F3948" s="676" t="s">
        <v>30</v>
      </c>
      <c r="G3948" s="670"/>
      <c r="H3948" s="670"/>
      <c r="I3948" s="670"/>
      <c r="J3948" s="670"/>
      <c r="K3948" s="670" t="e">
        <f>#REF!</f>
        <v>#REF!</v>
      </c>
      <c r="L3948" s="670" t="e">
        <f t="shared" si="867"/>
        <v>#REF!</v>
      </c>
      <c r="M3948" s="670" t="e">
        <f t="shared" si="868"/>
        <v>#REF!</v>
      </c>
      <c r="N3948" s="670" t="e">
        <f t="shared" si="868"/>
        <v>#REF!</v>
      </c>
      <c r="O3948" s="671"/>
      <c r="P3948" s="672" t="s">
        <v>2526</v>
      </c>
      <c r="Q3948" s="688"/>
      <c r="R3948" s="688"/>
      <c r="S3948" s="688"/>
      <c r="T3948" s="688"/>
      <c r="U3948" s="688"/>
      <c r="V3948" s="688"/>
    </row>
    <row r="3949" spans="1:22" ht="17.100000000000001" customHeight="1">
      <c r="A3949" s="1316" t="s">
        <v>858</v>
      </c>
      <c r="B3949" s="1317"/>
      <c r="C3949" s="1321" t="s">
        <v>2521</v>
      </c>
      <c r="D3949" s="1317"/>
      <c r="E3949" s="701">
        <f>0.56*10%</f>
        <v>5.6000000000000008E-2</v>
      </c>
      <c r="F3949" s="676" t="s">
        <v>30</v>
      </c>
      <c r="G3949" s="670"/>
      <c r="H3949" s="670"/>
      <c r="I3949" s="670"/>
      <c r="J3949" s="670"/>
      <c r="K3949" s="670" t="e">
        <f>#REF!</f>
        <v>#REF!</v>
      </c>
      <c r="L3949" s="670" t="e">
        <f t="shared" si="867"/>
        <v>#REF!</v>
      </c>
      <c r="M3949" s="670" t="e">
        <f t="shared" si="868"/>
        <v>#REF!</v>
      </c>
      <c r="N3949" s="670" t="e">
        <f t="shared" si="868"/>
        <v>#REF!</v>
      </c>
      <c r="O3949" s="671"/>
      <c r="P3949" s="808"/>
      <c r="U3949" s="688"/>
      <c r="V3949" s="688"/>
    </row>
    <row r="3950" spans="1:22" ht="17.100000000000001" customHeight="1">
      <c r="A3950" s="1316" t="s">
        <v>2522</v>
      </c>
      <c r="B3950" s="1317"/>
      <c r="C3950" s="1321" t="s">
        <v>2523</v>
      </c>
      <c r="D3950" s="1317"/>
      <c r="E3950" s="701">
        <f>13.33*10%</f>
        <v>1.3330000000000002</v>
      </c>
      <c r="F3950" s="676" t="s">
        <v>30</v>
      </c>
      <c r="G3950" s="670"/>
      <c r="H3950" s="670"/>
      <c r="I3950" s="670"/>
      <c r="J3950" s="670"/>
      <c r="K3950" s="670" t="e">
        <f>#REF!</f>
        <v>#REF!</v>
      </c>
      <c r="L3950" s="670" t="e">
        <f t="shared" si="867"/>
        <v>#REF!</v>
      </c>
      <c r="M3950" s="670" t="e">
        <f t="shared" si="868"/>
        <v>#REF!</v>
      </c>
      <c r="N3950" s="670" t="e">
        <f t="shared" si="868"/>
        <v>#REF!</v>
      </c>
      <c r="O3950" s="671"/>
      <c r="P3950" s="808"/>
      <c r="U3950" s="688"/>
      <c r="V3950" s="688"/>
    </row>
    <row r="3951" spans="1:22" ht="17.100000000000001" customHeight="1">
      <c r="A3951" s="1316" t="s">
        <v>525</v>
      </c>
      <c r="B3951" s="1317"/>
      <c r="C3951" s="1316"/>
      <c r="D3951" s="1317"/>
      <c r="E3951" s="683">
        <v>4.2000000000000003E-2</v>
      </c>
      <c r="F3951" s="676" t="s">
        <v>366</v>
      </c>
      <c r="G3951" s="670"/>
      <c r="H3951" s="670"/>
      <c r="I3951" s="670"/>
      <c r="J3951" s="670"/>
      <c r="K3951" s="670">
        <f>[53]노임단가!$T$9</f>
        <v>281939</v>
      </c>
      <c r="L3951" s="670">
        <f t="shared" si="867"/>
        <v>11841</v>
      </c>
      <c r="M3951" s="670">
        <f t="shared" si="868"/>
        <v>281939</v>
      </c>
      <c r="N3951" s="670">
        <f t="shared" si="868"/>
        <v>11841</v>
      </c>
      <c r="O3951" s="671"/>
      <c r="P3951" s="672" t="s">
        <v>2525</v>
      </c>
      <c r="U3951" s="688"/>
      <c r="V3951" s="688"/>
    </row>
    <row r="3952" spans="1:22" ht="17.100000000000001" customHeight="1">
      <c r="A3952" s="1324" t="s">
        <v>248</v>
      </c>
      <c r="B3952" s="1325"/>
      <c r="C3952" s="1324"/>
      <c r="D3952" s="1325"/>
      <c r="E3952" s="701">
        <v>1.4999999999999999E-2</v>
      </c>
      <c r="F3952" s="676" t="s">
        <v>366</v>
      </c>
      <c r="G3952" s="670"/>
      <c r="H3952" s="670"/>
      <c r="I3952" s="670"/>
      <c r="J3952" s="670"/>
      <c r="K3952" s="670">
        <f>[53]노임단가!$T$5</f>
        <v>172068</v>
      </c>
      <c r="L3952" s="670">
        <f t="shared" si="867"/>
        <v>2581</v>
      </c>
      <c r="M3952" s="670">
        <f t="shared" si="868"/>
        <v>172068</v>
      </c>
      <c r="N3952" s="670">
        <f t="shared" si="868"/>
        <v>2581</v>
      </c>
      <c r="O3952" s="671"/>
      <c r="P3952" s="672" t="s">
        <v>2526</v>
      </c>
      <c r="Q3952" s="688"/>
      <c r="R3952" s="688"/>
      <c r="S3952" s="688"/>
      <c r="T3952" s="688"/>
      <c r="U3952" s="688"/>
      <c r="V3952" s="688"/>
    </row>
    <row r="3953" spans="1:22" ht="17.100000000000001" customHeight="1">
      <c r="A3953" s="1316" t="s">
        <v>409</v>
      </c>
      <c r="B3953" s="1317"/>
      <c r="C3953" s="1326" t="s">
        <v>395</v>
      </c>
      <c r="D3953" s="1327"/>
      <c r="E3953" s="802">
        <v>4.9000000000000002E-2</v>
      </c>
      <c r="F3953" s="676" t="s">
        <v>418</v>
      </c>
      <c r="G3953" s="670"/>
      <c r="H3953" s="670"/>
      <c r="I3953" s="670"/>
      <c r="J3953" s="670"/>
      <c r="K3953" s="670" t="e">
        <f>#REF!</f>
        <v>#REF!</v>
      </c>
      <c r="L3953" s="670" t="e">
        <f t="shared" si="867"/>
        <v>#REF!</v>
      </c>
      <c r="M3953" s="670" t="e">
        <f t="shared" si="868"/>
        <v>#REF!</v>
      </c>
      <c r="N3953" s="670" t="e">
        <f t="shared" si="868"/>
        <v>#REF!</v>
      </c>
      <c r="O3953" s="671"/>
      <c r="P3953" s="808"/>
      <c r="Q3953" s="828">
        <f>92/100</f>
        <v>0.92</v>
      </c>
      <c r="R3953" s="828" t="e">
        <f>N3993/20</f>
        <v>#REF!</v>
      </c>
      <c r="U3953" s="688"/>
      <c r="V3953" s="688"/>
    </row>
    <row r="3954" spans="1:22" ht="17.100000000000001" customHeight="1">
      <c r="A3954" s="1316" t="s">
        <v>1485</v>
      </c>
      <c r="B3954" s="1317"/>
      <c r="C3954" s="1326" t="s">
        <v>1451</v>
      </c>
      <c r="D3954" s="1327"/>
      <c r="E3954" s="891">
        <v>0.03</v>
      </c>
      <c r="F3954" s="676" t="s">
        <v>672</v>
      </c>
      <c r="G3954" s="670"/>
      <c r="H3954" s="670">
        <f>INT(E3954*G3954)</f>
        <v>0</v>
      </c>
      <c r="I3954" s="670"/>
      <c r="J3954" s="670"/>
      <c r="K3954" s="831">
        <f>L3951+L3952</f>
        <v>14422</v>
      </c>
      <c r="L3954" s="670">
        <f>INT(E3954*K3954)</f>
        <v>432</v>
      </c>
      <c r="M3954" s="670">
        <f>G3954+I3954+K3954</f>
        <v>14422</v>
      </c>
      <c r="N3954" s="670">
        <f>H3954+J3954+L3954</f>
        <v>432</v>
      </c>
      <c r="O3954" s="671"/>
      <c r="P3954" s="808"/>
      <c r="R3954" s="892"/>
      <c r="U3954" s="688"/>
      <c r="V3954" s="688"/>
    </row>
    <row r="3955" spans="1:22" ht="17.100000000000001" customHeight="1">
      <c r="A3955" s="1318" t="s">
        <v>1320</v>
      </c>
      <c r="B3955" s="1319"/>
      <c r="C3955" s="1322" t="s">
        <v>1406</v>
      </c>
      <c r="D3955" s="1323"/>
      <c r="E3955" s="686"/>
      <c r="F3955" s="676"/>
      <c r="G3955" s="670"/>
      <c r="H3955" s="670"/>
      <c r="I3955" s="670"/>
      <c r="J3955" s="670"/>
      <c r="K3955" s="670"/>
      <c r="L3955" s="670" t="e">
        <f>SUM(L3945:L3954,H3954)</f>
        <v>#REF!</v>
      </c>
      <c r="M3955" s="670"/>
      <c r="N3955" s="670" t="e">
        <f>L3955</f>
        <v>#REF!</v>
      </c>
      <c r="O3955" s="671"/>
      <c r="P3955" s="672" t="s">
        <v>2525</v>
      </c>
      <c r="U3955" s="688"/>
      <c r="V3955" s="688"/>
    </row>
    <row r="3956" spans="1:22" ht="17.100000000000001" customHeight="1">
      <c r="A3956" s="668">
        <f>A3944+1</f>
        <v>534</v>
      </c>
      <c r="B3956" s="1320" t="s">
        <v>2512</v>
      </c>
      <c r="C3956" s="1320"/>
      <c r="D3956" s="1328" t="s">
        <v>2527</v>
      </c>
      <c r="E3956" s="1328"/>
      <c r="F3956" s="669" t="s">
        <v>272</v>
      </c>
      <c r="G3956" s="698"/>
      <c r="H3956" s="698"/>
      <c r="I3956" s="698"/>
      <c r="J3956" s="698"/>
      <c r="K3956" s="670"/>
      <c r="L3956" s="670"/>
      <c r="M3956" s="670"/>
      <c r="N3956" s="698"/>
      <c r="O3956" s="699"/>
      <c r="P3956" s="672" t="s">
        <v>2526</v>
      </c>
      <c r="Q3956" s="688"/>
      <c r="R3956" s="688"/>
      <c r="S3956" s="688"/>
      <c r="T3956" s="688"/>
      <c r="U3956" s="688"/>
      <c r="V3956" s="688"/>
    </row>
    <row r="3957" spans="1:22" ht="17.100000000000001" customHeight="1">
      <c r="A3957" s="1316" t="s">
        <v>2514</v>
      </c>
      <c r="B3957" s="1317"/>
      <c r="C3957" s="1316" t="s">
        <v>2515</v>
      </c>
      <c r="D3957" s="1317"/>
      <c r="E3957" s="675">
        <f>2*43%</f>
        <v>0.86</v>
      </c>
      <c r="F3957" s="676" t="s">
        <v>810</v>
      </c>
      <c r="G3957" s="670"/>
      <c r="H3957" s="670"/>
      <c r="I3957" s="670"/>
      <c r="J3957" s="670"/>
      <c r="K3957" s="670" t="e">
        <f>INT(#REF!*(550*2400)/(914*1828))</f>
        <v>#REF!</v>
      </c>
      <c r="L3957" s="670" t="e">
        <f t="shared" ref="L3957:L3965" si="869">INT(E3957*K3957)</f>
        <v>#REF!</v>
      </c>
      <c r="M3957" s="670" t="e">
        <f t="shared" ref="M3957:N3965" si="870">G3957+I3957+K3957</f>
        <v>#REF!</v>
      </c>
      <c r="N3957" s="670" t="e">
        <f t="shared" si="870"/>
        <v>#REF!</v>
      </c>
      <c r="O3957" s="671"/>
      <c r="P3957" s="808"/>
      <c r="Q3957" s="828">
        <f>92/100</f>
        <v>0.92</v>
      </c>
      <c r="U3957" s="688"/>
      <c r="V3957" s="688"/>
    </row>
    <row r="3958" spans="1:22" ht="17.100000000000001" customHeight="1">
      <c r="A3958" s="1316" t="s">
        <v>2516</v>
      </c>
      <c r="B3958" s="1317"/>
      <c r="C3958" s="1316" t="s">
        <v>2517</v>
      </c>
      <c r="D3958" s="1317"/>
      <c r="E3958" s="701">
        <f>6.6*19%</f>
        <v>1.254</v>
      </c>
      <c r="F3958" s="676" t="s">
        <v>272</v>
      </c>
      <c r="G3958" s="670"/>
      <c r="H3958" s="670"/>
      <c r="I3958" s="670"/>
      <c r="J3958" s="670"/>
      <c r="K3958" s="670" t="e">
        <f>#REF!</f>
        <v>#REF!</v>
      </c>
      <c r="L3958" s="670" t="e">
        <f t="shared" si="869"/>
        <v>#REF!</v>
      </c>
      <c r="M3958" s="670" t="e">
        <f t="shared" si="870"/>
        <v>#REF!</v>
      </c>
      <c r="N3958" s="670" t="e">
        <f t="shared" si="870"/>
        <v>#REF!</v>
      </c>
      <c r="O3958" s="671"/>
      <c r="P3958" s="808"/>
      <c r="R3958" s="892"/>
      <c r="U3958" s="688"/>
      <c r="V3958" s="688"/>
    </row>
    <row r="3959" spans="1:22" ht="17.100000000000001" customHeight="1">
      <c r="A3959" s="1316" t="s">
        <v>2518</v>
      </c>
      <c r="B3959" s="1317"/>
      <c r="C3959" s="1316" t="s">
        <v>2519</v>
      </c>
      <c r="D3959" s="1317"/>
      <c r="E3959" s="686">
        <f>0.28*19%</f>
        <v>5.3200000000000004E-2</v>
      </c>
      <c r="F3959" s="676" t="s">
        <v>30</v>
      </c>
      <c r="G3959" s="670"/>
      <c r="H3959" s="670"/>
      <c r="I3959" s="670"/>
      <c r="J3959" s="670"/>
      <c r="K3959" s="670" t="e">
        <f>#REF!</f>
        <v>#REF!</v>
      </c>
      <c r="L3959" s="670" t="e">
        <f t="shared" si="869"/>
        <v>#REF!</v>
      </c>
      <c r="M3959" s="670" t="e">
        <f t="shared" si="870"/>
        <v>#REF!</v>
      </c>
      <c r="N3959" s="670" t="e">
        <f t="shared" si="870"/>
        <v>#REF!</v>
      </c>
      <c r="O3959" s="671"/>
      <c r="P3959" s="672" t="s">
        <v>2525</v>
      </c>
      <c r="U3959" s="688"/>
      <c r="V3959" s="688"/>
    </row>
    <row r="3960" spans="1:22" ht="17.100000000000001" customHeight="1">
      <c r="A3960" s="1316" t="s">
        <v>2518</v>
      </c>
      <c r="B3960" s="1317"/>
      <c r="C3960" s="1321" t="s">
        <v>2521</v>
      </c>
      <c r="D3960" s="1317"/>
      <c r="E3960" s="686">
        <f>2.26*19%</f>
        <v>0.42939999999999995</v>
      </c>
      <c r="F3960" s="676" t="s">
        <v>30</v>
      </c>
      <c r="G3960" s="670"/>
      <c r="H3960" s="670"/>
      <c r="I3960" s="670"/>
      <c r="J3960" s="670"/>
      <c r="K3960" s="670" t="e">
        <f>#REF!</f>
        <v>#REF!</v>
      </c>
      <c r="L3960" s="670" t="e">
        <f t="shared" si="869"/>
        <v>#REF!</v>
      </c>
      <c r="M3960" s="670" t="e">
        <f t="shared" si="870"/>
        <v>#REF!</v>
      </c>
      <c r="N3960" s="670" t="e">
        <f t="shared" si="870"/>
        <v>#REF!</v>
      </c>
      <c r="O3960" s="671"/>
      <c r="P3960" s="672" t="s">
        <v>2526</v>
      </c>
      <c r="Q3960" s="688"/>
      <c r="R3960" s="688"/>
      <c r="S3960" s="688"/>
      <c r="T3960" s="688"/>
      <c r="U3960" s="688"/>
      <c r="V3960" s="688"/>
    </row>
    <row r="3961" spans="1:22" ht="17.100000000000001" customHeight="1">
      <c r="A3961" s="1316" t="s">
        <v>858</v>
      </c>
      <c r="B3961" s="1317"/>
      <c r="C3961" s="1321" t="s">
        <v>2521</v>
      </c>
      <c r="D3961" s="1317"/>
      <c r="E3961" s="686">
        <f>0.56*19%</f>
        <v>0.10640000000000001</v>
      </c>
      <c r="F3961" s="676" t="s">
        <v>30</v>
      </c>
      <c r="G3961" s="670"/>
      <c r="H3961" s="670"/>
      <c r="I3961" s="670"/>
      <c r="J3961" s="670"/>
      <c r="K3961" s="670" t="e">
        <f>#REF!</f>
        <v>#REF!</v>
      </c>
      <c r="L3961" s="670" t="e">
        <f t="shared" si="869"/>
        <v>#REF!</v>
      </c>
      <c r="M3961" s="670" t="e">
        <f t="shared" si="870"/>
        <v>#REF!</v>
      </c>
      <c r="N3961" s="670" t="e">
        <f t="shared" si="870"/>
        <v>#REF!</v>
      </c>
      <c r="O3961" s="671"/>
      <c r="P3961" s="808"/>
      <c r="U3961" s="688"/>
      <c r="V3961" s="688"/>
    </row>
    <row r="3962" spans="1:22" ht="17.100000000000001" customHeight="1">
      <c r="A3962" s="1316" t="s">
        <v>2522</v>
      </c>
      <c r="B3962" s="1317"/>
      <c r="C3962" s="1321" t="s">
        <v>2523</v>
      </c>
      <c r="D3962" s="1317"/>
      <c r="E3962" s="686">
        <f>13.33*19%</f>
        <v>2.5327000000000002</v>
      </c>
      <c r="F3962" s="676" t="s">
        <v>30</v>
      </c>
      <c r="G3962" s="670"/>
      <c r="H3962" s="670"/>
      <c r="I3962" s="670"/>
      <c r="J3962" s="670"/>
      <c r="K3962" s="670" t="e">
        <f>#REF!</f>
        <v>#REF!</v>
      </c>
      <c r="L3962" s="670" t="e">
        <f t="shared" si="869"/>
        <v>#REF!</v>
      </c>
      <c r="M3962" s="670" t="e">
        <f t="shared" si="870"/>
        <v>#REF!</v>
      </c>
      <c r="N3962" s="670" t="e">
        <f t="shared" si="870"/>
        <v>#REF!</v>
      </c>
      <c r="O3962" s="671"/>
      <c r="P3962" s="808"/>
      <c r="R3962" s="892"/>
      <c r="U3962" s="688"/>
      <c r="V3962" s="688"/>
    </row>
    <row r="3963" spans="1:22" ht="17.100000000000001" customHeight="1">
      <c r="A3963" s="1316" t="s">
        <v>525</v>
      </c>
      <c r="B3963" s="1317"/>
      <c r="C3963" s="1316"/>
      <c r="D3963" s="1317"/>
      <c r="E3963" s="683">
        <v>4.2000000000000003E-2</v>
      </c>
      <c r="F3963" s="676" t="s">
        <v>366</v>
      </c>
      <c r="G3963" s="670"/>
      <c r="H3963" s="670"/>
      <c r="I3963" s="670"/>
      <c r="J3963" s="670"/>
      <c r="K3963" s="670">
        <f>[53]노임단가!$T$9</f>
        <v>281939</v>
      </c>
      <c r="L3963" s="670">
        <f t="shared" si="869"/>
        <v>11841</v>
      </c>
      <c r="M3963" s="670">
        <f t="shared" si="870"/>
        <v>281939</v>
      </c>
      <c r="N3963" s="670">
        <f t="shared" si="870"/>
        <v>11841</v>
      </c>
      <c r="O3963" s="671"/>
      <c r="P3963" s="672" t="s">
        <v>2525</v>
      </c>
      <c r="U3963" s="688"/>
      <c r="V3963" s="688"/>
    </row>
    <row r="3964" spans="1:22" ht="17.100000000000001" customHeight="1">
      <c r="A3964" s="1324" t="s">
        <v>248</v>
      </c>
      <c r="B3964" s="1325"/>
      <c r="C3964" s="1324"/>
      <c r="D3964" s="1325"/>
      <c r="E3964" s="701">
        <v>1.4999999999999999E-2</v>
      </c>
      <c r="F3964" s="676" t="s">
        <v>366</v>
      </c>
      <c r="G3964" s="670"/>
      <c r="H3964" s="670"/>
      <c r="I3964" s="670"/>
      <c r="J3964" s="670"/>
      <c r="K3964" s="670">
        <f>[53]노임단가!$T$5</f>
        <v>172068</v>
      </c>
      <c r="L3964" s="670">
        <f t="shared" si="869"/>
        <v>2581</v>
      </c>
      <c r="M3964" s="670">
        <f t="shared" si="870"/>
        <v>172068</v>
      </c>
      <c r="N3964" s="670">
        <f t="shared" si="870"/>
        <v>2581</v>
      </c>
      <c r="O3964" s="671"/>
      <c r="P3964" s="672" t="s">
        <v>2526</v>
      </c>
      <c r="Q3964" s="688"/>
      <c r="R3964" s="688"/>
      <c r="S3964" s="688"/>
      <c r="T3964" s="688"/>
      <c r="U3964" s="688"/>
      <c r="V3964" s="688"/>
    </row>
    <row r="3965" spans="1:22" ht="17.100000000000001" customHeight="1">
      <c r="A3965" s="1316" t="s">
        <v>409</v>
      </c>
      <c r="B3965" s="1317"/>
      <c r="C3965" s="1326" t="s">
        <v>395</v>
      </c>
      <c r="D3965" s="1327"/>
      <c r="E3965" s="802">
        <v>4.9000000000000002E-2</v>
      </c>
      <c r="F3965" s="676" t="s">
        <v>418</v>
      </c>
      <c r="G3965" s="670"/>
      <c r="H3965" s="670"/>
      <c r="I3965" s="670"/>
      <c r="J3965" s="670"/>
      <c r="K3965" s="670" t="e">
        <f>#REF!</f>
        <v>#REF!</v>
      </c>
      <c r="L3965" s="670" t="e">
        <f t="shared" si="869"/>
        <v>#REF!</v>
      </c>
      <c r="M3965" s="670" t="e">
        <f t="shared" si="870"/>
        <v>#REF!</v>
      </c>
      <c r="N3965" s="670" t="e">
        <f t="shared" si="870"/>
        <v>#REF!</v>
      </c>
      <c r="O3965" s="671"/>
      <c r="P3965" s="808"/>
      <c r="U3965" s="688"/>
      <c r="V3965" s="688"/>
    </row>
    <row r="3966" spans="1:22" ht="17.100000000000001" customHeight="1">
      <c r="A3966" s="1316" t="s">
        <v>1485</v>
      </c>
      <c r="B3966" s="1317"/>
      <c r="C3966" s="1326" t="s">
        <v>1451</v>
      </c>
      <c r="D3966" s="1327"/>
      <c r="E3966" s="891">
        <v>0.03</v>
      </c>
      <c r="F3966" s="676" t="s">
        <v>672</v>
      </c>
      <c r="G3966" s="670"/>
      <c r="H3966" s="670">
        <f>INT(E3966*G3966)</f>
        <v>0</v>
      </c>
      <c r="I3966" s="670"/>
      <c r="J3966" s="670"/>
      <c r="K3966" s="831">
        <f>L3963+L3964</f>
        <v>14422</v>
      </c>
      <c r="L3966" s="670">
        <f>INT(E3966*K3966)</f>
        <v>432</v>
      </c>
      <c r="M3966" s="670">
        <f>G3966+I3966+K3966</f>
        <v>14422</v>
      </c>
      <c r="N3966" s="670">
        <f>H3966+J3966+L3966</f>
        <v>432</v>
      </c>
      <c r="O3966" s="671"/>
      <c r="P3966" s="808"/>
      <c r="R3966" s="892"/>
      <c r="U3966" s="688"/>
      <c r="V3966" s="688"/>
    </row>
    <row r="3967" spans="1:22" ht="17.100000000000001" customHeight="1">
      <c r="A3967" s="1318" t="s">
        <v>1320</v>
      </c>
      <c r="B3967" s="1319"/>
      <c r="C3967" s="1322" t="s">
        <v>1406</v>
      </c>
      <c r="D3967" s="1323"/>
      <c r="E3967" s="686"/>
      <c r="F3967" s="676"/>
      <c r="G3967" s="670"/>
      <c r="H3967" s="670"/>
      <c r="I3967" s="670"/>
      <c r="J3967" s="670"/>
      <c r="K3967" s="670"/>
      <c r="L3967" s="670" t="e">
        <f>SUM(L3957:L3966,H3966)</f>
        <v>#REF!</v>
      </c>
      <c r="M3967" s="670"/>
      <c r="N3967" s="670" t="e">
        <f>L3967</f>
        <v>#REF!</v>
      </c>
      <c r="O3967" s="671"/>
      <c r="P3967" s="672"/>
      <c r="U3967" s="688"/>
      <c r="V3967" s="688"/>
    </row>
    <row r="3968" spans="1:22" ht="17.100000000000001" customHeight="1">
      <c r="A3968" s="668">
        <f>A3956+1</f>
        <v>535</v>
      </c>
      <c r="B3968" s="1320" t="s">
        <v>2528</v>
      </c>
      <c r="C3968" s="1320"/>
      <c r="D3968" s="1328" t="s">
        <v>2529</v>
      </c>
      <c r="E3968" s="1328"/>
      <c r="F3968" s="669" t="s">
        <v>272</v>
      </c>
      <c r="G3968" s="698"/>
      <c r="H3968" s="698"/>
      <c r="I3968" s="698"/>
      <c r="J3968" s="698"/>
      <c r="K3968" s="670"/>
      <c r="L3968" s="670"/>
      <c r="M3968" s="670"/>
      <c r="N3968" s="698"/>
      <c r="O3968" s="699"/>
      <c r="P3968" s="672"/>
      <c r="Q3968" s="688"/>
      <c r="R3968" s="688"/>
      <c r="S3968" s="688"/>
      <c r="T3968" s="688"/>
      <c r="U3968" s="688"/>
      <c r="V3968" s="688"/>
    </row>
    <row r="3969" spans="1:22" ht="17.100000000000001" customHeight="1">
      <c r="A3969" s="1316" t="s">
        <v>525</v>
      </c>
      <c r="B3969" s="1317"/>
      <c r="C3969" s="1316"/>
      <c r="D3969" s="1317"/>
      <c r="E3969" s="683">
        <v>1.2E-2</v>
      </c>
      <c r="F3969" s="676" t="s">
        <v>366</v>
      </c>
      <c r="G3969" s="670"/>
      <c r="H3969" s="670"/>
      <c r="I3969" s="670"/>
      <c r="J3969" s="670"/>
      <c r="K3969" s="670">
        <f>[53]노임단가!$T$9</f>
        <v>281939</v>
      </c>
      <c r="L3969" s="670">
        <f>INT(E3969*K3969)</f>
        <v>3383</v>
      </c>
      <c r="M3969" s="670">
        <f t="shared" ref="M3969:N3971" si="871">G3969+I3969+K3969</f>
        <v>281939</v>
      </c>
      <c r="N3969" s="670">
        <f t="shared" si="871"/>
        <v>3383</v>
      </c>
      <c r="O3969" s="671"/>
      <c r="P3969" s="808"/>
      <c r="U3969" s="688"/>
      <c r="V3969" s="688"/>
    </row>
    <row r="3970" spans="1:22" ht="17.100000000000001" customHeight="1">
      <c r="A3970" s="1324" t="s">
        <v>248</v>
      </c>
      <c r="B3970" s="1325"/>
      <c r="C3970" s="1324"/>
      <c r="D3970" s="1325"/>
      <c r="E3970" s="701">
        <v>4.0000000000000001E-3</v>
      </c>
      <c r="F3970" s="676" t="s">
        <v>366</v>
      </c>
      <c r="G3970" s="670"/>
      <c r="H3970" s="670"/>
      <c r="I3970" s="670"/>
      <c r="J3970" s="670"/>
      <c r="K3970" s="670">
        <f>[53]노임단가!$T$5</f>
        <v>172068</v>
      </c>
      <c r="L3970" s="670">
        <f>INT(E3970*K3970)</f>
        <v>688</v>
      </c>
      <c r="M3970" s="670">
        <f t="shared" si="871"/>
        <v>172068</v>
      </c>
      <c r="N3970" s="670">
        <f t="shared" si="871"/>
        <v>688</v>
      </c>
      <c r="O3970" s="671"/>
      <c r="P3970" s="808"/>
      <c r="U3970" s="688"/>
      <c r="V3970" s="688"/>
    </row>
    <row r="3971" spans="1:22" ht="17.100000000000001" customHeight="1">
      <c r="A3971" s="1316" t="s">
        <v>409</v>
      </c>
      <c r="B3971" s="1317"/>
      <c r="C3971" s="1326" t="s">
        <v>395</v>
      </c>
      <c r="D3971" s="1327"/>
      <c r="E3971" s="802">
        <v>1.4E-2</v>
      </c>
      <c r="F3971" s="676" t="s">
        <v>418</v>
      </c>
      <c r="G3971" s="670"/>
      <c r="H3971" s="670"/>
      <c r="I3971" s="670"/>
      <c r="J3971" s="670"/>
      <c r="K3971" s="670" t="e">
        <f>#REF!</f>
        <v>#REF!</v>
      </c>
      <c r="L3971" s="670" t="e">
        <f>INT(E3971*K3971)</f>
        <v>#REF!</v>
      </c>
      <c r="M3971" s="670" t="e">
        <f t="shared" si="871"/>
        <v>#REF!</v>
      </c>
      <c r="N3971" s="670" t="e">
        <f t="shared" si="871"/>
        <v>#REF!</v>
      </c>
      <c r="O3971" s="671"/>
      <c r="P3971" s="808"/>
      <c r="U3971" s="688"/>
      <c r="V3971" s="688"/>
    </row>
    <row r="3972" spans="1:22" ht="17.100000000000001" customHeight="1">
      <c r="A3972" s="1316" t="s">
        <v>1485</v>
      </c>
      <c r="B3972" s="1317"/>
      <c r="C3972" s="1326" t="s">
        <v>1451</v>
      </c>
      <c r="D3972" s="1327"/>
      <c r="E3972" s="891">
        <v>0.03</v>
      </c>
      <c r="F3972" s="676" t="s">
        <v>672</v>
      </c>
      <c r="G3972" s="670"/>
      <c r="H3972" s="670">
        <f>INT(E3972*G3972)</f>
        <v>0</v>
      </c>
      <c r="I3972" s="670"/>
      <c r="J3972" s="670"/>
      <c r="K3972" s="831">
        <f>L3969+L3970</f>
        <v>4071</v>
      </c>
      <c r="L3972" s="670">
        <f>INT(E3972*K3972)</f>
        <v>122</v>
      </c>
      <c r="M3972" s="670">
        <f>G3972+I3972+K3972</f>
        <v>4071</v>
      </c>
      <c r="N3972" s="670">
        <f>H3972+J3972+L3972</f>
        <v>122</v>
      </c>
      <c r="O3972" s="671"/>
      <c r="P3972" s="808"/>
      <c r="U3972" s="688"/>
      <c r="V3972" s="688"/>
    </row>
    <row r="3973" spans="1:22" ht="17.100000000000001" customHeight="1">
      <c r="A3973" s="1318" t="s">
        <v>1320</v>
      </c>
      <c r="B3973" s="1319"/>
      <c r="C3973" s="1322" t="s">
        <v>1406</v>
      </c>
      <c r="D3973" s="1323"/>
      <c r="E3973" s="686"/>
      <c r="F3973" s="676"/>
      <c r="G3973" s="670"/>
      <c r="H3973" s="670"/>
      <c r="I3973" s="670"/>
      <c r="J3973" s="670"/>
      <c r="K3973" s="670"/>
      <c r="L3973" s="670" t="e">
        <f>SUM(N3969:N3972)</f>
        <v>#REF!</v>
      </c>
      <c r="M3973" s="670"/>
      <c r="N3973" s="670" t="e">
        <f>L3973</f>
        <v>#REF!</v>
      </c>
      <c r="O3973" s="671"/>
      <c r="P3973" s="808"/>
      <c r="U3973" s="688"/>
      <c r="V3973" s="688"/>
    </row>
    <row r="3974" spans="1:22" ht="17.100000000000001" customHeight="1">
      <c r="A3974" s="668">
        <f>A3968+1</f>
        <v>536</v>
      </c>
      <c r="B3974" s="1320" t="s">
        <v>930</v>
      </c>
      <c r="C3974" s="1320"/>
      <c r="D3974" s="1320" t="s">
        <v>2400</v>
      </c>
      <c r="E3974" s="1320"/>
      <c r="F3974" s="669" t="s">
        <v>30</v>
      </c>
      <c r="G3974" s="698"/>
      <c r="H3974" s="698"/>
      <c r="I3974" s="698"/>
      <c r="J3974" s="698"/>
      <c r="K3974" s="670"/>
      <c r="L3974" s="670"/>
      <c r="M3974" s="670"/>
      <c r="N3974" s="698"/>
      <c r="O3974" s="876"/>
      <c r="P3974" s="672"/>
      <c r="Q3974" s="688"/>
      <c r="R3974" s="688"/>
      <c r="S3974" s="688"/>
      <c r="T3974" s="688"/>
      <c r="U3974" s="688"/>
      <c r="V3974" s="688"/>
    </row>
    <row r="3975" spans="1:22" ht="17.100000000000001" customHeight="1">
      <c r="A3975" s="1316" t="s">
        <v>2530</v>
      </c>
      <c r="B3975" s="1317"/>
      <c r="C3975" s="1316" t="s">
        <v>2531</v>
      </c>
      <c r="D3975" s="1317"/>
      <c r="E3975" s="675">
        <v>0.31</v>
      </c>
      <c r="F3975" s="676" t="s">
        <v>30</v>
      </c>
      <c r="G3975" s="670" t="e">
        <f>#REF!</f>
        <v>#REF!</v>
      </c>
      <c r="H3975" s="670" t="e">
        <f>INT(E3975*G3975)</f>
        <v>#REF!</v>
      </c>
      <c r="I3975" s="670"/>
      <c r="J3975" s="670"/>
      <c r="K3975" s="893"/>
      <c r="L3975" s="893"/>
      <c r="M3975" s="670" t="e">
        <f>G3975+I3975+K3975</f>
        <v>#REF!</v>
      </c>
      <c r="N3975" s="670" t="e">
        <f>H3975+J3975+L3975</f>
        <v>#REF!</v>
      </c>
      <c r="O3975" s="876"/>
      <c r="P3975" s="808"/>
      <c r="U3975" s="688"/>
      <c r="V3975" s="688"/>
    </row>
    <row r="3976" spans="1:22" ht="17.100000000000001" customHeight="1">
      <c r="A3976" s="1316" t="s">
        <v>628</v>
      </c>
      <c r="B3976" s="1317"/>
      <c r="C3976" s="1316" t="s">
        <v>2532</v>
      </c>
      <c r="D3976" s="1317"/>
      <c r="E3976" s="675">
        <v>0.02</v>
      </c>
      <c r="F3976" s="676" t="s">
        <v>366</v>
      </c>
      <c r="G3976" s="670"/>
      <c r="H3976" s="670"/>
      <c r="I3976" s="670"/>
      <c r="J3976" s="670"/>
      <c r="K3976" s="670">
        <f>[53]노임단가!$T$6</f>
        <v>226122</v>
      </c>
      <c r="L3976" s="670">
        <f>INT(E3976*K3976)</f>
        <v>4522</v>
      </c>
      <c r="M3976" s="670">
        <f>G3976+I3976+K3976</f>
        <v>226122</v>
      </c>
      <c r="N3976" s="670">
        <f>H3976+J3976+L3976</f>
        <v>4522</v>
      </c>
      <c r="O3976" s="876"/>
      <c r="P3976" s="808"/>
      <c r="U3976" s="688"/>
      <c r="V3976" s="688"/>
    </row>
    <row r="3977" spans="1:22" ht="17.100000000000001" customHeight="1">
      <c r="A3977" s="1318" t="s">
        <v>1320</v>
      </c>
      <c r="B3977" s="1319"/>
      <c r="C3977" s="1322" t="s">
        <v>1406</v>
      </c>
      <c r="D3977" s="1323"/>
      <c r="E3977" s="686"/>
      <c r="F3977" s="676"/>
      <c r="G3977" s="670"/>
      <c r="H3977" s="670"/>
      <c r="I3977" s="670"/>
      <c r="J3977" s="670"/>
      <c r="K3977" s="670"/>
      <c r="L3977" s="670" t="e">
        <f>SUM(N3974:N3976)</f>
        <v>#REF!</v>
      </c>
      <c r="M3977" s="670"/>
      <c r="N3977" s="670" t="e">
        <f>L3977</f>
        <v>#REF!</v>
      </c>
      <c r="O3977" s="671"/>
      <c r="P3977" s="808"/>
      <c r="U3977" s="688"/>
      <c r="V3977" s="688"/>
    </row>
    <row r="3978" spans="1:22" ht="17.100000000000001" customHeight="1">
      <c r="A3978" s="668">
        <f>A3974+1</f>
        <v>537</v>
      </c>
      <c r="B3978" s="1320" t="s">
        <v>930</v>
      </c>
      <c r="C3978" s="1320"/>
      <c r="D3978" s="1320" t="s">
        <v>2404</v>
      </c>
      <c r="E3978" s="1320"/>
      <c r="F3978" s="669" t="s">
        <v>30</v>
      </c>
      <c r="G3978" s="698"/>
      <c r="H3978" s="698"/>
      <c r="I3978" s="698"/>
      <c r="J3978" s="698"/>
      <c r="K3978" s="670"/>
      <c r="L3978" s="670"/>
      <c r="M3978" s="670"/>
      <c r="N3978" s="698"/>
      <c r="O3978" s="876"/>
      <c r="P3978" s="808"/>
      <c r="U3978" s="688"/>
      <c r="V3978" s="688"/>
    </row>
    <row r="3979" spans="1:22" ht="17.100000000000001" customHeight="1">
      <c r="A3979" s="1316" t="s">
        <v>2530</v>
      </c>
      <c r="B3979" s="1317"/>
      <c r="C3979" s="1316" t="s">
        <v>2533</v>
      </c>
      <c r="D3979" s="1317"/>
      <c r="E3979" s="675">
        <v>0.36</v>
      </c>
      <c r="F3979" s="676" t="s">
        <v>30</v>
      </c>
      <c r="G3979" s="670" t="e">
        <f>#REF!</f>
        <v>#REF!</v>
      </c>
      <c r="H3979" s="670" t="e">
        <f>INT(E3979*G3979)</f>
        <v>#REF!</v>
      </c>
      <c r="I3979" s="670"/>
      <c r="J3979" s="670"/>
      <c r="K3979" s="893"/>
      <c r="L3979" s="893"/>
      <c r="M3979" s="670" t="e">
        <f>G3979+I3979+K3979</f>
        <v>#REF!</v>
      </c>
      <c r="N3979" s="670" t="e">
        <f>H3979+J3979+L3979</f>
        <v>#REF!</v>
      </c>
      <c r="O3979" s="876"/>
      <c r="P3979" s="808"/>
      <c r="U3979" s="688"/>
      <c r="V3979" s="688"/>
    </row>
    <row r="3980" spans="1:22" ht="17.100000000000001" customHeight="1">
      <c r="A3980" s="1316" t="s">
        <v>628</v>
      </c>
      <c r="B3980" s="1317"/>
      <c r="C3980" s="1316" t="s">
        <v>2532</v>
      </c>
      <c r="D3980" s="1317"/>
      <c r="E3980" s="675">
        <v>0.02</v>
      </c>
      <c r="F3980" s="676" t="s">
        <v>366</v>
      </c>
      <c r="G3980" s="670"/>
      <c r="H3980" s="670"/>
      <c r="I3980" s="670"/>
      <c r="J3980" s="670"/>
      <c r="K3980" s="670">
        <f>[53]노임단가!$T$6</f>
        <v>226122</v>
      </c>
      <c r="L3980" s="670">
        <f>INT(E3980*K3980)</f>
        <v>4522</v>
      </c>
      <c r="M3980" s="670">
        <f>G3980+I3980+K3980</f>
        <v>226122</v>
      </c>
      <c r="N3980" s="670">
        <f>H3980+J3980+L3980</f>
        <v>4522</v>
      </c>
      <c r="O3980" s="876"/>
      <c r="P3980" s="808"/>
      <c r="U3980" s="688"/>
      <c r="V3980" s="688"/>
    </row>
    <row r="3981" spans="1:22" ht="17.100000000000001" customHeight="1">
      <c r="A3981" s="1318" t="s">
        <v>1320</v>
      </c>
      <c r="B3981" s="1319"/>
      <c r="C3981" s="1322" t="s">
        <v>1406</v>
      </c>
      <c r="D3981" s="1323"/>
      <c r="E3981" s="686"/>
      <c r="F3981" s="676"/>
      <c r="G3981" s="670"/>
      <c r="H3981" s="670"/>
      <c r="I3981" s="670"/>
      <c r="J3981" s="670"/>
      <c r="K3981" s="670"/>
      <c r="L3981" s="670" t="e">
        <f>SUM(N3978:N3980)</f>
        <v>#REF!</v>
      </c>
      <c r="M3981" s="670"/>
      <c r="N3981" s="670" t="e">
        <f>L3981</f>
        <v>#REF!</v>
      </c>
      <c r="O3981" s="671"/>
      <c r="P3981" s="808"/>
      <c r="U3981" s="688"/>
      <c r="V3981" s="688"/>
    </row>
    <row r="3982" spans="1:22" ht="17.100000000000001" customHeight="1">
      <c r="A3982" s="668">
        <f>A3978+1</f>
        <v>538</v>
      </c>
      <c r="B3982" s="1320" t="s">
        <v>930</v>
      </c>
      <c r="C3982" s="1320"/>
      <c r="D3982" s="1320" t="s">
        <v>2534</v>
      </c>
      <c r="E3982" s="1320"/>
      <c r="F3982" s="669" t="s">
        <v>30</v>
      </c>
      <c r="G3982" s="698"/>
      <c r="H3982" s="698"/>
      <c r="I3982" s="698"/>
      <c r="J3982" s="698"/>
      <c r="K3982" s="670"/>
      <c r="L3982" s="670"/>
      <c r="M3982" s="670"/>
      <c r="N3982" s="698"/>
      <c r="O3982" s="876"/>
      <c r="P3982" s="808"/>
      <c r="U3982" s="688"/>
      <c r="V3982" s="688"/>
    </row>
    <row r="3983" spans="1:22" ht="17.100000000000001" customHeight="1">
      <c r="A3983" s="1316" t="s">
        <v>2530</v>
      </c>
      <c r="B3983" s="1317"/>
      <c r="C3983" s="1316" t="s">
        <v>2535</v>
      </c>
      <c r="D3983" s="1317"/>
      <c r="E3983" s="675">
        <v>0.45</v>
      </c>
      <c r="F3983" s="676" t="s">
        <v>30</v>
      </c>
      <c r="G3983" s="670" t="e">
        <f>#REF!</f>
        <v>#REF!</v>
      </c>
      <c r="H3983" s="670" t="e">
        <f>INT(E3983*G3983)</f>
        <v>#REF!</v>
      </c>
      <c r="I3983" s="670"/>
      <c r="J3983" s="670"/>
      <c r="K3983" s="893"/>
      <c r="L3983" s="893"/>
      <c r="M3983" s="670" t="e">
        <f>G3983+I3983+K3983</f>
        <v>#REF!</v>
      </c>
      <c r="N3983" s="670" t="e">
        <f>H3983+J3983+L3983</f>
        <v>#REF!</v>
      </c>
      <c r="O3983" s="876"/>
      <c r="P3983" s="672"/>
      <c r="U3983" s="688"/>
      <c r="V3983" s="688"/>
    </row>
    <row r="3984" spans="1:22" ht="17.100000000000001" customHeight="1">
      <c r="A3984" s="1316" t="s">
        <v>628</v>
      </c>
      <c r="B3984" s="1317"/>
      <c r="C3984" s="1316" t="s">
        <v>2532</v>
      </c>
      <c r="D3984" s="1317"/>
      <c r="E3984" s="675">
        <v>0.02</v>
      </c>
      <c r="F3984" s="676" t="s">
        <v>366</v>
      </c>
      <c r="G3984" s="670"/>
      <c r="H3984" s="670"/>
      <c r="I3984" s="670"/>
      <c r="J3984" s="670"/>
      <c r="K3984" s="670">
        <f>[53]노임단가!$T$6</f>
        <v>226122</v>
      </c>
      <c r="L3984" s="670">
        <f>INT(E3984*K3984)</f>
        <v>4522</v>
      </c>
      <c r="M3984" s="670">
        <f>G3984+I3984+K3984</f>
        <v>226122</v>
      </c>
      <c r="N3984" s="670">
        <f>H3984+J3984+L3984</f>
        <v>4522</v>
      </c>
      <c r="O3984" s="876"/>
      <c r="P3984" s="672"/>
      <c r="U3984" s="688"/>
      <c r="V3984" s="688"/>
    </row>
    <row r="3985" spans="1:22" ht="17.100000000000001" customHeight="1">
      <c r="A3985" s="1318" t="s">
        <v>1320</v>
      </c>
      <c r="B3985" s="1319"/>
      <c r="C3985" s="1322" t="s">
        <v>1406</v>
      </c>
      <c r="D3985" s="1323"/>
      <c r="E3985" s="686"/>
      <c r="F3985" s="676"/>
      <c r="G3985" s="670"/>
      <c r="H3985" s="670"/>
      <c r="I3985" s="670"/>
      <c r="J3985" s="670"/>
      <c r="K3985" s="670"/>
      <c r="L3985" s="670" t="e">
        <f>SUM(N3982:N3984)</f>
        <v>#REF!</v>
      </c>
      <c r="M3985" s="670"/>
      <c r="N3985" s="670" t="e">
        <f>L3985</f>
        <v>#REF!</v>
      </c>
      <c r="O3985" s="671"/>
      <c r="P3985" s="672"/>
      <c r="U3985" s="688"/>
      <c r="V3985" s="688"/>
    </row>
    <row r="3986" spans="1:22" ht="17.100000000000001" customHeight="1">
      <c r="A3986" s="668">
        <f>A3982+1</f>
        <v>539</v>
      </c>
      <c r="B3986" s="1320" t="s">
        <v>2536</v>
      </c>
      <c r="C3986" s="1320"/>
      <c r="D3986" s="1320" t="s">
        <v>2537</v>
      </c>
      <c r="E3986" s="1320"/>
      <c r="F3986" s="669" t="s">
        <v>30</v>
      </c>
      <c r="G3986" s="698"/>
      <c r="H3986" s="698"/>
      <c r="I3986" s="698"/>
      <c r="J3986" s="698"/>
      <c r="K3986" s="670"/>
      <c r="L3986" s="670"/>
      <c r="M3986" s="670"/>
      <c r="N3986" s="698"/>
      <c r="O3986" s="876"/>
      <c r="P3986" s="672"/>
      <c r="U3986" s="688"/>
      <c r="V3986" s="688"/>
    </row>
    <row r="3987" spans="1:22" ht="17.100000000000001" customHeight="1">
      <c r="A3987" s="1316" t="s">
        <v>2538</v>
      </c>
      <c r="B3987" s="1317"/>
      <c r="C3987" s="1316" t="s">
        <v>2539</v>
      </c>
      <c r="D3987" s="1317"/>
      <c r="E3987" s="675">
        <v>0.47</v>
      </c>
      <c r="F3987" s="676" t="s">
        <v>30</v>
      </c>
      <c r="G3987" s="670" t="e">
        <f>#REF!</f>
        <v>#REF!</v>
      </c>
      <c r="H3987" s="670" t="e">
        <f>INT(E3987*G3987)</f>
        <v>#REF!</v>
      </c>
      <c r="I3987" s="670"/>
      <c r="J3987" s="670"/>
      <c r="K3987" s="893"/>
      <c r="L3987" s="893"/>
      <c r="M3987" s="670" t="e">
        <f>G3987+I3987+K3987</f>
        <v>#REF!</v>
      </c>
      <c r="N3987" s="670" t="e">
        <f>H3987+J3987+L3987</f>
        <v>#REF!</v>
      </c>
      <c r="O3987" s="876"/>
      <c r="P3987" s="672"/>
      <c r="U3987" s="688"/>
      <c r="V3987" s="688"/>
    </row>
    <row r="3988" spans="1:22" ht="17.100000000000001" customHeight="1">
      <c r="A3988" s="1316" t="s">
        <v>628</v>
      </c>
      <c r="B3988" s="1317"/>
      <c r="C3988" s="1316" t="s">
        <v>2532</v>
      </c>
      <c r="D3988" s="1317"/>
      <c r="E3988" s="675">
        <v>0.04</v>
      </c>
      <c r="F3988" s="676" t="s">
        <v>366</v>
      </c>
      <c r="G3988" s="670"/>
      <c r="H3988" s="670"/>
      <c r="I3988" s="670"/>
      <c r="J3988" s="670"/>
      <c r="K3988" s="670">
        <f>[53]노임단가!$T$6</f>
        <v>226122</v>
      </c>
      <c r="L3988" s="670">
        <f>INT(E3988*K3988)</f>
        <v>9044</v>
      </c>
      <c r="M3988" s="670">
        <f>G3988+I3988+K3988</f>
        <v>226122</v>
      </c>
      <c r="N3988" s="670">
        <f>H3988+J3988+L3988</f>
        <v>9044</v>
      </c>
      <c r="O3988" s="876"/>
      <c r="P3988" s="672"/>
      <c r="U3988" s="688"/>
      <c r="V3988" s="688"/>
    </row>
    <row r="3989" spans="1:22" ht="15.95" customHeight="1">
      <c r="A3989" s="1318" t="s">
        <v>1320</v>
      </c>
      <c r="B3989" s="1319"/>
      <c r="C3989" s="1322" t="s">
        <v>1406</v>
      </c>
      <c r="D3989" s="1323"/>
      <c r="E3989" s="686"/>
      <c r="F3989" s="676"/>
      <c r="G3989" s="670"/>
      <c r="H3989" s="670"/>
      <c r="I3989" s="670"/>
      <c r="J3989" s="670"/>
      <c r="K3989" s="670"/>
      <c r="L3989" s="670" t="e">
        <f>SUM(N3987:N3988)</f>
        <v>#REF!</v>
      </c>
      <c r="M3989" s="670"/>
      <c r="N3989" s="670" t="e">
        <f>L3989</f>
        <v>#REF!</v>
      </c>
      <c r="O3989" s="671"/>
      <c r="P3989" s="672"/>
      <c r="U3989" s="688"/>
      <c r="V3989" s="688"/>
    </row>
    <row r="3990" spans="1:22" ht="15.95" customHeight="1">
      <c r="A3990" s="668">
        <f>A3986+1</f>
        <v>540</v>
      </c>
      <c r="B3990" s="1320" t="s">
        <v>2536</v>
      </c>
      <c r="C3990" s="1320"/>
      <c r="D3990" s="1320" t="s">
        <v>2540</v>
      </c>
      <c r="E3990" s="1320"/>
      <c r="F3990" s="669" t="s">
        <v>30</v>
      </c>
      <c r="G3990" s="698"/>
      <c r="H3990" s="698"/>
      <c r="I3990" s="698"/>
      <c r="J3990" s="698"/>
      <c r="K3990" s="670"/>
      <c r="L3990" s="670"/>
      <c r="M3990" s="670"/>
      <c r="N3990" s="698"/>
      <c r="O3990" s="876"/>
      <c r="P3990" s="672"/>
    </row>
    <row r="3991" spans="1:22" ht="15.95" customHeight="1">
      <c r="A3991" s="1316" t="s">
        <v>2538</v>
      </c>
      <c r="B3991" s="1317"/>
      <c r="C3991" s="1316" t="s">
        <v>2541</v>
      </c>
      <c r="D3991" s="1317"/>
      <c r="E3991" s="675">
        <v>0.92</v>
      </c>
      <c r="F3991" s="676" t="s">
        <v>30</v>
      </c>
      <c r="G3991" s="670" t="e">
        <f>#REF!</f>
        <v>#REF!</v>
      </c>
      <c r="H3991" s="670" t="e">
        <f>INT(E3991*G3991)</f>
        <v>#REF!</v>
      </c>
      <c r="I3991" s="670"/>
      <c r="J3991" s="670"/>
      <c r="K3991" s="893"/>
      <c r="L3991" s="893"/>
      <c r="M3991" s="670" t="e">
        <f>G3991+I3991+K3991</f>
        <v>#REF!</v>
      </c>
      <c r="N3991" s="670" t="e">
        <f>H3991+J3991+L3991</f>
        <v>#REF!</v>
      </c>
      <c r="O3991" s="876"/>
      <c r="P3991" s="672"/>
    </row>
    <row r="3992" spans="1:22" ht="15.95" customHeight="1">
      <c r="A3992" s="1316" t="s">
        <v>628</v>
      </c>
      <c r="B3992" s="1317"/>
      <c r="C3992" s="1316" t="s">
        <v>2532</v>
      </c>
      <c r="D3992" s="1317"/>
      <c r="E3992" s="675">
        <v>0.04</v>
      </c>
      <c r="F3992" s="676" t="s">
        <v>366</v>
      </c>
      <c r="G3992" s="670"/>
      <c r="H3992" s="670"/>
      <c r="I3992" s="670"/>
      <c r="J3992" s="670"/>
      <c r="K3992" s="670">
        <f>[53]노임단가!$T$6</f>
        <v>226122</v>
      </c>
      <c r="L3992" s="670">
        <f>INT(E3992*K3992)</f>
        <v>9044</v>
      </c>
      <c r="M3992" s="670">
        <f>G3992+I3992+K3992</f>
        <v>226122</v>
      </c>
      <c r="N3992" s="670">
        <f>H3992+J3992+L3992</f>
        <v>9044</v>
      </c>
      <c r="O3992" s="876"/>
      <c r="P3992" s="672"/>
    </row>
    <row r="3993" spans="1:22" ht="15.95" customHeight="1">
      <c r="A3993" s="1318" t="s">
        <v>1320</v>
      </c>
      <c r="B3993" s="1319"/>
      <c r="C3993" s="1322" t="s">
        <v>1406</v>
      </c>
      <c r="D3993" s="1323"/>
      <c r="E3993" s="686"/>
      <c r="F3993" s="676"/>
      <c r="G3993" s="670"/>
      <c r="H3993" s="670"/>
      <c r="I3993" s="670"/>
      <c r="J3993" s="670"/>
      <c r="K3993" s="670"/>
      <c r="L3993" s="670" t="e">
        <f>SUM(N3991:N3992)</f>
        <v>#REF!</v>
      </c>
      <c r="M3993" s="670"/>
      <c r="N3993" s="670" t="e">
        <f>L3993</f>
        <v>#REF!</v>
      </c>
      <c r="O3993" s="671"/>
      <c r="P3993" s="672"/>
    </row>
    <row r="3994" spans="1:22" ht="15.95" customHeight="1">
      <c r="A3994" s="668">
        <f>A3990+1</f>
        <v>541</v>
      </c>
      <c r="B3994" s="1320" t="s">
        <v>2536</v>
      </c>
      <c r="C3994" s="1320"/>
      <c r="D3994" s="1320" t="s">
        <v>2542</v>
      </c>
      <c r="E3994" s="1320"/>
      <c r="F3994" s="669" t="s">
        <v>30</v>
      </c>
      <c r="G3994" s="698"/>
      <c r="H3994" s="698"/>
      <c r="I3994" s="698"/>
      <c r="J3994" s="698"/>
      <c r="K3994" s="670"/>
      <c r="L3994" s="670"/>
      <c r="M3994" s="670"/>
      <c r="N3994" s="698"/>
      <c r="O3994" s="876"/>
      <c r="P3994" s="672"/>
    </row>
    <row r="3995" spans="1:22" ht="15.95" customHeight="1">
      <c r="A3995" s="1316" t="s">
        <v>2538</v>
      </c>
      <c r="B3995" s="1317"/>
      <c r="C3995" s="1316" t="s">
        <v>2543</v>
      </c>
      <c r="D3995" s="1317"/>
      <c r="E3995" s="675">
        <v>0.25</v>
      </c>
      <c r="F3995" s="676" t="s">
        <v>30</v>
      </c>
      <c r="G3995" s="670" t="e">
        <f>#REF!</f>
        <v>#REF!</v>
      </c>
      <c r="H3995" s="670" t="e">
        <f>INT(E3995*G3995)</f>
        <v>#REF!</v>
      </c>
      <c r="I3995" s="670"/>
      <c r="J3995" s="670"/>
      <c r="K3995" s="893"/>
      <c r="L3995" s="893"/>
      <c r="M3995" s="670" t="e">
        <f>G3995+I3995+K3995</f>
        <v>#REF!</v>
      </c>
      <c r="N3995" s="670" t="e">
        <f>H3995+J3995+L3995</f>
        <v>#REF!</v>
      </c>
      <c r="O3995" s="876"/>
      <c r="P3995" s="672"/>
    </row>
    <row r="3996" spans="1:22" ht="15.95" customHeight="1">
      <c r="A3996" s="1316" t="s">
        <v>628</v>
      </c>
      <c r="B3996" s="1317"/>
      <c r="C3996" s="1316" t="s">
        <v>2532</v>
      </c>
      <c r="D3996" s="1317"/>
      <c r="E3996" s="675">
        <v>0.04</v>
      </c>
      <c r="F3996" s="676" t="s">
        <v>366</v>
      </c>
      <c r="G3996" s="670"/>
      <c r="H3996" s="670"/>
      <c r="I3996" s="670"/>
      <c r="J3996" s="670"/>
      <c r="K3996" s="670">
        <f>[53]노임단가!$T$6</f>
        <v>226122</v>
      </c>
      <c r="L3996" s="670">
        <f>INT(E3996*K3996)</f>
        <v>9044</v>
      </c>
      <c r="M3996" s="670">
        <f>G3996+I3996+K3996</f>
        <v>226122</v>
      </c>
      <c r="N3996" s="670">
        <f>H3996+J3996+L3996</f>
        <v>9044</v>
      </c>
      <c r="O3996" s="876"/>
      <c r="P3996" s="672"/>
    </row>
    <row r="3997" spans="1:22" ht="15.95" customHeight="1">
      <c r="A3997" s="1318" t="s">
        <v>1320</v>
      </c>
      <c r="B3997" s="1319"/>
      <c r="C3997" s="1322" t="s">
        <v>1406</v>
      </c>
      <c r="D3997" s="1323"/>
      <c r="E3997" s="686"/>
      <c r="F3997" s="676"/>
      <c r="G3997" s="670"/>
      <c r="H3997" s="670"/>
      <c r="I3997" s="670"/>
      <c r="J3997" s="670"/>
      <c r="K3997" s="670"/>
      <c r="L3997" s="670" t="e">
        <f>SUM(N3995:N3996)</f>
        <v>#REF!</v>
      </c>
      <c r="M3997" s="670"/>
      <c r="N3997" s="670" t="e">
        <f>L3997</f>
        <v>#REF!</v>
      </c>
      <c r="O3997" s="671"/>
      <c r="P3997" s="672"/>
    </row>
    <row r="3998" spans="1:22" ht="15.95" customHeight="1">
      <c r="A3998" s="668">
        <f>A3994+1</f>
        <v>542</v>
      </c>
      <c r="B3998" s="1320" t="s">
        <v>2536</v>
      </c>
      <c r="C3998" s="1320"/>
      <c r="D3998" s="1320" t="s">
        <v>2544</v>
      </c>
      <c r="E3998" s="1320"/>
      <c r="F3998" s="669" t="s">
        <v>30</v>
      </c>
      <c r="G3998" s="698"/>
      <c r="H3998" s="698"/>
      <c r="I3998" s="698"/>
      <c r="J3998" s="698"/>
      <c r="K3998" s="670"/>
      <c r="L3998" s="670"/>
      <c r="M3998" s="670"/>
      <c r="N3998" s="698"/>
      <c r="O3998" s="876"/>
      <c r="P3998" s="672"/>
    </row>
    <row r="3999" spans="1:22" ht="17.100000000000001" customHeight="1">
      <c r="A3999" s="1316" t="s">
        <v>2538</v>
      </c>
      <c r="B3999" s="1317"/>
      <c r="C3999" s="1316" t="s">
        <v>2545</v>
      </c>
      <c r="D3999" s="1317"/>
      <c r="E3999" s="675">
        <v>0.35</v>
      </c>
      <c r="F3999" s="676" t="s">
        <v>30</v>
      </c>
      <c r="G3999" s="670" t="e">
        <f>#REF!</f>
        <v>#REF!</v>
      </c>
      <c r="H3999" s="670" t="e">
        <f>INT(E3999*G3999)</f>
        <v>#REF!</v>
      </c>
      <c r="I3999" s="670"/>
      <c r="J3999" s="670"/>
      <c r="K3999" s="893"/>
      <c r="L3999" s="893"/>
      <c r="M3999" s="670" t="e">
        <f>G3999+I3999+K3999</f>
        <v>#REF!</v>
      </c>
      <c r="N3999" s="670" t="e">
        <f>H3999+J3999+L3999</f>
        <v>#REF!</v>
      </c>
      <c r="O3999" s="876"/>
      <c r="P3999" s="672"/>
    </row>
    <row r="4000" spans="1:22" ht="17.100000000000001" customHeight="1">
      <c r="A4000" s="1316" t="s">
        <v>628</v>
      </c>
      <c r="B4000" s="1317"/>
      <c r="C4000" s="1316" t="s">
        <v>2532</v>
      </c>
      <c r="D4000" s="1317"/>
      <c r="E4000" s="675">
        <v>0.04</v>
      </c>
      <c r="F4000" s="676" t="s">
        <v>366</v>
      </c>
      <c r="G4000" s="670"/>
      <c r="H4000" s="670"/>
      <c r="I4000" s="670"/>
      <c r="J4000" s="670"/>
      <c r="K4000" s="670">
        <f>[53]노임단가!$T$6</f>
        <v>226122</v>
      </c>
      <c r="L4000" s="670">
        <f>INT(E4000*K4000)</f>
        <v>9044</v>
      </c>
      <c r="M4000" s="670">
        <f>G4000+I4000+K4000</f>
        <v>226122</v>
      </c>
      <c r="N4000" s="670">
        <f>H4000+J4000+L4000</f>
        <v>9044</v>
      </c>
      <c r="O4000" s="876"/>
      <c r="P4000" s="672"/>
    </row>
    <row r="4001" spans="1:16" ht="17.100000000000001" customHeight="1">
      <c r="A4001" s="1318" t="s">
        <v>1320</v>
      </c>
      <c r="B4001" s="1319"/>
      <c r="C4001" s="1322" t="s">
        <v>1406</v>
      </c>
      <c r="D4001" s="1323"/>
      <c r="E4001" s="686"/>
      <c r="F4001" s="676"/>
      <c r="G4001" s="670"/>
      <c r="H4001" s="670"/>
      <c r="I4001" s="670"/>
      <c r="J4001" s="670"/>
      <c r="K4001" s="670"/>
      <c r="L4001" s="670" t="e">
        <f>SUM(N3999:N4000)</f>
        <v>#REF!</v>
      </c>
      <c r="M4001" s="670"/>
      <c r="N4001" s="670" t="e">
        <f>L4001</f>
        <v>#REF!</v>
      </c>
      <c r="O4001" s="671"/>
      <c r="P4001" s="672"/>
    </row>
    <row r="4002" spans="1:16" ht="17.100000000000001" customHeight="1">
      <c r="A4002" s="668">
        <f>A3998+1</f>
        <v>543</v>
      </c>
      <c r="B4002" s="1320" t="s">
        <v>2536</v>
      </c>
      <c r="C4002" s="1320"/>
      <c r="D4002" s="1320" t="s">
        <v>2546</v>
      </c>
      <c r="E4002" s="1320"/>
      <c r="F4002" s="669" t="s">
        <v>30</v>
      </c>
      <c r="G4002" s="698"/>
      <c r="H4002" s="698"/>
      <c r="I4002" s="698"/>
      <c r="J4002" s="698"/>
      <c r="K4002" s="670"/>
      <c r="L4002" s="670"/>
      <c r="M4002" s="670"/>
      <c r="N4002" s="698"/>
      <c r="O4002" s="876"/>
      <c r="P4002" s="672"/>
    </row>
    <row r="4003" spans="1:16" ht="17.100000000000001" customHeight="1">
      <c r="A4003" s="1316" t="s">
        <v>2538</v>
      </c>
      <c r="B4003" s="1317"/>
      <c r="C4003" s="1316" t="s">
        <v>2547</v>
      </c>
      <c r="D4003" s="1317"/>
      <c r="E4003" s="675">
        <v>0.54</v>
      </c>
      <c r="F4003" s="676" t="s">
        <v>30</v>
      </c>
      <c r="G4003" s="670" t="e">
        <f>#REF!</f>
        <v>#REF!</v>
      </c>
      <c r="H4003" s="670" t="e">
        <f>INT(E4003*G4003)</f>
        <v>#REF!</v>
      </c>
      <c r="I4003" s="670"/>
      <c r="J4003" s="670"/>
      <c r="K4003" s="893"/>
      <c r="L4003" s="893"/>
      <c r="M4003" s="670" t="e">
        <f>G4003+I4003+K4003</f>
        <v>#REF!</v>
      </c>
      <c r="N4003" s="670" t="e">
        <f>H4003+J4003+L4003</f>
        <v>#REF!</v>
      </c>
      <c r="O4003" s="876"/>
      <c r="P4003" s="672"/>
    </row>
    <row r="4004" spans="1:16" ht="17.100000000000001" customHeight="1">
      <c r="A4004" s="1316" t="s">
        <v>628</v>
      </c>
      <c r="B4004" s="1317"/>
      <c r="C4004" s="1316" t="s">
        <v>2532</v>
      </c>
      <c r="D4004" s="1317"/>
      <c r="E4004" s="675">
        <v>0.04</v>
      </c>
      <c r="F4004" s="676" t="s">
        <v>366</v>
      </c>
      <c r="G4004" s="670"/>
      <c r="H4004" s="670"/>
      <c r="I4004" s="670"/>
      <c r="J4004" s="670"/>
      <c r="K4004" s="670">
        <f>[53]노임단가!$T$6</f>
        <v>226122</v>
      </c>
      <c r="L4004" s="670">
        <f>INT(E4004*K4004)</f>
        <v>9044</v>
      </c>
      <c r="M4004" s="670">
        <f>G4004+I4004+K4004</f>
        <v>226122</v>
      </c>
      <c r="N4004" s="670">
        <f>H4004+J4004+L4004</f>
        <v>9044</v>
      </c>
      <c r="O4004" s="876"/>
      <c r="P4004" s="672"/>
    </row>
    <row r="4005" spans="1:16" ht="17.100000000000001" customHeight="1">
      <c r="A4005" s="1318" t="s">
        <v>1320</v>
      </c>
      <c r="B4005" s="1319"/>
      <c r="C4005" s="1322" t="s">
        <v>1406</v>
      </c>
      <c r="D4005" s="1323"/>
      <c r="E4005" s="686"/>
      <c r="F4005" s="676"/>
      <c r="G4005" s="670"/>
      <c r="H4005" s="670"/>
      <c r="I4005" s="670"/>
      <c r="J4005" s="670"/>
      <c r="K4005" s="670"/>
      <c r="L4005" s="670" t="e">
        <f>SUM(N4003:N4004)</f>
        <v>#REF!</v>
      </c>
      <c r="M4005" s="670"/>
      <c r="N4005" s="670" t="e">
        <f>L4005</f>
        <v>#REF!</v>
      </c>
      <c r="O4005" s="671"/>
      <c r="P4005" s="672"/>
    </row>
    <row r="4006" spans="1:16" ht="17.100000000000001" customHeight="1">
      <c r="A4006" s="668">
        <f>A4002+1</f>
        <v>544</v>
      </c>
      <c r="B4006" s="1320" t="s">
        <v>2548</v>
      </c>
      <c r="C4006" s="1320"/>
      <c r="D4006" s="1320"/>
      <c r="E4006" s="1320"/>
      <c r="F4006" s="669" t="s">
        <v>575</v>
      </c>
      <c r="G4006" s="698"/>
      <c r="H4006" s="698"/>
      <c r="I4006" s="698"/>
      <c r="J4006" s="698"/>
      <c r="K4006" s="670"/>
      <c r="L4006" s="670"/>
      <c r="M4006" s="670"/>
      <c r="N4006" s="698"/>
      <c r="O4006" s="876"/>
      <c r="P4006" s="672"/>
    </row>
    <row r="4007" spans="1:16" ht="17.100000000000001" customHeight="1">
      <c r="A4007" s="1316" t="s">
        <v>990</v>
      </c>
      <c r="B4007" s="1317"/>
      <c r="C4007" s="1316" t="s">
        <v>2549</v>
      </c>
      <c r="D4007" s="1317"/>
      <c r="E4007" s="679">
        <v>0.1</v>
      </c>
      <c r="F4007" s="676" t="s">
        <v>30</v>
      </c>
      <c r="G4007" s="670"/>
      <c r="H4007" s="670"/>
      <c r="I4007" s="670"/>
      <c r="J4007" s="670"/>
      <c r="K4007" s="670" t="e">
        <f>#REF!</f>
        <v>#REF!</v>
      </c>
      <c r="L4007" s="670" t="e">
        <f>INT(E4007*K4007)</f>
        <v>#REF!</v>
      </c>
      <c r="M4007" s="670" t="e">
        <f>G4007+I4007+K4007</f>
        <v>#REF!</v>
      </c>
      <c r="N4007" s="670" t="e">
        <f>H4007+J4007+L4007</f>
        <v>#REF!</v>
      </c>
      <c r="O4007" s="876"/>
      <c r="P4007" s="894"/>
    </row>
    <row r="4008" spans="1:16" ht="17.100000000000001" customHeight="1">
      <c r="A4008" s="1316" t="s">
        <v>578</v>
      </c>
      <c r="B4008" s="1317"/>
      <c r="C4008" s="1316"/>
      <c r="D4008" s="1317"/>
      <c r="E4008" s="675">
        <v>0.01</v>
      </c>
      <c r="F4008" s="676" t="s">
        <v>366</v>
      </c>
      <c r="G4008" s="670"/>
      <c r="H4008" s="670"/>
      <c r="I4008" s="670"/>
      <c r="J4008" s="670"/>
      <c r="K4008" s="670">
        <f>[53]노임단가!$T$52</f>
        <v>273676</v>
      </c>
      <c r="L4008" s="670">
        <f>INT(E4008*K4008)</f>
        <v>2736</v>
      </c>
      <c r="M4008" s="670">
        <f>G4008+I4008+K4008</f>
        <v>273676</v>
      </c>
      <c r="N4008" s="670">
        <f>H4008+J4008+L4008</f>
        <v>2736</v>
      </c>
      <c r="O4008" s="876"/>
    </row>
    <row r="4009" spans="1:16" ht="17.100000000000001" customHeight="1">
      <c r="A4009" s="1318" t="s">
        <v>1320</v>
      </c>
      <c r="B4009" s="1319"/>
      <c r="C4009" s="1316"/>
      <c r="D4009" s="1317"/>
      <c r="E4009" s="686"/>
      <c r="F4009" s="676"/>
      <c r="G4009" s="670"/>
      <c r="H4009" s="670"/>
      <c r="I4009" s="670"/>
      <c r="J4009" s="670"/>
      <c r="K4009" s="670"/>
      <c r="L4009" s="670" t="e">
        <f>SUM(L4007:L4008)</f>
        <v>#REF!</v>
      </c>
      <c r="M4009" s="670"/>
      <c r="N4009" s="670" t="e">
        <f>SUM(N4007:N4008)</f>
        <v>#REF!</v>
      </c>
      <c r="O4009" s="876"/>
    </row>
    <row r="4010" spans="1:16" ht="17.100000000000001" customHeight="1">
      <c r="A4010" s="668">
        <f>A4006+1</f>
        <v>545</v>
      </c>
      <c r="B4010" s="1320" t="s">
        <v>2550</v>
      </c>
      <c r="C4010" s="1320"/>
      <c r="D4010" s="1320"/>
      <c r="E4010" s="1320"/>
      <c r="F4010" s="669" t="s">
        <v>272</v>
      </c>
      <c r="G4010" s="698"/>
      <c r="H4010" s="698"/>
      <c r="I4010" s="698"/>
      <c r="J4010" s="698"/>
      <c r="K4010" s="670"/>
      <c r="L4010" s="670"/>
      <c r="M4010" s="670"/>
      <c r="N4010" s="698"/>
      <c r="O4010" s="876"/>
    </row>
    <row r="4011" spans="1:16" ht="17.100000000000001" customHeight="1">
      <c r="A4011" s="1316" t="s">
        <v>932</v>
      </c>
      <c r="B4011" s="1317"/>
      <c r="C4011" s="1316" t="s">
        <v>2549</v>
      </c>
      <c r="D4011" s="1317"/>
      <c r="E4011" s="679">
        <v>0.1</v>
      </c>
      <c r="F4011" s="676" t="s">
        <v>272</v>
      </c>
      <c r="G4011" s="670"/>
      <c r="H4011" s="670"/>
      <c r="I4011" s="670"/>
      <c r="J4011" s="670"/>
      <c r="K4011" s="670" t="e">
        <f>#REF!</f>
        <v>#REF!</v>
      </c>
      <c r="L4011" s="670" t="e">
        <f>INT(E4011*K4011)</f>
        <v>#REF!</v>
      </c>
      <c r="M4011" s="670" t="e">
        <f>G4011+I4011+K4011</f>
        <v>#REF!</v>
      </c>
      <c r="N4011" s="670" t="e">
        <f>H4011+J4011+L4011</f>
        <v>#REF!</v>
      </c>
      <c r="O4011" s="876"/>
    </row>
    <row r="4012" spans="1:16" ht="17.100000000000001" customHeight="1">
      <c r="A4012" s="1316" t="s">
        <v>578</v>
      </c>
      <c r="B4012" s="1317"/>
      <c r="C4012" s="1316"/>
      <c r="D4012" s="1317"/>
      <c r="E4012" s="675">
        <v>0.01</v>
      </c>
      <c r="F4012" s="676" t="s">
        <v>366</v>
      </c>
      <c r="G4012" s="670"/>
      <c r="H4012" s="670"/>
      <c r="I4012" s="670"/>
      <c r="J4012" s="670"/>
      <c r="K4012" s="670">
        <f>[53]노임단가!$T$52</f>
        <v>273676</v>
      </c>
      <c r="L4012" s="670">
        <f>INT(E4012*K4012)</f>
        <v>2736</v>
      </c>
      <c r="M4012" s="670">
        <f>G4012+I4012+K4012</f>
        <v>273676</v>
      </c>
      <c r="N4012" s="670">
        <f>H4012+J4012+L4012</f>
        <v>2736</v>
      </c>
      <c r="O4012" s="876"/>
    </row>
    <row r="4013" spans="1:16" ht="17.100000000000001" customHeight="1">
      <c r="A4013" s="1318" t="s">
        <v>1320</v>
      </c>
      <c r="B4013" s="1319"/>
      <c r="C4013" s="1316"/>
      <c r="D4013" s="1317"/>
      <c r="E4013" s="686"/>
      <c r="F4013" s="676"/>
      <c r="G4013" s="670"/>
      <c r="H4013" s="670"/>
      <c r="I4013" s="670"/>
      <c r="J4013" s="670"/>
      <c r="K4013" s="670"/>
      <c r="L4013" s="670" t="e">
        <f>SUM(L4011:L4012)</f>
        <v>#REF!</v>
      </c>
      <c r="M4013" s="670"/>
      <c r="N4013" s="670" t="e">
        <f>SUM(N4011:N4012)</f>
        <v>#REF!</v>
      </c>
      <c r="O4013" s="876"/>
    </row>
    <row r="4014" spans="1:16" ht="17.100000000000001" customHeight="1">
      <c r="A4014" s="668">
        <f>A4010+1</f>
        <v>546</v>
      </c>
      <c r="B4014" s="1320" t="s">
        <v>2551</v>
      </c>
      <c r="C4014" s="1320"/>
      <c r="D4014" s="1320" t="s">
        <v>2552</v>
      </c>
      <c r="E4014" s="1320"/>
      <c r="F4014" s="669" t="s">
        <v>30</v>
      </c>
      <c r="G4014" s="698"/>
      <c r="H4014" s="698"/>
      <c r="I4014" s="698"/>
      <c r="J4014" s="698"/>
      <c r="K4014" s="670"/>
      <c r="L4014" s="670"/>
      <c r="M4014" s="670"/>
      <c r="N4014" s="698"/>
      <c r="O4014" s="671"/>
    </row>
    <row r="4015" spans="1:16" ht="17.100000000000001" customHeight="1">
      <c r="A4015" s="1316" t="s">
        <v>2553</v>
      </c>
      <c r="B4015" s="1317"/>
      <c r="C4015" s="1316" t="s">
        <v>2554</v>
      </c>
      <c r="D4015" s="1317"/>
      <c r="E4015" s="686">
        <v>9.7919999999999998</v>
      </c>
      <c r="F4015" s="676" t="s">
        <v>835</v>
      </c>
      <c r="G4015" s="670"/>
      <c r="H4015" s="670"/>
      <c r="I4015" s="670"/>
      <c r="J4015" s="670"/>
      <c r="K4015" s="670" t="e">
        <f>#REF!</f>
        <v>#REF!</v>
      </c>
      <c r="L4015" s="670" t="e">
        <f t="shared" ref="L4015:L4021" si="872">INT(E4015*K4015)</f>
        <v>#REF!</v>
      </c>
      <c r="M4015" s="670" t="e">
        <f t="shared" ref="M4015:N4021" si="873">G4015+I4015+K4015</f>
        <v>#REF!</v>
      </c>
      <c r="N4015" s="670" t="e">
        <f t="shared" si="873"/>
        <v>#REF!</v>
      </c>
      <c r="O4015" s="671"/>
    </row>
    <row r="4016" spans="1:16" ht="17.100000000000001" customHeight="1">
      <c r="A4016" s="1316" t="s">
        <v>845</v>
      </c>
      <c r="B4016" s="1317"/>
      <c r="C4016" s="1316" t="s">
        <v>2555</v>
      </c>
      <c r="D4016" s="1317"/>
      <c r="E4016" s="686">
        <v>3.3000000000000002E-2</v>
      </c>
      <c r="F4016" s="676" t="s">
        <v>850</v>
      </c>
      <c r="G4016" s="670"/>
      <c r="H4016" s="670"/>
      <c r="I4016" s="670"/>
      <c r="J4016" s="670"/>
      <c r="K4016" s="670" t="e">
        <f>#REF!</f>
        <v>#REF!</v>
      </c>
      <c r="L4016" s="670" t="e">
        <f t="shared" si="872"/>
        <v>#REF!</v>
      </c>
      <c r="M4016" s="670" t="e">
        <f t="shared" si="873"/>
        <v>#REF!</v>
      </c>
      <c r="N4016" s="670" t="e">
        <f t="shared" si="873"/>
        <v>#REF!</v>
      </c>
      <c r="O4016" s="671"/>
    </row>
    <row r="4017" spans="1:15" ht="17.100000000000001" customHeight="1">
      <c r="A4017" s="1316" t="s">
        <v>817</v>
      </c>
      <c r="B4017" s="1317"/>
      <c r="C4017" s="1316" t="s">
        <v>818</v>
      </c>
      <c r="D4017" s="1317"/>
      <c r="E4017" s="686">
        <v>0.40500000000000003</v>
      </c>
      <c r="F4017" s="676" t="s">
        <v>835</v>
      </c>
      <c r="G4017" s="670"/>
      <c r="H4017" s="670"/>
      <c r="I4017" s="670"/>
      <c r="J4017" s="670"/>
      <c r="K4017" s="670" t="e">
        <f>#REF!</f>
        <v>#REF!</v>
      </c>
      <c r="L4017" s="670" t="e">
        <f t="shared" si="872"/>
        <v>#REF!</v>
      </c>
      <c r="M4017" s="670" t="e">
        <f t="shared" si="873"/>
        <v>#REF!</v>
      </c>
      <c r="N4017" s="670" t="e">
        <f t="shared" si="873"/>
        <v>#REF!</v>
      </c>
      <c r="O4017" s="671"/>
    </row>
    <row r="4018" spans="1:15" ht="17.100000000000001" customHeight="1">
      <c r="A4018" s="1316" t="s">
        <v>972</v>
      </c>
      <c r="B4018" s="1317"/>
      <c r="C4018" s="1321" t="s">
        <v>2556</v>
      </c>
      <c r="D4018" s="1317"/>
      <c r="E4018" s="686">
        <v>3</v>
      </c>
      <c r="F4018" s="676" t="s">
        <v>30</v>
      </c>
      <c r="G4018" s="670"/>
      <c r="H4018" s="670"/>
      <c r="I4018" s="670"/>
      <c r="J4018" s="670"/>
      <c r="K4018" s="670" t="e">
        <f>#REF!</f>
        <v>#REF!</v>
      </c>
      <c r="L4018" s="670" t="e">
        <f t="shared" si="872"/>
        <v>#REF!</v>
      </c>
      <c r="M4018" s="670" t="e">
        <f t="shared" si="873"/>
        <v>#REF!</v>
      </c>
      <c r="N4018" s="670" t="e">
        <f t="shared" si="873"/>
        <v>#REF!</v>
      </c>
      <c r="O4018" s="671"/>
    </row>
    <row r="4019" spans="1:15" ht="17.100000000000001" customHeight="1">
      <c r="A4019" s="1316" t="s">
        <v>1621</v>
      </c>
      <c r="B4019" s="1317"/>
      <c r="C4019" s="1316"/>
      <c r="D4019" s="1317"/>
      <c r="E4019" s="686">
        <v>0.53500000000000003</v>
      </c>
      <c r="F4019" s="676" t="s">
        <v>366</v>
      </c>
      <c r="G4019" s="670"/>
      <c r="H4019" s="670"/>
      <c r="I4019" s="670"/>
      <c r="J4019" s="670"/>
      <c r="K4019" s="670">
        <f>[53]노임단가!$T$10</f>
        <v>275790</v>
      </c>
      <c r="L4019" s="670">
        <f t="shared" si="872"/>
        <v>147547</v>
      </c>
      <c r="M4019" s="670">
        <f t="shared" si="873"/>
        <v>275790</v>
      </c>
      <c r="N4019" s="670">
        <f t="shared" si="873"/>
        <v>147547</v>
      </c>
      <c r="O4019" s="671"/>
    </row>
    <row r="4020" spans="1:15" ht="17.100000000000001" customHeight="1">
      <c r="A4020" s="1316" t="s">
        <v>248</v>
      </c>
      <c r="B4020" s="1317"/>
      <c r="C4020" s="1316"/>
      <c r="D4020" s="1317"/>
      <c r="E4020" s="686">
        <v>0.113</v>
      </c>
      <c r="F4020" s="676" t="s">
        <v>366</v>
      </c>
      <c r="G4020" s="670"/>
      <c r="H4020" s="670"/>
      <c r="I4020" s="670"/>
      <c r="J4020" s="670"/>
      <c r="K4020" s="670">
        <f>[53]노임단가!$T$5</f>
        <v>172068</v>
      </c>
      <c r="L4020" s="670">
        <f t="shared" si="872"/>
        <v>19443</v>
      </c>
      <c r="M4020" s="670">
        <f t="shared" si="873"/>
        <v>172068</v>
      </c>
      <c r="N4020" s="670">
        <f t="shared" si="873"/>
        <v>19443</v>
      </c>
      <c r="O4020" s="671"/>
    </row>
    <row r="4021" spans="1:15" ht="17.100000000000001" customHeight="1">
      <c r="A4021" s="1316" t="s">
        <v>2557</v>
      </c>
      <c r="B4021" s="1317"/>
      <c r="C4021" s="1316"/>
      <c r="D4021" s="1317"/>
      <c r="E4021" s="686">
        <v>7.5999999999999998E-2</v>
      </c>
      <c r="F4021" s="676" t="s">
        <v>366</v>
      </c>
      <c r="G4021" s="670"/>
      <c r="H4021" s="670"/>
      <c r="I4021" s="670"/>
      <c r="J4021" s="670"/>
      <c r="K4021" s="670">
        <f>[53]노임단가!$T$8</f>
        <v>237324</v>
      </c>
      <c r="L4021" s="670">
        <f t="shared" si="872"/>
        <v>18036</v>
      </c>
      <c r="M4021" s="670">
        <f t="shared" si="873"/>
        <v>237324</v>
      </c>
      <c r="N4021" s="670">
        <f t="shared" si="873"/>
        <v>18036</v>
      </c>
      <c r="O4021" s="671"/>
    </row>
    <row r="4022" spans="1:15" ht="17.100000000000001" customHeight="1">
      <c r="A4022" s="1318" t="s">
        <v>1320</v>
      </c>
      <c r="B4022" s="1319"/>
      <c r="C4022" s="1316"/>
      <c r="D4022" s="1317"/>
      <c r="E4022" s="686"/>
      <c r="F4022" s="676"/>
      <c r="G4022" s="670"/>
      <c r="H4022" s="670"/>
      <c r="I4022" s="670"/>
      <c r="J4022" s="670"/>
      <c r="K4022" s="670"/>
      <c r="L4022" s="670" t="e">
        <f>SUM(L4015:L4021)</f>
        <v>#REF!</v>
      </c>
      <c r="M4022" s="670"/>
      <c r="N4022" s="670" t="e">
        <f>SUM(N4015:N4021)</f>
        <v>#REF!</v>
      </c>
      <c r="O4022" s="671"/>
    </row>
    <row r="4023" spans="1:15" ht="17.100000000000001" customHeight="1">
      <c r="A4023" s="668">
        <f>A4014+1</f>
        <v>547</v>
      </c>
      <c r="B4023" s="1320" t="s">
        <v>2558</v>
      </c>
      <c r="C4023" s="1320"/>
      <c r="D4023" s="1320" t="s">
        <v>2559</v>
      </c>
      <c r="E4023" s="1320"/>
      <c r="F4023" s="669" t="s">
        <v>454</v>
      </c>
      <c r="G4023" s="698"/>
      <c r="H4023" s="698"/>
      <c r="I4023" s="698"/>
      <c r="J4023" s="698"/>
      <c r="K4023" s="670"/>
      <c r="L4023" s="670"/>
      <c r="M4023" s="670"/>
      <c r="N4023" s="698"/>
      <c r="O4023" s="699" t="s">
        <v>1994</v>
      </c>
    </row>
    <row r="4024" spans="1:15" ht="17.100000000000001" customHeight="1">
      <c r="A4024" s="1316" t="s">
        <v>2560</v>
      </c>
      <c r="B4024" s="1317"/>
      <c r="C4024" s="1316" t="s">
        <v>1207</v>
      </c>
      <c r="D4024" s="1317"/>
      <c r="E4024" s="677">
        <v>3</v>
      </c>
      <c r="F4024" s="676" t="s">
        <v>278</v>
      </c>
      <c r="G4024" s="670"/>
      <c r="H4024" s="670"/>
      <c r="I4024" s="670"/>
      <c r="J4024" s="670"/>
      <c r="K4024" s="670">
        <f>[53]운반공!$BI$665+[53]운반공!$BQ$665+[53]운반공!$BY$665</f>
        <v>184422</v>
      </c>
      <c r="L4024" s="670">
        <f>INT(E4024*K4024)</f>
        <v>553266</v>
      </c>
      <c r="M4024" s="670">
        <f t="shared" ref="M4024:N4026" si="874">G4024+I4024+K4024</f>
        <v>184422</v>
      </c>
      <c r="N4024" s="670">
        <f t="shared" si="874"/>
        <v>553266</v>
      </c>
      <c r="O4024" s="671"/>
    </row>
    <row r="4025" spans="1:15" ht="17.100000000000001" customHeight="1">
      <c r="A4025" s="1316" t="s">
        <v>641</v>
      </c>
      <c r="B4025" s="1317"/>
      <c r="C4025" s="1316" t="s">
        <v>642</v>
      </c>
      <c r="D4025" s="1317"/>
      <c r="E4025" s="677">
        <v>1</v>
      </c>
      <c r="F4025" s="676" t="s">
        <v>278</v>
      </c>
      <c r="G4025" s="670"/>
      <c r="H4025" s="670"/>
      <c r="I4025" s="670"/>
      <c r="J4025" s="670"/>
      <c r="K4025" s="670">
        <f>[53]운반공!$BI$677+[53]운반공!$BQ$677+[53]운반공!$BY$677</f>
        <v>62368</v>
      </c>
      <c r="L4025" s="670">
        <f>INT(E4025*K4025)</f>
        <v>62368</v>
      </c>
      <c r="M4025" s="670">
        <f t="shared" si="874"/>
        <v>62368</v>
      </c>
      <c r="N4025" s="670">
        <f t="shared" si="874"/>
        <v>62368</v>
      </c>
      <c r="O4025" s="671"/>
    </row>
    <row r="4026" spans="1:15" ht="17.100000000000001" customHeight="1">
      <c r="A4026" s="1316" t="s">
        <v>641</v>
      </c>
      <c r="B4026" s="1317"/>
      <c r="C4026" s="1316" t="s">
        <v>1154</v>
      </c>
      <c r="D4026" s="1317"/>
      <c r="E4026" s="677">
        <v>1</v>
      </c>
      <c r="F4026" s="676" t="s">
        <v>278</v>
      </c>
      <c r="G4026" s="670"/>
      <c r="H4026" s="670"/>
      <c r="I4026" s="670"/>
      <c r="J4026" s="670"/>
      <c r="K4026" s="670">
        <f>[53]운반공!$BI$689+[53]운반공!$BQ$689+[53]운반공!$BY$689</f>
        <v>67458</v>
      </c>
      <c r="L4026" s="670">
        <f>INT(E4026*K4026)</f>
        <v>67458</v>
      </c>
      <c r="M4026" s="670">
        <f t="shared" si="874"/>
        <v>67458</v>
      </c>
      <c r="N4026" s="670">
        <f t="shared" si="874"/>
        <v>67458</v>
      </c>
      <c r="O4026" s="671"/>
    </row>
    <row r="4027" spans="1:15" ht="17.100000000000001" customHeight="1">
      <c r="A4027" s="1318" t="s">
        <v>1320</v>
      </c>
      <c r="B4027" s="1319"/>
      <c r="C4027" s="1316"/>
      <c r="D4027" s="1317"/>
      <c r="E4027" s="686"/>
      <c r="F4027" s="676"/>
      <c r="G4027" s="670"/>
      <c r="H4027" s="670"/>
      <c r="I4027" s="670"/>
      <c r="J4027" s="670"/>
      <c r="K4027" s="670"/>
      <c r="L4027" s="670">
        <f>SUM(L4024:L4026)</f>
        <v>683092</v>
      </c>
      <c r="M4027" s="670"/>
      <c r="N4027" s="670">
        <f>SUM(N4024:N4026)</f>
        <v>683092</v>
      </c>
      <c r="O4027" s="671"/>
    </row>
    <row r="4028" spans="1:15" ht="17.100000000000001" customHeight="1">
      <c r="A4028" s="668">
        <f>A4023+1</f>
        <v>548</v>
      </c>
      <c r="B4028" s="1320" t="s">
        <v>2558</v>
      </c>
      <c r="C4028" s="1320"/>
      <c r="D4028" s="1320" t="s">
        <v>2561</v>
      </c>
      <c r="E4028" s="1320"/>
      <c r="F4028" s="669" t="s">
        <v>454</v>
      </c>
      <c r="G4028" s="698"/>
      <c r="H4028" s="698"/>
      <c r="I4028" s="698"/>
      <c r="J4028" s="698"/>
      <c r="K4028" s="670"/>
      <c r="L4028" s="670"/>
      <c r="M4028" s="670"/>
      <c r="N4028" s="698"/>
      <c r="O4028" s="699" t="s">
        <v>1994</v>
      </c>
    </row>
    <row r="4029" spans="1:15" ht="17.100000000000001" customHeight="1">
      <c r="A4029" s="1316" t="s">
        <v>2560</v>
      </c>
      <c r="B4029" s="1317"/>
      <c r="C4029" s="1316" t="s">
        <v>1207</v>
      </c>
      <c r="D4029" s="1317"/>
      <c r="E4029" s="677">
        <v>3</v>
      </c>
      <c r="F4029" s="676" t="s">
        <v>278</v>
      </c>
      <c r="G4029" s="670"/>
      <c r="H4029" s="670"/>
      <c r="I4029" s="670"/>
      <c r="J4029" s="670"/>
      <c r="K4029" s="670">
        <f>[53]운반공!$BI$718+[53]운반공!$BQ$718+[53]운반공!$BY$718</f>
        <v>89718</v>
      </c>
      <c r="L4029" s="670">
        <f>INT(E4029*K4029)</f>
        <v>269154</v>
      </c>
      <c r="M4029" s="670">
        <f t="shared" ref="M4029:N4031" si="875">G4029+I4029+K4029</f>
        <v>89718</v>
      </c>
      <c r="N4029" s="670">
        <f t="shared" si="875"/>
        <v>269154</v>
      </c>
      <c r="O4029" s="671"/>
    </row>
    <row r="4030" spans="1:15" ht="17.100000000000001" customHeight="1">
      <c r="A4030" s="1316" t="s">
        <v>641</v>
      </c>
      <c r="B4030" s="1317"/>
      <c r="C4030" s="1316" t="s">
        <v>642</v>
      </c>
      <c r="D4030" s="1317"/>
      <c r="E4030" s="677">
        <v>1</v>
      </c>
      <c r="F4030" s="676" t="s">
        <v>278</v>
      </c>
      <c r="G4030" s="670"/>
      <c r="H4030" s="670"/>
      <c r="I4030" s="670"/>
      <c r="J4030" s="670"/>
      <c r="K4030" s="670">
        <f>[53]운반공!$BI$730+[53]운반공!$BQ$730+[53]운반공!$BY$730</f>
        <v>21269</v>
      </c>
      <c r="L4030" s="670">
        <f>INT(E4030*K4030)</f>
        <v>21269</v>
      </c>
      <c r="M4030" s="670">
        <f t="shared" si="875"/>
        <v>21269</v>
      </c>
      <c r="N4030" s="670">
        <f t="shared" si="875"/>
        <v>21269</v>
      </c>
      <c r="O4030" s="671"/>
    </row>
    <row r="4031" spans="1:15" ht="17.100000000000001" customHeight="1">
      <c r="A4031" s="1316" t="s">
        <v>641</v>
      </c>
      <c r="B4031" s="1317"/>
      <c r="C4031" s="1316" t="s">
        <v>1154</v>
      </c>
      <c r="D4031" s="1317"/>
      <c r="E4031" s="677">
        <v>1</v>
      </c>
      <c r="F4031" s="676" t="s">
        <v>278</v>
      </c>
      <c r="G4031" s="670"/>
      <c r="H4031" s="670"/>
      <c r="I4031" s="670"/>
      <c r="J4031" s="670"/>
      <c r="K4031" s="670">
        <f>[53]운반공!$BI$742+[53]운반공!$BQ$742+[53]운반공!$BY$742</f>
        <v>25562</v>
      </c>
      <c r="L4031" s="670">
        <f>INT(E4031*K4031)</f>
        <v>25562</v>
      </c>
      <c r="M4031" s="670">
        <f t="shared" si="875"/>
        <v>25562</v>
      </c>
      <c r="N4031" s="670">
        <f t="shared" si="875"/>
        <v>25562</v>
      </c>
      <c r="O4031" s="671"/>
    </row>
    <row r="4032" spans="1:15" ht="17.100000000000001" customHeight="1">
      <c r="A4032" s="1318" t="s">
        <v>1320</v>
      </c>
      <c r="B4032" s="1319"/>
      <c r="C4032" s="1316"/>
      <c r="D4032" s="1317"/>
      <c r="E4032" s="686"/>
      <c r="F4032" s="676"/>
      <c r="G4032" s="670"/>
      <c r="H4032" s="670"/>
      <c r="I4032" s="670"/>
      <c r="J4032" s="670"/>
      <c r="K4032" s="670"/>
      <c r="L4032" s="670">
        <f>SUM(L4029:L4031)</f>
        <v>315985</v>
      </c>
      <c r="M4032" s="670"/>
      <c r="N4032" s="670">
        <f>SUM(N4029:N4031)</f>
        <v>315985</v>
      </c>
      <c r="O4032" s="671"/>
    </row>
    <row r="4033" spans="1:15" ht="17.100000000000001" customHeight="1">
      <c r="A4033" s="668">
        <f>A4028+1</f>
        <v>549</v>
      </c>
      <c r="B4033" s="1320" t="s">
        <v>2558</v>
      </c>
      <c r="C4033" s="1320"/>
      <c r="D4033" s="1320" t="s">
        <v>2562</v>
      </c>
      <c r="E4033" s="1320"/>
      <c r="F4033" s="669" t="s">
        <v>454</v>
      </c>
      <c r="G4033" s="698"/>
      <c r="H4033" s="698"/>
      <c r="I4033" s="698"/>
      <c r="J4033" s="698"/>
      <c r="K4033" s="670"/>
      <c r="L4033" s="670"/>
      <c r="M4033" s="670"/>
      <c r="N4033" s="698"/>
      <c r="O4033" s="699" t="s">
        <v>1994</v>
      </c>
    </row>
    <row r="4034" spans="1:15" ht="17.100000000000001" customHeight="1">
      <c r="A4034" s="1316" t="s">
        <v>2560</v>
      </c>
      <c r="B4034" s="1317"/>
      <c r="C4034" s="1316" t="s">
        <v>1207</v>
      </c>
      <c r="D4034" s="1317"/>
      <c r="E4034" s="677">
        <v>3</v>
      </c>
      <c r="F4034" s="676" t="s">
        <v>278</v>
      </c>
      <c r="G4034" s="670"/>
      <c r="H4034" s="670"/>
      <c r="I4034" s="670"/>
      <c r="J4034" s="670"/>
      <c r="K4034" s="670">
        <f>[53]운반공!$BI$771+[53]운반공!$BQ$771+[53]운반공!$BY$771</f>
        <v>88895</v>
      </c>
      <c r="L4034" s="670">
        <f>INT(E4034*K4034)</f>
        <v>266685</v>
      </c>
      <c r="M4034" s="670">
        <f t="shared" ref="M4034:N4036" si="876">G4034+I4034+K4034</f>
        <v>88895</v>
      </c>
      <c r="N4034" s="670">
        <f t="shared" si="876"/>
        <v>266685</v>
      </c>
      <c r="O4034" s="671"/>
    </row>
    <row r="4035" spans="1:15" ht="17.100000000000001" customHeight="1">
      <c r="A4035" s="1316" t="s">
        <v>641</v>
      </c>
      <c r="B4035" s="1317"/>
      <c r="C4035" s="1316" t="s">
        <v>642</v>
      </c>
      <c r="D4035" s="1317"/>
      <c r="E4035" s="677">
        <v>1</v>
      </c>
      <c r="F4035" s="676" t="s">
        <v>278</v>
      </c>
      <c r="G4035" s="670"/>
      <c r="H4035" s="670"/>
      <c r="I4035" s="670"/>
      <c r="J4035" s="670"/>
      <c r="K4035" s="670">
        <f>[53]운반공!$BI$783+[53]운반공!$BQ$783+[53]운반공!$BY$783</f>
        <v>20143</v>
      </c>
      <c r="L4035" s="670">
        <f>INT(E4035*K4035)</f>
        <v>20143</v>
      </c>
      <c r="M4035" s="670">
        <f t="shared" si="876"/>
        <v>20143</v>
      </c>
      <c r="N4035" s="670">
        <f t="shared" si="876"/>
        <v>20143</v>
      </c>
      <c r="O4035" s="671"/>
    </row>
    <row r="4036" spans="1:15" ht="17.100000000000001" customHeight="1">
      <c r="A4036" s="1316" t="s">
        <v>641</v>
      </c>
      <c r="B4036" s="1317"/>
      <c r="C4036" s="1316" t="s">
        <v>1154</v>
      </c>
      <c r="D4036" s="1317"/>
      <c r="E4036" s="677">
        <v>1</v>
      </c>
      <c r="F4036" s="676" t="s">
        <v>278</v>
      </c>
      <c r="G4036" s="670"/>
      <c r="H4036" s="670"/>
      <c r="I4036" s="670"/>
      <c r="J4036" s="670"/>
      <c r="K4036" s="670">
        <f>[53]운반공!$BI$795+[53]운반공!$BQ$795+[53]운반공!$BY$795</f>
        <v>24415</v>
      </c>
      <c r="L4036" s="670">
        <f>INT(E4036*K4036)</f>
        <v>24415</v>
      </c>
      <c r="M4036" s="670">
        <f t="shared" si="876"/>
        <v>24415</v>
      </c>
      <c r="N4036" s="670">
        <f t="shared" si="876"/>
        <v>24415</v>
      </c>
      <c r="O4036" s="671"/>
    </row>
    <row r="4037" spans="1:15" ht="17.100000000000001" customHeight="1">
      <c r="A4037" s="1318" t="s">
        <v>1320</v>
      </c>
      <c r="B4037" s="1319"/>
      <c r="C4037" s="1316"/>
      <c r="D4037" s="1317"/>
      <c r="E4037" s="686"/>
      <c r="F4037" s="676"/>
      <c r="G4037" s="670"/>
      <c r="H4037" s="670"/>
      <c r="I4037" s="670"/>
      <c r="J4037" s="670"/>
      <c r="K4037" s="670"/>
      <c r="L4037" s="670">
        <f>SUM(L4034:L4036)</f>
        <v>311243</v>
      </c>
      <c r="M4037" s="670"/>
      <c r="N4037" s="670">
        <f>SUM(N4034:N4036)</f>
        <v>311243</v>
      </c>
      <c r="O4037" s="671"/>
    </row>
    <row r="4137" spans="1:15" ht="17.100000000000001" customHeight="1">
      <c r="A4137" s="895"/>
      <c r="B4137" s="895"/>
      <c r="C4137" s="895"/>
      <c r="D4137" s="895"/>
      <c r="E4137" s="895"/>
      <c r="F4137" s="895"/>
      <c r="G4137" s="896"/>
      <c r="H4137" s="897"/>
      <c r="I4137" s="896"/>
      <c r="J4137" s="897"/>
      <c r="K4137" s="896"/>
      <c r="L4137" s="897"/>
      <c r="M4137" s="896"/>
      <c r="N4137" s="897"/>
      <c r="O4137" s="898"/>
    </row>
    <row r="4138" spans="1:15" ht="17.100000000000001" customHeight="1">
      <c r="A4138" s="895"/>
      <c r="B4138" s="895"/>
      <c r="C4138" s="895"/>
      <c r="D4138" s="895"/>
      <c r="E4138" s="895"/>
      <c r="F4138" s="895"/>
      <c r="G4138" s="896"/>
      <c r="H4138" s="897"/>
      <c r="I4138" s="896"/>
      <c r="J4138" s="897"/>
      <c r="K4138" s="896"/>
      <c r="L4138" s="897"/>
      <c r="M4138" s="896"/>
      <c r="N4138" s="897"/>
      <c r="O4138" s="898"/>
    </row>
    <row r="4139" spans="1:15" ht="17.100000000000001" customHeight="1">
      <c r="A4139" s="895"/>
      <c r="B4139" s="895"/>
      <c r="C4139" s="895"/>
      <c r="D4139" s="895"/>
      <c r="E4139" s="895"/>
      <c r="F4139" s="895"/>
      <c r="G4139" s="896"/>
      <c r="H4139" s="897"/>
      <c r="I4139" s="896"/>
      <c r="J4139" s="897"/>
      <c r="K4139" s="896"/>
      <c r="L4139" s="897"/>
      <c r="M4139" s="896"/>
      <c r="N4139" s="897"/>
      <c r="O4139" s="898"/>
    </row>
    <row r="4140" spans="1:15" ht="17.100000000000001" customHeight="1">
      <c r="A4140" s="895"/>
      <c r="B4140" s="895"/>
      <c r="C4140" s="895"/>
      <c r="D4140" s="895"/>
      <c r="E4140" s="895"/>
      <c r="F4140" s="895"/>
      <c r="G4140" s="896"/>
      <c r="H4140" s="897"/>
      <c r="I4140" s="896"/>
      <c r="J4140" s="897"/>
      <c r="K4140" s="896"/>
      <c r="L4140" s="897"/>
      <c r="M4140" s="896"/>
      <c r="N4140" s="897"/>
      <c r="O4140" s="898"/>
    </row>
    <row r="4141" spans="1:15" ht="17.100000000000001" customHeight="1">
      <c r="A4141" s="895"/>
      <c r="B4141" s="895"/>
      <c r="C4141" s="895"/>
      <c r="D4141" s="895"/>
      <c r="E4141" s="895"/>
      <c r="F4141" s="895"/>
      <c r="G4141" s="896"/>
      <c r="H4141" s="897"/>
      <c r="I4141" s="896"/>
      <c r="J4141" s="897"/>
      <c r="K4141" s="896"/>
      <c r="L4141" s="897"/>
      <c r="M4141" s="896"/>
      <c r="N4141" s="897"/>
      <c r="O4141" s="898"/>
    </row>
    <row r="4142" spans="1:15" ht="17.100000000000001" customHeight="1">
      <c r="A4142" s="895"/>
      <c r="B4142" s="895"/>
      <c r="C4142" s="895"/>
      <c r="D4142" s="895"/>
      <c r="E4142" s="895"/>
      <c r="F4142" s="895"/>
      <c r="G4142" s="896"/>
      <c r="H4142" s="897"/>
      <c r="I4142" s="896"/>
      <c r="J4142" s="897"/>
      <c r="K4142" s="896"/>
      <c r="L4142" s="897"/>
      <c r="M4142" s="896"/>
      <c r="N4142" s="897"/>
      <c r="O4142" s="898"/>
    </row>
    <row r="4143" spans="1:15" ht="17.100000000000001" customHeight="1">
      <c r="A4143" s="895"/>
      <c r="B4143" s="895"/>
      <c r="C4143" s="895"/>
      <c r="D4143" s="895"/>
      <c r="E4143" s="895"/>
      <c r="F4143" s="895"/>
      <c r="G4143" s="896"/>
      <c r="H4143" s="897"/>
      <c r="I4143" s="896"/>
      <c r="J4143" s="897"/>
      <c r="K4143" s="896"/>
      <c r="L4143" s="897"/>
      <c r="M4143" s="896"/>
      <c r="N4143" s="897"/>
      <c r="O4143" s="898"/>
    </row>
    <row r="4144" spans="1:15" ht="17.100000000000001" customHeight="1">
      <c r="A4144" s="895"/>
      <c r="B4144" s="895"/>
      <c r="C4144" s="895"/>
      <c r="D4144" s="895"/>
      <c r="E4144" s="895"/>
      <c r="F4144" s="895"/>
      <c r="G4144" s="896"/>
      <c r="H4144" s="897"/>
      <c r="I4144" s="896"/>
      <c r="J4144" s="897"/>
      <c r="K4144" s="896"/>
      <c r="L4144" s="897"/>
      <c r="M4144" s="896"/>
      <c r="N4144" s="897"/>
      <c r="O4144" s="898"/>
    </row>
    <row r="4145" spans="1:15" ht="17.100000000000001" customHeight="1">
      <c r="A4145" s="895"/>
      <c r="B4145" s="895"/>
      <c r="C4145" s="895"/>
      <c r="D4145" s="895"/>
      <c r="E4145" s="895"/>
      <c r="F4145" s="895"/>
      <c r="G4145" s="895"/>
      <c r="H4145" s="899"/>
      <c r="I4145" s="895"/>
      <c r="J4145" s="899"/>
      <c r="K4145" s="895"/>
      <c r="L4145" s="899"/>
      <c r="M4145" s="895"/>
      <c r="N4145" s="899"/>
      <c r="O4145" s="898"/>
    </row>
    <row r="4146" spans="1:15" ht="17.100000000000001" customHeight="1">
      <c r="A4146" s="895"/>
      <c r="B4146" s="895"/>
      <c r="C4146" s="895"/>
      <c r="D4146" s="895"/>
      <c r="E4146" s="895"/>
      <c r="F4146" s="895"/>
      <c r="G4146" s="895"/>
      <c r="H4146" s="899"/>
      <c r="I4146" s="895"/>
      <c r="J4146" s="899"/>
      <c r="K4146" s="895"/>
      <c r="L4146" s="899"/>
      <c r="M4146" s="895"/>
      <c r="N4146" s="899"/>
      <c r="O4146" s="898"/>
    </row>
    <row r="4147" spans="1:15" ht="17.100000000000001" customHeight="1">
      <c r="A4147" s="895"/>
      <c r="B4147" s="895"/>
      <c r="C4147" s="895"/>
      <c r="D4147" s="895"/>
      <c r="E4147" s="895"/>
      <c r="F4147" s="895"/>
      <c r="G4147" s="895"/>
      <c r="H4147" s="899"/>
      <c r="I4147" s="895"/>
      <c r="J4147" s="899"/>
      <c r="K4147" s="895"/>
      <c r="L4147" s="899"/>
      <c r="M4147" s="895"/>
      <c r="N4147" s="899"/>
      <c r="O4147" s="898"/>
    </row>
    <row r="4148" spans="1:15" ht="17.100000000000001" customHeight="1">
      <c r="A4148" s="895"/>
      <c r="B4148" s="895"/>
      <c r="C4148" s="895"/>
      <c r="D4148" s="895"/>
      <c r="E4148" s="895"/>
      <c r="F4148" s="895"/>
      <c r="G4148" s="895"/>
      <c r="H4148" s="899"/>
      <c r="I4148" s="895"/>
      <c r="J4148" s="899"/>
      <c r="K4148" s="895"/>
      <c r="L4148" s="899"/>
      <c r="M4148" s="895"/>
      <c r="N4148" s="899"/>
      <c r="O4148" s="898"/>
    </row>
    <row r="4149" spans="1:15" ht="17.100000000000001" customHeight="1">
      <c r="A4149" s="900"/>
      <c r="B4149" s="900"/>
      <c r="C4149" s="700"/>
      <c r="D4149" s="700"/>
      <c r="E4149" s="895"/>
      <c r="F4149" s="895"/>
      <c r="G4149" s="895"/>
      <c r="H4149" s="899"/>
      <c r="I4149" s="895"/>
      <c r="J4149" s="899"/>
      <c r="K4149" s="895"/>
      <c r="L4149" s="899"/>
      <c r="M4149" s="895"/>
      <c r="N4149" s="899"/>
      <c r="O4149" s="898"/>
    </row>
    <row r="4150" spans="1:15" ht="17.100000000000001" customHeight="1">
      <c r="A4150" s="900"/>
      <c r="B4150" s="900"/>
      <c r="C4150" s="700"/>
      <c r="D4150" s="700"/>
      <c r="E4150" s="895"/>
      <c r="F4150" s="895"/>
      <c r="G4150" s="895"/>
      <c r="H4150" s="899"/>
      <c r="I4150" s="895"/>
      <c r="J4150" s="899"/>
      <c r="K4150" s="895"/>
      <c r="L4150" s="899"/>
      <c r="M4150" s="895"/>
      <c r="N4150" s="899"/>
      <c r="O4150" s="898"/>
    </row>
    <row r="4151" spans="1:15" ht="17.100000000000001" customHeight="1">
      <c r="A4151" s="901"/>
      <c r="B4151" s="901"/>
      <c r="C4151" s="895"/>
      <c r="D4151" s="895"/>
      <c r="E4151" s="895"/>
      <c r="F4151" s="895"/>
      <c r="G4151" s="895"/>
      <c r="H4151" s="895"/>
      <c r="I4151" s="895"/>
      <c r="J4151" s="895"/>
      <c r="K4151" s="895"/>
      <c r="L4151" s="895"/>
      <c r="M4151" s="895"/>
      <c r="N4151" s="895"/>
      <c r="O4151" s="898"/>
    </row>
  </sheetData>
  <autoFilter ref="A2:O4037" xr:uid="{00000000-0009-0000-0000-00000F000000}">
    <filterColumn colId="0" showButton="0"/>
    <filterColumn colId="2" showButton="0"/>
  </autoFilter>
  <mergeCells count="8016">
    <mergeCell ref="A8:B8"/>
    <mergeCell ref="C8:D8"/>
    <mergeCell ref="B9:C9"/>
    <mergeCell ref="D9:E9"/>
    <mergeCell ref="A10:B10"/>
    <mergeCell ref="C10:D10"/>
    <mergeCell ref="A5:B5"/>
    <mergeCell ref="C5:D5"/>
    <mergeCell ref="B6:C6"/>
    <mergeCell ref="D6:E6"/>
    <mergeCell ref="A7:B7"/>
    <mergeCell ref="C7:D7"/>
    <mergeCell ref="K1:L1"/>
    <mergeCell ref="M1:N1"/>
    <mergeCell ref="O1:O2"/>
    <mergeCell ref="B3:C3"/>
    <mergeCell ref="D3:E3"/>
    <mergeCell ref="A4:B4"/>
    <mergeCell ref="C4:D4"/>
    <mergeCell ref="A1:B2"/>
    <mergeCell ref="C1:D2"/>
    <mergeCell ref="E1:E2"/>
    <mergeCell ref="F1:F2"/>
    <mergeCell ref="G1:H1"/>
    <mergeCell ref="I1:J1"/>
    <mergeCell ref="A17:B17"/>
    <mergeCell ref="C17:D17"/>
    <mergeCell ref="A18:B18"/>
    <mergeCell ref="C18:D18"/>
    <mergeCell ref="A19:B19"/>
    <mergeCell ref="C19:D19"/>
    <mergeCell ref="A14:B14"/>
    <mergeCell ref="C14:D14"/>
    <mergeCell ref="B15:C15"/>
    <mergeCell ref="D15:E15"/>
    <mergeCell ref="A16:B16"/>
    <mergeCell ref="C16:D16"/>
    <mergeCell ref="A11:B11"/>
    <mergeCell ref="C11:D11"/>
    <mergeCell ref="B12:C12"/>
    <mergeCell ref="D12:E12"/>
    <mergeCell ref="A13:B13"/>
    <mergeCell ref="C13:D13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B22:C22"/>
    <mergeCell ref="D22:E22"/>
    <mergeCell ref="A35:B35"/>
    <mergeCell ref="C35:D35"/>
    <mergeCell ref="B36:C36"/>
    <mergeCell ref="D36:E36"/>
    <mergeCell ref="A37:B37"/>
    <mergeCell ref="C37:D37"/>
    <mergeCell ref="A32:B32"/>
    <mergeCell ref="C32:D32"/>
    <mergeCell ref="A33:B33"/>
    <mergeCell ref="C33:D33"/>
    <mergeCell ref="A34:B34"/>
    <mergeCell ref="C34:D34"/>
    <mergeCell ref="B29:C29"/>
    <mergeCell ref="D29:E29"/>
    <mergeCell ref="A30:B30"/>
    <mergeCell ref="C30:D30"/>
    <mergeCell ref="A31:B31"/>
    <mergeCell ref="C31:D31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B43:C43"/>
    <mergeCell ref="D43:E43"/>
    <mergeCell ref="A38:B38"/>
    <mergeCell ref="C38:D38"/>
    <mergeCell ref="A39:B39"/>
    <mergeCell ref="C39:D39"/>
    <mergeCell ref="A40:B40"/>
    <mergeCell ref="C40:D40"/>
    <mergeCell ref="B53:C53"/>
    <mergeCell ref="D53:E53"/>
    <mergeCell ref="A54:B54"/>
    <mergeCell ref="C54:D54"/>
    <mergeCell ref="A55:B55"/>
    <mergeCell ref="C55:D55"/>
    <mergeCell ref="A50:B50"/>
    <mergeCell ref="C50:D50"/>
    <mergeCell ref="A51:B51"/>
    <mergeCell ref="C51:D51"/>
    <mergeCell ref="A52:B52"/>
    <mergeCell ref="C52:D52"/>
    <mergeCell ref="A47:B47"/>
    <mergeCell ref="C47:D47"/>
    <mergeCell ref="B48:C48"/>
    <mergeCell ref="D48:E48"/>
    <mergeCell ref="A49:B49"/>
    <mergeCell ref="C49:D49"/>
    <mergeCell ref="A62:B62"/>
    <mergeCell ref="C62:D62"/>
    <mergeCell ref="B63:C63"/>
    <mergeCell ref="D63:E63"/>
    <mergeCell ref="A64:B64"/>
    <mergeCell ref="C64:D64"/>
    <mergeCell ref="A59:B59"/>
    <mergeCell ref="C59:D59"/>
    <mergeCell ref="A60:B60"/>
    <mergeCell ref="C60:D60"/>
    <mergeCell ref="A61:B61"/>
    <mergeCell ref="C61:D61"/>
    <mergeCell ref="A56:B56"/>
    <mergeCell ref="C56:D56"/>
    <mergeCell ref="A57:B57"/>
    <mergeCell ref="C57:D57"/>
    <mergeCell ref="B58:C58"/>
    <mergeCell ref="D58:E58"/>
    <mergeCell ref="A71:B71"/>
    <mergeCell ref="C71:D71"/>
    <mergeCell ref="B72:C72"/>
    <mergeCell ref="D72:E72"/>
    <mergeCell ref="A73:B73"/>
    <mergeCell ref="C73:D73"/>
    <mergeCell ref="A68:B68"/>
    <mergeCell ref="C68:D68"/>
    <mergeCell ref="B69:C69"/>
    <mergeCell ref="D69:E69"/>
    <mergeCell ref="A70:B70"/>
    <mergeCell ref="C70:D70"/>
    <mergeCell ref="A65:B65"/>
    <mergeCell ref="C65:D65"/>
    <mergeCell ref="B66:C66"/>
    <mergeCell ref="D66:E66"/>
    <mergeCell ref="A67:B67"/>
    <mergeCell ref="C67:D67"/>
    <mergeCell ref="A80:B80"/>
    <mergeCell ref="C80:D80"/>
    <mergeCell ref="B81:C81"/>
    <mergeCell ref="D81:E81"/>
    <mergeCell ref="A82:B82"/>
    <mergeCell ref="C82:D82"/>
    <mergeCell ref="A77:B77"/>
    <mergeCell ref="C77:D77"/>
    <mergeCell ref="B78:C78"/>
    <mergeCell ref="D78:E78"/>
    <mergeCell ref="A79:B79"/>
    <mergeCell ref="C79:D79"/>
    <mergeCell ref="A74:B74"/>
    <mergeCell ref="C74:D74"/>
    <mergeCell ref="B75:C75"/>
    <mergeCell ref="D75:E75"/>
    <mergeCell ref="A76:B76"/>
    <mergeCell ref="C76:D76"/>
    <mergeCell ref="A89:B89"/>
    <mergeCell ref="C89:D89"/>
    <mergeCell ref="B90:C90"/>
    <mergeCell ref="D90:E90"/>
    <mergeCell ref="A91:B91"/>
    <mergeCell ref="C91:D91"/>
    <mergeCell ref="A86:B86"/>
    <mergeCell ref="C86:D86"/>
    <mergeCell ref="B87:C87"/>
    <mergeCell ref="D87:E87"/>
    <mergeCell ref="A88:B88"/>
    <mergeCell ref="C88:D88"/>
    <mergeCell ref="A83:B83"/>
    <mergeCell ref="C83:D83"/>
    <mergeCell ref="B84:C84"/>
    <mergeCell ref="D84:E84"/>
    <mergeCell ref="A85:B85"/>
    <mergeCell ref="C85:D85"/>
    <mergeCell ref="A98:B98"/>
    <mergeCell ref="C98:D98"/>
    <mergeCell ref="B99:C99"/>
    <mergeCell ref="D99:E99"/>
    <mergeCell ref="A100:B100"/>
    <mergeCell ref="C100:D100"/>
    <mergeCell ref="A95:B95"/>
    <mergeCell ref="C95:D95"/>
    <mergeCell ref="B96:C96"/>
    <mergeCell ref="D96:E96"/>
    <mergeCell ref="A97:B97"/>
    <mergeCell ref="C97:D97"/>
    <mergeCell ref="A92:B92"/>
    <mergeCell ref="C92:D92"/>
    <mergeCell ref="B93:C93"/>
    <mergeCell ref="D93:E93"/>
    <mergeCell ref="A94:B94"/>
    <mergeCell ref="C94:D94"/>
    <mergeCell ref="A107:B107"/>
    <mergeCell ref="C107:D107"/>
    <mergeCell ref="B108:C108"/>
    <mergeCell ref="D108:E108"/>
    <mergeCell ref="A109:B109"/>
    <mergeCell ref="C109:D109"/>
    <mergeCell ref="A104:B104"/>
    <mergeCell ref="C104:D104"/>
    <mergeCell ref="B105:C105"/>
    <mergeCell ref="D105:E105"/>
    <mergeCell ref="A106:B106"/>
    <mergeCell ref="C106:D106"/>
    <mergeCell ref="A101:B101"/>
    <mergeCell ref="C101:D101"/>
    <mergeCell ref="B102:C102"/>
    <mergeCell ref="D102:E102"/>
    <mergeCell ref="A103:B103"/>
    <mergeCell ref="C103:D103"/>
    <mergeCell ref="A116:B116"/>
    <mergeCell ref="C116:D116"/>
    <mergeCell ref="A117:B117"/>
    <mergeCell ref="C117:D117"/>
    <mergeCell ref="A118:B118"/>
    <mergeCell ref="C118:D118"/>
    <mergeCell ref="A113:B113"/>
    <mergeCell ref="C113:D113"/>
    <mergeCell ref="A114:B114"/>
    <mergeCell ref="C114:D114"/>
    <mergeCell ref="B115:C115"/>
    <mergeCell ref="D115:E115"/>
    <mergeCell ref="A110:B110"/>
    <mergeCell ref="C110:D110"/>
    <mergeCell ref="A111:B111"/>
    <mergeCell ref="C111:D111"/>
    <mergeCell ref="A112:B112"/>
    <mergeCell ref="C112:D112"/>
    <mergeCell ref="B125:C125"/>
    <mergeCell ref="D125:E125"/>
    <mergeCell ref="A126:B126"/>
    <mergeCell ref="C126:D126"/>
    <mergeCell ref="A127:B127"/>
    <mergeCell ref="C127:D127"/>
    <mergeCell ref="B122:C122"/>
    <mergeCell ref="D122:E122"/>
    <mergeCell ref="A123:B123"/>
    <mergeCell ref="C123:D123"/>
    <mergeCell ref="A124:B124"/>
    <mergeCell ref="C124:D124"/>
    <mergeCell ref="A119:B119"/>
    <mergeCell ref="C119:D119"/>
    <mergeCell ref="A120:B120"/>
    <mergeCell ref="C120:D120"/>
    <mergeCell ref="A121:B121"/>
    <mergeCell ref="C121:D121"/>
    <mergeCell ref="A134:B134"/>
    <mergeCell ref="C134:D134"/>
    <mergeCell ref="B135:C135"/>
    <mergeCell ref="D135:E135"/>
    <mergeCell ref="A136:B136"/>
    <mergeCell ref="C136:D136"/>
    <mergeCell ref="B131:C131"/>
    <mergeCell ref="D131:E131"/>
    <mergeCell ref="A132:B132"/>
    <mergeCell ref="C132:D132"/>
    <mergeCell ref="A133:B133"/>
    <mergeCell ref="C133:D133"/>
    <mergeCell ref="B128:C128"/>
    <mergeCell ref="D128:E128"/>
    <mergeCell ref="A129:B129"/>
    <mergeCell ref="C129:D129"/>
    <mergeCell ref="A130:B130"/>
    <mergeCell ref="C130:D130"/>
    <mergeCell ref="A143:B143"/>
    <mergeCell ref="C143:D143"/>
    <mergeCell ref="A144:B144"/>
    <mergeCell ref="C144:D144"/>
    <mergeCell ref="B145:C145"/>
    <mergeCell ref="D145:E145"/>
    <mergeCell ref="A140:B140"/>
    <mergeCell ref="C140:D140"/>
    <mergeCell ref="A141:B141"/>
    <mergeCell ref="C141:D141"/>
    <mergeCell ref="B142:C142"/>
    <mergeCell ref="D142:E142"/>
    <mergeCell ref="A137:B137"/>
    <mergeCell ref="C137:D137"/>
    <mergeCell ref="A138:B138"/>
    <mergeCell ref="C138:D138"/>
    <mergeCell ref="B139:C139"/>
    <mergeCell ref="D139:E139"/>
    <mergeCell ref="A152:B152"/>
    <mergeCell ref="C152:D152"/>
    <mergeCell ref="A153:B153"/>
    <mergeCell ref="C153:D153"/>
    <mergeCell ref="B154:C154"/>
    <mergeCell ref="D154:E154"/>
    <mergeCell ref="A149:B149"/>
    <mergeCell ref="C149:D149"/>
    <mergeCell ref="A150:B150"/>
    <mergeCell ref="C150:D150"/>
    <mergeCell ref="B151:C151"/>
    <mergeCell ref="D151:E151"/>
    <mergeCell ref="A146:B146"/>
    <mergeCell ref="C146:D146"/>
    <mergeCell ref="A147:B147"/>
    <mergeCell ref="C147:D147"/>
    <mergeCell ref="B148:C148"/>
    <mergeCell ref="D148:E148"/>
    <mergeCell ref="B161:C161"/>
    <mergeCell ref="D161:E161"/>
    <mergeCell ref="A162:B162"/>
    <mergeCell ref="C162:D162"/>
    <mergeCell ref="A163:B163"/>
    <mergeCell ref="C163:D163"/>
    <mergeCell ref="A158:B158"/>
    <mergeCell ref="C158:D158"/>
    <mergeCell ref="A159:B159"/>
    <mergeCell ref="C159:D159"/>
    <mergeCell ref="A160:B160"/>
    <mergeCell ref="C160:D160"/>
    <mergeCell ref="A155:B155"/>
    <mergeCell ref="C155:D155"/>
    <mergeCell ref="A156:B156"/>
    <mergeCell ref="C156:D156"/>
    <mergeCell ref="B157:C157"/>
    <mergeCell ref="D157:E157"/>
    <mergeCell ref="A170:B170"/>
    <mergeCell ref="C170:D170"/>
    <mergeCell ref="A171:B171"/>
    <mergeCell ref="C171:D171"/>
    <mergeCell ref="A172:B172"/>
    <mergeCell ref="C172:D172"/>
    <mergeCell ref="A167:B167"/>
    <mergeCell ref="C167:D167"/>
    <mergeCell ref="A168:B168"/>
    <mergeCell ref="C168:D168"/>
    <mergeCell ref="B169:C169"/>
    <mergeCell ref="D169:E169"/>
    <mergeCell ref="A164:B164"/>
    <mergeCell ref="C164:D164"/>
    <mergeCell ref="B165:C165"/>
    <mergeCell ref="D165:E165"/>
    <mergeCell ref="A166:B166"/>
    <mergeCell ref="C166:D166"/>
    <mergeCell ref="A179:B179"/>
    <mergeCell ref="C179:D179"/>
    <mergeCell ref="A180:B180"/>
    <mergeCell ref="C180:D180"/>
    <mergeCell ref="B181:C181"/>
    <mergeCell ref="D181:E181"/>
    <mergeCell ref="A176:B176"/>
    <mergeCell ref="C176:D176"/>
    <mergeCell ref="B177:C177"/>
    <mergeCell ref="D177:E177"/>
    <mergeCell ref="A178:B178"/>
    <mergeCell ref="C178:D178"/>
    <mergeCell ref="B173:C173"/>
    <mergeCell ref="D173:E173"/>
    <mergeCell ref="A174:B174"/>
    <mergeCell ref="C174:D174"/>
    <mergeCell ref="A175:B175"/>
    <mergeCell ref="C175:D175"/>
    <mergeCell ref="A188:B188"/>
    <mergeCell ref="C188:D188"/>
    <mergeCell ref="B189:C189"/>
    <mergeCell ref="D189:E189"/>
    <mergeCell ref="A190:B190"/>
    <mergeCell ref="C190:D190"/>
    <mergeCell ref="B185:C185"/>
    <mergeCell ref="D185:E185"/>
    <mergeCell ref="A186:B186"/>
    <mergeCell ref="C186:D186"/>
    <mergeCell ref="A187:B187"/>
    <mergeCell ref="C187:D187"/>
    <mergeCell ref="A182:B182"/>
    <mergeCell ref="C182:D182"/>
    <mergeCell ref="A183:B183"/>
    <mergeCell ref="C183:D183"/>
    <mergeCell ref="A184:B184"/>
    <mergeCell ref="C184:D184"/>
    <mergeCell ref="A198:B198"/>
    <mergeCell ref="C198:D198"/>
    <mergeCell ref="A200:B200"/>
    <mergeCell ref="C200:D200"/>
    <mergeCell ref="B201:C201"/>
    <mergeCell ref="D201:E201"/>
    <mergeCell ref="B195:C195"/>
    <mergeCell ref="D195:E195"/>
    <mergeCell ref="A196:B196"/>
    <mergeCell ref="C196:D196"/>
    <mergeCell ref="A197:B197"/>
    <mergeCell ref="C197:D197"/>
    <mergeCell ref="A191:B191"/>
    <mergeCell ref="C191:D191"/>
    <mergeCell ref="A192:B192"/>
    <mergeCell ref="C192:D192"/>
    <mergeCell ref="A194:B194"/>
    <mergeCell ref="C194:D194"/>
    <mergeCell ref="A209:B209"/>
    <mergeCell ref="C209:D209"/>
    <mergeCell ref="A210:B210"/>
    <mergeCell ref="C210:D210"/>
    <mergeCell ref="A211:B211"/>
    <mergeCell ref="C211:D211"/>
    <mergeCell ref="A205:B205"/>
    <mergeCell ref="A206:B206"/>
    <mergeCell ref="C206:D206"/>
    <mergeCell ref="B207:C207"/>
    <mergeCell ref="D207:E207"/>
    <mergeCell ref="A208:B208"/>
    <mergeCell ref="C208:D208"/>
    <mergeCell ref="A202:B202"/>
    <mergeCell ref="C202:D202"/>
    <mergeCell ref="A203:B203"/>
    <mergeCell ref="C203:D203"/>
    <mergeCell ref="A204:B204"/>
    <mergeCell ref="C204:D204"/>
    <mergeCell ref="A218:B218"/>
    <mergeCell ref="C218:D218"/>
    <mergeCell ref="A219:B219"/>
    <mergeCell ref="C219:D219"/>
    <mergeCell ref="A220:B220"/>
    <mergeCell ref="C220:D220"/>
    <mergeCell ref="A215:B215"/>
    <mergeCell ref="C215:D215"/>
    <mergeCell ref="A216:B216"/>
    <mergeCell ref="C216:D216"/>
    <mergeCell ref="A217:B217"/>
    <mergeCell ref="C217:D217"/>
    <mergeCell ref="A212:B212"/>
    <mergeCell ref="C212:D212"/>
    <mergeCell ref="A213:B213"/>
    <mergeCell ref="C213:D213"/>
    <mergeCell ref="B214:C214"/>
    <mergeCell ref="D214:E214"/>
    <mergeCell ref="B227:C227"/>
    <mergeCell ref="D227:E227"/>
    <mergeCell ref="A228:B228"/>
    <mergeCell ref="C228:D228"/>
    <mergeCell ref="A229:B229"/>
    <mergeCell ref="C229:D229"/>
    <mergeCell ref="B224:C224"/>
    <mergeCell ref="D224:E224"/>
    <mergeCell ref="A225:B225"/>
    <mergeCell ref="C225:D225"/>
    <mergeCell ref="A226:B226"/>
    <mergeCell ref="C226:D226"/>
    <mergeCell ref="B221:C221"/>
    <mergeCell ref="D221:E221"/>
    <mergeCell ref="A222:B222"/>
    <mergeCell ref="C222:D222"/>
    <mergeCell ref="A223:B223"/>
    <mergeCell ref="C223:D223"/>
    <mergeCell ref="A236:B236"/>
    <mergeCell ref="C236:D236"/>
    <mergeCell ref="B237:C237"/>
    <mergeCell ref="D237:E237"/>
    <mergeCell ref="A238:B238"/>
    <mergeCell ref="C238:D238"/>
    <mergeCell ref="A233:B233"/>
    <mergeCell ref="C233:D233"/>
    <mergeCell ref="A234:B234"/>
    <mergeCell ref="C234:D234"/>
    <mergeCell ref="A235:B235"/>
    <mergeCell ref="C235:D235"/>
    <mergeCell ref="B230:C230"/>
    <mergeCell ref="D230:E230"/>
    <mergeCell ref="A231:B231"/>
    <mergeCell ref="C231:D231"/>
    <mergeCell ref="A232:B232"/>
    <mergeCell ref="C232:D232"/>
    <mergeCell ref="A245:B245"/>
    <mergeCell ref="C245:D245"/>
    <mergeCell ref="A246:B246"/>
    <mergeCell ref="C246:D246"/>
    <mergeCell ref="A247:B247"/>
    <mergeCell ref="C247:D247"/>
    <mergeCell ref="A242:B242"/>
    <mergeCell ref="C242:D242"/>
    <mergeCell ref="A243:B243"/>
    <mergeCell ref="C243:D243"/>
    <mergeCell ref="B244:C244"/>
    <mergeCell ref="D244:E244"/>
    <mergeCell ref="A239:B239"/>
    <mergeCell ref="C239:D239"/>
    <mergeCell ref="A240:B240"/>
    <mergeCell ref="C240:D240"/>
    <mergeCell ref="A241:B241"/>
    <mergeCell ref="C241:D241"/>
    <mergeCell ref="A254:B254"/>
    <mergeCell ref="C254:D254"/>
    <mergeCell ref="A255:B255"/>
    <mergeCell ref="C255:D255"/>
    <mergeCell ref="B256:C256"/>
    <mergeCell ref="D256:E256"/>
    <mergeCell ref="A251:B251"/>
    <mergeCell ref="C251:D251"/>
    <mergeCell ref="A252:B252"/>
    <mergeCell ref="C252:D252"/>
    <mergeCell ref="B253:C253"/>
    <mergeCell ref="D253:E253"/>
    <mergeCell ref="A248:B248"/>
    <mergeCell ref="C248:D248"/>
    <mergeCell ref="A249:B249"/>
    <mergeCell ref="C249:D249"/>
    <mergeCell ref="B250:C250"/>
    <mergeCell ref="D250:E250"/>
    <mergeCell ref="B263:C263"/>
    <mergeCell ref="D263:E263"/>
    <mergeCell ref="A264:B264"/>
    <mergeCell ref="C264:D264"/>
    <mergeCell ref="A265:B265"/>
    <mergeCell ref="C265:D265"/>
    <mergeCell ref="A260:B260"/>
    <mergeCell ref="C260:D260"/>
    <mergeCell ref="A261:B261"/>
    <mergeCell ref="C261:D261"/>
    <mergeCell ref="A262:B262"/>
    <mergeCell ref="C262:D262"/>
    <mergeCell ref="A257:B257"/>
    <mergeCell ref="C257:D257"/>
    <mergeCell ref="A258:B258"/>
    <mergeCell ref="C258:D258"/>
    <mergeCell ref="B259:C259"/>
    <mergeCell ref="D259:E259"/>
    <mergeCell ref="A272:B272"/>
    <mergeCell ref="C272:D272"/>
    <mergeCell ref="B273:C273"/>
    <mergeCell ref="D273:E273"/>
    <mergeCell ref="A274:B274"/>
    <mergeCell ref="C274:D274"/>
    <mergeCell ref="A269:B269"/>
    <mergeCell ref="C269:D269"/>
    <mergeCell ref="A270:B270"/>
    <mergeCell ref="C270:D270"/>
    <mergeCell ref="A271:B271"/>
    <mergeCell ref="C271:D271"/>
    <mergeCell ref="A266:B266"/>
    <mergeCell ref="C266:D266"/>
    <mergeCell ref="B267:C267"/>
    <mergeCell ref="D267:E267"/>
    <mergeCell ref="A268:B268"/>
    <mergeCell ref="C268:D268"/>
    <mergeCell ref="A281:B281"/>
    <mergeCell ref="C281:D281"/>
    <mergeCell ref="B282:C282"/>
    <mergeCell ref="D282:E282"/>
    <mergeCell ref="A283:B283"/>
    <mergeCell ref="C283:D283"/>
    <mergeCell ref="A278:B278"/>
    <mergeCell ref="C278:D278"/>
    <mergeCell ref="B279:C279"/>
    <mergeCell ref="D279:E279"/>
    <mergeCell ref="A280:B280"/>
    <mergeCell ref="C280:D280"/>
    <mergeCell ref="A275:B275"/>
    <mergeCell ref="C275:D275"/>
    <mergeCell ref="A276:B276"/>
    <mergeCell ref="C276:D276"/>
    <mergeCell ref="A277:B277"/>
    <mergeCell ref="C277:D277"/>
    <mergeCell ref="A290:B290"/>
    <mergeCell ref="C290:D290"/>
    <mergeCell ref="B291:C291"/>
    <mergeCell ref="D291:E291"/>
    <mergeCell ref="A292:B292"/>
    <mergeCell ref="C292:D292"/>
    <mergeCell ref="A287:B287"/>
    <mergeCell ref="C287:D287"/>
    <mergeCell ref="B288:C288"/>
    <mergeCell ref="D288:E288"/>
    <mergeCell ref="A289:B289"/>
    <mergeCell ref="C289:D289"/>
    <mergeCell ref="A284:B284"/>
    <mergeCell ref="C284:D284"/>
    <mergeCell ref="B285:C285"/>
    <mergeCell ref="D285:E285"/>
    <mergeCell ref="A286:B286"/>
    <mergeCell ref="C286:D286"/>
    <mergeCell ref="A299:B299"/>
    <mergeCell ref="C299:D299"/>
    <mergeCell ref="B300:C300"/>
    <mergeCell ref="D300:E300"/>
    <mergeCell ref="A301:B301"/>
    <mergeCell ref="C301:D301"/>
    <mergeCell ref="A296:B296"/>
    <mergeCell ref="C296:D296"/>
    <mergeCell ref="B297:C297"/>
    <mergeCell ref="D297:E297"/>
    <mergeCell ref="A298:B298"/>
    <mergeCell ref="C298:D298"/>
    <mergeCell ref="A293:B293"/>
    <mergeCell ref="C293:D293"/>
    <mergeCell ref="B294:C294"/>
    <mergeCell ref="D294:E294"/>
    <mergeCell ref="A295:B295"/>
    <mergeCell ref="C295:D295"/>
    <mergeCell ref="A308:B308"/>
    <mergeCell ref="C308:D308"/>
    <mergeCell ref="B309:C309"/>
    <mergeCell ref="D309:E309"/>
    <mergeCell ref="A310:B310"/>
    <mergeCell ref="C310:D310"/>
    <mergeCell ref="A305:B305"/>
    <mergeCell ref="C305:D305"/>
    <mergeCell ref="B306:C306"/>
    <mergeCell ref="D306:E306"/>
    <mergeCell ref="A307:B307"/>
    <mergeCell ref="C307:D307"/>
    <mergeCell ref="A302:B302"/>
    <mergeCell ref="C302:D302"/>
    <mergeCell ref="B303:C303"/>
    <mergeCell ref="D303:E303"/>
    <mergeCell ref="A304:B304"/>
    <mergeCell ref="C304:D304"/>
    <mergeCell ref="A317:B317"/>
    <mergeCell ref="C317:D317"/>
    <mergeCell ref="B318:C318"/>
    <mergeCell ref="D318:E318"/>
    <mergeCell ref="A319:B319"/>
    <mergeCell ref="C319:D319"/>
    <mergeCell ref="A314:B314"/>
    <mergeCell ref="C314:D314"/>
    <mergeCell ref="A315:B315"/>
    <mergeCell ref="C315:D315"/>
    <mergeCell ref="A316:B316"/>
    <mergeCell ref="C316:D316"/>
    <mergeCell ref="A311:B311"/>
    <mergeCell ref="C311:D311"/>
    <mergeCell ref="B312:C312"/>
    <mergeCell ref="D312:E312"/>
    <mergeCell ref="A313:B313"/>
    <mergeCell ref="C313:D313"/>
    <mergeCell ref="B326:C326"/>
    <mergeCell ref="D326:E326"/>
    <mergeCell ref="A327:B327"/>
    <mergeCell ref="C327:D327"/>
    <mergeCell ref="A328:B328"/>
    <mergeCell ref="C328:D328"/>
    <mergeCell ref="B323:C323"/>
    <mergeCell ref="D323:E323"/>
    <mergeCell ref="A324:B324"/>
    <mergeCell ref="C324:D324"/>
    <mergeCell ref="A325:B325"/>
    <mergeCell ref="C325:D325"/>
    <mergeCell ref="A320:B320"/>
    <mergeCell ref="C320:D320"/>
    <mergeCell ref="A321:B321"/>
    <mergeCell ref="C321:D321"/>
    <mergeCell ref="A322:B322"/>
    <mergeCell ref="C322:D322"/>
    <mergeCell ref="B335:C335"/>
    <mergeCell ref="D335:E335"/>
    <mergeCell ref="A336:B336"/>
    <mergeCell ref="C336:D336"/>
    <mergeCell ref="A337:B337"/>
    <mergeCell ref="C337:D337"/>
    <mergeCell ref="B332:C332"/>
    <mergeCell ref="D332:E332"/>
    <mergeCell ref="A333:B333"/>
    <mergeCell ref="C333:D333"/>
    <mergeCell ref="A334:B334"/>
    <mergeCell ref="C334:D334"/>
    <mergeCell ref="B329:C329"/>
    <mergeCell ref="D329:E329"/>
    <mergeCell ref="A330:B330"/>
    <mergeCell ref="C330:D330"/>
    <mergeCell ref="A331:B331"/>
    <mergeCell ref="C331:D331"/>
    <mergeCell ref="B344:C344"/>
    <mergeCell ref="D344:E344"/>
    <mergeCell ref="A345:B345"/>
    <mergeCell ref="C345:D345"/>
    <mergeCell ref="A346:B346"/>
    <mergeCell ref="C346:D346"/>
    <mergeCell ref="B341:C341"/>
    <mergeCell ref="D341:E341"/>
    <mergeCell ref="A342:B342"/>
    <mergeCell ref="C342:D342"/>
    <mergeCell ref="A343:B343"/>
    <mergeCell ref="C343:D343"/>
    <mergeCell ref="B338:C338"/>
    <mergeCell ref="D338:E338"/>
    <mergeCell ref="A339:B339"/>
    <mergeCell ref="C339:D339"/>
    <mergeCell ref="A340:B340"/>
    <mergeCell ref="C340:D340"/>
    <mergeCell ref="B353:C353"/>
    <mergeCell ref="D353:E353"/>
    <mergeCell ref="A354:B354"/>
    <mergeCell ref="C354:D354"/>
    <mergeCell ref="A355:B355"/>
    <mergeCell ref="C355:D355"/>
    <mergeCell ref="B350:C350"/>
    <mergeCell ref="D350:E350"/>
    <mergeCell ref="A351:B351"/>
    <mergeCell ref="C351:D351"/>
    <mergeCell ref="A352:B352"/>
    <mergeCell ref="C352:D352"/>
    <mergeCell ref="B347:C347"/>
    <mergeCell ref="D347:E347"/>
    <mergeCell ref="A348:B348"/>
    <mergeCell ref="C348:D348"/>
    <mergeCell ref="A349:B349"/>
    <mergeCell ref="C349:D349"/>
    <mergeCell ref="B362:C362"/>
    <mergeCell ref="D362:E362"/>
    <mergeCell ref="A363:B363"/>
    <mergeCell ref="C363:D363"/>
    <mergeCell ref="A364:B364"/>
    <mergeCell ref="C364:D364"/>
    <mergeCell ref="B359:C359"/>
    <mergeCell ref="D359:E359"/>
    <mergeCell ref="A360:B360"/>
    <mergeCell ref="C360:D360"/>
    <mergeCell ref="A361:B361"/>
    <mergeCell ref="C361:D361"/>
    <mergeCell ref="B356:C356"/>
    <mergeCell ref="D356:E356"/>
    <mergeCell ref="A357:B357"/>
    <mergeCell ref="C357:D357"/>
    <mergeCell ref="A358:B358"/>
    <mergeCell ref="C358:D358"/>
    <mergeCell ref="B371:C371"/>
    <mergeCell ref="D371:E371"/>
    <mergeCell ref="A372:B372"/>
    <mergeCell ref="C372:D372"/>
    <mergeCell ref="A373:B373"/>
    <mergeCell ref="C373:D373"/>
    <mergeCell ref="B368:C368"/>
    <mergeCell ref="D368:E368"/>
    <mergeCell ref="A369:B369"/>
    <mergeCell ref="C369:D369"/>
    <mergeCell ref="A370:B370"/>
    <mergeCell ref="C370:D370"/>
    <mergeCell ref="B365:C365"/>
    <mergeCell ref="D365:E365"/>
    <mergeCell ref="A366:B366"/>
    <mergeCell ref="C366:D366"/>
    <mergeCell ref="A367:B367"/>
    <mergeCell ref="C367:D367"/>
    <mergeCell ref="B380:C380"/>
    <mergeCell ref="D380:E380"/>
    <mergeCell ref="A381:B381"/>
    <mergeCell ref="C381:D381"/>
    <mergeCell ref="A382:B382"/>
    <mergeCell ref="C382:D382"/>
    <mergeCell ref="B377:C377"/>
    <mergeCell ref="D377:E377"/>
    <mergeCell ref="A378:B378"/>
    <mergeCell ref="C378:D378"/>
    <mergeCell ref="A379:B379"/>
    <mergeCell ref="C379:D379"/>
    <mergeCell ref="B374:C374"/>
    <mergeCell ref="D374:E374"/>
    <mergeCell ref="A375:B375"/>
    <mergeCell ref="C375:D375"/>
    <mergeCell ref="A376:B376"/>
    <mergeCell ref="C376:D376"/>
    <mergeCell ref="B389:C389"/>
    <mergeCell ref="D389:E389"/>
    <mergeCell ref="A390:B390"/>
    <mergeCell ref="C390:D390"/>
    <mergeCell ref="A391:B391"/>
    <mergeCell ref="C391:D391"/>
    <mergeCell ref="B386:C386"/>
    <mergeCell ref="D386:E386"/>
    <mergeCell ref="A387:B387"/>
    <mergeCell ref="C387:D387"/>
    <mergeCell ref="A388:B388"/>
    <mergeCell ref="C388:D388"/>
    <mergeCell ref="B383:C383"/>
    <mergeCell ref="D383:E383"/>
    <mergeCell ref="A384:B384"/>
    <mergeCell ref="C384:D384"/>
    <mergeCell ref="A385:B385"/>
    <mergeCell ref="C385:D385"/>
    <mergeCell ref="B398:C398"/>
    <mergeCell ref="D398:E398"/>
    <mergeCell ref="A399:B399"/>
    <mergeCell ref="C399:D399"/>
    <mergeCell ref="A400:B400"/>
    <mergeCell ref="C400:D400"/>
    <mergeCell ref="B395:C395"/>
    <mergeCell ref="D395:E395"/>
    <mergeCell ref="A396:B396"/>
    <mergeCell ref="C396:D396"/>
    <mergeCell ref="A397:B397"/>
    <mergeCell ref="C397:D397"/>
    <mergeCell ref="B392:C392"/>
    <mergeCell ref="D392:E392"/>
    <mergeCell ref="A393:B393"/>
    <mergeCell ref="C393:D393"/>
    <mergeCell ref="A394:B394"/>
    <mergeCell ref="C394:D394"/>
    <mergeCell ref="B407:C407"/>
    <mergeCell ref="D407:E407"/>
    <mergeCell ref="A408:B408"/>
    <mergeCell ref="C408:D408"/>
    <mergeCell ref="A409:B409"/>
    <mergeCell ref="C409:D409"/>
    <mergeCell ref="B404:C404"/>
    <mergeCell ref="D404:E404"/>
    <mergeCell ref="A405:B405"/>
    <mergeCell ref="C405:D405"/>
    <mergeCell ref="A406:B406"/>
    <mergeCell ref="C406:D406"/>
    <mergeCell ref="B401:C401"/>
    <mergeCell ref="D401:E401"/>
    <mergeCell ref="A402:B402"/>
    <mergeCell ref="C402:D402"/>
    <mergeCell ref="A403:B403"/>
    <mergeCell ref="C403:D403"/>
    <mergeCell ref="B416:C416"/>
    <mergeCell ref="D416:E416"/>
    <mergeCell ref="A417:B417"/>
    <mergeCell ref="C417:D417"/>
    <mergeCell ref="A418:B418"/>
    <mergeCell ref="C418:D418"/>
    <mergeCell ref="B413:C413"/>
    <mergeCell ref="D413:E413"/>
    <mergeCell ref="A414:B414"/>
    <mergeCell ref="C414:D414"/>
    <mergeCell ref="A415:B415"/>
    <mergeCell ref="C415:D415"/>
    <mergeCell ref="B410:C410"/>
    <mergeCell ref="D410:E410"/>
    <mergeCell ref="A411:B411"/>
    <mergeCell ref="C411:D411"/>
    <mergeCell ref="A412:B412"/>
    <mergeCell ref="C412:D412"/>
    <mergeCell ref="B425:C425"/>
    <mergeCell ref="D425:E425"/>
    <mergeCell ref="A426:B426"/>
    <mergeCell ref="C426:D426"/>
    <mergeCell ref="A427:B427"/>
    <mergeCell ref="C427:D427"/>
    <mergeCell ref="B422:C422"/>
    <mergeCell ref="D422:E422"/>
    <mergeCell ref="A423:B423"/>
    <mergeCell ref="C423:D423"/>
    <mergeCell ref="A424:B424"/>
    <mergeCell ref="C424:D424"/>
    <mergeCell ref="B419:C419"/>
    <mergeCell ref="D419:E419"/>
    <mergeCell ref="A420:B420"/>
    <mergeCell ref="C420:D420"/>
    <mergeCell ref="A421:B421"/>
    <mergeCell ref="C421:D421"/>
    <mergeCell ref="B434:C434"/>
    <mergeCell ref="D434:E434"/>
    <mergeCell ref="A435:B435"/>
    <mergeCell ref="C435:D435"/>
    <mergeCell ref="A436:B436"/>
    <mergeCell ref="C436:D436"/>
    <mergeCell ref="B431:C431"/>
    <mergeCell ref="D431:E431"/>
    <mergeCell ref="A432:B432"/>
    <mergeCell ref="C432:D432"/>
    <mergeCell ref="A433:B433"/>
    <mergeCell ref="C433:D433"/>
    <mergeCell ref="B428:C428"/>
    <mergeCell ref="D428:E428"/>
    <mergeCell ref="A429:B429"/>
    <mergeCell ref="C429:D429"/>
    <mergeCell ref="A430:B430"/>
    <mergeCell ref="C430:D430"/>
    <mergeCell ref="B443:C443"/>
    <mergeCell ref="D443:E443"/>
    <mergeCell ref="A444:B444"/>
    <mergeCell ref="C444:D444"/>
    <mergeCell ref="A445:B445"/>
    <mergeCell ref="C445:D445"/>
    <mergeCell ref="B440:C440"/>
    <mergeCell ref="D440:E440"/>
    <mergeCell ref="A441:B441"/>
    <mergeCell ref="C441:D441"/>
    <mergeCell ref="A442:B442"/>
    <mergeCell ref="C442:D442"/>
    <mergeCell ref="B437:C437"/>
    <mergeCell ref="D437:E437"/>
    <mergeCell ref="A438:B438"/>
    <mergeCell ref="C438:D438"/>
    <mergeCell ref="A439:B439"/>
    <mergeCell ref="C439:D439"/>
    <mergeCell ref="B452:C452"/>
    <mergeCell ref="D452:E452"/>
    <mergeCell ref="A453:B453"/>
    <mergeCell ref="C453:D453"/>
    <mergeCell ref="A454:B454"/>
    <mergeCell ref="C454:D454"/>
    <mergeCell ref="B449:C449"/>
    <mergeCell ref="D449:E449"/>
    <mergeCell ref="A450:B450"/>
    <mergeCell ref="C450:D450"/>
    <mergeCell ref="A451:B451"/>
    <mergeCell ref="C451:D451"/>
    <mergeCell ref="B446:C446"/>
    <mergeCell ref="D446:E446"/>
    <mergeCell ref="A447:B447"/>
    <mergeCell ref="C447:D447"/>
    <mergeCell ref="A448:B448"/>
    <mergeCell ref="C448:D448"/>
    <mergeCell ref="B461:C461"/>
    <mergeCell ref="D461:E461"/>
    <mergeCell ref="A462:B462"/>
    <mergeCell ref="C462:D462"/>
    <mergeCell ref="A463:B463"/>
    <mergeCell ref="C463:D463"/>
    <mergeCell ref="B458:C458"/>
    <mergeCell ref="D458:E458"/>
    <mergeCell ref="A459:B459"/>
    <mergeCell ref="C459:D459"/>
    <mergeCell ref="A460:B460"/>
    <mergeCell ref="C460:D460"/>
    <mergeCell ref="B455:C455"/>
    <mergeCell ref="D455:E455"/>
    <mergeCell ref="A456:B456"/>
    <mergeCell ref="C456:D456"/>
    <mergeCell ref="A457:B457"/>
    <mergeCell ref="C457:D457"/>
    <mergeCell ref="A470:B470"/>
    <mergeCell ref="C470:D470"/>
    <mergeCell ref="A471:B471"/>
    <mergeCell ref="C471:D471"/>
    <mergeCell ref="A472:B472"/>
    <mergeCell ref="C472:D472"/>
    <mergeCell ref="B467:C467"/>
    <mergeCell ref="D467:E467"/>
    <mergeCell ref="A468:B468"/>
    <mergeCell ref="C468:D468"/>
    <mergeCell ref="A469:B469"/>
    <mergeCell ref="C469:D469"/>
    <mergeCell ref="B464:C464"/>
    <mergeCell ref="D464:E464"/>
    <mergeCell ref="A465:B465"/>
    <mergeCell ref="C465:D465"/>
    <mergeCell ref="A466:B466"/>
    <mergeCell ref="C466:D466"/>
    <mergeCell ref="B479:C479"/>
    <mergeCell ref="D479:E479"/>
    <mergeCell ref="A480:B480"/>
    <mergeCell ref="C480:D480"/>
    <mergeCell ref="A481:B481"/>
    <mergeCell ref="C481:D481"/>
    <mergeCell ref="A476:B476"/>
    <mergeCell ref="C476:D476"/>
    <mergeCell ref="A477:B477"/>
    <mergeCell ref="C477:D477"/>
    <mergeCell ref="A478:B478"/>
    <mergeCell ref="C478:D478"/>
    <mergeCell ref="B473:C473"/>
    <mergeCell ref="D473:E473"/>
    <mergeCell ref="A474:B474"/>
    <mergeCell ref="C474:D474"/>
    <mergeCell ref="A475:B475"/>
    <mergeCell ref="C475:D475"/>
    <mergeCell ref="A488:B488"/>
    <mergeCell ref="C488:D488"/>
    <mergeCell ref="A489:B489"/>
    <mergeCell ref="C489:D489"/>
    <mergeCell ref="A490:B490"/>
    <mergeCell ref="C490:D490"/>
    <mergeCell ref="B485:C485"/>
    <mergeCell ref="D485:E485"/>
    <mergeCell ref="A486:B486"/>
    <mergeCell ref="C486:D486"/>
    <mergeCell ref="A487:B487"/>
    <mergeCell ref="C487:D487"/>
    <mergeCell ref="A482:B482"/>
    <mergeCell ref="C482:D482"/>
    <mergeCell ref="A483:B483"/>
    <mergeCell ref="C483:D483"/>
    <mergeCell ref="A484:B484"/>
    <mergeCell ref="C484:D484"/>
    <mergeCell ref="B497:C497"/>
    <mergeCell ref="D497:E497"/>
    <mergeCell ref="A498:B498"/>
    <mergeCell ref="C498:D498"/>
    <mergeCell ref="A499:B499"/>
    <mergeCell ref="C499:D499"/>
    <mergeCell ref="A494:B494"/>
    <mergeCell ref="C494:D494"/>
    <mergeCell ref="A495:B495"/>
    <mergeCell ref="C495:D495"/>
    <mergeCell ref="A496:B496"/>
    <mergeCell ref="C496:D496"/>
    <mergeCell ref="B491:C491"/>
    <mergeCell ref="D491:E491"/>
    <mergeCell ref="A492:B492"/>
    <mergeCell ref="C492:D492"/>
    <mergeCell ref="A493:B493"/>
    <mergeCell ref="C493:D493"/>
    <mergeCell ref="A506:B506"/>
    <mergeCell ref="C506:D506"/>
    <mergeCell ref="A507:B507"/>
    <mergeCell ref="C507:D507"/>
    <mergeCell ref="A508:B508"/>
    <mergeCell ref="C508:D508"/>
    <mergeCell ref="A503:B503"/>
    <mergeCell ref="C503:D503"/>
    <mergeCell ref="A504:B504"/>
    <mergeCell ref="C504:D504"/>
    <mergeCell ref="B505:C505"/>
    <mergeCell ref="D505:E505"/>
    <mergeCell ref="A500:B500"/>
    <mergeCell ref="C500:D500"/>
    <mergeCell ref="A501:B501"/>
    <mergeCell ref="C501:D501"/>
    <mergeCell ref="A502:B502"/>
    <mergeCell ref="C502:D502"/>
    <mergeCell ref="A515:B515"/>
    <mergeCell ref="C515:D515"/>
    <mergeCell ref="A516:B516"/>
    <mergeCell ref="C516:D516"/>
    <mergeCell ref="A517:B517"/>
    <mergeCell ref="C517:D517"/>
    <mergeCell ref="A512:B512"/>
    <mergeCell ref="C512:D512"/>
    <mergeCell ref="B513:C513"/>
    <mergeCell ref="D513:E513"/>
    <mergeCell ref="A514:B514"/>
    <mergeCell ref="C514:D514"/>
    <mergeCell ref="A509:B509"/>
    <mergeCell ref="C509:D509"/>
    <mergeCell ref="A510:B510"/>
    <mergeCell ref="C510:D510"/>
    <mergeCell ref="A511:B511"/>
    <mergeCell ref="C511:D511"/>
    <mergeCell ref="A524:B524"/>
    <mergeCell ref="C524:D524"/>
    <mergeCell ref="A525:B525"/>
    <mergeCell ref="C525:D525"/>
    <mergeCell ref="A526:B526"/>
    <mergeCell ref="C526:D526"/>
    <mergeCell ref="B521:C521"/>
    <mergeCell ref="D521:E521"/>
    <mergeCell ref="A522:B522"/>
    <mergeCell ref="C522:D522"/>
    <mergeCell ref="A523:B523"/>
    <mergeCell ref="C523:D523"/>
    <mergeCell ref="A518:B518"/>
    <mergeCell ref="C518:D518"/>
    <mergeCell ref="A519:B519"/>
    <mergeCell ref="C519:D519"/>
    <mergeCell ref="A520:B520"/>
    <mergeCell ref="C520:D520"/>
    <mergeCell ref="A533:B533"/>
    <mergeCell ref="C533:D533"/>
    <mergeCell ref="A534:B534"/>
    <mergeCell ref="C534:D534"/>
    <mergeCell ref="A535:B535"/>
    <mergeCell ref="C535:D535"/>
    <mergeCell ref="A530:B530"/>
    <mergeCell ref="C530:D530"/>
    <mergeCell ref="A531:B531"/>
    <mergeCell ref="C531:D531"/>
    <mergeCell ref="A532:B532"/>
    <mergeCell ref="C532:D532"/>
    <mergeCell ref="A527:B527"/>
    <mergeCell ref="C527:D527"/>
    <mergeCell ref="A528:B528"/>
    <mergeCell ref="C528:D528"/>
    <mergeCell ref="B529:C529"/>
    <mergeCell ref="D529:E529"/>
    <mergeCell ref="A542:B542"/>
    <mergeCell ref="C542:D542"/>
    <mergeCell ref="A543:B543"/>
    <mergeCell ref="C543:D543"/>
    <mergeCell ref="A544:B544"/>
    <mergeCell ref="C544:D544"/>
    <mergeCell ref="A539:B539"/>
    <mergeCell ref="C539:D539"/>
    <mergeCell ref="A540:B540"/>
    <mergeCell ref="C540:D540"/>
    <mergeCell ref="A541:B541"/>
    <mergeCell ref="C541:D541"/>
    <mergeCell ref="A536:B536"/>
    <mergeCell ref="C536:D536"/>
    <mergeCell ref="B537:C537"/>
    <mergeCell ref="D537:E537"/>
    <mergeCell ref="A538:B538"/>
    <mergeCell ref="C538:D538"/>
    <mergeCell ref="A551:B551"/>
    <mergeCell ref="C551:D551"/>
    <mergeCell ref="A552:B552"/>
    <mergeCell ref="C552:D552"/>
    <mergeCell ref="B553:C553"/>
    <mergeCell ref="D553:E553"/>
    <mergeCell ref="A548:B548"/>
    <mergeCell ref="C548:D548"/>
    <mergeCell ref="A549:B549"/>
    <mergeCell ref="C549:D549"/>
    <mergeCell ref="A550:B550"/>
    <mergeCell ref="C550:D550"/>
    <mergeCell ref="B545:C545"/>
    <mergeCell ref="D545:E545"/>
    <mergeCell ref="A546:B546"/>
    <mergeCell ref="C546:D546"/>
    <mergeCell ref="A547:B547"/>
    <mergeCell ref="C547:D547"/>
    <mergeCell ref="A560:B560"/>
    <mergeCell ref="C560:D560"/>
    <mergeCell ref="B561:C561"/>
    <mergeCell ref="D561:E561"/>
    <mergeCell ref="A562:B562"/>
    <mergeCell ref="C562:D562"/>
    <mergeCell ref="A557:B557"/>
    <mergeCell ref="C557:D557"/>
    <mergeCell ref="A558:B558"/>
    <mergeCell ref="C558:D558"/>
    <mergeCell ref="A559:B559"/>
    <mergeCell ref="C559:D559"/>
    <mergeCell ref="A554:B554"/>
    <mergeCell ref="C554:D554"/>
    <mergeCell ref="A555:B555"/>
    <mergeCell ref="C555:D555"/>
    <mergeCell ref="A556:B556"/>
    <mergeCell ref="C556:D556"/>
    <mergeCell ref="B569:C569"/>
    <mergeCell ref="D569:E569"/>
    <mergeCell ref="A570:B570"/>
    <mergeCell ref="C570:D570"/>
    <mergeCell ref="A571:B571"/>
    <mergeCell ref="C571:D571"/>
    <mergeCell ref="A566:B566"/>
    <mergeCell ref="C566:D566"/>
    <mergeCell ref="A567:B567"/>
    <mergeCell ref="C567:D567"/>
    <mergeCell ref="A568:B568"/>
    <mergeCell ref="C568:D568"/>
    <mergeCell ref="A563:B563"/>
    <mergeCell ref="C563:D563"/>
    <mergeCell ref="A564:B564"/>
    <mergeCell ref="C564:D564"/>
    <mergeCell ref="A565:B565"/>
    <mergeCell ref="C565:D565"/>
    <mergeCell ref="A578:B578"/>
    <mergeCell ref="C578:D578"/>
    <mergeCell ref="A579:B579"/>
    <mergeCell ref="C579:D579"/>
    <mergeCell ref="A580:B580"/>
    <mergeCell ref="C580:D580"/>
    <mergeCell ref="B575:C575"/>
    <mergeCell ref="D575:E575"/>
    <mergeCell ref="A576:B576"/>
    <mergeCell ref="C576:D576"/>
    <mergeCell ref="A577:B577"/>
    <mergeCell ref="C577:D577"/>
    <mergeCell ref="A572:B572"/>
    <mergeCell ref="C572:D572"/>
    <mergeCell ref="A573:B573"/>
    <mergeCell ref="C573:D573"/>
    <mergeCell ref="A574:B574"/>
    <mergeCell ref="C574:D574"/>
    <mergeCell ref="B587:C587"/>
    <mergeCell ref="D587:E587"/>
    <mergeCell ref="A588:B588"/>
    <mergeCell ref="C588:D588"/>
    <mergeCell ref="A589:B589"/>
    <mergeCell ref="C589:D589"/>
    <mergeCell ref="A584:B584"/>
    <mergeCell ref="C584:D584"/>
    <mergeCell ref="A585:B585"/>
    <mergeCell ref="C585:D585"/>
    <mergeCell ref="A586:B586"/>
    <mergeCell ref="C586:D586"/>
    <mergeCell ref="B581:C581"/>
    <mergeCell ref="D581:E581"/>
    <mergeCell ref="A582:B582"/>
    <mergeCell ref="C582:D582"/>
    <mergeCell ref="A583:B583"/>
    <mergeCell ref="C583:D583"/>
    <mergeCell ref="A596:B596"/>
    <mergeCell ref="C596:D596"/>
    <mergeCell ref="A597:B597"/>
    <mergeCell ref="A598:B598"/>
    <mergeCell ref="C598:D598"/>
    <mergeCell ref="A599:B599"/>
    <mergeCell ref="C599:D599"/>
    <mergeCell ref="B593:C593"/>
    <mergeCell ref="D593:E593"/>
    <mergeCell ref="A594:B594"/>
    <mergeCell ref="C594:D594"/>
    <mergeCell ref="A595:B595"/>
    <mergeCell ref="C595:D595"/>
    <mergeCell ref="A590:B590"/>
    <mergeCell ref="C590:D590"/>
    <mergeCell ref="A591:B591"/>
    <mergeCell ref="C591:D591"/>
    <mergeCell ref="A592:B592"/>
    <mergeCell ref="C592:D592"/>
    <mergeCell ref="B607:C607"/>
    <mergeCell ref="D607:E607"/>
    <mergeCell ref="A608:B608"/>
    <mergeCell ref="C608:D608"/>
    <mergeCell ref="T608:T609"/>
    <mergeCell ref="U608:U609"/>
    <mergeCell ref="A603:B603"/>
    <mergeCell ref="C603:D603"/>
    <mergeCell ref="A604:B604"/>
    <mergeCell ref="A605:B605"/>
    <mergeCell ref="C605:D605"/>
    <mergeCell ref="A606:B606"/>
    <mergeCell ref="C606:D606"/>
    <mergeCell ref="B600:C600"/>
    <mergeCell ref="D600:E600"/>
    <mergeCell ref="A601:B601"/>
    <mergeCell ref="C601:D601"/>
    <mergeCell ref="A602:B602"/>
    <mergeCell ref="C602:D602"/>
    <mergeCell ref="A616:B616"/>
    <mergeCell ref="C616:D616"/>
    <mergeCell ref="A617:B617"/>
    <mergeCell ref="C617:D617"/>
    <mergeCell ref="A618:B618"/>
    <mergeCell ref="A619:B619"/>
    <mergeCell ref="C619:D619"/>
    <mergeCell ref="A613:B613"/>
    <mergeCell ref="C613:D613"/>
    <mergeCell ref="B614:C614"/>
    <mergeCell ref="D614:E614"/>
    <mergeCell ref="A615:B615"/>
    <mergeCell ref="C615:D615"/>
    <mergeCell ref="W608:W609"/>
    <mergeCell ref="A609:B609"/>
    <mergeCell ref="C609:D609"/>
    <mergeCell ref="A610:B610"/>
    <mergeCell ref="C610:D610"/>
    <mergeCell ref="A611:B611"/>
    <mergeCell ref="T611:T612"/>
    <mergeCell ref="A612:B612"/>
    <mergeCell ref="C612:D612"/>
    <mergeCell ref="A625:B625"/>
    <mergeCell ref="C625:D625"/>
    <mergeCell ref="B626:C626"/>
    <mergeCell ref="D626:E626"/>
    <mergeCell ref="A627:B627"/>
    <mergeCell ref="C627:D627"/>
    <mergeCell ref="A622:B622"/>
    <mergeCell ref="C622:D622"/>
    <mergeCell ref="T622:T623"/>
    <mergeCell ref="A623:B623"/>
    <mergeCell ref="C623:D623"/>
    <mergeCell ref="A624:B624"/>
    <mergeCell ref="C624:D624"/>
    <mergeCell ref="T619:T620"/>
    <mergeCell ref="U619:U620"/>
    <mergeCell ref="W619:W620"/>
    <mergeCell ref="A620:B620"/>
    <mergeCell ref="C620:D620"/>
    <mergeCell ref="B621:C621"/>
    <mergeCell ref="D621:E621"/>
    <mergeCell ref="B635:C635"/>
    <mergeCell ref="D635:E635"/>
    <mergeCell ref="A636:B636"/>
    <mergeCell ref="C636:D636"/>
    <mergeCell ref="A637:B637"/>
    <mergeCell ref="C637:D637"/>
    <mergeCell ref="T630:T631"/>
    <mergeCell ref="B631:C631"/>
    <mergeCell ref="D631:E631"/>
    <mergeCell ref="A632:B632"/>
    <mergeCell ref="C632:D632"/>
    <mergeCell ref="A633:B633"/>
    <mergeCell ref="C633:D633"/>
    <mergeCell ref="T633:T634"/>
    <mergeCell ref="A634:B634"/>
    <mergeCell ref="C634:D634"/>
    <mergeCell ref="A628:B628"/>
    <mergeCell ref="C628:D628"/>
    <mergeCell ref="A629:B629"/>
    <mergeCell ref="C629:D629"/>
    <mergeCell ref="A630:B630"/>
    <mergeCell ref="C630:D630"/>
    <mergeCell ref="A644:B644"/>
    <mergeCell ref="C644:D644"/>
    <mergeCell ref="T644:T645"/>
    <mergeCell ref="A645:B645"/>
    <mergeCell ref="C645:D645"/>
    <mergeCell ref="B646:C646"/>
    <mergeCell ref="D646:E646"/>
    <mergeCell ref="A641:B641"/>
    <mergeCell ref="C641:D641"/>
    <mergeCell ref="T641:T642"/>
    <mergeCell ref="A642:B642"/>
    <mergeCell ref="C642:D642"/>
    <mergeCell ref="A643:B643"/>
    <mergeCell ref="C643:D643"/>
    <mergeCell ref="A638:B638"/>
    <mergeCell ref="C638:D638"/>
    <mergeCell ref="A639:B639"/>
    <mergeCell ref="C639:D639"/>
    <mergeCell ref="A640:B640"/>
    <mergeCell ref="C640:D640"/>
    <mergeCell ref="T652:T653"/>
    <mergeCell ref="A653:B653"/>
    <mergeCell ref="C653:D653"/>
    <mergeCell ref="A654:B654"/>
    <mergeCell ref="C654:D654"/>
    <mergeCell ref="A655:B655"/>
    <mergeCell ref="C655:D655"/>
    <mergeCell ref="T655:T656"/>
    <mergeCell ref="A656:B656"/>
    <mergeCell ref="C656:D656"/>
    <mergeCell ref="A650:B650"/>
    <mergeCell ref="C650:D650"/>
    <mergeCell ref="A651:B651"/>
    <mergeCell ref="C651:D651"/>
    <mergeCell ref="A652:B652"/>
    <mergeCell ref="C652:D652"/>
    <mergeCell ref="A647:B647"/>
    <mergeCell ref="C647:D647"/>
    <mergeCell ref="A648:B648"/>
    <mergeCell ref="C648:D648"/>
    <mergeCell ref="A649:B649"/>
    <mergeCell ref="C649:D649"/>
    <mergeCell ref="A663:B663"/>
    <mergeCell ref="C663:D663"/>
    <mergeCell ref="A664:B664"/>
    <mergeCell ref="C664:D664"/>
    <mergeCell ref="A665:B665"/>
    <mergeCell ref="C665:D665"/>
    <mergeCell ref="A660:B660"/>
    <mergeCell ref="C660:D660"/>
    <mergeCell ref="A661:B661"/>
    <mergeCell ref="C661:D661"/>
    <mergeCell ref="A662:B662"/>
    <mergeCell ref="C662:D662"/>
    <mergeCell ref="B657:C657"/>
    <mergeCell ref="D657:E657"/>
    <mergeCell ref="A658:B658"/>
    <mergeCell ref="C658:D658"/>
    <mergeCell ref="A659:B659"/>
    <mergeCell ref="C659:D659"/>
    <mergeCell ref="A672:B672"/>
    <mergeCell ref="C672:D672"/>
    <mergeCell ref="A673:B673"/>
    <mergeCell ref="C673:D673"/>
    <mergeCell ref="A674:B674"/>
    <mergeCell ref="C674:D674"/>
    <mergeCell ref="A669:B669"/>
    <mergeCell ref="C669:D669"/>
    <mergeCell ref="A670:B670"/>
    <mergeCell ref="C670:D670"/>
    <mergeCell ref="A671:B671"/>
    <mergeCell ref="C671:D671"/>
    <mergeCell ref="A666:B666"/>
    <mergeCell ref="C666:D666"/>
    <mergeCell ref="A667:B667"/>
    <mergeCell ref="C667:D667"/>
    <mergeCell ref="B668:C668"/>
    <mergeCell ref="D668:E668"/>
    <mergeCell ref="A681:B681"/>
    <mergeCell ref="C681:D681"/>
    <mergeCell ref="A682:B682"/>
    <mergeCell ref="C682:D682"/>
    <mergeCell ref="A683:B683"/>
    <mergeCell ref="C683:D683"/>
    <mergeCell ref="A678:B678"/>
    <mergeCell ref="C678:D678"/>
    <mergeCell ref="B679:C679"/>
    <mergeCell ref="D679:E679"/>
    <mergeCell ref="A680:B680"/>
    <mergeCell ref="C680:D680"/>
    <mergeCell ref="A675:B675"/>
    <mergeCell ref="C675:D675"/>
    <mergeCell ref="A676:B676"/>
    <mergeCell ref="C676:D676"/>
    <mergeCell ref="A677:B677"/>
    <mergeCell ref="C677:D677"/>
    <mergeCell ref="B690:C690"/>
    <mergeCell ref="D690:E690"/>
    <mergeCell ref="A691:B691"/>
    <mergeCell ref="C691:D691"/>
    <mergeCell ref="A692:B692"/>
    <mergeCell ref="C692:D692"/>
    <mergeCell ref="A687:B687"/>
    <mergeCell ref="C687:D687"/>
    <mergeCell ref="A688:B688"/>
    <mergeCell ref="C688:D688"/>
    <mergeCell ref="A689:B689"/>
    <mergeCell ref="C689:D689"/>
    <mergeCell ref="A684:B684"/>
    <mergeCell ref="C684:D684"/>
    <mergeCell ref="A685:B685"/>
    <mergeCell ref="C685:D685"/>
    <mergeCell ref="A686:B686"/>
    <mergeCell ref="C686:D686"/>
    <mergeCell ref="A699:B699"/>
    <mergeCell ref="C699:D699"/>
    <mergeCell ref="A702:B702"/>
    <mergeCell ref="C702:D702"/>
    <mergeCell ref="B703:C703"/>
    <mergeCell ref="D703:E703"/>
    <mergeCell ref="A696:B696"/>
    <mergeCell ref="C696:D696"/>
    <mergeCell ref="B697:C697"/>
    <mergeCell ref="D697:E697"/>
    <mergeCell ref="A698:B698"/>
    <mergeCell ref="C698:D698"/>
    <mergeCell ref="A693:B693"/>
    <mergeCell ref="C693:D693"/>
    <mergeCell ref="A694:B694"/>
    <mergeCell ref="C694:D694"/>
    <mergeCell ref="A695:B695"/>
    <mergeCell ref="C695:D695"/>
    <mergeCell ref="A714:B714"/>
    <mergeCell ref="C714:D714"/>
    <mergeCell ref="B715:C715"/>
    <mergeCell ref="D715:E715"/>
    <mergeCell ref="A716:B716"/>
    <mergeCell ref="C716:D716"/>
    <mergeCell ref="B709:C709"/>
    <mergeCell ref="D709:E709"/>
    <mergeCell ref="A710:B710"/>
    <mergeCell ref="C710:D710"/>
    <mergeCell ref="A711:B711"/>
    <mergeCell ref="C711:D711"/>
    <mergeCell ref="A704:B704"/>
    <mergeCell ref="C704:D704"/>
    <mergeCell ref="A705:B705"/>
    <mergeCell ref="C705:D705"/>
    <mergeCell ref="A708:B708"/>
    <mergeCell ref="C708:D708"/>
    <mergeCell ref="B727:C727"/>
    <mergeCell ref="D727:E727"/>
    <mergeCell ref="A728:B728"/>
    <mergeCell ref="C728:D728"/>
    <mergeCell ref="A729:B729"/>
    <mergeCell ref="C729:D729"/>
    <mergeCell ref="A722:B722"/>
    <mergeCell ref="C722:D722"/>
    <mergeCell ref="A723:B723"/>
    <mergeCell ref="C723:D723"/>
    <mergeCell ref="A726:B726"/>
    <mergeCell ref="C726:D726"/>
    <mergeCell ref="A717:B717"/>
    <mergeCell ref="C717:D717"/>
    <mergeCell ref="A720:B720"/>
    <mergeCell ref="C720:D720"/>
    <mergeCell ref="B721:C721"/>
    <mergeCell ref="D721:E721"/>
    <mergeCell ref="A736:B736"/>
    <mergeCell ref="C736:D736"/>
    <mergeCell ref="A737:B737"/>
    <mergeCell ref="C737:D737"/>
    <mergeCell ref="A738:B738"/>
    <mergeCell ref="C738:D738"/>
    <mergeCell ref="A733:B733"/>
    <mergeCell ref="C733:D733"/>
    <mergeCell ref="B734:C734"/>
    <mergeCell ref="D734:E734"/>
    <mergeCell ref="A735:B735"/>
    <mergeCell ref="C735:D735"/>
    <mergeCell ref="A730:B730"/>
    <mergeCell ref="C730:D730"/>
    <mergeCell ref="A731:B731"/>
    <mergeCell ref="C731:D731"/>
    <mergeCell ref="A732:B732"/>
    <mergeCell ref="C732:D732"/>
    <mergeCell ref="A745:B745"/>
    <mergeCell ref="C745:D745"/>
    <mergeCell ref="A746:B746"/>
    <mergeCell ref="C746:D746"/>
    <mergeCell ref="B747:C747"/>
    <mergeCell ref="D747:E747"/>
    <mergeCell ref="A742:B742"/>
    <mergeCell ref="C742:D742"/>
    <mergeCell ref="A743:B743"/>
    <mergeCell ref="C743:D743"/>
    <mergeCell ref="A744:B744"/>
    <mergeCell ref="C744:D744"/>
    <mergeCell ref="A739:B739"/>
    <mergeCell ref="C739:D739"/>
    <mergeCell ref="A740:B740"/>
    <mergeCell ref="C740:D740"/>
    <mergeCell ref="B741:C741"/>
    <mergeCell ref="D741:E741"/>
    <mergeCell ref="A754:B754"/>
    <mergeCell ref="C754:D754"/>
    <mergeCell ref="A755:B755"/>
    <mergeCell ref="C755:D755"/>
    <mergeCell ref="A756:B756"/>
    <mergeCell ref="C756:D756"/>
    <mergeCell ref="A751:B751"/>
    <mergeCell ref="C751:D751"/>
    <mergeCell ref="A752:B752"/>
    <mergeCell ref="C752:D752"/>
    <mergeCell ref="B753:C753"/>
    <mergeCell ref="D753:E753"/>
    <mergeCell ref="A748:B748"/>
    <mergeCell ref="C748:D748"/>
    <mergeCell ref="A749:B749"/>
    <mergeCell ref="C749:D749"/>
    <mergeCell ref="A750:B750"/>
    <mergeCell ref="C750:D750"/>
    <mergeCell ref="A763:B763"/>
    <mergeCell ref="C763:D763"/>
    <mergeCell ref="B764:C764"/>
    <mergeCell ref="D764:E764"/>
    <mergeCell ref="A765:B765"/>
    <mergeCell ref="C765:D765"/>
    <mergeCell ref="A760:B760"/>
    <mergeCell ref="C760:D760"/>
    <mergeCell ref="A761:B761"/>
    <mergeCell ref="C761:D761"/>
    <mergeCell ref="A762:B762"/>
    <mergeCell ref="C762:D762"/>
    <mergeCell ref="A757:B757"/>
    <mergeCell ref="C757:D757"/>
    <mergeCell ref="A758:B758"/>
    <mergeCell ref="C758:D758"/>
    <mergeCell ref="B759:C759"/>
    <mergeCell ref="D759:E759"/>
    <mergeCell ref="A772:B772"/>
    <mergeCell ref="C772:D772"/>
    <mergeCell ref="A773:B773"/>
    <mergeCell ref="C773:D773"/>
    <mergeCell ref="B774:C774"/>
    <mergeCell ref="D774:E774"/>
    <mergeCell ref="B769:C769"/>
    <mergeCell ref="D769:E769"/>
    <mergeCell ref="A770:B770"/>
    <mergeCell ref="C770:D770"/>
    <mergeCell ref="A771:B771"/>
    <mergeCell ref="C771:D771"/>
    <mergeCell ref="A766:B766"/>
    <mergeCell ref="C766:D766"/>
    <mergeCell ref="A767:B767"/>
    <mergeCell ref="C767:D767"/>
    <mergeCell ref="A768:B768"/>
    <mergeCell ref="C768:D768"/>
    <mergeCell ref="A781:B781"/>
    <mergeCell ref="C781:D781"/>
    <mergeCell ref="A782:B782"/>
    <mergeCell ref="C782:D782"/>
    <mergeCell ref="B783:C783"/>
    <mergeCell ref="D783:E783"/>
    <mergeCell ref="A778:B778"/>
    <mergeCell ref="C778:D778"/>
    <mergeCell ref="A779:B779"/>
    <mergeCell ref="C779:D779"/>
    <mergeCell ref="A780:B780"/>
    <mergeCell ref="C780:D780"/>
    <mergeCell ref="A775:B775"/>
    <mergeCell ref="C775:D775"/>
    <mergeCell ref="A776:B776"/>
    <mergeCell ref="C776:D776"/>
    <mergeCell ref="A777:B777"/>
    <mergeCell ref="C777:D777"/>
    <mergeCell ref="A790:B790"/>
    <mergeCell ref="C790:D790"/>
    <mergeCell ref="A791:B791"/>
    <mergeCell ref="C791:D791"/>
    <mergeCell ref="B792:C792"/>
    <mergeCell ref="D792:E792"/>
    <mergeCell ref="A787:B787"/>
    <mergeCell ref="C787:D787"/>
    <mergeCell ref="A788:B788"/>
    <mergeCell ref="C788:D788"/>
    <mergeCell ref="A789:B789"/>
    <mergeCell ref="C789:D789"/>
    <mergeCell ref="A784:B784"/>
    <mergeCell ref="C784:D784"/>
    <mergeCell ref="A785:B785"/>
    <mergeCell ref="C785:D785"/>
    <mergeCell ref="A786:B786"/>
    <mergeCell ref="C786:D786"/>
    <mergeCell ref="A799:B799"/>
    <mergeCell ref="C799:D799"/>
    <mergeCell ref="A800:B800"/>
    <mergeCell ref="C800:D800"/>
    <mergeCell ref="A801:B801"/>
    <mergeCell ref="C801:D801"/>
    <mergeCell ref="A796:B796"/>
    <mergeCell ref="C796:D796"/>
    <mergeCell ref="A797:B797"/>
    <mergeCell ref="C797:D797"/>
    <mergeCell ref="B798:C798"/>
    <mergeCell ref="D798:E798"/>
    <mergeCell ref="A793:B793"/>
    <mergeCell ref="C793:D793"/>
    <mergeCell ref="A794:B794"/>
    <mergeCell ref="C794:D794"/>
    <mergeCell ref="A795:B795"/>
    <mergeCell ref="C795:D795"/>
    <mergeCell ref="A808:B808"/>
    <mergeCell ref="C808:D808"/>
    <mergeCell ref="A809:B809"/>
    <mergeCell ref="C809:D809"/>
    <mergeCell ref="B810:C810"/>
    <mergeCell ref="D810:E810"/>
    <mergeCell ref="A805:B805"/>
    <mergeCell ref="C805:D805"/>
    <mergeCell ref="A806:B806"/>
    <mergeCell ref="C806:D806"/>
    <mergeCell ref="A807:B807"/>
    <mergeCell ref="C807:D807"/>
    <mergeCell ref="A802:B802"/>
    <mergeCell ref="C802:D802"/>
    <mergeCell ref="B803:C803"/>
    <mergeCell ref="D803:E803"/>
    <mergeCell ref="A804:B804"/>
    <mergeCell ref="C804:D804"/>
    <mergeCell ref="B817:C817"/>
    <mergeCell ref="D817:E817"/>
    <mergeCell ref="A818:B818"/>
    <mergeCell ref="C818:D818"/>
    <mergeCell ref="A819:B819"/>
    <mergeCell ref="C819:D819"/>
    <mergeCell ref="A814:B814"/>
    <mergeCell ref="C814:D814"/>
    <mergeCell ref="A815:B815"/>
    <mergeCell ref="C815:D815"/>
    <mergeCell ref="A816:B816"/>
    <mergeCell ref="C816:D816"/>
    <mergeCell ref="A811:B811"/>
    <mergeCell ref="C811:D811"/>
    <mergeCell ref="A812:B812"/>
    <mergeCell ref="C812:D812"/>
    <mergeCell ref="A813:B813"/>
    <mergeCell ref="C813:D813"/>
    <mergeCell ref="A826:B826"/>
    <mergeCell ref="C826:D826"/>
    <mergeCell ref="A827:B827"/>
    <mergeCell ref="C827:D827"/>
    <mergeCell ref="A828:B828"/>
    <mergeCell ref="C828:D828"/>
    <mergeCell ref="A823:B823"/>
    <mergeCell ref="C823:D823"/>
    <mergeCell ref="B824:C824"/>
    <mergeCell ref="D824:E824"/>
    <mergeCell ref="A825:B825"/>
    <mergeCell ref="C825:D825"/>
    <mergeCell ref="A820:B820"/>
    <mergeCell ref="C820:D820"/>
    <mergeCell ref="A821:B821"/>
    <mergeCell ref="C821:D821"/>
    <mergeCell ref="A822:B822"/>
    <mergeCell ref="C822:D822"/>
    <mergeCell ref="A835:B835"/>
    <mergeCell ref="C835:D835"/>
    <mergeCell ref="A836:B836"/>
    <mergeCell ref="C836:D836"/>
    <mergeCell ref="A837:B837"/>
    <mergeCell ref="C837:D837"/>
    <mergeCell ref="A832:B832"/>
    <mergeCell ref="C832:D832"/>
    <mergeCell ref="A833:B833"/>
    <mergeCell ref="C833:D833"/>
    <mergeCell ref="A834:B834"/>
    <mergeCell ref="C834:D834"/>
    <mergeCell ref="A829:B829"/>
    <mergeCell ref="C829:D829"/>
    <mergeCell ref="A830:B830"/>
    <mergeCell ref="C830:D830"/>
    <mergeCell ref="B831:C831"/>
    <mergeCell ref="D831:E831"/>
    <mergeCell ref="A844:B844"/>
    <mergeCell ref="C844:D844"/>
    <mergeCell ref="A845:B845"/>
    <mergeCell ref="C845:D845"/>
    <mergeCell ref="A846:B846"/>
    <mergeCell ref="C846:D846"/>
    <mergeCell ref="A841:B841"/>
    <mergeCell ref="C841:D841"/>
    <mergeCell ref="A842:B842"/>
    <mergeCell ref="C842:D842"/>
    <mergeCell ref="A843:B843"/>
    <mergeCell ref="C843:D843"/>
    <mergeCell ref="A838:B838"/>
    <mergeCell ref="C838:D838"/>
    <mergeCell ref="B839:C839"/>
    <mergeCell ref="D839:E839"/>
    <mergeCell ref="A840:B840"/>
    <mergeCell ref="C840:D840"/>
    <mergeCell ref="B853:C853"/>
    <mergeCell ref="D853:E853"/>
    <mergeCell ref="A854:B854"/>
    <mergeCell ref="C854:D854"/>
    <mergeCell ref="A855:B855"/>
    <mergeCell ref="C855:D855"/>
    <mergeCell ref="A850:B850"/>
    <mergeCell ref="C850:D850"/>
    <mergeCell ref="A851:B851"/>
    <mergeCell ref="C851:D851"/>
    <mergeCell ref="A852:B852"/>
    <mergeCell ref="C852:D852"/>
    <mergeCell ref="B847:C847"/>
    <mergeCell ref="D847:E847"/>
    <mergeCell ref="A848:B848"/>
    <mergeCell ref="C848:D848"/>
    <mergeCell ref="A849:B849"/>
    <mergeCell ref="C849:D849"/>
    <mergeCell ref="A862:B862"/>
    <mergeCell ref="C862:D862"/>
    <mergeCell ref="A863:B863"/>
    <mergeCell ref="C863:D863"/>
    <mergeCell ref="A864:B864"/>
    <mergeCell ref="C864:D864"/>
    <mergeCell ref="B859:C859"/>
    <mergeCell ref="D859:E859"/>
    <mergeCell ref="A860:B860"/>
    <mergeCell ref="C860:D860"/>
    <mergeCell ref="A861:B861"/>
    <mergeCell ref="C861:D861"/>
    <mergeCell ref="A856:B856"/>
    <mergeCell ref="C856:D856"/>
    <mergeCell ref="A857:B857"/>
    <mergeCell ref="C857:D857"/>
    <mergeCell ref="A858:B858"/>
    <mergeCell ref="C858:D858"/>
    <mergeCell ref="B871:C871"/>
    <mergeCell ref="D871:E871"/>
    <mergeCell ref="A872:B872"/>
    <mergeCell ref="C872:D872"/>
    <mergeCell ref="A873:B873"/>
    <mergeCell ref="C873:D873"/>
    <mergeCell ref="A868:B868"/>
    <mergeCell ref="C868:D868"/>
    <mergeCell ref="A869:B869"/>
    <mergeCell ref="C869:D869"/>
    <mergeCell ref="A870:B870"/>
    <mergeCell ref="C870:D870"/>
    <mergeCell ref="B865:C865"/>
    <mergeCell ref="D865:E865"/>
    <mergeCell ref="A866:B866"/>
    <mergeCell ref="C866:D866"/>
    <mergeCell ref="A867:B867"/>
    <mergeCell ref="C867:D867"/>
    <mergeCell ref="A880:B880"/>
    <mergeCell ref="C880:D880"/>
    <mergeCell ref="A881:B881"/>
    <mergeCell ref="C881:D881"/>
    <mergeCell ref="A882:B882"/>
    <mergeCell ref="C882:D882"/>
    <mergeCell ref="B877:C877"/>
    <mergeCell ref="D877:E877"/>
    <mergeCell ref="A878:B878"/>
    <mergeCell ref="C878:D878"/>
    <mergeCell ref="A879:B879"/>
    <mergeCell ref="C879:D879"/>
    <mergeCell ref="A874:B874"/>
    <mergeCell ref="C874:D874"/>
    <mergeCell ref="A875:B875"/>
    <mergeCell ref="C875:D875"/>
    <mergeCell ref="A876:B876"/>
    <mergeCell ref="C876:D876"/>
    <mergeCell ref="B889:C889"/>
    <mergeCell ref="D889:E889"/>
    <mergeCell ref="A890:B890"/>
    <mergeCell ref="C890:D890"/>
    <mergeCell ref="A891:B891"/>
    <mergeCell ref="C891:D891"/>
    <mergeCell ref="A886:B886"/>
    <mergeCell ref="C886:D886"/>
    <mergeCell ref="A887:B887"/>
    <mergeCell ref="C887:D887"/>
    <mergeCell ref="A888:B888"/>
    <mergeCell ref="C888:D888"/>
    <mergeCell ref="B883:C883"/>
    <mergeCell ref="D883:E883"/>
    <mergeCell ref="A884:B884"/>
    <mergeCell ref="C884:D884"/>
    <mergeCell ref="A885:B885"/>
    <mergeCell ref="C885:D885"/>
    <mergeCell ref="A898:B898"/>
    <mergeCell ref="C898:D898"/>
    <mergeCell ref="A899:B899"/>
    <mergeCell ref="C899:D899"/>
    <mergeCell ref="A900:B900"/>
    <mergeCell ref="C900:D900"/>
    <mergeCell ref="B895:C895"/>
    <mergeCell ref="D895:E895"/>
    <mergeCell ref="A896:B896"/>
    <mergeCell ref="C896:D896"/>
    <mergeCell ref="A897:B897"/>
    <mergeCell ref="C897:D897"/>
    <mergeCell ref="A892:B892"/>
    <mergeCell ref="C892:D892"/>
    <mergeCell ref="A893:B893"/>
    <mergeCell ref="C893:D893"/>
    <mergeCell ref="A894:B894"/>
    <mergeCell ref="C894:D894"/>
    <mergeCell ref="B907:C907"/>
    <mergeCell ref="D907:E907"/>
    <mergeCell ref="A908:B908"/>
    <mergeCell ref="C908:D908"/>
    <mergeCell ref="A909:B909"/>
    <mergeCell ref="C909:D909"/>
    <mergeCell ref="A904:B904"/>
    <mergeCell ref="C904:D904"/>
    <mergeCell ref="A905:B905"/>
    <mergeCell ref="C905:D905"/>
    <mergeCell ref="A906:B906"/>
    <mergeCell ref="C906:D906"/>
    <mergeCell ref="B901:C901"/>
    <mergeCell ref="D901:E901"/>
    <mergeCell ref="A902:B902"/>
    <mergeCell ref="C902:D902"/>
    <mergeCell ref="A903:B903"/>
    <mergeCell ref="C903:D903"/>
    <mergeCell ref="A916:B916"/>
    <mergeCell ref="C916:D916"/>
    <mergeCell ref="A917:B917"/>
    <mergeCell ref="C917:D917"/>
    <mergeCell ref="A918:B918"/>
    <mergeCell ref="C918:D918"/>
    <mergeCell ref="B913:C913"/>
    <mergeCell ref="D913:E913"/>
    <mergeCell ref="A914:B914"/>
    <mergeCell ref="C914:D914"/>
    <mergeCell ref="A915:B915"/>
    <mergeCell ref="C915:D915"/>
    <mergeCell ref="A910:B910"/>
    <mergeCell ref="C910:D910"/>
    <mergeCell ref="A911:B911"/>
    <mergeCell ref="C911:D911"/>
    <mergeCell ref="A912:B912"/>
    <mergeCell ref="C912:D912"/>
    <mergeCell ref="A925:B925"/>
    <mergeCell ref="C925:D925"/>
    <mergeCell ref="A926:B926"/>
    <mergeCell ref="C926:D926"/>
    <mergeCell ref="A927:B927"/>
    <mergeCell ref="C927:D927"/>
    <mergeCell ref="A922:B922"/>
    <mergeCell ref="C922:D922"/>
    <mergeCell ref="A923:B923"/>
    <mergeCell ref="C923:D923"/>
    <mergeCell ref="B924:C924"/>
    <mergeCell ref="D924:E924"/>
    <mergeCell ref="B919:C919"/>
    <mergeCell ref="D919:E919"/>
    <mergeCell ref="A920:B920"/>
    <mergeCell ref="C920:D920"/>
    <mergeCell ref="A921:B921"/>
    <mergeCell ref="C921:D921"/>
    <mergeCell ref="B934:C934"/>
    <mergeCell ref="D934:E934"/>
    <mergeCell ref="A935:B935"/>
    <mergeCell ref="C935:D935"/>
    <mergeCell ref="A936:B936"/>
    <mergeCell ref="C936:D936"/>
    <mergeCell ref="A931:B931"/>
    <mergeCell ref="C931:D931"/>
    <mergeCell ref="A932:B932"/>
    <mergeCell ref="C932:D932"/>
    <mergeCell ref="A933:B933"/>
    <mergeCell ref="C933:D933"/>
    <mergeCell ref="A928:B928"/>
    <mergeCell ref="C928:D928"/>
    <mergeCell ref="B929:C929"/>
    <mergeCell ref="D929:E929"/>
    <mergeCell ref="A930:B930"/>
    <mergeCell ref="C930:D930"/>
    <mergeCell ref="A943:B943"/>
    <mergeCell ref="C943:D943"/>
    <mergeCell ref="B944:C944"/>
    <mergeCell ref="D944:E944"/>
    <mergeCell ref="A945:B945"/>
    <mergeCell ref="C945:D945"/>
    <mergeCell ref="A940:B940"/>
    <mergeCell ref="C940:D940"/>
    <mergeCell ref="A941:B941"/>
    <mergeCell ref="C941:D941"/>
    <mergeCell ref="A942:B942"/>
    <mergeCell ref="C942:D942"/>
    <mergeCell ref="A937:B937"/>
    <mergeCell ref="C937:D937"/>
    <mergeCell ref="A938:B938"/>
    <mergeCell ref="C938:D938"/>
    <mergeCell ref="B939:C939"/>
    <mergeCell ref="D939:E939"/>
    <mergeCell ref="A952:B952"/>
    <mergeCell ref="C952:D952"/>
    <mergeCell ref="A953:B953"/>
    <mergeCell ref="C953:D953"/>
    <mergeCell ref="B954:C954"/>
    <mergeCell ref="D954:E954"/>
    <mergeCell ref="B949:C949"/>
    <mergeCell ref="D949:E949"/>
    <mergeCell ref="A950:B950"/>
    <mergeCell ref="C950:D950"/>
    <mergeCell ref="A951:B951"/>
    <mergeCell ref="C951:D951"/>
    <mergeCell ref="A946:B946"/>
    <mergeCell ref="C946:D946"/>
    <mergeCell ref="A947:B947"/>
    <mergeCell ref="C947:D947"/>
    <mergeCell ref="A948:B948"/>
    <mergeCell ref="C948:D948"/>
    <mergeCell ref="A961:B961"/>
    <mergeCell ref="C961:D961"/>
    <mergeCell ref="A962:B962"/>
    <mergeCell ref="C962:D962"/>
    <mergeCell ref="A963:B963"/>
    <mergeCell ref="C963:D963"/>
    <mergeCell ref="A958:B958"/>
    <mergeCell ref="C958:D958"/>
    <mergeCell ref="B959:C959"/>
    <mergeCell ref="D959:E959"/>
    <mergeCell ref="A960:B960"/>
    <mergeCell ref="C960:D960"/>
    <mergeCell ref="A955:B955"/>
    <mergeCell ref="C955:D955"/>
    <mergeCell ref="A956:B956"/>
    <mergeCell ref="C956:D956"/>
    <mergeCell ref="A957:B957"/>
    <mergeCell ref="C957:D957"/>
    <mergeCell ref="A970:B970"/>
    <mergeCell ref="C970:D970"/>
    <mergeCell ref="A971:B971"/>
    <mergeCell ref="C971:D971"/>
    <mergeCell ref="A972:B972"/>
    <mergeCell ref="C972:D972"/>
    <mergeCell ref="A967:B967"/>
    <mergeCell ref="C967:D967"/>
    <mergeCell ref="A968:B968"/>
    <mergeCell ref="C968:D968"/>
    <mergeCell ref="B969:C969"/>
    <mergeCell ref="D969:E969"/>
    <mergeCell ref="B964:C964"/>
    <mergeCell ref="D964:E964"/>
    <mergeCell ref="A965:B965"/>
    <mergeCell ref="C965:D965"/>
    <mergeCell ref="A966:B966"/>
    <mergeCell ref="C966:D966"/>
    <mergeCell ref="A979:B979"/>
    <mergeCell ref="C979:D979"/>
    <mergeCell ref="A980:B980"/>
    <mergeCell ref="C980:D980"/>
    <mergeCell ref="A981:B981"/>
    <mergeCell ref="C981:D981"/>
    <mergeCell ref="A976:B976"/>
    <mergeCell ref="C976:D976"/>
    <mergeCell ref="A977:B977"/>
    <mergeCell ref="C977:D977"/>
    <mergeCell ref="A978:B978"/>
    <mergeCell ref="C978:D978"/>
    <mergeCell ref="A973:B973"/>
    <mergeCell ref="C973:D973"/>
    <mergeCell ref="B974:C974"/>
    <mergeCell ref="D974:E974"/>
    <mergeCell ref="A975:B975"/>
    <mergeCell ref="C975:D975"/>
    <mergeCell ref="A988:B988"/>
    <mergeCell ref="C988:D988"/>
    <mergeCell ref="A989:B989"/>
    <mergeCell ref="C989:D989"/>
    <mergeCell ref="B990:C990"/>
    <mergeCell ref="D990:E990"/>
    <mergeCell ref="A985:B985"/>
    <mergeCell ref="C985:D985"/>
    <mergeCell ref="A986:B986"/>
    <mergeCell ref="C986:D986"/>
    <mergeCell ref="A987:B987"/>
    <mergeCell ref="C987:D987"/>
    <mergeCell ref="B982:C982"/>
    <mergeCell ref="D982:E982"/>
    <mergeCell ref="A983:B983"/>
    <mergeCell ref="C983:D983"/>
    <mergeCell ref="A984:B984"/>
    <mergeCell ref="C984:D984"/>
    <mergeCell ref="A997:B997"/>
    <mergeCell ref="C997:D997"/>
    <mergeCell ref="B998:C998"/>
    <mergeCell ref="D998:E998"/>
    <mergeCell ref="A999:B999"/>
    <mergeCell ref="C999:D999"/>
    <mergeCell ref="A994:B994"/>
    <mergeCell ref="C994:D994"/>
    <mergeCell ref="A995:B995"/>
    <mergeCell ref="C995:D995"/>
    <mergeCell ref="A996:B996"/>
    <mergeCell ref="C996:D996"/>
    <mergeCell ref="A991:B991"/>
    <mergeCell ref="C991:D991"/>
    <mergeCell ref="A992:B992"/>
    <mergeCell ref="C992:D992"/>
    <mergeCell ref="A993:B993"/>
    <mergeCell ref="C993:D993"/>
    <mergeCell ref="B1006:C1006"/>
    <mergeCell ref="D1006:E1006"/>
    <mergeCell ref="A1007:B1007"/>
    <mergeCell ref="C1007:D1007"/>
    <mergeCell ref="A1008:B1008"/>
    <mergeCell ref="C1008:D1008"/>
    <mergeCell ref="A1003:B1003"/>
    <mergeCell ref="C1003:D1003"/>
    <mergeCell ref="A1004:B1004"/>
    <mergeCell ref="C1004:D1004"/>
    <mergeCell ref="A1005:B1005"/>
    <mergeCell ref="C1005:D1005"/>
    <mergeCell ref="A1000:B1000"/>
    <mergeCell ref="C1000:D1000"/>
    <mergeCell ref="A1001:B1001"/>
    <mergeCell ref="C1001:D1001"/>
    <mergeCell ref="A1002:B1002"/>
    <mergeCell ref="C1002:D1002"/>
    <mergeCell ref="A1015:B1015"/>
    <mergeCell ref="C1015:D1015"/>
    <mergeCell ref="A1016:B1016"/>
    <mergeCell ref="C1016:D1016"/>
    <mergeCell ref="A1017:B1017"/>
    <mergeCell ref="C1017:D1017"/>
    <mergeCell ref="A1012:B1012"/>
    <mergeCell ref="C1012:D1012"/>
    <mergeCell ref="A1013:B1013"/>
    <mergeCell ref="C1013:D1013"/>
    <mergeCell ref="B1014:C1014"/>
    <mergeCell ref="D1014:E1014"/>
    <mergeCell ref="A1009:B1009"/>
    <mergeCell ref="C1009:D1009"/>
    <mergeCell ref="A1010:B1010"/>
    <mergeCell ref="C1010:D1010"/>
    <mergeCell ref="A1011:B1011"/>
    <mergeCell ref="C1011:D1011"/>
    <mergeCell ref="A1024:B1024"/>
    <mergeCell ref="C1024:D1024"/>
    <mergeCell ref="A1025:B1025"/>
    <mergeCell ref="C1025:D1025"/>
    <mergeCell ref="A1026:B1026"/>
    <mergeCell ref="C1026:D1026"/>
    <mergeCell ref="A1021:B1021"/>
    <mergeCell ref="C1021:D1021"/>
    <mergeCell ref="B1022:C1022"/>
    <mergeCell ref="D1022:E1022"/>
    <mergeCell ref="A1023:B1023"/>
    <mergeCell ref="C1023:D1023"/>
    <mergeCell ref="A1018:B1018"/>
    <mergeCell ref="C1018:D1018"/>
    <mergeCell ref="A1019:B1019"/>
    <mergeCell ref="C1019:D1019"/>
    <mergeCell ref="A1020:B1020"/>
    <mergeCell ref="C1020:D1020"/>
    <mergeCell ref="A1033:B1033"/>
    <mergeCell ref="C1033:D1033"/>
    <mergeCell ref="A1034:B1034"/>
    <mergeCell ref="C1034:D1034"/>
    <mergeCell ref="A1035:B1035"/>
    <mergeCell ref="C1035:D1035"/>
    <mergeCell ref="B1030:C1030"/>
    <mergeCell ref="D1030:E1030"/>
    <mergeCell ref="A1031:B1031"/>
    <mergeCell ref="C1031:D1031"/>
    <mergeCell ref="A1032:B1032"/>
    <mergeCell ref="C1032:D1032"/>
    <mergeCell ref="A1027:B1027"/>
    <mergeCell ref="C1027:D1027"/>
    <mergeCell ref="A1028:B1028"/>
    <mergeCell ref="C1028:D1028"/>
    <mergeCell ref="A1029:B1029"/>
    <mergeCell ref="C1029:D1029"/>
    <mergeCell ref="A1042:B1042"/>
    <mergeCell ref="C1042:D1042"/>
    <mergeCell ref="A1043:B1043"/>
    <mergeCell ref="C1043:D1043"/>
    <mergeCell ref="A1044:B1044"/>
    <mergeCell ref="C1044:D1044"/>
    <mergeCell ref="A1039:B1039"/>
    <mergeCell ref="C1039:D1039"/>
    <mergeCell ref="A1040:B1040"/>
    <mergeCell ref="C1040:D1040"/>
    <mergeCell ref="A1041:B1041"/>
    <mergeCell ref="C1041:D1041"/>
    <mergeCell ref="A1036:B1036"/>
    <mergeCell ref="C1036:D1036"/>
    <mergeCell ref="A1037:B1037"/>
    <mergeCell ref="C1037:D1037"/>
    <mergeCell ref="B1038:C1038"/>
    <mergeCell ref="D1038:E1038"/>
    <mergeCell ref="A1051:B1051"/>
    <mergeCell ref="C1051:D1051"/>
    <mergeCell ref="A1052:B1052"/>
    <mergeCell ref="C1052:D1052"/>
    <mergeCell ref="A1053:B1053"/>
    <mergeCell ref="C1053:D1053"/>
    <mergeCell ref="A1048:B1048"/>
    <mergeCell ref="C1048:D1048"/>
    <mergeCell ref="A1049:B1049"/>
    <mergeCell ref="C1049:D1049"/>
    <mergeCell ref="A1050:B1050"/>
    <mergeCell ref="C1050:D1050"/>
    <mergeCell ref="A1045:B1045"/>
    <mergeCell ref="C1045:D1045"/>
    <mergeCell ref="B1046:C1046"/>
    <mergeCell ref="D1046:E1046"/>
    <mergeCell ref="A1047:B1047"/>
    <mergeCell ref="C1047:D1047"/>
    <mergeCell ref="A1060:B1060"/>
    <mergeCell ref="C1060:D1060"/>
    <mergeCell ref="A1061:B1061"/>
    <mergeCell ref="C1061:D1061"/>
    <mergeCell ref="B1062:C1062"/>
    <mergeCell ref="D1062:E1062"/>
    <mergeCell ref="A1057:B1057"/>
    <mergeCell ref="C1057:D1057"/>
    <mergeCell ref="A1058:B1058"/>
    <mergeCell ref="C1058:D1058"/>
    <mergeCell ref="A1059:B1059"/>
    <mergeCell ref="C1059:D1059"/>
    <mergeCell ref="B1054:C1054"/>
    <mergeCell ref="D1054:E1054"/>
    <mergeCell ref="A1055:B1055"/>
    <mergeCell ref="C1055:D1055"/>
    <mergeCell ref="A1056:B1056"/>
    <mergeCell ref="C1056:D1056"/>
    <mergeCell ref="A1069:B1069"/>
    <mergeCell ref="C1069:D1069"/>
    <mergeCell ref="B1070:C1070"/>
    <mergeCell ref="D1070:E1070"/>
    <mergeCell ref="A1071:B1071"/>
    <mergeCell ref="C1071:D1071"/>
    <mergeCell ref="A1066:B1066"/>
    <mergeCell ref="C1066:D1066"/>
    <mergeCell ref="A1067:B1067"/>
    <mergeCell ref="C1067:D1067"/>
    <mergeCell ref="A1068:B1068"/>
    <mergeCell ref="C1068:D1068"/>
    <mergeCell ref="A1063:B1063"/>
    <mergeCell ref="C1063:D1063"/>
    <mergeCell ref="A1064:B1064"/>
    <mergeCell ref="C1064:D1064"/>
    <mergeCell ref="A1065:B1065"/>
    <mergeCell ref="C1065:D1065"/>
    <mergeCell ref="A1078:B1078"/>
    <mergeCell ref="C1078:D1078"/>
    <mergeCell ref="A1079:B1079"/>
    <mergeCell ref="C1079:D1079"/>
    <mergeCell ref="A1080:B1080"/>
    <mergeCell ref="C1080:D1080"/>
    <mergeCell ref="A1075:B1075"/>
    <mergeCell ref="C1075:D1075"/>
    <mergeCell ref="A1076:B1076"/>
    <mergeCell ref="C1076:D1076"/>
    <mergeCell ref="B1077:C1077"/>
    <mergeCell ref="D1077:E1077"/>
    <mergeCell ref="A1072:B1072"/>
    <mergeCell ref="C1072:D1072"/>
    <mergeCell ref="A1073:B1073"/>
    <mergeCell ref="C1073:D1073"/>
    <mergeCell ref="A1074:B1074"/>
    <mergeCell ref="C1074:D1074"/>
    <mergeCell ref="A1087:B1087"/>
    <mergeCell ref="C1087:D1087"/>
    <mergeCell ref="A1088:B1088"/>
    <mergeCell ref="C1088:D1088"/>
    <mergeCell ref="A1089:B1089"/>
    <mergeCell ref="C1089:D1089"/>
    <mergeCell ref="B1084:C1084"/>
    <mergeCell ref="D1084:E1084"/>
    <mergeCell ref="A1085:B1085"/>
    <mergeCell ref="C1085:D1085"/>
    <mergeCell ref="A1086:B1086"/>
    <mergeCell ref="C1086:D1086"/>
    <mergeCell ref="A1081:B1081"/>
    <mergeCell ref="C1081:D1081"/>
    <mergeCell ref="A1082:B1082"/>
    <mergeCell ref="C1082:D1082"/>
    <mergeCell ref="A1083:B1083"/>
    <mergeCell ref="C1083:D1083"/>
    <mergeCell ref="A1096:B1096"/>
    <mergeCell ref="C1096:D1096"/>
    <mergeCell ref="A1097:B1097"/>
    <mergeCell ref="C1097:D1097"/>
    <mergeCell ref="B1098:C1098"/>
    <mergeCell ref="D1098:E1098"/>
    <mergeCell ref="A1093:B1093"/>
    <mergeCell ref="C1093:D1093"/>
    <mergeCell ref="A1094:B1094"/>
    <mergeCell ref="C1094:D1094"/>
    <mergeCell ref="A1095:B1095"/>
    <mergeCell ref="C1095:D1095"/>
    <mergeCell ref="A1090:B1090"/>
    <mergeCell ref="C1090:D1090"/>
    <mergeCell ref="B1091:C1091"/>
    <mergeCell ref="D1091:E1091"/>
    <mergeCell ref="A1092:B1092"/>
    <mergeCell ref="C1092:D1092"/>
    <mergeCell ref="A1105:B1105"/>
    <mergeCell ref="C1105:D1105"/>
    <mergeCell ref="A1106:B1106"/>
    <mergeCell ref="C1106:D1106"/>
    <mergeCell ref="A1107:B1107"/>
    <mergeCell ref="C1107:D1107"/>
    <mergeCell ref="A1102:B1102"/>
    <mergeCell ref="C1102:D1102"/>
    <mergeCell ref="A1103:B1103"/>
    <mergeCell ref="C1103:D1103"/>
    <mergeCell ref="B1104:C1104"/>
    <mergeCell ref="D1104:E1104"/>
    <mergeCell ref="A1099:B1099"/>
    <mergeCell ref="C1099:D1099"/>
    <mergeCell ref="A1100:B1100"/>
    <mergeCell ref="C1100:D1100"/>
    <mergeCell ref="A1101:B1101"/>
    <mergeCell ref="C1101:D1101"/>
    <mergeCell ref="A1114:B1114"/>
    <mergeCell ref="C1114:D1114"/>
    <mergeCell ref="A1115:B1115"/>
    <mergeCell ref="C1115:D1115"/>
    <mergeCell ref="B1116:C1116"/>
    <mergeCell ref="D1116:E1116"/>
    <mergeCell ref="A1111:B1111"/>
    <mergeCell ref="C1111:D1111"/>
    <mergeCell ref="A1112:B1112"/>
    <mergeCell ref="C1112:D1112"/>
    <mergeCell ref="A1113:B1113"/>
    <mergeCell ref="C1113:D1113"/>
    <mergeCell ref="A1108:B1108"/>
    <mergeCell ref="C1108:D1108"/>
    <mergeCell ref="A1109:B1109"/>
    <mergeCell ref="C1109:D1109"/>
    <mergeCell ref="B1110:C1110"/>
    <mergeCell ref="D1110:E1110"/>
    <mergeCell ref="A1123:B1123"/>
    <mergeCell ref="C1123:D1123"/>
    <mergeCell ref="A1124:B1124"/>
    <mergeCell ref="C1124:D1124"/>
    <mergeCell ref="A1125:B1125"/>
    <mergeCell ref="C1125:D1125"/>
    <mergeCell ref="A1120:B1120"/>
    <mergeCell ref="C1120:D1120"/>
    <mergeCell ref="A1121:B1121"/>
    <mergeCell ref="C1121:D1121"/>
    <mergeCell ref="A1122:B1122"/>
    <mergeCell ref="C1122:D1122"/>
    <mergeCell ref="A1117:B1117"/>
    <mergeCell ref="C1117:D1117"/>
    <mergeCell ref="A1118:B1118"/>
    <mergeCell ref="C1118:D1118"/>
    <mergeCell ref="A1119:B1119"/>
    <mergeCell ref="C1119:D1119"/>
    <mergeCell ref="A1134:B1134"/>
    <mergeCell ref="C1134:D1134"/>
    <mergeCell ref="A1135:B1135"/>
    <mergeCell ref="C1135:D1135"/>
    <mergeCell ref="A1136:B1136"/>
    <mergeCell ref="C1136:D1136"/>
    <mergeCell ref="A1131:B1131"/>
    <mergeCell ref="C1131:D1131"/>
    <mergeCell ref="B1132:C1132"/>
    <mergeCell ref="D1132:E1132"/>
    <mergeCell ref="A1133:B1133"/>
    <mergeCell ref="C1133:D1133"/>
    <mergeCell ref="A1127:B1127"/>
    <mergeCell ref="C1127:D1127"/>
    <mergeCell ref="A1128:B1128"/>
    <mergeCell ref="C1128:D1128"/>
    <mergeCell ref="A1129:B1129"/>
    <mergeCell ref="C1129:D1129"/>
    <mergeCell ref="A1144:B1144"/>
    <mergeCell ref="C1144:D1144"/>
    <mergeCell ref="A1145:B1145"/>
    <mergeCell ref="C1145:D1145"/>
    <mergeCell ref="A1147:B1147"/>
    <mergeCell ref="C1147:D1147"/>
    <mergeCell ref="A1140:B1140"/>
    <mergeCell ref="C1140:D1140"/>
    <mergeCell ref="A1141:B1141"/>
    <mergeCell ref="C1141:D1141"/>
    <mergeCell ref="A1143:B1143"/>
    <mergeCell ref="C1143:D1143"/>
    <mergeCell ref="A1137:B1137"/>
    <mergeCell ref="C1137:D1137"/>
    <mergeCell ref="A1138:B1138"/>
    <mergeCell ref="C1138:D1138"/>
    <mergeCell ref="A1139:B1139"/>
    <mergeCell ref="C1139:D1139"/>
    <mergeCell ref="A1154:B1154"/>
    <mergeCell ref="C1154:D1154"/>
    <mergeCell ref="A1155:B1155"/>
    <mergeCell ref="C1155:D1155"/>
    <mergeCell ref="A1156:B1156"/>
    <mergeCell ref="C1156:D1156"/>
    <mergeCell ref="A1151:B1151"/>
    <mergeCell ref="C1151:D1151"/>
    <mergeCell ref="A1152:B1152"/>
    <mergeCell ref="C1152:D1152"/>
    <mergeCell ref="A1153:B1153"/>
    <mergeCell ref="C1153:D1153"/>
    <mergeCell ref="B1148:C1148"/>
    <mergeCell ref="D1148:E1148"/>
    <mergeCell ref="A1149:B1149"/>
    <mergeCell ref="C1149:D1149"/>
    <mergeCell ref="A1150:B1150"/>
    <mergeCell ref="C1150:D1150"/>
    <mergeCell ref="A1165:B1165"/>
    <mergeCell ref="C1165:D1165"/>
    <mergeCell ref="A1166:B1166"/>
    <mergeCell ref="C1166:D1166"/>
    <mergeCell ref="A1167:B1167"/>
    <mergeCell ref="C1167:D1167"/>
    <mergeCell ref="A1161:B1161"/>
    <mergeCell ref="C1161:D1161"/>
    <mergeCell ref="A1163:B1163"/>
    <mergeCell ref="C1163:D1163"/>
    <mergeCell ref="B1164:C1164"/>
    <mergeCell ref="D1164:E1164"/>
    <mergeCell ref="A1157:B1157"/>
    <mergeCell ref="C1157:D1157"/>
    <mergeCell ref="A1159:B1159"/>
    <mergeCell ref="C1159:D1159"/>
    <mergeCell ref="A1160:B1160"/>
    <mergeCell ref="C1160:D1160"/>
    <mergeCell ref="A1174:B1174"/>
    <mergeCell ref="C1174:D1174"/>
    <mergeCell ref="A1175:B1175"/>
    <mergeCell ref="C1175:D1175"/>
    <mergeCell ref="B1176:C1176"/>
    <mergeCell ref="D1176:E1176"/>
    <mergeCell ref="A1171:B1171"/>
    <mergeCell ref="C1171:D1171"/>
    <mergeCell ref="A1172:B1172"/>
    <mergeCell ref="C1172:D1172"/>
    <mergeCell ref="A1173:B1173"/>
    <mergeCell ref="C1173:D1173"/>
    <mergeCell ref="B1168:C1168"/>
    <mergeCell ref="D1168:E1168"/>
    <mergeCell ref="A1169:B1169"/>
    <mergeCell ref="C1169:D1169"/>
    <mergeCell ref="A1170:B1170"/>
    <mergeCell ref="C1170:D1170"/>
    <mergeCell ref="A1183:B1183"/>
    <mergeCell ref="C1183:D1183"/>
    <mergeCell ref="B1184:C1184"/>
    <mergeCell ref="D1184:E1184"/>
    <mergeCell ref="A1185:B1185"/>
    <mergeCell ref="C1185:D1185"/>
    <mergeCell ref="A1180:B1180"/>
    <mergeCell ref="C1180:D1180"/>
    <mergeCell ref="A1181:B1181"/>
    <mergeCell ref="C1181:D1181"/>
    <mergeCell ref="A1182:B1182"/>
    <mergeCell ref="C1182:D1182"/>
    <mergeCell ref="A1177:B1177"/>
    <mergeCell ref="C1177:D1177"/>
    <mergeCell ref="A1178:B1178"/>
    <mergeCell ref="C1178:D1178"/>
    <mergeCell ref="A1179:B1179"/>
    <mergeCell ref="C1179:D1179"/>
    <mergeCell ref="B1192:C1192"/>
    <mergeCell ref="D1192:E1192"/>
    <mergeCell ref="A1193:B1193"/>
    <mergeCell ref="C1193:D1193"/>
    <mergeCell ref="A1194:B1194"/>
    <mergeCell ref="C1194:D1194"/>
    <mergeCell ref="A1189:B1189"/>
    <mergeCell ref="C1189:D1189"/>
    <mergeCell ref="A1190:B1190"/>
    <mergeCell ref="C1190:D1190"/>
    <mergeCell ref="A1191:B1191"/>
    <mergeCell ref="C1191:D1191"/>
    <mergeCell ref="A1186:B1186"/>
    <mergeCell ref="C1186:D1186"/>
    <mergeCell ref="A1187:B1187"/>
    <mergeCell ref="C1187:D1187"/>
    <mergeCell ref="A1188:B1188"/>
    <mergeCell ref="C1188:D1188"/>
    <mergeCell ref="A1201:B1201"/>
    <mergeCell ref="C1201:D1201"/>
    <mergeCell ref="A1202:B1202"/>
    <mergeCell ref="C1202:D1202"/>
    <mergeCell ref="A1203:B1203"/>
    <mergeCell ref="C1203:D1203"/>
    <mergeCell ref="A1198:B1198"/>
    <mergeCell ref="C1198:D1198"/>
    <mergeCell ref="A1199:B1199"/>
    <mergeCell ref="C1199:D1199"/>
    <mergeCell ref="B1200:C1200"/>
    <mergeCell ref="D1200:E1200"/>
    <mergeCell ref="A1195:B1195"/>
    <mergeCell ref="C1195:D1195"/>
    <mergeCell ref="A1196:B1196"/>
    <mergeCell ref="C1196:D1196"/>
    <mergeCell ref="A1197:B1197"/>
    <mergeCell ref="C1197:D1197"/>
    <mergeCell ref="A1210:B1210"/>
    <mergeCell ref="C1210:D1210"/>
    <mergeCell ref="A1211:B1211"/>
    <mergeCell ref="C1211:D1211"/>
    <mergeCell ref="A1212:B1212"/>
    <mergeCell ref="C1212:D1212"/>
    <mergeCell ref="A1207:B1207"/>
    <mergeCell ref="C1207:D1207"/>
    <mergeCell ref="B1208:C1208"/>
    <mergeCell ref="D1208:E1208"/>
    <mergeCell ref="A1209:B1209"/>
    <mergeCell ref="C1209:D1209"/>
    <mergeCell ref="A1204:B1204"/>
    <mergeCell ref="C1204:D1204"/>
    <mergeCell ref="A1205:B1205"/>
    <mergeCell ref="C1205:D1205"/>
    <mergeCell ref="A1206:B1206"/>
    <mergeCell ref="C1206:D1206"/>
    <mergeCell ref="A1219:B1219"/>
    <mergeCell ref="C1219:D1219"/>
    <mergeCell ref="A1220:B1220"/>
    <mergeCell ref="C1220:D1220"/>
    <mergeCell ref="A1221:B1221"/>
    <mergeCell ref="C1221:D1221"/>
    <mergeCell ref="B1216:C1216"/>
    <mergeCell ref="D1216:E1216"/>
    <mergeCell ref="A1217:B1217"/>
    <mergeCell ref="C1217:D1217"/>
    <mergeCell ref="A1218:B1218"/>
    <mergeCell ref="C1218:D1218"/>
    <mergeCell ref="A1213:B1213"/>
    <mergeCell ref="C1213:D1213"/>
    <mergeCell ref="A1214:B1214"/>
    <mergeCell ref="C1214:D1214"/>
    <mergeCell ref="A1215:B1215"/>
    <mergeCell ref="C1215:D1215"/>
    <mergeCell ref="A1228:B1228"/>
    <mergeCell ref="C1228:D1228"/>
    <mergeCell ref="A1229:B1229"/>
    <mergeCell ref="C1229:D1229"/>
    <mergeCell ref="A1230:B1230"/>
    <mergeCell ref="C1230:D1230"/>
    <mergeCell ref="A1225:B1225"/>
    <mergeCell ref="C1225:D1225"/>
    <mergeCell ref="A1226:B1226"/>
    <mergeCell ref="C1226:D1226"/>
    <mergeCell ref="A1227:B1227"/>
    <mergeCell ref="C1227:D1227"/>
    <mergeCell ref="A1222:B1222"/>
    <mergeCell ref="C1222:D1222"/>
    <mergeCell ref="A1223:B1223"/>
    <mergeCell ref="C1223:D1223"/>
    <mergeCell ref="B1224:C1224"/>
    <mergeCell ref="D1224:E1224"/>
    <mergeCell ref="A1237:B1237"/>
    <mergeCell ref="C1237:D1237"/>
    <mergeCell ref="A1238:B1238"/>
    <mergeCell ref="C1238:D1238"/>
    <mergeCell ref="A1239:B1239"/>
    <mergeCell ref="C1239:D1239"/>
    <mergeCell ref="A1234:B1234"/>
    <mergeCell ref="C1234:D1234"/>
    <mergeCell ref="A1235:B1235"/>
    <mergeCell ref="C1235:D1235"/>
    <mergeCell ref="A1236:B1236"/>
    <mergeCell ref="C1236:D1236"/>
    <mergeCell ref="A1231:B1231"/>
    <mergeCell ref="C1231:D1231"/>
    <mergeCell ref="B1232:C1232"/>
    <mergeCell ref="D1232:E1232"/>
    <mergeCell ref="A1233:B1233"/>
    <mergeCell ref="C1233:D1233"/>
    <mergeCell ref="A1246:B1246"/>
    <mergeCell ref="C1246:D1246"/>
    <mergeCell ref="A1247:B1247"/>
    <mergeCell ref="C1247:D1247"/>
    <mergeCell ref="B1248:C1248"/>
    <mergeCell ref="D1248:E1248"/>
    <mergeCell ref="A1243:B1243"/>
    <mergeCell ref="C1243:D1243"/>
    <mergeCell ref="A1244:B1244"/>
    <mergeCell ref="C1244:D1244"/>
    <mergeCell ref="A1245:B1245"/>
    <mergeCell ref="C1245:D1245"/>
    <mergeCell ref="B1240:C1240"/>
    <mergeCell ref="D1240:E1240"/>
    <mergeCell ref="A1241:B1241"/>
    <mergeCell ref="C1241:D1241"/>
    <mergeCell ref="A1242:B1242"/>
    <mergeCell ref="C1242:D1242"/>
    <mergeCell ref="A1255:B1255"/>
    <mergeCell ref="C1255:D1255"/>
    <mergeCell ref="B1256:C1256"/>
    <mergeCell ref="D1256:E1256"/>
    <mergeCell ref="A1257:B1257"/>
    <mergeCell ref="C1257:D1257"/>
    <mergeCell ref="A1252:B1252"/>
    <mergeCell ref="C1252:D1252"/>
    <mergeCell ref="A1253:B1253"/>
    <mergeCell ref="C1253:D1253"/>
    <mergeCell ref="A1254:B1254"/>
    <mergeCell ref="C1254:D1254"/>
    <mergeCell ref="A1249:B1249"/>
    <mergeCell ref="C1249:D1249"/>
    <mergeCell ref="A1250:B1250"/>
    <mergeCell ref="C1250:D1250"/>
    <mergeCell ref="A1251:B1251"/>
    <mergeCell ref="C1251:D1251"/>
    <mergeCell ref="B1264:C1264"/>
    <mergeCell ref="D1264:E1264"/>
    <mergeCell ref="A1265:B1265"/>
    <mergeCell ref="C1265:D1265"/>
    <mergeCell ref="A1266:B1266"/>
    <mergeCell ref="C1266:D1266"/>
    <mergeCell ref="A1261:B1261"/>
    <mergeCell ref="C1261:D1261"/>
    <mergeCell ref="A1262:B1262"/>
    <mergeCell ref="C1262:D1262"/>
    <mergeCell ref="A1263:B1263"/>
    <mergeCell ref="C1263:D1263"/>
    <mergeCell ref="A1258:B1258"/>
    <mergeCell ref="C1258:D1258"/>
    <mergeCell ref="A1259:B1259"/>
    <mergeCell ref="C1259:D1259"/>
    <mergeCell ref="B1260:C1260"/>
    <mergeCell ref="D1260:E1260"/>
    <mergeCell ref="A1275:B1275"/>
    <mergeCell ref="C1275:D1275"/>
    <mergeCell ref="A1276:B1276"/>
    <mergeCell ref="C1276:D1276"/>
    <mergeCell ref="A1277:B1277"/>
    <mergeCell ref="C1277:D1277"/>
    <mergeCell ref="A1271:B1271"/>
    <mergeCell ref="C1271:D1271"/>
    <mergeCell ref="A1273:B1273"/>
    <mergeCell ref="C1273:D1273"/>
    <mergeCell ref="B1274:C1274"/>
    <mergeCell ref="D1274:E1274"/>
    <mergeCell ref="A1268:B1268"/>
    <mergeCell ref="C1268:D1268"/>
    <mergeCell ref="B1269:C1269"/>
    <mergeCell ref="D1269:E1269"/>
    <mergeCell ref="A1270:B1270"/>
    <mergeCell ref="C1270:D1270"/>
    <mergeCell ref="A1284:B1284"/>
    <mergeCell ref="C1284:D1284"/>
    <mergeCell ref="A1285:B1285"/>
    <mergeCell ref="C1285:D1285"/>
    <mergeCell ref="A1286:B1286"/>
    <mergeCell ref="C1286:D1286"/>
    <mergeCell ref="A1281:B1281"/>
    <mergeCell ref="C1281:D1281"/>
    <mergeCell ref="B1282:C1282"/>
    <mergeCell ref="D1282:E1282"/>
    <mergeCell ref="A1283:B1283"/>
    <mergeCell ref="C1283:D1283"/>
    <mergeCell ref="A1278:B1278"/>
    <mergeCell ref="C1278:D1278"/>
    <mergeCell ref="A1279:B1279"/>
    <mergeCell ref="C1279:D1279"/>
    <mergeCell ref="A1280:B1280"/>
    <mergeCell ref="C1280:D1280"/>
    <mergeCell ref="A1293:B1293"/>
    <mergeCell ref="C1293:D1293"/>
    <mergeCell ref="A1294:B1294"/>
    <mergeCell ref="C1294:D1294"/>
    <mergeCell ref="A1295:B1295"/>
    <mergeCell ref="C1295:D1295"/>
    <mergeCell ref="B1290:C1290"/>
    <mergeCell ref="D1290:E1290"/>
    <mergeCell ref="A1291:B1291"/>
    <mergeCell ref="C1291:D1291"/>
    <mergeCell ref="A1292:B1292"/>
    <mergeCell ref="C1292:D1292"/>
    <mergeCell ref="A1287:B1287"/>
    <mergeCell ref="C1287:D1287"/>
    <mergeCell ref="A1288:B1288"/>
    <mergeCell ref="C1288:D1288"/>
    <mergeCell ref="A1289:B1289"/>
    <mergeCell ref="C1289:D1289"/>
    <mergeCell ref="A1302:B1302"/>
    <mergeCell ref="C1302:D1302"/>
    <mergeCell ref="A1303:B1303"/>
    <mergeCell ref="C1303:D1303"/>
    <mergeCell ref="A1304:B1304"/>
    <mergeCell ref="C1304:D1304"/>
    <mergeCell ref="A1299:B1299"/>
    <mergeCell ref="C1299:D1299"/>
    <mergeCell ref="A1300:B1300"/>
    <mergeCell ref="C1300:D1300"/>
    <mergeCell ref="A1301:B1301"/>
    <mergeCell ref="C1301:D1301"/>
    <mergeCell ref="A1296:B1296"/>
    <mergeCell ref="C1296:D1296"/>
    <mergeCell ref="A1297:B1297"/>
    <mergeCell ref="C1297:D1297"/>
    <mergeCell ref="B1298:C1298"/>
    <mergeCell ref="D1298:E1298"/>
    <mergeCell ref="A1311:B1311"/>
    <mergeCell ref="C1311:D1311"/>
    <mergeCell ref="B1312:C1312"/>
    <mergeCell ref="D1312:E1312"/>
    <mergeCell ref="A1313:B1313"/>
    <mergeCell ref="C1313:D1313"/>
    <mergeCell ref="A1308:B1308"/>
    <mergeCell ref="C1308:D1308"/>
    <mergeCell ref="A1309:B1309"/>
    <mergeCell ref="C1309:D1309"/>
    <mergeCell ref="A1310:B1310"/>
    <mergeCell ref="C1310:D1310"/>
    <mergeCell ref="A1305:B1305"/>
    <mergeCell ref="C1305:D1305"/>
    <mergeCell ref="B1306:C1306"/>
    <mergeCell ref="D1306:E1306"/>
    <mergeCell ref="A1307:B1307"/>
    <mergeCell ref="C1307:D1307"/>
    <mergeCell ref="A1320:B1320"/>
    <mergeCell ref="C1320:D1320"/>
    <mergeCell ref="A1321:B1321"/>
    <mergeCell ref="C1321:D1321"/>
    <mergeCell ref="A1322:B1322"/>
    <mergeCell ref="C1322:D1322"/>
    <mergeCell ref="A1317:B1317"/>
    <mergeCell ref="C1317:D1317"/>
    <mergeCell ref="B1318:C1318"/>
    <mergeCell ref="D1318:E1318"/>
    <mergeCell ref="A1319:B1319"/>
    <mergeCell ref="C1319:D1319"/>
    <mergeCell ref="A1314:B1314"/>
    <mergeCell ref="C1314:D1314"/>
    <mergeCell ref="A1315:B1315"/>
    <mergeCell ref="C1315:D1315"/>
    <mergeCell ref="A1316:B1316"/>
    <mergeCell ref="C1316:D1316"/>
    <mergeCell ref="A1330:B1330"/>
    <mergeCell ref="C1330:D1330"/>
    <mergeCell ref="A1331:B1331"/>
    <mergeCell ref="C1331:D1331"/>
    <mergeCell ref="A1332:B1332"/>
    <mergeCell ref="C1332:D1332"/>
    <mergeCell ref="A1327:B1327"/>
    <mergeCell ref="C1327:D1327"/>
    <mergeCell ref="B1328:C1328"/>
    <mergeCell ref="D1328:E1328"/>
    <mergeCell ref="A1329:B1329"/>
    <mergeCell ref="C1329:D1329"/>
    <mergeCell ref="A1323:B1323"/>
    <mergeCell ref="A1324:B1324"/>
    <mergeCell ref="C1324:D1324"/>
    <mergeCell ref="A1325:B1325"/>
    <mergeCell ref="C1325:D1325"/>
    <mergeCell ref="A1326:B1326"/>
    <mergeCell ref="C1326:D1326"/>
    <mergeCell ref="A1340:B1340"/>
    <mergeCell ref="C1340:D1340"/>
    <mergeCell ref="A1341:B1341"/>
    <mergeCell ref="C1341:D1341"/>
    <mergeCell ref="A1342:B1342"/>
    <mergeCell ref="C1342:D1342"/>
    <mergeCell ref="A1337:B1337"/>
    <mergeCell ref="C1337:D1337"/>
    <mergeCell ref="B1338:C1338"/>
    <mergeCell ref="D1338:E1338"/>
    <mergeCell ref="A1339:B1339"/>
    <mergeCell ref="C1339:D1339"/>
    <mergeCell ref="A1333:B1333"/>
    <mergeCell ref="A1334:B1334"/>
    <mergeCell ref="C1334:D1334"/>
    <mergeCell ref="A1335:B1335"/>
    <mergeCell ref="C1335:D1335"/>
    <mergeCell ref="A1336:B1336"/>
    <mergeCell ref="C1336:D1336"/>
    <mergeCell ref="A1350:B1350"/>
    <mergeCell ref="C1350:D1350"/>
    <mergeCell ref="A1351:B1351"/>
    <mergeCell ref="C1351:D1351"/>
    <mergeCell ref="A1352:B1352"/>
    <mergeCell ref="C1352:D1352"/>
    <mergeCell ref="A1347:B1347"/>
    <mergeCell ref="C1347:D1347"/>
    <mergeCell ref="B1348:C1348"/>
    <mergeCell ref="D1348:E1348"/>
    <mergeCell ref="A1349:B1349"/>
    <mergeCell ref="C1349:D1349"/>
    <mergeCell ref="A1343:B1343"/>
    <mergeCell ref="A1344:B1344"/>
    <mergeCell ref="C1344:D1344"/>
    <mergeCell ref="A1345:B1345"/>
    <mergeCell ref="C1345:D1345"/>
    <mergeCell ref="A1346:B1346"/>
    <mergeCell ref="C1346:D1346"/>
    <mergeCell ref="A1360:B1360"/>
    <mergeCell ref="C1360:D1360"/>
    <mergeCell ref="A1361:B1361"/>
    <mergeCell ref="C1361:D1361"/>
    <mergeCell ref="A1362:B1362"/>
    <mergeCell ref="C1362:D1362"/>
    <mergeCell ref="A1357:B1357"/>
    <mergeCell ref="C1357:D1357"/>
    <mergeCell ref="B1358:C1358"/>
    <mergeCell ref="D1358:E1358"/>
    <mergeCell ref="A1359:B1359"/>
    <mergeCell ref="C1359:D1359"/>
    <mergeCell ref="A1353:B1353"/>
    <mergeCell ref="A1354:B1354"/>
    <mergeCell ref="C1354:D1354"/>
    <mergeCell ref="A1355:B1355"/>
    <mergeCell ref="C1355:D1355"/>
    <mergeCell ref="A1356:B1356"/>
    <mergeCell ref="C1356:D1356"/>
    <mergeCell ref="A1370:B1370"/>
    <mergeCell ref="C1370:D1370"/>
    <mergeCell ref="A1371:B1371"/>
    <mergeCell ref="C1371:D1371"/>
    <mergeCell ref="A1372:B1372"/>
    <mergeCell ref="C1372:D1372"/>
    <mergeCell ref="A1367:B1367"/>
    <mergeCell ref="C1367:D1367"/>
    <mergeCell ref="B1368:C1368"/>
    <mergeCell ref="D1368:E1368"/>
    <mergeCell ref="A1369:B1369"/>
    <mergeCell ref="C1369:D1369"/>
    <mergeCell ref="A1363:B1363"/>
    <mergeCell ref="A1364:B1364"/>
    <mergeCell ref="C1364:D1364"/>
    <mergeCell ref="A1365:B1365"/>
    <mergeCell ref="C1365:D1365"/>
    <mergeCell ref="A1366:B1366"/>
    <mergeCell ref="C1366:D1366"/>
    <mergeCell ref="A1380:B1380"/>
    <mergeCell ref="C1380:D1380"/>
    <mergeCell ref="A1381:B1381"/>
    <mergeCell ref="C1381:D1381"/>
    <mergeCell ref="A1382:B1382"/>
    <mergeCell ref="A1383:B1383"/>
    <mergeCell ref="C1383:D1383"/>
    <mergeCell ref="A1377:B1377"/>
    <mergeCell ref="C1377:D1377"/>
    <mergeCell ref="B1378:C1378"/>
    <mergeCell ref="D1378:E1378"/>
    <mergeCell ref="A1379:B1379"/>
    <mergeCell ref="C1379:D1379"/>
    <mergeCell ref="A1373:B1373"/>
    <mergeCell ref="A1374:B1374"/>
    <mergeCell ref="C1374:D1374"/>
    <mergeCell ref="A1375:B1375"/>
    <mergeCell ref="C1375:D1375"/>
    <mergeCell ref="A1376:B1376"/>
    <mergeCell ref="C1376:D1376"/>
    <mergeCell ref="A1390:B1390"/>
    <mergeCell ref="C1390:D1390"/>
    <mergeCell ref="A1391:B1391"/>
    <mergeCell ref="A1392:B1392"/>
    <mergeCell ref="C1392:D1392"/>
    <mergeCell ref="A1393:B1393"/>
    <mergeCell ref="C1393:D1393"/>
    <mergeCell ref="B1387:C1387"/>
    <mergeCell ref="D1387:E1387"/>
    <mergeCell ref="A1388:B1388"/>
    <mergeCell ref="C1388:D1388"/>
    <mergeCell ref="A1389:B1389"/>
    <mergeCell ref="C1389:D1389"/>
    <mergeCell ref="A1384:B1384"/>
    <mergeCell ref="C1384:D1384"/>
    <mergeCell ref="A1385:B1385"/>
    <mergeCell ref="C1385:D1385"/>
    <mergeCell ref="A1386:B1386"/>
    <mergeCell ref="C1386:D1386"/>
    <mergeCell ref="A1400:B1400"/>
    <mergeCell ref="A1401:B1401"/>
    <mergeCell ref="C1401:D1401"/>
    <mergeCell ref="A1402:B1402"/>
    <mergeCell ref="C1402:D1402"/>
    <mergeCell ref="A1403:B1403"/>
    <mergeCell ref="C1403:D1403"/>
    <mergeCell ref="A1397:B1397"/>
    <mergeCell ref="C1397:D1397"/>
    <mergeCell ref="A1398:B1398"/>
    <mergeCell ref="C1398:D1398"/>
    <mergeCell ref="A1399:B1399"/>
    <mergeCell ref="C1399:D1399"/>
    <mergeCell ref="A1394:B1394"/>
    <mergeCell ref="C1394:D1394"/>
    <mergeCell ref="A1395:B1395"/>
    <mergeCell ref="C1395:D1395"/>
    <mergeCell ref="B1396:C1396"/>
    <mergeCell ref="D1396:E1396"/>
    <mergeCell ref="A1411:B1411"/>
    <mergeCell ref="C1411:D1411"/>
    <mergeCell ref="A1412:B1412"/>
    <mergeCell ref="C1412:D1412"/>
    <mergeCell ref="A1413:B1413"/>
    <mergeCell ref="C1413:D1413"/>
    <mergeCell ref="A1407:B1407"/>
    <mergeCell ref="C1407:D1407"/>
    <mergeCell ref="A1408:B1408"/>
    <mergeCell ref="C1408:D1408"/>
    <mergeCell ref="A1409:B1409"/>
    <mergeCell ref="A1410:B1410"/>
    <mergeCell ref="C1410:D1410"/>
    <mergeCell ref="A1404:B1404"/>
    <mergeCell ref="C1404:D1404"/>
    <mergeCell ref="B1405:C1405"/>
    <mergeCell ref="D1405:E1405"/>
    <mergeCell ref="A1406:B1406"/>
    <mergeCell ref="C1406:D1406"/>
    <mergeCell ref="A1421:B1421"/>
    <mergeCell ref="C1421:D1421"/>
    <mergeCell ref="A1422:B1422"/>
    <mergeCell ref="C1422:D1422"/>
    <mergeCell ref="B1423:C1423"/>
    <mergeCell ref="D1423:E1423"/>
    <mergeCell ref="A1417:B1417"/>
    <mergeCell ref="C1417:D1417"/>
    <mergeCell ref="A1418:B1418"/>
    <mergeCell ref="A1419:B1419"/>
    <mergeCell ref="C1419:D1419"/>
    <mergeCell ref="A1420:B1420"/>
    <mergeCell ref="C1420:D1420"/>
    <mergeCell ref="B1414:C1414"/>
    <mergeCell ref="D1414:E1414"/>
    <mergeCell ref="A1415:B1415"/>
    <mergeCell ref="C1415:D1415"/>
    <mergeCell ref="A1416:B1416"/>
    <mergeCell ref="C1416:D1416"/>
    <mergeCell ref="A1431:B1431"/>
    <mergeCell ref="C1431:D1431"/>
    <mergeCell ref="A1432:B1432"/>
    <mergeCell ref="C1432:D1432"/>
    <mergeCell ref="B1433:C1433"/>
    <mergeCell ref="D1433:E1433"/>
    <mergeCell ref="A1427:B1427"/>
    <mergeCell ref="C1427:D1427"/>
    <mergeCell ref="A1428:B1428"/>
    <mergeCell ref="A1429:B1429"/>
    <mergeCell ref="C1429:D1429"/>
    <mergeCell ref="A1430:B1430"/>
    <mergeCell ref="C1430:D1430"/>
    <mergeCell ref="A1424:B1424"/>
    <mergeCell ref="C1424:D1424"/>
    <mergeCell ref="A1425:B1425"/>
    <mergeCell ref="C1425:D1425"/>
    <mergeCell ref="A1426:B1426"/>
    <mergeCell ref="C1426:D1426"/>
    <mergeCell ref="A1441:B1441"/>
    <mergeCell ref="C1441:D1441"/>
    <mergeCell ref="A1442:B1442"/>
    <mergeCell ref="C1442:D1442"/>
    <mergeCell ref="B1443:C1443"/>
    <mergeCell ref="D1443:E1443"/>
    <mergeCell ref="A1437:B1437"/>
    <mergeCell ref="C1437:D1437"/>
    <mergeCell ref="A1438:B1438"/>
    <mergeCell ref="A1439:B1439"/>
    <mergeCell ref="C1439:D1439"/>
    <mergeCell ref="A1440:B1440"/>
    <mergeCell ref="C1440:D1440"/>
    <mergeCell ref="A1434:B1434"/>
    <mergeCell ref="C1434:D1434"/>
    <mergeCell ref="A1435:B1435"/>
    <mergeCell ref="C1435:D1435"/>
    <mergeCell ref="A1436:B1436"/>
    <mergeCell ref="C1436:D1436"/>
    <mergeCell ref="A1451:B1451"/>
    <mergeCell ref="C1451:D1451"/>
    <mergeCell ref="A1452:B1452"/>
    <mergeCell ref="C1452:D1452"/>
    <mergeCell ref="B1453:C1453"/>
    <mergeCell ref="D1453:E1453"/>
    <mergeCell ref="A1447:B1447"/>
    <mergeCell ref="C1447:D1447"/>
    <mergeCell ref="A1448:B1448"/>
    <mergeCell ref="A1449:B1449"/>
    <mergeCell ref="C1449:D1449"/>
    <mergeCell ref="A1450:B1450"/>
    <mergeCell ref="C1450:D1450"/>
    <mergeCell ref="A1444:B1444"/>
    <mergeCell ref="C1444:D1444"/>
    <mergeCell ref="A1445:B1445"/>
    <mergeCell ref="C1445:D1445"/>
    <mergeCell ref="A1446:B1446"/>
    <mergeCell ref="C1446:D1446"/>
    <mergeCell ref="A1461:B1461"/>
    <mergeCell ref="C1461:D1461"/>
    <mergeCell ref="A1462:B1462"/>
    <mergeCell ref="C1462:D1462"/>
    <mergeCell ref="B1463:C1463"/>
    <mergeCell ref="D1463:E1463"/>
    <mergeCell ref="A1457:B1457"/>
    <mergeCell ref="C1457:D1457"/>
    <mergeCell ref="A1458:B1458"/>
    <mergeCell ref="A1459:B1459"/>
    <mergeCell ref="C1459:D1459"/>
    <mergeCell ref="A1460:B1460"/>
    <mergeCell ref="C1460:D1460"/>
    <mergeCell ref="A1454:B1454"/>
    <mergeCell ref="C1454:D1454"/>
    <mergeCell ref="A1455:B1455"/>
    <mergeCell ref="C1455:D1455"/>
    <mergeCell ref="A1456:B1456"/>
    <mergeCell ref="C1456:D1456"/>
    <mergeCell ref="A1471:B1471"/>
    <mergeCell ref="C1471:D1471"/>
    <mergeCell ref="A1472:B1472"/>
    <mergeCell ref="C1472:D1472"/>
    <mergeCell ref="B1473:C1473"/>
    <mergeCell ref="D1473:E1473"/>
    <mergeCell ref="A1467:B1467"/>
    <mergeCell ref="C1467:D1467"/>
    <mergeCell ref="A1468:B1468"/>
    <mergeCell ref="A1469:B1469"/>
    <mergeCell ref="C1469:D1469"/>
    <mergeCell ref="A1470:B1470"/>
    <mergeCell ref="C1470:D1470"/>
    <mergeCell ref="A1464:B1464"/>
    <mergeCell ref="C1464:D1464"/>
    <mergeCell ref="A1465:B1465"/>
    <mergeCell ref="C1465:D1465"/>
    <mergeCell ref="A1466:B1466"/>
    <mergeCell ref="C1466:D1466"/>
    <mergeCell ref="A1481:B1481"/>
    <mergeCell ref="C1481:D1481"/>
    <mergeCell ref="A1482:B1482"/>
    <mergeCell ref="C1482:D1482"/>
    <mergeCell ref="B1483:C1483"/>
    <mergeCell ref="D1483:E1483"/>
    <mergeCell ref="A1477:B1477"/>
    <mergeCell ref="C1477:D1477"/>
    <mergeCell ref="A1478:B1478"/>
    <mergeCell ref="A1479:B1479"/>
    <mergeCell ref="C1479:D1479"/>
    <mergeCell ref="A1480:B1480"/>
    <mergeCell ref="C1480:D1480"/>
    <mergeCell ref="A1474:B1474"/>
    <mergeCell ref="C1474:D1474"/>
    <mergeCell ref="A1475:B1475"/>
    <mergeCell ref="C1475:D1475"/>
    <mergeCell ref="A1476:B1476"/>
    <mergeCell ref="C1476:D1476"/>
    <mergeCell ref="A1491:B1491"/>
    <mergeCell ref="C1491:D1491"/>
    <mergeCell ref="B1492:C1492"/>
    <mergeCell ref="D1492:E1492"/>
    <mergeCell ref="A1493:B1493"/>
    <mergeCell ref="C1493:D1493"/>
    <mergeCell ref="A1487:B1487"/>
    <mergeCell ref="A1488:B1488"/>
    <mergeCell ref="C1488:D1488"/>
    <mergeCell ref="A1489:B1489"/>
    <mergeCell ref="C1489:D1489"/>
    <mergeCell ref="A1490:B1490"/>
    <mergeCell ref="C1490:D1490"/>
    <mergeCell ref="A1484:B1484"/>
    <mergeCell ref="C1484:D1484"/>
    <mergeCell ref="A1485:B1485"/>
    <mergeCell ref="C1485:D1485"/>
    <mergeCell ref="A1486:B1486"/>
    <mergeCell ref="C1486:D1486"/>
    <mergeCell ref="B1501:C1501"/>
    <mergeCell ref="D1501:E1501"/>
    <mergeCell ref="A1502:B1502"/>
    <mergeCell ref="C1502:D1502"/>
    <mergeCell ref="A1503:B1503"/>
    <mergeCell ref="C1503:D1503"/>
    <mergeCell ref="A1498:B1498"/>
    <mergeCell ref="C1498:D1498"/>
    <mergeCell ref="A1499:B1499"/>
    <mergeCell ref="C1499:D1499"/>
    <mergeCell ref="A1500:B1500"/>
    <mergeCell ref="C1500:D1500"/>
    <mergeCell ref="A1494:B1494"/>
    <mergeCell ref="C1494:D1494"/>
    <mergeCell ref="A1495:B1495"/>
    <mergeCell ref="C1495:D1495"/>
    <mergeCell ref="A1496:B1496"/>
    <mergeCell ref="A1497:B1497"/>
    <mergeCell ref="C1497:D1497"/>
    <mergeCell ref="A1511:B1511"/>
    <mergeCell ref="C1511:D1511"/>
    <mergeCell ref="A1512:B1512"/>
    <mergeCell ref="C1512:D1512"/>
    <mergeCell ref="A1513:B1513"/>
    <mergeCell ref="C1513:D1513"/>
    <mergeCell ref="A1508:B1508"/>
    <mergeCell ref="C1508:D1508"/>
    <mergeCell ref="A1509:B1509"/>
    <mergeCell ref="C1509:D1509"/>
    <mergeCell ref="B1510:C1510"/>
    <mergeCell ref="D1510:E1510"/>
    <mergeCell ref="A1504:B1504"/>
    <mergeCell ref="C1504:D1504"/>
    <mergeCell ref="A1505:B1505"/>
    <mergeCell ref="A1506:B1506"/>
    <mergeCell ref="C1506:D1506"/>
    <mergeCell ref="A1507:B1507"/>
    <mergeCell ref="C1507:D1507"/>
    <mergeCell ref="A1521:B1521"/>
    <mergeCell ref="C1521:D1521"/>
    <mergeCell ref="A1522:B1522"/>
    <mergeCell ref="C1522:D1522"/>
    <mergeCell ref="A1523:B1523"/>
    <mergeCell ref="A1524:B1524"/>
    <mergeCell ref="C1524:D1524"/>
    <mergeCell ref="A1518:B1518"/>
    <mergeCell ref="C1518:D1518"/>
    <mergeCell ref="B1519:C1519"/>
    <mergeCell ref="D1519:E1519"/>
    <mergeCell ref="A1520:B1520"/>
    <mergeCell ref="C1520:D1520"/>
    <mergeCell ref="A1514:B1514"/>
    <mergeCell ref="A1515:B1515"/>
    <mergeCell ref="C1515:D1515"/>
    <mergeCell ref="A1516:B1516"/>
    <mergeCell ref="C1516:D1516"/>
    <mergeCell ref="A1517:B1517"/>
    <mergeCell ref="C1517:D1517"/>
    <mergeCell ref="A1531:B1531"/>
    <mergeCell ref="C1531:D1531"/>
    <mergeCell ref="A1532:B1532"/>
    <mergeCell ref="C1532:D1532"/>
    <mergeCell ref="A1533:B1533"/>
    <mergeCell ref="C1533:D1533"/>
    <mergeCell ref="B1528:C1528"/>
    <mergeCell ref="D1528:E1528"/>
    <mergeCell ref="A1529:B1529"/>
    <mergeCell ref="C1529:D1529"/>
    <mergeCell ref="A1530:B1530"/>
    <mergeCell ref="C1530:D1530"/>
    <mergeCell ref="A1525:B1525"/>
    <mergeCell ref="C1525:D1525"/>
    <mergeCell ref="A1526:B1526"/>
    <mergeCell ref="C1526:D1526"/>
    <mergeCell ref="A1527:B1527"/>
    <mergeCell ref="C1527:D1527"/>
    <mergeCell ref="A1540:B1540"/>
    <mergeCell ref="C1540:D1540"/>
    <mergeCell ref="A1541:B1541"/>
    <mergeCell ref="C1541:D1541"/>
    <mergeCell ref="A1542:B1542"/>
    <mergeCell ref="C1542:D1542"/>
    <mergeCell ref="A1537:B1537"/>
    <mergeCell ref="C1537:D1537"/>
    <mergeCell ref="A1538:B1538"/>
    <mergeCell ref="C1538:D1538"/>
    <mergeCell ref="B1539:C1539"/>
    <mergeCell ref="D1539:E1539"/>
    <mergeCell ref="A1534:B1534"/>
    <mergeCell ref="C1534:D1534"/>
    <mergeCell ref="A1535:B1535"/>
    <mergeCell ref="C1535:D1535"/>
    <mergeCell ref="A1536:B1536"/>
    <mergeCell ref="C1536:D1536"/>
    <mergeCell ref="A1549:B1549"/>
    <mergeCell ref="C1549:D1549"/>
    <mergeCell ref="B1550:C1550"/>
    <mergeCell ref="D1550:E1550"/>
    <mergeCell ref="A1551:B1551"/>
    <mergeCell ref="C1551:D1551"/>
    <mergeCell ref="A1546:B1546"/>
    <mergeCell ref="C1546:D1546"/>
    <mergeCell ref="A1547:B1547"/>
    <mergeCell ref="C1547:D1547"/>
    <mergeCell ref="A1548:B1548"/>
    <mergeCell ref="C1548:D1548"/>
    <mergeCell ref="A1543:B1543"/>
    <mergeCell ref="C1543:D1543"/>
    <mergeCell ref="A1544:B1544"/>
    <mergeCell ref="C1544:D1544"/>
    <mergeCell ref="A1545:B1545"/>
    <mergeCell ref="C1545:D1545"/>
    <mergeCell ref="A1558:B1558"/>
    <mergeCell ref="C1558:D1558"/>
    <mergeCell ref="A1559:B1559"/>
    <mergeCell ref="C1559:D1559"/>
    <mergeCell ref="A1560:B1560"/>
    <mergeCell ref="C1560:D1560"/>
    <mergeCell ref="A1555:B1555"/>
    <mergeCell ref="C1555:D1555"/>
    <mergeCell ref="A1556:B1556"/>
    <mergeCell ref="C1556:D1556"/>
    <mergeCell ref="A1557:B1557"/>
    <mergeCell ref="C1557:D1557"/>
    <mergeCell ref="A1552:B1552"/>
    <mergeCell ref="C1552:D1552"/>
    <mergeCell ref="A1553:B1553"/>
    <mergeCell ref="C1553:D1553"/>
    <mergeCell ref="A1554:B1554"/>
    <mergeCell ref="C1554:D1554"/>
    <mergeCell ref="A1567:B1567"/>
    <mergeCell ref="C1567:D1567"/>
    <mergeCell ref="A1568:B1568"/>
    <mergeCell ref="C1568:D1568"/>
    <mergeCell ref="A1569:B1569"/>
    <mergeCell ref="C1569:D1569"/>
    <mergeCell ref="A1564:B1564"/>
    <mergeCell ref="C1564:D1564"/>
    <mergeCell ref="A1565:B1565"/>
    <mergeCell ref="C1565:D1565"/>
    <mergeCell ref="P1565:Q1565"/>
    <mergeCell ref="A1566:B1566"/>
    <mergeCell ref="C1566:D1566"/>
    <mergeCell ref="B1561:C1561"/>
    <mergeCell ref="D1561:E1561"/>
    <mergeCell ref="A1562:B1562"/>
    <mergeCell ref="C1562:D1562"/>
    <mergeCell ref="A1563:B1563"/>
    <mergeCell ref="C1563:D1563"/>
    <mergeCell ref="A1576:B1576"/>
    <mergeCell ref="C1576:D1576"/>
    <mergeCell ref="A1577:B1577"/>
    <mergeCell ref="C1577:D1577"/>
    <mergeCell ref="A1578:B1578"/>
    <mergeCell ref="C1578:D1578"/>
    <mergeCell ref="A1573:B1573"/>
    <mergeCell ref="C1573:D1573"/>
    <mergeCell ref="A1574:B1574"/>
    <mergeCell ref="C1574:D1574"/>
    <mergeCell ref="P1574:Q1574"/>
    <mergeCell ref="A1575:B1575"/>
    <mergeCell ref="C1575:D1575"/>
    <mergeCell ref="A1570:B1570"/>
    <mergeCell ref="C1570:D1570"/>
    <mergeCell ref="A1571:B1571"/>
    <mergeCell ref="C1571:D1571"/>
    <mergeCell ref="B1572:C1572"/>
    <mergeCell ref="D1572:E1572"/>
    <mergeCell ref="P1584:Q1584"/>
    <mergeCell ref="A1585:B1585"/>
    <mergeCell ref="C1585:D1585"/>
    <mergeCell ref="A1586:B1586"/>
    <mergeCell ref="C1586:D1586"/>
    <mergeCell ref="A1587:B1587"/>
    <mergeCell ref="C1587:D1587"/>
    <mergeCell ref="A1582:B1582"/>
    <mergeCell ref="C1582:D1582"/>
    <mergeCell ref="B1583:C1583"/>
    <mergeCell ref="D1583:E1583"/>
    <mergeCell ref="A1584:B1584"/>
    <mergeCell ref="C1584:D1584"/>
    <mergeCell ref="A1579:B1579"/>
    <mergeCell ref="C1579:D1579"/>
    <mergeCell ref="A1580:B1580"/>
    <mergeCell ref="C1580:D1580"/>
    <mergeCell ref="A1581:B1581"/>
    <mergeCell ref="C1581:D1581"/>
    <mergeCell ref="B1594:C1594"/>
    <mergeCell ref="D1594:E1594"/>
    <mergeCell ref="P1594:Q1594"/>
    <mergeCell ref="A1595:B1595"/>
    <mergeCell ref="C1595:D1595"/>
    <mergeCell ref="A1596:B1596"/>
    <mergeCell ref="C1596:D1596"/>
    <mergeCell ref="A1591:B1591"/>
    <mergeCell ref="C1591:D1591"/>
    <mergeCell ref="A1592:B1592"/>
    <mergeCell ref="C1592:D1592"/>
    <mergeCell ref="A1593:B1593"/>
    <mergeCell ref="C1593:D1593"/>
    <mergeCell ref="A1588:B1588"/>
    <mergeCell ref="C1588:D1588"/>
    <mergeCell ref="A1589:B1589"/>
    <mergeCell ref="C1589:D1589"/>
    <mergeCell ref="A1590:B1590"/>
    <mergeCell ref="C1590:D1590"/>
    <mergeCell ref="B1603:C1603"/>
    <mergeCell ref="D1603:E1603"/>
    <mergeCell ref="A1604:B1604"/>
    <mergeCell ref="C1604:D1604"/>
    <mergeCell ref="A1605:B1605"/>
    <mergeCell ref="C1605:D1605"/>
    <mergeCell ref="A1600:B1600"/>
    <mergeCell ref="C1600:D1600"/>
    <mergeCell ref="A1601:B1601"/>
    <mergeCell ref="C1601:D1601"/>
    <mergeCell ref="A1602:B1602"/>
    <mergeCell ref="C1602:D1602"/>
    <mergeCell ref="A1597:B1597"/>
    <mergeCell ref="C1597:D1597"/>
    <mergeCell ref="A1598:B1598"/>
    <mergeCell ref="C1598:D1598"/>
    <mergeCell ref="A1599:B1599"/>
    <mergeCell ref="C1599:D1599"/>
    <mergeCell ref="B1612:C1612"/>
    <mergeCell ref="D1612:E1612"/>
    <mergeCell ref="A1613:B1613"/>
    <mergeCell ref="C1613:D1613"/>
    <mergeCell ref="A1614:B1614"/>
    <mergeCell ref="C1614:D1614"/>
    <mergeCell ref="A1609:B1609"/>
    <mergeCell ref="C1609:D1609"/>
    <mergeCell ref="A1610:B1610"/>
    <mergeCell ref="C1610:D1610"/>
    <mergeCell ref="A1611:B1611"/>
    <mergeCell ref="C1611:D1611"/>
    <mergeCell ref="A1606:B1606"/>
    <mergeCell ref="C1606:D1606"/>
    <mergeCell ref="A1607:B1607"/>
    <mergeCell ref="C1607:D1607"/>
    <mergeCell ref="A1608:B1608"/>
    <mergeCell ref="C1608:D1608"/>
    <mergeCell ref="A1621:B1621"/>
    <mergeCell ref="C1621:D1621"/>
    <mergeCell ref="B1622:C1622"/>
    <mergeCell ref="D1622:E1622"/>
    <mergeCell ref="A1623:B1623"/>
    <mergeCell ref="C1623:D1623"/>
    <mergeCell ref="A1618:B1618"/>
    <mergeCell ref="C1618:D1618"/>
    <mergeCell ref="A1619:B1619"/>
    <mergeCell ref="C1619:D1619"/>
    <mergeCell ref="A1620:B1620"/>
    <mergeCell ref="C1620:D1620"/>
    <mergeCell ref="A1615:B1615"/>
    <mergeCell ref="C1615:D1615"/>
    <mergeCell ref="A1616:B1616"/>
    <mergeCell ref="C1616:D1616"/>
    <mergeCell ref="A1617:B1617"/>
    <mergeCell ref="C1617:D1617"/>
    <mergeCell ref="A1630:B1630"/>
    <mergeCell ref="C1630:D1630"/>
    <mergeCell ref="A1631:B1631"/>
    <mergeCell ref="C1631:D1631"/>
    <mergeCell ref="B1632:C1632"/>
    <mergeCell ref="D1632:E1632"/>
    <mergeCell ref="A1627:B1627"/>
    <mergeCell ref="C1627:D1627"/>
    <mergeCell ref="A1628:B1628"/>
    <mergeCell ref="C1628:D1628"/>
    <mergeCell ref="A1629:B1629"/>
    <mergeCell ref="C1629:D1629"/>
    <mergeCell ref="A1624:B1624"/>
    <mergeCell ref="C1624:D1624"/>
    <mergeCell ref="A1625:B1625"/>
    <mergeCell ref="C1625:D1625"/>
    <mergeCell ref="A1626:B1626"/>
    <mergeCell ref="C1626:D1626"/>
    <mergeCell ref="A1639:B1639"/>
    <mergeCell ref="C1639:D1639"/>
    <mergeCell ref="A1640:B1640"/>
    <mergeCell ref="C1640:D1640"/>
    <mergeCell ref="B1641:C1641"/>
    <mergeCell ref="D1641:E1641"/>
    <mergeCell ref="A1636:B1636"/>
    <mergeCell ref="C1636:D1636"/>
    <mergeCell ref="A1637:B1637"/>
    <mergeCell ref="C1637:D1637"/>
    <mergeCell ref="B1638:C1638"/>
    <mergeCell ref="D1638:E1638"/>
    <mergeCell ref="A1633:B1633"/>
    <mergeCell ref="C1633:D1633"/>
    <mergeCell ref="A1634:B1634"/>
    <mergeCell ref="C1634:D1634"/>
    <mergeCell ref="A1635:B1635"/>
    <mergeCell ref="C1635:D1635"/>
    <mergeCell ref="A1648:B1648"/>
    <mergeCell ref="C1648:D1648"/>
    <mergeCell ref="A1649:B1649"/>
    <mergeCell ref="C1649:D1649"/>
    <mergeCell ref="A1650:B1650"/>
    <mergeCell ref="C1650:D1650"/>
    <mergeCell ref="A1645:B1645"/>
    <mergeCell ref="C1645:D1645"/>
    <mergeCell ref="A1646:B1646"/>
    <mergeCell ref="C1646:D1646"/>
    <mergeCell ref="B1647:C1647"/>
    <mergeCell ref="D1647:E1647"/>
    <mergeCell ref="A1642:B1642"/>
    <mergeCell ref="C1642:D1642"/>
    <mergeCell ref="A1643:B1643"/>
    <mergeCell ref="C1643:D1643"/>
    <mergeCell ref="B1644:C1644"/>
    <mergeCell ref="D1644:E1644"/>
    <mergeCell ref="A1657:B1657"/>
    <mergeCell ref="C1657:D1657"/>
    <mergeCell ref="A1658:B1658"/>
    <mergeCell ref="C1658:D1658"/>
    <mergeCell ref="A1659:B1659"/>
    <mergeCell ref="C1659:D1659"/>
    <mergeCell ref="A1654:B1654"/>
    <mergeCell ref="C1654:D1654"/>
    <mergeCell ref="B1655:C1655"/>
    <mergeCell ref="D1655:E1655"/>
    <mergeCell ref="A1656:B1656"/>
    <mergeCell ref="C1656:D1656"/>
    <mergeCell ref="B1651:C1651"/>
    <mergeCell ref="D1651:E1651"/>
    <mergeCell ref="A1652:B1652"/>
    <mergeCell ref="C1652:D1652"/>
    <mergeCell ref="A1653:B1653"/>
    <mergeCell ref="C1653:D1653"/>
    <mergeCell ref="A1666:B1666"/>
    <mergeCell ref="C1666:D1666"/>
    <mergeCell ref="A1667:B1667"/>
    <mergeCell ref="C1667:D1667"/>
    <mergeCell ref="A1668:B1668"/>
    <mergeCell ref="C1668:D1668"/>
    <mergeCell ref="A1663:B1663"/>
    <mergeCell ref="C1663:D1663"/>
    <mergeCell ref="B1664:C1664"/>
    <mergeCell ref="D1664:E1664"/>
    <mergeCell ref="A1665:B1665"/>
    <mergeCell ref="C1665:D1665"/>
    <mergeCell ref="A1660:B1660"/>
    <mergeCell ref="C1660:D1660"/>
    <mergeCell ref="A1661:B1661"/>
    <mergeCell ref="C1661:D1661"/>
    <mergeCell ref="A1662:B1662"/>
    <mergeCell ref="C1662:D1662"/>
    <mergeCell ref="A1675:B1675"/>
    <mergeCell ref="C1675:D1675"/>
    <mergeCell ref="A1676:B1676"/>
    <mergeCell ref="C1676:D1676"/>
    <mergeCell ref="A1677:B1677"/>
    <mergeCell ref="C1677:D1677"/>
    <mergeCell ref="A1672:B1672"/>
    <mergeCell ref="C1672:D1672"/>
    <mergeCell ref="B1673:C1673"/>
    <mergeCell ref="D1673:E1673"/>
    <mergeCell ref="A1674:B1674"/>
    <mergeCell ref="C1674:D1674"/>
    <mergeCell ref="A1669:B1669"/>
    <mergeCell ref="C1669:D1669"/>
    <mergeCell ref="A1670:B1670"/>
    <mergeCell ref="C1670:D1670"/>
    <mergeCell ref="A1671:B1671"/>
    <mergeCell ref="C1671:D1671"/>
    <mergeCell ref="A1684:B1684"/>
    <mergeCell ref="C1684:D1684"/>
    <mergeCell ref="A1685:B1685"/>
    <mergeCell ref="C1685:D1685"/>
    <mergeCell ref="A1686:B1686"/>
    <mergeCell ref="C1686:D1686"/>
    <mergeCell ref="B1681:C1681"/>
    <mergeCell ref="D1681:E1681"/>
    <mergeCell ref="A1682:B1682"/>
    <mergeCell ref="C1682:D1682"/>
    <mergeCell ref="A1683:B1683"/>
    <mergeCell ref="C1683:D1683"/>
    <mergeCell ref="A1678:B1678"/>
    <mergeCell ref="C1678:D1678"/>
    <mergeCell ref="A1679:B1679"/>
    <mergeCell ref="C1679:D1679"/>
    <mergeCell ref="A1680:B1680"/>
    <mergeCell ref="C1680:D1680"/>
    <mergeCell ref="A1693:B1693"/>
    <mergeCell ref="C1693:D1693"/>
    <mergeCell ref="A1694:B1694"/>
    <mergeCell ref="C1694:D1694"/>
    <mergeCell ref="A1695:B1695"/>
    <mergeCell ref="C1695:D1695"/>
    <mergeCell ref="B1690:C1690"/>
    <mergeCell ref="D1690:E1690"/>
    <mergeCell ref="A1691:B1691"/>
    <mergeCell ref="C1691:D1691"/>
    <mergeCell ref="A1692:B1692"/>
    <mergeCell ref="C1692:D1692"/>
    <mergeCell ref="A1687:B1687"/>
    <mergeCell ref="C1687:D1687"/>
    <mergeCell ref="A1688:B1688"/>
    <mergeCell ref="C1688:D1688"/>
    <mergeCell ref="A1689:B1689"/>
    <mergeCell ref="C1689:D1689"/>
    <mergeCell ref="A1702:B1702"/>
    <mergeCell ref="C1702:D1702"/>
    <mergeCell ref="A1703:B1703"/>
    <mergeCell ref="C1703:D1703"/>
    <mergeCell ref="A1704:B1704"/>
    <mergeCell ref="C1704:D1704"/>
    <mergeCell ref="B1699:C1699"/>
    <mergeCell ref="D1699:E1699"/>
    <mergeCell ref="A1700:B1700"/>
    <mergeCell ref="C1700:D1700"/>
    <mergeCell ref="A1701:B1701"/>
    <mergeCell ref="C1701:D1701"/>
    <mergeCell ref="A1696:B1696"/>
    <mergeCell ref="C1696:D1696"/>
    <mergeCell ref="A1697:B1697"/>
    <mergeCell ref="C1697:D1697"/>
    <mergeCell ref="A1698:B1698"/>
    <mergeCell ref="C1698:D1698"/>
    <mergeCell ref="A1711:B1711"/>
    <mergeCell ref="C1711:D1711"/>
    <mergeCell ref="A1712:B1712"/>
    <mergeCell ref="C1712:D1712"/>
    <mergeCell ref="A1713:B1713"/>
    <mergeCell ref="C1713:D1713"/>
    <mergeCell ref="A1708:B1708"/>
    <mergeCell ref="C1708:D1708"/>
    <mergeCell ref="A1709:B1709"/>
    <mergeCell ref="C1709:D1709"/>
    <mergeCell ref="A1710:B1710"/>
    <mergeCell ref="C1710:D1710"/>
    <mergeCell ref="A1705:B1705"/>
    <mergeCell ref="C1705:D1705"/>
    <mergeCell ref="A1706:B1706"/>
    <mergeCell ref="C1706:D1706"/>
    <mergeCell ref="B1707:C1707"/>
    <mergeCell ref="D1707:E1707"/>
    <mergeCell ref="A1720:B1720"/>
    <mergeCell ref="C1720:D1720"/>
    <mergeCell ref="A1721:B1721"/>
    <mergeCell ref="C1721:D1721"/>
    <mergeCell ref="A1722:B1722"/>
    <mergeCell ref="C1722:D1722"/>
    <mergeCell ref="A1717:B1717"/>
    <mergeCell ref="C1717:D1717"/>
    <mergeCell ref="A1718:B1718"/>
    <mergeCell ref="C1718:D1718"/>
    <mergeCell ref="A1719:B1719"/>
    <mergeCell ref="C1719:D1719"/>
    <mergeCell ref="A1714:B1714"/>
    <mergeCell ref="C1714:D1714"/>
    <mergeCell ref="B1715:C1715"/>
    <mergeCell ref="D1715:E1715"/>
    <mergeCell ref="A1716:B1716"/>
    <mergeCell ref="C1716:D1716"/>
    <mergeCell ref="A1729:B1729"/>
    <mergeCell ref="C1729:D1729"/>
    <mergeCell ref="A1730:B1730"/>
    <mergeCell ref="C1730:D1730"/>
    <mergeCell ref="A1731:B1731"/>
    <mergeCell ref="C1731:D1731"/>
    <mergeCell ref="A1726:B1726"/>
    <mergeCell ref="C1726:D1726"/>
    <mergeCell ref="A1727:B1727"/>
    <mergeCell ref="C1727:D1727"/>
    <mergeCell ref="A1728:B1728"/>
    <mergeCell ref="C1728:D1728"/>
    <mergeCell ref="A1723:B1723"/>
    <mergeCell ref="C1723:D1723"/>
    <mergeCell ref="B1724:C1724"/>
    <mergeCell ref="D1724:E1724"/>
    <mergeCell ref="A1725:B1725"/>
    <mergeCell ref="C1725:D1725"/>
    <mergeCell ref="A1738:B1738"/>
    <mergeCell ref="C1738:D1738"/>
    <mergeCell ref="A1739:B1739"/>
    <mergeCell ref="C1739:D1739"/>
    <mergeCell ref="A1740:B1740"/>
    <mergeCell ref="C1740:D1740"/>
    <mergeCell ref="A1735:B1735"/>
    <mergeCell ref="C1735:D1735"/>
    <mergeCell ref="A1736:B1736"/>
    <mergeCell ref="C1736:D1736"/>
    <mergeCell ref="A1737:B1737"/>
    <mergeCell ref="C1737:D1737"/>
    <mergeCell ref="A1732:B1732"/>
    <mergeCell ref="C1732:D1732"/>
    <mergeCell ref="B1733:C1733"/>
    <mergeCell ref="D1733:E1733"/>
    <mergeCell ref="A1734:B1734"/>
    <mergeCell ref="C1734:D1734"/>
    <mergeCell ref="A1747:B1747"/>
    <mergeCell ref="C1747:D1747"/>
    <mergeCell ref="A1748:B1748"/>
    <mergeCell ref="C1748:D1748"/>
    <mergeCell ref="A1749:B1749"/>
    <mergeCell ref="C1749:D1749"/>
    <mergeCell ref="A1744:B1744"/>
    <mergeCell ref="C1744:D1744"/>
    <mergeCell ref="A1745:B1745"/>
    <mergeCell ref="C1745:D1745"/>
    <mergeCell ref="A1746:B1746"/>
    <mergeCell ref="C1746:D1746"/>
    <mergeCell ref="A1741:B1741"/>
    <mergeCell ref="C1741:D1741"/>
    <mergeCell ref="B1742:C1742"/>
    <mergeCell ref="D1742:E1742"/>
    <mergeCell ref="A1743:B1743"/>
    <mergeCell ref="C1743:D1743"/>
    <mergeCell ref="A1756:B1756"/>
    <mergeCell ref="C1756:D1756"/>
    <mergeCell ref="A1757:B1757"/>
    <mergeCell ref="C1757:D1757"/>
    <mergeCell ref="A1758:B1758"/>
    <mergeCell ref="C1758:D1758"/>
    <mergeCell ref="A1753:B1753"/>
    <mergeCell ref="C1753:D1753"/>
    <mergeCell ref="A1754:B1754"/>
    <mergeCell ref="C1754:D1754"/>
    <mergeCell ref="A1755:B1755"/>
    <mergeCell ref="C1755:D1755"/>
    <mergeCell ref="A1750:B1750"/>
    <mergeCell ref="C1750:D1750"/>
    <mergeCell ref="B1751:C1751"/>
    <mergeCell ref="D1751:E1751"/>
    <mergeCell ref="A1752:B1752"/>
    <mergeCell ref="C1752:D1752"/>
    <mergeCell ref="A1765:B1765"/>
    <mergeCell ref="C1765:D1765"/>
    <mergeCell ref="A1766:B1766"/>
    <mergeCell ref="C1766:D1766"/>
    <mergeCell ref="A1767:B1767"/>
    <mergeCell ref="C1767:D1767"/>
    <mergeCell ref="A1762:B1762"/>
    <mergeCell ref="C1762:D1762"/>
    <mergeCell ref="A1763:B1763"/>
    <mergeCell ref="C1763:D1763"/>
    <mergeCell ref="A1764:B1764"/>
    <mergeCell ref="C1764:D1764"/>
    <mergeCell ref="A1759:B1759"/>
    <mergeCell ref="C1759:D1759"/>
    <mergeCell ref="B1760:C1760"/>
    <mergeCell ref="D1760:E1760"/>
    <mergeCell ref="A1761:B1761"/>
    <mergeCell ref="C1761:D1761"/>
    <mergeCell ref="A1774:B1774"/>
    <mergeCell ref="C1774:D1774"/>
    <mergeCell ref="A1775:B1775"/>
    <mergeCell ref="C1775:D1775"/>
    <mergeCell ref="A1776:B1776"/>
    <mergeCell ref="C1776:D1776"/>
    <mergeCell ref="A1771:B1771"/>
    <mergeCell ref="C1771:D1771"/>
    <mergeCell ref="A1772:B1772"/>
    <mergeCell ref="C1772:D1772"/>
    <mergeCell ref="B1773:C1773"/>
    <mergeCell ref="D1773:E1773"/>
    <mergeCell ref="B1768:C1768"/>
    <mergeCell ref="D1768:E1768"/>
    <mergeCell ref="A1769:B1769"/>
    <mergeCell ref="C1769:D1769"/>
    <mergeCell ref="A1770:B1770"/>
    <mergeCell ref="C1770:D1770"/>
    <mergeCell ref="B1783:C1783"/>
    <mergeCell ref="D1783:E1783"/>
    <mergeCell ref="A1784:B1784"/>
    <mergeCell ref="C1784:D1784"/>
    <mergeCell ref="A1785:B1785"/>
    <mergeCell ref="C1785:D1785"/>
    <mergeCell ref="A1780:B1780"/>
    <mergeCell ref="C1780:D1780"/>
    <mergeCell ref="A1781:B1781"/>
    <mergeCell ref="C1781:D1781"/>
    <mergeCell ref="A1782:B1782"/>
    <mergeCell ref="C1782:D1782"/>
    <mergeCell ref="A1777:B1777"/>
    <mergeCell ref="C1777:D1777"/>
    <mergeCell ref="B1778:C1778"/>
    <mergeCell ref="D1778:E1778"/>
    <mergeCell ref="A1779:B1779"/>
    <mergeCell ref="C1779:D1779"/>
    <mergeCell ref="A1792:B1792"/>
    <mergeCell ref="C1792:D1792"/>
    <mergeCell ref="A1793:B1793"/>
    <mergeCell ref="C1793:D1793"/>
    <mergeCell ref="A1794:B1794"/>
    <mergeCell ref="C1794:D1794"/>
    <mergeCell ref="A1789:B1789"/>
    <mergeCell ref="C1789:D1789"/>
    <mergeCell ref="A1790:B1790"/>
    <mergeCell ref="C1790:D1790"/>
    <mergeCell ref="A1791:B1791"/>
    <mergeCell ref="C1791:D1791"/>
    <mergeCell ref="A1786:B1786"/>
    <mergeCell ref="C1786:D1786"/>
    <mergeCell ref="A1787:B1787"/>
    <mergeCell ref="C1787:D1787"/>
    <mergeCell ref="B1788:C1788"/>
    <mergeCell ref="D1788:E1788"/>
    <mergeCell ref="A1801:B1801"/>
    <mergeCell ref="C1801:D1801"/>
    <mergeCell ref="A1802:B1802"/>
    <mergeCell ref="C1802:D1802"/>
    <mergeCell ref="A1803:B1803"/>
    <mergeCell ref="C1803:D1803"/>
    <mergeCell ref="B1798:C1798"/>
    <mergeCell ref="D1798:E1798"/>
    <mergeCell ref="A1799:B1799"/>
    <mergeCell ref="C1799:D1799"/>
    <mergeCell ref="A1800:B1800"/>
    <mergeCell ref="C1800:D1800"/>
    <mergeCell ref="A1795:B1795"/>
    <mergeCell ref="C1795:D1795"/>
    <mergeCell ref="A1796:B1796"/>
    <mergeCell ref="C1796:D1796"/>
    <mergeCell ref="A1797:B1797"/>
    <mergeCell ref="C1797:D1797"/>
    <mergeCell ref="B1810:C1810"/>
    <mergeCell ref="D1810:E1810"/>
    <mergeCell ref="A1811:B1811"/>
    <mergeCell ref="C1811:D1811"/>
    <mergeCell ref="A1812:B1812"/>
    <mergeCell ref="C1812:D1812"/>
    <mergeCell ref="A1807:B1807"/>
    <mergeCell ref="C1807:D1807"/>
    <mergeCell ref="A1808:B1808"/>
    <mergeCell ref="C1808:D1808"/>
    <mergeCell ref="A1809:B1809"/>
    <mergeCell ref="C1809:D1809"/>
    <mergeCell ref="A1804:B1804"/>
    <mergeCell ref="C1804:D1804"/>
    <mergeCell ref="A1805:B1805"/>
    <mergeCell ref="C1805:D1805"/>
    <mergeCell ref="A1806:B1806"/>
    <mergeCell ref="C1806:D1806"/>
    <mergeCell ref="A1819:B1819"/>
    <mergeCell ref="C1819:D1819"/>
    <mergeCell ref="A1820:B1820"/>
    <mergeCell ref="C1820:D1820"/>
    <mergeCell ref="A1821:B1821"/>
    <mergeCell ref="C1821:D1821"/>
    <mergeCell ref="A1816:B1816"/>
    <mergeCell ref="C1816:D1816"/>
    <mergeCell ref="A1817:B1817"/>
    <mergeCell ref="C1817:D1817"/>
    <mergeCell ref="A1818:B1818"/>
    <mergeCell ref="C1818:D1818"/>
    <mergeCell ref="A1813:B1813"/>
    <mergeCell ref="C1813:D1813"/>
    <mergeCell ref="A1814:B1814"/>
    <mergeCell ref="C1814:D1814"/>
    <mergeCell ref="A1815:B1815"/>
    <mergeCell ref="C1815:D1815"/>
    <mergeCell ref="A1828:B1828"/>
    <mergeCell ref="C1828:D1828"/>
    <mergeCell ref="A1829:B1829"/>
    <mergeCell ref="C1829:D1829"/>
    <mergeCell ref="A1830:B1830"/>
    <mergeCell ref="C1830:D1830"/>
    <mergeCell ref="A1825:B1825"/>
    <mergeCell ref="C1825:D1825"/>
    <mergeCell ref="A1826:B1826"/>
    <mergeCell ref="C1826:D1826"/>
    <mergeCell ref="A1827:B1827"/>
    <mergeCell ref="C1827:D1827"/>
    <mergeCell ref="B1822:C1822"/>
    <mergeCell ref="D1822:E1822"/>
    <mergeCell ref="A1823:B1823"/>
    <mergeCell ref="C1823:D1823"/>
    <mergeCell ref="A1824:B1824"/>
    <mergeCell ref="C1824:D1824"/>
    <mergeCell ref="A1837:B1837"/>
    <mergeCell ref="C1837:D1837"/>
    <mergeCell ref="A1838:B1838"/>
    <mergeCell ref="C1838:D1838"/>
    <mergeCell ref="A1839:B1839"/>
    <mergeCell ref="C1839:D1839"/>
    <mergeCell ref="A1834:B1834"/>
    <mergeCell ref="C1834:D1834"/>
    <mergeCell ref="A1835:B1835"/>
    <mergeCell ref="C1835:D1835"/>
    <mergeCell ref="A1836:B1836"/>
    <mergeCell ref="C1836:D1836"/>
    <mergeCell ref="A1831:B1831"/>
    <mergeCell ref="C1831:D1831"/>
    <mergeCell ref="A1832:B1832"/>
    <mergeCell ref="C1832:D1832"/>
    <mergeCell ref="B1833:C1833"/>
    <mergeCell ref="D1833:E1833"/>
    <mergeCell ref="A1846:B1846"/>
    <mergeCell ref="C1846:D1846"/>
    <mergeCell ref="A1847:B1847"/>
    <mergeCell ref="C1847:D1847"/>
    <mergeCell ref="A1848:B1848"/>
    <mergeCell ref="C1848:D1848"/>
    <mergeCell ref="A1843:B1843"/>
    <mergeCell ref="C1843:D1843"/>
    <mergeCell ref="B1844:C1844"/>
    <mergeCell ref="D1844:E1844"/>
    <mergeCell ref="A1845:B1845"/>
    <mergeCell ref="C1845:D1845"/>
    <mergeCell ref="A1840:B1840"/>
    <mergeCell ref="C1840:D1840"/>
    <mergeCell ref="A1841:B1841"/>
    <mergeCell ref="C1841:D1841"/>
    <mergeCell ref="A1842:B1842"/>
    <mergeCell ref="C1842:D1842"/>
    <mergeCell ref="B1855:C1855"/>
    <mergeCell ref="D1855:E1855"/>
    <mergeCell ref="A1856:B1856"/>
    <mergeCell ref="C1856:D1856"/>
    <mergeCell ref="A1857:B1857"/>
    <mergeCell ref="C1857:D1857"/>
    <mergeCell ref="A1852:B1852"/>
    <mergeCell ref="C1852:D1852"/>
    <mergeCell ref="A1853:B1853"/>
    <mergeCell ref="C1853:D1853"/>
    <mergeCell ref="A1854:B1854"/>
    <mergeCell ref="C1854:D1854"/>
    <mergeCell ref="A1849:B1849"/>
    <mergeCell ref="C1849:D1849"/>
    <mergeCell ref="A1850:B1850"/>
    <mergeCell ref="C1850:D1850"/>
    <mergeCell ref="A1851:B1851"/>
    <mergeCell ref="C1851:D1851"/>
    <mergeCell ref="A1864:B1864"/>
    <mergeCell ref="C1864:D1864"/>
    <mergeCell ref="A1865:B1865"/>
    <mergeCell ref="C1865:D1865"/>
    <mergeCell ref="B1866:C1866"/>
    <mergeCell ref="D1866:E1866"/>
    <mergeCell ref="A1861:B1861"/>
    <mergeCell ref="C1861:D1861"/>
    <mergeCell ref="A1862:B1862"/>
    <mergeCell ref="C1862:D1862"/>
    <mergeCell ref="A1863:B1863"/>
    <mergeCell ref="C1863:D1863"/>
    <mergeCell ref="A1858:B1858"/>
    <mergeCell ref="C1858:D1858"/>
    <mergeCell ref="A1859:B1859"/>
    <mergeCell ref="C1859:D1859"/>
    <mergeCell ref="A1860:B1860"/>
    <mergeCell ref="C1860:D1860"/>
    <mergeCell ref="A1873:B1873"/>
    <mergeCell ref="C1873:D1873"/>
    <mergeCell ref="A1874:B1874"/>
    <mergeCell ref="C1874:D1874"/>
    <mergeCell ref="A1875:B1875"/>
    <mergeCell ref="C1875:D1875"/>
    <mergeCell ref="A1870:B1870"/>
    <mergeCell ref="C1870:D1870"/>
    <mergeCell ref="A1871:B1871"/>
    <mergeCell ref="C1871:D1871"/>
    <mergeCell ref="A1872:B1872"/>
    <mergeCell ref="C1872:D1872"/>
    <mergeCell ref="A1867:B1867"/>
    <mergeCell ref="C1867:D1867"/>
    <mergeCell ref="A1868:B1868"/>
    <mergeCell ref="C1868:D1868"/>
    <mergeCell ref="A1869:B1869"/>
    <mergeCell ref="C1869:D1869"/>
    <mergeCell ref="A1882:B1882"/>
    <mergeCell ref="C1882:D1882"/>
    <mergeCell ref="A1883:B1883"/>
    <mergeCell ref="C1883:D1883"/>
    <mergeCell ref="A1884:B1884"/>
    <mergeCell ref="C1884:D1884"/>
    <mergeCell ref="A1879:B1879"/>
    <mergeCell ref="C1879:D1879"/>
    <mergeCell ref="A1880:B1880"/>
    <mergeCell ref="C1880:D1880"/>
    <mergeCell ref="A1881:B1881"/>
    <mergeCell ref="C1881:D1881"/>
    <mergeCell ref="B1876:C1876"/>
    <mergeCell ref="D1876:E1876"/>
    <mergeCell ref="A1877:B1877"/>
    <mergeCell ref="C1877:D1877"/>
    <mergeCell ref="A1878:B1878"/>
    <mergeCell ref="C1878:D1878"/>
    <mergeCell ref="A1891:B1891"/>
    <mergeCell ref="C1891:D1891"/>
    <mergeCell ref="A1892:B1892"/>
    <mergeCell ref="C1892:D1892"/>
    <mergeCell ref="A1893:B1893"/>
    <mergeCell ref="C1893:D1893"/>
    <mergeCell ref="B1888:C1888"/>
    <mergeCell ref="D1888:E1888"/>
    <mergeCell ref="A1889:B1889"/>
    <mergeCell ref="C1889:D1889"/>
    <mergeCell ref="A1890:B1890"/>
    <mergeCell ref="C1890:D1890"/>
    <mergeCell ref="A1885:B1885"/>
    <mergeCell ref="C1885:D1885"/>
    <mergeCell ref="A1886:B1886"/>
    <mergeCell ref="C1886:D1886"/>
    <mergeCell ref="A1887:B1887"/>
    <mergeCell ref="C1887:D1887"/>
    <mergeCell ref="A1900:B1900"/>
    <mergeCell ref="C1900:D1900"/>
    <mergeCell ref="A1901:B1901"/>
    <mergeCell ref="C1901:D1901"/>
    <mergeCell ref="A1902:B1902"/>
    <mergeCell ref="C1902:D1902"/>
    <mergeCell ref="A1897:B1897"/>
    <mergeCell ref="C1897:D1897"/>
    <mergeCell ref="A1898:B1898"/>
    <mergeCell ref="C1898:D1898"/>
    <mergeCell ref="B1899:C1899"/>
    <mergeCell ref="D1899:E1899"/>
    <mergeCell ref="A1894:B1894"/>
    <mergeCell ref="C1894:D1894"/>
    <mergeCell ref="A1895:B1895"/>
    <mergeCell ref="C1895:D1895"/>
    <mergeCell ref="A1896:B1896"/>
    <mergeCell ref="C1896:D1896"/>
    <mergeCell ref="A1909:B1909"/>
    <mergeCell ref="C1909:D1909"/>
    <mergeCell ref="B1910:C1910"/>
    <mergeCell ref="D1910:E1910"/>
    <mergeCell ref="A1911:B1911"/>
    <mergeCell ref="C1911:D1911"/>
    <mergeCell ref="A1906:B1906"/>
    <mergeCell ref="C1906:D1906"/>
    <mergeCell ref="A1907:B1907"/>
    <mergeCell ref="C1907:D1907"/>
    <mergeCell ref="A1908:B1908"/>
    <mergeCell ref="C1908:D1908"/>
    <mergeCell ref="A1903:B1903"/>
    <mergeCell ref="C1903:D1903"/>
    <mergeCell ref="A1904:B1904"/>
    <mergeCell ref="C1904:D1904"/>
    <mergeCell ref="A1905:B1905"/>
    <mergeCell ref="C1905:D1905"/>
    <mergeCell ref="A1918:B1918"/>
    <mergeCell ref="C1918:D1918"/>
    <mergeCell ref="A1919:B1919"/>
    <mergeCell ref="C1919:D1919"/>
    <mergeCell ref="B1920:C1920"/>
    <mergeCell ref="D1920:E1920"/>
    <mergeCell ref="A1915:B1915"/>
    <mergeCell ref="C1915:D1915"/>
    <mergeCell ref="A1916:B1916"/>
    <mergeCell ref="C1916:D1916"/>
    <mergeCell ref="A1917:B1917"/>
    <mergeCell ref="C1917:D1917"/>
    <mergeCell ref="A1912:B1912"/>
    <mergeCell ref="C1912:D1912"/>
    <mergeCell ref="A1913:B1913"/>
    <mergeCell ref="C1913:D1913"/>
    <mergeCell ref="A1914:B1914"/>
    <mergeCell ref="C1914:D1914"/>
    <mergeCell ref="A1927:B1927"/>
    <mergeCell ref="C1927:D1927"/>
    <mergeCell ref="A1928:B1928"/>
    <mergeCell ref="C1928:D1928"/>
    <mergeCell ref="A1929:B1929"/>
    <mergeCell ref="C1929:D1929"/>
    <mergeCell ref="A1924:B1924"/>
    <mergeCell ref="C1924:D1924"/>
    <mergeCell ref="A1925:B1925"/>
    <mergeCell ref="C1925:D1925"/>
    <mergeCell ref="A1926:B1926"/>
    <mergeCell ref="C1926:D1926"/>
    <mergeCell ref="A1921:B1921"/>
    <mergeCell ref="C1921:D1921"/>
    <mergeCell ref="A1922:B1922"/>
    <mergeCell ref="C1922:D1922"/>
    <mergeCell ref="A1923:B1923"/>
    <mergeCell ref="C1923:D1923"/>
    <mergeCell ref="A1936:B1936"/>
    <mergeCell ref="C1936:D1936"/>
    <mergeCell ref="A1937:B1937"/>
    <mergeCell ref="C1937:D1937"/>
    <mergeCell ref="A1938:B1938"/>
    <mergeCell ref="C1938:D1938"/>
    <mergeCell ref="A1933:B1933"/>
    <mergeCell ref="C1933:D1933"/>
    <mergeCell ref="A1934:B1934"/>
    <mergeCell ref="C1934:D1934"/>
    <mergeCell ref="A1935:B1935"/>
    <mergeCell ref="C1935:D1935"/>
    <mergeCell ref="B1930:C1930"/>
    <mergeCell ref="D1930:E1930"/>
    <mergeCell ref="A1931:B1931"/>
    <mergeCell ref="C1931:D1931"/>
    <mergeCell ref="A1932:B1932"/>
    <mergeCell ref="C1932:D1932"/>
    <mergeCell ref="A1945:B1945"/>
    <mergeCell ref="C1945:D1945"/>
    <mergeCell ref="A1946:B1946"/>
    <mergeCell ref="C1946:D1946"/>
    <mergeCell ref="A1947:B1947"/>
    <mergeCell ref="C1947:D1947"/>
    <mergeCell ref="A1942:B1942"/>
    <mergeCell ref="C1942:D1942"/>
    <mergeCell ref="A1943:B1943"/>
    <mergeCell ref="C1943:D1943"/>
    <mergeCell ref="A1944:B1944"/>
    <mergeCell ref="C1944:D1944"/>
    <mergeCell ref="A1939:B1939"/>
    <mergeCell ref="C1939:D1939"/>
    <mergeCell ref="B1940:C1940"/>
    <mergeCell ref="D1940:E1940"/>
    <mergeCell ref="A1941:B1941"/>
    <mergeCell ref="C1941:D1941"/>
    <mergeCell ref="A1955:B1955"/>
    <mergeCell ref="C1955:D1955"/>
    <mergeCell ref="A1956:B1956"/>
    <mergeCell ref="C1956:D1956"/>
    <mergeCell ref="A1957:B1957"/>
    <mergeCell ref="C1957:D1957"/>
    <mergeCell ref="A1951:B1951"/>
    <mergeCell ref="C1951:D1951"/>
    <mergeCell ref="A1952:B1952"/>
    <mergeCell ref="C1952:D1952"/>
    <mergeCell ref="A1954:B1954"/>
    <mergeCell ref="C1954:D1954"/>
    <mergeCell ref="A1948:B1948"/>
    <mergeCell ref="C1948:D1948"/>
    <mergeCell ref="A1949:B1949"/>
    <mergeCell ref="C1949:D1949"/>
    <mergeCell ref="B1950:C1950"/>
    <mergeCell ref="D1950:E1950"/>
    <mergeCell ref="A1964:B1964"/>
    <mergeCell ref="C1964:D1964"/>
    <mergeCell ref="A1965:B1965"/>
    <mergeCell ref="C1965:D1965"/>
    <mergeCell ref="B1966:C1966"/>
    <mergeCell ref="D1966:E1966"/>
    <mergeCell ref="A1961:B1961"/>
    <mergeCell ref="C1961:D1961"/>
    <mergeCell ref="A1962:B1962"/>
    <mergeCell ref="C1962:D1962"/>
    <mergeCell ref="A1963:B1963"/>
    <mergeCell ref="C1963:D1963"/>
    <mergeCell ref="A1958:B1958"/>
    <mergeCell ref="C1958:D1958"/>
    <mergeCell ref="A1959:B1959"/>
    <mergeCell ref="C1959:D1959"/>
    <mergeCell ref="A1960:B1960"/>
    <mergeCell ref="C1960:D1960"/>
    <mergeCell ref="A1974:B1974"/>
    <mergeCell ref="C1974:D1974"/>
    <mergeCell ref="A1975:B1975"/>
    <mergeCell ref="C1975:D1975"/>
    <mergeCell ref="A1976:B1976"/>
    <mergeCell ref="C1976:D1976"/>
    <mergeCell ref="A1971:B1971"/>
    <mergeCell ref="C1971:D1971"/>
    <mergeCell ref="A1972:B1972"/>
    <mergeCell ref="C1972:D1972"/>
    <mergeCell ref="A1973:B1973"/>
    <mergeCell ref="C1973:D1973"/>
    <mergeCell ref="A1967:B1967"/>
    <mergeCell ref="C1967:D1967"/>
    <mergeCell ref="A1968:B1968"/>
    <mergeCell ref="C1968:D1968"/>
    <mergeCell ref="A1970:B1970"/>
    <mergeCell ref="C1970:D1970"/>
    <mergeCell ref="A1983:B1983"/>
    <mergeCell ref="C1983:D1983"/>
    <mergeCell ref="A1984:B1984"/>
    <mergeCell ref="C1984:D1984"/>
    <mergeCell ref="A1986:B1986"/>
    <mergeCell ref="C1986:D1986"/>
    <mergeCell ref="A1980:B1980"/>
    <mergeCell ref="C1980:D1980"/>
    <mergeCell ref="A1981:B1981"/>
    <mergeCell ref="C1981:D1981"/>
    <mergeCell ref="B1982:C1982"/>
    <mergeCell ref="D1982:E1982"/>
    <mergeCell ref="A1977:B1977"/>
    <mergeCell ref="C1977:D1977"/>
    <mergeCell ref="A1978:B1978"/>
    <mergeCell ref="C1978:D1978"/>
    <mergeCell ref="A1979:B1979"/>
    <mergeCell ref="C1979:D1979"/>
    <mergeCell ref="A1993:B1993"/>
    <mergeCell ref="C1993:D1993"/>
    <mergeCell ref="A1994:B1994"/>
    <mergeCell ref="C1994:D1994"/>
    <mergeCell ref="A1995:B1995"/>
    <mergeCell ref="C1995:D1995"/>
    <mergeCell ref="A1990:B1990"/>
    <mergeCell ref="C1990:D1990"/>
    <mergeCell ref="A1991:B1991"/>
    <mergeCell ref="C1991:D1991"/>
    <mergeCell ref="A1992:B1992"/>
    <mergeCell ref="C1992:D1992"/>
    <mergeCell ref="A1987:B1987"/>
    <mergeCell ref="C1987:D1987"/>
    <mergeCell ref="A1988:B1988"/>
    <mergeCell ref="C1988:D1988"/>
    <mergeCell ref="A1989:B1989"/>
    <mergeCell ref="C1989:D1989"/>
    <mergeCell ref="A2003:B2003"/>
    <mergeCell ref="C2003:D2003"/>
    <mergeCell ref="A2004:B2004"/>
    <mergeCell ref="C2004:D2004"/>
    <mergeCell ref="A2005:B2005"/>
    <mergeCell ref="C2005:D2005"/>
    <mergeCell ref="A1999:B1999"/>
    <mergeCell ref="C1999:D1999"/>
    <mergeCell ref="A2000:B2000"/>
    <mergeCell ref="C2000:D2000"/>
    <mergeCell ref="A2002:B2002"/>
    <mergeCell ref="C2002:D2002"/>
    <mergeCell ref="A1996:B1996"/>
    <mergeCell ref="C1996:D1996"/>
    <mergeCell ref="A1997:B1997"/>
    <mergeCell ref="C1997:D1997"/>
    <mergeCell ref="B1998:C1998"/>
    <mergeCell ref="D1998:E1998"/>
    <mergeCell ref="A2012:B2012"/>
    <mergeCell ref="C2012:D2012"/>
    <mergeCell ref="A2013:B2013"/>
    <mergeCell ref="C2013:D2013"/>
    <mergeCell ref="B2014:C2014"/>
    <mergeCell ref="D2014:E2014"/>
    <mergeCell ref="A2009:B2009"/>
    <mergeCell ref="C2009:D2009"/>
    <mergeCell ref="A2010:B2010"/>
    <mergeCell ref="C2010:D2010"/>
    <mergeCell ref="A2011:B2011"/>
    <mergeCell ref="C2011:D2011"/>
    <mergeCell ref="A2006:B2006"/>
    <mergeCell ref="C2006:D2006"/>
    <mergeCell ref="A2007:B2007"/>
    <mergeCell ref="C2007:D2007"/>
    <mergeCell ref="A2008:B2008"/>
    <mergeCell ref="C2008:D2008"/>
    <mergeCell ref="A2022:B2022"/>
    <mergeCell ref="C2022:D2022"/>
    <mergeCell ref="A2023:B2023"/>
    <mergeCell ref="C2023:D2023"/>
    <mergeCell ref="A2024:B2024"/>
    <mergeCell ref="C2024:D2024"/>
    <mergeCell ref="A2019:B2019"/>
    <mergeCell ref="C2019:D2019"/>
    <mergeCell ref="A2020:B2020"/>
    <mergeCell ref="C2020:D2020"/>
    <mergeCell ref="A2021:B2021"/>
    <mergeCell ref="C2021:D2021"/>
    <mergeCell ref="A2015:B2015"/>
    <mergeCell ref="C2015:D2015"/>
    <mergeCell ref="A2016:B2016"/>
    <mergeCell ref="C2016:D2016"/>
    <mergeCell ref="A2018:B2018"/>
    <mergeCell ref="C2018:D2018"/>
    <mergeCell ref="A2031:B2031"/>
    <mergeCell ref="C2031:D2031"/>
    <mergeCell ref="A2032:B2032"/>
    <mergeCell ref="C2032:D2032"/>
    <mergeCell ref="A2033:B2033"/>
    <mergeCell ref="C2033:D2033"/>
    <mergeCell ref="A2028:B2028"/>
    <mergeCell ref="C2028:D2028"/>
    <mergeCell ref="A2029:B2029"/>
    <mergeCell ref="C2029:D2029"/>
    <mergeCell ref="B2030:C2030"/>
    <mergeCell ref="D2030:E2030"/>
    <mergeCell ref="A2025:B2025"/>
    <mergeCell ref="C2025:D2025"/>
    <mergeCell ref="A2026:B2026"/>
    <mergeCell ref="C2026:D2026"/>
    <mergeCell ref="A2027:B2027"/>
    <mergeCell ref="C2027:D2027"/>
    <mergeCell ref="A2040:B2040"/>
    <mergeCell ref="C2040:D2040"/>
    <mergeCell ref="A2041:B2041"/>
    <mergeCell ref="C2041:D2041"/>
    <mergeCell ref="A2042:B2042"/>
    <mergeCell ref="C2042:D2042"/>
    <mergeCell ref="A2037:B2037"/>
    <mergeCell ref="C2037:D2037"/>
    <mergeCell ref="A2038:B2038"/>
    <mergeCell ref="C2038:D2038"/>
    <mergeCell ref="A2039:B2039"/>
    <mergeCell ref="C2039:D2039"/>
    <mergeCell ref="A2034:B2034"/>
    <mergeCell ref="C2034:D2034"/>
    <mergeCell ref="A2035:B2035"/>
    <mergeCell ref="C2035:D2035"/>
    <mergeCell ref="A2036:B2036"/>
    <mergeCell ref="C2036:D2036"/>
    <mergeCell ref="B2049:C2049"/>
    <mergeCell ref="D2049:E2049"/>
    <mergeCell ref="A2050:B2050"/>
    <mergeCell ref="C2050:D2050"/>
    <mergeCell ref="A2051:B2051"/>
    <mergeCell ref="C2051:D2051"/>
    <mergeCell ref="A2046:B2046"/>
    <mergeCell ref="C2046:D2046"/>
    <mergeCell ref="A2047:B2047"/>
    <mergeCell ref="C2047:D2047"/>
    <mergeCell ref="A2048:B2048"/>
    <mergeCell ref="C2048:D2048"/>
    <mergeCell ref="A2043:B2043"/>
    <mergeCell ref="C2043:D2043"/>
    <mergeCell ref="A2044:B2044"/>
    <mergeCell ref="C2044:D2044"/>
    <mergeCell ref="A2045:B2045"/>
    <mergeCell ref="C2045:D2045"/>
    <mergeCell ref="A2058:B2058"/>
    <mergeCell ref="C2058:D2058"/>
    <mergeCell ref="A2059:B2059"/>
    <mergeCell ref="C2059:D2059"/>
    <mergeCell ref="A2060:B2060"/>
    <mergeCell ref="C2060:D2060"/>
    <mergeCell ref="A2055:B2055"/>
    <mergeCell ref="C2055:D2055"/>
    <mergeCell ref="A2056:B2056"/>
    <mergeCell ref="C2056:D2056"/>
    <mergeCell ref="A2057:B2057"/>
    <mergeCell ref="C2057:D2057"/>
    <mergeCell ref="A2052:B2052"/>
    <mergeCell ref="C2052:D2052"/>
    <mergeCell ref="A2053:B2053"/>
    <mergeCell ref="C2053:D2053"/>
    <mergeCell ref="A2054:B2054"/>
    <mergeCell ref="C2054:D2054"/>
    <mergeCell ref="A2067:B2067"/>
    <mergeCell ref="C2067:D2067"/>
    <mergeCell ref="A2068:B2068"/>
    <mergeCell ref="C2068:D2068"/>
    <mergeCell ref="A2069:B2069"/>
    <mergeCell ref="C2069:D2069"/>
    <mergeCell ref="A2064:B2064"/>
    <mergeCell ref="C2064:D2064"/>
    <mergeCell ref="A2065:B2065"/>
    <mergeCell ref="C2065:D2065"/>
    <mergeCell ref="A2066:B2066"/>
    <mergeCell ref="C2066:D2066"/>
    <mergeCell ref="A2061:B2061"/>
    <mergeCell ref="C2061:D2061"/>
    <mergeCell ref="A2062:B2062"/>
    <mergeCell ref="C2062:D2062"/>
    <mergeCell ref="B2063:C2063"/>
    <mergeCell ref="D2063:E2063"/>
    <mergeCell ref="A2076:B2076"/>
    <mergeCell ref="C2076:D2076"/>
    <mergeCell ref="A2077:B2077"/>
    <mergeCell ref="C2077:D2077"/>
    <mergeCell ref="A2078:B2078"/>
    <mergeCell ref="C2078:D2078"/>
    <mergeCell ref="A2073:B2073"/>
    <mergeCell ref="C2073:D2073"/>
    <mergeCell ref="B2074:C2074"/>
    <mergeCell ref="D2074:E2074"/>
    <mergeCell ref="A2075:B2075"/>
    <mergeCell ref="C2075:D2075"/>
    <mergeCell ref="A2070:B2070"/>
    <mergeCell ref="C2070:D2070"/>
    <mergeCell ref="A2071:B2071"/>
    <mergeCell ref="C2071:D2071"/>
    <mergeCell ref="A2072:B2072"/>
    <mergeCell ref="C2072:D2072"/>
    <mergeCell ref="B2085:C2085"/>
    <mergeCell ref="D2085:E2085"/>
    <mergeCell ref="A2086:B2086"/>
    <mergeCell ref="C2086:D2086"/>
    <mergeCell ref="A2087:B2087"/>
    <mergeCell ref="C2087:D2087"/>
    <mergeCell ref="A2082:B2082"/>
    <mergeCell ref="C2082:D2082"/>
    <mergeCell ref="A2083:B2083"/>
    <mergeCell ref="C2083:D2083"/>
    <mergeCell ref="A2084:B2084"/>
    <mergeCell ref="C2084:D2084"/>
    <mergeCell ref="A2079:B2079"/>
    <mergeCell ref="C2079:D2079"/>
    <mergeCell ref="A2080:B2080"/>
    <mergeCell ref="C2080:D2080"/>
    <mergeCell ref="A2081:B2081"/>
    <mergeCell ref="C2081:D2081"/>
    <mergeCell ref="A2094:B2094"/>
    <mergeCell ref="C2094:D2094"/>
    <mergeCell ref="A2095:B2095"/>
    <mergeCell ref="C2095:D2095"/>
    <mergeCell ref="B2096:C2096"/>
    <mergeCell ref="D2096:E2096"/>
    <mergeCell ref="A2091:B2091"/>
    <mergeCell ref="C2091:D2091"/>
    <mergeCell ref="A2092:B2092"/>
    <mergeCell ref="C2092:D2092"/>
    <mergeCell ref="A2093:B2093"/>
    <mergeCell ref="C2093:D2093"/>
    <mergeCell ref="A2088:B2088"/>
    <mergeCell ref="C2088:D2088"/>
    <mergeCell ref="A2089:B2089"/>
    <mergeCell ref="C2089:D2089"/>
    <mergeCell ref="A2090:B2090"/>
    <mergeCell ref="C2090:D2090"/>
    <mergeCell ref="A2103:B2103"/>
    <mergeCell ref="C2103:D2103"/>
    <mergeCell ref="A2104:B2104"/>
    <mergeCell ref="C2104:D2104"/>
    <mergeCell ref="A2105:B2105"/>
    <mergeCell ref="C2105:D2105"/>
    <mergeCell ref="A2100:B2100"/>
    <mergeCell ref="C2100:D2100"/>
    <mergeCell ref="A2101:B2101"/>
    <mergeCell ref="C2101:D2101"/>
    <mergeCell ref="A2102:B2102"/>
    <mergeCell ref="C2102:D2102"/>
    <mergeCell ref="A2097:B2097"/>
    <mergeCell ref="C2097:D2097"/>
    <mergeCell ref="A2098:B2098"/>
    <mergeCell ref="C2098:D2098"/>
    <mergeCell ref="A2099:B2099"/>
    <mergeCell ref="C2099:D2099"/>
    <mergeCell ref="A2112:B2112"/>
    <mergeCell ref="C2112:D2112"/>
    <mergeCell ref="A2113:B2113"/>
    <mergeCell ref="C2113:D2113"/>
    <mergeCell ref="A2114:B2114"/>
    <mergeCell ref="C2114:D2114"/>
    <mergeCell ref="A2109:B2109"/>
    <mergeCell ref="C2109:D2109"/>
    <mergeCell ref="A2110:B2110"/>
    <mergeCell ref="C2110:D2110"/>
    <mergeCell ref="A2111:B2111"/>
    <mergeCell ref="C2111:D2111"/>
    <mergeCell ref="A2106:B2106"/>
    <mergeCell ref="C2106:D2106"/>
    <mergeCell ref="B2107:C2107"/>
    <mergeCell ref="D2107:E2107"/>
    <mergeCell ref="A2108:B2108"/>
    <mergeCell ref="C2108:D2108"/>
    <mergeCell ref="A2121:B2121"/>
    <mergeCell ref="C2121:D2121"/>
    <mergeCell ref="A2122:B2122"/>
    <mergeCell ref="C2122:D2122"/>
    <mergeCell ref="A2123:B2123"/>
    <mergeCell ref="C2123:D2123"/>
    <mergeCell ref="B2118:C2118"/>
    <mergeCell ref="D2118:E2118"/>
    <mergeCell ref="A2119:B2119"/>
    <mergeCell ref="C2119:D2119"/>
    <mergeCell ref="A2120:B2120"/>
    <mergeCell ref="C2120:D2120"/>
    <mergeCell ref="A2115:B2115"/>
    <mergeCell ref="C2115:D2115"/>
    <mergeCell ref="A2116:B2116"/>
    <mergeCell ref="C2116:D2116"/>
    <mergeCell ref="A2117:B2117"/>
    <mergeCell ref="C2117:D2117"/>
    <mergeCell ref="A2130:B2130"/>
    <mergeCell ref="C2130:D2130"/>
    <mergeCell ref="A2131:B2131"/>
    <mergeCell ref="C2131:D2131"/>
    <mergeCell ref="A2132:B2132"/>
    <mergeCell ref="C2132:D2132"/>
    <mergeCell ref="A2127:B2127"/>
    <mergeCell ref="C2127:D2127"/>
    <mergeCell ref="A2128:B2128"/>
    <mergeCell ref="C2128:D2128"/>
    <mergeCell ref="B2129:C2129"/>
    <mergeCell ref="D2129:E2129"/>
    <mergeCell ref="A2124:B2124"/>
    <mergeCell ref="C2124:D2124"/>
    <mergeCell ref="A2125:B2125"/>
    <mergeCell ref="C2125:D2125"/>
    <mergeCell ref="A2126:B2126"/>
    <mergeCell ref="C2126:D2126"/>
    <mergeCell ref="A2139:B2139"/>
    <mergeCell ref="C2139:D2139"/>
    <mergeCell ref="B2140:C2140"/>
    <mergeCell ref="D2140:E2140"/>
    <mergeCell ref="A2141:B2141"/>
    <mergeCell ref="C2141:D2141"/>
    <mergeCell ref="A2136:B2136"/>
    <mergeCell ref="C2136:D2136"/>
    <mergeCell ref="A2137:B2137"/>
    <mergeCell ref="C2137:D2137"/>
    <mergeCell ref="A2138:B2138"/>
    <mergeCell ref="C2138:D2138"/>
    <mergeCell ref="A2133:B2133"/>
    <mergeCell ref="C2133:D2133"/>
    <mergeCell ref="A2134:B2134"/>
    <mergeCell ref="C2134:D2134"/>
    <mergeCell ref="A2135:B2135"/>
    <mergeCell ref="C2135:D2135"/>
    <mergeCell ref="A2148:B2148"/>
    <mergeCell ref="C2148:D2148"/>
    <mergeCell ref="A2149:B2149"/>
    <mergeCell ref="C2149:D2149"/>
    <mergeCell ref="A2150:B2150"/>
    <mergeCell ref="C2150:D2150"/>
    <mergeCell ref="A2145:B2145"/>
    <mergeCell ref="C2145:D2145"/>
    <mergeCell ref="A2146:B2146"/>
    <mergeCell ref="C2146:D2146"/>
    <mergeCell ref="A2147:B2147"/>
    <mergeCell ref="C2147:D2147"/>
    <mergeCell ref="A2142:B2142"/>
    <mergeCell ref="C2142:D2142"/>
    <mergeCell ref="A2143:B2143"/>
    <mergeCell ref="C2143:D2143"/>
    <mergeCell ref="A2144:B2144"/>
    <mergeCell ref="C2144:D2144"/>
    <mergeCell ref="A2157:B2157"/>
    <mergeCell ref="C2157:D2157"/>
    <mergeCell ref="A2158:B2158"/>
    <mergeCell ref="C2158:D2158"/>
    <mergeCell ref="A2159:B2159"/>
    <mergeCell ref="C2159:D2159"/>
    <mergeCell ref="A2154:B2154"/>
    <mergeCell ref="C2154:D2154"/>
    <mergeCell ref="A2155:B2155"/>
    <mergeCell ref="C2155:D2155"/>
    <mergeCell ref="A2156:B2156"/>
    <mergeCell ref="C2156:D2156"/>
    <mergeCell ref="B2151:C2151"/>
    <mergeCell ref="D2151:E2151"/>
    <mergeCell ref="A2152:B2152"/>
    <mergeCell ref="C2152:D2152"/>
    <mergeCell ref="A2153:B2153"/>
    <mergeCell ref="C2153:D2153"/>
    <mergeCell ref="A2166:B2166"/>
    <mergeCell ref="C2166:D2166"/>
    <mergeCell ref="A2167:B2167"/>
    <mergeCell ref="C2167:D2167"/>
    <mergeCell ref="A2168:B2168"/>
    <mergeCell ref="C2168:D2168"/>
    <mergeCell ref="A2163:B2163"/>
    <mergeCell ref="C2163:D2163"/>
    <mergeCell ref="A2164:B2164"/>
    <mergeCell ref="C2164:D2164"/>
    <mergeCell ref="A2165:B2165"/>
    <mergeCell ref="C2165:D2165"/>
    <mergeCell ref="A2160:B2160"/>
    <mergeCell ref="C2160:D2160"/>
    <mergeCell ref="A2161:B2161"/>
    <mergeCell ref="C2161:D2161"/>
    <mergeCell ref="B2162:C2162"/>
    <mergeCell ref="D2162:E2162"/>
    <mergeCell ref="A2175:B2175"/>
    <mergeCell ref="C2175:D2175"/>
    <mergeCell ref="B2176:C2176"/>
    <mergeCell ref="D2176:E2176"/>
    <mergeCell ref="A2177:B2177"/>
    <mergeCell ref="C2177:D2177"/>
    <mergeCell ref="A2172:B2172"/>
    <mergeCell ref="C2172:D2172"/>
    <mergeCell ref="A2173:B2173"/>
    <mergeCell ref="C2173:D2173"/>
    <mergeCell ref="A2174:B2174"/>
    <mergeCell ref="C2174:D2174"/>
    <mergeCell ref="A2169:B2169"/>
    <mergeCell ref="C2169:D2169"/>
    <mergeCell ref="A2170:B2170"/>
    <mergeCell ref="C2170:D2170"/>
    <mergeCell ref="A2171:B2171"/>
    <mergeCell ref="C2171:D2171"/>
    <mergeCell ref="A2184:B2184"/>
    <mergeCell ref="C2184:D2184"/>
    <mergeCell ref="A2185:B2185"/>
    <mergeCell ref="C2185:D2185"/>
    <mergeCell ref="A2186:B2186"/>
    <mergeCell ref="C2186:D2186"/>
    <mergeCell ref="A2181:B2181"/>
    <mergeCell ref="C2181:D2181"/>
    <mergeCell ref="A2182:B2182"/>
    <mergeCell ref="C2182:D2182"/>
    <mergeCell ref="A2183:B2183"/>
    <mergeCell ref="C2183:D2183"/>
    <mergeCell ref="A2178:B2178"/>
    <mergeCell ref="C2178:D2178"/>
    <mergeCell ref="A2179:B2179"/>
    <mergeCell ref="C2179:D2179"/>
    <mergeCell ref="A2180:B2180"/>
    <mergeCell ref="C2180:D2180"/>
    <mergeCell ref="A2193:B2193"/>
    <mergeCell ref="C2193:D2193"/>
    <mergeCell ref="A2194:B2194"/>
    <mergeCell ref="C2194:D2194"/>
    <mergeCell ref="A2195:B2195"/>
    <mergeCell ref="C2195:D2195"/>
    <mergeCell ref="B2190:C2190"/>
    <mergeCell ref="D2190:E2190"/>
    <mergeCell ref="A2191:B2191"/>
    <mergeCell ref="C2191:D2191"/>
    <mergeCell ref="A2192:B2192"/>
    <mergeCell ref="C2192:D2192"/>
    <mergeCell ref="A2187:B2187"/>
    <mergeCell ref="C2187:D2187"/>
    <mergeCell ref="A2188:B2188"/>
    <mergeCell ref="C2188:D2188"/>
    <mergeCell ref="A2189:B2189"/>
    <mergeCell ref="C2189:D2189"/>
    <mergeCell ref="A2202:B2202"/>
    <mergeCell ref="C2202:D2202"/>
    <mergeCell ref="A2203:B2203"/>
    <mergeCell ref="C2203:D2203"/>
    <mergeCell ref="A2204:B2204"/>
    <mergeCell ref="C2204:D2204"/>
    <mergeCell ref="A2199:B2199"/>
    <mergeCell ref="C2199:D2199"/>
    <mergeCell ref="A2200:B2200"/>
    <mergeCell ref="C2200:D2200"/>
    <mergeCell ref="A2201:B2201"/>
    <mergeCell ref="C2201:D2201"/>
    <mergeCell ref="A2196:B2196"/>
    <mergeCell ref="C2196:D2196"/>
    <mergeCell ref="A2197:B2197"/>
    <mergeCell ref="C2197:D2197"/>
    <mergeCell ref="A2198:B2198"/>
    <mergeCell ref="C2198:D2198"/>
    <mergeCell ref="A2211:B2211"/>
    <mergeCell ref="C2211:D2211"/>
    <mergeCell ref="A2212:B2212"/>
    <mergeCell ref="C2212:D2212"/>
    <mergeCell ref="A2213:B2213"/>
    <mergeCell ref="C2213:D2213"/>
    <mergeCell ref="A2208:B2208"/>
    <mergeCell ref="C2208:D2208"/>
    <mergeCell ref="A2209:B2209"/>
    <mergeCell ref="C2209:D2209"/>
    <mergeCell ref="A2210:B2210"/>
    <mergeCell ref="C2210:D2210"/>
    <mergeCell ref="B2205:C2205"/>
    <mergeCell ref="D2205:E2205"/>
    <mergeCell ref="A2206:B2206"/>
    <mergeCell ref="C2206:D2206"/>
    <mergeCell ref="A2207:B2207"/>
    <mergeCell ref="C2207:D2207"/>
    <mergeCell ref="B2220:C2220"/>
    <mergeCell ref="D2220:E2220"/>
    <mergeCell ref="A2221:B2221"/>
    <mergeCell ref="C2221:D2221"/>
    <mergeCell ref="A2222:B2222"/>
    <mergeCell ref="C2222:D2222"/>
    <mergeCell ref="A2217:B2217"/>
    <mergeCell ref="C2217:D2217"/>
    <mergeCell ref="A2218:B2218"/>
    <mergeCell ref="C2218:D2218"/>
    <mergeCell ref="A2219:B2219"/>
    <mergeCell ref="C2219:D2219"/>
    <mergeCell ref="A2214:B2214"/>
    <mergeCell ref="C2214:D2214"/>
    <mergeCell ref="A2215:B2215"/>
    <mergeCell ref="C2215:D2215"/>
    <mergeCell ref="A2216:B2216"/>
    <mergeCell ref="C2216:D2216"/>
    <mergeCell ref="A2229:B2229"/>
    <mergeCell ref="C2229:D2229"/>
    <mergeCell ref="A2230:B2230"/>
    <mergeCell ref="C2230:D2230"/>
    <mergeCell ref="A2231:B2231"/>
    <mergeCell ref="C2231:D2231"/>
    <mergeCell ref="A2226:B2226"/>
    <mergeCell ref="C2226:D2226"/>
    <mergeCell ref="A2227:B2227"/>
    <mergeCell ref="C2227:D2227"/>
    <mergeCell ref="A2228:B2228"/>
    <mergeCell ref="C2228:D2228"/>
    <mergeCell ref="A2223:B2223"/>
    <mergeCell ref="C2223:D2223"/>
    <mergeCell ref="A2224:B2224"/>
    <mergeCell ref="C2224:D2224"/>
    <mergeCell ref="A2225:B2225"/>
    <mergeCell ref="C2225:D2225"/>
    <mergeCell ref="A2238:B2238"/>
    <mergeCell ref="C2238:D2238"/>
    <mergeCell ref="A2239:B2239"/>
    <mergeCell ref="C2239:D2239"/>
    <mergeCell ref="A2240:B2240"/>
    <mergeCell ref="C2240:D2240"/>
    <mergeCell ref="B2235:C2235"/>
    <mergeCell ref="D2235:E2235"/>
    <mergeCell ref="A2236:B2236"/>
    <mergeCell ref="C2236:D2236"/>
    <mergeCell ref="A2237:B2237"/>
    <mergeCell ref="C2237:D2237"/>
    <mergeCell ref="A2232:B2232"/>
    <mergeCell ref="C2232:D2232"/>
    <mergeCell ref="A2233:B2233"/>
    <mergeCell ref="C2233:D2233"/>
    <mergeCell ref="A2234:B2234"/>
    <mergeCell ref="C2234:D2234"/>
    <mergeCell ref="A2247:B2247"/>
    <mergeCell ref="C2247:D2247"/>
    <mergeCell ref="A2248:B2248"/>
    <mergeCell ref="C2248:D2248"/>
    <mergeCell ref="A2249:B2249"/>
    <mergeCell ref="C2249:D2249"/>
    <mergeCell ref="A2244:B2244"/>
    <mergeCell ref="C2244:D2244"/>
    <mergeCell ref="A2245:B2245"/>
    <mergeCell ref="C2245:D2245"/>
    <mergeCell ref="A2246:B2246"/>
    <mergeCell ref="C2246:D2246"/>
    <mergeCell ref="A2241:B2241"/>
    <mergeCell ref="C2241:D2241"/>
    <mergeCell ref="A2242:B2242"/>
    <mergeCell ref="C2242:D2242"/>
    <mergeCell ref="A2243:B2243"/>
    <mergeCell ref="C2243:D2243"/>
    <mergeCell ref="A2256:B2256"/>
    <mergeCell ref="C2256:D2256"/>
    <mergeCell ref="A2257:B2257"/>
    <mergeCell ref="C2257:D2257"/>
    <mergeCell ref="A2258:B2258"/>
    <mergeCell ref="C2258:D2258"/>
    <mergeCell ref="A2253:B2253"/>
    <mergeCell ref="C2253:D2253"/>
    <mergeCell ref="A2254:B2254"/>
    <mergeCell ref="C2254:D2254"/>
    <mergeCell ref="A2255:B2255"/>
    <mergeCell ref="C2255:D2255"/>
    <mergeCell ref="B2250:C2250"/>
    <mergeCell ref="D2250:E2250"/>
    <mergeCell ref="A2251:B2251"/>
    <mergeCell ref="C2251:D2251"/>
    <mergeCell ref="A2252:B2252"/>
    <mergeCell ref="C2252:D2252"/>
    <mergeCell ref="B2265:C2265"/>
    <mergeCell ref="D2265:E2265"/>
    <mergeCell ref="A2266:B2266"/>
    <mergeCell ref="C2266:D2266"/>
    <mergeCell ref="A2267:B2267"/>
    <mergeCell ref="C2267:D2267"/>
    <mergeCell ref="A2262:B2262"/>
    <mergeCell ref="C2262:D2262"/>
    <mergeCell ref="A2263:B2263"/>
    <mergeCell ref="C2263:D2263"/>
    <mergeCell ref="A2264:B2264"/>
    <mergeCell ref="C2264:D2264"/>
    <mergeCell ref="A2259:B2259"/>
    <mergeCell ref="C2259:D2259"/>
    <mergeCell ref="A2260:B2260"/>
    <mergeCell ref="C2260:D2260"/>
    <mergeCell ref="A2261:B2261"/>
    <mergeCell ref="C2261:D2261"/>
    <mergeCell ref="A2274:B2274"/>
    <mergeCell ref="C2274:D2274"/>
    <mergeCell ref="A2275:B2275"/>
    <mergeCell ref="C2275:D2275"/>
    <mergeCell ref="A2276:B2276"/>
    <mergeCell ref="C2276:D2276"/>
    <mergeCell ref="A2271:B2271"/>
    <mergeCell ref="C2271:D2271"/>
    <mergeCell ref="A2272:B2272"/>
    <mergeCell ref="C2272:D2272"/>
    <mergeCell ref="A2273:B2273"/>
    <mergeCell ref="C2273:D2273"/>
    <mergeCell ref="A2268:B2268"/>
    <mergeCell ref="C2268:D2268"/>
    <mergeCell ref="A2269:B2269"/>
    <mergeCell ref="C2269:D2269"/>
    <mergeCell ref="A2270:B2270"/>
    <mergeCell ref="C2270:D2270"/>
    <mergeCell ref="A2283:B2283"/>
    <mergeCell ref="C2283:D2283"/>
    <mergeCell ref="A2284:B2284"/>
    <mergeCell ref="C2284:D2284"/>
    <mergeCell ref="A2285:B2285"/>
    <mergeCell ref="C2285:D2285"/>
    <mergeCell ref="B2280:C2280"/>
    <mergeCell ref="D2280:E2280"/>
    <mergeCell ref="A2281:B2281"/>
    <mergeCell ref="C2281:D2281"/>
    <mergeCell ref="A2282:B2282"/>
    <mergeCell ref="C2282:D2282"/>
    <mergeCell ref="A2277:B2277"/>
    <mergeCell ref="C2277:D2277"/>
    <mergeCell ref="A2278:B2278"/>
    <mergeCell ref="C2278:D2278"/>
    <mergeCell ref="A2279:B2279"/>
    <mergeCell ref="C2279:D2279"/>
    <mergeCell ref="A2292:B2292"/>
    <mergeCell ref="C2292:D2292"/>
    <mergeCell ref="A2293:B2293"/>
    <mergeCell ref="C2293:D2293"/>
    <mergeCell ref="A2294:B2294"/>
    <mergeCell ref="C2294:D2294"/>
    <mergeCell ref="A2289:B2289"/>
    <mergeCell ref="C2289:D2289"/>
    <mergeCell ref="A2290:B2290"/>
    <mergeCell ref="C2290:D2290"/>
    <mergeCell ref="A2291:B2291"/>
    <mergeCell ref="C2291:D2291"/>
    <mergeCell ref="A2286:B2286"/>
    <mergeCell ref="C2286:D2286"/>
    <mergeCell ref="A2287:B2287"/>
    <mergeCell ref="C2287:D2287"/>
    <mergeCell ref="A2288:B2288"/>
    <mergeCell ref="C2288:D2288"/>
    <mergeCell ref="A2301:B2301"/>
    <mergeCell ref="C2301:D2301"/>
    <mergeCell ref="A2302:B2302"/>
    <mergeCell ref="C2302:D2302"/>
    <mergeCell ref="A2303:B2303"/>
    <mergeCell ref="C2303:D2303"/>
    <mergeCell ref="A2298:B2298"/>
    <mergeCell ref="C2298:D2298"/>
    <mergeCell ref="A2299:B2299"/>
    <mergeCell ref="C2299:D2299"/>
    <mergeCell ref="A2300:B2300"/>
    <mergeCell ref="C2300:D2300"/>
    <mergeCell ref="B2295:C2295"/>
    <mergeCell ref="D2295:E2295"/>
    <mergeCell ref="A2296:B2296"/>
    <mergeCell ref="C2296:D2296"/>
    <mergeCell ref="A2297:B2297"/>
    <mergeCell ref="C2297:D2297"/>
    <mergeCell ref="B2310:C2310"/>
    <mergeCell ref="D2310:E2310"/>
    <mergeCell ref="A2311:B2311"/>
    <mergeCell ref="C2311:D2311"/>
    <mergeCell ref="A2312:B2312"/>
    <mergeCell ref="C2312:D2312"/>
    <mergeCell ref="A2307:B2307"/>
    <mergeCell ref="C2307:D2307"/>
    <mergeCell ref="A2308:B2308"/>
    <mergeCell ref="C2308:D2308"/>
    <mergeCell ref="A2309:B2309"/>
    <mergeCell ref="C2309:D2309"/>
    <mergeCell ref="A2304:B2304"/>
    <mergeCell ref="C2304:D2304"/>
    <mergeCell ref="A2305:B2305"/>
    <mergeCell ref="C2305:D2305"/>
    <mergeCell ref="A2306:B2306"/>
    <mergeCell ref="C2306:D2306"/>
    <mergeCell ref="A2319:B2319"/>
    <mergeCell ref="C2319:D2319"/>
    <mergeCell ref="A2320:B2320"/>
    <mergeCell ref="C2320:D2320"/>
    <mergeCell ref="A2321:B2321"/>
    <mergeCell ref="C2321:D2321"/>
    <mergeCell ref="A2316:B2316"/>
    <mergeCell ref="C2316:D2316"/>
    <mergeCell ref="A2317:B2317"/>
    <mergeCell ref="C2317:D2317"/>
    <mergeCell ref="A2318:B2318"/>
    <mergeCell ref="C2318:D2318"/>
    <mergeCell ref="A2313:B2313"/>
    <mergeCell ref="C2313:D2313"/>
    <mergeCell ref="A2314:B2314"/>
    <mergeCell ref="C2314:D2314"/>
    <mergeCell ref="A2315:B2315"/>
    <mergeCell ref="C2315:D2315"/>
    <mergeCell ref="A2328:B2328"/>
    <mergeCell ref="C2328:D2328"/>
    <mergeCell ref="A2329:B2329"/>
    <mergeCell ref="C2329:D2329"/>
    <mergeCell ref="A2330:B2330"/>
    <mergeCell ref="C2330:D2330"/>
    <mergeCell ref="B2325:C2325"/>
    <mergeCell ref="D2325:E2325"/>
    <mergeCell ref="A2326:B2326"/>
    <mergeCell ref="C2326:D2326"/>
    <mergeCell ref="A2327:B2327"/>
    <mergeCell ref="C2327:D2327"/>
    <mergeCell ref="A2322:B2322"/>
    <mergeCell ref="C2322:D2322"/>
    <mergeCell ref="A2323:B2323"/>
    <mergeCell ref="C2323:D2323"/>
    <mergeCell ref="A2324:B2324"/>
    <mergeCell ref="C2324:D2324"/>
    <mergeCell ref="A2337:B2337"/>
    <mergeCell ref="C2337:D2337"/>
    <mergeCell ref="A2338:B2338"/>
    <mergeCell ref="C2338:D2338"/>
    <mergeCell ref="A2339:B2339"/>
    <mergeCell ref="C2339:D2339"/>
    <mergeCell ref="A2334:B2334"/>
    <mergeCell ref="C2334:D2334"/>
    <mergeCell ref="A2335:B2335"/>
    <mergeCell ref="C2335:D2335"/>
    <mergeCell ref="A2336:B2336"/>
    <mergeCell ref="C2336:D2336"/>
    <mergeCell ref="A2331:B2331"/>
    <mergeCell ref="C2331:D2331"/>
    <mergeCell ref="A2332:B2332"/>
    <mergeCell ref="C2332:D2332"/>
    <mergeCell ref="A2333:B2333"/>
    <mergeCell ref="C2333:D2333"/>
    <mergeCell ref="A2346:B2346"/>
    <mergeCell ref="C2346:D2346"/>
    <mergeCell ref="A2347:B2347"/>
    <mergeCell ref="C2347:D2347"/>
    <mergeCell ref="A2348:B2348"/>
    <mergeCell ref="C2348:D2348"/>
    <mergeCell ref="A2343:B2343"/>
    <mergeCell ref="C2343:D2343"/>
    <mergeCell ref="A2344:B2344"/>
    <mergeCell ref="C2344:D2344"/>
    <mergeCell ref="A2345:B2345"/>
    <mergeCell ref="C2345:D2345"/>
    <mergeCell ref="A2340:B2340"/>
    <mergeCell ref="C2340:D2340"/>
    <mergeCell ref="B2341:C2341"/>
    <mergeCell ref="D2341:E2341"/>
    <mergeCell ref="A2342:B2342"/>
    <mergeCell ref="C2342:D2342"/>
    <mergeCell ref="A2355:B2355"/>
    <mergeCell ref="C2355:D2355"/>
    <mergeCell ref="A2356:B2356"/>
    <mergeCell ref="C2356:D2356"/>
    <mergeCell ref="B2357:C2357"/>
    <mergeCell ref="D2357:E2357"/>
    <mergeCell ref="A2352:B2352"/>
    <mergeCell ref="C2352:D2352"/>
    <mergeCell ref="A2353:B2353"/>
    <mergeCell ref="C2353:D2353"/>
    <mergeCell ref="A2354:B2354"/>
    <mergeCell ref="C2354:D2354"/>
    <mergeCell ref="A2349:B2349"/>
    <mergeCell ref="C2349:D2349"/>
    <mergeCell ref="A2350:B2350"/>
    <mergeCell ref="C2350:D2350"/>
    <mergeCell ref="A2351:B2351"/>
    <mergeCell ref="C2351:D2351"/>
    <mergeCell ref="A2364:B2364"/>
    <mergeCell ref="C2364:D2364"/>
    <mergeCell ref="A2365:B2365"/>
    <mergeCell ref="C2365:D2365"/>
    <mergeCell ref="A2366:B2366"/>
    <mergeCell ref="C2366:D2366"/>
    <mergeCell ref="A2361:B2361"/>
    <mergeCell ref="C2361:D2361"/>
    <mergeCell ref="A2362:B2362"/>
    <mergeCell ref="C2362:D2362"/>
    <mergeCell ref="A2363:B2363"/>
    <mergeCell ref="C2363:D2363"/>
    <mergeCell ref="A2358:B2358"/>
    <mergeCell ref="C2358:D2358"/>
    <mergeCell ref="A2359:B2359"/>
    <mergeCell ref="C2359:D2359"/>
    <mergeCell ref="A2360:B2360"/>
    <mergeCell ref="C2360:D2360"/>
    <mergeCell ref="B2373:C2373"/>
    <mergeCell ref="D2373:E2373"/>
    <mergeCell ref="A2374:B2374"/>
    <mergeCell ref="C2374:D2374"/>
    <mergeCell ref="A2375:B2375"/>
    <mergeCell ref="C2375:D2375"/>
    <mergeCell ref="A2370:B2370"/>
    <mergeCell ref="C2370:D2370"/>
    <mergeCell ref="A2371:B2371"/>
    <mergeCell ref="C2371:D2371"/>
    <mergeCell ref="A2372:B2372"/>
    <mergeCell ref="C2372:D2372"/>
    <mergeCell ref="A2367:B2367"/>
    <mergeCell ref="C2367:D2367"/>
    <mergeCell ref="A2368:B2368"/>
    <mergeCell ref="C2368:D2368"/>
    <mergeCell ref="A2369:B2369"/>
    <mergeCell ref="C2369:D2369"/>
    <mergeCell ref="A2382:B2382"/>
    <mergeCell ref="C2382:D2382"/>
    <mergeCell ref="A2383:B2383"/>
    <mergeCell ref="C2383:D2383"/>
    <mergeCell ref="A2384:B2384"/>
    <mergeCell ref="C2384:D2384"/>
    <mergeCell ref="A2379:B2379"/>
    <mergeCell ref="C2379:D2379"/>
    <mergeCell ref="A2380:B2380"/>
    <mergeCell ref="C2380:D2380"/>
    <mergeCell ref="A2381:B2381"/>
    <mergeCell ref="C2381:D2381"/>
    <mergeCell ref="A2376:B2376"/>
    <mergeCell ref="C2376:D2376"/>
    <mergeCell ref="A2377:B2377"/>
    <mergeCell ref="C2377:D2377"/>
    <mergeCell ref="A2378:B2378"/>
    <mergeCell ref="C2378:D2378"/>
    <mergeCell ref="A2391:B2391"/>
    <mergeCell ref="C2391:D2391"/>
    <mergeCell ref="A2392:B2392"/>
    <mergeCell ref="C2392:D2392"/>
    <mergeCell ref="A2393:B2393"/>
    <mergeCell ref="C2393:D2393"/>
    <mergeCell ref="A2388:B2388"/>
    <mergeCell ref="C2388:D2388"/>
    <mergeCell ref="B2389:C2389"/>
    <mergeCell ref="D2389:E2389"/>
    <mergeCell ref="A2390:B2390"/>
    <mergeCell ref="C2390:D2390"/>
    <mergeCell ref="A2385:B2385"/>
    <mergeCell ref="C2385:D2385"/>
    <mergeCell ref="A2386:B2386"/>
    <mergeCell ref="C2386:D2386"/>
    <mergeCell ref="A2387:B2387"/>
    <mergeCell ref="C2387:D2387"/>
    <mergeCell ref="A2400:B2400"/>
    <mergeCell ref="C2400:D2400"/>
    <mergeCell ref="A2401:B2401"/>
    <mergeCell ref="C2401:D2401"/>
    <mergeCell ref="A2402:B2402"/>
    <mergeCell ref="C2402:D2402"/>
    <mergeCell ref="A2397:B2397"/>
    <mergeCell ref="C2397:D2397"/>
    <mergeCell ref="A2398:B2398"/>
    <mergeCell ref="C2398:D2398"/>
    <mergeCell ref="A2399:B2399"/>
    <mergeCell ref="C2399:D2399"/>
    <mergeCell ref="A2394:B2394"/>
    <mergeCell ref="C2394:D2394"/>
    <mergeCell ref="A2395:B2395"/>
    <mergeCell ref="C2395:D2395"/>
    <mergeCell ref="A2396:B2396"/>
    <mergeCell ref="C2396:D2396"/>
    <mergeCell ref="A2409:B2409"/>
    <mergeCell ref="C2409:D2409"/>
    <mergeCell ref="A2410:B2410"/>
    <mergeCell ref="C2410:D2410"/>
    <mergeCell ref="A2411:B2411"/>
    <mergeCell ref="C2411:D2411"/>
    <mergeCell ref="A2406:B2406"/>
    <mergeCell ref="C2406:D2406"/>
    <mergeCell ref="A2407:B2407"/>
    <mergeCell ref="C2407:D2407"/>
    <mergeCell ref="A2408:B2408"/>
    <mergeCell ref="C2408:D2408"/>
    <mergeCell ref="A2403:B2403"/>
    <mergeCell ref="C2403:D2403"/>
    <mergeCell ref="A2404:B2404"/>
    <mergeCell ref="C2404:D2404"/>
    <mergeCell ref="B2405:C2405"/>
    <mergeCell ref="D2405:E2405"/>
    <mergeCell ref="A2418:B2418"/>
    <mergeCell ref="C2418:D2418"/>
    <mergeCell ref="A2419:B2419"/>
    <mergeCell ref="C2419:D2419"/>
    <mergeCell ref="A2420:B2420"/>
    <mergeCell ref="C2420:D2420"/>
    <mergeCell ref="A2415:B2415"/>
    <mergeCell ref="C2415:D2415"/>
    <mergeCell ref="A2416:B2416"/>
    <mergeCell ref="C2416:D2416"/>
    <mergeCell ref="A2417:B2417"/>
    <mergeCell ref="C2417:D2417"/>
    <mergeCell ref="A2412:B2412"/>
    <mergeCell ref="C2412:D2412"/>
    <mergeCell ref="A2413:B2413"/>
    <mergeCell ref="C2413:D2413"/>
    <mergeCell ref="A2414:B2414"/>
    <mergeCell ref="C2414:D2414"/>
    <mergeCell ref="A2427:B2427"/>
    <mergeCell ref="C2427:D2427"/>
    <mergeCell ref="A2428:B2428"/>
    <mergeCell ref="C2428:D2428"/>
    <mergeCell ref="A2429:B2429"/>
    <mergeCell ref="C2429:D2429"/>
    <mergeCell ref="A2424:B2424"/>
    <mergeCell ref="C2424:D2424"/>
    <mergeCell ref="A2425:B2425"/>
    <mergeCell ref="C2425:D2425"/>
    <mergeCell ref="A2426:B2426"/>
    <mergeCell ref="C2426:D2426"/>
    <mergeCell ref="B2421:C2421"/>
    <mergeCell ref="D2421:E2421"/>
    <mergeCell ref="A2422:B2422"/>
    <mergeCell ref="C2422:D2422"/>
    <mergeCell ref="A2423:B2423"/>
    <mergeCell ref="C2423:D2423"/>
    <mergeCell ref="A2436:B2436"/>
    <mergeCell ref="C2436:D2436"/>
    <mergeCell ref="B2437:C2437"/>
    <mergeCell ref="D2437:E2437"/>
    <mergeCell ref="A2438:B2438"/>
    <mergeCell ref="C2438:D2438"/>
    <mergeCell ref="A2433:B2433"/>
    <mergeCell ref="C2433:D2433"/>
    <mergeCell ref="A2434:B2434"/>
    <mergeCell ref="C2434:D2434"/>
    <mergeCell ref="A2435:B2435"/>
    <mergeCell ref="C2435:D2435"/>
    <mergeCell ref="A2430:B2430"/>
    <mergeCell ref="C2430:D2430"/>
    <mergeCell ref="A2431:B2431"/>
    <mergeCell ref="C2431:D2431"/>
    <mergeCell ref="A2432:B2432"/>
    <mergeCell ref="C2432:D2432"/>
    <mergeCell ref="A2445:B2445"/>
    <mergeCell ref="C2445:D2445"/>
    <mergeCell ref="A2446:B2446"/>
    <mergeCell ref="C2446:D2446"/>
    <mergeCell ref="A2447:B2447"/>
    <mergeCell ref="C2447:D2447"/>
    <mergeCell ref="A2442:B2442"/>
    <mergeCell ref="C2442:D2442"/>
    <mergeCell ref="A2443:B2443"/>
    <mergeCell ref="C2443:D2443"/>
    <mergeCell ref="A2444:B2444"/>
    <mergeCell ref="C2444:D2444"/>
    <mergeCell ref="A2439:B2439"/>
    <mergeCell ref="C2439:D2439"/>
    <mergeCell ref="A2440:B2440"/>
    <mergeCell ref="C2440:D2440"/>
    <mergeCell ref="A2441:B2441"/>
    <mergeCell ref="C2441:D2441"/>
    <mergeCell ref="B2454:C2454"/>
    <mergeCell ref="D2454:E2454"/>
    <mergeCell ref="A2455:B2455"/>
    <mergeCell ref="C2455:D2455"/>
    <mergeCell ref="A2456:B2456"/>
    <mergeCell ref="C2456:D2456"/>
    <mergeCell ref="A2451:B2451"/>
    <mergeCell ref="C2451:D2451"/>
    <mergeCell ref="A2452:B2452"/>
    <mergeCell ref="C2452:D2452"/>
    <mergeCell ref="A2453:B2453"/>
    <mergeCell ref="C2453:D2453"/>
    <mergeCell ref="A2448:B2448"/>
    <mergeCell ref="C2448:D2448"/>
    <mergeCell ref="A2449:B2449"/>
    <mergeCell ref="C2449:D2449"/>
    <mergeCell ref="A2450:B2450"/>
    <mergeCell ref="C2450:D2450"/>
    <mergeCell ref="A2463:B2463"/>
    <mergeCell ref="C2463:D2463"/>
    <mergeCell ref="A2464:B2464"/>
    <mergeCell ref="C2464:D2464"/>
    <mergeCell ref="A2465:B2465"/>
    <mergeCell ref="C2465:D2465"/>
    <mergeCell ref="A2460:B2460"/>
    <mergeCell ref="C2460:D2460"/>
    <mergeCell ref="A2461:B2461"/>
    <mergeCell ref="C2461:D2461"/>
    <mergeCell ref="A2462:B2462"/>
    <mergeCell ref="C2462:D2462"/>
    <mergeCell ref="A2457:B2457"/>
    <mergeCell ref="C2457:D2457"/>
    <mergeCell ref="A2458:B2458"/>
    <mergeCell ref="C2458:D2458"/>
    <mergeCell ref="A2459:B2459"/>
    <mergeCell ref="C2459:D2459"/>
    <mergeCell ref="A2472:B2472"/>
    <mergeCell ref="C2472:D2472"/>
    <mergeCell ref="A2473:B2473"/>
    <mergeCell ref="C2473:D2473"/>
    <mergeCell ref="A2474:B2474"/>
    <mergeCell ref="C2474:D2474"/>
    <mergeCell ref="A2469:B2469"/>
    <mergeCell ref="C2469:D2469"/>
    <mergeCell ref="A2470:B2470"/>
    <mergeCell ref="C2470:D2470"/>
    <mergeCell ref="B2471:C2471"/>
    <mergeCell ref="D2471:E2471"/>
    <mergeCell ref="A2466:B2466"/>
    <mergeCell ref="C2466:D2466"/>
    <mergeCell ref="A2467:B2467"/>
    <mergeCell ref="C2467:D2467"/>
    <mergeCell ref="A2468:B2468"/>
    <mergeCell ref="C2468:D2468"/>
    <mergeCell ref="A2481:B2481"/>
    <mergeCell ref="C2481:D2481"/>
    <mergeCell ref="A2482:B2482"/>
    <mergeCell ref="C2482:D2482"/>
    <mergeCell ref="A2483:B2483"/>
    <mergeCell ref="C2483:D2483"/>
    <mergeCell ref="A2478:B2478"/>
    <mergeCell ref="C2478:D2478"/>
    <mergeCell ref="A2479:B2479"/>
    <mergeCell ref="C2479:D2479"/>
    <mergeCell ref="A2480:B2480"/>
    <mergeCell ref="C2480:D2480"/>
    <mergeCell ref="A2475:B2475"/>
    <mergeCell ref="C2475:D2475"/>
    <mergeCell ref="A2476:B2476"/>
    <mergeCell ref="C2476:D2476"/>
    <mergeCell ref="A2477:B2477"/>
    <mergeCell ref="C2477:D2477"/>
    <mergeCell ref="A2490:B2490"/>
    <mergeCell ref="C2490:D2490"/>
    <mergeCell ref="A2491:B2491"/>
    <mergeCell ref="C2491:D2491"/>
    <mergeCell ref="A2492:B2492"/>
    <mergeCell ref="C2492:D2492"/>
    <mergeCell ref="A2487:B2487"/>
    <mergeCell ref="C2487:D2487"/>
    <mergeCell ref="B2488:C2488"/>
    <mergeCell ref="D2488:E2488"/>
    <mergeCell ref="A2489:B2489"/>
    <mergeCell ref="C2489:D2489"/>
    <mergeCell ref="A2484:B2484"/>
    <mergeCell ref="C2484:D2484"/>
    <mergeCell ref="A2485:B2485"/>
    <mergeCell ref="C2485:D2485"/>
    <mergeCell ref="A2486:B2486"/>
    <mergeCell ref="C2486:D2486"/>
    <mergeCell ref="A2499:B2499"/>
    <mergeCell ref="C2499:D2499"/>
    <mergeCell ref="A2500:B2500"/>
    <mergeCell ref="C2500:D2500"/>
    <mergeCell ref="A2501:B2501"/>
    <mergeCell ref="C2501:D2501"/>
    <mergeCell ref="A2496:B2496"/>
    <mergeCell ref="C2496:D2496"/>
    <mergeCell ref="A2497:B2497"/>
    <mergeCell ref="C2497:D2497"/>
    <mergeCell ref="A2498:B2498"/>
    <mergeCell ref="C2498:D2498"/>
    <mergeCell ref="A2493:B2493"/>
    <mergeCell ref="C2493:D2493"/>
    <mergeCell ref="A2494:B2494"/>
    <mergeCell ref="C2494:D2494"/>
    <mergeCell ref="B2495:C2495"/>
    <mergeCell ref="D2495:E2495"/>
    <mergeCell ref="A2508:B2508"/>
    <mergeCell ref="C2508:D2508"/>
    <mergeCell ref="B2509:C2509"/>
    <mergeCell ref="D2509:E2509"/>
    <mergeCell ref="A2510:B2510"/>
    <mergeCell ref="C2510:D2510"/>
    <mergeCell ref="A2505:B2505"/>
    <mergeCell ref="C2505:D2505"/>
    <mergeCell ref="A2506:B2506"/>
    <mergeCell ref="C2506:D2506"/>
    <mergeCell ref="A2507:B2507"/>
    <mergeCell ref="C2507:D2507"/>
    <mergeCell ref="B2502:C2502"/>
    <mergeCell ref="D2502:E2502"/>
    <mergeCell ref="A2503:B2503"/>
    <mergeCell ref="C2503:D2503"/>
    <mergeCell ref="A2504:B2504"/>
    <mergeCell ref="C2504:D2504"/>
    <mergeCell ref="A2517:B2517"/>
    <mergeCell ref="C2517:D2517"/>
    <mergeCell ref="B2518:C2518"/>
    <mergeCell ref="D2518:E2518"/>
    <mergeCell ref="A2519:B2519"/>
    <mergeCell ref="C2519:D2519"/>
    <mergeCell ref="A2514:B2514"/>
    <mergeCell ref="C2514:D2514"/>
    <mergeCell ref="B2515:C2515"/>
    <mergeCell ref="D2515:E2515"/>
    <mergeCell ref="A2516:B2516"/>
    <mergeCell ref="C2516:D2516"/>
    <mergeCell ref="A2511:B2511"/>
    <mergeCell ref="C2511:D2511"/>
    <mergeCell ref="B2512:C2512"/>
    <mergeCell ref="D2512:E2512"/>
    <mergeCell ref="A2513:B2513"/>
    <mergeCell ref="C2513:D2513"/>
    <mergeCell ref="A2526:B2526"/>
    <mergeCell ref="C2526:D2526"/>
    <mergeCell ref="B2527:C2527"/>
    <mergeCell ref="D2527:E2527"/>
    <mergeCell ref="A2528:B2528"/>
    <mergeCell ref="C2528:D2528"/>
    <mergeCell ref="A2523:B2523"/>
    <mergeCell ref="C2523:D2523"/>
    <mergeCell ref="B2524:C2524"/>
    <mergeCell ref="D2524:E2524"/>
    <mergeCell ref="A2525:B2525"/>
    <mergeCell ref="C2525:D2525"/>
    <mergeCell ref="A2520:B2520"/>
    <mergeCell ref="C2520:D2520"/>
    <mergeCell ref="B2521:C2521"/>
    <mergeCell ref="D2521:E2521"/>
    <mergeCell ref="A2522:B2522"/>
    <mergeCell ref="C2522:D2522"/>
    <mergeCell ref="A2535:B2535"/>
    <mergeCell ref="C2535:D2535"/>
    <mergeCell ref="B2536:C2536"/>
    <mergeCell ref="D2536:E2536"/>
    <mergeCell ref="A2537:B2537"/>
    <mergeCell ref="C2537:D2537"/>
    <mergeCell ref="A2532:B2532"/>
    <mergeCell ref="C2532:D2532"/>
    <mergeCell ref="B2533:C2533"/>
    <mergeCell ref="D2533:E2533"/>
    <mergeCell ref="A2534:B2534"/>
    <mergeCell ref="C2534:D2534"/>
    <mergeCell ref="A2529:B2529"/>
    <mergeCell ref="C2529:D2529"/>
    <mergeCell ref="B2530:C2530"/>
    <mergeCell ref="D2530:E2530"/>
    <mergeCell ref="A2531:B2531"/>
    <mergeCell ref="C2531:D2531"/>
    <mergeCell ref="A2544:B2544"/>
    <mergeCell ref="C2544:D2544"/>
    <mergeCell ref="B2545:C2545"/>
    <mergeCell ref="D2545:E2545"/>
    <mergeCell ref="A2546:B2546"/>
    <mergeCell ref="C2546:D2546"/>
    <mergeCell ref="A2541:B2541"/>
    <mergeCell ref="C2541:D2541"/>
    <mergeCell ref="B2542:C2542"/>
    <mergeCell ref="D2542:E2542"/>
    <mergeCell ref="A2543:B2543"/>
    <mergeCell ref="C2543:D2543"/>
    <mergeCell ref="A2538:B2538"/>
    <mergeCell ref="C2538:D2538"/>
    <mergeCell ref="B2539:C2539"/>
    <mergeCell ref="D2539:E2539"/>
    <mergeCell ref="A2540:B2540"/>
    <mergeCell ref="C2540:D2540"/>
    <mergeCell ref="A2553:B2553"/>
    <mergeCell ref="C2553:D2553"/>
    <mergeCell ref="A2554:B2554"/>
    <mergeCell ref="C2554:D2554"/>
    <mergeCell ref="B2555:C2555"/>
    <mergeCell ref="D2555:E2555"/>
    <mergeCell ref="A2550:B2550"/>
    <mergeCell ref="C2550:D2550"/>
    <mergeCell ref="B2551:C2551"/>
    <mergeCell ref="D2551:E2551"/>
    <mergeCell ref="A2552:B2552"/>
    <mergeCell ref="C2552:D2552"/>
    <mergeCell ref="A2547:B2547"/>
    <mergeCell ref="C2547:D2547"/>
    <mergeCell ref="A2548:B2548"/>
    <mergeCell ref="C2548:D2548"/>
    <mergeCell ref="A2549:B2549"/>
    <mergeCell ref="C2549:D2549"/>
    <mergeCell ref="B2562:C2562"/>
    <mergeCell ref="D2562:E2562"/>
    <mergeCell ref="A2563:B2563"/>
    <mergeCell ref="C2563:D2563"/>
    <mergeCell ref="A2564:B2564"/>
    <mergeCell ref="C2564:D2564"/>
    <mergeCell ref="B2559:C2559"/>
    <mergeCell ref="D2559:E2559"/>
    <mergeCell ref="A2560:B2560"/>
    <mergeCell ref="C2560:D2560"/>
    <mergeCell ref="A2561:B2561"/>
    <mergeCell ref="C2561:D2561"/>
    <mergeCell ref="A2556:B2556"/>
    <mergeCell ref="C2556:D2556"/>
    <mergeCell ref="A2557:B2557"/>
    <mergeCell ref="C2557:D2557"/>
    <mergeCell ref="A2558:B2558"/>
    <mergeCell ref="C2558:D2558"/>
    <mergeCell ref="A2571:B2571"/>
    <mergeCell ref="C2571:D2571"/>
    <mergeCell ref="A2572:B2572"/>
    <mergeCell ref="C2572:D2572"/>
    <mergeCell ref="A2573:B2573"/>
    <mergeCell ref="C2573:D2573"/>
    <mergeCell ref="A2568:B2568"/>
    <mergeCell ref="C2568:D2568"/>
    <mergeCell ref="A2569:B2569"/>
    <mergeCell ref="C2569:D2569"/>
    <mergeCell ref="B2570:C2570"/>
    <mergeCell ref="D2570:E2570"/>
    <mergeCell ref="B2565:C2565"/>
    <mergeCell ref="D2565:E2565"/>
    <mergeCell ref="A2566:B2566"/>
    <mergeCell ref="C2566:D2566"/>
    <mergeCell ref="A2567:B2567"/>
    <mergeCell ref="C2567:D2567"/>
    <mergeCell ref="A2580:B2580"/>
    <mergeCell ref="C2580:D2580"/>
    <mergeCell ref="A2581:B2581"/>
    <mergeCell ref="C2581:D2581"/>
    <mergeCell ref="A2582:B2582"/>
    <mergeCell ref="C2582:D2582"/>
    <mergeCell ref="A2577:B2577"/>
    <mergeCell ref="C2577:D2577"/>
    <mergeCell ref="A2578:B2578"/>
    <mergeCell ref="C2578:D2578"/>
    <mergeCell ref="A2579:B2579"/>
    <mergeCell ref="C2579:D2579"/>
    <mergeCell ref="A2574:B2574"/>
    <mergeCell ref="C2574:D2574"/>
    <mergeCell ref="A2575:B2575"/>
    <mergeCell ref="C2575:D2575"/>
    <mergeCell ref="B2576:C2576"/>
    <mergeCell ref="D2576:E2576"/>
    <mergeCell ref="A2589:B2589"/>
    <mergeCell ref="C2589:D2589"/>
    <mergeCell ref="A2590:B2590"/>
    <mergeCell ref="C2590:D2590"/>
    <mergeCell ref="A2591:B2591"/>
    <mergeCell ref="C2591:D2591"/>
    <mergeCell ref="A2586:B2586"/>
    <mergeCell ref="C2586:D2586"/>
    <mergeCell ref="A2587:B2587"/>
    <mergeCell ref="C2587:D2587"/>
    <mergeCell ref="B2588:C2588"/>
    <mergeCell ref="D2588:E2588"/>
    <mergeCell ref="A2583:B2583"/>
    <mergeCell ref="C2583:D2583"/>
    <mergeCell ref="A2584:B2584"/>
    <mergeCell ref="C2584:D2584"/>
    <mergeCell ref="A2585:B2585"/>
    <mergeCell ref="C2585:D2585"/>
    <mergeCell ref="A2598:B2598"/>
    <mergeCell ref="C2598:D2598"/>
    <mergeCell ref="A2599:B2599"/>
    <mergeCell ref="C2599:D2599"/>
    <mergeCell ref="B2600:C2600"/>
    <mergeCell ref="D2600:E2600"/>
    <mergeCell ref="A2595:B2595"/>
    <mergeCell ref="C2595:D2595"/>
    <mergeCell ref="A2596:B2596"/>
    <mergeCell ref="C2596:D2596"/>
    <mergeCell ref="A2597:B2597"/>
    <mergeCell ref="C2597:D2597"/>
    <mergeCell ref="A2592:B2592"/>
    <mergeCell ref="C2592:D2592"/>
    <mergeCell ref="A2593:B2593"/>
    <mergeCell ref="C2593:D2593"/>
    <mergeCell ref="A2594:B2594"/>
    <mergeCell ref="C2594:D2594"/>
    <mergeCell ref="A2607:B2607"/>
    <mergeCell ref="C2607:D2607"/>
    <mergeCell ref="A2608:B2608"/>
    <mergeCell ref="C2608:D2608"/>
    <mergeCell ref="A2609:B2609"/>
    <mergeCell ref="C2609:D2609"/>
    <mergeCell ref="A2604:B2604"/>
    <mergeCell ref="C2604:D2604"/>
    <mergeCell ref="A2605:B2605"/>
    <mergeCell ref="C2605:D2605"/>
    <mergeCell ref="A2606:B2606"/>
    <mergeCell ref="C2606:D2606"/>
    <mergeCell ref="A2601:B2601"/>
    <mergeCell ref="C2601:D2601"/>
    <mergeCell ref="A2602:B2602"/>
    <mergeCell ref="C2602:D2602"/>
    <mergeCell ref="A2603:B2603"/>
    <mergeCell ref="C2603:D2603"/>
    <mergeCell ref="A2616:B2616"/>
    <mergeCell ref="C2616:D2616"/>
    <mergeCell ref="A2617:B2617"/>
    <mergeCell ref="C2617:D2617"/>
    <mergeCell ref="A2618:B2618"/>
    <mergeCell ref="C2618:D2618"/>
    <mergeCell ref="A2613:B2613"/>
    <mergeCell ref="C2613:D2613"/>
    <mergeCell ref="A2614:B2614"/>
    <mergeCell ref="C2614:D2614"/>
    <mergeCell ref="A2615:B2615"/>
    <mergeCell ref="C2615:D2615"/>
    <mergeCell ref="A2610:B2610"/>
    <mergeCell ref="C2610:D2610"/>
    <mergeCell ref="A2611:B2611"/>
    <mergeCell ref="C2611:D2611"/>
    <mergeCell ref="B2612:C2612"/>
    <mergeCell ref="D2612:E2612"/>
    <mergeCell ref="A2625:B2625"/>
    <mergeCell ref="C2625:D2625"/>
    <mergeCell ref="A2626:B2626"/>
    <mergeCell ref="C2626:D2626"/>
    <mergeCell ref="A2627:B2627"/>
    <mergeCell ref="C2627:D2627"/>
    <mergeCell ref="A2622:B2622"/>
    <mergeCell ref="C2622:D2622"/>
    <mergeCell ref="A2623:B2623"/>
    <mergeCell ref="C2623:D2623"/>
    <mergeCell ref="B2624:C2624"/>
    <mergeCell ref="D2624:E2624"/>
    <mergeCell ref="A2619:B2619"/>
    <mergeCell ref="C2619:D2619"/>
    <mergeCell ref="A2620:B2620"/>
    <mergeCell ref="C2620:D2620"/>
    <mergeCell ref="A2621:B2621"/>
    <mergeCell ref="C2621:D2621"/>
    <mergeCell ref="A2634:B2634"/>
    <mergeCell ref="C2634:D2634"/>
    <mergeCell ref="A2635:B2635"/>
    <mergeCell ref="C2635:D2635"/>
    <mergeCell ref="A2636:B2636"/>
    <mergeCell ref="C2636:D2636"/>
    <mergeCell ref="A2631:B2631"/>
    <mergeCell ref="C2631:D2631"/>
    <mergeCell ref="A2632:B2632"/>
    <mergeCell ref="C2632:D2632"/>
    <mergeCell ref="A2633:B2633"/>
    <mergeCell ref="C2633:D2633"/>
    <mergeCell ref="A2628:B2628"/>
    <mergeCell ref="C2628:D2628"/>
    <mergeCell ref="A2629:B2629"/>
    <mergeCell ref="C2629:D2629"/>
    <mergeCell ref="A2630:B2630"/>
    <mergeCell ref="C2630:D2630"/>
    <mergeCell ref="A2643:B2643"/>
    <mergeCell ref="C2643:D2643"/>
    <mergeCell ref="A2644:B2644"/>
    <mergeCell ref="C2644:D2644"/>
    <mergeCell ref="A2645:B2645"/>
    <mergeCell ref="C2645:D2645"/>
    <mergeCell ref="A2640:B2640"/>
    <mergeCell ref="C2640:D2640"/>
    <mergeCell ref="A2641:B2641"/>
    <mergeCell ref="C2641:D2641"/>
    <mergeCell ref="A2642:B2642"/>
    <mergeCell ref="C2642:D2642"/>
    <mergeCell ref="B2637:C2637"/>
    <mergeCell ref="D2637:E2637"/>
    <mergeCell ref="A2638:B2638"/>
    <mergeCell ref="C2638:D2638"/>
    <mergeCell ref="A2639:B2639"/>
    <mergeCell ref="C2639:D2639"/>
    <mergeCell ref="A2652:B2652"/>
    <mergeCell ref="C2652:D2652"/>
    <mergeCell ref="A2653:B2653"/>
    <mergeCell ref="C2653:D2653"/>
    <mergeCell ref="A2654:B2654"/>
    <mergeCell ref="C2654:D2654"/>
    <mergeCell ref="A2649:B2649"/>
    <mergeCell ref="C2649:D2649"/>
    <mergeCell ref="B2650:C2650"/>
    <mergeCell ref="D2650:E2650"/>
    <mergeCell ref="A2651:B2651"/>
    <mergeCell ref="C2651:D2651"/>
    <mergeCell ref="A2646:B2646"/>
    <mergeCell ref="C2646:D2646"/>
    <mergeCell ref="A2647:B2647"/>
    <mergeCell ref="C2647:D2647"/>
    <mergeCell ref="A2648:B2648"/>
    <mergeCell ref="C2648:D2648"/>
    <mergeCell ref="B2661:C2661"/>
    <mergeCell ref="D2661:E2661"/>
    <mergeCell ref="A2662:B2662"/>
    <mergeCell ref="C2662:D2662"/>
    <mergeCell ref="A2663:B2663"/>
    <mergeCell ref="C2663:D2663"/>
    <mergeCell ref="A2658:B2658"/>
    <mergeCell ref="C2658:D2658"/>
    <mergeCell ref="A2659:B2659"/>
    <mergeCell ref="C2659:D2659"/>
    <mergeCell ref="A2660:B2660"/>
    <mergeCell ref="C2660:D2660"/>
    <mergeCell ref="A2655:B2655"/>
    <mergeCell ref="C2655:D2655"/>
    <mergeCell ref="A2656:B2656"/>
    <mergeCell ref="C2656:D2656"/>
    <mergeCell ref="A2657:B2657"/>
    <mergeCell ref="C2657:D2657"/>
    <mergeCell ref="A2670:B2670"/>
    <mergeCell ref="C2670:D2670"/>
    <mergeCell ref="A2671:B2671"/>
    <mergeCell ref="C2671:D2671"/>
    <mergeCell ref="B2672:C2672"/>
    <mergeCell ref="D2672:E2672"/>
    <mergeCell ref="A2667:B2667"/>
    <mergeCell ref="C2667:D2667"/>
    <mergeCell ref="A2668:B2668"/>
    <mergeCell ref="C2668:D2668"/>
    <mergeCell ref="A2669:B2669"/>
    <mergeCell ref="C2669:D2669"/>
    <mergeCell ref="A2664:B2664"/>
    <mergeCell ref="C2664:D2664"/>
    <mergeCell ref="A2665:B2665"/>
    <mergeCell ref="C2665:D2665"/>
    <mergeCell ref="A2666:B2666"/>
    <mergeCell ref="C2666:D2666"/>
    <mergeCell ref="A2679:B2679"/>
    <mergeCell ref="C2679:D2679"/>
    <mergeCell ref="A2680:B2680"/>
    <mergeCell ref="C2680:D2680"/>
    <mergeCell ref="A2681:B2681"/>
    <mergeCell ref="C2681:D2681"/>
    <mergeCell ref="A2676:B2676"/>
    <mergeCell ref="C2676:D2676"/>
    <mergeCell ref="A2677:B2677"/>
    <mergeCell ref="C2677:D2677"/>
    <mergeCell ref="A2678:B2678"/>
    <mergeCell ref="C2678:D2678"/>
    <mergeCell ref="A2673:B2673"/>
    <mergeCell ref="C2673:D2673"/>
    <mergeCell ref="A2674:B2674"/>
    <mergeCell ref="C2674:D2674"/>
    <mergeCell ref="A2675:B2675"/>
    <mergeCell ref="C2675:D2675"/>
    <mergeCell ref="A2688:B2688"/>
    <mergeCell ref="C2688:D2688"/>
    <mergeCell ref="A2689:B2689"/>
    <mergeCell ref="C2689:D2689"/>
    <mergeCell ref="A2690:B2690"/>
    <mergeCell ref="C2690:D2690"/>
    <mergeCell ref="A2685:B2685"/>
    <mergeCell ref="C2685:D2685"/>
    <mergeCell ref="A2686:B2686"/>
    <mergeCell ref="C2686:D2686"/>
    <mergeCell ref="A2687:B2687"/>
    <mergeCell ref="C2687:D2687"/>
    <mergeCell ref="A2682:B2682"/>
    <mergeCell ref="C2682:D2682"/>
    <mergeCell ref="A2683:B2683"/>
    <mergeCell ref="C2683:D2683"/>
    <mergeCell ref="B2684:C2684"/>
    <mergeCell ref="D2684:E2684"/>
    <mergeCell ref="A2697:B2697"/>
    <mergeCell ref="C2697:D2697"/>
    <mergeCell ref="A2698:B2698"/>
    <mergeCell ref="C2698:D2698"/>
    <mergeCell ref="A2699:B2699"/>
    <mergeCell ref="C2699:D2699"/>
    <mergeCell ref="A2694:B2694"/>
    <mergeCell ref="C2694:D2694"/>
    <mergeCell ref="A2695:B2695"/>
    <mergeCell ref="C2695:D2695"/>
    <mergeCell ref="B2696:C2696"/>
    <mergeCell ref="D2696:E2696"/>
    <mergeCell ref="A2691:B2691"/>
    <mergeCell ref="C2691:D2691"/>
    <mergeCell ref="A2692:B2692"/>
    <mergeCell ref="C2692:D2692"/>
    <mergeCell ref="A2693:B2693"/>
    <mergeCell ref="C2693:D2693"/>
    <mergeCell ref="A2706:B2706"/>
    <mergeCell ref="C2706:D2706"/>
    <mergeCell ref="A2707:B2707"/>
    <mergeCell ref="C2707:D2707"/>
    <mergeCell ref="A2708:B2708"/>
    <mergeCell ref="C2708:D2708"/>
    <mergeCell ref="A2703:B2703"/>
    <mergeCell ref="C2703:D2703"/>
    <mergeCell ref="A2704:B2704"/>
    <mergeCell ref="C2704:D2704"/>
    <mergeCell ref="A2705:B2705"/>
    <mergeCell ref="C2705:D2705"/>
    <mergeCell ref="A2700:B2700"/>
    <mergeCell ref="C2700:D2700"/>
    <mergeCell ref="A2701:B2701"/>
    <mergeCell ref="C2701:D2701"/>
    <mergeCell ref="A2702:B2702"/>
    <mergeCell ref="C2702:D2702"/>
    <mergeCell ref="A2715:B2715"/>
    <mergeCell ref="C2715:D2715"/>
    <mergeCell ref="A2716:B2716"/>
    <mergeCell ref="C2716:D2716"/>
    <mergeCell ref="A2717:B2717"/>
    <mergeCell ref="C2717:D2717"/>
    <mergeCell ref="A2712:B2712"/>
    <mergeCell ref="C2712:D2712"/>
    <mergeCell ref="A2713:B2713"/>
    <mergeCell ref="C2713:D2713"/>
    <mergeCell ref="A2714:B2714"/>
    <mergeCell ref="C2714:D2714"/>
    <mergeCell ref="B2709:C2709"/>
    <mergeCell ref="D2709:E2709"/>
    <mergeCell ref="A2710:B2710"/>
    <mergeCell ref="C2710:D2710"/>
    <mergeCell ref="A2711:B2711"/>
    <mergeCell ref="C2711:D2711"/>
    <mergeCell ref="A2724:B2724"/>
    <mergeCell ref="C2724:D2724"/>
    <mergeCell ref="A2725:B2725"/>
    <mergeCell ref="C2725:D2725"/>
    <mergeCell ref="A2726:B2726"/>
    <mergeCell ref="C2726:D2726"/>
    <mergeCell ref="A2721:B2721"/>
    <mergeCell ref="C2721:D2721"/>
    <mergeCell ref="B2722:C2722"/>
    <mergeCell ref="D2722:E2722"/>
    <mergeCell ref="A2723:B2723"/>
    <mergeCell ref="C2723:D2723"/>
    <mergeCell ref="A2718:B2718"/>
    <mergeCell ref="C2718:D2718"/>
    <mergeCell ref="A2719:B2719"/>
    <mergeCell ref="C2719:D2719"/>
    <mergeCell ref="A2720:B2720"/>
    <mergeCell ref="C2720:D2720"/>
    <mergeCell ref="A2733:B2733"/>
    <mergeCell ref="C2733:D2733"/>
    <mergeCell ref="A2734:B2734"/>
    <mergeCell ref="C2734:D2734"/>
    <mergeCell ref="B2735:C2735"/>
    <mergeCell ref="D2735:E2735"/>
    <mergeCell ref="A2730:B2730"/>
    <mergeCell ref="C2730:D2730"/>
    <mergeCell ref="A2731:B2731"/>
    <mergeCell ref="C2731:D2731"/>
    <mergeCell ref="A2732:B2732"/>
    <mergeCell ref="C2732:D2732"/>
    <mergeCell ref="A2727:B2727"/>
    <mergeCell ref="C2727:D2727"/>
    <mergeCell ref="A2728:B2728"/>
    <mergeCell ref="C2728:D2728"/>
    <mergeCell ref="A2729:B2729"/>
    <mergeCell ref="C2729:D2729"/>
    <mergeCell ref="A2742:B2742"/>
    <mergeCell ref="C2742:D2742"/>
    <mergeCell ref="A2743:B2743"/>
    <mergeCell ref="C2743:D2743"/>
    <mergeCell ref="A2744:B2744"/>
    <mergeCell ref="C2744:D2744"/>
    <mergeCell ref="A2739:B2739"/>
    <mergeCell ref="C2739:D2739"/>
    <mergeCell ref="A2740:B2740"/>
    <mergeCell ref="C2740:D2740"/>
    <mergeCell ref="A2741:B2741"/>
    <mergeCell ref="C2741:D2741"/>
    <mergeCell ref="A2736:B2736"/>
    <mergeCell ref="C2736:D2736"/>
    <mergeCell ref="A2737:B2737"/>
    <mergeCell ref="C2737:D2737"/>
    <mergeCell ref="A2738:B2738"/>
    <mergeCell ref="C2738:D2738"/>
    <mergeCell ref="A2751:B2751"/>
    <mergeCell ref="C2751:D2751"/>
    <mergeCell ref="A2752:B2752"/>
    <mergeCell ref="C2752:D2752"/>
    <mergeCell ref="A2753:B2753"/>
    <mergeCell ref="C2753:D2753"/>
    <mergeCell ref="B2748:C2748"/>
    <mergeCell ref="D2748:E2748"/>
    <mergeCell ref="A2749:B2749"/>
    <mergeCell ref="C2749:D2749"/>
    <mergeCell ref="A2750:B2750"/>
    <mergeCell ref="C2750:D2750"/>
    <mergeCell ref="A2745:B2745"/>
    <mergeCell ref="C2745:D2745"/>
    <mergeCell ref="A2746:B2746"/>
    <mergeCell ref="C2746:D2746"/>
    <mergeCell ref="A2747:B2747"/>
    <mergeCell ref="C2747:D2747"/>
    <mergeCell ref="A2760:B2760"/>
    <mergeCell ref="C2760:D2760"/>
    <mergeCell ref="A2761:B2761"/>
    <mergeCell ref="C2761:D2761"/>
    <mergeCell ref="B2762:C2762"/>
    <mergeCell ref="D2762:E2762"/>
    <mergeCell ref="A2757:B2757"/>
    <mergeCell ref="C2757:D2757"/>
    <mergeCell ref="A2758:B2758"/>
    <mergeCell ref="C2758:D2758"/>
    <mergeCell ref="A2759:B2759"/>
    <mergeCell ref="C2759:D2759"/>
    <mergeCell ref="A2754:B2754"/>
    <mergeCell ref="C2754:D2754"/>
    <mergeCell ref="A2755:B2755"/>
    <mergeCell ref="C2755:D2755"/>
    <mergeCell ref="A2756:B2756"/>
    <mergeCell ref="C2756:D2756"/>
    <mergeCell ref="A2769:B2769"/>
    <mergeCell ref="C2769:D2769"/>
    <mergeCell ref="A2770:B2770"/>
    <mergeCell ref="C2770:D2770"/>
    <mergeCell ref="A2771:B2771"/>
    <mergeCell ref="C2771:D2771"/>
    <mergeCell ref="A2766:B2766"/>
    <mergeCell ref="C2766:D2766"/>
    <mergeCell ref="A2767:B2767"/>
    <mergeCell ref="C2767:D2767"/>
    <mergeCell ref="A2768:B2768"/>
    <mergeCell ref="C2768:D2768"/>
    <mergeCell ref="A2763:B2763"/>
    <mergeCell ref="C2763:D2763"/>
    <mergeCell ref="A2764:B2764"/>
    <mergeCell ref="C2764:D2764"/>
    <mergeCell ref="A2765:B2765"/>
    <mergeCell ref="C2765:D2765"/>
    <mergeCell ref="A2778:B2778"/>
    <mergeCell ref="C2778:D2778"/>
    <mergeCell ref="A2779:B2779"/>
    <mergeCell ref="C2779:D2779"/>
    <mergeCell ref="A2780:B2780"/>
    <mergeCell ref="C2780:D2780"/>
    <mergeCell ref="A2775:B2775"/>
    <mergeCell ref="C2775:D2775"/>
    <mergeCell ref="B2776:C2776"/>
    <mergeCell ref="D2776:E2776"/>
    <mergeCell ref="A2777:B2777"/>
    <mergeCell ref="C2777:D2777"/>
    <mergeCell ref="A2772:B2772"/>
    <mergeCell ref="C2772:D2772"/>
    <mergeCell ref="A2773:B2773"/>
    <mergeCell ref="C2773:D2773"/>
    <mergeCell ref="A2774:B2774"/>
    <mergeCell ref="C2774:D2774"/>
    <mergeCell ref="A2787:B2787"/>
    <mergeCell ref="C2787:D2787"/>
    <mergeCell ref="B2788:C2788"/>
    <mergeCell ref="D2788:E2788"/>
    <mergeCell ref="A2789:B2789"/>
    <mergeCell ref="C2789:D2789"/>
    <mergeCell ref="A2784:B2784"/>
    <mergeCell ref="C2784:D2784"/>
    <mergeCell ref="A2785:B2785"/>
    <mergeCell ref="C2785:D2785"/>
    <mergeCell ref="A2786:B2786"/>
    <mergeCell ref="C2786:D2786"/>
    <mergeCell ref="A2781:B2781"/>
    <mergeCell ref="C2781:D2781"/>
    <mergeCell ref="A2782:B2782"/>
    <mergeCell ref="C2782:D2782"/>
    <mergeCell ref="A2783:B2783"/>
    <mergeCell ref="C2783:D2783"/>
    <mergeCell ref="A2796:B2796"/>
    <mergeCell ref="C2796:D2796"/>
    <mergeCell ref="A2797:B2797"/>
    <mergeCell ref="C2797:D2797"/>
    <mergeCell ref="A2798:B2798"/>
    <mergeCell ref="C2798:D2798"/>
    <mergeCell ref="A2793:B2793"/>
    <mergeCell ref="C2793:D2793"/>
    <mergeCell ref="A2794:B2794"/>
    <mergeCell ref="C2794:D2794"/>
    <mergeCell ref="A2795:B2795"/>
    <mergeCell ref="C2795:D2795"/>
    <mergeCell ref="A2790:B2790"/>
    <mergeCell ref="C2790:D2790"/>
    <mergeCell ref="A2791:B2791"/>
    <mergeCell ref="C2791:D2791"/>
    <mergeCell ref="A2792:B2792"/>
    <mergeCell ref="C2792:D2792"/>
    <mergeCell ref="A2805:B2805"/>
    <mergeCell ref="C2805:D2805"/>
    <mergeCell ref="A2806:B2806"/>
    <mergeCell ref="C2806:D2806"/>
    <mergeCell ref="A2807:B2807"/>
    <mergeCell ref="C2807:D2807"/>
    <mergeCell ref="A2802:B2802"/>
    <mergeCell ref="C2802:D2802"/>
    <mergeCell ref="A2803:B2803"/>
    <mergeCell ref="C2803:D2803"/>
    <mergeCell ref="A2804:B2804"/>
    <mergeCell ref="C2804:D2804"/>
    <mergeCell ref="A2799:B2799"/>
    <mergeCell ref="C2799:D2799"/>
    <mergeCell ref="B2800:C2800"/>
    <mergeCell ref="D2800:E2800"/>
    <mergeCell ref="A2801:B2801"/>
    <mergeCell ref="C2801:D2801"/>
    <mergeCell ref="A2814:B2814"/>
    <mergeCell ref="C2814:D2814"/>
    <mergeCell ref="A2815:B2815"/>
    <mergeCell ref="C2815:D2815"/>
    <mergeCell ref="A2816:B2816"/>
    <mergeCell ref="C2816:D2816"/>
    <mergeCell ref="A2811:B2811"/>
    <mergeCell ref="C2811:D2811"/>
    <mergeCell ref="A2812:B2812"/>
    <mergeCell ref="C2812:D2812"/>
    <mergeCell ref="B2813:C2813"/>
    <mergeCell ref="D2813:E2813"/>
    <mergeCell ref="A2808:B2808"/>
    <mergeCell ref="C2808:D2808"/>
    <mergeCell ref="A2809:B2809"/>
    <mergeCell ref="C2809:D2809"/>
    <mergeCell ref="A2810:B2810"/>
    <mergeCell ref="C2810:D2810"/>
    <mergeCell ref="A2823:B2823"/>
    <mergeCell ref="C2823:D2823"/>
    <mergeCell ref="A2824:B2824"/>
    <mergeCell ref="C2824:D2824"/>
    <mergeCell ref="A2825:B2825"/>
    <mergeCell ref="C2825:D2825"/>
    <mergeCell ref="A2820:B2820"/>
    <mergeCell ref="C2820:D2820"/>
    <mergeCell ref="A2821:B2821"/>
    <mergeCell ref="C2821:D2821"/>
    <mergeCell ref="A2822:B2822"/>
    <mergeCell ref="C2822:D2822"/>
    <mergeCell ref="A2817:B2817"/>
    <mergeCell ref="C2817:D2817"/>
    <mergeCell ref="A2818:B2818"/>
    <mergeCell ref="C2818:D2818"/>
    <mergeCell ref="A2819:B2819"/>
    <mergeCell ref="C2819:D2819"/>
    <mergeCell ref="A2832:B2832"/>
    <mergeCell ref="C2832:D2832"/>
    <mergeCell ref="A2833:B2833"/>
    <mergeCell ref="C2833:D2833"/>
    <mergeCell ref="A2834:B2834"/>
    <mergeCell ref="C2834:D2834"/>
    <mergeCell ref="A2829:B2829"/>
    <mergeCell ref="C2829:D2829"/>
    <mergeCell ref="A2830:B2830"/>
    <mergeCell ref="C2830:D2830"/>
    <mergeCell ref="A2831:B2831"/>
    <mergeCell ref="C2831:D2831"/>
    <mergeCell ref="B2826:C2826"/>
    <mergeCell ref="D2826:E2826"/>
    <mergeCell ref="A2827:B2827"/>
    <mergeCell ref="C2827:D2827"/>
    <mergeCell ref="A2828:B2828"/>
    <mergeCell ref="C2828:D2828"/>
    <mergeCell ref="A2841:B2841"/>
    <mergeCell ref="C2841:D2841"/>
    <mergeCell ref="A2842:B2842"/>
    <mergeCell ref="C2842:D2842"/>
    <mergeCell ref="A2843:B2843"/>
    <mergeCell ref="C2843:D2843"/>
    <mergeCell ref="A2838:B2838"/>
    <mergeCell ref="C2838:D2838"/>
    <mergeCell ref="B2839:C2839"/>
    <mergeCell ref="D2839:E2839"/>
    <mergeCell ref="A2840:B2840"/>
    <mergeCell ref="C2840:D2840"/>
    <mergeCell ref="A2835:B2835"/>
    <mergeCell ref="C2835:D2835"/>
    <mergeCell ref="A2836:B2836"/>
    <mergeCell ref="C2836:D2836"/>
    <mergeCell ref="A2837:B2837"/>
    <mergeCell ref="C2837:D2837"/>
    <mergeCell ref="A2850:B2850"/>
    <mergeCell ref="C2850:D2850"/>
    <mergeCell ref="A2851:B2851"/>
    <mergeCell ref="C2851:D2851"/>
    <mergeCell ref="B2852:C2852"/>
    <mergeCell ref="D2852:E2852"/>
    <mergeCell ref="A2847:B2847"/>
    <mergeCell ref="C2847:D2847"/>
    <mergeCell ref="A2848:B2848"/>
    <mergeCell ref="C2848:D2848"/>
    <mergeCell ref="A2849:B2849"/>
    <mergeCell ref="C2849:D2849"/>
    <mergeCell ref="A2844:B2844"/>
    <mergeCell ref="C2844:D2844"/>
    <mergeCell ref="A2845:B2845"/>
    <mergeCell ref="C2845:D2845"/>
    <mergeCell ref="A2846:B2846"/>
    <mergeCell ref="C2846:D2846"/>
    <mergeCell ref="A2859:B2859"/>
    <mergeCell ref="C2859:D2859"/>
    <mergeCell ref="A2860:B2860"/>
    <mergeCell ref="C2860:D2860"/>
    <mergeCell ref="A2861:B2861"/>
    <mergeCell ref="C2861:D2861"/>
    <mergeCell ref="A2856:B2856"/>
    <mergeCell ref="C2856:D2856"/>
    <mergeCell ref="A2857:B2857"/>
    <mergeCell ref="C2857:D2857"/>
    <mergeCell ref="A2858:B2858"/>
    <mergeCell ref="C2858:D2858"/>
    <mergeCell ref="A2853:B2853"/>
    <mergeCell ref="C2853:D2853"/>
    <mergeCell ref="A2854:B2854"/>
    <mergeCell ref="C2854:D2854"/>
    <mergeCell ref="A2855:B2855"/>
    <mergeCell ref="C2855:D2855"/>
    <mergeCell ref="A2868:B2868"/>
    <mergeCell ref="C2868:D2868"/>
    <mergeCell ref="A2869:B2869"/>
    <mergeCell ref="C2869:D2869"/>
    <mergeCell ref="A2870:B2870"/>
    <mergeCell ref="C2870:D2870"/>
    <mergeCell ref="B2865:C2865"/>
    <mergeCell ref="D2865:E2865"/>
    <mergeCell ref="A2866:B2866"/>
    <mergeCell ref="C2866:D2866"/>
    <mergeCell ref="A2867:B2867"/>
    <mergeCell ref="C2867:D2867"/>
    <mergeCell ref="A2862:B2862"/>
    <mergeCell ref="C2862:D2862"/>
    <mergeCell ref="A2863:B2863"/>
    <mergeCell ref="C2863:D2863"/>
    <mergeCell ref="A2864:B2864"/>
    <mergeCell ref="C2864:D2864"/>
    <mergeCell ref="A2877:B2877"/>
    <mergeCell ref="C2877:D2877"/>
    <mergeCell ref="B2878:C2878"/>
    <mergeCell ref="D2878:E2878"/>
    <mergeCell ref="A2879:B2879"/>
    <mergeCell ref="C2879:D2879"/>
    <mergeCell ref="A2874:B2874"/>
    <mergeCell ref="C2874:D2874"/>
    <mergeCell ref="A2875:B2875"/>
    <mergeCell ref="C2875:D2875"/>
    <mergeCell ref="A2876:B2876"/>
    <mergeCell ref="C2876:D2876"/>
    <mergeCell ref="A2871:B2871"/>
    <mergeCell ref="C2871:D2871"/>
    <mergeCell ref="A2872:B2872"/>
    <mergeCell ref="C2872:D2872"/>
    <mergeCell ref="A2873:B2873"/>
    <mergeCell ref="C2873:D2873"/>
    <mergeCell ref="A2886:B2886"/>
    <mergeCell ref="C2886:D2886"/>
    <mergeCell ref="A2887:B2887"/>
    <mergeCell ref="C2887:D2887"/>
    <mergeCell ref="A2888:B2888"/>
    <mergeCell ref="C2888:D2888"/>
    <mergeCell ref="A2883:B2883"/>
    <mergeCell ref="C2883:D2883"/>
    <mergeCell ref="A2884:B2884"/>
    <mergeCell ref="C2884:D2884"/>
    <mergeCell ref="A2885:B2885"/>
    <mergeCell ref="C2885:D2885"/>
    <mergeCell ref="A2880:B2880"/>
    <mergeCell ref="C2880:D2880"/>
    <mergeCell ref="A2881:B2881"/>
    <mergeCell ref="C2881:D2881"/>
    <mergeCell ref="A2882:B2882"/>
    <mergeCell ref="C2882:D2882"/>
    <mergeCell ref="A2895:B2895"/>
    <mergeCell ref="C2895:D2895"/>
    <mergeCell ref="A2896:B2896"/>
    <mergeCell ref="C2896:D2896"/>
    <mergeCell ref="A2897:B2897"/>
    <mergeCell ref="C2897:D2897"/>
    <mergeCell ref="A2892:B2892"/>
    <mergeCell ref="C2892:D2892"/>
    <mergeCell ref="A2893:B2893"/>
    <mergeCell ref="C2893:D2893"/>
    <mergeCell ref="A2894:B2894"/>
    <mergeCell ref="C2894:D2894"/>
    <mergeCell ref="A2889:B2889"/>
    <mergeCell ref="C2889:D2889"/>
    <mergeCell ref="A2890:B2890"/>
    <mergeCell ref="C2890:D2890"/>
    <mergeCell ref="B2891:C2891"/>
    <mergeCell ref="D2891:E2891"/>
    <mergeCell ref="B2904:C2904"/>
    <mergeCell ref="D2904:E2904"/>
    <mergeCell ref="A2905:B2905"/>
    <mergeCell ref="C2905:D2905"/>
    <mergeCell ref="A2906:B2906"/>
    <mergeCell ref="C2906:D2906"/>
    <mergeCell ref="A2901:B2901"/>
    <mergeCell ref="C2901:D2901"/>
    <mergeCell ref="A2902:B2902"/>
    <mergeCell ref="C2902:D2902"/>
    <mergeCell ref="A2903:B2903"/>
    <mergeCell ref="C2903:D2903"/>
    <mergeCell ref="A2898:B2898"/>
    <mergeCell ref="C2898:D2898"/>
    <mergeCell ref="A2899:B2899"/>
    <mergeCell ref="C2899:D2899"/>
    <mergeCell ref="A2900:B2900"/>
    <mergeCell ref="C2900:D2900"/>
    <mergeCell ref="A2913:B2913"/>
    <mergeCell ref="C2913:D2913"/>
    <mergeCell ref="A2914:B2914"/>
    <mergeCell ref="C2914:D2914"/>
    <mergeCell ref="A2915:B2915"/>
    <mergeCell ref="C2915:D2915"/>
    <mergeCell ref="A2910:B2910"/>
    <mergeCell ref="C2910:D2910"/>
    <mergeCell ref="A2911:B2911"/>
    <mergeCell ref="C2911:D2911"/>
    <mergeCell ref="A2912:B2912"/>
    <mergeCell ref="C2912:D2912"/>
    <mergeCell ref="A2907:B2907"/>
    <mergeCell ref="C2907:D2907"/>
    <mergeCell ref="A2908:B2908"/>
    <mergeCell ref="C2908:D2908"/>
    <mergeCell ref="A2909:B2909"/>
    <mergeCell ref="C2909:D2909"/>
    <mergeCell ref="A2922:B2922"/>
    <mergeCell ref="C2922:D2922"/>
    <mergeCell ref="A2923:B2923"/>
    <mergeCell ref="C2923:D2923"/>
    <mergeCell ref="A2924:B2924"/>
    <mergeCell ref="C2924:D2924"/>
    <mergeCell ref="A2919:B2919"/>
    <mergeCell ref="C2919:D2919"/>
    <mergeCell ref="A2920:B2920"/>
    <mergeCell ref="C2920:D2920"/>
    <mergeCell ref="A2921:B2921"/>
    <mergeCell ref="C2921:D2921"/>
    <mergeCell ref="A2916:B2916"/>
    <mergeCell ref="C2916:D2916"/>
    <mergeCell ref="B2917:C2917"/>
    <mergeCell ref="D2917:E2917"/>
    <mergeCell ref="A2918:B2918"/>
    <mergeCell ref="C2918:D2918"/>
    <mergeCell ref="A2931:B2931"/>
    <mergeCell ref="C2931:D2931"/>
    <mergeCell ref="A2932:B2932"/>
    <mergeCell ref="C2932:D2932"/>
    <mergeCell ref="A2933:B2933"/>
    <mergeCell ref="C2933:D2933"/>
    <mergeCell ref="A2928:B2928"/>
    <mergeCell ref="C2928:D2928"/>
    <mergeCell ref="A2929:B2929"/>
    <mergeCell ref="C2929:D2929"/>
    <mergeCell ref="B2930:C2930"/>
    <mergeCell ref="D2930:E2930"/>
    <mergeCell ref="A2925:B2925"/>
    <mergeCell ref="C2925:D2925"/>
    <mergeCell ref="A2926:B2926"/>
    <mergeCell ref="C2926:D2926"/>
    <mergeCell ref="A2927:B2927"/>
    <mergeCell ref="C2927:D2927"/>
    <mergeCell ref="A2940:B2940"/>
    <mergeCell ref="C2940:D2940"/>
    <mergeCell ref="A2941:B2941"/>
    <mergeCell ref="C2941:D2941"/>
    <mergeCell ref="A2942:B2942"/>
    <mergeCell ref="C2942:D2942"/>
    <mergeCell ref="A2937:B2937"/>
    <mergeCell ref="C2937:D2937"/>
    <mergeCell ref="A2938:B2938"/>
    <mergeCell ref="C2938:D2938"/>
    <mergeCell ref="A2939:B2939"/>
    <mergeCell ref="C2939:D2939"/>
    <mergeCell ref="A2934:B2934"/>
    <mergeCell ref="C2934:D2934"/>
    <mergeCell ref="A2935:B2935"/>
    <mergeCell ref="C2935:D2935"/>
    <mergeCell ref="A2936:B2936"/>
    <mergeCell ref="C2936:D2936"/>
    <mergeCell ref="A2949:B2949"/>
    <mergeCell ref="C2949:D2949"/>
    <mergeCell ref="A2950:B2950"/>
    <mergeCell ref="C2950:D2950"/>
    <mergeCell ref="A2951:B2951"/>
    <mergeCell ref="C2951:D2951"/>
    <mergeCell ref="A2946:B2946"/>
    <mergeCell ref="C2946:D2946"/>
    <mergeCell ref="A2947:B2947"/>
    <mergeCell ref="C2947:D2947"/>
    <mergeCell ref="A2948:B2948"/>
    <mergeCell ref="C2948:D2948"/>
    <mergeCell ref="B2943:C2943"/>
    <mergeCell ref="D2943:E2943"/>
    <mergeCell ref="A2944:B2944"/>
    <mergeCell ref="C2944:D2944"/>
    <mergeCell ref="A2945:B2945"/>
    <mergeCell ref="C2945:D2945"/>
    <mergeCell ref="A2958:B2958"/>
    <mergeCell ref="A2959:B2959"/>
    <mergeCell ref="C2959:D2959"/>
    <mergeCell ref="A2960:B2960"/>
    <mergeCell ref="C2960:D2960"/>
    <mergeCell ref="B2961:C2961"/>
    <mergeCell ref="D2961:E2961"/>
    <mergeCell ref="A2955:B2955"/>
    <mergeCell ref="C2955:D2955"/>
    <mergeCell ref="B2956:C2956"/>
    <mergeCell ref="D2956:E2956"/>
    <mergeCell ref="A2957:B2957"/>
    <mergeCell ref="C2957:D2957"/>
    <mergeCell ref="A2952:B2952"/>
    <mergeCell ref="C2952:D2952"/>
    <mergeCell ref="A2953:B2953"/>
    <mergeCell ref="C2953:D2953"/>
    <mergeCell ref="A2954:B2954"/>
    <mergeCell ref="C2954:D2954"/>
    <mergeCell ref="A2968:B2968"/>
    <mergeCell ref="C2968:D2968"/>
    <mergeCell ref="A2969:B2969"/>
    <mergeCell ref="C2969:D2969"/>
    <mergeCell ref="A2970:B2970"/>
    <mergeCell ref="C2970:D2970"/>
    <mergeCell ref="A2965:B2965"/>
    <mergeCell ref="C2965:D2965"/>
    <mergeCell ref="A2966:B2966"/>
    <mergeCell ref="C2966:D2966"/>
    <mergeCell ref="A2967:B2967"/>
    <mergeCell ref="C2967:D2967"/>
    <mergeCell ref="A2962:B2962"/>
    <mergeCell ref="C2962:D2962"/>
    <mergeCell ref="A2963:B2963"/>
    <mergeCell ref="C2963:D2963"/>
    <mergeCell ref="A2964:B2964"/>
    <mergeCell ref="C2964:D2964"/>
    <mergeCell ref="A2977:B2977"/>
    <mergeCell ref="C2977:D2977"/>
    <mergeCell ref="B2978:C2978"/>
    <mergeCell ref="D2978:E2978"/>
    <mergeCell ref="A2979:B2979"/>
    <mergeCell ref="C2979:D2979"/>
    <mergeCell ref="A2974:B2974"/>
    <mergeCell ref="C2974:D2974"/>
    <mergeCell ref="A2975:B2975"/>
    <mergeCell ref="C2975:D2975"/>
    <mergeCell ref="A2976:B2976"/>
    <mergeCell ref="C2976:D2976"/>
    <mergeCell ref="B2971:C2971"/>
    <mergeCell ref="D2971:E2971"/>
    <mergeCell ref="A2972:B2972"/>
    <mergeCell ref="C2972:D2972"/>
    <mergeCell ref="A2973:B2973"/>
    <mergeCell ref="C2973:D2973"/>
    <mergeCell ref="A2986:B2986"/>
    <mergeCell ref="C2986:D2986"/>
    <mergeCell ref="A2987:B2987"/>
    <mergeCell ref="C2987:D2987"/>
    <mergeCell ref="B2988:C2988"/>
    <mergeCell ref="D2988:E2988"/>
    <mergeCell ref="B2983:C2983"/>
    <mergeCell ref="D2983:E2983"/>
    <mergeCell ref="A2984:B2984"/>
    <mergeCell ref="C2984:D2984"/>
    <mergeCell ref="A2985:B2985"/>
    <mergeCell ref="C2985:D2985"/>
    <mergeCell ref="A2980:B2980"/>
    <mergeCell ref="C2980:D2980"/>
    <mergeCell ref="A2981:B2981"/>
    <mergeCell ref="C2981:D2981"/>
    <mergeCell ref="A2982:B2982"/>
    <mergeCell ref="C2982:D2982"/>
    <mergeCell ref="A2995:B2995"/>
    <mergeCell ref="C2995:D2995"/>
    <mergeCell ref="A2996:B2996"/>
    <mergeCell ref="C2996:D2996"/>
    <mergeCell ref="A2997:B2997"/>
    <mergeCell ref="C2997:D2997"/>
    <mergeCell ref="A2992:B2992"/>
    <mergeCell ref="C2992:D2992"/>
    <mergeCell ref="B2993:C2993"/>
    <mergeCell ref="D2993:E2993"/>
    <mergeCell ref="A2994:B2994"/>
    <mergeCell ref="C2994:D2994"/>
    <mergeCell ref="A2989:B2989"/>
    <mergeCell ref="C2989:D2989"/>
    <mergeCell ref="A2990:B2990"/>
    <mergeCell ref="C2990:D2990"/>
    <mergeCell ref="A2991:B2991"/>
    <mergeCell ref="C2991:D2991"/>
    <mergeCell ref="A3004:B3004"/>
    <mergeCell ref="C3004:D3004"/>
    <mergeCell ref="A3005:B3005"/>
    <mergeCell ref="C3005:D3005"/>
    <mergeCell ref="A3006:B3006"/>
    <mergeCell ref="C3006:D3006"/>
    <mergeCell ref="A3001:B3001"/>
    <mergeCell ref="C3001:D3001"/>
    <mergeCell ref="A3002:B3002"/>
    <mergeCell ref="C3002:D3002"/>
    <mergeCell ref="A3003:B3003"/>
    <mergeCell ref="C3003:D3003"/>
    <mergeCell ref="A2998:B2998"/>
    <mergeCell ref="C2998:D2998"/>
    <mergeCell ref="A2999:B2999"/>
    <mergeCell ref="C2999:D2999"/>
    <mergeCell ref="B3000:C3000"/>
    <mergeCell ref="D3000:E3000"/>
    <mergeCell ref="A3013:B3013"/>
    <mergeCell ref="C3013:D3013"/>
    <mergeCell ref="B3014:C3014"/>
    <mergeCell ref="D3014:E3014"/>
    <mergeCell ref="A3015:B3015"/>
    <mergeCell ref="C3015:D3015"/>
    <mergeCell ref="A3010:B3010"/>
    <mergeCell ref="C3010:D3010"/>
    <mergeCell ref="A3011:B3011"/>
    <mergeCell ref="C3011:D3011"/>
    <mergeCell ref="A3012:B3012"/>
    <mergeCell ref="C3012:D3012"/>
    <mergeCell ref="B3007:C3007"/>
    <mergeCell ref="D3007:E3007"/>
    <mergeCell ref="A3008:B3008"/>
    <mergeCell ref="C3008:D3008"/>
    <mergeCell ref="A3009:B3009"/>
    <mergeCell ref="C3009:D3009"/>
    <mergeCell ref="A3022:B3022"/>
    <mergeCell ref="C3022:D3022"/>
    <mergeCell ref="A3023:B3023"/>
    <mergeCell ref="C3023:D3023"/>
    <mergeCell ref="A3024:B3024"/>
    <mergeCell ref="C3024:D3024"/>
    <mergeCell ref="A3019:B3019"/>
    <mergeCell ref="C3019:D3019"/>
    <mergeCell ref="A3020:B3020"/>
    <mergeCell ref="C3020:D3020"/>
    <mergeCell ref="A3021:B3021"/>
    <mergeCell ref="C3021:D3021"/>
    <mergeCell ref="A3016:B3016"/>
    <mergeCell ref="C3016:D3016"/>
    <mergeCell ref="A3017:B3017"/>
    <mergeCell ref="C3017:D3017"/>
    <mergeCell ref="A3018:B3018"/>
    <mergeCell ref="C3018:D3018"/>
    <mergeCell ref="A3031:B3031"/>
    <mergeCell ref="C3031:D3031"/>
    <mergeCell ref="A3032:B3032"/>
    <mergeCell ref="C3032:D3032"/>
    <mergeCell ref="B3033:C3033"/>
    <mergeCell ref="D3033:E3033"/>
    <mergeCell ref="A3028:B3028"/>
    <mergeCell ref="C3028:D3028"/>
    <mergeCell ref="A3029:B3029"/>
    <mergeCell ref="C3029:D3029"/>
    <mergeCell ref="A3030:B3030"/>
    <mergeCell ref="C3030:D3030"/>
    <mergeCell ref="A3025:B3025"/>
    <mergeCell ref="C3025:D3025"/>
    <mergeCell ref="A3026:B3026"/>
    <mergeCell ref="C3026:D3026"/>
    <mergeCell ref="A3027:B3027"/>
    <mergeCell ref="C3027:D3027"/>
    <mergeCell ref="A3040:B3040"/>
    <mergeCell ref="C3040:D3040"/>
    <mergeCell ref="A3041:B3041"/>
    <mergeCell ref="C3041:D3041"/>
    <mergeCell ref="A3042:B3042"/>
    <mergeCell ref="C3042:D3042"/>
    <mergeCell ref="A3037:B3037"/>
    <mergeCell ref="C3037:D3037"/>
    <mergeCell ref="A3038:B3038"/>
    <mergeCell ref="C3038:D3038"/>
    <mergeCell ref="A3039:B3039"/>
    <mergeCell ref="C3039:D3039"/>
    <mergeCell ref="A3034:B3034"/>
    <mergeCell ref="C3034:D3034"/>
    <mergeCell ref="A3035:B3035"/>
    <mergeCell ref="C3035:D3035"/>
    <mergeCell ref="A3036:B3036"/>
    <mergeCell ref="C3036:D3036"/>
    <mergeCell ref="A3049:B3049"/>
    <mergeCell ref="C3049:D3049"/>
    <mergeCell ref="A3050:B3050"/>
    <mergeCell ref="C3050:D3050"/>
    <mergeCell ref="A3051:B3051"/>
    <mergeCell ref="C3051:D3051"/>
    <mergeCell ref="A3046:B3046"/>
    <mergeCell ref="C3046:D3046"/>
    <mergeCell ref="A3047:B3047"/>
    <mergeCell ref="C3047:D3047"/>
    <mergeCell ref="A3048:B3048"/>
    <mergeCell ref="C3048:D3048"/>
    <mergeCell ref="A3043:B3043"/>
    <mergeCell ref="C3043:D3043"/>
    <mergeCell ref="A3044:B3044"/>
    <mergeCell ref="C3044:D3044"/>
    <mergeCell ref="A3045:B3045"/>
    <mergeCell ref="C3045:D3045"/>
    <mergeCell ref="A3058:B3058"/>
    <mergeCell ref="C3058:D3058"/>
    <mergeCell ref="A3059:B3059"/>
    <mergeCell ref="C3059:D3059"/>
    <mergeCell ref="A3060:B3060"/>
    <mergeCell ref="C3060:D3060"/>
    <mergeCell ref="A3055:B3055"/>
    <mergeCell ref="C3055:D3055"/>
    <mergeCell ref="A3056:B3056"/>
    <mergeCell ref="C3056:D3056"/>
    <mergeCell ref="A3057:B3057"/>
    <mergeCell ref="C3057:D3057"/>
    <mergeCell ref="B3052:C3052"/>
    <mergeCell ref="D3052:E3052"/>
    <mergeCell ref="A3053:B3053"/>
    <mergeCell ref="C3053:D3053"/>
    <mergeCell ref="A3054:B3054"/>
    <mergeCell ref="C3054:D3054"/>
    <mergeCell ref="A3067:B3067"/>
    <mergeCell ref="C3067:D3067"/>
    <mergeCell ref="A3068:B3068"/>
    <mergeCell ref="C3068:D3068"/>
    <mergeCell ref="A3069:B3069"/>
    <mergeCell ref="C3069:D3069"/>
    <mergeCell ref="A3064:B3064"/>
    <mergeCell ref="C3064:D3064"/>
    <mergeCell ref="A3065:B3065"/>
    <mergeCell ref="C3065:D3065"/>
    <mergeCell ref="A3066:B3066"/>
    <mergeCell ref="C3066:D3066"/>
    <mergeCell ref="A3061:B3061"/>
    <mergeCell ref="C3061:D3061"/>
    <mergeCell ref="A3062:B3062"/>
    <mergeCell ref="C3062:D3062"/>
    <mergeCell ref="A3063:B3063"/>
    <mergeCell ref="C3063:D3063"/>
    <mergeCell ref="A3076:B3076"/>
    <mergeCell ref="C3076:D3076"/>
    <mergeCell ref="A3077:B3077"/>
    <mergeCell ref="C3077:D3077"/>
    <mergeCell ref="A3078:B3078"/>
    <mergeCell ref="C3078:D3078"/>
    <mergeCell ref="A3073:B3073"/>
    <mergeCell ref="C3073:D3073"/>
    <mergeCell ref="A3074:B3074"/>
    <mergeCell ref="C3074:D3074"/>
    <mergeCell ref="A3075:B3075"/>
    <mergeCell ref="C3075:D3075"/>
    <mergeCell ref="A3070:B3070"/>
    <mergeCell ref="C3070:D3070"/>
    <mergeCell ref="B3071:C3071"/>
    <mergeCell ref="D3071:E3071"/>
    <mergeCell ref="A3072:B3072"/>
    <mergeCell ref="C3072:D3072"/>
    <mergeCell ref="A3085:B3085"/>
    <mergeCell ref="C3085:D3085"/>
    <mergeCell ref="A3086:B3086"/>
    <mergeCell ref="C3086:D3086"/>
    <mergeCell ref="A3087:B3087"/>
    <mergeCell ref="C3087:D3087"/>
    <mergeCell ref="A3082:B3082"/>
    <mergeCell ref="C3082:D3082"/>
    <mergeCell ref="A3083:B3083"/>
    <mergeCell ref="C3083:D3083"/>
    <mergeCell ref="A3084:B3084"/>
    <mergeCell ref="C3084:D3084"/>
    <mergeCell ref="A3079:B3079"/>
    <mergeCell ref="C3079:D3079"/>
    <mergeCell ref="A3080:B3080"/>
    <mergeCell ref="C3080:D3080"/>
    <mergeCell ref="A3081:B3081"/>
    <mergeCell ref="C3081:D3081"/>
    <mergeCell ref="A3094:B3094"/>
    <mergeCell ref="C3094:D3094"/>
    <mergeCell ref="A3095:B3095"/>
    <mergeCell ref="C3095:D3095"/>
    <mergeCell ref="A3096:B3096"/>
    <mergeCell ref="C3096:D3096"/>
    <mergeCell ref="A3091:B3091"/>
    <mergeCell ref="C3091:D3091"/>
    <mergeCell ref="A3092:B3092"/>
    <mergeCell ref="C3092:D3092"/>
    <mergeCell ref="A3093:B3093"/>
    <mergeCell ref="C3093:D3093"/>
    <mergeCell ref="A3088:B3088"/>
    <mergeCell ref="C3088:D3088"/>
    <mergeCell ref="A3089:B3089"/>
    <mergeCell ref="C3089:D3089"/>
    <mergeCell ref="B3090:C3090"/>
    <mergeCell ref="D3090:E3090"/>
    <mergeCell ref="A3103:B3103"/>
    <mergeCell ref="C3103:D3103"/>
    <mergeCell ref="A3104:B3104"/>
    <mergeCell ref="C3104:D3104"/>
    <mergeCell ref="A3105:B3105"/>
    <mergeCell ref="C3105:D3105"/>
    <mergeCell ref="A3100:B3100"/>
    <mergeCell ref="C3100:D3100"/>
    <mergeCell ref="B3101:C3101"/>
    <mergeCell ref="D3101:E3101"/>
    <mergeCell ref="A3102:B3102"/>
    <mergeCell ref="C3102:D3102"/>
    <mergeCell ref="B3097:C3097"/>
    <mergeCell ref="D3097:E3097"/>
    <mergeCell ref="A3098:B3098"/>
    <mergeCell ref="C3098:D3098"/>
    <mergeCell ref="A3099:B3099"/>
    <mergeCell ref="C3099:D3099"/>
    <mergeCell ref="B3112:C3112"/>
    <mergeCell ref="D3112:E3112"/>
    <mergeCell ref="A3113:B3113"/>
    <mergeCell ref="C3113:D3113"/>
    <mergeCell ref="A3114:B3114"/>
    <mergeCell ref="C3114:D3114"/>
    <mergeCell ref="B3109:C3109"/>
    <mergeCell ref="D3109:E3109"/>
    <mergeCell ref="A3110:B3110"/>
    <mergeCell ref="C3110:D3110"/>
    <mergeCell ref="A3111:B3111"/>
    <mergeCell ref="C3111:D3111"/>
    <mergeCell ref="A3106:B3106"/>
    <mergeCell ref="C3106:D3106"/>
    <mergeCell ref="A3107:B3107"/>
    <mergeCell ref="C3107:D3107"/>
    <mergeCell ref="A3108:B3108"/>
    <mergeCell ref="C3108:D3108"/>
    <mergeCell ref="A3121:B3121"/>
    <mergeCell ref="C3121:D3121"/>
    <mergeCell ref="A3122:B3122"/>
    <mergeCell ref="C3122:D3122"/>
    <mergeCell ref="A3123:B3123"/>
    <mergeCell ref="C3123:D3123"/>
    <mergeCell ref="A3118:B3118"/>
    <mergeCell ref="C3118:D3118"/>
    <mergeCell ref="A3119:B3119"/>
    <mergeCell ref="C3119:D3119"/>
    <mergeCell ref="B3120:C3120"/>
    <mergeCell ref="D3120:E3120"/>
    <mergeCell ref="A3115:B3115"/>
    <mergeCell ref="C3115:D3115"/>
    <mergeCell ref="A3116:B3116"/>
    <mergeCell ref="C3116:D3116"/>
    <mergeCell ref="A3117:B3117"/>
    <mergeCell ref="C3117:D3117"/>
    <mergeCell ref="A3130:B3130"/>
    <mergeCell ref="C3130:D3130"/>
    <mergeCell ref="A3131:B3131"/>
    <mergeCell ref="C3131:D3131"/>
    <mergeCell ref="A3132:B3132"/>
    <mergeCell ref="C3132:D3132"/>
    <mergeCell ref="A3127:B3127"/>
    <mergeCell ref="C3127:D3127"/>
    <mergeCell ref="B3128:C3128"/>
    <mergeCell ref="D3128:E3128"/>
    <mergeCell ref="A3129:B3129"/>
    <mergeCell ref="C3129:D3129"/>
    <mergeCell ref="A3124:B3124"/>
    <mergeCell ref="C3124:D3124"/>
    <mergeCell ref="A3125:B3125"/>
    <mergeCell ref="C3125:D3125"/>
    <mergeCell ref="A3126:B3126"/>
    <mergeCell ref="C3126:D3126"/>
    <mergeCell ref="A3139:B3139"/>
    <mergeCell ref="C3139:D3139"/>
    <mergeCell ref="A3140:B3140"/>
    <mergeCell ref="C3140:D3140"/>
    <mergeCell ref="A3141:B3141"/>
    <mergeCell ref="C3141:D3141"/>
    <mergeCell ref="A3136:B3136"/>
    <mergeCell ref="C3136:D3136"/>
    <mergeCell ref="A3137:B3137"/>
    <mergeCell ref="C3137:D3137"/>
    <mergeCell ref="A3138:B3138"/>
    <mergeCell ref="C3138:D3138"/>
    <mergeCell ref="A3133:B3133"/>
    <mergeCell ref="C3133:D3133"/>
    <mergeCell ref="A3134:B3134"/>
    <mergeCell ref="C3134:D3134"/>
    <mergeCell ref="A3135:B3135"/>
    <mergeCell ref="C3135:D3135"/>
    <mergeCell ref="A3148:B3148"/>
    <mergeCell ref="C3148:D3148"/>
    <mergeCell ref="A3149:B3149"/>
    <mergeCell ref="C3149:D3149"/>
    <mergeCell ref="B3150:C3150"/>
    <mergeCell ref="D3150:E3150"/>
    <mergeCell ref="A3145:B3145"/>
    <mergeCell ref="C3145:D3145"/>
    <mergeCell ref="B3146:C3146"/>
    <mergeCell ref="D3146:E3146"/>
    <mergeCell ref="A3147:B3147"/>
    <mergeCell ref="C3147:D3147"/>
    <mergeCell ref="B3142:C3142"/>
    <mergeCell ref="D3142:E3142"/>
    <mergeCell ref="A3143:B3143"/>
    <mergeCell ref="C3143:D3143"/>
    <mergeCell ref="A3144:B3144"/>
    <mergeCell ref="C3144:D3144"/>
    <mergeCell ref="A3157:B3157"/>
    <mergeCell ref="C3157:D3157"/>
    <mergeCell ref="B3158:C3158"/>
    <mergeCell ref="D3158:E3158"/>
    <mergeCell ref="A3159:B3159"/>
    <mergeCell ref="C3159:D3159"/>
    <mergeCell ref="B3154:C3154"/>
    <mergeCell ref="D3154:E3154"/>
    <mergeCell ref="A3155:B3155"/>
    <mergeCell ref="C3155:D3155"/>
    <mergeCell ref="A3156:B3156"/>
    <mergeCell ref="C3156:D3156"/>
    <mergeCell ref="A3151:B3151"/>
    <mergeCell ref="C3151:D3151"/>
    <mergeCell ref="A3152:B3152"/>
    <mergeCell ref="C3152:D3152"/>
    <mergeCell ref="A3153:B3153"/>
    <mergeCell ref="C3153:D3153"/>
    <mergeCell ref="B3166:C3166"/>
    <mergeCell ref="D3166:E3166"/>
    <mergeCell ref="A3167:B3167"/>
    <mergeCell ref="C3167:D3167"/>
    <mergeCell ref="A3168:B3168"/>
    <mergeCell ref="C3168:D3168"/>
    <mergeCell ref="A3163:B3163"/>
    <mergeCell ref="C3163:D3163"/>
    <mergeCell ref="A3164:B3164"/>
    <mergeCell ref="C3164:D3164"/>
    <mergeCell ref="A3165:B3165"/>
    <mergeCell ref="C3165:D3165"/>
    <mergeCell ref="A3160:B3160"/>
    <mergeCell ref="C3160:D3160"/>
    <mergeCell ref="A3161:B3161"/>
    <mergeCell ref="C3161:D3161"/>
    <mergeCell ref="B3162:C3162"/>
    <mergeCell ref="D3162:E3162"/>
    <mergeCell ref="A3175:B3175"/>
    <mergeCell ref="C3175:D3175"/>
    <mergeCell ref="A3176:B3176"/>
    <mergeCell ref="C3176:D3176"/>
    <mergeCell ref="A3177:B3177"/>
    <mergeCell ref="C3177:D3177"/>
    <mergeCell ref="A3172:B3172"/>
    <mergeCell ref="C3172:D3172"/>
    <mergeCell ref="A3173:B3173"/>
    <mergeCell ref="C3173:D3173"/>
    <mergeCell ref="B3174:C3174"/>
    <mergeCell ref="D3174:E3174"/>
    <mergeCell ref="A3169:B3169"/>
    <mergeCell ref="C3169:D3169"/>
    <mergeCell ref="A3170:B3170"/>
    <mergeCell ref="C3170:D3170"/>
    <mergeCell ref="A3171:B3171"/>
    <mergeCell ref="C3171:D3171"/>
    <mergeCell ref="A3184:B3184"/>
    <mergeCell ref="C3184:D3184"/>
    <mergeCell ref="A3185:B3185"/>
    <mergeCell ref="C3185:D3185"/>
    <mergeCell ref="A3186:B3186"/>
    <mergeCell ref="C3186:D3186"/>
    <mergeCell ref="A3181:B3181"/>
    <mergeCell ref="C3181:D3181"/>
    <mergeCell ref="B3182:C3182"/>
    <mergeCell ref="D3182:E3182"/>
    <mergeCell ref="A3183:B3183"/>
    <mergeCell ref="C3183:D3183"/>
    <mergeCell ref="A3178:B3178"/>
    <mergeCell ref="C3178:D3178"/>
    <mergeCell ref="A3179:B3179"/>
    <mergeCell ref="C3179:D3179"/>
    <mergeCell ref="A3180:B3180"/>
    <mergeCell ref="C3180:D3180"/>
    <mergeCell ref="A3193:B3193"/>
    <mergeCell ref="C3193:D3193"/>
    <mergeCell ref="A3194:B3194"/>
    <mergeCell ref="C3194:D3194"/>
    <mergeCell ref="A3195:B3195"/>
    <mergeCell ref="C3195:D3195"/>
    <mergeCell ref="B3190:C3190"/>
    <mergeCell ref="D3190:E3190"/>
    <mergeCell ref="A3191:B3191"/>
    <mergeCell ref="C3191:D3191"/>
    <mergeCell ref="A3192:B3192"/>
    <mergeCell ref="C3192:D3192"/>
    <mergeCell ref="A3187:B3187"/>
    <mergeCell ref="C3187:D3187"/>
    <mergeCell ref="A3188:B3188"/>
    <mergeCell ref="C3188:D3188"/>
    <mergeCell ref="A3189:B3189"/>
    <mergeCell ref="C3189:D3189"/>
    <mergeCell ref="A3202:B3202"/>
    <mergeCell ref="C3202:D3202"/>
    <mergeCell ref="A3203:B3203"/>
    <mergeCell ref="C3203:D3203"/>
    <mergeCell ref="A3204:B3204"/>
    <mergeCell ref="C3204:D3204"/>
    <mergeCell ref="A3199:B3199"/>
    <mergeCell ref="C3199:D3199"/>
    <mergeCell ref="A3200:B3200"/>
    <mergeCell ref="C3200:D3200"/>
    <mergeCell ref="A3201:B3201"/>
    <mergeCell ref="C3201:D3201"/>
    <mergeCell ref="A3196:B3196"/>
    <mergeCell ref="C3196:D3196"/>
    <mergeCell ref="A3197:B3197"/>
    <mergeCell ref="C3197:D3197"/>
    <mergeCell ref="B3198:C3198"/>
    <mergeCell ref="D3198:E3198"/>
    <mergeCell ref="A3211:B3211"/>
    <mergeCell ref="C3211:D3211"/>
    <mergeCell ref="A3212:B3212"/>
    <mergeCell ref="C3212:D3212"/>
    <mergeCell ref="A3213:B3213"/>
    <mergeCell ref="C3213:D3213"/>
    <mergeCell ref="A3208:B3208"/>
    <mergeCell ref="C3208:D3208"/>
    <mergeCell ref="A3209:B3209"/>
    <mergeCell ref="C3209:D3209"/>
    <mergeCell ref="A3210:B3210"/>
    <mergeCell ref="C3210:D3210"/>
    <mergeCell ref="A3205:B3205"/>
    <mergeCell ref="C3205:D3205"/>
    <mergeCell ref="B3206:C3206"/>
    <mergeCell ref="D3206:E3206"/>
    <mergeCell ref="A3207:B3207"/>
    <mergeCell ref="C3207:D3207"/>
    <mergeCell ref="A3220:B3220"/>
    <mergeCell ref="C3220:D3220"/>
    <mergeCell ref="A3221:B3221"/>
    <mergeCell ref="C3221:D3221"/>
    <mergeCell ref="B3222:C3222"/>
    <mergeCell ref="D3222:E3222"/>
    <mergeCell ref="A3217:B3217"/>
    <mergeCell ref="C3217:D3217"/>
    <mergeCell ref="A3218:B3218"/>
    <mergeCell ref="C3218:D3218"/>
    <mergeCell ref="A3219:B3219"/>
    <mergeCell ref="C3219:D3219"/>
    <mergeCell ref="B3214:C3214"/>
    <mergeCell ref="D3214:E3214"/>
    <mergeCell ref="A3215:B3215"/>
    <mergeCell ref="C3215:D3215"/>
    <mergeCell ref="A3216:B3216"/>
    <mergeCell ref="C3216:D3216"/>
    <mergeCell ref="A3229:B3229"/>
    <mergeCell ref="C3229:D3229"/>
    <mergeCell ref="A3230:B3230"/>
    <mergeCell ref="C3230:D3230"/>
    <mergeCell ref="B3231:C3231"/>
    <mergeCell ref="D3231:E3231"/>
    <mergeCell ref="B3226:C3226"/>
    <mergeCell ref="D3226:E3226"/>
    <mergeCell ref="A3227:B3227"/>
    <mergeCell ref="C3227:D3227"/>
    <mergeCell ref="A3228:B3228"/>
    <mergeCell ref="C3228:D3228"/>
    <mergeCell ref="A3223:B3223"/>
    <mergeCell ref="C3223:D3223"/>
    <mergeCell ref="A3224:B3224"/>
    <mergeCell ref="C3224:D3224"/>
    <mergeCell ref="A3225:B3225"/>
    <mergeCell ref="C3225:D3225"/>
    <mergeCell ref="A3238:B3238"/>
    <mergeCell ref="C3238:D3238"/>
    <mergeCell ref="A3239:B3239"/>
    <mergeCell ref="C3239:D3239"/>
    <mergeCell ref="A3240:B3240"/>
    <mergeCell ref="C3240:D3240"/>
    <mergeCell ref="A3235:B3235"/>
    <mergeCell ref="C3235:D3235"/>
    <mergeCell ref="A3236:B3236"/>
    <mergeCell ref="C3236:D3236"/>
    <mergeCell ref="B3237:C3237"/>
    <mergeCell ref="D3237:E3237"/>
    <mergeCell ref="A3232:B3232"/>
    <mergeCell ref="C3232:D3232"/>
    <mergeCell ref="A3233:B3233"/>
    <mergeCell ref="C3233:D3233"/>
    <mergeCell ref="A3234:B3234"/>
    <mergeCell ref="C3234:D3234"/>
    <mergeCell ref="A3247:B3247"/>
    <mergeCell ref="C3247:D3247"/>
    <mergeCell ref="A3248:B3248"/>
    <mergeCell ref="C3248:D3248"/>
    <mergeCell ref="A3249:B3249"/>
    <mergeCell ref="C3249:D3249"/>
    <mergeCell ref="A3244:B3244"/>
    <mergeCell ref="C3244:D3244"/>
    <mergeCell ref="B3245:C3245"/>
    <mergeCell ref="D3245:E3245"/>
    <mergeCell ref="A3246:B3246"/>
    <mergeCell ref="C3246:D3246"/>
    <mergeCell ref="A3241:B3241"/>
    <mergeCell ref="C3241:D3241"/>
    <mergeCell ref="A3242:B3242"/>
    <mergeCell ref="C3242:D3242"/>
    <mergeCell ref="A3243:B3243"/>
    <mergeCell ref="C3243:D3243"/>
    <mergeCell ref="A3256:B3256"/>
    <mergeCell ref="C3256:D3256"/>
    <mergeCell ref="A3257:B3257"/>
    <mergeCell ref="C3257:D3257"/>
    <mergeCell ref="A3258:B3258"/>
    <mergeCell ref="C3258:D3258"/>
    <mergeCell ref="B3253:C3253"/>
    <mergeCell ref="D3253:E3253"/>
    <mergeCell ref="A3254:B3254"/>
    <mergeCell ref="C3254:D3254"/>
    <mergeCell ref="A3255:B3255"/>
    <mergeCell ref="C3255:D3255"/>
    <mergeCell ref="A3250:B3250"/>
    <mergeCell ref="C3250:D3250"/>
    <mergeCell ref="A3251:B3251"/>
    <mergeCell ref="C3251:D3251"/>
    <mergeCell ref="A3252:B3252"/>
    <mergeCell ref="C3252:D3252"/>
    <mergeCell ref="A3265:B3265"/>
    <mergeCell ref="C3265:D3265"/>
    <mergeCell ref="A3266:B3266"/>
    <mergeCell ref="C3266:D3266"/>
    <mergeCell ref="A3267:B3267"/>
    <mergeCell ref="C3267:D3267"/>
    <mergeCell ref="A3262:B3262"/>
    <mergeCell ref="C3262:D3262"/>
    <mergeCell ref="A3263:B3263"/>
    <mergeCell ref="C3263:D3263"/>
    <mergeCell ref="A3264:B3264"/>
    <mergeCell ref="C3264:D3264"/>
    <mergeCell ref="A3259:B3259"/>
    <mergeCell ref="C3259:D3259"/>
    <mergeCell ref="A3260:B3260"/>
    <mergeCell ref="C3260:D3260"/>
    <mergeCell ref="B3261:C3261"/>
    <mergeCell ref="D3261:E3261"/>
    <mergeCell ref="A3274:B3274"/>
    <mergeCell ref="C3274:D3274"/>
    <mergeCell ref="A3275:B3275"/>
    <mergeCell ref="C3275:D3275"/>
    <mergeCell ref="A3276:B3276"/>
    <mergeCell ref="C3276:D3276"/>
    <mergeCell ref="A3271:B3271"/>
    <mergeCell ref="C3271:D3271"/>
    <mergeCell ref="A3272:B3272"/>
    <mergeCell ref="C3272:D3272"/>
    <mergeCell ref="A3273:B3273"/>
    <mergeCell ref="C3273:D3273"/>
    <mergeCell ref="A3268:B3268"/>
    <mergeCell ref="C3268:D3268"/>
    <mergeCell ref="B3269:C3269"/>
    <mergeCell ref="D3269:E3269"/>
    <mergeCell ref="A3270:B3270"/>
    <mergeCell ref="C3270:D3270"/>
    <mergeCell ref="A3283:B3283"/>
    <mergeCell ref="C3283:D3283"/>
    <mergeCell ref="A3284:B3284"/>
    <mergeCell ref="C3284:D3284"/>
    <mergeCell ref="B3285:C3285"/>
    <mergeCell ref="D3285:E3285"/>
    <mergeCell ref="A3280:B3280"/>
    <mergeCell ref="C3280:D3280"/>
    <mergeCell ref="A3281:B3281"/>
    <mergeCell ref="C3281:D3281"/>
    <mergeCell ref="A3282:B3282"/>
    <mergeCell ref="C3282:D3282"/>
    <mergeCell ref="B3277:C3277"/>
    <mergeCell ref="D3277:E3277"/>
    <mergeCell ref="A3278:B3278"/>
    <mergeCell ref="C3278:D3278"/>
    <mergeCell ref="A3279:B3279"/>
    <mergeCell ref="C3279:D3279"/>
    <mergeCell ref="A3292:B3292"/>
    <mergeCell ref="C3292:D3292"/>
    <mergeCell ref="B3293:C3293"/>
    <mergeCell ref="D3293:E3293"/>
    <mergeCell ref="A3294:B3294"/>
    <mergeCell ref="C3294:D3294"/>
    <mergeCell ref="A3289:B3289"/>
    <mergeCell ref="C3289:D3289"/>
    <mergeCell ref="A3290:B3290"/>
    <mergeCell ref="C3290:D3290"/>
    <mergeCell ref="A3291:B3291"/>
    <mergeCell ref="C3291:D3291"/>
    <mergeCell ref="A3286:B3286"/>
    <mergeCell ref="C3286:D3286"/>
    <mergeCell ref="A3287:B3287"/>
    <mergeCell ref="C3287:D3287"/>
    <mergeCell ref="A3288:B3288"/>
    <mergeCell ref="C3288:D3288"/>
    <mergeCell ref="A3301:B3301"/>
    <mergeCell ref="C3301:D3301"/>
    <mergeCell ref="A3302:B3302"/>
    <mergeCell ref="C3302:D3302"/>
    <mergeCell ref="A3303:B3303"/>
    <mergeCell ref="C3303:D3303"/>
    <mergeCell ref="B3298:C3298"/>
    <mergeCell ref="D3298:E3298"/>
    <mergeCell ref="A3299:B3299"/>
    <mergeCell ref="C3299:D3299"/>
    <mergeCell ref="A3300:B3300"/>
    <mergeCell ref="C3300:D3300"/>
    <mergeCell ref="A3295:B3295"/>
    <mergeCell ref="C3295:D3295"/>
    <mergeCell ref="A3296:B3296"/>
    <mergeCell ref="C3296:D3296"/>
    <mergeCell ref="A3297:B3297"/>
    <mergeCell ref="C3297:D3297"/>
    <mergeCell ref="A3310:B3310"/>
    <mergeCell ref="C3310:D3310"/>
    <mergeCell ref="A3311:B3311"/>
    <mergeCell ref="C3311:D3311"/>
    <mergeCell ref="A3312:B3312"/>
    <mergeCell ref="C3312:D3312"/>
    <mergeCell ref="A3307:B3307"/>
    <mergeCell ref="C3307:D3307"/>
    <mergeCell ref="A3308:B3308"/>
    <mergeCell ref="C3308:D3308"/>
    <mergeCell ref="A3309:B3309"/>
    <mergeCell ref="C3309:D3309"/>
    <mergeCell ref="A3304:B3304"/>
    <mergeCell ref="C3304:D3304"/>
    <mergeCell ref="B3305:C3305"/>
    <mergeCell ref="D3305:E3305"/>
    <mergeCell ref="A3306:B3306"/>
    <mergeCell ref="C3306:D3306"/>
    <mergeCell ref="A3319:B3319"/>
    <mergeCell ref="C3319:D3319"/>
    <mergeCell ref="A3320:B3320"/>
    <mergeCell ref="C3320:D3320"/>
    <mergeCell ref="A3321:B3321"/>
    <mergeCell ref="C3321:D3321"/>
    <mergeCell ref="A3316:B3316"/>
    <mergeCell ref="C3316:D3316"/>
    <mergeCell ref="A3317:B3317"/>
    <mergeCell ref="C3317:D3317"/>
    <mergeCell ref="B3318:C3318"/>
    <mergeCell ref="D3318:E3318"/>
    <mergeCell ref="A3313:B3313"/>
    <mergeCell ref="C3313:D3313"/>
    <mergeCell ref="A3314:B3314"/>
    <mergeCell ref="C3314:D3314"/>
    <mergeCell ref="A3315:B3315"/>
    <mergeCell ref="C3315:D3315"/>
    <mergeCell ref="A3328:B3328"/>
    <mergeCell ref="C3328:D3328"/>
    <mergeCell ref="A3329:B3329"/>
    <mergeCell ref="C3329:D3329"/>
    <mergeCell ref="A3330:B3330"/>
    <mergeCell ref="C3330:D3330"/>
    <mergeCell ref="A3325:B3325"/>
    <mergeCell ref="C3325:D3325"/>
    <mergeCell ref="A3326:B3326"/>
    <mergeCell ref="C3326:D3326"/>
    <mergeCell ref="A3327:B3327"/>
    <mergeCell ref="C3327:D3327"/>
    <mergeCell ref="A3322:B3322"/>
    <mergeCell ref="C3322:D3322"/>
    <mergeCell ref="A3323:B3323"/>
    <mergeCell ref="C3323:D3323"/>
    <mergeCell ref="A3324:B3324"/>
    <mergeCell ref="C3324:D3324"/>
    <mergeCell ref="A3337:B3337"/>
    <mergeCell ref="C3337:D3337"/>
    <mergeCell ref="A3338:B3338"/>
    <mergeCell ref="C3338:D3338"/>
    <mergeCell ref="A3339:B3339"/>
    <mergeCell ref="C3339:D3339"/>
    <mergeCell ref="A3334:B3334"/>
    <mergeCell ref="C3334:D3334"/>
    <mergeCell ref="A3335:B3335"/>
    <mergeCell ref="C3335:D3335"/>
    <mergeCell ref="A3336:B3336"/>
    <mergeCell ref="C3336:D3336"/>
    <mergeCell ref="B3331:C3331"/>
    <mergeCell ref="D3331:E3331"/>
    <mergeCell ref="A3332:B3332"/>
    <mergeCell ref="C3332:D3332"/>
    <mergeCell ref="A3333:B3333"/>
    <mergeCell ref="C3333:D3333"/>
    <mergeCell ref="A3346:B3346"/>
    <mergeCell ref="C3346:D3346"/>
    <mergeCell ref="A3347:B3347"/>
    <mergeCell ref="C3347:D3347"/>
    <mergeCell ref="A3348:B3348"/>
    <mergeCell ref="C3348:D3348"/>
    <mergeCell ref="B3343:C3343"/>
    <mergeCell ref="D3343:E3343"/>
    <mergeCell ref="A3344:B3344"/>
    <mergeCell ref="C3344:D3344"/>
    <mergeCell ref="A3345:B3345"/>
    <mergeCell ref="C3345:D3345"/>
    <mergeCell ref="A3340:B3340"/>
    <mergeCell ref="C3340:D3340"/>
    <mergeCell ref="A3341:B3341"/>
    <mergeCell ref="C3341:D3341"/>
    <mergeCell ref="A3342:B3342"/>
    <mergeCell ref="C3342:D3342"/>
    <mergeCell ref="B3355:C3355"/>
    <mergeCell ref="D3355:E3355"/>
    <mergeCell ref="A3356:B3356"/>
    <mergeCell ref="C3356:D3356"/>
    <mergeCell ref="A3357:B3357"/>
    <mergeCell ref="C3357:D3357"/>
    <mergeCell ref="A3352:B3352"/>
    <mergeCell ref="C3352:D3352"/>
    <mergeCell ref="A3353:B3353"/>
    <mergeCell ref="C3353:D3353"/>
    <mergeCell ref="A3354:B3354"/>
    <mergeCell ref="C3354:D3354"/>
    <mergeCell ref="A3349:B3349"/>
    <mergeCell ref="C3349:D3349"/>
    <mergeCell ref="A3350:B3350"/>
    <mergeCell ref="C3350:D3350"/>
    <mergeCell ref="A3351:B3351"/>
    <mergeCell ref="C3351:D3351"/>
    <mergeCell ref="A3364:B3364"/>
    <mergeCell ref="C3364:D3364"/>
    <mergeCell ref="B3365:C3365"/>
    <mergeCell ref="D3365:E3365"/>
    <mergeCell ref="A3366:B3366"/>
    <mergeCell ref="C3366:D3366"/>
    <mergeCell ref="A3361:B3361"/>
    <mergeCell ref="C3361:D3361"/>
    <mergeCell ref="A3362:B3362"/>
    <mergeCell ref="C3362:D3362"/>
    <mergeCell ref="A3363:B3363"/>
    <mergeCell ref="C3363:D3363"/>
    <mergeCell ref="A3358:B3358"/>
    <mergeCell ref="C3358:D3358"/>
    <mergeCell ref="A3359:B3359"/>
    <mergeCell ref="C3359:D3359"/>
    <mergeCell ref="A3360:B3360"/>
    <mergeCell ref="C3360:D3360"/>
    <mergeCell ref="A3373:B3373"/>
    <mergeCell ref="C3373:D3373"/>
    <mergeCell ref="A3374:B3374"/>
    <mergeCell ref="C3374:D3374"/>
    <mergeCell ref="B3375:C3375"/>
    <mergeCell ref="D3375:E3375"/>
    <mergeCell ref="A3370:B3370"/>
    <mergeCell ref="C3370:D3370"/>
    <mergeCell ref="A3371:B3371"/>
    <mergeCell ref="C3371:D3371"/>
    <mergeCell ref="A3372:B3372"/>
    <mergeCell ref="C3372:D3372"/>
    <mergeCell ref="A3367:B3367"/>
    <mergeCell ref="C3367:D3367"/>
    <mergeCell ref="A3368:B3368"/>
    <mergeCell ref="C3368:D3368"/>
    <mergeCell ref="A3369:B3369"/>
    <mergeCell ref="C3369:D3369"/>
    <mergeCell ref="A3382:B3382"/>
    <mergeCell ref="C3382:D3382"/>
    <mergeCell ref="A3383:B3383"/>
    <mergeCell ref="C3383:D3383"/>
    <mergeCell ref="B3384:C3384"/>
    <mergeCell ref="D3384:E3384"/>
    <mergeCell ref="A3379:B3379"/>
    <mergeCell ref="C3379:D3379"/>
    <mergeCell ref="A3380:B3380"/>
    <mergeCell ref="C3380:D3380"/>
    <mergeCell ref="A3381:B3381"/>
    <mergeCell ref="C3381:D3381"/>
    <mergeCell ref="A3376:B3376"/>
    <mergeCell ref="C3376:D3376"/>
    <mergeCell ref="A3377:B3377"/>
    <mergeCell ref="C3377:D3377"/>
    <mergeCell ref="A3378:B3378"/>
    <mergeCell ref="C3378:D3378"/>
    <mergeCell ref="A3391:B3391"/>
    <mergeCell ref="C3391:D3391"/>
    <mergeCell ref="A3392:B3392"/>
    <mergeCell ref="C3392:D3392"/>
    <mergeCell ref="B3393:C3393"/>
    <mergeCell ref="D3393:E3393"/>
    <mergeCell ref="A3388:B3388"/>
    <mergeCell ref="C3388:D3388"/>
    <mergeCell ref="A3389:B3389"/>
    <mergeCell ref="C3389:D3389"/>
    <mergeCell ref="A3390:B3390"/>
    <mergeCell ref="C3390:D3390"/>
    <mergeCell ref="A3385:B3385"/>
    <mergeCell ref="C3385:D3385"/>
    <mergeCell ref="A3386:B3386"/>
    <mergeCell ref="C3386:D3386"/>
    <mergeCell ref="A3387:B3387"/>
    <mergeCell ref="C3387:D3387"/>
    <mergeCell ref="A3400:B3400"/>
    <mergeCell ref="C3400:D3400"/>
    <mergeCell ref="A3401:B3401"/>
    <mergeCell ref="C3401:D3401"/>
    <mergeCell ref="A3402:B3402"/>
    <mergeCell ref="C3402:D3402"/>
    <mergeCell ref="A3397:B3397"/>
    <mergeCell ref="C3397:D3397"/>
    <mergeCell ref="A3398:B3398"/>
    <mergeCell ref="C3398:D3398"/>
    <mergeCell ref="A3399:B3399"/>
    <mergeCell ref="C3399:D3399"/>
    <mergeCell ref="A3394:B3394"/>
    <mergeCell ref="C3394:D3394"/>
    <mergeCell ref="A3395:B3395"/>
    <mergeCell ref="C3395:D3395"/>
    <mergeCell ref="A3396:B3396"/>
    <mergeCell ref="C3396:D3396"/>
    <mergeCell ref="B3409:C3409"/>
    <mergeCell ref="D3409:E3409"/>
    <mergeCell ref="A3410:B3410"/>
    <mergeCell ref="C3410:D3410"/>
    <mergeCell ref="A3411:B3411"/>
    <mergeCell ref="C3411:D3411"/>
    <mergeCell ref="A3406:B3406"/>
    <mergeCell ref="C3406:D3406"/>
    <mergeCell ref="A3407:B3407"/>
    <mergeCell ref="C3407:D3407"/>
    <mergeCell ref="A3408:B3408"/>
    <mergeCell ref="C3408:D3408"/>
    <mergeCell ref="A3403:B3403"/>
    <mergeCell ref="C3403:D3403"/>
    <mergeCell ref="A3404:B3404"/>
    <mergeCell ref="C3404:D3404"/>
    <mergeCell ref="A3405:B3405"/>
    <mergeCell ref="C3405:D3405"/>
    <mergeCell ref="A3418:B3418"/>
    <mergeCell ref="C3418:D3418"/>
    <mergeCell ref="A3419:B3419"/>
    <mergeCell ref="C3419:D3419"/>
    <mergeCell ref="A3420:B3420"/>
    <mergeCell ref="C3420:D3420"/>
    <mergeCell ref="A3415:B3415"/>
    <mergeCell ref="C3415:D3415"/>
    <mergeCell ref="A3416:B3416"/>
    <mergeCell ref="C3416:D3416"/>
    <mergeCell ref="A3417:B3417"/>
    <mergeCell ref="C3417:D3417"/>
    <mergeCell ref="A3412:B3412"/>
    <mergeCell ref="C3412:D3412"/>
    <mergeCell ref="A3413:B3413"/>
    <mergeCell ref="C3413:D3413"/>
    <mergeCell ref="A3414:B3414"/>
    <mergeCell ref="C3414:D3414"/>
    <mergeCell ref="A3427:B3427"/>
    <mergeCell ref="C3427:D3427"/>
    <mergeCell ref="A3428:B3428"/>
    <mergeCell ref="C3428:D3428"/>
    <mergeCell ref="A3429:B3429"/>
    <mergeCell ref="C3429:D3429"/>
    <mergeCell ref="A3424:B3424"/>
    <mergeCell ref="C3424:D3424"/>
    <mergeCell ref="B3425:C3425"/>
    <mergeCell ref="D3425:E3425"/>
    <mergeCell ref="A3426:B3426"/>
    <mergeCell ref="C3426:D3426"/>
    <mergeCell ref="A3421:B3421"/>
    <mergeCell ref="C3421:D3421"/>
    <mergeCell ref="A3422:B3422"/>
    <mergeCell ref="C3422:D3422"/>
    <mergeCell ref="A3423:B3423"/>
    <mergeCell ref="C3423:D3423"/>
    <mergeCell ref="A3436:B3436"/>
    <mergeCell ref="C3436:D3436"/>
    <mergeCell ref="A3437:B3437"/>
    <mergeCell ref="C3437:D3437"/>
    <mergeCell ref="A3438:B3438"/>
    <mergeCell ref="C3438:D3438"/>
    <mergeCell ref="A3433:B3433"/>
    <mergeCell ref="C3433:D3433"/>
    <mergeCell ref="A3434:B3434"/>
    <mergeCell ref="C3434:D3434"/>
    <mergeCell ref="A3435:B3435"/>
    <mergeCell ref="C3435:D3435"/>
    <mergeCell ref="A3430:B3430"/>
    <mergeCell ref="C3430:D3430"/>
    <mergeCell ref="A3431:B3431"/>
    <mergeCell ref="C3431:D3431"/>
    <mergeCell ref="A3432:B3432"/>
    <mergeCell ref="C3432:D3432"/>
    <mergeCell ref="A3445:B3445"/>
    <mergeCell ref="C3445:D3445"/>
    <mergeCell ref="A3446:B3446"/>
    <mergeCell ref="C3446:D3446"/>
    <mergeCell ref="A3447:B3447"/>
    <mergeCell ref="C3447:D3447"/>
    <mergeCell ref="A3442:B3442"/>
    <mergeCell ref="C3442:D3442"/>
    <mergeCell ref="A3443:B3443"/>
    <mergeCell ref="C3443:D3443"/>
    <mergeCell ref="A3444:B3444"/>
    <mergeCell ref="C3444:D3444"/>
    <mergeCell ref="A3439:B3439"/>
    <mergeCell ref="C3439:D3439"/>
    <mergeCell ref="B3440:C3440"/>
    <mergeCell ref="D3440:E3440"/>
    <mergeCell ref="A3441:B3441"/>
    <mergeCell ref="C3441:D3441"/>
    <mergeCell ref="A3454:B3454"/>
    <mergeCell ref="C3454:D3454"/>
    <mergeCell ref="B3455:C3455"/>
    <mergeCell ref="D3455:E3455"/>
    <mergeCell ref="A3456:B3456"/>
    <mergeCell ref="C3456:D3456"/>
    <mergeCell ref="A3451:B3451"/>
    <mergeCell ref="C3451:D3451"/>
    <mergeCell ref="A3452:B3452"/>
    <mergeCell ref="C3452:D3452"/>
    <mergeCell ref="A3453:B3453"/>
    <mergeCell ref="C3453:D3453"/>
    <mergeCell ref="A3448:B3448"/>
    <mergeCell ref="C3448:D3448"/>
    <mergeCell ref="A3449:B3449"/>
    <mergeCell ref="C3449:D3449"/>
    <mergeCell ref="A3450:B3450"/>
    <mergeCell ref="C3450:D3450"/>
    <mergeCell ref="A3463:B3463"/>
    <mergeCell ref="C3463:D3463"/>
    <mergeCell ref="A3464:B3464"/>
    <mergeCell ref="C3464:D3464"/>
    <mergeCell ref="A3465:B3465"/>
    <mergeCell ref="C3465:D3465"/>
    <mergeCell ref="A3460:B3460"/>
    <mergeCell ref="C3460:D3460"/>
    <mergeCell ref="A3461:B3461"/>
    <mergeCell ref="C3461:D3461"/>
    <mergeCell ref="A3462:B3462"/>
    <mergeCell ref="C3462:D3462"/>
    <mergeCell ref="A3457:B3457"/>
    <mergeCell ref="C3457:D3457"/>
    <mergeCell ref="A3458:B3458"/>
    <mergeCell ref="C3458:D3458"/>
    <mergeCell ref="A3459:B3459"/>
    <mergeCell ref="C3459:D3459"/>
    <mergeCell ref="A3472:B3472"/>
    <mergeCell ref="C3472:D3472"/>
    <mergeCell ref="A3473:B3473"/>
    <mergeCell ref="C3473:D3473"/>
    <mergeCell ref="A3474:B3474"/>
    <mergeCell ref="C3474:D3474"/>
    <mergeCell ref="A3469:B3469"/>
    <mergeCell ref="C3469:D3469"/>
    <mergeCell ref="A3470:B3470"/>
    <mergeCell ref="C3470:D3470"/>
    <mergeCell ref="A3471:B3471"/>
    <mergeCell ref="C3471:D3471"/>
    <mergeCell ref="A3466:B3466"/>
    <mergeCell ref="C3466:D3466"/>
    <mergeCell ref="A3467:B3467"/>
    <mergeCell ref="C3467:D3467"/>
    <mergeCell ref="B3468:C3468"/>
    <mergeCell ref="D3468:E3468"/>
    <mergeCell ref="B3481:C3481"/>
    <mergeCell ref="D3481:E3481"/>
    <mergeCell ref="A3482:B3482"/>
    <mergeCell ref="C3482:D3482"/>
    <mergeCell ref="A3483:B3483"/>
    <mergeCell ref="C3483:D3483"/>
    <mergeCell ref="A3478:B3478"/>
    <mergeCell ref="C3478:D3478"/>
    <mergeCell ref="A3479:B3479"/>
    <mergeCell ref="C3479:D3479"/>
    <mergeCell ref="A3480:B3480"/>
    <mergeCell ref="C3480:D3480"/>
    <mergeCell ref="A3475:B3475"/>
    <mergeCell ref="C3475:D3475"/>
    <mergeCell ref="A3476:B3476"/>
    <mergeCell ref="C3476:D3476"/>
    <mergeCell ref="A3477:B3477"/>
    <mergeCell ref="C3477:D3477"/>
    <mergeCell ref="A3490:B3490"/>
    <mergeCell ref="C3490:D3490"/>
    <mergeCell ref="A3491:B3491"/>
    <mergeCell ref="C3491:D3491"/>
    <mergeCell ref="A3492:B3492"/>
    <mergeCell ref="C3492:D3492"/>
    <mergeCell ref="A3487:B3487"/>
    <mergeCell ref="C3487:D3487"/>
    <mergeCell ref="A3488:B3488"/>
    <mergeCell ref="C3488:D3488"/>
    <mergeCell ref="A3489:B3489"/>
    <mergeCell ref="C3489:D3489"/>
    <mergeCell ref="A3484:B3484"/>
    <mergeCell ref="C3484:D3484"/>
    <mergeCell ref="A3485:B3485"/>
    <mergeCell ref="C3485:D3485"/>
    <mergeCell ref="A3486:B3486"/>
    <mergeCell ref="C3486:D3486"/>
    <mergeCell ref="A3499:B3499"/>
    <mergeCell ref="C3499:D3499"/>
    <mergeCell ref="A3500:B3500"/>
    <mergeCell ref="C3500:D3500"/>
    <mergeCell ref="A3501:B3501"/>
    <mergeCell ref="C3501:D3501"/>
    <mergeCell ref="A3496:B3496"/>
    <mergeCell ref="C3496:D3496"/>
    <mergeCell ref="A3497:B3497"/>
    <mergeCell ref="C3497:D3497"/>
    <mergeCell ref="A3498:B3498"/>
    <mergeCell ref="C3498:D3498"/>
    <mergeCell ref="B3493:C3493"/>
    <mergeCell ref="D3493:E3493"/>
    <mergeCell ref="A3494:B3494"/>
    <mergeCell ref="C3494:D3494"/>
    <mergeCell ref="A3495:B3495"/>
    <mergeCell ref="C3495:D3495"/>
    <mergeCell ref="A3508:B3508"/>
    <mergeCell ref="C3508:D3508"/>
    <mergeCell ref="A3509:B3509"/>
    <mergeCell ref="C3509:D3509"/>
    <mergeCell ref="A3510:B3510"/>
    <mergeCell ref="C3510:D3510"/>
    <mergeCell ref="B3505:C3505"/>
    <mergeCell ref="D3505:E3505"/>
    <mergeCell ref="A3506:B3506"/>
    <mergeCell ref="C3506:D3506"/>
    <mergeCell ref="A3507:B3507"/>
    <mergeCell ref="C3507:D3507"/>
    <mergeCell ref="A3502:B3502"/>
    <mergeCell ref="C3502:D3502"/>
    <mergeCell ref="A3503:B3503"/>
    <mergeCell ref="C3503:D3503"/>
    <mergeCell ref="A3504:B3504"/>
    <mergeCell ref="C3504:D3504"/>
    <mergeCell ref="A3517:B3517"/>
    <mergeCell ref="C3517:D3517"/>
    <mergeCell ref="B3518:C3518"/>
    <mergeCell ref="D3518:E3518"/>
    <mergeCell ref="A3519:B3519"/>
    <mergeCell ref="C3519:D3519"/>
    <mergeCell ref="A3514:B3514"/>
    <mergeCell ref="C3514:D3514"/>
    <mergeCell ref="A3515:B3515"/>
    <mergeCell ref="C3515:D3515"/>
    <mergeCell ref="A3516:B3516"/>
    <mergeCell ref="C3516:D3516"/>
    <mergeCell ref="A3511:B3511"/>
    <mergeCell ref="C3511:D3511"/>
    <mergeCell ref="A3512:B3512"/>
    <mergeCell ref="C3512:D3512"/>
    <mergeCell ref="A3513:B3513"/>
    <mergeCell ref="C3513:D3513"/>
    <mergeCell ref="A3526:B3526"/>
    <mergeCell ref="C3526:D3526"/>
    <mergeCell ref="A3527:B3527"/>
    <mergeCell ref="C3527:D3527"/>
    <mergeCell ref="A3528:B3528"/>
    <mergeCell ref="C3528:D3528"/>
    <mergeCell ref="A3523:B3523"/>
    <mergeCell ref="C3523:D3523"/>
    <mergeCell ref="A3524:B3524"/>
    <mergeCell ref="C3524:D3524"/>
    <mergeCell ref="A3525:B3525"/>
    <mergeCell ref="C3525:D3525"/>
    <mergeCell ref="A3520:B3520"/>
    <mergeCell ref="C3520:D3520"/>
    <mergeCell ref="A3521:B3521"/>
    <mergeCell ref="C3521:D3521"/>
    <mergeCell ref="A3522:B3522"/>
    <mergeCell ref="C3522:D3522"/>
    <mergeCell ref="A3535:B3535"/>
    <mergeCell ref="C3535:D3535"/>
    <mergeCell ref="A3536:B3536"/>
    <mergeCell ref="C3536:D3536"/>
    <mergeCell ref="A3537:B3537"/>
    <mergeCell ref="C3537:D3537"/>
    <mergeCell ref="A3532:B3532"/>
    <mergeCell ref="C3532:D3532"/>
    <mergeCell ref="A3533:B3533"/>
    <mergeCell ref="C3533:D3533"/>
    <mergeCell ref="A3534:B3534"/>
    <mergeCell ref="C3534:D3534"/>
    <mergeCell ref="A3529:B3529"/>
    <mergeCell ref="C3529:D3529"/>
    <mergeCell ref="B3530:C3530"/>
    <mergeCell ref="D3530:E3530"/>
    <mergeCell ref="A3531:B3531"/>
    <mergeCell ref="C3531:D3531"/>
    <mergeCell ref="A3544:B3544"/>
    <mergeCell ref="C3544:D3544"/>
    <mergeCell ref="A3545:B3545"/>
    <mergeCell ref="C3545:D3545"/>
    <mergeCell ref="B3546:C3546"/>
    <mergeCell ref="D3546:E3546"/>
    <mergeCell ref="A3541:B3541"/>
    <mergeCell ref="C3541:D3541"/>
    <mergeCell ref="A3542:B3542"/>
    <mergeCell ref="C3542:D3542"/>
    <mergeCell ref="A3543:B3543"/>
    <mergeCell ref="C3543:D3543"/>
    <mergeCell ref="A3538:B3538"/>
    <mergeCell ref="C3538:D3538"/>
    <mergeCell ref="A3539:B3539"/>
    <mergeCell ref="C3539:D3539"/>
    <mergeCell ref="A3540:B3540"/>
    <mergeCell ref="C3540:D3540"/>
    <mergeCell ref="A3553:B3553"/>
    <mergeCell ref="C3553:D3553"/>
    <mergeCell ref="A3554:B3554"/>
    <mergeCell ref="C3554:D3554"/>
    <mergeCell ref="A3555:B3555"/>
    <mergeCell ref="C3555:D3555"/>
    <mergeCell ref="A3550:B3550"/>
    <mergeCell ref="C3550:D3550"/>
    <mergeCell ref="A3551:B3551"/>
    <mergeCell ref="C3551:D3551"/>
    <mergeCell ref="A3552:B3552"/>
    <mergeCell ref="C3552:D3552"/>
    <mergeCell ref="A3547:B3547"/>
    <mergeCell ref="C3547:D3547"/>
    <mergeCell ref="A3548:B3548"/>
    <mergeCell ref="C3548:D3548"/>
    <mergeCell ref="A3549:B3549"/>
    <mergeCell ref="C3549:D3549"/>
    <mergeCell ref="A3562:B3562"/>
    <mergeCell ref="C3562:D3562"/>
    <mergeCell ref="A3563:B3563"/>
    <mergeCell ref="C3563:D3563"/>
    <mergeCell ref="A3564:B3564"/>
    <mergeCell ref="C3564:D3564"/>
    <mergeCell ref="B3559:C3559"/>
    <mergeCell ref="D3559:E3559"/>
    <mergeCell ref="A3560:B3560"/>
    <mergeCell ref="C3560:D3560"/>
    <mergeCell ref="A3561:B3561"/>
    <mergeCell ref="C3561:D3561"/>
    <mergeCell ref="A3556:B3556"/>
    <mergeCell ref="C3556:D3556"/>
    <mergeCell ref="A3557:B3557"/>
    <mergeCell ref="C3557:D3557"/>
    <mergeCell ref="A3558:B3558"/>
    <mergeCell ref="C3558:D3558"/>
    <mergeCell ref="A3571:B3571"/>
    <mergeCell ref="C3571:D3571"/>
    <mergeCell ref="A3572:B3572"/>
    <mergeCell ref="C3572:D3572"/>
    <mergeCell ref="B3573:C3573"/>
    <mergeCell ref="D3573:E3573"/>
    <mergeCell ref="A3568:B3568"/>
    <mergeCell ref="C3568:D3568"/>
    <mergeCell ref="A3569:B3569"/>
    <mergeCell ref="C3569:D3569"/>
    <mergeCell ref="A3570:B3570"/>
    <mergeCell ref="C3570:D3570"/>
    <mergeCell ref="A3565:B3565"/>
    <mergeCell ref="C3565:D3565"/>
    <mergeCell ref="A3566:B3566"/>
    <mergeCell ref="C3566:D3566"/>
    <mergeCell ref="B3567:C3567"/>
    <mergeCell ref="D3567:E3567"/>
    <mergeCell ref="A3580:B3580"/>
    <mergeCell ref="C3580:D3580"/>
    <mergeCell ref="A3581:B3581"/>
    <mergeCell ref="C3581:D3581"/>
    <mergeCell ref="A3582:B3582"/>
    <mergeCell ref="C3582:D3582"/>
    <mergeCell ref="A3577:B3577"/>
    <mergeCell ref="C3577:D3577"/>
    <mergeCell ref="A3578:B3578"/>
    <mergeCell ref="C3578:D3578"/>
    <mergeCell ref="B3579:C3579"/>
    <mergeCell ref="D3579:E3579"/>
    <mergeCell ref="A3574:B3574"/>
    <mergeCell ref="C3574:D3574"/>
    <mergeCell ref="A3575:B3575"/>
    <mergeCell ref="C3575:D3575"/>
    <mergeCell ref="A3576:B3576"/>
    <mergeCell ref="C3576:D3576"/>
    <mergeCell ref="A3589:B3589"/>
    <mergeCell ref="C3589:D3589"/>
    <mergeCell ref="A3590:B3590"/>
    <mergeCell ref="C3590:D3590"/>
    <mergeCell ref="B3591:C3591"/>
    <mergeCell ref="D3591:E3591"/>
    <mergeCell ref="A3586:B3586"/>
    <mergeCell ref="C3586:D3586"/>
    <mergeCell ref="A3587:B3587"/>
    <mergeCell ref="C3587:D3587"/>
    <mergeCell ref="A3588:B3588"/>
    <mergeCell ref="C3588:D3588"/>
    <mergeCell ref="A3583:B3583"/>
    <mergeCell ref="C3583:D3583"/>
    <mergeCell ref="A3584:B3584"/>
    <mergeCell ref="C3584:D3584"/>
    <mergeCell ref="B3585:C3585"/>
    <mergeCell ref="D3585:E3585"/>
    <mergeCell ref="A3599:B3599"/>
    <mergeCell ref="C3599:D3599"/>
    <mergeCell ref="B3600:C3600"/>
    <mergeCell ref="D3600:E3600"/>
    <mergeCell ref="A3601:B3601"/>
    <mergeCell ref="C3601:D3601"/>
    <mergeCell ref="A3595:B3595"/>
    <mergeCell ref="C3595:D3595"/>
    <mergeCell ref="A3596:B3596"/>
    <mergeCell ref="C3596:D3596"/>
    <mergeCell ref="C3597:D3597"/>
    <mergeCell ref="A3598:B3598"/>
    <mergeCell ref="C3598:D3598"/>
    <mergeCell ref="A3592:B3592"/>
    <mergeCell ref="C3592:D3592"/>
    <mergeCell ref="A3593:B3593"/>
    <mergeCell ref="C3593:D3593"/>
    <mergeCell ref="A3594:B3594"/>
    <mergeCell ref="C3594:D3594"/>
    <mergeCell ref="B3609:C3609"/>
    <mergeCell ref="D3609:E3609"/>
    <mergeCell ref="A3610:B3610"/>
    <mergeCell ref="C3610:D3610"/>
    <mergeCell ref="A3611:B3611"/>
    <mergeCell ref="C3611:D3611"/>
    <mergeCell ref="A3605:B3605"/>
    <mergeCell ref="C3605:D3605"/>
    <mergeCell ref="C3606:D3606"/>
    <mergeCell ref="A3607:B3607"/>
    <mergeCell ref="C3607:D3607"/>
    <mergeCell ref="A3608:B3608"/>
    <mergeCell ref="C3608:D3608"/>
    <mergeCell ref="A3602:B3602"/>
    <mergeCell ref="C3602:D3602"/>
    <mergeCell ref="A3603:B3603"/>
    <mergeCell ref="C3603:D3603"/>
    <mergeCell ref="A3604:B3604"/>
    <mergeCell ref="C3604:D3604"/>
    <mergeCell ref="A3618:B3618"/>
    <mergeCell ref="C3618:D3618"/>
    <mergeCell ref="A3619:B3619"/>
    <mergeCell ref="C3619:D3619"/>
    <mergeCell ref="A3620:B3620"/>
    <mergeCell ref="C3620:D3620"/>
    <mergeCell ref="A3615:B3615"/>
    <mergeCell ref="C3615:D3615"/>
    <mergeCell ref="A3616:B3616"/>
    <mergeCell ref="C3616:D3616"/>
    <mergeCell ref="A3617:B3617"/>
    <mergeCell ref="C3617:D3617"/>
    <mergeCell ref="A3612:B3612"/>
    <mergeCell ref="C3612:D3612"/>
    <mergeCell ref="B3613:C3613"/>
    <mergeCell ref="D3613:E3613"/>
    <mergeCell ref="A3614:B3614"/>
    <mergeCell ref="C3614:D3614"/>
    <mergeCell ref="A3627:B3627"/>
    <mergeCell ref="C3627:D3627"/>
    <mergeCell ref="A3628:B3628"/>
    <mergeCell ref="C3628:D3628"/>
    <mergeCell ref="B3629:C3629"/>
    <mergeCell ref="D3629:E3629"/>
    <mergeCell ref="A3624:B3624"/>
    <mergeCell ref="C3624:D3624"/>
    <mergeCell ref="A3625:B3625"/>
    <mergeCell ref="C3625:D3625"/>
    <mergeCell ref="A3626:B3626"/>
    <mergeCell ref="C3626:D3626"/>
    <mergeCell ref="B3621:C3621"/>
    <mergeCell ref="D3621:E3621"/>
    <mergeCell ref="A3622:B3622"/>
    <mergeCell ref="C3622:D3622"/>
    <mergeCell ref="A3623:B3623"/>
    <mergeCell ref="C3623:D3623"/>
    <mergeCell ref="A3636:B3636"/>
    <mergeCell ref="C3636:D3636"/>
    <mergeCell ref="B3637:C3637"/>
    <mergeCell ref="D3637:E3637"/>
    <mergeCell ref="A3638:B3638"/>
    <mergeCell ref="C3638:D3638"/>
    <mergeCell ref="A3633:B3633"/>
    <mergeCell ref="C3633:D3633"/>
    <mergeCell ref="A3634:B3634"/>
    <mergeCell ref="C3634:D3634"/>
    <mergeCell ref="A3635:B3635"/>
    <mergeCell ref="C3635:D3635"/>
    <mergeCell ref="A3630:B3630"/>
    <mergeCell ref="C3630:D3630"/>
    <mergeCell ref="A3631:B3631"/>
    <mergeCell ref="C3631:D3631"/>
    <mergeCell ref="A3632:B3632"/>
    <mergeCell ref="C3632:D3632"/>
    <mergeCell ref="B3645:C3645"/>
    <mergeCell ref="D3645:E3645"/>
    <mergeCell ref="A3646:B3646"/>
    <mergeCell ref="C3646:D3646"/>
    <mergeCell ref="A3647:B3647"/>
    <mergeCell ref="C3647:D3647"/>
    <mergeCell ref="A3642:B3642"/>
    <mergeCell ref="C3642:D3642"/>
    <mergeCell ref="A3643:B3643"/>
    <mergeCell ref="C3643:D3643"/>
    <mergeCell ref="A3644:B3644"/>
    <mergeCell ref="C3644:D3644"/>
    <mergeCell ref="A3639:B3639"/>
    <mergeCell ref="C3639:D3639"/>
    <mergeCell ref="A3640:B3640"/>
    <mergeCell ref="C3640:D3640"/>
    <mergeCell ref="A3641:B3641"/>
    <mergeCell ref="C3641:D3641"/>
    <mergeCell ref="A3654:B3654"/>
    <mergeCell ref="C3654:D3654"/>
    <mergeCell ref="A3655:B3655"/>
    <mergeCell ref="C3655:D3655"/>
    <mergeCell ref="A3656:B3656"/>
    <mergeCell ref="C3656:D3656"/>
    <mergeCell ref="A3651:B3651"/>
    <mergeCell ref="C3651:D3651"/>
    <mergeCell ref="A3652:B3652"/>
    <mergeCell ref="C3652:D3652"/>
    <mergeCell ref="B3653:C3653"/>
    <mergeCell ref="D3653:E3653"/>
    <mergeCell ref="A3648:B3648"/>
    <mergeCell ref="C3648:D3648"/>
    <mergeCell ref="A3649:B3649"/>
    <mergeCell ref="C3649:D3649"/>
    <mergeCell ref="A3650:B3650"/>
    <mergeCell ref="C3650:D3650"/>
    <mergeCell ref="A3663:B3663"/>
    <mergeCell ref="C3663:D3663"/>
    <mergeCell ref="A3664:B3664"/>
    <mergeCell ref="C3664:D3664"/>
    <mergeCell ref="A3665:B3665"/>
    <mergeCell ref="C3665:D3665"/>
    <mergeCell ref="A3660:B3660"/>
    <mergeCell ref="C3660:D3660"/>
    <mergeCell ref="B3661:C3661"/>
    <mergeCell ref="D3661:E3661"/>
    <mergeCell ref="A3662:B3662"/>
    <mergeCell ref="C3662:D3662"/>
    <mergeCell ref="A3657:B3657"/>
    <mergeCell ref="C3657:D3657"/>
    <mergeCell ref="A3658:B3658"/>
    <mergeCell ref="C3658:D3658"/>
    <mergeCell ref="A3659:B3659"/>
    <mergeCell ref="C3659:D3659"/>
    <mergeCell ref="A3672:B3672"/>
    <mergeCell ref="C3672:D3672"/>
    <mergeCell ref="B3673:C3673"/>
    <mergeCell ref="D3673:E3673"/>
    <mergeCell ref="A3674:B3674"/>
    <mergeCell ref="C3674:D3674"/>
    <mergeCell ref="A3669:B3669"/>
    <mergeCell ref="C3669:D3669"/>
    <mergeCell ref="A3670:B3670"/>
    <mergeCell ref="C3670:D3670"/>
    <mergeCell ref="A3671:B3671"/>
    <mergeCell ref="C3671:D3671"/>
    <mergeCell ref="A3666:B3666"/>
    <mergeCell ref="C3666:D3666"/>
    <mergeCell ref="B3667:C3667"/>
    <mergeCell ref="D3667:E3667"/>
    <mergeCell ref="A3668:B3668"/>
    <mergeCell ref="C3668:D3668"/>
    <mergeCell ref="A3681:B3681"/>
    <mergeCell ref="C3681:D3681"/>
    <mergeCell ref="A3682:B3682"/>
    <mergeCell ref="C3682:D3682"/>
    <mergeCell ref="A3683:B3683"/>
    <mergeCell ref="C3683:D3683"/>
    <mergeCell ref="A3678:B3678"/>
    <mergeCell ref="C3678:D3678"/>
    <mergeCell ref="B3679:C3679"/>
    <mergeCell ref="D3679:E3679"/>
    <mergeCell ref="A3680:B3680"/>
    <mergeCell ref="C3680:D3680"/>
    <mergeCell ref="A3675:B3675"/>
    <mergeCell ref="C3675:D3675"/>
    <mergeCell ref="A3676:B3676"/>
    <mergeCell ref="C3676:D3676"/>
    <mergeCell ref="A3677:B3677"/>
    <mergeCell ref="C3677:D3677"/>
    <mergeCell ref="A3690:B3690"/>
    <mergeCell ref="C3690:D3690"/>
    <mergeCell ref="A3691:B3691"/>
    <mergeCell ref="C3691:D3691"/>
    <mergeCell ref="B3692:C3692"/>
    <mergeCell ref="D3692:E3692"/>
    <mergeCell ref="A3687:B3687"/>
    <mergeCell ref="C3687:D3687"/>
    <mergeCell ref="A3688:B3688"/>
    <mergeCell ref="C3688:D3688"/>
    <mergeCell ref="A3689:B3689"/>
    <mergeCell ref="C3689:D3689"/>
    <mergeCell ref="A3684:B3684"/>
    <mergeCell ref="C3684:D3684"/>
    <mergeCell ref="B3685:C3685"/>
    <mergeCell ref="D3685:E3685"/>
    <mergeCell ref="A3686:B3686"/>
    <mergeCell ref="C3686:D3686"/>
    <mergeCell ref="B3699:C3699"/>
    <mergeCell ref="D3699:E3699"/>
    <mergeCell ref="A3700:B3700"/>
    <mergeCell ref="C3700:D3700"/>
    <mergeCell ref="A3701:B3701"/>
    <mergeCell ref="C3701:D3701"/>
    <mergeCell ref="A3696:B3696"/>
    <mergeCell ref="C3696:D3696"/>
    <mergeCell ref="A3697:B3697"/>
    <mergeCell ref="C3697:D3697"/>
    <mergeCell ref="A3698:B3698"/>
    <mergeCell ref="C3698:D3698"/>
    <mergeCell ref="A3693:B3693"/>
    <mergeCell ref="C3693:D3693"/>
    <mergeCell ref="A3694:B3694"/>
    <mergeCell ref="C3694:D3694"/>
    <mergeCell ref="A3695:B3695"/>
    <mergeCell ref="C3695:D3695"/>
    <mergeCell ref="A3708:B3708"/>
    <mergeCell ref="C3708:D3708"/>
    <mergeCell ref="A3709:B3709"/>
    <mergeCell ref="C3709:D3709"/>
    <mergeCell ref="A3710:B3710"/>
    <mergeCell ref="C3710:D3710"/>
    <mergeCell ref="A3705:B3705"/>
    <mergeCell ref="C3705:D3705"/>
    <mergeCell ref="B3706:C3706"/>
    <mergeCell ref="D3706:E3706"/>
    <mergeCell ref="A3707:B3707"/>
    <mergeCell ref="C3707:D3707"/>
    <mergeCell ref="A3702:B3702"/>
    <mergeCell ref="C3702:D3702"/>
    <mergeCell ref="A3703:B3703"/>
    <mergeCell ref="C3703:D3703"/>
    <mergeCell ref="A3704:B3704"/>
    <mergeCell ref="C3704:D3704"/>
    <mergeCell ref="A3717:B3717"/>
    <mergeCell ref="C3717:D3717"/>
    <mergeCell ref="A3718:B3718"/>
    <mergeCell ref="C3718:D3718"/>
    <mergeCell ref="A3719:B3719"/>
    <mergeCell ref="C3719:D3719"/>
    <mergeCell ref="A3714:B3714"/>
    <mergeCell ref="C3714:D3714"/>
    <mergeCell ref="A3715:B3715"/>
    <mergeCell ref="C3715:D3715"/>
    <mergeCell ref="A3716:B3716"/>
    <mergeCell ref="C3716:D3716"/>
    <mergeCell ref="A3711:B3711"/>
    <mergeCell ref="C3711:D3711"/>
    <mergeCell ref="A3712:B3712"/>
    <mergeCell ref="C3712:D3712"/>
    <mergeCell ref="B3713:C3713"/>
    <mergeCell ref="D3713:E3713"/>
    <mergeCell ref="A3726:B3726"/>
    <mergeCell ref="C3726:D3726"/>
    <mergeCell ref="B3727:C3727"/>
    <mergeCell ref="D3727:E3727"/>
    <mergeCell ref="A3728:B3728"/>
    <mergeCell ref="C3728:D3728"/>
    <mergeCell ref="A3723:B3723"/>
    <mergeCell ref="C3723:D3723"/>
    <mergeCell ref="A3724:B3724"/>
    <mergeCell ref="C3724:D3724"/>
    <mergeCell ref="A3725:B3725"/>
    <mergeCell ref="C3725:D3725"/>
    <mergeCell ref="B3720:C3720"/>
    <mergeCell ref="D3720:E3720"/>
    <mergeCell ref="A3721:B3721"/>
    <mergeCell ref="C3721:D3721"/>
    <mergeCell ref="A3722:B3722"/>
    <mergeCell ref="C3722:D3722"/>
    <mergeCell ref="A3735:B3735"/>
    <mergeCell ref="C3735:D3735"/>
    <mergeCell ref="A3736:B3736"/>
    <mergeCell ref="C3736:D3736"/>
    <mergeCell ref="A3737:B3737"/>
    <mergeCell ref="C3737:D3737"/>
    <mergeCell ref="A3732:B3732"/>
    <mergeCell ref="C3732:D3732"/>
    <mergeCell ref="A3733:B3733"/>
    <mergeCell ref="C3733:D3733"/>
    <mergeCell ref="B3734:C3734"/>
    <mergeCell ref="D3734:E3734"/>
    <mergeCell ref="A3729:B3729"/>
    <mergeCell ref="C3729:D3729"/>
    <mergeCell ref="A3730:B3730"/>
    <mergeCell ref="C3730:D3730"/>
    <mergeCell ref="A3731:B3731"/>
    <mergeCell ref="C3731:D3731"/>
    <mergeCell ref="A3744:B3744"/>
    <mergeCell ref="C3744:D3744"/>
    <mergeCell ref="A3745:B3745"/>
    <mergeCell ref="C3745:D3745"/>
    <mergeCell ref="A3746:B3746"/>
    <mergeCell ref="C3746:D3746"/>
    <mergeCell ref="B3741:C3741"/>
    <mergeCell ref="D3741:E3741"/>
    <mergeCell ref="A3742:B3742"/>
    <mergeCell ref="C3742:D3742"/>
    <mergeCell ref="A3743:B3743"/>
    <mergeCell ref="C3743:D3743"/>
    <mergeCell ref="A3738:B3738"/>
    <mergeCell ref="C3738:D3738"/>
    <mergeCell ref="A3739:B3739"/>
    <mergeCell ref="C3739:D3739"/>
    <mergeCell ref="A3740:B3740"/>
    <mergeCell ref="C3740:D3740"/>
    <mergeCell ref="B3753:C3753"/>
    <mergeCell ref="D3753:E3753"/>
    <mergeCell ref="A3754:B3754"/>
    <mergeCell ref="C3754:D3754"/>
    <mergeCell ref="A3755:B3755"/>
    <mergeCell ref="C3755:D3755"/>
    <mergeCell ref="A3750:B3750"/>
    <mergeCell ref="C3750:D3750"/>
    <mergeCell ref="A3751:B3751"/>
    <mergeCell ref="C3751:D3751"/>
    <mergeCell ref="A3752:B3752"/>
    <mergeCell ref="C3752:D3752"/>
    <mergeCell ref="A3747:B3747"/>
    <mergeCell ref="C3747:D3747"/>
    <mergeCell ref="B3748:C3748"/>
    <mergeCell ref="D3748:E3748"/>
    <mergeCell ref="A3749:B3749"/>
    <mergeCell ref="C3749:D3749"/>
    <mergeCell ref="A3762:B3762"/>
    <mergeCell ref="C3762:D3762"/>
    <mergeCell ref="A3763:B3763"/>
    <mergeCell ref="C3763:D3763"/>
    <mergeCell ref="B3764:C3764"/>
    <mergeCell ref="D3764:E3764"/>
    <mergeCell ref="A3759:B3759"/>
    <mergeCell ref="C3759:D3759"/>
    <mergeCell ref="A3760:B3760"/>
    <mergeCell ref="C3760:D3760"/>
    <mergeCell ref="A3761:B3761"/>
    <mergeCell ref="C3761:D3761"/>
    <mergeCell ref="A3756:B3756"/>
    <mergeCell ref="C3756:D3756"/>
    <mergeCell ref="A3757:B3757"/>
    <mergeCell ref="C3757:D3757"/>
    <mergeCell ref="A3758:B3758"/>
    <mergeCell ref="C3758:D3758"/>
    <mergeCell ref="A3771:B3771"/>
    <mergeCell ref="C3771:D3771"/>
    <mergeCell ref="A3772:B3772"/>
    <mergeCell ref="C3772:D3772"/>
    <mergeCell ref="A3773:B3773"/>
    <mergeCell ref="C3773:D3773"/>
    <mergeCell ref="A3768:B3768"/>
    <mergeCell ref="C3768:D3768"/>
    <mergeCell ref="A3769:B3769"/>
    <mergeCell ref="C3769:D3769"/>
    <mergeCell ref="A3770:B3770"/>
    <mergeCell ref="C3770:D3770"/>
    <mergeCell ref="A3765:B3765"/>
    <mergeCell ref="C3765:D3765"/>
    <mergeCell ref="A3766:B3766"/>
    <mergeCell ref="C3766:D3766"/>
    <mergeCell ref="A3767:B3767"/>
    <mergeCell ref="C3767:D3767"/>
    <mergeCell ref="A3780:B3780"/>
    <mergeCell ref="C3780:D3780"/>
    <mergeCell ref="A3781:B3781"/>
    <mergeCell ref="C3781:D3781"/>
    <mergeCell ref="A3782:B3782"/>
    <mergeCell ref="C3782:D3782"/>
    <mergeCell ref="A3777:B3777"/>
    <mergeCell ref="C3777:D3777"/>
    <mergeCell ref="A3778:B3778"/>
    <mergeCell ref="C3778:D3778"/>
    <mergeCell ref="A3779:B3779"/>
    <mergeCell ref="C3779:D3779"/>
    <mergeCell ref="A3774:B3774"/>
    <mergeCell ref="C3774:D3774"/>
    <mergeCell ref="B3775:C3775"/>
    <mergeCell ref="D3775:E3775"/>
    <mergeCell ref="A3776:B3776"/>
    <mergeCell ref="C3776:D3776"/>
    <mergeCell ref="A3789:B3789"/>
    <mergeCell ref="C3789:D3789"/>
    <mergeCell ref="A3790:B3790"/>
    <mergeCell ref="C3790:D3790"/>
    <mergeCell ref="B3791:C3791"/>
    <mergeCell ref="D3791:E3791"/>
    <mergeCell ref="A3786:B3786"/>
    <mergeCell ref="C3786:D3786"/>
    <mergeCell ref="A3787:B3787"/>
    <mergeCell ref="C3787:D3787"/>
    <mergeCell ref="B3788:C3788"/>
    <mergeCell ref="D3788:E3788"/>
    <mergeCell ref="A3783:B3783"/>
    <mergeCell ref="C3783:D3783"/>
    <mergeCell ref="A3784:B3784"/>
    <mergeCell ref="C3784:D3784"/>
    <mergeCell ref="B3785:C3785"/>
    <mergeCell ref="D3785:E3785"/>
    <mergeCell ref="A3798:B3798"/>
    <mergeCell ref="C3798:D3798"/>
    <mergeCell ref="A3799:B3799"/>
    <mergeCell ref="C3799:D3799"/>
    <mergeCell ref="A3800:B3800"/>
    <mergeCell ref="C3800:D3800"/>
    <mergeCell ref="A3795:B3795"/>
    <mergeCell ref="C3795:D3795"/>
    <mergeCell ref="A3796:B3796"/>
    <mergeCell ref="C3796:D3796"/>
    <mergeCell ref="B3797:C3797"/>
    <mergeCell ref="D3797:E3797"/>
    <mergeCell ref="A3792:B3792"/>
    <mergeCell ref="C3792:D3792"/>
    <mergeCell ref="A3793:B3793"/>
    <mergeCell ref="C3793:D3793"/>
    <mergeCell ref="A3794:B3794"/>
    <mergeCell ref="C3794:D3794"/>
    <mergeCell ref="B3807:C3807"/>
    <mergeCell ref="D3807:E3807"/>
    <mergeCell ref="A3808:B3808"/>
    <mergeCell ref="C3808:D3808"/>
    <mergeCell ref="A3809:B3809"/>
    <mergeCell ref="C3809:D3809"/>
    <mergeCell ref="A3804:B3804"/>
    <mergeCell ref="C3804:D3804"/>
    <mergeCell ref="A3805:B3805"/>
    <mergeCell ref="C3805:D3805"/>
    <mergeCell ref="A3806:B3806"/>
    <mergeCell ref="C3806:D3806"/>
    <mergeCell ref="A3801:B3801"/>
    <mergeCell ref="C3801:D3801"/>
    <mergeCell ref="A3802:B3802"/>
    <mergeCell ref="C3802:D3802"/>
    <mergeCell ref="B3803:C3803"/>
    <mergeCell ref="D3803:E3803"/>
    <mergeCell ref="A3816:B3816"/>
    <mergeCell ref="C3816:D3816"/>
    <mergeCell ref="A3817:B3817"/>
    <mergeCell ref="C3817:D3817"/>
    <mergeCell ref="A3818:B3818"/>
    <mergeCell ref="C3818:D3818"/>
    <mergeCell ref="A3813:B3813"/>
    <mergeCell ref="C3813:D3813"/>
    <mergeCell ref="A3814:B3814"/>
    <mergeCell ref="C3814:D3814"/>
    <mergeCell ref="A3815:B3815"/>
    <mergeCell ref="C3815:D3815"/>
    <mergeCell ref="A3810:B3810"/>
    <mergeCell ref="C3810:D3810"/>
    <mergeCell ref="B3811:C3811"/>
    <mergeCell ref="D3811:E3811"/>
    <mergeCell ref="A3812:B3812"/>
    <mergeCell ref="C3812:D3812"/>
    <mergeCell ref="A3825:B3825"/>
    <mergeCell ref="C3825:D3825"/>
    <mergeCell ref="B3826:C3826"/>
    <mergeCell ref="D3826:E3826"/>
    <mergeCell ref="A3827:B3827"/>
    <mergeCell ref="C3827:D3827"/>
    <mergeCell ref="B3822:C3822"/>
    <mergeCell ref="D3822:E3822"/>
    <mergeCell ref="A3823:B3823"/>
    <mergeCell ref="C3823:D3823"/>
    <mergeCell ref="A3824:B3824"/>
    <mergeCell ref="C3824:D3824"/>
    <mergeCell ref="B3819:C3819"/>
    <mergeCell ref="D3819:E3819"/>
    <mergeCell ref="A3820:B3820"/>
    <mergeCell ref="C3820:D3820"/>
    <mergeCell ref="A3821:B3821"/>
    <mergeCell ref="C3821:D3821"/>
    <mergeCell ref="A3834:B3834"/>
    <mergeCell ref="C3834:D3834"/>
    <mergeCell ref="A3835:B3835"/>
    <mergeCell ref="C3835:D3835"/>
    <mergeCell ref="A3836:B3836"/>
    <mergeCell ref="C3836:D3836"/>
    <mergeCell ref="A3831:B3831"/>
    <mergeCell ref="C3831:D3831"/>
    <mergeCell ref="A3832:B3832"/>
    <mergeCell ref="C3832:D3832"/>
    <mergeCell ref="B3833:C3833"/>
    <mergeCell ref="D3833:E3833"/>
    <mergeCell ref="A3828:B3828"/>
    <mergeCell ref="C3828:D3828"/>
    <mergeCell ref="A3829:B3829"/>
    <mergeCell ref="C3829:D3829"/>
    <mergeCell ref="A3830:B3830"/>
    <mergeCell ref="C3830:D3830"/>
    <mergeCell ref="A3844:B3844"/>
    <mergeCell ref="C3844:D3844"/>
    <mergeCell ref="A3845:B3845"/>
    <mergeCell ref="C3845:D3845"/>
    <mergeCell ref="B3846:C3846"/>
    <mergeCell ref="D3846:E3846"/>
    <mergeCell ref="B3840:C3840"/>
    <mergeCell ref="D3840:E3840"/>
    <mergeCell ref="C3841:D3841"/>
    <mergeCell ref="A3842:B3842"/>
    <mergeCell ref="C3842:D3842"/>
    <mergeCell ref="A3843:B3843"/>
    <mergeCell ref="C3843:D3843"/>
    <mergeCell ref="A3837:B3837"/>
    <mergeCell ref="C3837:D3837"/>
    <mergeCell ref="A3838:B3838"/>
    <mergeCell ref="C3838:D3838"/>
    <mergeCell ref="A3839:B3839"/>
    <mergeCell ref="C3839:D3839"/>
    <mergeCell ref="A3853:B3853"/>
    <mergeCell ref="C3853:D3853"/>
    <mergeCell ref="B3854:C3854"/>
    <mergeCell ref="D3854:E3854"/>
    <mergeCell ref="A3855:B3855"/>
    <mergeCell ref="C3855:D3855"/>
    <mergeCell ref="A3850:B3850"/>
    <mergeCell ref="C3850:D3850"/>
    <mergeCell ref="B3851:C3851"/>
    <mergeCell ref="D3851:E3851"/>
    <mergeCell ref="A3852:B3852"/>
    <mergeCell ref="C3852:D3852"/>
    <mergeCell ref="A3847:B3847"/>
    <mergeCell ref="C3847:D3847"/>
    <mergeCell ref="A3848:B3848"/>
    <mergeCell ref="C3848:D3848"/>
    <mergeCell ref="A3849:B3849"/>
    <mergeCell ref="C3849:D3849"/>
    <mergeCell ref="A3862:B3862"/>
    <mergeCell ref="C3862:D3862"/>
    <mergeCell ref="A3863:B3863"/>
    <mergeCell ref="C3863:D3863"/>
    <mergeCell ref="A3864:B3864"/>
    <mergeCell ref="C3864:D3864"/>
    <mergeCell ref="A3859:B3859"/>
    <mergeCell ref="C3859:D3859"/>
    <mergeCell ref="B3860:C3860"/>
    <mergeCell ref="D3860:E3860"/>
    <mergeCell ref="A3861:B3861"/>
    <mergeCell ref="C3861:D3861"/>
    <mergeCell ref="A3856:B3856"/>
    <mergeCell ref="C3856:D3856"/>
    <mergeCell ref="B3857:C3857"/>
    <mergeCell ref="D3857:E3857"/>
    <mergeCell ref="A3858:B3858"/>
    <mergeCell ref="C3858:D3858"/>
    <mergeCell ref="A3871:B3871"/>
    <mergeCell ref="C3871:D3871"/>
    <mergeCell ref="B3872:C3872"/>
    <mergeCell ref="D3872:E3872"/>
    <mergeCell ref="A3873:B3873"/>
    <mergeCell ref="C3873:D3873"/>
    <mergeCell ref="A3868:B3868"/>
    <mergeCell ref="C3868:D3868"/>
    <mergeCell ref="A3869:B3869"/>
    <mergeCell ref="C3869:D3869"/>
    <mergeCell ref="A3870:B3870"/>
    <mergeCell ref="C3870:D3870"/>
    <mergeCell ref="A3865:B3865"/>
    <mergeCell ref="C3865:D3865"/>
    <mergeCell ref="B3866:C3866"/>
    <mergeCell ref="D3866:E3866"/>
    <mergeCell ref="A3867:B3867"/>
    <mergeCell ref="C3867:D3867"/>
    <mergeCell ref="A3880:B3880"/>
    <mergeCell ref="C3880:D3880"/>
    <mergeCell ref="A3881:B3881"/>
    <mergeCell ref="C3881:D3881"/>
    <mergeCell ref="A3882:B3882"/>
    <mergeCell ref="C3882:D3882"/>
    <mergeCell ref="A3877:B3877"/>
    <mergeCell ref="C3877:D3877"/>
    <mergeCell ref="B3878:C3878"/>
    <mergeCell ref="D3878:E3878"/>
    <mergeCell ref="A3879:B3879"/>
    <mergeCell ref="C3879:D3879"/>
    <mergeCell ref="A3874:B3874"/>
    <mergeCell ref="C3874:D3874"/>
    <mergeCell ref="A3875:B3875"/>
    <mergeCell ref="C3875:D3875"/>
    <mergeCell ref="A3876:B3876"/>
    <mergeCell ref="C3876:D3876"/>
    <mergeCell ref="A3889:B3889"/>
    <mergeCell ref="C3889:D3889"/>
    <mergeCell ref="B3890:C3890"/>
    <mergeCell ref="D3890:E3890"/>
    <mergeCell ref="A3891:B3891"/>
    <mergeCell ref="C3891:D3891"/>
    <mergeCell ref="A3886:B3886"/>
    <mergeCell ref="C3886:D3886"/>
    <mergeCell ref="A3887:B3887"/>
    <mergeCell ref="C3887:D3887"/>
    <mergeCell ref="A3888:B3888"/>
    <mergeCell ref="C3888:D3888"/>
    <mergeCell ref="A3883:B3883"/>
    <mergeCell ref="C3883:D3883"/>
    <mergeCell ref="B3884:C3884"/>
    <mergeCell ref="D3884:E3884"/>
    <mergeCell ref="A3885:B3885"/>
    <mergeCell ref="C3885:D3885"/>
    <mergeCell ref="A3898:B3898"/>
    <mergeCell ref="C3898:D3898"/>
    <mergeCell ref="A3899:B3899"/>
    <mergeCell ref="C3899:D3899"/>
    <mergeCell ref="A3900:B3900"/>
    <mergeCell ref="C3900:D3900"/>
    <mergeCell ref="A3895:B3895"/>
    <mergeCell ref="C3895:D3895"/>
    <mergeCell ref="B3896:C3896"/>
    <mergeCell ref="D3896:E3896"/>
    <mergeCell ref="A3897:B3897"/>
    <mergeCell ref="C3897:D3897"/>
    <mergeCell ref="A3892:B3892"/>
    <mergeCell ref="C3892:D3892"/>
    <mergeCell ref="A3893:B3893"/>
    <mergeCell ref="C3893:D3893"/>
    <mergeCell ref="A3894:B3894"/>
    <mergeCell ref="C3894:D3894"/>
    <mergeCell ref="A3907:B3907"/>
    <mergeCell ref="C3907:D3907"/>
    <mergeCell ref="B3908:C3908"/>
    <mergeCell ref="D3908:E3908"/>
    <mergeCell ref="A3909:B3909"/>
    <mergeCell ref="C3909:D3909"/>
    <mergeCell ref="A3904:B3904"/>
    <mergeCell ref="C3904:D3904"/>
    <mergeCell ref="A3905:B3905"/>
    <mergeCell ref="C3905:D3905"/>
    <mergeCell ref="A3906:B3906"/>
    <mergeCell ref="C3906:D3906"/>
    <mergeCell ref="A3901:B3901"/>
    <mergeCell ref="C3901:D3901"/>
    <mergeCell ref="B3902:C3902"/>
    <mergeCell ref="D3902:E3902"/>
    <mergeCell ref="A3903:B3903"/>
    <mergeCell ref="C3903:D3903"/>
    <mergeCell ref="A3916:B3916"/>
    <mergeCell ref="C3916:D3916"/>
    <mergeCell ref="A3917:B3917"/>
    <mergeCell ref="C3917:D3917"/>
    <mergeCell ref="A3918:B3918"/>
    <mergeCell ref="C3918:D3918"/>
    <mergeCell ref="A3913:B3913"/>
    <mergeCell ref="C3913:D3913"/>
    <mergeCell ref="B3914:C3914"/>
    <mergeCell ref="D3914:E3914"/>
    <mergeCell ref="A3915:B3915"/>
    <mergeCell ref="C3915:D3915"/>
    <mergeCell ref="A3910:B3910"/>
    <mergeCell ref="C3910:D3910"/>
    <mergeCell ref="A3911:B3911"/>
    <mergeCell ref="C3911:D3911"/>
    <mergeCell ref="A3912:B3912"/>
    <mergeCell ref="C3912:D3912"/>
    <mergeCell ref="A3925:B3925"/>
    <mergeCell ref="C3925:D3925"/>
    <mergeCell ref="B3926:C3926"/>
    <mergeCell ref="D3926:E3926"/>
    <mergeCell ref="A3927:B3927"/>
    <mergeCell ref="C3927:D3927"/>
    <mergeCell ref="A3922:B3922"/>
    <mergeCell ref="C3922:D3922"/>
    <mergeCell ref="A3923:B3923"/>
    <mergeCell ref="C3923:D3923"/>
    <mergeCell ref="A3924:B3924"/>
    <mergeCell ref="C3924:D3924"/>
    <mergeCell ref="A3919:B3919"/>
    <mergeCell ref="C3919:D3919"/>
    <mergeCell ref="B3920:C3920"/>
    <mergeCell ref="D3920:E3920"/>
    <mergeCell ref="A3921:B3921"/>
    <mergeCell ref="C3921:D3921"/>
    <mergeCell ref="A3934:B3934"/>
    <mergeCell ref="C3934:D3934"/>
    <mergeCell ref="A3935:B3935"/>
    <mergeCell ref="C3935:D3935"/>
    <mergeCell ref="A3936:B3936"/>
    <mergeCell ref="C3936:D3936"/>
    <mergeCell ref="A3931:B3931"/>
    <mergeCell ref="C3931:D3931"/>
    <mergeCell ref="B3932:C3932"/>
    <mergeCell ref="D3932:E3932"/>
    <mergeCell ref="A3933:B3933"/>
    <mergeCell ref="C3933:D3933"/>
    <mergeCell ref="A3928:B3928"/>
    <mergeCell ref="C3928:D3928"/>
    <mergeCell ref="A3929:B3929"/>
    <mergeCell ref="C3929:D3929"/>
    <mergeCell ref="A3930:B3930"/>
    <mergeCell ref="C3930:D3930"/>
    <mergeCell ref="A3943:B3943"/>
    <mergeCell ref="C3943:D3943"/>
    <mergeCell ref="B3944:C3944"/>
    <mergeCell ref="D3944:E3944"/>
    <mergeCell ref="A3945:B3945"/>
    <mergeCell ref="C3945:D3945"/>
    <mergeCell ref="A3940:B3940"/>
    <mergeCell ref="C3940:D3940"/>
    <mergeCell ref="A3941:B3941"/>
    <mergeCell ref="C3941:D3941"/>
    <mergeCell ref="A3942:B3942"/>
    <mergeCell ref="C3942:D3942"/>
    <mergeCell ref="A3937:B3937"/>
    <mergeCell ref="C3937:D3937"/>
    <mergeCell ref="A3938:B3938"/>
    <mergeCell ref="C3938:D3938"/>
    <mergeCell ref="A3939:B3939"/>
    <mergeCell ref="C3939:D3939"/>
    <mergeCell ref="A3952:B3952"/>
    <mergeCell ref="C3952:D3952"/>
    <mergeCell ref="A3953:B3953"/>
    <mergeCell ref="C3953:D3953"/>
    <mergeCell ref="A3954:B3954"/>
    <mergeCell ref="C3954:D3954"/>
    <mergeCell ref="A3949:B3949"/>
    <mergeCell ref="C3949:D3949"/>
    <mergeCell ref="A3950:B3950"/>
    <mergeCell ref="C3950:D3950"/>
    <mergeCell ref="A3951:B3951"/>
    <mergeCell ref="C3951:D3951"/>
    <mergeCell ref="A3946:B3946"/>
    <mergeCell ref="C3946:D3946"/>
    <mergeCell ref="A3947:B3947"/>
    <mergeCell ref="C3947:D3947"/>
    <mergeCell ref="A3948:B3948"/>
    <mergeCell ref="C3948:D3948"/>
    <mergeCell ref="A3961:B3961"/>
    <mergeCell ref="C3961:D3961"/>
    <mergeCell ref="A3962:B3962"/>
    <mergeCell ref="C3962:D3962"/>
    <mergeCell ref="A3963:B3963"/>
    <mergeCell ref="C3963:D3963"/>
    <mergeCell ref="A3958:B3958"/>
    <mergeCell ref="C3958:D3958"/>
    <mergeCell ref="A3959:B3959"/>
    <mergeCell ref="C3959:D3959"/>
    <mergeCell ref="A3960:B3960"/>
    <mergeCell ref="C3960:D3960"/>
    <mergeCell ref="A3955:B3955"/>
    <mergeCell ref="C3955:D3955"/>
    <mergeCell ref="B3956:C3956"/>
    <mergeCell ref="D3956:E3956"/>
    <mergeCell ref="A3957:B3957"/>
    <mergeCell ref="C3957:D3957"/>
    <mergeCell ref="A3970:B3970"/>
    <mergeCell ref="C3970:D3970"/>
    <mergeCell ref="A3971:B3971"/>
    <mergeCell ref="C3971:D3971"/>
    <mergeCell ref="A3972:B3972"/>
    <mergeCell ref="C3972:D3972"/>
    <mergeCell ref="A3967:B3967"/>
    <mergeCell ref="C3967:D3967"/>
    <mergeCell ref="B3968:C3968"/>
    <mergeCell ref="D3968:E3968"/>
    <mergeCell ref="A3969:B3969"/>
    <mergeCell ref="C3969:D3969"/>
    <mergeCell ref="A3964:B3964"/>
    <mergeCell ref="C3964:D3964"/>
    <mergeCell ref="A3965:B3965"/>
    <mergeCell ref="C3965:D3965"/>
    <mergeCell ref="A3966:B3966"/>
    <mergeCell ref="C3966:D3966"/>
    <mergeCell ref="A3979:B3979"/>
    <mergeCell ref="C3979:D3979"/>
    <mergeCell ref="A3980:B3980"/>
    <mergeCell ref="C3980:D3980"/>
    <mergeCell ref="A3981:B3981"/>
    <mergeCell ref="C3981:D3981"/>
    <mergeCell ref="A3976:B3976"/>
    <mergeCell ref="C3976:D3976"/>
    <mergeCell ref="A3977:B3977"/>
    <mergeCell ref="C3977:D3977"/>
    <mergeCell ref="B3978:C3978"/>
    <mergeCell ref="D3978:E3978"/>
    <mergeCell ref="A3973:B3973"/>
    <mergeCell ref="C3973:D3973"/>
    <mergeCell ref="B3974:C3974"/>
    <mergeCell ref="D3974:E3974"/>
    <mergeCell ref="A3975:B3975"/>
    <mergeCell ref="C3975:D3975"/>
    <mergeCell ref="A3988:B3988"/>
    <mergeCell ref="C3988:D3988"/>
    <mergeCell ref="A3989:B3989"/>
    <mergeCell ref="C3989:D3989"/>
    <mergeCell ref="B3990:C3990"/>
    <mergeCell ref="D3990:E3990"/>
    <mergeCell ref="A3985:B3985"/>
    <mergeCell ref="C3985:D3985"/>
    <mergeCell ref="B3986:C3986"/>
    <mergeCell ref="D3986:E3986"/>
    <mergeCell ref="A3987:B3987"/>
    <mergeCell ref="C3987:D3987"/>
    <mergeCell ref="B3982:C3982"/>
    <mergeCell ref="D3982:E3982"/>
    <mergeCell ref="A3983:B3983"/>
    <mergeCell ref="C3983:D3983"/>
    <mergeCell ref="A3984:B3984"/>
    <mergeCell ref="C3984:D3984"/>
    <mergeCell ref="A3997:B3997"/>
    <mergeCell ref="C3997:D3997"/>
    <mergeCell ref="B3998:C3998"/>
    <mergeCell ref="D3998:E3998"/>
    <mergeCell ref="A3999:B3999"/>
    <mergeCell ref="C3999:D3999"/>
    <mergeCell ref="B3994:C3994"/>
    <mergeCell ref="D3994:E3994"/>
    <mergeCell ref="A3995:B3995"/>
    <mergeCell ref="C3995:D3995"/>
    <mergeCell ref="A3996:B3996"/>
    <mergeCell ref="C3996:D3996"/>
    <mergeCell ref="A3991:B3991"/>
    <mergeCell ref="C3991:D3991"/>
    <mergeCell ref="A3992:B3992"/>
    <mergeCell ref="C3992:D3992"/>
    <mergeCell ref="A3993:B3993"/>
    <mergeCell ref="C3993:D3993"/>
    <mergeCell ref="B4006:C4006"/>
    <mergeCell ref="D4006:E4006"/>
    <mergeCell ref="A4007:B4007"/>
    <mergeCell ref="C4007:D4007"/>
    <mergeCell ref="A4008:B4008"/>
    <mergeCell ref="C4008:D4008"/>
    <mergeCell ref="A4003:B4003"/>
    <mergeCell ref="C4003:D4003"/>
    <mergeCell ref="A4004:B4004"/>
    <mergeCell ref="C4004:D4004"/>
    <mergeCell ref="A4005:B4005"/>
    <mergeCell ref="C4005:D4005"/>
    <mergeCell ref="A4000:B4000"/>
    <mergeCell ref="C4000:D4000"/>
    <mergeCell ref="A4001:B4001"/>
    <mergeCell ref="C4001:D4001"/>
    <mergeCell ref="B4002:C4002"/>
    <mergeCell ref="D4002:E4002"/>
    <mergeCell ref="A4015:B4015"/>
    <mergeCell ref="C4015:D4015"/>
    <mergeCell ref="A4016:B4016"/>
    <mergeCell ref="C4016:D4016"/>
    <mergeCell ref="A4017:B4017"/>
    <mergeCell ref="C4017:D4017"/>
    <mergeCell ref="A4012:B4012"/>
    <mergeCell ref="C4012:D4012"/>
    <mergeCell ref="A4013:B4013"/>
    <mergeCell ref="C4013:D4013"/>
    <mergeCell ref="B4014:C4014"/>
    <mergeCell ref="D4014:E4014"/>
    <mergeCell ref="A4009:B4009"/>
    <mergeCell ref="C4009:D4009"/>
    <mergeCell ref="B4010:C4010"/>
    <mergeCell ref="D4010:E4010"/>
    <mergeCell ref="A4011:B4011"/>
    <mergeCell ref="C4011:D4011"/>
    <mergeCell ref="A4024:B4024"/>
    <mergeCell ref="C4024:D4024"/>
    <mergeCell ref="A4025:B4025"/>
    <mergeCell ref="C4025:D4025"/>
    <mergeCell ref="A4026:B4026"/>
    <mergeCell ref="C4026:D4026"/>
    <mergeCell ref="A4021:B4021"/>
    <mergeCell ref="C4021:D4021"/>
    <mergeCell ref="A4022:B4022"/>
    <mergeCell ref="C4022:D4022"/>
    <mergeCell ref="B4023:C4023"/>
    <mergeCell ref="D4023:E4023"/>
    <mergeCell ref="A4018:B4018"/>
    <mergeCell ref="C4018:D4018"/>
    <mergeCell ref="A4019:B4019"/>
    <mergeCell ref="C4019:D4019"/>
    <mergeCell ref="A4020:B4020"/>
    <mergeCell ref="C4020:D4020"/>
    <mergeCell ref="A4036:B4036"/>
    <mergeCell ref="C4036:D4036"/>
    <mergeCell ref="A4037:B4037"/>
    <mergeCell ref="C4037:D4037"/>
    <mergeCell ref="B4033:C4033"/>
    <mergeCell ref="D4033:E4033"/>
    <mergeCell ref="A4034:B4034"/>
    <mergeCell ref="C4034:D4034"/>
    <mergeCell ref="A4035:B4035"/>
    <mergeCell ref="C4035:D4035"/>
    <mergeCell ref="A4030:B4030"/>
    <mergeCell ref="C4030:D4030"/>
    <mergeCell ref="A4031:B4031"/>
    <mergeCell ref="C4031:D4031"/>
    <mergeCell ref="A4032:B4032"/>
    <mergeCell ref="C4032:D4032"/>
    <mergeCell ref="A4027:B4027"/>
    <mergeCell ref="C4027:D4027"/>
    <mergeCell ref="B4028:C4028"/>
    <mergeCell ref="D4028:E4028"/>
    <mergeCell ref="A4029:B4029"/>
    <mergeCell ref="C4029:D4029"/>
  </mergeCells>
  <phoneticPr fontId="3" type="noConversion"/>
  <printOptions horizontalCentered="1"/>
  <pageMargins left="0.78740157480314965" right="0.78740157480314965" top="0.98425196850393704" bottom="0.78740157480314965" header="0.6692913385826772" footer="0.59055118110236227"/>
  <pageSetup paperSize="9" fitToHeight="0" orientation="landscape" r:id="rId1"/>
  <headerFooter alignWithMargins="0">
    <oddHeader>&amp;L&amp;8 2018년도 건설공사 설계지침&amp;C&amp;"견고딕,보통"&amp;16일  위  대  가  표</oddHeader>
    <oddFooter>&amp;R&amp;10송파구청</oddFooter>
  </headerFooter>
  <rowBreaks count="42" manualBreakCount="42">
    <brk id="27" max="14" man="1"/>
    <brk id="132" max="14" man="1"/>
    <brk id="159" max="14" man="1"/>
    <brk id="186" max="14" man="1"/>
    <brk id="213" max="14" man="1"/>
    <brk id="240" max="14" man="1"/>
    <brk id="319" max="14" man="1"/>
    <brk id="346" max="14" man="1"/>
    <brk id="373" max="14" man="1"/>
    <brk id="427" max="14" man="1"/>
    <brk id="481" max="14" man="1"/>
    <brk id="532" max="14" man="1"/>
    <brk id="623" max="14" man="1"/>
    <brk id="662" max="14" man="1"/>
    <brk id="755" max="14" man="1"/>
    <brk id="866" max="14" man="1"/>
    <brk id="947" max="14" man="1"/>
    <brk id="1055" max="14" man="1"/>
    <brk id="1137" max="14" man="1"/>
    <brk id="1247" max="14" man="1"/>
    <brk id="1346" max="14" man="1"/>
    <brk id="1400" max="14" man="1"/>
    <brk id="1508" max="14" man="1"/>
    <brk id="1616" max="14" man="1"/>
    <brk id="1697" max="14" man="1"/>
    <brk id="1805" max="14" man="1"/>
    <brk id="1886" max="14" man="1"/>
    <brk id="2129" max="14" man="1"/>
    <brk id="2210" max="14" man="1"/>
    <brk id="2318" max="14" man="1"/>
    <brk id="2426" max="14" man="1"/>
    <brk id="2566" max="14" man="1"/>
    <brk id="2647" max="14" man="1"/>
    <brk id="2755" max="14" man="1"/>
    <brk id="2836" max="14" man="1"/>
    <brk id="2944" max="14" man="1"/>
    <brk id="3026" max="14" man="1"/>
    <brk id="3107" max="14" man="1"/>
    <brk id="3177" max="14" man="1"/>
    <brk id="3258" max="14" man="1"/>
    <brk id="3359" max="14" man="1"/>
    <brk id="4009" max="1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H897"/>
  <sheetViews>
    <sheetView view="pageBreakPreview" zoomScaleNormal="100" zoomScaleSheetLayoutView="100" workbookViewId="0">
      <pane ySplit="3" topLeftCell="A88" activePane="bottomLeft" state="frozen"/>
      <selection activeCell="AV23" sqref="AV23"/>
      <selection pane="bottomLeft" activeCell="AO105" sqref="AO105:AY105"/>
    </sheetView>
  </sheetViews>
  <sheetFormatPr defaultColWidth="8.88671875" defaultRowHeight="13.5"/>
  <cols>
    <col min="1" max="72" width="0.88671875" style="658" customWidth="1"/>
    <col min="73" max="73" width="1.33203125" style="658" customWidth="1"/>
    <col min="74" max="84" width="0.88671875" style="658" customWidth="1"/>
    <col min="85" max="85" width="8.44140625" style="658" customWidth="1"/>
    <col min="86" max="16384" width="8.88671875" style="658"/>
  </cols>
  <sheetData>
    <row r="1" spans="1:85" ht="28.35" customHeight="1">
      <c r="A1" s="1426" t="s">
        <v>1303</v>
      </c>
      <c r="B1" s="1426"/>
      <c r="C1" s="1426"/>
      <c r="D1" s="1426"/>
      <c r="E1" s="1426"/>
      <c r="F1" s="1426"/>
      <c r="G1" s="1426"/>
      <c r="H1" s="1426"/>
      <c r="I1" s="1426"/>
      <c r="J1" s="1426"/>
      <c r="K1" s="1426"/>
      <c r="L1" s="1426"/>
      <c r="M1" s="1426"/>
      <c r="N1" s="1426"/>
      <c r="O1" s="1426"/>
      <c r="P1" s="1426"/>
      <c r="Q1" s="1426"/>
      <c r="R1" s="1426"/>
      <c r="S1" s="1426"/>
      <c r="T1" s="1426"/>
      <c r="U1" s="1426"/>
      <c r="V1" s="1426"/>
      <c r="W1" s="1426"/>
      <c r="X1" s="1426"/>
      <c r="Y1" s="1426"/>
      <c r="Z1" s="1426"/>
      <c r="AA1" s="1426"/>
      <c r="AB1" s="1426"/>
      <c r="AC1" s="1426"/>
      <c r="AD1" s="1426"/>
      <c r="AE1" s="1426"/>
      <c r="AF1" s="1426"/>
      <c r="AG1" s="1426"/>
      <c r="AH1" s="1426"/>
      <c r="AI1" s="1426"/>
      <c r="AJ1" s="1426"/>
      <c r="AK1" s="1426"/>
      <c r="AL1" s="1426"/>
      <c r="AM1" s="1426"/>
      <c r="AN1" s="1426"/>
      <c r="AO1" s="1426"/>
      <c r="AP1" s="1426"/>
      <c r="AQ1" s="1426"/>
      <c r="AR1" s="1426"/>
      <c r="AS1" s="1426"/>
      <c r="AT1" s="1426"/>
      <c r="AU1" s="1426"/>
      <c r="AV1" s="1426"/>
      <c r="AW1" s="1426"/>
      <c r="AX1" s="1426"/>
      <c r="AY1" s="1426"/>
      <c r="AZ1" s="1426"/>
      <c r="BA1" s="1426"/>
      <c r="BB1" s="1426"/>
      <c r="BC1" s="1426"/>
      <c r="BD1" s="1426"/>
      <c r="BE1" s="1426"/>
      <c r="BF1" s="1426"/>
      <c r="BG1" s="1426"/>
      <c r="BH1" s="1426"/>
      <c r="BI1" s="1426"/>
      <c r="BJ1" s="1426"/>
      <c r="BK1" s="1426"/>
      <c r="BL1" s="1426"/>
      <c r="BM1" s="1426"/>
      <c r="BN1" s="1426"/>
      <c r="BO1" s="1426"/>
      <c r="BP1" s="1426"/>
      <c r="BQ1" s="1426"/>
      <c r="BR1" s="1426"/>
      <c r="BS1" s="1426"/>
      <c r="BT1" s="1426"/>
      <c r="BU1" s="1426"/>
      <c r="BV1" s="1426"/>
      <c r="BW1" s="1426"/>
      <c r="BX1" s="1426"/>
      <c r="BY1" s="1426"/>
      <c r="BZ1" s="1426"/>
      <c r="CA1" s="1426"/>
      <c r="CB1" s="1426"/>
      <c r="CC1" s="1426"/>
      <c r="CD1" s="1426"/>
      <c r="CE1" s="1426"/>
      <c r="CF1" s="1426"/>
      <c r="CG1" s="657"/>
    </row>
    <row r="2" spans="1:85" ht="9.9499999999999993" customHeight="1"/>
    <row r="3" spans="1:85" s="660" customFormat="1" ht="29.1" customHeight="1">
      <c r="A3" s="1427" t="s">
        <v>1304</v>
      </c>
      <c r="B3" s="1427"/>
      <c r="C3" s="1427"/>
      <c r="D3" s="1427"/>
      <c r="E3" s="1427"/>
      <c r="F3" s="1427" t="s">
        <v>1305</v>
      </c>
      <c r="G3" s="1427"/>
      <c r="H3" s="1427"/>
      <c r="I3" s="1427"/>
      <c r="J3" s="1427"/>
      <c r="K3" s="1427"/>
      <c r="L3" s="1427"/>
      <c r="M3" s="1427"/>
      <c r="N3" s="1427"/>
      <c r="O3" s="1427"/>
      <c r="P3" s="1427"/>
      <c r="Q3" s="1427"/>
      <c r="R3" s="1427"/>
      <c r="S3" s="1427"/>
      <c r="T3" s="1427"/>
      <c r="U3" s="1427"/>
      <c r="V3" s="1427"/>
      <c r="W3" s="1427"/>
      <c r="X3" s="1427"/>
      <c r="Y3" s="1427"/>
      <c r="Z3" s="1427"/>
      <c r="AA3" s="1427"/>
      <c r="AB3" s="1427" t="s">
        <v>212</v>
      </c>
      <c r="AC3" s="1427"/>
      <c r="AD3" s="1427"/>
      <c r="AE3" s="1427"/>
      <c r="AF3" s="1427"/>
      <c r="AG3" s="1427"/>
      <c r="AH3" s="1427"/>
      <c r="AI3" s="1427"/>
      <c r="AJ3" s="1427"/>
      <c r="AK3" s="1427"/>
      <c r="AL3" s="1427"/>
      <c r="AM3" s="1427"/>
      <c r="AN3" s="1427"/>
      <c r="AO3" s="1428" t="s">
        <v>429</v>
      </c>
      <c r="AP3" s="1428"/>
      <c r="AQ3" s="1428"/>
      <c r="AR3" s="1428"/>
      <c r="AS3" s="1428"/>
      <c r="AT3" s="1428"/>
      <c r="AU3" s="1428"/>
      <c r="AV3" s="1428"/>
      <c r="AW3" s="1428"/>
      <c r="AX3" s="1428"/>
      <c r="AY3" s="1428"/>
      <c r="AZ3" s="1428" t="s">
        <v>430</v>
      </c>
      <c r="BA3" s="1428"/>
      <c r="BB3" s="1428"/>
      <c r="BC3" s="1428"/>
      <c r="BD3" s="1428"/>
      <c r="BE3" s="1428"/>
      <c r="BF3" s="1428"/>
      <c r="BG3" s="1428"/>
      <c r="BH3" s="1428"/>
      <c r="BI3" s="1428"/>
      <c r="BJ3" s="1428"/>
      <c r="BK3" s="1428" t="s">
        <v>423</v>
      </c>
      <c r="BL3" s="1428"/>
      <c r="BM3" s="1428"/>
      <c r="BN3" s="1428"/>
      <c r="BO3" s="1428"/>
      <c r="BP3" s="1428"/>
      <c r="BQ3" s="1428"/>
      <c r="BR3" s="1428"/>
      <c r="BS3" s="1428"/>
      <c r="BT3" s="1428"/>
      <c r="BU3" s="1428"/>
      <c r="BV3" s="1428" t="s">
        <v>419</v>
      </c>
      <c r="BW3" s="1428"/>
      <c r="BX3" s="1428"/>
      <c r="BY3" s="1428"/>
      <c r="BZ3" s="1428"/>
      <c r="CA3" s="1428"/>
      <c r="CB3" s="1428"/>
      <c r="CC3" s="1428"/>
      <c r="CD3" s="1428"/>
      <c r="CE3" s="1428"/>
      <c r="CF3" s="1428"/>
      <c r="CG3" s="659"/>
    </row>
    <row r="4" spans="1:85" s="660" customFormat="1" ht="29.1" customHeight="1">
      <c r="A4" s="1414">
        <f>ROW()-3</f>
        <v>1</v>
      </c>
      <c r="B4" s="1414"/>
      <c r="C4" s="1414"/>
      <c r="D4" s="1414"/>
      <c r="E4" s="1414"/>
      <c r="F4" s="1424" t="e">
        <f>#REF!</f>
        <v>#REF!</v>
      </c>
      <c r="G4" s="1424"/>
      <c r="H4" s="1424"/>
      <c r="I4" s="1424"/>
      <c r="J4" s="1424"/>
      <c r="K4" s="1424"/>
      <c r="L4" s="1424"/>
      <c r="M4" s="1424"/>
      <c r="N4" s="1424"/>
      <c r="O4" s="1424"/>
      <c r="P4" s="1424"/>
      <c r="Q4" s="1424"/>
      <c r="R4" s="1424"/>
      <c r="S4" s="1424"/>
      <c r="T4" s="1424"/>
      <c r="U4" s="1424"/>
      <c r="V4" s="1424"/>
      <c r="W4" s="1424"/>
      <c r="X4" s="1424"/>
      <c r="Y4" s="1424"/>
      <c r="Z4" s="1424"/>
      <c r="AA4" s="1424"/>
      <c r="AB4" s="1424" t="e">
        <f>#REF!</f>
        <v>#REF!</v>
      </c>
      <c r="AC4" s="1424"/>
      <c r="AD4" s="1424"/>
      <c r="AE4" s="1424"/>
      <c r="AF4" s="1424"/>
      <c r="AG4" s="1424"/>
      <c r="AH4" s="1424"/>
      <c r="AI4" s="1424"/>
      <c r="AJ4" s="1424"/>
      <c r="AK4" s="1424"/>
      <c r="AL4" s="1424"/>
      <c r="AM4" s="1424"/>
      <c r="AN4" s="1424"/>
      <c r="AO4" s="1425" t="e">
        <f>#REF!</f>
        <v>#REF!</v>
      </c>
      <c r="AP4" s="1425"/>
      <c r="AQ4" s="1425"/>
      <c r="AR4" s="1425"/>
      <c r="AS4" s="1425"/>
      <c r="AT4" s="1425"/>
      <c r="AU4" s="1425"/>
      <c r="AV4" s="1425"/>
      <c r="AW4" s="1425"/>
      <c r="AX4" s="1425"/>
      <c r="AY4" s="1425"/>
      <c r="AZ4" s="1425" t="e">
        <f>#REF!</f>
        <v>#REF!</v>
      </c>
      <c r="BA4" s="1425"/>
      <c r="BB4" s="1425"/>
      <c r="BC4" s="1425"/>
      <c r="BD4" s="1425"/>
      <c r="BE4" s="1425"/>
      <c r="BF4" s="1425"/>
      <c r="BG4" s="1425"/>
      <c r="BH4" s="1425"/>
      <c r="BI4" s="1425"/>
      <c r="BJ4" s="1425"/>
      <c r="BK4" s="1425" t="e">
        <f>#REF!</f>
        <v>#REF!</v>
      </c>
      <c r="BL4" s="1425"/>
      <c r="BM4" s="1425"/>
      <c r="BN4" s="1425"/>
      <c r="BO4" s="1425"/>
      <c r="BP4" s="1425"/>
      <c r="BQ4" s="1425"/>
      <c r="BR4" s="1425"/>
      <c r="BS4" s="1425"/>
      <c r="BT4" s="1425"/>
      <c r="BU4" s="1425"/>
      <c r="BV4" s="1425" t="e">
        <f t="shared" ref="BV4:BV67" si="0">AO4+AZ4+BK4</f>
        <v>#REF!</v>
      </c>
      <c r="BW4" s="1425"/>
      <c r="BX4" s="1425"/>
      <c r="BY4" s="1425"/>
      <c r="BZ4" s="1425"/>
      <c r="CA4" s="1425"/>
      <c r="CB4" s="1425"/>
      <c r="CC4" s="1425"/>
      <c r="CD4" s="1425"/>
      <c r="CE4" s="1425"/>
      <c r="CF4" s="1425"/>
      <c r="CG4" s="661"/>
    </row>
    <row r="5" spans="1:85" s="660" customFormat="1" ht="29.1" customHeight="1">
      <c r="A5" s="1414">
        <f t="shared" ref="A5:A80" si="1">ROW()-3</f>
        <v>2</v>
      </c>
      <c r="B5" s="1414"/>
      <c r="C5" s="1414"/>
      <c r="D5" s="1414"/>
      <c r="E5" s="1414"/>
      <c r="F5" s="1415" t="e">
        <f>#REF!</f>
        <v>#REF!</v>
      </c>
      <c r="G5" s="1415"/>
      <c r="H5" s="1415"/>
      <c r="I5" s="1415"/>
      <c r="J5" s="1415"/>
      <c r="K5" s="1415"/>
      <c r="L5" s="1415"/>
      <c r="M5" s="1415"/>
      <c r="N5" s="1415"/>
      <c r="O5" s="1415"/>
      <c r="P5" s="1415"/>
      <c r="Q5" s="1415"/>
      <c r="R5" s="1415"/>
      <c r="S5" s="1415"/>
      <c r="T5" s="1415"/>
      <c r="U5" s="1415"/>
      <c r="V5" s="1415"/>
      <c r="W5" s="1415"/>
      <c r="X5" s="1415"/>
      <c r="Y5" s="1415"/>
      <c r="Z5" s="1415"/>
      <c r="AA5" s="1415"/>
      <c r="AB5" s="1415" t="e">
        <f>#REF!</f>
        <v>#REF!</v>
      </c>
      <c r="AC5" s="1415"/>
      <c r="AD5" s="1415"/>
      <c r="AE5" s="1415"/>
      <c r="AF5" s="1415"/>
      <c r="AG5" s="1415"/>
      <c r="AH5" s="1415"/>
      <c r="AI5" s="1415"/>
      <c r="AJ5" s="1415"/>
      <c r="AK5" s="1415"/>
      <c r="AL5" s="1415"/>
      <c r="AM5" s="1415"/>
      <c r="AN5" s="1415"/>
      <c r="AO5" s="1417" t="e">
        <f>#REF!</f>
        <v>#REF!</v>
      </c>
      <c r="AP5" s="1417"/>
      <c r="AQ5" s="1417"/>
      <c r="AR5" s="1417"/>
      <c r="AS5" s="1417"/>
      <c r="AT5" s="1417"/>
      <c r="AU5" s="1417"/>
      <c r="AV5" s="1417"/>
      <c r="AW5" s="1417"/>
      <c r="AX5" s="1417"/>
      <c r="AY5" s="1417"/>
      <c r="AZ5" s="1417" t="e">
        <f>#REF!</f>
        <v>#REF!</v>
      </c>
      <c r="BA5" s="1417"/>
      <c r="BB5" s="1417"/>
      <c r="BC5" s="1417"/>
      <c r="BD5" s="1417"/>
      <c r="BE5" s="1417"/>
      <c r="BF5" s="1417"/>
      <c r="BG5" s="1417"/>
      <c r="BH5" s="1417"/>
      <c r="BI5" s="1417"/>
      <c r="BJ5" s="1417"/>
      <c r="BK5" s="1417" t="e">
        <f>#REF!</f>
        <v>#REF!</v>
      </c>
      <c r="BL5" s="1417"/>
      <c r="BM5" s="1417"/>
      <c r="BN5" s="1417"/>
      <c r="BO5" s="1417"/>
      <c r="BP5" s="1417"/>
      <c r="BQ5" s="1417"/>
      <c r="BR5" s="1417"/>
      <c r="BS5" s="1417"/>
      <c r="BT5" s="1417"/>
      <c r="BU5" s="1417"/>
      <c r="BV5" s="1417" t="e">
        <f t="shared" si="0"/>
        <v>#REF!</v>
      </c>
      <c r="BW5" s="1417"/>
      <c r="BX5" s="1417"/>
      <c r="BY5" s="1417"/>
      <c r="BZ5" s="1417"/>
      <c r="CA5" s="1417"/>
      <c r="CB5" s="1417"/>
      <c r="CC5" s="1417"/>
      <c r="CD5" s="1417"/>
      <c r="CE5" s="1417"/>
      <c r="CF5" s="1417"/>
      <c r="CG5" s="661"/>
    </row>
    <row r="6" spans="1:85" s="660" customFormat="1" ht="29.1" customHeight="1">
      <c r="A6" s="1414">
        <f t="shared" si="1"/>
        <v>3</v>
      </c>
      <c r="B6" s="1414"/>
      <c r="C6" s="1414"/>
      <c r="D6" s="1414"/>
      <c r="E6" s="1414"/>
      <c r="F6" s="1415" t="e">
        <f>#REF!</f>
        <v>#REF!</v>
      </c>
      <c r="G6" s="1415"/>
      <c r="H6" s="1415"/>
      <c r="I6" s="1415"/>
      <c r="J6" s="1415"/>
      <c r="K6" s="1415"/>
      <c r="L6" s="1415"/>
      <c r="M6" s="1415"/>
      <c r="N6" s="1415"/>
      <c r="O6" s="1415"/>
      <c r="P6" s="1415"/>
      <c r="Q6" s="1415"/>
      <c r="R6" s="1415"/>
      <c r="S6" s="1415"/>
      <c r="T6" s="1415"/>
      <c r="U6" s="1415"/>
      <c r="V6" s="1415"/>
      <c r="W6" s="1415"/>
      <c r="X6" s="1415"/>
      <c r="Y6" s="1415"/>
      <c r="Z6" s="1415"/>
      <c r="AA6" s="1415"/>
      <c r="AB6" s="1415" t="e">
        <f>#REF!</f>
        <v>#REF!</v>
      </c>
      <c r="AC6" s="1415"/>
      <c r="AD6" s="1415"/>
      <c r="AE6" s="1415"/>
      <c r="AF6" s="1415"/>
      <c r="AG6" s="1415"/>
      <c r="AH6" s="1415"/>
      <c r="AI6" s="1415"/>
      <c r="AJ6" s="1415"/>
      <c r="AK6" s="1415"/>
      <c r="AL6" s="1415"/>
      <c r="AM6" s="1415"/>
      <c r="AN6" s="1415"/>
      <c r="AO6" s="1417" t="e">
        <f>#REF!</f>
        <v>#REF!</v>
      </c>
      <c r="AP6" s="1417"/>
      <c r="AQ6" s="1417"/>
      <c r="AR6" s="1417"/>
      <c r="AS6" s="1417"/>
      <c r="AT6" s="1417"/>
      <c r="AU6" s="1417"/>
      <c r="AV6" s="1417"/>
      <c r="AW6" s="1417"/>
      <c r="AX6" s="1417"/>
      <c r="AY6" s="1417"/>
      <c r="AZ6" s="1417" t="e">
        <f>#REF!</f>
        <v>#REF!</v>
      </c>
      <c r="BA6" s="1417"/>
      <c r="BB6" s="1417"/>
      <c r="BC6" s="1417"/>
      <c r="BD6" s="1417"/>
      <c r="BE6" s="1417"/>
      <c r="BF6" s="1417"/>
      <c r="BG6" s="1417"/>
      <c r="BH6" s="1417"/>
      <c r="BI6" s="1417"/>
      <c r="BJ6" s="1417"/>
      <c r="BK6" s="1417" t="e">
        <f>#REF!</f>
        <v>#REF!</v>
      </c>
      <c r="BL6" s="1417"/>
      <c r="BM6" s="1417"/>
      <c r="BN6" s="1417"/>
      <c r="BO6" s="1417"/>
      <c r="BP6" s="1417"/>
      <c r="BQ6" s="1417"/>
      <c r="BR6" s="1417"/>
      <c r="BS6" s="1417"/>
      <c r="BT6" s="1417"/>
      <c r="BU6" s="1417"/>
      <c r="BV6" s="1417" t="e">
        <f t="shared" si="0"/>
        <v>#REF!</v>
      </c>
      <c r="BW6" s="1417"/>
      <c r="BX6" s="1417"/>
      <c r="BY6" s="1417"/>
      <c r="BZ6" s="1417"/>
      <c r="CA6" s="1417"/>
      <c r="CB6" s="1417"/>
      <c r="CC6" s="1417"/>
      <c r="CD6" s="1417"/>
      <c r="CE6" s="1417"/>
      <c r="CF6" s="1417"/>
      <c r="CG6" s="661"/>
    </row>
    <row r="7" spans="1:85" s="660" customFormat="1" ht="29.1" customHeight="1">
      <c r="A7" s="1414">
        <f t="shared" si="1"/>
        <v>4</v>
      </c>
      <c r="B7" s="1414"/>
      <c r="C7" s="1414"/>
      <c r="D7" s="1414"/>
      <c r="E7" s="1414"/>
      <c r="F7" s="1415" t="e">
        <f>#REF!</f>
        <v>#REF!</v>
      </c>
      <c r="G7" s="1415"/>
      <c r="H7" s="1415"/>
      <c r="I7" s="1415"/>
      <c r="J7" s="1415"/>
      <c r="K7" s="1415"/>
      <c r="L7" s="1415"/>
      <c r="M7" s="1415"/>
      <c r="N7" s="1415"/>
      <c r="O7" s="1415"/>
      <c r="P7" s="1415"/>
      <c r="Q7" s="1415"/>
      <c r="R7" s="1415"/>
      <c r="S7" s="1415"/>
      <c r="T7" s="1415"/>
      <c r="U7" s="1415"/>
      <c r="V7" s="1415"/>
      <c r="W7" s="1415"/>
      <c r="X7" s="1415"/>
      <c r="Y7" s="1415"/>
      <c r="Z7" s="1415"/>
      <c r="AA7" s="1415"/>
      <c r="AB7" s="1415" t="e">
        <f>#REF!</f>
        <v>#REF!</v>
      </c>
      <c r="AC7" s="1415"/>
      <c r="AD7" s="1415"/>
      <c r="AE7" s="1415"/>
      <c r="AF7" s="1415"/>
      <c r="AG7" s="1415"/>
      <c r="AH7" s="1415"/>
      <c r="AI7" s="1415"/>
      <c r="AJ7" s="1415"/>
      <c r="AK7" s="1415"/>
      <c r="AL7" s="1415"/>
      <c r="AM7" s="1415"/>
      <c r="AN7" s="1415"/>
      <c r="AO7" s="1417" t="e">
        <f>#REF!</f>
        <v>#REF!</v>
      </c>
      <c r="AP7" s="1417"/>
      <c r="AQ7" s="1417"/>
      <c r="AR7" s="1417"/>
      <c r="AS7" s="1417"/>
      <c r="AT7" s="1417"/>
      <c r="AU7" s="1417"/>
      <c r="AV7" s="1417"/>
      <c r="AW7" s="1417"/>
      <c r="AX7" s="1417"/>
      <c r="AY7" s="1417"/>
      <c r="AZ7" s="1417" t="e">
        <f>#REF!</f>
        <v>#REF!</v>
      </c>
      <c r="BA7" s="1417"/>
      <c r="BB7" s="1417"/>
      <c r="BC7" s="1417"/>
      <c r="BD7" s="1417"/>
      <c r="BE7" s="1417"/>
      <c r="BF7" s="1417"/>
      <c r="BG7" s="1417"/>
      <c r="BH7" s="1417"/>
      <c r="BI7" s="1417"/>
      <c r="BJ7" s="1417"/>
      <c r="BK7" s="1417" t="e">
        <f>#REF!</f>
        <v>#REF!</v>
      </c>
      <c r="BL7" s="1417"/>
      <c r="BM7" s="1417"/>
      <c r="BN7" s="1417"/>
      <c r="BO7" s="1417"/>
      <c r="BP7" s="1417"/>
      <c r="BQ7" s="1417"/>
      <c r="BR7" s="1417"/>
      <c r="BS7" s="1417"/>
      <c r="BT7" s="1417"/>
      <c r="BU7" s="1417"/>
      <c r="BV7" s="1417" t="e">
        <f t="shared" si="0"/>
        <v>#REF!</v>
      </c>
      <c r="BW7" s="1417"/>
      <c r="BX7" s="1417"/>
      <c r="BY7" s="1417"/>
      <c r="BZ7" s="1417"/>
      <c r="CA7" s="1417"/>
      <c r="CB7" s="1417"/>
      <c r="CC7" s="1417"/>
      <c r="CD7" s="1417"/>
      <c r="CE7" s="1417"/>
      <c r="CF7" s="1417"/>
      <c r="CG7" s="661"/>
    </row>
    <row r="8" spans="1:85" s="660" customFormat="1" ht="29.1" customHeight="1">
      <c r="A8" s="1414">
        <f t="shared" si="1"/>
        <v>5</v>
      </c>
      <c r="B8" s="1414"/>
      <c r="C8" s="1414"/>
      <c r="D8" s="1414"/>
      <c r="E8" s="1414"/>
      <c r="F8" s="1415" t="e">
        <f>#REF!</f>
        <v>#REF!</v>
      </c>
      <c r="G8" s="1415"/>
      <c r="H8" s="1415"/>
      <c r="I8" s="1415"/>
      <c r="J8" s="1415"/>
      <c r="K8" s="1415"/>
      <c r="L8" s="1415"/>
      <c r="M8" s="1415"/>
      <c r="N8" s="1415"/>
      <c r="O8" s="1415"/>
      <c r="P8" s="1415"/>
      <c r="Q8" s="1415"/>
      <c r="R8" s="1415"/>
      <c r="S8" s="1415"/>
      <c r="T8" s="1415"/>
      <c r="U8" s="1415"/>
      <c r="V8" s="1415"/>
      <c r="W8" s="1415"/>
      <c r="X8" s="1415"/>
      <c r="Y8" s="1415"/>
      <c r="Z8" s="1415"/>
      <c r="AA8" s="1415"/>
      <c r="AB8" s="1415" t="e">
        <f>#REF!</f>
        <v>#REF!</v>
      </c>
      <c r="AC8" s="1415"/>
      <c r="AD8" s="1415"/>
      <c r="AE8" s="1415"/>
      <c r="AF8" s="1415"/>
      <c r="AG8" s="1415"/>
      <c r="AH8" s="1415"/>
      <c r="AI8" s="1415"/>
      <c r="AJ8" s="1415"/>
      <c r="AK8" s="1415"/>
      <c r="AL8" s="1415"/>
      <c r="AM8" s="1415"/>
      <c r="AN8" s="1415"/>
      <c r="AO8" s="1417" t="e">
        <f>#REF!</f>
        <v>#REF!</v>
      </c>
      <c r="AP8" s="1417"/>
      <c r="AQ8" s="1417"/>
      <c r="AR8" s="1417"/>
      <c r="AS8" s="1417"/>
      <c r="AT8" s="1417"/>
      <c r="AU8" s="1417"/>
      <c r="AV8" s="1417"/>
      <c r="AW8" s="1417"/>
      <c r="AX8" s="1417"/>
      <c r="AY8" s="1417"/>
      <c r="AZ8" s="1417" t="e">
        <f>#REF!</f>
        <v>#REF!</v>
      </c>
      <c r="BA8" s="1417"/>
      <c r="BB8" s="1417"/>
      <c r="BC8" s="1417"/>
      <c r="BD8" s="1417"/>
      <c r="BE8" s="1417"/>
      <c r="BF8" s="1417"/>
      <c r="BG8" s="1417"/>
      <c r="BH8" s="1417"/>
      <c r="BI8" s="1417"/>
      <c r="BJ8" s="1417"/>
      <c r="BK8" s="1417" t="e">
        <f>#REF!</f>
        <v>#REF!</v>
      </c>
      <c r="BL8" s="1417"/>
      <c r="BM8" s="1417"/>
      <c r="BN8" s="1417"/>
      <c r="BO8" s="1417"/>
      <c r="BP8" s="1417"/>
      <c r="BQ8" s="1417"/>
      <c r="BR8" s="1417"/>
      <c r="BS8" s="1417"/>
      <c r="BT8" s="1417"/>
      <c r="BU8" s="1417"/>
      <c r="BV8" s="1417" t="e">
        <f t="shared" si="0"/>
        <v>#REF!</v>
      </c>
      <c r="BW8" s="1417"/>
      <c r="BX8" s="1417"/>
      <c r="BY8" s="1417"/>
      <c r="BZ8" s="1417"/>
      <c r="CA8" s="1417"/>
      <c r="CB8" s="1417"/>
      <c r="CC8" s="1417"/>
      <c r="CD8" s="1417"/>
      <c r="CE8" s="1417"/>
      <c r="CF8" s="1417"/>
      <c r="CG8" s="661"/>
    </row>
    <row r="9" spans="1:85" s="660" customFormat="1" ht="29.1" customHeight="1">
      <c r="A9" s="1414">
        <f t="shared" si="1"/>
        <v>6</v>
      </c>
      <c r="B9" s="1414"/>
      <c r="C9" s="1414"/>
      <c r="D9" s="1414"/>
      <c r="E9" s="1414"/>
      <c r="F9" s="1415" t="e">
        <f>#REF!</f>
        <v>#REF!</v>
      </c>
      <c r="G9" s="1415"/>
      <c r="H9" s="1415"/>
      <c r="I9" s="1415"/>
      <c r="J9" s="1415"/>
      <c r="K9" s="1415"/>
      <c r="L9" s="1415"/>
      <c r="M9" s="1415"/>
      <c r="N9" s="1415"/>
      <c r="O9" s="1415"/>
      <c r="P9" s="1415"/>
      <c r="Q9" s="1415"/>
      <c r="R9" s="1415"/>
      <c r="S9" s="1415"/>
      <c r="T9" s="1415"/>
      <c r="U9" s="1415"/>
      <c r="V9" s="1415"/>
      <c r="W9" s="1415"/>
      <c r="X9" s="1415"/>
      <c r="Y9" s="1415"/>
      <c r="Z9" s="1415"/>
      <c r="AA9" s="1415"/>
      <c r="AB9" s="1415" t="e">
        <f>#REF!</f>
        <v>#REF!</v>
      </c>
      <c r="AC9" s="1415"/>
      <c r="AD9" s="1415"/>
      <c r="AE9" s="1415"/>
      <c r="AF9" s="1415"/>
      <c r="AG9" s="1415"/>
      <c r="AH9" s="1415"/>
      <c r="AI9" s="1415"/>
      <c r="AJ9" s="1415"/>
      <c r="AK9" s="1415"/>
      <c r="AL9" s="1415"/>
      <c r="AM9" s="1415"/>
      <c r="AN9" s="1415"/>
      <c r="AO9" s="1417" t="e">
        <f>#REF!</f>
        <v>#REF!</v>
      </c>
      <c r="AP9" s="1417"/>
      <c r="AQ9" s="1417"/>
      <c r="AR9" s="1417"/>
      <c r="AS9" s="1417"/>
      <c r="AT9" s="1417"/>
      <c r="AU9" s="1417"/>
      <c r="AV9" s="1417"/>
      <c r="AW9" s="1417"/>
      <c r="AX9" s="1417"/>
      <c r="AY9" s="1417"/>
      <c r="AZ9" s="1417" t="e">
        <f>#REF!</f>
        <v>#REF!</v>
      </c>
      <c r="BA9" s="1417"/>
      <c r="BB9" s="1417"/>
      <c r="BC9" s="1417"/>
      <c r="BD9" s="1417"/>
      <c r="BE9" s="1417"/>
      <c r="BF9" s="1417"/>
      <c r="BG9" s="1417"/>
      <c r="BH9" s="1417"/>
      <c r="BI9" s="1417"/>
      <c r="BJ9" s="1417"/>
      <c r="BK9" s="1417" t="e">
        <f>#REF!</f>
        <v>#REF!</v>
      </c>
      <c r="BL9" s="1417"/>
      <c r="BM9" s="1417"/>
      <c r="BN9" s="1417"/>
      <c r="BO9" s="1417"/>
      <c r="BP9" s="1417"/>
      <c r="BQ9" s="1417"/>
      <c r="BR9" s="1417"/>
      <c r="BS9" s="1417"/>
      <c r="BT9" s="1417"/>
      <c r="BU9" s="1417"/>
      <c r="BV9" s="1417" t="e">
        <f t="shared" si="0"/>
        <v>#REF!</v>
      </c>
      <c r="BW9" s="1417"/>
      <c r="BX9" s="1417"/>
      <c r="BY9" s="1417"/>
      <c r="BZ9" s="1417"/>
      <c r="CA9" s="1417"/>
      <c r="CB9" s="1417"/>
      <c r="CC9" s="1417"/>
      <c r="CD9" s="1417"/>
      <c r="CE9" s="1417"/>
      <c r="CF9" s="1417"/>
      <c r="CG9" s="661"/>
    </row>
    <row r="10" spans="1:85" s="660" customFormat="1" ht="29.1" customHeight="1">
      <c r="A10" s="1414">
        <f t="shared" si="1"/>
        <v>7</v>
      </c>
      <c r="B10" s="1414"/>
      <c r="C10" s="1414"/>
      <c r="D10" s="1414"/>
      <c r="E10" s="1414"/>
      <c r="F10" s="1415" t="e">
        <f>#REF!</f>
        <v>#REF!</v>
      </c>
      <c r="G10" s="1415"/>
      <c r="H10" s="1415"/>
      <c r="I10" s="1415"/>
      <c r="J10" s="1415"/>
      <c r="K10" s="1415"/>
      <c r="L10" s="1415"/>
      <c r="M10" s="1415"/>
      <c r="N10" s="1415"/>
      <c r="O10" s="1415"/>
      <c r="P10" s="1415"/>
      <c r="Q10" s="1415"/>
      <c r="R10" s="1415"/>
      <c r="S10" s="1415"/>
      <c r="T10" s="1415"/>
      <c r="U10" s="1415"/>
      <c r="V10" s="1415"/>
      <c r="W10" s="1415"/>
      <c r="X10" s="1415"/>
      <c r="Y10" s="1415"/>
      <c r="Z10" s="1415"/>
      <c r="AA10" s="1415"/>
      <c r="AB10" s="1415" t="e">
        <f>#REF!</f>
        <v>#REF!</v>
      </c>
      <c r="AC10" s="1415"/>
      <c r="AD10" s="1415"/>
      <c r="AE10" s="1415"/>
      <c r="AF10" s="1415"/>
      <c r="AG10" s="1415"/>
      <c r="AH10" s="1415"/>
      <c r="AI10" s="1415"/>
      <c r="AJ10" s="1415"/>
      <c r="AK10" s="1415"/>
      <c r="AL10" s="1415"/>
      <c r="AM10" s="1415"/>
      <c r="AN10" s="1415"/>
      <c r="AO10" s="1417" t="e">
        <f>#REF!</f>
        <v>#REF!</v>
      </c>
      <c r="AP10" s="1417"/>
      <c r="AQ10" s="1417"/>
      <c r="AR10" s="1417"/>
      <c r="AS10" s="1417"/>
      <c r="AT10" s="1417"/>
      <c r="AU10" s="1417"/>
      <c r="AV10" s="1417"/>
      <c r="AW10" s="1417"/>
      <c r="AX10" s="1417"/>
      <c r="AY10" s="1417"/>
      <c r="AZ10" s="1417" t="e">
        <f>#REF!</f>
        <v>#REF!</v>
      </c>
      <c r="BA10" s="1417"/>
      <c r="BB10" s="1417"/>
      <c r="BC10" s="1417"/>
      <c r="BD10" s="1417"/>
      <c r="BE10" s="1417"/>
      <c r="BF10" s="1417"/>
      <c r="BG10" s="1417"/>
      <c r="BH10" s="1417"/>
      <c r="BI10" s="1417"/>
      <c r="BJ10" s="1417"/>
      <c r="BK10" s="1417" t="e">
        <f>#REF!</f>
        <v>#REF!</v>
      </c>
      <c r="BL10" s="1417"/>
      <c r="BM10" s="1417"/>
      <c r="BN10" s="1417"/>
      <c r="BO10" s="1417"/>
      <c r="BP10" s="1417"/>
      <c r="BQ10" s="1417"/>
      <c r="BR10" s="1417"/>
      <c r="BS10" s="1417"/>
      <c r="BT10" s="1417"/>
      <c r="BU10" s="1417"/>
      <c r="BV10" s="1417" t="e">
        <f t="shared" si="0"/>
        <v>#REF!</v>
      </c>
      <c r="BW10" s="1417"/>
      <c r="BX10" s="1417"/>
      <c r="BY10" s="1417"/>
      <c r="BZ10" s="1417"/>
      <c r="CA10" s="1417"/>
      <c r="CB10" s="1417"/>
      <c r="CC10" s="1417"/>
      <c r="CD10" s="1417"/>
      <c r="CE10" s="1417"/>
      <c r="CF10" s="1417"/>
      <c r="CG10" s="661"/>
    </row>
    <row r="11" spans="1:85" s="660" customFormat="1" ht="29.1" customHeight="1">
      <c r="A11" s="1414">
        <f t="shared" si="1"/>
        <v>8</v>
      </c>
      <c r="B11" s="1414"/>
      <c r="C11" s="1414"/>
      <c r="D11" s="1414"/>
      <c r="E11" s="1414"/>
      <c r="F11" s="1415" t="e">
        <f>#REF!</f>
        <v>#REF!</v>
      </c>
      <c r="G11" s="1415"/>
      <c r="H11" s="1415"/>
      <c r="I11" s="1415"/>
      <c r="J11" s="1415"/>
      <c r="K11" s="1415"/>
      <c r="L11" s="1415"/>
      <c r="M11" s="1415"/>
      <c r="N11" s="1415"/>
      <c r="O11" s="1415"/>
      <c r="P11" s="1415"/>
      <c r="Q11" s="1415"/>
      <c r="R11" s="1415"/>
      <c r="S11" s="1415"/>
      <c r="T11" s="1415"/>
      <c r="U11" s="1415"/>
      <c r="V11" s="1415"/>
      <c r="W11" s="1415"/>
      <c r="X11" s="1415"/>
      <c r="Y11" s="1415"/>
      <c r="Z11" s="1415"/>
      <c r="AA11" s="1415"/>
      <c r="AB11" s="1415" t="e">
        <f>#REF!</f>
        <v>#REF!</v>
      </c>
      <c r="AC11" s="1415"/>
      <c r="AD11" s="1415"/>
      <c r="AE11" s="1415"/>
      <c r="AF11" s="1415"/>
      <c r="AG11" s="1415"/>
      <c r="AH11" s="1415"/>
      <c r="AI11" s="1415"/>
      <c r="AJ11" s="1415"/>
      <c r="AK11" s="1415"/>
      <c r="AL11" s="1415"/>
      <c r="AM11" s="1415"/>
      <c r="AN11" s="1415"/>
      <c r="AO11" s="1417" t="e">
        <f>#REF!</f>
        <v>#REF!</v>
      </c>
      <c r="AP11" s="1417"/>
      <c r="AQ11" s="1417"/>
      <c r="AR11" s="1417"/>
      <c r="AS11" s="1417"/>
      <c r="AT11" s="1417"/>
      <c r="AU11" s="1417"/>
      <c r="AV11" s="1417"/>
      <c r="AW11" s="1417"/>
      <c r="AX11" s="1417"/>
      <c r="AY11" s="1417"/>
      <c r="AZ11" s="1417" t="e">
        <f>#REF!</f>
        <v>#REF!</v>
      </c>
      <c r="BA11" s="1417"/>
      <c r="BB11" s="1417"/>
      <c r="BC11" s="1417"/>
      <c r="BD11" s="1417"/>
      <c r="BE11" s="1417"/>
      <c r="BF11" s="1417"/>
      <c r="BG11" s="1417"/>
      <c r="BH11" s="1417"/>
      <c r="BI11" s="1417"/>
      <c r="BJ11" s="1417"/>
      <c r="BK11" s="1417" t="e">
        <f>#REF!</f>
        <v>#REF!</v>
      </c>
      <c r="BL11" s="1417"/>
      <c r="BM11" s="1417"/>
      <c r="BN11" s="1417"/>
      <c r="BO11" s="1417"/>
      <c r="BP11" s="1417"/>
      <c r="BQ11" s="1417"/>
      <c r="BR11" s="1417"/>
      <c r="BS11" s="1417"/>
      <c r="BT11" s="1417"/>
      <c r="BU11" s="1417"/>
      <c r="BV11" s="1417" t="e">
        <f t="shared" si="0"/>
        <v>#REF!</v>
      </c>
      <c r="BW11" s="1417"/>
      <c r="BX11" s="1417"/>
      <c r="BY11" s="1417"/>
      <c r="BZ11" s="1417"/>
      <c r="CA11" s="1417"/>
      <c r="CB11" s="1417"/>
      <c r="CC11" s="1417"/>
      <c r="CD11" s="1417"/>
      <c r="CE11" s="1417"/>
      <c r="CF11" s="1417"/>
      <c r="CG11" s="661"/>
    </row>
    <row r="12" spans="1:85" s="660" customFormat="1" ht="29.1" customHeight="1">
      <c r="A12" s="1414">
        <f t="shared" si="1"/>
        <v>9</v>
      </c>
      <c r="B12" s="1414"/>
      <c r="C12" s="1414"/>
      <c r="D12" s="1414"/>
      <c r="E12" s="1414"/>
      <c r="F12" s="1415" t="e">
        <f>#REF!</f>
        <v>#REF!</v>
      </c>
      <c r="G12" s="1415"/>
      <c r="H12" s="1415"/>
      <c r="I12" s="1415"/>
      <c r="J12" s="1415"/>
      <c r="K12" s="1415"/>
      <c r="L12" s="1415"/>
      <c r="M12" s="1415"/>
      <c r="N12" s="1415"/>
      <c r="O12" s="1415"/>
      <c r="P12" s="1415"/>
      <c r="Q12" s="1415"/>
      <c r="R12" s="1415"/>
      <c r="S12" s="1415"/>
      <c r="T12" s="1415"/>
      <c r="U12" s="1415"/>
      <c r="V12" s="1415"/>
      <c r="W12" s="1415"/>
      <c r="X12" s="1415"/>
      <c r="Y12" s="1415"/>
      <c r="Z12" s="1415"/>
      <c r="AA12" s="1415"/>
      <c r="AB12" s="1415" t="e">
        <f>#REF!</f>
        <v>#REF!</v>
      </c>
      <c r="AC12" s="1415"/>
      <c r="AD12" s="1415"/>
      <c r="AE12" s="1415"/>
      <c r="AF12" s="1415"/>
      <c r="AG12" s="1415"/>
      <c r="AH12" s="1415"/>
      <c r="AI12" s="1415"/>
      <c r="AJ12" s="1415"/>
      <c r="AK12" s="1415"/>
      <c r="AL12" s="1415"/>
      <c r="AM12" s="1415"/>
      <c r="AN12" s="1415"/>
      <c r="AO12" s="1417" t="e">
        <f>#REF!</f>
        <v>#REF!</v>
      </c>
      <c r="AP12" s="1417"/>
      <c r="AQ12" s="1417"/>
      <c r="AR12" s="1417"/>
      <c r="AS12" s="1417"/>
      <c r="AT12" s="1417"/>
      <c r="AU12" s="1417"/>
      <c r="AV12" s="1417"/>
      <c r="AW12" s="1417"/>
      <c r="AX12" s="1417"/>
      <c r="AY12" s="1417"/>
      <c r="AZ12" s="1417" t="e">
        <f>#REF!</f>
        <v>#REF!</v>
      </c>
      <c r="BA12" s="1417"/>
      <c r="BB12" s="1417"/>
      <c r="BC12" s="1417"/>
      <c r="BD12" s="1417"/>
      <c r="BE12" s="1417"/>
      <c r="BF12" s="1417"/>
      <c r="BG12" s="1417"/>
      <c r="BH12" s="1417"/>
      <c r="BI12" s="1417"/>
      <c r="BJ12" s="1417"/>
      <c r="BK12" s="1417" t="e">
        <f>#REF!</f>
        <v>#REF!</v>
      </c>
      <c r="BL12" s="1417"/>
      <c r="BM12" s="1417"/>
      <c r="BN12" s="1417"/>
      <c r="BO12" s="1417"/>
      <c r="BP12" s="1417"/>
      <c r="BQ12" s="1417"/>
      <c r="BR12" s="1417"/>
      <c r="BS12" s="1417"/>
      <c r="BT12" s="1417"/>
      <c r="BU12" s="1417"/>
      <c r="BV12" s="1417" t="e">
        <f t="shared" si="0"/>
        <v>#REF!</v>
      </c>
      <c r="BW12" s="1417"/>
      <c r="BX12" s="1417"/>
      <c r="BY12" s="1417"/>
      <c r="BZ12" s="1417"/>
      <c r="CA12" s="1417"/>
      <c r="CB12" s="1417"/>
      <c r="CC12" s="1417"/>
      <c r="CD12" s="1417"/>
      <c r="CE12" s="1417"/>
      <c r="CF12" s="1417"/>
      <c r="CG12" s="661"/>
    </row>
    <row r="13" spans="1:85" s="660" customFormat="1" ht="29.1" customHeight="1">
      <c r="A13" s="1414">
        <f t="shared" si="1"/>
        <v>10</v>
      </c>
      <c r="B13" s="1414"/>
      <c r="C13" s="1414"/>
      <c r="D13" s="1414"/>
      <c r="E13" s="1414"/>
      <c r="F13" s="1415" t="e">
        <f>#REF!</f>
        <v>#REF!</v>
      </c>
      <c r="G13" s="1415"/>
      <c r="H13" s="1415"/>
      <c r="I13" s="1415"/>
      <c r="J13" s="1415"/>
      <c r="K13" s="1415"/>
      <c r="L13" s="1415"/>
      <c r="M13" s="1415"/>
      <c r="N13" s="1415"/>
      <c r="O13" s="1415"/>
      <c r="P13" s="1415"/>
      <c r="Q13" s="1415"/>
      <c r="R13" s="1415"/>
      <c r="S13" s="1415"/>
      <c r="T13" s="1415"/>
      <c r="U13" s="1415"/>
      <c r="V13" s="1415"/>
      <c r="W13" s="1415"/>
      <c r="X13" s="1415"/>
      <c r="Y13" s="1415"/>
      <c r="Z13" s="1415"/>
      <c r="AA13" s="1415"/>
      <c r="AB13" s="1415" t="e">
        <f>#REF!</f>
        <v>#REF!</v>
      </c>
      <c r="AC13" s="1415"/>
      <c r="AD13" s="1415"/>
      <c r="AE13" s="1415"/>
      <c r="AF13" s="1415"/>
      <c r="AG13" s="1415"/>
      <c r="AH13" s="1415"/>
      <c r="AI13" s="1415"/>
      <c r="AJ13" s="1415"/>
      <c r="AK13" s="1415"/>
      <c r="AL13" s="1415"/>
      <c r="AM13" s="1415"/>
      <c r="AN13" s="1415"/>
      <c r="AO13" s="1417" t="e">
        <f>#REF!</f>
        <v>#REF!</v>
      </c>
      <c r="AP13" s="1417"/>
      <c r="AQ13" s="1417"/>
      <c r="AR13" s="1417"/>
      <c r="AS13" s="1417"/>
      <c r="AT13" s="1417"/>
      <c r="AU13" s="1417"/>
      <c r="AV13" s="1417"/>
      <c r="AW13" s="1417"/>
      <c r="AX13" s="1417"/>
      <c r="AY13" s="1417"/>
      <c r="AZ13" s="1417" t="e">
        <f>#REF!</f>
        <v>#REF!</v>
      </c>
      <c r="BA13" s="1417"/>
      <c r="BB13" s="1417"/>
      <c r="BC13" s="1417"/>
      <c r="BD13" s="1417"/>
      <c r="BE13" s="1417"/>
      <c r="BF13" s="1417"/>
      <c r="BG13" s="1417"/>
      <c r="BH13" s="1417"/>
      <c r="BI13" s="1417"/>
      <c r="BJ13" s="1417"/>
      <c r="BK13" s="1417" t="e">
        <f>#REF!</f>
        <v>#REF!</v>
      </c>
      <c r="BL13" s="1417"/>
      <c r="BM13" s="1417"/>
      <c r="BN13" s="1417"/>
      <c r="BO13" s="1417"/>
      <c r="BP13" s="1417"/>
      <c r="BQ13" s="1417"/>
      <c r="BR13" s="1417"/>
      <c r="BS13" s="1417"/>
      <c r="BT13" s="1417"/>
      <c r="BU13" s="1417"/>
      <c r="BV13" s="1417" t="e">
        <f t="shared" si="0"/>
        <v>#REF!</v>
      </c>
      <c r="BW13" s="1417"/>
      <c r="BX13" s="1417"/>
      <c r="BY13" s="1417"/>
      <c r="BZ13" s="1417"/>
      <c r="CA13" s="1417"/>
      <c r="CB13" s="1417"/>
      <c r="CC13" s="1417"/>
      <c r="CD13" s="1417"/>
      <c r="CE13" s="1417"/>
      <c r="CF13" s="1417"/>
      <c r="CG13" s="661"/>
    </row>
    <row r="14" spans="1:85" s="660" customFormat="1" ht="29.1" customHeight="1">
      <c r="A14" s="1414">
        <f t="shared" si="1"/>
        <v>11</v>
      </c>
      <c r="B14" s="1414"/>
      <c r="C14" s="1414"/>
      <c r="D14" s="1414"/>
      <c r="E14" s="1414"/>
      <c r="F14" s="1416" t="e">
        <f>#REF!</f>
        <v>#REF!</v>
      </c>
      <c r="G14" s="1416"/>
      <c r="H14" s="1416"/>
      <c r="I14" s="1416"/>
      <c r="J14" s="1416"/>
      <c r="K14" s="1416"/>
      <c r="L14" s="1416"/>
      <c r="M14" s="1416"/>
      <c r="N14" s="1416"/>
      <c r="O14" s="1416"/>
      <c r="P14" s="1416"/>
      <c r="Q14" s="1416"/>
      <c r="R14" s="1416"/>
      <c r="S14" s="1416"/>
      <c r="T14" s="1416"/>
      <c r="U14" s="1416"/>
      <c r="V14" s="1416"/>
      <c r="W14" s="1416"/>
      <c r="X14" s="1416"/>
      <c r="Y14" s="1416"/>
      <c r="Z14" s="1416"/>
      <c r="AA14" s="1416"/>
      <c r="AB14" s="1415" t="e">
        <f>#REF!</f>
        <v>#REF!</v>
      </c>
      <c r="AC14" s="1415"/>
      <c r="AD14" s="1415"/>
      <c r="AE14" s="1415"/>
      <c r="AF14" s="1415"/>
      <c r="AG14" s="1415"/>
      <c r="AH14" s="1415"/>
      <c r="AI14" s="1415"/>
      <c r="AJ14" s="1415"/>
      <c r="AK14" s="1415"/>
      <c r="AL14" s="1415"/>
      <c r="AM14" s="1415"/>
      <c r="AN14" s="1415"/>
      <c r="AO14" s="1417" t="e">
        <f>#REF!</f>
        <v>#REF!</v>
      </c>
      <c r="AP14" s="1417"/>
      <c r="AQ14" s="1417"/>
      <c r="AR14" s="1417"/>
      <c r="AS14" s="1417"/>
      <c r="AT14" s="1417"/>
      <c r="AU14" s="1417"/>
      <c r="AV14" s="1417"/>
      <c r="AW14" s="1417"/>
      <c r="AX14" s="1417"/>
      <c r="AY14" s="1417"/>
      <c r="AZ14" s="1417" t="e">
        <f>#REF!</f>
        <v>#REF!</v>
      </c>
      <c r="BA14" s="1417"/>
      <c r="BB14" s="1417"/>
      <c r="BC14" s="1417"/>
      <c r="BD14" s="1417"/>
      <c r="BE14" s="1417"/>
      <c r="BF14" s="1417"/>
      <c r="BG14" s="1417"/>
      <c r="BH14" s="1417"/>
      <c r="BI14" s="1417"/>
      <c r="BJ14" s="1417"/>
      <c r="BK14" s="1417" t="e">
        <f>#REF!</f>
        <v>#REF!</v>
      </c>
      <c r="BL14" s="1417"/>
      <c r="BM14" s="1417"/>
      <c r="BN14" s="1417"/>
      <c r="BO14" s="1417"/>
      <c r="BP14" s="1417"/>
      <c r="BQ14" s="1417"/>
      <c r="BR14" s="1417"/>
      <c r="BS14" s="1417"/>
      <c r="BT14" s="1417"/>
      <c r="BU14" s="1417"/>
      <c r="BV14" s="1417" t="e">
        <f t="shared" si="0"/>
        <v>#REF!</v>
      </c>
      <c r="BW14" s="1417"/>
      <c r="BX14" s="1417"/>
      <c r="BY14" s="1417"/>
      <c r="BZ14" s="1417"/>
      <c r="CA14" s="1417"/>
      <c r="CB14" s="1417"/>
      <c r="CC14" s="1417"/>
      <c r="CD14" s="1417"/>
      <c r="CE14" s="1417"/>
      <c r="CF14" s="1417"/>
      <c r="CG14" s="661"/>
    </row>
    <row r="15" spans="1:85" s="660" customFormat="1" ht="29.1" customHeight="1">
      <c r="A15" s="1414">
        <f t="shared" si="1"/>
        <v>12</v>
      </c>
      <c r="B15" s="1414"/>
      <c r="C15" s="1414"/>
      <c r="D15" s="1414"/>
      <c r="E15" s="1414"/>
      <c r="F15" s="1416" t="e">
        <f>#REF!</f>
        <v>#REF!</v>
      </c>
      <c r="G15" s="1416"/>
      <c r="H15" s="1416"/>
      <c r="I15" s="1416"/>
      <c r="J15" s="1416"/>
      <c r="K15" s="1416"/>
      <c r="L15" s="1416"/>
      <c r="M15" s="1416"/>
      <c r="N15" s="1416"/>
      <c r="O15" s="1416"/>
      <c r="P15" s="1416"/>
      <c r="Q15" s="1416"/>
      <c r="R15" s="1416"/>
      <c r="S15" s="1416"/>
      <c r="T15" s="1416"/>
      <c r="U15" s="1416"/>
      <c r="V15" s="1416"/>
      <c r="W15" s="1416"/>
      <c r="X15" s="1416"/>
      <c r="Y15" s="1416"/>
      <c r="Z15" s="1416"/>
      <c r="AA15" s="1416"/>
      <c r="AB15" s="1415" t="e">
        <f>#REF!</f>
        <v>#REF!</v>
      </c>
      <c r="AC15" s="1415"/>
      <c r="AD15" s="1415"/>
      <c r="AE15" s="1415"/>
      <c r="AF15" s="1415"/>
      <c r="AG15" s="1415"/>
      <c r="AH15" s="1415"/>
      <c r="AI15" s="1415"/>
      <c r="AJ15" s="1415"/>
      <c r="AK15" s="1415"/>
      <c r="AL15" s="1415"/>
      <c r="AM15" s="1415"/>
      <c r="AN15" s="1415"/>
      <c r="AO15" s="1417" t="e">
        <f>#REF!</f>
        <v>#REF!</v>
      </c>
      <c r="AP15" s="1417"/>
      <c r="AQ15" s="1417"/>
      <c r="AR15" s="1417"/>
      <c r="AS15" s="1417"/>
      <c r="AT15" s="1417"/>
      <c r="AU15" s="1417"/>
      <c r="AV15" s="1417"/>
      <c r="AW15" s="1417"/>
      <c r="AX15" s="1417"/>
      <c r="AY15" s="1417"/>
      <c r="AZ15" s="1417" t="e">
        <f>#REF!</f>
        <v>#REF!</v>
      </c>
      <c r="BA15" s="1417"/>
      <c r="BB15" s="1417"/>
      <c r="BC15" s="1417"/>
      <c r="BD15" s="1417"/>
      <c r="BE15" s="1417"/>
      <c r="BF15" s="1417"/>
      <c r="BG15" s="1417"/>
      <c r="BH15" s="1417"/>
      <c r="BI15" s="1417"/>
      <c r="BJ15" s="1417"/>
      <c r="BK15" s="1417" t="e">
        <f>#REF!</f>
        <v>#REF!</v>
      </c>
      <c r="BL15" s="1417"/>
      <c r="BM15" s="1417"/>
      <c r="BN15" s="1417"/>
      <c r="BO15" s="1417"/>
      <c r="BP15" s="1417"/>
      <c r="BQ15" s="1417"/>
      <c r="BR15" s="1417"/>
      <c r="BS15" s="1417"/>
      <c r="BT15" s="1417"/>
      <c r="BU15" s="1417"/>
      <c r="BV15" s="1417" t="e">
        <f t="shared" si="0"/>
        <v>#REF!</v>
      </c>
      <c r="BW15" s="1417"/>
      <c r="BX15" s="1417"/>
      <c r="BY15" s="1417"/>
      <c r="BZ15" s="1417"/>
      <c r="CA15" s="1417"/>
      <c r="CB15" s="1417"/>
      <c r="CC15" s="1417"/>
      <c r="CD15" s="1417"/>
      <c r="CE15" s="1417"/>
      <c r="CF15" s="1417"/>
      <c r="CG15" s="661"/>
    </row>
    <row r="16" spans="1:85" s="660" customFormat="1" ht="29.1" customHeight="1">
      <c r="A16" s="1414">
        <f t="shared" si="1"/>
        <v>13</v>
      </c>
      <c r="B16" s="1414"/>
      <c r="C16" s="1414"/>
      <c r="D16" s="1414"/>
      <c r="E16" s="1414"/>
      <c r="F16" s="1416" t="e">
        <f>#REF!</f>
        <v>#REF!</v>
      </c>
      <c r="G16" s="1416"/>
      <c r="H16" s="1416"/>
      <c r="I16" s="1416"/>
      <c r="J16" s="1416"/>
      <c r="K16" s="1416"/>
      <c r="L16" s="1416"/>
      <c r="M16" s="1416"/>
      <c r="N16" s="1416"/>
      <c r="O16" s="1416"/>
      <c r="P16" s="1416"/>
      <c r="Q16" s="1416"/>
      <c r="R16" s="1416"/>
      <c r="S16" s="1416"/>
      <c r="T16" s="1416"/>
      <c r="U16" s="1416"/>
      <c r="V16" s="1416"/>
      <c r="W16" s="1416"/>
      <c r="X16" s="1416"/>
      <c r="Y16" s="1416"/>
      <c r="Z16" s="1416"/>
      <c r="AA16" s="1416"/>
      <c r="AB16" s="1415" t="e">
        <f>#REF!</f>
        <v>#REF!</v>
      </c>
      <c r="AC16" s="1415"/>
      <c r="AD16" s="1415"/>
      <c r="AE16" s="1415"/>
      <c r="AF16" s="1415"/>
      <c r="AG16" s="1415"/>
      <c r="AH16" s="1415"/>
      <c r="AI16" s="1415"/>
      <c r="AJ16" s="1415"/>
      <c r="AK16" s="1415"/>
      <c r="AL16" s="1415"/>
      <c r="AM16" s="1415"/>
      <c r="AN16" s="1415"/>
      <c r="AO16" s="1417" t="e">
        <f>#REF!</f>
        <v>#REF!</v>
      </c>
      <c r="AP16" s="1417"/>
      <c r="AQ16" s="1417"/>
      <c r="AR16" s="1417"/>
      <c r="AS16" s="1417"/>
      <c r="AT16" s="1417"/>
      <c r="AU16" s="1417"/>
      <c r="AV16" s="1417"/>
      <c r="AW16" s="1417"/>
      <c r="AX16" s="1417"/>
      <c r="AY16" s="1417"/>
      <c r="AZ16" s="1417" t="e">
        <f>#REF!</f>
        <v>#REF!</v>
      </c>
      <c r="BA16" s="1417"/>
      <c r="BB16" s="1417"/>
      <c r="BC16" s="1417"/>
      <c r="BD16" s="1417"/>
      <c r="BE16" s="1417"/>
      <c r="BF16" s="1417"/>
      <c r="BG16" s="1417"/>
      <c r="BH16" s="1417"/>
      <c r="BI16" s="1417"/>
      <c r="BJ16" s="1417"/>
      <c r="BK16" s="1417" t="e">
        <f>#REF!</f>
        <v>#REF!</v>
      </c>
      <c r="BL16" s="1417"/>
      <c r="BM16" s="1417"/>
      <c r="BN16" s="1417"/>
      <c r="BO16" s="1417"/>
      <c r="BP16" s="1417"/>
      <c r="BQ16" s="1417"/>
      <c r="BR16" s="1417"/>
      <c r="BS16" s="1417"/>
      <c r="BT16" s="1417"/>
      <c r="BU16" s="1417"/>
      <c r="BV16" s="1417" t="e">
        <f t="shared" si="0"/>
        <v>#REF!</v>
      </c>
      <c r="BW16" s="1417"/>
      <c r="BX16" s="1417"/>
      <c r="BY16" s="1417"/>
      <c r="BZ16" s="1417"/>
      <c r="CA16" s="1417"/>
      <c r="CB16" s="1417"/>
      <c r="CC16" s="1417"/>
      <c r="CD16" s="1417"/>
      <c r="CE16" s="1417"/>
      <c r="CF16" s="1417"/>
      <c r="CG16" s="661"/>
    </row>
    <row r="17" spans="1:85" s="660" customFormat="1" ht="29.1" customHeight="1">
      <c r="A17" s="1414">
        <f t="shared" si="1"/>
        <v>14</v>
      </c>
      <c r="B17" s="1414"/>
      <c r="C17" s="1414"/>
      <c r="D17" s="1414"/>
      <c r="E17" s="1414"/>
      <c r="F17" s="1416" t="e">
        <f>#REF!</f>
        <v>#REF!</v>
      </c>
      <c r="G17" s="1416"/>
      <c r="H17" s="1416"/>
      <c r="I17" s="1416"/>
      <c r="J17" s="1416"/>
      <c r="K17" s="1416"/>
      <c r="L17" s="1416"/>
      <c r="M17" s="1416"/>
      <c r="N17" s="1416"/>
      <c r="O17" s="1416"/>
      <c r="P17" s="1416"/>
      <c r="Q17" s="1416"/>
      <c r="R17" s="1416"/>
      <c r="S17" s="1416"/>
      <c r="T17" s="1416"/>
      <c r="U17" s="1416"/>
      <c r="V17" s="1416"/>
      <c r="W17" s="1416"/>
      <c r="X17" s="1416"/>
      <c r="Y17" s="1416"/>
      <c r="Z17" s="1416"/>
      <c r="AA17" s="1416"/>
      <c r="AB17" s="1415" t="e">
        <f>#REF!</f>
        <v>#REF!</v>
      </c>
      <c r="AC17" s="1415"/>
      <c r="AD17" s="1415"/>
      <c r="AE17" s="1415"/>
      <c r="AF17" s="1415"/>
      <c r="AG17" s="1415"/>
      <c r="AH17" s="1415"/>
      <c r="AI17" s="1415"/>
      <c r="AJ17" s="1415"/>
      <c r="AK17" s="1415"/>
      <c r="AL17" s="1415"/>
      <c r="AM17" s="1415"/>
      <c r="AN17" s="1415"/>
      <c r="AO17" s="1417" t="e">
        <f>#REF!</f>
        <v>#REF!</v>
      </c>
      <c r="AP17" s="1417"/>
      <c r="AQ17" s="1417"/>
      <c r="AR17" s="1417"/>
      <c r="AS17" s="1417"/>
      <c r="AT17" s="1417"/>
      <c r="AU17" s="1417"/>
      <c r="AV17" s="1417"/>
      <c r="AW17" s="1417"/>
      <c r="AX17" s="1417"/>
      <c r="AY17" s="1417"/>
      <c r="AZ17" s="1417" t="e">
        <f>#REF!</f>
        <v>#REF!</v>
      </c>
      <c r="BA17" s="1417"/>
      <c r="BB17" s="1417"/>
      <c r="BC17" s="1417"/>
      <c r="BD17" s="1417"/>
      <c r="BE17" s="1417"/>
      <c r="BF17" s="1417"/>
      <c r="BG17" s="1417"/>
      <c r="BH17" s="1417"/>
      <c r="BI17" s="1417"/>
      <c r="BJ17" s="1417"/>
      <c r="BK17" s="1417" t="e">
        <f>#REF!</f>
        <v>#REF!</v>
      </c>
      <c r="BL17" s="1417"/>
      <c r="BM17" s="1417"/>
      <c r="BN17" s="1417"/>
      <c r="BO17" s="1417"/>
      <c r="BP17" s="1417"/>
      <c r="BQ17" s="1417"/>
      <c r="BR17" s="1417"/>
      <c r="BS17" s="1417"/>
      <c r="BT17" s="1417"/>
      <c r="BU17" s="1417"/>
      <c r="BV17" s="1417" t="e">
        <f t="shared" si="0"/>
        <v>#REF!</v>
      </c>
      <c r="BW17" s="1417"/>
      <c r="BX17" s="1417"/>
      <c r="BY17" s="1417"/>
      <c r="BZ17" s="1417"/>
      <c r="CA17" s="1417"/>
      <c r="CB17" s="1417"/>
      <c r="CC17" s="1417"/>
      <c r="CD17" s="1417"/>
      <c r="CE17" s="1417"/>
      <c r="CF17" s="1417"/>
      <c r="CG17" s="661"/>
    </row>
    <row r="18" spans="1:85" s="660" customFormat="1" ht="29.1" customHeight="1">
      <c r="A18" s="1414">
        <f t="shared" si="1"/>
        <v>15</v>
      </c>
      <c r="B18" s="1414"/>
      <c r="C18" s="1414"/>
      <c r="D18" s="1414"/>
      <c r="E18" s="1414"/>
      <c r="F18" s="1416" t="e">
        <f>#REF!</f>
        <v>#REF!</v>
      </c>
      <c r="G18" s="1416"/>
      <c r="H18" s="1416"/>
      <c r="I18" s="1416"/>
      <c r="J18" s="1416"/>
      <c r="K18" s="1416"/>
      <c r="L18" s="1416"/>
      <c r="M18" s="1416"/>
      <c r="N18" s="1416"/>
      <c r="O18" s="1416"/>
      <c r="P18" s="1416"/>
      <c r="Q18" s="1416"/>
      <c r="R18" s="1416"/>
      <c r="S18" s="1416"/>
      <c r="T18" s="1416"/>
      <c r="U18" s="1416"/>
      <c r="V18" s="1416"/>
      <c r="W18" s="1416"/>
      <c r="X18" s="1416"/>
      <c r="Y18" s="1416"/>
      <c r="Z18" s="1416"/>
      <c r="AA18" s="1416"/>
      <c r="AB18" s="1415" t="e">
        <f>#REF!</f>
        <v>#REF!</v>
      </c>
      <c r="AC18" s="1415"/>
      <c r="AD18" s="1415"/>
      <c r="AE18" s="1415"/>
      <c r="AF18" s="1415"/>
      <c r="AG18" s="1415"/>
      <c r="AH18" s="1415"/>
      <c r="AI18" s="1415"/>
      <c r="AJ18" s="1415"/>
      <c r="AK18" s="1415"/>
      <c r="AL18" s="1415"/>
      <c r="AM18" s="1415"/>
      <c r="AN18" s="1415"/>
      <c r="AO18" s="1417" t="e">
        <f>#REF!</f>
        <v>#REF!</v>
      </c>
      <c r="AP18" s="1417"/>
      <c r="AQ18" s="1417"/>
      <c r="AR18" s="1417"/>
      <c r="AS18" s="1417"/>
      <c r="AT18" s="1417"/>
      <c r="AU18" s="1417"/>
      <c r="AV18" s="1417"/>
      <c r="AW18" s="1417"/>
      <c r="AX18" s="1417"/>
      <c r="AY18" s="1417"/>
      <c r="AZ18" s="1417" t="e">
        <f>#REF!</f>
        <v>#REF!</v>
      </c>
      <c r="BA18" s="1417"/>
      <c r="BB18" s="1417"/>
      <c r="BC18" s="1417"/>
      <c r="BD18" s="1417"/>
      <c r="BE18" s="1417"/>
      <c r="BF18" s="1417"/>
      <c r="BG18" s="1417"/>
      <c r="BH18" s="1417"/>
      <c r="BI18" s="1417"/>
      <c r="BJ18" s="1417"/>
      <c r="BK18" s="1417" t="e">
        <f>#REF!</f>
        <v>#REF!</v>
      </c>
      <c r="BL18" s="1417"/>
      <c r="BM18" s="1417"/>
      <c r="BN18" s="1417"/>
      <c r="BO18" s="1417"/>
      <c r="BP18" s="1417"/>
      <c r="BQ18" s="1417"/>
      <c r="BR18" s="1417"/>
      <c r="BS18" s="1417"/>
      <c r="BT18" s="1417"/>
      <c r="BU18" s="1417"/>
      <c r="BV18" s="1417" t="e">
        <f t="shared" si="0"/>
        <v>#REF!</v>
      </c>
      <c r="BW18" s="1417"/>
      <c r="BX18" s="1417"/>
      <c r="BY18" s="1417"/>
      <c r="BZ18" s="1417"/>
      <c r="CA18" s="1417"/>
      <c r="CB18" s="1417"/>
      <c r="CC18" s="1417"/>
      <c r="CD18" s="1417"/>
      <c r="CE18" s="1417"/>
      <c r="CF18" s="1417"/>
      <c r="CG18" s="661"/>
    </row>
    <row r="19" spans="1:85" s="660" customFormat="1" ht="29.1" customHeight="1">
      <c r="A19" s="1414">
        <f t="shared" si="1"/>
        <v>16</v>
      </c>
      <c r="B19" s="1414"/>
      <c r="C19" s="1414"/>
      <c r="D19" s="1414"/>
      <c r="E19" s="1414"/>
      <c r="F19" s="1416" t="e">
        <f>#REF!</f>
        <v>#REF!</v>
      </c>
      <c r="G19" s="1416"/>
      <c r="H19" s="1416"/>
      <c r="I19" s="1416"/>
      <c r="J19" s="1416"/>
      <c r="K19" s="1416"/>
      <c r="L19" s="1416"/>
      <c r="M19" s="1416"/>
      <c r="N19" s="1416"/>
      <c r="O19" s="1416"/>
      <c r="P19" s="1416"/>
      <c r="Q19" s="1416"/>
      <c r="R19" s="1416"/>
      <c r="S19" s="1416"/>
      <c r="T19" s="1416"/>
      <c r="U19" s="1416"/>
      <c r="V19" s="1416"/>
      <c r="W19" s="1416"/>
      <c r="X19" s="1416"/>
      <c r="Y19" s="1416"/>
      <c r="Z19" s="1416"/>
      <c r="AA19" s="1416"/>
      <c r="AB19" s="1415" t="e">
        <f>#REF!</f>
        <v>#REF!</v>
      </c>
      <c r="AC19" s="1415"/>
      <c r="AD19" s="1415"/>
      <c r="AE19" s="1415"/>
      <c r="AF19" s="1415"/>
      <c r="AG19" s="1415"/>
      <c r="AH19" s="1415"/>
      <c r="AI19" s="1415"/>
      <c r="AJ19" s="1415"/>
      <c r="AK19" s="1415"/>
      <c r="AL19" s="1415"/>
      <c r="AM19" s="1415"/>
      <c r="AN19" s="1415"/>
      <c r="AO19" s="1417" t="e">
        <f>#REF!</f>
        <v>#REF!</v>
      </c>
      <c r="AP19" s="1417"/>
      <c r="AQ19" s="1417"/>
      <c r="AR19" s="1417"/>
      <c r="AS19" s="1417"/>
      <c r="AT19" s="1417"/>
      <c r="AU19" s="1417"/>
      <c r="AV19" s="1417"/>
      <c r="AW19" s="1417"/>
      <c r="AX19" s="1417"/>
      <c r="AY19" s="1417"/>
      <c r="AZ19" s="1417" t="e">
        <f>#REF!</f>
        <v>#REF!</v>
      </c>
      <c r="BA19" s="1417"/>
      <c r="BB19" s="1417"/>
      <c r="BC19" s="1417"/>
      <c r="BD19" s="1417"/>
      <c r="BE19" s="1417"/>
      <c r="BF19" s="1417"/>
      <c r="BG19" s="1417"/>
      <c r="BH19" s="1417"/>
      <c r="BI19" s="1417"/>
      <c r="BJ19" s="1417"/>
      <c r="BK19" s="1417" t="e">
        <f>#REF!</f>
        <v>#REF!</v>
      </c>
      <c r="BL19" s="1417"/>
      <c r="BM19" s="1417"/>
      <c r="BN19" s="1417"/>
      <c r="BO19" s="1417"/>
      <c r="BP19" s="1417"/>
      <c r="BQ19" s="1417"/>
      <c r="BR19" s="1417"/>
      <c r="BS19" s="1417"/>
      <c r="BT19" s="1417"/>
      <c r="BU19" s="1417"/>
      <c r="BV19" s="1417" t="e">
        <f>AO19+AZ19+BK19</f>
        <v>#REF!</v>
      </c>
      <c r="BW19" s="1417"/>
      <c r="BX19" s="1417"/>
      <c r="BY19" s="1417"/>
      <c r="BZ19" s="1417"/>
      <c r="CA19" s="1417"/>
      <c r="CB19" s="1417"/>
      <c r="CC19" s="1417"/>
      <c r="CD19" s="1417"/>
      <c r="CE19" s="1417"/>
      <c r="CF19" s="1417"/>
      <c r="CG19" s="661"/>
    </row>
    <row r="20" spans="1:85" s="660" customFormat="1" ht="29.1" customHeight="1">
      <c r="A20" s="1414">
        <f t="shared" si="1"/>
        <v>17</v>
      </c>
      <c r="B20" s="1414"/>
      <c r="C20" s="1414"/>
      <c r="D20" s="1414"/>
      <c r="E20" s="1414"/>
      <c r="F20" s="1416" t="e">
        <f>#REF!</f>
        <v>#REF!</v>
      </c>
      <c r="G20" s="1416"/>
      <c r="H20" s="1416"/>
      <c r="I20" s="1416"/>
      <c r="J20" s="1416"/>
      <c r="K20" s="1416"/>
      <c r="L20" s="1416"/>
      <c r="M20" s="1416"/>
      <c r="N20" s="1416"/>
      <c r="O20" s="1416"/>
      <c r="P20" s="1416"/>
      <c r="Q20" s="1416"/>
      <c r="R20" s="1416"/>
      <c r="S20" s="1416"/>
      <c r="T20" s="1416"/>
      <c r="U20" s="1416"/>
      <c r="V20" s="1416"/>
      <c r="W20" s="1416"/>
      <c r="X20" s="1416"/>
      <c r="Y20" s="1416"/>
      <c r="Z20" s="1416"/>
      <c r="AA20" s="1416"/>
      <c r="AB20" s="1415" t="e">
        <f>#REF!</f>
        <v>#REF!</v>
      </c>
      <c r="AC20" s="1415"/>
      <c r="AD20" s="1415"/>
      <c r="AE20" s="1415"/>
      <c r="AF20" s="1415"/>
      <c r="AG20" s="1415"/>
      <c r="AH20" s="1415"/>
      <c r="AI20" s="1415"/>
      <c r="AJ20" s="1415"/>
      <c r="AK20" s="1415"/>
      <c r="AL20" s="1415"/>
      <c r="AM20" s="1415"/>
      <c r="AN20" s="1415"/>
      <c r="AO20" s="1417" t="e">
        <f>#REF!</f>
        <v>#REF!</v>
      </c>
      <c r="AP20" s="1417"/>
      <c r="AQ20" s="1417"/>
      <c r="AR20" s="1417"/>
      <c r="AS20" s="1417"/>
      <c r="AT20" s="1417"/>
      <c r="AU20" s="1417"/>
      <c r="AV20" s="1417"/>
      <c r="AW20" s="1417"/>
      <c r="AX20" s="1417"/>
      <c r="AY20" s="1417"/>
      <c r="AZ20" s="1417" t="e">
        <f>#REF!</f>
        <v>#REF!</v>
      </c>
      <c r="BA20" s="1417"/>
      <c r="BB20" s="1417"/>
      <c r="BC20" s="1417"/>
      <c r="BD20" s="1417"/>
      <c r="BE20" s="1417"/>
      <c r="BF20" s="1417"/>
      <c r="BG20" s="1417"/>
      <c r="BH20" s="1417"/>
      <c r="BI20" s="1417"/>
      <c r="BJ20" s="1417"/>
      <c r="BK20" s="1417" t="e">
        <f>#REF!</f>
        <v>#REF!</v>
      </c>
      <c r="BL20" s="1417"/>
      <c r="BM20" s="1417"/>
      <c r="BN20" s="1417"/>
      <c r="BO20" s="1417"/>
      <c r="BP20" s="1417"/>
      <c r="BQ20" s="1417"/>
      <c r="BR20" s="1417"/>
      <c r="BS20" s="1417"/>
      <c r="BT20" s="1417"/>
      <c r="BU20" s="1417"/>
      <c r="BV20" s="1417" t="e">
        <f t="shared" si="0"/>
        <v>#REF!</v>
      </c>
      <c r="BW20" s="1417"/>
      <c r="BX20" s="1417"/>
      <c r="BY20" s="1417"/>
      <c r="BZ20" s="1417"/>
      <c r="CA20" s="1417"/>
      <c r="CB20" s="1417"/>
      <c r="CC20" s="1417"/>
      <c r="CD20" s="1417"/>
      <c r="CE20" s="1417"/>
      <c r="CF20" s="1417"/>
      <c r="CG20" s="661"/>
    </row>
    <row r="21" spans="1:85" s="660" customFormat="1" ht="29.1" customHeight="1">
      <c r="A21" s="1414">
        <f t="shared" si="1"/>
        <v>18</v>
      </c>
      <c r="B21" s="1414"/>
      <c r="C21" s="1414"/>
      <c r="D21" s="1414"/>
      <c r="E21" s="1414"/>
      <c r="F21" s="1415" t="e">
        <f>#REF!</f>
        <v>#REF!</v>
      </c>
      <c r="G21" s="1415"/>
      <c r="H21" s="1415"/>
      <c r="I21" s="1415"/>
      <c r="J21" s="1415"/>
      <c r="K21" s="1415"/>
      <c r="L21" s="1415"/>
      <c r="M21" s="1415"/>
      <c r="N21" s="1415"/>
      <c r="O21" s="1415"/>
      <c r="P21" s="1415"/>
      <c r="Q21" s="1415"/>
      <c r="R21" s="1415"/>
      <c r="S21" s="1415"/>
      <c r="T21" s="1415"/>
      <c r="U21" s="1415"/>
      <c r="V21" s="1415"/>
      <c r="W21" s="1415"/>
      <c r="X21" s="1415"/>
      <c r="Y21" s="1415"/>
      <c r="Z21" s="1415"/>
      <c r="AA21" s="1415"/>
      <c r="AB21" s="1415" t="e">
        <f>#REF!</f>
        <v>#REF!</v>
      </c>
      <c r="AC21" s="1415"/>
      <c r="AD21" s="1415"/>
      <c r="AE21" s="1415"/>
      <c r="AF21" s="1415"/>
      <c r="AG21" s="1415"/>
      <c r="AH21" s="1415"/>
      <c r="AI21" s="1415"/>
      <c r="AJ21" s="1415"/>
      <c r="AK21" s="1415"/>
      <c r="AL21" s="1415"/>
      <c r="AM21" s="1415"/>
      <c r="AN21" s="1415"/>
      <c r="AO21" s="1417" t="e">
        <f>#REF!</f>
        <v>#REF!</v>
      </c>
      <c r="AP21" s="1417"/>
      <c r="AQ21" s="1417"/>
      <c r="AR21" s="1417"/>
      <c r="AS21" s="1417"/>
      <c r="AT21" s="1417"/>
      <c r="AU21" s="1417"/>
      <c r="AV21" s="1417"/>
      <c r="AW21" s="1417"/>
      <c r="AX21" s="1417"/>
      <c r="AY21" s="1417"/>
      <c r="AZ21" s="1417" t="e">
        <f>#REF!</f>
        <v>#REF!</v>
      </c>
      <c r="BA21" s="1417"/>
      <c r="BB21" s="1417"/>
      <c r="BC21" s="1417"/>
      <c r="BD21" s="1417"/>
      <c r="BE21" s="1417"/>
      <c r="BF21" s="1417"/>
      <c r="BG21" s="1417"/>
      <c r="BH21" s="1417"/>
      <c r="BI21" s="1417"/>
      <c r="BJ21" s="1417"/>
      <c r="BK21" s="1417" t="e">
        <f>#REF!</f>
        <v>#REF!</v>
      </c>
      <c r="BL21" s="1417"/>
      <c r="BM21" s="1417"/>
      <c r="BN21" s="1417"/>
      <c r="BO21" s="1417"/>
      <c r="BP21" s="1417"/>
      <c r="BQ21" s="1417"/>
      <c r="BR21" s="1417"/>
      <c r="BS21" s="1417"/>
      <c r="BT21" s="1417"/>
      <c r="BU21" s="1417"/>
      <c r="BV21" s="1417" t="e">
        <f t="shared" si="0"/>
        <v>#REF!</v>
      </c>
      <c r="BW21" s="1417"/>
      <c r="BX21" s="1417"/>
      <c r="BY21" s="1417"/>
      <c r="BZ21" s="1417"/>
      <c r="CA21" s="1417"/>
      <c r="CB21" s="1417"/>
      <c r="CC21" s="1417"/>
      <c r="CD21" s="1417"/>
      <c r="CE21" s="1417"/>
      <c r="CF21" s="1417"/>
      <c r="CG21" s="661"/>
    </row>
    <row r="22" spans="1:85" s="660" customFormat="1" ht="29.1" customHeight="1">
      <c r="A22" s="1414">
        <f t="shared" si="1"/>
        <v>19</v>
      </c>
      <c r="B22" s="1414"/>
      <c r="C22" s="1414"/>
      <c r="D22" s="1414"/>
      <c r="E22" s="1414"/>
      <c r="F22" s="1415" t="e">
        <f>#REF!</f>
        <v>#REF!</v>
      </c>
      <c r="G22" s="1415"/>
      <c r="H22" s="1415"/>
      <c r="I22" s="1415"/>
      <c r="J22" s="1415"/>
      <c r="K22" s="1415"/>
      <c r="L22" s="1415"/>
      <c r="M22" s="1415"/>
      <c r="N22" s="1415"/>
      <c r="O22" s="1415"/>
      <c r="P22" s="1415"/>
      <c r="Q22" s="1415"/>
      <c r="R22" s="1415"/>
      <c r="S22" s="1415"/>
      <c r="T22" s="1415"/>
      <c r="U22" s="1415"/>
      <c r="V22" s="1415"/>
      <c r="W22" s="1415"/>
      <c r="X22" s="1415"/>
      <c r="Y22" s="1415"/>
      <c r="Z22" s="1415"/>
      <c r="AA22" s="1415"/>
      <c r="AB22" s="1415" t="e">
        <f>#REF!</f>
        <v>#REF!</v>
      </c>
      <c r="AC22" s="1415"/>
      <c r="AD22" s="1415"/>
      <c r="AE22" s="1415"/>
      <c r="AF22" s="1415"/>
      <c r="AG22" s="1415"/>
      <c r="AH22" s="1415"/>
      <c r="AI22" s="1415"/>
      <c r="AJ22" s="1415"/>
      <c r="AK22" s="1415"/>
      <c r="AL22" s="1415"/>
      <c r="AM22" s="1415"/>
      <c r="AN22" s="1415"/>
      <c r="AO22" s="1417" t="e">
        <f>#REF!</f>
        <v>#REF!</v>
      </c>
      <c r="AP22" s="1417"/>
      <c r="AQ22" s="1417"/>
      <c r="AR22" s="1417"/>
      <c r="AS22" s="1417"/>
      <c r="AT22" s="1417"/>
      <c r="AU22" s="1417"/>
      <c r="AV22" s="1417"/>
      <c r="AW22" s="1417"/>
      <c r="AX22" s="1417"/>
      <c r="AY22" s="1417"/>
      <c r="AZ22" s="1417" t="e">
        <f>#REF!</f>
        <v>#REF!</v>
      </c>
      <c r="BA22" s="1417"/>
      <c r="BB22" s="1417"/>
      <c r="BC22" s="1417"/>
      <c r="BD22" s="1417"/>
      <c r="BE22" s="1417"/>
      <c r="BF22" s="1417"/>
      <c r="BG22" s="1417"/>
      <c r="BH22" s="1417"/>
      <c r="BI22" s="1417"/>
      <c r="BJ22" s="1417"/>
      <c r="BK22" s="1417" t="e">
        <f>#REF!</f>
        <v>#REF!</v>
      </c>
      <c r="BL22" s="1417"/>
      <c r="BM22" s="1417"/>
      <c r="BN22" s="1417"/>
      <c r="BO22" s="1417"/>
      <c r="BP22" s="1417"/>
      <c r="BQ22" s="1417"/>
      <c r="BR22" s="1417"/>
      <c r="BS22" s="1417"/>
      <c r="BT22" s="1417"/>
      <c r="BU22" s="1417"/>
      <c r="BV22" s="1417" t="e">
        <f t="shared" si="0"/>
        <v>#REF!</v>
      </c>
      <c r="BW22" s="1417"/>
      <c r="BX22" s="1417"/>
      <c r="BY22" s="1417"/>
      <c r="BZ22" s="1417"/>
      <c r="CA22" s="1417"/>
      <c r="CB22" s="1417"/>
      <c r="CC22" s="1417"/>
      <c r="CD22" s="1417"/>
      <c r="CE22" s="1417"/>
      <c r="CF22" s="1417"/>
      <c r="CG22" s="661"/>
    </row>
    <row r="23" spans="1:85" s="660" customFormat="1" ht="29.1" customHeight="1">
      <c r="A23" s="1414">
        <f t="shared" si="1"/>
        <v>20</v>
      </c>
      <c r="B23" s="1414"/>
      <c r="C23" s="1414"/>
      <c r="D23" s="1414"/>
      <c r="E23" s="1414"/>
      <c r="F23" s="1415" t="e">
        <f>#REF!</f>
        <v>#REF!</v>
      </c>
      <c r="G23" s="1415"/>
      <c r="H23" s="1415"/>
      <c r="I23" s="1415"/>
      <c r="J23" s="1415"/>
      <c r="K23" s="1415"/>
      <c r="L23" s="1415"/>
      <c r="M23" s="1415"/>
      <c r="N23" s="1415"/>
      <c r="O23" s="1415"/>
      <c r="P23" s="1415"/>
      <c r="Q23" s="1415"/>
      <c r="R23" s="1415"/>
      <c r="S23" s="1415"/>
      <c r="T23" s="1415"/>
      <c r="U23" s="1415"/>
      <c r="V23" s="1415"/>
      <c r="W23" s="1415"/>
      <c r="X23" s="1415"/>
      <c r="Y23" s="1415"/>
      <c r="Z23" s="1415"/>
      <c r="AA23" s="1415"/>
      <c r="AB23" s="1415" t="e">
        <f>#REF!</f>
        <v>#REF!</v>
      </c>
      <c r="AC23" s="1415"/>
      <c r="AD23" s="1415"/>
      <c r="AE23" s="1415"/>
      <c r="AF23" s="1415"/>
      <c r="AG23" s="1415"/>
      <c r="AH23" s="1415"/>
      <c r="AI23" s="1415"/>
      <c r="AJ23" s="1415"/>
      <c r="AK23" s="1415"/>
      <c r="AL23" s="1415"/>
      <c r="AM23" s="1415"/>
      <c r="AN23" s="1415"/>
      <c r="AO23" s="1417" t="e">
        <f>#REF!</f>
        <v>#REF!</v>
      </c>
      <c r="AP23" s="1417"/>
      <c r="AQ23" s="1417"/>
      <c r="AR23" s="1417"/>
      <c r="AS23" s="1417"/>
      <c r="AT23" s="1417"/>
      <c r="AU23" s="1417"/>
      <c r="AV23" s="1417"/>
      <c r="AW23" s="1417"/>
      <c r="AX23" s="1417"/>
      <c r="AY23" s="1417"/>
      <c r="AZ23" s="1417" t="e">
        <f>#REF!</f>
        <v>#REF!</v>
      </c>
      <c r="BA23" s="1417"/>
      <c r="BB23" s="1417"/>
      <c r="BC23" s="1417"/>
      <c r="BD23" s="1417"/>
      <c r="BE23" s="1417"/>
      <c r="BF23" s="1417"/>
      <c r="BG23" s="1417"/>
      <c r="BH23" s="1417"/>
      <c r="BI23" s="1417"/>
      <c r="BJ23" s="1417"/>
      <c r="BK23" s="1417" t="e">
        <f>#REF!</f>
        <v>#REF!</v>
      </c>
      <c r="BL23" s="1417"/>
      <c r="BM23" s="1417"/>
      <c r="BN23" s="1417"/>
      <c r="BO23" s="1417"/>
      <c r="BP23" s="1417"/>
      <c r="BQ23" s="1417"/>
      <c r="BR23" s="1417"/>
      <c r="BS23" s="1417"/>
      <c r="BT23" s="1417"/>
      <c r="BU23" s="1417"/>
      <c r="BV23" s="1417" t="e">
        <f t="shared" si="0"/>
        <v>#REF!</v>
      </c>
      <c r="BW23" s="1417"/>
      <c r="BX23" s="1417"/>
      <c r="BY23" s="1417"/>
      <c r="BZ23" s="1417"/>
      <c r="CA23" s="1417"/>
      <c r="CB23" s="1417"/>
      <c r="CC23" s="1417"/>
      <c r="CD23" s="1417"/>
      <c r="CE23" s="1417"/>
      <c r="CF23" s="1417"/>
      <c r="CG23" s="661"/>
    </row>
    <row r="24" spans="1:85" s="660" customFormat="1" ht="29.1" customHeight="1">
      <c r="A24" s="1414">
        <f t="shared" si="1"/>
        <v>21</v>
      </c>
      <c r="B24" s="1414"/>
      <c r="C24" s="1414"/>
      <c r="D24" s="1414"/>
      <c r="E24" s="1414"/>
      <c r="F24" s="1415" t="e">
        <f>#REF!</f>
        <v>#REF!</v>
      </c>
      <c r="G24" s="1415"/>
      <c r="H24" s="1415"/>
      <c r="I24" s="1415"/>
      <c r="J24" s="1415"/>
      <c r="K24" s="1415"/>
      <c r="L24" s="1415"/>
      <c r="M24" s="1415"/>
      <c r="N24" s="1415"/>
      <c r="O24" s="1415"/>
      <c r="P24" s="1415"/>
      <c r="Q24" s="1415"/>
      <c r="R24" s="1415"/>
      <c r="S24" s="1415"/>
      <c r="T24" s="1415"/>
      <c r="U24" s="1415"/>
      <c r="V24" s="1415"/>
      <c r="W24" s="1415"/>
      <c r="X24" s="1415"/>
      <c r="Y24" s="1415"/>
      <c r="Z24" s="1415"/>
      <c r="AA24" s="1415"/>
      <c r="AB24" s="1415" t="e">
        <f>#REF!</f>
        <v>#REF!</v>
      </c>
      <c r="AC24" s="1415"/>
      <c r="AD24" s="1415"/>
      <c r="AE24" s="1415"/>
      <c r="AF24" s="1415"/>
      <c r="AG24" s="1415"/>
      <c r="AH24" s="1415"/>
      <c r="AI24" s="1415"/>
      <c r="AJ24" s="1415"/>
      <c r="AK24" s="1415"/>
      <c r="AL24" s="1415"/>
      <c r="AM24" s="1415"/>
      <c r="AN24" s="1415"/>
      <c r="AO24" s="1417" t="e">
        <f>#REF!</f>
        <v>#REF!</v>
      </c>
      <c r="AP24" s="1417"/>
      <c r="AQ24" s="1417"/>
      <c r="AR24" s="1417"/>
      <c r="AS24" s="1417"/>
      <c r="AT24" s="1417"/>
      <c r="AU24" s="1417"/>
      <c r="AV24" s="1417"/>
      <c r="AW24" s="1417"/>
      <c r="AX24" s="1417"/>
      <c r="AY24" s="1417"/>
      <c r="AZ24" s="1417" t="e">
        <f>#REF!</f>
        <v>#REF!</v>
      </c>
      <c r="BA24" s="1417"/>
      <c r="BB24" s="1417"/>
      <c r="BC24" s="1417"/>
      <c r="BD24" s="1417"/>
      <c r="BE24" s="1417"/>
      <c r="BF24" s="1417"/>
      <c r="BG24" s="1417"/>
      <c r="BH24" s="1417"/>
      <c r="BI24" s="1417"/>
      <c r="BJ24" s="1417"/>
      <c r="BK24" s="1417" t="e">
        <f>#REF!</f>
        <v>#REF!</v>
      </c>
      <c r="BL24" s="1417"/>
      <c r="BM24" s="1417"/>
      <c r="BN24" s="1417"/>
      <c r="BO24" s="1417"/>
      <c r="BP24" s="1417"/>
      <c r="BQ24" s="1417"/>
      <c r="BR24" s="1417"/>
      <c r="BS24" s="1417"/>
      <c r="BT24" s="1417"/>
      <c r="BU24" s="1417"/>
      <c r="BV24" s="1417" t="e">
        <f t="shared" si="0"/>
        <v>#REF!</v>
      </c>
      <c r="BW24" s="1417"/>
      <c r="BX24" s="1417"/>
      <c r="BY24" s="1417"/>
      <c r="BZ24" s="1417"/>
      <c r="CA24" s="1417"/>
      <c r="CB24" s="1417"/>
      <c r="CC24" s="1417"/>
      <c r="CD24" s="1417"/>
      <c r="CE24" s="1417"/>
      <c r="CF24" s="1417"/>
      <c r="CG24" s="661"/>
    </row>
    <row r="25" spans="1:85" s="660" customFormat="1" ht="29.1" customHeight="1">
      <c r="A25" s="1414">
        <f t="shared" si="1"/>
        <v>22</v>
      </c>
      <c r="B25" s="1414"/>
      <c r="C25" s="1414"/>
      <c r="D25" s="1414"/>
      <c r="E25" s="1414"/>
      <c r="F25" s="1415" t="e">
        <f>#REF!</f>
        <v>#REF!</v>
      </c>
      <c r="G25" s="1415"/>
      <c r="H25" s="1415"/>
      <c r="I25" s="1415"/>
      <c r="J25" s="1415"/>
      <c r="K25" s="1415"/>
      <c r="L25" s="1415"/>
      <c r="M25" s="1415"/>
      <c r="N25" s="1415"/>
      <c r="O25" s="1415"/>
      <c r="P25" s="1415"/>
      <c r="Q25" s="1415"/>
      <c r="R25" s="1415"/>
      <c r="S25" s="1415"/>
      <c r="T25" s="1415"/>
      <c r="U25" s="1415"/>
      <c r="V25" s="1415"/>
      <c r="W25" s="1415"/>
      <c r="X25" s="1415"/>
      <c r="Y25" s="1415"/>
      <c r="Z25" s="1415"/>
      <c r="AA25" s="1415"/>
      <c r="AB25" s="1416" t="e">
        <f>#REF!</f>
        <v>#REF!</v>
      </c>
      <c r="AC25" s="1416"/>
      <c r="AD25" s="1416"/>
      <c r="AE25" s="1416"/>
      <c r="AF25" s="1416"/>
      <c r="AG25" s="1416"/>
      <c r="AH25" s="1416"/>
      <c r="AI25" s="1416"/>
      <c r="AJ25" s="1416"/>
      <c r="AK25" s="1416"/>
      <c r="AL25" s="1416"/>
      <c r="AM25" s="1416"/>
      <c r="AN25" s="1416"/>
      <c r="AO25" s="1417" t="e">
        <f>#REF!</f>
        <v>#REF!</v>
      </c>
      <c r="AP25" s="1417"/>
      <c r="AQ25" s="1417"/>
      <c r="AR25" s="1417"/>
      <c r="AS25" s="1417"/>
      <c r="AT25" s="1417"/>
      <c r="AU25" s="1417"/>
      <c r="AV25" s="1417"/>
      <c r="AW25" s="1417"/>
      <c r="AX25" s="1417"/>
      <c r="AY25" s="1417"/>
      <c r="AZ25" s="1417" t="e">
        <f>#REF!</f>
        <v>#REF!</v>
      </c>
      <c r="BA25" s="1417"/>
      <c r="BB25" s="1417"/>
      <c r="BC25" s="1417"/>
      <c r="BD25" s="1417"/>
      <c r="BE25" s="1417"/>
      <c r="BF25" s="1417"/>
      <c r="BG25" s="1417"/>
      <c r="BH25" s="1417"/>
      <c r="BI25" s="1417"/>
      <c r="BJ25" s="1417"/>
      <c r="BK25" s="1417" t="e">
        <f>#REF!</f>
        <v>#REF!</v>
      </c>
      <c r="BL25" s="1417"/>
      <c r="BM25" s="1417"/>
      <c r="BN25" s="1417"/>
      <c r="BO25" s="1417"/>
      <c r="BP25" s="1417"/>
      <c r="BQ25" s="1417"/>
      <c r="BR25" s="1417"/>
      <c r="BS25" s="1417"/>
      <c r="BT25" s="1417"/>
      <c r="BU25" s="1417"/>
      <c r="BV25" s="1417" t="e">
        <f t="shared" si="0"/>
        <v>#REF!</v>
      </c>
      <c r="BW25" s="1417"/>
      <c r="BX25" s="1417"/>
      <c r="BY25" s="1417"/>
      <c r="BZ25" s="1417"/>
      <c r="CA25" s="1417"/>
      <c r="CB25" s="1417"/>
      <c r="CC25" s="1417"/>
      <c r="CD25" s="1417"/>
      <c r="CE25" s="1417"/>
      <c r="CF25" s="1417"/>
      <c r="CG25" s="661"/>
    </row>
    <row r="26" spans="1:85" s="660" customFormat="1" ht="29.1" customHeight="1">
      <c r="A26" s="1414">
        <f t="shared" si="1"/>
        <v>23</v>
      </c>
      <c r="B26" s="1414"/>
      <c r="C26" s="1414"/>
      <c r="D26" s="1414"/>
      <c r="E26" s="1414"/>
      <c r="F26" s="1415" t="e">
        <f>#REF!</f>
        <v>#REF!</v>
      </c>
      <c r="G26" s="1415"/>
      <c r="H26" s="1415"/>
      <c r="I26" s="1415"/>
      <c r="J26" s="1415"/>
      <c r="K26" s="1415"/>
      <c r="L26" s="1415"/>
      <c r="M26" s="1415"/>
      <c r="N26" s="1415"/>
      <c r="O26" s="1415"/>
      <c r="P26" s="1415"/>
      <c r="Q26" s="1415"/>
      <c r="R26" s="1415"/>
      <c r="S26" s="1415"/>
      <c r="T26" s="1415"/>
      <c r="U26" s="1415"/>
      <c r="V26" s="1415"/>
      <c r="W26" s="1415"/>
      <c r="X26" s="1415"/>
      <c r="Y26" s="1415"/>
      <c r="Z26" s="1415"/>
      <c r="AA26" s="1415"/>
      <c r="AB26" s="1416" t="e">
        <f>#REF!</f>
        <v>#REF!</v>
      </c>
      <c r="AC26" s="1416"/>
      <c r="AD26" s="1416"/>
      <c r="AE26" s="1416"/>
      <c r="AF26" s="1416"/>
      <c r="AG26" s="1416"/>
      <c r="AH26" s="1416"/>
      <c r="AI26" s="1416"/>
      <c r="AJ26" s="1416"/>
      <c r="AK26" s="1416"/>
      <c r="AL26" s="1416"/>
      <c r="AM26" s="1416"/>
      <c r="AN26" s="1416"/>
      <c r="AO26" s="1417" t="e">
        <f>#REF!</f>
        <v>#REF!</v>
      </c>
      <c r="AP26" s="1417"/>
      <c r="AQ26" s="1417"/>
      <c r="AR26" s="1417"/>
      <c r="AS26" s="1417"/>
      <c r="AT26" s="1417"/>
      <c r="AU26" s="1417"/>
      <c r="AV26" s="1417"/>
      <c r="AW26" s="1417"/>
      <c r="AX26" s="1417"/>
      <c r="AY26" s="1417"/>
      <c r="AZ26" s="1417" t="e">
        <f>#REF!</f>
        <v>#REF!</v>
      </c>
      <c r="BA26" s="1417"/>
      <c r="BB26" s="1417"/>
      <c r="BC26" s="1417"/>
      <c r="BD26" s="1417"/>
      <c r="BE26" s="1417"/>
      <c r="BF26" s="1417"/>
      <c r="BG26" s="1417"/>
      <c r="BH26" s="1417"/>
      <c r="BI26" s="1417"/>
      <c r="BJ26" s="1417"/>
      <c r="BK26" s="1417" t="e">
        <f>#REF!</f>
        <v>#REF!</v>
      </c>
      <c r="BL26" s="1417"/>
      <c r="BM26" s="1417"/>
      <c r="BN26" s="1417"/>
      <c r="BO26" s="1417"/>
      <c r="BP26" s="1417"/>
      <c r="BQ26" s="1417"/>
      <c r="BR26" s="1417"/>
      <c r="BS26" s="1417"/>
      <c r="BT26" s="1417"/>
      <c r="BU26" s="1417"/>
      <c r="BV26" s="1417" t="e">
        <f t="shared" si="0"/>
        <v>#REF!</v>
      </c>
      <c r="BW26" s="1417"/>
      <c r="BX26" s="1417"/>
      <c r="BY26" s="1417"/>
      <c r="BZ26" s="1417"/>
      <c r="CA26" s="1417"/>
      <c r="CB26" s="1417"/>
      <c r="CC26" s="1417"/>
      <c r="CD26" s="1417"/>
      <c r="CE26" s="1417"/>
      <c r="CF26" s="1417"/>
      <c r="CG26" s="661"/>
    </row>
    <row r="27" spans="1:85" s="660" customFormat="1" ht="29.1" customHeight="1">
      <c r="A27" s="1414">
        <f t="shared" si="1"/>
        <v>24</v>
      </c>
      <c r="B27" s="1414"/>
      <c r="C27" s="1414"/>
      <c r="D27" s="1414"/>
      <c r="E27" s="1414"/>
      <c r="F27" s="1415" t="e">
        <f>#REF!</f>
        <v>#REF!</v>
      </c>
      <c r="G27" s="1415"/>
      <c r="H27" s="1415"/>
      <c r="I27" s="1415"/>
      <c r="J27" s="1415"/>
      <c r="K27" s="1415"/>
      <c r="L27" s="1415"/>
      <c r="M27" s="1415"/>
      <c r="N27" s="1415"/>
      <c r="O27" s="1415"/>
      <c r="P27" s="1415"/>
      <c r="Q27" s="1415"/>
      <c r="R27" s="1415"/>
      <c r="S27" s="1415"/>
      <c r="T27" s="1415"/>
      <c r="U27" s="1415"/>
      <c r="V27" s="1415"/>
      <c r="W27" s="1415"/>
      <c r="X27" s="1415"/>
      <c r="Y27" s="1415"/>
      <c r="Z27" s="1415"/>
      <c r="AA27" s="1415"/>
      <c r="AB27" s="1418" t="e">
        <f>#REF!</f>
        <v>#REF!</v>
      </c>
      <c r="AC27" s="1419"/>
      <c r="AD27" s="1419"/>
      <c r="AE27" s="1419"/>
      <c r="AF27" s="1419"/>
      <c r="AG27" s="1419"/>
      <c r="AH27" s="1419"/>
      <c r="AI27" s="1419"/>
      <c r="AJ27" s="1419"/>
      <c r="AK27" s="1419"/>
      <c r="AL27" s="1419"/>
      <c r="AM27" s="1419"/>
      <c r="AN27" s="1420"/>
      <c r="AO27" s="1417" t="e">
        <f>#REF!</f>
        <v>#REF!</v>
      </c>
      <c r="AP27" s="1417"/>
      <c r="AQ27" s="1417"/>
      <c r="AR27" s="1417"/>
      <c r="AS27" s="1417"/>
      <c r="AT27" s="1417"/>
      <c r="AU27" s="1417"/>
      <c r="AV27" s="1417"/>
      <c r="AW27" s="1417"/>
      <c r="AX27" s="1417"/>
      <c r="AY27" s="1417"/>
      <c r="AZ27" s="1417" t="e">
        <f>#REF!</f>
        <v>#REF!</v>
      </c>
      <c r="BA27" s="1417"/>
      <c r="BB27" s="1417"/>
      <c r="BC27" s="1417"/>
      <c r="BD27" s="1417"/>
      <c r="BE27" s="1417"/>
      <c r="BF27" s="1417"/>
      <c r="BG27" s="1417"/>
      <c r="BH27" s="1417"/>
      <c r="BI27" s="1417"/>
      <c r="BJ27" s="1417"/>
      <c r="BK27" s="1417" t="e">
        <f>#REF!</f>
        <v>#REF!</v>
      </c>
      <c r="BL27" s="1417"/>
      <c r="BM27" s="1417"/>
      <c r="BN27" s="1417"/>
      <c r="BO27" s="1417"/>
      <c r="BP27" s="1417"/>
      <c r="BQ27" s="1417"/>
      <c r="BR27" s="1417"/>
      <c r="BS27" s="1417"/>
      <c r="BT27" s="1417"/>
      <c r="BU27" s="1417"/>
      <c r="BV27" s="1417" t="e">
        <f t="shared" si="0"/>
        <v>#REF!</v>
      </c>
      <c r="BW27" s="1417"/>
      <c r="BX27" s="1417"/>
      <c r="BY27" s="1417"/>
      <c r="BZ27" s="1417"/>
      <c r="CA27" s="1417"/>
      <c r="CB27" s="1417"/>
      <c r="CC27" s="1417"/>
      <c r="CD27" s="1417"/>
      <c r="CE27" s="1417"/>
      <c r="CF27" s="1417"/>
      <c r="CG27" s="661"/>
    </row>
    <row r="28" spans="1:85" s="660" customFormat="1" ht="29.1" customHeight="1">
      <c r="A28" s="1414">
        <f t="shared" si="1"/>
        <v>25</v>
      </c>
      <c r="B28" s="1414"/>
      <c r="C28" s="1414"/>
      <c r="D28" s="1414"/>
      <c r="E28" s="1414"/>
      <c r="F28" s="1415" t="e">
        <f>#REF!</f>
        <v>#REF!</v>
      </c>
      <c r="G28" s="1415"/>
      <c r="H28" s="1415"/>
      <c r="I28" s="1415"/>
      <c r="J28" s="1415"/>
      <c r="K28" s="1415"/>
      <c r="L28" s="1415"/>
      <c r="M28" s="1415"/>
      <c r="N28" s="1415"/>
      <c r="O28" s="1415"/>
      <c r="P28" s="1415"/>
      <c r="Q28" s="1415"/>
      <c r="R28" s="1415"/>
      <c r="S28" s="1415"/>
      <c r="T28" s="1415"/>
      <c r="U28" s="1415"/>
      <c r="V28" s="1415"/>
      <c r="W28" s="1415"/>
      <c r="X28" s="1415"/>
      <c r="Y28" s="1415"/>
      <c r="Z28" s="1415"/>
      <c r="AA28" s="1415"/>
      <c r="AB28" s="1418" t="e">
        <f>#REF!</f>
        <v>#REF!</v>
      </c>
      <c r="AC28" s="1419"/>
      <c r="AD28" s="1419"/>
      <c r="AE28" s="1419"/>
      <c r="AF28" s="1419"/>
      <c r="AG28" s="1419"/>
      <c r="AH28" s="1419"/>
      <c r="AI28" s="1419"/>
      <c r="AJ28" s="1419"/>
      <c r="AK28" s="1419"/>
      <c r="AL28" s="1419"/>
      <c r="AM28" s="1419"/>
      <c r="AN28" s="1420"/>
      <c r="AO28" s="1417" t="e">
        <f>#REF!</f>
        <v>#REF!</v>
      </c>
      <c r="AP28" s="1417"/>
      <c r="AQ28" s="1417"/>
      <c r="AR28" s="1417"/>
      <c r="AS28" s="1417"/>
      <c r="AT28" s="1417"/>
      <c r="AU28" s="1417"/>
      <c r="AV28" s="1417"/>
      <c r="AW28" s="1417"/>
      <c r="AX28" s="1417"/>
      <c r="AY28" s="1417"/>
      <c r="AZ28" s="1417" t="e">
        <f>#REF!</f>
        <v>#REF!</v>
      </c>
      <c r="BA28" s="1417"/>
      <c r="BB28" s="1417"/>
      <c r="BC28" s="1417"/>
      <c r="BD28" s="1417"/>
      <c r="BE28" s="1417"/>
      <c r="BF28" s="1417"/>
      <c r="BG28" s="1417"/>
      <c r="BH28" s="1417"/>
      <c r="BI28" s="1417"/>
      <c r="BJ28" s="1417"/>
      <c r="BK28" s="1417" t="e">
        <f>#REF!</f>
        <v>#REF!</v>
      </c>
      <c r="BL28" s="1417"/>
      <c r="BM28" s="1417"/>
      <c r="BN28" s="1417"/>
      <c r="BO28" s="1417"/>
      <c r="BP28" s="1417"/>
      <c r="BQ28" s="1417"/>
      <c r="BR28" s="1417"/>
      <c r="BS28" s="1417"/>
      <c r="BT28" s="1417"/>
      <c r="BU28" s="1417"/>
      <c r="BV28" s="1417" t="e">
        <f>AO28+AZ28+BK28</f>
        <v>#REF!</v>
      </c>
      <c r="BW28" s="1417"/>
      <c r="BX28" s="1417"/>
      <c r="BY28" s="1417"/>
      <c r="BZ28" s="1417"/>
      <c r="CA28" s="1417"/>
      <c r="CB28" s="1417"/>
      <c r="CC28" s="1417"/>
      <c r="CD28" s="1417"/>
      <c r="CE28" s="1417"/>
      <c r="CF28" s="1417"/>
      <c r="CG28" s="661"/>
    </row>
    <row r="29" spans="1:85" s="660" customFormat="1" ht="29.1" customHeight="1">
      <c r="A29" s="1414">
        <f t="shared" si="1"/>
        <v>26</v>
      </c>
      <c r="B29" s="1414"/>
      <c r="C29" s="1414"/>
      <c r="D29" s="1414"/>
      <c r="E29" s="1414"/>
      <c r="F29" s="1415" t="e">
        <f>#REF!</f>
        <v>#REF!</v>
      </c>
      <c r="G29" s="1415"/>
      <c r="H29" s="1415"/>
      <c r="I29" s="1415"/>
      <c r="J29" s="1415"/>
      <c r="K29" s="1415"/>
      <c r="L29" s="1415"/>
      <c r="M29" s="1415"/>
      <c r="N29" s="1415"/>
      <c r="O29" s="1415"/>
      <c r="P29" s="1415"/>
      <c r="Q29" s="1415"/>
      <c r="R29" s="1415"/>
      <c r="S29" s="1415"/>
      <c r="T29" s="1415"/>
      <c r="U29" s="1415"/>
      <c r="V29" s="1415"/>
      <c r="W29" s="1415"/>
      <c r="X29" s="1415"/>
      <c r="Y29" s="1415"/>
      <c r="Z29" s="1415"/>
      <c r="AA29" s="1415"/>
      <c r="AB29" s="1418" t="e">
        <f>#REF!</f>
        <v>#REF!</v>
      </c>
      <c r="AC29" s="1419"/>
      <c r="AD29" s="1419"/>
      <c r="AE29" s="1419"/>
      <c r="AF29" s="1419"/>
      <c r="AG29" s="1419"/>
      <c r="AH29" s="1419"/>
      <c r="AI29" s="1419"/>
      <c r="AJ29" s="1419"/>
      <c r="AK29" s="1419"/>
      <c r="AL29" s="1419"/>
      <c r="AM29" s="1419"/>
      <c r="AN29" s="1420"/>
      <c r="AO29" s="1417">
        <v>0</v>
      </c>
      <c r="AP29" s="1417"/>
      <c r="AQ29" s="1417"/>
      <c r="AR29" s="1417"/>
      <c r="AS29" s="1417"/>
      <c r="AT29" s="1417"/>
      <c r="AU29" s="1417"/>
      <c r="AV29" s="1417"/>
      <c r="AW29" s="1417"/>
      <c r="AX29" s="1417"/>
      <c r="AY29" s="1417"/>
      <c r="AZ29" s="1417">
        <v>0</v>
      </c>
      <c r="BA29" s="1417"/>
      <c r="BB29" s="1417"/>
      <c r="BC29" s="1417"/>
      <c r="BD29" s="1417"/>
      <c r="BE29" s="1417"/>
      <c r="BF29" s="1417"/>
      <c r="BG29" s="1417"/>
      <c r="BH29" s="1417"/>
      <c r="BI29" s="1417"/>
      <c r="BJ29" s="1417"/>
      <c r="BK29" s="1417" t="e">
        <f>#REF!</f>
        <v>#REF!</v>
      </c>
      <c r="BL29" s="1417"/>
      <c r="BM29" s="1417"/>
      <c r="BN29" s="1417"/>
      <c r="BO29" s="1417"/>
      <c r="BP29" s="1417"/>
      <c r="BQ29" s="1417"/>
      <c r="BR29" s="1417"/>
      <c r="BS29" s="1417"/>
      <c r="BT29" s="1417"/>
      <c r="BU29" s="1417"/>
      <c r="BV29" s="1417" t="e">
        <f t="shared" si="0"/>
        <v>#REF!</v>
      </c>
      <c r="BW29" s="1417"/>
      <c r="BX29" s="1417"/>
      <c r="BY29" s="1417"/>
      <c r="BZ29" s="1417"/>
      <c r="CA29" s="1417"/>
      <c r="CB29" s="1417"/>
      <c r="CC29" s="1417"/>
      <c r="CD29" s="1417"/>
      <c r="CE29" s="1417"/>
      <c r="CF29" s="1417"/>
      <c r="CG29" s="661"/>
    </row>
    <row r="30" spans="1:85" s="660" customFormat="1" ht="29.1" customHeight="1">
      <c r="A30" s="1414">
        <f t="shared" si="1"/>
        <v>27</v>
      </c>
      <c r="B30" s="1414"/>
      <c r="C30" s="1414"/>
      <c r="D30" s="1414"/>
      <c r="E30" s="1414"/>
      <c r="F30" s="1415" t="e">
        <f>#REF!</f>
        <v>#REF!</v>
      </c>
      <c r="G30" s="1415"/>
      <c r="H30" s="1415"/>
      <c r="I30" s="1415"/>
      <c r="J30" s="1415"/>
      <c r="K30" s="1415"/>
      <c r="L30" s="1415"/>
      <c r="M30" s="1415"/>
      <c r="N30" s="1415"/>
      <c r="O30" s="1415"/>
      <c r="P30" s="1415"/>
      <c r="Q30" s="1415"/>
      <c r="R30" s="1415"/>
      <c r="S30" s="1415"/>
      <c r="T30" s="1415"/>
      <c r="U30" s="1415"/>
      <c r="V30" s="1415"/>
      <c r="W30" s="1415"/>
      <c r="X30" s="1415"/>
      <c r="Y30" s="1415"/>
      <c r="Z30" s="1415"/>
      <c r="AA30" s="1415"/>
      <c r="AB30" s="1415" t="e">
        <f>#REF!</f>
        <v>#REF!</v>
      </c>
      <c r="AC30" s="1415"/>
      <c r="AD30" s="1415"/>
      <c r="AE30" s="1415"/>
      <c r="AF30" s="1415"/>
      <c r="AG30" s="1415"/>
      <c r="AH30" s="1415"/>
      <c r="AI30" s="1415"/>
      <c r="AJ30" s="1415"/>
      <c r="AK30" s="1415"/>
      <c r="AL30" s="1415"/>
      <c r="AM30" s="1415"/>
      <c r="AN30" s="1415"/>
      <c r="AO30" s="1417">
        <v>0</v>
      </c>
      <c r="AP30" s="1417"/>
      <c r="AQ30" s="1417"/>
      <c r="AR30" s="1417"/>
      <c r="AS30" s="1417"/>
      <c r="AT30" s="1417"/>
      <c r="AU30" s="1417"/>
      <c r="AV30" s="1417"/>
      <c r="AW30" s="1417"/>
      <c r="AX30" s="1417"/>
      <c r="AY30" s="1417"/>
      <c r="AZ30" s="1417">
        <v>0</v>
      </c>
      <c r="BA30" s="1417"/>
      <c r="BB30" s="1417"/>
      <c r="BC30" s="1417"/>
      <c r="BD30" s="1417"/>
      <c r="BE30" s="1417"/>
      <c r="BF30" s="1417"/>
      <c r="BG30" s="1417"/>
      <c r="BH30" s="1417"/>
      <c r="BI30" s="1417"/>
      <c r="BJ30" s="1417"/>
      <c r="BK30" s="1417" t="e">
        <f>#REF!</f>
        <v>#REF!</v>
      </c>
      <c r="BL30" s="1417"/>
      <c r="BM30" s="1417"/>
      <c r="BN30" s="1417"/>
      <c r="BO30" s="1417"/>
      <c r="BP30" s="1417"/>
      <c r="BQ30" s="1417"/>
      <c r="BR30" s="1417"/>
      <c r="BS30" s="1417"/>
      <c r="BT30" s="1417"/>
      <c r="BU30" s="1417"/>
      <c r="BV30" s="1417" t="e">
        <f t="shared" si="0"/>
        <v>#REF!</v>
      </c>
      <c r="BW30" s="1417"/>
      <c r="BX30" s="1417"/>
      <c r="BY30" s="1417"/>
      <c r="BZ30" s="1417"/>
      <c r="CA30" s="1417"/>
      <c r="CB30" s="1417"/>
      <c r="CC30" s="1417"/>
      <c r="CD30" s="1417"/>
      <c r="CE30" s="1417"/>
      <c r="CF30" s="1417"/>
      <c r="CG30" s="661"/>
    </row>
    <row r="31" spans="1:85" s="660" customFormat="1" ht="29.1" customHeight="1">
      <c r="A31" s="1414">
        <f t="shared" si="1"/>
        <v>28</v>
      </c>
      <c r="B31" s="1414"/>
      <c r="C31" s="1414"/>
      <c r="D31" s="1414"/>
      <c r="E31" s="1414"/>
      <c r="F31" s="1415" t="e">
        <f>#REF!</f>
        <v>#REF!</v>
      </c>
      <c r="G31" s="1415"/>
      <c r="H31" s="1415"/>
      <c r="I31" s="1415"/>
      <c r="J31" s="1415"/>
      <c r="K31" s="1415"/>
      <c r="L31" s="1415"/>
      <c r="M31" s="1415"/>
      <c r="N31" s="1415"/>
      <c r="O31" s="1415"/>
      <c r="P31" s="1415"/>
      <c r="Q31" s="1415"/>
      <c r="R31" s="1415"/>
      <c r="S31" s="1415"/>
      <c r="T31" s="1415"/>
      <c r="U31" s="1415"/>
      <c r="V31" s="1415"/>
      <c r="W31" s="1415"/>
      <c r="X31" s="1415"/>
      <c r="Y31" s="1415"/>
      <c r="Z31" s="1415"/>
      <c r="AA31" s="1415"/>
      <c r="AB31" s="1415" t="e">
        <f>#REF!</f>
        <v>#REF!</v>
      </c>
      <c r="AC31" s="1415"/>
      <c r="AD31" s="1415"/>
      <c r="AE31" s="1415"/>
      <c r="AF31" s="1415"/>
      <c r="AG31" s="1415"/>
      <c r="AH31" s="1415"/>
      <c r="AI31" s="1415"/>
      <c r="AJ31" s="1415"/>
      <c r="AK31" s="1415"/>
      <c r="AL31" s="1415"/>
      <c r="AM31" s="1415"/>
      <c r="AN31" s="1415"/>
      <c r="AO31" s="1417">
        <v>0</v>
      </c>
      <c r="AP31" s="1417"/>
      <c r="AQ31" s="1417"/>
      <c r="AR31" s="1417"/>
      <c r="AS31" s="1417"/>
      <c r="AT31" s="1417"/>
      <c r="AU31" s="1417"/>
      <c r="AV31" s="1417"/>
      <c r="AW31" s="1417"/>
      <c r="AX31" s="1417"/>
      <c r="AY31" s="1417"/>
      <c r="AZ31" s="1417">
        <v>0</v>
      </c>
      <c r="BA31" s="1417"/>
      <c r="BB31" s="1417"/>
      <c r="BC31" s="1417"/>
      <c r="BD31" s="1417"/>
      <c r="BE31" s="1417"/>
      <c r="BF31" s="1417"/>
      <c r="BG31" s="1417"/>
      <c r="BH31" s="1417"/>
      <c r="BI31" s="1417"/>
      <c r="BJ31" s="1417"/>
      <c r="BK31" s="1417" t="e">
        <f>#REF!</f>
        <v>#REF!</v>
      </c>
      <c r="BL31" s="1417"/>
      <c r="BM31" s="1417"/>
      <c r="BN31" s="1417"/>
      <c r="BO31" s="1417"/>
      <c r="BP31" s="1417"/>
      <c r="BQ31" s="1417"/>
      <c r="BR31" s="1417"/>
      <c r="BS31" s="1417"/>
      <c r="BT31" s="1417"/>
      <c r="BU31" s="1417"/>
      <c r="BV31" s="1417" t="e">
        <f>AO31+AZ31+BK31</f>
        <v>#REF!</v>
      </c>
      <c r="BW31" s="1417"/>
      <c r="BX31" s="1417"/>
      <c r="BY31" s="1417"/>
      <c r="BZ31" s="1417"/>
      <c r="CA31" s="1417"/>
      <c r="CB31" s="1417"/>
      <c r="CC31" s="1417"/>
      <c r="CD31" s="1417"/>
      <c r="CE31" s="1417"/>
      <c r="CF31" s="1417"/>
      <c r="CG31" s="661"/>
    </row>
    <row r="32" spans="1:85" s="660" customFormat="1" ht="29.1" customHeight="1">
      <c r="A32" s="1414">
        <f t="shared" si="1"/>
        <v>29</v>
      </c>
      <c r="B32" s="1414"/>
      <c r="C32" s="1414"/>
      <c r="D32" s="1414"/>
      <c r="E32" s="1414"/>
      <c r="F32" s="1415" t="e">
        <f>#REF!</f>
        <v>#REF!</v>
      </c>
      <c r="G32" s="1415"/>
      <c r="H32" s="1415"/>
      <c r="I32" s="1415"/>
      <c r="J32" s="1415"/>
      <c r="K32" s="1415"/>
      <c r="L32" s="1415"/>
      <c r="M32" s="1415"/>
      <c r="N32" s="1415"/>
      <c r="O32" s="1415"/>
      <c r="P32" s="1415"/>
      <c r="Q32" s="1415"/>
      <c r="R32" s="1415"/>
      <c r="S32" s="1415"/>
      <c r="T32" s="1415"/>
      <c r="U32" s="1415"/>
      <c r="V32" s="1415"/>
      <c r="W32" s="1415"/>
      <c r="X32" s="1415"/>
      <c r="Y32" s="1415"/>
      <c r="Z32" s="1415"/>
      <c r="AA32" s="1415"/>
      <c r="AB32" s="1415" t="e">
        <f>#REF!</f>
        <v>#REF!</v>
      </c>
      <c r="AC32" s="1415"/>
      <c r="AD32" s="1415"/>
      <c r="AE32" s="1415"/>
      <c r="AF32" s="1415"/>
      <c r="AG32" s="1415"/>
      <c r="AH32" s="1415"/>
      <c r="AI32" s="1415"/>
      <c r="AJ32" s="1415"/>
      <c r="AK32" s="1415"/>
      <c r="AL32" s="1415"/>
      <c r="AM32" s="1415"/>
      <c r="AN32" s="1415"/>
      <c r="AO32" s="1417">
        <v>0</v>
      </c>
      <c r="AP32" s="1417"/>
      <c r="AQ32" s="1417"/>
      <c r="AR32" s="1417"/>
      <c r="AS32" s="1417"/>
      <c r="AT32" s="1417"/>
      <c r="AU32" s="1417"/>
      <c r="AV32" s="1417"/>
      <c r="AW32" s="1417"/>
      <c r="AX32" s="1417"/>
      <c r="AY32" s="1417"/>
      <c r="AZ32" s="1417">
        <v>0</v>
      </c>
      <c r="BA32" s="1417"/>
      <c r="BB32" s="1417"/>
      <c r="BC32" s="1417"/>
      <c r="BD32" s="1417"/>
      <c r="BE32" s="1417"/>
      <c r="BF32" s="1417"/>
      <c r="BG32" s="1417"/>
      <c r="BH32" s="1417"/>
      <c r="BI32" s="1417"/>
      <c r="BJ32" s="1417"/>
      <c r="BK32" s="1417" t="e">
        <f>#REF!</f>
        <v>#REF!</v>
      </c>
      <c r="BL32" s="1417"/>
      <c r="BM32" s="1417"/>
      <c r="BN32" s="1417"/>
      <c r="BO32" s="1417"/>
      <c r="BP32" s="1417"/>
      <c r="BQ32" s="1417"/>
      <c r="BR32" s="1417"/>
      <c r="BS32" s="1417"/>
      <c r="BT32" s="1417"/>
      <c r="BU32" s="1417"/>
      <c r="BV32" s="1417" t="e">
        <f t="shared" si="0"/>
        <v>#REF!</v>
      </c>
      <c r="BW32" s="1417"/>
      <c r="BX32" s="1417"/>
      <c r="BY32" s="1417"/>
      <c r="BZ32" s="1417"/>
      <c r="CA32" s="1417"/>
      <c r="CB32" s="1417"/>
      <c r="CC32" s="1417"/>
      <c r="CD32" s="1417"/>
      <c r="CE32" s="1417"/>
      <c r="CF32" s="1417"/>
      <c r="CG32" s="661"/>
    </row>
    <row r="33" spans="1:85" s="660" customFormat="1" ht="29.1" customHeight="1">
      <c r="A33" s="1414">
        <f t="shared" si="1"/>
        <v>30</v>
      </c>
      <c r="B33" s="1414"/>
      <c r="C33" s="1414"/>
      <c r="D33" s="1414"/>
      <c r="E33" s="1414"/>
      <c r="F33" s="1415" t="e">
        <f>#REF!</f>
        <v>#REF!</v>
      </c>
      <c r="G33" s="1415"/>
      <c r="H33" s="1415"/>
      <c r="I33" s="1415"/>
      <c r="J33" s="1415"/>
      <c r="K33" s="1415"/>
      <c r="L33" s="1415"/>
      <c r="M33" s="1415"/>
      <c r="N33" s="1415"/>
      <c r="O33" s="1415"/>
      <c r="P33" s="1415"/>
      <c r="Q33" s="1415"/>
      <c r="R33" s="1415"/>
      <c r="S33" s="1415"/>
      <c r="T33" s="1415"/>
      <c r="U33" s="1415"/>
      <c r="V33" s="1415"/>
      <c r="W33" s="1415"/>
      <c r="X33" s="1415"/>
      <c r="Y33" s="1415"/>
      <c r="Z33" s="1415"/>
      <c r="AA33" s="1415"/>
      <c r="AB33" s="1415" t="e">
        <f>#REF!</f>
        <v>#REF!</v>
      </c>
      <c r="AC33" s="1415"/>
      <c r="AD33" s="1415"/>
      <c r="AE33" s="1415"/>
      <c r="AF33" s="1415"/>
      <c r="AG33" s="1415"/>
      <c r="AH33" s="1415"/>
      <c r="AI33" s="1415"/>
      <c r="AJ33" s="1415"/>
      <c r="AK33" s="1415"/>
      <c r="AL33" s="1415"/>
      <c r="AM33" s="1415"/>
      <c r="AN33" s="1415"/>
      <c r="AO33" s="1417" t="e">
        <f>#REF!</f>
        <v>#REF!</v>
      </c>
      <c r="AP33" s="1417"/>
      <c r="AQ33" s="1417"/>
      <c r="AR33" s="1417"/>
      <c r="AS33" s="1417"/>
      <c r="AT33" s="1417"/>
      <c r="AU33" s="1417"/>
      <c r="AV33" s="1417"/>
      <c r="AW33" s="1417"/>
      <c r="AX33" s="1417"/>
      <c r="AY33" s="1417"/>
      <c r="AZ33" s="1417" t="e">
        <f>#REF!</f>
        <v>#REF!</v>
      </c>
      <c r="BA33" s="1417"/>
      <c r="BB33" s="1417"/>
      <c r="BC33" s="1417"/>
      <c r="BD33" s="1417"/>
      <c r="BE33" s="1417"/>
      <c r="BF33" s="1417"/>
      <c r="BG33" s="1417"/>
      <c r="BH33" s="1417"/>
      <c r="BI33" s="1417"/>
      <c r="BJ33" s="1417"/>
      <c r="BK33" s="1417" t="e">
        <f>#REF!</f>
        <v>#REF!</v>
      </c>
      <c r="BL33" s="1417"/>
      <c r="BM33" s="1417"/>
      <c r="BN33" s="1417"/>
      <c r="BO33" s="1417"/>
      <c r="BP33" s="1417"/>
      <c r="BQ33" s="1417"/>
      <c r="BR33" s="1417"/>
      <c r="BS33" s="1417"/>
      <c r="BT33" s="1417"/>
      <c r="BU33" s="1417"/>
      <c r="BV33" s="1417" t="e">
        <f>AO33+AZ33+BK33</f>
        <v>#REF!</v>
      </c>
      <c r="BW33" s="1417"/>
      <c r="BX33" s="1417"/>
      <c r="BY33" s="1417"/>
      <c r="BZ33" s="1417"/>
      <c r="CA33" s="1417"/>
      <c r="CB33" s="1417"/>
      <c r="CC33" s="1417"/>
      <c r="CD33" s="1417"/>
      <c r="CE33" s="1417"/>
      <c r="CF33" s="1417"/>
      <c r="CG33" s="661"/>
    </row>
    <row r="34" spans="1:85" s="660" customFormat="1" ht="29.1" customHeight="1">
      <c r="A34" s="1414">
        <f t="shared" si="1"/>
        <v>31</v>
      </c>
      <c r="B34" s="1414"/>
      <c r="C34" s="1414"/>
      <c r="D34" s="1414"/>
      <c r="E34" s="1414"/>
      <c r="F34" s="1415" t="e">
        <f>#REF!</f>
        <v>#REF!</v>
      </c>
      <c r="G34" s="1415"/>
      <c r="H34" s="1415"/>
      <c r="I34" s="1415"/>
      <c r="J34" s="1415"/>
      <c r="K34" s="1415"/>
      <c r="L34" s="1415"/>
      <c r="M34" s="1415"/>
      <c r="N34" s="1415"/>
      <c r="O34" s="1415"/>
      <c r="P34" s="1415"/>
      <c r="Q34" s="1415"/>
      <c r="R34" s="1415"/>
      <c r="S34" s="1415"/>
      <c r="T34" s="1415"/>
      <c r="U34" s="1415"/>
      <c r="V34" s="1415"/>
      <c r="W34" s="1415"/>
      <c r="X34" s="1415"/>
      <c r="Y34" s="1415"/>
      <c r="Z34" s="1415"/>
      <c r="AA34" s="1415"/>
      <c r="AB34" s="1415" t="e">
        <f>#REF!</f>
        <v>#REF!</v>
      </c>
      <c r="AC34" s="1415"/>
      <c r="AD34" s="1415"/>
      <c r="AE34" s="1415"/>
      <c r="AF34" s="1415"/>
      <c r="AG34" s="1415"/>
      <c r="AH34" s="1415"/>
      <c r="AI34" s="1415"/>
      <c r="AJ34" s="1415"/>
      <c r="AK34" s="1415"/>
      <c r="AL34" s="1415"/>
      <c r="AM34" s="1415"/>
      <c r="AN34" s="1415"/>
      <c r="AO34" s="1417" t="e">
        <f>#REF!</f>
        <v>#REF!</v>
      </c>
      <c r="AP34" s="1417"/>
      <c r="AQ34" s="1417"/>
      <c r="AR34" s="1417"/>
      <c r="AS34" s="1417"/>
      <c r="AT34" s="1417"/>
      <c r="AU34" s="1417"/>
      <c r="AV34" s="1417"/>
      <c r="AW34" s="1417"/>
      <c r="AX34" s="1417"/>
      <c r="AY34" s="1417"/>
      <c r="AZ34" s="1417" t="e">
        <f>#REF!</f>
        <v>#REF!</v>
      </c>
      <c r="BA34" s="1417"/>
      <c r="BB34" s="1417"/>
      <c r="BC34" s="1417"/>
      <c r="BD34" s="1417"/>
      <c r="BE34" s="1417"/>
      <c r="BF34" s="1417"/>
      <c r="BG34" s="1417"/>
      <c r="BH34" s="1417"/>
      <c r="BI34" s="1417"/>
      <c r="BJ34" s="1417"/>
      <c r="BK34" s="1417" t="e">
        <f>#REF!</f>
        <v>#REF!</v>
      </c>
      <c r="BL34" s="1417"/>
      <c r="BM34" s="1417"/>
      <c r="BN34" s="1417"/>
      <c r="BO34" s="1417"/>
      <c r="BP34" s="1417"/>
      <c r="BQ34" s="1417"/>
      <c r="BR34" s="1417"/>
      <c r="BS34" s="1417"/>
      <c r="BT34" s="1417"/>
      <c r="BU34" s="1417"/>
      <c r="BV34" s="1417" t="e">
        <f t="shared" si="0"/>
        <v>#REF!</v>
      </c>
      <c r="BW34" s="1417"/>
      <c r="BX34" s="1417"/>
      <c r="BY34" s="1417"/>
      <c r="BZ34" s="1417"/>
      <c r="CA34" s="1417"/>
      <c r="CB34" s="1417"/>
      <c r="CC34" s="1417"/>
      <c r="CD34" s="1417"/>
      <c r="CE34" s="1417"/>
      <c r="CF34" s="1417"/>
      <c r="CG34" s="661"/>
    </row>
    <row r="35" spans="1:85" s="660" customFormat="1" ht="29.1" customHeight="1">
      <c r="A35" s="1414">
        <f t="shared" si="1"/>
        <v>32</v>
      </c>
      <c r="B35" s="1414"/>
      <c r="C35" s="1414"/>
      <c r="D35" s="1414"/>
      <c r="E35" s="1414"/>
      <c r="F35" s="1415" t="e">
        <f>#REF!</f>
        <v>#REF!</v>
      </c>
      <c r="G35" s="1415"/>
      <c r="H35" s="1415"/>
      <c r="I35" s="1415"/>
      <c r="J35" s="1415"/>
      <c r="K35" s="1415"/>
      <c r="L35" s="1415"/>
      <c r="M35" s="1415"/>
      <c r="N35" s="1415"/>
      <c r="O35" s="1415"/>
      <c r="P35" s="1415"/>
      <c r="Q35" s="1415"/>
      <c r="R35" s="1415"/>
      <c r="S35" s="1415"/>
      <c r="T35" s="1415"/>
      <c r="U35" s="1415"/>
      <c r="V35" s="1415"/>
      <c r="W35" s="1415"/>
      <c r="X35" s="1415"/>
      <c r="Y35" s="1415"/>
      <c r="Z35" s="1415"/>
      <c r="AA35" s="1415"/>
      <c r="AB35" s="1415" t="e">
        <f>#REF!</f>
        <v>#REF!</v>
      </c>
      <c r="AC35" s="1415"/>
      <c r="AD35" s="1415"/>
      <c r="AE35" s="1415"/>
      <c r="AF35" s="1415"/>
      <c r="AG35" s="1415"/>
      <c r="AH35" s="1415"/>
      <c r="AI35" s="1415"/>
      <c r="AJ35" s="1415"/>
      <c r="AK35" s="1415"/>
      <c r="AL35" s="1415"/>
      <c r="AM35" s="1415"/>
      <c r="AN35" s="1415"/>
      <c r="AO35" s="1417" t="e">
        <f>#REF!</f>
        <v>#REF!</v>
      </c>
      <c r="AP35" s="1417"/>
      <c r="AQ35" s="1417"/>
      <c r="AR35" s="1417"/>
      <c r="AS35" s="1417"/>
      <c r="AT35" s="1417"/>
      <c r="AU35" s="1417"/>
      <c r="AV35" s="1417"/>
      <c r="AW35" s="1417"/>
      <c r="AX35" s="1417"/>
      <c r="AY35" s="1417"/>
      <c r="AZ35" s="1417" t="e">
        <f>#REF!</f>
        <v>#REF!</v>
      </c>
      <c r="BA35" s="1417"/>
      <c r="BB35" s="1417"/>
      <c r="BC35" s="1417"/>
      <c r="BD35" s="1417"/>
      <c r="BE35" s="1417"/>
      <c r="BF35" s="1417"/>
      <c r="BG35" s="1417"/>
      <c r="BH35" s="1417"/>
      <c r="BI35" s="1417"/>
      <c r="BJ35" s="1417"/>
      <c r="BK35" s="1417" t="e">
        <f>#REF!</f>
        <v>#REF!</v>
      </c>
      <c r="BL35" s="1417"/>
      <c r="BM35" s="1417"/>
      <c r="BN35" s="1417"/>
      <c r="BO35" s="1417"/>
      <c r="BP35" s="1417"/>
      <c r="BQ35" s="1417"/>
      <c r="BR35" s="1417"/>
      <c r="BS35" s="1417"/>
      <c r="BT35" s="1417"/>
      <c r="BU35" s="1417"/>
      <c r="BV35" s="1417" t="e">
        <f>AO35+AZ35+BK35</f>
        <v>#REF!</v>
      </c>
      <c r="BW35" s="1417"/>
      <c r="BX35" s="1417"/>
      <c r="BY35" s="1417"/>
      <c r="BZ35" s="1417"/>
      <c r="CA35" s="1417"/>
      <c r="CB35" s="1417"/>
      <c r="CC35" s="1417"/>
      <c r="CD35" s="1417"/>
      <c r="CE35" s="1417"/>
      <c r="CF35" s="1417"/>
      <c r="CG35" s="661"/>
    </row>
    <row r="36" spans="1:85" s="662" customFormat="1" ht="29.1" customHeight="1">
      <c r="A36" s="1414">
        <f t="shared" si="1"/>
        <v>33</v>
      </c>
      <c r="B36" s="1414"/>
      <c r="C36" s="1414"/>
      <c r="D36" s="1414"/>
      <c r="E36" s="1414"/>
      <c r="F36" s="1415" t="e">
        <f>#REF!</f>
        <v>#REF!</v>
      </c>
      <c r="G36" s="1415"/>
      <c r="H36" s="1415"/>
      <c r="I36" s="1415"/>
      <c r="J36" s="1415"/>
      <c r="K36" s="1415"/>
      <c r="L36" s="1415"/>
      <c r="M36" s="1415"/>
      <c r="N36" s="1415"/>
      <c r="O36" s="1415"/>
      <c r="P36" s="1415"/>
      <c r="Q36" s="1415"/>
      <c r="R36" s="1415"/>
      <c r="S36" s="1415"/>
      <c r="T36" s="1415"/>
      <c r="U36" s="1415"/>
      <c r="V36" s="1415"/>
      <c r="W36" s="1415"/>
      <c r="X36" s="1415"/>
      <c r="Y36" s="1415"/>
      <c r="Z36" s="1415"/>
      <c r="AA36" s="1415"/>
      <c r="AB36" s="1415" t="e">
        <f>#REF!</f>
        <v>#REF!</v>
      </c>
      <c r="AC36" s="1415"/>
      <c r="AD36" s="1415"/>
      <c r="AE36" s="1415"/>
      <c r="AF36" s="1415"/>
      <c r="AG36" s="1415"/>
      <c r="AH36" s="1415"/>
      <c r="AI36" s="1415"/>
      <c r="AJ36" s="1415"/>
      <c r="AK36" s="1415"/>
      <c r="AL36" s="1415"/>
      <c r="AM36" s="1415"/>
      <c r="AN36" s="1415"/>
      <c r="AO36" s="1417" t="e">
        <f>#REF!</f>
        <v>#REF!</v>
      </c>
      <c r="AP36" s="1417"/>
      <c r="AQ36" s="1417"/>
      <c r="AR36" s="1417"/>
      <c r="AS36" s="1417"/>
      <c r="AT36" s="1417"/>
      <c r="AU36" s="1417"/>
      <c r="AV36" s="1417"/>
      <c r="AW36" s="1417"/>
      <c r="AX36" s="1417"/>
      <c r="AY36" s="1417"/>
      <c r="AZ36" s="1417" t="e">
        <f>#REF!</f>
        <v>#REF!</v>
      </c>
      <c r="BA36" s="1417"/>
      <c r="BB36" s="1417"/>
      <c r="BC36" s="1417"/>
      <c r="BD36" s="1417"/>
      <c r="BE36" s="1417"/>
      <c r="BF36" s="1417"/>
      <c r="BG36" s="1417"/>
      <c r="BH36" s="1417"/>
      <c r="BI36" s="1417"/>
      <c r="BJ36" s="1417"/>
      <c r="BK36" s="1417" t="e">
        <f>#REF!</f>
        <v>#REF!</v>
      </c>
      <c r="BL36" s="1417"/>
      <c r="BM36" s="1417"/>
      <c r="BN36" s="1417"/>
      <c r="BO36" s="1417"/>
      <c r="BP36" s="1417"/>
      <c r="BQ36" s="1417"/>
      <c r="BR36" s="1417"/>
      <c r="BS36" s="1417"/>
      <c r="BT36" s="1417"/>
      <c r="BU36" s="1417"/>
      <c r="BV36" s="1417" t="e">
        <f t="shared" si="0"/>
        <v>#REF!</v>
      </c>
      <c r="BW36" s="1417"/>
      <c r="BX36" s="1417"/>
      <c r="BY36" s="1417"/>
      <c r="BZ36" s="1417"/>
      <c r="CA36" s="1417"/>
      <c r="CB36" s="1417"/>
      <c r="CC36" s="1417"/>
      <c r="CD36" s="1417"/>
      <c r="CE36" s="1417"/>
      <c r="CF36" s="1417"/>
      <c r="CG36" s="661"/>
    </row>
    <row r="37" spans="1:85" s="662" customFormat="1" ht="29.1" customHeight="1">
      <c r="A37" s="1414">
        <f t="shared" si="1"/>
        <v>34</v>
      </c>
      <c r="B37" s="1414"/>
      <c r="C37" s="1414"/>
      <c r="D37" s="1414"/>
      <c r="E37" s="1414"/>
      <c r="F37" s="1415" t="e">
        <f>#REF!</f>
        <v>#REF!</v>
      </c>
      <c r="G37" s="1415"/>
      <c r="H37" s="1415"/>
      <c r="I37" s="1415"/>
      <c r="J37" s="1415"/>
      <c r="K37" s="1415"/>
      <c r="L37" s="1415"/>
      <c r="M37" s="1415"/>
      <c r="N37" s="1415"/>
      <c r="O37" s="1415"/>
      <c r="P37" s="1415"/>
      <c r="Q37" s="1415"/>
      <c r="R37" s="1415"/>
      <c r="S37" s="1415"/>
      <c r="T37" s="1415"/>
      <c r="U37" s="1415"/>
      <c r="V37" s="1415"/>
      <c r="W37" s="1415"/>
      <c r="X37" s="1415"/>
      <c r="Y37" s="1415"/>
      <c r="Z37" s="1415"/>
      <c r="AA37" s="1415"/>
      <c r="AB37" s="1415" t="e">
        <f>#REF!</f>
        <v>#REF!</v>
      </c>
      <c r="AC37" s="1415"/>
      <c r="AD37" s="1415"/>
      <c r="AE37" s="1415"/>
      <c r="AF37" s="1415"/>
      <c r="AG37" s="1415"/>
      <c r="AH37" s="1415"/>
      <c r="AI37" s="1415"/>
      <c r="AJ37" s="1415"/>
      <c r="AK37" s="1415"/>
      <c r="AL37" s="1415"/>
      <c r="AM37" s="1415"/>
      <c r="AN37" s="1415"/>
      <c r="AO37" s="1417" t="e">
        <f>#REF!</f>
        <v>#REF!</v>
      </c>
      <c r="AP37" s="1417"/>
      <c r="AQ37" s="1417"/>
      <c r="AR37" s="1417"/>
      <c r="AS37" s="1417"/>
      <c r="AT37" s="1417"/>
      <c r="AU37" s="1417"/>
      <c r="AV37" s="1417"/>
      <c r="AW37" s="1417"/>
      <c r="AX37" s="1417"/>
      <c r="AY37" s="1417"/>
      <c r="AZ37" s="1417" t="e">
        <f>#REF!</f>
        <v>#REF!</v>
      </c>
      <c r="BA37" s="1417"/>
      <c r="BB37" s="1417"/>
      <c r="BC37" s="1417"/>
      <c r="BD37" s="1417"/>
      <c r="BE37" s="1417"/>
      <c r="BF37" s="1417"/>
      <c r="BG37" s="1417"/>
      <c r="BH37" s="1417"/>
      <c r="BI37" s="1417"/>
      <c r="BJ37" s="1417"/>
      <c r="BK37" s="1417" t="e">
        <f>#REF!</f>
        <v>#REF!</v>
      </c>
      <c r="BL37" s="1417"/>
      <c r="BM37" s="1417"/>
      <c r="BN37" s="1417"/>
      <c r="BO37" s="1417"/>
      <c r="BP37" s="1417"/>
      <c r="BQ37" s="1417"/>
      <c r="BR37" s="1417"/>
      <c r="BS37" s="1417"/>
      <c r="BT37" s="1417"/>
      <c r="BU37" s="1417"/>
      <c r="BV37" s="1417" t="e">
        <f t="shared" si="0"/>
        <v>#REF!</v>
      </c>
      <c r="BW37" s="1417"/>
      <c r="BX37" s="1417"/>
      <c r="BY37" s="1417"/>
      <c r="BZ37" s="1417"/>
      <c r="CA37" s="1417"/>
      <c r="CB37" s="1417"/>
      <c r="CC37" s="1417"/>
      <c r="CD37" s="1417"/>
      <c r="CE37" s="1417"/>
      <c r="CF37" s="1417"/>
      <c r="CG37" s="661"/>
    </row>
    <row r="38" spans="1:85" s="660" customFormat="1" ht="29.1" customHeight="1">
      <c r="A38" s="1414">
        <f t="shared" si="1"/>
        <v>35</v>
      </c>
      <c r="B38" s="1414"/>
      <c r="C38" s="1414"/>
      <c r="D38" s="1414"/>
      <c r="E38" s="1414"/>
      <c r="F38" s="1415" t="e">
        <f>#REF!</f>
        <v>#REF!</v>
      </c>
      <c r="G38" s="1415"/>
      <c r="H38" s="1415"/>
      <c r="I38" s="1415"/>
      <c r="J38" s="1415"/>
      <c r="K38" s="1415"/>
      <c r="L38" s="1415"/>
      <c r="M38" s="1415"/>
      <c r="N38" s="1415"/>
      <c r="O38" s="1415"/>
      <c r="P38" s="1415"/>
      <c r="Q38" s="1415"/>
      <c r="R38" s="1415"/>
      <c r="S38" s="1415"/>
      <c r="T38" s="1415"/>
      <c r="U38" s="1415"/>
      <c r="V38" s="1415"/>
      <c r="W38" s="1415"/>
      <c r="X38" s="1415"/>
      <c r="Y38" s="1415"/>
      <c r="Z38" s="1415"/>
      <c r="AA38" s="1415"/>
      <c r="AB38" s="1415" t="e">
        <f>#REF!</f>
        <v>#REF!</v>
      </c>
      <c r="AC38" s="1415"/>
      <c r="AD38" s="1415"/>
      <c r="AE38" s="1415"/>
      <c r="AF38" s="1415"/>
      <c r="AG38" s="1415"/>
      <c r="AH38" s="1415"/>
      <c r="AI38" s="1415"/>
      <c r="AJ38" s="1415"/>
      <c r="AK38" s="1415"/>
      <c r="AL38" s="1415"/>
      <c r="AM38" s="1415"/>
      <c r="AN38" s="1415"/>
      <c r="AO38" s="1417" t="e">
        <f>#REF!</f>
        <v>#REF!</v>
      </c>
      <c r="AP38" s="1417"/>
      <c r="AQ38" s="1417"/>
      <c r="AR38" s="1417"/>
      <c r="AS38" s="1417"/>
      <c r="AT38" s="1417"/>
      <c r="AU38" s="1417"/>
      <c r="AV38" s="1417"/>
      <c r="AW38" s="1417"/>
      <c r="AX38" s="1417"/>
      <c r="AY38" s="1417"/>
      <c r="AZ38" s="1417" t="e">
        <f>#REF!</f>
        <v>#REF!</v>
      </c>
      <c r="BA38" s="1417"/>
      <c r="BB38" s="1417"/>
      <c r="BC38" s="1417"/>
      <c r="BD38" s="1417"/>
      <c r="BE38" s="1417"/>
      <c r="BF38" s="1417"/>
      <c r="BG38" s="1417"/>
      <c r="BH38" s="1417"/>
      <c r="BI38" s="1417"/>
      <c r="BJ38" s="1417"/>
      <c r="BK38" s="1417" t="e">
        <f>#REF!</f>
        <v>#REF!</v>
      </c>
      <c r="BL38" s="1417"/>
      <c r="BM38" s="1417"/>
      <c r="BN38" s="1417"/>
      <c r="BO38" s="1417"/>
      <c r="BP38" s="1417"/>
      <c r="BQ38" s="1417"/>
      <c r="BR38" s="1417"/>
      <c r="BS38" s="1417"/>
      <c r="BT38" s="1417"/>
      <c r="BU38" s="1417"/>
      <c r="BV38" s="1417" t="e">
        <f t="shared" si="0"/>
        <v>#REF!</v>
      </c>
      <c r="BW38" s="1417"/>
      <c r="BX38" s="1417"/>
      <c r="BY38" s="1417"/>
      <c r="BZ38" s="1417"/>
      <c r="CA38" s="1417"/>
      <c r="CB38" s="1417"/>
      <c r="CC38" s="1417"/>
      <c r="CD38" s="1417"/>
      <c r="CE38" s="1417"/>
      <c r="CF38" s="1417"/>
      <c r="CG38" s="661"/>
    </row>
    <row r="39" spans="1:85" s="660" customFormat="1" ht="29.1" customHeight="1">
      <c r="A39" s="1414">
        <f t="shared" si="1"/>
        <v>36</v>
      </c>
      <c r="B39" s="1414"/>
      <c r="C39" s="1414"/>
      <c r="D39" s="1414"/>
      <c r="E39" s="1414"/>
      <c r="F39" s="1415" t="e">
        <f>#REF!</f>
        <v>#REF!</v>
      </c>
      <c r="G39" s="1415"/>
      <c r="H39" s="1415"/>
      <c r="I39" s="1415"/>
      <c r="J39" s="1415"/>
      <c r="K39" s="1415"/>
      <c r="L39" s="1415"/>
      <c r="M39" s="1415"/>
      <c r="N39" s="1415"/>
      <c r="O39" s="1415"/>
      <c r="P39" s="1415"/>
      <c r="Q39" s="1415"/>
      <c r="R39" s="1415"/>
      <c r="S39" s="1415"/>
      <c r="T39" s="1415"/>
      <c r="U39" s="1415"/>
      <c r="V39" s="1415"/>
      <c r="W39" s="1415"/>
      <c r="X39" s="1415"/>
      <c r="Y39" s="1415"/>
      <c r="Z39" s="1415"/>
      <c r="AA39" s="1415"/>
      <c r="AB39" s="1415" t="e">
        <f>#REF!</f>
        <v>#REF!</v>
      </c>
      <c r="AC39" s="1415"/>
      <c r="AD39" s="1415"/>
      <c r="AE39" s="1415"/>
      <c r="AF39" s="1415"/>
      <c r="AG39" s="1415"/>
      <c r="AH39" s="1415"/>
      <c r="AI39" s="1415"/>
      <c r="AJ39" s="1415"/>
      <c r="AK39" s="1415"/>
      <c r="AL39" s="1415"/>
      <c r="AM39" s="1415"/>
      <c r="AN39" s="1415"/>
      <c r="AO39" s="1417" t="e">
        <f>#REF!</f>
        <v>#REF!</v>
      </c>
      <c r="AP39" s="1417"/>
      <c r="AQ39" s="1417"/>
      <c r="AR39" s="1417"/>
      <c r="AS39" s="1417"/>
      <c r="AT39" s="1417"/>
      <c r="AU39" s="1417"/>
      <c r="AV39" s="1417"/>
      <c r="AW39" s="1417"/>
      <c r="AX39" s="1417"/>
      <c r="AY39" s="1417"/>
      <c r="AZ39" s="1417" t="e">
        <f>#REF!</f>
        <v>#REF!</v>
      </c>
      <c r="BA39" s="1417"/>
      <c r="BB39" s="1417"/>
      <c r="BC39" s="1417"/>
      <c r="BD39" s="1417"/>
      <c r="BE39" s="1417"/>
      <c r="BF39" s="1417"/>
      <c r="BG39" s="1417"/>
      <c r="BH39" s="1417"/>
      <c r="BI39" s="1417"/>
      <c r="BJ39" s="1417"/>
      <c r="BK39" s="1417" t="e">
        <f>#REF!</f>
        <v>#REF!</v>
      </c>
      <c r="BL39" s="1417"/>
      <c r="BM39" s="1417"/>
      <c r="BN39" s="1417"/>
      <c r="BO39" s="1417"/>
      <c r="BP39" s="1417"/>
      <c r="BQ39" s="1417"/>
      <c r="BR39" s="1417"/>
      <c r="BS39" s="1417"/>
      <c r="BT39" s="1417"/>
      <c r="BU39" s="1417"/>
      <c r="BV39" s="1417" t="e">
        <f t="shared" si="0"/>
        <v>#REF!</v>
      </c>
      <c r="BW39" s="1417"/>
      <c r="BX39" s="1417"/>
      <c r="BY39" s="1417"/>
      <c r="BZ39" s="1417"/>
      <c r="CA39" s="1417"/>
      <c r="CB39" s="1417"/>
      <c r="CC39" s="1417"/>
      <c r="CD39" s="1417"/>
      <c r="CE39" s="1417"/>
      <c r="CF39" s="1417"/>
      <c r="CG39" s="661"/>
    </row>
    <row r="40" spans="1:85" s="660" customFormat="1" ht="29.1" customHeight="1">
      <c r="A40" s="1414">
        <f t="shared" si="1"/>
        <v>37</v>
      </c>
      <c r="B40" s="1414"/>
      <c r="C40" s="1414"/>
      <c r="D40" s="1414"/>
      <c r="E40" s="1414"/>
      <c r="F40" s="1415" t="e">
        <f>#REF!</f>
        <v>#REF!</v>
      </c>
      <c r="G40" s="1415"/>
      <c r="H40" s="1415"/>
      <c r="I40" s="1415"/>
      <c r="J40" s="1415"/>
      <c r="K40" s="1415"/>
      <c r="L40" s="1415"/>
      <c r="M40" s="1415"/>
      <c r="N40" s="1415"/>
      <c r="O40" s="1415"/>
      <c r="P40" s="1415"/>
      <c r="Q40" s="1415"/>
      <c r="R40" s="1415"/>
      <c r="S40" s="1415"/>
      <c r="T40" s="1415"/>
      <c r="U40" s="1415"/>
      <c r="V40" s="1415"/>
      <c r="W40" s="1415"/>
      <c r="X40" s="1415"/>
      <c r="Y40" s="1415"/>
      <c r="Z40" s="1415"/>
      <c r="AA40" s="1415"/>
      <c r="AB40" s="1415" t="e">
        <f>#REF!</f>
        <v>#REF!</v>
      </c>
      <c r="AC40" s="1415"/>
      <c r="AD40" s="1415"/>
      <c r="AE40" s="1415"/>
      <c r="AF40" s="1415"/>
      <c r="AG40" s="1415"/>
      <c r="AH40" s="1415"/>
      <c r="AI40" s="1415"/>
      <c r="AJ40" s="1415"/>
      <c r="AK40" s="1415"/>
      <c r="AL40" s="1415"/>
      <c r="AM40" s="1415"/>
      <c r="AN40" s="1415"/>
      <c r="AO40" s="1417" t="e">
        <f>#REF!</f>
        <v>#REF!</v>
      </c>
      <c r="AP40" s="1417"/>
      <c r="AQ40" s="1417"/>
      <c r="AR40" s="1417"/>
      <c r="AS40" s="1417"/>
      <c r="AT40" s="1417"/>
      <c r="AU40" s="1417"/>
      <c r="AV40" s="1417"/>
      <c r="AW40" s="1417"/>
      <c r="AX40" s="1417"/>
      <c r="AY40" s="1417"/>
      <c r="AZ40" s="1417" t="e">
        <f>#REF!</f>
        <v>#REF!</v>
      </c>
      <c r="BA40" s="1417"/>
      <c r="BB40" s="1417"/>
      <c r="BC40" s="1417"/>
      <c r="BD40" s="1417"/>
      <c r="BE40" s="1417"/>
      <c r="BF40" s="1417"/>
      <c r="BG40" s="1417"/>
      <c r="BH40" s="1417"/>
      <c r="BI40" s="1417"/>
      <c r="BJ40" s="1417"/>
      <c r="BK40" s="1417" t="e">
        <f>#REF!</f>
        <v>#REF!</v>
      </c>
      <c r="BL40" s="1417"/>
      <c r="BM40" s="1417"/>
      <c r="BN40" s="1417"/>
      <c r="BO40" s="1417"/>
      <c r="BP40" s="1417"/>
      <c r="BQ40" s="1417"/>
      <c r="BR40" s="1417"/>
      <c r="BS40" s="1417"/>
      <c r="BT40" s="1417"/>
      <c r="BU40" s="1417"/>
      <c r="BV40" s="1417" t="e">
        <f t="shared" si="0"/>
        <v>#REF!</v>
      </c>
      <c r="BW40" s="1417"/>
      <c r="BX40" s="1417"/>
      <c r="BY40" s="1417"/>
      <c r="BZ40" s="1417"/>
      <c r="CA40" s="1417"/>
      <c r="CB40" s="1417"/>
      <c r="CC40" s="1417"/>
      <c r="CD40" s="1417"/>
      <c r="CE40" s="1417"/>
      <c r="CF40" s="1417"/>
      <c r="CG40" s="661"/>
    </row>
    <row r="41" spans="1:85" s="660" customFormat="1" ht="29.1" customHeight="1">
      <c r="A41" s="1414">
        <f t="shared" si="1"/>
        <v>38</v>
      </c>
      <c r="B41" s="1414"/>
      <c r="C41" s="1414"/>
      <c r="D41" s="1414"/>
      <c r="E41" s="1414"/>
      <c r="F41" s="1415" t="e">
        <f>#REF!</f>
        <v>#REF!</v>
      </c>
      <c r="G41" s="1415"/>
      <c r="H41" s="1415"/>
      <c r="I41" s="1415"/>
      <c r="J41" s="1415"/>
      <c r="K41" s="1415"/>
      <c r="L41" s="1415"/>
      <c r="M41" s="1415"/>
      <c r="N41" s="1415"/>
      <c r="O41" s="1415"/>
      <c r="P41" s="1415"/>
      <c r="Q41" s="1415"/>
      <c r="R41" s="1415"/>
      <c r="S41" s="1415"/>
      <c r="T41" s="1415"/>
      <c r="U41" s="1415"/>
      <c r="V41" s="1415"/>
      <c r="W41" s="1415"/>
      <c r="X41" s="1415"/>
      <c r="Y41" s="1415"/>
      <c r="Z41" s="1415"/>
      <c r="AA41" s="1415"/>
      <c r="AB41" s="1415" t="e">
        <f>#REF!</f>
        <v>#REF!</v>
      </c>
      <c r="AC41" s="1415"/>
      <c r="AD41" s="1415"/>
      <c r="AE41" s="1415"/>
      <c r="AF41" s="1415"/>
      <c r="AG41" s="1415"/>
      <c r="AH41" s="1415"/>
      <c r="AI41" s="1415"/>
      <c r="AJ41" s="1415"/>
      <c r="AK41" s="1415"/>
      <c r="AL41" s="1415"/>
      <c r="AM41" s="1415"/>
      <c r="AN41" s="1415"/>
      <c r="AO41" s="1417" t="e">
        <f>#REF!</f>
        <v>#REF!</v>
      </c>
      <c r="AP41" s="1417"/>
      <c r="AQ41" s="1417"/>
      <c r="AR41" s="1417"/>
      <c r="AS41" s="1417"/>
      <c r="AT41" s="1417"/>
      <c r="AU41" s="1417"/>
      <c r="AV41" s="1417"/>
      <c r="AW41" s="1417"/>
      <c r="AX41" s="1417"/>
      <c r="AY41" s="1417"/>
      <c r="AZ41" s="1417" t="e">
        <f>#REF!</f>
        <v>#REF!</v>
      </c>
      <c r="BA41" s="1417"/>
      <c r="BB41" s="1417"/>
      <c r="BC41" s="1417"/>
      <c r="BD41" s="1417"/>
      <c r="BE41" s="1417"/>
      <c r="BF41" s="1417"/>
      <c r="BG41" s="1417"/>
      <c r="BH41" s="1417"/>
      <c r="BI41" s="1417"/>
      <c r="BJ41" s="1417"/>
      <c r="BK41" s="1417" t="e">
        <f>#REF!</f>
        <v>#REF!</v>
      </c>
      <c r="BL41" s="1417"/>
      <c r="BM41" s="1417"/>
      <c r="BN41" s="1417"/>
      <c r="BO41" s="1417"/>
      <c r="BP41" s="1417"/>
      <c r="BQ41" s="1417"/>
      <c r="BR41" s="1417"/>
      <c r="BS41" s="1417"/>
      <c r="BT41" s="1417"/>
      <c r="BU41" s="1417"/>
      <c r="BV41" s="1417" t="e">
        <f>AO41+AZ41+BK41</f>
        <v>#REF!</v>
      </c>
      <c r="BW41" s="1417"/>
      <c r="BX41" s="1417"/>
      <c r="BY41" s="1417"/>
      <c r="BZ41" s="1417"/>
      <c r="CA41" s="1417"/>
      <c r="CB41" s="1417"/>
      <c r="CC41" s="1417"/>
      <c r="CD41" s="1417"/>
      <c r="CE41" s="1417"/>
      <c r="CF41" s="1417"/>
      <c r="CG41" s="661"/>
    </row>
    <row r="42" spans="1:85" s="660" customFormat="1" ht="29.1" customHeight="1">
      <c r="A42" s="1414">
        <f t="shared" si="1"/>
        <v>39</v>
      </c>
      <c r="B42" s="1414"/>
      <c r="C42" s="1414"/>
      <c r="D42" s="1414"/>
      <c r="E42" s="1414"/>
      <c r="F42" s="1415" t="e">
        <f>#REF!</f>
        <v>#REF!</v>
      </c>
      <c r="G42" s="1415"/>
      <c r="H42" s="1415"/>
      <c r="I42" s="1415"/>
      <c r="J42" s="1415"/>
      <c r="K42" s="1415"/>
      <c r="L42" s="1415"/>
      <c r="M42" s="1415"/>
      <c r="N42" s="1415"/>
      <c r="O42" s="1415"/>
      <c r="P42" s="1415"/>
      <c r="Q42" s="1415"/>
      <c r="R42" s="1415"/>
      <c r="S42" s="1415"/>
      <c r="T42" s="1415"/>
      <c r="U42" s="1415"/>
      <c r="V42" s="1415"/>
      <c r="W42" s="1415"/>
      <c r="X42" s="1415"/>
      <c r="Y42" s="1415"/>
      <c r="Z42" s="1415"/>
      <c r="AA42" s="1415"/>
      <c r="AB42" s="1415" t="e">
        <f>#REF!</f>
        <v>#REF!</v>
      </c>
      <c r="AC42" s="1415"/>
      <c r="AD42" s="1415"/>
      <c r="AE42" s="1415"/>
      <c r="AF42" s="1415"/>
      <c r="AG42" s="1415"/>
      <c r="AH42" s="1415"/>
      <c r="AI42" s="1415"/>
      <c r="AJ42" s="1415"/>
      <c r="AK42" s="1415"/>
      <c r="AL42" s="1415"/>
      <c r="AM42" s="1415"/>
      <c r="AN42" s="1415"/>
      <c r="AO42" s="1417" t="e">
        <f>#REF!</f>
        <v>#REF!</v>
      </c>
      <c r="AP42" s="1417"/>
      <c r="AQ42" s="1417"/>
      <c r="AR42" s="1417"/>
      <c r="AS42" s="1417"/>
      <c r="AT42" s="1417"/>
      <c r="AU42" s="1417"/>
      <c r="AV42" s="1417"/>
      <c r="AW42" s="1417"/>
      <c r="AX42" s="1417"/>
      <c r="AY42" s="1417"/>
      <c r="AZ42" s="1417" t="e">
        <f>#REF!</f>
        <v>#REF!</v>
      </c>
      <c r="BA42" s="1417"/>
      <c r="BB42" s="1417"/>
      <c r="BC42" s="1417"/>
      <c r="BD42" s="1417"/>
      <c r="BE42" s="1417"/>
      <c r="BF42" s="1417"/>
      <c r="BG42" s="1417"/>
      <c r="BH42" s="1417"/>
      <c r="BI42" s="1417"/>
      <c r="BJ42" s="1417"/>
      <c r="BK42" s="1417" t="e">
        <f>#REF!</f>
        <v>#REF!</v>
      </c>
      <c r="BL42" s="1417"/>
      <c r="BM42" s="1417"/>
      <c r="BN42" s="1417"/>
      <c r="BO42" s="1417"/>
      <c r="BP42" s="1417"/>
      <c r="BQ42" s="1417"/>
      <c r="BR42" s="1417"/>
      <c r="BS42" s="1417"/>
      <c r="BT42" s="1417"/>
      <c r="BU42" s="1417"/>
      <c r="BV42" s="1417" t="e">
        <f t="shared" si="0"/>
        <v>#REF!</v>
      </c>
      <c r="BW42" s="1417"/>
      <c r="BX42" s="1417"/>
      <c r="BY42" s="1417"/>
      <c r="BZ42" s="1417"/>
      <c r="CA42" s="1417"/>
      <c r="CB42" s="1417"/>
      <c r="CC42" s="1417"/>
      <c r="CD42" s="1417"/>
      <c r="CE42" s="1417"/>
      <c r="CF42" s="1417"/>
      <c r="CG42" s="661"/>
    </row>
    <row r="43" spans="1:85" s="660" customFormat="1" ht="29.1" customHeight="1">
      <c r="A43" s="1414">
        <f t="shared" si="1"/>
        <v>40</v>
      </c>
      <c r="B43" s="1414"/>
      <c r="C43" s="1414"/>
      <c r="D43" s="1414"/>
      <c r="E43" s="1414"/>
      <c r="F43" s="1415" t="e">
        <f>#REF!</f>
        <v>#REF!</v>
      </c>
      <c r="G43" s="1415"/>
      <c r="H43" s="1415"/>
      <c r="I43" s="1415"/>
      <c r="J43" s="1415"/>
      <c r="K43" s="1415"/>
      <c r="L43" s="1415"/>
      <c r="M43" s="1415"/>
      <c r="N43" s="1415"/>
      <c r="O43" s="1415"/>
      <c r="P43" s="1415"/>
      <c r="Q43" s="1415"/>
      <c r="R43" s="1415"/>
      <c r="S43" s="1415"/>
      <c r="T43" s="1415"/>
      <c r="U43" s="1415"/>
      <c r="V43" s="1415"/>
      <c r="W43" s="1415"/>
      <c r="X43" s="1415"/>
      <c r="Y43" s="1415"/>
      <c r="Z43" s="1415"/>
      <c r="AA43" s="1415"/>
      <c r="AB43" s="1415" t="e">
        <f>#REF!</f>
        <v>#REF!</v>
      </c>
      <c r="AC43" s="1415"/>
      <c r="AD43" s="1415"/>
      <c r="AE43" s="1415"/>
      <c r="AF43" s="1415"/>
      <c r="AG43" s="1415"/>
      <c r="AH43" s="1415"/>
      <c r="AI43" s="1415"/>
      <c r="AJ43" s="1415"/>
      <c r="AK43" s="1415"/>
      <c r="AL43" s="1415"/>
      <c r="AM43" s="1415"/>
      <c r="AN43" s="1415"/>
      <c r="AO43" s="1417" t="e">
        <f>#REF!</f>
        <v>#REF!</v>
      </c>
      <c r="AP43" s="1417"/>
      <c r="AQ43" s="1417"/>
      <c r="AR43" s="1417"/>
      <c r="AS43" s="1417"/>
      <c r="AT43" s="1417"/>
      <c r="AU43" s="1417"/>
      <c r="AV43" s="1417"/>
      <c r="AW43" s="1417"/>
      <c r="AX43" s="1417"/>
      <c r="AY43" s="1417"/>
      <c r="AZ43" s="1417" t="e">
        <f>#REF!</f>
        <v>#REF!</v>
      </c>
      <c r="BA43" s="1417"/>
      <c r="BB43" s="1417"/>
      <c r="BC43" s="1417"/>
      <c r="BD43" s="1417"/>
      <c r="BE43" s="1417"/>
      <c r="BF43" s="1417"/>
      <c r="BG43" s="1417"/>
      <c r="BH43" s="1417"/>
      <c r="BI43" s="1417"/>
      <c r="BJ43" s="1417"/>
      <c r="BK43" s="1417" t="e">
        <f>#REF!</f>
        <v>#REF!</v>
      </c>
      <c r="BL43" s="1417"/>
      <c r="BM43" s="1417"/>
      <c r="BN43" s="1417"/>
      <c r="BO43" s="1417"/>
      <c r="BP43" s="1417"/>
      <c r="BQ43" s="1417"/>
      <c r="BR43" s="1417"/>
      <c r="BS43" s="1417"/>
      <c r="BT43" s="1417"/>
      <c r="BU43" s="1417"/>
      <c r="BV43" s="1417" t="e">
        <f>AO43+AZ43+BK43</f>
        <v>#REF!</v>
      </c>
      <c r="BW43" s="1417"/>
      <c r="BX43" s="1417"/>
      <c r="BY43" s="1417"/>
      <c r="BZ43" s="1417"/>
      <c r="CA43" s="1417"/>
      <c r="CB43" s="1417"/>
      <c r="CC43" s="1417"/>
      <c r="CD43" s="1417"/>
      <c r="CE43" s="1417"/>
      <c r="CF43" s="1417"/>
      <c r="CG43" s="661"/>
    </row>
    <row r="44" spans="1:85" s="660" customFormat="1" ht="29.1" customHeight="1">
      <c r="A44" s="1414">
        <f t="shared" si="1"/>
        <v>41</v>
      </c>
      <c r="B44" s="1414"/>
      <c r="C44" s="1414"/>
      <c r="D44" s="1414"/>
      <c r="E44" s="1414"/>
      <c r="F44" s="1415" t="e">
        <f>#REF!</f>
        <v>#REF!</v>
      </c>
      <c r="G44" s="1415"/>
      <c r="H44" s="1415"/>
      <c r="I44" s="1415"/>
      <c r="J44" s="1415"/>
      <c r="K44" s="1415"/>
      <c r="L44" s="1415"/>
      <c r="M44" s="1415"/>
      <c r="N44" s="1415"/>
      <c r="O44" s="1415"/>
      <c r="P44" s="1415"/>
      <c r="Q44" s="1415"/>
      <c r="R44" s="1415"/>
      <c r="S44" s="1415"/>
      <c r="T44" s="1415"/>
      <c r="U44" s="1415"/>
      <c r="V44" s="1415"/>
      <c r="W44" s="1415"/>
      <c r="X44" s="1415"/>
      <c r="Y44" s="1415"/>
      <c r="Z44" s="1415"/>
      <c r="AA44" s="1415"/>
      <c r="AB44" s="1415" t="e">
        <f>#REF!</f>
        <v>#REF!</v>
      </c>
      <c r="AC44" s="1415"/>
      <c r="AD44" s="1415"/>
      <c r="AE44" s="1415"/>
      <c r="AF44" s="1415"/>
      <c r="AG44" s="1415"/>
      <c r="AH44" s="1415"/>
      <c r="AI44" s="1415"/>
      <c r="AJ44" s="1415"/>
      <c r="AK44" s="1415"/>
      <c r="AL44" s="1415"/>
      <c r="AM44" s="1415"/>
      <c r="AN44" s="1415"/>
      <c r="AO44" s="1417" t="e">
        <f>#REF!</f>
        <v>#REF!</v>
      </c>
      <c r="AP44" s="1417"/>
      <c r="AQ44" s="1417"/>
      <c r="AR44" s="1417"/>
      <c r="AS44" s="1417"/>
      <c r="AT44" s="1417"/>
      <c r="AU44" s="1417"/>
      <c r="AV44" s="1417"/>
      <c r="AW44" s="1417"/>
      <c r="AX44" s="1417"/>
      <c r="AY44" s="1417"/>
      <c r="AZ44" s="1417" t="e">
        <f>#REF!</f>
        <v>#REF!</v>
      </c>
      <c r="BA44" s="1417"/>
      <c r="BB44" s="1417"/>
      <c r="BC44" s="1417"/>
      <c r="BD44" s="1417"/>
      <c r="BE44" s="1417"/>
      <c r="BF44" s="1417"/>
      <c r="BG44" s="1417"/>
      <c r="BH44" s="1417"/>
      <c r="BI44" s="1417"/>
      <c r="BJ44" s="1417"/>
      <c r="BK44" s="1417" t="e">
        <f>#REF!</f>
        <v>#REF!</v>
      </c>
      <c r="BL44" s="1417"/>
      <c r="BM44" s="1417"/>
      <c r="BN44" s="1417"/>
      <c r="BO44" s="1417"/>
      <c r="BP44" s="1417"/>
      <c r="BQ44" s="1417"/>
      <c r="BR44" s="1417"/>
      <c r="BS44" s="1417"/>
      <c r="BT44" s="1417"/>
      <c r="BU44" s="1417"/>
      <c r="BV44" s="1417" t="e">
        <f t="shared" si="0"/>
        <v>#REF!</v>
      </c>
      <c r="BW44" s="1417"/>
      <c r="BX44" s="1417"/>
      <c r="BY44" s="1417"/>
      <c r="BZ44" s="1417"/>
      <c r="CA44" s="1417"/>
      <c r="CB44" s="1417"/>
      <c r="CC44" s="1417"/>
      <c r="CD44" s="1417"/>
      <c r="CE44" s="1417"/>
      <c r="CF44" s="1417"/>
      <c r="CG44" s="661"/>
    </row>
    <row r="45" spans="1:85" s="660" customFormat="1" ht="29.1" customHeight="1">
      <c r="A45" s="1414">
        <f t="shared" si="1"/>
        <v>42</v>
      </c>
      <c r="B45" s="1414"/>
      <c r="C45" s="1414"/>
      <c r="D45" s="1414"/>
      <c r="E45" s="1414"/>
      <c r="F45" s="1415" t="e">
        <f>#REF!</f>
        <v>#REF!</v>
      </c>
      <c r="G45" s="1415"/>
      <c r="H45" s="1415"/>
      <c r="I45" s="1415"/>
      <c r="J45" s="1415"/>
      <c r="K45" s="1415"/>
      <c r="L45" s="1415"/>
      <c r="M45" s="1415"/>
      <c r="N45" s="1415"/>
      <c r="O45" s="1415"/>
      <c r="P45" s="1415"/>
      <c r="Q45" s="1415"/>
      <c r="R45" s="1415"/>
      <c r="S45" s="1415"/>
      <c r="T45" s="1415"/>
      <c r="U45" s="1415"/>
      <c r="V45" s="1415"/>
      <c r="W45" s="1415"/>
      <c r="X45" s="1415"/>
      <c r="Y45" s="1415"/>
      <c r="Z45" s="1415"/>
      <c r="AA45" s="1415"/>
      <c r="AB45" s="1415" t="e">
        <f>#REF!</f>
        <v>#REF!</v>
      </c>
      <c r="AC45" s="1415"/>
      <c r="AD45" s="1415"/>
      <c r="AE45" s="1415"/>
      <c r="AF45" s="1415"/>
      <c r="AG45" s="1415"/>
      <c r="AH45" s="1415"/>
      <c r="AI45" s="1415"/>
      <c r="AJ45" s="1415"/>
      <c r="AK45" s="1415"/>
      <c r="AL45" s="1415"/>
      <c r="AM45" s="1415"/>
      <c r="AN45" s="1415"/>
      <c r="AO45" s="1417" t="e">
        <f>#REF!</f>
        <v>#REF!</v>
      </c>
      <c r="AP45" s="1417"/>
      <c r="AQ45" s="1417"/>
      <c r="AR45" s="1417"/>
      <c r="AS45" s="1417"/>
      <c r="AT45" s="1417"/>
      <c r="AU45" s="1417"/>
      <c r="AV45" s="1417"/>
      <c r="AW45" s="1417"/>
      <c r="AX45" s="1417"/>
      <c r="AY45" s="1417"/>
      <c r="AZ45" s="1417" t="e">
        <f>#REF!</f>
        <v>#REF!</v>
      </c>
      <c r="BA45" s="1417"/>
      <c r="BB45" s="1417"/>
      <c r="BC45" s="1417"/>
      <c r="BD45" s="1417"/>
      <c r="BE45" s="1417"/>
      <c r="BF45" s="1417"/>
      <c r="BG45" s="1417"/>
      <c r="BH45" s="1417"/>
      <c r="BI45" s="1417"/>
      <c r="BJ45" s="1417"/>
      <c r="BK45" s="1417" t="e">
        <f>#REF!</f>
        <v>#REF!</v>
      </c>
      <c r="BL45" s="1417"/>
      <c r="BM45" s="1417"/>
      <c r="BN45" s="1417"/>
      <c r="BO45" s="1417"/>
      <c r="BP45" s="1417"/>
      <c r="BQ45" s="1417"/>
      <c r="BR45" s="1417"/>
      <c r="BS45" s="1417"/>
      <c r="BT45" s="1417"/>
      <c r="BU45" s="1417"/>
      <c r="BV45" s="1417" t="e">
        <f t="shared" si="0"/>
        <v>#REF!</v>
      </c>
      <c r="BW45" s="1417"/>
      <c r="BX45" s="1417"/>
      <c r="BY45" s="1417"/>
      <c r="BZ45" s="1417"/>
      <c r="CA45" s="1417"/>
      <c r="CB45" s="1417"/>
      <c r="CC45" s="1417"/>
      <c r="CD45" s="1417"/>
      <c r="CE45" s="1417"/>
      <c r="CF45" s="1417"/>
      <c r="CG45" s="661"/>
    </row>
    <row r="46" spans="1:85" s="660" customFormat="1" ht="29.1" customHeight="1">
      <c r="A46" s="1414">
        <f t="shared" si="1"/>
        <v>43</v>
      </c>
      <c r="B46" s="1414"/>
      <c r="C46" s="1414"/>
      <c r="D46" s="1414"/>
      <c r="E46" s="1414"/>
      <c r="F46" s="1415" t="e">
        <f>#REF!</f>
        <v>#REF!</v>
      </c>
      <c r="G46" s="1415"/>
      <c r="H46" s="1415"/>
      <c r="I46" s="1415"/>
      <c r="J46" s="1415"/>
      <c r="K46" s="1415"/>
      <c r="L46" s="1415"/>
      <c r="M46" s="1415"/>
      <c r="N46" s="1415"/>
      <c r="O46" s="1415"/>
      <c r="P46" s="1415"/>
      <c r="Q46" s="1415"/>
      <c r="R46" s="1415"/>
      <c r="S46" s="1415"/>
      <c r="T46" s="1415"/>
      <c r="U46" s="1415"/>
      <c r="V46" s="1415"/>
      <c r="W46" s="1415"/>
      <c r="X46" s="1415"/>
      <c r="Y46" s="1415"/>
      <c r="Z46" s="1415"/>
      <c r="AA46" s="1415"/>
      <c r="AB46" s="1415" t="e">
        <f>#REF!</f>
        <v>#REF!</v>
      </c>
      <c r="AC46" s="1415"/>
      <c r="AD46" s="1415"/>
      <c r="AE46" s="1415"/>
      <c r="AF46" s="1415"/>
      <c r="AG46" s="1415"/>
      <c r="AH46" s="1415"/>
      <c r="AI46" s="1415"/>
      <c r="AJ46" s="1415"/>
      <c r="AK46" s="1415"/>
      <c r="AL46" s="1415"/>
      <c r="AM46" s="1415"/>
      <c r="AN46" s="1415"/>
      <c r="AO46" s="1417" t="e">
        <f>#REF!</f>
        <v>#REF!</v>
      </c>
      <c r="AP46" s="1417"/>
      <c r="AQ46" s="1417"/>
      <c r="AR46" s="1417"/>
      <c r="AS46" s="1417"/>
      <c r="AT46" s="1417"/>
      <c r="AU46" s="1417"/>
      <c r="AV46" s="1417"/>
      <c r="AW46" s="1417"/>
      <c r="AX46" s="1417"/>
      <c r="AY46" s="1417"/>
      <c r="AZ46" s="1417" t="e">
        <f>#REF!</f>
        <v>#REF!</v>
      </c>
      <c r="BA46" s="1417"/>
      <c r="BB46" s="1417"/>
      <c r="BC46" s="1417"/>
      <c r="BD46" s="1417"/>
      <c r="BE46" s="1417"/>
      <c r="BF46" s="1417"/>
      <c r="BG46" s="1417"/>
      <c r="BH46" s="1417"/>
      <c r="BI46" s="1417"/>
      <c r="BJ46" s="1417"/>
      <c r="BK46" s="1417" t="e">
        <f>#REF!</f>
        <v>#REF!</v>
      </c>
      <c r="BL46" s="1417"/>
      <c r="BM46" s="1417"/>
      <c r="BN46" s="1417"/>
      <c r="BO46" s="1417"/>
      <c r="BP46" s="1417"/>
      <c r="BQ46" s="1417"/>
      <c r="BR46" s="1417"/>
      <c r="BS46" s="1417"/>
      <c r="BT46" s="1417"/>
      <c r="BU46" s="1417"/>
      <c r="BV46" s="1417" t="e">
        <f t="shared" si="0"/>
        <v>#REF!</v>
      </c>
      <c r="BW46" s="1417"/>
      <c r="BX46" s="1417"/>
      <c r="BY46" s="1417"/>
      <c r="BZ46" s="1417"/>
      <c r="CA46" s="1417"/>
      <c r="CB46" s="1417"/>
      <c r="CC46" s="1417"/>
      <c r="CD46" s="1417"/>
      <c r="CE46" s="1417"/>
      <c r="CF46" s="1417"/>
      <c r="CG46" s="661"/>
    </row>
    <row r="47" spans="1:85" s="660" customFormat="1" ht="29.1" customHeight="1">
      <c r="A47" s="1414">
        <f t="shared" si="1"/>
        <v>44</v>
      </c>
      <c r="B47" s="1414"/>
      <c r="C47" s="1414"/>
      <c r="D47" s="1414"/>
      <c r="E47" s="1414"/>
      <c r="F47" s="1415" t="e">
        <f>#REF!</f>
        <v>#REF!</v>
      </c>
      <c r="G47" s="1415"/>
      <c r="H47" s="1415"/>
      <c r="I47" s="1415"/>
      <c r="J47" s="1415"/>
      <c r="K47" s="1415"/>
      <c r="L47" s="1415"/>
      <c r="M47" s="1415"/>
      <c r="N47" s="1415"/>
      <c r="O47" s="1415"/>
      <c r="P47" s="1415"/>
      <c r="Q47" s="1415"/>
      <c r="R47" s="1415"/>
      <c r="S47" s="1415"/>
      <c r="T47" s="1415"/>
      <c r="U47" s="1415"/>
      <c r="V47" s="1415"/>
      <c r="W47" s="1415"/>
      <c r="X47" s="1415"/>
      <c r="Y47" s="1415"/>
      <c r="Z47" s="1415"/>
      <c r="AA47" s="1415"/>
      <c r="AB47" s="1415" t="e">
        <f>#REF!</f>
        <v>#REF!</v>
      </c>
      <c r="AC47" s="1415"/>
      <c r="AD47" s="1415"/>
      <c r="AE47" s="1415"/>
      <c r="AF47" s="1415"/>
      <c r="AG47" s="1415"/>
      <c r="AH47" s="1415"/>
      <c r="AI47" s="1415"/>
      <c r="AJ47" s="1415"/>
      <c r="AK47" s="1415"/>
      <c r="AL47" s="1415"/>
      <c r="AM47" s="1415"/>
      <c r="AN47" s="1415"/>
      <c r="AO47" s="1417" t="e">
        <f>#REF!</f>
        <v>#REF!</v>
      </c>
      <c r="AP47" s="1417"/>
      <c r="AQ47" s="1417"/>
      <c r="AR47" s="1417"/>
      <c r="AS47" s="1417"/>
      <c r="AT47" s="1417"/>
      <c r="AU47" s="1417"/>
      <c r="AV47" s="1417"/>
      <c r="AW47" s="1417"/>
      <c r="AX47" s="1417"/>
      <c r="AY47" s="1417"/>
      <c r="AZ47" s="1417" t="e">
        <f>#REF!</f>
        <v>#REF!</v>
      </c>
      <c r="BA47" s="1417"/>
      <c r="BB47" s="1417"/>
      <c r="BC47" s="1417"/>
      <c r="BD47" s="1417"/>
      <c r="BE47" s="1417"/>
      <c r="BF47" s="1417"/>
      <c r="BG47" s="1417"/>
      <c r="BH47" s="1417"/>
      <c r="BI47" s="1417"/>
      <c r="BJ47" s="1417"/>
      <c r="BK47" s="1417" t="e">
        <f>#REF!</f>
        <v>#REF!</v>
      </c>
      <c r="BL47" s="1417"/>
      <c r="BM47" s="1417"/>
      <c r="BN47" s="1417"/>
      <c r="BO47" s="1417"/>
      <c r="BP47" s="1417"/>
      <c r="BQ47" s="1417"/>
      <c r="BR47" s="1417"/>
      <c r="BS47" s="1417"/>
      <c r="BT47" s="1417"/>
      <c r="BU47" s="1417"/>
      <c r="BV47" s="1417" t="e">
        <f>AO47+AZ47+BK47</f>
        <v>#REF!</v>
      </c>
      <c r="BW47" s="1417"/>
      <c r="BX47" s="1417"/>
      <c r="BY47" s="1417"/>
      <c r="BZ47" s="1417"/>
      <c r="CA47" s="1417"/>
      <c r="CB47" s="1417"/>
      <c r="CC47" s="1417"/>
      <c r="CD47" s="1417"/>
      <c r="CE47" s="1417"/>
      <c r="CF47" s="1417"/>
      <c r="CG47" s="661"/>
    </row>
    <row r="48" spans="1:85" s="660" customFormat="1" ht="29.1" customHeight="1">
      <c r="A48" s="1414">
        <f t="shared" si="1"/>
        <v>45</v>
      </c>
      <c r="B48" s="1414"/>
      <c r="C48" s="1414"/>
      <c r="D48" s="1414"/>
      <c r="E48" s="1414"/>
      <c r="F48" s="1415" t="e">
        <f>#REF!</f>
        <v>#REF!</v>
      </c>
      <c r="G48" s="1415"/>
      <c r="H48" s="1415"/>
      <c r="I48" s="1415"/>
      <c r="J48" s="1415"/>
      <c r="K48" s="1415"/>
      <c r="L48" s="1415"/>
      <c r="M48" s="1415"/>
      <c r="N48" s="1415"/>
      <c r="O48" s="1415"/>
      <c r="P48" s="1415"/>
      <c r="Q48" s="1415"/>
      <c r="R48" s="1415"/>
      <c r="S48" s="1415"/>
      <c r="T48" s="1415"/>
      <c r="U48" s="1415"/>
      <c r="V48" s="1415"/>
      <c r="W48" s="1415"/>
      <c r="X48" s="1415"/>
      <c r="Y48" s="1415"/>
      <c r="Z48" s="1415"/>
      <c r="AA48" s="1415"/>
      <c r="AB48" s="1415" t="e">
        <f>#REF!</f>
        <v>#REF!</v>
      </c>
      <c r="AC48" s="1415"/>
      <c r="AD48" s="1415"/>
      <c r="AE48" s="1415"/>
      <c r="AF48" s="1415"/>
      <c r="AG48" s="1415"/>
      <c r="AH48" s="1415"/>
      <c r="AI48" s="1415"/>
      <c r="AJ48" s="1415"/>
      <c r="AK48" s="1415"/>
      <c r="AL48" s="1415"/>
      <c r="AM48" s="1415"/>
      <c r="AN48" s="1415"/>
      <c r="AO48" s="1417" t="e">
        <f>#REF!</f>
        <v>#REF!</v>
      </c>
      <c r="AP48" s="1417"/>
      <c r="AQ48" s="1417"/>
      <c r="AR48" s="1417"/>
      <c r="AS48" s="1417"/>
      <c r="AT48" s="1417"/>
      <c r="AU48" s="1417"/>
      <c r="AV48" s="1417"/>
      <c r="AW48" s="1417"/>
      <c r="AX48" s="1417"/>
      <c r="AY48" s="1417"/>
      <c r="AZ48" s="1417" t="e">
        <f>#REF!</f>
        <v>#REF!</v>
      </c>
      <c r="BA48" s="1417"/>
      <c r="BB48" s="1417"/>
      <c r="BC48" s="1417"/>
      <c r="BD48" s="1417"/>
      <c r="BE48" s="1417"/>
      <c r="BF48" s="1417"/>
      <c r="BG48" s="1417"/>
      <c r="BH48" s="1417"/>
      <c r="BI48" s="1417"/>
      <c r="BJ48" s="1417"/>
      <c r="BK48" s="1417" t="e">
        <f>#REF!</f>
        <v>#REF!</v>
      </c>
      <c r="BL48" s="1417"/>
      <c r="BM48" s="1417"/>
      <c r="BN48" s="1417"/>
      <c r="BO48" s="1417"/>
      <c r="BP48" s="1417"/>
      <c r="BQ48" s="1417"/>
      <c r="BR48" s="1417"/>
      <c r="BS48" s="1417"/>
      <c r="BT48" s="1417"/>
      <c r="BU48" s="1417"/>
      <c r="BV48" s="1417" t="e">
        <f t="shared" si="0"/>
        <v>#REF!</v>
      </c>
      <c r="BW48" s="1417"/>
      <c r="BX48" s="1417"/>
      <c r="BY48" s="1417"/>
      <c r="BZ48" s="1417"/>
      <c r="CA48" s="1417"/>
      <c r="CB48" s="1417"/>
      <c r="CC48" s="1417"/>
      <c r="CD48" s="1417"/>
      <c r="CE48" s="1417"/>
      <c r="CF48" s="1417"/>
      <c r="CG48" s="661"/>
    </row>
    <row r="49" spans="1:86" s="660" customFormat="1" ht="29.1" customHeight="1">
      <c r="A49" s="1414">
        <f t="shared" si="1"/>
        <v>46</v>
      </c>
      <c r="B49" s="1414"/>
      <c r="C49" s="1414"/>
      <c r="D49" s="1414"/>
      <c r="E49" s="1414"/>
      <c r="F49" s="1415" t="e">
        <f>#REF!</f>
        <v>#REF!</v>
      </c>
      <c r="G49" s="1415"/>
      <c r="H49" s="1415"/>
      <c r="I49" s="1415"/>
      <c r="J49" s="1415"/>
      <c r="K49" s="1415"/>
      <c r="L49" s="1415"/>
      <c r="M49" s="1415"/>
      <c r="N49" s="1415"/>
      <c r="O49" s="1415"/>
      <c r="P49" s="1415"/>
      <c r="Q49" s="1415"/>
      <c r="R49" s="1415"/>
      <c r="S49" s="1415"/>
      <c r="T49" s="1415"/>
      <c r="U49" s="1415"/>
      <c r="V49" s="1415"/>
      <c r="W49" s="1415"/>
      <c r="X49" s="1415"/>
      <c r="Y49" s="1415"/>
      <c r="Z49" s="1415"/>
      <c r="AA49" s="1415"/>
      <c r="AB49" s="1415" t="e">
        <f>#REF!</f>
        <v>#REF!</v>
      </c>
      <c r="AC49" s="1415"/>
      <c r="AD49" s="1415"/>
      <c r="AE49" s="1415"/>
      <c r="AF49" s="1415"/>
      <c r="AG49" s="1415"/>
      <c r="AH49" s="1415"/>
      <c r="AI49" s="1415"/>
      <c r="AJ49" s="1415"/>
      <c r="AK49" s="1415"/>
      <c r="AL49" s="1415"/>
      <c r="AM49" s="1415"/>
      <c r="AN49" s="1415"/>
      <c r="AO49" s="1417">
        <v>0</v>
      </c>
      <c r="AP49" s="1417"/>
      <c r="AQ49" s="1417"/>
      <c r="AR49" s="1417"/>
      <c r="AS49" s="1417"/>
      <c r="AT49" s="1417"/>
      <c r="AU49" s="1417"/>
      <c r="AV49" s="1417"/>
      <c r="AW49" s="1417"/>
      <c r="AX49" s="1417"/>
      <c r="AY49" s="1417"/>
      <c r="AZ49" s="1417">
        <v>0</v>
      </c>
      <c r="BA49" s="1417"/>
      <c r="BB49" s="1417"/>
      <c r="BC49" s="1417"/>
      <c r="BD49" s="1417"/>
      <c r="BE49" s="1417"/>
      <c r="BF49" s="1417"/>
      <c r="BG49" s="1417"/>
      <c r="BH49" s="1417"/>
      <c r="BI49" s="1417"/>
      <c r="BJ49" s="1417"/>
      <c r="BK49" s="1417" t="e">
        <f>#REF!</f>
        <v>#REF!</v>
      </c>
      <c r="BL49" s="1417"/>
      <c r="BM49" s="1417"/>
      <c r="BN49" s="1417"/>
      <c r="BO49" s="1417"/>
      <c r="BP49" s="1417"/>
      <c r="BQ49" s="1417"/>
      <c r="BR49" s="1417"/>
      <c r="BS49" s="1417"/>
      <c r="BT49" s="1417"/>
      <c r="BU49" s="1417"/>
      <c r="BV49" s="1417" t="e">
        <f t="shared" si="0"/>
        <v>#REF!</v>
      </c>
      <c r="BW49" s="1417"/>
      <c r="BX49" s="1417"/>
      <c r="BY49" s="1417"/>
      <c r="BZ49" s="1417"/>
      <c r="CA49" s="1417"/>
      <c r="CB49" s="1417"/>
      <c r="CC49" s="1417"/>
      <c r="CD49" s="1417"/>
      <c r="CE49" s="1417"/>
      <c r="CF49" s="1417"/>
      <c r="CG49" s="661"/>
    </row>
    <row r="50" spans="1:86" s="660" customFormat="1" ht="29.1" customHeight="1">
      <c r="A50" s="1414">
        <f t="shared" si="1"/>
        <v>47</v>
      </c>
      <c r="B50" s="1414"/>
      <c r="C50" s="1414"/>
      <c r="D50" s="1414"/>
      <c r="E50" s="1414"/>
      <c r="F50" s="1415" t="e">
        <f>#REF!</f>
        <v>#REF!</v>
      </c>
      <c r="G50" s="1415"/>
      <c r="H50" s="1415"/>
      <c r="I50" s="1415"/>
      <c r="J50" s="1415"/>
      <c r="K50" s="1415"/>
      <c r="L50" s="1415"/>
      <c r="M50" s="1415"/>
      <c r="N50" s="1415"/>
      <c r="O50" s="1415"/>
      <c r="P50" s="1415"/>
      <c r="Q50" s="1415"/>
      <c r="R50" s="1415"/>
      <c r="S50" s="1415"/>
      <c r="T50" s="1415"/>
      <c r="U50" s="1415"/>
      <c r="V50" s="1415"/>
      <c r="W50" s="1415"/>
      <c r="X50" s="1415"/>
      <c r="Y50" s="1415"/>
      <c r="Z50" s="1415"/>
      <c r="AA50" s="1415"/>
      <c r="AB50" s="1415" t="e">
        <f>#REF!</f>
        <v>#REF!</v>
      </c>
      <c r="AC50" s="1415"/>
      <c r="AD50" s="1415"/>
      <c r="AE50" s="1415"/>
      <c r="AF50" s="1415"/>
      <c r="AG50" s="1415"/>
      <c r="AH50" s="1415"/>
      <c r="AI50" s="1415"/>
      <c r="AJ50" s="1415"/>
      <c r="AK50" s="1415"/>
      <c r="AL50" s="1415"/>
      <c r="AM50" s="1415"/>
      <c r="AN50" s="1415"/>
      <c r="AO50" s="1417">
        <v>0</v>
      </c>
      <c r="AP50" s="1417"/>
      <c r="AQ50" s="1417"/>
      <c r="AR50" s="1417"/>
      <c r="AS50" s="1417"/>
      <c r="AT50" s="1417"/>
      <c r="AU50" s="1417"/>
      <c r="AV50" s="1417"/>
      <c r="AW50" s="1417"/>
      <c r="AX50" s="1417"/>
      <c r="AY50" s="1417"/>
      <c r="AZ50" s="1417">
        <v>0</v>
      </c>
      <c r="BA50" s="1417"/>
      <c r="BB50" s="1417"/>
      <c r="BC50" s="1417"/>
      <c r="BD50" s="1417"/>
      <c r="BE50" s="1417"/>
      <c r="BF50" s="1417"/>
      <c r="BG50" s="1417"/>
      <c r="BH50" s="1417"/>
      <c r="BI50" s="1417"/>
      <c r="BJ50" s="1417"/>
      <c r="BK50" s="1417" t="e">
        <f>#REF!</f>
        <v>#REF!</v>
      </c>
      <c r="BL50" s="1417"/>
      <c r="BM50" s="1417"/>
      <c r="BN50" s="1417"/>
      <c r="BO50" s="1417"/>
      <c r="BP50" s="1417"/>
      <c r="BQ50" s="1417"/>
      <c r="BR50" s="1417"/>
      <c r="BS50" s="1417"/>
      <c r="BT50" s="1417"/>
      <c r="BU50" s="1417"/>
      <c r="BV50" s="1417" t="e">
        <f>AO50+AZ50+BK50</f>
        <v>#REF!</v>
      </c>
      <c r="BW50" s="1417"/>
      <c r="BX50" s="1417"/>
      <c r="BY50" s="1417"/>
      <c r="BZ50" s="1417"/>
      <c r="CA50" s="1417"/>
      <c r="CB50" s="1417"/>
      <c r="CC50" s="1417"/>
      <c r="CD50" s="1417"/>
      <c r="CE50" s="1417"/>
      <c r="CF50" s="1417"/>
      <c r="CG50" s="661"/>
    </row>
    <row r="51" spans="1:86" s="660" customFormat="1" ht="29.1" customHeight="1">
      <c r="A51" s="1414">
        <f t="shared" si="1"/>
        <v>48</v>
      </c>
      <c r="B51" s="1414"/>
      <c r="C51" s="1414"/>
      <c r="D51" s="1414"/>
      <c r="E51" s="1414"/>
      <c r="F51" s="1415" t="e">
        <f>#REF!</f>
        <v>#REF!</v>
      </c>
      <c r="G51" s="1415"/>
      <c r="H51" s="1415"/>
      <c r="I51" s="1415"/>
      <c r="J51" s="1415"/>
      <c r="K51" s="1415"/>
      <c r="L51" s="1415"/>
      <c r="M51" s="1415"/>
      <c r="N51" s="1415"/>
      <c r="O51" s="1415"/>
      <c r="P51" s="1415"/>
      <c r="Q51" s="1415"/>
      <c r="R51" s="1415"/>
      <c r="S51" s="1415"/>
      <c r="T51" s="1415"/>
      <c r="U51" s="1415"/>
      <c r="V51" s="1415"/>
      <c r="W51" s="1415"/>
      <c r="X51" s="1415"/>
      <c r="Y51" s="1415"/>
      <c r="Z51" s="1415"/>
      <c r="AA51" s="1415"/>
      <c r="AB51" s="1415" t="e">
        <f>#REF!</f>
        <v>#REF!</v>
      </c>
      <c r="AC51" s="1415"/>
      <c r="AD51" s="1415"/>
      <c r="AE51" s="1415"/>
      <c r="AF51" s="1415"/>
      <c r="AG51" s="1415"/>
      <c r="AH51" s="1415"/>
      <c r="AI51" s="1415"/>
      <c r="AJ51" s="1415"/>
      <c r="AK51" s="1415"/>
      <c r="AL51" s="1415"/>
      <c r="AM51" s="1415"/>
      <c r="AN51" s="1415"/>
      <c r="AO51" s="1417" t="e">
        <f>#REF!</f>
        <v>#REF!</v>
      </c>
      <c r="AP51" s="1417"/>
      <c r="AQ51" s="1417"/>
      <c r="AR51" s="1417"/>
      <c r="AS51" s="1417"/>
      <c r="AT51" s="1417"/>
      <c r="AU51" s="1417"/>
      <c r="AV51" s="1417"/>
      <c r="AW51" s="1417"/>
      <c r="AX51" s="1417"/>
      <c r="AY51" s="1417"/>
      <c r="AZ51" s="1417" t="e">
        <f>#REF!</f>
        <v>#REF!</v>
      </c>
      <c r="BA51" s="1417"/>
      <c r="BB51" s="1417"/>
      <c r="BC51" s="1417"/>
      <c r="BD51" s="1417"/>
      <c r="BE51" s="1417"/>
      <c r="BF51" s="1417"/>
      <c r="BG51" s="1417"/>
      <c r="BH51" s="1417"/>
      <c r="BI51" s="1417"/>
      <c r="BJ51" s="1417"/>
      <c r="BK51" s="1417" t="e">
        <f>#REF!</f>
        <v>#REF!</v>
      </c>
      <c r="BL51" s="1417"/>
      <c r="BM51" s="1417"/>
      <c r="BN51" s="1417"/>
      <c r="BO51" s="1417"/>
      <c r="BP51" s="1417"/>
      <c r="BQ51" s="1417"/>
      <c r="BR51" s="1417"/>
      <c r="BS51" s="1417"/>
      <c r="BT51" s="1417"/>
      <c r="BU51" s="1417"/>
      <c r="BV51" s="1417" t="e">
        <f>AO51+AZ51+BK51</f>
        <v>#REF!</v>
      </c>
      <c r="BW51" s="1417"/>
      <c r="BX51" s="1417"/>
      <c r="BY51" s="1417"/>
      <c r="BZ51" s="1417"/>
      <c r="CA51" s="1417"/>
      <c r="CB51" s="1417"/>
      <c r="CC51" s="1417"/>
      <c r="CD51" s="1417"/>
      <c r="CE51" s="1417"/>
      <c r="CF51" s="1417"/>
      <c r="CG51" s="661"/>
    </row>
    <row r="52" spans="1:86" s="660" customFormat="1" ht="29.1" customHeight="1">
      <c r="A52" s="1414">
        <f t="shared" si="1"/>
        <v>49</v>
      </c>
      <c r="B52" s="1414"/>
      <c r="C52" s="1414"/>
      <c r="D52" s="1414"/>
      <c r="E52" s="1414"/>
      <c r="F52" s="1415" t="e">
        <f>#REF!</f>
        <v>#REF!</v>
      </c>
      <c r="G52" s="1415"/>
      <c r="H52" s="1415"/>
      <c r="I52" s="1415"/>
      <c r="J52" s="1415"/>
      <c r="K52" s="1415"/>
      <c r="L52" s="1415"/>
      <c r="M52" s="1415"/>
      <c r="N52" s="1415"/>
      <c r="O52" s="1415"/>
      <c r="P52" s="1415"/>
      <c r="Q52" s="1415"/>
      <c r="R52" s="1415"/>
      <c r="S52" s="1415"/>
      <c r="T52" s="1415"/>
      <c r="U52" s="1415"/>
      <c r="V52" s="1415"/>
      <c r="W52" s="1415"/>
      <c r="X52" s="1415"/>
      <c r="Y52" s="1415"/>
      <c r="Z52" s="1415"/>
      <c r="AA52" s="1415"/>
      <c r="AB52" s="1415" t="e">
        <f>#REF!</f>
        <v>#REF!</v>
      </c>
      <c r="AC52" s="1415"/>
      <c r="AD52" s="1415"/>
      <c r="AE52" s="1415"/>
      <c r="AF52" s="1415"/>
      <c r="AG52" s="1415"/>
      <c r="AH52" s="1415"/>
      <c r="AI52" s="1415"/>
      <c r="AJ52" s="1415"/>
      <c r="AK52" s="1415"/>
      <c r="AL52" s="1415"/>
      <c r="AM52" s="1415"/>
      <c r="AN52" s="1415"/>
      <c r="AO52" s="1417" t="e">
        <f>#REF!</f>
        <v>#REF!</v>
      </c>
      <c r="AP52" s="1417"/>
      <c r="AQ52" s="1417"/>
      <c r="AR52" s="1417"/>
      <c r="AS52" s="1417"/>
      <c r="AT52" s="1417"/>
      <c r="AU52" s="1417"/>
      <c r="AV52" s="1417"/>
      <c r="AW52" s="1417"/>
      <c r="AX52" s="1417"/>
      <c r="AY52" s="1417"/>
      <c r="AZ52" s="1417" t="e">
        <f>#REF!</f>
        <v>#REF!</v>
      </c>
      <c r="BA52" s="1417"/>
      <c r="BB52" s="1417"/>
      <c r="BC52" s="1417"/>
      <c r="BD52" s="1417"/>
      <c r="BE52" s="1417"/>
      <c r="BF52" s="1417"/>
      <c r="BG52" s="1417"/>
      <c r="BH52" s="1417"/>
      <c r="BI52" s="1417"/>
      <c r="BJ52" s="1417"/>
      <c r="BK52" s="1417" t="e">
        <f>#REF!</f>
        <v>#REF!</v>
      </c>
      <c r="BL52" s="1417"/>
      <c r="BM52" s="1417"/>
      <c r="BN52" s="1417"/>
      <c r="BO52" s="1417"/>
      <c r="BP52" s="1417"/>
      <c r="BQ52" s="1417"/>
      <c r="BR52" s="1417"/>
      <c r="BS52" s="1417"/>
      <c r="BT52" s="1417"/>
      <c r="BU52" s="1417"/>
      <c r="BV52" s="1417" t="e">
        <f t="shared" si="0"/>
        <v>#REF!</v>
      </c>
      <c r="BW52" s="1417"/>
      <c r="BX52" s="1417"/>
      <c r="BY52" s="1417"/>
      <c r="BZ52" s="1417"/>
      <c r="CA52" s="1417"/>
      <c r="CB52" s="1417"/>
      <c r="CC52" s="1417"/>
      <c r="CD52" s="1417"/>
      <c r="CE52" s="1417"/>
      <c r="CF52" s="1417"/>
      <c r="CG52" s="661"/>
    </row>
    <row r="53" spans="1:86" s="660" customFormat="1" ht="29.1" customHeight="1">
      <c r="A53" s="1414">
        <f t="shared" si="1"/>
        <v>50</v>
      </c>
      <c r="B53" s="1414"/>
      <c r="C53" s="1414"/>
      <c r="D53" s="1414"/>
      <c r="E53" s="1414"/>
      <c r="F53" s="1415" t="e">
        <f>#REF!</f>
        <v>#REF!</v>
      </c>
      <c r="G53" s="1415"/>
      <c r="H53" s="1415"/>
      <c r="I53" s="1415"/>
      <c r="J53" s="1415"/>
      <c r="K53" s="1415"/>
      <c r="L53" s="1415"/>
      <c r="M53" s="1415"/>
      <c r="N53" s="1415"/>
      <c r="O53" s="1415"/>
      <c r="P53" s="1415"/>
      <c r="Q53" s="1415"/>
      <c r="R53" s="1415"/>
      <c r="S53" s="1415"/>
      <c r="T53" s="1415"/>
      <c r="U53" s="1415"/>
      <c r="V53" s="1415"/>
      <c r="W53" s="1415"/>
      <c r="X53" s="1415"/>
      <c r="Y53" s="1415"/>
      <c r="Z53" s="1415"/>
      <c r="AA53" s="1415"/>
      <c r="AB53" s="1415" t="e">
        <f>#REF!</f>
        <v>#REF!</v>
      </c>
      <c r="AC53" s="1415"/>
      <c r="AD53" s="1415"/>
      <c r="AE53" s="1415"/>
      <c r="AF53" s="1415"/>
      <c r="AG53" s="1415"/>
      <c r="AH53" s="1415"/>
      <c r="AI53" s="1415"/>
      <c r="AJ53" s="1415"/>
      <c r="AK53" s="1415"/>
      <c r="AL53" s="1415"/>
      <c r="AM53" s="1415"/>
      <c r="AN53" s="1415"/>
      <c r="AO53" s="1417" t="e">
        <f>#REF!</f>
        <v>#REF!</v>
      </c>
      <c r="AP53" s="1417"/>
      <c r="AQ53" s="1417"/>
      <c r="AR53" s="1417"/>
      <c r="AS53" s="1417"/>
      <c r="AT53" s="1417"/>
      <c r="AU53" s="1417"/>
      <c r="AV53" s="1417"/>
      <c r="AW53" s="1417"/>
      <c r="AX53" s="1417"/>
      <c r="AY53" s="1417"/>
      <c r="AZ53" s="1417" t="e">
        <f>#REF!</f>
        <v>#REF!</v>
      </c>
      <c r="BA53" s="1417"/>
      <c r="BB53" s="1417"/>
      <c r="BC53" s="1417"/>
      <c r="BD53" s="1417"/>
      <c r="BE53" s="1417"/>
      <c r="BF53" s="1417"/>
      <c r="BG53" s="1417"/>
      <c r="BH53" s="1417"/>
      <c r="BI53" s="1417"/>
      <c r="BJ53" s="1417"/>
      <c r="BK53" s="1417" t="e">
        <f>#REF!</f>
        <v>#REF!</v>
      </c>
      <c r="BL53" s="1417"/>
      <c r="BM53" s="1417"/>
      <c r="BN53" s="1417"/>
      <c r="BO53" s="1417"/>
      <c r="BP53" s="1417"/>
      <c r="BQ53" s="1417"/>
      <c r="BR53" s="1417"/>
      <c r="BS53" s="1417"/>
      <c r="BT53" s="1417"/>
      <c r="BU53" s="1417"/>
      <c r="BV53" s="1417" t="e">
        <f t="shared" si="0"/>
        <v>#REF!</v>
      </c>
      <c r="BW53" s="1417"/>
      <c r="BX53" s="1417"/>
      <c r="BY53" s="1417"/>
      <c r="BZ53" s="1417"/>
      <c r="CA53" s="1417"/>
      <c r="CB53" s="1417"/>
      <c r="CC53" s="1417"/>
      <c r="CD53" s="1417"/>
      <c r="CE53" s="1417"/>
      <c r="CF53" s="1417"/>
      <c r="CG53" s="661"/>
    </row>
    <row r="54" spans="1:86" s="660" customFormat="1" ht="29.1" customHeight="1">
      <c r="A54" s="1414">
        <f t="shared" si="1"/>
        <v>51</v>
      </c>
      <c r="B54" s="1414"/>
      <c r="C54" s="1414"/>
      <c r="D54" s="1414"/>
      <c r="E54" s="1414"/>
      <c r="F54" s="1415" t="e">
        <f>#REF!</f>
        <v>#REF!</v>
      </c>
      <c r="G54" s="1415"/>
      <c r="H54" s="1415"/>
      <c r="I54" s="1415"/>
      <c r="J54" s="1415"/>
      <c r="K54" s="1415"/>
      <c r="L54" s="1415"/>
      <c r="M54" s="1415"/>
      <c r="N54" s="1415"/>
      <c r="O54" s="1415"/>
      <c r="P54" s="1415"/>
      <c r="Q54" s="1415"/>
      <c r="R54" s="1415"/>
      <c r="S54" s="1415"/>
      <c r="T54" s="1415"/>
      <c r="U54" s="1415"/>
      <c r="V54" s="1415"/>
      <c r="W54" s="1415"/>
      <c r="X54" s="1415"/>
      <c r="Y54" s="1415"/>
      <c r="Z54" s="1415"/>
      <c r="AA54" s="1415"/>
      <c r="AB54" s="1415" t="e">
        <f>#REF!</f>
        <v>#REF!</v>
      </c>
      <c r="AC54" s="1415"/>
      <c r="AD54" s="1415"/>
      <c r="AE54" s="1415"/>
      <c r="AF54" s="1415"/>
      <c r="AG54" s="1415"/>
      <c r="AH54" s="1415"/>
      <c r="AI54" s="1415"/>
      <c r="AJ54" s="1415"/>
      <c r="AK54" s="1415"/>
      <c r="AL54" s="1415"/>
      <c r="AM54" s="1415"/>
      <c r="AN54" s="1415"/>
      <c r="AO54" s="1417" t="e">
        <f>#REF!</f>
        <v>#REF!</v>
      </c>
      <c r="AP54" s="1417"/>
      <c r="AQ54" s="1417"/>
      <c r="AR54" s="1417"/>
      <c r="AS54" s="1417"/>
      <c r="AT54" s="1417"/>
      <c r="AU54" s="1417"/>
      <c r="AV54" s="1417"/>
      <c r="AW54" s="1417"/>
      <c r="AX54" s="1417"/>
      <c r="AY54" s="1417"/>
      <c r="AZ54" s="1417" t="e">
        <f>#REF!</f>
        <v>#REF!</v>
      </c>
      <c r="BA54" s="1417"/>
      <c r="BB54" s="1417"/>
      <c r="BC54" s="1417"/>
      <c r="BD54" s="1417"/>
      <c r="BE54" s="1417"/>
      <c r="BF54" s="1417"/>
      <c r="BG54" s="1417"/>
      <c r="BH54" s="1417"/>
      <c r="BI54" s="1417"/>
      <c r="BJ54" s="1417"/>
      <c r="BK54" s="1417" t="e">
        <f>#REF!</f>
        <v>#REF!</v>
      </c>
      <c r="BL54" s="1417"/>
      <c r="BM54" s="1417"/>
      <c r="BN54" s="1417"/>
      <c r="BO54" s="1417"/>
      <c r="BP54" s="1417"/>
      <c r="BQ54" s="1417"/>
      <c r="BR54" s="1417"/>
      <c r="BS54" s="1417"/>
      <c r="BT54" s="1417"/>
      <c r="BU54" s="1417"/>
      <c r="BV54" s="1417" t="e">
        <f t="shared" si="0"/>
        <v>#REF!</v>
      </c>
      <c r="BW54" s="1417"/>
      <c r="BX54" s="1417"/>
      <c r="BY54" s="1417"/>
      <c r="BZ54" s="1417"/>
      <c r="CA54" s="1417"/>
      <c r="CB54" s="1417"/>
      <c r="CC54" s="1417"/>
      <c r="CD54" s="1417"/>
      <c r="CE54" s="1417"/>
      <c r="CF54" s="1417"/>
      <c r="CG54" s="661"/>
    </row>
    <row r="55" spans="1:86" s="660" customFormat="1" ht="29.1" customHeight="1">
      <c r="A55" s="1414">
        <f t="shared" si="1"/>
        <v>52</v>
      </c>
      <c r="B55" s="1414"/>
      <c r="C55" s="1414"/>
      <c r="D55" s="1414"/>
      <c r="E55" s="1414"/>
      <c r="F55" s="1415" t="e">
        <f>#REF!</f>
        <v>#REF!</v>
      </c>
      <c r="G55" s="1415"/>
      <c r="H55" s="1415"/>
      <c r="I55" s="1415"/>
      <c r="J55" s="1415"/>
      <c r="K55" s="1415"/>
      <c r="L55" s="1415"/>
      <c r="M55" s="1415"/>
      <c r="N55" s="1415"/>
      <c r="O55" s="1415"/>
      <c r="P55" s="1415"/>
      <c r="Q55" s="1415"/>
      <c r="R55" s="1415"/>
      <c r="S55" s="1415"/>
      <c r="T55" s="1415"/>
      <c r="U55" s="1415"/>
      <c r="V55" s="1415"/>
      <c r="W55" s="1415"/>
      <c r="X55" s="1415"/>
      <c r="Y55" s="1415"/>
      <c r="Z55" s="1415"/>
      <c r="AA55" s="1415"/>
      <c r="AB55" s="1415" t="e">
        <f>#REF!</f>
        <v>#REF!</v>
      </c>
      <c r="AC55" s="1415"/>
      <c r="AD55" s="1415"/>
      <c r="AE55" s="1415"/>
      <c r="AF55" s="1415"/>
      <c r="AG55" s="1415"/>
      <c r="AH55" s="1415"/>
      <c r="AI55" s="1415"/>
      <c r="AJ55" s="1415"/>
      <c r="AK55" s="1415"/>
      <c r="AL55" s="1415"/>
      <c r="AM55" s="1415"/>
      <c r="AN55" s="1415"/>
      <c r="AO55" s="1417" t="e">
        <f>#REF!</f>
        <v>#REF!</v>
      </c>
      <c r="AP55" s="1417"/>
      <c r="AQ55" s="1417"/>
      <c r="AR55" s="1417"/>
      <c r="AS55" s="1417"/>
      <c r="AT55" s="1417"/>
      <c r="AU55" s="1417"/>
      <c r="AV55" s="1417"/>
      <c r="AW55" s="1417"/>
      <c r="AX55" s="1417"/>
      <c r="AY55" s="1417"/>
      <c r="AZ55" s="1417" t="e">
        <f>#REF!</f>
        <v>#REF!</v>
      </c>
      <c r="BA55" s="1417"/>
      <c r="BB55" s="1417"/>
      <c r="BC55" s="1417"/>
      <c r="BD55" s="1417"/>
      <c r="BE55" s="1417"/>
      <c r="BF55" s="1417"/>
      <c r="BG55" s="1417"/>
      <c r="BH55" s="1417"/>
      <c r="BI55" s="1417"/>
      <c r="BJ55" s="1417"/>
      <c r="BK55" s="1417" t="e">
        <f>#REF!</f>
        <v>#REF!</v>
      </c>
      <c r="BL55" s="1417"/>
      <c r="BM55" s="1417"/>
      <c r="BN55" s="1417"/>
      <c r="BO55" s="1417"/>
      <c r="BP55" s="1417"/>
      <c r="BQ55" s="1417"/>
      <c r="BR55" s="1417"/>
      <c r="BS55" s="1417"/>
      <c r="BT55" s="1417"/>
      <c r="BU55" s="1417"/>
      <c r="BV55" s="1417" t="e">
        <f t="shared" si="0"/>
        <v>#REF!</v>
      </c>
      <c r="BW55" s="1417"/>
      <c r="BX55" s="1417"/>
      <c r="BY55" s="1417"/>
      <c r="BZ55" s="1417"/>
      <c r="CA55" s="1417"/>
      <c r="CB55" s="1417"/>
      <c r="CC55" s="1417"/>
      <c r="CD55" s="1417"/>
      <c r="CE55" s="1417"/>
      <c r="CF55" s="1417"/>
      <c r="CG55" s="661"/>
    </row>
    <row r="56" spans="1:86" s="662" customFormat="1" ht="29.1" customHeight="1">
      <c r="A56" s="1414">
        <f t="shared" si="1"/>
        <v>53</v>
      </c>
      <c r="B56" s="1414"/>
      <c r="C56" s="1414"/>
      <c r="D56" s="1414"/>
      <c r="E56" s="1414"/>
      <c r="F56" s="1415" t="e">
        <f>#REF!</f>
        <v>#REF!</v>
      </c>
      <c r="G56" s="1415"/>
      <c r="H56" s="1415"/>
      <c r="I56" s="1415"/>
      <c r="J56" s="1415"/>
      <c r="K56" s="1415"/>
      <c r="L56" s="1415"/>
      <c r="M56" s="1415"/>
      <c r="N56" s="1415"/>
      <c r="O56" s="1415"/>
      <c r="P56" s="1415"/>
      <c r="Q56" s="1415"/>
      <c r="R56" s="1415"/>
      <c r="S56" s="1415"/>
      <c r="T56" s="1415"/>
      <c r="U56" s="1415"/>
      <c r="V56" s="1415"/>
      <c r="W56" s="1415"/>
      <c r="X56" s="1415"/>
      <c r="Y56" s="1415"/>
      <c r="Z56" s="1415"/>
      <c r="AA56" s="1415"/>
      <c r="AB56" s="1415" t="e">
        <f>#REF!</f>
        <v>#REF!</v>
      </c>
      <c r="AC56" s="1415"/>
      <c r="AD56" s="1415"/>
      <c r="AE56" s="1415"/>
      <c r="AF56" s="1415"/>
      <c r="AG56" s="1415"/>
      <c r="AH56" s="1415"/>
      <c r="AI56" s="1415"/>
      <c r="AJ56" s="1415"/>
      <c r="AK56" s="1415"/>
      <c r="AL56" s="1415"/>
      <c r="AM56" s="1415"/>
      <c r="AN56" s="1415"/>
      <c r="AO56" s="1417" t="e">
        <f>#REF!</f>
        <v>#REF!</v>
      </c>
      <c r="AP56" s="1417"/>
      <c r="AQ56" s="1417"/>
      <c r="AR56" s="1417"/>
      <c r="AS56" s="1417"/>
      <c r="AT56" s="1417"/>
      <c r="AU56" s="1417"/>
      <c r="AV56" s="1417"/>
      <c r="AW56" s="1417"/>
      <c r="AX56" s="1417"/>
      <c r="AY56" s="1417"/>
      <c r="AZ56" s="1417" t="e">
        <f>#REF!</f>
        <v>#REF!</v>
      </c>
      <c r="BA56" s="1417"/>
      <c r="BB56" s="1417"/>
      <c r="BC56" s="1417"/>
      <c r="BD56" s="1417"/>
      <c r="BE56" s="1417"/>
      <c r="BF56" s="1417"/>
      <c r="BG56" s="1417"/>
      <c r="BH56" s="1417"/>
      <c r="BI56" s="1417"/>
      <c r="BJ56" s="1417"/>
      <c r="BK56" s="1417" t="e">
        <f>#REF!</f>
        <v>#REF!</v>
      </c>
      <c r="BL56" s="1417"/>
      <c r="BM56" s="1417"/>
      <c r="BN56" s="1417"/>
      <c r="BO56" s="1417"/>
      <c r="BP56" s="1417"/>
      <c r="BQ56" s="1417"/>
      <c r="BR56" s="1417"/>
      <c r="BS56" s="1417"/>
      <c r="BT56" s="1417"/>
      <c r="BU56" s="1417"/>
      <c r="BV56" s="1417" t="e">
        <f t="shared" si="0"/>
        <v>#REF!</v>
      </c>
      <c r="BW56" s="1417"/>
      <c r="BX56" s="1417"/>
      <c r="BY56" s="1417"/>
      <c r="BZ56" s="1417"/>
      <c r="CA56" s="1417"/>
      <c r="CB56" s="1417"/>
      <c r="CC56" s="1417"/>
      <c r="CD56" s="1417"/>
      <c r="CE56" s="1417"/>
      <c r="CF56" s="1417"/>
      <c r="CG56" s="661"/>
      <c r="CH56" s="663"/>
    </row>
    <row r="57" spans="1:86" s="662" customFormat="1" ht="29.1" customHeight="1">
      <c r="A57" s="1414">
        <f t="shared" si="1"/>
        <v>54</v>
      </c>
      <c r="B57" s="1414"/>
      <c r="C57" s="1414"/>
      <c r="D57" s="1414"/>
      <c r="E57" s="1414"/>
      <c r="F57" s="1415" t="e">
        <f>#REF!</f>
        <v>#REF!</v>
      </c>
      <c r="G57" s="1415"/>
      <c r="H57" s="1415"/>
      <c r="I57" s="1415"/>
      <c r="J57" s="1415"/>
      <c r="K57" s="1415"/>
      <c r="L57" s="1415"/>
      <c r="M57" s="1415"/>
      <c r="N57" s="1415"/>
      <c r="O57" s="1415"/>
      <c r="P57" s="1415"/>
      <c r="Q57" s="1415"/>
      <c r="R57" s="1415"/>
      <c r="S57" s="1415"/>
      <c r="T57" s="1415"/>
      <c r="U57" s="1415"/>
      <c r="V57" s="1415"/>
      <c r="W57" s="1415"/>
      <c r="X57" s="1415"/>
      <c r="Y57" s="1415"/>
      <c r="Z57" s="1415"/>
      <c r="AA57" s="1415"/>
      <c r="AB57" s="1415" t="e">
        <f>#REF!</f>
        <v>#REF!</v>
      </c>
      <c r="AC57" s="1415"/>
      <c r="AD57" s="1415"/>
      <c r="AE57" s="1415"/>
      <c r="AF57" s="1415"/>
      <c r="AG57" s="1415"/>
      <c r="AH57" s="1415"/>
      <c r="AI57" s="1415"/>
      <c r="AJ57" s="1415"/>
      <c r="AK57" s="1415"/>
      <c r="AL57" s="1415"/>
      <c r="AM57" s="1415"/>
      <c r="AN57" s="1415"/>
      <c r="AO57" s="1417" t="e">
        <f>#REF!</f>
        <v>#REF!</v>
      </c>
      <c r="AP57" s="1417"/>
      <c r="AQ57" s="1417"/>
      <c r="AR57" s="1417"/>
      <c r="AS57" s="1417"/>
      <c r="AT57" s="1417"/>
      <c r="AU57" s="1417"/>
      <c r="AV57" s="1417"/>
      <c r="AW57" s="1417"/>
      <c r="AX57" s="1417"/>
      <c r="AY57" s="1417"/>
      <c r="AZ57" s="1417" t="e">
        <f>#REF!</f>
        <v>#REF!</v>
      </c>
      <c r="BA57" s="1417"/>
      <c r="BB57" s="1417"/>
      <c r="BC57" s="1417"/>
      <c r="BD57" s="1417"/>
      <c r="BE57" s="1417"/>
      <c r="BF57" s="1417"/>
      <c r="BG57" s="1417"/>
      <c r="BH57" s="1417"/>
      <c r="BI57" s="1417"/>
      <c r="BJ57" s="1417"/>
      <c r="BK57" s="1417" t="e">
        <f>#REF!</f>
        <v>#REF!</v>
      </c>
      <c r="BL57" s="1417"/>
      <c r="BM57" s="1417"/>
      <c r="BN57" s="1417"/>
      <c r="BO57" s="1417"/>
      <c r="BP57" s="1417"/>
      <c r="BQ57" s="1417"/>
      <c r="BR57" s="1417"/>
      <c r="BS57" s="1417"/>
      <c r="BT57" s="1417"/>
      <c r="BU57" s="1417"/>
      <c r="BV57" s="1417" t="e">
        <f t="shared" si="0"/>
        <v>#REF!</v>
      </c>
      <c r="BW57" s="1417"/>
      <c r="BX57" s="1417"/>
      <c r="BY57" s="1417"/>
      <c r="BZ57" s="1417"/>
      <c r="CA57" s="1417"/>
      <c r="CB57" s="1417"/>
      <c r="CC57" s="1417"/>
      <c r="CD57" s="1417"/>
      <c r="CE57" s="1417"/>
      <c r="CF57" s="1417"/>
      <c r="CG57" s="661"/>
    </row>
    <row r="58" spans="1:86" s="662" customFormat="1" ht="29.1" customHeight="1">
      <c r="A58" s="1414">
        <f t="shared" si="1"/>
        <v>55</v>
      </c>
      <c r="B58" s="1414"/>
      <c r="C58" s="1414"/>
      <c r="D58" s="1414"/>
      <c r="E58" s="1414"/>
      <c r="F58" s="1415" t="e">
        <f>#REF!</f>
        <v>#REF!</v>
      </c>
      <c r="G58" s="1415"/>
      <c r="H58" s="1415"/>
      <c r="I58" s="1415"/>
      <c r="J58" s="1415"/>
      <c r="K58" s="1415"/>
      <c r="L58" s="1415"/>
      <c r="M58" s="1415"/>
      <c r="N58" s="1415"/>
      <c r="O58" s="1415"/>
      <c r="P58" s="1415"/>
      <c r="Q58" s="1415"/>
      <c r="R58" s="1415"/>
      <c r="S58" s="1415"/>
      <c r="T58" s="1415"/>
      <c r="U58" s="1415"/>
      <c r="V58" s="1415"/>
      <c r="W58" s="1415"/>
      <c r="X58" s="1415"/>
      <c r="Y58" s="1415"/>
      <c r="Z58" s="1415"/>
      <c r="AA58" s="1415"/>
      <c r="AB58" s="1415" t="e">
        <f>#REF!</f>
        <v>#REF!</v>
      </c>
      <c r="AC58" s="1415"/>
      <c r="AD58" s="1415"/>
      <c r="AE58" s="1415"/>
      <c r="AF58" s="1415"/>
      <c r="AG58" s="1415"/>
      <c r="AH58" s="1415"/>
      <c r="AI58" s="1415"/>
      <c r="AJ58" s="1415"/>
      <c r="AK58" s="1415"/>
      <c r="AL58" s="1415"/>
      <c r="AM58" s="1415"/>
      <c r="AN58" s="1415"/>
      <c r="AO58" s="1417" t="e">
        <f>#REF!</f>
        <v>#REF!</v>
      </c>
      <c r="AP58" s="1417"/>
      <c r="AQ58" s="1417"/>
      <c r="AR58" s="1417"/>
      <c r="AS58" s="1417"/>
      <c r="AT58" s="1417"/>
      <c r="AU58" s="1417"/>
      <c r="AV58" s="1417"/>
      <c r="AW58" s="1417"/>
      <c r="AX58" s="1417"/>
      <c r="AY58" s="1417"/>
      <c r="AZ58" s="1417" t="e">
        <f>#REF!</f>
        <v>#REF!</v>
      </c>
      <c r="BA58" s="1417"/>
      <c r="BB58" s="1417"/>
      <c r="BC58" s="1417"/>
      <c r="BD58" s="1417"/>
      <c r="BE58" s="1417"/>
      <c r="BF58" s="1417"/>
      <c r="BG58" s="1417"/>
      <c r="BH58" s="1417"/>
      <c r="BI58" s="1417"/>
      <c r="BJ58" s="1417"/>
      <c r="BK58" s="1417" t="e">
        <f>#REF!</f>
        <v>#REF!</v>
      </c>
      <c r="BL58" s="1417"/>
      <c r="BM58" s="1417"/>
      <c r="BN58" s="1417"/>
      <c r="BO58" s="1417"/>
      <c r="BP58" s="1417"/>
      <c r="BQ58" s="1417"/>
      <c r="BR58" s="1417"/>
      <c r="BS58" s="1417"/>
      <c r="BT58" s="1417"/>
      <c r="BU58" s="1417"/>
      <c r="BV58" s="1417" t="e">
        <f t="shared" si="0"/>
        <v>#REF!</v>
      </c>
      <c r="BW58" s="1417"/>
      <c r="BX58" s="1417"/>
      <c r="BY58" s="1417"/>
      <c r="BZ58" s="1417"/>
      <c r="CA58" s="1417"/>
      <c r="CB58" s="1417"/>
      <c r="CC58" s="1417"/>
      <c r="CD58" s="1417"/>
      <c r="CE58" s="1417"/>
      <c r="CF58" s="1417"/>
      <c r="CG58" s="661"/>
    </row>
    <row r="59" spans="1:86" s="662" customFormat="1" ht="29.1" customHeight="1">
      <c r="A59" s="1414">
        <f t="shared" si="1"/>
        <v>56</v>
      </c>
      <c r="B59" s="1414"/>
      <c r="C59" s="1414"/>
      <c r="D59" s="1414"/>
      <c r="E59" s="1414"/>
      <c r="F59" s="1415" t="e">
        <f>#REF!</f>
        <v>#REF!</v>
      </c>
      <c r="G59" s="1415"/>
      <c r="H59" s="1415"/>
      <c r="I59" s="1415"/>
      <c r="J59" s="1415"/>
      <c r="K59" s="1415"/>
      <c r="L59" s="1415"/>
      <c r="M59" s="1415"/>
      <c r="N59" s="1415"/>
      <c r="O59" s="1415"/>
      <c r="P59" s="1415"/>
      <c r="Q59" s="1415"/>
      <c r="R59" s="1415"/>
      <c r="S59" s="1415"/>
      <c r="T59" s="1415"/>
      <c r="U59" s="1415"/>
      <c r="V59" s="1415"/>
      <c r="W59" s="1415"/>
      <c r="X59" s="1415"/>
      <c r="Y59" s="1415"/>
      <c r="Z59" s="1415"/>
      <c r="AA59" s="1415"/>
      <c r="AB59" s="1415" t="e">
        <f>#REF!</f>
        <v>#REF!</v>
      </c>
      <c r="AC59" s="1415"/>
      <c r="AD59" s="1415"/>
      <c r="AE59" s="1415"/>
      <c r="AF59" s="1415"/>
      <c r="AG59" s="1415"/>
      <c r="AH59" s="1415"/>
      <c r="AI59" s="1415"/>
      <c r="AJ59" s="1415"/>
      <c r="AK59" s="1415"/>
      <c r="AL59" s="1415"/>
      <c r="AM59" s="1415"/>
      <c r="AN59" s="1415"/>
      <c r="AO59" s="1417" t="e">
        <f>#REF!</f>
        <v>#REF!</v>
      </c>
      <c r="AP59" s="1417"/>
      <c r="AQ59" s="1417"/>
      <c r="AR59" s="1417"/>
      <c r="AS59" s="1417"/>
      <c r="AT59" s="1417"/>
      <c r="AU59" s="1417"/>
      <c r="AV59" s="1417"/>
      <c r="AW59" s="1417"/>
      <c r="AX59" s="1417"/>
      <c r="AY59" s="1417"/>
      <c r="AZ59" s="1417" t="e">
        <f>#REF!</f>
        <v>#REF!</v>
      </c>
      <c r="BA59" s="1417"/>
      <c r="BB59" s="1417"/>
      <c r="BC59" s="1417"/>
      <c r="BD59" s="1417"/>
      <c r="BE59" s="1417"/>
      <c r="BF59" s="1417"/>
      <c r="BG59" s="1417"/>
      <c r="BH59" s="1417"/>
      <c r="BI59" s="1417"/>
      <c r="BJ59" s="1417"/>
      <c r="BK59" s="1417" t="e">
        <f>#REF!</f>
        <v>#REF!</v>
      </c>
      <c r="BL59" s="1417"/>
      <c r="BM59" s="1417"/>
      <c r="BN59" s="1417"/>
      <c r="BO59" s="1417"/>
      <c r="BP59" s="1417"/>
      <c r="BQ59" s="1417"/>
      <c r="BR59" s="1417"/>
      <c r="BS59" s="1417"/>
      <c r="BT59" s="1417"/>
      <c r="BU59" s="1417"/>
      <c r="BV59" s="1417" t="e">
        <f>AO59+AZ59+BK59</f>
        <v>#REF!</v>
      </c>
      <c r="BW59" s="1417"/>
      <c r="BX59" s="1417"/>
      <c r="BY59" s="1417"/>
      <c r="BZ59" s="1417"/>
      <c r="CA59" s="1417"/>
      <c r="CB59" s="1417"/>
      <c r="CC59" s="1417"/>
      <c r="CD59" s="1417"/>
      <c r="CE59" s="1417"/>
      <c r="CF59" s="1417"/>
      <c r="CG59" s="661"/>
    </row>
    <row r="60" spans="1:86" s="660" customFormat="1" ht="29.1" customHeight="1">
      <c r="A60" s="1414">
        <f t="shared" si="1"/>
        <v>57</v>
      </c>
      <c r="B60" s="1414"/>
      <c r="C60" s="1414"/>
      <c r="D60" s="1414"/>
      <c r="E60" s="1414"/>
      <c r="F60" s="1415" t="e">
        <f>#REF!</f>
        <v>#REF!</v>
      </c>
      <c r="G60" s="1415"/>
      <c r="H60" s="1415"/>
      <c r="I60" s="1415"/>
      <c r="J60" s="1415"/>
      <c r="K60" s="1415"/>
      <c r="L60" s="1415"/>
      <c r="M60" s="1415"/>
      <c r="N60" s="1415"/>
      <c r="O60" s="1415"/>
      <c r="P60" s="1415"/>
      <c r="Q60" s="1415"/>
      <c r="R60" s="1415"/>
      <c r="S60" s="1415"/>
      <c r="T60" s="1415"/>
      <c r="U60" s="1415"/>
      <c r="V60" s="1415"/>
      <c r="W60" s="1415"/>
      <c r="X60" s="1415"/>
      <c r="Y60" s="1415"/>
      <c r="Z60" s="1415"/>
      <c r="AA60" s="1415"/>
      <c r="AB60" s="1415" t="e">
        <f>#REF!</f>
        <v>#REF!</v>
      </c>
      <c r="AC60" s="1415"/>
      <c r="AD60" s="1415"/>
      <c r="AE60" s="1415"/>
      <c r="AF60" s="1415"/>
      <c r="AG60" s="1415"/>
      <c r="AH60" s="1415"/>
      <c r="AI60" s="1415"/>
      <c r="AJ60" s="1415"/>
      <c r="AK60" s="1415"/>
      <c r="AL60" s="1415"/>
      <c r="AM60" s="1415"/>
      <c r="AN60" s="1415"/>
      <c r="AO60" s="1417" t="e">
        <f>#REF!</f>
        <v>#REF!</v>
      </c>
      <c r="AP60" s="1417"/>
      <c r="AQ60" s="1417"/>
      <c r="AR60" s="1417"/>
      <c r="AS60" s="1417"/>
      <c r="AT60" s="1417"/>
      <c r="AU60" s="1417"/>
      <c r="AV60" s="1417"/>
      <c r="AW60" s="1417"/>
      <c r="AX60" s="1417"/>
      <c r="AY60" s="1417"/>
      <c r="AZ60" s="1417" t="e">
        <f>#REF!</f>
        <v>#REF!</v>
      </c>
      <c r="BA60" s="1417"/>
      <c r="BB60" s="1417"/>
      <c r="BC60" s="1417"/>
      <c r="BD60" s="1417"/>
      <c r="BE60" s="1417"/>
      <c r="BF60" s="1417"/>
      <c r="BG60" s="1417"/>
      <c r="BH60" s="1417"/>
      <c r="BI60" s="1417"/>
      <c r="BJ60" s="1417"/>
      <c r="BK60" s="1417" t="e">
        <f>#REF!</f>
        <v>#REF!</v>
      </c>
      <c r="BL60" s="1417"/>
      <c r="BM60" s="1417"/>
      <c r="BN60" s="1417"/>
      <c r="BO60" s="1417"/>
      <c r="BP60" s="1417"/>
      <c r="BQ60" s="1417"/>
      <c r="BR60" s="1417"/>
      <c r="BS60" s="1417"/>
      <c r="BT60" s="1417"/>
      <c r="BU60" s="1417"/>
      <c r="BV60" s="1417" t="e">
        <f t="shared" si="0"/>
        <v>#REF!</v>
      </c>
      <c r="BW60" s="1417"/>
      <c r="BX60" s="1417"/>
      <c r="BY60" s="1417"/>
      <c r="BZ60" s="1417"/>
      <c r="CA60" s="1417"/>
      <c r="CB60" s="1417"/>
      <c r="CC60" s="1417"/>
      <c r="CD60" s="1417"/>
      <c r="CE60" s="1417"/>
      <c r="CF60" s="1417"/>
      <c r="CG60" s="661"/>
    </row>
    <row r="61" spans="1:86" s="660" customFormat="1" ht="29.1" customHeight="1">
      <c r="A61" s="1414">
        <f t="shared" si="1"/>
        <v>58</v>
      </c>
      <c r="B61" s="1414"/>
      <c r="C61" s="1414"/>
      <c r="D61" s="1414"/>
      <c r="E61" s="1414"/>
      <c r="F61" s="1415" t="e">
        <f>#REF!</f>
        <v>#REF!</v>
      </c>
      <c r="G61" s="1415"/>
      <c r="H61" s="1415"/>
      <c r="I61" s="1415"/>
      <c r="J61" s="1415"/>
      <c r="K61" s="1415"/>
      <c r="L61" s="1415"/>
      <c r="M61" s="1415"/>
      <c r="N61" s="1415"/>
      <c r="O61" s="1415"/>
      <c r="P61" s="1415"/>
      <c r="Q61" s="1415"/>
      <c r="R61" s="1415"/>
      <c r="S61" s="1415"/>
      <c r="T61" s="1415"/>
      <c r="U61" s="1415"/>
      <c r="V61" s="1415"/>
      <c r="W61" s="1415"/>
      <c r="X61" s="1415"/>
      <c r="Y61" s="1415"/>
      <c r="Z61" s="1415"/>
      <c r="AA61" s="1415"/>
      <c r="AB61" s="1415" t="e">
        <f>#REF!</f>
        <v>#REF!</v>
      </c>
      <c r="AC61" s="1415"/>
      <c r="AD61" s="1415"/>
      <c r="AE61" s="1415"/>
      <c r="AF61" s="1415"/>
      <c r="AG61" s="1415"/>
      <c r="AH61" s="1415"/>
      <c r="AI61" s="1415"/>
      <c r="AJ61" s="1415"/>
      <c r="AK61" s="1415"/>
      <c r="AL61" s="1415"/>
      <c r="AM61" s="1415"/>
      <c r="AN61" s="1415"/>
      <c r="AO61" s="1417" t="e">
        <f>#REF!</f>
        <v>#REF!</v>
      </c>
      <c r="AP61" s="1417"/>
      <c r="AQ61" s="1417"/>
      <c r="AR61" s="1417"/>
      <c r="AS61" s="1417"/>
      <c r="AT61" s="1417"/>
      <c r="AU61" s="1417"/>
      <c r="AV61" s="1417"/>
      <c r="AW61" s="1417"/>
      <c r="AX61" s="1417"/>
      <c r="AY61" s="1417"/>
      <c r="AZ61" s="1417" t="e">
        <f>#REF!</f>
        <v>#REF!</v>
      </c>
      <c r="BA61" s="1417"/>
      <c r="BB61" s="1417"/>
      <c r="BC61" s="1417"/>
      <c r="BD61" s="1417"/>
      <c r="BE61" s="1417"/>
      <c r="BF61" s="1417"/>
      <c r="BG61" s="1417"/>
      <c r="BH61" s="1417"/>
      <c r="BI61" s="1417"/>
      <c r="BJ61" s="1417"/>
      <c r="BK61" s="1417" t="e">
        <f>#REF!</f>
        <v>#REF!</v>
      </c>
      <c r="BL61" s="1417"/>
      <c r="BM61" s="1417"/>
      <c r="BN61" s="1417"/>
      <c r="BO61" s="1417"/>
      <c r="BP61" s="1417"/>
      <c r="BQ61" s="1417"/>
      <c r="BR61" s="1417"/>
      <c r="BS61" s="1417"/>
      <c r="BT61" s="1417"/>
      <c r="BU61" s="1417"/>
      <c r="BV61" s="1417" t="e">
        <f t="shared" si="0"/>
        <v>#REF!</v>
      </c>
      <c r="BW61" s="1417"/>
      <c r="BX61" s="1417"/>
      <c r="BY61" s="1417"/>
      <c r="BZ61" s="1417"/>
      <c r="CA61" s="1417"/>
      <c r="CB61" s="1417"/>
      <c r="CC61" s="1417"/>
      <c r="CD61" s="1417"/>
      <c r="CE61" s="1417"/>
      <c r="CF61" s="1417"/>
      <c r="CG61" s="661"/>
    </row>
    <row r="62" spans="1:86" s="660" customFormat="1" ht="29.1" customHeight="1">
      <c r="A62" s="1414">
        <f t="shared" si="1"/>
        <v>59</v>
      </c>
      <c r="B62" s="1414"/>
      <c r="C62" s="1414"/>
      <c r="D62" s="1414"/>
      <c r="E62" s="1414"/>
      <c r="F62" s="1415" t="e">
        <f>#REF!</f>
        <v>#REF!</v>
      </c>
      <c r="G62" s="1415"/>
      <c r="H62" s="1415"/>
      <c r="I62" s="1415"/>
      <c r="J62" s="1415"/>
      <c r="K62" s="1415"/>
      <c r="L62" s="1415"/>
      <c r="M62" s="1415"/>
      <c r="N62" s="1415"/>
      <c r="O62" s="1415"/>
      <c r="P62" s="1415"/>
      <c r="Q62" s="1415"/>
      <c r="R62" s="1415"/>
      <c r="S62" s="1415"/>
      <c r="T62" s="1415"/>
      <c r="U62" s="1415"/>
      <c r="V62" s="1415"/>
      <c r="W62" s="1415"/>
      <c r="X62" s="1415"/>
      <c r="Y62" s="1415"/>
      <c r="Z62" s="1415"/>
      <c r="AA62" s="1415"/>
      <c r="AB62" s="1415" t="e">
        <f>#REF!</f>
        <v>#REF!</v>
      </c>
      <c r="AC62" s="1415"/>
      <c r="AD62" s="1415"/>
      <c r="AE62" s="1415"/>
      <c r="AF62" s="1415"/>
      <c r="AG62" s="1415"/>
      <c r="AH62" s="1415"/>
      <c r="AI62" s="1415"/>
      <c r="AJ62" s="1415"/>
      <c r="AK62" s="1415"/>
      <c r="AL62" s="1415"/>
      <c r="AM62" s="1415"/>
      <c r="AN62" s="1415"/>
      <c r="AO62" s="1417" t="e">
        <f>#REF!</f>
        <v>#REF!</v>
      </c>
      <c r="AP62" s="1417"/>
      <c r="AQ62" s="1417"/>
      <c r="AR62" s="1417"/>
      <c r="AS62" s="1417"/>
      <c r="AT62" s="1417"/>
      <c r="AU62" s="1417"/>
      <c r="AV62" s="1417"/>
      <c r="AW62" s="1417"/>
      <c r="AX62" s="1417"/>
      <c r="AY62" s="1417"/>
      <c r="AZ62" s="1417" t="e">
        <f>#REF!</f>
        <v>#REF!</v>
      </c>
      <c r="BA62" s="1417"/>
      <c r="BB62" s="1417"/>
      <c r="BC62" s="1417"/>
      <c r="BD62" s="1417"/>
      <c r="BE62" s="1417"/>
      <c r="BF62" s="1417"/>
      <c r="BG62" s="1417"/>
      <c r="BH62" s="1417"/>
      <c r="BI62" s="1417"/>
      <c r="BJ62" s="1417"/>
      <c r="BK62" s="1417" t="e">
        <f>#REF!</f>
        <v>#REF!</v>
      </c>
      <c r="BL62" s="1417"/>
      <c r="BM62" s="1417"/>
      <c r="BN62" s="1417"/>
      <c r="BO62" s="1417"/>
      <c r="BP62" s="1417"/>
      <c r="BQ62" s="1417"/>
      <c r="BR62" s="1417"/>
      <c r="BS62" s="1417"/>
      <c r="BT62" s="1417"/>
      <c r="BU62" s="1417"/>
      <c r="BV62" s="1417" t="e">
        <f t="shared" si="0"/>
        <v>#REF!</v>
      </c>
      <c r="BW62" s="1417"/>
      <c r="BX62" s="1417"/>
      <c r="BY62" s="1417"/>
      <c r="BZ62" s="1417"/>
      <c r="CA62" s="1417"/>
      <c r="CB62" s="1417"/>
      <c r="CC62" s="1417"/>
      <c r="CD62" s="1417"/>
      <c r="CE62" s="1417"/>
      <c r="CF62" s="1417"/>
      <c r="CG62" s="661"/>
    </row>
    <row r="63" spans="1:86" s="660" customFormat="1" ht="29.1" customHeight="1">
      <c r="A63" s="1414">
        <f t="shared" si="1"/>
        <v>60</v>
      </c>
      <c r="B63" s="1414"/>
      <c r="C63" s="1414"/>
      <c r="D63" s="1414"/>
      <c r="E63" s="1414"/>
      <c r="F63" s="1415" t="e">
        <f>#REF!</f>
        <v>#REF!</v>
      </c>
      <c r="G63" s="1415"/>
      <c r="H63" s="1415"/>
      <c r="I63" s="1415"/>
      <c r="J63" s="1415"/>
      <c r="K63" s="1415"/>
      <c r="L63" s="1415"/>
      <c r="M63" s="1415"/>
      <c r="N63" s="1415"/>
      <c r="O63" s="1415"/>
      <c r="P63" s="1415"/>
      <c r="Q63" s="1415"/>
      <c r="R63" s="1415"/>
      <c r="S63" s="1415"/>
      <c r="T63" s="1415"/>
      <c r="U63" s="1415"/>
      <c r="V63" s="1415"/>
      <c r="W63" s="1415"/>
      <c r="X63" s="1415"/>
      <c r="Y63" s="1415"/>
      <c r="Z63" s="1415"/>
      <c r="AA63" s="1415"/>
      <c r="AB63" s="1415" t="e">
        <f>#REF!</f>
        <v>#REF!</v>
      </c>
      <c r="AC63" s="1415"/>
      <c r="AD63" s="1415"/>
      <c r="AE63" s="1415"/>
      <c r="AF63" s="1415"/>
      <c r="AG63" s="1415"/>
      <c r="AH63" s="1415"/>
      <c r="AI63" s="1415"/>
      <c r="AJ63" s="1415"/>
      <c r="AK63" s="1415"/>
      <c r="AL63" s="1415"/>
      <c r="AM63" s="1415"/>
      <c r="AN63" s="1415"/>
      <c r="AO63" s="1417" t="e">
        <f>#REF!</f>
        <v>#REF!</v>
      </c>
      <c r="AP63" s="1417"/>
      <c r="AQ63" s="1417"/>
      <c r="AR63" s="1417"/>
      <c r="AS63" s="1417"/>
      <c r="AT63" s="1417"/>
      <c r="AU63" s="1417"/>
      <c r="AV63" s="1417"/>
      <c r="AW63" s="1417"/>
      <c r="AX63" s="1417"/>
      <c r="AY63" s="1417"/>
      <c r="AZ63" s="1417" t="e">
        <f>#REF!</f>
        <v>#REF!</v>
      </c>
      <c r="BA63" s="1417"/>
      <c r="BB63" s="1417"/>
      <c r="BC63" s="1417"/>
      <c r="BD63" s="1417"/>
      <c r="BE63" s="1417"/>
      <c r="BF63" s="1417"/>
      <c r="BG63" s="1417"/>
      <c r="BH63" s="1417"/>
      <c r="BI63" s="1417"/>
      <c r="BJ63" s="1417"/>
      <c r="BK63" s="1417" t="e">
        <f>#REF!</f>
        <v>#REF!</v>
      </c>
      <c r="BL63" s="1417"/>
      <c r="BM63" s="1417"/>
      <c r="BN63" s="1417"/>
      <c r="BO63" s="1417"/>
      <c r="BP63" s="1417"/>
      <c r="BQ63" s="1417"/>
      <c r="BR63" s="1417"/>
      <c r="BS63" s="1417"/>
      <c r="BT63" s="1417"/>
      <c r="BU63" s="1417"/>
      <c r="BV63" s="1417" t="e">
        <f t="shared" si="0"/>
        <v>#REF!</v>
      </c>
      <c r="BW63" s="1417"/>
      <c r="BX63" s="1417"/>
      <c r="BY63" s="1417"/>
      <c r="BZ63" s="1417"/>
      <c r="CA63" s="1417"/>
      <c r="CB63" s="1417"/>
      <c r="CC63" s="1417"/>
      <c r="CD63" s="1417"/>
      <c r="CE63" s="1417"/>
      <c r="CF63" s="1417"/>
      <c r="CG63" s="661"/>
    </row>
    <row r="64" spans="1:86" s="660" customFormat="1" ht="29.1" customHeight="1">
      <c r="A64" s="1414">
        <f t="shared" si="1"/>
        <v>61</v>
      </c>
      <c r="B64" s="1414"/>
      <c r="C64" s="1414"/>
      <c r="D64" s="1414"/>
      <c r="E64" s="1414"/>
      <c r="F64" s="1415" t="e">
        <f>#REF!</f>
        <v>#REF!</v>
      </c>
      <c r="G64" s="1415"/>
      <c r="H64" s="1415"/>
      <c r="I64" s="1415"/>
      <c r="J64" s="1415"/>
      <c r="K64" s="1415"/>
      <c r="L64" s="1415"/>
      <c r="M64" s="1415"/>
      <c r="N64" s="1415"/>
      <c r="O64" s="1415"/>
      <c r="P64" s="1415"/>
      <c r="Q64" s="1415"/>
      <c r="R64" s="1415"/>
      <c r="S64" s="1415"/>
      <c r="T64" s="1415"/>
      <c r="U64" s="1415"/>
      <c r="V64" s="1415"/>
      <c r="W64" s="1415"/>
      <c r="X64" s="1415"/>
      <c r="Y64" s="1415"/>
      <c r="Z64" s="1415"/>
      <c r="AA64" s="1415"/>
      <c r="AB64" s="1415" t="e">
        <f>#REF!</f>
        <v>#REF!</v>
      </c>
      <c r="AC64" s="1415"/>
      <c r="AD64" s="1415"/>
      <c r="AE64" s="1415"/>
      <c r="AF64" s="1415"/>
      <c r="AG64" s="1415"/>
      <c r="AH64" s="1415"/>
      <c r="AI64" s="1415"/>
      <c r="AJ64" s="1415"/>
      <c r="AK64" s="1415"/>
      <c r="AL64" s="1415"/>
      <c r="AM64" s="1415"/>
      <c r="AN64" s="1415"/>
      <c r="AO64" s="1417" t="e">
        <f>#REF!</f>
        <v>#REF!</v>
      </c>
      <c r="AP64" s="1417"/>
      <c r="AQ64" s="1417"/>
      <c r="AR64" s="1417"/>
      <c r="AS64" s="1417"/>
      <c r="AT64" s="1417"/>
      <c r="AU64" s="1417"/>
      <c r="AV64" s="1417"/>
      <c r="AW64" s="1417"/>
      <c r="AX64" s="1417"/>
      <c r="AY64" s="1417"/>
      <c r="AZ64" s="1417" t="e">
        <f>#REF!</f>
        <v>#REF!</v>
      </c>
      <c r="BA64" s="1417"/>
      <c r="BB64" s="1417"/>
      <c r="BC64" s="1417"/>
      <c r="BD64" s="1417"/>
      <c r="BE64" s="1417"/>
      <c r="BF64" s="1417"/>
      <c r="BG64" s="1417"/>
      <c r="BH64" s="1417"/>
      <c r="BI64" s="1417"/>
      <c r="BJ64" s="1417"/>
      <c r="BK64" s="1417" t="e">
        <f>#REF!</f>
        <v>#REF!</v>
      </c>
      <c r="BL64" s="1417"/>
      <c r="BM64" s="1417"/>
      <c r="BN64" s="1417"/>
      <c r="BO64" s="1417"/>
      <c r="BP64" s="1417"/>
      <c r="BQ64" s="1417"/>
      <c r="BR64" s="1417"/>
      <c r="BS64" s="1417"/>
      <c r="BT64" s="1417"/>
      <c r="BU64" s="1417"/>
      <c r="BV64" s="1417" t="e">
        <f t="shared" si="0"/>
        <v>#REF!</v>
      </c>
      <c r="BW64" s="1417"/>
      <c r="BX64" s="1417"/>
      <c r="BY64" s="1417"/>
      <c r="BZ64" s="1417"/>
      <c r="CA64" s="1417"/>
      <c r="CB64" s="1417"/>
      <c r="CC64" s="1417"/>
      <c r="CD64" s="1417"/>
      <c r="CE64" s="1417"/>
      <c r="CF64" s="1417"/>
      <c r="CG64" s="661"/>
    </row>
    <row r="65" spans="1:85" s="660" customFormat="1" ht="29.1" customHeight="1">
      <c r="A65" s="1414">
        <f t="shared" si="1"/>
        <v>62</v>
      </c>
      <c r="B65" s="1414"/>
      <c r="C65" s="1414"/>
      <c r="D65" s="1414"/>
      <c r="E65" s="1414"/>
      <c r="F65" s="1415" t="e">
        <f>#REF!</f>
        <v>#REF!</v>
      </c>
      <c r="G65" s="1415"/>
      <c r="H65" s="1415"/>
      <c r="I65" s="1415"/>
      <c r="J65" s="1415"/>
      <c r="K65" s="1415"/>
      <c r="L65" s="1415"/>
      <c r="M65" s="1415"/>
      <c r="N65" s="1415"/>
      <c r="O65" s="1415"/>
      <c r="P65" s="1415"/>
      <c r="Q65" s="1415"/>
      <c r="R65" s="1415"/>
      <c r="S65" s="1415"/>
      <c r="T65" s="1415"/>
      <c r="U65" s="1415"/>
      <c r="V65" s="1415"/>
      <c r="W65" s="1415"/>
      <c r="X65" s="1415"/>
      <c r="Y65" s="1415"/>
      <c r="Z65" s="1415"/>
      <c r="AA65" s="1415"/>
      <c r="AB65" s="1415" t="e">
        <f>#REF!</f>
        <v>#REF!</v>
      </c>
      <c r="AC65" s="1415"/>
      <c r="AD65" s="1415"/>
      <c r="AE65" s="1415"/>
      <c r="AF65" s="1415"/>
      <c r="AG65" s="1415"/>
      <c r="AH65" s="1415"/>
      <c r="AI65" s="1415"/>
      <c r="AJ65" s="1415"/>
      <c r="AK65" s="1415"/>
      <c r="AL65" s="1415"/>
      <c r="AM65" s="1415"/>
      <c r="AN65" s="1415"/>
      <c r="AO65" s="1417" t="e">
        <f>#REF!</f>
        <v>#REF!</v>
      </c>
      <c r="AP65" s="1417"/>
      <c r="AQ65" s="1417"/>
      <c r="AR65" s="1417"/>
      <c r="AS65" s="1417"/>
      <c r="AT65" s="1417"/>
      <c r="AU65" s="1417"/>
      <c r="AV65" s="1417"/>
      <c r="AW65" s="1417"/>
      <c r="AX65" s="1417"/>
      <c r="AY65" s="1417"/>
      <c r="AZ65" s="1417" t="e">
        <f>#REF!</f>
        <v>#REF!</v>
      </c>
      <c r="BA65" s="1417"/>
      <c r="BB65" s="1417"/>
      <c r="BC65" s="1417"/>
      <c r="BD65" s="1417"/>
      <c r="BE65" s="1417"/>
      <c r="BF65" s="1417"/>
      <c r="BG65" s="1417"/>
      <c r="BH65" s="1417"/>
      <c r="BI65" s="1417"/>
      <c r="BJ65" s="1417"/>
      <c r="BK65" s="1417" t="e">
        <f>#REF!</f>
        <v>#REF!</v>
      </c>
      <c r="BL65" s="1417"/>
      <c r="BM65" s="1417"/>
      <c r="BN65" s="1417"/>
      <c r="BO65" s="1417"/>
      <c r="BP65" s="1417"/>
      <c r="BQ65" s="1417"/>
      <c r="BR65" s="1417"/>
      <c r="BS65" s="1417"/>
      <c r="BT65" s="1417"/>
      <c r="BU65" s="1417"/>
      <c r="BV65" s="1417" t="e">
        <f t="shared" si="0"/>
        <v>#REF!</v>
      </c>
      <c r="BW65" s="1417"/>
      <c r="BX65" s="1417"/>
      <c r="BY65" s="1417"/>
      <c r="BZ65" s="1417"/>
      <c r="CA65" s="1417"/>
      <c r="CB65" s="1417"/>
      <c r="CC65" s="1417"/>
      <c r="CD65" s="1417"/>
      <c r="CE65" s="1417"/>
      <c r="CF65" s="1417"/>
      <c r="CG65" s="661"/>
    </row>
    <row r="66" spans="1:85" s="660" customFormat="1" ht="29.1" customHeight="1">
      <c r="A66" s="1414">
        <f t="shared" si="1"/>
        <v>63</v>
      </c>
      <c r="B66" s="1414"/>
      <c r="C66" s="1414"/>
      <c r="D66" s="1414"/>
      <c r="E66" s="1414"/>
      <c r="F66" s="1415" t="e">
        <f>#REF!</f>
        <v>#REF!</v>
      </c>
      <c r="G66" s="1415"/>
      <c r="H66" s="1415"/>
      <c r="I66" s="1415"/>
      <c r="J66" s="1415"/>
      <c r="K66" s="1415"/>
      <c r="L66" s="1415"/>
      <c r="M66" s="1415"/>
      <c r="N66" s="1415"/>
      <c r="O66" s="1415"/>
      <c r="P66" s="1415"/>
      <c r="Q66" s="1415"/>
      <c r="R66" s="1415"/>
      <c r="S66" s="1415"/>
      <c r="T66" s="1415"/>
      <c r="U66" s="1415"/>
      <c r="V66" s="1415"/>
      <c r="W66" s="1415"/>
      <c r="X66" s="1415"/>
      <c r="Y66" s="1415"/>
      <c r="Z66" s="1415"/>
      <c r="AA66" s="1415"/>
      <c r="AB66" s="1415" t="e">
        <f>#REF!</f>
        <v>#REF!</v>
      </c>
      <c r="AC66" s="1415"/>
      <c r="AD66" s="1415"/>
      <c r="AE66" s="1415"/>
      <c r="AF66" s="1415"/>
      <c r="AG66" s="1415"/>
      <c r="AH66" s="1415"/>
      <c r="AI66" s="1415"/>
      <c r="AJ66" s="1415"/>
      <c r="AK66" s="1415"/>
      <c r="AL66" s="1415"/>
      <c r="AM66" s="1415"/>
      <c r="AN66" s="1415"/>
      <c r="AO66" s="1417" t="e">
        <f>#REF!</f>
        <v>#REF!</v>
      </c>
      <c r="AP66" s="1417"/>
      <c r="AQ66" s="1417"/>
      <c r="AR66" s="1417"/>
      <c r="AS66" s="1417"/>
      <c r="AT66" s="1417"/>
      <c r="AU66" s="1417"/>
      <c r="AV66" s="1417"/>
      <c r="AW66" s="1417"/>
      <c r="AX66" s="1417"/>
      <c r="AY66" s="1417"/>
      <c r="AZ66" s="1417" t="e">
        <f>#REF!</f>
        <v>#REF!</v>
      </c>
      <c r="BA66" s="1417"/>
      <c r="BB66" s="1417"/>
      <c r="BC66" s="1417"/>
      <c r="BD66" s="1417"/>
      <c r="BE66" s="1417"/>
      <c r="BF66" s="1417"/>
      <c r="BG66" s="1417"/>
      <c r="BH66" s="1417"/>
      <c r="BI66" s="1417"/>
      <c r="BJ66" s="1417"/>
      <c r="BK66" s="1417" t="e">
        <f>#REF!</f>
        <v>#REF!</v>
      </c>
      <c r="BL66" s="1417"/>
      <c r="BM66" s="1417"/>
      <c r="BN66" s="1417"/>
      <c r="BO66" s="1417"/>
      <c r="BP66" s="1417"/>
      <c r="BQ66" s="1417"/>
      <c r="BR66" s="1417"/>
      <c r="BS66" s="1417"/>
      <c r="BT66" s="1417"/>
      <c r="BU66" s="1417"/>
      <c r="BV66" s="1417" t="e">
        <f t="shared" si="0"/>
        <v>#REF!</v>
      </c>
      <c r="BW66" s="1417"/>
      <c r="BX66" s="1417"/>
      <c r="BY66" s="1417"/>
      <c r="BZ66" s="1417"/>
      <c r="CA66" s="1417"/>
      <c r="CB66" s="1417"/>
      <c r="CC66" s="1417"/>
      <c r="CD66" s="1417"/>
      <c r="CE66" s="1417"/>
      <c r="CF66" s="1417"/>
      <c r="CG66" s="661"/>
    </row>
    <row r="67" spans="1:85" s="660" customFormat="1" ht="29.1" customHeight="1">
      <c r="A67" s="1414">
        <f t="shared" si="1"/>
        <v>64</v>
      </c>
      <c r="B67" s="1414"/>
      <c r="C67" s="1414"/>
      <c r="D67" s="1414"/>
      <c r="E67" s="1414"/>
      <c r="F67" s="1415" t="e">
        <f>#REF!</f>
        <v>#REF!</v>
      </c>
      <c r="G67" s="1415"/>
      <c r="H67" s="1415"/>
      <c r="I67" s="1415"/>
      <c r="J67" s="1415"/>
      <c r="K67" s="1415"/>
      <c r="L67" s="1415"/>
      <c r="M67" s="1415"/>
      <c r="N67" s="1415"/>
      <c r="O67" s="1415"/>
      <c r="P67" s="1415"/>
      <c r="Q67" s="1415"/>
      <c r="R67" s="1415"/>
      <c r="S67" s="1415"/>
      <c r="T67" s="1415"/>
      <c r="U67" s="1415"/>
      <c r="V67" s="1415"/>
      <c r="W67" s="1415"/>
      <c r="X67" s="1415"/>
      <c r="Y67" s="1415"/>
      <c r="Z67" s="1415"/>
      <c r="AA67" s="1415"/>
      <c r="AB67" s="1415" t="e">
        <f>#REF!</f>
        <v>#REF!</v>
      </c>
      <c r="AC67" s="1415"/>
      <c r="AD67" s="1415"/>
      <c r="AE67" s="1415"/>
      <c r="AF67" s="1415"/>
      <c r="AG67" s="1415"/>
      <c r="AH67" s="1415"/>
      <c r="AI67" s="1415"/>
      <c r="AJ67" s="1415"/>
      <c r="AK67" s="1415"/>
      <c r="AL67" s="1415"/>
      <c r="AM67" s="1415"/>
      <c r="AN67" s="1415"/>
      <c r="AO67" s="1417" t="e">
        <f>#REF!</f>
        <v>#REF!</v>
      </c>
      <c r="AP67" s="1417"/>
      <c r="AQ67" s="1417"/>
      <c r="AR67" s="1417"/>
      <c r="AS67" s="1417"/>
      <c r="AT67" s="1417"/>
      <c r="AU67" s="1417"/>
      <c r="AV67" s="1417"/>
      <c r="AW67" s="1417"/>
      <c r="AX67" s="1417"/>
      <c r="AY67" s="1417"/>
      <c r="AZ67" s="1417" t="e">
        <f>#REF!</f>
        <v>#REF!</v>
      </c>
      <c r="BA67" s="1417"/>
      <c r="BB67" s="1417"/>
      <c r="BC67" s="1417"/>
      <c r="BD67" s="1417"/>
      <c r="BE67" s="1417"/>
      <c r="BF67" s="1417"/>
      <c r="BG67" s="1417"/>
      <c r="BH67" s="1417"/>
      <c r="BI67" s="1417"/>
      <c r="BJ67" s="1417"/>
      <c r="BK67" s="1417" t="e">
        <f>#REF!</f>
        <v>#REF!</v>
      </c>
      <c r="BL67" s="1417"/>
      <c r="BM67" s="1417"/>
      <c r="BN67" s="1417"/>
      <c r="BO67" s="1417"/>
      <c r="BP67" s="1417"/>
      <c r="BQ67" s="1417"/>
      <c r="BR67" s="1417"/>
      <c r="BS67" s="1417"/>
      <c r="BT67" s="1417"/>
      <c r="BU67" s="1417"/>
      <c r="BV67" s="1417" t="e">
        <f t="shared" si="0"/>
        <v>#REF!</v>
      </c>
      <c r="BW67" s="1417"/>
      <c r="BX67" s="1417"/>
      <c r="BY67" s="1417"/>
      <c r="BZ67" s="1417"/>
      <c r="CA67" s="1417"/>
      <c r="CB67" s="1417"/>
      <c r="CC67" s="1417"/>
      <c r="CD67" s="1417"/>
      <c r="CE67" s="1417"/>
      <c r="CF67" s="1417"/>
      <c r="CG67" s="661"/>
    </row>
    <row r="68" spans="1:85" s="660" customFormat="1" ht="29.1" customHeight="1">
      <c r="A68" s="1414">
        <f t="shared" si="1"/>
        <v>65</v>
      </c>
      <c r="B68" s="1414"/>
      <c r="C68" s="1414"/>
      <c r="D68" s="1414"/>
      <c r="E68" s="1414"/>
      <c r="F68" s="1415" t="e">
        <f>#REF!</f>
        <v>#REF!</v>
      </c>
      <c r="G68" s="1415"/>
      <c r="H68" s="1415"/>
      <c r="I68" s="1415"/>
      <c r="J68" s="1415"/>
      <c r="K68" s="1415"/>
      <c r="L68" s="1415"/>
      <c r="M68" s="1415"/>
      <c r="N68" s="1415"/>
      <c r="O68" s="1415"/>
      <c r="P68" s="1415"/>
      <c r="Q68" s="1415"/>
      <c r="R68" s="1415"/>
      <c r="S68" s="1415"/>
      <c r="T68" s="1415"/>
      <c r="U68" s="1415"/>
      <c r="V68" s="1415"/>
      <c r="W68" s="1415"/>
      <c r="X68" s="1415"/>
      <c r="Y68" s="1415"/>
      <c r="Z68" s="1415"/>
      <c r="AA68" s="1415"/>
      <c r="AB68" s="1415" t="e">
        <f>#REF!</f>
        <v>#REF!</v>
      </c>
      <c r="AC68" s="1415"/>
      <c r="AD68" s="1415"/>
      <c r="AE68" s="1415"/>
      <c r="AF68" s="1415"/>
      <c r="AG68" s="1415"/>
      <c r="AH68" s="1415"/>
      <c r="AI68" s="1415"/>
      <c r="AJ68" s="1415"/>
      <c r="AK68" s="1415"/>
      <c r="AL68" s="1415"/>
      <c r="AM68" s="1415"/>
      <c r="AN68" s="1415"/>
      <c r="AO68" s="1417" t="e">
        <f>#REF!</f>
        <v>#REF!</v>
      </c>
      <c r="AP68" s="1417"/>
      <c r="AQ68" s="1417"/>
      <c r="AR68" s="1417"/>
      <c r="AS68" s="1417"/>
      <c r="AT68" s="1417"/>
      <c r="AU68" s="1417"/>
      <c r="AV68" s="1417"/>
      <c r="AW68" s="1417"/>
      <c r="AX68" s="1417"/>
      <c r="AY68" s="1417"/>
      <c r="AZ68" s="1417" t="e">
        <f>#REF!</f>
        <v>#REF!</v>
      </c>
      <c r="BA68" s="1417"/>
      <c r="BB68" s="1417"/>
      <c r="BC68" s="1417"/>
      <c r="BD68" s="1417"/>
      <c r="BE68" s="1417"/>
      <c r="BF68" s="1417"/>
      <c r="BG68" s="1417"/>
      <c r="BH68" s="1417"/>
      <c r="BI68" s="1417"/>
      <c r="BJ68" s="1417"/>
      <c r="BK68" s="1417" t="e">
        <f>#REF!</f>
        <v>#REF!</v>
      </c>
      <c r="BL68" s="1417"/>
      <c r="BM68" s="1417"/>
      <c r="BN68" s="1417"/>
      <c r="BO68" s="1417"/>
      <c r="BP68" s="1417"/>
      <c r="BQ68" s="1417"/>
      <c r="BR68" s="1417"/>
      <c r="BS68" s="1417"/>
      <c r="BT68" s="1417"/>
      <c r="BU68" s="1417"/>
      <c r="BV68" s="1417" t="e">
        <f t="shared" ref="BV68:BV110" si="2">AO68+AZ68+BK68</f>
        <v>#REF!</v>
      </c>
      <c r="BW68" s="1417"/>
      <c r="BX68" s="1417"/>
      <c r="BY68" s="1417"/>
      <c r="BZ68" s="1417"/>
      <c r="CA68" s="1417"/>
      <c r="CB68" s="1417"/>
      <c r="CC68" s="1417"/>
      <c r="CD68" s="1417"/>
      <c r="CE68" s="1417"/>
      <c r="CF68" s="1417"/>
      <c r="CG68" s="661"/>
    </row>
    <row r="69" spans="1:85" s="660" customFormat="1" ht="29.1" customHeight="1">
      <c r="A69" s="1414">
        <f t="shared" si="1"/>
        <v>66</v>
      </c>
      <c r="B69" s="1414"/>
      <c r="C69" s="1414"/>
      <c r="D69" s="1414"/>
      <c r="E69" s="1414"/>
      <c r="F69" s="1415" t="e">
        <f>#REF!</f>
        <v>#REF!</v>
      </c>
      <c r="G69" s="1415"/>
      <c r="H69" s="1415"/>
      <c r="I69" s="1415"/>
      <c r="J69" s="1415"/>
      <c r="K69" s="1415"/>
      <c r="L69" s="1415"/>
      <c r="M69" s="1415"/>
      <c r="N69" s="1415"/>
      <c r="O69" s="1415"/>
      <c r="P69" s="1415"/>
      <c r="Q69" s="1415"/>
      <c r="R69" s="1415"/>
      <c r="S69" s="1415"/>
      <c r="T69" s="1415"/>
      <c r="U69" s="1415"/>
      <c r="V69" s="1415"/>
      <c r="W69" s="1415"/>
      <c r="X69" s="1415"/>
      <c r="Y69" s="1415"/>
      <c r="Z69" s="1415"/>
      <c r="AA69" s="1415"/>
      <c r="AB69" s="1415" t="e">
        <f>#REF!</f>
        <v>#REF!</v>
      </c>
      <c r="AC69" s="1415"/>
      <c r="AD69" s="1415"/>
      <c r="AE69" s="1415"/>
      <c r="AF69" s="1415"/>
      <c r="AG69" s="1415"/>
      <c r="AH69" s="1415"/>
      <c r="AI69" s="1415"/>
      <c r="AJ69" s="1415"/>
      <c r="AK69" s="1415"/>
      <c r="AL69" s="1415"/>
      <c r="AM69" s="1415"/>
      <c r="AN69" s="1415"/>
      <c r="AO69" s="1417" t="e">
        <f>#REF!</f>
        <v>#REF!</v>
      </c>
      <c r="AP69" s="1417"/>
      <c r="AQ69" s="1417"/>
      <c r="AR69" s="1417"/>
      <c r="AS69" s="1417"/>
      <c r="AT69" s="1417"/>
      <c r="AU69" s="1417"/>
      <c r="AV69" s="1417"/>
      <c r="AW69" s="1417"/>
      <c r="AX69" s="1417"/>
      <c r="AY69" s="1417"/>
      <c r="AZ69" s="1417" t="e">
        <f>#REF!</f>
        <v>#REF!</v>
      </c>
      <c r="BA69" s="1417"/>
      <c r="BB69" s="1417"/>
      <c r="BC69" s="1417"/>
      <c r="BD69" s="1417"/>
      <c r="BE69" s="1417"/>
      <c r="BF69" s="1417"/>
      <c r="BG69" s="1417"/>
      <c r="BH69" s="1417"/>
      <c r="BI69" s="1417"/>
      <c r="BJ69" s="1417"/>
      <c r="BK69" s="1417" t="e">
        <f>#REF!</f>
        <v>#REF!</v>
      </c>
      <c r="BL69" s="1417"/>
      <c r="BM69" s="1417"/>
      <c r="BN69" s="1417"/>
      <c r="BO69" s="1417"/>
      <c r="BP69" s="1417"/>
      <c r="BQ69" s="1417"/>
      <c r="BR69" s="1417"/>
      <c r="BS69" s="1417"/>
      <c r="BT69" s="1417"/>
      <c r="BU69" s="1417"/>
      <c r="BV69" s="1417" t="e">
        <f t="shared" si="2"/>
        <v>#REF!</v>
      </c>
      <c r="BW69" s="1417"/>
      <c r="BX69" s="1417"/>
      <c r="BY69" s="1417"/>
      <c r="BZ69" s="1417"/>
      <c r="CA69" s="1417"/>
      <c r="CB69" s="1417"/>
      <c r="CC69" s="1417"/>
      <c r="CD69" s="1417"/>
      <c r="CE69" s="1417"/>
      <c r="CF69" s="1417"/>
      <c r="CG69" s="661"/>
    </row>
    <row r="70" spans="1:85" s="660" customFormat="1" ht="29.1" customHeight="1">
      <c r="A70" s="1414">
        <f t="shared" si="1"/>
        <v>67</v>
      </c>
      <c r="B70" s="1414"/>
      <c r="C70" s="1414"/>
      <c r="D70" s="1414"/>
      <c r="E70" s="1414"/>
      <c r="F70" s="1415" t="e">
        <f>#REF!</f>
        <v>#REF!</v>
      </c>
      <c r="G70" s="1415"/>
      <c r="H70" s="1415"/>
      <c r="I70" s="1415"/>
      <c r="J70" s="1415"/>
      <c r="K70" s="1415"/>
      <c r="L70" s="1415"/>
      <c r="M70" s="1415"/>
      <c r="N70" s="1415"/>
      <c r="O70" s="1415"/>
      <c r="P70" s="1415"/>
      <c r="Q70" s="1415"/>
      <c r="R70" s="1415"/>
      <c r="S70" s="1415"/>
      <c r="T70" s="1415"/>
      <c r="U70" s="1415"/>
      <c r="V70" s="1415"/>
      <c r="W70" s="1415"/>
      <c r="X70" s="1415"/>
      <c r="Y70" s="1415"/>
      <c r="Z70" s="1415"/>
      <c r="AA70" s="1415"/>
      <c r="AB70" s="1415" t="e">
        <f>#REF!</f>
        <v>#REF!</v>
      </c>
      <c r="AC70" s="1415"/>
      <c r="AD70" s="1415"/>
      <c r="AE70" s="1415"/>
      <c r="AF70" s="1415"/>
      <c r="AG70" s="1415"/>
      <c r="AH70" s="1415"/>
      <c r="AI70" s="1415"/>
      <c r="AJ70" s="1415"/>
      <c r="AK70" s="1415"/>
      <c r="AL70" s="1415"/>
      <c r="AM70" s="1415"/>
      <c r="AN70" s="1415"/>
      <c r="AO70" s="1417" t="e">
        <f>#REF!</f>
        <v>#REF!</v>
      </c>
      <c r="AP70" s="1417"/>
      <c r="AQ70" s="1417"/>
      <c r="AR70" s="1417"/>
      <c r="AS70" s="1417"/>
      <c r="AT70" s="1417"/>
      <c r="AU70" s="1417"/>
      <c r="AV70" s="1417"/>
      <c r="AW70" s="1417"/>
      <c r="AX70" s="1417"/>
      <c r="AY70" s="1417"/>
      <c r="AZ70" s="1417" t="e">
        <f>#REF!</f>
        <v>#REF!</v>
      </c>
      <c r="BA70" s="1417"/>
      <c r="BB70" s="1417"/>
      <c r="BC70" s="1417"/>
      <c r="BD70" s="1417"/>
      <c r="BE70" s="1417"/>
      <c r="BF70" s="1417"/>
      <c r="BG70" s="1417"/>
      <c r="BH70" s="1417"/>
      <c r="BI70" s="1417"/>
      <c r="BJ70" s="1417"/>
      <c r="BK70" s="1417" t="e">
        <f>#REF!</f>
        <v>#REF!</v>
      </c>
      <c r="BL70" s="1417"/>
      <c r="BM70" s="1417"/>
      <c r="BN70" s="1417"/>
      <c r="BO70" s="1417"/>
      <c r="BP70" s="1417"/>
      <c r="BQ70" s="1417"/>
      <c r="BR70" s="1417"/>
      <c r="BS70" s="1417"/>
      <c r="BT70" s="1417"/>
      <c r="BU70" s="1417"/>
      <c r="BV70" s="1417" t="e">
        <f t="shared" si="2"/>
        <v>#REF!</v>
      </c>
      <c r="BW70" s="1417"/>
      <c r="BX70" s="1417"/>
      <c r="BY70" s="1417"/>
      <c r="BZ70" s="1417"/>
      <c r="CA70" s="1417"/>
      <c r="CB70" s="1417"/>
      <c r="CC70" s="1417"/>
      <c r="CD70" s="1417"/>
      <c r="CE70" s="1417"/>
      <c r="CF70" s="1417"/>
      <c r="CG70" s="661"/>
    </row>
    <row r="71" spans="1:85" s="660" customFormat="1" ht="29.1" customHeight="1">
      <c r="A71" s="1414">
        <f t="shared" si="1"/>
        <v>68</v>
      </c>
      <c r="B71" s="1414"/>
      <c r="C71" s="1414"/>
      <c r="D71" s="1414"/>
      <c r="E71" s="1414"/>
      <c r="F71" s="1418" t="e">
        <f>#REF!</f>
        <v>#REF!</v>
      </c>
      <c r="G71" s="1419"/>
      <c r="H71" s="1419"/>
      <c r="I71" s="1419"/>
      <c r="J71" s="1419"/>
      <c r="K71" s="1419"/>
      <c r="L71" s="1419"/>
      <c r="M71" s="1419"/>
      <c r="N71" s="1419"/>
      <c r="O71" s="1419"/>
      <c r="P71" s="1419"/>
      <c r="Q71" s="1419"/>
      <c r="R71" s="1419"/>
      <c r="S71" s="1419"/>
      <c r="T71" s="1419"/>
      <c r="U71" s="1419"/>
      <c r="V71" s="1419"/>
      <c r="W71" s="1419"/>
      <c r="X71" s="1419"/>
      <c r="Y71" s="1419"/>
      <c r="Z71" s="1419"/>
      <c r="AA71" s="1420"/>
      <c r="AB71" s="1415" t="e">
        <f>#REF!</f>
        <v>#REF!</v>
      </c>
      <c r="AC71" s="1415"/>
      <c r="AD71" s="1415"/>
      <c r="AE71" s="1415"/>
      <c r="AF71" s="1415"/>
      <c r="AG71" s="1415"/>
      <c r="AH71" s="1415"/>
      <c r="AI71" s="1415"/>
      <c r="AJ71" s="1415"/>
      <c r="AK71" s="1415"/>
      <c r="AL71" s="1415"/>
      <c r="AM71" s="1415"/>
      <c r="AN71" s="1415"/>
      <c r="AO71" s="1417" t="e">
        <f>#REF!</f>
        <v>#REF!</v>
      </c>
      <c r="AP71" s="1417"/>
      <c r="AQ71" s="1417"/>
      <c r="AR71" s="1417"/>
      <c r="AS71" s="1417"/>
      <c r="AT71" s="1417"/>
      <c r="AU71" s="1417"/>
      <c r="AV71" s="1417"/>
      <c r="AW71" s="1417"/>
      <c r="AX71" s="1417"/>
      <c r="AY71" s="1417"/>
      <c r="AZ71" s="1417" t="e">
        <f>#REF!</f>
        <v>#REF!</v>
      </c>
      <c r="BA71" s="1417"/>
      <c r="BB71" s="1417"/>
      <c r="BC71" s="1417"/>
      <c r="BD71" s="1417"/>
      <c r="BE71" s="1417"/>
      <c r="BF71" s="1417"/>
      <c r="BG71" s="1417"/>
      <c r="BH71" s="1417"/>
      <c r="BI71" s="1417"/>
      <c r="BJ71" s="1417"/>
      <c r="BK71" s="1417" t="e">
        <f>#REF!</f>
        <v>#REF!</v>
      </c>
      <c r="BL71" s="1417"/>
      <c r="BM71" s="1417"/>
      <c r="BN71" s="1417"/>
      <c r="BO71" s="1417"/>
      <c r="BP71" s="1417"/>
      <c r="BQ71" s="1417"/>
      <c r="BR71" s="1417"/>
      <c r="BS71" s="1417"/>
      <c r="BT71" s="1417"/>
      <c r="BU71" s="1417"/>
      <c r="BV71" s="1417" t="e">
        <f t="shared" si="2"/>
        <v>#REF!</v>
      </c>
      <c r="BW71" s="1417"/>
      <c r="BX71" s="1417"/>
      <c r="BY71" s="1417"/>
      <c r="BZ71" s="1417"/>
      <c r="CA71" s="1417"/>
      <c r="CB71" s="1417"/>
      <c r="CC71" s="1417"/>
      <c r="CD71" s="1417"/>
      <c r="CE71" s="1417"/>
      <c r="CF71" s="1417"/>
      <c r="CG71" s="661"/>
    </row>
    <row r="72" spans="1:85" s="660" customFormat="1" ht="29.1" customHeight="1">
      <c r="A72" s="1414">
        <f t="shared" si="1"/>
        <v>69</v>
      </c>
      <c r="B72" s="1414"/>
      <c r="C72" s="1414"/>
      <c r="D72" s="1414"/>
      <c r="E72" s="1414"/>
      <c r="F72" s="1415" t="e">
        <f>#REF!</f>
        <v>#REF!</v>
      </c>
      <c r="G72" s="1415"/>
      <c r="H72" s="1415"/>
      <c r="I72" s="1415"/>
      <c r="J72" s="1415"/>
      <c r="K72" s="1415"/>
      <c r="L72" s="1415"/>
      <c r="M72" s="1415"/>
      <c r="N72" s="1415"/>
      <c r="O72" s="1415"/>
      <c r="P72" s="1415"/>
      <c r="Q72" s="1415"/>
      <c r="R72" s="1415"/>
      <c r="S72" s="1415"/>
      <c r="T72" s="1415"/>
      <c r="U72" s="1415"/>
      <c r="V72" s="1415"/>
      <c r="W72" s="1415"/>
      <c r="X72" s="1415"/>
      <c r="Y72" s="1415"/>
      <c r="Z72" s="1415"/>
      <c r="AA72" s="1415"/>
      <c r="AB72" s="1415" t="s">
        <v>1210</v>
      </c>
      <c r="AC72" s="1415"/>
      <c r="AD72" s="1415"/>
      <c r="AE72" s="1415"/>
      <c r="AF72" s="1415"/>
      <c r="AG72" s="1415"/>
      <c r="AH72" s="1415"/>
      <c r="AI72" s="1415"/>
      <c r="AJ72" s="1415"/>
      <c r="AK72" s="1415"/>
      <c r="AL72" s="1415"/>
      <c r="AM72" s="1415"/>
      <c r="AN72" s="1415"/>
      <c r="AO72" s="1417" t="e">
        <f>#REF!</f>
        <v>#REF!</v>
      </c>
      <c r="AP72" s="1417"/>
      <c r="AQ72" s="1417"/>
      <c r="AR72" s="1417"/>
      <c r="AS72" s="1417"/>
      <c r="AT72" s="1417"/>
      <c r="AU72" s="1417"/>
      <c r="AV72" s="1417"/>
      <c r="AW72" s="1417"/>
      <c r="AX72" s="1417"/>
      <c r="AY72" s="1417"/>
      <c r="AZ72" s="1417" t="e">
        <f>#REF!</f>
        <v>#REF!</v>
      </c>
      <c r="BA72" s="1417"/>
      <c r="BB72" s="1417"/>
      <c r="BC72" s="1417"/>
      <c r="BD72" s="1417"/>
      <c r="BE72" s="1417"/>
      <c r="BF72" s="1417"/>
      <c r="BG72" s="1417"/>
      <c r="BH72" s="1417"/>
      <c r="BI72" s="1417"/>
      <c r="BJ72" s="1417"/>
      <c r="BK72" s="1417" t="e">
        <f>#REF!</f>
        <v>#REF!</v>
      </c>
      <c r="BL72" s="1417"/>
      <c r="BM72" s="1417"/>
      <c r="BN72" s="1417"/>
      <c r="BO72" s="1417"/>
      <c r="BP72" s="1417"/>
      <c r="BQ72" s="1417"/>
      <c r="BR72" s="1417"/>
      <c r="BS72" s="1417"/>
      <c r="BT72" s="1417"/>
      <c r="BU72" s="1417"/>
      <c r="BV72" s="1417" t="e">
        <f>AO72+AZ72+BK72</f>
        <v>#REF!</v>
      </c>
      <c r="BW72" s="1417"/>
      <c r="BX72" s="1417"/>
      <c r="BY72" s="1417"/>
      <c r="BZ72" s="1417"/>
      <c r="CA72" s="1417"/>
      <c r="CB72" s="1417"/>
      <c r="CC72" s="1417"/>
      <c r="CD72" s="1417"/>
      <c r="CE72" s="1417"/>
      <c r="CF72" s="1417"/>
      <c r="CG72" s="661"/>
    </row>
    <row r="73" spans="1:85" s="660" customFormat="1" ht="29.1" customHeight="1">
      <c r="A73" s="1414">
        <f t="shared" si="1"/>
        <v>70</v>
      </c>
      <c r="B73" s="1414"/>
      <c r="C73" s="1414"/>
      <c r="D73" s="1414"/>
      <c r="E73" s="1414"/>
      <c r="F73" s="1415" t="e">
        <f>#REF!</f>
        <v>#REF!</v>
      </c>
      <c r="G73" s="1415"/>
      <c r="H73" s="1415"/>
      <c r="I73" s="1415"/>
      <c r="J73" s="1415"/>
      <c r="K73" s="1415"/>
      <c r="L73" s="1415"/>
      <c r="M73" s="1415"/>
      <c r="N73" s="1415"/>
      <c r="O73" s="1415"/>
      <c r="P73" s="1415"/>
      <c r="Q73" s="1415"/>
      <c r="R73" s="1415"/>
      <c r="S73" s="1415"/>
      <c r="T73" s="1415"/>
      <c r="U73" s="1415"/>
      <c r="V73" s="1415"/>
      <c r="W73" s="1415"/>
      <c r="X73" s="1415"/>
      <c r="Y73" s="1415"/>
      <c r="Z73" s="1415"/>
      <c r="AA73" s="1415"/>
      <c r="AB73" s="1415" t="e">
        <f>#REF!</f>
        <v>#REF!</v>
      </c>
      <c r="AC73" s="1415"/>
      <c r="AD73" s="1415"/>
      <c r="AE73" s="1415"/>
      <c r="AF73" s="1415"/>
      <c r="AG73" s="1415"/>
      <c r="AH73" s="1415"/>
      <c r="AI73" s="1415"/>
      <c r="AJ73" s="1415"/>
      <c r="AK73" s="1415"/>
      <c r="AL73" s="1415"/>
      <c r="AM73" s="1415"/>
      <c r="AN73" s="1415"/>
      <c r="AO73" s="1417" t="e">
        <f>#REF!</f>
        <v>#REF!</v>
      </c>
      <c r="AP73" s="1417"/>
      <c r="AQ73" s="1417"/>
      <c r="AR73" s="1417"/>
      <c r="AS73" s="1417"/>
      <c r="AT73" s="1417"/>
      <c r="AU73" s="1417"/>
      <c r="AV73" s="1417"/>
      <c r="AW73" s="1417"/>
      <c r="AX73" s="1417"/>
      <c r="AY73" s="1417"/>
      <c r="AZ73" s="1417" t="e">
        <f>#REF!</f>
        <v>#REF!</v>
      </c>
      <c r="BA73" s="1417"/>
      <c r="BB73" s="1417"/>
      <c r="BC73" s="1417"/>
      <c r="BD73" s="1417"/>
      <c r="BE73" s="1417"/>
      <c r="BF73" s="1417"/>
      <c r="BG73" s="1417"/>
      <c r="BH73" s="1417"/>
      <c r="BI73" s="1417"/>
      <c r="BJ73" s="1417"/>
      <c r="BK73" s="1417" t="e">
        <f>#REF!</f>
        <v>#REF!</v>
      </c>
      <c r="BL73" s="1417"/>
      <c r="BM73" s="1417"/>
      <c r="BN73" s="1417"/>
      <c r="BO73" s="1417"/>
      <c r="BP73" s="1417"/>
      <c r="BQ73" s="1417"/>
      <c r="BR73" s="1417"/>
      <c r="BS73" s="1417"/>
      <c r="BT73" s="1417"/>
      <c r="BU73" s="1417"/>
      <c r="BV73" s="1417" t="e">
        <f t="shared" si="2"/>
        <v>#REF!</v>
      </c>
      <c r="BW73" s="1417"/>
      <c r="BX73" s="1417"/>
      <c r="BY73" s="1417"/>
      <c r="BZ73" s="1417"/>
      <c r="CA73" s="1417"/>
      <c r="CB73" s="1417"/>
      <c r="CC73" s="1417"/>
      <c r="CD73" s="1417"/>
      <c r="CE73" s="1417"/>
      <c r="CF73" s="1417"/>
      <c r="CG73" s="661"/>
    </row>
    <row r="74" spans="1:85" s="660" customFormat="1" ht="29.1" customHeight="1">
      <c r="A74" s="1414">
        <f t="shared" si="1"/>
        <v>71</v>
      </c>
      <c r="B74" s="1414"/>
      <c r="C74" s="1414"/>
      <c r="D74" s="1414"/>
      <c r="E74" s="1414"/>
      <c r="F74" s="1415" t="e">
        <f>#REF!</f>
        <v>#REF!</v>
      </c>
      <c r="G74" s="1415"/>
      <c r="H74" s="1415"/>
      <c r="I74" s="1415"/>
      <c r="J74" s="1415"/>
      <c r="K74" s="1415"/>
      <c r="L74" s="1415"/>
      <c r="M74" s="1415"/>
      <c r="N74" s="1415"/>
      <c r="O74" s="1415"/>
      <c r="P74" s="1415"/>
      <c r="Q74" s="1415"/>
      <c r="R74" s="1415"/>
      <c r="S74" s="1415"/>
      <c r="T74" s="1415"/>
      <c r="U74" s="1415"/>
      <c r="V74" s="1415"/>
      <c r="W74" s="1415"/>
      <c r="X74" s="1415"/>
      <c r="Y74" s="1415"/>
      <c r="Z74" s="1415"/>
      <c r="AA74" s="1415"/>
      <c r="AB74" s="1415" t="e">
        <f>#REF!</f>
        <v>#REF!</v>
      </c>
      <c r="AC74" s="1415"/>
      <c r="AD74" s="1415"/>
      <c r="AE74" s="1415"/>
      <c r="AF74" s="1415"/>
      <c r="AG74" s="1415"/>
      <c r="AH74" s="1415"/>
      <c r="AI74" s="1415"/>
      <c r="AJ74" s="1415"/>
      <c r="AK74" s="1415"/>
      <c r="AL74" s="1415"/>
      <c r="AM74" s="1415"/>
      <c r="AN74" s="1415"/>
      <c r="AO74" s="1417" t="e">
        <f>#REF!</f>
        <v>#REF!</v>
      </c>
      <c r="AP74" s="1417"/>
      <c r="AQ74" s="1417"/>
      <c r="AR74" s="1417"/>
      <c r="AS74" s="1417"/>
      <c r="AT74" s="1417"/>
      <c r="AU74" s="1417"/>
      <c r="AV74" s="1417"/>
      <c r="AW74" s="1417"/>
      <c r="AX74" s="1417"/>
      <c r="AY74" s="1417"/>
      <c r="AZ74" s="1417" t="e">
        <f>#REF!</f>
        <v>#REF!</v>
      </c>
      <c r="BA74" s="1417"/>
      <c r="BB74" s="1417"/>
      <c r="BC74" s="1417"/>
      <c r="BD74" s="1417"/>
      <c r="BE74" s="1417"/>
      <c r="BF74" s="1417"/>
      <c r="BG74" s="1417"/>
      <c r="BH74" s="1417"/>
      <c r="BI74" s="1417"/>
      <c r="BJ74" s="1417"/>
      <c r="BK74" s="1417" t="e">
        <f>#REF!</f>
        <v>#REF!</v>
      </c>
      <c r="BL74" s="1417"/>
      <c r="BM74" s="1417"/>
      <c r="BN74" s="1417"/>
      <c r="BO74" s="1417"/>
      <c r="BP74" s="1417"/>
      <c r="BQ74" s="1417"/>
      <c r="BR74" s="1417"/>
      <c r="BS74" s="1417"/>
      <c r="BT74" s="1417"/>
      <c r="BU74" s="1417"/>
      <c r="BV74" s="1417" t="e">
        <f t="shared" si="2"/>
        <v>#REF!</v>
      </c>
      <c r="BW74" s="1417"/>
      <c r="BX74" s="1417"/>
      <c r="BY74" s="1417"/>
      <c r="BZ74" s="1417"/>
      <c r="CA74" s="1417"/>
      <c r="CB74" s="1417"/>
      <c r="CC74" s="1417"/>
      <c r="CD74" s="1417"/>
      <c r="CE74" s="1417"/>
      <c r="CF74" s="1417"/>
      <c r="CG74" s="661"/>
    </row>
    <row r="75" spans="1:85" s="662" customFormat="1" ht="29.1" customHeight="1">
      <c r="A75" s="1414">
        <f t="shared" si="1"/>
        <v>72</v>
      </c>
      <c r="B75" s="1414"/>
      <c r="C75" s="1414"/>
      <c r="D75" s="1414"/>
      <c r="E75" s="1414"/>
      <c r="F75" s="1415" t="e">
        <f>#REF!</f>
        <v>#REF!</v>
      </c>
      <c r="G75" s="1415"/>
      <c r="H75" s="1415"/>
      <c r="I75" s="1415"/>
      <c r="J75" s="1415"/>
      <c r="K75" s="1415"/>
      <c r="L75" s="1415"/>
      <c r="M75" s="1415"/>
      <c r="N75" s="1415"/>
      <c r="O75" s="1415"/>
      <c r="P75" s="1415"/>
      <c r="Q75" s="1415"/>
      <c r="R75" s="1415"/>
      <c r="S75" s="1415"/>
      <c r="T75" s="1415"/>
      <c r="U75" s="1415"/>
      <c r="V75" s="1415"/>
      <c r="W75" s="1415"/>
      <c r="X75" s="1415"/>
      <c r="Y75" s="1415"/>
      <c r="Z75" s="1415"/>
      <c r="AA75" s="1415"/>
      <c r="AB75" s="1415" t="e">
        <f>#REF!</f>
        <v>#REF!</v>
      </c>
      <c r="AC75" s="1415"/>
      <c r="AD75" s="1415"/>
      <c r="AE75" s="1415"/>
      <c r="AF75" s="1415"/>
      <c r="AG75" s="1415"/>
      <c r="AH75" s="1415"/>
      <c r="AI75" s="1415"/>
      <c r="AJ75" s="1415"/>
      <c r="AK75" s="1415"/>
      <c r="AL75" s="1415"/>
      <c r="AM75" s="1415"/>
      <c r="AN75" s="1415"/>
      <c r="AO75" s="1417" t="e">
        <f>#REF!</f>
        <v>#REF!</v>
      </c>
      <c r="AP75" s="1417"/>
      <c r="AQ75" s="1417"/>
      <c r="AR75" s="1417"/>
      <c r="AS75" s="1417"/>
      <c r="AT75" s="1417"/>
      <c r="AU75" s="1417"/>
      <c r="AV75" s="1417"/>
      <c r="AW75" s="1417"/>
      <c r="AX75" s="1417"/>
      <c r="AY75" s="1417"/>
      <c r="AZ75" s="1417" t="e">
        <f>#REF!</f>
        <v>#REF!</v>
      </c>
      <c r="BA75" s="1417"/>
      <c r="BB75" s="1417"/>
      <c r="BC75" s="1417"/>
      <c r="BD75" s="1417"/>
      <c r="BE75" s="1417"/>
      <c r="BF75" s="1417"/>
      <c r="BG75" s="1417"/>
      <c r="BH75" s="1417"/>
      <c r="BI75" s="1417"/>
      <c r="BJ75" s="1417"/>
      <c r="BK75" s="1417" t="e">
        <f>#REF!</f>
        <v>#REF!</v>
      </c>
      <c r="BL75" s="1417"/>
      <c r="BM75" s="1417"/>
      <c r="BN75" s="1417"/>
      <c r="BO75" s="1417"/>
      <c r="BP75" s="1417"/>
      <c r="BQ75" s="1417"/>
      <c r="BR75" s="1417"/>
      <c r="BS75" s="1417"/>
      <c r="BT75" s="1417"/>
      <c r="BU75" s="1417"/>
      <c r="BV75" s="1417" t="e">
        <f t="shared" si="2"/>
        <v>#REF!</v>
      </c>
      <c r="BW75" s="1417"/>
      <c r="BX75" s="1417"/>
      <c r="BY75" s="1417"/>
      <c r="BZ75" s="1417"/>
      <c r="CA75" s="1417"/>
      <c r="CB75" s="1417"/>
      <c r="CC75" s="1417"/>
      <c r="CD75" s="1417"/>
      <c r="CE75" s="1417"/>
      <c r="CF75" s="1417"/>
      <c r="CG75" s="661"/>
    </row>
    <row r="76" spans="1:85" s="660" customFormat="1" ht="29.1" customHeight="1">
      <c r="A76" s="1414">
        <f t="shared" si="1"/>
        <v>73</v>
      </c>
      <c r="B76" s="1414"/>
      <c r="C76" s="1414"/>
      <c r="D76" s="1414"/>
      <c r="E76" s="1414"/>
      <c r="F76" s="1415" t="e">
        <f>#REF!</f>
        <v>#REF!</v>
      </c>
      <c r="G76" s="1415"/>
      <c r="H76" s="1415"/>
      <c r="I76" s="1415"/>
      <c r="J76" s="1415"/>
      <c r="K76" s="1415"/>
      <c r="L76" s="1415"/>
      <c r="M76" s="1415"/>
      <c r="N76" s="1415"/>
      <c r="O76" s="1415"/>
      <c r="P76" s="1415"/>
      <c r="Q76" s="1415"/>
      <c r="R76" s="1415"/>
      <c r="S76" s="1415"/>
      <c r="T76" s="1415"/>
      <c r="U76" s="1415"/>
      <c r="V76" s="1415"/>
      <c r="W76" s="1415"/>
      <c r="X76" s="1415"/>
      <c r="Y76" s="1415"/>
      <c r="Z76" s="1415"/>
      <c r="AA76" s="1415"/>
      <c r="AB76" s="1415" t="e">
        <f>#REF!</f>
        <v>#REF!</v>
      </c>
      <c r="AC76" s="1415"/>
      <c r="AD76" s="1415"/>
      <c r="AE76" s="1415"/>
      <c r="AF76" s="1415"/>
      <c r="AG76" s="1415"/>
      <c r="AH76" s="1415"/>
      <c r="AI76" s="1415"/>
      <c r="AJ76" s="1415"/>
      <c r="AK76" s="1415"/>
      <c r="AL76" s="1415"/>
      <c r="AM76" s="1415"/>
      <c r="AN76" s="1415"/>
      <c r="AO76" s="1417" t="e">
        <f>#REF!</f>
        <v>#REF!</v>
      </c>
      <c r="AP76" s="1417"/>
      <c r="AQ76" s="1417"/>
      <c r="AR76" s="1417"/>
      <c r="AS76" s="1417"/>
      <c r="AT76" s="1417"/>
      <c r="AU76" s="1417"/>
      <c r="AV76" s="1417"/>
      <c r="AW76" s="1417"/>
      <c r="AX76" s="1417"/>
      <c r="AY76" s="1417"/>
      <c r="AZ76" s="1417" t="e">
        <f>#REF!</f>
        <v>#REF!</v>
      </c>
      <c r="BA76" s="1417"/>
      <c r="BB76" s="1417"/>
      <c r="BC76" s="1417"/>
      <c r="BD76" s="1417"/>
      <c r="BE76" s="1417"/>
      <c r="BF76" s="1417"/>
      <c r="BG76" s="1417"/>
      <c r="BH76" s="1417"/>
      <c r="BI76" s="1417"/>
      <c r="BJ76" s="1417"/>
      <c r="BK76" s="1417" t="e">
        <f>#REF!</f>
        <v>#REF!</v>
      </c>
      <c r="BL76" s="1417"/>
      <c r="BM76" s="1417"/>
      <c r="BN76" s="1417"/>
      <c r="BO76" s="1417"/>
      <c r="BP76" s="1417"/>
      <c r="BQ76" s="1417"/>
      <c r="BR76" s="1417"/>
      <c r="BS76" s="1417"/>
      <c r="BT76" s="1417"/>
      <c r="BU76" s="1417"/>
      <c r="BV76" s="1417" t="e">
        <f t="shared" si="2"/>
        <v>#REF!</v>
      </c>
      <c r="BW76" s="1417"/>
      <c r="BX76" s="1417"/>
      <c r="BY76" s="1417"/>
      <c r="BZ76" s="1417"/>
      <c r="CA76" s="1417"/>
      <c r="CB76" s="1417"/>
      <c r="CC76" s="1417"/>
      <c r="CD76" s="1417"/>
      <c r="CE76" s="1417"/>
      <c r="CF76" s="1417"/>
      <c r="CG76" s="661"/>
    </row>
    <row r="77" spans="1:85" s="660" customFormat="1" ht="29.1" customHeight="1">
      <c r="A77" s="1414">
        <f t="shared" si="1"/>
        <v>74</v>
      </c>
      <c r="B77" s="1414"/>
      <c r="C77" s="1414"/>
      <c r="D77" s="1414"/>
      <c r="E77" s="1414"/>
      <c r="F77" s="1418" t="e">
        <f>#REF!</f>
        <v>#REF!</v>
      </c>
      <c r="G77" s="1419"/>
      <c r="H77" s="1419"/>
      <c r="I77" s="1419"/>
      <c r="J77" s="1419"/>
      <c r="K77" s="1419"/>
      <c r="L77" s="1419"/>
      <c r="M77" s="1419"/>
      <c r="N77" s="1419"/>
      <c r="O77" s="1419"/>
      <c r="P77" s="1419"/>
      <c r="Q77" s="1419"/>
      <c r="R77" s="1419"/>
      <c r="S77" s="1419"/>
      <c r="T77" s="1419"/>
      <c r="U77" s="1419"/>
      <c r="V77" s="1419"/>
      <c r="W77" s="1419"/>
      <c r="X77" s="1419"/>
      <c r="Y77" s="1419"/>
      <c r="Z77" s="1419"/>
      <c r="AA77" s="1420"/>
      <c r="AB77" s="1416" t="e">
        <f>#REF!</f>
        <v>#REF!</v>
      </c>
      <c r="AC77" s="1416"/>
      <c r="AD77" s="1416"/>
      <c r="AE77" s="1416"/>
      <c r="AF77" s="1416"/>
      <c r="AG77" s="1416"/>
      <c r="AH77" s="1416"/>
      <c r="AI77" s="1416"/>
      <c r="AJ77" s="1416"/>
      <c r="AK77" s="1416"/>
      <c r="AL77" s="1416"/>
      <c r="AM77" s="1416"/>
      <c r="AN77" s="1416"/>
      <c r="AO77" s="1417" t="e">
        <f>#REF!</f>
        <v>#REF!</v>
      </c>
      <c r="AP77" s="1417"/>
      <c r="AQ77" s="1417"/>
      <c r="AR77" s="1417"/>
      <c r="AS77" s="1417"/>
      <c r="AT77" s="1417"/>
      <c r="AU77" s="1417"/>
      <c r="AV77" s="1417"/>
      <c r="AW77" s="1417"/>
      <c r="AX77" s="1417"/>
      <c r="AY77" s="1417"/>
      <c r="AZ77" s="1417" t="e">
        <f>#REF!</f>
        <v>#REF!</v>
      </c>
      <c r="BA77" s="1417"/>
      <c r="BB77" s="1417"/>
      <c r="BC77" s="1417"/>
      <c r="BD77" s="1417"/>
      <c r="BE77" s="1417"/>
      <c r="BF77" s="1417"/>
      <c r="BG77" s="1417"/>
      <c r="BH77" s="1417"/>
      <c r="BI77" s="1417"/>
      <c r="BJ77" s="1417"/>
      <c r="BK77" s="1417" t="e">
        <f>#REF!</f>
        <v>#REF!</v>
      </c>
      <c r="BL77" s="1417"/>
      <c r="BM77" s="1417"/>
      <c r="BN77" s="1417"/>
      <c r="BO77" s="1417"/>
      <c r="BP77" s="1417"/>
      <c r="BQ77" s="1417"/>
      <c r="BR77" s="1417"/>
      <c r="BS77" s="1417"/>
      <c r="BT77" s="1417"/>
      <c r="BU77" s="1417"/>
      <c r="BV77" s="1417" t="e">
        <f t="shared" si="2"/>
        <v>#REF!</v>
      </c>
      <c r="BW77" s="1417"/>
      <c r="BX77" s="1417"/>
      <c r="BY77" s="1417"/>
      <c r="BZ77" s="1417"/>
      <c r="CA77" s="1417"/>
      <c r="CB77" s="1417"/>
      <c r="CC77" s="1417"/>
      <c r="CD77" s="1417"/>
      <c r="CE77" s="1417"/>
      <c r="CF77" s="1417"/>
      <c r="CG77" s="661"/>
    </row>
    <row r="78" spans="1:85" s="660" customFormat="1" ht="29.1" customHeight="1">
      <c r="A78" s="1414">
        <f t="shared" si="1"/>
        <v>75</v>
      </c>
      <c r="B78" s="1414"/>
      <c r="C78" s="1414"/>
      <c r="D78" s="1414"/>
      <c r="E78" s="1414"/>
      <c r="F78" s="1415" t="e">
        <f>#REF!</f>
        <v>#REF!</v>
      </c>
      <c r="G78" s="1415"/>
      <c r="H78" s="1415"/>
      <c r="I78" s="1415"/>
      <c r="J78" s="1415"/>
      <c r="K78" s="1415"/>
      <c r="L78" s="1415"/>
      <c r="M78" s="1415"/>
      <c r="N78" s="1415"/>
      <c r="O78" s="1415"/>
      <c r="P78" s="1415"/>
      <c r="Q78" s="1415"/>
      <c r="R78" s="1415"/>
      <c r="S78" s="1415"/>
      <c r="T78" s="1415"/>
      <c r="U78" s="1415"/>
      <c r="V78" s="1415"/>
      <c r="W78" s="1415"/>
      <c r="X78" s="1415"/>
      <c r="Y78" s="1415"/>
      <c r="Z78" s="1415"/>
      <c r="AA78" s="1415"/>
      <c r="AB78" s="1416" t="e">
        <f>#REF!</f>
        <v>#REF!</v>
      </c>
      <c r="AC78" s="1416"/>
      <c r="AD78" s="1416"/>
      <c r="AE78" s="1416"/>
      <c r="AF78" s="1416"/>
      <c r="AG78" s="1416"/>
      <c r="AH78" s="1416"/>
      <c r="AI78" s="1416"/>
      <c r="AJ78" s="1416"/>
      <c r="AK78" s="1416"/>
      <c r="AL78" s="1416"/>
      <c r="AM78" s="1416"/>
      <c r="AN78" s="1416"/>
      <c r="AO78" s="1417" t="e">
        <f>#REF!</f>
        <v>#REF!</v>
      </c>
      <c r="AP78" s="1417"/>
      <c r="AQ78" s="1417"/>
      <c r="AR78" s="1417"/>
      <c r="AS78" s="1417"/>
      <c r="AT78" s="1417"/>
      <c r="AU78" s="1417"/>
      <c r="AV78" s="1417"/>
      <c r="AW78" s="1417"/>
      <c r="AX78" s="1417"/>
      <c r="AY78" s="1417"/>
      <c r="AZ78" s="1417" t="e">
        <f>#REF!</f>
        <v>#REF!</v>
      </c>
      <c r="BA78" s="1417"/>
      <c r="BB78" s="1417"/>
      <c r="BC78" s="1417"/>
      <c r="BD78" s="1417"/>
      <c r="BE78" s="1417"/>
      <c r="BF78" s="1417"/>
      <c r="BG78" s="1417"/>
      <c r="BH78" s="1417"/>
      <c r="BI78" s="1417"/>
      <c r="BJ78" s="1417"/>
      <c r="BK78" s="1417" t="e">
        <f>#REF!</f>
        <v>#REF!</v>
      </c>
      <c r="BL78" s="1417"/>
      <c r="BM78" s="1417"/>
      <c r="BN78" s="1417"/>
      <c r="BO78" s="1417"/>
      <c r="BP78" s="1417"/>
      <c r="BQ78" s="1417"/>
      <c r="BR78" s="1417"/>
      <c r="BS78" s="1417"/>
      <c r="BT78" s="1417"/>
      <c r="BU78" s="1417"/>
      <c r="BV78" s="1417" t="e">
        <f t="shared" si="2"/>
        <v>#REF!</v>
      </c>
      <c r="BW78" s="1417"/>
      <c r="BX78" s="1417"/>
      <c r="BY78" s="1417"/>
      <c r="BZ78" s="1417"/>
      <c r="CA78" s="1417"/>
      <c r="CB78" s="1417"/>
      <c r="CC78" s="1417"/>
      <c r="CD78" s="1417"/>
      <c r="CE78" s="1417"/>
      <c r="CF78" s="1417"/>
      <c r="CG78" s="661"/>
    </row>
    <row r="79" spans="1:85" s="660" customFormat="1" ht="29.1" customHeight="1">
      <c r="A79" s="1414">
        <f t="shared" si="1"/>
        <v>76</v>
      </c>
      <c r="B79" s="1414"/>
      <c r="C79" s="1414"/>
      <c r="D79" s="1414"/>
      <c r="E79" s="1414"/>
      <c r="F79" s="1415" t="e">
        <f>#REF!</f>
        <v>#REF!</v>
      </c>
      <c r="G79" s="1415"/>
      <c r="H79" s="1415"/>
      <c r="I79" s="1415"/>
      <c r="J79" s="1415"/>
      <c r="K79" s="1415"/>
      <c r="L79" s="1415"/>
      <c r="M79" s="1415"/>
      <c r="N79" s="1415"/>
      <c r="O79" s="1415"/>
      <c r="P79" s="1415"/>
      <c r="Q79" s="1415"/>
      <c r="R79" s="1415"/>
      <c r="S79" s="1415"/>
      <c r="T79" s="1415"/>
      <c r="U79" s="1415"/>
      <c r="V79" s="1415"/>
      <c r="W79" s="1415"/>
      <c r="X79" s="1415"/>
      <c r="Y79" s="1415"/>
      <c r="Z79" s="1415"/>
      <c r="AA79" s="1415"/>
      <c r="AB79" s="1416" t="e">
        <f>#REF!</f>
        <v>#REF!</v>
      </c>
      <c r="AC79" s="1416"/>
      <c r="AD79" s="1416"/>
      <c r="AE79" s="1416"/>
      <c r="AF79" s="1416"/>
      <c r="AG79" s="1416"/>
      <c r="AH79" s="1416"/>
      <c r="AI79" s="1416"/>
      <c r="AJ79" s="1416"/>
      <c r="AK79" s="1416"/>
      <c r="AL79" s="1416"/>
      <c r="AM79" s="1416"/>
      <c r="AN79" s="1416"/>
      <c r="AO79" s="1417" t="e">
        <f>#REF!</f>
        <v>#REF!</v>
      </c>
      <c r="AP79" s="1417"/>
      <c r="AQ79" s="1417"/>
      <c r="AR79" s="1417"/>
      <c r="AS79" s="1417"/>
      <c r="AT79" s="1417"/>
      <c r="AU79" s="1417"/>
      <c r="AV79" s="1417"/>
      <c r="AW79" s="1417"/>
      <c r="AX79" s="1417"/>
      <c r="AY79" s="1417"/>
      <c r="AZ79" s="1417">
        <v>0</v>
      </c>
      <c r="BA79" s="1417"/>
      <c r="BB79" s="1417"/>
      <c r="BC79" s="1417"/>
      <c r="BD79" s="1417"/>
      <c r="BE79" s="1417"/>
      <c r="BF79" s="1417"/>
      <c r="BG79" s="1417"/>
      <c r="BH79" s="1417"/>
      <c r="BI79" s="1417"/>
      <c r="BJ79" s="1417"/>
      <c r="BK79" s="1417" t="e">
        <f>#REF!</f>
        <v>#REF!</v>
      </c>
      <c r="BL79" s="1417"/>
      <c r="BM79" s="1417"/>
      <c r="BN79" s="1417"/>
      <c r="BO79" s="1417"/>
      <c r="BP79" s="1417"/>
      <c r="BQ79" s="1417"/>
      <c r="BR79" s="1417"/>
      <c r="BS79" s="1417"/>
      <c r="BT79" s="1417"/>
      <c r="BU79" s="1417"/>
      <c r="BV79" s="1417" t="e">
        <f t="shared" si="2"/>
        <v>#REF!</v>
      </c>
      <c r="BW79" s="1417"/>
      <c r="BX79" s="1417"/>
      <c r="BY79" s="1417"/>
      <c r="BZ79" s="1417"/>
      <c r="CA79" s="1417"/>
      <c r="CB79" s="1417"/>
      <c r="CC79" s="1417"/>
      <c r="CD79" s="1417"/>
      <c r="CE79" s="1417"/>
      <c r="CF79" s="1417"/>
      <c r="CG79" s="661"/>
    </row>
    <row r="80" spans="1:85" s="660" customFormat="1" ht="29.1" customHeight="1">
      <c r="A80" s="1414">
        <f t="shared" si="1"/>
        <v>77</v>
      </c>
      <c r="B80" s="1414"/>
      <c r="C80" s="1414"/>
      <c r="D80" s="1414"/>
      <c r="E80" s="1414"/>
      <c r="F80" s="1415" t="e">
        <f>#REF!</f>
        <v>#REF!</v>
      </c>
      <c r="G80" s="1415"/>
      <c r="H80" s="1415"/>
      <c r="I80" s="1415"/>
      <c r="J80" s="1415"/>
      <c r="K80" s="1415"/>
      <c r="L80" s="1415"/>
      <c r="M80" s="1415"/>
      <c r="N80" s="1415"/>
      <c r="O80" s="1415"/>
      <c r="P80" s="1415"/>
      <c r="Q80" s="1415"/>
      <c r="R80" s="1415"/>
      <c r="S80" s="1415"/>
      <c r="T80" s="1415"/>
      <c r="U80" s="1415"/>
      <c r="V80" s="1415"/>
      <c r="W80" s="1415"/>
      <c r="X80" s="1415"/>
      <c r="Y80" s="1415"/>
      <c r="Z80" s="1415"/>
      <c r="AA80" s="1415"/>
      <c r="AB80" s="1416" t="e">
        <f>#REF!</f>
        <v>#REF!</v>
      </c>
      <c r="AC80" s="1416"/>
      <c r="AD80" s="1416"/>
      <c r="AE80" s="1416"/>
      <c r="AF80" s="1416"/>
      <c r="AG80" s="1416"/>
      <c r="AH80" s="1416"/>
      <c r="AI80" s="1416"/>
      <c r="AJ80" s="1416"/>
      <c r="AK80" s="1416"/>
      <c r="AL80" s="1416"/>
      <c r="AM80" s="1416"/>
      <c r="AN80" s="1416"/>
      <c r="AO80" s="1417" t="e">
        <f>#REF!</f>
        <v>#REF!</v>
      </c>
      <c r="AP80" s="1417"/>
      <c r="AQ80" s="1417"/>
      <c r="AR80" s="1417"/>
      <c r="AS80" s="1417"/>
      <c r="AT80" s="1417"/>
      <c r="AU80" s="1417"/>
      <c r="AV80" s="1417"/>
      <c r="AW80" s="1417"/>
      <c r="AX80" s="1417"/>
      <c r="AY80" s="1417"/>
      <c r="AZ80" s="1417" t="e">
        <f>#REF!</f>
        <v>#REF!</v>
      </c>
      <c r="BA80" s="1417"/>
      <c r="BB80" s="1417"/>
      <c r="BC80" s="1417"/>
      <c r="BD80" s="1417"/>
      <c r="BE80" s="1417"/>
      <c r="BF80" s="1417"/>
      <c r="BG80" s="1417"/>
      <c r="BH80" s="1417"/>
      <c r="BI80" s="1417"/>
      <c r="BJ80" s="1417"/>
      <c r="BK80" s="1417" t="e">
        <f>#REF!</f>
        <v>#REF!</v>
      </c>
      <c r="BL80" s="1417"/>
      <c r="BM80" s="1417"/>
      <c r="BN80" s="1417"/>
      <c r="BO80" s="1417"/>
      <c r="BP80" s="1417"/>
      <c r="BQ80" s="1417"/>
      <c r="BR80" s="1417"/>
      <c r="BS80" s="1417"/>
      <c r="BT80" s="1417"/>
      <c r="BU80" s="1417"/>
      <c r="BV80" s="1417" t="e">
        <f t="shared" si="2"/>
        <v>#REF!</v>
      </c>
      <c r="BW80" s="1417"/>
      <c r="BX80" s="1417"/>
      <c r="BY80" s="1417"/>
      <c r="BZ80" s="1417"/>
      <c r="CA80" s="1417"/>
      <c r="CB80" s="1417"/>
      <c r="CC80" s="1417"/>
      <c r="CD80" s="1417"/>
      <c r="CE80" s="1417"/>
      <c r="CF80" s="1417"/>
      <c r="CG80" s="661"/>
    </row>
    <row r="81" spans="1:85" s="660" customFormat="1" ht="29.1" customHeight="1">
      <c r="A81" s="1414">
        <f t="shared" ref="A81:A111" si="3">ROW()-3</f>
        <v>78</v>
      </c>
      <c r="B81" s="1414"/>
      <c r="C81" s="1414"/>
      <c r="D81" s="1414"/>
      <c r="E81" s="1414"/>
      <c r="F81" s="1415" t="e">
        <f>#REF!</f>
        <v>#REF!</v>
      </c>
      <c r="G81" s="1415"/>
      <c r="H81" s="1415"/>
      <c r="I81" s="1415"/>
      <c r="J81" s="1415"/>
      <c r="K81" s="1415"/>
      <c r="L81" s="1415"/>
      <c r="M81" s="1415"/>
      <c r="N81" s="1415"/>
      <c r="O81" s="1415"/>
      <c r="P81" s="1415"/>
      <c r="Q81" s="1415"/>
      <c r="R81" s="1415"/>
      <c r="S81" s="1415"/>
      <c r="T81" s="1415"/>
      <c r="U81" s="1415"/>
      <c r="V81" s="1415"/>
      <c r="W81" s="1415"/>
      <c r="X81" s="1415"/>
      <c r="Y81" s="1415"/>
      <c r="Z81" s="1415"/>
      <c r="AA81" s="1415"/>
      <c r="AB81" s="1415" t="e">
        <f>#REF!</f>
        <v>#REF!</v>
      </c>
      <c r="AC81" s="1415"/>
      <c r="AD81" s="1415"/>
      <c r="AE81" s="1415"/>
      <c r="AF81" s="1415"/>
      <c r="AG81" s="1415"/>
      <c r="AH81" s="1415"/>
      <c r="AI81" s="1415"/>
      <c r="AJ81" s="1415"/>
      <c r="AK81" s="1415"/>
      <c r="AL81" s="1415"/>
      <c r="AM81" s="1415"/>
      <c r="AN81" s="1415"/>
      <c r="AO81" s="1417" t="e">
        <f>#REF!</f>
        <v>#REF!</v>
      </c>
      <c r="AP81" s="1417"/>
      <c r="AQ81" s="1417"/>
      <c r="AR81" s="1417"/>
      <c r="AS81" s="1417"/>
      <c r="AT81" s="1417"/>
      <c r="AU81" s="1417"/>
      <c r="AV81" s="1417"/>
      <c r="AW81" s="1417"/>
      <c r="AX81" s="1417"/>
      <c r="AY81" s="1417"/>
      <c r="AZ81" s="1417" t="e">
        <f>#REF!</f>
        <v>#REF!</v>
      </c>
      <c r="BA81" s="1417"/>
      <c r="BB81" s="1417"/>
      <c r="BC81" s="1417"/>
      <c r="BD81" s="1417"/>
      <c r="BE81" s="1417"/>
      <c r="BF81" s="1417"/>
      <c r="BG81" s="1417"/>
      <c r="BH81" s="1417"/>
      <c r="BI81" s="1417"/>
      <c r="BJ81" s="1417"/>
      <c r="BK81" s="1417" t="e">
        <f>#REF!</f>
        <v>#REF!</v>
      </c>
      <c r="BL81" s="1417"/>
      <c r="BM81" s="1417"/>
      <c r="BN81" s="1417"/>
      <c r="BO81" s="1417"/>
      <c r="BP81" s="1417"/>
      <c r="BQ81" s="1417"/>
      <c r="BR81" s="1417"/>
      <c r="BS81" s="1417"/>
      <c r="BT81" s="1417"/>
      <c r="BU81" s="1417"/>
      <c r="BV81" s="1417" t="e">
        <f t="shared" si="2"/>
        <v>#REF!</v>
      </c>
      <c r="BW81" s="1417"/>
      <c r="BX81" s="1417"/>
      <c r="BY81" s="1417"/>
      <c r="BZ81" s="1417"/>
      <c r="CA81" s="1417"/>
      <c r="CB81" s="1417"/>
      <c r="CC81" s="1417"/>
      <c r="CD81" s="1417"/>
      <c r="CE81" s="1417"/>
      <c r="CF81" s="1417"/>
      <c r="CG81" s="661"/>
    </row>
    <row r="82" spans="1:85" s="660" customFormat="1" ht="29.1" customHeight="1">
      <c r="A82" s="1414">
        <f t="shared" si="3"/>
        <v>79</v>
      </c>
      <c r="B82" s="1414"/>
      <c r="C82" s="1414"/>
      <c r="D82" s="1414"/>
      <c r="E82" s="1414"/>
      <c r="F82" s="1415" t="e">
        <f>#REF!</f>
        <v>#REF!</v>
      </c>
      <c r="G82" s="1415"/>
      <c r="H82" s="1415"/>
      <c r="I82" s="1415"/>
      <c r="J82" s="1415"/>
      <c r="K82" s="1415"/>
      <c r="L82" s="1415"/>
      <c r="M82" s="1415"/>
      <c r="N82" s="1415"/>
      <c r="O82" s="1415"/>
      <c r="P82" s="1415"/>
      <c r="Q82" s="1415"/>
      <c r="R82" s="1415"/>
      <c r="S82" s="1415"/>
      <c r="T82" s="1415"/>
      <c r="U82" s="1415"/>
      <c r="V82" s="1415"/>
      <c r="W82" s="1415"/>
      <c r="X82" s="1415"/>
      <c r="Y82" s="1415"/>
      <c r="Z82" s="1415"/>
      <c r="AA82" s="1415"/>
      <c r="AB82" s="1421" t="e">
        <f>#REF!</f>
        <v>#REF!</v>
      </c>
      <c r="AC82" s="1422"/>
      <c r="AD82" s="1422"/>
      <c r="AE82" s="1422"/>
      <c r="AF82" s="1422"/>
      <c r="AG82" s="1422"/>
      <c r="AH82" s="1422"/>
      <c r="AI82" s="1422"/>
      <c r="AJ82" s="1422"/>
      <c r="AK82" s="1422"/>
      <c r="AL82" s="1422"/>
      <c r="AM82" s="1422"/>
      <c r="AN82" s="1423"/>
      <c r="AO82" s="1417">
        <v>0</v>
      </c>
      <c r="AP82" s="1417"/>
      <c r="AQ82" s="1417"/>
      <c r="AR82" s="1417"/>
      <c r="AS82" s="1417"/>
      <c r="AT82" s="1417"/>
      <c r="AU82" s="1417"/>
      <c r="AV82" s="1417"/>
      <c r="AW82" s="1417"/>
      <c r="AX82" s="1417"/>
      <c r="AY82" s="1417"/>
      <c r="AZ82" s="1417">
        <v>0</v>
      </c>
      <c r="BA82" s="1417"/>
      <c r="BB82" s="1417"/>
      <c r="BC82" s="1417"/>
      <c r="BD82" s="1417"/>
      <c r="BE82" s="1417"/>
      <c r="BF82" s="1417"/>
      <c r="BG82" s="1417"/>
      <c r="BH82" s="1417"/>
      <c r="BI82" s="1417"/>
      <c r="BJ82" s="1417"/>
      <c r="BK82" s="1417" t="e">
        <f>#REF!</f>
        <v>#REF!</v>
      </c>
      <c r="BL82" s="1417"/>
      <c r="BM82" s="1417"/>
      <c r="BN82" s="1417"/>
      <c r="BO82" s="1417"/>
      <c r="BP82" s="1417"/>
      <c r="BQ82" s="1417"/>
      <c r="BR82" s="1417"/>
      <c r="BS82" s="1417"/>
      <c r="BT82" s="1417"/>
      <c r="BU82" s="1417"/>
      <c r="BV82" s="1417" t="e">
        <f t="shared" si="2"/>
        <v>#REF!</v>
      </c>
      <c r="BW82" s="1417"/>
      <c r="BX82" s="1417"/>
      <c r="BY82" s="1417"/>
      <c r="BZ82" s="1417"/>
      <c r="CA82" s="1417"/>
      <c r="CB82" s="1417"/>
      <c r="CC82" s="1417"/>
      <c r="CD82" s="1417"/>
      <c r="CE82" s="1417"/>
      <c r="CF82" s="1417"/>
      <c r="CG82" s="661"/>
    </row>
    <row r="83" spans="1:85" s="660" customFormat="1" ht="29.1" customHeight="1">
      <c r="A83" s="1414">
        <f t="shared" si="3"/>
        <v>80</v>
      </c>
      <c r="B83" s="1414"/>
      <c r="C83" s="1414"/>
      <c r="D83" s="1414"/>
      <c r="E83" s="1414"/>
      <c r="F83" s="1415" t="e">
        <f>#REF!</f>
        <v>#REF!</v>
      </c>
      <c r="G83" s="1415"/>
      <c r="H83" s="1415"/>
      <c r="I83" s="1415"/>
      <c r="J83" s="1415"/>
      <c r="K83" s="1415"/>
      <c r="L83" s="1415"/>
      <c r="M83" s="1415"/>
      <c r="N83" s="1415"/>
      <c r="O83" s="1415"/>
      <c r="P83" s="1415"/>
      <c r="Q83" s="1415"/>
      <c r="R83" s="1415"/>
      <c r="S83" s="1415"/>
      <c r="T83" s="1415"/>
      <c r="U83" s="1415"/>
      <c r="V83" s="1415"/>
      <c r="W83" s="1415"/>
      <c r="X83" s="1415"/>
      <c r="Y83" s="1415"/>
      <c r="Z83" s="1415"/>
      <c r="AA83" s="1415"/>
      <c r="AB83" s="1418" t="e">
        <f>#REF!</f>
        <v>#REF!</v>
      </c>
      <c r="AC83" s="1419"/>
      <c r="AD83" s="1419"/>
      <c r="AE83" s="1419"/>
      <c r="AF83" s="1419"/>
      <c r="AG83" s="1419"/>
      <c r="AH83" s="1419"/>
      <c r="AI83" s="1419"/>
      <c r="AJ83" s="1419"/>
      <c r="AK83" s="1419"/>
      <c r="AL83" s="1419"/>
      <c r="AM83" s="1419"/>
      <c r="AN83" s="1420"/>
      <c r="AO83" s="1417">
        <v>0</v>
      </c>
      <c r="AP83" s="1417"/>
      <c r="AQ83" s="1417"/>
      <c r="AR83" s="1417"/>
      <c r="AS83" s="1417"/>
      <c r="AT83" s="1417"/>
      <c r="AU83" s="1417"/>
      <c r="AV83" s="1417"/>
      <c r="AW83" s="1417"/>
      <c r="AX83" s="1417"/>
      <c r="AY83" s="1417"/>
      <c r="AZ83" s="1417">
        <v>0</v>
      </c>
      <c r="BA83" s="1417"/>
      <c r="BB83" s="1417"/>
      <c r="BC83" s="1417"/>
      <c r="BD83" s="1417"/>
      <c r="BE83" s="1417"/>
      <c r="BF83" s="1417"/>
      <c r="BG83" s="1417"/>
      <c r="BH83" s="1417"/>
      <c r="BI83" s="1417"/>
      <c r="BJ83" s="1417"/>
      <c r="BK83" s="1417" t="e">
        <f>#REF!</f>
        <v>#REF!</v>
      </c>
      <c r="BL83" s="1417"/>
      <c r="BM83" s="1417"/>
      <c r="BN83" s="1417"/>
      <c r="BO83" s="1417"/>
      <c r="BP83" s="1417"/>
      <c r="BQ83" s="1417"/>
      <c r="BR83" s="1417"/>
      <c r="BS83" s="1417"/>
      <c r="BT83" s="1417"/>
      <c r="BU83" s="1417"/>
      <c r="BV83" s="1417" t="e">
        <f t="shared" si="2"/>
        <v>#REF!</v>
      </c>
      <c r="BW83" s="1417"/>
      <c r="BX83" s="1417"/>
      <c r="BY83" s="1417"/>
      <c r="BZ83" s="1417"/>
      <c r="CA83" s="1417"/>
      <c r="CB83" s="1417"/>
      <c r="CC83" s="1417"/>
      <c r="CD83" s="1417"/>
      <c r="CE83" s="1417"/>
      <c r="CF83" s="1417"/>
      <c r="CG83" s="661"/>
    </row>
    <row r="84" spans="1:85" s="660" customFormat="1" ht="29.1" customHeight="1">
      <c r="A84" s="1414">
        <f t="shared" si="3"/>
        <v>81</v>
      </c>
      <c r="B84" s="1414"/>
      <c r="C84" s="1414"/>
      <c r="D84" s="1414"/>
      <c r="E84" s="1414"/>
      <c r="F84" s="1415" t="e">
        <f>#REF!</f>
        <v>#REF!</v>
      </c>
      <c r="G84" s="1415"/>
      <c r="H84" s="1415"/>
      <c r="I84" s="1415"/>
      <c r="J84" s="1415"/>
      <c r="K84" s="1415"/>
      <c r="L84" s="1415"/>
      <c r="M84" s="1415"/>
      <c r="N84" s="1415"/>
      <c r="O84" s="1415"/>
      <c r="P84" s="1415"/>
      <c r="Q84" s="1415"/>
      <c r="R84" s="1415"/>
      <c r="S84" s="1415"/>
      <c r="T84" s="1415"/>
      <c r="U84" s="1415"/>
      <c r="V84" s="1415"/>
      <c r="W84" s="1415"/>
      <c r="X84" s="1415"/>
      <c r="Y84" s="1415"/>
      <c r="Z84" s="1415"/>
      <c r="AA84" s="1415"/>
      <c r="AB84" s="1415" t="e">
        <f>#REF!</f>
        <v>#REF!</v>
      </c>
      <c r="AC84" s="1415"/>
      <c r="AD84" s="1415"/>
      <c r="AE84" s="1415"/>
      <c r="AF84" s="1415"/>
      <c r="AG84" s="1415"/>
      <c r="AH84" s="1415"/>
      <c r="AI84" s="1415"/>
      <c r="AJ84" s="1415"/>
      <c r="AK84" s="1415"/>
      <c r="AL84" s="1415"/>
      <c r="AM84" s="1415"/>
      <c r="AN84" s="1415"/>
      <c r="AO84" s="1417" t="e">
        <f>#REF!</f>
        <v>#REF!</v>
      </c>
      <c r="AP84" s="1417"/>
      <c r="AQ84" s="1417"/>
      <c r="AR84" s="1417"/>
      <c r="AS84" s="1417"/>
      <c r="AT84" s="1417"/>
      <c r="AU84" s="1417"/>
      <c r="AV84" s="1417"/>
      <c r="AW84" s="1417"/>
      <c r="AX84" s="1417"/>
      <c r="AY84" s="1417"/>
      <c r="AZ84" s="1417" t="e">
        <f>#REF!</f>
        <v>#REF!</v>
      </c>
      <c r="BA84" s="1417"/>
      <c r="BB84" s="1417"/>
      <c r="BC84" s="1417"/>
      <c r="BD84" s="1417"/>
      <c r="BE84" s="1417"/>
      <c r="BF84" s="1417"/>
      <c r="BG84" s="1417"/>
      <c r="BH84" s="1417"/>
      <c r="BI84" s="1417"/>
      <c r="BJ84" s="1417"/>
      <c r="BK84" s="1417" t="e">
        <f>#REF!</f>
        <v>#REF!</v>
      </c>
      <c r="BL84" s="1417"/>
      <c r="BM84" s="1417"/>
      <c r="BN84" s="1417"/>
      <c r="BO84" s="1417"/>
      <c r="BP84" s="1417"/>
      <c r="BQ84" s="1417"/>
      <c r="BR84" s="1417"/>
      <c r="BS84" s="1417"/>
      <c r="BT84" s="1417"/>
      <c r="BU84" s="1417"/>
      <c r="BV84" s="1417" t="e">
        <f>AO84+AZ84+BK84</f>
        <v>#REF!</v>
      </c>
      <c r="BW84" s="1417"/>
      <c r="BX84" s="1417"/>
      <c r="BY84" s="1417"/>
      <c r="BZ84" s="1417"/>
      <c r="CA84" s="1417"/>
      <c r="CB84" s="1417"/>
      <c r="CC84" s="1417"/>
      <c r="CD84" s="1417"/>
      <c r="CE84" s="1417"/>
      <c r="CF84" s="1417"/>
      <c r="CG84" s="661"/>
    </row>
    <row r="85" spans="1:85" s="660" customFormat="1" ht="29.1" customHeight="1">
      <c r="A85" s="1414">
        <f t="shared" si="3"/>
        <v>82</v>
      </c>
      <c r="B85" s="1414"/>
      <c r="C85" s="1414"/>
      <c r="D85" s="1414"/>
      <c r="E85" s="1414"/>
      <c r="F85" s="1415" t="e">
        <f>#REF!</f>
        <v>#REF!</v>
      </c>
      <c r="G85" s="1415"/>
      <c r="H85" s="1415"/>
      <c r="I85" s="1415"/>
      <c r="J85" s="1415"/>
      <c r="K85" s="1415"/>
      <c r="L85" s="1415"/>
      <c r="M85" s="1415"/>
      <c r="N85" s="1415"/>
      <c r="O85" s="1415"/>
      <c r="P85" s="1415"/>
      <c r="Q85" s="1415"/>
      <c r="R85" s="1415"/>
      <c r="S85" s="1415"/>
      <c r="T85" s="1415"/>
      <c r="U85" s="1415"/>
      <c r="V85" s="1415"/>
      <c r="W85" s="1415"/>
      <c r="X85" s="1415"/>
      <c r="Y85" s="1415"/>
      <c r="Z85" s="1415"/>
      <c r="AA85" s="1415"/>
      <c r="AB85" s="1415" t="e">
        <f>#REF!</f>
        <v>#REF!</v>
      </c>
      <c r="AC85" s="1415"/>
      <c r="AD85" s="1415"/>
      <c r="AE85" s="1415"/>
      <c r="AF85" s="1415"/>
      <c r="AG85" s="1415"/>
      <c r="AH85" s="1415"/>
      <c r="AI85" s="1415"/>
      <c r="AJ85" s="1415"/>
      <c r="AK85" s="1415"/>
      <c r="AL85" s="1415"/>
      <c r="AM85" s="1415"/>
      <c r="AN85" s="1415"/>
      <c r="AO85" s="1417" t="e">
        <f>#REF!</f>
        <v>#REF!</v>
      </c>
      <c r="AP85" s="1417"/>
      <c r="AQ85" s="1417"/>
      <c r="AR85" s="1417"/>
      <c r="AS85" s="1417"/>
      <c r="AT85" s="1417"/>
      <c r="AU85" s="1417"/>
      <c r="AV85" s="1417"/>
      <c r="AW85" s="1417"/>
      <c r="AX85" s="1417"/>
      <c r="AY85" s="1417"/>
      <c r="AZ85" s="1417" t="e">
        <f>#REF!</f>
        <v>#REF!</v>
      </c>
      <c r="BA85" s="1417"/>
      <c r="BB85" s="1417"/>
      <c r="BC85" s="1417"/>
      <c r="BD85" s="1417"/>
      <c r="BE85" s="1417"/>
      <c r="BF85" s="1417"/>
      <c r="BG85" s="1417"/>
      <c r="BH85" s="1417"/>
      <c r="BI85" s="1417"/>
      <c r="BJ85" s="1417"/>
      <c r="BK85" s="1417" t="e">
        <f>#REF!</f>
        <v>#REF!</v>
      </c>
      <c r="BL85" s="1417"/>
      <c r="BM85" s="1417"/>
      <c r="BN85" s="1417"/>
      <c r="BO85" s="1417"/>
      <c r="BP85" s="1417"/>
      <c r="BQ85" s="1417"/>
      <c r="BR85" s="1417"/>
      <c r="BS85" s="1417"/>
      <c r="BT85" s="1417"/>
      <c r="BU85" s="1417"/>
      <c r="BV85" s="1417" t="e">
        <f t="shared" si="2"/>
        <v>#REF!</v>
      </c>
      <c r="BW85" s="1417"/>
      <c r="BX85" s="1417"/>
      <c r="BY85" s="1417"/>
      <c r="BZ85" s="1417"/>
      <c r="CA85" s="1417"/>
      <c r="CB85" s="1417"/>
      <c r="CC85" s="1417"/>
      <c r="CD85" s="1417"/>
      <c r="CE85" s="1417"/>
      <c r="CF85" s="1417"/>
      <c r="CG85" s="661"/>
    </row>
    <row r="86" spans="1:85" s="660" customFormat="1" ht="29.1" customHeight="1">
      <c r="A86" s="1414">
        <f t="shared" si="3"/>
        <v>83</v>
      </c>
      <c r="B86" s="1414"/>
      <c r="C86" s="1414"/>
      <c r="D86" s="1414"/>
      <c r="E86" s="1414"/>
      <c r="F86" s="1415" t="e">
        <f>#REF!</f>
        <v>#REF!</v>
      </c>
      <c r="G86" s="1415"/>
      <c r="H86" s="1415"/>
      <c r="I86" s="1415"/>
      <c r="J86" s="1415"/>
      <c r="K86" s="1415"/>
      <c r="L86" s="1415"/>
      <c r="M86" s="1415"/>
      <c r="N86" s="1415"/>
      <c r="O86" s="1415"/>
      <c r="P86" s="1415"/>
      <c r="Q86" s="1415"/>
      <c r="R86" s="1415"/>
      <c r="S86" s="1415"/>
      <c r="T86" s="1415"/>
      <c r="U86" s="1415"/>
      <c r="V86" s="1415"/>
      <c r="W86" s="1415"/>
      <c r="X86" s="1415"/>
      <c r="Y86" s="1415"/>
      <c r="Z86" s="1415"/>
      <c r="AA86" s="1415"/>
      <c r="AB86" s="1415" t="e">
        <f>#REF!</f>
        <v>#REF!</v>
      </c>
      <c r="AC86" s="1415"/>
      <c r="AD86" s="1415"/>
      <c r="AE86" s="1415"/>
      <c r="AF86" s="1415"/>
      <c r="AG86" s="1415"/>
      <c r="AH86" s="1415"/>
      <c r="AI86" s="1415"/>
      <c r="AJ86" s="1415"/>
      <c r="AK86" s="1415"/>
      <c r="AL86" s="1415"/>
      <c r="AM86" s="1415"/>
      <c r="AN86" s="1415"/>
      <c r="AO86" s="1417" t="e">
        <f>#REF!</f>
        <v>#REF!</v>
      </c>
      <c r="AP86" s="1417"/>
      <c r="AQ86" s="1417"/>
      <c r="AR86" s="1417"/>
      <c r="AS86" s="1417"/>
      <c r="AT86" s="1417"/>
      <c r="AU86" s="1417"/>
      <c r="AV86" s="1417"/>
      <c r="AW86" s="1417"/>
      <c r="AX86" s="1417"/>
      <c r="AY86" s="1417"/>
      <c r="AZ86" s="1417" t="e">
        <f>#REF!</f>
        <v>#REF!</v>
      </c>
      <c r="BA86" s="1417"/>
      <c r="BB86" s="1417"/>
      <c r="BC86" s="1417"/>
      <c r="BD86" s="1417"/>
      <c r="BE86" s="1417"/>
      <c r="BF86" s="1417"/>
      <c r="BG86" s="1417"/>
      <c r="BH86" s="1417"/>
      <c r="BI86" s="1417"/>
      <c r="BJ86" s="1417"/>
      <c r="BK86" s="1417" t="e">
        <f>#REF!</f>
        <v>#REF!</v>
      </c>
      <c r="BL86" s="1417"/>
      <c r="BM86" s="1417"/>
      <c r="BN86" s="1417"/>
      <c r="BO86" s="1417"/>
      <c r="BP86" s="1417"/>
      <c r="BQ86" s="1417"/>
      <c r="BR86" s="1417"/>
      <c r="BS86" s="1417"/>
      <c r="BT86" s="1417"/>
      <c r="BU86" s="1417"/>
      <c r="BV86" s="1417" t="e">
        <f t="shared" si="2"/>
        <v>#REF!</v>
      </c>
      <c r="BW86" s="1417"/>
      <c r="BX86" s="1417"/>
      <c r="BY86" s="1417"/>
      <c r="BZ86" s="1417"/>
      <c r="CA86" s="1417"/>
      <c r="CB86" s="1417"/>
      <c r="CC86" s="1417"/>
      <c r="CD86" s="1417"/>
      <c r="CE86" s="1417"/>
      <c r="CF86" s="1417"/>
      <c r="CG86" s="661"/>
    </row>
    <row r="87" spans="1:85" s="660" customFormat="1" ht="29.1" customHeight="1">
      <c r="A87" s="1414">
        <f t="shared" si="3"/>
        <v>84</v>
      </c>
      <c r="B87" s="1414"/>
      <c r="C87" s="1414"/>
      <c r="D87" s="1414"/>
      <c r="E87" s="1414"/>
      <c r="F87" s="1415" t="e">
        <f>#REF!</f>
        <v>#REF!</v>
      </c>
      <c r="G87" s="1415"/>
      <c r="H87" s="1415"/>
      <c r="I87" s="1415"/>
      <c r="J87" s="1415"/>
      <c r="K87" s="1415"/>
      <c r="L87" s="1415"/>
      <c r="M87" s="1415"/>
      <c r="N87" s="1415"/>
      <c r="O87" s="1415"/>
      <c r="P87" s="1415"/>
      <c r="Q87" s="1415"/>
      <c r="R87" s="1415"/>
      <c r="S87" s="1415"/>
      <c r="T87" s="1415"/>
      <c r="U87" s="1415"/>
      <c r="V87" s="1415"/>
      <c r="W87" s="1415"/>
      <c r="X87" s="1415"/>
      <c r="Y87" s="1415"/>
      <c r="Z87" s="1415"/>
      <c r="AA87" s="1415"/>
      <c r="AB87" s="1415" t="e">
        <f>#REF!</f>
        <v>#REF!</v>
      </c>
      <c r="AC87" s="1415"/>
      <c r="AD87" s="1415"/>
      <c r="AE87" s="1415"/>
      <c r="AF87" s="1415"/>
      <c r="AG87" s="1415"/>
      <c r="AH87" s="1415"/>
      <c r="AI87" s="1415"/>
      <c r="AJ87" s="1415"/>
      <c r="AK87" s="1415"/>
      <c r="AL87" s="1415"/>
      <c r="AM87" s="1415"/>
      <c r="AN87" s="1415"/>
      <c r="AO87" s="1417" t="e">
        <f>#REF!</f>
        <v>#REF!</v>
      </c>
      <c r="AP87" s="1417"/>
      <c r="AQ87" s="1417"/>
      <c r="AR87" s="1417"/>
      <c r="AS87" s="1417"/>
      <c r="AT87" s="1417"/>
      <c r="AU87" s="1417"/>
      <c r="AV87" s="1417"/>
      <c r="AW87" s="1417"/>
      <c r="AX87" s="1417"/>
      <c r="AY87" s="1417"/>
      <c r="AZ87" s="1417" t="e">
        <f>#REF!</f>
        <v>#REF!</v>
      </c>
      <c r="BA87" s="1417"/>
      <c r="BB87" s="1417"/>
      <c r="BC87" s="1417"/>
      <c r="BD87" s="1417"/>
      <c r="BE87" s="1417"/>
      <c r="BF87" s="1417"/>
      <c r="BG87" s="1417"/>
      <c r="BH87" s="1417"/>
      <c r="BI87" s="1417"/>
      <c r="BJ87" s="1417"/>
      <c r="BK87" s="1417" t="e">
        <f>#REF!</f>
        <v>#REF!</v>
      </c>
      <c r="BL87" s="1417"/>
      <c r="BM87" s="1417"/>
      <c r="BN87" s="1417"/>
      <c r="BO87" s="1417"/>
      <c r="BP87" s="1417"/>
      <c r="BQ87" s="1417"/>
      <c r="BR87" s="1417"/>
      <c r="BS87" s="1417"/>
      <c r="BT87" s="1417"/>
      <c r="BU87" s="1417"/>
      <c r="BV87" s="1417" t="e">
        <f>AO87+AZ87+BK87</f>
        <v>#REF!</v>
      </c>
      <c r="BW87" s="1417"/>
      <c r="BX87" s="1417"/>
      <c r="BY87" s="1417"/>
      <c r="BZ87" s="1417"/>
      <c r="CA87" s="1417"/>
      <c r="CB87" s="1417"/>
      <c r="CC87" s="1417"/>
      <c r="CD87" s="1417"/>
      <c r="CE87" s="1417"/>
      <c r="CF87" s="1417"/>
      <c r="CG87" s="661"/>
    </row>
    <row r="88" spans="1:85" s="660" customFormat="1" ht="29.1" customHeight="1">
      <c r="A88" s="1414">
        <f t="shared" si="3"/>
        <v>85</v>
      </c>
      <c r="B88" s="1414"/>
      <c r="C88" s="1414"/>
      <c r="D88" s="1414"/>
      <c r="E88" s="1414"/>
      <c r="F88" s="1415" t="e">
        <f>#REF!</f>
        <v>#REF!</v>
      </c>
      <c r="G88" s="1415"/>
      <c r="H88" s="1415"/>
      <c r="I88" s="1415"/>
      <c r="J88" s="1415"/>
      <c r="K88" s="1415"/>
      <c r="L88" s="1415"/>
      <c r="M88" s="1415"/>
      <c r="N88" s="1415"/>
      <c r="O88" s="1415"/>
      <c r="P88" s="1415"/>
      <c r="Q88" s="1415"/>
      <c r="R88" s="1415"/>
      <c r="S88" s="1415"/>
      <c r="T88" s="1415"/>
      <c r="U88" s="1415"/>
      <c r="V88" s="1415"/>
      <c r="W88" s="1415"/>
      <c r="X88" s="1415"/>
      <c r="Y88" s="1415"/>
      <c r="Z88" s="1415"/>
      <c r="AA88" s="1415"/>
      <c r="AB88" s="1415" t="e">
        <f>#REF!</f>
        <v>#REF!</v>
      </c>
      <c r="AC88" s="1415"/>
      <c r="AD88" s="1415"/>
      <c r="AE88" s="1415"/>
      <c r="AF88" s="1415"/>
      <c r="AG88" s="1415"/>
      <c r="AH88" s="1415"/>
      <c r="AI88" s="1415"/>
      <c r="AJ88" s="1415"/>
      <c r="AK88" s="1415"/>
      <c r="AL88" s="1415"/>
      <c r="AM88" s="1415"/>
      <c r="AN88" s="1415"/>
      <c r="AO88" s="1417">
        <v>0</v>
      </c>
      <c r="AP88" s="1417"/>
      <c r="AQ88" s="1417"/>
      <c r="AR88" s="1417"/>
      <c r="AS88" s="1417"/>
      <c r="AT88" s="1417"/>
      <c r="AU88" s="1417"/>
      <c r="AV88" s="1417"/>
      <c r="AW88" s="1417"/>
      <c r="AX88" s="1417"/>
      <c r="AY88" s="1417"/>
      <c r="AZ88" s="1417">
        <v>0</v>
      </c>
      <c r="BA88" s="1417"/>
      <c r="BB88" s="1417"/>
      <c r="BC88" s="1417"/>
      <c r="BD88" s="1417"/>
      <c r="BE88" s="1417"/>
      <c r="BF88" s="1417"/>
      <c r="BG88" s="1417"/>
      <c r="BH88" s="1417"/>
      <c r="BI88" s="1417"/>
      <c r="BJ88" s="1417"/>
      <c r="BK88" s="1417" t="e">
        <f>#REF!</f>
        <v>#REF!</v>
      </c>
      <c r="BL88" s="1417"/>
      <c r="BM88" s="1417"/>
      <c r="BN88" s="1417"/>
      <c r="BO88" s="1417"/>
      <c r="BP88" s="1417"/>
      <c r="BQ88" s="1417"/>
      <c r="BR88" s="1417"/>
      <c r="BS88" s="1417"/>
      <c r="BT88" s="1417"/>
      <c r="BU88" s="1417"/>
      <c r="BV88" s="1417" t="e">
        <f t="shared" si="2"/>
        <v>#REF!</v>
      </c>
      <c r="BW88" s="1417"/>
      <c r="BX88" s="1417"/>
      <c r="BY88" s="1417"/>
      <c r="BZ88" s="1417"/>
      <c r="CA88" s="1417"/>
      <c r="CB88" s="1417"/>
      <c r="CC88" s="1417"/>
      <c r="CD88" s="1417"/>
      <c r="CE88" s="1417"/>
      <c r="CF88" s="1417"/>
      <c r="CG88" s="661"/>
    </row>
    <row r="89" spans="1:85" s="660" customFormat="1" ht="29.1" customHeight="1">
      <c r="A89" s="1414">
        <f t="shared" si="3"/>
        <v>86</v>
      </c>
      <c r="B89" s="1414"/>
      <c r="C89" s="1414"/>
      <c r="D89" s="1414"/>
      <c r="E89" s="1414"/>
      <c r="F89" s="1415" t="e">
        <f>#REF!</f>
        <v>#REF!</v>
      </c>
      <c r="G89" s="1415"/>
      <c r="H89" s="1415"/>
      <c r="I89" s="1415"/>
      <c r="J89" s="1415"/>
      <c r="K89" s="1415"/>
      <c r="L89" s="1415"/>
      <c r="M89" s="1415"/>
      <c r="N89" s="1415"/>
      <c r="O89" s="1415"/>
      <c r="P89" s="1415"/>
      <c r="Q89" s="1415"/>
      <c r="R89" s="1415"/>
      <c r="S89" s="1415"/>
      <c r="T89" s="1415"/>
      <c r="U89" s="1415"/>
      <c r="V89" s="1415"/>
      <c r="W89" s="1415"/>
      <c r="X89" s="1415"/>
      <c r="Y89" s="1415"/>
      <c r="Z89" s="1415"/>
      <c r="AA89" s="1415"/>
      <c r="AB89" s="1415" t="e">
        <f>#REF!</f>
        <v>#REF!</v>
      </c>
      <c r="AC89" s="1415"/>
      <c r="AD89" s="1415"/>
      <c r="AE89" s="1415"/>
      <c r="AF89" s="1415"/>
      <c r="AG89" s="1415"/>
      <c r="AH89" s="1415"/>
      <c r="AI89" s="1415"/>
      <c r="AJ89" s="1415"/>
      <c r="AK89" s="1415"/>
      <c r="AL89" s="1415"/>
      <c r="AM89" s="1415"/>
      <c r="AN89" s="1415"/>
      <c r="AO89" s="1417">
        <v>0</v>
      </c>
      <c r="AP89" s="1417"/>
      <c r="AQ89" s="1417"/>
      <c r="AR89" s="1417"/>
      <c r="AS89" s="1417"/>
      <c r="AT89" s="1417"/>
      <c r="AU89" s="1417"/>
      <c r="AV89" s="1417"/>
      <c r="AW89" s="1417"/>
      <c r="AX89" s="1417"/>
      <c r="AY89" s="1417"/>
      <c r="AZ89" s="1417">
        <v>0</v>
      </c>
      <c r="BA89" s="1417"/>
      <c r="BB89" s="1417"/>
      <c r="BC89" s="1417"/>
      <c r="BD89" s="1417"/>
      <c r="BE89" s="1417"/>
      <c r="BF89" s="1417"/>
      <c r="BG89" s="1417"/>
      <c r="BH89" s="1417"/>
      <c r="BI89" s="1417"/>
      <c r="BJ89" s="1417"/>
      <c r="BK89" s="1417" t="e">
        <f>#REF!</f>
        <v>#REF!</v>
      </c>
      <c r="BL89" s="1417"/>
      <c r="BM89" s="1417"/>
      <c r="BN89" s="1417"/>
      <c r="BO89" s="1417"/>
      <c r="BP89" s="1417"/>
      <c r="BQ89" s="1417"/>
      <c r="BR89" s="1417"/>
      <c r="BS89" s="1417"/>
      <c r="BT89" s="1417"/>
      <c r="BU89" s="1417"/>
      <c r="BV89" s="1417" t="e">
        <f t="shared" si="2"/>
        <v>#REF!</v>
      </c>
      <c r="BW89" s="1417"/>
      <c r="BX89" s="1417"/>
      <c r="BY89" s="1417"/>
      <c r="BZ89" s="1417"/>
      <c r="CA89" s="1417"/>
      <c r="CB89" s="1417"/>
      <c r="CC89" s="1417"/>
      <c r="CD89" s="1417"/>
      <c r="CE89" s="1417"/>
      <c r="CF89" s="1417"/>
      <c r="CG89" s="661"/>
    </row>
    <row r="90" spans="1:85" s="660" customFormat="1" ht="29.1" customHeight="1">
      <c r="A90" s="1414">
        <f t="shared" si="3"/>
        <v>87</v>
      </c>
      <c r="B90" s="1414"/>
      <c r="C90" s="1414"/>
      <c r="D90" s="1414"/>
      <c r="E90" s="1414"/>
      <c r="F90" s="1415" t="e">
        <f>#REF!</f>
        <v>#REF!</v>
      </c>
      <c r="G90" s="1415"/>
      <c r="H90" s="1415"/>
      <c r="I90" s="1415"/>
      <c r="J90" s="1415"/>
      <c r="K90" s="1415"/>
      <c r="L90" s="1415"/>
      <c r="M90" s="1415"/>
      <c r="N90" s="1415"/>
      <c r="O90" s="1415"/>
      <c r="P90" s="1415"/>
      <c r="Q90" s="1415"/>
      <c r="R90" s="1415"/>
      <c r="S90" s="1415"/>
      <c r="T90" s="1415"/>
      <c r="U90" s="1415"/>
      <c r="V90" s="1415"/>
      <c r="W90" s="1415"/>
      <c r="X90" s="1415"/>
      <c r="Y90" s="1415"/>
      <c r="Z90" s="1415"/>
      <c r="AA90" s="1415"/>
      <c r="AB90" s="1415" t="e">
        <f>#REF!</f>
        <v>#REF!</v>
      </c>
      <c r="AC90" s="1415"/>
      <c r="AD90" s="1415"/>
      <c r="AE90" s="1415"/>
      <c r="AF90" s="1415"/>
      <c r="AG90" s="1415"/>
      <c r="AH90" s="1415"/>
      <c r="AI90" s="1415"/>
      <c r="AJ90" s="1415"/>
      <c r="AK90" s="1415"/>
      <c r="AL90" s="1415"/>
      <c r="AM90" s="1415"/>
      <c r="AN90" s="1415"/>
      <c r="AO90" s="1417">
        <v>0</v>
      </c>
      <c r="AP90" s="1417"/>
      <c r="AQ90" s="1417"/>
      <c r="AR90" s="1417"/>
      <c r="AS90" s="1417"/>
      <c r="AT90" s="1417"/>
      <c r="AU90" s="1417"/>
      <c r="AV90" s="1417"/>
      <c r="AW90" s="1417"/>
      <c r="AX90" s="1417"/>
      <c r="AY90" s="1417"/>
      <c r="AZ90" s="1417">
        <v>0</v>
      </c>
      <c r="BA90" s="1417"/>
      <c r="BB90" s="1417"/>
      <c r="BC90" s="1417"/>
      <c r="BD90" s="1417"/>
      <c r="BE90" s="1417"/>
      <c r="BF90" s="1417"/>
      <c r="BG90" s="1417"/>
      <c r="BH90" s="1417"/>
      <c r="BI90" s="1417"/>
      <c r="BJ90" s="1417"/>
      <c r="BK90" s="1417" t="e">
        <f>#REF!</f>
        <v>#REF!</v>
      </c>
      <c r="BL90" s="1417"/>
      <c r="BM90" s="1417"/>
      <c r="BN90" s="1417"/>
      <c r="BO90" s="1417"/>
      <c r="BP90" s="1417"/>
      <c r="BQ90" s="1417"/>
      <c r="BR90" s="1417"/>
      <c r="BS90" s="1417"/>
      <c r="BT90" s="1417"/>
      <c r="BU90" s="1417"/>
      <c r="BV90" s="1417" t="e">
        <f t="shared" si="2"/>
        <v>#REF!</v>
      </c>
      <c r="BW90" s="1417"/>
      <c r="BX90" s="1417"/>
      <c r="BY90" s="1417"/>
      <c r="BZ90" s="1417"/>
      <c r="CA90" s="1417"/>
      <c r="CB90" s="1417"/>
      <c r="CC90" s="1417"/>
      <c r="CD90" s="1417"/>
      <c r="CE90" s="1417"/>
      <c r="CF90" s="1417"/>
      <c r="CG90" s="661"/>
    </row>
    <row r="91" spans="1:85" s="662" customFormat="1" ht="29.1" customHeight="1">
      <c r="A91" s="1414">
        <f t="shared" si="3"/>
        <v>88</v>
      </c>
      <c r="B91" s="1414"/>
      <c r="C91" s="1414"/>
      <c r="D91" s="1414"/>
      <c r="E91" s="1414"/>
      <c r="F91" s="1415" t="e">
        <f>#REF!</f>
        <v>#REF!</v>
      </c>
      <c r="G91" s="1415"/>
      <c r="H91" s="1415"/>
      <c r="I91" s="1415"/>
      <c r="J91" s="1415"/>
      <c r="K91" s="1415"/>
      <c r="L91" s="1415"/>
      <c r="M91" s="1415"/>
      <c r="N91" s="1415"/>
      <c r="O91" s="1415"/>
      <c r="P91" s="1415"/>
      <c r="Q91" s="1415"/>
      <c r="R91" s="1415"/>
      <c r="S91" s="1415"/>
      <c r="T91" s="1415"/>
      <c r="U91" s="1415"/>
      <c r="V91" s="1415"/>
      <c r="W91" s="1415"/>
      <c r="X91" s="1415"/>
      <c r="Y91" s="1415"/>
      <c r="Z91" s="1415"/>
      <c r="AA91" s="1415"/>
      <c r="AB91" s="1415" t="e">
        <f>#REF!</f>
        <v>#REF!</v>
      </c>
      <c r="AC91" s="1415"/>
      <c r="AD91" s="1415"/>
      <c r="AE91" s="1415"/>
      <c r="AF91" s="1415"/>
      <c r="AG91" s="1415"/>
      <c r="AH91" s="1415"/>
      <c r="AI91" s="1415"/>
      <c r="AJ91" s="1415"/>
      <c r="AK91" s="1415"/>
      <c r="AL91" s="1415"/>
      <c r="AM91" s="1415"/>
      <c r="AN91" s="1415"/>
      <c r="AO91" s="1417" t="e">
        <f>#REF!</f>
        <v>#REF!</v>
      </c>
      <c r="AP91" s="1417"/>
      <c r="AQ91" s="1417"/>
      <c r="AR91" s="1417"/>
      <c r="AS91" s="1417"/>
      <c r="AT91" s="1417"/>
      <c r="AU91" s="1417"/>
      <c r="AV91" s="1417"/>
      <c r="AW91" s="1417"/>
      <c r="AX91" s="1417"/>
      <c r="AY91" s="1417"/>
      <c r="AZ91" s="1417" t="e">
        <f>#REF!</f>
        <v>#REF!</v>
      </c>
      <c r="BA91" s="1417"/>
      <c r="BB91" s="1417"/>
      <c r="BC91" s="1417"/>
      <c r="BD91" s="1417"/>
      <c r="BE91" s="1417"/>
      <c r="BF91" s="1417"/>
      <c r="BG91" s="1417"/>
      <c r="BH91" s="1417"/>
      <c r="BI91" s="1417"/>
      <c r="BJ91" s="1417"/>
      <c r="BK91" s="1417" t="e">
        <f>#REF!</f>
        <v>#REF!</v>
      </c>
      <c r="BL91" s="1417"/>
      <c r="BM91" s="1417"/>
      <c r="BN91" s="1417"/>
      <c r="BO91" s="1417"/>
      <c r="BP91" s="1417"/>
      <c r="BQ91" s="1417"/>
      <c r="BR91" s="1417"/>
      <c r="BS91" s="1417"/>
      <c r="BT91" s="1417"/>
      <c r="BU91" s="1417"/>
      <c r="BV91" s="1417" t="e">
        <f t="shared" si="2"/>
        <v>#REF!</v>
      </c>
      <c r="BW91" s="1417"/>
      <c r="BX91" s="1417"/>
      <c r="BY91" s="1417"/>
      <c r="BZ91" s="1417"/>
      <c r="CA91" s="1417"/>
      <c r="CB91" s="1417"/>
      <c r="CC91" s="1417"/>
      <c r="CD91" s="1417"/>
      <c r="CE91" s="1417"/>
      <c r="CF91" s="1417"/>
      <c r="CG91" s="661"/>
    </row>
    <row r="92" spans="1:85" s="662" customFormat="1" ht="29.1" customHeight="1">
      <c r="A92" s="1414">
        <f t="shared" si="3"/>
        <v>89</v>
      </c>
      <c r="B92" s="1414"/>
      <c r="C92" s="1414"/>
      <c r="D92" s="1414"/>
      <c r="E92" s="1414"/>
      <c r="F92" s="1415" t="e">
        <f>#REF!</f>
        <v>#REF!</v>
      </c>
      <c r="G92" s="1415"/>
      <c r="H92" s="1415"/>
      <c r="I92" s="1415"/>
      <c r="J92" s="1415"/>
      <c r="K92" s="1415"/>
      <c r="L92" s="1415"/>
      <c r="M92" s="1415"/>
      <c r="N92" s="1415"/>
      <c r="O92" s="1415"/>
      <c r="P92" s="1415"/>
      <c r="Q92" s="1415"/>
      <c r="R92" s="1415"/>
      <c r="S92" s="1415"/>
      <c r="T92" s="1415"/>
      <c r="U92" s="1415"/>
      <c r="V92" s="1415"/>
      <c r="W92" s="1415"/>
      <c r="X92" s="1415"/>
      <c r="Y92" s="1415"/>
      <c r="Z92" s="1415"/>
      <c r="AA92" s="1415"/>
      <c r="AB92" s="1415" t="e">
        <f>#REF!</f>
        <v>#REF!</v>
      </c>
      <c r="AC92" s="1415"/>
      <c r="AD92" s="1415"/>
      <c r="AE92" s="1415"/>
      <c r="AF92" s="1415"/>
      <c r="AG92" s="1415"/>
      <c r="AH92" s="1415"/>
      <c r="AI92" s="1415"/>
      <c r="AJ92" s="1415"/>
      <c r="AK92" s="1415"/>
      <c r="AL92" s="1415"/>
      <c r="AM92" s="1415"/>
      <c r="AN92" s="1415"/>
      <c r="AO92" s="1417" t="e">
        <f>#REF!</f>
        <v>#REF!</v>
      </c>
      <c r="AP92" s="1417"/>
      <c r="AQ92" s="1417"/>
      <c r="AR92" s="1417"/>
      <c r="AS92" s="1417"/>
      <c r="AT92" s="1417"/>
      <c r="AU92" s="1417"/>
      <c r="AV92" s="1417"/>
      <c r="AW92" s="1417"/>
      <c r="AX92" s="1417"/>
      <c r="AY92" s="1417"/>
      <c r="AZ92" s="1417" t="e">
        <f>#REF!</f>
        <v>#REF!</v>
      </c>
      <c r="BA92" s="1417"/>
      <c r="BB92" s="1417"/>
      <c r="BC92" s="1417"/>
      <c r="BD92" s="1417"/>
      <c r="BE92" s="1417"/>
      <c r="BF92" s="1417"/>
      <c r="BG92" s="1417"/>
      <c r="BH92" s="1417"/>
      <c r="BI92" s="1417"/>
      <c r="BJ92" s="1417"/>
      <c r="BK92" s="1417" t="e">
        <f>#REF!</f>
        <v>#REF!</v>
      </c>
      <c r="BL92" s="1417"/>
      <c r="BM92" s="1417"/>
      <c r="BN92" s="1417"/>
      <c r="BO92" s="1417"/>
      <c r="BP92" s="1417"/>
      <c r="BQ92" s="1417"/>
      <c r="BR92" s="1417"/>
      <c r="BS92" s="1417"/>
      <c r="BT92" s="1417"/>
      <c r="BU92" s="1417"/>
      <c r="BV92" s="1417" t="e">
        <f>AO92+AZ92+BK92</f>
        <v>#REF!</v>
      </c>
      <c r="BW92" s="1417"/>
      <c r="BX92" s="1417"/>
      <c r="BY92" s="1417"/>
      <c r="BZ92" s="1417"/>
      <c r="CA92" s="1417"/>
      <c r="CB92" s="1417"/>
      <c r="CC92" s="1417"/>
      <c r="CD92" s="1417"/>
      <c r="CE92" s="1417"/>
      <c r="CF92" s="1417"/>
      <c r="CG92" s="661"/>
    </row>
    <row r="93" spans="1:85" s="662" customFormat="1" ht="29.1" customHeight="1">
      <c r="A93" s="1414">
        <f t="shared" si="3"/>
        <v>90</v>
      </c>
      <c r="B93" s="1414"/>
      <c r="C93" s="1414"/>
      <c r="D93" s="1414"/>
      <c r="E93" s="1414"/>
      <c r="F93" s="1415" t="e">
        <f>#REF!</f>
        <v>#REF!</v>
      </c>
      <c r="G93" s="1415"/>
      <c r="H93" s="1415"/>
      <c r="I93" s="1415"/>
      <c r="J93" s="1415"/>
      <c r="K93" s="1415"/>
      <c r="L93" s="1415"/>
      <c r="M93" s="1415"/>
      <c r="N93" s="1415"/>
      <c r="O93" s="1415"/>
      <c r="P93" s="1415"/>
      <c r="Q93" s="1415"/>
      <c r="R93" s="1415"/>
      <c r="S93" s="1415"/>
      <c r="T93" s="1415"/>
      <c r="U93" s="1415"/>
      <c r="V93" s="1415"/>
      <c r="W93" s="1415"/>
      <c r="X93" s="1415"/>
      <c r="Y93" s="1415"/>
      <c r="Z93" s="1415"/>
      <c r="AA93" s="1415"/>
      <c r="AB93" s="1415" t="e">
        <f>#REF!</f>
        <v>#REF!</v>
      </c>
      <c r="AC93" s="1415"/>
      <c r="AD93" s="1415"/>
      <c r="AE93" s="1415"/>
      <c r="AF93" s="1415"/>
      <c r="AG93" s="1415"/>
      <c r="AH93" s="1415"/>
      <c r="AI93" s="1415"/>
      <c r="AJ93" s="1415"/>
      <c r="AK93" s="1415"/>
      <c r="AL93" s="1415"/>
      <c r="AM93" s="1415"/>
      <c r="AN93" s="1415"/>
      <c r="AO93" s="1417" t="e">
        <f>#REF!</f>
        <v>#REF!</v>
      </c>
      <c r="AP93" s="1417"/>
      <c r="AQ93" s="1417"/>
      <c r="AR93" s="1417"/>
      <c r="AS93" s="1417"/>
      <c r="AT93" s="1417"/>
      <c r="AU93" s="1417"/>
      <c r="AV93" s="1417"/>
      <c r="AW93" s="1417"/>
      <c r="AX93" s="1417"/>
      <c r="AY93" s="1417"/>
      <c r="AZ93" s="1417" t="e">
        <f>#REF!</f>
        <v>#REF!</v>
      </c>
      <c r="BA93" s="1417"/>
      <c r="BB93" s="1417"/>
      <c r="BC93" s="1417"/>
      <c r="BD93" s="1417"/>
      <c r="BE93" s="1417"/>
      <c r="BF93" s="1417"/>
      <c r="BG93" s="1417"/>
      <c r="BH93" s="1417"/>
      <c r="BI93" s="1417"/>
      <c r="BJ93" s="1417"/>
      <c r="BK93" s="1417" t="e">
        <f>#REF!</f>
        <v>#REF!</v>
      </c>
      <c r="BL93" s="1417"/>
      <c r="BM93" s="1417"/>
      <c r="BN93" s="1417"/>
      <c r="BO93" s="1417"/>
      <c r="BP93" s="1417"/>
      <c r="BQ93" s="1417"/>
      <c r="BR93" s="1417"/>
      <c r="BS93" s="1417"/>
      <c r="BT93" s="1417"/>
      <c r="BU93" s="1417"/>
      <c r="BV93" s="1417" t="e">
        <f t="shared" si="2"/>
        <v>#REF!</v>
      </c>
      <c r="BW93" s="1417"/>
      <c r="BX93" s="1417"/>
      <c r="BY93" s="1417"/>
      <c r="BZ93" s="1417"/>
      <c r="CA93" s="1417"/>
      <c r="CB93" s="1417"/>
      <c r="CC93" s="1417"/>
      <c r="CD93" s="1417"/>
      <c r="CE93" s="1417"/>
      <c r="CF93" s="1417"/>
      <c r="CG93" s="661"/>
    </row>
    <row r="94" spans="1:85" s="662" customFormat="1" ht="29.1" customHeight="1">
      <c r="A94" s="1414">
        <f t="shared" si="3"/>
        <v>91</v>
      </c>
      <c r="B94" s="1414"/>
      <c r="C94" s="1414"/>
      <c r="D94" s="1414"/>
      <c r="E94" s="1414"/>
      <c r="F94" s="1415" t="e">
        <f>#REF!</f>
        <v>#REF!</v>
      </c>
      <c r="G94" s="1415"/>
      <c r="H94" s="1415"/>
      <c r="I94" s="1415"/>
      <c r="J94" s="1415"/>
      <c r="K94" s="1415"/>
      <c r="L94" s="1415"/>
      <c r="M94" s="1415"/>
      <c r="N94" s="1415"/>
      <c r="O94" s="1415"/>
      <c r="P94" s="1415"/>
      <c r="Q94" s="1415"/>
      <c r="R94" s="1415"/>
      <c r="S94" s="1415"/>
      <c r="T94" s="1415"/>
      <c r="U94" s="1415"/>
      <c r="V94" s="1415"/>
      <c r="W94" s="1415"/>
      <c r="X94" s="1415"/>
      <c r="Y94" s="1415"/>
      <c r="Z94" s="1415"/>
      <c r="AA94" s="1415"/>
      <c r="AB94" s="1415" t="e">
        <f>#REF!</f>
        <v>#REF!</v>
      </c>
      <c r="AC94" s="1415"/>
      <c r="AD94" s="1415"/>
      <c r="AE94" s="1415"/>
      <c r="AF94" s="1415"/>
      <c r="AG94" s="1415"/>
      <c r="AH94" s="1415"/>
      <c r="AI94" s="1415"/>
      <c r="AJ94" s="1415"/>
      <c r="AK94" s="1415"/>
      <c r="AL94" s="1415"/>
      <c r="AM94" s="1415"/>
      <c r="AN94" s="1415"/>
      <c r="AO94" s="1417" t="e">
        <f>#REF!</f>
        <v>#REF!</v>
      </c>
      <c r="AP94" s="1417"/>
      <c r="AQ94" s="1417"/>
      <c r="AR94" s="1417"/>
      <c r="AS94" s="1417"/>
      <c r="AT94" s="1417"/>
      <c r="AU94" s="1417"/>
      <c r="AV94" s="1417"/>
      <c r="AW94" s="1417"/>
      <c r="AX94" s="1417"/>
      <c r="AY94" s="1417"/>
      <c r="AZ94" s="1417" t="e">
        <f>#REF!</f>
        <v>#REF!</v>
      </c>
      <c r="BA94" s="1417"/>
      <c r="BB94" s="1417"/>
      <c r="BC94" s="1417"/>
      <c r="BD94" s="1417"/>
      <c r="BE94" s="1417"/>
      <c r="BF94" s="1417"/>
      <c r="BG94" s="1417"/>
      <c r="BH94" s="1417"/>
      <c r="BI94" s="1417"/>
      <c r="BJ94" s="1417"/>
      <c r="BK94" s="1417" t="e">
        <f>#REF!</f>
        <v>#REF!</v>
      </c>
      <c r="BL94" s="1417"/>
      <c r="BM94" s="1417"/>
      <c r="BN94" s="1417"/>
      <c r="BO94" s="1417"/>
      <c r="BP94" s="1417"/>
      <c r="BQ94" s="1417"/>
      <c r="BR94" s="1417"/>
      <c r="BS94" s="1417"/>
      <c r="BT94" s="1417"/>
      <c r="BU94" s="1417"/>
      <c r="BV94" s="1417" t="e">
        <f>AO94+AZ94+BK94</f>
        <v>#REF!</v>
      </c>
      <c r="BW94" s="1417"/>
      <c r="BX94" s="1417"/>
      <c r="BY94" s="1417"/>
      <c r="BZ94" s="1417"/>
      <c r="CA94" s="1417"/>
      <c r="CB94" s="1417"/>
      <c r="CC94" s="1417"/>
      <c r="CD94" s="1417"/>
      <c r="CE94" s="1417"/>
      <c r="CF94" s="1417"/>
      <c r="CG94" s="661"/>
    </row>
    <row r="95" spans="1:85" s="660" customFormat="1" ht="29.1" customHeight="1">
      <c r="A95" s="1414">
        <f t="shared" si="3"/>
        <v>92</v>
      </c>
      <c r="B95" s="1414"/>
      <c r="C95" s="1414"/>
      <c r="D95" s="1414"/>
      <c r="E95" s="1414"/>
      <c r="F95" s="1415" t="e">
        <f>#REF!</f>
        <v>#REF!</v>
      </c>
      <c r="G95" s="1415"/>
      <c r="H95" s="1415"/>
      <c r="I95" s="1415"/>
      <c r="J95" s="1415"/>
      <c r="K95" s="1415"/>
      <c r="L95" s="1415"/>
      <c r="M95" s="1415"/>
      <c r="N95" s="1415"/>
      <c r="O95" s="1415"/>
      <c r="P95" s="1415"/>
      <c r="Q95" s="1415"/>
      <c r="R95" s="1415"/>
      <c r="S95" s="1415"/>
      <c r="T95" s="1415"/>
      <c r="U95" s="1415"/>
      <c r="V95" s="1415"/>
      <c r="W95" s="1415"/>
      <c r="X95" s="1415"/>
      <c r="Y95" s="1415"/>
      <c r="Z95" s="1415"/>
      <c r="AA95" s="1415"/>
      <c r="AB95" s="1415" t="e">
        <f>#REF!</f>
        <v>#REF!</v>
      </c>
      <c r="AC95" s="1415"/>
      <c r="AD95" s="1415"/>
      <c r="AE95" s="1415"/>
      <c r="AF95" s="1415"/>
      <c r="AG95" s="1415"/>
      <c r="AH95" s="1415"/>
      <c r="AI95" s="1415"/>
      <c r="AJ95" s="1415"/>
      <c r="AK95" s="1415"/>
      <c r="AL95" s="1415"/>
      <c r="AM95" s="1415"/>
      <c r="AN95" s="1415"/>
      <c r="AO95" s="1417" t="e">
        <f>#REF!</f>
        <v>#REF!</v>
      </c>
      <c r="AP95" s="1417"/>
      <c r="AQ95" s="1417"/>
      <c r="AR95" s="1417"/>
      <c r="AS95" s="1417"/>
      <c r="AT95" s="1417"/>
      <c r="AU95" s="1417"/>
      <c r="AV95" s="1417"/>
      <c r="AW95" s="1417"/>
      <c r="AX95" s="1417"/>
      <c r="AY95" s="1417"/>
      <c r="AZ95" s="1417" t="e">
        <f>#REF!</f>
        <v>#REF!</v>
      </c>
      <c r="BA95" s="1417"/>
      <c r="BB95" s="1417"/>
      <c r="BC95" s="1417"/>
      <c r="BD95" s="1417"/>
      <c r="BE95" s="1417"/>
      <c r="BF95" s="1417"/>
      <c r="BG95" s="1417"/>
      <c r="BH95" s="1417"/>
      <c r="BI95" s="1417"/>
      <c r="BJ95" s="1417"/>
      <c r="BK95" s="1417" t="e">
        <f>#REF!</f>
        <v>#REF!</v>
      </c>
      <c r="BL95" s="1417"/>
      <c r="BM95" s="1417"/>
      <c r="BN95" s="1417"/>
      <c r="BO95" s="1417"/>
      <c r="BP95" s="1417"/>
      <c r="BQ95" s="1417"/>
      <c r="BR95" s="1417"/>
      <c r="BS95" s="1417"/>
      <c r="BT95" s="1417"/>
      <c r="BU95" s="1417"/>
      <c r="BV95" s="1417" t="e">
        <f t="shared" si="2"/>
        <v>#REF!</v>
      </c>
      <c r="BW95" s="1417"/>
      <c r="BX95" s="1417"/>
      <c r="BY95" s="1417"/>
      <c r="BZ95" s="1417"/>
      <c r="CA95" s="1417"/>
      <c r="CB95" s="1417"/>
      <c r="CC95" s="1417"/>
      <c r="CD95" s="1417"/>
      <c r="CE95" s="1417"/>
      <c r="CF95" s="1417"/>
      <c r="CG95" s="661"/>
    </row>
    <row r="96" spans="1:85" s="660" customFormat="1" ht="29.1" customHeight="1">
      <c r="A96" s="1414">
        <f t="shared" si="3"/>
        <v>93</v>
      </c>
      <c r="B96" s="1414"/>
      <c r="C96" s="1414"/>
      <c r="D96" s="1414"/>
      <c r="E96" s="1414"/>
      <c r="F96" s="1415" t="e">
        <f>#REF!</f>
        <v>#REF!</v>
      </c>
      <c r="G96" s="1415"/>
      <c r="H96" s="1415"/>
      <c r="I96" s="1415"/>
      <c r="J96" s="1415"/>
      <c r="K96" s="1415"/>
      <c r="L96" s="1415"/>
      <c r="M96" s="1415"/>
      <c r="N96" s="1415"/>
      <c r="O96" s="1415"/>
      <c r="P96" s="1415"/>
      <c r="Q96" s="1415"/>
      <c r="R96" s="1415"/>
      <c r="S96" s="1415"/>
      <c r="T96" s="1415"/>
      <c r="U96" s="1415"/>
      <c r="V96" s="1415"/>
      <c r="W96" s="1415"/>
      <c r="X96" s="1415"/>
      <c r="Y96" s="1415"/>
      <c r="Z96" s="1415"/>
      <c r="AA96" s="1415"/>
      <c r="AB96" s="1415" t="e">
        <f>#REF!</f>
        <v>#REF!</v>
      </c>
      <c r="AC96" s="1415"/>
      <c r="AD96" s="1415"/>
      <c r="AE96" s="1415"/>
      <c r="AF96" s="1415"/>
      <c r="AG96" s="1415"/>
      <c r="AH96" s="1415"/>
      <c r="AI96" s="1415"/>
      <c r="AJ96" s="1415"/>
      <c r="AK96" s="1415"/>
      <c r="AL96" s="1415"/>
      <c r="AM96" s="1415"/>
      <c r="AN96" s="1415"/>
      <c r="AO96" s="1417" t="e">
        <f>#REF!</f>
        <v>#REF!</v>
      </c>
      <c r="AP96" s="1417"/>
      <c r="AQ96" s="1417"/>
      <c r="AR96" s="1417"/>
      <c r="AS96" s="1417"/>
      <c r="AT96" s="1417"/>
      <c r="AU96" s="1417"/>
      <c r="AV96" s="1417"/>
      <c r="AW96" s="1417"/>
      <c r="AX96" s="1417"/>
      <c r="AY96" s="1417"/>
      <c r="AZ96" s="1417" t="e">
        <f>#REF!</f>
        <v>#REF!</v>
      </c>
      <c r="BA96" s="1417"/>
      <c r="BB96" s="1417"/>
      <c r="BC96" s="1417"/>
      <c r="BD96" s="1417"/>
      <c r="BE96" s="1417"/>
      <c r="BF96" s="1417"/>
      <c r="BG96" s="1417"/>
      <c r="BH96" s="1417"/>
      <c r="BI96" s="1417"/>
      <c r="BJ96" s="1417"/>
      <c r="BK96" s="1417" t="e">
        <f>#REF!</f>
        <v>#REF!</v>
      </c>
      <c r="BL96" s="1417"/>
      <c r="BM96" s="1417"/>
      <c r="BN96" s="1417"/>
      <c r="BO96" s="1417"/>
      <c r="BP96" s="1417"/>
      <c r="BQ96" s="1417"/>
      <c r="BR96" s="1417"/>
      <c r="BS96" s="1417"/>
      <c r="BT96" s="1417"/>
      <c r="BU96" s="1417"/>
      <c r="BV96" s="1417" t="e">
        <f>AO96+AZ96+BK96</f>
        <v>#REF!</v>
      </c>
      <c r="BW96" s="1417"/>
      <c r="BX96" s="1417"/>
      <c r="BY96" s="1417"/>
      <c r="BZ96" s="1417"/>
      <c r="CA96" s="1417"/>
      <c r="CB96" s="1417"/>
      <c r="CC96" s="1417"/>
      <c r="CD96" s="1417"/>
      <c r="CE96" s="1417"/>
      <c r="CF96" s="1417"/>
      <c r="CG96" s="661"/>
    </row>
    <row r="97" spans="1:85" s="660" customFormat="1" ht="29.1" customHeight="1">
      <c r="A97" s="1414">
        <f t="shared" si="3"/>
        <v>94</v>
      </c>
      <c r="B97" s="1414"/>
      <c r="C97" s="1414"/>
      <c r="D97" s="1414"/>
      <c r="E97" s="1414"/>
      <c r="F97" s="1415" t="e">
        <f>#REF!</f>
        <v>#REF!</v>
      </c>
      <c r="G97" s="1415"/>
      <c r="H97" s="1415"/>
      <c r="I97" s="1415"/>
      <c r="J97" s="1415"/>
      <c r="K97" s="1415"/>
      <c r="L97" s="1415"/>
      <c r="M97" s="1415"/>
      <c r="N97" s="1415"/>
      <c r="O97" s="1415"/>
      <c r="P97" s="1415"/>
      <c r="Q97" s="1415"/>
      <c r="R97" s="1415"/>
      <c r="S97" s="1415"/>
      <c r="T97" s="1415"/>
      <c r="U97" s="1415"/>
      <c r="V97" s="1415"/>
      <c r="W97" s="1415"/>
      <c r="X97" s="1415"/>
      <c r="Y97" s="1415"/>
      <c r="Z97" s="1415"/>
      <c r="AA97" s="1415"/>
      <c r="AB97" s="1415" t="e">
        <f>#REF!</f>
        <v>#REF!</v>
      </c>
      <c r="AC97" s="1415"/>
      <c r="AD97" s="1415"/>
      <c r="AE97" s="1415"/>
      <c r="AF97" s="1415"/>
      <c r="AG97" s="1415"/>
      <c r="AH97" s="1415"/>
      <c r="AI97" s="1415"/>
      <c r="AJ97" s="1415"/>
      <c r="AK97" s="1415"/>
      <c r="AL97" s="1415"/>
      <c r="AM97" s="1415"/>
      <c r="AN97" s="1415"/>
      <c r="AO97" s="1417" t="e">
        <f>#REF!</f>
        <v>#REF!</v>
      </c>
      <c r="AP97" s="1417"/>
      <c r="AQ97" s="1417"/>
      <c r="AR97" s="1417"/>
      <c r="AS97" s="1417"/>
      <c r="AT97" s="1417"/>
      <c r="AU97" s="1417"/>
      <c r="AV97" s="1417"/>
      <c r="AW97" s="1417"/>
      <c r="AX97" s="1417"/>
      <c r="AY97" s="1417"/>
      <c r="AZ97" s="1417" t="e">
        <f>#REF!</f>
        <v>#REF!</v>
      </c>
      <c r="BA97" s="1417"/>
      <c r="BB97" s="1417"/>
      <c r="BC97" s="1417"/>
      <c r="BD97" s="1417"/>
      <c r="BE97" s="1417"/>
      <c r="BF97" s="1417"/>
      <c r="BG97" s="1417"/>
      <c r="BH97" s="1417"/>
      <c r="BI97" s="1417"/>
      <c r="BJ97" s="1417"/>
      <c r="BK97" s="1417" t="e">
        <f>#REF!</f>
        <v>#REF!</v>
      </c>
      <c r="BL97" s="1417"/>
      <c r="BM97" s="1417"/>
      <c r="BN97" s="1417"/>
      <c r="BO97" s="1417"/>
      <c r="BP97" s="1417"/>
      <c r="BQ97" s="1417"/>
      <c r="BR97" s="1417"/>
      <c r="BS97" s="1417"/>
      <c r="BT97" s="1417"/>
      <c r="BU97" s="1417"/>
      <c r="BV97" s="1417" t="e">
        <f>AO97+AZ97+BK97</f>
        <v>#REF!</v>
      </c>
      <c r="BW97" s="1417"/>
      <c r="BX97" s="1417"/>
      <c r="BY97" s="1417"/>
      <c r="BZ97" s="1417"/>
      <c r="CA97" s="1417"/>
      <c r="CB97" s="1417"/>
      <c r="CC97" s="1417"/>
      <c r="CD97" s="1417"/>
      <c r="CE97" s="1417"/>
      <c r="CF97" s="1417"/>
      <c r="CG97" s="661"/>
    </row>
    <row r="98" spans="1:85" s="660" customFormat="1" ht="29.1" customHeight="1">
      <c r="A98" s="1414">
        <f t="shared" si="3"/>
        <v>95</v>
      </c>
      <c r="B98" s="1414"/>
      <c r="C98" s="1414"/>
      <c r="D98" s="1414"/>
      <c r="E98" s="1414"/>
      <c r="F98" s="1415" t="e">
        <f>#REF!</f>
        <v>#REF!</v>
      </c>
      <c r="G98" s="1415"/>
      <c r="H98" s="1415"/>
      <c r="I98" s="1415"/>
      <c r="J98" s="1415"/>
      <c r="K98" s="1415"/>
      <c r="L98" s="1415"/>
      <c r="M98" s="1415"/>
      <c r="N98" s="1415"/>
      <c r="O98" s="1415"/>
      <c r="P98" s="1415"/>
      <c r="Q98" s="1415"/>
      <c r="R98" s="1415"/>
      <c r="S98" s="1415"/>
      <c r="T98" s="1415"/>
      <c r="U98" s="1415"/>
      <c r="V98" s="1415"/>
      <c r="W98" s="1415"/>
      <c r="X98" s="1415"/>
      <c r="Y98" s="1415"/>
      <c r="Z98" s="1415"/>
      <c r="AA98" s="1415"/>
      <c r="AB98" s="1415" t="e">
        <f>#REF!</f>
        <v>#REF!</v>
      </c>
      <c r="AC98" s="1415"/>
      <c r="AD98" s="1415"/>
      <c r="AE98" s="1415"/>
      <c r="AF98" s="1415"/>
      <c r="AG98" s="1415"/>
      <c r="AH98" s="1415"/>
      <c r="AI98" s="1415"/>
      <c r="AJ98" s="1415"/>
      <c r="AK98" s="1415"/>
      <c r="AL98" s="1415"/>
      <c r="AM98" s="1415"/>
      <c r="AN98" s="1415"/>
      <c r="AO98" s="1417" t="e">
        <f>#REF!</f>
        <v>#REF!</v>
      </c>
      <c r="AP98" s="1417"/>
      <c r="AQ98" s="1417"/>
      <c r="AR98" s="1417"/>
      <c r="AS98" s="1417"/>
      <c r="AT98" s="1417"/>
      <c r="AU98" s="1417"/>
      <c r="AV98" s="1417"/>
      <c r="AW98" s="1417"/>
      <c r="AX98" s="1417"/>
      <c r="AY98" s="1417"/>
      <c r="AZ98" s="1417" t="e">
        <f>#REF!</f>
        <v>#REF!</v>
      </c>
      <c r="BA98" s="1417"/>
      <c r="BB98" s="1417"/>
      <c r="BC98" s="1417"/>
      <c r="BD98" s="1417"/>
      <c r="BE98" s="1417"/>
      <c r="BF98" s="1417"/>
      <c r="BG98" s="1417"/>
      <c r="BH98" s="1417"/>
      <c r="BI98" s="1417"/>
      <c r="BJ98" s="1417"/>
      <c r="BK98" s="1417" t="e">
        <f>#REF!</f>
        <v>#REF!</v>
      </c>
      <c r="BL98" s="1417"/>
      <c r="BM98" s="1417"/>
      <c r="BN98" s="1417"/>
      <c r="BO98" s="1417"/>
      <c r="BP98" s="1417"/>
      <c r="BQ98" s="1417"/>
      <c r="BR98" s="1417"/>
      <c r="BS98" s="1417"/>
      <c r="BT98" s="1417"/>
      <c r="BU98" s="1417"/>
      <c r="BV98" s="1417" t="e">
        <f t="shared" si="2"/>
        <v>#REF!</v>
      </c>
      <c r="BW98" s="1417"/>
      <c r="BX98" s="1417"/>
      <c r="BY98" s="1417"/>
      <c r="BZ98" s="1417"/>
      <c r="CA98" s="1417"/>
      <c r="CB98" s="1417"/>
      <c r="CC98" s="1417"/>
      <c r="CD98" s="1417"/>
      <c r="CE98" s="1417"/>
      <c r="CF98" s="1417"/>
      <c r="CG98" s="661"/>
    </row>
    <row r="99" spans="1:85" s="660" customFormat="1" ht="29.1" customHeight="1">
      <c r="A99" s="1414">
        <f t="shared" si="3"/>
        <v>96</v>
      </c>
      <c r="B99" s="1414"/>
      <c r="C99" s="1414"/>
      <c r="D99" s="1414"/>
      <c r="E99" s="1414"/>
      <c r="F99" s="1415" t="e">
        <f>#REF!</f>
        <v>#REF!</v>
      </c>
      <c r="G99" s="1415"/>
      <c r="H99" s="1415"/>
      <c r="I99" s="1415"/>
      <c r="J99" s="1415"/>
      <c r="K99" s="1415"/>
      <c r="L99" s="1415"/>
      <c r="M99" s="1415"/>
      <c r="N99" s="1415"/>
      <c r="O99" s="1415"/>
      <c r="P99" s="1415"/>
      <c r="Q99" s="1415"/>
      <c r="R99" s="1415"/>
      <c r="S99" s="1415"/>
      <c r="T99" s="1415"/>
      <c r="U99" s="1415"/>
      <c r="V99" s="1415"/>
      <c r="W99" s="1415"/>
      <c r="X99" s="1415"/>
      <c r="Y99" s="1415"/>
      <c r="Z99" s="1415"/>
      <c r="AA99" s="1415"/>
      <c r="AB99" s="1416" t="e">
        <f>#REF!</f>
        <v>#REF!</v>
      </c>
      <c r="AC99" s="1416"/>
      <c r="AD99" s="1416"/>
      <c r="AE99" s="1416"/>
      <c r="AF99" s="1416"/>
      <c r="AG99" s="1416"/>
      <c r="AH99" s="1416"/>
      <c r="AI99" s="1416"/>
      <c r="AJ99" s="1416"/>
      <c r="AK99" s="1416"/>
      <c r="AL99" s="1416"/>
      <c r="AM99" s="1416"/>
      <c r="AN99" s="1416"/>
      <c r="AO99" s="1417">
        <v>0</v>
      </c>
      <c r="AP99" s="1417"/>
      <c r="AQ99" s="1417"/>
      <c r="AR99" s="1417"/>
      <c r="AS99" s="1417"/>
      <c r="AT99" s="1417"/>
      <c r="AU99" s="1417"/>
      <c r="AV99" s="1417"/>
      <c r="AW99" s="1417"/>
      <c r="AX99" s="1417"/>
      <c r="AY99" s="1417"/>
      <c r="AZ99" s="1417">
        <v>0</v>
      </c>
      <c r="BA99" s="1417"/>
      <c r="BB99" s="1417"/>
      <c r="BC99" s="1417"/>
      <c r="BD99" s="1417"/>
      <c r="BE99" s="1417"/>
      <c r="BF99" s="1417"/>
      <c r="BG99" s="1417"/>
      <c r="BH99" s="1417"/>
      <c r="BI99" s="1417"/>
      <c r="BJ99" s="1417"/>
      <c r="BK99" s="1417" t="e">
        <f>#REF!</f>
        <v>#REF!</v>
      </c>
      <c r="BL99" s="1417"/>
      <c r="BM99" s="1417"/>
      <c r="BN99" s="1417"/>
      <c r="BO99" s="1417"/>
      <c r="BP99" s="1417"/>
      <c r="BQ99" s="1417"/>
      <c r="BR99" s="1417"/>
      <c r="BS99" s="1417"/>
      <c r="BT99" s="1417"/>
      <c r="BU99" s="1417"/>
      <c r="BV99" s="1417" t="e">
        <f t="shared" si="2"/>
        <v>#REF!</v>
      </c>
      <c r="BW99" s="1417"/>
      <c r="BX99" s="1417"/>
      <c r="BY99" s="1417"/>
      <c r="BZ99" s="1417"/>
      <c r="CA99" s="1417"/>
      <c r="CB99" s="1417"/>
      <c r="CC99" s="1417"/>
      <c r="CD99" s="1417"/>
      <c r="CE99" s="1417"/>
      <c r="CF99" s="1417"/>
      <c r="CG99" s="661"/>
    </row>
    <row r="100" spans="1:85" s="660" customFormat="1" ht="29.1" customHeight="1">
      <c r="A100" s="1414">
        <f t="shared" si="3"/>
        <v>97</v>
      </c>
      <c r="B100" s="1414"/>
      <c r="C100" s="1414"/>
      <c r="D100" s="1414"/>
      <c r="E100" s="1414"/>
      <c r="F100" s="1415" t="e">
        <f>#REF!</f>
        <v>#REF!</v>
      </c>
      <c r="G100" s="1415"/>
      <c r="H100" s="1415"/>
      <c r="I100" s="1415"/>
      <c r="J100" s="1415"/>
      <c r="K100" s="1415"/>
      <c r="L100" s="1415"/>
      <c r="M100" s="1415"/>
      <c r="N100" s="1415"/>
      <c r="O100" s="1415"/>
      <c r="P100" s="1415"/>
      <c r="Q100" s="1415"/>
      <c r="R100" s="1415"/>
      <c r="S100" s="1415"/>
      <c r="T100" s="1415"/>
      <c r="U100" s="1415"/>
      <c r="V100" s="1415"/>
      <c r="W100" s="1415"/>
      <c r="X100" s="1415"/>
      <c r="Y100" s="1415"/>
      <c r="Z100" s="1415"/>
      <c r="AA100" s="1415"/>
      <c r="AB100" s="1416" t="e">
        <f>#REF!</f>
        <v>#REF!</v>
      </c>
      <c r="AC100" s="1416"/>
      <c r="AD100" s="1416"/>
      <c r="AE100" s="1416"/>
      <c r="AF100" s="1416"/>
      <c r="AG100" s="1416"/>
      <c r="AH100" s="1416"/>
      <c r="AI100" s="1416"/>
      <c r="AJ100" s="1416"/>
      <c r="AK100" s="1416"/>
      <c r="AL100" s="1416"/>
      <c r="AM100" s="1416"/>
      <c r="AN100" s="1416"/>
      <c r="AO100" s="1417">
        <v>0</v>
      </c>
      <c r="AP100" s="1417"/>
      <c r="AQ100" s="1417"/>
      <c r="AR100" s="1417"/>
      <c r="AS100" s="1417"/>
      <c r="AT100" s="1417"/>
      <c r="AU100" s="1417"/>
      <c r="AV100" s="1417"/>
      <c r="AW100" s="1417"/>
      <c r="AX100" s="1417"/>
      <c r="AY100" s="1417"/>
      <c r="AZ100" s="1417">
        <v>0</v>
      </c>
      <c r="BA100" s="1417"/>
      <c r="BB100" s="1417"/>
      <c r="BC100" s="1417"/>
      <c r="BD100" s="1417"/>
      <c r="BE100" s="1417"/>
      <c r="BF100" s="1417"/>
      <c r="BG100" s="1417"/>
      <c r="BH100" s="1417"/>
      <c r="BI100" s="1417"/>
      <c r="BJ100" s="1417"/>
      <c r="BK100" s="1417" t="e">
        <f>#REF!</f>
        <v>#REF!</v>
      </c>
      <c r="BL100" s="1417"/>
      <c r="BM100" s="1417"/>
      <c r="BN100" s="1417"/>
      <c r="BO100" s="1417"/>
      <c r="BP100" s="1417"/>
      <c r="BQ100" s="1417"/>
      <c r="BR100" s="1417"/>
      <c r="BS100" s="1417"/>
      <c r="BT100" s="1417"/>
      <c r="BU100" s="1417"/>
      <c r="BV100" s="1417" t="e">
        <f t="shared" si="2"/>
        <v>#REF!</v>
      </c>
      <c r="BW100" s="1417"/>
      <c r="BX100" s="1417"/>
      <c r="BY100" s="1417"/>
      <c r="BZ100" s="1417"/>
      <c r="CA100" s="1417"/>
      <c r="CB100" s="1417"/>
      <c r="CC100" s="1417"/>
      <c r="CD100" s="1417"/>
      <c r="CE100" s="1417"/>
      <c r="CF100" s="1417"/>
      <c r="CG100" s="661"/>
    </row>
    <row r="101" spans="1:85" s="660" customFormat="1" ht="29.1" customHeight="1">
      <c r="A101" s="1414">
        <f t="shared" si="3"/>
        <v>98</v>
      </c>
      <c r="B101" s="1414"/>
      <c r="C101" s="1414"/>
      <c r="D101" s="1414"/>
      <c r="E101" s="1414"/>
      <c r="F101" s="1415" t="e">
        <f>#REF!</f>
        <v>#REF!</v>
      </c>
      <c r="G101" s="1415"/>
      <c r="H101" s="1415"/>
      <c r="I101" s="1415"/>
      <c r="J101" s="1415"/>
      <c r="K101" s="1415"/>
      <c r="L101" s="1415"/>
      <c r="M101" s="1415"/>
      <c r="N101" s="1415"/>
      <c r="O101" s="1415"/>
      <c r="P101" s="1415"/>
      <c r="Q101" s="1415"/>
      <c r="R101" s="1415"/>
      <c r="S101" s="1415"/>
      <c r="T101" s="1415"/>
      <c r="U101" s="1415"/>
      <c r="V101" s="1415"/>
      <c r="W101" s="1415"/>
      <c r="X101" s="1415"/>
      <c r="Y101" s="1415"/>
      <c r="Z101" s="1415"/>
      <c r="AA101" s="1415"/>
      <c r="AB101" s="1416" t="e">
        <f>#REF!</f>
        <v>#REF!</v>
      </c>
      <c r="AC101" s="1416"/>
      <c r="AD101" s="1416"/>
      <c r="AE101" s="1416"/>
      <c r="AF101" s="1416"/>
      <c r="AG101" s="1416"/>
      <c r="AH101" s="1416"/>
      <c r="AI101" s="1416"/>
      <c r="AJ101" s="1416"/>
      <c r="AK101" s="1416"/>
      <c r="AL101" s="1416"/>
      <c r="AM101" s="1416"/>
      <c r="AN101" s="1416"/>
      <c r="AO101" s="1417">
        <v>0</v>
      </c>
      <c r="AP101" s="1417"/>
      <c r="AQ101" s="1417"/>
      <c r="AR101" s="1417"/>
      <c r="AS101" s="1417"/>
      <c r="AT101" s="1417"/>
      <c r="AU101" s="1417"/>
      <c r="AV101" s="1417"/>
      <c r="AW101" s="1417"/>
      <c r="AX101" s="1417"/>
      <c r="AY101" s="1417"/>
      <c r="AZ101" s="1417">
        <v>0</v>
      </c>
      <c r="BA101" s="1417"/>
      <c r="BB101" s="1417"/>
      <c r="BC101" s="1417"/>
      <c r="BD101" s="1417"/>
      <c r="BE101" s="1417"/>
      <c r="BF101" s="1417"/>
      <c r="BG101" s="1417"/>
      <c r="BH101" s="1417"/>
      <c r="BI101" s="1417"/>
      <c r="BJ101" s="1417"/>
      <c r="BK101" s="1417" t="e">
        <f>#REF!</f>
        <v>#REF!</v>
      </c>
      <c r="BL101" s="1417"/>
      <c r="BM101" s="1417"/>
      <c r="BN101" s="1417"/>
      <c r="BO101" s="1417"/>
      <c r="BP101" s="1417"/>
      <c r="BQ101" s="1417"/>
      <c r="BR101" s="1417"/>
      <c r="BS101" s="1417"/>
      <c r="BT101" s="1417"/>
      <c r="BU101" s="1417"/>
      <c r="BV101" s="1417" t="e">
        <f t="shared" si="2"/>
        <v>#REF!</v>
      </c>
      <c r="BW101" s="1417"/>
      <c r="BX101" s="1417"/>
      <c r="BY101" s="1417"/>
      <c r="BZ101" s="1417"/>
      <c r="CA101" s="1417"/>
      <c r="CB101" s="1417"/>
      <c r="CC101" s="1417"/>
      <c r="CD101" s="1417"/>
      <c r="CE101" s="1417"/>
      <c r="CF101" s="1417"/>
      <c r="CG101" s="661"/>
    </row>
    <row r="102" spans="1:85" s="660" customFormat="1" ht="29.1" customHeight="1">
      <c r="A102" s="1414">
        <f t="shared" si="3"/>
        <v>99</v>
      </c>
      <c r="B102" s="1414"/>
      <c r="C102" s="1414"/>
      <c r="D102" s="1414"/>
      <c r="E102" s="1414"/>
      <c r="F102" s="1415" t="e">
        <f>#REF!</f>
        <v>#REF!</v>
      </c>
      <c r="G102" s="1415"/>
      <c r="H102" s="1415"/>
      <c r="I102" s="1415"/>
      <c r="J102" s="1415"/>
      <c r="K102" s="1415"/>
      <c r="L102" s="1415"/>
      <c r="M102" s="1415"/>
      <c r="N102" s="1415"/>
      <c r="O102" s="1415"/>
      <c r="P102" s="1415"/>
      <c r="Q102" s="1415"/>
      <c r="R102" s="1415"/>
      <c r="S102" s="1415"/>
      <c r="T102" s="1415"/>
      <c r="U102" s="1415"/>
      <c r="V102" s="1415"/>
      <c r="W102" s="1415"/>
      <c r="X102" s="1415"/>
      <c r="Y102" s="1415"/>
      <c r="Z102" s="1415"/>
      <c r="AA102" s="1415"/>
      <c r="AB102" s="1416" t="e">
        <f>#REF!</f>
        <v>#REF!</v>
      </c>
      <c r="AC102" s="1416"/>
      <c r="AD102" s="1416"/>
      <c r="AE102" s="1416"/>
      <c r="AF102" s="1416"/>
      <c r="AG102" s="1416"/>
      <c r="AH102" s="1416"/>
      <c r="AI102" s="1416"/>
      <c r="AJ102" s="1416"/>
      <c r="AK102" s="1416"/>
      <c r="AL102" s="1416"/>
      <c r="AM102" s="1416"/>
      <c r="AN102" s="1416"/>
      <c r="AO102" s="1417">
        <v>0</v>
      </c>
      <c r="AP102" s="1417"/>
      <c r="AQ102" s="1417"/>
      <c r="AR102" s="1417"/>
      <c r="AS102" s="1417"/>
      <c r="AT102" s="1417"/>
      <c r="AU102" s="1417"/>
      <c r="AV102" s="1417"/>
      <c r="AW102" s="1417"/>
      <c r="AX102" s="1417"/>
      <c r="AY102" s="1417"/>
      <c r="AZ102" s="1417">
        <v>0</v>
      </c>
      <c r="BA102" s="1417"/>
      <c r="BB102" s="1417"/>
      <c r="BC102" s="1417"/>
      <c r="BD102" s="1417"/>
      <c r="BE102" s="1417"/>
      <c r="BF102" s="1417"/>
      <c r="BG102" s="1417"/>
      <c r="BH102" s="1417"/>
      <c r="BI102" s="1417"/>
      <c r="BJ102" s="1417"/>
      <c r="BK102" s="1417" t="e">
        <f>#REF!</f>
        <v>#REF!</v>
      </c>
      <c r="BL102" s="1417"/>
      <c r="BM102" s="1417"/>
      <c r="BN102" s="1417"/>
      <c r="BO102" s="1417"/>
      <c r="BP102" s="1417"/>
      <c r="BQ102" s="1417"/>
      <c r="BR102" s="1417"/>
      <c r="BS102" s="1417"/>
      <c r="BT102" s="1417"/>
      <c r="BU102" s="1417"/>
      <c r="BV102" s="1417" t="e">
        <f t="shared" si="2"/>
        <v>#REF!</v>
      </c>
      <c r="BW102" s="1417"/>
      <c r="BX102" s="1417"/>
      <c r="BY102" s="1417"/>
      <c r="BZ102" s="1417"/>
      <c r="CA102" s="1417"/>
      <c r="CB102" s="1417"/>
      <c r="CC102" s="1417"/>
      <c r="CD102" s="1417"/>
      <c r="CE102" s="1417"/>
      <c r="CF102" s="1417"/>
      <c r="CG102" s="661"/>
    </row>
    <row r="103" spans="1:85" s="660" customFormat="1" ht="29.1" customHeight="1">
      <c r="A103" s="1414">
        <f t="shared" si="3"/>
        <v>100</v>
      </c>
      <c r="B103" s="1414"/>
      <c r="C103" s="1414"/>
      <c r="D103" s="1414"/>
      <c r="E103" s="1414"/>
      <c r="F103" s="1415" t="e">
        <f>#REF!</f>
        <v>#REF!</v>
      </c>
      <c r="G103" s="1415"/>
      <c r="H103" s="1415"/>
      <c r="I103" s="1415"/>
      <c r="J103" s="1415"/>
      <c r="K103" s="1415"/>
      <c r="L103" s="1415"/>
      <c r="M103" s="1415"/>
      <c r="N103" s="1415"/>
      <c r="O103" s="1415"/>
      <c r="P103" s="1415"/>
      <c r="Q103" s="1415"/>
      <c r="R103" s="1415"/>
      <c r="S103" s="1415"/>
      <c r="T103" s="1415"/>
      <c r="U103" s="1415"/>
      <c r="V103" s="1415"/>
      <c r="W103" s="1415"/>
      <c r="X103" s="1415"/>
      <c r="Y103" s="1415"/>
      <c r="Z103" s="1415"/>
      <c r="AA103" s="1415"/>
      <c r="AB103" s="1416" t="e">
        <f>#REF!</f>
        <v>#REF!</v>
      </c>
      <c r="AC103" s="1416"/>
      <c r="AD103" s="1416"/>
      <c r="AE103" s="1416"/>
      <c r="AF103" s="1416"/>
      <c r="AG103" s="1416"/>
      <c r="AH103" s="1416"/>
      <c r="AI103" s="1416"/>
      <c r="AJ103" s="1416"/>
      <c r="AK103" s="1416"/>
      <c r="AL103" s="1416"/>
      <c r="AM103" s="1416"/>
      <c r="AN103" s="1416"/>
      <c r="AO103" s="1417">
        <v>0</v>
      </c>
      <c r="AP103" s="1417"/>
      <c r="AQ103" s="1417"/>
      <c r="AR103" s="1417"/>
      <c r="AS103" s="1417"/>
      <c r="AT103" s="1417"/>
      <c r="AU103" s="1417"/>
      <c r="AV103" s="1417"/>
      <c r="AW103" s="1417"/>
      <c r="AX103" s="1417"/>
      <c r="AY103" s="1417"/>
      <c r="AZ103" s="1417">
        <v>0</v>
      </c>
      <c r="BA103" s="1417"/>
      <c r="BB103" s="1417"/>
      <c r="BC103" s="1417"/>
      <c r="BD103" s="1417"/>
      <c r="BE103" s="1417"/>
      <c r="BF103" s="1417"/>
      <c r="BG103" s="1417"/>
      <c r="BH103" s="1417"/>
      <c r="BI103" s="1417"/>
      <c r="BJ103" s="1417"/>
      <c r="BK103" s="1417" t="e">
        <f>#REF!</f>
        <v>#REF!</v>
      </c>
      <c r="BL103" s="1417"/>
      <c r="BM103" s="1417"/>
      <c r="BN103" s="1417"/>
      <c r="BO103" s="1417"/>
      <c r="BP103" s="1417"/>
      <c r="BQ103" s="1417"/>
      <c r="BR103" s="1417"/>
      <c r="BS103" s="1417"/>
      <c r="BT103" s="1417"/>
      <c r="BU103" s="1417"/>
      <c r="BV103" s="1417" t="e">
        <f t="shared" si="2"/>
        <v>#REF!</v>
      </c>
      <c r="BW103" s="1417"/>
      <c r="BX103" s="1417"/>
      <c r="BY103" s="1417"/>
      <c r="BZ103" s="1417"/>
      <c r="CA103" s="1417"/>
      <c r="CB103" s="1417"/>
      <c r="CC103" s="1417"/>
      <c r="CD103" s="1417"/>
      <c r="CE103" s="1417"/>
      <c r="CF103" s="1417"/>
      <c r="CG103" s="661"/>
    </row>
    <row r="104" spans="1:85" s="660" customFormat="1" ht="29.1" customHeight="1">
      <c r="A104" s="1414">
        <f t="shared" si="3"/>
        <v>101</v>
      </c>
      <c r="B104" s="1414"/>
      <c r="C104" s="1414"/>
      <c r="D104" s="1414"/>
      <c r="E104" s="1414"/>
      <c r="F104" s="1415" t="e">
        <f>#REF!</f>
        <v>#REF!</v>
      </c>
      <c r="G104" s="1415"/>
      <c r="H104" s="1415"/>
      <c r="I104" s="1415"/>
      <c r="J104" s="1415"/>
      <c r="K104" s="1415"/>
      <c r="L104" s="1415"/>
      <c r="M104" s="1415"/>
      <c r="N104" s="1415"/>
      <c r="O104" s="1415"/>
      <c r="P104" s="1415"/>
      <c r="Q104" s="1415"/>
      <c r="R104" s="1415"/>
      <c r="S104" s="1415"/>
      <c r="T104" s="1415"/>
      <c r="U104" s="1415"/>
      <c r="V104" s="1415"/>
      <c r="W104" s="1415"/>
      <c r="X104" s="1415"/>
      <c r="Y104" s="1415"/>
      <c r="Z104" s="1415"/>
      <c r="AA104" s="1415"/>
      <c r="AB104" s="1416" t="e">
        <f>#REF!</f>
        <v>#REF!</v>
      </c>
      <c r="AC104" s="1416"/>
      <c r="AD104" s="1416"/>
      <c r="AE104" s="1416"/>
      <c r="AF104" s="1416"/>
      <c r="AG104" s="1416"/>
      <c r="AH104" s="1416"/>
      <c r="AI104" s="1416"/>
      <c r="AJ104" s="1416"/>
      <c r="AK104" s="1416"/>
      <c r="AL104" s="1416"/>
      <c r="AM104" s="1416"/>
      <c r="AN104" s="1416"/>
      <c r="AO104" s="1417">
        <v>0</v>
      </c>
      <c r="AP104" s="1417"/>
      <c r="AQ104" s="1417"/>
      <c r="AR104" s="1417"/>
      <c r="AS104" s="1417"/>
      <c r="AT104" s="1417"/>
      <c r="AU104" s="1417"/>
      <c r="AV104" s="1417"/>
      <c r="AW104" s="1417"/>
      <c r="AX104" s="1417"/>
      <c r="AY104" s="1417"/>
      <c r="AZ104" s="1417">
        <v>0</v>
      </c>
      <c r="BA104" s="1417"/>
      <c r="BB104" s="1417"/>
      <c r="BC104" s="1417"/>
      <c r="BD104" s="1417"/>
      <c r="BE104" s="1417"/>
      <c r="BF104" s="1417"/>
      <c r="BG104" s="1417"/>
      <c r="BH104" s="1417"/>
      <c r="BI104" s="1417"/>
      <c r="BJ104" s="1417"/>
      <c r="BK104" s="1417" t="e">
        <f>#REF!</f>
        <v>#REF!</v>
      </c>
      <c r="BL104" s="1417"/>
      <c r="BM104" s="1417"/>
      <c r="BN104" s="1417"/>
      <c r="BO104" s="1417"/>
      <c r="BP104" s="1417"/>
      <c r="BQ104" s="1417"/>
      <c r="BR104" s="1417"/>
      <c r="BS104" s="1417"/>
      <c r="BT104" s="1417"/>
      <c r="BU104" s="1417"/>
      <c r="BV104" s="1417" t="e">
        <f t="shared" si="2"/>
        <v>#REF!</v>
      </c>
      <c r="BW104" s="1417"/>
      <c r="BX104" s="1417"/>
      <c r="BY104" s="1417"/>
      <c r="BZ104" s="1417"/>
      <c r="CA104" s="1417"/>
      <c r="CB104" s="1417"/>
      <c r="CC104" s="1417"/>
      <c r="CD104" s="1417"/>
      <c r="CE104" s="1417"/>
      <c r="CF104" s="1417"/>
      <c r="CG104" s="661"/>
    </row>
    <row r="105" spans="1:85" s="660" customFormat="1" ht="29.1" customHeight="1">
      <c r="A105" s="1414">
        <f t="shared" si="3"/>
        <v>102</v>
      </c>
      <c r="B105" s="1414"/>
      <c r="C105" s="1414"/>
      <c r="D105" s="1414"/>
      <c r="E105" s="1414"/>
      <c r="F105" s="1415" t="e">
        <f>#REF!</f>
        <v>#REF!</v>
      </c>
      <c r="G105" s="1415"/>
      <c r="H105" s="1415"/>
      <c r="I105" s="1415"/>
      <c r="J105" s="1415"/>
      <c r="K105" s="1415"/>
      <c r="L105" s="1415"/>
      <c r="M105" s="1415"/>
      <c r="N105" s="1415"/>
      <c r="O105" s="1415"/>
      <c r="P105" s="1415"/>
      <c r="Q105" s="1415"/>
      <c r="R105" s="1415"/>
      <c r="S105" s="1415"/>
      <c r="T105" s="1415"/>
      <c r="U105" s="1415"/>
      <c r="V105" s="1415"/>
      <c r="W105" s="1415"/>
      <c r="X105" s="1415"/>
      <c r="Y105" s="1415"/>
      <c r="Z105" s="1415"/>
      <c r="AA105" s="1415"/>
      <c r="AB105" s="1416" t="e">
        <f>#REF!</f>
        <v>#REF!</v>
      </c>
      <c r="AC105" s="1416"/>
      <c r="AD105" s="1416"/>
      <c r="AE105" s="1416"/>
      <c r="AF105" s="1416"/>
      <c r="AG105" s="1416"/>
      <c r="AH105" s="1416"/>
      <c r="AI105" s="1416"/>
      <c r="AJ105" s="1416"/>
      <c r="AK105" s="1416"/>
      <c r="AL105" s="1416"/>
      <c r="AM105" s="1416"/>
      <c r="AN105" s="1416"/>
      <c r="AO105" s="1417">
        <v>0</v>
      </c>
      <c r="AP105" s="1417"/>
      <c r="AQ105" s="1417"/>
      <c r="AR105" s="1417"/>
      <c r="AS105" s="1417"/>
      <c r="AT105" s="1417"/>
      <c r="AU105" s="1417"/>
      <c r="AV105" s="1417"/>
      <c r="AW105" s="1417"/>
      <c r="AX105" s="1417"/>
      <c r="AY105" s="1417"/>
      <c r="AZ105" s="1417">
        <v>0</v>
      </c>
      <c r="BA105" s="1417"/>
      <c r="BB105" s="1417"/>
      <c r="BC105" s="1417"/>
      <c r="BD105" s="1417"/>
      <c r="BE105" s="1417"/>
      <c r="BF105" s="1417"/>
      <c r="BG105" s="1417"/>
      <c r="BH105" s="1417"/>
      <c r="BI105" s="1417"/>
      <c r="BJ105" s="1417"/>
      <c r="BK105" s="1417" t="e">
        <f>#REF!</f>
        <v>#REF!</v>
      </c>
      <c r="BL105" s="1417"/>
      <c r="BM105" s="1417"/>
      <c r="BN105" s="1417"/>
      <c r="BO105" s="1417"/>
      <c r="BP105" s="1417"/>
      <c r="BQ105" s="1417"/>
      <c r="BR105" s="1417"/>
      <c r="BS105" s="1417"/>
      <c r="BT105" s="1417"/>
      <c r="BU105" s="1417"/>
      <c r="BV105" s="1417" t="e">
        <f t="shared" si="2"/>
        <v>#REF!</v>
      </c>
      <c r="BW105" s="1417"/>
      <c r="BX105" s="1417"/>
      <c r="BY105" s="1417"/>
      <c r="BZ105" s="1417"/>
      <c r="CA105" s="1417"/>
      <c r="CB105" s="1417"/>
      <c r="CC105" s="1417"/>
      <c r="CD105" s="1417"/>
      <c r="CE105" s="1417"/>
      <c r="CF105" s="1417"/>
      <c r="CG105" s="661"/>
    </row>
    <row r="106" spans="1:85" s="660" customFormat="1" ht="29.1" customHeight="1">
      <c r="A106" s="1414">
        <f t="shared" si="3"/>
        <v>103</v>
      </c>
      <c r="B106" s="1414"/>
      <c r="C106" s="1414"/>
      <c r="D106" s="1414"/>
      <c r="E106" s="1414"/>
      <c r="F106" s="1415" t="e">
        <f>#REF!</f>
        <v>#REF!</v>
      </c>
      <c r="G106" s="1415"/>
      <c r="H106" s="1415"/>
      <c r="I106" s="1415"/>
      <c r="J106" s="1415"/>
      <c r="K106" s="1415"/>
      <c r="L106" s="1415"/>
      <c r="M106" s="1415"/>
      <c r="N106" s="1415"/>
      <c r="O106" s="1415"/>
      <c r="P106" s="1415"/>
      <c r="Q106" s="1415"/>
      <c r="R106" s="1415"/>
      <c r="S106" s="1415"/>
      <c r="T106" s="1415"/>
      <c r="U106" s="1415"/>
      <c r="V106" s="1415"/>
      <c r="W106" s="1415"/>
      <c r="X106" s="1415"/>
      <c r="Y106" s="1415"/>
      <c r="Z106" s="1415"/>
      <c r="AA106" s="1415"/>
      <c r="AB106" s="1416" t="e">
        <f>#REF!</f>
        <v>#REF!</v>
      </c>
      <c r="AC106" s="1416"/>
      <c r="AD106" s="1416"/>
      <c r="AE106" s="1416"/>
      <c r="AF106" s="1416"/>
      <c r="AG106" s="1416"/>
      <c r="AH106" s="1416"/>
      <c r="AI106" s="1416"/>
      <c r="AJ106" s="1416"/>
      <c r="AK106" s="1416"/>
      <c r="AL106" s="1416"/>
      <c r="AM106" s="1416"/>
      <c r="AN106" s="1416"/>
      <c r="AO106" s="1417" t="e">
        <f>#REF!</f>
        <v>#REF!</v>
      </c>
      <c r="AP106" s="1417"/>
      <c r="AQ106" s="1417"/>
      <c r="AR106" s="1417"/>
      <c r="AS106" s="1417"/>
      <c r="AT106" s="1417"/>
      <c r="AU106" s="1417"/>
      <c r="AV106" s="1417"/>
      <c r="AW106" s="1417"/>
      <c r="AX106" s="1417"/>
      <c r="AY106" s="1417"/>
      <c r="AZ106" s="1417">
        <v>0</v>
      </c>
      <c r="BA106" s="1417"/>
      <c r="BB106" s="1417"/>
      <c r="BC106" s="1417"/>
      <c r="BD106" s="1417"/>
      <c r="BE106" s="1417"/>
      <c r="BF106" s="1417"/>
      <c r="BG106" s="1417"/>
      <c r="BH106" s="1417"/>
      <c r="BI106" s="1417"/>
      <c r="BJ106" s="1417"/>
      <c r="BK106" s="1417" t="e">
        <f>#REF!</f>
        <v>#REF!</v>
      </c>
      <c r="BL106" s="1417"/>
      <c r="BM106" s="1417"/>
      <c r="BN106" s="1417"/>
      <c r="BO106" s="1417"/>
      <c r="BP106" s="1417"/>
      <c r="BQ106" s="1417"/>
      <c r="BR106" s="1417"/>
      <c r="BS106" s="1417"/>
      <c r="BT106" s="1417"/>
      <c r="BU106" s="1417"/>
      <c r="BV106" s="1417" t="e">
        <f t="shared" si="2"/>
        <v>#REF!</v>
      </c>
      <c r="BW106" s="1417"/>
      <c r="BX106" s="1417"/>
      <c r="BY106" s="1417"/>
      <c r="BZ106" s="1417"/>
      <c r="CA106" s="1417"/>
      <c r="CB106" s="1417"/>
      <c r="CC106" s="1417"/>
      <c r="CD106" s="1417"/>
      <c r="CE106" s="1417"/>
      <c r="CF106" s="1417"/>
      <c r="CG106" s="661"/>
    </row>
    <row r="107" spans="1:85" s="660" customFormat="1" ht="29.1" customHeight="1">
      <c r="A107" s="1414">
        <f t="shared" si="3"/>
        <v>104</v>
      </c>
      <c r="B107" s="1414"/>
      <c r="C107" s="1414"/>
      <c r="D107" s="1414"/>
      <c r="E107" s="1414"/>
      <c r="F107" s="1415" t="e">
        <f>#REF!</f>
        <v>#REF!</v>
      </c>
      <c r="G107" s="1415"/>
      <c r="H107" s="1415"/>
      <c r="I107" s="1415"/>
      <c r="J107" s="1415"/>
      <c r="K107" s="1415"/>
      <c r="L107" s="1415"/>
      <c r="M107" s="1415"/>
      <c r="N107" s="1415"/>
      <c r="O107" s="1415"/>
      <c r="P107" s="1415"/>
      <c r="Q107" s="1415"/>
      <c r="R107" s="1415"/>
      <c r="S107" s="1415"/>
      <c r="T107" s="1415"/>
      <c r="U107" s="1415"/>
      <c r="V107" s="1415"/>
      <c r="W107" s="1415"/>
      <c r="X107" s="1415"/>
      <c r="Y107" s="1415"/>
      <c r="Z107" s="1415"/>
      <c r="AA107" s="1415"/>
      <c r="AB107" s="1416" t="e">
        <f>#REF!</f>
        <v>#REF!</v>
      </c>
      <c r="AC107" s="1416"/>
      <c r="AD107" s="1416"/>
      <c r="AE107" s="1416"/>
      <c r="AF107" s="1416"/>
      <c r="AG107" s="1416"/>
      <c r="AH107" s="1416"/>
      <c r="AI107" s="1416"/>
      <c r="AJ107" s="1416"/>
      <c r="AK107" s="1416"/>
      <c r="AL107" s="1416"/>
      <c r="AM107" s="1416"/>
      <c r="AN107" s="1416"/>
      <c r="AO107" s="1417" t="e">
        <f>#REF!</f>
        <v>#REF!</v>
      </c>
      <c r="AP107" s="1417"/>
      <c r="AQ107" s="1417"/>
      <c r="AR107" s="1417"/>
      <c r="AS107" s="1417"/>
      <c r="AT107" s="1417"/>
      <c r="AU107" s="1417"/>
      <c r="AV107" s="1417"/>
      <c r="AW107" s="1417"/>
      <c r="AX107" s="1417"/>
      <c r="AY107" s="1417"/>
      <c r="AZ107" s="1417" t="e">
        <f>#REF!</f>
        <v>#REF!</v>
      </c>
      <c r="BA107" s="1417"/>
      <c r="BB107" s="1417"/>
      <c r="BC107" s="1417"/>
      <c r="BD107" s="1417"/>
      <c r="BE107" s="1417"/>
      <c r="BF107" s="1417"/>
      <c r="BG107" s="1417"/>
      <c r="BH107" s="1417"/>
      <c r="BI107" s="1417"/>
      <c r="BJ107" s="1417"/>
      <c r="BK107" s="1417" t="e">
        <f>#REF!</f>
        <v>#REF!</v>
      </c>
      <c r="BL107" s="1417"/>
      <c r="BM107" s="1417"/>
      <c r="BN107" s="1417"/>
      <c r="BO107" s="1417"/>
      <c r="BP107" s="1417"/>
      <c r="BQ107" s="1417"/>
      <c r="BR107" s="1417"/>
      <c r="BS107" s="1417"/>
      <c r="BT107" s="1417"/>
      <c r="BU107" s="1417"/>
      <c r="BV107" s="1417" t="e">
        <f t="shared" si="2"/>
        <v>#REF!</v>
      </c>
      <c r="BW107" s="1417"/>
      <c r="BX107" s="1417"/>
      <c r="BY107" s="1417"/>
      <c r="BZ107" s="1417"/>
      <c r="CA107" s="1417"/>
      <c r="CB107" s="1417"/>
      <c r="CC107" s="1417"/>
      <c r="CD107" s="1417"/>
      <c r="CE107" s="1417"/>
      <c r="CF107" s="1417"/>
      <c r="CG107" s="661"/>
    </row>
    <row r="108" spans="1:85" s="660" customFormat="1" ht="29.1" customHeight="1">
      <c r="A108" s="1414">
        <f t="shared" si="3"/>
        <v>105</v>
      </c>
      <c r="B108" s="1414"/>
      <c r="C108" s="1414"/>
      <c r="D108" s="1414"/>
      <c r="E108" s="1414"/>
      <c r="F108" s="1415" t="e">
        <f>#REF!</f>
        <v>#REF!</v>
      </c>
      <c r="G108" s="1415"/>
      <c r="H108" s="1415"/>
      <c r="I108" s="1415"/>
      <c r="J108" s="1415"/>
      <c r="K108" s="1415"/>
      <c r="L108" s="1415"/>
      <c r="M108" s="1415"/>
      <c r="N108" s="1415"/>
      <c r="O108" s="1415"/>
      <c r="P108" s="1415"/>
      <c r="Q108" s="1415"/>
      <c r="R108" s="1415"/>
      <c r="S108" s="1415"/>
      <c r="T108" s="1415"/>
      <c r="U108" s="1415"/>
      <c r="V108" s="1415"/>
      <c r="W108" s="1415"/>
      <c r="X108" s="1415"/>
      <c r="Y108" s="1415"/>
      <c r="Z108" s="1415"/>
      <c r="AA108" s="1415"/>
      <c r="AB108" s="1416"/>
      <c r="AC108" s="1416"/>
      <c r="AD108" s="1416"/>
      <c r="AE108" s="1416"/>
      <c r="AF108" s="1416"/>
      <c r="AG108" s="1416"/>
      <c r="AH108" s="1416"/>
      <c r="AI108" s="1416"/>
      <c r="AJ108" s="1416"/>
      <c r="AK108" s="1416"/>
      <c r="AL108" s="1416"/>
      <c r="AM108" s="1416"/>
      <c r="AN108" s="1416"/>
      <c r="AO108" s="1417" t="e">
        <f>#REF!</f>
        <v>#REF!</v>
      </c>
      <c r="AP108" s="1417"/>
      <c r="AQ108" s="1417"/>
      <c r="AR108" s="1417"/>
      <c r="AS108" s="1417"/>
      <c r="AT108" s="1417"/>
      <c r="AU108" s="1417"/>
      <c r="AV108" s="1417"/>
      <c r="AW108" s="1417"/>
      <c r="AX108" s="1417"/>
      <c r="AY108" s="1417"/>
      <c r="AZ108" s="1417" t="e">
        <f>#REF!</f>
        <v>#REF!</v>
      </c>
      <c r="BA108" s="1417"/>
      <c r="BB108" s="1417"/>
      <c r="BC108" s="1417"/>
      <c r="BD108" s="1417"/>
      <c r="BE108" s="1417"/>
      <c r="BF108" s="1417"/>
      <c r="BG108" s="1417"/>
      <c r="BH108" s="1417"/>
      <c r="BI108" s="1417"/>
      <c r="BJ108" s="1417"/>
      <c r="BK108" s="1417" t="e">
        <f>#REF!</f>
        <v>#REF!</v>
      </c>
      <c r="BL108" s="1417"/>
      <c r="BM108" s="1417"/>
      <c r="BN108" s="1417"/>
      <c r="BO108" s="1417"/>
      <c r="BP108" s="1417"/>
      <c r="BQ108" s="1417"/>
      <c r="BR108" s="1417"/>
      <c r="BS108" s="1417"/>
      <c r="BT108" s="1417"/>
      <c r="BU108" s="1417"/>
      <c r="BV108" s="1417" t="e">
        <f t="shared" si="2"/>
        <v>#REF!</v>
      </c>
      <c r="BW108" s="1417"/>
      <c r="BX108" s="1417"/>
      <c r="BY108" s="1417"/>
      <c r="BZ108" s="1417"/>
      <c r="CA108" s="1417"/>
      <c r="CB108" s="1417"/>
      <c r="CC108" s="1417"/>
      <c r="CD108" s="1417"/>
      <c r="CE108" s="1417"/>
      <c r="CF108" s="1417"/>
      <c r="CG108" s="661"/>
    </row>
    <row r="109" spans="1:85" s="660" customFormat="1" ht="29.1" customHeight="1">
      <c r="A109" s="1414">
        <f t="shared" si="3"/>
        <v>106</v>
      </c>
      <c r="B109" s="1414"/>
      <c r="C109" s="1414"/>
      <c r="D109" s="1414"/>
      <c r="E109" s="1414"/>
      <c r="F109" s="1415" t="e">
        <f>#REF!</f>
        <v>#REF!</v>
      </c>
      <c r="G109" s="1415"/>
      <c r="H109" s="1415"/>
      <c r="I109" s="1415"/>
      <c r="J109" s="1415"/>
      <c r="K109" s="1415"/>
      <c r="L109" s="1415"/>
      <c r="M109" s="1415"/>
      <c r="N109" s="1415"/>
      <c r="O109" s="1415"/>
      <c r="P109" s="1415"/>
      <c r="Q109" s="1415"/>
      <c r="R109" s="1415"/>
      <c r="S109" s="1415"/>
      <c r="T109" s="1415"/>
      <c r="U109" s="1415"/>
      <c r="V109" s="1415"/>
      <c r="W109" s="1415"/>
      <c r="X109" s="1415"/>
      <c r="Y109" s="1415"/>
      <c r="Z109" s="1415"/>
      <c r="AA109" s="1415"/>
      <c r="AB109" s="1416"/>
      <c r="AC109" s="1416"/>
      <c r="AD109" s="1416"/>
      <c r="AE109" s="1416"/>
      <c r="AF109" s="1416"/>
      <c r="AG109" s="1416"/>
      <c r="AH109" s="1416"/>
      <c r="AI109" s="1416"/>
      <c r="AJ109" s="1416"/>
      <c r="AK109" s="1416"/>
      <c r="AL109" s="1416"/>
      <c r="AM109" s="1416"/>
      <c r="AN109" s="1416"/>
      <c r="AO109" s="1417" t="e">
        <f>#REF!</f>
        <v>#REF!</v>
      </c>
      <c r="AP109" s="1417"/>
      <c r="AQ109" s="1417"/>
      <c r="AR109" s="1417"/>
      <c r="AS109" s="1417"/>
      <c r="AT109" s="1417"/>
      <c r="AU109" s="1417"/>
      <c r="AV109" s="1417"/>
      <c r="AW109" s="1417"/>
      <c r="AX109" s="1417"/>
      <c r="AY109" s="1417"/>
      <c r="AZ109" s="1417" t="e">
        <f>#REF!</f>
        <v>#REF!</v>
      </c>
      <c r="BA109" s="1417"/>
      <c r="BB109" s="1417"/>
      <c r="BC109" s="1417"/>
      <c r="BD109" s="1417"/>
      <c r="BE109" s="1417"/>
      <c r="BF109" s="1417"/>
      <c r="BG109" s="1417"/>
      <c r="BH109" s="1417"/>
      <c r="BI109" s="1417"/>
      <c r="BJ109" s="1417"/>
      <c r="BK109" s="1411" t="e">
        <f>#REF!</f>
        <v>#REF!</v>
      </c>
      <c r="BL109" s="1412"/>
      <c r="BM109" s="1412"/>
      <c r="BN109" s="1412"/>
      <c r="BO109" s="1412"/>
      <c r="BP109" s="1412"/>
      <c r="BQ109" s="1412"/>
      <c r="BR109" s="1412"/>
      <c r="BS109" s="1412"/>
      <c r="BT109" s="1412"/>
      <c r="BU109" s="1413"/>
      <c r="BV109" s="1411" t="e">
        <f t="shared" si="2"/>
        <v>#REF!</v>
      </c>
      <c r="BW109" s="1412"/>
      <c r="BX109" s="1412"/>
      <c r="BY109" s="1412"/>
      <c r="BZ109" s="1412"/>
      <c r="CA109" s="1412"/>
      <c r="CB109" s="1412"/>
      <c r="CC109" s="1412"/>
      <c r="CD109" s="1412"/>
      <c r="CE109" s="1412"/>
      <c r="CF109" s="1413"/>
      <c r="CG109" s="664"/>
    </row>
    <row r="110" spans="1:85" s="660" customFormat="1" ht="29.1" customHeight="1">
      <c r="A110" s="1414">
        <f t="shared" si="3"/>
        <v>107</v>
      </c>
      <c r="B110" s="1414"/>
      <c r="C110" s="1414"/>
      <c r="D110" s="1414"/>
      <c r="E110" s="1414"/>
      <c r="F110" s="1415" t="e">
        <f>#REF!</f>
        <v>#REF!</v>
      </c>
      <c r="G110" s="1415"/>
      <c r="H110" s="1415"/>
      <c r="I110" s="1415"/>
      <c r="J110" s="1415"/>
      <c r="K110" s="1415"/>
      <c r="L110" s="1415"/>
      <c r="M110" s="1415"/>
      <c r="N110" s="1415"/>
      <c r="O110" s="1415"/>
      <c r="P110" s="1415"/>
      <c r="Q110" s="1415"/>
      <c r="R110" s="1415"/>
      <c r="S110" s="1415"/>
      <c r="T110" s="1415"/>
      <c r="U110" s="1415"/>
      <c r="V110" s="1415"/>
      <c r="W110" s="1415"/>
      <c r="X110" s="1415"/>
      <c r="Y110" s="1415"/>
      <c r="Z110" s="1415"/>
      <c r="AA110" s="1415"/>
      <c r="AB110" s="1416"/>
      <c r="AC110" s="1416"/>
      <c r="AD110" s="1416"/>
      <c r="AE110" s="1416"/>
      <c r="AF110" s="1416"/>
      <c r="AG110" s="1416"/>
      <c r="AH110" s="1416"/>
      <c r="AI110" s="1416"/>
      <c r="AJ110" s="1416"/>
      <c r="AK110" s="1416"/>
      <c r="AL110" s="1416"/>
      <c r="AM110" s="1416"/>
      <c r="AN110" s="1416"/>
      <c r="AO110" s="1417" t="e">
        <f>#REF!</f>
        <v>#REF!</v>
      </c>
      <c r="AP110" s="1417"/>
      <c r="AQ110" s="1417"/>
      <c r="AR110" s="1417"/>
      <c r="AS110" s="1417"/>
      <c r="AT110" s="1417"/>
      <c r="AU110" s="1417"/>
      <c r="AV110" s="1417"/>
      <c r="AW110" s="1417"/>
      <c r="AX110" s="1417"/>
      <c r="AY110" s="1417"/>
      <c r="AZ110" s="1417" t="e">
        <f>#REF!</f>
        <v>#REF!</v>
      </c>
      <c r="BA110" s="1417"/>
      <c r="BB110" s="1417"/>
      <c r="BC110" s="1417"/>
      <c r="BD110" s="1417"/>
      <c r="BE110" s="1417"/>
      <c r="BF110" s="1417"/>
      <c r="BG110" s="1417"/>
      <c r="BH110" s="1417"/>
      <c r="BI110" s="1417"/>
      <c r="BJ110" s="1417"/>
      <c r="BK110" s="1411" t="e">
        <f>#REF!</f>
        <v>#REF!</v>
      </c>
      <c r="BL110" s="1412"/>
      <c r="BM110" s="1412"/>
      <c r="BN110" s="1412"/>
      <c r="BO110" s="1412"/>
      <c r="BP110" s="1412"/>
      <c r="BQ110" s="1412"/>
      <c r="BR110" s="1412"/>
      <c r="BS110" s="1412"/>
      <c r="BT110" s="1412"/>
      <c r="BU110" s="1413"/>
      <c r="BV110" s="1411" t="e">
        <f t="shared" si="2"/>
        <v>#REF!</v>
      </c>
      <c r="BW110" s="1412"/>
      <c r="BX110" s="1412"/>
      <c r="BY110" s="1412"/>
      <c r="BZ110" s="1412"/>
      <c r="CA110" s="1412"/>
      <c r="CB110" s="1412"/>
      <c r="CC110" s="1412"/>
      <c r="CD110" s="1412"/>
      <c r="CE110" s="1412"/>
      <c r="CF110" s="1413"/>
      <c r="CG110" s="664"/>
    </row>
    <row r="111" spans="1:85" s="660" customFormat="1" ht="29.1" customHeight="1">
      <c r="A111" s="1414">
        <f t="shared" si="3"/>
        <v>108</v>
      </c>
      <c r="B111" s="1414"/>
      <c r="C111" s="1414"/>
      <c r="D111" s="1414"/>
      <c r="E111" s="1414"/>
      <c r="F111" s="1415" t="e">
        <f>#REF!</f>
        <v>#REF!</v>
      </c>
      <c r="G111" s="1415"/>
      <c r="H111" s="1415"/>
      <c r="I111" s="1415"/>
      <c r="J111" s="1415"/>
      <c r="K111" s="1415"/>
      <c r="L111" s="1415"/>
      <c r="M111" s="1415"/>
      <c r="N111" s="1415"/>
      <c r="O111" s="1415"/>
      <c r="P111" s="1415"/>
      <c r="Q111" s="1415"/>
      <c r="R111" s="1415"/>
      <c r="S111" s="1415"/>
      <c r="T111" s="1415"/>
      <c r="U111" s="1415"/>
      <c r="V111" s="1415"/>
      <c r="W111" s="1415"/>
      <c r="X111" s="1415"/>
      <c r="Y111" s="1415"/>
      <c r="Z111" s="1415"/>
      <c r="AA111" s="1415"/>
      <c r="AB111" s="1416" t="e">
        <f>#REF!</f>
        <v>#REF!</v>
      </c>
      <c r="AC111" s="1416"/>
      <c r="AD111" s="1416"/>
      <c r="AE111" s="1416"/>
      <c r="AF111" s="1416"/>
      <c r="AG111" s="1416"/>
      <c r="AH111" s="1416"/>
      <c r="AI111" s="1416"/>
      <c r="AJ111" s="1416"/>
      <c r="AK111" s="1416"/>
      <c r="AL111" s="1416"/>
      <c r="AM111" s="1416"/>
      <c r="AN111" s="1416"/>
      <c r="AO111" s="1417" t="e">
        <f>#REF!</f>
        <v>#REF!</v>
      </c>
      <c r="AP111" s="1417"/>
      <c r="AQ111" s="1417"/>
      <c r="AR111" s="1417"/>
      <c r="AS111" s="1417"/>
      <c r="AT111" s="1417"/>
      <c r="AU111" s="1417"/>
      <c r="AV111" s="1417"/>
      <c r="AW111" s="1417"/>
      <c r="AX111" s="1417"/>
      <c r="AY111" s="1417"/>
      <c r="AZ111" s="1417" t="e">
        <f>#REF!</f>
        <v>#REF!</v>
      </c>
      <c r="BA111" s="1417"/>
      <c r="BB111" s="1417"/>
      <c r="BC111" s="1417"/>
      <c r="BD111" s="1417"/>
      <c r="BE111" s="1417"/>
      <c r="BF111" s="1417"/>
      <c r="BG111" s="1417"/>
      <c r="BH111" s="1417"/>
      <c r="BI111" s="1417"/>
      <c r="BJ111" s="1417"/>
      <c r="BK111" s="1411" t="e">
        <f>#REF!</f>
        <v>#REF!</v>
      </c>
      <c r="BL111" s="1412"/>
      <c r="BM111" s="1412"/>
      <c r="BN111" s="1412"/>
      <c r="BO111" s="1412"/>
      <c r="BP111" s="1412"/>
      <c r="BQ111" s="1412"/>
      <c r="BR111" s="1412"/>
      <c r="BS111" s="1412"/>
      <c r="BT111" s="1412"/>
      <c r="BU111" s="1413"/>
      <c r="BV111" s="1411" t="e">
        <f>AO111+AZ111+BK111</f>
        <v>#REF!</v>
      </c>
      <c r="BW111" s="1412"/>
      <c r="BX111" s="1412"/>
      <c r="BY111" s="1412"/>
      <c r="BZ111" s="1412"/>
      <c r="CA111" s="1412"/>
      <c r="CB111" s="1412"/>
      <c r="CC111" s="1412"/>
      <c r="CD111" s="1412"/>
      <c r="CE111" s="1412"/>
      <c r="CF111" s="1413"/>
      <c r="CG111" s="664"/>
    </row>
    <row r="112" spans="1:85" ht="9.9499999999999993" customHeight="1"/>
    <row r="113" ht="9.9499999999999993" customHeight="1"/>
    <row r="114" ht="9.9499999999999993" customHeight="1"/>
    <row r="115" ht="9.9499999999999993" customHeight="1"/>
    <row r="116" ht="9.9499999999999993" customHeight="1"/>
    <row r="117" ht="9.9499999999999993" customHeight="1"/>
    <row r="118" ht="9.9499999999999993" customHeight="1"/>
    <row r="119" ht="9.9499999999999993" customHeight="1"/>
    <row r="120" ht="9.9499999999999993" customHeight="1"/>
    <row r="121" ht="9.9499999999999993" customHeight="1"/>
    <row r="122" ht="9.9499999999999993" customHeight="1"/>
    <row r="123" ht="9.9499999999999993" customHeight="1"/>
    <row r="124" ht="9.9499999999999993" customHeight="1"/>
    <row r="125" ht="9.9499999999999993" customHeight="1"/>
    <row r="126" ht="9.9499999999999993" customHeight="1"/>
    <row r="127" ht="9.9499999999999993" customHeight="1"/>
    <row r="128" ht="9.9499999999999993" customHeight="1"/>
    <row r="129" ht="9.9499999999999993" customHeight="1"/>
    <row r="130" ht="9.9499999999999993" customHeight="1"/>
    <row r="131" ht="9.9499999999999993" customHeight="1"/>
    <row r="132" ht="9.9499999999999993" customHeight="1"/>
    <row r="133" ht="9.9499999999999993" customHeight="1"/>
    <row r="134" ht="9.9499999999999993" customHeight="1"/>
    <row r="135" ht="9.9499999999999993" customHeight="1"/>
    <row r="136" ht="9.9499999999999993" customHeight="1"/>
    <row r="137" ht="9.9499999999999993" customHeight="1"/>
    <row r="138" ht="9.9499999999999993" customHeight="1"/>
    <row r="139" ht="9.9499999999999993" customHeight="1"/>
    <row r="140" ht="9.9499999999999993" customHeight="1"/>
    <row r="141" ht="9.9499999999999993" customHeight="1"/>
    <row r="142" ht="9.9499999999999993" customHeight="1"/>
    <row r="143" ht="9.9499999999999993" customHeight="1"/>
    <row r="144" ht="9.9499999999999993" customHeight="1"/>
    <row r="145" ht="9.9499999999999993" customHeight="1"/>
    <row r="146" ht="9.9499999999999993" customHeight="1"/>
    <row r="147" ht="9.9499999999999993" customHeight="1"/>
    <row r="148" ht="9.9499999999999993" customHeight="1"/>
    <row r="149" ht="9.9499999999999993" customHeight="1"/>
    <row r="150" ht="9.9499999999999993" customHeight="1"/>
    <row r="151" ht="9.9499999999999993" customHeight="1"/>
    <row r="152" ht="9.9499999999999993" customHeight="1"/>
    <row r="153" ht="9.9499999999999993" customHeight="1"/>
    <row r="154" ht="9.9499999999999993" customHeight="1"/>
    <row r="155" ht="9.9499999999999993" customHeight="1"/>
    <row r="156" ht="9.9499999999999993" customHeight="1"/>
    <row r="157" ht="9.9499999999999993" customHeight="1"/>
    <row r="158" ht="9.9499999999999993" customHeight="1"/>
    <row r="159" ht="9.9499999999999993" customHeight="1"/>
    <row r="160" ht="9.9499999999999993" customHeight="1"/>
    <row r="161" ht="9.9499999999999993" customHeight="1"/>
    <row r="162" ht="9.9499999999999993" customHeight="1"/>
    <row r="163" ht="9.9499999999999993" customHeight="1"/>
    <row r="164" ht="9.9499999999999993" customHeight="1"/>
    <row r="165" ht="9.9499999999999993" customHeight="1"/>
    <row r="166" ht="9.9499999999999993" customHeight="1"/>
    <row r="167" ht="9.9499999999999993" customHeight="1"/>
    <row r="168" ht="9.9499999999999993" customHeight="1"/>
    <row r="169" ht="9.9499999999999993" customHeight="1"/>
    <row r="170" ht="9.9499999999999993" customHeight="1"/>
    <row r="171" ht="9.9499999999999993" customHeight="1"/>
    <row r="172" ht="9.9499999999999993" customHeight="1"/>
    <row r="173" ht="9.9499999999999993" customHeight="1"/>
    <row r="174" ht="9.9499999999999993" customHeight="1"/>
    <row r="175" ht="9.9499999999999993" customHeight="1"/>
    <row r="176" ht="9.9499999999999993" customHeight="1"/>
    <row r="177" ht="9.9499999999999993" customHeight="1"/>
    <row r="178" ht="9.9499999999999993" customHeight="1"/>
    <row r="179" ht="9.9499999999999993" customHeight="1"/>
    <row r="180" ht="9.9499999999999993" customHeight="1"/>
    <row r="181" ht="9.9499999999999993" customHeight="1"/>
    <row r="182" ht="9.9499999999999993" customHeight="1"/>
    <row r="183" ht="9.9499999999999993" customHeight="1"/>
    <row r="184" ht="9.9499999999999993" customHeight="1"/>
    <row r="185" ht="9.9499999999999993" customHeight="1"/>
    <row r="186" ht="9.9499999999999993" customHeight="1"/>
    <row r="187" ht="9.9499999999999993" customHeight="1"/>
    <row r="188" ht="9.9499999999999993" customHeight="1"/>
    <row r="189" ht="9.9499999999999993" customHeight="1"/>
    <row r="190" ht="9.9499999999999993" customHeight="1"/>
    <row r="191" ht="9.9499999999999993" customHeight="1"/>
    <row r="192" ht="9.9499999999999993" customHeight="1"/>
    <row r="193" ht="9.9499999999999993" customHeight="1"/>
    <row r="194" ht="9.9499999999999993" customHeight="1"/>
    <row r="195" ht="9.9499999999999993" customHeight="1"/>
    <row r="196" ht="9.9499999999999993" customHeight="1"/>
    <row r="197" ht="9.9499999999999993" customHeight="1"/>
    <row r="198" ht="9.9499999999999993" customHeight="1"/>
    <row r="199" ht="9.9499999999999993" customHeight="1"/>
    <row r="200" ht="9.9499999999999993" customHeight="1"/>
    <row r="201" ht="9.9499999999999993" customHeight="1"/>
    <row r="202" ht="9.9499999999999993" customHeight="1"/>
    <row r="203" ht="9.9499999999999993" customHeight="1"/>
    <row r="204" ht="9.9499999999999993" customHeight="1"/>
    <row r="205" ht="9.9499999999999993" customHeight="1"/>
    <row r="206" ht="9.9499999999999993" customHeight="1"/>
    <row r="207" ht="9.9499999999999993" customHeight="1"/>
    <row r="208" ht="9.9499999999999993" customHeight="1"/>
    <row r="209" ht="9.9499999999999993" customHeight="1"/>
    <row r="210" ht="9.9499999999999993" customHeight="1"/>
    <row r="211" ht="9.9499999999999993" customHeight="1"/>
    <row r="212" ht="9.9499999999999993" customHeight="1"/>
    <row r="213" ht="9.9499999999999993" customHeight="1"/>
    <row r="214" ht="9.9499999999999993" customHeight="1"/>
    <row r="215" ht="9.9499999999999993" customHeight="1"/>
    <row r="216" ht="9.9499999999999993" customHeight="1"/>
    <row r="217" ht="9.9499999999999993" customHeight="1"/>
    <row r="218" ht="9.9499999999999993" customHeight="1"/>
    <row r="219" ht="9.9499999999999993" customHeight="1"/>
    <row r="220" ht="9.9499999999999993" customHeight="1"/>
    <row r="221" ht="9.9499999999999993" customHeight="1"/>
    <row r="222" ht="9.9499999999999993" customHeight="1"/>
    <row r="223" ht="9.9499999999999993" customHeight="1"/>
    <row r="224" ht="9.9499999999999993" customHeight="1"/>
    <row r="225" ht="9.9499999999999993" customHeight="1"/>
    <row r="226" ht="9.9499999999999993" customHeight="1"/>
    <row r="227" ht="9.9499999999999993" customHeight="1"/>
    <row r="228" ht="9.9499999999999993" customHeight="1"/>
    <row r="229" ht="9.9499999999999993" customHeight="1"/>
    <row r="230" ht="9.9499999999999993" customHeight="1"/>
    <row r="231" ht="9.9499999999999993" customHeight="1"/>
    <row r="232" ht="9.9499999999999993" customHeight="1"/>
    <row r="233" ht="9.9499999999999993" customHeight="1"/>
    <row r="234" ht="9.9499999999999993" customHeight="1"/>
    <row r="235" ht="9.9499999999999993" customHeight="1"/>
    <row r="236" ht="9.9499999999999993" customHeight="1"/>
    <row r="237" ht="9.9499999999999993" customHeight="1"/>
    <row r="238" ht="9.9499999999999993" customHeight="1"/>
    <row r="239" ht="9.9499999999999993" customHeight="1"/>
    <row r="240" ht="9.9499999999999993" customHeight="1"/>
    <row r="241" ht="9.9499999999999993" customHeight="1"/>
    <row r="242" ht="9.9499999999999993" customHeight="1"/>
    <row r="243" ht="9.9499999999999993" customHeight="1"/>
    <row r="244" ht="9.9499999999999993" customHeight="1"/>
    <row r="245" ht="9.9499999999999993" customHeight="1"/>
    <row r="246" ht="9.9499999999999993" customHeight="1"/>
    <row r="247" ht="9.9499999999999993" customHeight="1"/>
    <row r="248" ht="9.9499999999999993" customHeight="1"/>
    <row r="249" ht="9.9499999999999993" customHeight="1"/>
    <row r="250" ht="9.9499999999999993" customHeight="1"/>
    <row r="251" ht="9.9499999999999993" customHeight="1"/>
    <row r="252" ht="9.9499999999999993" customHeight="1"/>
    <row r="253" ht="9.9499999999999993" customHeight="1"/>
    <row r="254" ht="9.9499999999999993" customHeight="1"/>
    <row r="255" ht="9.9499999999999993" customHeight="1"/>
    <row r="256" ht="9.9499999999999993" customHeight="1"/>
    <row r="257" ht="9.9499999999999993" customHeight="1"/>
    <row r="258" ht="9.9499999999999993" customHeight="1"/>
    <row r="259" ht="9.9499999999999993" customHeight="1"/>
    <row r="260" ht="9.9499999999999993" customHeight="1"/>
    <row r="261" ht="9.9499999999999993" customHeight="1"/>
    <row r="262" ht="9.9499999999999993" customHeight="1"/>
    <row r="263" ht="9.9499999999999993" customHeight="1"/>
    <row r="264" ht="9.9499999999999993" customHeight="1"/>
    <row r="265" ht="9.9499999999999993" customHeight="1"/>
    <row r="266" ht="9.9499999999999993" customHeight="1"/>
    <row r="267" ht="9.9499999999999993" customHeight="1"/>
    <row r="268" ht="9.9499999999999993" customHeight="1"/>
    <row r="269" ht="9.9499999999999993" customHeight="1"/>
    <row r="270" ht="9.9499999999999993" customHeight="1"/>
    <row r="271" ht="9.9499999999999993" customHeight="1"/>
    <row r="272" ht="9.9499999999999993" customHeight="1"/>
    <row r="273" ht="9.9499999999999993" customHeight="1"/>
    <row r="274" ht="9.9499999999999993" customHeight="1"/>
    <row r="275" ht="9.9499999999999993" customHeight="1"/>
    <row r="276" ht="9.9499999999999993" customHeight="1"/>
    <row r="277" ht="9.9499999999999993" customHeight="1"/>
    <row r="278" ht="9.9499999999999993" customHeight="1"/>
    <row r="279" ht="9.9499999999999993" customHeight="1"/>
    <row r="280" ht="9.9499999999999993" customHeight="1"/>
    <row r="281" ht="9.9499999999999993" customHeight="1"/>
    <row r="282" ht="9.9499999999999993" customHeight="1"/>
    <row r="283" ht="9.9499999999999993" customHeight="1"/>
    <row r="284" ht="9.9499999999999993" customHeight="1"/>
    <row r="285" ht="9.9499999999999993" customHeight="1"/>
    <row r="286" ht="9.9499999999999993" customHeight="1"/>
    <row r="287" ht="9.9499999999999993" customHeight="1"/>
    <row r="288" ht="9.9499999999999993" customHeight="1"/>
    <row r="289" ht="9.9499999999999993" customHeight="1"/>
    <row r="290" ht="9.9499999999999993" customHeight="1"/>
    <row r="291" ht="9.9499999999999993" customHeight="1"/>
    <row r="292" ht="9.9499999999999993" customHeight="1"/>
    <row r="293" ht="9.9499999999999993" customHeight="1"/>
    <row r="294" ht="9.9499999999999993" customHeight="1"/>
    <row r="295" ht="9.9499999999999993" customHeight="1"/>
    <row r="296" ht="9.9499999999999993" customHeight="1"/>
    <row r="297" ht="9.9499999999999993" customHeight="1"/>
    <row r="298" ht="9.9499999999999993" customHeight="1"/>
    <row r="299" ht="9.9499999999999993" customHeight="1"/>
    <row r="300" ht="9.9499999999999993" customHeight="1"/>
    <row r="301" ht="9.9499999999999993" customHeight="1"/>
    <row r="302" ht="9.9499999999999993" customHeight="1"/>
    <row r="303" ht="9.9499999999999993" customHeight="1"/>
    <row r="304" ht="9.9499999999999993" customHeight="1"/>
    <row r="305" ht="9.9499999999999993" customHeight="1"/>
    <row r="306" ht="9.9499999999999993" customHeight="1"/>
    <row r="307" ht="9.9499999999999993" customHeight="1"/>
    <row r="308" ht="9.9499999999999993" customHeight="1"/>
    <row r="309" ht="9.9499999999999993" customHeight="1"/>
    <row r="310" ht="9.9499999999999993" customHeight="1"/>
    <row r="311" ht="9.9499999999999993" customHeight="1"/>
    <row r="312" ht="9.9499999999999993" customHeight="1"/>
    <row r="313" ht="9.9499999999999993" customHeight="1"/>
    <row r="314" ht="9.9499999999999993" customHeight="1"/>
    <row r="315" ht="9.9499999999999993" customHeight="1"/>
    <row r="316" ht="9.9499999999999993" customHeight="1"/>
    <row r="317" ht="9.9499999999999993" customHeight="1"/>
    <row r="318" ht="9.9499999999999993" customHeight="1"/>
    <row r="319" ht="9.9499999999999993" customHeight="1"/>
    <row r="320" ht="9.9499999999999993" customHeight="1"/>
    <row r="321" ht="9.9499999999999993" customHeight="1"/>
    <row r="322" ht="9.9499999999999993" customHeight="1"/>
    <row r="323" ht="9.9499999999999993" customHeight="1"/>
    <row r="324" ht="9.9499999999999993" customHeight="1"/>
    <row r="325" ht="9.9499999999999993" customHeight="1"/>
    <row r="326" ht="9.9499999999999993" customHeight="1"/>
    <row r="327" ht="9.9499999999999993" customHeight="1"/>
    <row r="328" ht="9.9499999999999993" customHeight="1"/>
    <row r="329" ht="9.9499999999999993" customHeight="1"/>
    <row r="330" ht="9.9499999999999993" customHeight="1"/>
    <row r="331" ht="9.9499999999999993" customHeight="1"/>
    <row r="332" ht="9.9499999999999993" customHeight="1"/>
    <row r="333" ht="9.9499999999999993" customHeight="1"/>
    <row r="334" ht="9.9499999999999993" customHeight="1"/>
    <row r="335" ht="9.9499999999999993" customHeight="1"/>
    <row r="336" ht="9.9499999999999993" customHeight="1"/>
    <row r="337" ht="9.9499999999999993" customHeight="1"/>
    <row r="338" ht="9.9499999999999993" customHeight="1"/>
    <row r="339" ht="9.9499999999999993" customHeight="1"/>
    <row r="340" ht="9.9499999999999993" customHeight="1"/>
    <row r="341" ht="9.9499999999999993" customHeight="1"/>
    <row r="342" ht="9.9499999999999993" customHeight="1"/>
    <row r="343" ht="9.9499999999999993" customHeight="1"/>
    <row r="344" ht="9.9499999999999993" customHeight="1"/>
    <row r="345" ht="9.9499999999999993" customHeight="1"/>
    <row r="346" ht="9.9499999999999993" customHeight="1"/>
    <row r="347" ht="9.9499999999999993" customHeight="1"/>
    <row r="348" ht="9.9499999999999993" customHeight="1"/>
    <row r="349" ht="9.9499999999999993" customHeight="1"/>
    <row r="350" ht="9.9499999999999993" customHeight="1"/>
    <row r="351" ht="9.9499999999999993" customHeight="1"/>
    <row r="352" ht="9.9499999999999993" customHeight="1"/>
    <row r="353" ht="9.9499999999999993" customHeight="1"/>
    <row r="354" ht="9.9499999999999993" customHeight="1"/>
    <row r="355" ht="9.9499999999999993" customHeight="1"/>
    <row r="356" ht="9.9499999999999993" customHeight="1"/>
    <row r="357" ht="9.9499999999999993" customHeight="1"/>
    <row r="358" ht="9.9499999999999993" customHeight="1"/>
    <row r="359" ht="9.9499999999999993" customHeight="1"/>
    <row r="360" ht="9.9499999999999993" customHeight="1"/>
    <row r="361" ht="9.9499999999999993" customHeight="1"/>
    <row r="362" ht="9.9499999999999993" customHeight="1"/>
    <row r="363" ht="9.9499999999999993" customHeight="1"/>
    <row r="364" ht="9.9499999999999993" customHeight="1"/>
    <row r="365" ht="9.9499999999999993" customHeight="1"/>
    <row r="366" ht="9.9499999999999993" customHeight="1"/>
    <row r="367" ht="9.9499999999999993" customHeight="1"/>
    <row r="368" ht="9.9499999999999993" customHeight="1"/>
    <row r="369" ht="9.9499999999999993" customHeight="1"/>
    <row r="370" ht="9.9499999999999993" customHeight="1"/>
    <row r="371" ht="9.9499999999999993" customHeight="1"/>
    <row r="372" ht="9.9499999999999993" customHeight="1"/>
    <row r="373" ht="9.9499999999999993" customHeight="1"/>
    <row r="374" ht="9.9499999999999993" customHeight="1"/>
    <row r="375" ht="9.9499999999999993" customHeight="1"/>
    <row r="376" ht="9.9499999999999993" customHeight="1"/>
    <row r="377" ht="9.9499999999999993" customHeight="1"/>
    <row r="378" ht="9.9499999999999993" customHeight="1"/>
    <row r="379" ht="9.9499999999999993" customHeight="1"/>
    <row r="380" ht="9.9499999999999993" customHeight="1"/>
    <row r="381" ht="9.9499999999999993" customHeight="1"/>
    <row r="382" ht="9.9499999999999993" customHeight="1"/>
    <row r="383" ht="9.9499999999999993" customHeight="1"/>
    <row r="384" ht="9.9499999999999993" customHeight="1"/>
    <row r="385" ht="9.9499999999999993" customHeight="1"/>
    <row r="386" ht="9.9499999999999993" customHeight="1"/>
    <row r="387" ht="9.9499999999999993" customHeight="1"/>
    <row r="388" ht="9.9499999999999993" customHeight="1"/>
    <row r="389" ht="9.9499999999999993" customHeight="1"/>
    <row r="390" ht="9.9499999999999993" customHeight="1"/>
    <row r="391" ht="9.9499999999999993" customHeight="1"/>
    <row r="392" ht="9.9499999999999993" customHeight="1"/>
    <row r="393" ht="9.9499999999999993" customHeight="1"/>
    <row r="394" ht="9.9499999999999993" customHeight="1"/>
    <row r="395" ht="9.9499999999999993" customHeight="1"/>
    <row r="396" ht="9.9499999999999993" customHeight="1"/>
    <row r="397" ht="9.9499999999999993" customHeight="1"/>
    <row r="398" ht="9.9499999999999993" customHeight="1"/>
    <row r="399" ht="9.9499999999999993" customHeight="1"/>
    <row r="400" ht="9.9499999999999993" customHeight="1"/>
    <row r="401" ht="9.9499999999999993" customHeight="1"/>
    <row r="402" ht="9.9499999999999993" customHeight="1"/>
    <row r="403" ht="9.9499999999999993" customHeight="1"/>
    <row r="404" ht="9.9499999999999993" customHeight="1"/>
    <row r="405" ht="9.9499999999999993" customHeight="1"/>
    <row r="406" ht="9.9499999999999993" customHeight="1"/>
    <row r="407" ht="9.9499999999999993" customHeight="1"/>
    <row r="408" ht="9.9499999999999993" customHeight="1"/>
    <row r="409" ht="9.9499999999999993" customHeight="1"/>
    <row r="410" ht="9.9499999999999993" customHeight="1"/>
    <row r="411" ht="9.9499999999999993" customHeight="1"/>
    <row r="412" ht="9.9499999999999993" customHeight="1"/>
    <row r="413" ht="9.9499999999999993" customHeight="1"/>
    <row r="414" ht="9.9499999999999993" customHeight="1"/>
    <row r="415" ht="9.9499999999999993" customHeight="1"/>
    <row r="416" ht="9.9499999999999993" customHeight="1"/>
    <row r="417" ht="9.9499999999999993" customHeight="1"/>
    <row r="418" ht="9.9499999999999993" customHeight="1"/>
    <row r="419" ht="9.9499999999999993" customHeight="1"/>
    <row r="420" ht="9.9499999999999993" customHeight="1"/>
    <row r="421" ht="9.9499999999999993" customHeight="1"/>
    <row r="422" ht="9.9499999999999993" customHeight="1"/>
    <row r="423" ht="9.9499999999999993" customHeight="1"/>
    <row r="424" ht="9.9499999999999993" customHeight="1"/>
    <row r="425" ht="9.9499999999999993" customHeight="1"/>
    <row r="426" ht="9.9499999999999993" customHeight="1"/>
    <row r="427" ht="9.9499999999999993" customHeight="1"/>
    <row r="428" ht="9.9499999999999993" customHeight="1"/>
    <row r="429" ht="9.9499999999999993" customHeight="1"/>
    <row r="430" ht="9.9499999999999993" customHeight="1"/>
    <row r="431" ht="9.9499999999999993" customHeight="1"/>
    <row r="432" ht="9.9499999999999993" customHeight="1"/>
    <row r="433" ht="9.9499999999999993" customHeight="1"/>
    <row r="434" ht="9.9499999999999993" customHeight="1"/>
    <row r="435" ht="9.9499999999999993" customHeight="1"/>
    <row r="436" ht="9.9499999999999993" customHeight="1"/>
    <row r="437" ht="9.9499999999999993" customHeight="1"/>
    <row r="438" ht="9.9499999999999993" customHeight="1"/>
    <row r="439" ht="9.9499999999999993" customHeight="1"/>
    <row r="440" ht="9.9499999999999993" customHeight="1"/>
    <row r="441" ht="9.9499999999999993" customHeight="1"/>
    <row r="442" ht="9.9499999999999993" customHeight="1"/>
    <row r="443" ht="9.9499999999999993" customHeight="1"/>
    <row r="444" ht="9.9499999999999993" customHeight="1"/>
    <row r="445" ht="9.9499999999999993" customHeight="1"/>
    <row r="446" ht="9.9499999999999993" customHeight="1"/>
    <row r="447" ht="9.9499999999999993" customHeight="1"/>
    <row r="448" ht="9.9499999999999993" customHeight="1"/>
    <row r="449" ht="9.9499999999999993" customHeight="1"/>
    <row r="450" ht="9.9499999999999993" customHeight="1"/>
    <row r="451" ht="9.9499999999999993" customHeight="1"/>
    <row r="452" ht="9.9499999999999993" customHeight="1"/>
    <row r="453" ht="9.9499999999999993" customHeight="1"/>
    <row r="454" ht="9.9499999999999993" customHeight="1"/>
    <row r="455" ht="9.9499999999999993" customHeight="1"/>
    <row r="456" ht="9.9499999999999993" customHeight="1"/>
    <row r="457" ht="9.9499999999999993" customHeight="1"/>
    <row r="458" ht="9.9499999999999993" customHeight="1"/>
    <row r="459" ht="9.9499999999999993" customHeight="1"/>
    <row r="460" ht="9.9499999999999993" customHeight="1"/>
    <row r="461" ht="9.9499999999999993" customHeight="1"/>
    <row r="462" ht="9.9499999999999993" customHeight="1"/>
    <row r="463" ht="9.9499999999999993" customHeight="1"/>
    <row r="464" ht="9.9499999999999993" customHeight="1"/>
    <row r="465" ht="9.9499999999999993" customHeight="1"/>
    <row r="466" ht="9.9499999999999993" customHeight="1"/>
    <row r="467" ht="9.9499999999999993" customHeight="1"/>
    <row r="468" ht="9.9499999999999993" customHeight="1"/>
    <row r="469" ht="9.9499999999999993" customHeight="1"/>
    <row r="470" ht="9.9499999999999993" customHeight="1"/>
    <row r="471" ht="9.9499999999999993" customHeight="1"/>
    <row r="472" ht="9.9499999999999993" customHeight="1"/>
    <row r="473" ht="9.9499999999999993" customHeight="1"/>
    <row r="474" ht="9.9499999999999993" customHeight="1"/>
    <row r="475" ht="9.9499999999999993" customHeight="1"/>
    <row r="476" ht="9.9499999999999993" customHeight="1"/>
    <row r="477" ht="9.9499999999999993" customHeight="1"/>
    <row r="478" ht="9.9499999999999993" customHeight="1"/>
    <row r="479" ht="9.9499999999999993" customHeight="1"/>
    <row r="480" ht="9.9499999999999993" customHeight="1"/>
    <row r="481" ht="9.9499999999999993" customHeight="1"/>
    <row r="482" ht="9.9499999999999993" customHeight="1"/>
    <row r="483" ht="9.9499999999999993" customHeight="1"/>
    <row r="484" ht="9.9499999999999993" customHeight="1"/>
    <row r="485" ht="9.9499999999999993" customHeight="1"/>
    <row r="486" ht="9.9499999999999993" customHeight="1"/>
    <row r="487" ht="9.9499999999999993" customHeight="1"/>
    <row r="488" ht="9.9499999999999993" customHeight="1"/>
    <row r="489" ht="9.9499999999999993" customHeight="1"/>
    <row r="490" ht="9.9499999999999993" customHeight="1"/>
    <row r="491" ht="9.9499999999999993" customHeight="1"/>
    <row r="492" ht="9.9499999999999993" customHeight="1"/>
    <row r="493" ht="9.9499999999999993" customHeight="1"/>
    <row r="494" ht="9.9499999999999993" customHeight="1"/>
    <row r="495" ht="9.9499999999999993" customHeight="1"/>
    <row r="496" ht="9.9499999999999993" customHeight="1"/>
    <row r="497" ht="9.9499999999999993" customHeight="1"/>
    <row r="498" ht="9.9499999999999993" customHeight="1"/>
    <row r="499" ht="9.9499999999999993" customHeight="1"/>
    <row r="500" ht="9.9499999999999993" customHeight="1"/>
    <row r="501" ht="9.9499999999999993" customHeight="1"/>
    <row r="502" ht="9.9499999999999993" customHeight="1"/>
    <row r="503" ht="9.9499999999999993" customHeight="1"/>
    <row r="504" ht="9.9499999999999993" customHeight="1"/>
    <row r="505" ht="9.9499999999999993" customHeight="1"/>
    <row r="506" ht="9.9499999999999993" customHeight="1"/>
    <row r="507" ht="9.9499999999999993" customHeight="1"/>
    <row r="508" ht="9.9499999999999993" customHeight="1"/>
    <row r="509" ht="9.9499999999999993" customHeight="1"/>
    <row r="510" ht="9.9499999999999993" customHeight="1"/>
    <row r="511" ht="9.9499999999999993" customHeight="1"/>
    <row r="512" ht="9.9499999999999993" customHeight="1"/>
    <row r="513" ht="9.9499999999999993" customHeight="1"/>
    <row r="514" ht="9.9499999999999993" customHeight="1"/>
    <row r="515" ht="9.9499999999999993" customHeight="1"/>
    <row r="516" ht="9.9499999999999993" customHeight="1"/>
    <row r="517" ht="9.9499999999999993" customHeight="1"/>
    <row r="518" ht="9.9499999999999993" customHeight="1"/>
    <row r="519" ht="9.9499999999999993" customHeight="1"/>
    <row r="520" ht="9.9499999999999993" customHeight="1"/>
    <row r="521" ht="9.9499999999999993" customHeight="1"/>
    <row r="522" ht="9.9499999999999993" customHeight="1"/>
    <row r="523" ht="9.9499999999999993" customHeight="1"/>
    <row r="524" ht="9.9499999999999993" customHeight="1"/>
    <row r="525" ht="9.9499999999999993" customHeight="1"/>
    <row r="526" ht="9.9499999999999993" customHeight="1"/>
    <row r="527" ht="9.9499999999999993" customHeight="1"/>
    <row r="528" ht="9.9499999999999993" customHeight="1"/>
    <row r="529" ht="9.9499999999999993" customHeight="1"/>
    <row r="530" ht="9.9499999999999993" customHeight="1"/>
    <row r="531" ht="9.9499999999999993" customHeight="1"/>
    <row r="532" ht="9.9499999999999993" customHeight="1"/>
    <row r="533" ht="9.9499999999999993" customHeight="1"/>
    <row r="534" ht="9.9499999999999993" customHeight="1"/>
    <row r="535" ht="9.9499999999999993" customHeight="1"/>
    <row r="536" ht="9.9499999999999993" customHeight="1"/>
    <row r="537" ht="9.9499999999999993" customHeight="1"/>
    <row r="538" ht="9.9499999999999993" customHeight="1"/>
    <row r="539" ht="9.9499999999999993" customHeight="1"/>
    <row r="540" ht="9.9499999999999993" customHeight="1"/>
    <row r="541" ht="9.9499999999999993" customHeight="1"/>
    <row r="542" ht="9.9499999999999993" customHeight="1"/>
    <row r="543" ht="9.9499999999999993" customHeight="1"/>
    <row r="544" ht="9.9499999999999993" customHeight="1"/>
    <row r="545" ht="9.9499999999999993" customHeight="1"/>
    <row r="546" ht="9.9499999999999993" customHeight="1"/>
    <row r="547" ht="9.9499999999999993" customHeight="1"/>
    <row r="548" ht="9.9499999999999993" customHeight="1"/>
    <row r="549" ht="9.9499999999999993" customHeight="1"/>
    <row r="550" ht="9.9499999999999993" customHeight="1"/>
    <row r="551" ht="9.9499999999999993" customHeight="1"/>
    <row r="552" ht="9.9499999999999993" customHeight="1"/>
    <row r="553" ht="9.9499999999999993" customHeight="1"/>
    <row r="554" ht="9.9499999999999993" customHeight="1"/>
    <row r="555" ht="9.9499999999999993" customHeight="1"/>
    <row r="556" ht="9.9499999999999993" customHeight="1"/>
    <row r="557" ht="9.9499999999999993" customHeight="1"/>
    <row r="558" ht="9.9499999999999993" customHeight="1"/>
    <row r="559" ht="9.9499999999999993" customHeight="1"/>
    <row r="560" ht="9.9499999999999993" customHeight="1"/>
    <row r="561" ht="9.9499999999999993" customHeight="1"/>
    <row r="562" ht="9.9499999999999993" customHeight="1"/>
    <row r="563" ht="9.9499999999999993" customHeight="1"/>
    <row r="564" ht="9.9499999999999993" customHeight="1"/>
    <row r="565" ht="9.9499999999999993" customHeight="1"/>
    <row r="566" ht="9.9499999999999993" customHeight="1"/>
    <row r="567" ht="9.9499999999999993" customHeight="1"/>
    <row r="568" ht="9.9499999999999993" customHeight="1"/>
    <row r="569" ht="9.9499999999999993" customHeight="1"/>
    <row r="570" ht="9.9499999999999993" customHeight="1"/>
    <row r="571" ht="9.9499999999999993" customHeight="1"/>
    <row r="572" ht="9.9499999999999993" customHeight="1"/>
    <row r="573" ht="9.9499999999999993" customHeight="1"/>
    <row r="574" ht="9.9499999999999993" customHeight="1"/>
    <row r="575" ht="9.9499999999999993" customHeight="1"/>
    <row r="576" ht="9.9499999999999993" customHeight="1"/>
    <row r="577" ht="9.9499999999999993" customHeight="1"/>
    <row r="578" ht="9.9499999999999993" customHeight="1"/>
    <row r="579" ht="9.9499999999999993" customHeight="1"/>
    <row r="580" ht="9.9499999999999993" customHeight="1"/>
    <row r="581" ht="9.9499999999999993" customHeight="1"/>
    <row r="582" ht="9.9499999999999993" customHeight="1"/>
    <row r="583" ht="9.9499999999999993" customHeight="1"/>
    <row r="584" ht="9.9499999999999993" customHeight="1"/>
    <row r="585" ht="9.9499999999999993" customHeight="1"/>
    <row r="586" ht="9.9499999999999993" customHeight="1"/>
    <row r="587" ht="9.9499999999999993" customHeight="1"/>
    <row r="588" ht="9.9499999999999993" customHeight="1"/>
    <row r="589" ht="9.9499999999999993" customHeight="1"/>
    <row r="590" ht="9.9499999999999993" customHeight="1"/>
    <row r="591" ht="9.9499999999999993" customHeight="1"/>
    <row r="592" ht="9.9499999999999993" customHeight="1"/>
    <row r="593" ht="9.9499999999999993" customHeight="1"/>
    <row r="594" ht="9.9499999999999993" customHeight="1"/>
    <row r="595" ht="9.9499999999999993" customHeight="1"/>
    <row r="596" ht="9.9499999999999993" customHeight="1"/>
    <row r="597" ht="9.9499999999999993" customHeight="1"/>
    <row r="598" ht="9.9499999999999993" customHeight="1"/>
    <row r="599" ht="9.9499999999999993" customHeight="1"/>
    <row r="600" ht="9.9499999999999993" customHeight="1"/>
    <row r="601" ht="9.9499999999999993" customHeight="1"/>
    <row r="602" ht="9.9499999999999993" customHeight="1"/>
    <row r="603" ht="9.9499999999999993" customHeight="1"/>
    <row r="604" ht="9.9499999999999993" customHeight="1"/>
    <row r="605" ht="9.9499999999999993" customHeight="1"/>
    <row r="606" ht="9.9499999999999993" customHeight="1"/>
    <row r="607" ht="9.9499999999999993" customHeight="1"/>
    <row r="608" ht="9.9499999999999993" customHeight="1"/>
    <row r="609" ht="9.9499999999999993" customHeight="1"/>
    <row r="610" ht="9.9499999999999993" customHeight="1"/>
    <row r="611" ht="9.9499999999999993" customHeight="1"/>
    <row r="612" ht="9.9499999999999993" customHeight="1"/>
    <row r="613" ht="9.9499999999999993" customHeight="1"/>
    <row r="614" ht="9.9499999999999993" customHeight="1"/>
    <row r="615" ht="9.9499999999999993" customHeight="1"/>
    <row r="616" ht="9.9499999999999993" customHeight="1"/>
    <row r="617" ht="9.9499999999999993" customHeight="1"/>
    <row r="618" ht="9.9499999999999993" customHeight="1"/>
    <row r="619" ht="9.9499999999999993" customHeight="1"/>
    <row r="620" ht="9.9499999999999993" customHeight="1"/>
    <row r="621" ht="9.9499999999999993" customHeight="1"/>
    <row r="622" ht="9.9499999999999993" customHeight="1"/>
    <row r="623" ht="9.9499999999999993" customHeight="1"/>
    <row r="624" ht="9.9499999999999993" customHeight="1"/>
    <row r="625" ht="9.9499999999999993" customHeight="1"/>
    <row r="626" ht="9.9499999999999993" customHeight="1"/>
    <row r="627" ht="9.9499999999999993" customHeight="1"/>
    <row r="628" ht="9.9499999999999993" customHeight="1"/>
    <row r="629" ht="9.9499999999999993" customHeight="1"/>
    <row r="630" ht="9.9499999999999993" customHeight="1"/>
    <row r="631" ht="9.9499999999999993" customHeight="1"/>
    <row r="632" ht="9.9499999999999993" customHeight="1"/>
    <row r="633" ht="9.9499999999999993" customHeight="1"/>
    <row r="634" ht="9.9499999999999993" customHeight="1"/>
    <row r="635" ht="9.9499999999999993" customHeight="1"/>
    <row r="636" ht="9.9499999999999993" customHeight="1"/>
    <row r="637" ht="9.9499999999999993" customHeight="1"/>
    <row r="638" ht="9.9499999999999993" customHeight="1"/>
    <row r="639" ht="9.9499999999999993" customHeight="1"/>
    <row r="640" ht="9.9499999999999993" customHeight="1"/>
    <row r="641" ht="9.9499999999999993" customHeight="1"/>
    <row r="642" ht="9.9499999999999993" customHeight="1"/>
    <row r="643" ht="9.9499999999999993" customHeight="1"/>
    <row r="644" ht="9.9499999999999993" customHeight="1"/>
    <row r="645" ht="9.9499999999999993" customHeight="1"/>
    <row r="646" ht="9.9499999999999993" customHeight="1"/>
    <row r="647" ht="9.9499999999999993" customHeight="1"/>
    <row r="648" ht="9.9499999999999993" customHeight="1"/>
    <row r="649" ht="9.9499999999999993" customHeight="1"/>
    <row r="650" ht="9.9499999999999993" customHeight="1"/>
    <row r="651" ht="9.9499999999999993" customHeight="1"/>
    <row r="652" ht="9.9499999999999993" customHeight="1"/>
    <row r="653" ht="9.9499999999999993" customHeight="1"/>
    <row r="654" ht="9.9499999999999993" customHeight="1"/>
    <row r="655" ht="9.9499999999999993" customHeight="1"/>
    <row r="656" ht="9.9499999999999993" customHeight="1"/>
    <row r="657" ht="9.9499999999999993" customHeight="1"/>
    <row r="658" ht="9.9499999999999993" customHeight="1"/>
    <row r="659" ht="9.9499999999999993" customHeight="1"/>
    <row r="660" ht="9.9499999999999993" customHeight="1"/>
    <row r="661" ht="9.9499999999999993" customHeight="1"/>
    <row r="662" ht="9.9499999999999993" customHeight="1"/>
    <row r="663" ht="9.9499999999999993" customHeight="1"/>
    <row r="664" ht="9.9499999999999993" customHeight="1"/>
    <row r="665" ht="9.9499999999999993" customHeight="1"/>
    <row r="666" ht="9.9499999999999993" customHeight="1"/>
    <row r="667" ht="9.9499999999999993" customHeight="1"/>
    <row r="668" ht="9.9499999999999993" customHeight="1"/>
    <row r="669" ht="9.9499999999999993" customHeight="1"/>
    <row r="670" ht="9.9499999999999993" customHeight="1"/>
    <row r="671" ht="9.9499999999999993" customHeight="1"/>
    <row r="672" ht="9.9499999999999993" customHeight="1"/>
    <row r="673" ht="9.9499999999999993" customHeight="1"/>
    <row r="674" ht="9.9499999999999993" customHeight="1"/>
    <row r="675" ht="9.9499999999999993" customHeight="1"/>
    <row r="676" ht="9.9499999999999993" customHeight="1"/>
    <row r="677" ht="9.9499999999999993" customHeight="1"/>
    <row r="678" ht="9.9499999999999993" customHeight="1"/>
    <row r="679" ht="9.9499999999999993" customHeight="1"/>
    <row r="680" ht="9.9499999999999993" customHeight="1"/>
    <row r="681" ht="9.9499999999999993" customHeight="1"/>
    <row r="682" ht="9.9499999999999993" customHeight="1"/>
    <row r="683" ht="9.9499999999999993" customHeight="1"/>
    <row r="684" ht="9.9499999999999993" customHeight="1"/>
    <row r="685" ht="9.9499999999999993" customHeight="1"/>
    <row r="686" ht="9.9499999999999993" customHeight="1"/>
    <row r="687" ht="9.9499999999999993" customHeight="1"/>
    <row r="688" ht="9.9499999999999993" customHeight="1"/>
    <row r="689" ht="9.9499999999999993" customHeight="1"/>
    <row r="690" ht="9.9499999999999993" customHeight="1"/>
    <row r="691" ht="9.9499999999999993" customHeight="1"/>
    <row r="692" ht="9.9499999999999993" customHeight="1"/>
    <row r="693" ht="9.9499999999999993" customHeight="1"/>
    <row r="694" ht="9.9499999999999993" customHeight="1"/>
    <row r="695" ht="9.9499999999999993" customHeight="1"/>
    <row r="696" ht="9.9499999999999993" customHeight="1"/>
    <row r="697" ht="9.9499999999999993" customHeight="1"/>
    <row r="698" ht="9.9499999999999993" customHeight="1"/>
    <row r="699" ht="9.9499999999999993" customHeight="1"/>
    <row r="700" ht="9.9499999999999993" customHeight="1"/>
    <row r="701" ht="9.9499999999999993" customHeight="1"/>
    <row r="702" ht="9.9499999999999993" customHeight="1"/>
    <row r="703" ht="9.9499999999999993" customHeight="1"/>
    <row r="704" ht="9.9499999999999993" customHeight="1"/>
    <row r="705" ht="9.9499999999999993" customHeight="1"/>
    <row r="706" ht="9.9499999999999993" customHeight="1"/>
    <row r="707" ht="9.9499999999999993" customHeight="1"/>
    <row r="708" ht="9.9499999999999993" customHeight="1"/>
    <row r="709" ht="9.9499999999999993" customHeight="1"/>
    <row r="710" ht="9.9499999999999993" customHeight="1"/>
    <row r="711" ht="9.9499999999999993" customHeight="1"/>
    <row r="712" ht="9.9499999999999993" customHeight="1"/>
    <row r="713" ht="9.9499999999999993" customHeight="1"/>
    <row r="714" ht="9.9499999999999993" customHeight="1"/>
    <row r="715" ht="9.9499999999999993" customHeight="1"/>
    <row r="716" ht="9.9499999999999993" customHeight="1"/>
    <row r="717" ht="9.9499999999999993" customHeight="1"/>
    <row r="718" ht="9.9499999999999993" customHeight="1"/>
    <row r="719" ht="9.9499999999999993" customHeight="1"/>
    <row r="720" ht="9.9499999999999993" customHeight="1"/>
    <row r="721" ht="9.9499999999999993" customHeight="1"/>
    <row r="722" ht="9.9499999999999993" customHeight="1"/>
    <row r="723" ht="9.9499999999999993" customHeight="1"/>
    <row r="724" ht="9.9499999999999993" customHeight="1"/>
    <row r="725" ht="9.9499999999999993" customHeight="1"/>
    <row r="726" ht="9.9499999999999993" customHeight="1"/>
    <row r="727" ht="9.9499999999999993" customHeight="1"/>
    <row r="728" ht="9.9499999999999993" customHeight="1"/>
    <row r="729" ht="9.9499999999999993" customHeight="1"/>
    <row r="730" ht="9.9499999999999993" customHeight="1"/>
    <row r="731" ht="9.9499999999999993" customHeight="1"/>
    <row r="732" ht="9.9499999999999993" customHeight="1"/>
    <row r="733" ht="9.9499999999999993" customHeight="1"/>
    <row r="734" ht="9.9499999999999993" customHeight="1"/>
    <row r="735" ht="9.9499999999999993" customHeight="1"/>
    <row r="736" ht="9.9499999999999993" customHeight="1"/>
    <row r="737" ht="9.9499999999999993" customHeight="1"/>
    <row r="738" ht="9.9499999999999993" customHeight="1"/>
    <row r="739" ht="9.9499999999999993" customHeight="1"/>
    <row r="740" ht="9.9499999999999993" customHeight="1"/>
    <row r="741" ht="9.9499999999999993" customHeight="1"/>
    <row r="742" ht="9.9499999999999993" customHeight="1"/>
    <row r="743" ht="9.9499999999999993" customHeight="1"/>
    <row r="744" ht="9.9499999999999993" customHeight="1"/>
    <row r="745" ht="9.9499999999999993" customHeight="1"/>
    <row r="746" ht="9.9499999999999993" customHeight="1"/>
    <row r="747" ht="9.9499999999999993" customHeight="1"/>
    <row r="748" ht="9.9499999999999993" customHeight="1"/>
    <row r="749" ht="9.9499999999999993" customHeight="1"/>
    <row r="750" ht="9.9499999999999993" customHeight="1"/>
    <row r="751" ht="9.9499999999999993" customHeight="1"/>
    <row r="752" ht="9.9499999999999993" customHeight="1"/>
    <row r="753" ht="9.9499999999999993" customHeight="1"/>
    <row r="754" ht="9.9499999999999993" customHeight="1"/>
    <row r="755" ht="9.9499999999999993" customHeight="1"/>
    <row r="756" ht="9.9499999999999993" customHeight="1"/>
    <row r="757" ht="9.9499999999999993" customHeight="1"/>
    <row r="758" ht="9.9499999999999993" customHeight="1"/>
    <row r="759" ht="9.9499999999999993" customHeight="1"/>
    <row r="760" ht="9.9499999999999993" customHeight="1"/>
    <row r="761" ht="9.9499999999999993" customHeight="1"/>
    <row r="762" ht="9.9499999999999993" customHeight="1"/>
    <row r="763" ht="9.9499999999999993" customHeight="1"/>
    <row r="764" ht="9.9499999999999993" customHeight="1"/>
    <row r="765" ht="9.9499999999999993" customHeight="1"/>
    <row r="766" ht="9.9499999999999993" customHeight="1"/>
    <row r="767" ht="9.9499999999999993" customHeight="1"/>
    <row r="768" ht="9.9499999999999993" customHeight="1"/>
    <row r="769" ht="9.9499999999999993" customHeight="1"/>
    <row r="770" ht="9.9499999999999993" customHeight="1"/>
    <row r="771" ht="9.9499999999999993" customHeight="1"/>
    <row r="772" ht="9.9499999999999993" customHeight="1"/>
    <row r="773" ht="9.9499999999999993" customHeight="1"/>
    <row r="774" ht="9.9499999999999993" customHeight="1"/>
    <row r="775" ht="9.9499999999999993" customHeight="1"/>
    <row r="776" ht="9.9499999999999993" customHeight="1"/>
    <row r="777" ht="9.9499999999999993" customHeight="1"/>
    <row r="778" ht="9.9499999999999993" customHeight="1"/>
    <row r="779" ht="9.9499999999999993" customHeight="1"/>
    <row r="780" ht="9.9499999999999993" customHeight="1"/>
    <row r="781" ht="9.9499999999999993" customHeight="1"/>
    <row r="782" ht="9.9499999999999993" customHeight="1"/>
    <row r="783" ht="9.9499999999999993" customHeight="1"/>
    <row r="784" ht="9.9499999999999993" customHeight="1"/>
    <row r="785" ht="9.9499999999999993" customHeight="1"/>
    <row r="786" ht="9.9499999999999993" customHeight="1"/>
    <row r="787" ht="9.9499999999999993" customHeight="1"/>
    <row r="788" ht="9.9499999999999993" customHeight="1"/>
    <row r="789" ht="9.9499999999999993" customHeight="1"/>
    <row r="790" ht="9.9499999999999993" customHeight="1"/>
    <row r="791" ht="9.9499999999999993" customHeight="1"/>
    <row r="792" ht="9.9499999999999993" customHeight="1"/>
    <row r="793" ht="9.9499999999999993" customHeight="1"/>
    <row r="794" ht="9.9499999999999993" customHeight="1"/>
    <row r="795" ht="9.9499999999999993" customHeight="1"/>
    <row r="796" ht="9.9499999999999993" customHeight="1"/>
    <row r="797" ht="9.9499999999999993" customHeight="1"/>
    <row r="798" ht="9.9499999999999993" customHeight="1"/>
    <row r="799" ht="9.9499999999999993" customHeight="1"/>
    <row r="800" ht="9.9499999999999993" customHeight="1"/>
    <row r="801" ht="9.9499999999999993" customHeight="1"/>
    <row r="802" ht="9.9499999999999993" customHeight="1"/>
    <row r="803" ht="9.9499999999999993" customHeight="1"/>
    <row r="804" ht="9.9499999999999993" customHeight="1"/>
    <row r="805" ht="9.9499999999999993" customHeight="1"/>
    <row r="806" ht="9.9499999999999993" customHeight="1"/>
    <row r="807" ht="9.9499999999999993" customHeight="1"/>
    <row r="808" ht="9.9499999999999993" customHeight="1"/>
    <row r="809" ht="9.9499999999999993" customHeight="1"/>
    <row r="810" ht="9.9499999999999993" customHeight="1"/>
    <row r="811" ht="9.9499999999999993" customHeight="1"/>
    <row r="812" ht="9.9499999999999993" customHeight="1"/>
    <row r="813" ht="9.9499999999999993" customHeight="1"/>
    <row r="814" ht="9.9499999999999993" customHeight="1"/>
    <row r="815" ht="9.9499999999999993" customHeight="1"/>
    <row r="816" ht="9.9499999999999993" customHeight="1"/>
    <row r="817" ht="9.9499999999999993" customHeight="1"/>
    <row r="818" ht="9.9499999999999993" customHeight="1"/>
    <row r="819" ht="9.9499999999999993" customHeight="1"/>
    <row r="820" ht="9.9499999999999993" customHeight="1"/>
    <row r="821" ht="9.9499999999999993" customHeight="1"/>
    <row r="822" ht="9.9499999999999993" customHeight="1"/>
    <row r="823" ht="9.9499999999999993" customHeight="1"/>
    <row r="824" ht="9.9499999999999993" customHeight="1"/>
    <row r="825" ht="9.9499999999999993" customHeight="1"/>
    <row r="826" ht="9.9499999999999993" customHeight="1"/>
    <row r="827" ht="9.9499999999999993" customHeight="1"/>
    <row r="828" ht="9.9499999999999993" customHeight="1"/>
    <row r="829" ht="9.9499999999999993" customHeight="1"/>
    <row r="830" ht="9.9499999999999993" customHeight="1"/>
    <row r="831" ht="9.9499999999999993" customHeight="1"/>
    <row r="832" ht="9.9499999999999993" customHeight="1"/>
    <row r="833" ht="9.9499999999999993" customHeight="1"/>
    <row r="834" ht="9.9499999999999993" customHeight="1"/>
    <row r="835" ht="9.9499999999999993" customHeight="1"/>
    <row r="836" ht="9.9499999999999993" customHeight="1"/>
    <row r="837" ht="9.9499999999999993" customHeight="1"/>
    <row r="838" ht="9.9499999999999993" customHeight="1"/>
    <row r="839" ht="9.9499999999999993" customHeight="1"/>
    <row r="840" ht="9.9499999999999993" customHeight="1"/>
    <row r="841" ht="9.9499999999999993" customHeight="1"/>
    <row r="842" ht="9.9499999999999993" customHeight="1"/>
    <row r="843" ht="9.9499999999999993" customHeight="1"/>
    <row r="844" ht="9.9499999999999993" customHeight="1"/>
    <row r="845" ht="9.9499999999999993" customHeight="1"/>
    <row r="846" ht="9.9499999999999993" customHeight="1"/>
    <row r="847" ht="9.9499999999999993" customHeight="1"/>
    <row r="848" ht="9.9499999999999993" customHeight="1"/>
    <row r="849" ht="9.9499999999999993" customHeight="1"/>
    <row r="850" ht="9.9499999999999993" customHeight="1"/>
    <row r="851" ht="9.9499999999999993" customHeight="1"/>
    <row r="852" ht="9.9499999999999993" customHeight="1"/>
    <row r="853" ht="9.9499999999999993" customHeight="1"/>
    <row r="854" ht="9.9499999999999993" customHeight="1"/>
    <row r="855" ht="9.9499999999999993" customHeight="1"/>
    <row r="856" ht="9.9499999999999993" customHeight="1"/>
    <row r="857" ht="9.9499999999999993" customHeight="1"/>
    <row r="858" ht="9.9499999999999993" customHeight="1"/>
    <row r="859" ht="9.9499999999999993" customHeight="1"/>
    <row r="860" ht="9.9499999999999993" customHeight="1"/>
    <row r="861" ht="9.9499999999999993" customHeight="1"/>
    <row r="862" ht="9.9499999999999993" customHeight="1"/>
    <row r="863" ht="9.9499999999999993" customHeight="1"/>
    <row r="864" ht="9.9499999999999993" customHeight="1"/>
    <row r="865" ht="9.9499999999999993" customHeight="1"/>
    <row r="866" ht="9.9499999999999993" customHeight="1"/>
    <row r="867" ht="9.9499999999999993" customHeight="1"/>
    <row r="868" ht="9.9499999999999993" customHeight="1"/>
    <row r="869" ht="9.9499999999999993" customHeight="1"/>
    <row r="870" ht="9.9499999999999993" customHeight="1"/>
    <row r="871" ht="9.9499999999999993" customHeight="1"/>
    <row r="872" ht="9.9499999999999993" customHeight="1"/>
    <row r="873" ht="9.9499999999999993" customHeight="1"/>
    <row r="874" ht="9.9499999999999993" customHeight="1"/>
    <row r="875" ht="9.9499999999999993" customHeight="1"/>
    <row r="876" ht="9.9499999999999993" customHeight="1"/>
    <row r="877" ht="9.9499999999999993" customHeight="1"/>
    <row r="878" ht="9.9499999999999993" customHeight="1"/>
    <row r="879" ht="9.9499999999999993" customHeight="1"/>
    <row r="880" ht="9.9499999999999993" customHeight="1"/>
    <row r="881" ht="9.9499999999999993" customHeight="1"/>
    <row r="882" ht="9.9499999999999993" customHeight="1"/>
    <row r="883" ht="9.9499999999999993" customHeight="1"/>
    <row r="884" ht="9.9499999999999993" customHeight="1"/>
    <row r="885" ht="9.9499999999999993" customHeight="1"/>
    <row r="886" ht="9.9499999999999993" customHeight="1"/>
    <row r="887" ht="9.9499999999999993" customHeight="1"/>
    <row r="888" ht="9.9499999999999993" customHeight="1"/>
    <row r="889" ht="9.9499999999999993" customHeight="1"/>
    <row r="890" ht="9.9499999999999993" customHeight="1"/>
    <row r="891" ht="9.9499999999999993" customHeight="1"/>
    <row r="892" ht="9.9499999999999993" customHeight="1"/>
    <row r="893" ht="9.9499999999999993" customHeight="1"/>
    <row r="894" ht="9.9499999999999993" customHeight="1"/>
    <row r="895" ht="9.9499999999999993" customHeight="1"/>
    <row r="896" ht="9.9499999999999993" customHeight="1"/>
    <row r="897" ht="9.9499999999999993" customHeight="1"/>
  </sheetData>
  <mergeCells count="764">
    <mergeCell ref="A1:CF1"/>
    <mergeCell ref="A3:E3"/>
    <mergeCell ref="F3:AA3"/>
    <mergeCell ref="AB3:AN3"/>
    <mergeCell ref="AO3:AY3"/>
    <mergeCell ref="AZ3:BJ3"/>
    <mergeCell ref="BK3:BU3"/>
    <mergeCell ref="BV3:CF3"/>
    <mergeCell ref="BV4:CF4"/>
    <mergeCell ref="A5:E5"/>
    <mergeCell ref="F5:AA5"/>
    <mergeCell ref="AB5:AN5"/>
    <mergeCell ref="AO5:AY5"/>
    <mergeCell ref="AZ5:BJ5"/>
    <mergeCell ref="BK5:BU5"/>
    <mergeCell ref="BV5:CF5"/>
    <mergeCell ref="A4:E4"/>
    <mergeCell ref="F4:AA4"/>
    <mergeCell ref="AB4:AN4"/>
    <mergeCell ref="AO4:AY4"/>
    <mergeCell ref="AZ4:BJ4"/>
    <mergeCell ref="BK4:BU4"/>
    <mergeCell ref="BV6:CF6"/>
    <mergeCell ref="A7:E7"/>
    <mergeCell ref="F7:AA7"/>
    <mergeCell ref="AB7:AN7"/>
    <mergeCell ref="AO7:AY7"/>
    <mergeCell ref="AZ7:BJ7"/>
    <mergeCell ref="BK7:BU7"/>
    <mergeCell ref="BV7:CF7"/>
    <mergeCell ref="A6:E6"/>
    <mergeCell ref="F6:AA6"/>
    <mergeCell ref="AB6:AN6"/>
    <mergeCell ref="AO6:AY6"/>
    <mergeCell ref="AZ6:BJ6"/>
    <mergeCell ref="BK6:BU6"/>
    <mergeCell ref="BV8:CF8"/>
    <mergeCell ref="A9:E9"/>
    <mergeCell ref="F9:AA9"/>
    <mergeCell ref="AB9:AN9"/>
    <mergeCell ref="AO9:AY9"/>
    <mergeCell ref="AZ9:BJ9"/>
    <mergeCell ref="BK9:BU9"/>
    <mergeCell ref="BV9:CF9"/>
    <mergeCell ref="A8:E8"/>
    <mergeCell ref="F8:AA8"/>
    <mergeCell ref="AB8:AN8"/>
    <mergeCell ref="AO8:AY8"/>
    <mergeCell ref="AZ8:BJ8"/>
    <mergeCell ref="BK8:BU8"/>
    <mergeCell ref="BV10:CF10"/>
    <mergeCell ref="A11:E11"/>
    <mergeCell ref="F11:AA11"/>
    <mergeCell ref="AB11:AN11"/>
    <mergeCell ref="AO11:AY11"/>
    <mergeCell ref="AZ11:BJ11"/>
    <mergeCell ref="BK11:BU11"/>
    <mergeCell ref="BV11:CF11"/>
    <mergeCell ref="A10:E10"/>
    <mergeCell ref="F10:AA10"/>
    <mergeCell ref="AB10:AN10"/>
    <mergeCell ref="AO10:AY10"/>
    <mergeCell ref="AZ10:BJ10"/>
    <mergeCell ref="BK10:BU10"/>
    <mergeCell ref="BV12:CF12"/>
    <mergeCell ref="A13:E13"/>
    <mergeCell ref="F13:AA13"/>
    <mergeCell ref="AB13:AN13"/>
    <mergeCell ref="AO13:AY13"/>
    <mergeCell ref="AZ13:BJ13"/>
    <mergeCell ref="BK13:BU13"/>
    <mergeCell ref="BV13:CF13"/>
    <mergeCell ref="A12:E12"/>
    <mergeCell ref="F12:AA12"/>
    <mergeCell ref="AB12:AN12"/>
    <mergeCell ref="AO12:AY12"/>
    <mergeCell ref="AZ12:BJ12"/>
    <mergeCell ref="BK12:BU12"/>
    <mergeCell ref="BV14:CF14"/>
    <mergeCell ref="A15:E15"/>
    <mergeCell ref="F15:AA15"/>
    <mergeCell ref="AB15:AN15"/>
    <mergeCell ref="AO15:AY15"/>
    <mergeCell ref="AZ15:BJ15"/>
    <mergeCell ref="BK15:BU15"/>
    <mergeCell ref="BV15:CF15"/>
    <mergeCell ref="A14:E14"/>
    <mergeCell ref="F14:AA14"/>
    <mergeCell ref="AB14:AN14"/>
    <mergeCell ref="AO14:AY14"/>
    <mergeCell ref="AZ14:BJ14"/>
    <mergeCell ref="BK14:BU14"/>
    <mergeCell ref="BV16:CF16"/>
    <mergeCell ref="A17:E17"/>
    <mergeCell ref="F17:AA17"/>
    <mergeCell ref="AB17:AN17"/>
    <mergeCell ref="AO17:AY17"/>
    <mergeCell ref="AZ17:BJ17"/>
    <mergeCell ref="BK17:BU17"/>
    <mergeCell ref="BV17:CF17"/>
    <mergeCell ref="A16:E16"/>
    <mergeCell ref="F16:AA16"/>
    <mergeCell ref="AB16:AN16"/>
    <mergeCell ref="AO16:AY16"/>
    <mergeCell ref="AZ16:BJ16"/>
    <mergeCell ref="BK16:BU16"/>
    <mergeCell ref="BV18:CF18"/>
    <mergeCell ref="A19:E19"/>
    <mergeCell ref="F19:AA19"/>
    <mergeCell ref="AB19:AN19"/>
    <mergeCell ref="AO19:AY19"/>
    <mergeCell ref="AZ19:BJ19"/>
    <mergeCell ref="BK19:BU19"/>
    <mergeCell ref="BV19:CF19"/>
    <mergeCell ref="A18:E18"/>
    <mergeCell ref="F18:AA18"/>
    <mergeCell ref="AB18:AN18"/>
    <mergeCell ref="AO18:AY18"/>
    <mergeCell ref="AZ18:BJ18"/>
    <mergeCell ref="BK18:BU18"/>
    <mergeCell ref="BV20:CF20"/>
    <mergeCell ref="A21:E21"/>
    <mergeCell ref="F21:AA21"/>
    <mergeCell ref="AB21:AN21"/>
    <mergeCell ref="AO21:AY21"/>
    <mergeCell ref="AZ21:BJ21"/>
    <mergeCell ref="BK21:BU21"/>
    <mergeCell ref="BV21:CF21"/>
    <mergeCell ref="A20:E20"/>
    <mergeCell ref="F20:AA20"/>
    <mergeCell ref="AB20:AN20"/>
    <mergeCell ref="AO20:AY20"/>
    <mergeCell ref="AZ20:BJ20"/>
    <mergeCell ref="BK20:BU20"/>
    <mergeCell ref="BV22:CF22"/>
    <mergeCell ref="A23:E23"/>
    <mergeCell ref="F23:AA23"/>
    <mergeCell ref="AB23:AN23"/>
    <mergeCell ref="AO23:AY23"/>
    <mergeCell ref="AZ23:BJ23"/>
    <mergeCell ref="BK23:BU23"/>
    <mergeCell ref="BV23:CF23"/>
    <mergeCell ref="A22:E22"/>
    <mergeCell ref="F22:AA22"/>
    <mergeCell ref="AB22:AN22"/>
    <mergeCell ref="AO22:AY22"/>
    <mergeCell ref="AZ22:BJ22"/>
    <mergeCell ref="BK22:BU22"/>
    <mergeCell ref="BV24:CF24"/>
    <mergeCell ref="A25:E25"/>
    <mergeCell ref="F25:AA25"/>
    <mergeCell ref="AB25:AN25"/>
    <mergeCell ref="AO25:AY25"/>
    <mergeCell ref="AZ25:BJ25"/>
    <mergeCell ref="BK25:BU25"/>
    <mergeCell ref="BV25:CF25"/>
    <mergeCell ref="A24:E24"/>
    <mergeCell ref="F24:AA24"/>
    <mergeCell ref="AB24:AN24"/>
    <mergeCell ref="AO24:AY24"/>
    <mergeCell ref="AZ24:BJ24"/>
    <mergeCell ref="BK24:BU24"/>
    <mergeCell ref="BV26:CF26"/>
    <mergeCell ref="A27:E27"/>
    <mergeCell ref="F27:AA27"/>
    <mergeCell ref="AB27:AN27"/>
    <mergeCell ref="AO27:AY27"/>
    <mergeCell ref="AZ27:BJ27"/>
    <mergeCell ref="BK27:BU27"/>
    <mergeCell ref="BV27:CF27"/>
    <mergeCell ref="A26:E26"/>
    <mergeCell ref="F26:AA26"/>
    <mergeCell ref="AB26:AN26"/>
    <mergeCell ref="AO26:AY26"/>
    <mergeCell ref="AZ26:BJ26"/>
    <mergeCell ref="BK26:BU26"/>
    <mergeCell ref="BV28:CF28"/>
    <mergeCell ref="A29:E29"/>
    <mergeCell ref="F29:AA29"/>
    <mergeCell ref="AB29:AN29"/>
    <mergeCell ref="AO29:AY29"/>
    <mergeCell ref="AZ29:BJ29"/>
    <mergeCell ref="BK29:BU29"/>
    <mergeCell ref="BV29:CF29"/>
    <mergeCell ref="A28:E28"/>
    <mergeCell ref="F28:AA28"/>
    <mergeCell ref="AB28:AN28"/>
    <mergeCell ref="AO28:AY28"/>
    <mergeCell ref="AZ28:BJ28"/>
    <mergeCell ref="BK28:BU28"/>
    <mergeCell ref="BV30:CF30"/>
    <mergeCell ref="A31:E31"/>
    <mergeCell ref="F31:AA31"/>
    <mergeCell ref="AB31:AN31"/>
    <mergeCell ref="AO31:AY31"/>
    <mergeCell ref="AZ31:BJ31"/>
    <mergeCell ref="BK31:BU31"/>
    <mergeCell ref="BV31:CF31"/>
    <mergeCell ref="A30:E30"/>
    <mergeCell ref="F30:AA30"/>
    <mergeCell ref="AB30:AN30"/>
    <mergeCell ref="AO30:AY30"/>
    <mergeCell ref="AZ30:BJ30"/>
    <mergeCell ref="BK30:BU30"/>
    <mergeCell ref="BV32:CF32"/>
    <mergeCell ref="A33:E33"/>
    <mergeCell ref="F33:AA33"/>
    <mergeCell ref="AB33:AN33"/>
    <mergeCell ref="AO33:AY33"/>
    <mergeCell ref="AZ33:BJ33"/>
    <mergeCell ref="BK33:BU33"/>
    <mergeCell ref="BV33:CF33"/>
    <mergeCell ref="A32:E32"/>
    <mergeCell ref="F32:AA32"/>
    <mergeCell ref="AB32:AN32"/>
    <mergeCell ref="AO32:AY32"/>
    <mergeCell ref="AZ32:BJ32"/>
    <mergeCell ref="BK32:BU32"/>
    <mergeCell ref="BV34:CF34"/>
    <mergeCell ref="A35:E35"/>
    <mergeCell ref="F35:AA35"/>
    <mergeCell ref="AB35:AN35"/>
    <mergeCell ref="AO35:AY35"/>
    <mergeCell ref="AZ35:BJ35"/>
    <mergeCell ref="BK35:BU35"/>
    <mergeCell ref="BV35:CF35"/>
    <mergeCell ref="A34:E34"/>
    <mergeCell ref="F34:AA34"/>
    <mergeCell ref="AB34:AN34"/>
    <mergeCell ref="AO34:AY34"/>
    <mergeCell ref="AZ34:BJ34"/>
    <mergeCell ref="BK34:BU34"/>
    <mergeCell ref="BV36:CF36"/>
    <mergeCell ref="A37:E37"/>
    <mergeCell ref="F37:AA37"/>
    <mergeCell ref="AB37:AN37"/>
    <mergeCell ref="AO37:AY37"/>
    <mergeCell ref="AZ37:BJ37"/>
    <mergeCell ref="BK37:BU37"/>
    <mergeCell ref="BV37:CF37"/>
    <mergeCell ref="A36:E36"/>
    <mergeCell ref="F36:AA36"/>
    <mergeCell ref="AB36:AN36"/>
    <mergeCell ref="AO36:AY36"/>
    <mergeCell ref="AZ36:BJ36"/>
    <mergeCell ref="BK36:BU36"/>
    <mergeCell ref="BV38:CF38"/>
    <mergeCell ref="A39:E39"/>
    <mergeCell ref="F39:AA39"/>
    <mergeCell ref="AB39:AN39"/>
    <mergeCell ref="AO39:AY39"/>
    <mergeCell ref="AZ39:BJ39"/>
    <mergeCell ref="BK39:BU39"/>
    <mergeCell ref="BV39:CF39"/>
    <mergeCell ref="A38:E38"/>
    <mergeCell ref="F38:AA38"/>
    <mergeCell ref="AB38:AN38"/>
    <mergeCell ref="AO38:AY38"/>
    <mergeCell ref="AZ38:BJ38"/>
    <mergeCell ref="BK38:BU38"/>
    <mergeCell ref="BV40:CF40"/>
    <mergeCell ref="A41:E41"/>
    <mergeCell ref="F41:AA41"/>
    <mergeCell ref="AB41:AN41"/>
    <mergeCell ref="AO41:AY41"/>
    <mergeCell ref="AZ41:BJ41"/>
    <mergeCell ref="BK41:BU41"/>
    <mergeCell ref="BV41:CF41"/>
    <mergeCell ref="A40:E40"/>
    <mergeCell ref="F40:AA40"/>
    <mergeCell ref="AB40:AN40"/>
    <mergeCell ref="AO40:AY40"/>
    <mergeCell ref="AZ40:BJ40"/>
    <mergeCell ref="BK40:BU40"/>
    <mergeCell ref="BV42:CF42"/>
    <mergeCell ref="A43:E43"/>
    <mergeCell ref="F43:AA43"/>
    <mergeCell ref="AB43:AN43"/>
    <mergeCell ref="AO43:AY43"/>
    <mergeCell ref="AZ43:BJ43"/>
    <mergeCell ref="BK43:BU43"/>
    <mergeCell ref="BV43:CF43"/>
    <mergeCell ref="A42:E42"/>
    <mergeCell ref="F42:AA42"/>
    <mergeCell ref="AB42:AN42"/>
    <mergeCell ref="AO42:AY42"/>
    <mergeCell ref="AZ42:BJ42"/>
    <mergeCell ref="BK42:BU42"/>
    <mergeCell ref="BV44:CF44"/>
    <mergeCell ref="A45:E45"/>
    <mergeCell ref="F45:AA45"/>
    <mergeCell ref="AB45:AN45"/>
    <mergeCell ref="AO45:AY45"/>
    <mergeCell ref="AZ45:BJ45"/>
    <mergeCell ref="BK45:BU45"/>
    <mergeCell ref="BV45:CF45"/>
    <mergeCell ref="A44:E44"/>
    <mergeCell ref="F44:AA44"/>
    <mergeCell ref="AB44:AN44"/>
    <mergeCell ref="AO44:AY44"/>
    <mergeCell ref="AZ44:BJ44"/>
    <mergeCell ref="BK44:BU44"/>
    <mergeCell ref="BV46:CF46"/>
    <mergeCell ref="A47:E47"/>
    <mergeCell ref="F47:AA47"/>
    <mergeCell ref="AB47:AN47"/>
    <mergeCell ref="AO47:AY47"/>
    <mergeCell ref="AZ47:BJ47"/>
    <mergeCell ref="BK47:BU47"/>
    <mergeCell ref="BV47:CF47"/>
    <mergeCell ref="A46:E46"/>
    <mergeCell ref="F46:AA46"/>
    <mergeCell ref="AB46:AN46"/>
    <mergeCell ref="AO46:AY46"/>
    <mergeCell ref="AZ46:BJ46"/>
    <mergeCell ref="BK46:BU46"/>
    <mergeCell ref="BV48:CF48"/>
    <mergeCell ref="A49:E49"/>
    <mergeCell ref="F49:AA49"/>
    <mergeCell ref="AB49:AN49"/>
    <mergeCell ref="AO49:AY49"/>
    <mergeCell ref="AZ49:BJ49"/>
    <mergeCell ref="BK49:BU49"/>
    <mergeCell ref="BV49:CF49"/>
    <mergeCell ref="A48:E48"/>
    <mergeCell ref="F48:AA48"/>
    <mergeCell ref="AB48:AN48"/>
    <mergeCell ref="AO48:AY48"/>
    <mergeCell ref="AZ48:BJ48"/>
    <mergeCell ref="BK48:BU48"/>
    <mergeCell ref="BV50:CF50"/>
    <mergeCell ref="A51:E51"/>
    <mergeCell ref="F51:AA51"/>
    <mergeCell ref="AB51:AN51"/>
    <mergeCell ref="AO51:AY51"/>
    <mergeCell ref="AZ51:BJ51"/>
    <mergeCell ref="BK51:BU51"/>
    <mergeCell ref="BV51:CF51"/>
    <mergeCell ref="A50:E50"/>
    <mergeCell ref="F50:AA50"/>
    <mergeCell ref="AB50:AN50"/>
    <mergeCell ref="AO50:AY50"/>
    <mergeCell ref="AZ50:BJ50"/>
    <mergeCell ref="BK50:BU50"/>
    <mergeCell ref="BV52:CF52"/>
    <mergeCell ref="A53:E53"/>
    <mergeCell ref="F53:AA53"/>
    <mergeCell ref="AB53:AN53"/>
    <mergeCell ref="AO53:AY53"/>
    <mergeCell ref="AZ53:BJ53"/>
    <mergeCell ref="BK53:BU53"/>
    <mergeCell ref="BV53:CF53"/>
    <mergeCell ref="A52:E52"/>
    <mergeCell ref="F52:AA52"/>
    <mergeCell ref="AB52:AN52"/>
    <mergeCell ref="AO52:AY52"/>
    <mergeCell ref="AZ52:BJ52"/>
    <mergeCell ref="BK52:BU52"/>
    <mergeCell ref="BV54:CF54"/>
    <mergeCell ref="A55:E55"/>
    <mergeCell ref="F55:AA55"/>
    <mergeCell ref="AB55:AN55"/>
    <mergeCell ref="AO55:AY55"/>
    <mergeCell ref="AZ55:BJ55"/>
    <mergeCell ref="BK55:BU55"/>
    <mergeCell ref="BV55:CF55"/>
    <mergeCell ref="A54:E54"/>
    <mergeCell ref="F54:AA54"/>
    <mergeCell ref="AB54:AN54"/>
    <mergeCell ref="AO54:AY54"/>
    <mergeCell ref="AZ54:BJ54"/>
    <mergeCell ref="BK54:BU54"/>
    <mergeCell ref="BV56:CF56"/>
    <mergeCell ref="A57:E57"/>
    <mergeCell ref="F57:AA57"/>
    <mergeCell ref="AB57:AN57"/>
    <mergeCell ref="AO57:AY57"/>
    <mergeCell ref="AZ57:BJ57"/>
    <mergeCell ref="BK57:BU57"/>
    <mergeCell ref="BV57:CF57"/>
    <mergeCell ref="A56:E56"/>
    <mergeCell ref="F56:AA56"/>
    <mergeCell ref="AB56:AN56"/>
    <mergeCell ref="AO56:AY56"/>
    <mergeCell ref="AZ56:BJ56"/>
    <mergeCell ref="BK56:BU56"/>
    <mergeCell ref="BV58:CF58"/>
    <mergeCell ref="A59:E59"/>
    <mergeCell ref="F59:AA59"/>
    <mergeCell ref="AB59:AN59"/>
    <mergeCell ref="AO59:AY59"/>
    <mergeCell ref="AZ59:BJ59"/>
    <mergeCell ref="BK59:BU59"/>
    <mergeCell ref="BV59:CF59"/>
    <mergeCell ref="A58:E58"/>
    <mergeCell ref="F58:AA58"/>
    <mergeCell ref="AB58:AN58"/>
    <mergeCell ref="AO58:AY58"/>
    <mergeCell ref="AZ58:BJ58"/>
    <mergeCell ref="BK58:BU58"/>
    <mergeCell ref="BV60:CF60"/>
    <mergeCell ref="A61:E61"/>
    <mergeCell ref="F61:AA61"/>
    <mergeCell ref="AB61:AN61"/>
    <mergeCell ref="AO61:AY61"/>
    <mergeCell ref="AZ61:BJ61"/>
    <mergeCell ref="BK61:BU61"/>
    <mergeCell ref="BV61:CF61"/>
    <mergeCell ref="A60:E60"/>
    <mergeCell ref="F60:AA60"/>
    <mergeCell ref="AB60:AN60"/>
    <mergeCell ref="AO60:AY60"/>
    <mergeCell ref="AZ60:BJ60"/>
    <mergeCell ref="BK60:BU60"/>
    <mergeCell ref="BV62:CF62"/>
    <mergeCell ref="A63:E63"/>
    <mergeCell ref="F63:AA63"/>
    <mergeCell ref="AB63:AN63"/>
    <mergeCell ref="AO63:AY63"/>
    <mergeCell ref="AZ63:BJ63"/>
    <mergeCell ref="BK63:BU63"/>
    <mergeCell ref="BV63:CF63"/>
    <mergeCell ref="A62:E62"/>
    <mergeCell ref="F62:AA62"/>
    <mergeCell ref="AB62:AN62"/>
    <mergeCell ref="AO62:AY62"/>
    <mergeCell ref="AZ62:BJ62"/>
    <mergeCell ref="BK62:BU62"/>
    <mergeCell ref="BV64:CF64"/>
    <mergeCell ref="A65:E65"/>
    <mergeCell ref="F65:AA65"/>
    <mergeCell ref="AB65:AN65"/>
    <mergeCell ref="AO65:AY65"/>
    <mergeCell ref="AZ65:BJ65"/>
    <mergeCell ref="BK65:BU65"/>
    <mergeCell ref="BV65:CF65"/>
    <mergeCell ref="A64:E64"/>
    <mergeCell ref="F64:AA64"/>
    <mergeCell ref="AB64:AN64"/>
    <mergeCell ref="AO64:AY64"/>
    <mergeCell ref="AZ64:BJ64"/>
    <mergeCell ref="BK64:BU64"/>
    <mergeCell ref="BV66:CF66"/>
    <mergeCell ref="A67:E67"/>
    <mergeCell ref="F67:AA67"/>
    <mergeCell ref="AB67:AN67"/>
    <mergeCell ref="AO67:AY67"/>
    <mergeCell ref="AZ67:BJ67"/>
    <mergeCell ref="BK67:BU67"/>
    <mergeCell ref="BV67:CF67"/>
    <mergeCell ref="A66:E66"/>
    <mergeCell ref="F66:AA66"/>
    <mergeCell ref="AB66:AN66"/>
    <mergeCell ref="AO66:AY66"/>
    <mergeCell ref="AZ66:BJ66"/>
    <mergeCell ref="BK66:BU66"/>
    <mergeCell ref="BV68:CF68"/>
    <mergeCell ref="A69:E69"/>
    <mergeCell ref="F69:AA69"/>
    <mergeCell ref="AB69:AN69"/>
    <mergeCell ref="AO69:AY69"/>
    <mergeCell ref="AZ69:BJ69"/>
    <mergeCell ref="BK69:BU69"/>
    <mergeCell ref="BV69:CF69"/>
    <mergeCell ref="A68:E68"/>
    <mergeCell ref="F68:AA68"/>
    <mergeCell ref="AB68:AN68"/>
    <mergeCell ref="AO68:AY68"/>
    <mergeCell ref="AZ68:BJ68"/>
    <mergeCell ref="BK68:BU68"/>
    <mergeCell ref="BV70:CF70"/>
    <mergeCell ref="A71:E71"/>
    <mergeCell ref="F71:AA71"/>
    <mergeCell ref="AB71:AN71"/>
    <mergeCell ref="AO71:AY71"/>
    <mergeCell ref="AZ71:BJ71"/>
    <mergeCell ref="BK71:BU71"/>
    <mergeCell ref="BV71:CF71"/>
    <mergeCell ref="A70:E70"/>
    <mergeCell ref="F70:AA70"/>
    <mergeCell ref="AB70:AN70"/>
    <mergeCell ref="AO70:AY70"/>
    <mergeCell ref="AZ70:BJ70"/>
    <mergeCell ref="BK70:BU70"/>
    <mergeCell ref="BV72:CF72"/>
    <mergeCell ref="A73:E73"/>
    <mergeCell ref="F73:AA73"/>
    <mergeCell ref="AB73:AN73"/>
    <mergeCell ref="AO73:AY73"/>
    <mergeCell ref="AZ73:BJ73"/>
    <mergeCell ref="BK73:BU73"/>
    <mergeCell ref="BV73:CF73"/>
    <mergeCell ref="A72:E72"/>
    <mergeCell ref="F72:AA72"/>
    <mergeCell ref="AB72:AN72"/>
    <mergeCell ref="AO72:AY72"/>
    <mergeCell ref="AZ72:BJ72"/>
    <mergeCell ref="BK72:BU72"/>
    <mergeCell ref="BV74:CF74"/>
    <mergeCell ref="A75:E75"/>
    <mergeCell ref="F75:AA75"/>
    <mergeCell ref="AB75:AN75"/>
    <mergeCell ref="AO75:AY75"/>
    <mergeCell ref="AZ75:BJ75"/>
    <mergeCell ref="BK75:BU75"/>
    <mergeCell ref="BV75:CF75"/>
    <mergeCell ref="A74:E74"/>
    <mergeCell ref="F74:AA74"/>
    <mergeCell ref="AB74:AN74"/>
    <mergeCell ref="AO74:AY74"/>
    <mergeCell ref="AZ74:BJ74"/>
    <mergeCell ref="BK74:BU74"/>
    <mergeCell ref="BV76:CF76"/>
    <mergeCell ref="A77:E77"/>
    <mergeCell ref="F77:AA77"/>
    <mergeCell ref="AB77:AN77"/>
    <mergeCell ref="AO77:AY77"/>
    <mergeCell ref="AZ77:BJ77"/>
    <mergeCell ref="BK77:BU77"/>
    <mergeCell ref="BV77:CF77"/>
    <mergeCell ref="A76:E76"/>
    <mergeCell ref="F76:AA76"/>
    <mergeCell ref="AB76:AN76"/>
    <mergeCell ref="AO76:AY76"/>
    <mergeCell ref="AZ76:BJ76"/>
    <mergeCell ref="BK76:BU76"/>
    <mergeCell ref="BV78:CF78"/>
    <mergeCell ref="A79:E79"/>
    <mergeCell ref="F79:AA79"/>
    <mergeCell ref="AB79:AN79"/>
    <mergeCell ref="AO79:AY79"/>
    <mergeCell ref="AZ79:BJ79"/>
    <mergeCell ref="BK79:BU79"/>
    <mergeCell ref="BV79:CF79"/>
    <mergeCell ref="A78:E78"/>
    <mergeCell ref="F78:AA78"/>
    <mergeCell ref="AB78:AN78"/>
    <mergeCell ref="AO78:AY78"/>
    <mergeCell ref="AZ78:BJ78"/>
    <mergeCell ref="BK78:BU78"/>
    <mergeCell ref="BV80:CF80"/>
    <mergeCell ref="A81:E81"/>
    <mergeCell ref="F81:AA81"/>
    <mergeCell ref="AB81:AN81"/>
    <mergeCell ref="AO81:AY81"/>
    <mergeCell ref="AZ81:BJ81"/>
    <mergeCell ref="BK81:BU81"/>
    <mergeCell ref="BV81:CF81"/>
    <mergeCell ref="A80:E80"/>
    <mergeCell ref="F80:AA80"/>
    <mergeCell ref="AB80:AN80"/>
    <mergeCell ref="AO80:AY80"/>
    <mergeCell ref="AZ80:BJ80"/>
    <mergeCell ref="BK80:BU80"/>
    <mergeCell ref="BV82:CF82"/>
    <mergeCell ref="A83:E83"/>
    <mergeCell ref="F83:AA83"/>
    <mergeCell ref="AB83:AN83"/>
    <mergeCell ref="AO83:AY83"/>
    <mergeCell ref="AZ83:BJ83"/>
    <mergeCell ref="BK83:BU83"/>
    <mergeCell ref="BV83:CF83"/>
    <mergeCell ref="A82:E82"/>
    <mergeCell ref="F82:AA82"/>
    <mergeCell ref="AB82:AN82"/>
    <mergeCell ref="AO82:AY82"/>
    <mergeCell ref="AZ82:BJ82"/>
    <mergeCell ref="BK82:BU82"/>
    <mergeCell ref="BV84:CF84"/>
    <mergeCell ref="A85:E85"/>
    <mergeCell ref="F85:AA85"/>
    <mergeCell ref="AB85:AN85"/>
    <mergeCell ref="AO85:AY85"/>
    <mergeCell ref="AZ85:BJ85"/>
    <mergeCell ref="BK85:BU85"/>
    <mergeCell ref="BV85:CF85"/>
    <mergeCell ref="A84:E84"/>
    <mergeCell ref="F84:AA84"/>
    <mergeCell ref="AB84:AN84"/>
    <mergeCell ref="AO84:AY84"/>
    <mergeCell ref="AZ84:BJ84"/>
    <mergeCell ref="BK84:BU84"/>
    <mergeCell ref="BV86:CF86"/>
    <mergeCell ref="A87:E87"/>
    <mergeCell ref="F87:AA87"/>
    <mergeCell ref="AB87:AN87"/>
    <mergeCell ref="AO87:AY87"/>
    <mergeCell ref="AZ87:BJ87"/>
    <mergeCell ref="BK87:BU87"/>
    <mergeCell ref="BV87:CF87"/>
    <mergeCell ref="A86:E86"/>
    <mergeCell ref="F86:AA86"/>
    <mergeCell ref="AB86:AN86"/>
    <mergeCell ref="AO86:AY86"/>
    <mergeCell ref="AZ86:BJ86"/>
    <mergeCell ref="BK86:BU86"/>
    <mergeCell ref="BV88:CF88"/>
    <mergeCell ref="A89:E89"/>
    <mergeCell ref="F89:AA89"/>
    <mergeCell ref="AB89:AN89"/>
    <mergeCell ref="AO89:AY89"/>
    <mergeCell ref="AZ89:BJ89"/>
    <mergeCell ref="BK89:BU89"/>
    <mergeCell ref="BV89:CF89"/>
    <mergeCell ref="A88:E88"/>
    <mergeCell ref="F88:AA88"/>
    <mergeCell ref="AB88:AN88"/>
    <mergeCell ref="AO88:AY88"/>
    <mergeCell ref="AZ88:BJ88"/>
    <mergeCell ref="BK88:BU88"/>
    <mergeCell ref="BV90:CF90"/>
    <mergeCell ref="A91:E91"/>
    <mergeCell ref="F91:AA91"/>
    <mergeCell ref="AB91:AN91"/>
    <mergeCell ref="AO91:AY91"/>
    <mergeCell ref="AZ91:BJ91"/>
    <mergeCell ref="BK91:BU91"/>
    <mergeCell ref="BV91:CF91"/>
    <mergeCell ref="A90:E90"/>
    <mergeCell ref="F90:AA90"/>
    <mergeCell ref="AB90:AN90"/>
    <mergeCell ref="AO90:AY90"/>
    <mergeCell ref="AZ90:BJ90"/>
    <mergeCell ref="BK90:BU90"/>
    <mergeCell ref="BV92:CF92"/>
    <mergeCell ref="A93:E93"/>
    <mergeCell ref="F93:AA93"/>
    <mergeCell ref="AB93:AN93"/>
    <mergeCell ref="AO93:AY93"/>
    <mergeCell ref="AZ93:BJ93"/>
    <mergeCell ref="BK93:BU93"/>
    <mergeCell ref="BV93:CF93"/>
    <mergeCell ref="A92:E92"/>
    <mergeCell ref="F92:AA92"/>
    <mergeCell ref="AB92:AN92"/>
    <mergeCell ref="AO92:AY92"/>
    <mergeCell ref="AZ92:BJ92"/>
    <mergeCell ref="BK92:BU92"/>
    <mergeCell ref="BV94:CF94"/>
    <mergeCell ref="A95:E95"/>
    <mergeCell ref="F95:AA95"/>
    <mergeCell ref="AB95:AN95"/>
    <mergeCell ref="AO95:AY95"/>
    <mergeCell ref="AZ95:BJ95"/>
    <mergeCell ref="BK95:BU95"/>
    <mergeCell ref="BV95:CF95"/>
    <mergeCell ref="A94:E94"/>
    <mergeCell ref="F94:AA94"/>
    <mergeCell ref="AB94:AN94"/>
    <mergeCell ref="AO94:AY94"/>
    <mergeCell ref="AZ94:BJ94"/>
    <mergeCell ref="BK94:BU94"/>
    <mergeCell ref="BV96:CF96"/>
    <mergeCell ref="A97:E97"/>
    <mergeCell ref="F97:AA97"/>
    <mergeCell ref="AB97:AN97"/>
    <mergeCell ref="AO97:AY97"/>
    <mergeCell ref="AZ97:BJ97"/>
    <mergeCell ref="BK97:BU97"/>
    <mergeCell ref="BV97:CF97"/>
    <mergeCell ref="A96:E96"/>
    <mergeCell ref="F96:AA96"/>
    <mergeCell ref="AB96:AN96"/>
    <mergeCell ref="AO96:AY96"/>
    <mergeCell ref="AZ96:BJ96"/>
    <mergeCell ref="BK96:BU96"/>
    <mergeCell ref="BV98:CF98"/>
    <mergeCell ref="A99:E99"/>
    <mergeCell ref="F99:AA99"/>
    <mergeCell ref="AB99:AN99"/>
    <mergeCell ref="AO99:AY99"/>
    <mergeCell ref="AZ99:BJ99"/>
    <mergeCell ref="BK99:BU99"/>
    <mergeCell ref="BV99:CF99"/>
    <mergeCell ref="A98:E98"/>
    <mergeCell ref="F98:AA98"/>
    <mergeCell ref="AB98:AN98"/>
    <mergeCell ref="AO98:AY98"/>
    <mergeCell ref="AZ98:BJ98"/>
    <mergeCell ref="BK98:BU98"/>
    <mergeCell ref="BV100:CF100"/>
    <mergeCell ref="A101:E101"/>
    <mergeCell ref="F101:AA101"/>
    <mergeCell ref="AB101:AN101"/>
    <mergeCell ref="AO101:AY101"/>
    <mergeCell ref="AZ101:BJ101"/>
    <mergeCell ref="BK101:BU101"/>
    <mergeCell ref="BV101:CF101"/>
    <mergeCell ref="A100:E100"/>
    <mergeCell ref="F100:AA100"/>
    <mergeCell ref="AB100:AN100"/>
    <mergeCell ref="AO100:AY100"/>
    <mergeCell ref="AZ100:BJ100"/>
    <mergeCell ref="BK100:BU100"/>
    <mergeCell ref="BV102:CF102"/>
    <mergeCell ref="A103:E103"/>
    <mergeCell ref="F103:AA103"/>
    <mergeCell ref="AB103:AN103"/>
    <mergeCell ref="AO103:AY103"/>
    <mergeCell ref="AZ103:BJ103"/>
    <mergeCell ref="BK103:BU103"/>
    <mergeCell ref="BV103:CF103"/>
    <mergeCell ref="A102:E102"/>
    <mergeCell ref="F102:AA102"/>
    <mergeCell ref="AB102:AN102"/>
    <mergeCell ref="AO102:AY102"/>
    <mergeCell ref="AZ102:BJ102"/>
    <mergeCell ref="BK102:BU102"/>
    <mergeCell ref="BV104:CF104"/>
    <mergeCell ref="A105:E105"/>
    <mergeCell ref="F105:AA105"/>
    <mergeCell ref="AB105:AN105"/>
    <mergeCell ref="AO105:AY105"/>
    <mergeCell ref="AZ105:BJ105"/>
    <mergeCell ref="BK105:BU105"/>
    <mergeCell ref="BV105:CF105"/>
    <mergeCell ref="A104:E104"/>
    <mergeCell ref="F104:AA104"/>
    <mergeCell ref="AB104:AN104"/>
    <mergeCell ref="AO104:AY104"/>
    <mergeCell ref="AZ104:BJ104"/>
    <mergeCell ref="BK104:BU104"/>
    <mergeCell ref="BV106:CF106"/>
    <mergeCell ref="A107:E107"/>
    <mergeCell ref="F107:AA107"/>
    <mergeCell ref="AB107:AN107"/>
    <mergeCell ref="AO107:AY107"/>
    <mergeCell ref="AZ107:BJ107"/>
    <mergeCell ref="BK107:BU107"/>
    <mergeCell ref="BV107:CF107"/>
    <mergeCell ref="A106:E106"/>
    <mergeCell ref="F106:AA106"/>
    <mergeCell ref="AB106:AN106"/>
    <mergeCell ref="AO106:AY106"/>
    <mergeCell ref="AZ106:BJ106"/>
    <mergeCell ref="BK106:BU106"/>
    <mergeCell ref="BV108:CF108"/>
    <mergeCell ref="A109:E109"/>
    <mergeCell ref="F109:AA109"/>
    <mergeCell ref="AB109:AN109"/>
    <mergeCell ref="AO109:AY109"/>
    <mergeCell ref="AZ109:BJ109"/>
    <mergeCell ref="BK109:BU109"/>
    <mergeCell ref="BV109:CF109"/>
    <mergeCell ref="A108:E108"/>
    <mergeCell ref="F108:AA108"/>
    <mergeCell ref="AB108:AN108"/>
    <mergeCell ref="AO108:AY108"/>
    <mergeCell ref="AZ108:BJ108"/>
    <mergeCell ref="BK108:BU108"/>
    <mergeCell ref="BV110:CF110"/>
    <mergeCell ref="A111:E111"/>
    <mergeCell ref="F111:AA111"/>
    <mergeCell ref="AB111:AN111"/>
    <mergeCell ref="AO111:AY111"/>
    <mergeCell ref="AZ111:BJ111"/>
    <mergeCell ref="BK111:BU111"/>
    <mergeCell ref="BV111:CF111"/>
    <mergeCell ref="A110:E110"/>
    <mergeCell ref="F110:AA110"/>
    <mergeCell ref="AB110:AN110"/>
    <mergeCell ref="AO110:AY110"/>
    <mergeCell ref="AZ110:BJ110"/>
    <mergeCell ref="BK110:BU110"/>
  </mergeCells>
  <phoneticPr fontId="3" type="noConversion"/>
  <printOptions horizontalCentered="1"/>
  <pageMargins left="0.74803149606299213" right="0.74803149606299213" top="0.98425196850393704" bottom="0.98425196850393704" header="0" footer="0.5905511811023622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24</vt:i4>
      </vt:variant>
      <vt:variant>
        <vt:lpstr>이름 지정된 범위</vt:lpstr>
      </vt:variant>
      <vt:variant>
        <vt:i4>15</vt:i4>
      </vt:variant>
    </vt:vector>
  </HeadingPairs>
  <TitlesOfParts>
    <vt:vector size="39" baseType="lpstr">
      <vt:lpstr>심사요약</vt:lpstr>
      <vt:lpstr>원가계산서</vt:lpstr>
      <vt:lpstr>내역서</vt:lpstr>
      <vt:lpstr>일위대가</vt:lpstr>
      <vt:lpstr>이전비</vt:lpstr>
      <vt:lpstr>굴착물량산출서</vt:lpstr>
      <vt:lpstr>기계설치</vt:lpstr>
      <vt:lpstr>(건설공사)공통일위대가표</vt:lpstr>
      <vt:lpstr>(건설공사)기계경비 집계표</vt:lpstr>
      <vt:lpstr>(건설공사)기계경비</vt:lpstr>
      <vt:lpstr>(건설공사)토공</vt:lpstr>
      <vt:lpstr>(건설공사)자재단가조사서</vt:lpstr>
      <vt:lpstr>Sheet2</vt:lpstr>
      <vt:lpstr>Sheet3</vt:lpstr>
      <vt:lpstr>Sheet1</vt:lpstr>
      <vt:lpstr>토공</vt:lpstr>
      <vt:lpstr>제어반부표</vt:lpstr>
      <vt:lpstr>맨홀부표</vt:lpstr>
      <vt:lpstr>등주중량표</vt:lpstr>
      <vt:lpstr>암중량표</vt:lpstr>
      <vt:lpstr>등기구무게환산</vt:lpstr>
      <vt:lpstr>등주중량표sts</vt:lpstr>
      <vt:lpstr>암중량표sts</vt:lpstr>
      <vt:lpstr>안정기무게</vt:lpstr>
      <vt:lpstr>'(건설공사)공통일위대가표'!Print_Area</vt:lpstr>
      <vt:lpstr>'(건설공사)기계경비'!Print_Area</vt:lpstr>
      <vt:lpstr>'(건설공사)기계경비 집계표'!Print_Area</vt:lpstr>
      <vt:lpstr>'(건설공사)자재단가조사서'!Print_Area</vt:lpstr>
      <vt:lpstr>'(건설공사)토공'!Print_Area</vt:lpstr>
      <vt:lpstr>굴착물량산출서!Print_Area</vt:lpstr>
      <vt:lpstr>기계설치!Print_Area</vt:lpstr>
      <vt:lpstr>내역서!Print_Area</vt:lpstr>
      <vt:lpstr>맨홀부표!Print_Area</vt:lpstr>
      <vt:lpstr>원가계산서!Print_Area</vt:lpstr>
      <vt:lpstr>일위대가!Print_Area</vt:lpstr>
      <vt:lpstr>제어반부표!Print_Area</vt:lpstr>
      <vt:lpstr>토공!Print_Area</vt:lpstr>
      <vt:lpstr>등주중량표sts!Print_Titles</vt:lpstr>
      <vt:lpstr>암중량표sts!Print_Titles</vt:lpstr>
    </vt:vector>
  </TitlesOfParts>
  <Company>XP SP3 FINAL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snoopy</dc:creator>
  <cp:lastModifiedBy>user</cp:lastModifiedBy>
  <cp:lastPrinted>2026-09-02T08:53:08Z</cp:lastPrinted>
  <dcterms:created xsi:type="dcterms:W3CDTF">2011-10-28T07:15:41Z</dcterms:created>
  <dcterms:modified xsi:type="dcterms:W3CDTF">2026-09-02T08:54:43Z</dcterms:modified>
</cp:coreProperties>
</file>